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ticomerc.sharepoint.com/sites/MoriEnergia/Documentos Compartilhados/ENGENHARIA/REPOSITORIO DE PAGAMENTOS ENGENHARIA/CONTROLE SALDOS CONTRATUAIS/"/>
    </mc:Choice>
  </mc:AlternateContent>
  <xr:revisionPtr revIDLastSave="51185" documentId="13_ncr:1_{4984CA2D-23B9-42EF-8357-F80BA1552D19}" xr6:coauthVersionLast="47" xr6:coauthVersionMax="47" xr10:uidLastSave="{B5B94202-E390-4296-8AC8-785B2B3C23E7}"/>
  <bookViews>
    <workbookView xWindow="-110" yWindow="-110" windowWidth="19420" windowHeight="10300" tabRatio="812" firstSheet="4" activeTab="4" xr2:uid="{26C358DB-17D7-4AF5-A321-670FC5E79C36}"/>
  </bookViews>
  <sheets>
    <sheet name="Controle" sheetId="1" r:id="rId1"/>
    <sheet name="Controle Projetos_Ciclo3" sheetId="11" state="hidden" r:id="rId2"/>
    <sheet name="GLD" sheetId="10" state="hidden" r:id="rId3"/>
    <sheet name="Controle Projetos_Ciclo2" sheetId="2" r:id="rId4"/>
    <sheet name="Desenvolvimento diário" sheetId="5" r:id="rId5"/>
    <sheet name="Alterações_Detalhes por Usina" sheetId="9" r:id="rId6"/>
    <sheet name="DE_PARA" sheetId="14" r:id="rId7"/>
    <sheet name="Alterações (2)" sheetId="13" state="hidden" r:id="rId8"/>
    <sheet name="Fluxo de caixa" sheetId="6" r:id="rId9"/>
    <sheet name="Assinaturas" sheetId="12" r:id="rId10"/>
    <sheet name="Estimativas Lucas" sheetId="8" r:id="rId11"/>
    <sheet name="Alterações_Escopo Comerc" sheetId="15" r:id="rId12"/>
  </sheets>
  <definedNames>
    <definedName name="_xlnm._FilterDatabase" localSheetId="7" hidden="1">'Alterações (2)'!$B$3:$F$291</definedName>
    <definedName name="_xlnm._FilterDatabase" localSheetId="8" hidden="1">'Fluxo de caixa'!$A$1:$T$166</definedName>
    <definedName name="_xlnm._FilterDatabase" localSheetId="5" hidden="1">'Alterações_Detalhes por Usina'!$B$3:$F$291</definedName>
    <definedName name="_xlnm._FilterDatabase" localSheetId="3" hidden="1">'Controle Projetos_Ciclo2'!$A$1:$V$2310</definedName>
    <definedName name="_xlnm._FilterDatabase" localSheetId="4" hidden="1">'Desenvolvimento diário'!$A$1:$X$10801</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731" i="5" l="1"/>
  <c r="H10731" i="2"/>
  <c r="L20" i="2"/>
  <c r="H10728" i="5"/>
  <c r="H10726" i="5"/>
  <c r="O19" i="2"/>
  <c r="M36" i="2"/>
  <c r="L36" i="2"/>
  <c r="K36" i="2"/>
  <c r="J36" i="2"/>
  <c r="N71" i="2"/>
  <c r="M71" i="2"/>
  <c r="L71" i="2"/>
  <c r="K71" i="2"/>
  <c r="J71" i="2"/>
  <c r="N36" i="2"/>
  <c r="U36" i="2"/>
  <c r="J561" i="2"/>
  <c r="K561" i="2"/>
  <c r="L561" i="2"/>
  <c r="M561" i="2"/>
  <c r="N561" i="2"/>
  <c r="J596" i="2"/>
  <c r="K596" i="2"/>
  <c r="L596" i="2"/>
  <c r="M596" i="2"/>
  <c r="N596" i="2"/>
  <c r="J631" i="2"/>
  <c r="K631" i="2"/>
  <c r="L631" i="2"/>
  <c r="M631" i="2"/>
  <c r="N631" i="2"/>
  <c r="J666" i="2"/>
  <c r="K666" i="2"/>
  <c r="L666" i="2"/>
  <c r="M666" i="2"/>
  <c r="N666" i="2"/>
  <c r="K701" i="2"/>
  <c r="L701" i="2"/>
  <c r="M701" i="2"/>
  <c r="N701" i="2"/>
  <c r="J736" i="2"/>
  <c r="K736" i="2"/>
  <c r="L736" i="2"/>
  <c r="M736" i="2"/>
  <c r="N736" i="2"/>
  <c r="J771" i="2"/>
  <c r="K771" i="2"/>
  <c r="L771" i="2"/>
  <c r="M771" i="2"/>
  <c r="N771" i="2"/>
  <c r="J806" i="2"/>
  <c r="K806" i="2"/>
  <c r="L806" i="2"/>
  <c r="M806" i="2"/>
  <c r="N806" i="2"/>
  <c r="J841" i="2"/>
  <c r="K841" i="2"/>
  <c r="L841" i="2"/>
  <c r="M841" i="2"/>
  <c r="N841" i="2"/>
  <c r="J876" i="2"/>
  <c r="K876" i="2"/>
  <c r="L876" i="2"/>
  <c r="M876" i="2"/>
  <c r="N876" i="2"/>
  <c r="J911" i="2"/>
  <c r="K911" i="2"/>
  <c r="L911" i="2"/>
  <c r="M911" i="2"/>
  <c r="N911" i="2"/>
  <c r="J946" i="2"/>
  <c r="K946" i="2"/>
  <c r="L946" i="2"/>
  <c r="M946" i="2"/>
  <c r="N946" i="2"/>
  <c r="J981" i="2"/>
  <c r="K981" i="2"/>
  <c r="L981" i="2"/>
  <c r="M981" i="2"/>
  <c r="N981" i="2"/>
  <c r="J1016" i="2"/>
  <c r="K1016" i="2"/>
  <c r="L1016" i="2"/>
  <c r="M1016" i="2"/>
  <c r="N1016" i="2"/>
  <c r="J1051" i="2"/>
  <c r="K1051" i="2"/>
  <c r="L1051" i="2"/>
  <c r="M1051" i="2"/>
  <c r="N1051" i="2"/>
  <c r="J1086" i="2"/>
  <c r="K1086" i="2"/>
  <c r="L1086" i="2"/>
  <c r="M1086" i="2"/>
  <c r="N1086" i="2"/>
  <c r="J1121" i="2"/>
  <c r="K1121" i="2"/>
  <c r="L1121" i="2"/>
  <c r="M1121" i="2"/>
  <c r="N1121" i="2"/>
  <c r="J1156" i="2"/>
  <c r="K1156" i="2"/>
  <c r="L1156" i="2"/>
  <c r="M1156" i="2"/>
  <c r="N1156" i="2"/>
  <c r="J1191" i="2"/>
  <c r="K1191" i="2"/>
  <c r="L1191" i="2"/>
  <c r="M1191" i="2"/>
  <c r="N1191" i="2"/>
  <c r="J1226" i="2"/>
  <c r="K1226" i="2"/>
  <c r="L1226" i="2"/>
  <c r="M1226" i="2"/>
  <c r="N1226" i="2"/>
  <c r="J1261" i="2"/>
  <c r="K1261" i="2"/>
  <c r="L1261" i="2"/>
  <c r="M1261" i="2"/>
  <c r="N1261" i="2"/>
  <c r="J1296" i="2"/>
  <c r="K1296" i="2"/>
  <c r="L1296" i="2"/>
  <c r="M1296" i="2"/>
  <c r="N1296" i="2"/>
  <c r="J1331" i="2"/>
  <c r="K1331" i="2"/>
  <c r="L1331" i="2"/>
  <c r="M1331" i="2"/>
  <c r="N1331" i="2"/>
  <c r="J1366" i="2"/>
  <c r="K1366" i="2"/>
  <c r="L1366" i="2"/>
  <c r="M1366" i="2"/>
  <c r="N1366" i="2"/>
  <c r="J1401" i="2"/>
  <c r="K1401" i="2"/>
  <c r="L1401" i="2"/>
  <c r="M1401" i="2"/>
  <c r="N1401" i="2"/>
  <c r="J1436" i="2"/>
  <c r="K1436" i="2"/>
  <c r="L1436" i="2"/>
  <c r="M1436" i="2"/>
  <c r="N1436" i="2"/>
  <c r="J1471" i="2"/>
  <c r="K1471" i="2"/>
  <c r="L1471" i="2"/>
  <c r="M1471" i="2"/>
  <c r="N1471" i="2"/>
  <c r="J1506" i="2"/>
  <c r="K1506" i="2"/>
  <c r="L1506" i="2"/>
  <c r="M1506" i="2"/>
  <c r="N1506" i="2"/>
  <c r="J1541" i="2"/>
  <c r="K1541" i="2"/>
  <c r="L1541" i="2"/>
  <c r="M1541" i="2"/>
  <c r="N1541" i="2"/>
  <c r="J1576" i="2"/>
  <c r="K1576" i="2"/>
  <c r="L1576" i="2"/>
  <c r="M1576" i="2"/>
  <c r="N1576" i="2"/>
  <c r="J1611" i="2"/>
  <c r="K1611" i="2"/>
  <c r="L1611" i="2"/>
  <c r="M1611" i="2"/>
  <c r="N1611" i="2"/>
  <c r="J1646" i="2"/>
  <c r="K1646" i="2"/>
  <c r="L1646" i="2"/>
  <c r="M1646" i="2"/>
  <c r="N1646" i="2"/>
  <c r="J1681" i="2"/>
  <c r="K1681" i="2"/>
  <c r="L1681" i="2"/>
  <c r="M1681" i="2"/>
  <c r="N1681" i="2"/>
  <c r="J1716" i="2"/>
  <c r="K1716" i="2"/>
  <c r="L1716" i="2"/>
  <c r="M1716" i="2"/>
  <c r="N1716" i="2"/>
  <c r="J1751" i="2"/>
  <c r="K1751" i="2"/>
  <c r="L1751" i="2"/>
  <c r="M1751" i="2"/>
  <c r="N1751" i="2"/>
  <c r="J1786" i="2"/>
  <c r="K1786" i="2"/>
  <c r="L1786" i="2"/>
  <c r="M1786" i="2"/>
  <c r="N1786" i="2"/>
  <c r="J1821" i="2"/>
  <c r="K1821" i="2"/>
  <c r="L1821" i="2"/>
  <c r="M1821" i="2"/>
  <c r="N1821" i="2"/>
  <c r="J1856" i="2"/>
  <c r="K1856" i="2"/>
  <c r="L1856" i="2"/>
  <c r="M1856" i="2"/>
  <c r="N1856" i="2"/>
  <c r="J1891" i="2"/>
  <c r="K1891" i="2"/>
  <c r="L1891" i="2"/>
  <c r="M1891" i="2"/>
  <c r="N1891" i="2"/>
  <c r="J1926" i="2"/>
  <c r="K1926" i="2"/>
  <c r="L1926" i="2"/>
  <c r="M1926" i="2"/>
  <c r="N1926" i="2"/>
  <c r="J1961" i="2"/>
  <c r="K1961" i="2"/>
  <c r="L1961" i="2"/>
  <c r="M1961" i="2"/>
  <c r="N1961" i="2"/>
  <c r="J1996" i="2"/>
  <c r="K1996" i="2"/>
  <c r="L1996" i="2"/>
  <c r="M1996" i="2"/>
  <c r="N1996" i="2"/>
  <c r="J2031" i="2"/>
  <c r="K2031" i="2"/>
  <c r="L2031" i="2"/>
  <c r="M2031" i="2"/>
  <c r="N2031" i="2"/>
  <c r="J2066" i="2"/>
  <c r="K2066" i="2"/>
  <c r="L2066" i="2"/>
  <c r="M2066" i="2"/>
  <c r="N2066" i="2"/>
  <c r="J2101" i="2"/>
  <c r="K2101" i="2"/>
  <c r="L2101" i="2"/>
  <c r="M2101" i="2"/>
  <c r="N2101" i="2"/>
  <c r="J2136" i="2"/>
  <c r="K2136" i="2"/>
  <c r="L2136" i="2"/>
  <c r="M2136" i="2"/>
  <c r="N2136" i="2"/>
  <c r="J2171" i="2"/>
  <c r="K2171" i="2"/>
  <c r="L2171" i="2"/>
  <c r="M2171" i="2"/>
  <c r="N2171" i="2"/>
  <c r="J2206" i="2"/>
  <c r="K2206" i="2"/>
  <c r="L2206" i="2"/>
  <c r="M2206" i="2"/>
  <c r="N2206" i="2"/>
  <c r="J2241" i="2"/>
  <c r="K2241" i="2"/>
  <c r="L2241" i="2"/>
  <c r="M2241" i="2"/>
  <c r="N2241" i="2"/>
  <c r="J2276" i="2"/>
  <c r="K2276" i="2"/>
  <c r="L2276" i="2"/>
  <c r="M2276" i="2"/>
  <c r="N2276" i="2"/>
  <c r="J526" i="2"/>
  <c r="K526" i="2"/>
  <c r="L526" i="2"/>
  <c r="M526" i="2"/>
  <c r="N526" i="2"/>
  <c r="J491" i="2"/>
  <c r="K491" i="2"/>
  <c r="L491" i="2"/>
  <c r="M491" i="2"/>
  <c r="N491" i="2"/>
  <c r="J456" i="2"/>
  <c r="K456" i="2"/>
  <c r="L456" i="2"/>
  <c r="M456" i="2"/>
  <c r="N456" i="2"/>
  <c r="J421" i="2"/>
  <c r="K421" i="2"/>
  <c r="L421" i="2"/>
  <c r="M421" i="2"/>
  <c r="N421" i="2"/>
  <c r="J386" i="2"/>
  <c r="K386" i="2"/>
  <c r="L386" i="2"/>
  <c r="M386" i="2"/>
  <c r="N386" i="2"/>
  <c r="J351" i="2"/>
  <c r="K351" i="2"/>
  <c r="L351" i="2"/>
  <c r="M351" i="2"/>
  <c r="N351" i="2"/>
  <c r="J316" i="2"/>
  <c r="K316" i="2"/>
  <c r="L316" i="2"/>
  <c r="M316" i="2"/>
  <c r="N316" i="2"/>
  <c r="J281" i="2"/>
  <c r="K281" i="2"/>
  <c r="L281" i="2"/>
  <c r="M281" i="2"/>
  <c r="N281" i="2"/>
  <c r="J246" i="2"/>
  <c r="K246" i="2"/>
  <c r="L246" i="2"/>
  <c r="M246" i="2"/>
  <c r="N246" i="2"/>
  <c r="J211" i="2"/>
  <c r="K211" i="2"/>
  <c r="L211" i="2"/>
  <c r="M211" i="2"/>
  <c r="N211" i="2"/>
  <c r="J176" i="2"/>
  <c r="K176" i="2"/>
  <c r="L176" i="2"/>
  <c r="M176" i="2"/>
  <c r="N176" i="2"/>
  <c r="N141" i="2"/>
  <c r="M141" i="2"/>
  <c r="L141" i="2"/>
  <c r="K141" i="2"/>
  <c r="J141" i="2"/>
  <c r="N106" i="2"/>
  <c r="M106" i="2"/>
  <c r="L106" i="2"/>
  <c r="U106" i="2"/>
  <c r="K106" i="2"/>
  <c r="J106" i="2"/>
  <c r="U2241" i="2"/>
  <c r="U2206" i="2"/>
  <c r="U2171" i="2"/>
  <c r="U2136" i="2"/>
  <c r="U2101" i="2"/>
  <c r="U2066" i="2"/>
  <c r="U2031" i="2"/>
  <c r="U1996" i="2"/>
  <c r="U1961" i="2"/>
  <c r="U1926" i="2"/>
  <c r="U1891" i="2"/>
  <c r="U1856" i="2"/>
  <c r="U1786" i="2"/>
  <c r="U1751" i="2"/>
  <c r="U1716" i="2"/>
  <c r="U1681" i="2"/>
  <c r="U1646" i="2"/>
  <c r="U1611" i="2"/>
  <c r="U1576" i="2"/>
  <c r="U1541" i="2"/>
  <c r="U1506" i="2"/>
  <c r="U1436" i="2"/>
  <c r="U1401" i="2"/>
  <c r="U1366" i="2"/>
  <c r="U1331" i="2"/>
  <c r="U1296" i="2"/>
  <c r="U1261" i="2"/>
  <c r="U1226" i="2"/>
  <c r="U1191" i="2"/>
  <c r="U1156" i="2"/>
  <c r="U1086" i="2"/>
  <c r="U1051" i="2"/>
  <c r="U981" i="2"/>
  <c r="U946" i="2"/>
  <c r="U911" i="2"/>
  <c r="U876" i="2"/>
  <c r="U841" i="2"/>
  <c r="U806" i="2"/>
  <c r="U771" i="2"/>
  <c r="U736" i="2"/>
  <c r="U701" i="2"/>
  <c r="U666" i="2"/>
  <c r="U631" i="2"/>
  <c r="U596" i="2"/>
  <c r="U526" i="2"/>
  <c r="U491" i="2"/>
  <c r="U456" i="2"/>
  <c r="U421" i="2"/>
  <c r="U386" i="2"/>
  <c r="U351" i="2"/>
  <c r="U316" i="2"/>
  <c r="U281" i="2"/>
  <c r="U211" i="2"/>
  <c r="U176" i="2"/>
  <c r="U71" i="2"/>
  <c r="O2135" i="2"/>
  <c r="O2134" i="2"/>
  <c r="O2100" i="2"/>
  <c r="O2099" i="2"/>
  <c r="O2065" i="2"/>
  <c r="O2064" i="2"/>
  <c r="O2030" i="2"/>
  <c r="O2029" i="2"/>
  <c r="O1995" i="2"/>
  <c r="O1994" i="2"/>
  <c r="O1960" i="2"/>
  <c r="O1959" i="2"/>
  <c r="O1925" i="2"/>
  <c r="O1924" i="2"/>
  <c r="O1890" i="2"/>
  <c r="O1889" i="2"/>
  <c r="O1855" i="2"/>
  <c r="O1854" i="2"/>
  <c r="O1820" i="2"/>
  <c r="O1819" i="2"/>
  <c r="O1785" i="2"/>
  <c r="O1784" i="2"/>
  <c r="O1750" i="2"/>
  <c r="O1749" i="2"/>
  <c r="O1715" i="2"/>
  <c r="O1714" i="2"/>
  <c r="O1680" i="2"/>
  <c r="O1679" i="2"/>
  <c r="O1645" i="2"/>
  <c r="O1644" i="2"/>
  <c r="O1610" i="2"/>
  <c r="O1609" i="2"/>
  <c r="O1575" i="2"/>
  <c r="O1574" i="2"/>
  <c r="O1540" i="2"/>
  <c r="O1539" i="2"/>
  <c r="O1505" i="2"/>
  <c r="O1504" i="2"/>
  <c r="O1470" i="2"/>
  <c r="O1469" i="2"/>
  <c r="O1435" i="2"/>
  <c r="O1434" i="2"/>
  <c r="O1400" i="2"/>
  <c r="O1399" i="2"/>
  <c r="O1365" i="2"/>
  <c r="O1364" i="2"/>
  <c r="O1330" i="2"/>
  <c r="O1329" i="2"/>
  <c r="O1295" i="2"/>
  <c r="O1294" i="2"/>
  <c r="O1260" i="2"/>
  <c r="O1259" i="2"/>
  <c r="O1225" i="2"/>
  <c r="O1224" i="2"/>
  <c r="O1190" i="2"/>
  <c r="O1189" i="2"/>
  <c r="O1155" i="2"/>
  <c r="O1154" i="2"/>
  <c r="O1120" i="2"/>
  <c r="O1119" i="2"/>
  <c r="O1085" i="2"/>
  <c r="O1084" i="2"/>
  <c r="O1050" i="2"/>
  <c r="O1049" i="2"/>
  <c r="O1015" i="2"/>
  <c r="O1014" i="2"/>
  <c r="O980" i="2"/>
  <c r="O979" i="2"/>
  <c r="O945" i="2"/>
  <c r="O944" i="2"/>
  <c r="O910" i="2"/>
  <c r="O909" i="2"/>
  <c r="O875" i="2"/>
  <c r="O874" i="2"/>
  <c r="O840" i="2"/>
  <c r="O839" i="2"/>
  <c r="O805" i="2"/>
  <c r="O804" i="2"/>
  <c r="O770" i="2"/>
  <c r="O769" i="2"/>
  <c r="O735" i="2"/>
  <c r="O734" i="2"/>
  <c r="O700" i="2"/>
  <c r="O699" i="2"/>
  <c r="O665" i="2"/>
  <c r="O664" i="2"/>
  <c r="O630" i="2"/>
  <c r="O629" i="2"/>
  <c r="O595" i="2"/>
  <c r="O594" i="2"/>
  <c r="O560" i="2"/>
  <c r="O559" i="2"/>
  <c r="O525" i="2"/>
  <c r="O524" i="2"/>
  <c r="O490" i="2"/>
  <c r="O489" i="2"/>
  <c r="O455" i="2"/>
  <c r="O454" i="2"/>
  <c r="O420" i="2"/>
  <c r="O419" i="2"/>
  <c r="O385" i="2"/>
  <c r="O384" i="2"/>
  <c r="O350" i="2"/>
  <c r="O349" i="2"/>
  <c r="O315" i="2"/>
  <c r="O314" i="2"/>
  <c r="O280" i="2"/>
  <c r="O279" i="2"/>
  <c r="O245" i="2"/>
  <c r="O244" i="2"/>
  <c r="O210" i="2"/>
  <c r="O209" i="2"/>
  <c r="O175" i="2"/>
  <c r="O174" i="2"/>
  <c r="O140" i="2"/>
  <c r="O139" i="2"/>
  <c r="F66" i="2"/>
  <c r="F101" i="2" s="1"/>
  <c r="F67" i="2"/>
  <c r="F102" i="2" s="1"/>
  <c r="F137" i="2" s="1"/>
  <c r="F172" i="2" s="1"/>
  <c r="F207" i="2" s="1"/>
  <c r="F68" i="2"/>
  <c r="F103" i="2" s="1"/>
  <c r="F138" i="2" s="1"/>
  <c r="F173" i="2" s="1"/>
  <c r="F208" i="2" s="1"/>
  <c r="F69" i="2"/>
  <c r="F104" i="2" s="1"/>
  <c r="F139" i="2" s="1"/>
  <c r="F174" i="2" s="1"/>
  <c r="F209" i="2" s="1"/>
  <c r="F244" i="2" s="1"/>
  <c r="F279" i="2" s="1"/>
  <c r="F314" i="2" s="1"/>
  <c r="F349" i="2" s="1"/>
  <c r="F384" i="2" s="1"/>
  <c r="F419" i="2" s="1"/>
  <c r="F454" i="2" s="1"/>
  <c r="F489" i="2" s="1"/>
  <c r="F524" i="2" s="1"/>
  <c r="F559" i="2" s="1"/>
  <c r="F594" i="2" s="1"/>
  <c r="F629" i="2" s="1"/>
  <c r="F664" i="2" s="1"/>
  <c r="F699" i="2" s="1"/>
  <c r="F734" i="2" s="1"/>
  <c r="F769" i="2" s="1"/>
  <c r="F804" i="2" s="1"/>
  <c r="F839" i="2" s="1"/>
  <c r="F874" i="2" s="1"/>
  <c r="F909" i="2" s="1"/>
  <c r="F944" i="2" s="1"/>
  <c r="F979" i="2" s="1"/>
  <c r="F1014" i="2" s="1"/>
  <c r="F1049" i="2" s="1"/>
  <c r="F1084" i="2" s="1"/>
  <c r="F1119" i="2" s="1"/>
  <c r="F1154" i="2" s="1"/>
  <c r="F1189" i="2" s="1"/>
  <c r="F1224" i="2" s="1"/>
  <c r="F1259" i="2" s="1"/>
  <c r="F1294" i="2" s="1"/>
  <c r="F1329" i="2" s="1"/>
  <c r="F1364" i="2" s="1"/>
  <c r="F1399" i="2" s="1"/>
  <c r="F1434" i="2" s="1"/>
  <c r="F1469" i="2" s="1"/>
  <c r="F1504" i="2" s="1"/>
  <c r="F1539" i="2" s="1"/>
  <c r="F1574" i="2" s="1"/>
  <c r="F1609" i="2" s="1"/>
  <c r="F1644" i="2" s="1"/>
  <c r="F1679" i="2" s="1"/>
  <c r="F1714" i="2" s="1"/>
  <c r="F1749" i="2" s="1"/>
  <c r="F1784" i="2" s="1"/>
  <c r="F1819" i="2" s="1"/>
  <c r="F1854" i="2" s="1"/>
  <c r="F1889" i="2" s="1"/>
  <c r="F1924" i="2" s="1"/>
  <c r="F1959" i="2" s="1"/>
  <c r="F1994" i="2" s="1"/>
  <c r="F2029" i="2" s="1"/>
  <c r="F2064" i="2" s="1"/>
  <c r="F2099" i="2" s="1"/>
  <c r="F2134" i="2" s="1"/>
  <c r="F70" i="2"/>
  <c r="O105" i="2"/>
  <c r="O104" i="2"/>
  <c r="O70" i="2"/>
  <c r="O69" i="2"/>
  <c r="O34" i="2"/>
  <c r="O33" i="2"/>
  <c r="J374" i="2"/>
  <c r="E100" i="9"/>
  <c r="E78" i="9"/>
  <c r="I922" i="2"/>
  <c r="I243" i="2"/>
  <c r="I616" i="2"/>
  <c r="I684" i="2"/>
  <c r="I731" i="2"/>
  <c r="I766" i="2"/>
  <c r="I779" i="2"/>
  <c r="I822" i="2"/>
  <c r="I871" i="2"/>
  <c r="I892" i="2"/>
  <c r="I906" i="2"/>
  <c r="I976" i="2"/>
  <c r="I1011" i="2"/>
  <c r="I1032" i="2"/>
  <c r="I1034" i="2"/>
  <c r="I1137" i="2"/>
  <c r="I1139" i="2"/>
  <c r="K1159" i="2"/>
  <c r="I1173" i="2"/>
  <c r="I1229" i="2"/>
  <c r="I1242" i="2"/>
  <c r="I1264" i="2"/>
  <c r="I1277" i="2"/>
  <c r="I1309" i="2"/>
  <c r="I1312" i="2"/>
  <c r="I1347" i="2"/>
  <c r="I1386" i="2"/>
  <c r="I1421" i="2"/>
  <c r="I1452" i="2"/>
  <c r="I1484" i="2"/>
  <c r="I1526" i="2"/>
  <c r="K1578" i="2"/>
  <c r="I1592" i="2"/>
  <c r="I1666" i="2"/>
  <c r="K1719" i="2"/>
  <c r="J1728" i="2"/>
  <c r="I1732" i="2"/>
  <c r="I1737" i="2"/>
  <c r="I1767" i="2"/>
  <c r="I1802" i="2"/>
  <c r="K1894" i="2"/>
  <c r="I1907" i="2"/>
  <c r="I1946" i="2"/>
  <c r="N1964" i="2"/>
  <c r="I1980" i="2"/>
  <c r="L1981" i="2"/>
  <c r="I1993" i="2"/>
  <c r="I2082" i="2"/>
  <c r="L2103" i="2"/>
  <c r="I2114" i="2"/>
  <c r="I2121" i="2"/>
  <c r="I228" i="2"/>
  <c r="J208" i="2"/>
  <c r="I192" i="2"/>
  <c r="I1827" i="2"/>
  <c r="I1512" i="2"/>
  <c r="I462" i="2"/>
  <c r="I147" i="2"/>
  <c r="I99" i="2"/>
  <c r="I91" i="2"/>
  <c r="I77" i="2"/>
  <c r="J57" i="2"/>
  <c r="I17" i="2"/>
  <c r="M1788" i="2"/>
  <c r="L1788" i="2"/>
  <c r="J1807" i="2"/>
  <c r="F195" i="14"/>
  <c r="I1279" i="2"/>
  <c r="I1594" i="2"/>
  <c r="I1244" i="2"/>
  <c r="H494" i="5"/>
  <c r="J2121" i="2"/>
  <c r="J132" i="6"/>
  <c r="E37" i="6"/>
  <c r="H4810" i="5"/>
  <c r="F190" i="14"/>
  <c r="H5347" i="5"/>
  <c r="B9801" i="5"/>
  <c r="B9802" i="5"/>
  <c r="B9803" i="5"/>
  <c r="B9805" i="5"/>
  <c r="B9806" i="5"/>
  <c r="H94" i="5"/>
  <c r="H46" i="5"/>
  <c r="G136" i="6"/>
  <c r="H136" i="6"/>
  <c r="I136" i="6"/>
  <c r="J135" i="6"/>
  <c r="E136" i="6"/>
  <c r="D240" i="14"/>
  <c r="E240" i="14"/>
  <c r="F240" i="14" s="1"/>
  <c r="F184" i="14"/>
  <c r="M1333" i="2"/>
  <c r="J3" i="2"/>
  <c r="B68" i="1"/>
  <c r="B67" i="1"/>
  <c r="B66" i="1"/>
  <c r="B65" i="1"/>
  <c r="O313" i="2"/>
  <c r="J1045" i="2"/>
  <c r="J1193" i="2"/>
  <c r="F193" i="14"/>
  <c r="G41" i="12"/>
  <c r="F194" i="14"/>
  <c r="I1193" i="2"/>
  <c r="J38" i="2"/>
  <c r="I38" i="2"/>
  <c r="O1298" i="2"/>
  <c r="J2094" i="13"/>
  <c r="J2049" i="13"/>
  <c r="J1506" i="13"/>
  <c r="J1420" i="13"/>
  <c r="E255" i="13"/>
  <c r="E254" i="13"/>
  <c r="E244" i="13"/>
  <c r="J174" i="13"/>
  <c r="I1126" i="2"/>
  <c r="I1231" i="2"/>
  <c r="I1266" i="2"/>
  <c r="I1756" i="2"/>
  <c r="K2071" i="2"/>
  <c r="K2106" i="2"/>
  <c r="O2106" i="2"/>
  <c r="E254" i="9"/>
  <c r="E255" i="9"/>
  <c r="E244" i="9"/>
  <c r="O208" i="2"/>
  <c r="J1476" i="9"/>
  <c r="J2105" i="9"/>
  <c r="J2150" i="9"/>
  <c r="K1264" i="2"/>
  <c r="K1229" i="2"/>
  <c r="H9347" i="5"/>
  <c r="H9346" i="5"/>
  <c r="G38" i="12"/>
  <c r="G39" i="12"/>
  <c r="O879" i="2"/>
  <c r="F21" i="12"/>
  <c r="G21" i="12"/>
  <c r="G22" i="12"/>
  <c r="E23" i="12"/>
  <c r="F23" i="12" s="1"/>
  <c r="G23" i="12"/>
  <c r="H9344" i="5"/>
  <c r="F27" i="12"/>
  <c r="H9191" i="5"/>
  <c r="H9190" i="5" s="1"/>
  <c r="H9192" i="5"/>
  <c r="F32" i="12"/>
  <c r="E34" i="12"/>
  <c r="F34" i="12"/>
  <c r="F35" i="12"/>
  <c r="G36" i="12"/>
  <c r="G35" i="12"/>
  <c r="G34" i="12"/>
  <c r="G33" i="12"/>
  <c r="G32" i="12"/>
  <c r="G31" i="12"/>
  <c r="G30" i="12"/>
  <c r="G29" i="12"/>
  <c r="G28" i="12"/>
  <c r="G27" i="12"/>
  <c r="G26" i="12"/>
  <c r="G25" i="12"/>
  <c r="G24" i="12"/>
  <c r="G20" i="12"/>
  <c r="D59" i="12"/>
  <c r="G5" i="12"/>
  <c r="G6" i="12"/>
  <c r="G7" i="12"/>
  <c r="G8" i="12"/>
  <c r="G9" i="12"/>
  <c r="G10" i="12"/>
  <c r="G11" i="12"/>
  <c r="G12" i="12"/>
  <c r="G13" i="12"/>
  <c r="G14" i="12"/>
  <c r="G15" i="12"/>
  <c r="G16" i="12"/>
  <c r="G17" i="12"/>
  <c r="G18" i="12"/>
  <c r="G4" i="12"/>
  <c r="G19" i="12"/>
  <c r="O1237" i="2"/>
  <c r="O1491" i="2"/>
  <c r="J174" i="9"/>
  <c r="O1449" i="2"/>
  <c r="O1027" i="2"/>
  <c r="O992" i="2"/>
  <c r="O957" i="2"/>
  <c r="O432" i="2"/>
  <c r="O397" i="2"/>
  <c r="O362" i="2"/>
  <c r="O327" i="2"/>
  <c r="O292" i="2"/>
  <c r="O99" i="2"/>
  <c r="O41" i="2"/>
  <c r="O6" i="2"/>
  <c r="H8079" i="5"/>
  <c r="H8154" i="5"/>
  <c r="J1167" i="2"/>
  <c r="J1902" i="2"/>
  <c r="I1062" i="2"/>
  <c r="H6312" i="5"/>
  <c r="H5056" i="5"/>
  <c r="H5059" i="5"/>
  <c r="H5057" i="5"/>
  <c r="H5058" i="5"/>
  <c r="F24" i="10"/>
  <c r="F22" i="10"/>
  <c r="F18" i="10"/>
  <c r="F8" i="10"/>
  <c r="F4" i="10"/>
  <c r="O692" i="2"/>
  <c r="O97" i="2"/>
  <c r="I931" i="2"/>
  <c r="O808" i="2"/>
  <c r="J1562" i="9"/>
  <c r="O1441" i="2"/>
  <c r="O1301" i="2"/>
  <c r="O1896" i="2"/>
  <c r="O545" i="2"/>
  <c r="O580" i="2"/>
  <c r="O1035" i="2"/>
  <c r="O1791" i="2"/>
  <c r="O1721" i="2"/>
  <c r="O1476" i="2"/>
  <c r="O811" i="2"/>
  <c r="O1175" i="2"/>
  <c r="O825" i="2"/>
  <c r="O791" i="2"/>
  <c r="H6490" i="5"/>
  <c r="I258" i="2"/>
  <c r="I853" i="2"/>
  <c r="I888" i="2"/>
  <c r="I1063" i="2"/>
  <c r="I1098" i="2"/>
  <c r="I1133" i="2"/>
  <c r="I1728" i="2"/>
  <c r="I818" i="2"/>
  <c r="I1903" i="2"/>
  <c r="I1168" i="2"/>
  <c r="I503" i="2"/>
  <c r="J1194" i="2"/>
  <c r="J1789" i="2"/>
  <c r="M1579" i="2"/>
  <c r="N2034" i="2"/>
  <c r="N1999" i="2"/>
  <c r="D2" i="2"/>
  <c r="E2" i="2"/>
  <c r="D2311" i="2"/>
  <c r="E2311" i="2"/>
  <c r="O1246" i="2"/>
  <c r="I1997" i="2"/>
  <c r="I1717" i="2"/>
  <c r="I1542" i="2"/>
  <c r="J1474" i="2"/>
  <c r="J251" i="2"/>
  <c r="K1581" i="2"/>
  <c r="O2103" i="2"/>
  <c r="J1648" i="2"/>
  <c r="H5053" i="5"/>
  <c r="I919" i="2"/>
  <c r="I884" i="2"/>
  <c r="J849" i="2"/>
  <c r="M843" i="2"/>
  <c r="L739" i="2"/>
  <c r="L704" i="2"/>
  <c r="I651" i="2"/>
  <c r="J650" i="2"/>
  <c r="J566" i="2"/>
  <c r="I506" i="2"/>
  <c r="I786" i="2"/>
  <c r="I1507" i="2"/>
  <c r="I2067" i="2"/>
  <c r="O2067" i="2"/>
  <c r="O2036" i="2"/>
  <c r="O919" i="2"/>
  <c r="O1136" i="2"/>
  <c r="O1161" i="2"/>
  <c r="O1176" i="2"/>
  <c r="O1206" i="2"/>
  <c r="O1311" i="2"/>
  <c r="O1507" i="2"/>
  <c r="O1596" i="2"/>
  <c r="O1612" i="2"/>
  <c r="O1631" i="2"/>
  <c r="O1647" i="2"/>
  <c r="O1752" i="2"/>
  <c r="F2169" i="2" l="1"/>
  <c r="F2204" i="2" s="1"/>
  <c r="F2239" i="2" s="1"/>
  <c r="F2274" i="2" s="1"/>
  <c r="F2309" i="2"/>
  <c r="F105" i="2"/>
  <c r="F140" i="2" s="1"/>
  <c r="F175" i="2" s="1"/>
  <c r="F210" i="2" s="1"/>
  <c r="F245" i="2" s="1"/>
  <c r="F280" i="2" s="1"/>
  <c r="F315" i="2" s="1"/>
  <c r="F350" i="2" s="1"/>
  <c r="F385" i="2" s="1"/>
  <c r="F420" i="2" s="1"/>
  <c r="F455" i="2" s="1"/>
  <c r="F490" i="2" s="1"/>
  <c r="F525" i="2" s="1"/>
  <c r="F560" i="2" s="1"/>
  <c r="F595" i="2" s="1"/>
  <c r="F630" i="2" s="1"/>
  <c r="F665" i="2" s="1"/>
  <c r="F700" i="2" s="1"/>
  <c r="F735" i="2" s="1"/>
  <c r="F770" i="2" s="1"/>
  <c r="F805" i="2" s="1"/>
  <c r="F840" i="2" s="1"/>
  <c r="F875" i="2" s="1"/>
  <c r="F910" i="2" s="1"/>
  <c r="F945" i="2" s="1"/>
  <c r="F980" i="2" s="1"/>
  <c r="F1015" i="2" s="1"/>
  <c r="F1050" i="2" s="1"/>
  <c r="F1085" i="2" s="1"/>
  <c r="F1120" i="2" s="1"/>
  <c r="F1155" i="2" s="1"/>
  <c r="F1190" i="2" s="1"/>
  <c r="F1225" i="2" s="1"/>
  <c r="F1260" i="2" s="1"/>
  <c r="F1295" i="2" s="1"/>
  <c r="F1330" i="2" s="1"/>
  <c r="F1365" i="2" s="1"/>
  <c r="F1400" i="2" s="1"/>
  <c r="F1435" i="2" s="1"/>
  <c r="F1470" i="2" s="1"/>
  <c r="F1505" i="2" s="1"/>
  <c r="F1540" i="2" s="1"/>
  <c r="F1575" i="2" s="1"/>
  <c r="F1610" i="2" s="1"/>
  <c r="F1645" i="2" s="1"/>
  <c r="F1680" i="2" s="1"/>
  <c r="F1715" i="2" s="1"/>
  <c r="F1750" i="2" s="1"/>
  <c r="F1785" i="2" s="1"/>
  <c r="F1820" i="2" s="1"/>
  <c r="F1855" i="2" s="1"/>
  <c r="F1890" i="2" s="1"/>
  <c r="F1925" i="2" s="1"/>
  <c r="F1960" i="2" s="1"/>
  <c r="F1995" i="2" s="1"/>
  <c r="F2030" i="2" s="1"/>
  <c r="F2065" i="2" s="1"/>
  <c r="F2100" i="2" s="1"/>
  <c r="F2135" i="2" s="1"/>
  <c r="E65" i="1"/>
  <c r="E66" i="1"/>
  <c r="E67" i="1"/>
  <c r="E68" i="1"/>
  <c r="I1093" i="2"/>
  <c r="H2582" i="5"/>
  <c r="B5938" i="5"/>
  <c r="B5939" i="5" s="1"/>
  <c r="B5940" i="5" s="1"/>
  <c r="B5941" i="5" s="1"/>
  <c r="B5942" i="5" s="1"/>
  <c r="B5943" i="5" s="1"/>
  <c r="B5944" i="5" s="1"/>
  <c r="B5945" i="5" s="1"/>
  <c r="B5946" i="5" s="1"/>
  <c r="B5947" i="5" s="1"/>
  <c r="B5948" i="5" s="1"/>
  <c r="B5949" i="5" s="1"/>
  <c r="B5950" i="5" s="1"/>
  <c r="B5951" i="5" s="1"/>
  <c r="B5952" i="5" s="1"/>
  <c r="B5953" i="5" s="1"/>
  <c r="B5954" i="5" s="1"/>
  <c r="B5955" i="5" s="1"/>
  <c r="B5956" i="5" s="1"/>
  <c r="B5957" i="5" s="1"/>
  <c r="B5958" i="5" s="1"/>
  <c r="B5959" i="5" s="1"/>
  <c r="B5960" i="5" s="1"/>
  <c r="B5961" i="5" s="1"/>
  <c r="B5962" i="5" s="1"/>
  <c r="B5963" i="5" s="1"/>
  <c r="B5964" i="5" s="1"/>
  <c r="B5965" i="5" s="1"/>
  <c r="B5966" i="5" s="1"/>
  <c r="B5967" i="5" s="1"/>
  <c r="B5968" i="5" s="1"/>
  <c r="B5969" i="5" s="1"/>
  <c r="B5970" i="5" s="1"/>
  <c r="B5971" i="5" s="1"/>
  <c r="B5972" i="5" s="1"/>
  <c r="B5973" i="5" s="1"/>
  <c r="B5974" i="5" s="1"/>
  <c r="B5975" i="5" s="1"/>
  <c r="B5976" i="5" s="1"/>
  <c r="B5977" i="5" s="1"/>
  <c r="B5978" i="5" s="1"/>
  <c r="B5979" i="5" s="1"/>
  <c r="B5980" i="5" s="1"/>
  <c r="B5981" i="5" s="1"/>
  <c r="B5982" i="5" s="1"/>
  <c r="L1921" i="5"/>
  <c r="I1036" i="2"/>
  <c r="I1701" i="2"/>
  <c r="B2" i="2"/>
  <c r="B5531" i="5"/>
  <c r="B5532" i="5" s="1"/>
  <c r="B5533" i="5" s="1"/>
  <c r="B5534" i="5" s="1"/>
  <c r="B5535" i="5" s="1"/>
  <c r="B5536" i="5" s="1"/>
  <c r="B5537" i="5" s="1"/>
  <c r="B5538" i="5" s="1"/>
  <c r="B5539" i="5" s="1"/>
  <c r="B5540" i="5" s="1"/>
  <c r="B5541" i="5" s="1"/>
  <c r="B5542" i="5" s="1"/>
  <c r="B5543" i="5" s="1"/>
  <c r="B5544" i="5" s="1"/>
  <c r="B5545" i="5" s="1"/>
  <c r="B5546" i="5" s="1"/>
  <c r="B5547" i="5" s="1"/>
  <c r="B5548" i="5" s="1"/>
  <c r="B5549" i="5" s="1"/>
  <c r="B5550" i="5" s="1"/>
  <c r="B5551" i="5" s="1"/>
  <c r="B5552" i="5" s="1"/>
  <c r="B5553" i="5" s="1"/>
  <c r="B5554" i="5" s="1"/>
  <c r="B5555" i="5" s="1"/>
  <c r="B5556" i="5" s="1"/>
  <c r="B5557" i="5" s="1"/>
  <c r="B5558" i="5" s="1"/>
  <c r="B5559" i="5" s="1"/>
  <c r="B5560" i="5" s="1"/>
  <c r="B5561" i="5" s="1"/>
  <c r="B5562" i="5" s="1"/>
  <c r="B5563" i="5" s="1"/>
  <c r="B5564" i="5" s="1"/>
  <c r="B5565" i="5" s="1"/>
  <c r="B5566" i="5" s="1"/>
  <c r="B5567" i="5" s="1"/>
  <c r="B5568" i="5" s="1"/>
  <c r="B5569" i="5" s="1"/>
  <c r="B5570" i="5" s="1"/>
  <c r="B5571" i="5" s="1"/>
  <c r="B5572" i="5" s="1"/>
  <c r="B5573" i="5" s="1"/>
  <c r="B5574" i="5" s="1"/>
  <c r="B5575" i="5" s="1"/>
  <c r="B5576" i="5" s="1"/>
  <c r="B5577" i="5" s="1"/>
  <c r="B5578" i="5" s="1"/>
  <c r="B5579" i="5" s="1"/>
  <c r="B5580" i="5" s="1"/>
  <c r="B5581" i="5" s="1"/>
  <c r="B5582" i="5" s="1"/>
  <c r="B5583" i="5" s="1"/>
  <c r="B5584" i="5" s="1"/>
  <c r="B5585" i="5" s="1"/>
  <c r="B5586" i="5" s="1"/>
  <c r="B5587" i="5" s="1"/>
  <c r="B5588" i="5" s="1"/>
  <c r="B5589" i="5" s="1"/>
  <c r="J685" i="2"/>
  <c r="J701" i="2" s="1"/>
  <c r="J1024" i="2"/>
  <c r="G134" i="6"/>
  <c r="H134" i="6"/>
  <c r="I134" i="6"/>
  <c r="J134" i="6"/>
  <c r="K134" i="6"/>
  <c r="L134" i="6"/>
  <c r="M134" i="6"/>
  <c r="N134" i="6"/>
  <c r="O134" i="6"/>
  <c r="P134" i="6"/>
  <c r="Q134" i="6"/>
  <c r="R134" i="6"/>
  <c r="G135" i="6"/>
  <c r="H135" i="6"/>
  <c r="I135" i="6"/>
  <c r="K135" i="6"/>
  <c r="L135" i="6"/>
  <c r="M135" i="6"/>
  <c r="N135" i="6"/>
  <c r="O135" i="6"/>
  <c r="P135" i="6"/>
  <c r="Q135" i="6"/>
  <c r="R135" i="6"/>
  <c r="J136" i="6"/>
  <c r="K136" i="6"/>
  <c r="L136" i="6"/>
  <c r="N136" i="6"/>
  <c r="O136" i="6"/>
  <c r="P136" i="6"/>
  <c r="Q136" i="6"/>
  <c r="R136" i="6"/>
  <c r="G137" i="6"/>
  <c r="H137" i="6"/>
  <c r="I137" i="6"/>
  <c r="J137" i="6"/>
  <c r="K137" i="6"/>
  <c r="L137" i="6"/>
  <c r="M137" i="6"/>
  <c r="N137" i="6"/>
  <c r="O137" i="6"/>
  <c r="P137" i="6"/>
  <c r="Q137" i="6"/>
  <c r="R137" i="6"/>
  <c r="G138" i="6"/>
  <c r="H138" i="6"/>
  <c r="I138" i="6"/>
  <c r="J138" i="6"/>
  <c r="K138" i="6"/>
  <c r="L138" i="6"/>
  <c r="M138" i="6"/>
  <c r="N138" i="6"/>
  <c r="O138" i="6"/>
  <c r="P138" i="6"/>
  <c r="Q138" i="6"/>
  <c r="R138" i="6"/>
  <c r="G139" i="6"/>
  <c r="H139" i="6"/>
  <c r="I139" i="6"/>
  <c r="J139" i="6"/>
  <c r="K139" i="6"/>
  <c r="L139" i="6"/>
  <c r="M139" i="6"/>
  <c r="N139" i="6"/>
  <c r="O139" i="6"/>
  <c r="P139" i="6"/>
  <c r="Q139" i="6"/>
  <c r="R139" i="6"/>
  <c r="G140" i="6"/>
  <c r="H140" i="6"/>
  <c r="I140" i="6"/>
  <c r="J140" i="6"/>
  <c r="K140" i="6"/>
  <c r="L140" i="6"/>
  <c r="M140" i="6"/>
  <c r="N140" i="6"/>
  <c r="O140" i="6"/>
  <c r="P140" i="6"/>
  <c r="Q140" i="6"/>
  <c r="R140" i="6"/>
  <c r="G141" i="6"/>
  <c r="H141" i="6"/>
  <c r="I141" i="6"/>
  <c r="J141" i="6"/>
  <c r="K141" i="6"/>
  <c r="L141" i="6"/>
  <c r="M141" i="6"/>
  <c r="N141" i="6"/>
  <c r="O141" i="6"/>
  <c r="P141" i="6"/>
  <c r="Q141" i="6"/>
  <c r="R141" i="6"/>
  <c r="G142" i="6"/>
  <c r="H142" i="6"/>
  <c r="I142" i="6"/>
  <c r="J142" i="6"/>
  <c r="K142" i="6"/>
  <c r="L142" i="6"/>
  <c r="M142" i="6"/>
  <c r="N142" i="6"/>
  <c r="O142" i="6"/>
  <c r="P142" i="6"/>
  <c r="Q142" i="6"/>
  <c r="R142" i="6"/>
  <c r="G143" i="6"/>
  <c r="H143" i="6"/>
  <c r="I143" i="6"/>
  <c r="J143" i="6"/>
  <c r="K143" i="6"/>
  <c r="L143" i="6"/>
  <c r="M143" i="6"/>
  <c r="N143" i="6"/>
  <c r="O143" i="6"/>
  <c r="P143" i="6"/>
  <c r="Q143" i="6"/>
  <c r="R143" i="6"/>
  <c r="G144" i="6"/>
  <c r="H144" i="6"/>
  <c r="I144" i="6"/>
  <c r="J144" i="6"/>
  <c r="K144" i="6"/>
  <c r="L144" i="6"/>
  <c r="M144" i="6"/>
  <c r="N144" i="6"/>
  <c r="O144" i="6"/>
  <c r="P144" i="6"/>
  <c r="Q144" i="6"/>
  <c r="R144" i="6"/>
  <c r="G145" i="6"/>
  <c r="H145" i="6"/>
  <c r="I145" i="6"/>
  <c r="J145" i="6"/>
  <c r="K145" i="6"/>
  <c r="L145" i="6"/>
  <c r="M145" i="6"/>
  <c r="N145" i="6"/>
  <c r="O145" i="6"/>
  <c r="P145" i="6"/>
  <c r="Q145" i="6"/>
  <c r="R145" i="6"/>
  <c r="G146" i="6"/>
  <c r="H146" i="6"/>
  <c r="I146" i="6"/>
  <c r="J146" i="6"/>
  <c r="K146" i="6"/>
  <c r="L146" i="6"/>
  <c r="M146" i="6"/>
  <c r="N146" i="6"/>
  <c r="O146" i="6"/>
  <c r="P146" i="6"/>
  <c r="Q146" i="6"/>
  <c r="R146" i="6"/>
  <c r="G147" i="6"/>
  <c r="H147" i="6"/>
  <c r="I147" i="6"/>
  <c r="J147" i="6"/>
  <c r="K147" i="6"/>
  <c r="L147" i="6"/>
  <c r="M147" i="6"/>
  <c r="N147" i="6"/>
  <c r="O147" i="6"/>
  <c r="P147" i="6"/>
  <c r="Q147" i="6"/>
  <c r="R147" i="6"/>
  <c r="G148" i="6"/>
  <c r="H148" i="6"/>
  <c r="I148" i="6"/>
  <c r="J148" i="6"/>
  <c r="K148" i="6"/>
  <c r="L148" i="6"/>
  <c r="M148" i="6"/>
  <c r="N148" i="6"/>
  <c r="O148" i="6"/>
  <c r="P148" i="6"/>
  <c r="Q148" i="6"/>
  <c r="R148" i="6"/>
  <c r="H149" i="6"/>
  <c r="I149" i="6"/>
  <c r="J149" i="6"/>
  <c r="K149" i="6"/>
  <c r="L149" i="6"/>
  <c r="M149" i="6"/>
  <c r="N149" i="6"/>
  <c r="O149" i="6"/>
  <c r="P149" i="6"/>
  <c r="Q149" i="6"/>
  <c r="R149" i="6"/>
  <c r="G150" i="6"/>
  <c r="H150" i="6"/>
  <c r="I150" i="6"/>
  <c r="J150" i="6"/>
  <c r="K150" i="6"/>
  <c r="L150" i="6"/>
  <c r="M150" i="6"/>
  <c r="N150" i="6"/>
  <c r="O150" i="6"/>
  <c r="P150" i="6"/>
  <c r="Q150" i="6"/>
  <c r="R150" i="6"/>
  <c r="G151" i="6"/>
  <c r="H151" i="6"/>
  <c r="I151" i="6"/>
  <c r="J151" i="6"/>
  <c r="K151" i="6"/>
  <c r="L151" i="6"/>
  <c r="M151" i="6"/>
  <c r="N151" i="6"/>
  <c r="O151" i="6"/>
  <c r="P151" i="6"/>
  <c r="Q151" i="6"/>
  <c r="R151" i="6"/>
  <c r="G152" i="6"/>
  <c r="H152" i="6"/>
  <c r="I152" i="6"/>
  <c r="J152" i="6"/>
  <c r="K152" i="6"/>
  <c r="L152" i="6"/>
  <c r="M152" i="6"/>
  <c r="N152" i="6"/>
  <c r="O152" i="6"/>
  <c r="P152" i="6"/>
  <c r="Q152" i="6"/>
  <c r="R152" i="6"/>
  <c r="G153" i="6"/>
  <c r="H153" i="6"/>
  <c r="I153" i="6"/>
  <c r="J153" i="6"/>
  <c r="K153" i="6"/>
  <c r="L153" i="6"/>
  <c r="M153" i="6"/>
  <c r="N153" i="6"/>
  <c r="O153" i="6"/>
  <c r="P153" i="6"/>
  <c r="Q153" i="6"/>
  <c r="R153" i="6"/>
  <c r="G154" i="6"/>
  <c r="H154" i="6"/>
  <c r="I154" i="6"/>
  <c r="J154" i="6"/>
  <c r="K154" i="6"/>
  <c r="L154" i="6"/>
  <c r="M154" i="6"/>
  <c r="N154" i="6"/>
  <c r="O154" i="6"/>
  <c r="P154" i="6"/>
  <c r="Q154" i="6"/>
  <c r="R154" i="6"/>
  <c r="G155" i="6"/>
  <c r="H155" i="6"/>
  <c r="I155" i="6"/>
  <c r="J155" i="6"/>
  <c r="K155" i="6"/>
  <c r="L155" i="6"/>
  <c r="M155" i="6"/>
  <c r="N155" i="6"/>
  <c r="O155" i="6"/>
  <c r="P155" i="6"/>
  <c r="Q155" i="6"/>
  <c r="R155" i="6"/>
  <c r="G156" i="6"/>
  <c r="H156" i="6"/>
  <c r="I156" i="6"/>
  <c r="J156" i="6"/>
  <c r="K156" i="6"/>
  <c r="L156" i="6"/>
  <c r="M156" i="6"/>
  <c r="N156" i="6"/>
  <c r="O156" i="6"/>
  <c r="P156" i="6"/>
  <c r="Q156" i="6"/>
  <c r="R156" i="6"/>
  <c r="G157" i="6"/>
  <c r="H157" i="6"/>
  <c r="I157" i="6"/>
  <c r="J157" i="6"/>
  <c r="K157" i="6"/>
  <c r="L157" i="6"/>
  <c r="M157" i="6"/>
  <c r="N157" i="6"/>
  <c r="O157" i="6"/>
  <c r="P157" i="6"/>
  <c r="Q157" i="6"/>
  <c r="R157" i="6"/>
  <c r="G158" i="6"/>
  <c r="H158" i="6"/>
  <c r="I158" i="6"/>
  <c r="J158" i="6"/>
  <c r="K158" i="6"/>
  <c r="L158" i="6"/>
  <c r="M158" i="6"/>
  <c r="N158" i="6"/>
  <c r="O158" i="6"/>
  <c r="P158" i="6"/>
  <c r="Q158" i="6"/>
  <c r="R158" i="6"/>
  <c r="G159" i="6"/>
  <c r="H159" i="6"/>
  <c r="I159" i="6"/>
  <c r="J159" i="6"/>
  <c r="K159" i="6"/>
  <c r="L159" i="6"/>
  <c r="M159" i="6"/>
  <c r="N159" i="6"/>
  <c r="O159" i="6"/>
  <c r="P159" i="6"/>
  <c r="Q159" i="6"/>
  <c r="R159" i="6"/>
  <c r="G160" i="6"/>
  <c r="H160" i="6"/>
  <c r="I160" i="6"/>
  <c r="J160" i="6"/>
  <c r="K160" i="6"/>
  <c r="L160" i="6"/>
  <c r="M160" i="6"/>
  <c r="N160" i="6"/>
  <c r="O160" i="6"/>
  <c r="P160" i="6"/>
  <c r="Q160" i="6"/>
  <c r="R160" i="6"/>
  <c r="G161" i="6"/>
  <c r="H161" i="6"/>
  <c r="I161" i="6"/>
  <c r="J161" i="6"/>
  <c r="K161" i="6"/>
  <c r="L161" i="6"/>
  <c r="M161" i="6"/>
  <c r="N161" i="6"/>
  <c r="O161" i="6"/>
  <c r="P161" i="6"/>
  <c r="Q161" i="6"/>
  <c r="R161" i="6"/>
  <c r="G162" i="6"/>
  <c r="H162" i="6"/>
  <c r="I162" i="6"/>
  <c r="J162" i="6"/>
  <c r="K162" i="6"/>
  <c r="L162" i="6"/>
  <c r="M162" i="6"/>
  <c r="N162" i="6"/>
  <c r="O162" i="6"/>
  <c r="P162" i="6"/>
  <c r="Q162" i="6"/>
  <c r="R162" i="6"/>
  <c r="G163" i="6"/>
  <c r="H163" i="6"/>
  <c r="I163" i="6"/>
  <c r="J163" i="6"/>
  <c r="K163" i="6"/>
  <c r="L163" i="6"/>
  <c r="M163" i="6"/>
  <c r="N163" i="6"/>
  <c r="O163" i="6"/>
  <c r="P163" i="6"/>
  <c r="Q163" i="6"/>
  <c r="R163" i="6"/>
  <c r="G164" i="6"/>
  <c r="H164" i="6"/>
  <c r="I164" i="6"/>
  <c r="J164" i="6"/>
  <c r="K164" i="6"/>
  <c r="L164" i="6"/>
  <c r="M164" i="6"/>
  <c r="N164" i="6"/>
  <c r="O164" i="6"/>
  <c r="P164" i="6"/>
  <c r="Q164" i="6"/>
  <c r="R164" i="6"/>
  <c r="G165" i="6"/>
  <c r="H165" i="6"/>
  <c r="I165" i="6"/>
  <c r="J165" i="6"/>
  <c r="K165" i="6"/>
  <c r="K166" i="6" s="1"/>
  <c r="L165" i="6"/>
  <c r="M165" i="6"/>
  <c r="N165" i="6"/>
  <c r="O165" i="6"/>
  <c r="P165" i="6"/>
  <c r="Q165" i="6"/>
  <c r="R165" i="6"/>
  <c r="P166" i="6"/>
  <c r="A135" i="6"/>
  <c r="T5" i="6"/>
  <c r="T8" i="6"/>
  <c r="T9" i="6"/>
  <c r="T10" i="6"/>
  <c r="T15" i="6"/>
  <c r="T23" i="6"/>
  <c r="T25" i="6"/>
  <c r="T28" i="6"/>
  <c r="T29" i="6"/>
  <c r="T30" i="6"/>
  <c r="T31" i="6"/>
  <c r="T38" i="6"/>
  <c r="T41" i="6"/>
  <c r="T42" i="6"/>
  <c r="T48" i="6"/>
  <c r="T56" i="6"/>
  <c r="T58" i="6"/>
  <c r="T62" i="6"/>
  <c r="T64" i="6"/>
  <c r="T71" i="6"/>
  <c r="T74" i="6"/>
  <c r="T75" i="6"/>
  <c r="T76" i="6"/>
  <c r="T81" i="6"/>
  <c r="T91" i="6"/>
  <c r="T92" i="6"/>
  <c r="T93" i="6"/>
  <c r="T94" i="6"/>
  <c r="T95" i="6"/>
  <c r="T96" i="6"/>
  <c r="T97" i="6"/>
  <c r="T104" i="6"/>
  <c r="T109" i="6"/>
  <c r="T114" i="6"/>
  <c r="T122" i="6"/>
  <c r="T124" i="6"/>
  <c r="T125" i="6"/>
  <c r="T127" i="6"/>
  <c r="T128" i="6"/>
  <c r="R133" i="6"/>
  <c r="Q133" i="6"/>
  <c r="P133" i="6"/>
  <c r="O133" i="6"/>
  <c r="N133" i="6"/>
  <c r="M133" i="6"/>
  <c r="L133" i="6"/>
  <c r="K133" i="6"/>
  <c r="J133" i="6"/>
  <c r="I133" i="6"/>
  <c r="H133" i="6"/>
  <c r="G133" i="6"/>
  <c r="S132" i="6"/>
  <c r="S131" i="6"/>
  <c r="S130" i="6"/>
  <c r="S129" i="6"/>
  <c r="S128" i="6"/>
  <c r="S127" i="6"/>
  <c r="S126" i="6"/>
  <c r="S125" i="6"/>
  <c r="S124" i="6"/>
  <c r="S123" i="6"/>
  <c r="S122" i="6"/>
  <c r="S121" i="6"/>
  <c r="S120" i="6"/>
  <c r="S119" i="6"/>
  <c r="S118" i="6"/>
  <c r="S117" i="6"/>
  <c r="S116" i="6"/>
  <c r="S115" i="6"/>
  <c r="S114" i="6"/>
  <c r="S113" i="6"/>
  <c r="S112" i="6"/>
  <c r="S111" i="6"/>
  <c r="S110" i="6"/>
  <c r="S109" i="6"/>
  <c r="S108" i="6"/>
  <c r="S107" i="6"/>
  <c r="S106" i="6"/>
  <c r="S105" i="6"/>
  <c r="S104" i="6"/>
  <c r="S103" i="6"/>
  <c r="S102" i="6"/>
  <c r="A102" i="6"/>
  <c r="A103" i="6" s="1"/>
  <c r="S101" i="6"/>
  <c r="R100" i="6"/>
  <c r="Q100" i="6"/>
  <c r="P100" i="6"/>
  <c r="O100" i="6"/>
  <c r="N100" i="6"/>
  <c r="M100" i="6"/>
  <c r="L100" i="6"/>
  <c r="K100" i="6"/>
  <c r="J100" i="6"/>
  <c r="I100" i="6"/>
  <c r="H100" i="6"/>
  <c r="G100" i="6"/>
  <c r="S99" i="6"/>
  <c r="S98" i="6"/>
  <c r="S97" i="6"/>
  <c r="S96" i="6"/>
  <c r="S95" i="6"/>
  <c r="S94" i="6"/>
  <c r="S93" i="6"/>
  <c r="S92" i="6"/>
  <c r="S91" i="6"/>
  <c r="S90" i="6"/>
  <c r="S89" i="6"/>
  <c r="S88" i="6"/>
  <c r="S87" i="6"/>
  <c r="S86" i="6"/>
  <c r="S85" i="6"/>
  <c r="S84" i="6"/>
  <c r="S83" i="6"/>
  <c r="S82" i="6"/>
  <c r="S81" i="6"/>
  <c r="S80" i="6"/>
  <c r="S79" i="6"/>
  <c r="S78" i="6"/>
  <c r="S77" i="6"/>
  <c r="S76" i="6"/>
  <c r="S75" i="6"/>
  <c r="S74" i="6"/>
  <c r="S73" i="6"/>
  <c r="S72" i="6"/>
  <c r="S71" i="6"/>
  <c r="S70" i="6"/>
  <c r="S69" i="6"/>
  <c r="A69" i="6"/>
  <c r="S68" i="6"/>
  <c r="R67" i="6"/>
  <c r="Q67" i="6"/>
  <c r="P67" i="6"/>
  <c r="O67" i="6"/>
  <c r="N67" i="6"/>
  <c r="L67" i="6"/>
  <c r="K67" i="6"/>
  <c r="J67" i="6"/>
  <c r="I67" i="6"/>
  <c r="H67" i="6"/>
  <c r="S66" i="6"/>
  <c r="S65" i="6"/>
  <c r="S64" i="6"/>
  <c r="S63" i="6"/>
  <c r="S62" i="6"/>
  <c r="S61" i="6"/>
  <c r="S60" i="6"/>
  <c r="S59" i="6"/>
  <c r="S58" i="6"/>
  <c r="S57" i="6"/>
  <c r="S56" i="6"/>
  <c r="S55" i="6"/>
  <c r="S54" i="6"/>
  <c r="S53" i="6"/>
  <c r="S52" i="6"/>
  <c r="S51" i="6"/>
  <c r="S49" i="6"/>
  <c r="S48" i="6"/>
  <c r="S47" i="6"/>
  <c r="S46" i="6"/>
  <c r="S45" i="6"/>
  <c r="S44" i="6"/>
  <c r="S43" i="6"/>
  <c r="S42" i="6"/>
  <c r="S41" i="6"/>
  <c r="S40" i="6"/>
  <c r="S39" i="6"/>
  <c r="S38" i="6"/>
  <c r="S36" i="6"/>
  <c r="A36" i="6"/>
  <c r="A37" i="6" s="1"/>
  <c r="S35" i="6"/>
  <c r="G34" i="6"/>
  <c r="H34" i="6"/>
  <c r="I34" i="6"/>
  <c r="J34" i="6"/>
  <c r="K34" i="6"/>
  <c r="L34" i="6"/>
  <c r="M34" i="6"/>
  <c r="N34" i="6"/>
  <c r="O34" i="6"/>
  <c r="P34" i="6"/>
  <c r="Q34" i="6"/>
  <c r="R34"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A3" i="6"/>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F2170" i="2" l="1"/>
  <c r="F2310" i="2"/>
  <c r="Q166" i="6"/>
  <c r="Q2" i="2"/>
  <c r="P2" i="2"/>
  <c r="B5590" i="5"/>
  <c r="B5591" i="5" s="1"/>
  <c r="B5592" i="5" s="1"/>
  <c r="B5593" i="5" s="1"/>
  <c r="B5594" i="5" s="1"/>
  <c r="B5595" i="5" s="1"/>
  <c r="B5596" i="5" s="1"/>
  <c r="B5597" i="5" s="1"/>
  <c r="B5598" i="5" s="1"/>
  <c r="B5599" i="5" s="1"/>
  <c r="B5600" i="5" s="1"/>
  <c r="B5601" i="5" s="1"/>
  <c r="B5602" i="5" s="1"/>
  <c r="B5603" i="5" s="1"/>
  <c r="B5604" i="5" s="1"/>
  <c r="B5605" i="5" s="1"/>
  <c r="B5606" i="5" s="1"/>
  <c r="B5607" i="5" s="1"/>
  <c r="B5608" i="5" s="1"/>
  <c r="B5609" i="5" s="1"/>
  <c r="B5610" i="5" s="1"/>
  <c r="B5611" i="5" s="1"/>
  <c r="B5612" i="5" s="1"/>
  <c r="B5613" i="5" s="1"/>
  <c r="B5614" i="5" s="1"/>
  <c r="B5615" i="5" s="1"/>
  <c r="B5616" i="5" s="1"/>
  <c r="B5617" i="5" s="1"/>
  <c r="B5618" i="5" s="1"/>
  <c r="B5619" i="5" s="1"/>
  <c r="B5620" i="5" s="1"/>
  <c r="B5621" i="5" s="1"/>
  <c r="B5622" i="5" s="1"/>
  <c r="B5623" i="5" s="1"/>
  <c r="B5624" i="5" s="1"/>
  <c r="B5625" i="5" s="1"/>
  <c r="B5626" i="5" s="1"/>
  <c r="B5627" i="5" s="1"/>
  <c r="B5628" i="5" s="1"/>
  <c r="B5629" i="5" s="1"/>
  <c r="B5630" i="5" s="1"/>
  <c r="B5631" i="5" s="1"/>
  <c r="B5632" i="5" s="1"/>
  <c r="B5633" i="5" s="1"/>
  <c r="B5634" i="5" s="1"/>
  <c r="B5635" i="5" s="1"/>
  <c r="B5636" i="5" s="1"/>
  <c r="B5637" i="5" s="1"/>
  <c r="B5638" i="5" s="1"/>
  <c r="B5639" i="5" s="1"/>
  <c r="B5640" i="5" s="1"/>
  <c r="B5641" i="5" s="1"/>
  <c r="B5642" i="5" s="1"/>
  <c r="B5643" i="5" s="1"/>
  <c r="B5644" i="5" s="1"/>
  <c r="B5645" i="5" s="1"/>
  <c r="B5646" i="5" s="1"/>
  <c r="B5647" i="5" s="1"/>
  <c r="B5648" i="5" s="1"/>
  <c r="B5649" i="5" s="1"/>
  <c r="B5650" i="5" s="1"/>
  <c r="B5651" i="5" s="1"/>
  <c r="B5652" i="5" s="1"/>
  <c r="B5653" i="5" s="1"/>
  <c r="B5654" i="5" s="1"/>
  <c r="B5655" i="5" s="1"/>
  <c r="B5656" i="5" s="1"/>
  <c r="B5657" i="5" s="1"/>
  <c r="B5658" i="5" s="1"/>
  <c r="B5659" i="5" s="1"/>
  <c r="B5660" i="5" s="1"/>
  <c r="B5661" i="5" s="1"/>
  <c r="B5662" i="5" s="1"/>
  <c r="B5663" i="5" s="1"/>
  <c r="R166" i="6"/>
  <c r="S100" i="6"/>
  <c r="I166" i="6"/>
  <c r="O166" i="6"/>
  <c r="S34" i="6"/>
  <c r="S143" i="6"/>
  <c r="T137" i="6"/>
  <c r="H166" i="6"/>
  <c r="N166" i="6"/>
  <c r="S150" i="6"/>
  <c r="S144" i="6"/>
  <c r="L166" i="6"/>
  <c r="S162" i="6"/>
  <c r="S161" i="6"/>
  <c r="S156" i="6"/>
  <c r="S155" i="6"/>
  <c r="J166" i="6"/>
  <c r="S163" i="6"/>
  <c r="T161" i="6"/>
  <c r="T157" i="6"/>
  <c r="S151" i="6"/>
  <c r="T147" i="6"/>
  <c r="S138" i="6"/>
  <c r="S137" i="6"/>
  <c r="S133" i="6"/>
  <c r="S135" i="6"/>
  <c r="S139" i="6"/>
  <c r="S141" i="6"/>
  <c r="S147" i="6"/>
  <c r="S153" i="6"/>
  <c r="S159" i="6"/>
  <c r="S165" i="6"/>
  <c r="S134" i="6"/>
  <c r="S142" i="6"/>
  <c r="S146" i="6"/>
  <c r="S154" i="6"/>
  <c r="S158" i="6"/>
  <c r="S140" i="6"/>
  <c r="S148" i="6"/>
  <c r="S152" i="6"/>
  <c r="S160" i="6"/>
  <c r="S164" i="6"/>
  <c r="S145" i="6"/>
  <c r="S157" i="6"/>
  <c r="A136" i="6"/>
  <c r="A104" i="6"/>
  <c r="A70" i="6"/>
  <c r="A71" i="6" s="1"/>
  <c r="A38" i="6"/>
  <c r="F2205" i="2" l="1"/>
  <c r="B5665" i="5"/>
  <c r="B5666" i="5" s="1"/>
  <c r="B5667" i="5" s="1"/>
  <c r="B5668" i="5" s="1"/>
  <c r="B5669" i="5" s="1"/>
  <c r="B5670" i="5" s="1"/>
  <c r="B5671" i="5" s="1"/>
  <c r="B5672" i="5" s="1"/>
  <c r="B5673" i="5" s="1"/>
  <c r="B5674" i="5" s="1"/>
  <c r="B5675" i="5" s="1"/>
  <c r="B5676" i="5" s="1"/>
  <c r="B5677" i="5" s="1"/>
  <c r="B5678" i="5" s="1"/>
  <c r="B5679" i="5" s="1"/>
  <c r="B5680" i="5" s="1"/>
  <c r="B5681" i="5" s="1"/>
  <c r="B5682" i="5" s="1"/>
  <c r="B5683" i="5" s="1"/>
  <c r="B5684" i="5" s="1"/>
  <c r="B5685" i="5" s="1"/>
  <c r="B5686" i="5" s="1"/>
  <c r="B5687" i="5" s="1"/>
  <c r="B5688" i="5" s="1"/>
  <c r="B5689" i="5" s="1"/>
  <c r="B5690" i="5" s="1"/>
  <c r="B5691" i="5" s="1"/>
  <c r="B5692" i="5" s="1"/>
  <c r="B5693" i="5" s="1"/>
  <c r="B5694" i="5" s="1"/>
  <c r="B5695" i="5" s="1"/>
  <c r="B5696" i="5" s="1"/>
  <c r="B5697" i="5" s="1"/>
  <c r="B5698" i="5" s="1"/>
  <c r="B5699" i="5" s="1"/>
  <c r="B5700" i="5" s="1"/>
  <c r="B5701" i="5" s="1"/>
  <c r="B5702" i="5" s="1"/>
  <c r="B5703" i="5" s="1"/>
  <c r="B5704" i="5" s="1"/>
  <c r="B5705" i="5" s="1"/>
  <c r="B5706" i="5" s="1"/>
  <c r="B5707" i="5" s="1"/>
  <c r="B5708" i="5" s="1"/>
  <c r="B5709" i="5" s="1"/>
  <c r="B5710" i="5" s="1"/>
  <c r="B5711" i="5" s="1"/>
  <c r="B5712" i="5" s="1"/>
  <c r="B5713" i="5" s="1"/>
  <c r="B5714" i="5" s="1"/>
  <c r="B5715" i="5" s="1"/>
  <c r="A137" i="6"/>
  <c r="A105" i="6"/>
  <c r="A72" i="6"/>
  <c r="A39" i="6"/>
  <c r="F2240" i="2" l="1"/>
  <c r="A138" i="6"/>
  <c r="A106" i="6"/>
  <c r="A73" i="6"/>
  <c r="A74" i="6" s="1"/>
  <c r="A40" i="6"/>
  <c r="F2275" i="2" l="1"/>
  <c r="A139" i="6"/>
  <c r="A107" i="6"/>
  <c r="A75" i="6"/>
  <c r="A41" i="6"/>
  <c r="A140" i="6" l="1"/>
  <c r="A108" i="6"/>
  <c r="A76" i="6"/>
  <c r="A42" i="6"/>
  <c r="B7034" i="5" l="1"/>
  <c r="B7035" i="5" s="1"/>
  <c r="B7036" i="5" s="1"/>
  <c r="B7037" i="5" s="1"/>
  <c r="B7038" i="5" s="1"/>
  <c r="B7039" i="5" s="1"/>
  <c r="B7040" i="5" s="1"/>
  <c r="B7041" i="5" s="1"/>
  <c r="B7042" i="5" s="1"/>
  <c r="B7043" i="5" s="1"/>
  <c r="B7044" i="5" s="1"/>
  <c r="B7045" i="5" s="1"/>
  <c r="B7046" i="5" s="1"/>
  <c r="B7047" i="5" s="1"/>
  <c r="B7048" i="5" s="1"/>
  <c r="B7049" i="5" s="1"/>
  <c r="B7050" i="5" s="1"/>
  <c r="B7051" i="5" s="1"/>
  <c r="B7052" i="5" s="1"/>
  <c r="B7053" i="5" s="1"/>
  <c r="B7054" i="5" s="1"/>
  <c r="B7055" i="5" s="1"/>
  <c r="B7056" i="5" s="1"/>
  <c r="B7057" i="5" s="1"/>
  <c r="B7058" i="5" s="1"/>
  <c r="B7059" i="5" s="1"/>
  <c r="B7060" i="5" s="1"/>
  <c r="B7061" i="5" s="1"/>
  <c r="B7062" i="5" s="1"/>
  <c r="B7063" i="5" s="1"/>
  <c r="B7064" i="5" s="1"/>
  <c r="B7065" i="5" s="1"/>
  <c r="B7066" i="5" s="1"/>
  <c r="B7067" i="5" s="1"/>
  <c r="B7068" i="5" s="1"/>
  <c r="B7069" i="5" s="1"/>
  <c r="B7070" i="5" s="1"/>
  <c r="B7071" i="5" s="1"/>
  <c r="B7072" i="5" s="1"/>
  <c r="B7073" i="5" s="1"/>
  <c r="B7074" i="5" s="1"/>
  <c r="B7075" i="5" s="1"/>
  <c r="B7076" i="5" s="1"/>
  <c r="B7077" i="5" s="1"/>
  <c r="B7078" i="5" s="1"/>
  <c r="B7079" i="5" s="1"/>
  <c r="B7080" i="5" s="1"/>
  <c r="B7081" i="5" s="1"/>
  <c r="B7082" i="5" s="1"/>
  <c r="B7083" i="5" s="1"/>
  <c r="B7084" i="5" s="1"/>
  <c r="B7085" i="5" s="1"/>
  <c r="B7086" i="5" s="1"/>
  <c r="B7087" i="5" s="1"/>
  <c r="B7088" i="5" s="1"/>
  <c r="B7089" i="5" s="1"/>
  <c r="B7090" i="5" s="1"/>
  <c r="B7091" i="5" s="1"/>
  <c r="B7092" i="5" s="1"/>
  <c r="B7093" i="5" s="1"/>
  <c r="B7094" i="5" s="1"/>
  <c r="B7095" i="5" s="1"/>
  <c r="B7096" i="5" s="1"/>
  <c r="B7097" i="5" s="1"/>
  <c r="B7098" i="5" s="1"/>
  <c r="B7099" i="5" s="1"/>
  <c r="B7100" i="5" s="1"/>
  <c r="B7101" i="5" s="1"/>
  <c r="B7102" i="5" s="1"/>
  <c r="B7103" i="5" s="1"/>
  <c r="B7104" i="5" s="1"/>
  <c r="B7105" i="5" s="1"/>
  <c r="B7106" i="5" s="1"/>
  <c r="B7107" i="5" s="1"/>
  <c r="B7108" i="5" s="1"/>
  <c r="B7109" i="5" s="1"/>
  <c r="B7110" i="5" s="1"/>
  <c r="B7111" i="5" s="1"/>
  <c r="B7112" i="5" s="1"/>
  <c r="B7113" i="5" s="1"/>
  <c r="B7114" i="5" s="1"/>
  <c r="B7115" i="5" s="1"/>
  <c r="B7116" i="5" s="1"/>
  <c r="B7117" i="5" s="1"/>
  <c r="B7118" i="5" s="1"/>
  <c r="B7119" i="5" s="1"/>
  <c r="B7120" i="5" s="1"/>
  <c r="B7121" i="5" s="1"/>
  <c r="B7122" i="5" s="1"/>
  <c r="B7123" i="5" s="1"/>
  <c r="B7124" i="5" s="1"/>
  <c r="B7125" i="5" s="1"/>
  <c r="B7126" i="5" s="1"/>
  <c r="B7127" i="5" s="1"/>
  <c r="B7128" i="5" s="1"/>
  <c r="B7129" i="5" s="1"/>
  <c r="B7130" i="5" s="1"/>
  <c r="B7131" i="5" s="1"/>
  <c r="B7132" i="5" s="1"/>
  <c r="B7133" i="5" s="1"/>
  <c r="B7134" i="5" s="1"/>
  <c r="B7135" i="5" s="1"/>
  <c r="B7136" i="5" s="1"/>
  <c r="B7137" i="5" s="1"/>
  <c r="B7138" i="5" s="1"/>
  <c r="B7139" i="5" s="1"/>
  <c r="B7140" i="5" s="1"/>
  <c r="B7141" i="5" s="1"/>
  <c r="B7142" i="5" s="1"/>
  <c r="B7143" i="5" s="1"/>
  <c r="B7144" i="5" s="1"/>
  <c r="B7145" i="5" s="1"/>
  <c r="B7146" i="5" s="1"/>
  <c r="B7147" i="5" s="1"/>
  <c r="B7148" i="5" s="1"/>
  <c r="B7149" i="5" s="1"/>
  <c r="B7150" i="5" s="1"/>
  <c r="B7151" i="5" s="1"/>
  <c r="B7152" i="5" s="1"/>
  <c r="B7153" i="5" s="1"/>
  <c r="B7154" i="5" s="1"/>
  <c r="B7155" i="5" s="1"/>
  <c r="B7156" i="5" s="1"/>
  <c r="B7157" i="5" s="1"/>
  <c r="B7158" i="5" s="1"/>
  <c r="B7159" i="5" s="1"/>
  <c r="B7160" i="5" s="1"/>
  <c r="B7161" i="5" s="1"/>
  <c r="B7162" i="5" s="1"/>
  <c r="B7163" i="5" s="1"/>
  <c r="B7164" i="5" s="1"/>
  <c r="B7165" i="5" s="1"/>
  <c r="B7166" i="5" s="1"/>
  <c r="B7167" i="5" s="1"/>
  <c r="B7168" i="5" s="1"/>
  <c r="B7169" i="5" s="1"/>
  <c r="B7170" i="5" s="1"/>
  <c r="B7171" i="5" s="1"/>
  <c r="B7172" i="5" s="1"/>
  <c r="B7173" i="5" s="1"/>
  <c r="B7174" i="5" s="1"/>
  <c r="B7175" i="5" s="1"/>
  <c r="B7176" i="5" s="1"/>
  <c r="B7177" i="5" s="1"/>
  <c r="B7178" i="5" s="1"/>
  <c r="B7179" i="5" s="1"/>
  <c r="B7180" i="5" s="1"/>
  <c r="B7181" i="5" s="1"/>
  <c r="B7182" i="5" s="1"/>
  <c r="B7183" i="5" s="1"/>
  <c r="B7184" i="5" s="1"/>
  <c r="B7185" i="5" s="1"/>
  <c r="B7186" i="5" s="1"/>
  <c r="B7187" i="5" s="1"/>
  <c r="B7188" i="5" s="1"/>
  <c r="B7189" i="5" s="1"/>
  <c r="B7190" i="5" s="1"/>
  <c r="B7191" i="5" s="1"/>
  <c r="B7192" i="5" s="1"/>
  <c r="B7193" i="5" s="1"/>
  <c r="B7194" i="5" s="1"/>
  <c r="B7195" i="5" s="1"/>
  <c r="B7196" i="5" s="1"/>
  <c r="B7197" i="5" s="1"/>
  <c r="B7198" i="5" s="1"/>
  <c r="B7199" i="5" s="1"/>
  <c r="B7200" i="5" s="1"/>
  <c r="B7201" i="5" s="1"/>
  <c r="B7202" i="5" s="1"/>
  <c r="B7203" i="5" s="1"/>
  <c r="B7204" i="5" s="1"/>
  <c r="B7205" i="5" s="1"/>
  <c r="B7206" i="5" s="1"/>
  <c r="B7207" i="5" s="1"/>
  <c r="B7208" i="5" s="1"/>
  <c r="B7209" i="5" s="1"/>
  <c r="B7210" i="5" s="1"/>
  <c r="B7211" i="5" s="1"/>
  <c r="B7212" i="5" s="1"/>
  <c r="B7213" i="5" s="1"/>
  <c r="B7214" i="5" s="1"/>
  <c r="B7215" i="5" s="1"/>
  <c r="B7216" i="5" s="1"/>
  <c r="B7217" i="5" s="1"/>
  <c r="B7218" i="5" s="1"/>
  <c r="B7219" i="5" s="1"/>
  <c r="B7220" i="5" s="1"/>
  <c r="B7221" i="5" s="1"/>
  <c r="B7222" i="5" s="1"/>
  <c r="B7223" i="5" s="1"/>
  <c r="B7224" i="5" s="1"/>
  <c r="B7225" i="5" s="1"/>
  <c r="B7226" i="5" s="1"/>
  <c r="B7227" i="5" s="1"/>
  <c r="B7228" i="5" s="1"/>
  <c r="B7229" i="5" s="1"/>
  <c r="B7230" i="5" s="1"/>
  <c r="B7231" i="5" s="1"/>
  <c r="B7232" i="5" s="1"/>
  <c r="B7233" i="5" s="1"/>
  <c r="B7234" i="5" s="1"/>
  <c r="B7235" i="5" s="1"/>
  <c r="B7236" i="5" s="1"/>
  <c r="B7237" i="5" s="1"/>
  <c r="B7238" i="5" s="1"/>
  <c r="B7239" i="5" s="1"/>
  <c r="B7240" i="5" s="1"/>
  <c r="B7241" i="5" s="1"/>
  <c r="B7242" i="5" s="1"/>
  <c r="B7243" i="5" s="1"/>
  <c r="B7244" i="5" s="1"/>
  <c r="B7245" i="5" s="1"/>
  <c r="B7246" i="5" s="1"/>
  <c r="B7247" i="5" s="1"/>
  <c r="B7248" i="5" s="1"/>
  <c r="B7249" i="5" s="1"/>
  <c r="B7250" i="5" s="1"/>
  <c r="B7251" i="5" s="1"/>
  <c r="B7252" i="5" s="1"/>
  <c r="B7253" i="5" s="1"/>
  <c r="B7254" i="5" s="1"/>
  <c r="B7255" i="5" s="1"/>
  <c r="B7256" i="5" s="1"/>
  <c r="B7257" i="5" s="1"/>
  <c r="B7258" i="5" s="1"/>
  <c r="B7259" i="5" s="1"/>
  <c r="B7260" i="5" s="1"/>
  <c r="B7261" i="5" s="1"/>
  <c r="B7262" i="5" s="1"/>
  <c r="B7263" i="5" s="1"/>
  <c r="B7264" i="5" s="1"/>
  <c r="B7265" i="5" s="1"/>
  <c r="B7266" i="5" s="1"/>
  <c r="B7267" i="5" s="1"/>
  <c r="B7268" i="5" s="1"/>
  <c r="B7269" i="5" s="1"/>
  <c r="B7270" i="5" s="1"/>
  <c r="B7271" i="5" s="1"/>
  <c r="B7272" i="5" s="1"/>
  <c r="B7273" i="5" s="1"/>
  <c r="B7274" i="5" s="1"/>
  <c r="B7275" i="5" s="1"/>
  <c r="B7276" i="5" s="1"/>
  <c r="B7277" i="5" s="1"/>
  <c r="B7278" i="5" s="1"/>
  <c r="B7279" i="5" s="1"/>
  <c r="B7280" i="5" s="1"/>
  <c r="B7281" i="5" s="1"/>
  <c r="B7282" i="5" s="1"/>
  <c r="B7283" i="5" s="1"/>
  <c r="B7284" i="5" s="1"/>
  <c r="B7285" i="5" s="1"/>
  <c r="B7286" i="5" s="1"/>
  <c r="B7287" i="5" s="1"/>
  <c r="B7288" i="5" s="1"/>
  <c r="B7289" i="5" s="1"/>
  <c r="B7290" i="5" s="1"/>
  <c r="B7291" i="5" s="1"/>
  <c r="B7292" i="5" s="1"/>
  <c r="B7293" i="5" s="1"/>
  <c r="B7294" i="5" s="1"/>
  <c r="B7295" i="5" s="1"/>
  <c r="B7296" i="5" s="1"/>
  <c r="B7297" i="5" s="1"/>
  <c r="B7298" i="5" s="1"/>
  <c r="B7299" i="5" s="1"/>
  <c r="B7300" i="5" s="1"/>
  <c r="B7301" i="5" s="1"/>
  <c r="B7302" i="5" s="1"/>
  <c r="B7303" i="5" s="1"/>
  <c r="B7304" i="5" s="1"/>
  <c r="B7305" i="5" s="1"/>
  <c r="B7306" i="5" s="1"/>
  <c r="B7307" i="5" s="1"/>
  <c r="B7308" i="5" s="1"/>
  <c r="B7309" i="5" s="1"/>
  <c r="B7310" i="5" s="1"/>
  <c r="B7311" i="5" s="1"/>
  <c r="B7312" i="5" s="1"/>
  <c r="B7313" i="5" s="1"/>
  <c r="B7314" i="5" s="1"/>
  <c r="B7315" i="5" s="1"/>
  <c r="A141" i="6"/>
  <c r="A109" i="6"/>
  <c r="A77" i="6"/>
  <c r="A43" i="6"/>
  <c r="B7316" i="5" l="1"/>
  <c r="B7317" i="5" s="1"/>
  <c r="B7318" i="5" s="1"/>
  <c r="B7319" i="5" s="1"/>
  <c r="B7320" i="5" s="1"/>
  <c r="B7321" i="5" s="1"/>
  <c r="B7322" i="5" s="1"/>
  <c r="B7323" i="5" s="1"/>
  <c r="B7324" i="5" s="1"/>
  <c r="B7325" i="5" s="1"/>
  <c r="B7326" i="5" s="1"/>
  <c r="B7327" i="5" s="1"/>
  <c r="B7329" i="5" s="1"/>
  <c r="B7330" i="5" s="1"/>
  <c r="B7331" i="5" s="1"/>
  <c r="B7332" i="5" s="1"/>
  <c r="B7333" i="5" s="1"/>
  <c r="B7334" i="5" s="1"/>
  <c r="B7335" i="5" s="1"/>
  <c r="B7336" i="5" s="1"/>
  <c r="B7337" i="5" s="1"/>
  <c r="B7338" i="5" s="1"/>
  <c r="B7339" i="5" s="1"/>
  <c r="B7340" i="5" s="1"/>
  <c r="B7341" i="5" s="1"/>
  <c r="B7342" i="5" s="1"/>
  <c r="B7343" i="5" s="1"/>
  <c r="B7344" i="5" s="1"/>
  <c r="B7345" i="5" s="1"/>
  <c r="B7346" i="5" s="1"/>
  <c r="B7347" i="5" s="1"/>
  <c r="B7348" i="5" s="1"/>
  <c r="B7349" i="5" s="1"/>
  <c r="B7350" i="5" s="1"/>
  <c r="B7351" i="5" s="1"/>
  <c r="B7352" i="5" s="1"/>
  <c r="B7353" i="5" s="1"/>
  <c r="B7354" i="5" s="1"/>
  <c r="B7355" i="5" s="1"/>
  <c r="B7356" i="5" s="1"/>
  <c r="B7357" i="5" s="1"/>
  <c r="B7358" i="5" s="1"/>
  <c r="B7359" i="5" s="1"/>
  <c r="B7360" i="5" s="1"/>
  <c r="B7361" i="5" s="1"/>
  <c r="B7362" i="5" s="1"/>
  <c r="B7363" i="5" s="1"/>
  <c r="B7364" i="5" s="1"/>
  <c r="B7365" i="5" s="1"/>
  <c r="B7366" i="5" s="1"/>
  <c r="B7367" i="5" s="1"/>
  <c r="B7368" i="5" s="1"/>
  <c r="B7369" i="5" s="1"/>
  <c r="B7370" i="5" s="1"/>
  <c r="B7371" i="5" s="1"/>
  <c r="B7372" i="5" s="1"/>
  <c r="B7373" i="5" s="1"/>
  <c r="B7374" i="5" s="1"/>
  <c r="B7375" i="5" s="1"/>
  <c r="B7376" i="5" s="1"/>
  <c r="B7377" i="5" s="1"/>
  <c r="B7378" i="5" s="1"/>
  <c r="B7379" i="5" s="1"/>
  <c r="B7380" i="5" s="1"/>
  <c r="B7381" i="5" s="1"/>
  <c r="B7382" i="5" s="1"/>
  <c r="B7383" i="5" s="1"/>
  <c r="B7384" i="5" s="1"/>
  <c r="B7385" i="5" s="1"/>
  <c r="B7386" i="5" s="1"/>
  <c r="B7387" i="5" s="1"/>
  <c r="B7388" i="5" s="1"/>
  <c r="B7389" i="5" s="1"/>
  <c r="B7390" i="5" s="1"/>
  <c r="B7391" i="5" s="1"/>
  <c r="B7392" i="5" s="1"/>
  <c r="B7393" i="5" s="1"/>
  <c r="B7394" i="5" s="1"/>
  <c r="B7395" i="5" s="1"/>
  <c r="B7396" i="5" s="1"/>
  <c r="B7397" i="5" s="1"/>
  <c r="B7398" i="5" s="1"/>
  <c r="B7399" i="5" s="1"/>
  <c r="B7400" i="5" s="1"/>
  <c r="B7401" i="5" s="1"/>
  <c r="B7402" i="5" s="1"/>
  <c r="B7403" i="5" s="1"/>
  <c r="B7404" i="5" s="1"/>
  <c r="B7405" i="5" s="1"/>
  <c r="B7406" i="5" s="1"/>
  <c r="A142" i="6"/>
  <c r="A110" i="6"/>
  <c r="A78" i="6"/>
  <c r="A44" i="6"/>
  <c r="B7407" i="5" l="1"/>
  <c r="B7408" i="5" s="1"/>
  <c r="B7409" i="5" s="1"/>
  <c r="B7410" i="5" s="1"/>
  <c r="B7411" i="5" s="1"/>
  <c r="B7412" i="5" s="1"/>
  <c r="B7413" i="5" s="1"/>
  <c r="B7414" i="5" s="1"/>
  <c r="B7415" i="5" s="1"/>
  <c r="B7416" i="5" s="1"/>
  <c r="B7417" i="5" s="1"/>
  <c r="B7418" i="5" s="1"/>
  <c r="B7419" i="5" s="1"/>
  <c r="B7420" i="5" s="1"/>
  <c r="B7421" i="5" s="1"/>
  <c r="B7422" i="5" s="1"/>
  <c r="B7423" i="5" s="1"/>
  <c r="B7424" i="5" s="1"/>
  <c r="B7425" i="5" s="1"/>
  <c r="B7426" i="5" s="1"/>
  <c r="B7427" i="5" s="1"/>
  <c r="B7428" i="5" s="1"/>
  <c r="B7429" i="5" s="1"/>
  <c r="B7430" i="5" s="1"/>
  <c r="B7431" i="5" s="1"/>
  <c r="B7432" i="5" s="1"/>
  <c r="B7433" i="5" s="1"/>
  <c r="B7434" i="5" s="1"/>
  <c r="B7435" i="5" s="1"/>
  <c r="B7436" i="5" s="1"/>
  <c r="B7437" i="5" s="1"/>
  <c r="B7438" i="5" s="1"/>
  <c r="B7439" i="5" s="1"/>
  <c r="B7440" i="5" s="1"/>
  <c r="B7441" i="5" s="1"/>
  <c r="B7442" i="5" s="1"/>
  <c r="B7443" i="5" s="1"/>
  <c r="B7444" i="5" s="1"/>
  <c r="B7445" i="5" s="1"/>
  <c r="B7446" i="5" s="1"/>
  <c r="B7448" i="5" s="1"/>
  <c r="B7449" i="5" s="1"/>
  <c r="B7450" i="5" s="1"/>
  <c r="B7451" i="5" s="1"/>
  <c r="B7452" i="5" s="1"/>
  <c r="B7453" i="5" s="1"/>
  <c r="B7454" i="5" s="1"/>
  <c r="B7455" i="5" s="1"/>
  <c r="B7456" i="5" s="1"/>
  <c r="B7457" i="5" s="1"/>
  <c r="B7458" i="5" s="1"/>
  <c r="B7459" i="5" s="1"/>
  <c r="B7460" i="5" s="1"/>
  <c r="B7461" i="5" s="1"/>
  <c r="B7462" i="5" s="1"/>
  <c r="B7463" i="5" s="1"/>
  <c r="B7464" i="5" s="1"/>
  <c r="B7465" i="5" s="1"/>
  <c r="B7466" i="5" s="1"/>
  <c r="B7467" i="5" s="1"/>
  <c r="B7468" i="5" s="1"/>
  <c r="B7469" i="5" s="1"/>
  <c r="B7470" i="5" s="1"/>
  <c r="B7471" i="5" s="1"/>
  <c r="B7472" i="5" s="1"/>
  <c r="B7473" i="5" s="1"/>
  <c r="B7474" i="5" s="1"/>
  <c r="B7475" i="5" s="1"/>
  <c r="B7476" i="5" s="1"/>
  <c r="B7477" i="5" s="1"/>
  <c r="B7478" i="5" s="1"/>
  <c r="B7479" i="5" s="1"/>
  <c r="B7480" i="5" s="1"/>
  <c r="B7481" i="5" s="1"/>
  <c r="B7482" i="5" s="1"/>
  <c r="B7483" i="5" s="1"/>
  <c r="B7484" i="5" s="1"/>
  <c r="B7485" i="5" s="1"/>
  <c r="B7486" i="5" s="1"/>
  <c r="B7487" i="5" s="1"/>
  <c r="B7488" i="5" s="1"/>
  <c r="B7489" i="5" s="1"/>
  <c r="B7490" i="5" s="1"/>
  <c r="B7491" i="5" s="1"/>
  <c r="B7492" i="5" s="1"/>
  <c r="B7493" i="5" s="1"/>
  <c r="B7494" i="5" s="1"/>
  <c r="B7495" i="5" s="1"/>
  <c r="B7496" i="5" s="1"/>
  <c r="B7497" i="5" s="1"/>
  <c r="B7498" i="5" s="1"/>
  <c r="B7499" i="5" s="1"/>
  <c r="B7500" i="5" s="1"/>
  <c r="B7501" i="5" s="1"/>
  <c r="B7502" i="5" s="1"/>
  <c r="B7503" i="5" s="1"/>
  <c r="B7504" i="5" s="1"/>
  <c r="B7505" i="5" s="1"/>
  <c r="B7506" i="5" s="1"/>
  <c r="B7507" i="5" s="1"/>
  <c r="B7508" i="5" s="1"/>
  <c r="B7509" i="5" s="1"/>
  <c r="B7510" i="5" s="1"/>
  <c r="B7511" i="5" s="1"/>
  <c r="B7512" i="5" s="1"/>
  <c r="B7513" i="5" s="1"/>
  <c r="B7514" i="5" s="1"/>
  <c r="B7515" i="5" s="1"/>
  <c r="B7516" i="5" s="1"/>
  <c r="B7518" i="5" s="1"/>
  <c r="B7519" i="5" s="1"/>
  <c r="B7520" i="5" s="1"/>
  <c r="B7521" i="5" s="1"/>
  <c r="B7522" i="5" s="1"/>
  <c r="B7523" i="5" s="1"/>
  <c r="B7524" i="5" s="1"/>
  <c r="B7525" i="5" s="1"/>
  <c r="B7526" i="5" s="1"/>
  <c r="B7527" i="5" s="1"/>
  <c r="B7528" i="5" s="1"/>
  <c r="B7529" i="5" s="1"/>
  <c r="B7530" i="5" s="1"/>
  <c r="B7531" i="5" s="1"/>
  <c r="B7532" i="5" s="1"/>
  <c r="B7533" i="5" s="1"/>
  <c r="B7534" i="5" s="1"/>
  <c r="B7535" i="5" s="1"/>
  <c r="B7536" i="5" s="1"/>
  <c r="B7537" i="5" s="1"/>
  <c r="B7538" i="5" s="1"/>
  <c r="B7539" i="5" s="1"/>
  <c r="B7540" i="5" s="1"/>
  <c r="B7541" i="5" s="1"/>
  <c r="B7542" i="5" s="1"/>
  <c r="B7543" i="5" s="1"/>
  <c r="B7544" i="5" s="1"/>
  <c r="B7545" i="5" s="1"/>
  <c r="B7546" i="5" s="1"/>
  <c r="B7547" i="5" s="1"/>
  <c r="B7548" i="5" s="1"/>
  <c r="B7549" i="5" s="1"/>
  <c r="B7550" i="5" s="1"/>
  <c r="B7551" i="5" s="1"/>
  <c r="B7552" i="5" s="1"/>
  <c r="B7553" i="5" s="1"/>
  <c r="B7554" i="5" s="1"/>
  <c r="B7555" i="5" s="1"/>
  <c r="B7556" i="5" s="1"/>
  <c r="B7557" i="5" s="1"/>
  <c r="B7558" i="5" s="1"/>
  <c r="B7559" i="5" s="1"/>
  <c r="B7560" i="5" s="1"/>
  <c r="B7561" i="5" s="1"/>
  <c r="B7562" i="5" s="1"/>
  <c r="B7563" i="5" s="1"/>
  <c r="B7564" i="5" s="1"/>
  <c r="B7565" i="5" s="1"/>
  <c r="B7566" i="5" s="1"/>
  <c r="B7567" i="5" s="1"/>
  <c r="B7568" i="5" s="1"/>
  <c r="B7569" i="5" s="1"/>
  <c r="B7570" i="5" s="1"/>
  <c r="B7571" i="5" s="1"/>
  <c r="B7572" i="5" s="1"/>
  <c r="B7573" i="5" s="1"/>
  <c r="B7574" i="5" s="1"/>
  <c r="B7575" i="5" s="1"/>
  <c r="B7576" i="5" s="1"/>
  <c r="B7577" i="5" s="1"/>
  <c r="B7578" i="5" s="1"/>
  <c r="B7579" i="5" s="1"/>
  <c r="B7580" i="5" s="1"/>
  <c r="B7581" i="5" s="1"/>
  <c r="B7582" i="5" s="1"/>
  <c r="B7583" i="5" s="1"/>
  <c r="B7584" i="5" s="1"/>
  <c r="B7585" i="5" s="1"/>
  <c r="A143" i="6"/>
  <c r="A111" i="6"/>
  <c r="A79" i="6"/>
  <c r="A45" i="6"/>
  <c r="B7586" i="5" l="1"/>
  <c r="B7587" i="5" s="1"/>
  <c r="B7588" i="5" s="1"/>
  <c r="B7589" i="5" s="1"/>
  <c r="B7590" i="5" s="1"/>
  <c r="B7591" i="5" s="1"/>
  <c r="B7592" i="5" s="1"/>
  <c r="B7593" i="5" s="1"/>
  <c r="B7594" i="5" s="1"/>
  <c r="B7595" i="5" s="1"/>
  <c r="B7596" i="5" s="1"/>
  <c r="B7597" i="5" s="1"/>
  <c r="B7598" i="5" s="1"/>
  <c r="B7599" i="5" s="1"/>
  <c r="B7600" i="5" s="1"/>
  <c r="B7601" i="5" s="1"/>
  <c r="B7602" i="5" s="1"/>
  <c r="B7603" i="5" s="1"/>
  <c r="B7604" i="5" s="1"/>
  <c r="B7605" i="5" s="1"/>
  <c r="B7606" i="5" s="1"/>
  <c r="B7607" i="5" s="1"/>
  <c r="B7608" i="5" s="1"/>
  <c r="B7609" i="5" s="1"/>
  <c r="B7610" i="5" s="1"/>
  <c r="B7611" i="5" s="1"/>
  <c r="B7612" i="5" s="1"/>
  <c r="B7613" i="5" s="1"/>
  <c r="B7614" i="5" s="1"/>
  <c r="B7615" i="5" s="1"/>
  <c r="B7616" i="5" s="1"/>
  <c r="B7617" i="5" s="1"/>
  <c r="B7618" i="5" s="1"/>
  <c r="B7619" i="5" s="1"/>
  <c r="B7620" i="5" s="1"/>
  <c r="B7621" i="5" s="1"/>
  <c r="B7622" i="5" s="1"/>
  <c r="B7623" i="5" s="1"/>
  <c r="B7624" i="5" s="1"/>
  <c r="B7625" i="5" s="1"/>
  <c r="B7626" i="5" s="1"/>
  <c r="B7627" i="5" s="1"/>
  <c r="B7628" i="5" s="1"/>
  <c r="B7629" i="5" s="1"/>
  <c r="B7630" i="5" s="1"/>
  <c r="B7631" i="5" s="1"/>
  <c r="B7632" i="5" s="1"/>
  <c r="B7633" i="5" s="1"/>
  <c r="B7634" i="5" s="1"/>
  <c r="B7635" i="5" s="1"/>
  <c r="B7636" i="5" s="1"/>
  <c r="B7637" i="5" s="1"/>
  <c r="B7638" i="5" s="1"/>
  <c r="B7639" i="5" s="1"/>
  <c r="B7640" i="5" s="1"/>
  <c r="B7641" i="5" s="1"/>
  <c r="B7642" i="5" s="1"/>
  <c r="B7643" i="5" s="1"/>
  <c r="B7644" i="5" s="1"/>
  <c r="B7645" i="5" s="1"/>
  <c r="B7646" i="5" s="1"/>
  <c r="B7647" i="5" s="1"/>
  <c r="B7648" i="5" s="1"/>
  <c r="B7649" i="5" s="1"/>
  <c r="B7650" i="5" s="1"/>
  <c r="B7651" i="5" s="1"/>
  <c r="B7652" i="5" s="1"/>
  <c r="B7653" i="5" s="1"/>
  <c r="B7654" i="5" s="1"/>
  <c r="B7655" i="5" s="1"/>
  <c r="B7656" i="5" s="1"/>
  <c r="B7657" i="5" s="1"/>
  <c r="B7658" i="5" s="1"/>
  <c r="B7659" i="5" s="1"/>
  <c r="B7660" i="5" s="1"/>
  <c r="B7661" i="5" s="1"/>
  <c r="B7662" i="5" s="1"/>
  <c r="B7663" i="5" s="1"/>
  <c r="B7664" i="5" s="1"/>
  <c r="B7665" i="5" s="1"/>
  <c r="B7666" i="5" s="1"/>
  <c r="B7667" i="5" s="1"/>
  <c r="B7668" i="5" s="1"/>
  <c r="B7669" i="5" s="1"/>
  <c r="B7670" i="5" s="1"/>
  <c r="B7671" i="5" s="1"/>
  <c r="B7672" i="5" s="1"/>
  <c r="A144" i="6"/>
  <c r="A112" i="6"/>
  <c r="A80" i="6"/>
  <c r="A46" i="6"/>
  <c r="B7673" i="5" l="1"/>
  <c r="B7674" i="5" s="1"/>
  <c r="B7675" i="5" s="1"/>
  <c r="B7676" i="5" s="1"/>
  <c r="B7677" i="5" s="1"/>
  <c r="B7678" i="5" s="1"/>
  <c r="B7679" i="5" s="1"/>
  <c r="B7680" i="5" s="1"/>
  <c r="B7681" i="5" s="1"/>
  <c r="B7682" i="5" s="1"/>
  <c r="B7683" i="5" s="1"/>
  <c r="B7684" i="5" s="1"/>
  <c r="B7685" i="5" s="1"/>
  <c r="B7686" i="5" s="1"/>
  <c r="B7687" i="5" s="1"/>
  <c r="B7688" i="5" s="1"/>
  <c r="B7689" i="5" s="1"/>
  <c r="B7690" i="5" s="1"/>
  <c r="B7691" i="5" s="1"/>
  <c r="B7692" i="5" s="1"/>
  <c r="B7693" i="5" s="1"/>
  <c r="B7694" i="5" s="1"/>
  <c r="B7695" i="5" s="1"/>
  <c r="B7696" i="5" s="1"/>
  <c r="B7697" i="5" s="1"/>
  <c r="B7698" i="5" s="1"/>
  <c r="B7699" i="5" s="1"/>
  <c r="B7700" i="5" s="1"/>
  <c r="B7701" i="5" s="1"/>
  <c r="B7702" i="5" s="1"/>
  <c r="B7703" i="5" s="1"/>
  <c r="B7704" i="5" s="1"/>
  <c r="B7705" i="5" s="1"/>
  <c r="B7706" i="5" s="1"/>
  <c r="B7707" i="5" s="1"/>
  <c r="B7708" i="5" s="1"/>
  <c r="B7709" i="5" s="1"/>
  <c r="A145" i="6"/>
  <c r="A113" i="6"/>
  <c r="A81" i="6"/>
  <c r="A47" i="6"/>
  <c r="B7710" i="5" l="1"/>
  <c r="B7711" i="5" s="1"/>
  <c r="B7712" i="5" s="1"/>
  <c r="B7713" i="5" s="1"/>
  <c r="B7714" i="5" s="1"/>
  <c r="B7715" i="5" s="1"/>
  <c r="B7716" i="5" s="1"/>
  <c r="B7717" i="5" s="1"/>
  <c r="B7718" i="5" s="1"/>
  <c r="B7719" i="5" s="1"/>
  <c r="B7720" i="5" s="1"/>
  <c r="B7721" i="5" s="1"/>
  <c r="B7722" i="5" s="1"/>
  <c r="B7723" i="5" s="1"/>
  <c r="B7724" i="5" s="1"/>
  <c r="B7725" i="5" s="1"/>
  <c r="B7726" i="5" s="1"/>
  <c r="B7727" i="5" s="1"/>
  <c r="B7728" i="5" s="1"/>
  <c r="B7729" i="5" s="1"/>
  <c r="B7730" i="5" s="1"/>
  <c r="B7731" i="5" s="1"/>
  <c r="B7732" i="5" s="1"/>
  <c r="B7733" i="5" s="1"/>
  <c r="B7734" i="5" s="1"/>
  <c r="B7735" i="5" s="1"/>
  <c r="B7736" i="5" s="1"/>
  <c r="B7737" i="5" s="1"/>
  <c r="B7738" i="5" s="1"/>
  <c r="B7739" i="5" s="1"/>
  <c r="B7740" i="5" s="1"/>
  <c r="B7741" i="5" s="1"/>
  <c r="B7742" i="5" s="1"/>
  <c r="B7743" i="5" s="1"/>
  <c r="B7744" i="5" s="1"/>
  <c r="B7745" i="5" s="1"/>
  <c r="B7746" i="5" s="1"/>
  <c r="B7747" i="5" s="1"/>
  <c r="B7748" i="5" s="1"/>
  <c r="B7749" i="5" s="1"/>
  <c r="B7750" i="5" s="1"/>
  <c r="B7751" i="5" s="1"/>
  <c r="B7752" i="5" s="1"/>
  <c r="B7753" i="5" s="1"/>
  <c r="B7754" i="5" s="1"/>
  <c r="B7755" i="5" s="1"/>
  <c r="B7756" i="5" s="1"/>
  <c r="B7757" i="5" s="1"/>
  <c r="B7758" i="5" s="1"/>
  <c r="B7759" i="5" s="1"/>
  <c r="B7760" i="5" s="1"/>
  <c r="B7761" i="5" s="1"/>
  <c r="B7762" i="5" s="1"/>
  <c r="B7763" i="5" s="1"/>
  <c r="B7764" i="5" s="1"/>
  <c r="B7765" i="5" s="1"/>
  <c r="B7766" i="5" s="1"/>
  <c r="B7767" i="5" s="1"/>
  <c r="B7768" i="5" s="1"/>
  <c r="B7769" i="5" s="1"/>
  <c r="B7770" i="5" s="1"/>
  <c r="A146" i="6"/>
  <c r="A114" i="6"/>
  <c r="A82" i="6"/>
  <c r="A48" i="6"/>
  <c r="B7771" i="5" l="1"/>
  <c r="B7772" i="5" s="1"/>
  <c r="B7773" i="5" s="1"/>
  <c r="B7774" i="5" s="1"/>
  <c r="B7775" i="5" s="1"/>
  <c r="B7776" i="5" s="1"/>
  <c r="B7777" i="5" s="1"/>
  <c r="B7778" i="5" s="1"/>
  <c r="B7779" i="5" s="1"/>
  <c r="B7780" i="5" s="1"/>
  <c r="B7781" i="5" s="1"/>
  <c r="B7782" i="5" s="1"/>
  <c r="B7783" i="5" s="1"/>
  <c r="B7784" i="5" s="1"/>
  <c r="B7785" i="5" s="1"/>
  <c r="B7786" i="5" s="1"/>
  <c r="B7787" i="5" s="1"/>
  <c r="B7788" i="5" s="1"/>
  <c r="B7789" i="5" s="1"/>
  <c r="B7790" i="5" s="1"/>
  <c r="B7791" i="5" s="1"/>
  <c r="B7792" i="5" s="1"/>
  <c r="B7793" i="5" s="1"/>
  <c r="B7794" i="5" s="1"/>
  <c r="B7795" i="5" s="1"/>
  <c r="B7796" i="5" s="1"/>
  <c r="B7797" i="5" s="1"/>
  <c r="B7798" i="5" s="1"/>
  <c r="B7799" i="5" s="1"/>
  <c r="B7800" i="5" s="1"/>
  <c r="B7801" i="5" s="1"/>
  <c r="B7802" i="5" s="1"/>
  <c r="B7803" i="5" s="1"/>
  <c r="B7804" i="5" s="1"/>
  <c r="B7805" i="5" s="1"/>
  <c r="B7806" i="5" s="1"/>
  <c r="B7807" i="5" s="1"/>
  <c r="B7808" i="5" s="1"/>
  <c r="B7809" i="5" s="1"/>
  <c r="B7810" i="5" s="1"/>
  <c r="B7811" i="5" s="1"/>
  <c r="B7812" i="5" s="1"/>
  <c r="B7813" i="5" s="1"/>
  <c r="B7814" i="5" s="1"/>
  <c r="B7815" i="5" s="1"/>
  <c r="B7816" i="5" s="1"/>
  <c r="B7817" i="5" s="1"/>
  <c r="B7818" i="5" s="1"/>
  <c r="B7819" i="5" s="1"/>
  <c r="B7820" i="5" s="1"/>
  <c r="B7821" i="5" s="1"/>
  <c r="B7822" i="5" s="1"/>
  <c r="B7823" i="5" s="1"/>
  <c r="B7825" i="5" s="1"/>
  <c r="B7826" i="5" s="1"/>
  <c r="B7827" i="5" s="1"/>
  <c r="B7828" i="5" s="1"/>
  <c r="B7829" i="5" s="1"/>
  <c r="B7830" i="5" s="1"/>
  <c r="B7831" i="5" s="1"/>
  <c r="B7832" i="5" s="1"/>
  <c r="A147" i="6"/>
  <c r="A115" i="6"/>
  <c r="A83" i="6"/>
  <c r="A49" i="6"/>
  <c r="B7833" i="5" l="1"/>
  <c r="B7834" i="5" s="1"/>
  <c r="B7835" i="5" s="1"/>
  <c r="B7836" i="5" s="1"/>
  <c r="B7837" i="5" s="1"/>
  <c r="B7838" i="5" s="1"/>
  <c r="B7839" i="5" s="1"/>
  <c r="B7840" i="5" s="1"/>
  <c r="B7841" i="5" s="1"/>
  <c r="B7842" i="5" s="1"/>
  <c r="B7843" i="5" s="1"/>
  <c r="B7844" i="5" s="1"/>
  <c r="B7845" i="5" s="1"/>
  <c r="B7846" i="5" s="1"/>
  <c r="B7847" i="5" s="1"/>
  <c r="B7848" i="5" s="1"/>
  <c r="B7849" i="5" s="1"/>
  <c r="B7850" i="5" s="1"/>
  <c r="B7851" i="5" s="1"/>
  <c r="B7852" i="5" s="1"/>
  <c r="B7853" i="5" s="1"/>
  <c r="B7854" i="5" s="1"/>
  <c r="B7855" i="5" s="1"/>
  <c r="B7856" i="5" s="1"/>
  <c r="B7857" i="5" s="1"/>
  <c r="B7858" i="5" s="1"/>
  <c r="B7859" i="5" s="1"/>
  <c r="B7860" i="5" s="1"/>
  <c r="B7861" i="5" s="1"/>
  <c r="B7862" i="5" s="1"/>
  <c r="B7863" i="5" s="1"/>
  <c r="B7864" i="5" s="1"/>
  <c r="B7865" i="5" s="1"/>
  <c r="B7866" i="5" s="1"/>
  <c r="B7867" i="5" s="1"/>
  <c r="B7868" i="5" s="1"/>
  <c r="B7869" i="5" s="1"/>
  <c r="B7870" i="5" s="1"/>
  <c r="B7871" i="5" s="1"/>
  <c r="B7872" i="5" s="1"/>
  <c r="B7873" i="5" s="1"/>
  <c r="B7874" i="5" s="1"/>
  <c r="B7875" i="5" s="1"/>
  <c r="B7876" i="5" s="1"/>
  <c r="B7877" i="5" s="1"/>
  <c r="B7878" i="5" s="1"/>
  <c r="B7879" i="5" s="1"/>
  <c r="B7880" i="5" s="1"/>
  <c r="B7881" i="5" s="1"/>
  <c r="A148" i="6"/>
  <c r="A116" i="6"/>
  <c r="A84" i="6"/>
  <c r="A50" i="6"/>
  <c r="B7882" i="5" l="1"/>
  <c r="B7883" i="5" s="1"/>
  <c r="B7884" i="5" s="1"/>
  <c r="B7885" i="5" s="1"/>
  <c r="B7886" i="5" s="1"/>
  <c r="B7887" i="5" s="1"/>
  <c r="B7888" i="5" s="1"/>
  <c r="B7889" i="5" s="1"/>
  <c r="B7890" i="5" s="1"/>
  <c r="B7891" i="5" s="1"/>
  <c r="B7892" i="5" s="1"/>
  <c r="B7893" i="5" s="1"/>
  <c r="B7894" i="5" s="1"/>
  <c r="B7895" i="5" s="1"/>
  <c r="B7896" i="5" s="1"/>
  <c r="B7897" i="5" s="1"/>
  <c r="B7898" i="5" s="1"/>
  <c r="B7899" i="5" s="1"/>
  <c r="B7900" i="5" s="1"/>
  <c r="B7901" i="5" s="1"/>
  <c r="B7902" i="5" s="1"/>
  <c r="B7903" i="5" s="1"/>
  <c r="B7904" i="5" s="1"/>
  <c r="B7905" i="5" s="1"/>
  <c r="B7906" i="5" s="1"/>
  <c r="B7907" i="5" s="1"/>
  <c r="B7908" i="5" s="1"/>
  <c r="B7909" i="5" s="1"/>
  <c r="B7910" i="5" s="1"/>
  <c r="B7911" i="5" s="1"/>
  <c r="B7912" i="5" s="1"/>
  <c r="B7913" i="5" s="1"/>
  <c r="B7914" i="5" s="1"/>
  <c r="B7915" i="5" s="1"/>
  <c r="B7916" i="5" s="1"/>
  <c r="B7917" i="5" s="1"/>
  <c r="B7918" i="5" s="1"/>
  <c r="B7919" i="5" s="1"/>
  <c r="B7920" i="5" s="1"/>
  <c r="B7921" i="5" s="1"/>
  <c r="B7922" i="5" s="1"/>
  <c r="B7923" i="5" s="1"/>
  <c r="B7924" i="5" s="1"/>
  <c r="B7925" i="5" s="1"/>
  <c r="B7926" i="5" s="1"/>
  <c r="B7927" i="5" s="1"/>
  <c r="B7928" i="5" s="1"/>
  <c r="B7929" i="5" s="1"/>
  <c r="B7930" i="5" s="1"/>
  <c r="B7931" i="5" s="1"/>
  <c r="B7932" i="5" s="1"/>
  <c r="A149" i="6"/>
  <c r="A117" i="6"/>
  <c r="A85" i="6"/>
  <c r="A51" i="6"/>
  <c r="B7933" i="5" l="1"/>
  <c r="B7934" i="5" s="1"/>
  <c r="B7935" i="5" s="1"/>
  <c r="B7936" i="5" s="1"/>
  <c r="B7937" i="5" s="1"/>
  <c r="B7938" i="5" s="1"/>
  <c r="B7939" i="5" s="1"/>
  <c r="B7940" i="5" s="1"/>
  <c r="B7941" i="5" s="1"/>
  <c r="B7942" i="5" s="1"/>
  <c r="B7943" i="5" s="1"/>
  <c r="B7944" i="5" s="1"/>
  <c r="B7945" i="5" s="1"/>
  <c r="B7946" i="5" s="1"/>
  <c r="B7947" i="5" s="1"/>
  <c r="B7948" i="5" s="1"/>
  <c r="B7949" i="5" s="1"/>
  <c r="B7950" i="5" s="1"/>
  <c r="B7951" i="5" s="1"/>
  <c r="B7952" i="5" s="1"/>
  <c r="B7953" i="5" s="1"/>
  <c r="B7954" i="5" s="1"/>
  <c r="B7955" i="5" s="1"/>
  <c r="B7956" i="5" s="1"/>
  <c r="B7957" i="5" s="1"/>
  <c r="B7958" i="5" s="1"/>
  <c r="B7959" i="5" s="1"/>
  <c r="B7960" i="5" s="1"/>
  <c r="B7961" i="5" s="1"/>
  <c r="B7962" i="5" s="1"/>
  <c r="B7963" i="5" s="1"/>
  <c r="B7964" i="5" s="1"/>
  <c r="B7965" i="5" s="1"/>
  <c r="B7966" i="5" s="1"/>
  <c r="B7967" i="5" s="1"/>
  <c r="B7968" i="5" s="1"/>
  <c r="B7969" i="5" s="1"/>
  <c r="B7970" i="5" s="1"/>
  <c r="B7971" i="5" s="1"/>
  <c r="B7972" i="5" s="1"/>
  <c r="B7973" i="5" s="1"/>
  <c r="B7974" i="5" s="1"/>
  <c r="B7975" i="5" s="1"/>
  <c r="B7976" i="5" s="1"/>
  <c r="B7977" i="5" s="1"/>
  <c r="B7978" i="5" s="1"/>
  <c r="B7979" i="5" s="1"/>
  <c r="B7980" i="5" s="1"/>
  <c r="B7981" i="5" s="1"/>
  <c r="B7982" i="5" s="1"/>
  <c r="B7983" i="5" s="1"/>
  <c r="B7984" i="5" s="1"/>
  <c r="B7985" i="5" s="1"/>
  <c r="B7986" i="5" s="1"/>
  <c r="B7987" i="5" s="1"/>
  <c r="B7988" i="5" s="1"/>
  <c r="B7989" i="5" s="1"/>
  <c r="B7990" i="5" s="1"/>
  <c r="B7991" i="5" s="1"/>
  <c r="B7992" i="5" s="1"/>
  <c r="B7993" i="5" s="1"/>
  <c r="B7994" i="5" s="1"/>
  <c r="B7995" i="5" s="1"/>
  <c r="B7996" i="5" s="1"/>
  <c r="B7997" i="5" s="1"/>
  <c r="B7998" i="5" s="1"/>
  <c r="B7999" i="5" s="1"/>
  <c r="B8000" i="5" s="1"/>
  <c r="B8001" i="5" s="1"/>
  <c r="B8002" i="5" s="1"/>
  <c r="B8003" i="5" s="1"/>
  <c r="B8004" i="5" s="1"/>
  <c r="B8005" i="5" s="1"/>
  <c r="B8006" i="5" s="1"/>
  <c r="B8007" i="5" s="1"/>
  <c r="B8008" i="5" s="1"/>
  <c r="B8009" i="5" s="1"/>
  <c r="B8010" i="5" s="1"/>
  <c r="B8011" i="5" s="1"/>
  <c r="B8012" i="5" s="1"/>
  <c r="A150" i="6"/>
  <c r="A118" i="6"/>
  <c r="A86" i="6"/>
  <c r="A52" i="6"/>
  <c r="B8013" i="5" l="1"/>
  <c r="B8014" i="5" s="1"/>
  <c r="B8015" i="5" s="1"/>
  <c r="B8016" i="5" s="1"/>
  <c r="B8017" i="5" s="1"/>
  <c r="B8018" i="5" s="1"/>
  <c r="B8019" i="5" s="1"/>
  <c r="B8020" i="5" s="1"/>
  <c r="B8021" i="5" s="1"/>
  <c r="B8022" i="5" s="1"/>
  <c r="B8023" i="5" s="1"/>
  <c r="B8024" i="5" s="1"/>
  <c r="B8025" i="5" s="1"/>
  <c r="B8026" i="5" s="1"/>
  <c r="B8027" i="5" s="1"/>
  <c r="B8028" i="5" s="1"/>
  <c r="B8029" i="5" s="1"/>
  <c r="B8030" i="5" s="1"/>
  <c r="B8031" i="5" s="1"/>
  <c r="B8032" i="5" s="1"/>
  <c r="B8033" i="5" s="1"/>
  <c r="B8034" i="5" s="1"/>
  <c r="B8035" i="5" s="1"/>
  <c r="B8036" i="5" s="1"/>
  <c r="A151" i="6"/>
  <c r="A119" i="6"/>
  <c r="A87" i="6"/>
  <c r="A53" i="6"/>
  <c r="B8037" i="5" l="1"/>
  <c r="B8038" i="5" s="1"/>
  <c r="B8039" i="5" s="1"/>
  <c r="B8040" i="5" s="1"/>
  <c r="B8041" i="5" s="1"/>
  <c r="B8042" i="5" s="1"/>
  <c r="B8043" i="5" s="1"/>
  <c r="B8044" i="5" s="1"/>
  <c r="B8045" i="5" s="1"/>
  <c r="B8046" i="5" s="1"/>
  <c r="B8047" i="5" s="1"/>
  <c r="B8048" i="5" s="1"/>
  <c r="B8049" i="5" s="1"/>
  <c r="B8050" i="5" s="1"/>
  <c r="B8051" i="5" s="1"/>
  <c r="B8052" i="5" s="1"/>
  <c r="B8053" i="5" s="1"/>
  <c r="B8054" i="5" s="1"/>
  <c r="B8055" i="5" s="1"/>
  <c r="B8056" i="5" s="1"/>
  <c r="B8057" i="5" s="1"/>
  <c r="B8058" i="5" s="1"/>
  <c r="B8059" i="5" s="1"/>
  <c r="B8060" i="5" s="1"/>
  <c r="B8061" i="5" s="1"/>
  <c r="B8062" i="5" s="1"/>
  <c r="B8063" i="5" s="1"/>
  <c r="B8064" i="5" s="1"/>
  <c r="B8065" i="5" s="1"/>
  <c r="B8066" i="5" s="1"/>
  <c r="B8067" i="5" s="1"/>
  <c r="B8068" i="5" s="1"/>
  <c r="B8069" i="5" s="1"/>
  <c r="B8070" i="5" s="1"/>
  <c r="B8071" i="5" s="1"/>
  <c r="B8072" i="5" s="1"/>
  <c r="B8073" i="5" s="1"/>
  <c r="B8074" i="5" s="1"/>
  <c r="B8079" i="5" s="1"/>
  <c r="B8083" i="5" s="1"/>
  <c r="B8087" i="5" s="1"/>
  <c r="B8088" i="5" s="1"/>
  <c r="B8089" i="5" s="1"/>
  <c r="B8090" i="5" s="1"/>
  <c r="B8091" i="5" s="1"/>
  <c r="B8092" i="5" s="1"/>
  <c r="B8093" i="5" s="1"/>
  <c r="B8094" i="5" s="1"/>
  <c r="B8095" i="5" s="1"/>
  <c r="B8096" i="5" s="1"/>
  <c r="B8097" i="5" s="1"/>
  <c r="B8098" i="5" s="1"/>
  <c r="B8099" i="5" s="1"/>
  <c r="B8100" i="5" s="1"/>
  <c r="B8101" i="5" s="1"/>
  <c r="B8102" i="5" s="1"/>
  <c r="B8103" i="5" s="1"/>
  <c r="B8104" i="5" s="1"/>
  <c r="B8105" i="5" s="1"/>
  <c r="B8106" i="5" s="1"/>
  <c r="B8107" i="5" s="1"/>
  <c r="B8108" i="5" s="1"/>
  <c r="B8109" i="5" s="1"/>
  <c r="B8110" i="5" s="1"/>
  <c r="B8111" i="5" s="1"/>
  <c r="B8112" i="5" s="1"/>
  <c r="B8113" i="5" s="1"/>
  <c r="B8114" i="5" s="1"/>
  <c r="B8115" i="5" s="1"/>
  <c r="B8116" i="5" s="1"/>
  <c r="B8117" i="5" s="1"/>
  <c r="B8118" i="5" s="1"/>
  <c r="B8119" i="5" s="1"/>
  <c r="B8120" i="5" s="1"/>
  <c r="A152" i="6"/>
  <c r="A120" i="6"/>
  <c r="A88" i="6"/>
  <c r="A54" i="6"/>
  <c r="A153" i="6" l="1"/>
  <c r="A121" i="6"/>
  <c r="A89" i="6"/>
  <c r="A55" i="6"/>
  <c r="A154" i="6" l="1"/>
  <c r="A122" i="6"/>
  <c r="A90" i="6"/>
  <c r="A56" i="6"/>
  <c r="A155" i="6" l="1"/>
  <c r="A123" i="6"/>
  <c r="A91" i="6"/>
  <c r="A57" i="6"/>
  <c r="A156" i="6" l="1"/>
  <c r="A124" i="6"/>
  <c r="A92" i="6"/>
  <c r="A58" i="6"/>
  <c r="A157" i="6" l="1"/>
  <c r="A125" i="6"/>
  <c r="A93" i="6"/>
  <c r="A59" i="6"/>
  <c r="A158" i="6" l="1"/>
  <c r="A126" i="6"/>
  <c r="A94" i="6"/>
  <c r="A60" i="6"/>
  <c r="A159" i="6" l="1"/>
  <c r="A127" i="6"/>
  <c r="A95" i="6"/>
  <c r="A61" i="6"/>
  <c r="A160" i="6" l="1"/>
  <c r="A128" i="6"/>
  <c r="A96" i="6"/>
  <c r="A62" i="6"/>
  <c r="A161" i="6" l="1"/>
  <c r="A129" i="6"/>
  <c r="A97" i="6"/>
  <c r="A63" i="6"/>
  <c r="A162" i="6" l="1"/>
  <c r="A130" i="6"/>
  <c r="A98" i="6"/>
  <c r="A64" i="6"/>
  <c r="A163" i="6" l="1"/>
  <c r="A131" i="6"/>
  <c r="A99" i="6"/>
  <c r="A65" i="6"/>
  <c r="A164" i="6" l="1"/>
  <c r="A132" i="6"/>
  <c r="A66" i="6"/>
  <c r="A165" i="6" l="1"/>
  <c r="H5099" i="5" l="1"/>
  <c r="H5098" i="5"/>
  <c r="H5097" i="5"/>
  <c r="H5096" i="5"/>
  <c r="H5094" i="5"/>
  <c r="H5091" i="5"/>
  <c r="H5089" i="5"/>
  <c r="H5088" i="5"/>
  <c r="H5085" i="5"/>
  <c r="H5082" i="5"/>
  <c r="H5081" i="5"/>
  <c r="H5078" i="5"/>
  <c r="H5077" i="5"/>
  <c r="H5076" i="5"/>
  <c r="H5075" i="5"/>
  <c r="H5073" i="5"/>
  <c r="H5072" i="5"/>
  <c r="H5071" i="5"/>
  <c r="H5070" i="5"/>
  <c r="H5069" i="5"/>
  <c r="H5068" i="5"/>
  <c r="H5067" i="5"/>
  <c r="H5064" i="5"/>
  <c r="H5062" i="5"/>
  <c r="H5061" i="5"/>
  <c r="H3498" i="5"/>
  <c r="H3497" i="5"/>
  <c r="H1907" i="5"/>
  <c r="H1764" i="5"/>
  <c r="F37" i="2" l="1"/>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100" i="2" s="1"/>
  <c r="A37" i="2"/>
  <c r="G2" i="2"/>
  <c r="C2" i="2"/>
  <c r="B5" i="1"/>
  <c r="A3" i="2"/>
  <c r="G3" i="2" l="1"/>
  <c r="D3" i="2"/>
  <c r="E3" i="2"/>
  <c r="G37" i="2"/>
  <c r="D37" i="2"/>
  <c r="E37" i="2"/>
  <c r="F83" i="2"/>
  <c r="B46" i="6"/>
  <c r="F82" i="2"/>
  <c r="B45" i="6"/>
  <c r="F93" i="2"/>
  <c r="B56" i="6"/>
  <c r="F81" i="2"/>
  <c r="B44" i="6"/>
  <c r="F92" i="2"/>
  <c r="B55" i="6"/>
  <c r="F80" i="2"/>
  <c r="B43" i="6"/>
  <c r="B66" i="6"/>
  <c r="F91" i="2"/>
  <c r="B54" i="6"/>
  <c r="F79" i="2"/>
  <c r="B42" i="6"/>
  <c r="B65" i="6"/>
  <c r="F90" i="2"/>
  <c r="B53" i="6"/>
  <c r="F78" i="2"/>
  <c r="B41" i="6"/>
  <c r="F89" i="2"/>
  <c r="B52" i="6"/>
  <c r="F77" i="2"/>
  <c r="B40" i="6"/>
  <c r="B64" i="6"/>
  <c r="B63" i="6"/>
  <c r="F88" i="2"/>
  <c r="B51" i="6"/>
  <c r="F76" i="2"/>
  <c r="B39" i="6"/>
  <c r="F99" i="2"/>
  <c r="B62" i="6"/>
  <c r="F87" i="2"/>
  <c r="B50" i="6"/>
  <c r="F75" i="2"/>
  <c r="B38" i="6"/>
  <c r="F98" i="2"/>
  <c r="B61" i="6"/>
  <c r="F86" i="2"/>
  <c r="B49" i="6"/>
  <c r="F74" i="2"/>
  <c r="B37" i="6"/>
  <c r="F97" i="2"/>
  <c r="B60" i="6"/>
  <c r="F85" i="2"/>
  <c r="B48" i="6"/>
  <c r="F73" i="2"/>
  <c r="B36" i="6"/>
  <c r="F84" i="2"/>
  <c r="B47" i="6"/>
  <c r="F72" i="2"/>
  <c r="B35" i="6"/>
  <c r="F95" i="2"/>
  <c r="B58" i="6"/>
  <c r="F94" i="2"/>
  <c r="B57" i="6"/>
  <c r="F96" i="2"/>
  <c r="B59" i="6"/>
  <c r="A38" i="2"/>
  <c r="B6" i="1"/>
  <c r="B3" i="2"/>
  <c r="A72" i="2"/>
  <c r="A4" i="2"/>
  <c r="C3" i="2"/>
  <c r="B37" i="2"/>
  <c r="C37" i="2"/>
  <c r="Q37" i="2" l="1"/>
  <c r="P37" i="2"/>
  <c r="Q3" i="2"/>
  <c r="P3" i="2"/>
  <c r="D4" i="2"/>
  <c r="E4" i="2"/>
  <c r="D72" i="2"/>
  <c r="E72" i="2"/>
  <c r="A39" i="2"/>
  <c r="B39" i="2" s="1"/>
  <c r="D38" i="2"/>
  <c r="E38" i="2"/>
  <c r="B72" i="2"/>
  <c r="G39" i="2"/>
  <c r="R2" i="2"/>
  <c r="B38" i="2"/>
  <c r="A73" i="2"/>
  <c r="F107" i="2"/>
  <c r="B68" i="6"/>
  <c r="F121" i="2"/>
  <c r="B82" i="6"/>
  <c r="F111" i="2"/>
  <c r="B72" i="6"/>
  <c r="F113" i="2"/>
  <c r="B74" i="6"/>
  <c r="F115" i="2"/>
  <c r="B76" i="6"/>
  <c r="C38" i="2"/>
  <c r="F119" i="2"/>
  <c r="B80" i="6"/>
  <c r="F133" i="2"/>
  <c r="B94" i="6"/>
  <c r="F123" i="2"/>
  <c r="B84" i="6"/>
  <c r="F125" i="2"/>
  <c r="B86" i="6"/>
  <c r="F127" i="2"/>
  <c r="B88" i="6"/>
  <c r="F108" i="2"/>
  <c r="B69" i="6"/>
  <c r="F110" i="2"/>
  <c r="B71" i="6"/>
  <c r="F135" i="2"/>
  <c r="B96" i="6"/>
  <c r="B98" i="6"/>
  <c r="F116" i="2"/>
  <c r="B77" i="6"/>
  <c r="G38" i="2"/>
  <c r="C39" i="2"/>
  <c r="F120" i="2"/>
  <c r="B81" i="6"/>
  <c r="F122" i="2"/>
  <c r="B83" i="6"/>
  <c r="F136" i="2"/>
  <c r="B97" i="6"/>
  <c r="F114" i="2"/>
  <c r="B75" i="6"/>
  <c r="F128" i="2"/>
  <c r="B89" i="6"/>
  <c r="F109" i="2"/>
  <c r="B70" i="6"/>
  <c r="F132" i="2"/>
  <c r="B93" i="6"/>
  <c r="F134" i="2"/>
  <c r="B95" i="6"/>
  <c r="F112" i="2"/>
  <c r="B73" i="6"/>
  <c r="F126" i="2"/>
  <c r="B87" i="6"/>
  <c r="F117" i="2"/>
  <c r="B78" i="6"/>
  <c r="F124" i="2"/>
  <c r="B85" i="6"/>
  <c r="B99" i="6"/>
  <c r="F118" i="2"/>
  <c r="B79" i="6"/>
  <c r="F130" i="2"/>
  <c r="B91" i="6"/>
  <c r="F129" i="2"/>
  <c r="B90" i="6"/>
  <c r="F131" i="2"/>
  <c r="B92" i="6"/>
  <c r="B7" i="1"/>
  <c r="G4" i="2"/>
  <c r="C4" i="2"/>
  <c r="B4" i="2"/>
  <c r="A5" i="2"/>
  <c r="C72" i="2"/>
  <c r="A107" i="2"/>
  <c r="G72" i="2"/>
  <c r="O2" i="2"/>
  <c r="T2" i="2" l="1"/>
  <c r="Q4" i="2"/>
  <c r="P4" i="2"/>
  <c r="Q39" i="2"/>
  <c r="P39" i="2"/>
  <c r="Q38" i="2"/>
  <c r="P38" i="2"/>
  <c r="Q72" i="2"/>
  <c r="P72" i="2"/>
  <c r="D107" i="2"/>
  <c r="E107" i="2"/>
  <c r="D5" i="2"/>
  <c r="E5" i="2"/>
  <c r="D73" i="2"/>
  <c r="E73" i="2"/>
  <c r="A40" i="2"/>
  <c r="D39" i="2"/>
  <c r="E39" i="2"/>
  <c r="C73" i="2"/>
  <c r="G73" i="2"/>
  <c r="A74" i="2"/>
  <c r="B73" i="2"/>
  <c r="F160" i="2"/>
  <c r="B119" i="6"/>
  <c r="F148" i="2"/>
  <c r="B107" i="6"/>
  <c r="F144" i="2"/>
  <c r="B103" i="6"/>
  <c r="F155" i="2"/>
  <c r="B114" i="6"/>
  <c r="F150" i="2"/>
  <c r="B109" i="6"/>
  <c r="B131" i="6"/>
  <c r="F170" i="2"/>
  <c r="B129" i="6"/>
  <c r="F151" i="2"/>
  <c r="B110" i="6"/>
  <c r="F152" i="2"/>
  <c r="B111" i="6"/>
  <c r="F162" i="2"/>
  <c r="B121" i="6"/>
  <c r="F161" i="2"/>
  <c r="B120" i="6"/>
  <c r="F153" i="2"/>
  <c r="B112" i="6"/>
  <c r="F147" i="2"/>
  <c r="B106" i="6"/>
  <c r="F163" i="2"/>
  <c r="B122" i="6"/>
  <c r="F158" i="2"/>
  <c r="B117" i="6"/>
  <c r="F146" i="2"/>
  <c r="B105" i="6"/>
  <c r="F145" i="2"/>
  <c r="B104" i="6"/>
  <c r="F168" i="2"/>
  <c r="B127" i="6"/>
  <c r="F156" i="2"/>
  <c r="B115" i="6"/>
  <c r="F143" i="2"/>
  <c r="B102" i="6"/>
  <c r="F154" i="2"/>
  <c r="B113" i="6"/>
  <c r="F142" i="2"/>
  <c r="B101" i="6"/>
  <c r="B132" i="6"/>
  <c r="F169" i="2"/>
  <c r="B128" i="6"/>
  <c r="F149" i="2"/>
  <c r="B108" i="6"/>
  <c r="F159" i="2"/>
  <c r="B118" i="6"/>
  <c r="F167" i="2"/>
  <c r="B126" i="6"/>
  <c r="F171" i="2"/>
  <c r="F206" i="2" s="1"/>
  <c r="B130" i="6"/>
  <c r="F157" i="2"/>
  <c r="B116" i="6"/>
  <c r="F165" i="2"/>
  <c r="B157" i="6" s="1"/>
  <c r="B124" i="6"/>
  <c r="F164" i="2"/>
  <c r="B156" i="6" s="1"/>
  <c r="B123" i="6"/>
  <c r="F166" i="2"/>
  <c r="B158" i="6" s="1"/>
  <c r="B125" i="6"/>
  <c r="R37" i="2"/>
  <c r="B8" i="1"/>
  <c r="R3" i="2"/>
  <c r="O3" i="2"/>
  <c r="B5" i="2"/>
  <c r="G5" i="2"/>
  <c r="C5" i="2"/>
  <c r="A6" i="2"/>
  <c r="S2" i="2"/>
  <c r="A142" i="2"/>
  <c r="A108" i="2"/>
  <c r="G107" i="2"/>
  <c r="C107" i="2"/>
  <c r="B107" i="2"/>
  <c r="O72" i="2"/>
  <c r="O37" i="2"/>
  <c r="O38" i="2"/>
  <c r="O39" i="2"/>
  <c r="O40" i="2"/>
  <c r="R72" i="2" l="1"/>
  <c r="Q107" i="2"/>
  <c r="P107" i="2"/>
  <c r="Q5" i="2"/>
  <c r="P5" i="2"/>
  <c r="Q73" i="2"/>
  <c r="P73" i="2"/>
  <c r="D108" i="2"/>
  <c r="E108" i="2"/>
  <c r="D142" i="2"/>
  <c r="E142" i="2"/>
  <c r="D6" i="2"/>
  <c r="E6" i="2"/>
  <c r="A75" i="2"/>
  <c r="A76" i="2" s="1"/>
  <c r="D74" i="2"/>
  <c r="E74" i="2"/>
  <c r="G40" i="2"/>
  <c r="D40" i="2"/>
  <c r="E40" i="2"/>
  <c r="A41" i="2"/>
  <c r="B40" i="2"/>
  <c r="C40" i="2"/>
  <c r="C74" i="2"/>
  <c r="S37" i="2"/>
  <c r="R38" i="2"/>
  <c r="G74" i="2"/>
  <c r="B74" i="2"/>
  <c r="F243" i="2"/>
  <c r="B165" i="6"/>
  <c r="F180" i="2"/>
  <c r="F215" i="2" s="1"/>
  <c r="F250" i="2" s="1"/>
  <c r="F285" i="2" s="1"/>
  <c r="F320" i="2" s="1"/>
  <c r="F355" i="2" s="1"/>
  <c r="F390" i="2" s="1"/>
  <c r="F425" i="2" s="1"/>
  <c r="F460" i="2" s="1"/>
  <c r="F495" i="2" s="1"/>
  <c r="F530" i="2" s="1"/>
  <c r="F565" i="2" s="1"/>
  <c r="F600" i="2" s="1"/>
  <c r="F635" i="2" s="1"/>
  <c r="F670" i="2" s="1"/>
  <c r="F705" i="2" s="1"/>
  <c r="F740" i="2" s="1"/>
  <c r="F775" i="2" s="1"/>
  <c r="F810" i="2" s="1"/>
  <c r="F845" i="2" s="1"/>
  <c r="F880" i="2" s="1"/>
  <c r="F915" i="2" s="1"/>
  <c r="F950" i="2" s="1"/>
  <c r="F985" i="2" s="1"/>
  <c r="F1020" i="2" s="1"/>
  <c r="F1055" i="2" s="1"/>
  <c r="F1090" i="2" s="1"/>
  <c r="F1125" i="2" s="1"/>
  <c r="F1160" i="2" s="1"/>
  <c r="F1195" i="2" s="1"/>
  <c r="F1230" i="2" s="1"/>
  <c r="F1265" i="2" s="1"/>
  <c r="F1300" i="2" s="1"/>
  <c r="F1335" i="2" s="1"/>
  <c r="F1370" i="2" s="1"/>
  <c r="F1405" i="2" s="1"/>
  <c r="F1440" i="2" s="1"/>
  <c r="F1475" i="2" s="1"/>
  <c r="F1510" i="2" s="1"/>
  <c r="F1545" i="2" s="1"/>
  <c r="F1580" i="2" s="1"/>
  <c r="F1615" i="2" s="1"/>
  <c r="F1650" i="2" s="1"/>
  <c r="F1685" i="2" s="1"/>
  <c r="F1720" i="2" s="1"/>
  <c r="F1755" i="2" s="1"/>
  <c r="F1790" i="2" s="1"/>
  <c r="F1825" i="2" s="1"/>
  <c r="F1860" i="2" s="1"/>
  <c r="F1895" i="2" s="1"/>
  <c r="F1930" i="2" s="1"/>
  <c r="F1965" i="2" s="1"/>
  <c r="F2000" i="2" s="1"/>
  <c r="F2035" i="2" s="1"/>
  <c r="F2070" i="2" s="1"/>
  <c r="F2105" i="2" s="1"/>
  <c r="B137" i="6"/>
  <c r="F196" i="2"/>
  <c r="F231" i="2" s="1"/>
  <c r="F266" i="2" s="1"/>
  <c r="F301" i="2" s="1"/>
  <c r="F336" i="2" s="1"/>
  <c r="F371" i="2" s="1"/>
  <c r="F406" i="2" s="1"/>
  <c r="F441" i="2" s="1"/>
  <c r="F476" i="2" s="1"/>
  <c r="F511" i="2" s="1"/>
  <c r="F546" i="2" s="1"/>
  <c r="F581" i="2" s="1"/>
  <c r="F616" i="2" s="1"/>
  <c r="F651" i="2" s="1"/>
  <c r="F686" i="2" s="1"/>
  <c r="F721" i="2" s="1"/>
  <c r="F756" i="2" s="1"/>
  <c r="F791" i="2" s="1"/>
  <c r="F826" i="2" s="1"/>
  <c r="F861" i="2" s="1"/>
  <c r="F896" i="2" s="1"/>
  <c r="F931" i="2" s="1"/>
  <c r="F966" i="2" s="1"/>
  <c r="F1001" i="2" s="1"/>
  <c r="F1036" i="2" s="1"/>
  <c r="F1071" i="2" s="1"/>
  <c r="F1106" i="2" s="1"/>
  <c r="F1141" i="2" s="1"/>
  <c r="F1176" i="2" s="1"/>
  <c r="F1211" i="2" s="1"/>
  <c r="F1246" i="2" s="1"/>
  <c r="F1281" i="2" s="1"/>
  <c r="F1316" i="2" s="1"/>
  <c r="F1351" i="2" s="1"/>
  <c r="F1386" i="2" s="1"/>
  <c r="F1421" i="2" s="1"/>
  <c r="F1456" i="2" s="1"/>
  <c r="F1491" i="2" s="1"/>
  <c r="B153" i="6"/>
  <c r="F242" i="2"/>
  <c r="F277" i="2" s="1"/>
  <c r="B164" i="6"/>
  <c r="F185" i="2"/>
  <c r="F220" i="2" s="1"/>
  <c r="F255" i="2" s="1"/>
  <c r="F290" i="2" s="1"/>
  <c r="F325" i="2" s="1"/>
  <c r="F360" i="2" s="1"/>
  <c r="F395" i="2" s="1"/>
  <c r="F430" i="2" s="1"/>
  <c r="F465" i="2" s="1"/>
  <c r="F500" i="2" s="1"/>
  <c r="F535" i="2" s="1"/>
  <c r="F570" i="2" s="1"/>
  <c r="F605" i="2" s="1"/>
  <c r="F640" i="2" s="1"/>
  <c r="F675" i="2" s="1"/>
  <c r="F710" i="2" s="1"/>
  <c r="F745" i="2" s="1"/>
  <c r="F780" i="2" s="1"/>
  <c r="F815" i="2" s="1"/>
  <c r="F850" i="2" s="1"/>
  <c r="F885" i="2" s="1"/>
  <c r="F920" i="2" s="1"/>
  <c r="F955" i="2" s="1"/>
  <c r="F990" i="2" s="1"/>
  <c r="F1025" i="2" s="1"/>
  <c r="F1060" i="2" s="1"/>
  <c r="F1095" i="2" s="1"/>
  <c r="F1130" i="2" s="1"/>
  <c r="F1165" i="2" s="1"/>
  <c r="F1200" i="2" s="1"/>
  <c r="F1235" i="2" s="1"/>
  <c r="F1270" i="2" s="1"/>
  <c r="F1305" i="2" s="1"/>
  <c r="F1340" i="2" s="1"/>
  <c r="F1375" i="2" s="1"/>
  <c r="F1410" i="2" s="1"/>
  <c r="F1445" i="2" s="1"/>
  <c r="F1480" i="2" s="1"/>
  <c r="F1515" i="2" s="1"/>
  <c r="F1550" i="2" s="1"/>
  <c r="F1585" i="2" s="1"/>
  <c r="F1620" i="2" s="1"/>
  <c r="F1655" i="2" s="1"/>
  <c r="F1690" i="2" s="1"/>
  <c r="F1725" i="2" s="1"/>
  <c r="F1760" i="2" s="1"/>
  <c r="F1795" i="2" s="1"/>
  <c r="F1830" i="2" s="1"/>
  <c r="F1865" i="2" s="1"/>
  <c r="F1900" i="2" s="1"/>
  <c r="F1935" i="2" s="1"/>
  <c r="F1970" i="2" s="1"/>
  <c r="F2005" i="2" s="1"/>
  <c r="F2040" i="2" s="1"/>
  <c r="F2075" i="2" s="1"/>
  <c r="F2110" i="2" s="1"/>
  <c r="B142" i="6"/>
  <c r="F202" i="2"/>
  <c r="F237" i="2" s="1"/>
  <c r="F272" i="2" s="1"/>
  <c r="F307" i="2" s="1"/>
  <c r="F342" i="2" s="1"/>
  <c r="F377" i="2" s="1"/>
  <c r="F412" i="2" s="1"/>
  <c r="F447" i="2" s="1"/>
  <c r="F482" i="2" s="1"/>
  <c r="F517" i="2" s="1"/>
  <c r="F552" i="2" s="1"/>
  <c r="F587" i="2" s="1"/>
  <c r="F622" i="2" s="1"/>
  <c r="F657" i="2" s="1"/>
  <c r="F692" i="2" s="1"/>
  <c r="F727" i="2" s="1"/>
  <c r="F762" i="2" s="1"/>
  <c r="F797" i="2" s="1"/>
  <c r="F832" i="2" s="1"/>
  <c r="F867" i="2" s="1"/>
  <c r="F902" i="2" s="1"/>
  <c r="F937" i="2" s="1"/>
  <c r="F972" i="2" s="1"/>
  <c r="B159" i="6"/>
  <c r="F194" i="2"/>
  <c r="F229" i="2" s="1"/>
  <c r="F264" i="2" s="1"/>
  <c r="F299" i="2" s="1"/>
  <c r="F334" i="2" s="1"/>
  <c r="F369" i="2" s="1"/>
  <c r="F404" i="2" s="1"/>
  <c r="F439" i="2" s="1"/>
  <c r="F474" i="2" s="1"/>
  <c r="F509" i="2" s="1"/>
  <c r="F544" i="2" s="1"/>
  <c r="F579" i="2" s="1"/>
  <c r="F614" i="2" s="1"/>
  <c r="F649" i="2" s="1"/>
  <c r="F684" i="2" s="1"/>
  <c r="F719" i="2" s="1"/>
  <c r="F754" i="2" s="1"/>
  <c r="F789" i="2" s="1"/>
  <c r="F824" i="2" s="1"/>
  <c r="F859" i="2" s="1"/>
  <c r="F894" i="2" s="1"/>
  <c r="F929" i="2" s="1"/>
  <c r="F964" i="2" s="1"/>
  <c r="F999" i="2" s="1"/>
  <c r="F1034" i="2" s="1"/>
  <c r="F1069" i="2" s="1"/>
  <c r="F1104" i="2" s="1"/>
  <c r="F1139" i="2" s="1"/>
  <c r="F1174" i="2" s="1"/>
  <c r="F1209" i="2" s="1"/>
  <c r="F1244" i="2" s="1"/>
  <c r="F1279" i="2" s="1"/>
  <c r="F1314" i="2" s="1"/>
  <c r="F1349" i="2" s="1"/>
  <c r="F1384" i="2" s="1"/>
  <c r="F1419" i="2" s="1"/>
  <c r="F1454" i="2" s="1"/>
  <c r="F1489" i="2" s="1"/>
  <c r="B151" i="6"/>
  <c r="F177" i="2"/>
  <c r="B134" i="6"/>
  <c r="F181" i="2"/>
  <c r="F216" i="2" s="1"/>
  <c r="F251" i="2" s="1"/>
  <c r="F286" i="2" s="1"/>
  <c r="F321" i="2" s="1"/>
  <c r="F356" i="2" s="1"/>
  <c r="F391" i="2" s="1"/>
  <c r="F426" i="2" s="1"/>
  <c r="F461" i="2" s="1"/>
  <c r="F496" i="2" s="1"/>
  <c r="F531" i="2" s="1"/>
  <c r="F566" i="2" s="1"/>
  <c r="F601" i="2" s="1"/>
  <c r="F636" i="2" s="1"/>
  <c r="F671" i="2" s="1"/>
  <c r="F706" i="2" s="1"/>
  <c r="F741" i="2" s="1"/>
  <c r="F776" i="2" s="1"/>
  <c r="F811" i="2" s="1"/>
  <c r="F846" i="2" s="1"/>
  <c r="F881" i="2" s="1"/>
  <c r="F916" i="2" s="1"/>
  <c r="F951" i="2" s="1"/>
  <c r="F986" i="2" s="1"/>
  <c r="F1021" i="2" s="1"/>
  <c r="F1056" i="2" s="1"/>
  <c r="F1091" i="2" s="1"/>
  <c r="F1126" i="2" s="1"/>
  <c r="F1161" i="2" s="1"/>
  <c r="F1196" i="2" s="1"/>
  <c r="F1231" i="2" s="1"/>
  <c r="F1266" i="2" s="1"/>
  <c r="F1301" i="2" s="1"/>
  <c r="F1336" i="2" s="1"/>
  <c r="F1371" i="2" s="1"/>
  <c r="F1406" i="2" s="1"/>
  <c r="F1441" i="2" s="1"/>
  <c r="F1476" i="2" s="1"/>
  <c r="F1511" i="2" s="1"/>
  <c r="F1546" i="2" s="1"/>
  <c r="F1581" i="2" s="1"/>
  <c r="F1616" i="2" s="1"/>
  <c r="F1651" i="2" s="1"/>
  <c r="F1686" i="2" s="1"/>
  <c r="F1721" i="2" s="1"/>
  <c r="F1756" i="2" s="1"/>
  <c r="F1791" i="2" s="1"/>
  <c r="F1826" i="2" s="1"/>
  <c r="F1861" i="2" s="1"/>
  <c r="F1896" i="2" s="1"/>
  <c r="F1931" i="2" s="1"/>
  <c r="F1966" i="2" s="1"/>
  <c r="F2001" i="2" s="1"/>
  <c r="F2036" i="2" s="1"/>
  <c r="F2071" i="2" s="1"/>
  <c r="F2106" i="2" s="1"/>
  <c r="B138" i="6"/>
  <c r="F189" i="2"/>
  <c r="F224" i="2" s="1"/>
  <c r="F259" i="2" s="1"/>
  <c r="F294" i="2" s="1"/>
  <c r="F329" i="2" s="1"/>
  <c r="F364" i="2" s="1"/>
  <c r="F399" i="2" s="1"/>
  <c r="F434" i="2" s="1"/>
  <c r="F469" i="2" s="1"/>
  <c r="F504" i="2" s="1"/>
  <c r="F539" i="2" s="1"/>
  <c r="F574" i="2" s="1"/>
  <c r="F609" i="2" s="1"/>
  <c r="F644" i="2" s="1"/>
  <c r="F679" i="2" s="1"/>
  <c r="F714" i="2" s="1"/>
  <c r="F749" i="2" s="1"/>
  <c r="F784" i="2" s="1"/>
  <c r="F819" i="2" s="1"/>
  <c r="F854" i="2" s="1"/>
  <c r="F889" i="2" s="1"/>
  <c r="F924" i="2" s="1"/>
  <c r="F959" i="2" s="1"/>
  <c r="F994" i="2" s="1"/>
  <c r="F1029" i="2" s="1"/>
  <c r="F1064" i="2" s="1"/>
  <c r="F1099" i="2" s="1"/>
  <c r="F1134" i="2" s="1"/>
  <c r="F1169" i="2" s="1"/>
  <c r="F1204" i="2" s="1"/>
  <c r="F1239" i="2" s="1"/>
  <c r="F1274" i="2" s="1"/>
  <c r="F1309" i="2" s="1"/>
  <c r="F1344" i="2" s="1"/>
  <c r="F1379" i="2" s="1"/>
  <c r="F1414" i="2" s="1"/>
  <c r="F1449" i="2" s="1"/>
  <c r="F1484" i="2" s="1"/>
  <c r="F1519" i="2" s="1"/>
  <c r="F1554" i="2" s="1"/>
  <c r="F1589" i="2" s="1"/>
  <c r="F1624" i="2" s="1"/>
  <c r="F1659" i="2" s="1"/>
  <c r="F1694" i="2" s="1"/>
  <c r="F1729" i="2" s="1"/>
  <c r="F1764" i="2" s="1"/>
  <c r="F1799" i="2" s="1"/>
  <c r="F1834" i="2" s="1"/>
  <c r="F1869" i="2" s="1"/>
  <c r="F1904" i="2" s="1"/>
  <c r="F1939" i="2" s="1"/>
  <c r="F1974" i="2" s="1"/>
  <c r="F2009" i="2" s="1"/>
  <c r="F2044" i="2" s="1"/>
  <c r="F2079" i="2" s="1"/>
  <c r="F2114" i="2" s="1"/>
  <c r="B146" i="6"/>
  <c r="F197" i="2"/>
  <c r="F232" i="2" s="1"/>
  <c r="F267" i="2" s="1"/>
  <c r="F302" i="2" s="1"/>
  <c r="F337" i="2" s="1"/>
  <c r="F372" i="2" s="1"/>
  <c r="F407" i="2" s="1"/>
  <c r="F442" i="2" s="1"/>
  <c r="F477" i="2" s="1"/>
  <c r="F512" i="2" s="1"/>
  <c r="F547" i="2" s="1"/>
  <c r="F582" i="2" s="1"/>
  <c r="F617" i="2" s="1"/>
  <c r="F652" i="2" s="1"/>
  <c r="F687" i="2" s="1"/>
  <c r="F722" i="2" s="1"/>
  <c r="F757" i="2" s="1"/>
  <c r="F792" i="2" s="1"/>
  <c r="F827" i="2" s="1"/>
  <c r="F862" i="2" s="1"/>
  <c r="F897" i="2" s="1"/>
  <c r="F932" i="2" s="1"/>
  <c r="F967" i="2" s="1"/>
  <c r="F1002" i="2" s="1"/>
  <c r="F1037" i="2" s="1"/>
  <c r="F1072" i="2" s="1"/>
  <c r="F1107" i="2" s="1"/>
  <c r="F1142" i="2" s="1"/>
  <c r="F1177" i="2" s="1"/>
  <c r="F1212" i="2" s="1"/>
  <c r="F1247" i="2" s="1"/>
  <c r="F1282" i="2" s="1"/>
  <c r="F1317" i="2" s="1"/>
  <c r="F1352" i="2" s="1"/>
  <c r="F1387" i="2" s="1"/>
  <c r="F1422" i="2" s="1"/>
  <c r="F1457" i="2" s="1"/>
  <c r="F1492" i="2" s="1"/>
  <c r="B154" i="6"/>
  <c r="F190" i="2"/>
  <c r="F225" i="2" s="1"/>
  <c r="F260" i="2" s="1"/>
  <c r="F295" i="2" s="1"/>
  <c r="F330" i="2" s="1"/>
  <c r="F365" i="2" s="1"/>
  <c r="F400" i="2" s="1"/>
  <c r="F435" i="2" s="1"/>
  <c r="F470" i="2" s="1"/>
  <c r="F505" i="2" s="1"/>
  <c r="F540" i="2" s="1"/>
  <c r="F575" i="2" s="1"/>
  <c r="F610" i="2" s="1"/>
  <c r="F645" i="2" s="1"/>
  <c r="F680" i="2" s="1"/>
  <c r="F715" i="2" s="1"/>
  <c r="F750" i="2" s="1"/>
  <c r="F785" i="2" s="1"/>
  <c r="F820" i="2" s="1"/>
  <c r="F855" i="2" s="1"/>
  <c r="F890" i="2" s="1"/>
  <c r="F925" i="2" s="1"/>
  <c r="F960" i="2" s="1"/>
  <c r="F995" i="2" s="1"/>
  <c r="F1030" i="2" s="1"/>
  <c r="F1065" i="2" s="1"/>
  <c r="F1100" i="2" s="1"/>
  <c r="F1135" i="2" s="1"/>
  <c r="F1170" i="2" s="1"/>
  <c r="F1205" i="2" s="1"/>
  <c r="F1240" i="2" s="1"/>
  <c r="F1275" i="2" s="1"/>
  <c r="F1310" i="2" s="1"/>
  <c r="F1345" i="2" s="1"/>
  <c r="F1380" i="2" s="1"/>
  <c r="F1415" i="2" s="1"/>
  <c r="F1450" i="2" s="1"/>
  <c r="F1485" i="2" s="1"/>
  <c r="F1520" i="2" s="1"/>
  <c r="F1555" i="2" s="1"/>
  <c r="F1590" i="2" s="1"/>
  <c r="F1625" i="2" s="1"/>
  <c r="F1660" i="2" s="1"/>
  <c r="F1695" i="2" s="1"/>
  <c r="F1730" i="2" s="1"/>
  <c r="F1765" i="2" s="1"/>
  <c r="F1800" i="2" s="1"/>
  <c r="F1835" i="2" s="1"/>
  <c r="F1870" i="2" s="1"/>
  <c r="F1905" i="2" s="1"/>
  <c r="F1940" i="2" s="1"/>
  <c r="F1975" i="2" s="1"/>
  <c r="F2010" i="2" s="1"/>
  <c r="F2045" i="2" s="1"/>
  <c r="F2080" i="2" s="1"/>
  <c r="F2115" i="2" s="1"/>
  <c r="B147" i="6"/>
  <c r="F178" i="2"/>
  <c r="F213" i="2" s="1"/>
  <c r="F248" i="2" s="1"/>
  <c r="F283" i="2" s="1"/>
  <c r="F318" i="2" s="1"/>
  <c r="F353" i="2" s="1"/>
  <c r="F388" i="2" s="1"/>
  <c r="B135" i="6"/>
  <c r="F198" i="2"/>
  <c r="F233" i="2" s="1"/>
  <c r="F268" i="2" s="1"/>
  <c r="F303" i="2" s="1"/>
  <c r="F338" i="2" s="1"/>
  <c r="F373" i="2" s="1"/>
  <c r="F408" i="2" s="1"/>
  <c r="F443" i="2" s="1"/>
  <c r="F478" i="2" s="1"/>
  <c r="F513" i="2" s="1"/>
  <c r="F548" i="2" s="1"/>
  <c r="F583" i="2" s="1"/>
  <c r="F618" i="2" s="1"/>
  <c r="F653" i="2" s="1"/>
  <c r="F688" i="2" s="1"/>
  <c r="F723" i="2" s="1"/>
  <c r="F758" i="2" s="1"/>
  <c r="F793" i="2" s="1"/>
  <c r="F828" i="2" s="1"/>
  <c r="F863" i="2" s="1"/>
  <c r="F898" i="2" s="1"/>
  <c r="F933" i="2" s="1"/>
  <c r="F968" i="2" s="1"/>
  <c r="F1003" i="2" s="1"/>
  <c r="F1038" i="2" s="1"/>
  <c r="F1073" i="2" s="1"/>
  <c r="F1108" i="2" s="1"/>
  <c r="F1143" i="2" s="1"/>
  <c r="F1178" i="2" s="1"/>
  <c r="F1213" i="2" s="1"/>
  <c r="F1248" i="2" s="1"/>
  <c r="F1283" i="2" s="1"/>
  <c r="F1318" i="2" s="1"/>
  <c r="F1353" i="2" s="1"/>
  <c r="F1388" i="2" s="1"/>
  <c r="F1423" i="2" s="1"/>
  <c r="F1458" i="2" s="1"/>
  <c r="F1493" i="2" s="1"/>
  <c r="B155" i="6"/>
  <c r="F187" i="2"/>
  <c r="F222" i="2" s="1"/>
  <c r="F257" i="2" s="1"/>
  <c r="F292" i="2" s="1"/>
  <c r="F327" i="2" s="1"/>
  <c r="F362" i="2" s="1"/>
  <c r="F397" i="2" s="1"/>
  <c r="F432" i="2" s="1"/>
  <c r="F467" i="2" s="1"/>
  <c r="F502" i="2" s="1"/>
  <c r="F537" i="2" s="1"/>
  <c r="F572" i="2" s="1"/>
  <c r="F607" i="2" s="1"/>
  <c r="F642" i="2" s="1"/>
  <c r="F677" i="2" s="1"/>
  <c r="F712" i="2" s="1"/>
  <c r="F747" i="2" s="1"/>
  <c r="F782" i="2" s="1"/>
  <c r="F817" i="2" s="1"/>
  <c r="F852" i="2" s="1"/>
  <c r="F887" i="2" s="1"/>
  <c r="F922" i="2" s="1"/>
  <c r="F957" i="2" s="1"/>
  <c r="F992" i="2" s="1"/>
  <c r="F1027" i="2" s="1"/>
  <c r="F1062" i="2" s="1"/>
  <c r="F1097" i="2" s="1"/>
  <c r="F1132" i="2" s="1"/>
  <c r="F1167" i="2" s="1"/>
  <c r="F1237" i="2" s="1"/>
  <c r="F1272" i="2" s="1"/>
  <c r="B144" i="6"/>
  <c r="F179" i="2"/>
  <c r="F214" i="2" s="1"/>
  <c r="F249" i="2" s="1"/>
  <c r="F284" i="2" s="1"/>
  <c r="F319" i="2" s="1"/>
  <c r="F354" i="2" s="1"/>
  <c r="F389" i="2" s="1"/>
  <c r="F424" i="2" s="1"/>
  <c r="F459" i="2" s="1"/>
  <c r="F494" i="2" s="1"/>
  <c r="F529" i="2" s="1"/>
  <c r="F564" i="2" s="1"/>
  <c r="F599" i="2" s="1"/>
  <c r="F634" i="2" s="1"/>
  <c r="F669" i="2" s="1"/>
  <c r="F704" i="2" s="1"/>
  <c r="F739" i="2" s="1"/>
  <c r="F774" i="2" s="1"/>
  <c r="F809" i="2" s="1"/>
  <c r="F844" i="2" s="1"/>
  <c r="F879" i="2" s="1"/>
  <c r="F914" i="2" s="1"/>
  <c r="F949" i="2" s="1"/>
  <c r="F984" i="2" s="1"/>
  <c r="F1019" i="2" s="1"/>
  <c r="F1054" i="2" s="1"/>
  <c r="F1089" i="2" s="1"/>
  <c r="F1124" i="2" s="1"/>
  <c r="F1159" i="2" s="1"/>
  <c r="B136" i="6"/>
  <c r="F184" i="2"/>
  <c r="F219" i="2" s="1"/>
  <c r="F254" i="2" s="1"/>
  <c r="F289" i="2" s="1"/>
  <c r="F324" i="2" s="1"/>
  <c r="F359" i="2" s="1"/>
  <c r="F394" i="2" s="1"/>
  <c r="F429" i="2" s="1"/>
  <c r="F464" i="2" s="1"/>
  <c r="F499" i="2" s="1"/>
  <c r="F534" i="2" s="1"/>
  <c r="F569" i="2" s="1"/>
  <c r="F604" i="2" s="1"/>
  <c r="F639" i="2" s="1"/>
  <c r="F674" i="2" s="1"/>
  <c r="F709" i="2" s="1"/>
  <c r="F744" i="2" s="1"/>
  <c r="F779" i="2" s="1"/>
  <c r="F814" i="2" s="1"/>
  <c r="F849" i="2" s="1"/>
  <c r="F884" i="2" s="1"/>
  <c r="F919" i="2" s="1"/>
  <c r="F954" i="2" s="1"/>
  <c r="F989" i="2" s="1"/>
  <c r="F1024" i="2" s="1"/>
  <c r="F1059" i="2" s="1"/>
  <c r="F1094" i="2" s="1"/>
  <c r="F1129" i="2" s="1"/>
  <c r="F1164" i="2" s="1"/>
  <c r="F1199" i="2" s="1"/>
  <c r="F1234" i="2" s="1"/>
  <c r="F1269" i="2" s="1"/>
  <c r="F1304" i="2" s="1"/>
  <c r="F1339" i="2" s="1"/>
  <c r="F1374" i="2" s="1"/>
  <c r="F1409" i="2" s="1"/>
  <c r="F1444" i="2" s="1"/>
  <c r="F1479" i="2" s="1"/>
  <c r="F1514" i="2" s="1"/>
  <c r="F1549" i="2" s="1"/>
  <c r="F1584" i="2" s="1"/>
  <c r="F1619" i="2" s="1"/>
  <c r="F1654" i="2" s="1"/>
  <c r="F1689" i="2" s="1"/>
  <c r="F1724" i="2" s="1"/>
  <c r="F1759" i="2" s="1"/>
  <c r="F1794" i="2" s="1"/>
  <c r="F1829" i="2" s="1"/>
  <c r="F1864" i="2" s="1"/>
  <c r="F1899" i="2" s="1"/>
  <c r="F1934" i="2" s="1"/>
  <c r="F1969" i="2" s="1"/>
  <c r="F2004" i="2" s="1"/>
  <c r="F2039" i="2" s="1"/>
  <c r="F2074" i="2" s="1"/>
  <c r="F2109" i="2" s="1"/>
  <c r="B141" i="6"/>
  <c r="F191" i="2"/>
  <c r="F226" i="2" s="1"/>
  <c r="F261" i="2" s="1"/>
  <c r="F296" i="2" s="1"/>
  <c r="F331" i="2" s="1"/>
  <c r="F366" i="2" s="1"/>
  <c r="F401" i="2" s="1"/>
  <c r="F436" i="2" s="1"/>
  <c r="F471" i="2" s="1"/>
  <c r="F506" i="2" s="1"/>
  <c r="F541" i="2" s="1"/>
  <c r="F576" i="2" s="1"/>
  <c r="F611" i="2" s="1"/>
  <c r="F646" i="2" s="1"/>
  <c r="F681" i="2" s="1"/>
  <c r="F716" i="2" s="1"/>
  <c r="F751" i="2" s="1"/>
  <c r="F786" i="2" s="1"/>
  <c r="F821" i="2" s="1"/>
  <c r="F856" i="2" s="1"/>
  <c r="F891" i="2" s="1"/>
  <c r="F926" i="2" s="1"/>
  <c r="F961" i="2" s="1"/>
  <c r="F996" i="2" s="1"/>
  <c r="F1031" i="2" s="1"/>
  <c r="F1066" i="2" s="1"/>
  <c r="F1101" i="2" s="1"/>
  <c r="F1136" i="2" s="1"/>
  <c r="F1171" i="2" s="1"/>
  <c r="F1206" i="2" s="1"/>
  <c r="F1241" i="2" s="1"/>
  <c r="F1276" i="2" s="1"/>
  <c r="F1311" i="2" s="1"/>
  <c r="F1346" i="2" s="1"/>
  <c r="F1381" i="2" s="1"/>
  <c r="F1416" i="2" s="1"/>
  <c r="F1451" i="2" s="1"/>
  <c r="F1486" i="2" s="1"/>
  <c r="B148" i="6"/>
  <c r="F182" i="2"/>
  <c r="F217" i="2" s="1"/>
  <c r="F252" i="2" s="1"/>
  <c r="F287" i="2" s="1"/>
  <c r="F322" i="2" s="1"/>
  <c r="F357" i="2" s="1"/>
  <c r="F392" i="2" s="1"/>
  <c r="F427" i="2" s="1"/>
  <c r="F462" i="2" s="1"/>
  <c r="F497" i="2" s="1"/>
  <c r="F532" i="2" s="1"/>
  <c r="F567" i="2" s="1"/>
  <c r="F602" i="2" s="1"/>
  <c r="F637" i="2" s="1"/>
  <c r="F672" i="2" s="1"/>
  <c r="F707" i="2" s="1"/>
  <c r="F742" i="2" s="1"/>
  <c r="F777" i="2" s="1"/>
  <c r="F812" i="2" s="1"/>
  <c r="F847" i="2" s="1"/>
  <c r="F882" i="2" s="1"/>
  <c r="F917" i="2" s="1"/>
  <c r="F952" i="2" s="1"/>
  <c r="F987" i="2" s="1"/>
  <c r="F1022" i="2" s="1"/>
  <c r="F1057" i="2" s="1"/>
  <c r="F1092" i="2" s="1"/>
  <c r="F1127" i="2" s="1"/>
  <c r="F1162" i="2" s="1"/>
  <c r="F1197" i="2" s="1"/>
  <c r="F1232" i="2" s="1"/>
  <c r="F1267" i="2" s="1"/>
  <c r="F1302" i="2" s="1"/>
  <c r="F1337" i="2" s="1"/>
  <c r="F1372" i="2" s="1"/>
  <c r="F1407" i="2" s="1"/>
  <c r="F1442" i="2" s="1"/>
  <c r="F1477" i="2" s="1"/>
  <c r="F1512" i="2" s="1"/>
  <c r="F1547" i="2" s="1"/>
  <c r="F1582" i="2" s="1"/>
  <c r="F1617" i="2" s="1"/>
  <c r="F1652" i="2" s="1"/>
  <c r="F1687" i="2" s="1"/>
  <c r="F1722" i="2" s="1"/>
  <c r="F1757" i="2" s="1"/>
  <c r="F1792" i="2" s="1"/>
  <c r="F1827" i="2" s="1"/>
  <c r="F1862" i="2" s="1"/>
  <c r="F1897" i="2" s="1"/>
  <c r="F1932" i="2" s="1"/>
  <c r="F1967" i="2" s="1"/>
  <c r="F2002" i="2" s="1"/>
  <c r="F2037" i="2" s="1"/>
  <c r="F2072" i="2" s="1"/>
  <c r="F2107" i="2" s="1"/>
  <c r="B139" i="6"/>
  <c r="F186" i="2"/>
  <c r="F221" i="2" s="1"/>
  <c r="F256" i="2" s="1"/>
  <c r="F291" i="2" s="1"/>
  <c r="F326" i="2" s="1"/>
  <c r="F361" i="2" s="1"/>
  <c r="F396" i="2" s="1"/>
  <c r="F431" i="2" s="1"/>
  <c r="F466" i="2" s="1"/>
  <c r="F501" i="2" s="1"/>
  <c r="F536" i="2" s="1"/>
  <c r="F571" i="2" s="1"/>
  <c r="F606" i="2" s="1"/>
  <c r="F641" i="2" s="1"/>
  <c r="F676" i="2" s="1"/>
  <c r="F711" i="2" s="1"/>
  <c r="F746" i="2" s="1"/>
  <c r="F781" i="2" s="1"/>
  <c r="F816" i="2" s="1"/>
  <c r="F851" i="2" s="1"/>
  <c r="F886" i="2" s="1"/>
  <c r="F921" i="2" s="1"/>
  <c r="F956" i="2" s="1"/>
  <c r="F991" i="2" s="1"/>
  <c r="F1026" i="2" s="1"/>
  <c r="F1061" i="2" s="1"/>
  <c r="F1096" i="2" s="1"/>
  <c r="F1131" i="2" s="1"/>
  <c r="F1166" i="2" s="1"/>
  <c r="F1201" i="2" s="1"/>
  <c r="F1236" i="2" s="1"/>
  <c r="F1271" i="2" s="1"/>
  <c r="F1306" i="2" s="1"/>
  <c r="F1341" i="2" s="1"/>
  <c r="F1376" i="2" s="1"/>
  <c r="F1411" i="2" s="1"/>
  <c r="F1446" i="2" s="1"/>
  <c r="F1481" i="2" s="1"/>
  <c r="F1516" i="2" s="1"/>
  <c r="F1551" i="2" s="1"/>
  <c r="F1586" i="2" s="1"/>
  <c r="F1621" i="2" s="1"/>
  <c r="F1656" i="2" s="1"/>
  <c r="F1691" i="2" s="1"/>
  <c r="F1726" i="2" s="1"/>
  <c r="F1761" i="2" s="1"/>
  <c r="F1796" i="2" s="1"/>
  <c r="F1831" i="2" s="1"/>
  <c r="F1866" i="2" s="1"/>
  <c r="F1901" i="2" s="1"/>
  <c r="F1936" i="2" s="1"/>
  <c r="F1971" i="2" s="1"/>
  <c r="F2006" i="2" s="1"/>
  <c r="F2041" i="2" s="1"/>
  <c r="F2076" i="2" s="1"/>
  <c r="F2111" i="2" s="1"/>
  <c r="B143" i="6"/>
  <c r="F183" i="2"/>
  <c r="F218" i="2" s="1"/>
  <c r="F253" i="2" s="1"/>
  <c r="F288" i="2" s="1"/>
  <c r="F323" i="2" s="1"/>
  <c r="F358" i="2" s="1"/>
  <c r="F393" i="2" s="1"/>
  <c r="F428" i="2" s="1"/>
  <c r="F463" i="2" s="1"/>
  <c r="F498" i="2" s="1"/>
  <c r="F533" i="2" s="1"/>
  <c r="F568" i="2" s="1"/>
  <c r="F603" i="2" s="1"/>
  <c r="F638" i="2" s="1"/>
  <c r="F673" i="2" s="1"/>
  <c r="F708" i="2" s="1"/>
  <c r="F743" i="2" s="1"/>
  <c r="F778" i="2" s="1"/>
  <c r="F813" i="2" s="1"/>
  <c r="F848" i="2" s="1"/>
  <c r="F883" i="2" s="1"/>
  <c r="F918" i="2" s="1"/>
  <c r="F953" i="2" s="1"/>
  <c r="F988" i="2" s="1"/>
  <c r="F1023" i="2" s="1"/>
  <c r="F1058" i="2" s="1"/>
  <c r="F1093" i="2" s="1"/>
  <c r="F1128" i="2" s="1"/>
  <c r="F1163" i="2" s="1"/>
  <c r="F1198" i="2" s="1"/>
  <c r="F1233" i="2" s="1"/>
  <c r="F1268" i="2" s="1"/>
  <c r="F1303" i="2" s="1"/>
  <c r="F1338" i="2" s="1"/>
  <c r="F1373" i="2" s="1"/>
  <c r="F1408" i="2" s="1"/>
  <c r="F1443" i="2" s="1"/>
  <c r="F1478" i="2" s="1"/>
  <c r="F1513" i="2" s="1"/>
  <c r="F1548" i="2" s="1"/>
  <c r="F1583" i="2" s="1"/>
  <c r="F1618" i="2" s="1"/>
  <c r="F1653" i="2" s="1"/>
  <c r="F1688" i="2" s="1"/>
  <c r="F1723" i="2" s="1"/>
  <c r="F1758" i="2" s="1"/>
  <c r="F1793" i="2" s="1"/>
  <c r="F1828" i="2" s="1"/>
  <c r="F1863" i="2" s="1"/>
  <c r="F1898" i="2" s="1"/>
  <c r="F1933" i="2" s="1"/>
  <c r="F1968" i="2" s="1"/>
  <c r="F2003" i="2" s="1"/>
  <c r="F2038" i="2" s="1"/>
  <c r="F2073" i="2" s="1"/>
  <c r="F2108" i="2" s="1"/>
  <c r="B140" i="6"/>
  <c r="F192" i="2"/>
  <c r="F227" i="2" s="1"/>
  <c r="F262" i="2" s="1"/>
  <c r="F297" i="2" s="1"/>
  <c r="F332" i="2" s="1"/>
  <c r="F367" i="2" s="1"/>
  <c r="F402" i="2" s="1"/>
  <c r="F437" i="2" s="1"/>
  <c r="F472" i="2" s="1"/>
  <c r="F507" i="2" s="1"/>
  <c r="F542" i="2" s="1"/>
  <c r="F577" i="2" s="1"/>
  <c r="F612" i="2" s="1"/>
  <c r="F647" i="2" s="1"/>
  <c r="F682" i="2" s="1"/>
  <c r="F717" i="2" s="1"/>
  <c r="F752" i="2" s="1"/>
  <c r="F787" i="2" s="1"/>
  <c r="F822" i="2" s="1"/>
  <c r="F857" i="2" s="1"/>
  <c r="F892" i="2" s="1"/>
  <c r="F927" i="2" s="1"/>
  <c r="F962" i="2" s="1"/>
  <c r="F997" i="2" s="1"/>
  <c r="F1032" i="2" s="1"/>
  <c r="F1067" i="2" s="1"/>
  <c r="F1102" i="2" s="1"/>
  <c r="F1137" i="2" s="1"/>
  <c r="F1172" i="2" s="1"/>
  <c r="F1207" i="2" s="1"/>
  <c r="F1242" i="2" s="1"/>
  <c r="F1277" i="2" s="1"/>
  <c r="B149" i="6"/>
  <c r="F241" i="2"/>
  <c r="F276" i="2" s="1"/>
  <c r="F311" i="2" s="1"/>
  <c r="F346" i="2" s="1"/>
  <c r="B163" i="6"/>
  <c r="F204" i="2"/>
  <c r="F239" i="2" s="1"/>
  <c r="F274" i="2" s="1"/>
  <c r="F309" i="2" s="1"/>
  <c r="F344" i="2" s="1"/>
  <c r="F379" i="2" s="1"/>
  <c r="F414" i="2" s="1"/>
  <c r="B161" i="6"/>
  <c r="F203" i="2"/>
  <c r="F238" i="2" s="1"/>
  <c r="F273" i="2" s="1"/>
  <c r="F308" i="2" s="1"/>
  <c r="F343" i="2" s="1"/>
  <c r="F378" i="2" s="1"/>
  <c r="F413" i="2" s="1"/>
  <c r="F448" i="2" s="1"/>
  <c r="F483" i="2" s="1"/>
  <c r="F518" i="2" s="1"/>
  <c r="F553" i="2" s="1"/>
  <c r="F588" i="2" s="1"/>
  <c r="F623" i="2" s="1"/>
  <c r="F658" i="2" s="1"/>
  <c r="F693" i="2" s="1"/>
  <c r="F728" i="2" s="1"/>
  <c r="F763" i="2" s="1"/>
  <c r="F798" i="2" s="1"/>
  <c r="F833" i="2" s="1"/>
  <c r="B160" i="6"/>
  <c r="F188" i="2"/>
  <c r="F223" i="2" s="1"/>
  <c r="F258" i="2" s="1"/>
  <c r="F293" i="2" s="1"/>
  <c r="F328" i="2" s="1"/>
  <c r="F363" i="2" s="1"/>
  <c r="F398" i="2" s="1"/>
  <c r="F433" i="2" s="1"/>
  <c r="F468" i="2" s="1"/>
  <c r="F503" i="2" s="1"/>
  <c r="F538" i="2" s="1"/>
  <c r="F573" i="2" s="1"/>
  <c r="F608" i="2" s="1"/>
  <c r="F643" i="2" s="1"/>
  <c r="F678" i="2" s="1"/>
  <c r="F713" i="2" s="1"/>
  <c r="F748" i="2" s="1"/>
  <c r="F783" i="2" s="1"/>
  <c r="F818" i="2" s="1"/>
  <c r="F853" i="2" s="1"/>
  <c r="F888" i="2" s="1"/>
  <c r="F923" i="2" s="1"/>
  <c r="F958" i="2" s="1"/>
  <c r="F993" i="2" s="1"/>
  <c r="F1028" i="2" s="1"/>
  <c r="F1063" i="2" s="1"/>
  <c r="F1098" i="2" s="1"/>
  <c r="F1133" i="2" s="1"/>
  <c r="F1168" i="2" s="1"/>
  <c r="F1203" i="2" s="1"/>
  <c r="F1238" i="2" s="1"/>
  <c r="F1273" i="2" s="1"/>
  <c r="F1308" i="2" s="1"/>
  <c r="F1343" i="2" s="1"/>
  <c r="F1378" i="2" s="1"/>
  <c r="F1413" i="2" s="1"/>
  <c r="F1448" i="2" s="1"/>
  <c r="F1483" i="2" s="1"/>
  <c r="F1518" i="2" s="1"/>
  <c r="F1553" i="2" s="1"/>
  <c r="F1588" i="2" s="1"/>
  <c r="F1623" i="2" s="1"/>
  <c r="F1658" i="2" s="1"/>
  <c r="F1693" i="2" s="1"/>
  <c r="F1728" i="2" s="1"/>
  <c r="F1763" i="2" s="1"/>
  <c r="F1798" i="2" s="1"/>
  <c r="F1833" i="2" s="1"/>
  <c r="F1868" i="2" s="1"/>
  <c r="F1903" i="2" s="1"/>
  <c r="F1938" i="2" s="1"/>
  <c r="F1973" i="2" s="1"/>
  <c r="F2008" i="2" s="1"/>
  <c r="F2043" i="2" s="1"/>
  <c r="F2078" i="2" s="1"/>
  <c r="F2113" i="2" s="1"/>
  <c r="B145" i="6"/>
  <c r="F205" i="2"/>
  <c r="F240" i="2" s="1"/>
  <c r="F275" i="2" s="1"/>
  <c r="F310" i="2" s="1"/>
  <c r="F345" i="2" s="1"/>
  <c r="F380" i="2" s="1"/>
  <c r="F415" i="2" s="1"/>
  <c r="B162" i="6"/>
  <c r="F195" i="2"/>
  <c r="F230" i="2" s="1"/>
  <c r="F265" i="2" s="1"/>
  <c r="F300" i="2" s="1"/>
  <c r="F335" i="2" s="1"/>
  <c r="F370" i="2" s="1"/>
  <c r="F405" i="2" s="1"/>
  <c r="F440" i="2" s="1"/>
  <c r="F475" i="2" s="1"/>
  <c r="F510" i="2" s="1"/>
  <c r="F545" i="2" s="1"/>
  <c r="F580" i="2" s="1"/>
  <c r="F615" i="2" s="1"/>
  <c r="F650" i="2" s="1"/>
  <c r="F685" i="2" s="1"/>
  <c r="F720" i="2" s="1"/>
  <c r="F755" i="2" s="1"/>
  <c r="F790" i="2" s="1"/>
  <c r="F825" i="2" s="1"/>
  <c r="F860" i="2" s="1"/>
  <c r="F895" i="2" s="1"/>
  <c r="F930" i="2" s="1"/>
  <c r="F965" i="2" s="1"/>
  <c r="F1000" i="2" s="1"/>
  <c r="F1035" i="2" s="1"/>
  <c r="F1070" i="2" s="1"/>
  <c r="F1105" i="2" s="1"/>
  <c r="F1140" i="2" s="1"/>
  <c r="F1175" i="2" s="1"/>
  <c r="F1210" i="2" s="1"/>
  <c r="F1245" i="2" s="1"/>
  <c r="F1280" i="2" s="1"/>
  <c r="F1315" i="2" s="1"/>
  <c r="F1350" i="2" s="1"/>
  <c r="F1385" i="2" s="1"/>
  <c r="F1420" i="2" s="1"/>
  <c r="F1455" i="2" s="1"/>
  <c r="F1490" i="2" s="1"/>
  <c r="B152" i="6"/>
  <c r="F193" i="2"/>
  <c r="F228" i="2" s="1"/>
  <c r="F263" i="2" s="1"/>
  <c r="F298" i="2" s="1"/>
  <c r="F333" i="2" s="1"/>
  <c r="F368" i="2" s="1"/>
  <c r="F403" i="2" s="1"/>
  <c r="F438" i="2" s="1"/>
  <c r="F473" i="2" s="1"/>
  <c r="F508" i="2" s="1"/>
  <c r="F543" i="2" s="1"/>
  <c r="F578" i="2" s="1"/>
  <c r="F613" i="2" s="1"/>
  <c r="F648" i="2" s="1"/>
  <c r="F683" i="2" s="1"/>
  <c r="F718" i="2" s="1"/>
  <c r="F753" i="2" s="1"/>
  <c r="F788" i="2" s="1"/>
  <c r="F823" i="2" s="1"/>
  <c r="F858" i="2" s="1"/>
  <c r="F893" i="2" s="1"/>
  <c r="F928" i="2" s="1"/>
  <c r="F963" i="2" s="1"/>
  <c r="F998" i="2" s="1"/>
  <c r="F1033" i="2" s="1"/>
  <c r="F1068" i="2" s="1"/>
  <c r="F1103" i="2" s="1"/>
  <c r="F1138" i="2" s="1"/>
  <c r="F1173" i="2" s="1"/>
  <c r="F1208" i="2" s="1"/>
  <c r="F1243" i="2" s="1"/>
  <c r="F1278" i="2" s="1"/>
  <c r="F1313" i="2" s="1"/>
  <c r="F1348" i="2" s="1"/>
  <c r="F1383" i="2" s="1"/>
  <c r="F1418" i="2" s="1"/>
  <c r="F1453" i="2" s="1"/>
  <c r="F1488" i="2" s="1"/>
  <c r="B150" i="6"/>
  <c r="R39" i="2"/>
  <c r="S39" i="2" s="1"/>
  <c r="F200" i="2"/>
  <c r="F199" i="2"/>
  <c r="F201" i="2"/>
  <c r="B9" i="1"/>
  <c r="R4" i="2"/>
  <c r="T37" i="2"/>
  <c r="C142" i="2"/>
  <c r="A177" i="2"/>
  <c r="A143" i="2"/>
  <c r="G142" i="2"/>
  <c r="B142" i="2"/>
  <c r="S3" i="2"/>
  <c r="T3" i="2"/>
  <c r="G108" i="2"/>
  <c r="C108" i="2"/>
  <c r="A109" i="2"/>
  <c r="B108" i="2"/>
  <c r="B6" i="2"/>
  <c r="G6" i="2"/>
  <c r="C6" i="2"/>
  <c r="A7" i="2"/>
  <c r="O73" i="2"/>
  <c r="S72" i="2"/>
  <c r="T72" i="2"/>
  <c r="F212" i="2" l="1"/>
  <c r="F247" i="2" s="1"/>
  <c r="F282" i="2" s="1"/>
  <c r="F317" i="2" s="1"/>
  <c r="F352" i="2" s="1"/>
  <c r="F387" i="2" s="1"/>
  <c r="F422" i="2" s="1"/>
  <c r="F457" i="2" s="1"/>
  <c r="F492" i="2" s="1"/>
  <c r="F527" i="2" s="1"/>
  <c r="F562" i="2" s="1"/>
  <c r="F597" i="2" s="1"/>
  <c r="F632" i="2" s="1"/>
  <c r="F667" i="2" s="1"/>
  <c r="F702" i="2" s="1"/>
  <c r="F737" i="2" s="1"/>
  <c r="F772" i="2" s="1"/>
  <c r="F807" i="2" s="1"/>
  <c r="F842" i="2" s="1"/>
  <c r="F877" i="2" s="1"/>
  <c r="F912" i="2" s="1"/>
  <c r="F947" i="2" s="1"/>
  <c r="F982" i="2" s="1"/>
  <c r="F1017" i="2" s="1"/>
  <c r="F1052" i="2" s="1"/>
  <c r="F1087" i="2" s="1"/>
  <c r="F1122" i="2" s="1"/>
  <c r="F1157" i="2" s="1"/>
  <c r="F1192" i="2" s="1"/>
  <c r="F1227" i="2" s="1"/>
  <c r="F1262" i="2" s="1"/>
  <c r="F1297" i="2" s="1"/>
  <c r="F1332" i="2" s="1"/>
  <c r="F1367" i="2" s="1"/>
  <c r="F1402" i="2" s="1"/>
  <c r="F1437" i="2" s="1"/>
  <c r="F1472" i="2" s="1"/>
  <c r="F1507" i="2" s="1"/>
  <c r="F1542" i="2" s="1"/>
  <c r="F1577" i="2" s="1"/>
  <c r="F1612" i="2" s="1"/>
  <c r="F1647" i="2" s="1"/>
  <c r="F1682" i="2" s="1"/>
  <c r="F1717" i="2" s="1"/>
  <c r="F1752" i="2"/>
  <c r="F1787" i="2" s="1"/>
  <c r="F1822" i="2" s="1"/>
  <c r="F1857" i="2" s="1"/>
  <c r="F1892" i="2" s="1"/>
  <c r="F1927" i="2" s="1"/>
  <c r="F1962" i="2" s="1"/>
  <c r="F1997" i="2" s="1"/>
  <c r="F2032" i="2" s="1"/>
  <c r="F2067" i="2" s="1"/>
  <c r="F2102" i="2" s="1"/>
  <c r="F1523" i="2"/>
  <c r="F1558" i="2" s="1"/>
  <c r="F1593" i="2" s="1"/>
  <c r="F1628" i="2" s="1"/>
  <c r="F1663" i="2" s="1"/>
  <c r="F1698" i="2" s="1"/>
  <c r="F1733" i="2" s="1"/>
  <c r="F1768" i="2" s="1"/>
  <c r="F1803" i="2" s="1"/>
  <c r="F1838" i="2" s="1"/>
  <c r="F1873" i="2" s="1"/>
  <c r="F1908" i="2" s="1"/>
  <c r="F1943" i="2" s="1"/>
  <c r="F1978" i="2" s="1"/>
  <c r="F2013" i="2" s="1"/>
  <c r="F2048" i="2" s="1"/>
  <c r="F2083" i="2" s="1"/>
  <c r="F2118" i="2" s="1"/>
  <c r="F1525" i="2"/>
  <c r="F1560" i="2" s="1"/>
  <c r="F1595" i="2" s="1"/>
  <c r="F1630" i="2" s="1"/>
  <c r="F1665" i="2" s="1"/>
  <c r="F1700" i="2" s="1"/>
  <c r="F1735" i="2" s="1"/>
  <c r="F1770" i="2" s="1"/>
  <c r="F1805" i="2" s="1"/>
  <c r="F1840" i="2" s="1"/>
  <c r="F1875" i="2" s="1"/>
  <c r="F1910" i="2" s="1"/>
  <c r="F1945" i="2" s="1"/>
  <c r="F1980" i="2" s="1"/>
  <c r="F2015" i="2" s="1"/>
  <c r="F2050" i="2" s="1"/>
  <c r="F2085" i="2" s="1"/>
  <c r="F2120" i="2" s="1"/>
  <c r="F1521" i="2"/>
  <c r="F1556" i="2" s="1"/>
  <c r="F1591" i="2" s="1"/>
  <c r="F1626" i="2" s="1"/>
  <c r="F1661" i="2" s="1"/>
  <c r="F1696" i="2" s="1"/>
  <c r="F1731" i="2" s="1"/>
  <c r="F1766" i="2" s="1"/>
  <c r="F1801" i="2" s="1"/>
  <c r="F1836" i="2" s="1"/>
  <c r="F1871" i="2" s="1"/>
  <c r="F1906" i="2" s="1"/>
  <c r="F1941" i="2" s="1"/>
  <c r="F1976" i="2" s="1"/>
  <c r="F2011" i="2" s="1"/>
  <c r="F2046" i="2" s="1"/>
  <c r="F2081" i="2" s="1"/>
  <c r="F2116" i="2" s="1"/>
  <c r="F1528" i="2"/>
  <c r="F1563" i="2" s="1"/>
  <c r="F1598" i="2" s="1"/>
  <c r="F1633" i="2" s="1"/>
  <c r="F1668" i="2" s="1"/>
  <c r="F1703" i="2" s="1"/>
  <c r="F1738" i="2" s="1"/>
  <c r="F1773" i="2" s="1"/>
  <c r="F1808" i="2" s="1"/>
  <c r="F1843" i="2" s="1"/>
  <c r="F1878" i="2" s="1"/>
  <c r="F1913" i="2" s="1"/>
  <c r="F1948" i="2" s="1"/>
  <c r="F1983" i="2" s="1"/>
  <c r="F2018" i="2" s="1"/>
  <c r="F2053" i="2" s="1"/>
  <c r="F2088" i="2" s="1"/>
  <c r="F2123" i="2" s="1"/>
  <c r="F1527" i="2"/>
  <c r="F1562" i="2" s="1"/>
  <c r="F1597" i="2" s="1"/>
  <c r="F1632" i="2" s="1"/>
  <c r="F1667" i="2" s="1"/>
  <c r="F1702" i="2" s="1"/>
  <c r="F1737" i="2" s="1"/>
  <c r="F1772" i="2" s="1"/>
  <c r="F1807" i="2" s="1"/>
  <c r="F1842" i="2" s="1"/>
  <c r="F1877" i="2" s="1"/>
  <c r="F1912" i="2" s="1"/>
  <c r="F1947" i="2" s="1"/>
  <c r="F1982" i="2" s="1"/>
  <c r="F2017" i="2" s="1"/>
  <c r="F2052" i="2" s="1"/>
  <c r="F2087" i="2" s="1"/>
  <c r="F2122" i="2" s="1"/>
  <c r="F1524" i="2"/>
  <c r="F1559" i="2" s="1"/>
  <c r="F1594" i="2" s="1"/>
  <c r="F1629" i="2" s="1"/>
  <c r="F1664" i="2" s="1"/>
  <c r="F1699" i="2" s="1"/>
  <c r="F1734" i="2" s="1"/>
  <c r="F1769" i="2" s="1"/>
  <c r="F1804" i="2" s="1"/>
  <c r="F1839" i="2" s="1"/>
  <c r="F1874" i="2" s="1"/>
  <c r="F1909" i="2" s="1"/>
  <c r="F1944" i="2" s="1"/>
  <c r="F1979" i="2" s="1"/>
  <c r="F2014" i="2" s="1"/>
  <c r="F2049" i="2" s="1"/>
  <c r="F2084" i="2" s="1"/>
  <c r="F2119" i="2" s="1"/>
  <c r="F1526" i="2"/>
  <c r="F1561" i="2" s="1"/>
  <c r="F1596" i="2" s="1"/>
  <c r="F1631" i="2" s="1"/>
  <c r="F1666" i="2" s="1"/>
  <c r="F1007" i="2"/>
  <c r="F1042" i="2" s="1"/>
  <c r="F1077" i="2" s="1"/>
  <c r="F1112" i="2" s="1"/>
  <c r="F1147" i="2" s="1"/>
  <c r="F1182" i="2" s="1"/>
  <c r="F1217" i="2" s="1"/>
  <c r="F1252" i="2" s="1"/>
  <c r="F1287" i="2" s="1"/>
  <c r="F1322" i="2" s="1"/>
  <c r="F1357" i="2" s="1"/>
  <c r="F1392" i="2" s="1"/>
  <c r="F1427" i="2" s="1"/>
  <c r="F1462" i="2" s="1"/>
  <c r="F1497" i="2" s="1"/>
  <c r="F868" i="2"/>
  <c r="F903" i="2" s="1"/>
  <c r="F450" i="2"/>
  <c r="F485" i="2" s="1"/>
  <c r="F520" i="2" s="1"/>
  <c r="F555" i="2" s="1"/>
  <c r="F590" i="2" s="1"/>
  <c r="F449" i="2"/>
  <c r="F484" i="2" s="1"/>
  <c r="F519" i="2" s="1"/>
  <c r="F554" i="2" s="1"/>
  <c r="F589" i="2" s="1"/>
  <c r="F624" i="2" s="1"/>
  <c r="F659" i="2" s="1"/>
  <c r="F694" i="2" s="1"/>
  <c r="F381" i="2"/>
  <c r="F416" i="2" s="1"/>
  <c r="F312" i="2"/>
  <c r="F347" i="2" s="1"/>
  <c r="F278" i="2"/>
  <c r="F1202" i="2"/>
  <c r="F1307" i="2" s="1"/>
  <c r="F1342" i="2" s="1"/>
  <c r="F1377" i="2" s="1"/>
  <c r="F1412" i="2" s="1"/>
  <c r="F1447" i="2" s="1"/>
  <c r="F1482" i="2" s="1"/>
  <c r="F1517" i="2" s="1"/>
  <c r="F1552" i="2" s="1"/>
  <c r="F1587" i="2" s="1"/>
  <c r="F1622" i="2" s="1"/>
  <c r="F1657" i="2" s="1"/>
  <c r="F1692" i="2" s="1"/>
  <c r="F1727" i="2" s="1"/>
  <c r="F1762" i="2" s="1"/>
  <c r="F1797" i="2" s="1"/>
  <c r="F1832" i="2" s="1"/>
  <c r="F1867" i="2" s="1"/>
  <c r="F1902" i="2" s="1"/>
  <c r="F1937" i="2" s="1"/>
  <c r="F1972" i="2" s="1"/>
  <c r="F2007" i="2" s="1"/>
  <c r="F2042" i="2" s="1"/>
  <c r="F2077" i="2" s="1"/>
  <c r="F2112" i="2" s="1"/>
  <c r="F1194" i="2"/>
  <c r="F1229" i="2" s="1"/>
  <c r="F1264" i="2" s="1"/>
  <c r="F1299" i="2" s="1"/>
  <c r="F1334" i="2" s="1"/>
  <c r="F1369" i="2" s="1"/>
  <c r="F1404" i="2" s="1"/>
  <c r="F1439" i="2" s="1"/>
  <c r="F1474" i="2" s="1"/>
  <c r="F1509" i="2" s="1"/>
  <c r="F1544" i="2" s="1"/>
  <c r="F1579" i="2" s="1"/>
  <c r="F1614" i="2" s="1"/>
  <c r="F1649" i="2" s="1"/>
  <c r="F1684" i="2" s="1"/>
  <c r="F1719" i="2" s="1"/>
  <c r="F1754" i="2" s="1"/>
  <c r="F1789" i="2" s="1"/>
  <c r="F1824" i="2" s="1"/>
  <c r="F1859" i="2" s="1"/>
  <c r="F1894" i="2" s="1"/>
  <c r="F1929" i="2" s="1"/>
  <c r="F1964" i="2" s="1"/>
  <c r="F1999" i="2" s="1"/>
  <c r="F2034" i="2" s="1"/>
  <c r="F2069" i="2" s="1"/>
  <c r="F2104" i="2" s="1"/>
  <c r="F423" i="2"/>
  <c r="F458" i="2" s="1"/>
  <c r="F493" i="2" s="1"/>
  <c r="F528" i="2" s="1"/>
  <c r="F563" i="2" s="1"/>
  <c r="F598" i="2" s="1"/>
  <c r="F633" i="2" s="1"/>
  <c r="F668" i="2" s="1"/>
  <c r="F703" i="2" s="1"/>
  <c r="F738" i="2" s="1"/>
  <c r="F773" i="2" s="1"/>
  <c r="F808" i="2"/>
  <c r="F843" i="2" s="1"/>
  <c r="Q6" i="2"/>
  <c r="P6" i="2"/>
  <c r="Q108" i="2"/>
  <c r="P108" i="2"/>
  <c r="Q142" i="2"/>
  <c r="P142" i="2"/>
  <c r="Q74" i="2"/>
  <c r="P74" i="2"/>
  <c r="Q40" i="2"/>
  <c r="P40" i="2"/>
  <c r="F1312" i="2"/>
  <c r="F1347" i="2" s="1"/>
  <c r="F1382" i="2" s="1"/>
  <c r="F1417" i="2" s="1"/>
  <c r="F1452" i="2" s="1"/>
  <c r="F1487" i="2" s="1"/>
  <c r="C75" i="2"/>
  <c r="B75" i="2"/>
  <c r="G75" i="2"/>
  <c r="D76" i="2"/>
  <c r="E76" i="2"/>
  <c r="D7" i="2"/>
  <c r="E7" i="2"/>
  <c r="D109" i="2"/>
  <c r="E109" i="2"/>
  <c r="D143" i="2"/>
  <c r="E143" i="2"/>
  <c r="D177" i="2"/>
  <c r="E177" i="2"/>
  <c r="B41" i="2"/>
  <c r="D41" i="2"/>
  <c r="E41" i="2"/>
  <c r="C41" i="2"/>
  <c r="G41" i="2"/>
  <c r="A42" i="2"/>
  <c r="D75" i="2"/>
  <c r="E75" i="2"/>
  <c r="S38" i="2"/>
  <c r="F2287" i="2"/>
  <c r="F2147" i="2"/>
  <c r="F2182" i="2" s="1"/>
  <c r="F2217" i="2" s="1"/>
  <c r="F2252" i="2" s="1"/>
  <c r="F2282" i="2"/>
  <c r="F2142" i="2"/>
  <c r="F2177" i="2" s="1"/>
  <c r="F2212" i="2" s="1"/>
  <c r="F2247" i="2" s="1"/>
  <c r="F2294" i="2"/>
  <c r="F2154" i="2"/>
  <c r="F2189" i="2" s="1"/>
  <c r="F2224" i="2" s="1"/>
  <c r="F2259" i="2" s="1"/>
  <c r="F2291" i="2"/>
  <c r="F2151" i="2"/>
  <c r="F2186" i="2" s="1"/>
  <c r="F2221" i="2" s="1"/>
  <c r="F2256" i="2" s="1"/>
  <c r="F2293" i="2"/>
  <c r="F2153" i="2"/>
  <c r="F2188" i="2" s="1"/>
  <c r="F2223" i="2" s="1"/>
  <c r="F2258" i="2" s="1"/>
  <c r="F2284" i="2"/>
  <c r="F2144" i="2"/>
  <c r="F2179" i="2" s="1"/>
  <c r="F2214" i="2" s="1"/>
  <c r="F2249" i="2" s="1"/>
  <c r="F2285" i="2"/>
  <c r="F2145" i="2"/>
  <c r="F2180" i="2" s="1"/>
  <c r="F2215" i="2" s="1"/>
  <c r="F2250" i="2" s="1"/>
  <c r="F2297" i="2"/>
  <c r="F2157" i="2"/>
  <c r="F2192" i="2" s="1"/>
  <c r="F2227" i="2" s="1"/>
  <c r="F2262" i="2" s="1"/>
  <c r="F2281" i="2"/>
  <c r="F2141" i="2"/>
  <c r="F2176" i="2" s="1"/>
  <c r="F2211" i="2" s="1"/>
  <c r="F2246" i="2" s="1"/>
  <c r="F2295" i="2"/>
  <c r="F2155" i="2"/>
  <c r="F2190" i="2" s="1"/>
  <c r="F2225" i="2" s="1"/>
  <c r="F2260" i="2" s="1"/>
  <c r="F2279" i="2"/>
  <c r="F2139" i="2"/>
  <c r="F2174" i="2" s="1"/>
  <c r="F2209" i="2" s="1"/>
  <c r="F2244" i="2" s="1"/>
  <c r="F2283" i="2"/>
  <c r="F2143" i="2"/>
  <c r="F2178" i="2" s="1"/>
  <c r="F2213" i="2" s="1"/>
  <c r="F2248" i="2" s="1"/>
  <c r="F2290" i="2"/>
  <c r="F2150" i="2"/>
  <c r="F2185" i="2" s="1"/>
  <c r="F2220" i="2" s="1"/>
  <c r="F2255" i="2" s="1"/>
  <c r="F2289" i="2"/>
  <c r="F2149" i="2"/>
  <c r="F2184" i="2" s="1"/>
  <c r="F2219" i="2" s="1"/>
  <c r="F2254" i="2" s="1"/>
  <c r="F2288" i="2"/>
  <c r="F2148" i="2"/>
  <c r="F2183" i="2" s="1"/>
  <c r="F2218" i="2" s="1"/>
  <c r="F2253" i="2" s="1"/>
  <c r="F2286" i="2"/>
  <c r="F2146" i="2"/>
  <c r="F2181" i="2" s="1"/>
  <c r="F2216" i="2" s="1"/>
  <c r="F2251" i="2" s="1"/>
  <c r="F2298" i="2"/>
  <c r="F2158" i="2"/>
  <c r="F2193" i="2" s="1"/>
  <c r="F2228" i="2" s="1"/>
  <c r="F2263" i="2" s="1"/>
  <c r="F2277" i="2"/>
  <c r="F2137" i="2"/>
  <c r="F2172" i="2" s="1"/>
  <c r="F2207" i="2" s="1"/>
  <c r="F2242" i="2" s="1"/>
  <c r="F2280" i="2"/>
  <c r="F2140" i="2"/>
  <c r="F2175" i="2" s="1"/>
  <c r="F2210" i="2" s="1"/>
  <c r="F2245" i="2" s="1"/>
  <c r="T38" i="2"/>
  <c r="F1701" i="2"/>
  <c r="F1736" i="2" s="1"/>
  <c r="F1771" i="2" s="1"/>
  <c r="F1806" i="2" s="1"/>
  <c r="F1841" i="2" s="1"/>
  <c r="F1876" i="2" s="1"/>
  <c r="F1911" i="2" s="1"/>
  <c r="F1946" i="2" s="1"/>
  <c r="F1981" i="2" s="1"/>
  <c r="F2016" i="2" s="1"/>
  <c r="F2051" i="2" s="1"/>
  <c r="F2086" i="2" s="1"/>
  <c r="F2121" i="2" s="1"/>
  <c r="R73" i="2"/>
  <c r="T39" i="2"/>
  <c r="F235" i="2"/>
  <c r="F234" i="2"/>
  <c r="F236" i="2"/>
  <c r="B10" i="1"/>
  <c r="R5" i="2"/>
  <c r="R107" i="2"/>
  <c r="G143" i="2"/>
  <c r="A144" i="2"/>
  <c r="C143" i="2"/>
  <c r="B143" i="2"/>
  <c r="C109" i="2"/>
  <c r="B109" i="2"/>
  <c r="G109" i="2"/>
  <c r="A110" i="2"/>
  <c r="A178" i="2"/>
  <c r="C177" i="2"/>
  <c r="A212" i="2"/>
  <c r="B177" i="2"/>
  <c r="G177" i="2"/>
  <c r="B7" i="2"/>
  <c r="G7" i="2"/>
  <c r="C7" i="2"/>
  <c r="A8" i="2"/>
  <c r="O142" i="2"/>
  <c r="O107" i="2"/>
  <c r="O74" i="2"/>
  <c r="C76" i="2"/>
  <c r="A77" i="2"/>
  <c r="G76" i="2"/>
  <c r="B76" i="2"/>
  <c r="O42" i="2"/>
  <c r="F1522" i="2" l="1"/>
  <c r="F1557" i="2" s="1"/>
  <c r="F1592" i="2" s="1"/>
  <c r="F1627" i="2" s="1"/>
  <c r="F1662" i="2" s="1"/>
  <c r="F1697" i="2" s="1"/>
  <c r="F1732" i="2" s="1"/>
  <c r="F1767" i="2" s="1"/>
  <c r="F1802" i="2" s="1"/>
  <c r="F1837" i="2" s="1"/>
  <c r="F1872" i="2" s="1"/>
  <c r="F1907" i="2" s="1"/>
  <c r="F1942" i="2" s="1"/>
  <c r="F1977" i="2" s="1"/>
  <c r="F2012" i="2" s="1"/>
  <c r="F2047" i="2" s="1"/>
  <c r="F2082" i="2" s="1"/>
  <c r="F2117" i="2" s="1"/>
  <c r="F2292" i="2" s="1"/>
  <c r="F1532" i="2"/>
  <c r="F1567" i="2" s="1"/>
  <c r="F1602" i="2" s="1"/>
  <c r="F1637" i="2" s="1"/>
  <c r="F1672" i="2" s="1"/>
  <c r="F1707" i="2" s="1"/>
  <c r="F1742" i="2" s="1"/>
  <c r="F1777" i="2" s="1"/>
  <c r="F1812" i="2" s="1"/>
  <c r="F1847" i="2" s="1"/>
  <c r="F1882" i="2" s="1"/>
  <c r="F1917" i="2" s="1"/>
  <c r="F1952" i="2" s="1"/>
  <c r="F1987" i="2" s="1"/>
  <c r="F2022" i="2" s="1"/>
  <c r="F2057" i="2" s="1"/>
  <c r="F2092" i="2" s="1"/>
  <c r="F2127" i="2" s="1"/>
  <c r="F938" i="2"/>
  <c r="F973" i="2" s="1"/>
  <c r="F729" i="2"/>
  <c r="F764" i="2" s="1"/>
  <c r="F799" i="2" s="1"/>
  <c r="F834" i="2" s="1"/>
  <c r="F625" i="2"/>
  <c r="F660" i="2" s="1"/>
  <c r="F695" i="2" s="1"/>
  <c r="F730" i="2" s="1"/>
  <c r="F451" i="2"/>
  <c r="F486" i="2" s="1"/>
  <c r="F521" i="2" s="1"/>
  <c r="F556" i="2" s="1"/>
  <c r="F591" i="2" s="1"/>
  <c r="F382" i="2"/>
  <c r="F313" i="2"/>
  <c r="F878" i="2"/>
  <c r="F913" i="2" s="1"/>
  <c r="F948" i="2" s="1"/>
  <c r="F983" i="2" s="1"/>
  <c r="F1018" i="2" s="1"/>
  <c r="F1053" i="2" s="1"/>
  <c r="F1088" i="2" s="1"/>
  <c r="F1123" i="2" s="1"/>
  <c r="F1158" i="2" s="1"/>
  <c r="F2152" i="2"/>
  <c r="F2187" i="2" s="1"/>
  <c r="F2222" i="2" s="1"/>
  <c r="F2257" i="2" s="1"/>
  <c r="Q76" i="2"/>
  <c r="P76" i="2"/>
  <c r="Q7" i="2"/>
  <c r="P7" i="2"/>
  <c r="Q177" i="2"/>
  <c r="P177" i="2"/>
  <c r="Q109" i="2"/>
  <c r="P109" i="2"/>
  <c r="Q143" i="2"/>
  <c r="P143" i="2"/>
  <c r="Q41" i="2"/>
  <c r="P41" i="2"/>
  <c r="Q75" i="2"/>
  <c r="P75" i="2"/>
  <c r="R40" i="2"/>
  <c r="B77" i="2"/>
  <c r="D77" i="2"/>
  <c r="E77" i="2"/>
  <c r="D8" i="2"/>
  <c r="E8" i="2"/>
  <c r="D212" i="2"/>
  <c r="E212" i="2"/>
  <c r="D178" i="2"/>
  <c r="E178" i="2"/>
  <c r="D110" i="2"/>
  <c r="E110" i="2"/>
  <c r="D144" i="2"/>
  <c r="E144" i="2"/>
  <c r="D42" i="2"/>
  <c r="E42" i="2"/>
  <c r="G42" i="2"/>
  <c r="B42" i="2"/>
  <c r="A43" i="2"/>
  <c r="C42" i="2"/>
  <c r="S73" i="2"/>
  <c r="F2296" i="2"/>
  <c r="F2156" i="2"/>
  <c r="F2191" i="2" s="1"/>
  <c r="F2226" i="2" s="1"/>
  <c r="F2261" i="2" s="1"/>
  <c r="T73" i="2"/>
  <c r="R74" i="2"/>
  <c r="F270" i="2"/>
  <c r="F269" i="2"/>
  <c r="F271" i="2"/>
  <c r="R108" i="2"/>
  <c r="B11" i="1"/>
  <c r="R6" i="2"/>
  <c r="R142" i="2"/>
  <c r="A247" i="2"/>
  <c r="A213" i="2"/>
  <c r="B212" i="2"/>
  <c r="G212" i="2"/>
  <c r="C212" i="2"/>
  <c r="O108" i="2"/>
  <c r="C178" i="2"/>
  <c r="B178" i="2"/>
  <c r="G178" i="2"/>
  <c r="A179" i="2"/>
  <c r="A9" i="2"/>
  <c r="B8" i="2"/>
  <c r="G8" i="2"/>
  <c r="C8" i="2"/>
  <c r="C110" i="2"/>
  <c r="B110" i="2"/>
  <c r="A111" i="2"/>
  <c r="G110" i="2"/>
  <c r="O143" i="2"/>
  <c r="T107" i="2"/>
  <c r="S107" i="2"/>
  <c r="O109" i="2"/>
  <c r="G144" i="2"/>
  <c r="A145" i="2"/>
  <c r="C144" i="2"/>
  <c r="B144" i="2"/>
  <c r="O177" i="2"/>
  <c r="C77" i="2"/>
  <c r="A78" i="2"/>
  <c r="G77" i="2"/>
  <c r="O75" i="2"/>
  <c r="O43" i="2"/>
  <c r="F2162" i="2" l="1"/>
  <c r="F2197" i="2" s="1"/>
  <c r="F2232" i="2" s="1"/>
  <c r="F2267" i="2" s="1"/>
  <c r="F2302" i="2"/>
  <c r="F1008" i="2"/>
  <c r="F1043" i="2" s="1"/>
  <c r="F1078" i="2" s="1"/>
  <c r="F1113" i="2" s="1"/>
  <c r="F1148" i="2" s="1"/>
  <c r="F1183" i="2" s="1"/>
  <c r="F1218" i="2" s="1"/>
  <c r="F1253" i="2" s="1"/>
  <c r="F869" i="2"/>
  <c r="F904" i="2" s="1"/>
  <c r="F765" i="2"/>
  <c r="F800" i="2" s="1"/>
  <c r="F626" i="2"/>
  <c r="F417" i="2"/>
  <c r="F348" i="2"/>
  <c r="F1193" i="2"/>
  <c r="F1228" i="2" s="1"/>
  <c r="F1263" i="2" s="1"/>
  <c r="F1298" i="2" s="1"/>
  <c r="F1333" i="2" s="1"/>
  <c r="F1368" i="2" s="1"/>
  <c r="F1403" i="2" s="1"/>
  <c r="F1438" i="2" s="1"/>
  <c r="F1473" i="2" s="1"/>
  <c r="F1508" i="2" s="1"/>
  <c r="F1543" i="2" s="1"/>
  <c r="F1578" i="2" s="1"/>
  <c r="F1613" i="2" s="1"/>
  <c r="F1648" i="2" s="1"/>
  <c r="F1683" i="2" s="1"/>
  <c r="F1718" i="2" s="1"/>
  <c r="F1753" i="2" s="1"/>
  <c r="F1788" i="2" s="1"/>
  <c r="F1823" i="2" s="1"/>
  <c r="R75" i="2"/>
  <c r="Q144" i="2"/>
  <c r="P144" i="2"/>
  <c r="Q110" i="2"/>
  <c r="P110" i="2"/>
  <c r="Q8" i="2"/>
  <c r="P8" i="2"/>
  <c r="Q178" i="2"/>
  <c r="P178" i="2"/>
  <c r="Q212" i="2"/>
  <c r="P212" i="2"/>
  <c r="Q42" i="2"/>
  <c r="P42" i="2"/>
  <c r="Q77" i="2"/>
  <c r="P77" i="2"/>
  <c r="R41" i="2"/>
  <c r="S40" i="2"/>
  <c r="T40" i="2"/>
  <c r="D78" i="2"/>
  <c r="E78" i="2"/>
  <c r="D145" i="2"/>
  <c r="E145" i="2"/>
  <c r="D111" i="2"/>
  <c r="E111" i="2"/>
  <c r="D9" i="2"/>
  <c r="E9" i="2"/>
  <c r="D179" i="2"/>
  <c r="E179" i="2"/>
  <c r="D213" i="2"/>
  <c r="E213" i="2"/>
  <c r="D247" i="2"/>
  <c r="E247" i="2"/>
  <c r="D43" i="2"/>
  <c r="E43" i="2"/>
  <c r="G43" i="2"/>
  <c r="B43" i="2"/>
  <c r="C43" i="2"/>
  <c r="A44" i="2"/>
  <c r="S74" i="2"/>
  <c r="T74" i="2"/>
  <c r="R177" i="2"/>
  <c r="R109" i="2"/>
  <c r="F305" i="2"/>
  <c r="F304" i="2"/>
  <c r="F306" i="2"/>
  <c r="R7" i="2"/>
  <c r="R76" i="2"/>
  <c r="R143" i="2"/>
  <c r="B12" i="1"/>
  <c r="S142" i="2"/>
  <c r="T142" i="2"/>
  <c r="A146" i="2"/>
  <c r="C145" i="2"/>
  <c r="B145" i="2"/>
  <c r="G145" i="2"/>
  <c r="T6" i="2"/>
  <c r="S6" i="2"/>
  <c r="G111" i="2"/>
  <c r="C111" i="2"/>
  <c r="B111" i="2"/>
  <c r="A112" i="2"/>
  <c r="A10" i="2"/>
  <c r="B9" i="2"/>
  <c r="G9" i="2"/>
  <c r="C9" i="2"/>
  <c r="G179" i="2"/>
  <c r="A180" i="2"/>
  <c r="C179" i="2"/>
  <c r="B179" i="2"/>
  <c r="S108" i="2"/>
  <c r="T108" i="2"/>
  <c r="C213" i="2"/>
  <c r="B213" i="2"/>
  <c r="G213" i="2"/>
  <c r="A214" i="2"/>
  <c r="A248" i="2"/>
  <c r="B247" i="2"/>
  <c r="C247" i="2"/>
  <c r="G247" i="2"/>
  <c r="A282" i="2"/>
  <c r="O76" i="2"/>
  <c r="A79" i="2"/>
  <c r="G78" i="2"/>
  <c r="B78" i="2"/>
  <c r="C78" i="2"/>
  <c r="O44" i="2"/>
  <c r="F1288" i="2" l="1"/>
  <c r="F1323" i="2" s="1"/>
  <c r="F1358" i="2" s="1"/>
  <c r="F1393" i="2" s="1"/>
  <c r="F1428" i="2" s="1"/>
  <c r="F1463" i="2" s="1"/>
  <c r="F1498" i="2" s="1"/>
  <c r="F939" i="2"/>
  <c r="F835" i="2"/>
  <c r="F661" i="2"/>
  <c r="F696" i="2" s="1"/>
  <c r="F731" i="2" s="1"/>
  <c r="F766" i="2" s="1"/>
  <c r="F452" i="2"/>
  <c r="F487" i="2" s="1"/>
  <c r="F522" i="2" s="1"/>
  <c r="F383" i="2"/>
  <c r="F1858" i="2"/>
  <c r="F1893" i="2" s="1"/>
  <c r="F1928" i="2" s="1"/>
  <c r="F1963" i="2" s="1"/>
  <c r="F1998" i="2" s="1"/>
  <c r="F2033" i="2" s="1"/>
  <c r="F2068" i="2" s="1"/>
  <c r="F2103" i="2" s="1"/>
  <c r="F2278" i="2" s="1"/>
  <c r="S41" i="2"/>
  <c r="S75" i="2"/>
  <c r="T41" i="2"/>
  <c r="T75" i="2"/>
  <c r="Q78" i="2"/>
  <c r="P78" i="2"/>
  <c r="Q247" i="2"/>
  <c r="P247" i="2"/>
  <c r="Q213" i="2"/>
  <c r="P213" i="2"/>
  <c r="Q179" i="2"/>
  <c r="P179" i="2"/>
  <c r="Q9" i="2"/>
  <c r="P9" i="2"/>
  <c r="Q111" i="2"/>
  <c r="P111" i="2"/>
  <c r="Q145" i="2"/>
  <c r="P145" i="2"/>
  <c r="Q43" i="2"/>
  <c r="P43" i="2"/>
  <c r="R42" i="2"/>
  <c r="D79" i="2"/>
  <c r="E79" i="2"/>
  <c r="D282" i="2"/>
  <c r="E282" i="2"/>
  <c r="D248" i="2"/>
  <c r="E248" i="2"/>
  <c r="D214" i="2"/>
  <c r="E214" i="2"/>
  <c r="D180" i="2"/>
  <c r="E180" i="2"/>
  <c r="D10" i="2"/>
  <c r="E10" i="2"/>
  <c r="D112" i="2"/>
  <c r="E112" i="2"/>
  <c r="D146" i="2"/>
  <c r="E146" i="2"/>
  <c r="D44" i="2"/>
  <c r="E44" i="2"/>
  <c r="G44" i="2"/>
  <c r="C44" i="2"/>
  <c r="B44" i="2"/>
  <c r="A45" i="2"/>
  <c r="S143" i="2"/>
  <c r="T109" i="2"/>
  <c r="T177" i="2"/>
  <c r="S177" i="2"/>
  <c r="S109" i="2"/>
  <c r="F340" i="2"/>
  <c r="F339" i="2"/>
  <c r="F341" i="2"/>
  <c r="R178" i="2"/>
  <c r="R144" i="2"/>
  <c r="T143" i="2"/>
  <c r="R212" i="2"/>
  <c r="B13" i="1"/>
  <c r="R8" i="2"/>
  <c r="R110" i="2"/>
  <c r="R77" i="2"/>
  <c r="O178" i="2"/>
  <c r="O77" i="2"/>
  <c r="O110" i="2"/>
  <c r="O144" i="2"/>
  <c r="O212" i="2"/>
  <c r="B282" i="2"/>
  <c r="A283" i="2"/>
  <c r="G282" i="2"/>
  <c r="A317" i="2"/>
  <c r="C282" i="2"/>
  <c r="O247" i="2"/>
  <c r="B248" i="2"/>
  <c r="G248" i="2"/>
  <c r="C248" i="2"/>
  <c r="A249" i="2"/>
  <c r="A215" i="2"/>
  <c r="B214" i="2"/>
  <c r="C214" i="2"/>
  <c r="G214" i="2"/>
  <c r="C180" i="2"/>
  <c r="B180" i="2"/>
  <c r="G180" i="2"/>
  <c r="A181" i="2"/>
  <c r="A11" i="2"/>
  <c r="B10" i="2"/>
  <c r="G10" i="2"/>
  <c r="C10" i="2"/>
  <c r="C112" i="2"/>
  <c r="B112" i="2"/>
  <c r="A113" i="2"/>
  <c r="G112" i="2"/>
  <c r="C146" i="2"/>
  <c r="B146" i="2"/>
  <c r="G146" i="2"/>
  <c r="A147" i="2"/>
  <c r="T76" i="2"/>
  <c r="S76" i="2"/>
  <c r="B79" i="2"/>
  <c r="G79" i="2"/>
  <c r="C79" i="2"/>
  <c r="A80" i="2"/>
  <c r="O45" i="2"/>
  <c r="S110" i="2" l="1"/>
  <c r="F1533" i="2"/>
  <c r="F1568" i="2" s="1"/>
  <c r="F1603" i="2" s="1"/>
  <c r="F1638" i="2" s="1"/>
  <c r="F1673" i="2" s="1"/>
  <c r="F1708" i="2" s="1"/>
  <c r="F1743" i="2" s="1"/>
  <c r="F1778" i="2" s="1"/>
  <c r="F1813" i="2" s="1"/>
  <c r="F1848" i="2" s="1"/>
  <c r="F1883" i="2" s="1"/>
  <c r="F1918" i="2" s="1"/>
  <c r="F1953" i="2" s="1"/>
  <c r="F974" i="2"/>
  <c r="F870" i="2"/>
  <c r="F905" i="2" s="1"/>
  <c r="F801" i="2"/>
  <c r="F557" i="2"/>
  <c r="F592" i="2" s="1"/>
  <c r="F418" i="2"/>
  <c r="F2138" i="2"/>
  <c r="F2173" i="2" s="1"/>
  <c r="F2208" i="2" s="1"/>
  <c r="F2243" i="2" s="1"/>
  <c r="T42" i="2"/>
  <c r="S42" i="2"/>
  <c r="Q79" i="2"/>
  <c r="P79" i="2"/>
  <c r="Q146" i="2"/>
  <c r="P146" i="2"/>
  <c r="Q112" i="2"/>
  <c r="P112" i="2"/>
  <c r="P10" i="2"/>
  <c r="Q10" i="2"/>
  <c r="Q180" i="2"/>
  <c r="P180" i="2"/>
  <c r="Q214" i="2"/>
  <c r="P214" i="2"/>
  <c r="Q248" i="2"/>
  <c r="P248" i="2"/>
  <c r="Q282" i="2"/>
  <c r="P282" i="2"/>
  <c r="Q44" i="2"/>
  <c r="P44" i="2"/>
  <c r="R43" i="2"/>
  <c r="D80" i="2"/>
  <c r="E80" i="2"/>
  <c r="D147" i="2"/>
  <c r="E147" i="2"/>
  <c r="D113" i="2"/>
  <c r="E113" i="2"/>
  <c r="D11" i="2"/>
  <c r="E11" i="2"/>
  <c r="D181" i="2"/>
  <c r="E181" i="2"/>
  <c r="D215" i="2"/>
  <c r="E215" i="2"/>
  <c r="D249" i="2"/>
  <c r="E249" i="2"/>
  <c r="B317" i="2"/>
  <c r="D317" i="2"/>
  <c r="E317" i="2"/>
  <c r="D283" i="2"/>
  <c r="E283" i="2"/>
  <c r="D45" i="2"/>
  <c r="E45" i="2"/>
  <c r="C45" i="2"/>
  <c r="B45" i="2"/>
  <c r="G45" i="2"/>
  <c r="A46" i="2"/>
  <c r="S178" i="2"/>
  <c r="T178" i="2"/>
  <c r="F375" i="2"/>
  <c r="F374" i="2"/>
  <c r="F376" i="2"/>
  <c r="T212" i="2"/>
  <c r="R111" i="2"/>
  <c r="R78" i="2"/>
  <c r="R145" i="2"/>
  <c r="B14" i="1"/>
  <c r="R179" i="2"/>
  <c r="R9" i="2"/>
  <c r="S212" i="2"/>
  <c r="S77" i="2"/>
  <c r="T110" i="2"/>
  <c r="T77" i="2"/>
  <c r="R213" i="2"/>
  <c r="R247" i="2"/>
  <c r="O213" i="2"/>
  <c r="O145" i="2"/>
  <c r="O78" i="2"/>
  <c r="O146" i="2"/>
  <c r="A148" i="2"/>
  <c r="B147" i="2"/>
  <c r="C147" i="2"/>
  <c r="G147" i="2"/>
  <c r="S144" i="2"/>
  <c r="T144" i="2"/>
  <c r="O179" i="2"/>
  <c r="O111" i="2"/>
  <c r="C113" i="2"/>
  <c r="B113" i="2"/>
  <c r="A114" i="2"/>
  <c r="G113" i="2"/>
  <c r="O112" i="2"/>
  <c r="A12" i="2"/>
  <c r="B11" i="2"/>
  <c r="G11" i="2"/>
  <c r="C11" i="2"/>
  <c r="B181" i="2"/>
  <c r="A182" i="2"/>
  <c r="G181" i="2"/>
  <c r="C181" i="2"/>
  <c r="O180" i="2"/>
  <c r="C215" i="2"/>
  <c r="B215" i="2"/>
  <c r="A216" i="2"/>
  <c r="G215" i="2"/>
  <c r="G249" i="2"/>
  <c r="B249" i="2"/>
  <c r="C249" i="2"/>
  <c r="A250" i="2"/>
  <c r="C317" i="2"/>
  <c r="A352" i="2"/>
  <c r="G317" i="2"/>
  <c r="A318" i="2"/>
  <c r="C283" i="2"/>
  <c r="B283" i="2"/>
  <c r="A284" i="2"/>
  <c r="G283" i="2"/>
  <c r="O282" i="2"/>
  <c r="G80" i="2"/>
  <c r="A81" i="2"/>
  <c r="C80" i="2"/>
  <c r="B80" i="2"/>
  <c r="O46" i="2"/>
  <c r="F1988" i="2" l="1"/>
  <c r="F2023" i="2" s="1"/>
  <c r="F2058" i="2" s="1"/>
  <c r="F1009" i="2"/>
  <c r="F1044" i="2" s="1"/>
  <c r="F1079" i="2" s="1"/>
  <c r="F1114" i="2" s="1"/>
  <c r="F1149" i="2" s="1"/>
  <c r="F940" i="2"/>
  <c r="F836" i="2"/>
  <c r="F627" i="2"/>
  <c r="F453" i="2"/>
  <c r="T247" i="2"/>
  <c r="Q80" i="2"/>
  <c r="P80" i="2"/>
  <c r="Q283" i="2"/>
  <c r="P283" i="2"/>
  <c r="Q249" i="2"/>
  <c r="P249" i="2"/>
  <c r="Q215" i="2"/>
  <c r="P215" i="2"/>
  <c r="Q181" i="2"/>
  <c r="P181" i="2"/>
  <c r="Q11" i="2"/>
  <c r="P11" i="2"/>
  <c r="Q113" i="2"/>
  <c r="P113" i="2"/>
  <c r="Q147" i="2"/>
  <c r="P147" i="2"/>
  <c r="P45" i="2"/>
  <c r="Q45" i="2"/>
  <c r="Q317" i="2"/>
  <c r="P317" i="2"/>
  <c r="T43" i="2"/>
  <c r="S43" i="2"/>
  <c r="R44" i="2"/>
  <c r="D81" i="2"/>
  <c r="E81" i="2"/>
  <c r="D284" i="2"/>
  <c r="E284" i="2"/>
  <c r="D318" i="2"/>
  <c r="E318" i="2"/>
  <c r="D352" i="2"/>
  <c r="E352" i="2"/>
  <c r="D250" i="2"/>
  <c r="E250" i="2"/>
  <c r="D216" i="2"/>
  <c r="E216" i="2"/>
  <c r="D182" i="2"/>
  <c r="E182" i="2"/>
  <c r="D12" i="2"/>
  <c r="E12" i="2"/>
  <c r="D114" i="2"/>
  <c r="E114" i="2"/>
  <c r="D148" i="2"/>
  <c r="E148" i="2"/>
  <c r="D46" i="2"/>
  <c r="E46" i="2"/>
  <c r="G46" i="2"/>
  <c r="C46" i="2"/>
  <c r="B46" i="2"/>
  <c r="A47" i="2"/>
  <c r="S78" i="2"/>
  <c r="F410" i="2"/>
  <c r="F409" i="2"/>
  <c r="F411" i="2"/>
  <c r="T179" i="2"/>
  <c r="R146" i="2"/>
  <c r="R79" i="2"/>
  <c r="R248" i="2"/>
  <c r="S179" i="2"/>
  <c r="B15" i="1"/>
  <c r="R10" i="2"/>
  <c r="T78" i="2"/>
  <c r="S247" i="2"/>
  <c r="R112" i="2"/>
  <c r="R282" i="2"/>
  <c r="R180" i="2"/>
  <c r="R214" i="2"/>
  <c r="O214" i="2"/>
  <c r="O248" i="2"/>
  <c r="C216" i="2"/>
  <c r="B216" i="2"/>
  <c r="G216" i="2"/>
  <c r="A217" i="2"/>
  <c r="G114" i="2"/>
  <c r="B114" i="2"/>
  <c r="A115" i="2"/>
  <c r="C114" i="2"/>
  <c r="O113" i="2"/>
  <c r="T111" i="2"/>
  <c r="S111" i="2"/>
  <c r="B148" i="2"/>
  <c r="G148" i="2"/>
  <c r="A149" i="2"/>
  <c r="C148" i="2"/>
  <c r="T145" i="2"/>
  <c r="S145" i="2"/>
  <c r="S213" i="2"/>
  <c r="T213" i="2"/>
  <c r="A285" i="2"/>
  <c r="G284" i="2"/>
  <c r="C284" i="2"/>
  <c r="B284" i="2"/>
  <c r="O283" i="2"/>
  <c r="A319" i="2"/>
  <c r="B318" i="2"/>
  <c r="G318" i="2"/>
  <c r="C318" i="2"/>
  <c r="O317" i="2"/>
  <c r="B352" i="2"/>
  <c r="A353" i="2"/>
  <c r="A387" i="2"/>
  <c r="C352" i="2"/>
  <c r="G352" i="2"/>
  <c r="A251" i="2"/>
  <c r="G250" i="2"/>
  <c r="B250" i="2"/>
  <c r="C250" i="2"/>
  <c r="O249" i="2"/>
  <c r="A183" i="2"/>
  <c r="C182" i="2"/>
  <c r="B182" i="2"/>
  <c r="G182" i="2"/>
  <c r="A13" i="2"/>
  <c r="B12" i="2"/>
  <c r="C12" i="2"/>
  <c r="G12" i="2"/>
  <c r="O79" i="2"/>
  <c r="O80" i="2"/>
  <c r="B81" i="2"/>
  <c r="C81" i="2"/>
  <c r="A82" i="2"/>
  <c r="G81" i="2"/>
  <c r="O47" i="2"/>
  <c r="F2093" i="2" l="1"/>
  <c r="F2128" i="2" s="1"/>
  <c r="F2303" i="2"/>
  <c r="F2163" i="2"/>
  <c r="F2198" i="2" s="1"/>
  <c r="F2233" i="2" s="1"/>
  <c r="F2268" i="2" s="1"/>
  <c r="F1184" i="2"/>
  <c r="F1219" i="2" s="1"/>
  <c r="F1254" i="2" s="1"/>
  <c r="F975" i="2"/>
  <c r="F871" i="2"/>
  <c r="F906" i="2" s="1"/>
  <c r="F662" i="2"/>
  <c r="F697" i="2" s="1"/>
  <c r="F732" i="2" s="1"/>
  <c r="F767" i="2" s="1"/>
  <c r="F802" i="2" s="1"/>
  <c r="F837" i="2" s="1"/>
  <c r="F872" i="2" s="1"/>
  <c r="F488" i="2"/>
  <c r="S282" i="2"/>
  <c r="T44" i="2"/>
  <c r="Q81" i="2"/>
  <c r="P81" i="2"/>
  <c r="Q12" i="2"/>
  <c r="P12" i="2"/>
  <c r="Q182" i="2"/>
  <c r="P182" i="2"/>
  <c r="Q250" i="2"/>
  <c r="P250" i="2"/>
  <c r="Q352" i="2"/>
  <c r="P352" i="2"/>
  <c r="Q318" i="2"/>
  <c r="P318" i="2"/>
  <c r="Q284" i="2"/>
  <c r="P284" i="2"/>
  <c r="Q148" i="2"/>
  <c r="P148" i="2"/>
  <c r="Q114" i="2"/>
  <c r="P114" i="2"/>
  <c r="Q216" i="2"/>
  <c r="P216" i="2"/>
  <c r="Q46" i="2"/>
  <c r="P46" i="2"/>
  <c r="S44" i="2"/>
  <c r="D82" i="2"/>
  <c r="E82" i="2"/>
  <c r="D13" i="2"/>
  <c r="E13" i="2"/>
  <c r="D183" i="2"/>
  <c r="E183" i="2"/>
  <c r="D251" i="2"/>
  <c r="E251" i="2"/>
  <c r="D387" i="2"/>
  <c r="E387" i="2"/>
  <c r="D353" i="2"/>
  <c r="E353" i="2"/>
  <c r="D319" i="2"/>
  <c r="E319" i="2"/>
  <c r="D285" i="2"/>
  <c r="E285" i="2"/>
  <c r="D149" i="2"/>
  <c r="E149" i="2"/>
  <c r="D115" i="2"/>
  <c r="E115" i="2"/>
  <c r="D217" i="2"/>
  <c r="E217" i="2"/>
  <c r="R45" i="2"/>
  <c r="D47" i="2"/>
  <c r="E47" i="2"/>
  <c r="B47" i="2"/>
  <c r="G47" i="2"/>
  <c r="C47" i="2"/>
  <c r="A48" i="2"/>
  <c r="S248" i="2"/>
  <c r="S180" i="2"/>
  <c r="T112" i="2"/>
  <c r="S146" i="2"/>
  <c r="T146" i="2"/>
  <c r="R249" i="2"/>
  <c r="R80" i="2"/>
  <c r="R147" i="2"/>
  <c r="F445" i="2"/>
  <c r="F444" i="2"/>
  <c r="F446" i="2"/>
  <c r="R283" i="2"/>
  <c r="T214" i="2"/>
  <c r="R317" i="2"/>
  <c r="R181" i="2"/>
  <c r="S112" i="2"/>
  <c r="B16" i="1"/>
  <c r="R113" i="2"/>
  <c r="T248" i="2"/>
  <c r="T282" i="2"/>
  <c r="S214" i="2"/>
  <c r="T180" i="2"/>
  <c r="R215" i="2"/>
  <c r="R11" i="2"/>
  <c r="O11" i="2"/>
  <c r="O147" i="2"/>
  <c r="O181" i="2"/>
  <c r="O215" i="2"/>
  <c r="O182" i="2"/>
  <c r="A184" i="2"/>
  <c r="G183" i="2"/>
  <c r="B183" i="2"/>
  <c r="C183" i="2"/>
  <c r="A150" i="2"/>
  <c r="C149" i="2"/>
  <c r="B149" i="2"/>
  <c r="G149" i="2"/>
  <c r="G115" i="2"/>
  <c r="A116" i="2"/>
  <c r="C115" i="2"/>
  <c r="B115" i="2"/>
  <c r="O114" i="2"/>
  <c r="C217" i="2"/>
  <c r="G217" i="2"/>
  <c r="A218" i="2"/>
  <c r="B217" i="2"/>
  <c r="G13" i="2"/>
  <c r="C13" i="2"/>
  <c r="A14" i="2"/>
  <c r="B13" i="2"/>
  <c r="O250" i="2"/>
  <c r="G251" i="2"/>
  <c r="A252" i="2"/>
  <c r="B251" i="2"/>
  <c r="C251" i="2"/>
  <c r="A422" i="2"/>
  <c r="C387" i="2"/>
  <c r="B387" i="2"/>
  <c r="G387" i="2"/>
  <c r="A388" i="2"/>
  <c r="C353" i="2"/>
  <c r="G353" i="2"/>
  <c r="A354" i="2"/>
  <c r="B353" i="2"/>
  <c r="C319" i="2"/>
  <c r="A320" i="2"/>
  <c r="B319" i="2"/>
  <c r="G319" i="2"/>
  <c r="O284" i="2"/>
  <c r="G285" i="2"/>
  <c r="C285" i="2"/>
  <c r="B285" i="2"/>
  <c r="A286" i="2"/>
  <c r="S79" i="2"/>
  <c r="T79" i="2"/>
  <c r="C82" i="2"/>
  <c r="G82" i="2"/>
  <c r="B82" i="2"/>
  <c r="A83" i="2"/>
  <c r="O48" i="2"/>
  <c r="F1289" i="2" l="1"/>
  <c r="F1324" i="2" s="1"/>
  <c r="F1359" i="2" s="1"/>
  <c r="F1394" i="2" s="1"/>
  <c r="F1429" i="2" s="1"/>
  <c r="F1010" i="2"/>
  <c r="F1045" i="2" s="1"/>
  <c r="F941" i="2"/>
  <c r="F907" i="2"/>
  <c r="F523" i="2"/>
  <c r="S147" i="2"/>
  <c r="S317" i="2"/>
  <c r="S283" i="2"/>
  <c r="S249" i="2"/>
  <c r="Q82" i="2"/>
  <c r="P82" i="2"/>
  <c r="Q285" i="2"/>
  <c r="P285" i="2"/>
  <c r="Q319" i="2"/>
  <c r="P319" i="2"/>
  <c r="Q353" i="2"/>
  <c r="P353" i="2"/>
  <c r="Q387" i="2"/>
  <c r="P387" i="2"/>
  <c r="Q251" i="2"/>
  <c r="P251" i="2"/>
  <c r="Q13" i="2"/>
  <c r="P13" i="2"/>
  <c r="Q217" i="2"/>
  <c r="P217" i="2"/>
  <c r="P115" i="2"/>
  <c r="Q115" i="2"/>
  <c r="Q149" i="2"/>
  <c r="P149" i="2"/>
  <c r="Q183" i="2"/>
  <c r="P183" i="2"/>
  <c r="Q47" i="2"/>
  <c r="P47" i="2"/>
  <c r="R46" i="2"/>
  <c r="D83" i="2"/>
  <c r="E83" i="2"/>
  <c r="D286" i="2"/>
  <c r="E286" i="2"/>
  <c r="D320" i="2"/>
  <c r="E320" i="2"/>
  <c r="D354" i="2"/>
  <c r="E354" i="2"/>
  <c r="D388" i="2"/>
  <c r="E388" i="2"/>
  <c r="D422" i="2"/>
  <c r="E422" i="2"/>
  <c r="D252" i="2"/>
  <c r="E252" i="2"/>
  <c r="D14" i="2"/>
  <c r="E14" i="2"/>
  <c r="D218" i="2"/>
  <c r="E218" i="2"/>
  <c r="D116" i="2"/>
  <c r="E116" i="2"/>
  <c r="D150" i="2"/>
  <c r="E150" i="2"/>
  <c r="D184" i="2"/>
  <c r="E184" i="2"/>
  <c r="D48" i="2"/>
  <c r="E48" i="2"/>
  <c r="G48" i="2"/>
  <c r="C48" i="2"/>
  <c r="B48" i="2"/>
  <c r="A49" i="2"/>
  <c r="S45" i="2"/>
  <c r="T45" i="2"/>
  <c r="S80" i="2"/>
  <c r="T249" i="2"/>
  <c r="T80" i="2"/>
  <c r="T147" i="2"/>
  <c r="S113" i="2"/>
  <c r="T317" i="2"/>
  <c r="R284" i="2"/>
  <c r="T283" i="2"/>
  <c r="S181" i="2"/>
  <c r="F480" i="2"/>
  <c r="F479" i="2"/>
  <c r="F481" i="2"/>
  <c r="T113" i="2"/>
  <c r="R148" i="2"/>
  <c r="R318" i="2"/>
  <c r="R250" i="2"/>
  <c r="R114" i="2"/>
  <c r="R216" i="2"/>
  <c r="S11" i="2"/>
  <c r="B17" i="1"/>
  <c r="T11" i="2"/>
  <c r="R81" i="2"/>
  <c r="R12" i="2"/>
  <c r="R182" i="2"/>
  <c r="R352" i="2"/>
  <c r="T215" i="2"/>
  <c r="S215" i="2"/>
  <c r="T181" i="2"/>
  <c r="O216" i="2"/>
  <c r="O318" i="2"/>
  <c r="O352" i="2"/>
  <c r="O148" i="2"/>
  <c r="B150" i="2"/>
  <c r="C150" i="2"/>
  <c r="G150" i="2"/>
  <c r="A151" i="2"/>
  <c r="C286" i="2"/>
  <c r="B286" i="2"/>
  <c r="A287" i="2"/>
  <c r="G286" i="2"/>
  <c r="O319" i="2"/>
  <c r="G320" i="2"/>
  <c r="C320" i="2"/>
  <c r="A321" i="2"/>
  <c r="B320" i="2"/>
  <c r="C354" i="2"/>
  <c r="G354" i="2"/>
  <c r="B354" i="2"/>
  <c r="A355" i="2"/>
  <c r="C388" i="2"/>
  <c r="B388" i="2"/>
  <c r="A389" i="2"/>
  <c r="G388" i="2"/>
  <c r="O387" i="2"/>
  <c r="A457" i="2"/>
  <c r="G422" i="2"/>
  <c r="C422" i="2"/>
  <c r="B422" i="2"/>
  <c r="A423" i="2"/>
  <c r="O217" i="2"/>
  <c r="B218" i="2"/>
  <c r="A219" i="2"/>
  <c r="G218" i="2"/>
  <c r="C218" i="2"/>
  <c r="G116" i="2"/>
  <c r="C116" i="2"/>
  <c r="A117" i="2"/>
  <c r="B116" i="2"/>
  <c r="B184" i="2"/>
  <c r="G184" i="2"/>
  <c r="A185" i="2"/>
  <c r="C184" i="2"/>
  <c r="A253" i="2"/>
  <c r="C252" i="2"/>
  <c r="B252" i="2"/>
  <c r="G252" i="2"/>
  <c r="A15" i="2"/>
  <c r="G14" i="2"/>
  <c r="C14" i="2"/>
  <c r="B14" i="2"/>
  <c r="A84" i="2"/>
  <c r="C83" i="2"/>
  <c r="B83" i="2"/>
  <c r="G83" i="2"/>
  <c r="O49" i="2"/>
  <c r="F1464" i="2" l="1"/>
  <c r="F1080" i="2"/>
  <c r="F1115" i="2" s="1"/>
  <c r="F1150" i="2" s="1"/>
  <c r="F976" i="2"/>
  <c r="F942" i="2"/>
  <c r="F558" i="2"/>
  <c r="S250" i="2"/>
  <c r="T284" i="2"/>
  <c r="I81" i="2"/>
  <c r="S46" i="2"/>
  <c r="Q83" i="2"/>
  <c r="P83" i="2"/>
  <c r="Q14" i="2"/>
  <c r="P14" i="2"/>
  <c r="Q252" i="2"/>
  <c r="P252" i="2"/>
  <c r="Q184" i="2"/>
  <c r="P184" i="2"/>
  <c r="Q116" i="2"/>
  <c r="P116" i="2"/>
  <c r="Q218" i="2"/>
  <c r="P218" i="2"/>
  <c r="Q422" i="2"/>
  <c r="P422" i="2"/>
  <c r="Q388" i="2"/>
  <c r="P388" i="2"/>
  <c r="Q354" i="2"/>
  <c r="P354" i="2"/>
  <c r="Q320" i="2"/>
  <c r="P320" i="2"/>
  <c r="Q286" i="2"/>
  <c r="P286" i="2"/>
  <c r="Q150" i="2"/>
  <c r="P150" i="2"/>
  <c r="Q48" i="2"/>
  <c r="P48" i="2"/>
  <c r="T46" i="2"/>
  <c r="R47" i="2"/>
  <c r="D84" i="2"/>
  <c r="E84" i="2"/>
  <c r="D15" i="2"/>
  <c r="E15" i="2"/>
  <c r="D253" i="2"/>
  <c r="E253" i="2"/>
  <c r="D185" i="2"/>
  <c r="E185" i="2"/>
  <c r="D117" i="2"/>
  <c r="E117" i="2"/>
  <c r="D219" i="2"/>
  <c r="E219" i="2"/>
  <c r="D423" i="2"/>
  <c r="E423" i="2"/>
  <c r="A458" i="2"/>
  <c r="A459" i="2" s="1"/>
  <c r="D457" i="2"/>
  <c r="E457" i="2"/>
  <c r="D389" i="2"/>
  <c r="E389" i="2"/>
  <c r="D355" i="2"/>
  <c r="E355" i="2"/>
  <c r="D321" i="2"/>
  <c r="E321" i="2"/>
  <c r="D287" i="2"/>
  <c r="E287" i="2"/>
  <c r="D151" i="2"/>
  <c r="E151" i="2"/>
  <c r="D49" i="2"/>
  <c r="E49" i="2"/>
  <c r="A50" i="2"/>
  <c r="B49" i="2"/>
  <c r="G49" i="2"/>
  <c r="C49" i="2"/>
  <c r="S284" i="2"/>
  <c r="S182" i="2"/>
  <c r="S114" i="2"/>
  <c r="G457" i="2"/>
  <c r="B457" i="2"/>
  <c r="T216" i="2"/>
  <c r="T250" i="2"/>
  <c r="S216" i="2"/>
  <c r="T148" i="2"/>
  <c r="S318" i="2"/>
  <c r="F515" i="2"/>
  <c r="F514" i="2"/>
  <c r="F516" i="2"/>
  <c r="T114" i="2"/>
  <c r="T318" i="2"/>
  <c r="S352" i="2"/>
  <c r="R285" i="2"/>
  <c r="R183" i="2"/>
  <c r="R149" i="2"/>
  <c r="R217" i="2"/>
  <c r="R251" i="2"/>
  <c r="R82" i="2"/>
  <c r="S148" i="2"/>
  <c r="B18" i="1"/>
  <c r="A492" i="2"/>
  <c r="C457" i="2"/>
  <c r="T182" i="2"/>
  <c r="T352" i="2"/>
  <c r="R353" i="2"/>
  <c r="R13" i="2"/>
  <c r="R115" i="2"/>
  <c r="R319" i="2"/>
  <c r="R387" i="2"/>
  <c r="O183" i="2"/>
  <c r="O251" i="2"/>
  <c r="O149" i="2"/>
  <c r="O353" i="2"/>
  <c r="O115" i="2"/>
  <c r="O285" i="2"/>
  <c r="G151" i="2"/>
  <c r="A152" i="2"/>
  <c r="B151" i="2"/>
  <c r="C151" i="2"/>
  <c r="A118" i="2"/>
  <c r="C117" i="2"/>
  <c r="B117" i="2"/>
  <c r="G117" i="2"/>
  <c r="B219" i="2"/>
  <c r="A220" i="2"/>
  <c r="C219" i="2"/>
  <c r="G219" i="2"/>
  <c r="O218" i="2"/>
  <c r="B253" i="2"/>
  <c r="A254" i="2"/>
  <c r="G253" i="2"/>
  <c r="C253" i="2"/>
  <c r="B185" i="2"/>
  <c r="G185" i="2"/>
  <c r="A186" i="2"/>
  <c r="C185" i="2"/>
  <c r="B423" i="2"/>
  <c r="C423" i="2"/>
  <c r="A424" i="2"/>
  <c r="G423" i="2"/>
  <c r="B389" i="2"/>
  <c r="A390" i="2"/>
  <c r="G389" i="2"/>
  <c r="C389" i="2"/>
  <c r="B355" i="2"/>
  <c r="C355" i="2"/>
  <c r="A356" i="2"/>
  <c r="G355" i="2"/>
  <c r="A322" i="2"/>
  <c r="B321" i="2"/>
  <c r="G321" i="2"/>
  <c r="C321" i="2"/>
  <c r="C287" i="2"/>
  <c r="B287" i="2"/>
  <c r="G287" i="2"/>
  <c r="A288" i="2"/>
  <c r="A16" i="2"/>
  <c r="G15" i="2"/>
  <c r="C15" i="2"/>
  <c r="B15" i="2"/>
  <c r="O82" i="2"/>
  <c r="C84" i="2"/>
  <c r="B84" i="2"/>
  <c r="A85" i="2"/>
  <c r="G84" i="2"/>
  <c r="F1499" i="2" l="1"/>
  <c r="F1185" i="2"/>
  <c r="F1220" i="2" s="1"/>
  <c r="F1255" i="2" s="1"/>
  <c r="F1011" i="2"/>
  <c r="F977" i="2"/>
  <c r="F593" i="2"/>
  <c r="S387" i="2"/>
  <c r="S319" i="2"/>
  <c r="T217" i="2"/>
  <c r="O81" i="2"/>
  <c r="T47" i="2"/>
  <c r="C458" i="2"/>
  <c r="G458" i="2"/>
  <c r="B458" i="2"/>
  <c r="Q458" i="2" s="1"/>
  <c r="S47" i="2"/>
  <c r="Q84" i="2"/>
  <c r="P84" i="2"/>
  <c r="Q15" i="2"/>
  <c r="P15" i="2"/>
  <c r="Q287" i="2"/>
  <c r="P287" i="2"/>
  <c r="Q321" i="2"/>
  <c r="P321" i="2"/>
  <c r="Q355" i="2"/>
  <c r="P355" i="2"/>
  <c r="Q389" i="2"/>
  <c r="P389" i="2"/>
  <c r="Q423" i="2"/>
  <c r="P423" i="2"/>
  <c r="Q185" i="2"/>
  <c r="P185" i="2"/>
  <c r="Q253" i="2"/>
  <c r="P253" i="2"/>
  <c r="Q219" i="2"/>
  <c r="P219" i="2"/>
  <c r="Q117" i="2"/>
  <c r="P117" i="2"/>
  <c r="Q151" i="2"/>
  <c r="P151" i="2"/>
  <c r="Q457" i="2"/>
  <c r="P457" i="2"/>
  <c r="Q49" i="2"/>
  <c r="P49" i="2"/>
  <c r="R48" i="2"/>
  <c r="D85" i="2"/>
  <c r="E85" i="2"/>
  <c r="D459" i="2"/>
  <c r="E459" i="2"/>
  <c r="D16" i="2"/>
  <c r="E16" i="2"/>
  <c r="D288" i="2"/>
  <c r="E288" i="2"/>
  <c r="D322" i="2"/>
  <c r="E322" i="2"/>
  <c r="D356" i="2"/>
  <c r="E356" i="2"/>
  <c r="D390" i="2"/>
  <c r="E390" i="2"/>
  <c r="D424" i="2"/>
  <c r="E424" i="2"/>
  <c r="D186" i="2"/>
  <c r="E186" i="2"/>
  <c r="D254" i="2"/>
  <c r="E254" i="2"/>
  <c r="D220" i="2"/>
  <c r="E220" i="2"/>
  <c r="D118" i="2"/>
  <c r="E118" i="2"/>
  <c r="D152" i="2"/>
  <c r="E152" i="2"/>
  <c r="A527" i="2"/>
  <c r="A562" i="2" s="1"/>
  <c r="D492" i="2"/>
  <c r="E492" i="2"/>
  <c r="D50" i="2"/>
  <c r="E50" i="2"/>
  <c r="G50" i="2"/>
  <c r="C50" i="2"/>
  <c r="B50" i="2"/>
  <c r="A51" i="2"/>
  <c r="D458" i="2"/>
  <c r="E458" i="2"/>
  <c r="T353" i="2"/>
  <c r="G492" i="2"/>
  <c r="T285" i="2"/>
  <c r="C492" i="2"/>
  <c r="R116" i="2"/>
  <c r="A493" i="2"/>
  <c r="S217" i="2"/>
  <c r="B492" i="2"/>
  <c r="R354" i="2"/>
  <c r="F550" i="2"/>
  <c r="F549" i="2"/>
  <c r="F551" i="2"/>
  <c r="S149" i="2"/>
  <c r="T251" i="2"/>
  <c r="T183" i="2"/>
  <c r="R14" i="2"/>
  <c r="R252" i="2"/>
  <c r="R150" i="2"/>
  <c r="S115" i="2"/>
  <c r="R218" i="2"/>
  <c r="S251" i="2"/>
  <c r="R184" i="2"/>
  <c r="T115" i="2"/>
  <c r="S353" i="2"/>
  <c r="B19" i="1"/>
  <c r="R422" i="2"/>
  <c r="S285" i="2"/>
  <c r="R83" i="2"/>
  <c r="S183" i="2"/>
  <c r="T319" i="2"/>
  <c r="T387" i="2"/>
  <c r="R320" i="2"/>
  <c r="R388" i="2"/>
  <c r="R286" i="2"/>
  <c r="O457" i="2"/>
  <c r="O252" i="2"/>
  <c r="T149" i="2"/>
  <c r="O286" i="2"/>
  <c r="O422" i="2"/>
  <c r="O184" i="2"/>
  <c r="O150" i="2"/>
  <c r="O116" i="2"/>
  <c r="B152" i="2"/>
  <c r="G152" i="2"/>
  <c r="C152" i="2"/>
  <c r="A153" i="2"/>
  <c r="O388" i="2"/>
  <c r="O320" i="2"/>
  <c r="O354" i="2"/>
  <c r="G220" i="2"/>
  <c r="A221" i="2"/>
  <c r="C220" i="2"/>
  <c r="B220" i="2"/>
  <c r="G118" i="2"/>
  <c r="A119" i="2"/>
  <c r="A187" i="2"/>
  <c r="G186" i="2"/>
  <c r="B186" i="2"/>
  <c r="C186" i="2"/>
  <c r="C118" i="2"/>
  <c r="B118" i="2"/>
  <c r="A289" i="2"/>
  <c r="G288" i="2"/>
  <c r="B288" i="2"/>
  <c r="C288" i="2"/>
  <c r="O287" i="2"/>
  <c r="C322" i="2"/>
  <c r="G322" i="2"/>
  <c r="A323" i="2"/>
  <c r="B322" i="2"/>
  <c r="B356" i="2"/>
  <c r="A357" i="2"/>
  <c r="C356" i="2"/>
  <c r="G356" i="2"/>
  <c r="O355" i="2"/>
  <c r="A391" i="2"/>
  <c r="B390" i="2"/>
  <c r="G390" i="2"/>
  <c r="C390" i="2"/>
  <c r="A425" i="2"/>
  <c r="G424" i="2"/>
  <c r="B424" i="2"/>
  <c r="C424" i="2"/>
  <c r="A255" i="2"/>
  <c r="C254" i="2"/>
  <c r="G254" i="2"/>
  <c r="B254" i="2"/>
  <c r="O253" i="2"/>
  <c r="A460" i="2"/>
  <c r="G459" i="2"/>
  <c r="B459" i="2"/>
  <c r="C459" i="2"/>
  <c r="A17" i="2"/>
  <c r="G16" i="2"/>
  <c r="C16" i="2"/>
  <c r="B16" i="2"/>
  <c r="O83" i="2"/>
  <c r="A86" i="2"/>
  <c r="G85" i="2"/>
  <c r="B85" i="2"/>
  <c r="C85" i="2"/>
  <c r="S82" i="2"/>
  <c r="T82" i="2"/>
  <c r="O51" i="2"/>
  <c r="F1534" i="2" l="1"/>
  <c r="F1569" i="2" s="1"/>
  <c r="F1604" i="2" s="1"/>
  <c r="F1639" i="2" s="1"/>
  <c r="F1674" i="2" s="1"/>
  <c r="F1709" i="2" s="1"/>
  <c r="F1744" i="2" s="1"/>
  <c r="F1779" i="2" s="1"/>
  <c r="F1814" i="2" s="1"/>
  <c r="F1849" i="2" s="1"/>
  <c r="F1884" i="2" s="1"/>
  <c r="F1919" i="2" s="1"/>
  <c r="F1290" i="2"/>
  <c r="F1325" i="2" s="1"/>
  <c r="F1360" i="2" s="1"/>
  <c r="F1395" i="2" s="1"/>
  <c r="F1430" i="2" s="1"/>
  <c r="G527" i="2"/>
  <c r="F1046" i="2"/>
  <c r="F1012" i="2"/>
  <c r="F628" i="2"/>
  <c r="S218" i="2"/>
  <c r="C527" i="2"/>
  <c r="T81" i="2"/>
  <c r="S81" i="2"/>
  <c r="S48" i="2"/>
  <c r="A528" i="2"/>
  <c r="P458" i="2"/>
  <c r="B527" i="2"/>
  <c r="Q527" i="2" s="1"/>
  <c r="R457" i="2"/>
  <c r="T48" i="2"/>
  <c r="Q85" i="2"/>
  <c r="P85" i="2"/>
  <c r="Q16" i="2"/>
  <c r="P16" i="2"/>
  <c r="Q459" i="2"/>
  <c r="P459" i="2"/>
  <c r="Q254" i="2"/>
  <c r="P254" i="2"/>
  <c r="Q424" i="2"/>
  <c r="P424" i="2"/>
  <c r="Q390" i="2"/>
  <c r="P390" i="2"/>
  <c r="Q356" i="2"/>
  <c r="P356" i="2"/>
  <c r="Q322" i="2"/>
  <c r="P322" i="2"/>
  <c r="Q288" i="2"/>
  <c r="P288" i="2"/>
  <c r="Q118" i="2"/>
  <c r="P118" i="2"/>
  <c r="Q186" i="2"/>
  <c r="P186" i="2"/>
  <c r="P220" i="2"/>
  <c r="Q220" i="2"/>
  <c r="Q152" i="2"/>
  <c r="P152" i="2"/>
  <c r="Q492" i="2"/>
  <c r="P492" i="2"/>
  <c r="Q50" i="2"/>
  <c r="P50" i="2"/>
  <c r="R49" i="2"/>
  <c r="D86" i="2"/>
  <c r="E86" i="2"/>
  <c r="D17" i="2"/>
  <c r="E17" i="2"/>
  <c r="D528" i="2"/>
  <c r="E528" i="2"/>
  <c r="D460" i="2"/>
  <c r="E460" i="2"/>
  <c r="D255" i="2"/>
  <c r="E255" i="2"/>
  <c r="D425" i="2"/>
  <c r="E425" i="2"/>
  <c r="D391" i="2"/>
  <c r="E391" i="2"/>
  <c r="D357" i="2"/>
  <c r="E357" i="2"/>
  <c r="D323" i="2"/>
  <c r="E323" i="2"/>
  <c r="D289" i="2"/>
  <c r="E289" i="2"/>
  <c r="D187" i="2"/>
  <c r="E187" i="2"/>
  <c r="D119" i="2"/>
  <c r="E119" i="2"/>
  <c r="D221" i="2"/>
  <c r="E221" i="2"/>
  <c r="D153" i="2"/>
  <c r="E153" i="2"/>
  <c r="A494" i="2"/>
  <c r="C494" i="2" s="1"/>
  <c r="D493" i="2"/>
  <c r="E493" i="2"/>
  <c r="D51" i="2"/>
  <c r="E51" i="2"/>
  <c r="A52" i="2"/>
  <c r="G51" i="2"/>
  <c r="B51" i="2"/>
  <c r="C51" i="2"/>
  <c r="D527" i="2"/>
  <c r="E527" i="2"/>
  <c r="S116" i="2"/>
  <c r="B493" i="2"/>
  <c r="G493" i="2"/>
  <c r="C493" i="2"/>
  <c r="S354" i="2"/>
  <c r="R321" i="2"/>
  <c r="R287" i="2"/>
  <c r="S422" i="2"/>
  <c r="T457" i="2"/>
  <c r="F585" i="2"/>
  <c r="F584" i="2"/>
  <c r="F586" i="2"/>
  <c r="S252" i="2"/>
  <c r="S184" i="2"/>
  <c r="T218" i="2"/>
  <c r="T116" i="2"/>
  <c r="R253" i="2"/>
  <c r="R185" i="2"/>
  <c r="T388" i="2"/>
  <c r="R84" i="2"/>
  <c r="T354" i="2"/>
  <c r="R219" i="2"/>
  <c r="R151" i="2"/>
  <c r="B20" i="1"/>
  <c r="R423" i="2"/>
  <c r="T252" i="2"/>
  <c r="T184" i="2"/>
  <c r="S286" i="2"/>
  <c r="T320" i="2"/>
  <c r="T422" i="2"/>
  <c r="S388" i="2"/>
  <c r="S320" i="2"/>
  <c r="T286" i="2"/>
  <c r="R458" i="2"/>
  <c r="R117" i="2"/>
  <c r="R389" i="2"/>
  <c r="R15" i="2"/>
  <c r="O84" i="2"/>
  <c r="O492" i="2"/>
  <c r="O458" i="2"/>
  <c r="G119" i="2"/>
  <c r="A120" i="2"/>
  <c r="B119" i="2"/>
  <c r="C119" i="2"/>
  <c r="C153" i="2"/>
  <c r="B153" i="2"/>
  <c r="G153" i="2"/>
  <c r="A154" i="2"/>
  <c r="O423" i="2"/>
  <c r="O389" i="2"/>
  <c r="O185" i="2"/>
  <c r="O117" i="2"/>
  <c r="O220" i="2"/>
  <c r="S150" i="2"/>
  <c r="T150" i="2"/>
  <c r="C221" i="2"/>
  <c r="B221" i="2"/>
  <c r="G221" i="2"/>
  <c r="A222" i="2"/>
  <c r="O219" i="2"/>
  <c r="O321" i="2"/>
  <c r="C187" i="2"/>
  <c r="B187" i="2"/>
  <c r="A426" i="2"/>
  <c r="B425" i="2"/>
  <c r="C425" i="2"/>
  <c r="G425" i="2"/>
  <c r="C391" i="2"/>
  <c r="A392" i="2"/>
  <c r="B391" i="2"/>
  <c r="G391" i="2"/>
  <c r="C357" i="2"/>
  <c r="B357" i="2"/>
  <c r="A358" i="2"/>
  <c r="G357" i="2"/>
  <c r="O322" i="2"/>
  <c r="A324" i="2"/>
  <c r="B323" i="2"/>
  <c r="G323" i="2"/>
  <c r="C323" i="2"/>
  <c r="C289" i="2"/>
  <c r="B289" i="2"/>
  <c r="A290" i="2"/>
  <c r="G289" i="2"/>
  <c r="G187" i="2"/>
  <c r="A188" i="2"/>
  <c r="A256" i="2"/>
  <c r="C255" i="2"/>
  <c r="B255" i="2"/>
  <c r="G255" i="2"/>
  <c r="A18" i="2"/>
  <c r="B17" i="2"/>
  <c r="G17" i="2"/>
  <c r="C17" i="2"/>
  <c r="A529" i="2"/>
  <c r="C528" i="2"/>
  <c r="G528" i="2"/>
  <c r="B528" i="2"/>
  <c r="A597" i="2"/>
  <c r="A563" i="2"/>
  <c r="O493" i="2"/>
  <c r="G460" i="2"/>
  <c r="B460" i="2"/>
  <c r="C460" i="2"/>
  <c r="A461" i="2"/>
  <c r="C86" i="2"/>
  <c r="B86" i="2"/>
  <c r="G86" i="2"/>
  <c r="A87" i="2"/>
  <c r="T83" i="2"/>
  <c r="S83" i="2"/>
  <c r="O52" i="2"/>
  <c r="F1954" i="2" l="1"/>
  <c r="F1465" i="2"/>
  <c r="F1081" i="2"/>
  <c r="F1116" i="2" s="1"/>
  <c r="F1151" i="2" s="1"/>
  <c r="F1047" i="2"/>
  <c r="F663" i="2"/>
  <c r="F698" i="2" s="1"/>
  <c r="F733" i="2" s="1"/>
  <c r="F768" i="2" s="1"/>
  <c r="F803" i="2" s="1"/>
  <c r="F838" i="2" s="1"/>
  <c r="F873" i="2" s="1"/>
  <c r="S253" i="2"/>
  <c r="T287" i="2"/>
  <c r="S457" i="2"/>
  <c r="D562" i="2"/>
  <c r="E562" i="2"/>
  <c r="I151" i="2"/>
  <c r="S49" i="2"/>
  <c r="P527" i="2"/>
  <c r="A495" i="2"/>
  <c r="Q86" i="2"/>
  <c r="P86" i="2"/>
  <c r="Q460" i="2"/>
  <c r="P460" i="2"/>
  <c r="Q528" i="2"/>
  <c r="P528" i="2"/>
  <c r="Q17" i="2"/>
  <c r="P17" i="2"/>
  <c r="P255" i="2"/>
  <c r="Q255" i="2"/>
  <c r="Q289" i="2"/>
  <c r="P289" i="2"/>
  <c r="Q323" i="2"/>
  <c r="P323" i="2"/>
  <c r="Q357" i="2"/>
  <c r="P357" i="2"/>
  <c r="Q391" i="2"/>
  <c r="P391" i="2"/>
  <c r="Q425" i="2"/>
  <c r="P425" i="2"/>
  <c r="Q187" i="2"/>
  <c r="P187" i="2"/>
  <c r="Q221" i="2"/>
  <c r="P221" i="2"/>
  <c r="Q153" i="2"/>
  <c r="P153" i="2"/>
  <c r="Q119" i="2"/>
  <c r="P119" i="2"/>
  <c r="Q493" i="2"/>
  <c r="P493" i="2"/>
  <c r="Q51" i="2"/>
  <c r="P51" i="2"/>
  <c r="T49" i="2"/>
  <c r="R50" i="2"/>
  <c r="G494" i="2"/>
  <c r="B494" i="2"/>
  <c r="D87" i="2"/>
  <c r="E87" i="2"/>
  <c r="D461" i="2"/>
  <c r="E461" i="2"/>
  <c r="D495" i="2"/>
  <c r="E495" i="2"/>
  <c r="D563" i="2"/>
  <c r="E563" i="2"/>
  <c r="A598" i="2"/>
  <c r="D529" i="2"/>
  <c r="E529" i="2"/>
  <c r="D18" i="2"/>
  <c r="E18" i="2"/>
  <c r="D256" i="2"/>
  <c r="E256" i="2"/>
  <c r="D188" i="2"/>
  <c r="E188" i="2"/>
  <c r="D290" i="2"/>
  <c r="E290" i="2"/>
  <c r="D324" i="2"/>
  <c r="E324" i="2"/>
  <c r="D358" i="2"/>
  <c r="E358" i="2"/>
  <c r="D392" i="2"/>
  <c r="E392" i="2"/>
  <c r="D426" i="2"/>
  <c r="E426" i="2"/>
  <c r="D222" i="2"/>
  <c r="E222" i="2"/>
  <c r="D154" i="2"/>
  <c r="E154" i="2"/>
  <c r="D120" i="2"/>
  <c r="E120" i="2"/>
  <c r="D52" i="2"/>
  <c r="E52" i="2"/>
  <c r="G52" i="2"/>
  <c r="C52" i="2"/>
  <c r="B52" i="2"/>
  <c r="A53" i="2"/>
  <c r="D494" i="2"/>
  <c r="E494" i="2"/>
  <c r="I15" i="2"/>
  <c r="T321" i="2"/>
  <c r="S287" i="2"/>
  <c r="G562" i="2"/>
  <c r="B562" i="2"/>
  <c r="C562" i="2"/>
  <c r="R118" i="2"/>
  <c r="R152" i="2"/>
  <c r="T84" i="2"/>
  <c r="T253" i="2"/>
  <c r="R492" i="2"/>
  <c r="R220" i="2"/>
  <c r="S423" i="2"/>
  <c r="S389" i="2"/>
  <c r="F620" i="2"/>
  <c r="F619" i="2"/>
  <c r="F621" i="2"/>
  <c r="T185" i="2"/>
  <c r="S84" i="2"/>
  <c r="R288" i="2"/>
  <c r="R424" i="2"/>
  <c r="R390" i="2"/>
  <c r="R254" i="2"/>
  <c r="R16" i="2"/>
  <c r="S321" i="2"/>
  <c r="R186" i="2"/>
  <c r="T423" i="2"/>
  <c r="S458" i="2"/>
  <c r="B21" i="1"/>
  <c r="R356" i="2"/>
  <c r="R322" i="2"/>
  <c r="R85" i="2"/>
  <c r="S185" i="2"/>
  <c r="T458" i="2"/>
  <c r="T389" i="2"/>
  <c r="R355" i="2"/>
  <c r="R459" i="2"/>
  <c r="O254" i="2"/>
  <c r="O288" i="2"/>
  <c r="O118" i="2"/>
  <c r="O390" i="2"/>
  <c r="O424" i="2"/>
  <c r="O152" i="2"/>
  <c r="O527" i="2"/>
  <c r="O356" i="2"/>
  <c r="O459" i="2"/>
  <c r="B188" i="2"/>
  <c r="G188" i="2"/>
  <c r="A189" i="2"/>
  <c r="C188" i="2"/>
  <c r="T219" i="2"/>
  <c r="S219" i="2"/>
  <c r="G222" i="2"/>
  <c r="B222" i="2"/>
  <c r="A223" i="2"/>
  <c r="C222" i="2"/>
  <c r="S117" i="2"/>
  <c r="T117" i="2"/>
  <c r="A155" i="2"/>
  <c r="G154" i="2"/>
  <c r="C154" i="2"/>
  <c r="B154" i="2"/>
  <c r="O153" i="2"/>
  <c r="O119" i="2"/>
  <c r="B120" i="2"/>
  <c r="G120" i="2"/>
  <c r="A121" i="2"/>
  <c r="C120" i="2"/>
  <c r="A291" i="2"/>
  <c r="C290" i="2"/>
  <c r="B290" i="2"/>
  <c r="G290" i="2"/>
  <c r="O289" i="2"/>
  <c r="A325" i="2"/>
  <c r="G324" i="2"/>
  <c r="B358" i="2"/>
  <c r="G358" i="2"/>
  <c r="A359" i="2"/>
  <c r="C358" i="2"/>
  <c r="O391" i="2"/>
  <c r="A393" i="2"/>
  <c r="C392" i="2"/>
  <c r="G392" i="2"/>
  <c r="B392" i="2"/>
  <c r="C426" i="2"/>
  <c r="B426" i="2"/>
  <c r="G426" i="2"/>
  <c r="B256" i="2"/>
  <c r="G256" i="2"/>
  <c r="A257" i="2"/>
  <c r="C256" i="2"/>
  <c r="C324" i="2"/>
  <c r="B324" i="2"/>
  <c r="A427" i="2"/>
  <c r="A462" i="2"/>
  <c r="B461" i="2"/>
  <c r="G461" i="2"/>
  <c r="C461" i="2"/>
  <c r="O460" i="2"/>
  <c r="G495" i="2"/>
  <c r="A496" i="2"/>
  <c r="B495" i="2"/>
  <c r="C495" i="2"/>
  <c r="A564" i="2"/>
  <c r="C563" i="2"/>
  <c r="B563" i="2"/>
  <c r="G563" i="2"/>
  <c r="A632" i="2"/>
  <c r="O528" i="2"/>
  <c r="B529" i="2"/>
  <c r="G529" i="2"/>
  <c r="C529" i="2"/>
  <c r="A530" i="2"/>
  <c r="A19" i="2"/>
  <c r="B18" i="2"/>
  <c r="G18" i="2"/>
  <c r="C18" i="2"/>
  <c r="A88" i="2"/>
  <c r="G87" i="2"/>
  <c r="C87" i="2"/>
  <c r="B87" i="2"/>
  <c r="O53" i="2"/>
  <c r="F1989" i="2" l="1"/>
  <c r="F2024" i="2" s="1"/>
  <c r="F2059" i="2" s="1"/>
  <c r="F1500" i="2"/>
  <c r="F1186" i="2"/>
  <c r="F1221" i="2" s="1"/>
  <c r="F1256" i="2" s="1"/>
  <c r="F1082" i="2"/>
  <c r="F1117" i="2" s="1"/>
  <c r="F1152" i="2" s="1"/>
  <c r="F908" i="2"/>
  <c r="T322" i="2"/>
  <c r="I186" i="2"/>
  <c r="O186" i="2" s="1"/>
  <c r="T220" i="2"/>
  <c r="S492" i="2"/>
  <c r="R527" i="2"/>
  <c r="O151" i="2"/>
  <c r="D597" i="2"/>
  <c r="E597" i="2"/>
  <c r="R493" i="2"/>
  <c r="Q87" i="2"/>
  <c r="P87" i="2"/>
  <c r="Q18" i="2"/>
  <c r="P18" i="2"/>
  <c r="Q529" i="2"/>
  <c r="P529" i="2"/>
  <c r="Q563" i="2"/>
  <c r="P563" i="2"/>
  <c r="Q495" i="2"/>
  <c r="P495" i="2"/>
  <c r="Q461" i="2"/>
  <c r="P461" i="2"/>
  <c r="Q324" i="2"/>
  <c r="P324" i="2"/>
  <c r="Q256" i="2"/>
  <c r="P256" i="2"/>
  <c r="Q426" i="2"/>
  <c r="P426" i="2"/>
  <c r="Q392" i="2"/>
  <c r="P392" i="2"/>
  <c r="Q358" i="2"/>
  <c r="P358" i="2"/>
  <c r="P290" i="2"/>
  <c r="Q290" i="2"/>
  <c r="Q120" i="2"/>
  <c r="P120" i="2"/>
  <c r="Q154" i="2"/>
  <c r="P154" i="2"/>
  <c r="Q222" i="2"/>
  <c r="P222" i="2"/>
  <c r="Q188" i="2"/>
  <c r="P188" i="2"/>
  <c r="Q562" i="2"/>
  <c r="P562" i="2"/>
  <c r="Q52" i="2"/>
  <c r="P52" i="2"/>
  <c r="Q494" i="2"/>
  <c r="P494" i="2"/>
  <c r="R51" i="2"/>
  <c r="I50" i="2"/>
  <c r="D88" i="2"/>
  <c r="E88" i="2"/>
  <c r="D19" i="2"/>
  <c r="E19" i="2"/>
  <c r="D530" i="2"/>
  <c r="E530" i="2"/>
  <c r="D564" i="2"/>
  <c r="E564" i="2"/>
  <c r="D496" i="2"/>
  <c r="E496" i="2"/>
  <c r="D462" i="2"/>
  <c r="E462" i="2"/>
  <c r="D427" i="2"/>
  <c r="E427" i="2"/>
  <c r="D257" i="2"/>
  <c r="E257" i="2"/>
  <c r="D393" i="2"/>
  <c r="E393" i="2"/>
  <c r="D359" i="2"/>
  <c r="E359" i="2"/>
  <c r="D325" i="2"/>
  <c r="E325" i="2"/>
  <c r="D291" i="2"/>
  <c r="E291" i="2"/>
  <c r="D121" i="2"/>
  <c r="E121" i="2"/>
  <c r="D155" i="2"/>
  <c r="E155" i="2"/>
  <c r="D223" i="2"/>
  <c r="E223" i="2"/>
  <c r="D189" i="2"/>
  <c r="E189" i="2"/>
  <c r="D53" i="2"/>
  <c r="E53" i="2"/>
  <c r="A54" i="2"/>
  <c r="G53" i="2"/>
  <c r="C53" i="2"/>
  <c r="B53" i="2"/>
  <c r="D598" i="2"/>
  <c r="E598" i="2"/>
  <c r="I85" i="2"/>
  <c r="T118" i="2"/>
  <c r="T492" i="2"/>
  <c r="S152" i="2"/>
  <c r="S220" i="2"/>
  <c r="S424" i="2"/>
  <c r="B597" i="2"/>
  <c r="C597" i="2"/>
  <c r="G597" i="2"/>
  <c r="T356" i="2"/>
  <c r="R187" i="2"/>
  <c r="S254" i="2"/>
  <c r="S288" i="2"/>
  <c r="R221" i="2"/>
  <c r="S356" i="2"/>
  <c r="T152" i="2"/>
  <c r="R323" i="2"/>
  <c r="S322" i="2"/>
  <c r="T424" i="2"/>
  <c r="S390" i="2"/>
  <c r="F655" i="2"/>
  <c r="F654" i="2"/>
  <c r="F656" i="2"/>
  <c r="T254" i="2"/>
  <c r="R391" i="2"/>
  <c r="T527" i="2"/>
  <c r="R255" i="2"/>
  <c r="R357" i="2"/>
  <c r="R289" i="2"/>
  <c r="R119" i="2"/>
  <c r="R17" i="2"/>
  <c r="S118" i="2"/>
  <c r="T390" i="2"/>
  <c r="T288" i="2"/>
  <c r="R460" i="2"/>
  <c r="R86" i="2"/>
  <c r="B22" i="1"/>
  <c r="T459" i="2"/>
  <c r="S527" i="2"/>
  <c r="S459" i="2"/>
  <c r="R425" i="2"/>
  <c r="R528" i="2"/>
  <c r="S528" i="2" s="1"/>
  <c r="S355" i="2"/>
  <c r="T355" i="2"/>
  <c r="O562" i="2"/>
  <c r="O17" i="2"/>
  <c r="O494" i="2"/>
  <c r="O425" i="2"/>
  <c r="O221" i="2"/>
  <c r="O255" i="2"/>
  <c r="O187" i="2"/>
  <c r="O357" i="2"/>
  <c r="O323" i="2"/>
  <c r="A428" i="2"/>
  <c r="G427" i="2"/>
  <c r="C427" i="2"/>
  <c r="B427" i="2"/>
  <c r="C393" i="2"/>
  <c r="B393" i="2"/>
  <c r="A394" i="2"/>
  <c r="G393" i="2"/>
  <c r="C359" i="2"/>
  <c r="B359" i="2"/>
  <c r="G359" i="2"/>
  <c r="A360" i="2"/>
  <c r="C325" i="2"/>
  <c r="A326" i="2"/>
  <c r="G325" i="2"/>
  <c r="B325" i="2"/>
  <c r="G291" i="2"/>
  <c r="C291" i="2"/>
  <c r="A292" i="2"/>
  <c r="B291" i="2"/>
  <c r="B121" i="2"/>
  <c r="A122" i="2"/>
  <c r="C121" i="2"/>
  <c r="G121" i="2"/>
  <c r="G155" i="2"/>
  <c r="A156" i="2"/>
  <c r="C155" i="2"/>
  <c r="B155" i="2"/>
  <c r="C223" i="2"/>
  <c r="B223" i="2"/>
  <c r="A224" i="2"/>
  <c r="G223" i="2"/>
  <c r="A190" i="2"/>
  <c r="C189" i="2"/>
  <c r="B189" i="2"/>
  <c r="G189" i="2"/>
  <c r="G257" i="2"/>
  <c r="A258" i="2"/>
  <c r="B257" i="2"/>
  <c r="C257" i="2"/>
  <c r="O256" i="2"/>
  <c r="A20" i="2"/>
  <c r="B19" i="2"/>
  <c r="G19" i="2"/>
  <c r="C19" i="2"/>
  <c r="A531" i="2"/>
  <c r="C530" i="2"/>
  <c r="B530" i="2"/>
  <c r="G530" i="2"/>
  <c r="G598" i="2"/>
  <c r="C598" i="2"/>
  <c r="B598" i="2"/>
  <c r="A599" i="2"/>
  <c r="A667" i="2"/>
  <c r="A633" i="2"/>
  <c r="B564" i="2"/>
  <c r="A565" i="2"/>
  <c r="C564" i="2"/>
  <c r="G564" i="2"/>
  <c r="C496" i="2"/>
  <c r="B496" i="2"/>
  <c r="A497" i="2"/>
  <c r="G496" i="2"/>
  <c r="O461" i="2"/>
  <c r="A463" i="2"/>
  <c r="G462" i="2"/>
  <c r="B462" i="2"/>
  <c r="C462" i="2"/>
  <c r="O86" i="2"/>
  <c r="C88" i="2"/>
  <c r="B88" i="2"/>
  <c r="G88" i="2"/>
  <c r="A89" i="2"/>
  <c r="O54" i="2"/>
  <c r="F2094" i="2" l="1"/>
  <c r="F2129" i="2" s="1"/>
  <c r="F2164" i="2"/>
  <c r="F2199" i="2" s="1"/>
  <c r="F2234" i="2" s="1"/>
  <c r="F2269" i="2" s="1"/>
  <c r="F2304" i="2"/>
  <c r="S186" i="2"/>
  <c r="T186" i="2"/>
  <c r="S17" i="2"/>
  <c r="F1535" i="2"/>
  <c r="F1570" i="2" s="1"/>
  <c r="F1605" i="2" s="1"/>
  <c r="F1640" i="2" s="1"/>
  <c r="F1675" i="2" s="1"/>
  <c r="F1710" i="2" s="1"/>
  <c r="F1745" i="2" s="1"/>
  <c r="F1291" i="2"/>
  <c r="F1326" i="2" s="1"/>
  <c r="F1361" i="2" s="1"/>
  <c r="F1396" i="2" s="1"/>
  <c r="F1187" i="2"/>
  <c r="F1222" i="2" s="1"/>
  <c r="F943" i="2"/>
  <c r="T151" i="2"/>
  <c r="S151" i="2"/>
  <c r="S460" i="2"/>
  <c r="T289" i="2"/>
  <c r="S391" i="2"/>
  <c r="S493" i="2"/>
  <c r="C632" i="2"/>
  <c r="D632" i="2"/>
  <c r="E632" i="2"/>
  <c r="O50" i="2"/>
  <c r="S51" i="2"/>
  <c r="T51" i="2"/>
  <c r="T493" i="2"/>
  <c r="R494" i="2"/>
  <c r="R562" i="2"/>
  <c r="Q88" i="2"/>
  <c r="P88" i="2"/>
  <c r="Q462" i="2"/>
  <c r="P462" i="2"/>
  <c r="Q496" i="2"/>
  <c r="P496" i="2"/>
  <c r="Q564" i="2"/>
  <c r="P564" i="2"/>
  <c r="Q598" i="2"/>
  <c r="P598" i="2"/>
  <c r="Q530" i="2"/>
  <c r="P530" i="2"/>
  <c r="Q19" i="2"/>
  <c r="P19" i="2"/>
  <c r="Q257" i="2"/>
  <c r="P257" i="2"/>
  <c r="Q189" i="2"/>
  <c r="P189" i="2"/>
  <c r="Q223" i="2"/>
  <c r="P223" i="2"/>
  <c r="Q155" i="2"/>
  <c r="P155" i="2"/>
  <c r="Q121" i="2"/>
  <c r="P121" i="2"/>
  <c r="Q291" i="2"/>
  <c r="P291" i="2"/>
  <c r="P325" i="2"/>
  <c r="Q325" i="2"/>
  <c r="Q359" i="2"/>
  <c r="P359" i="2"/>
  <c r="Q393" i="2"/>
  <c r="P393" i="2"/>
  <c r="Q427" i="2"/>
  <c r="P427" i="2"/>
  <c r="Q597" i="2"/>
  <c r="P597" i="2"/>
  <c r="Q53" i="2"/>
  <c r="P53" i="2"/>
  <c r="R52" i="2"/>
  <c r="S50" i="2"/>
  <c r="T50" i="2"/>
  <c r="D89" i="2"/>
  <c r="E89" i="2"/>
  <c r="D463" i="2"/>
  <c r="E463" i="2"/>
  <c r="D497" i="2"/>
  <c r="E497" i="2"/>
  <c r="D565" i="2"/>
  <c r="E565" i="2"/>
  <c r="D633" i="2"/>
  <c r="E633" i="2"/>
  <c r="D599" i="2"/>
  <c r="E599" i="2"/>
  <c r="D531" i="2"/>
  <c r="E531" i="2"/>
  <c r="D20" i="2"/>
  <c r="E20" i="2"/>
  <c r="D258" i="2"/>
  <c r="E258" i="2"/>
  <c r="D190" i="2"/>
  <c r="E190" i="2"/>
  <c r="D224" i="2"/>
  <c r="E224" i="2"/>
  <c r="D156" i="2"/>
  <c r="E156" i="2"/>
  <c r="D122" i="2"/>
  <c r="E122" i="2"/>
  <c r="D292" i="2"/>
  <c r="E292" i="2"/>
  <c r="D326" i="2"/>
  <c r="E326" i="2"/>
  <c r="D360" i="2"/>
  <c r="E360" i="2"/>
  <c r="D394" i="2"/>
  <c r="E394" i="2"/>
  <c r="D428" i="2"/>
  <c r="E428" i="2"/>
  <c r="D54" i="2"/>
  <c r="E54" i="2"/>
  <c r="G54" i="2"/>
  <c r="C54" i="2"/>
  <c r="B54" i="2"/>
  <c r="A55" i="2"/>
  <c r="O85" i="2"/>
  <c r="S119" i="2"/>
  <c r="S187" i="2"/>
  <c r="B632" i="2"/>
  <c r="G632" i="2"/>
  <c r="T221" i="2"/>
  <c r="R461" i="2"/>
  <c r="S323" i="2"/>
  <c r="S289" i="2"/>
  <c r="T391" i="2"/>
  <c r="T119" i="2"/>
  <c r="R495" i="2"/>
  <c r="T460" i="2"/>
  <c r="F690" i="2"/>
  <c r="F689" i="2"/>
  <c r="F691" i="2"/>
  <c r="T255" i="2"/>
  <c r="T17" i="2"/>
  <c r="T357" i="2"/>
  <c r="T187" i="2"/>
  <c r="T86" i="2"/>
  <c r="R358" i="2"/>
  <c r="R256" i="2"/>
  <c r="R188" i="2"/>
  <c r="R392" i="2"/>
  <c r="R324" i="2"/>
  <c r="S255" i="2"/>
  <c r="S221" i="2"/>
  <c r="T425" i="2"/>
  <c r="R290" i="2"/>
  <c r="R426" i="2"/>
  <c r="R222" i="2"/>
  <c r="B23" i="1"/>
  <c r="S425" i="2"/>
  <c r="R154" i="2"/>
  <c r="T323" i="2"/>
  <c r="S357" i="2"/>
  <c r="T494" i="2"/>
  <c r="T528" i="2"/>
  <c r="R87" i="2"/>
  <c r="R529" i="2"/>
  <c r="R153" i="2"/>
  <c r="R18" i="2"/>
  <c r="R120" i="2"/>
  <c r="O597" i="2"/>
  <c r="O495" i="2"/>
  <c r="O222" i="2"/>
  <c r="O290" i="2"/>
  <c r="O426" i="2"/>
  <c r="O563" i="2"/>
  <c r="O529" i="2"/>
  <c r="O188" i="2"/>
  <c r="O154" i="2"/>
  <c r="O392" i="2"/>
  <c r="O358" i="2"/>
  <c r="O324" i="2"/>
  <c r="G156" i="2"/>
  <c r="C156" i="2"/>
  <c r="A157" i="2"/>
  <c r="B156" i="2"/>
  <c r="C258" i="2"/>
  <c r="G258" i="2"/>
  <c r="B258" i="2"/>
  <c r="A259" i="2"/>
  <c r="A191" i="2"/>
  <c r="G190" i="2"/>
  <c r="C190" i="2"/>
  <c r="B190" i="2"/>
  <c r="A225" i="2"/>
  <c r="C224" i="2"/>
  <c r="B224" i="2"/>
  <c r="G224" i="2"/>
  <c r="C122" i="2"/>
  <c r="B122" i="2"/>
  <c r="A123" i="2"/>
  <c r="G122" i="2"/>
  <c r="C292" i="2"/>
  <c r="G292" i="2"/>
  <c r="B292" i="2"/>
  <c r="A293" i="2"/>
  <c r="C326" i="2"/>
  <c r="A327" i="2"/>
  <c r="B326" i="2"/>
  <c r="G326" i="2"/>
  <c r="A361" i="2"/>
  <c r="G360" i="2"/>
  <c r="C360" i="2"/>
  <c r="B360" i="2"/>
  <c r="C394" i="2"/>
  <c r="B394" i="2"/>
  <c r="A395" i="2"/>
  <c r="G394" i="2"/>
  <c r="O393" i="2"/>
  <c r="G428" i="2"/>
  <c r="B428" i="2"/>
  <c r="A429" i="2"/>
  <c r="C428" i="2"/>
  <c r="C463" i="2"/>
  <c r="B463" i="2"/>
  <c r="A464" i="2"/>
  <c r="G463" i="2"/>
  <c r="A498" i="2"/>
  <c r="G497" i="2"/>
  <c r="B497" i="2"/>
  <c r="C497" i="2"/>
  <c r="O496" i="2"/>
  <c r="G565" i="2"/>
  <c r="C565" i="2"/>
  <c r="A566" i="2"/>
  <c r="B565" i="2"/>
  <c r="O632" i="2"/>
  <c r="B633" i="2"/>
  <c r="G633" i="2"/>
  <c r="A634" i="2"/>
  <c r="C633" i="2"/>
  <c r="A668" i="2"/>
  <c r="A702" i="2"/>
  <c r="C599" i="2"/>
  <c r="B599" i="2"/>
  <c r="G599" i="2"/>
  <c r="A600" i="2"/>
  <c r="O598" i="2"/>
  <c r="C531" i="2"/>
  <c r="B531" i="2"/>
  <c r="A532" i="2"/>
  <c r="G531" i="2"/>
  <c r="A21" i="2"/>
  <c r="B20" i="2"/>
  <c r="G20" i="2"/>
  <c r="C20" i="2"/>
  <c r="O87" i="2"/>
  <c r="S86" i="2"/>
  <c r="C89" i="2"/>
  <c r="B89" i="2"/>
  <c r="A90" i="2"/>
  <c r="G89" i="2"/>
  <c r="O55" i="2"/>
  <c r="F1780" i="2" l="1"/>
  <c r="F1815" i="2" s="1"/>
  <c r="F1850" i="2" s="1"/>
  <c r="F1885" i="2" s="1"/>
  <c r="F1920" i="2" s="1"/>
  <c r="F1431" i="2"/>
  <c r="F1257" i="2"/>
  <c r="F978" i="2"/>
  <c r="S494" i="2"/>
  <c r="S256" i="2"/>
  <c r="T461" i="2"/>
  <c r="T562" i="2"/>
  <c r="D667" i="2"/>
  <c r="E667" i="2"/>
  <c r="S52" i="2"/>
  <c r="S562" i="2"/>
  <c r="T52" i="2"/>
  <c r="Q89" i="2"/>
  <c r="P89" i="2"/>
  <c r="Q20" i="2"/>
  <c r="P20" i="2"/>
  <c r="Q531" i="2"/>
  <c r="P531" i="2"/>
  <c r="Q599" i="2"/>
  <c r="P599" i="2"/>
  <c r="Q633" i="2"/>
  <c r="P633" i="2"/>
  <c r="Q565" i="2"/>
  <c r="P565" i="2"/>
  <c r="Q497" i="2"/>
  <c r="P497" i="2"/>
  <c r="Q463" i="2"/>
  <c r="P463" i="2"/>
  <c r="Q428" i="2"/>
  <c r="P428" i="2"/>
  <c r="Q394" i="2"/>
  <c r="P394" i="2"/>
  <c r="P360" i="2"/>
  <c r="Q360" i="2"/>
  <c r="Q326" i="2"/>
  <c r="P326" i="2"/>
  <c r="Q292" i="2"/>
  <c r="P292" i="2"/>
  <c r="Q122" i="2"/>
  <c r="P122" i="2"/>
  <c r="Q224" i="2"/>
  <c r="P224" i="2"/>
  <c r="Q190" i="2"/>
  <c r="P190" i="2"/>
  <c r="Q258" i="2"/>
  <c r="P258" i="2"/>
  <c r="Q156" i="2"/>
  <c r="P156" i="2"/>
  <c r="Q632" i="2"/>
  <c r="P632" i="2"/>
  <c r="Q54" i="2"/>
  <c r="P54" i="2"/>
  <c r="I120" i="2"/>
  <c r="R53" i="2"/>
  <c r="R597" i="2"/>
  <c r="D90" i="2"/>
  <c r="E90" i="2"/>
  <c r="D21" i="2"/>
  <c r="E21" i="2"/>
  <c r="D532" i="2"/>
  <c r="E532" i="2"/>
  <c r="D600" i="2"/>
  <c r="E600" i="2"/>
  <c r="D668" i="2"/>
  <c r="E668" i="2"/>
  <c r="D634" i="2"/>
  <c r="E634" i="2"/>
  <c r="D566" i="2"/>
  <c r="E566" i="2"/>
  <c r="D498" i="2"/>
  <c r="E498" i="2"/>
  <c r="D464" i="2"/>
  <c r="E464" i="2"/>
  <c r="D429" i="2"/>
  <c r="E429" i="2"/>
  <c r="D395" i="2"/>
  <c r="E395" i="2"/>
  <c r="D361" i="2"/>
  <c r="E361" i="2"/>
  <c r="D327" i="2"/>
  <c r="E327" i="2"/>
  <c r="D293" i="2"/>
  <c r="E293" i="2"/>
  <c r="D123" i="2"/>
  <c r="E123" i="2"/>
  <c r="D225" i="2"/>
  <c r="E225" i="2"/>
  <c r="D191" i="2"/>
  <c r="E191" i="2"/>
  <c r="D259" i="2"/>
  <c r="E259" i="2"/>
  <c r="D157" i="2"/>
  <c r="E157" i="2"/>
  <c r="D55" i="2"/>
  <c r="E55" i="2"/>
  <c r="A56" i="2"/>
  <c r="G55" i="2"/>
  <c r="C55" i="2"/>
  <c r="B55" i="2"/>
  <c r="S85" i="2"/>
  <c r="T85" i="2"/>
  <c r="S529" i="2"/>
  <c r="T529" i="2"/>
  <c r="S461" i="2"/>
  <c r="C667" i="2"/>
  <c r="B667" i="2"/>
  <c r="G667" i="2"/>
  <c r="T324" i="2"/>
  <c r="S495" i="2"/>
  <c r="R598" i="2"/>
  <c r="S598" i="2" s="1"/>
  <c r="R223" i="2"/>
  <c r="T256" i="2"/>
  <c r="T392" i="2"/>
  <c r="T154" i="2"/>
  <c r="T87" i="2"/>
  <c r="S358" i="2"/>
  <c r="T188" i="2"/>
  <c r="F725" i="2"/>
  <c r="F724" i="2"/>
  <c r="F726" i="2"/>
  <c r="S290" i="2"/>
  <c r="S222" i="2"/>
  <c r="S426" i="2"/>
  <c r="R530" i="2"/>
  <c r="S154" i="2"/>
  <c r="T222" i="2"/>
  <c r="S188" i="2"/>
  <c r="R359" i="2"/>
  <c r="R257" i="2"/>
  <c r="R427" i="2"/>
  <c r="R393" i="2"/>
  <c r="R325" i="2"/>
  <c r="T290" i="2"/>
  <c r="T495" i="2"/>
  <c r="S324" i="2"/>
  <c r="R462" i="2"/>
  <c r="R189" i="2"/>
  <c r="R19" i="2"/>
  <c r="S392" i="2"/>
  <c r="R155" i="2"/>
  <c r="R564" i="2"/>
  <c r="R291" i="2"/>
  <c r="R496" i="2"/>
  <c r="B24" i="1"/>
  <c r="T358" i="2"/>
  <c r="R88" i="2"/>
  <c r="T426" i="2"/>
  <c r="S87" i="2"/>
  <c r="R121" i="2"/>
  <c r="R563" i="2"/>
  <c r="S153" i="2"/>
  <c r="T153" i="2"/>
  <c r="O530" i="2"/>
  <c r="O564" i="2"/>
  <c r="O462" i="2"/>
  <c r="O291" i="2"/>
  <c r="O325" i="2"/>
  <c r="O121" i="2"/>
  <c r="O189" i="2"/>
  <c r="O257" i="2"/>
  <c r="O427" i="2"/>
  <c r="O359" i="2"/>
  <c r="O223" i="2"/>
  <c r="O156" i="2"/>
  <c r="G157" i="2"/>
  <c r="C157" i="2"/>
  <c r="A158" i="2"/>
  <c r="B157" i="2"/>
  <c r="B123" i="2"/>
  <c r="A124" i="2"/>
  <c r="C123" i="2"/>
  <c r="G123" i="2"/>
  <c r="O224" i="2"/>
  <c r="G225" i="2"/>
  <c r="C225" i="2"/>
  <c r="B225" i="2"/>
  <c r="A226" i="2"/>
  <c r="C429" i="2"/>
  <c r="G429" i="2"/>
  <c r="B429" i="2"/>
  <c r="A430" i="2"/>
  <c r="G395" i="2"/>
  <c r="C395" i="2"/>
  <c r="B395" i="2"/>
  <c r="A396" i="2"/>
  <c r="A362" i="2"/>
  <c r="G361" i="2"/>
  <c r="C361" i="2"/>
  <c r="B361" i="2"/>
  <c r="A328" i="2"/>
  <c r="C327" i="2"/>
  <c r="G327" i="2"/>
  <c r="B327" i="2"/>
  <c r="C293" i="2"/>
  <c r="A294" i="2"/>
  <c r="G293" i="2"/>
  <c r="B293" i="2"/>
  <c r="B191" i="2"/>
  <c r="A192" i="2"/>
  <c r="C191" i="2"/>
  <c r="G191" i="2"/>
  <c r="G259" i="2"/>
  <c r="A260" i="2"/>
  <c r="B259" i="2"/>
  <c r="C259" i="2"/>
  <c r="O258" i="2"/>
  <c r="A533" i="2"/>
  <c r="G532" i="2"/>
  <c r="C532" i="2"/>
  <c r="B532" i="2"/>
  <c r="B600" i="2"/>
  <c r="G600" i="2"/>
  <c r="C600" i="2"/>
  <c r="A601" i="2"/>
  <c r="A737" i="2"/>
  <c r="A703" i="2"/>
  <c r="G668" i="2"/>
  <c r="B668" i="2"/>
  <c r="A669" i="2"/>
  <c r="C668" i="2"/>
  <c r="G634" i="2"/>
  <c r="C634" i="2"/>
  <c r="B634" i="2"/>
  <c r="A635" i="2"/>
  <c r="G566" i="2"/>
  <c r="A567" i="2"/>
  <c r="C566" i="2"/>
  <c r="B566" i="2"/>
  <c r="O497" i="2"/>
  <c r="G498" i="2"/>
  <c r="A499" i="2"/>
  <c r="C498" i="2"/>
  <c r="B498" i="2"/>
  <c r="A465" i="2"/>
  <c r="C464" i="2"/>
  <c r="B464" i="2"/>
  <c r="G464" i="2"/>
  <c r="A22" i="2"/>
  <c r="B21" i="2"/>
  <c r="G21" i="2"/>
  <c r="C21" i="2"/>
  <c r="O88" i="2"/>
  <c r="A91" i="2"/>
  <c r="G90" i="2"/>
  <c r="B90" i="2"/>
  <c r="C90" i="2"/>
  <c r="O56" i="2"/>
  <c r="F1955" i="2" l="1"/>
  <c r="F1466" i="2"/>
  <c r="F1292" i="2"/>
  <c r="F1327" i="2" s="1"/>
  <c r="F1362" i="2" s="1"/>
  <c r="F1397" i="2" s="1"/>
  <c r="F1013" i="2"/>
  <c r="T496" i="2"/>
  <c r="T393" i="2"/>
  <c r="S597" i="2"/>
  <c r="C702" i="2"/>
  <c r="D702" i="2"/>
  <c r="E702" i="2"/>
  <c r="I155" i="2"/>
  <c r="S53" i="2"/>
  <c r="O120" i="2"/>
  <c r="T53" i="2"/>
  <c r="T597" i="2"/>
  <c r="Q90" i="2"/>
  <c r="P90" i="2"/>
  <c r="Q21" i="2"/>
  <c r="P21" i="2"/>
  <c r="Q464" i="2"/>
  <c r="P464" i="2"/>
  <c r="Q498" i="2"/>
  <c r="P498" i="2"/>
  <c r="Q566" i="2"/>
  <c r="P566" i="2"/>
  <c r="Q634" i="2"/>
  <c r="P634" i="2"/>
  <c r="Q668" i="2"/>
  <c r="P668" i="2"/>
  <c r="Q600" i="2"/>
  <c r="P600" i="2"/>
  <c r="Q532" i="2"/>
  <c r="P532" i="2"/>
  <c r="Q259" i="2"/>
  <c r="P259" i="2"/>
  <c r="Q191" i="2"/>
  <c r="P191" i="2"/>
  <c r="Q293" i="2"/>
  <c r="P293" i="2"/>
  <c r="Q327" i="2"/>
  <c r="P327" i="2"/>
  <c r="Q361" i="2"/>
  <c r="P361" i="2"/>
  <c r="P395" i="2"/>
  <c r="Q395" i="2"/>
  <c r="Q429" i="2"/>
  <c r="P429" i="2"/>
  <c r="Q225" i="2"/>
  <c r="P225" i="2"/>
  <c r="Q123" i="2"/>
  <c r="P123" i="2"/>
  <c r="Q157" i="2"/>
  <c r="P157" i="2"/>
  <c r="Q667" i="2"/>
  <c r="P667" i="2"/>
  <c r="Q55" i="2"/>
  <c r="P55" i="2"/>
  <c r="R632" i="2"/>
  <c r="R54" i="2"/>
  <c r="D91" i="2"/>
  <c r="E91" i="2"/>
  <c r="D22" i="2"/>
  <c r="E22" i="2"/>
  <c r="D465" i="2"/>
  <c r="E465" i="2"/>
  <c r="D499" i="2"/>
  <c r="E499" i="2"/>
  <c r="D567" i="2"/>
  <c r="E567" i="2"/>
  <c r="D635" i="2"/>
  <c r="E635" i="2"/>
  <c r="D669" i="2"/>
  <c r="E669" i="2"/>
  <c r="D703" i="2"/>
  <c r="E703" i="2"/>
  <c r="D601" i="2"/>
  <c r="E601" i="2"/>
  <c r="D533" i="2"/>
  <c r="E533" i="2"/>
  <c r="D260" i="2"/>
  <c r="E260" i="2"/>
  <c r="D192" i="2"/>
  <c r="E192" i="2"/>
  <c r="D294" i="2"/>
  <c r="E294" i="2"/>
  <c r="D328" i="2"/>
  <c r="E328" i="2"/>
  <c r="D362" i="2"/>
  <c r="E362" i="2"/>
  <c r="D396" i="2"/>
  <c r="E396" i="2"/>
  <c r="D430" i="2"/>
  <c r="E430" i="2"/>
  <c r="D226" i="2"/>
  <c r="E226" i="2"/>
  <c r="D124" i="2"/>
  <c r="E124" i="2"/>
  <c r="D158" i="2"/>
  <c r="E158" i="2"/>
  <c r="D56" i="2"/>
  <c r="E56" i="2"/>
  <c r="G56" i="2"/>
  <c r="C56" i="2"/>
  <c r="B56" i="2"/>
  <c r="A57" i="2"/>
  <c r="T598" i="2"/>
  <c r="S223" i="2"/>
  <c r="R360" i="2"/>
  <c r="B702" i="2"/>
  <c r="G702" i="2"/>
  <c r="R463" i="2"/>
  <c r="S291" i="2"/>
  <c r="R599" i="2"/>
  <c r="S88" i="2"/>
  <c r="R394" i="2"/>
  <c r="T462" i="2"/>
  <c r="T189" i="2"/>
  <c r="T530" i="2"/>
  <c r="F760" i="2"/>
  <c r="F759" i="2"/>
  <c r="F761" i="2"/>
  <c r="T257" i="2"/>
  <c r="S325" i="2"/>
  <c r="T291" i="2"/>
  <c r="T564" i="2"/>
  <c r="S393" i="2"/>
  <c r="S496" i="2"/>
  <c r="S359" i="2"/>
  <c r="S427" i="2"/>
  <c r="R565" i="2"/>
  <c r="R292" i="2"/>
  <c r="R497" i="2"/>
  <c r="S189" i="2"/>
  <c r="T223" i="2"/>
  <c r="T325" i="2"/>
  <c r="R428" i="2"/>
  <c r="R190" i="2"/>
  <c r="S530" i="2"/>
  <c r="R531" i="2"/>
  <c r="R633" i="2"/>
  <c r="R224" i="2"/>
  <c r="T427" i="2"/>
  <c r="S257" i="2"/>
  <c r="T359" i="2"/>
  <c r="R258" i="2"/>
  <c r="R89" i="2"/>
  <c r="B25" i="1"/>
  <c r="R156" i="2"/>
  <c r="R326" i="2"/>
  <c r="R20" i="2"/>
  <c r="S462" i="2"/>
  <c r="T121" i="2"/>
  <c r="S564" i="2"/>
  <c r="S121" i="2"/>
  <c r="S563" i="2"/>
  <c r="T563" i="2"/>
  <c r="R122" i="2"/>
  <c r="O633" i="2"/>
  <c r="O565" i="2"/>
  <c r="O463" i="2"/>
  <c r="O667" i="2"/>
  <c r="O122" i="2"/>
  <c r="O360" i="2"/>
  <c r="O428" i="2"/>
  <c r="O599" i="2"/>
  <c r="O531" i="2"/>
  <c r="O326" i="2"/>
  <c r="O394" i="2"/>
  <c r="O20" i="2"/>
  <c r="O157" i="2"/>
  <c r="C158" i="2"/>
  <c r="B158" i="2"/>
  <c r="G158" i="2"/>
  <c r="A159" i="2"/>
  <c r="G226" i="2"/>
  <c r="C226" i="2"/>
  <c r="A227" i="2"/>
  <c r="B226" i="2"/>
  <c r="C124" i="2"/>
  <c r="B124" i="2"/>
  <c r="G124" i="2"/>
  <c r="A125" i="2"/>
  <c r="A193" i="2"/>
  <c r="B192" i="2"/>
  <c r="G192" i="2"/>
  <c r="C192" i="2"/>
  <c r="O191" i="2"/>
  <c r="O259" i="2"/>
  <c r="A261" i="2"/>
  <c r="C260" i="2"/>
  <c r="B260" i="2"/>
  <c r="G260" i="2"/>
  <c r="G294" i="2"/>
  <c r="C294" i="2"/>
  <c r="B294" i="2"/>
  <c r="A295" i="2"/>
  <c r="B328" i="2"/>
  <c r="A329" i="2"/>
  <c r="C328" i="2"/>
  <c r="G328" i="2"/>
  <c r="A363" i="2"/>
  <c r="G362" i="2"/>
  <c r="C362" i="2"/>
  <c r="B362" i="2"/>
  <c r="G396" i="2"/>
  <c r="C396" i="2"/>
  <c r="B396" i="2"/>
  <c r="A397" i="2"/>
  <c r="A431" i="2"/>
  <c r="G430" i="2"/>
  <c r="C430" i="2"/>
  <c r="B430" i="2"/>
  <c r="O429" i="2"/>
  <c r="B465" i="2"/>
  <c r="A466" i="2"/>
  <c r="G465" i="2"/>
  <c r="C465" i="2"/>
  <c r="A500" i="2"/>
  <c r="C499" i="2"/>
  <c r="B499" i="2"/>
  <c r="G499" i="2"/>
  <c r="B567" i="2"/>
  <c r="C567" i="2"/>
  <c r="A568" i="2"/>
  <c r="G567" i="2"/>
  <c r="G635" i="2"/>
  <c r="C635" i="2"/>
  <c r="B635" i="2"/>
  <c r="A636" i="2"/>
  <c r="O634" i="2"/>
  <c r="A670" i="2"/>
  <c r="C669" i="2"/>
  <c r="G669" i="2"/>
  <c r="B669" i="2"/>
  <c r="A704" i="2"/>
  <c r="C703" i="2"/>
  <c r="B703" i="2"/>
  <c r="G703" i="2"/>
  <c r="A772" i="2"/>
  <c r="A738" i="2"/>
  <c r="G601" i="2"/>
  <c r="C601" i="2"/>
  <c r="A602" i="2"/>
  <c r="B601" i="2"/>
  <c r="C533" i="2"/>
  <c r="A534" i="2"/>
  <c r="B533" i="2"/>
  <c r="G533" i="2"/>
  <c r="A23" i="2"/>
  <c r="B22" i="2"/>
  <c r="C22" i="2"/>
  <c r="G22" i="2"/>
  <c r="T88" i="2"/>
  <c r="O89" i="2"/>
  <c r="B91" i="2"/>
  <c r="G91" i="2"/>
  <c r="C91" i="2"/>
  <c r="A92" i="2"/>
  <c r="O57" i="2"/>
  <c r="F1990" i="2" l="1"/>
  <c r="F2025" i="2" s="1"/>
  <c r="F2060" i="2" s="1"/>
  <c r="F1501" i="2"/>
  <c r="F1432" i="2"/>
  <c r="F1048" i="2"/>
  <c r="S258" i="2"/>
  <c r="S224" i="2"/>
  <c r="I190" i="2"/>
  <c r="S497" i="2"/>
  <c r="S632" i="2"/>
  <c r="D737" i="2"/>
  <c r="E737" i="2"/>
  <c r="T120" i="2"/>
  <c r="T54" i="2"/>
  <c r="S120" i="2"/>
  <c r="O155" i="2"/>
  <c r="T632" i="2"/>
  <c r="Q91" i="2"/>
  <c r="P91" i="2"/>
  <c r="Q22" i="2"/>
  <c r="P22" i="2"/>
  <c r="Q533" i="2"/>
  <c r="P533" i="2"/>
  <c r="Q601" i="2"/>
  <c r="P601" i="2"/>
  <c r="Q703" i="2"/>
  <c r="P703" i="2"/>
  <c r="Q669" i="2"/>
  <c r="P669" i="2"/>
  <c r="Q635" i="2"/>
  <c r="P635" i="2"/>
  <c r="Q567" i="2"/>
  <c r="P567" i="2"/>
  <c r="Q499" i="2"/>
  <c r="P499" i="2"/>
  <c r="Q465" i="2"/>
  <c r="P465" i="2"/>
  <c r="P430" i="2"/>
  <c r="Q430" i="2"/>
  <c r="Q396" i="2"/>
  <c r="P396" i="2"/>
  <c r="Q362" i="2"/>
  <c r="P362" i="2"/>
  <c r="Q328" i="2"/>
  <c r="P328" i="2"/>
  <c r="Q294" i="2"/>
  <c r="P294" i="2"/>
  <c r="Q260" i="2"/>
  <c r="P260" i="2"/>
  <c r="Q192" i="2"/>
  <c r="P192" i="2"/>
  <c r="Q124" i="2"/>
  <c r="P124" i="2"/>
  <c r="Q226" i="2"/>
  <c r="P226" i="2"/>
  <c r="Q158" i="2"/>
  <c r="P158" i="2"/>
  <c r="Q702" i="2"/>
  <c r="P702" i="2"/>
  <c r="Q56" i="2"/>
  <c r="P56" i="2"/>
  <c r="S54" i="2"/>
  <c r="R667" i="2"/>
  <c r="T360" i="2"/>
  <c r="R55" i="2"/>
  <c r="S20" i="2"/>
  <c r="D92" i="2"/>
  <c r="E92" i="2"/>
  <c r="D23" i="2"/>
  <c r="E23" i="2"/>
  <c r="D534" i="2"/>
  <c r="E534" i="2"/>
  <c r="D602" i="2"/>
  <c r="E602" i="2"/>
  <c r="D738" i="2"/>
  <c r="E738" i="2"/>
  <c r="D704" i="2"/>
  <c r="E704" i="2"/>
  <c r="D670" i="2"/>
  <c r="E670" i="2"/>
  <c r="D636" i="2"/>
  <c r="E636" i="2"/>
  <c r="D568" i="2"/>
  <c r="E568" i="2"/>
  <c r="D500" i="2"/>
  <c r="E500" i="2"/>
  <c r="D466" i="2"/>
  <c r="E466" i="2"/>
  <c r="D431" i="2"/>
  <c r="E431" i="2"/>
  <c r="D397" i="2"/>
  <c r="E397" i="2"/>
  <c r="D363" i="2"/>
  <c r="E363" i="2"/>
  <c r="D329" i="2"/>
  <c r="E329" i="2"/>
  <c r="D295" i="2"/>
  <c r="E295" i="2"/>
  <c r="D261" i="2"/>
  <c r="E261" i="2"/>
  <c r="D193" i="2"/>
  <c r="E193" i="2"/>
  <c r="D125" i="2"/>
  <c r="E125" i="2"/>
  <c r="D227" i="2"/>
  <c r="E227" i="2"/>
  <c r="D159" i="2"/>
  <c r="E159" i="2"/>
  <c r="D57" i="2"/>
  <c r="E57" i="2"/>
  <c r="A58" i="2"/>
  <c r="G57" i="2"/>
  <c r="C57" i="2"/>
  <c r="B57" i="2"/>
  <c r="T156" i="2"/>
  <c r="T531" i="2"/>
  <c r="S463" i="2"/>
  <c r="T394" i="2"/>
  <c r="T599" i="2"/>
  <c r="R327" i="2"/>
  <c r="S156" i="2"/>
  <c r="S428" i="2"/>
  <c r="R395" i="2"/>
  <c r="R429" i="2"/>
  <c r="R566" i="2"/>
  <c r="T89" i="2"/>
  <c r="T565" i="2"/>
  <c r="S633" i="2"/>
  <c r="T20" i="2"/>
  <c r="S565" i="2"/>
  <c r="R634" i="2"/>
  <c r="S531" i="2"/>
  <c r="F795" i="2"/>
  <c r="F794" i="2"/>
  <c r="F796" i="2"/>
  <c r="T633" i="2"/>
  <c r="T292" i="2"/>
  <c r="T258" i="2"/>
  <c r="T497" i="2"/>
  <c r="T224" i="2"/>
  <c r="S394" i="2"/>
  <c r="R600" i="2"/>
  <c r="R464" i="2"/>
  <c r="R225" i="2"/>
  <c r="S360" i="2"/>
  <c r="R498" i="2"/>
  <c r="R361" i="2"/>
  <c r="S89" i="2"/>
  <c r="R191" i="2"/>
  <c r="R259" i="2"/>
  <c r="R532" i="2"/>
  <c r="B26" i="1"/>
  <c r="C737" i="2"/>
  <c r="G737" i="2"/>
  <c r="R293" i="2"/>
  <c r="R157" i="2"/>
  <c r="B737" i="2"/>
  <c r="T428" i="2"/>
  <c r="T463" i="2"/>
  <c r="S292" i="2"/>
  <c r="S122" i="2"/>
  <c r="R90" i="2"/>
  <c r="S599" i="2"/>
  <c r="T122" i="2"/>
  <c r="R668" i="2"/>
  <c r="R21" i="2"/>
  <c r="R123" i="2"/>
  <c r="O532" i="2"/>
  <c r="O566" i="2"/>
  <c r="O498" i="2"/>
  <c r="O702" i="2"/>
  <c r="S326" i="2"/>
  <c r="T326" i="2"/>
  <c r="O361" i="2"/>
  <c r="O464" i="2"/>
  <c r="O293" i="2"/>
  <c r="O21" i="2"/>
  <c r="O668" i="2"/>
  <c r="O395" i="2"/>
  <c r="O600" i="2"/>
  <c r="O123" i="2"/>
  <c r="B159" i="2"/>
  <c r="C159" i="2"/>
  <c r="A160" i="2"/>
  <c r="G159" i="2"/>
  <c r="O158" i="2"/>
  <c r="C125" i="2"/>
  <c r="G125" i="2"/>
  <c r="B125" i="2"/>
  <c r="A126" i="2"/>
  <c r="O124" i="2"/>
  <c r="O226" i="2"/>
  <c r="A228" i="2"/>
  <c r="G227" i="2"/>
  <c r="C227" i="2"/>
  <c r="B227" i="2"/>
  <c r="A194" i="2"/>
  <c r="C193" i="2"/>
  <c r="B193" i="2"/>
  <c r="G193" i="2"/>
  <c r="B431" i="2"/>
  <c r="A432" i="2"/>
  <c r="C431" i="2"/>
  <c r="G431" i="2"/>
  <c r="A398" i="2"/>
  <c r="B397" i="2"/>
  <c r="B363" i="2"/>
  <c r="A364" i="2"/>
  <c r="C329" i="2"/>
  <c r="B329" i="2"/>
  <c r="G329" i="2"/>
  <c r="A330" i="2"/>
  <c r="A296" i="2"/>
  <c r="G295" i="2"/>
  <c r="B295" i="2"/>
  <c r="C295" i="2"/>
  <c r="G397" i="2"/>
  <c r="C397" i="2"/>
  <c r="G363" i="2"/>
  <c r="C363" i="2"/>
  <c r="A262" i="2"/>
  <c r="B261" i="2"/>
  <c r="G261" i="2"/>
  <c r="C261" i="2"/>
  <c r="O533" i="2"/>
  <c r="C534" i="2"/>
  <c r="B534" i="2"/>
  <c r="G534" i="2"/>
  <c r="A535" i="2"/>
  <c r="O601" i="2"/>
  <c r="A603" i="2"/>
  <c r="G602" i="2"/>
  <c r="C602" i="2"/>
  <c r="B602" i="2"/>
  <c r="A739" i="2"/>
  <c r="B738" i="2"/>
  <c r="C738" i="2"/>
  <c r="G738" i="2"/>
  <c r="A807" i="2"/>
  <c r="A773" i="2"/>
  <c r="A808" i="2" s="1"/>
  <c r="C704" i="2"/>
  <c r="B704" i="2"/>
  <c r="A705" i="2"/>
  <c r="G704" i="2"/>
  <c r="A671" i="2"/>
  <c r="B670" i="2"/>
  <c r="C670" i="2"/>
  <c r="G670" i="2"/>
  <c r="C636" i="2"/>
  <c r="A637" i="2"/>
  <c r="G636" i="2"/>
  <c r="B636" i="2"/>
  <c r="O635" i="2"/>
  <c r="C568" i="2"/>
  <c r="B568" i="2"/>
  <c r="A569" i="2"/>
  <c r="G568" i="2"/>
  <c r="A501" i="2"/>
  <c r="B500" i="2"/>
  <c r="G500" i="2"/>
  <c r="C500" i="2"/>
  <c r="C466" i="2"/>
  <c r="A467" i="2"/>
  <c r="G466" i="2"/>
  <c r="B466" i="2"/>
  <c r="A24" i="2"/>
  <c r="B23" i="2"/>
  <c r="G23" i="2"/>
  <c r="C23" i="2"/>
  <c r="O90" i="2"/>
  <c r="G92" i="2"/>
  <c r="A93" i="2"/>
  <c r="C92" i="2"/>
  <c r="B92" i="2"/>
  <c r="O58" i="2"/>
  <c r="F2095" i="2" l="1"/>
  <c r="F2130" i="2" s="1"/>
  <c r="F2305" i="2"/>
  <c r="F2165" i="2"/>
  <c r="F2200" i="2" s="1"/>
  <c r="F2235" i="2" s="1"/>
  <c r="F2270" i="2" s="1"/>
  <c r="F1536" i="2"/>
  <c r="F1571" i="2" s="1"/>
  <c r="F1606" i="2" s="1"/>
  <c r="F1641" i="2" s="1"/>
  <c r="F1676" i="2" s="1"/>
  <c r="F1711" i="2" s="1"/>
  <c r="F1746" i="2" s="1"/>
  <c r="F1467" i="2"/>
  <c r="F1083" i="2"/>
  <c r="O190" i="2"/>
  <c r="T190" i="2" s="1"/>
  <c r="T259" i="2"/>
  <c r="T634" i="2"/>
  <c r="T429" i="2"/>
  <c r="S327" i="2"/>
  <c r="S667" i="2"/>
  <c r="C772" i="2"/>
  <c r="D772" i="2"/>
  <c r="E772" i="2"/>
  <c r="S55" i="2"/>
  <c r="T155" i="2"/>
  <c r="S155" i="2"/>
  <c r="T667" i="2"/>
  <c r="Q92" i="2"/>
  <c r="P92" i="2"/>
  <c r="Q23" i="2"/>
  <c r="P23" i="2"/>
  <c r="Q466" i="2"/>
  <c r="P466" i="2"/>
  <c r="P500" i="2"/>
  <c r="Q500" i="2"/>
  <c r="Q568" i="2"/>
  <c r="P568" i="2"/>
  <c r="Q636" i="2"/>
  <c r="P636" i="2"/>
  <c r="Q670" i="2"/>
  <c r="P670" i="2"/>
  <c r="Q704" i="2"/>
  <c r="P704" i="2"/>
  <c r="Q738" i="2"/>
  <c r="P738" i="2"/>
  <c r="Q602" i="2"/>
  <c r="P602" i="2"/>
  <c r="Q534" i="2"/>
  <c r="P534" i="2"/>
  <c r="Q261" i="2"/>
  <c r="P261" i="2"/>
  <c r="Q295" i="2"/>
  <c r="P295" i="2"/>
  <c r="Q329" i="2"/>
  <c r="P329" i="2"/>
  <c r="Q363" i="2"/>
  <c r="P363" i="2"/>
  <c r="Q397" i="2"/>
  <c r="P397" i="2"/>
  <c r="Q431" i="2"/>
  <c r="P431" i="2"/>
  <c r="Q193" i="2"/>
  <c r="P193" i="2"/>
  <c r="Q227" i="2"/>
  <c r="P227" i="2"/>
  <c r="Q125" i="2"/>
  <c r="P125" i="2"/>
  <c r="Q159" i="2"/>
  <c r="P159" i="2"/>
  <c r="Q737" i="2"/>
  <c r="P737" i="2"/>
  <c r="Q57" i="2"/>
  <c r="P57" i="2"/>
  <c r="T55" i="2"/>
  <c r="R56" i="2"/>
  <c r="R702" i="2"/>
  <c r="D93" i="2"/>
  <c r="E93" i="2"/>
  <c r="D24" i="2"/>
  <c r="E24" i="2"/>
  <c r="D467" i="2"/>
  <c r="E467" i="2"/>
  <c r="D501" i="2"/>
  <c r="E501" i="2"/>
  <c r="D569" i="2"/>
  <c r="E569" i="2"/>
  <c r="D637" i="2"/>
  <c r="E637" i="2"/>
  <c r="D671" i="2"/>
  <c r="E671" i="2"/>
  <c r="D705" i="2"/>
  <c r="E705" i="2"/>
  <c r="D773" i="2"/>
  <c r="E773" i="2"/>
  <c r="D739" i="2"/>
  <c r="E739" i="2"/>
  <c r="D603" i="2"/>
  <c r="E603" i="2"/>
  <c r="D535" i="2"/>
  <c r="E535" i="2"/>
  <c r="D262" i="2"/>
  <c r="E262" i="2"/>
  <c r="D296" i="2"/>
  <c r="E296" i="2"/>
  <c r="D330" i="2"/>
  <c r="E330" i="2"/>
  <c r="D364" i="2"/>
  <c r="E364" i="2"/>
  <c r="D398" i="2"/>
  <c r="E398" i="2"/>
  <c r="D432" i="2"/>
  <c r="E432" i="2"/>
  <c r="D194" i="2"/>
  <c r="E194" i="2"/>
  <c r="D228" i="2"/>
  <c r="E228" i="2"/>
  <c r="D126" i="2"/>
  <c r="E126" i="2"/>
  <c r="D160" i="2"/>
  <c r="E160" i="2"/>
  <c r="D58" i="2"/>
  <c r="E58" i="2"/>
  <c r="G58" i="2"/>
  <c r="C58" i="2"/>
  <c r="B58" i="2"/>
  <c r="A59" i="2"/>
  <c r="I225" i="2"/>
  <c r="S157" i="2"/>
  <c r="S191" i="2"/>
  <c r="T327" i="2"/>
  <c r="T191" i="2"/>
  <c r="S634" i="2"/>
  <c r="S429" i="2"/>
  <c r="T395" i="2"/>
  <c r="S566" i="2"/>
  <c r="B772" i="2"/>
  <c r="G772" i="2"/>
  <c r="R567" i="2"/>
  <c r="R294" i="2"/>
  <c r="R22" i="2"/>
  <c r="S259" i="2"/>
  <c r="S464" i="2"/>
  <c r="F830" i="2"/>
  <c r="F829" i="2"/>
  <c r="F831" i="2"/>
  <c r="S498" i="2"/>
  <c r="T464" i="2"/>
  <c r="T157" i="2"/>
  <c r="S361" i="2"/>
  <c r="T600" i="2"/>
  <c r="R635" i="2"/>
  <c r="R260" i="2"/>
  <c r="R362" i="2"/>
  <c r="S90" i="2"/>
  <c r="T293" i="2"/>
  <c r="R601" i="2"/>
  <c r="T532" i="2"/>
  <c r="R465" i="2"/>
  <c r="S600" i="2"/>
  <c r="S123" i="2"/>
  <c r="T21" i="2"/>
  <c r="R533" i="2"/>
  <c r="R226" i="2"/>
  <c r="R396" i="2"/>
  <c r="R328" i="2"/>
  <c r="T498" i="2"/>
  <c r="R158" i="2"/>
  <c r="R430" i="2"/>
  <c r="S532" i="2"/>
  <c r="S293" i="2"/>
  <c r="B27" i="1"/>
  <c r="T123" i="2"/>
  <c r="R499" i="2"/>
  <c r="T361" i="2"/>
  <c r="T668" i="2"/>
  <c r="S395" i="2"/>
  <c r="T566" i="2"/>
  <c r="R91" i="2"/>
  <c r="S668" i="2"/>
  <c r="S21" i="2"/>
  <c r="R192" i="2"/>
  <c r="R703" i="2"/>
  <c r="R124" i="2"/>
  <c r="R669" i="2"/>
  <c r="O499" i="2"/>
  <c r="O567" i="2"/>
  <c r="T90" i="2"/>
  <c r="O669" i="2"/>
  <c r="O465" i="2"/>
  <c r="O294" i="2"/>
  <c r="O396" i="2"/>
  <c r="O430" i="2"/>
  <c r="O737" i="2"/>
  <c r="O328" i="2"/>
  <c r="O703" i="2"/>
  <c r="O192" i="2"/>
  <c r="C160" i="2"/>
  <c r="B160" i="2"/>
  <c r="A161" i="2"/>
  <c r="G160" i="2"/>
  <c r="O159" i="2"/>
  <c r="O227" i="2"/>
  <c r="C228" i="2"/>
  <c r="A229" i="2"/>
  <c r="B228" i="2"/>
  <c r="G228" i="2"/>
  <c r="C126" i="2"/>
  <c r="G126" i="2"/>
  <c r="A127" i="2"/>
  <c r="B126" i="2"/>
  <c r="O125" i="2"/>
  <c r="B194" i="2"/>
  <c r="A195" i="2"/>
  <c r="G194" i="2"/>
  <c r="C194" i="2"/>
  <c r="A297" i="2"/>
  <c r="G296" i="2"/>
  <c r="B296" i="2"/>
  <c r="C296" i="2"/>
  <c r="G330" i="2"/>
  <c r="C330" i="2"/>
  <c r="B330" i="2"/>
  <c r="A331" i="2"/>
  <c r="O329" i="2"/>
  <c r="G364" i="2"/>
  <c r="B364" i="2"/>
  <c r="A365" i="2"/>
  <c r="C364" i="2"/>
  <c r="O363" i="2"/>
  <c r="A399" i="2"/>
  <c r="C398" i="2"/>
  <c r="G398" i="2"/>
  <c r="B398" i="2"/>
  <c r="G432" i="2"/>
  <c r="A433" i="2"/>
  <c r="B432" i="2"/>
  <c r="C432" i="2"/>
  <c r="A263" i="2"/>
  <c r="G262" i="2"/>
  <c r="B262" i="2"/>
  <c r="C262" i="2"/>
  <c r="A468" i="2"/>
  <c r="G467" i="2"/>
  <c r="C501" i="2"/>
  <c r="G569" i="2"/>
  <c r="C569" i="2"/>
  <c r="B569" i="2"/>
  <c r="B637" i="2"/>
  <c r="C637" i="2"/>
  <c r="C671" i="2"/>
  <c r="B671" i="2"/>
  <c r="G671" i="2"/>
  <c r="A672" i="2"/>
  <c r="G705" i="2"/>
  <c r="A706" i="2"/>
  <c r="C705" i="2"/>
  <c r="B773" i="2"/>
  <c r="G773" i="2"/>
  <c r="A774" i="2"/>
  <c r="A809" i="2" s="1"/>
  <c r="C773" i="2"/>
  <c r="A842" i="2"/>
  <c r="C739" i="2"/>
  <c r="A740" i="2"/>
  <c r="A604" i="2"/>
  <c r="B603" i="2"/>
  <c r="A536" i="2"/>
  <c r="B535" i="2"/>
  <c r="O534" i="2"/>
  <c r="B467" i="2"/>
  <c r="C467" i="2"/>
  <c r="G501" i="2"/>
  <c r="A502" i="2"/>
  <c r="B501" i="2"/>
  <c r="A570" i="2"/>
  <c r="O636" i="2"/>
  <c r="A638" i="2"/>
  <c r="G637" i="2"/>
  <c r="O670" i="2"/>
  <c r="B705" i="2"/>
  <c r="B739" i="2"/>
  <c r="G739" i="2"/>
  <c r="G603" i="2"/>
  <c r="C603" i="2"/>
  <c r="G535" i="2"/>
  <c r="C535" i="2"/>
  <c r="A25" i="2"/>
  <c r="B24" i="2"/>
  <c r="G24" i="2"/>
  <c r="C24" i="2"/>
  <c r="O91" i="2"/>
  <c r="B93" i="2"/>
  <c r="G93" i="2"/>
  <c r="A94" i="2"/>
  <c r="C93" i="2"/>
  <c r="S190" i="2" l="1"/>
  <c r="F1781" i="2"/>
  <c r="F1502" i="2"/>
  <c r="F1118" i="2"/>
  <c r="F1153" i="2" s="1"/>
  <c r="S91" i="2"/>
  <c r="T226" i="2"/>
  <c r="S533" i="2"/>
  <c r="T601" i="2"/>
  <c r="T362" i="2"/>
  <c r="I260" i="2"/>
  <c r="S635" i="2"/>
  <c r="T702" i="2"/>
  <c r="G807" i="2"/>
  <c r="C807" i="2"/>
  <c r="C808" i="2"/>
  <c r="D808" i="2"/>
  <c r="B808" i="2"/>
  <c r="Q808" i="2" s="1"/>
  <c r="G808" i="2"/>
  <c r="E808" i="2"/>
  <c r="D807" i="2"/>
  <c r="E807" i="2"/>
  <c r="O260" i="2"/>
  <c r="O225" i="2"/>
  <c r="S225" i="2" s="1"/>
  <c r="B809" i="2"/>
  <c r="C809" i="2"/>
  <c r="D809" i="2"/>
  <c r="E809" i="2"/>
  <c r="S56" i="2"/>
  <c r="S702" i="2"/>
  <c r="Q93" i="2"/>
  <c r="P93" i="2"/>
  <c r="Q24" i="2"/>
  <c r="P24" i="2"/>
  <c r="Q739" i="2"/>
  <c r="P739" i="2"/>
  <c r="Q705" i="2"/>
  <c r="P705" i="2"/>
  <c r="Q501" i="2"/>
  <c r="P501" i="2"/>
  <c r="Q467" i="2"/>
  <c r="P467" i="2"/>
  <c r="Q535" i="2"/>
  <c r="P535" i="2"/>
  <c r="Q603" i="2"/>
  <c r="P603" i="2"/>
  <c r="Q773" i="2"/>
  <c r="P773" i="2"/>
  <c r="Q671" i="2"/>
  <c r="P671" i="2"/>
  <c r="Q637" i="2"/>
  <c r="P637" i="2"/>
  <c r="Q569" i="2"/>
  <c r="P569" i="2"/>
  <c r="Q262" i="2"/>
  <c r="P262" i="2"/>
  <c r="Q432" i="2"/>
  <c r="P432" i="2"/>
  <c r="Q398" i="2"/>
  <c r="P398" i="2"/>
  <c r="Q364" i="2"/>
  <c r="P364" i="2"/>
  <c r="Q330" i="2"/>
  <c r="P330" i="2"/>
  <c r="Q296" i="2"/>
  <c r="P296" i="2"/>
  <c r="Q194" i="2"/>
  <c r="P194" i="2"/>
  <c r="Q126" i="2"/>
  <c r="P126" i="2"/>
  <c r="Q228" i="2"/>
  <c r="P228" i="2"/>
  <c r="Q160" i="2"/>
  <c r="P160" i="2"/>
  <c r="Q772" i="2"/>
  <c r="P772" i="2"/>
  <c r="Q58" i="2"/>
  <c r="P58" i="2"/>
  <c r="T56" i="2"/>
  <c r="R57" i="2"/>
  <c r="D94" i="2"/>
  <c r="E94" i="2"/>
  <c r="D25" i="2"/>
  <c r="E25" i="2"/>
  <c r="D638" i="2"/>
  <c r="E638" i="2"/>
  <c r="D570" i="2"/>
  <c r="E570" i="2"/>
  <c r="D502" i="2"/>
  <c r="E502" i="2"/>
  <c r="D536" i="2"/>
  <c r="E536" i="2"/>
  <c r="D604" i="2"/>
  <c r="E604" i="2"/>
  <c r="D740" i="2"/>
  <c r="E740" i="2"/>
  <c r="D774" i="2"/>
  <c r="E774" i="2"/>
  <c r="D706" i="2"/>
  <c r="E706" i="2"/>
  <c r="D672" i="2"/>
  <c r="E672" i="2"/>
  <c r="D468" i="2"/>
  <c r="E468" i="2"/>
  <c r="D263" i="2"/>
  <c r="E263" i="2"/>
  <c r="D433" i="2"/>
  <c r="E433" i="2"/>
  <c r="D399" i="2"/>
  <c r="E399" i="2"/>
  <c r="D365" i="2"/>
  <c r="E365" i="2"/>
  <c r="D331" i="2"/>
  <c r="E331" i="2"/>
  <c r="D297" i="2"/>
  <c r="E297" i="2"/>
  <c r="D195" i="2"/>
  <c r="E195" i="2"/>
  <c r="D127" i="2"/>
  <c r="E127" i="2"/>
  <c r="D229" i="2"/>
  <c r="E229" i="2"/>
  <c r="D161" i="2"/>
  <c r="E161" i="2"/>
  <c r="D59" i="2"/>
  <c r="E59" i="2"/>
  <c r="A60" i="2"/>
  <c r="G59" i="2"/>
  <c r="C59" i="2"/>
  <c r="B59" i="2"/>
  <c r="S124" i="2"/>
  <c r="S158" i="2"/>
  <c r="B807" i="2"/>
  <c r="T567" i="2"/>
  <c r="T294" i="2"/>
  <c r="T635" i="2"/>
  <c r="T533" i="2"/>
  <c r="R670" i="2"/>
  <c r="R125" i="2"/>
  <c r="R737" i="2"/>
  <c r="R534" i="2"/>
  <c r="S294" i="2"/>
  <c r="R329" i="2"/>
  <c r="R261" i="2"/>
  <c r="R23" i="2"/>
  <c r="S260" i="2"/>
  <c r="R568" i="2"/>
  <c r="S430" i="2"/>
  <c r="T396" i="2"/>
  <c r="F865" i="2"/>
  <c r="F864" i="2"/>
  <c r="F866" i="2"/>
  <c r="S601" i="2"/>
  <c r="S362" i="2"/>
  <c r="S226" i="2"/>
  <c r="T465" i="2"/>
  <c r="T158" i="2"/>
  <c r="S567" i="2"/>
  <c r="T192" i="2"/>
  <c r="S328" i="2"/>
  <c r="S396" i="2"/>
  <c r="R636" i="2"/>
  <c r="R363" i="2"/>
  <c r="R227" i="2"/>
  <c r="R466" i="2"/>
  <c r="R193" i="2"/>
  <c r="T499" i="2"/>
  <c r="R602" i="2"/>
  <c r="T328" i="2"/>
  <c r="S465" i="2"/>
  <c r="T91" i="2"/>
  <c r="S499" i="2"/>
  <c r="R738" i="2"/>
  <c r="R295" i="2"/>
  <c r="B28" i="1"/>
  <c r="S703" i="2"/>
  <c r="R431" i="2"/>
  <c r="R159" i="2"/>
  <c r="T260" i="2"/>
  <c r="R500" i="2"/>
  <c r="S669" i="2"/>
  <c r="T703" i="2"/>
  <c r="T430" i="2"/>
  <c r="T669" i="2"/>
  <c r="S192" i="2"/>
  <c r="T124" i="2"/>
  <c r="R92" i="2"/>
  <c r="R704" i="2"/>
  <c r="R397" i="2"/>
  <c r="O704" i="2"/>
  <c r="O431" i="2"/>
  <c r="O738" i="2"/>
  <c r="O772" i="2"/>
  <c r="O602" i="2"/>
  <c r="O568" i="2"/>
  <c r="O500" i="2"/>
  <c r="O261" i="2"/>
  <c r="O193" i="2"/>
  <c r="C161" i="2"/>
  <c r="G161" i="2"/>
  <c r="A162" i="2"/>
  <c r="B161" i="2"/>
  <c r="O160" i="2"/>
  <c r="C127" i="2"/>
  <c r="B127" i="2"/>
  <c r="G127" i="2"/>
  <c r="A128" i="2"/>
  <c r="A230" i="2"/>
  <c r="G229" i="2"/>
  <c r="B229" i="2"/>
  <c r="C229" i="2"/>
  <c r="G195" i="2"/>
  <c r="B195" i="2"/>
  <c r="A196" i="2"/>
  <c r="C195" i="2"/>
  <c r="O194" i="2"/>
  <c r="B433" i="2"/>
  <c r="G433" i="2"/>
  <c r="A434" i="2"/>
  <c r="C433" i="2"/>
  <c r="O398" i="2"/>
  <c r="B399" i="2"/>
  <c r="G399" i="2"/>
  <c r="A400" i="2"/>
  <c r="C399" i="2"/>
  <c r="B365" i="2"/>
  <c r="C365" i="2"/>
  <c r="G365" i="2"/>
  <c r="A366" i="2"/>
  <c r="G331" i="2"/>
  <c r="B331" i="2"/>
  <c r="A332" i="2"/>
  <c r="C331" i="2"/>
  <c r="B297" i="2"/>
  <c r="C297" i="2"/>
  <c r="A298" i="2"/>
  <c r="G297" i="2"/>
  <c r="B263" i="2"/>
  <c r="G263" i="2"/>
  <c r="C263" i="2"/>
  <c r="A264" i="2"/>
  <c r="O739" i="2"/>
  <c r="O705" i="2"/>
  <c r="C638" i="2"/>
  <c r="B638" i="2"/>
  <c r="A639" i="2"/>
  <c r="G638" i="2"/>
  <c r="B570" i="2"/>
  <c r="G570" i="2"/>
  <c r="C570" i="2"/>
  <c r="A571" i="2"/>
  <c r="C502" i="2"/>
  <c r="A503" i="2"/>
  <c r="G502" i="2"/>
  <c r="B502" i="2"/>
  <c r="A537" i="2"/>
  <c r="G536" i="2"/>
  <c r="B536" i="2"/>
  <c r="C536" i="2"/>
  <c r="O603" i="2"/>
  <c r="B604" i="2"/>
  <c r="A605" i="2"/>
  <c r="G604" i="2"/>
  <c r="C604" i="2"/>
  <c r="A741" i="2"/>
  <c r="B740" i="2"/>
  <c r="G740" i="2"/>
  <c r="C740" i="2"/>
  <c r="A877" i="2"/>
  <c r="A843" i="2"/>
  <c r="B774" i="2"/>
  <c r="C774" i="2"/>
  <c r="G774" i="2"/>
  <c r="A775" i="2"/>
  <c r="A810" i="2" s="1"/>
  <c r="G706" i="2"/>
  <c r="C706" i="2"/>
  <c r="A707" i="2"/>
  <c r="B706" i="2"/>
  <c r="A673" i="2"/>
  <c r="C672" i="2"/>
  <c r="B672" i="2"/>
  <c r="G672" i="2"/>
  <c r="G468" i="2"/>
  <c r="C468" i="2"/>
  <c r="B468" i="2"/>
  <c r="A469" i="2"/>
  <c r="A26" i="2"/>
  <c r="G25" i="2"/>
  <c r="C25" i="2"/>
  <c r="B25" i="2"/>
  <c r="O92" i="2"/>
  <c r="C94" i="2"/>
  <c r="G94" i="2"/>
  <c r="B94" i="2"/>
  <c r="A95" i="2"/>
  <c r="F1816" i="2" l="1"/>
  <c r="F1851" i="2" s="1"/>
  <c r="F1886" i="2" s="1"/>
  <c r="F1921" i="2" s="1"/>
  <c r="F1537" i="2"/>
  <c r="F1572" i="2" s="1"/>
  <c r="F1607" i="2" s="1"/>
  <c r="F1642" i="2" s="1"/>
  <c r="F1677" i="2" s="1"/>
  <c r="F1712" i="2" s="1"/>
  <c r="F1188" i="2"/>
  <c r="F1223" i="2" s="1"/>
  <c r="P808" i="2"/>
  <c r="T397" i="2"/>
  <c r="I466" i="2"/>
  <c r="S227" i="2"/>
  <c r="S363" i="2"/>
  <c r="S636" i="2"/>
  <c r="S329" i="2"/>
  <c r="S534" i="2"/>
  <c r="S737" i="2"/>
  <c r="S670" i="2"/>
  <c r="T225" i="2"/>
  <c r="G842" i="2"/>
  <c r="D842" i="2"/>
  <c r="E842" i="2"/>
  <c r="O466" i="2"/>
  <c r="R808" i="2"/>
  <c r="T808" i="2" s="1"/>
  <c r="B810" i="2"/>
  <c r="C810" i="2"/>
  <c r="D810" i="2"/>
  <c r="E810" i="2"/>
  <c r="T57" i="2"/>
  <c r="S57" i="2"/>
  <c r="Q25" i="2"/>
  <c r="P25" i="2"/>
  <c r="Q706" i="2"/>
  <c r="P706" i="2"/>
  <c r="Q740" i="2"/>
  <c r="P740" i="2"/>
  <c r="Q297" i="2"/>
  <c r="P297" i="2"/>
  <c r="Q399" i="2"/>
  <c r="P399" i="2"/>
  <c r="Q161" i="2"/>
  <c r="P161" i="2"/>
  <c r="Q774" i="2"/>
  <c r="P774" i="2"/>
  <c r="Q195" i="2"/>
  <c r="P195" i="2"/>
  <c r="Q229" i="2"/>
  <c r="P229" i="2"/>
  <c r="Q94" i="2"/>
  <c r="P94" i="2"/>
  <c r="Q468" i="2"/>
  <c r="P468" i="2"/>
  <c r="Q604" i="2"/>
  <c r="P604" i="2"/>
  <c r="Q536" i="2"/>
  <c r="P536" i="2"/>
  <c r="Q502" i="2"/>
  <c r="P502" i="2"/>
  <c r="Q263" i="2"/>
  <c r="P263" i="2"/>
  <c r="Q365" i="2"/>
  <c r="P365" i="2"/>
  <c r="Q433" i="2"/>
  <c r="P433" i="2"/>
  <c r="Q59" i="2"/>
  <c r="P59" i="2"/>
  <c r="Q672" i="2"/>
  <c r="P672" i="2"/>
  <c r="Q570" i="2"/>
  <c r="P570" i="2"/>
  <c r="Q638" i="2"/>
  <c r="P638" i="2"/>
  <c r="Q331" i="2"/>
  <c r="P331" i="2"/>
  <c r="Q127" i="2"/>
  <c r="P127" i="2"/>
  <c r="Q807" i="2"/>
  <c r="P807" i="2"/>
  <c r="R58" i="2"/>
  <c r="D95" i="2"/>
  <c r="E95" i="2"/>
  <c r="D26" i="2"/>
  <c r="E26" i="2"/>
  <c r="D469" i="2"/>
  <c r="E469" i="2"/>
  <c r="D673" i="2"/>
  <c r="E673" i="2"/>
  <c r="D707" i="2"/>
  <c r="E707" i="2"/>
  <c r="D775" i="2"/>
  <c r="E775" i="2"/>
  <c r="D843" i="2"/>
  <c r="E843" i="2"/>
  <c r="A878" i="2"/>
  <c r="A879" i="2" s="1"/>
  <c r="D741" i="2"/>
  <c r="E741" i="2"/>
  <c r="D605" i="2"/>
  <c r="E605" i="2"/>
  <c r="D537" i="2"/>
  <c r="E537" i="2"/>
  <c r="D503" i="2"/>
  <c r="E503" i="2"/>
  <c r="D571" i="2"/>
  <c r="E571" i="2"/>
  <c r="D639" i="2"/>
  <c r="E639" i="2"/>
  <c r="D264" i="2"/>
  <c r="E264" i="2"/>
  <c r="D298" i="2"/>
  <c r="E298" i="2"/>
  <c r="D332" i="2"/>
  <c r="E332" i="2"/>
  <c r="D366" i="2"/>
  <c r="E366" i="2"/>
  <c r="D400" i="2"/>
  <c r="E400" i="2"/>
  <c r="D434" i="2"/>
  <c r="E434" i="2"/>
  <c r="D196" i="2"/>
  <c r="E196" i="2"/>
  <c r="D230" i="2"/>
  <c r="E230" i="2"/>
  <c r="D128" i="2"/>
  <c r="E128" i="2"/>
  <c r="D162" i="2"/>
  <c r="E162" i="2"/>
  <c r="D60" i="2"/>
  <c r="E60" i="2"/>
  <c r="G60" i="2"/>
  <c r="C60" i="2"/>
  <c r="B60" i="2"/>
  <c r="A61" i="2"/>
  <c r="R772" i="2"/>
  <c r="I295" i="2"/>
  <c r="T159" i="2"/>
  <c r="T125" i="2"/>
  <c r="S466" i="2"/>
  <c r="T534" i="2"/>
  <c r="S125" i="2"/>
  <c r="T670" i="2"/>
  <c r="T737" i="2"/>
  <c r="T329" i="2"/>
  <c r="S568" i="2"/>
  <c r="S261" i="2"/>
  <c r="B842" i="2"/>
  <c r="C842" i="2"/>
  <c r="R569" i="2"/>
  <c r="R501" i="2"/>
  <c r="R671" i="2"/>
  <c r="S431" i="2"/>
  <c r="S159" i="2"/>
  <c r="T568" i="2"/>
  <c r="F900" i="2"/>
  <c r="F935" i="2" s="1"/>
  <c r="F899" i="2"/>
  <c r="F901" i="2"/>
  <c r="S602" i="2"/>
  <c r="T363" i="2"/>
  <c r="T227" i="2"/>
  <c r="T738" i="2"/>
  <c r="T636" i="2"/>
  <c r="T193" i="2"/>
  <c r="T500" i="2"/>
  <c r="R432" i="2"/>
  <c r="R739" i="2"/>
  <c r="R603" i="2"/>
  <c r="R535" i="2"/>
  <c r="S193" i="2"/>
  <c r="R262" i="2"/>
  <c r="R330" i="2"/>
  <c r="R126" i="2"/>
  <c r="S500" i="2"/>
  <c r="T602" i="2"/>
  <c r="T704" i="2"/>
  <c r="R296" i="2"/>
  <c r="R705" i="2"/>
  <c r="T92" i="2"/>
  <c r="T431" i="2"/>
  <c r="S738" i="2"/>
  <c r="T261" i="2"/>
  <c r="R364" i="2"/>
  <c r="B29" i="1"/>
  <c r="S92" i="2"/>
  <c r="R637" i="2"/>
  <c r="R467" i="2"/>
  <c r="R228" i="2"/>
  <c r="R160" i="2"/>
  <c r="S704" i="2"/>
  <c r="R398" i="2"/>
  <c r="R93" i="2"/>
  <c r="S397" i="2"/>
  <c r="R194" i="2"/>
  <c r="R773" i="2"/>
  <c r="A912" i="2"/>
  <c r="O773" i="2"/>
  <c r="O467" i="2"/>
  <c r="O569" i="2"/>
  <c r="O637" i="2"/>
  <c r="O535" i="2"/>
  <c r="O807" i="2"/>
  <c r="O228" i="2"/>
  <c r="O126" i="2"/>
  <c r="O364" i="2"/>
  <c r="O671" i="2"/>
  <c r="O296" i="2"/>
  <c r="O262" i="2"/>
  <c r="O501" i="2"/>
  <c r="G162" i="2"/>
  <c r="A163" i="2"/>
  <c r="C162" i="2"/>
  <c r="B162" i="2"/>
  <c r="B230" i="2"/>
  <c r="C230" i="2"/>
  <c r="A231" i="2"/>
  <c r="G230" i="2"/>
  <c r="G128" i="2"/>
  <c r="C128" i="2"/>
  <c r="A129" i="2"/>
  <c r="B128" i="2"/>
  <c r="A197" i="2"/>
  <c r="G196" i="2"/>
  <c r="C196" i="2"/>
  <c r="B196" i="2"/>
  <c r="C298" i="2"/>
  <c r="A299" i="2"/>
  <c r="B298" i="2"/>
  <c r="G298" i="2"/>
  <c r="G332" i="2"/>
  <c r="C332" i="2"/>
  <c r="A333" i="2"/>
  <c r="B332" i="2"/>
  <c r="G366" i="2"/>
  <c r="B366" i="2"/>
  <c r="C366" i="2"/>
  <c r="A367" i="2"/>
  <c r="C400" i="2"/>
  <c r="A401" i="2"/>
  <c r="G400" i="2"/>
  <c r="B400" i="2"/>
  <c r="O399" i="2"/>
  <c r="G434" i="2"/>
  <c r="A435" i="2"/>
  <c r="C434" i="2"/>
  <c r="B434" i="2"/>
  <c r="A265" i="2"/>
  <c r="G264" i="2"/>
  <c r="C264" i="2"/>
  <c r="B264" i="2"/>
  <c r="G469" i="2"/>
  <c r="C469" i="2"/>
  <c r="A470" i="2"/>
  <c r="B469" i="2"/>
  <c r="O672" i="2"/>
  <c r="A674" i="2"/>
  <c r="B673" i="2"/>
  <c r="G673" i="2"/>
  <c r="C673" i="2"/>
  <c r="A708" i="2"/>
  <c r="B707" i="2"/>
  <c r="G707" i="2"/>
  <c r="C707" i="2"/>
  <c r="G775" i="2"/>
  <c r="C775" i="2"/>
  <c r="A776" i="2"/>
  <c r="A811" i="2" s="1"/>
  <c r="B775" i="2"/>
  <c r="O774" i="2"/>
  <c r="A844" i="2"/>
  <c r="B843" i="2"/>
  <c r="G843" i="2"/>
  <c r="C843" i="2"/>
  <c r="O740" i="2"/>
  <c r="C741" i="2"/>
  <c r="G741" i="2"/>
  <c r="A742" i="2"/>
  <c r="B741" i="2"/>
  <c r="C605" i="2"/>
  <c r="A606" i="2"/>
  <c r="B605" i="2"/>
  <c r="G605" i="2"/>
  <c r="B537" i="2"/>
  <c r="C537" i="2"/>
  <c r="A538" i="2"/>
  <c r="G537" i="2"/>
  <c r="A504" i="2"/>
  <c r="C503" i="2"/>
  <c r="B503" i="2"/>
  <c r="G503" i="2"/>
  <c r="G571" i="2"/>
  <c r="A572" i="2"/>
  <c r="B571" i="2"/>
  <c r="C571" i="2"/>
  <c r="C639" i="2"/>
  <c r="B639" i="2"/>
  <c r="A640" i="2"/>
  <c r="G639" i="2"/>
  <c r="O638" i="2"/>
  <c r="G809" i="2"/>
  <c r="A27" i="2"/>
  <c r="G26" i="2"/>
  <c r="C26" i="2"/>
  <c r="B26" i="2"/>
  <c r="O93" i="2"/>
  <c r="A96" i="2"/>
  <c r="C95" i="2"/>
  <c r="B95" i="2"/>
  <c r="G95" i="2"/>
  <c r="O61" i="2"/>
  <c r="F934" i="2" l="1"/>
  <c r="F1956" i="2"/>
  <c r="F1747" i="2"/>
  <c r="F1258" i="2"/>
  <c r="T466" i="2"/>
  <c r="T772" i="2"/>
  <c r="S398" i="2"/>
  <c r="T705" i="2"/>
  <c r="I330" i="2"/>
  <c r="S603" i="2"/>
  <c r="T739" i="2"/>
  <c r="S432" i="2"/>
  <c r="D877" i="2"/>
  <c r="E877" i="2"/>
  <c r="O330" i="2"/>
  <c r="O295" i="2"/>
  <c r="S808" i="2"/>
  <c r="B811" i="2"/>
  <c r="C811" i="2"/>
  <c r="D811" i="2"/>
  <c r="E811" i="2"/>
  <c r="S58" i="2"/>
  <c r="C878" i="2"/>
  <c r="S772" i="2"/>
  <c r="Q469" i="2"/>
  <c r="P469" i="2"/>
  <c r="Q434" i="2"/>
  <c r="P434" i="2"/>
  <c r="Q60" i="2"/>
  <c r="P60" i="2"/>
  <c r="Q639" i="2"/>
  <c r="P639" i="2"/>
  <c r="Q741" i="2"/>
  <c r="P741" i="2"/>
  <c r="Q128" i="2"/>
  <c r="P128" i="2"/>
  <c r="Q842" i="2"/>
  <c r="P842" i="2"/>
  <c r="Q26" i="2"/>
  <c r="P26" i="2"/>
  <c r="Q503" i="2"/>
  <c r="P503" i="2"/>
  <c r="Q537" i="2"/>
  <c r="P537" i="2"/>
  <c r="Q843" i="2"/>
  <c r="P843" i="2"/>
  <c r="Q775" i="2"/>
  <c r="P775" i="2"/>
  <c r="Q707" i="2"/>
  <c r="P707" i="2"/>
  <c r="Q264" i="2"/>
  <c r="P264" i="2"/>
  <c r="Q400" i="2"/>
  <c r="P400" i="2"/>
  <c r="Q366" i="2"/>
  <c r="P366" i="2"/>
  <c r="Q230" i="2"/>
  <c r="P230" i="2"/>
  <c r="Q298" i="2"/>
  <c r="P298" i="2"/>
  <c r="Q162" i="2"/>
  <c r="P162" i="2"/>
  <c r="Q809" i="2"/>
  <c r="P809" i="2"/>
  <c r="Q673" i="2"/>
  <c r="P673" i="2"/>
  <c r="Q196" i="2"/>
  <c r="P196" i="2"/>
  <c r="Q95" i="2"/>
  <c r="P95" i="2"/>
  <c r="Q571" i="2"/>
  <c r="P571" i="2"/>
  <c r="Q605" i="2"/>
  <c r="P605" i="2"/>
  <c r="Q332" i="2"/>
  <c r="P332" i="2"/>
  <c r="T58" i="2"/>
  <c r="R59" i="2"/>
  <c r="D96" i="2"/>
  <c r="E96" i="2"/>
  <c r="D27" i="2"/>
  <c r="E27" i="2"/>
  <c r="D640" i="2"/>
  <c r="E640" i="2"/>
  <c r="D572" i="2"/>
  <c r="E572" i="2"/>
  <c r="D504" i="2"/>
  <c r="E504" i="2"/>
  <c r="D538" i="2"/>
  <c r="E538" i="2"/>
  <c r="D606" i="2"/>
  <c r="E606" i="2"/>
  <c r="D742" i="2"/>
  <c r="E742" i="2"/>
  <c r="D844" i="2"/>
  <c r="E844" i="2"/>
  <c r="D776" i="2"/>
  <c r="E776" i="2"/>
  <c r="D708" i="2"/>
  <c r="E708" i="2"/>
  <c r="D674" i="2"/>
  <c r="E674" i="2"/>
  <c r="D470" i="2"/>
  <c r="E470" i="2"/>
  <c r="D879" i="2"/>
  <c r="E879" i="2"/>
  <c r="D265" i="2"/>
  <c r="E265" i="2"/>
  <c r="D435" i="2"/>
  <c r="E435" i="2"/>
  <c r="D401" i="2"/>
  <c r="E401" i="2"/>
  <c r="D367" i="2"/>
  <c r="E367" i="2"/>
  <c r="D333" i="2"/>
  <c r="E333" i="2"/>
  <c r="D299" i="2"/>
  <c r="E299" i="2"/>
  <c r="D197" i="2"/>
  <c r="E197" i="2"/>
  <c r="D129" i="2"/>
  <c r="E129" i="2"/>
  <c r="D231" i="2"/>
  <c r="E231" i="2"/>
  <c r="D163" i="2"/>
  <c r="E163" i="2"/>
  <c r="A913" i="2"/>
  <c r="A914" i="2" s="1"/>
  <c r="D61" i="2"/>
  <c r="E61" i="2"/>
  <c r="A62" i="2"/>
  <c r="G61" i="2"/>
  <c r="C61" i="2"/>
  <c r="B61" i="2"/>
  <c r="D878" i="2"/>
  <c r="E878" i="2"/>
  <c r="R807" i="2"/>
  <c r="S295" i="2"/>
  <c r="S194" i="2"/>
  <c r="T160" i="2"/>
  <c r="G878" i="2"/>
  <c r="T569" i="2"/>
  <c r="S501" i="2"/>
  <c r="S671" i="2"/>
  <c r="R161" i="2"/>
  <c r="R127" i="2"/>
  <c r="S705" i="2"/>
  <c r="R263" i="2"/>
  <c r="R740" i="2"/>
  <c r="R570" i="2"/>
  <c r="S160" i="2"/>
  <c r="T432" i="2"/>
  <c r="F936" i="2"/>
  <c r="S739" i="2"/>
  <c r="T603" i="2"/>
  <c r="T535" i="2"/>
  <c r="S467" i="2"/>
  <c r="S296" i="2"/>
  <c r="S262" i="2"/>
  <c r="S228" i="2"/>
  <c r="S330" i="2"/>
  <c r="T398" i="2"/>
  <c r="T126" i="2"/>
  <c r="S93" i="2"/>
  <c r="T671" i="2"/>
  <c r="T330" i="2"/>
  <c r="S569" i="2"/>
  <c r="T501" i="2"/>
  <c r="R536" i="2"/>
  <c r="R25" i="2"/>
  <c r="I25" i="2" s="1"/>
  <c r="R774" i="2"/>
  <c r="R468" i="2"/>
  <c r="T194" i="2"/>
  <c r="T364" i="2"/>
  <c r="G877" i="2"/>
  <c r="C877" i="2"/>
  <c r="R297" i="2"/>
  <c r="B877" i="2"/>
  <c r="B878" i="2"/>
  <c r="R672" i="2"/>
  <c r="R365" i="2"/>
  <c r="T467" i="2"/>
  <c r="T637" i="2"/>
  <c r="R706" i="2"/>
  <c r="S535" i="2"/>
  <c r="R331" i="2"/>
  <c r="R604" i="2"/>
  <c r="R638" i="2"/>
  <c r="R502" i="2"/>
  <c r="R229" i="2"/>
  <c r="R433" i="2"/>
  <c r="R399" i="2"/>
  <c r="R195" i="2"/>
  <c r="S637" i="2"/>
  <c r="B30" i="1"/>
  <c r="A947" i="2"/>
  <c r="S364" i="2"/>
  <c r="T296" i="2"/>
  <c r="T773" i="2"/>
  <c r="T262" i="2"/>
  <c r="S126" i="2"/>
  <c r="T228" i="2"/>
  <c r="R94" i="2"/>
  <c r="S773" i="2"/>
  <c r="R24" i="2"/>
  <c r="T93" i="2"/>
  <c r="O536" i="2"/>
  <c r="O706" i="2"/>
  <c r="O570" i="2"/>
  <c r="O604" i="2"/>
  <c r="O842" i="2"/>
  <c r="O468" i="2"/>
  <c r="O263" i="2"/>
  <c r="O297" i="2"/>
  <c r="O433" i="2"/>
  <c r="O502" i="2"/>
  <c r="O229" i="2"/>
  <c r="O161" i="2"/>
  <c r="O195" i="2"/>
  <c r="O331" i="2"/>
  <c r="O127" i="2"/>
  <c r="B163" i="2"/>
  <c r="G163" i="2"/>
  <c r="A164" i="2"/>
  <c r="C163" i="2"/>
  <c r="A130" i="2"/>
  <c r="B129" i="2"/>
  <c r="G129" i="2"/>
  <c r="C129" i="2"/>
  <c r="C231" i="2"/>
  <c r="G231" i="2"/>
  <c r="B231" i="2"/>
  <c r="A232" i="2"/>
  <c r="O230" i="2"/>
  <c r="G197" i="2"/>
  <c r="C197" i="2"/>
  <c r="A198" i="2"/>
  <c r="B197" i="2"/>
  <c r="C435" i="2"/>
  <c r="B435" i="2"/>
  <c r="A436" i="2"/>
  <c r="G435" i="2"/>
  <c r="C401" i="2"/>
  <c r="A402" i="2"/>
  <c r="G401" i="2"/>
  <c r="B401" i="2"/>
  <c r="B367" i="2"/>
  <c r="G367" i="2"/>
  <c r="A368" i="2"/>
  <c r="C367" i="2"/>
  <c r="A334" i="2"/>
  <c r="G333" i="2"/>
  <c r="B333" i="2"/>
  <c r="C333" i="2"/>
  <c r="G299" i="2"/>
  <c r="C299" i="2"/>
  <c r="B299" i="2"/>
  <c r="A300" i="2"/>
  <c r="G265" i="2"/>
  <c r="B265" i="2"/>
  <c r="C265" i="2"/>
  <c r="A266" i="2"/>
  <c r="G810" i="2"/>
  <c r="A641" i="2"/>
  <c r="G640" i="2"/>
  <c r="B640" i="2"/>
  <c r="C640" i="2"/>
  <c r="C572" i="2"/>
  <c r="A573" i="2"/>
  <c r="B572" i="2"/>
  <c r="G572" i="2"/>
  <c r="O503" i="2"/>
  <c r="A505" i="2"/>
  <c r="C504" i="2"/>
  <c r="B504" i="2"/>
  <c r="G504" i="2"/>
  <c r="A539" i="2"/>
  <c r="G538" i="2"/>
  <c r="C538" i="2"/>
  <c r="B538" i="2"/>
  <c r="G606" i="2"/>
  <c r="A607" i="2"/>
  <c r="B606" i="2"/>
  <c r="C606" i="2"/>
  <c r="C742" i="2"/>
  <c r="B742" i="2"/>
  <c r="A743" i="2"/>
  <c r="G742" i="2"/>
  <c r="B844" i="2"/>
  <c r="A845" i="2"/>
  <c r="G844" i="2"/>
  <c r="C844" i="2"/>
  <c r="O775" i="2"/>
  <c r="A777" i="2"/>
  <c r="A812" i="2" s="1"/>
  <c r="C776" i="2"/>
  <c r="G776" i="2"/>
  <c r="B776" i="2"/>
  <c r="O707" i="2"/>
  <c r="B708" i="2"/>
  <c r="C708" i="2"/>
  <c r="A709" i="2"/>
  <c r="G708" i="2"/>
  <c r="C674" i="2"/>
  <c r="B674" i="2"/>
  <c r="A675" i="2"/>
  <c r="G674" i="2"/>
  <c r="G470" i="2"/>
  <c r="C470" i="2"/>
  <c r="B470" i="2"/>
  <c r="A471" i="2"/>
  <c r="B879" i="2"/>
  <c r="A880" i="2"/>
  <c r="G879" i="2"/>
  <c r="C879" i="2"/>
  <c r="A28" i="2"/>
  <c r="G27" i="2"/>
  <c r="C27" i="2"/>
  <c r="B27" i="2"/>
  <c r="C96" i="2"/>
  <c r="B96" i="2"/>
  <c r="A97" i="2"/>
  <c r="G96" i="2"/>
  <c r="O62" i="2"/>
  <c r="F1991" i="2" l="1"/>
  <c r="F2026" i="2" s="1"/>
  <c r="F2061" i="2" s="1"/>
  <c r="F1782" i="2"/>
  <c r="F1293" i="2"/>
  <c r="R26" i="2"/>
  <c r="T774" i="2"/>
  <c r="S399" i="2"/>
  <c r="S638" i="2"/>
  <c r="I365" i="2"/>
  <c r="S672" i="2"/>
  <c r="T740" i="2"/>
  <c r="T807" i="2"/>
  <c r="D912" i="2"/>
  <c r="E912" i="2"/>
  <c r="O365" i="2"/>
  <c r="T295" i="2"/>
  <c r="B812" i="2"/>
  <c r="C812" i="2"/>
  <c r="D812" i="2"/>
  <c r="E812" i="2"/>
  <c r="S807" i="2"/>
  <c r="Q674" i="2"/>
  <c r="P674" i="2"/>
  <c r="Q844" i="2"/>
  <c r="P844" i="2"/>
  <c r="Q606" i="2"/>
  <c r="P606" i="2"/>
  <c r="Q333" i="2"/>
  <c r="P333" i="2"/>
  <c r="Q197" i="2"/>
  <c r="P197" i="2"/>
  <c r="Q231" i="2"/>
  <c r="P231" i="2"/>
  <c r="Q470" i="2"/>
  <c r="P470" i="2"/>
  <c r="Q572" i="2"/>
  <c r="P572" i="2"/>
  <c r="Q27" i="2"/>
  <c r="P27" i="2"/>
  <c r="Q776" i="2"/>
  <c r="P776" i="2"/>
  <c r="Q401" i="2"/>
  <c r="P401" i="2"/>
  <c r="Q435" i="2"/>
  <c r="P435" i="2"/>
  <c r="Q163" i="2"/>
  <c r="P163" i="2"/>
  <c r="Q96" i="2"/>
  <c r="P96" i="2"/>
  <c r="Q879" i="2"/>
  <c r="P879" i="2"/>
  <c r="Q708" i="2"/>
  <c r="P708" i="2"/>
  <c r="Q504" i="2"/>
  <c r="P504" i="2"/>
  <c r="Q640" i="2"/>
  <c r="P640" i="2"/>
  <c r="Q265" i="2"/>
  <c r="P265" i="2"/>
  <c r="Q299" i="2"/>
  <c r="P299" i="2"/>
  <c r="Q129" i="2"/>
  <c r="P129" i="2"/>
  <c r="Q878" i="2"/>
  <c r="P878" i="2"/>
  <c r="Q61" i="2"/>
  <c r="P61" i="2"/>
  <c r="Q742" i="2"/>
  <c r="P742" i="2"/>
  <c r="Q538" i="2"/>
  <c r="P538" i="2"/>
  <c r="Q810" i="2"/>
  <c r="P810" i="2"/>
  <c r="Q367" i="2"/>
  <c r="P367" i="2"/>
  <c r="Q877" i="2"/>
  <c r="P877" i="2"/>
  <c r="R60" i="2"/>
  <c r="D97" i="2"/>
  <c r="E97" i="2"/>
  <c r="D28" i="2"/>
  <c r="E28" i="2"/>
  <c r="D914" i="2"/>
  <c r="E914" i="2"/>
  <c r="D880" i="2"/>
  <c r="E880" i="2"/>
  <c r="D471" i="2"/>
  <c r="E471" i="2"/>
  <c r="D675" i="2"/>
  <c r="E675" i="2"/>
  <c r="D709" i="2"/>
  <c r="E709" i="2"/>
  <c r="D777" i="2"/>
  <c r="E777" i="2"/>
  <c r="D845" i="2"/>
  <c r="E845" i="2"/>
  <c r="D743" i="2"/>
  <c r="E743" i="2"/>
  <c r="D607" i="2"/>
  <c r="E607" i="2"/>
  <c r="D539" i="2"/>
  <c r="E539" i="2"/>
  <c r="D505" i="2"/>
  <c r="E505" i="2"/>
  <c r="D573" i="2"/>
  <c r="E573" i="2"/>
  <c r="D641" i="2"/>
  <c r="E641" i="2"/>
  <c r="D266" i="2"/>
  <c r="E266" i="2"/>
  <c r="D300" i="2"/>
  <c r="E300" i="2"/>
  <c r="D334" i="2"/>
  <c r="E334" i="2"/>
  <c r="D368" i="2"/>
  <c r="E368" i="2"/>
  <c r="D402" i="2"/>
  <c r="E402" i="2"/>
  <c r="D436" i="2"/>
  <c r="E436" i="2"/>
  <c r="D198" i="2"/>
  <c r="E198" i="2"/>
  <c r="D232" i="2"/>
  <c r="E232" i="2"/>
  <c r="D130" i="2"/>
  <c r="E130" i="2"/>
  <c r="D164" i="2"/>
  <c r="E164" i="2"/>
  <c r="A948" i="2"/>
  <c r="A949" i="2" s="1"/>
  <c r="D62" i="2"/>
  <c r="E62" i="2"/>
  <c r="G62" i="2"/>
  <c r="C62" i="2"/>
  <c r="B62" i="2"/>
  <c r="A63" i="2"/>
  <c r="D913" i="2"/>
  <c r="E913" i="2"/>
  <c r="R842" i="2"/>
  <c r="I36" i="2"/>
  <c r="S127" i="2"/>
  <c r="S570" i="2"/>
  <c r="T161" i="2"/>
  <c r="T297" i="2"/>
  <c r="S263" i="2"/>
  <c r="S740" i="2"/>
  <c r="C913" i="2"/>
  <c r="B913" i="2"/>
  <c r="G913" i="2"/>
  <c r="G912" i="2"/>
  <c r="R639" i="2"/>
  <c r="T638" i="2"/>
  <c r="R128" i="2"/>
  <c r="R503" i="2"/>
  <c r="R537" i="2"/>
  <c r="S536" i="2"/>
  <c r="R775" i="2"/>
  <c r="A982" i="2"/>
  <c r="R196" i="2"/>
  <c r="S195" i="2"/>
  <c r="F970" i="2"/>
  <c r="F969" i="2"/>
  <c r="F971" i="2"/>
  <c r="S706" i="2"/>
  <c r="T604" i="2"/>
  <c r="S297" i="2"/>
  <c r="S468" i="2"/>
  <c r="S774" i="2"/>
  <c r="T672" i="2"/>
  <c r="S229" i="2"/>
  <c r="T536" i="2"/>
  <c r="T502" i="2"/>
  <c r="R707" i="2"/>
  <c r="T263" i="2"/>
  <c r="T468" i="2"/>
  <c r="T195" i="2"/>
  <c r="S161" i="2"/>
  <c r="R605" i="2"/>
  <c r="R469" i="2"/>
  <c r="T331" i="2"/>
  <c r="S433" i="2"/>
  <c r="S365" i="2"/>
  <c r="R400" i="2"/>
  <c r="R366" i="2"/>
  <c r="T399" i="2"/>
  <c r="R571" i="2"/>
  <c r="T570" i="2"/>
  <c r="S331" i="2"/>
  <c r="T365" i="2"/>
  <c r="R434" i="2"/>
  <c r="R298" i="2"/>
  <c r="R332" i="2"/>
  <c r="R230" i="2"/>
  <c r="B31" i="1"/>
  <c r="B912" i="2"/>
  <c r="C912" i="2"/>
  <c r="R673" i="2"/>
  <c r="T127" i="2"/>
  <c r="T706" i="2"/>
  <c r="S502" i="2"/>
  <c r="S604" i="2"/>
  <c r="T433" i="2"/>
  <c r="T229" i="2"/>
  <c r="R843" i="2"/>
  <c r="R741" i="2"/>
  <c r="R162" i="2"/>
  <c r="R809" i="2"/>
  <c r="R264" i="2"/>
  <c r="R95" i="2"/>
  <c r="O673" i="2"/>
  <c r="O878" i="2"/>
  <c r="O843" i="2"/>
  <c r="O877" i="2"/>
  <c r="O741" i="2"/>
  <c r="O809" i="2"/>
  <c r="O605" i="2"/>
  <c r="O639" i="2"/>
  <c r="O912" i="2"/>
  <c r="O298" i="2"/>
  <c r="O571" i="2"/>
  <c r="O434" i="2"/>
  <c r="O196" i="2"/>
  <c r="O366" i="2"/>
  <c r="O128" i="2"/>
  <c r="O469" i="2"/>
  <c r="O537" i="2"/>
  <c r="O264" i="2"/>
  <c r="O332" i="2"/>
  <c r="O162" i="2"/>
  <c r="C164" i="2"/>
  <c r="B164" i="2"/>
  <c r="G164" i="2"/>
  <c r="A165" i="2"/>
  <c r="B232" i="2"/>
  <c r="A233" i="2"/>
  <c r="G232" i="2"/>
  <c r="C232" i="2"/>
  <c r="C130" i="2"/>
  <c r="B130" i="2"/>
  <c r="G130" i="2"/>
  <c r="A131" i="2"/>
  <c r="B198" i="2"/>
  <c r="G198" i="2"/>
  <c r="C198" i="2"/>
  <c r="A199" i="2"/>
  <c r="C300" i="2"/>
  <c r="B300" i="2"/>
  <c r="A301" i="2"/>
  <c r="G300" i="2"/>
  <c r="C334" i="2"/>
  <c r="A335" i="2"/>
  <c r="G334" i="2"/>
  <c r="B334" i="2"/>
  <c r="G368" i="2"/>
  <c r="A369" i="2"/>
  <c r="C368" i="2"/>
  <c r="B368" i="2"/>
  <c r="G402" i="2"/>
  <c r="C402" i="2"/>
  <c r="A403" i="2"/>
  <c r="B402" i="2"/>
  <c r="G436" i="2"/>
  <c r="C436" i="2"/>
  <c r="B436" i="2"/>
  <c r="A437" i="2"/>
  <c r="G266" i="2"/>
  <c r="B266" i="2"/>
  <c r="C266" i="2"/>
  <c r="A267" i="2"/>
  <c r="A915" i="2"/>
  <c r="B914" i="2"/>
  <c r="C914" i="2"/>
  <c r="G914" i="2"/>
  <c r="A881" i="2"/>
  <c r="B880" i="2"/>
  <c r="G880" i="2"/>
  <c r="C880" i="2"/>
  <c r="A472" i="2"/>
  <c r="G471" i="2"/>
  <c r="C471" i="2"/>
  <c r="B471" i="2"/>
  <c r="A676" i="2"/>
  <c r="G675" i="2"/>
  <c r="C675" i="2"/>
  <c r="B675" i="2"/>
  <c r="C709" i="2"/>
  <c r="G709" i="2"/>
  <c r="A710" i="2"/>
  <c r="B709" i="2"/>
  <c r="A778" i="2"/>
  <c r="A813" i="2" s="1"/>
  <c r="C777" i="2"/>
  <c r="B777" i="2"/>
  <c r="G777" i="2"/>
  <c r="B845" i="2"/>
  <c r="C845" i="2"/>
  <c r="A846" i="2"/>
  <c r="G845" i="2"/>
  <c r="G743" i="2"/>
  <c r="B743" i="2"/>
  <c r="A744" i="2"/>
  <c r="C743" i="2"/>
  <c r="C607" i="2"/>
  <c r="B607" i="2"/>
  <c r="G607" i="2"/>
  <c r="A608" i="2"/>
  <c r="C539" i="2"/>
  <c r="G539" i="2"/>
  <c r="B539" i="2"/>
  <c r="A540" i="2"/>
  <c r="C505" i="2"/>
  <c r="B505" i="2"/>
  <c r="G505" i="2"/>
  <c r="A506" i="2"/>
  <c r="G573" i="2"/>
  <c r="C573" i="2"/>
  <c r="B573" i="2"/>
  <c r="A574" i="2"/>
  <c r="B641" i="2"/>
  <c r="G641" i="2"/>
  <c r="A642" i="2"/>
  <c r="C641" i="2"/>
  <c r="G811" i="2"/>
  <c r="A29" i="2"/>
  <c r="G28" i="2"/>
  <c r="C28" i="2"/>
  <c r="B28" i="2"/>
  <c r="A98" i="2"/>
  <c r="G97" i="2"/>
  <c r="B97" i="2"/>
  <c r="C97" i="2"/>
  <c r="O63" i="2"/>
  <c r="F2096" i="2" l="1"/>
  <c r="F2131" i="2" s="1"/>
  <c r="F1817" i="2"/>
  <c r="F1852" i="2" s="1"/>
  <c r="F1887" i="2" s="1"/>
  <c r="F1922" i="2" s="1"/>
  <c r="F1328" i="2"/>
  <c r="F1363" i="2" s="1"/>
  <c r="F1398" i="2" s="1"/>
  <c r="S775" i="2"/>
  <c r="S230" i="2"/>
  <c r="I400" i="2"/>
  <c r="S707" i="2"/>
  <c r="T503" i="2"/>
  <c r="S842" i="2"/>
  <c r="D947" i="2"/>
  <c r="E947" i="2"/>
  <c r="O400" i="2"/>
  <c r="B813" i="2"/>
  <c r="C813" i="2"/>
  <c r="D813" i="2"/>
  <c r="E813" i="2"/>
  <c r="O59" i="2"/>
  <c r="Q777" i="2"/>
  <c r="P777" i="2"/>
  <c r="Q198" i="2"/>
  <c r="P198" i="2"/>
  <c r="Q607" i="2"/>
  <c r="P607" i="2"/>
  <c r="Q845" i="2"/>
  <c r="P845" i="2"/>
  <c r="Q675" i="2"/>
  <c r="P675" i="2"/>
  <c r="Q914" i="2"/>
  <c r="P914" i="2"/>
  <c r="Q334" i="2"/>
  <c r="P334" i="2"/>
  <c r="Q300" i="2"/>
  <c r="P300" i="2"/>
  <c r="Q912" i="2"/>
  <c r="P912" i="2"/>
  <c r="Q913" i="2"/>
  <c r="P913" i="2"/>
  <c r="Q62" i="2"/>
  <c r="P62" i="2"/>
  <c r="Q97" i="2"/>
  <c r="P97" i="2"/>
  <c r="Q28" i="2"/>
  <c r="P28" i="2"/>
  <c r="Q811" i="2"/>
  <c r="P811" i="2"/>
  <c r="Q505" i="2"/>
  <c r="P505" i="2"/>
  <c r="Q539" i="2"/>
  <c r="P539" i="2"/>
  <c r="Q743" i="2"/>
  <c r="P743" i="2"/>
  <c r="Q471" i="2"/>
  <c r="P471" i="2"/>
  <c r="Q880" i="2"/>
  <c r="P880" i="2"/>
  <c r="Q266" i="2"/>
  <c r="P266" i="2"/>
  <c r="Q436" i="2"/>
  <c r="P436" i="2"/>
  <c r="Q402" i="2"/>
  <c r="P402" i="2"/>
  <c r="Q232" i="2"/>
  <c r="P232" i="2"/>
  <c r="Q164" i="2"/>
  <c r="P164" i="2"/>
  <c r="Q368" i="2"/>
  <c r="P368" i="2"/>
  <c r="Q573" i="2"/>
  <c r="P573" i="2"/>
  <c r="Q709" i="2"/>
  <c r="P709" i="2"/>
  <c r="Q130" i="2"/>
  <c r="P130" i="2"/>
  <c r="Q641" i="2"/>
  <c r="P641" i="2"/>
  <c r="T842" i="2"/>
  <c r="I60" i="2"/>
  <c r="I71" i="2" s="1"/>
  <c r="R61" i="2"/>
  <c r="D98" i="2"/>
  <c r="E98" i="2"/>
  <c r="D778" i="2"/>
  <c r="E778" i="2"/>
  <c r="D506" i="2"/>
  <c r="E506" i="2"/>
  <c r="D881" i="2"/>
  <c r="E881" i="2"/>
  <c r="D267" i="2"/>
  <c r="E267" i="2"/>
  <c r="D403" i="2"/>
  <c r="E403" i="2"/>
  <c r="D335" i="2"/>
  <c r="E335" i="2"/>
  <c r="D301" i="2"/>
  <c r="E301" i="2"/>
  <c r="D199" i="2"/>
  <c r="E199" i="2"/>
  <c r="D165" i="2"/>
  <c r="E165" i="2"/>
  <c r="D540" i="2"/>
  <c r="E540" i="2"/>
  <c r="D744" i="2"/>
  <c r="E744" i="2"/>
  <c r="D710" i="2"/>
  <c r="E710" i="2"/>
  <c r="D676" i="2"/>
  <c r="E676" i="2"/>
  <c r="D949" i="2"/>
  <c r="E949" i="2"/>
  <c r="D437" i="2"/>
  <c r="E437" i="2"/>
  <c r="D131" i="2"/>
  <c r="E131" i="2"/>
  <c r="D233" i="2"/>
  <c r="E233" i="2"/>
  <c r="A983" i="2"/>
  <c r="A984" i="2" s="1"/>
  <c r="D29" i="2"/>
  <c r="E29" i="2"/>
  <c r="D642" i="2"/>
  <c r="E642" i="2"/>
  <c r="D574" i="2"/>
  <c r="E574" i="2"/>
  <c r="D608" i="2"/>
  <c r="E608" i="2"/>
  <c r="D846" i="2"/>
  <c r="E846" i="2"/>
  <c r="D472" i="2"/>
  <c r="E472" i="2"/>
  <c r="D915" i="2"/>
  <c r="E915" i="2"/>
  <c r="D369" i="2"/>
  <c r="E369" i="2"/>
  <c r="D63" i="2"/>
  <c r="E63" i="2"/>
  <c r="A64" i="2"/>
  <c r="G63" i="2"/>
  <c r="C63" i="2"/>
  <c r="B63" i="2"/>
  <c r="D948" i="2"/>
  <c r="E948" i="2"/>
  <c r="I95" i="2"/>
  <c r="I106" i="2" s="1"/>
  <c r="O94" i="2"/>
  <c r="A1017" i="2"/>
  <c r="T775" i="2"/>
  <c r="S196" i="2"/>
  <c r="S503" i="2"/>
  <c r="C948" i="2"/>
  <c r="G948" i="2"/>
  <c r="S537" i="2"/>
  <c r="S128" i="2"/>
  <c r="T639" i="2"/>
  <c r="R879" i="2"/>
  <c r="S879" i="2" s="1"/>
  <c r="R367" i="2"/>
  <c r="R877" i="2"/>
  <c r="R435" i="2"/>
  <c r="R742" i="2"/>
  <c r="R333" i="2"/>
  <c r="R401" i="2"/>
  <c r="R163" i="2"/>
  <c r="R776" i="2"/>
  <c r="T469" i="2"/>
  <c r="R265" i="2"/>
  <c r="S434" i="2"/>
  <c r="S469" i="2"/>
  <c r="R538" i="2"/>
  <c r="R572" i="2"/>
  <c r="R878" i="2"/>
  <c r="S878" i="2" s="1"/>
  <c r="T230" i="2"/>
  <c r="T298" i="2"/>
  <c r="T332" i="2"/>
  <c r="F1005" i="2"/>
  <c r="F1004" i="2"/>
  <c r="F1006" i="2"/>
  <c r="T707" i="2"/>
  <c r="T605" i="2"/>
  <c r="T673" i="2"/>
  <c r="T571" i="2"/>
  <c r="T400" i="2"/>
  <c r="R844" i="2"/>
  <c r="S366" i="2"/>
  <c r="S571" i="2"/>
  <c r="T741" i="2"/>
  <c r="S298" i="2"/>
  <c r="R231" i="2"/>
  <c r="R504" i="2"/>
  <c r="R197" i="2"/>
  <c r="R27" i="2"/>
  <c r="R810" i="2"/>
  <c r="T537" i="2"/>
  <c r="S605" i="2"/>
  <c r="S673" i="2"/>
  <c r="S843" i="2"/>
  <c r="R299" i="2"/>
  <c r="R674" i="2"/>
  <c r="R708" i="2"/>
  <c r="R606" i="2"/>
  <c r="B32" i="1"/>
  <c r="C947" i="2"/>
  <c r="B947" i="2"/>
  <c r="P947" i="2" s="1"/>
  <c r="G947" i="2"/>
  <c r="B948" i="2"/>
  <c r="S741" i="2"/>
  <c r="R470" i="2"/>
  <c r="R96" i="2"/>
  <c r="S332" i="2"/>
  <c r="T128" i="2"/>
  <c r="T843" i="2"/>
  <c r="T809" i="2"/>
  <c r="S639" i="2"/>
  <c r="T366" i="2"/>
  <c r="S264" i="2"/>
  <c r="R640" i="2"/>
  <c r="T264" i="2"/>
  <c r="S809" i="2"/>
  <c r="T162" i="2"/>
  <c r="R129" i="2"/>
  <c r="O776" i="2"/>
  <c r="O572" i="2"/>
  <c r="O401" i="2"/>
  <c r="O367" i="2"/>
  <c r="O504" i="2"/>
  <c r="O844" i="2"/>
  <c r="T434" i="2"/>
  <c r="T196" i="2"/>
  <c r="O913" i="2"/>
  <c r="O333" i="2"/>
  <c r="O231" i="2"/>
  <c r="S162" i="2"/>
  <c r="O810" i="2"/>
  <c r="O640" i="2"/>
  <c r="O265" i="2"/>
  <c r="O163" i="2"/>
  <c r="O538" i="2"/>
  <c r="O742" i="2"/>
  <c r="O708" i="2"/>
  <c r="O674" i="2"/>
  <c r="O947" i="2"/>
  <c r="O299" i="2"/>
  <c r="O197" i="2"/>
  <c r="B165" i="2"/>
  <c r="G165" i="2"/>
  <c r="A166" i="2"/>
  <c r="C165" i="2"/>
  <c r="G131" i="2"/>
  <c r="C131" i="2"/>
  <c r="B131" i="2"/>
  <c r="A132" i="2"/>
  <c r="G233" i="2"/>
  <c r="A234" i="2"/>
  <c r="C233" i="2"/>
  <c r="B233" i="2"/>
  <c r="C199" i="2"/>
  <c r="B199" i="2"/>
  <c r="A200" i="2"/>
  <c r="G199" i="2"/>
  <c r="C437" i="2"/>
  <c r="B437" i="2"/>
  <c r="G437" i="2"/>
  <c r="A438" i="2"/>
  <c r="B403" i="2"/>
  <c r="G403" i="2"/>
  <c r="C403" i="2"/>
  <c r="A404" i="2"/>
  <c r="A370" i="2"/>
  <c r="G369" i="2"/>
  <c r="B369" i="2"/>
  <c r="C369" i="2"/>
  <c r="A336" i="2"/>
  <c r="C335" i="2"/>
  <c r="B335" i="2"/>
  <c r="G335" i="2"/>
  <c r="C301" i="2"/>
  <c r="G301" i="2"/>
  <c r="B301" i="2"/>
  <c r="A302" i="2"/>
  <c r="O300" i="2"/>
  <c r="G267" i="2"/>
  <c r="A268" i="2"/>
  <c r="C267" i="2"/>
  <c r="B267" i="2"/>
  <c r="O266" i="2"/>
  <c r="B642" i="2"/>
  <c r="G574" i="2"/>
  <c r="C574" i="2"/>
  <c r="A575" i="2"/>
  <c r="B574" i="2"/>
  <c r="C506" i="2"/>
  <c r="G540" i="2"/>
  <c r="C540" i="2"/>
  <c r="B540" i="2"/>
  <c r="A541" i="2"/>
  <c r="A609" i="2"/>
  <c r="C608" i="2"/>
  <c r="G744" i="2"/>
  <c r="C744" i="2"/>
  <c r="B744" i="2"/>
  <c r="A745" i="2"/>
  <c r="A847" i="2"/>
  <c r="B846" i="2"/>
  <c r="B778" i="2"/>
  <c r="A779" i="2"/>
  <c r="A814" i="2" s="1"/>
  <c r="G778" i="2"/>
  <c r="C778" i="2"/>
  <c r="A711" i="2"/>
  <c r="C710" i="2"/>
  <c r="B710" i="2"/>
  <c r="G710" i="2"/>
  <c r="B676" i="2"/>
  <c r="C676" i="2"/>
  <c r="G676" i="2"/>
  <c r="G881" i="2"/>
  <c r="B881" i="2"/>
  <c r="G949" i="2"/>
  <c r="A950" i="2"/>
  <c r="O948" i="2"/>
  <c r="B915" i="2"/>
  <c r="G915" i="2"/>
  <c r="C915" i="2"/>
  <c r="G812" i="2"/>
  <c r="C642" i="2"/>
  <c r="A643" i="2"/>
  <c r="G642" i="2"/>
  <c r="O573" i="2"/>
  <c r="A507" i="2"/>
  <c r="G506" i="2"/>
  <c r="B506" i="2"/>
  <c r="G608" i="2"/>
  <c r="B608" i="2"/>
  <c r="C846" i="2"/>
  <c r="G846" i="2"/>
  <c r="A677" i="2"/>
  <c r="A473" i="2"/>
  <c r="G472" i="2"/>
  <c r="C472" i="2"/>
  <c r="B472" i="2"/>
  <c r="A882" i="2"/>
  <c r="C881" i="2"/>
  <c r="C949" i="2"/>
  <c r="B949" i="2"/>
  <c r="A916" i="2"/>
  <c r="A30" i="2"/>
  <c r="A33" i="2" s="1"/>
  <c r="B29" i="2"/>
  <c r="G29" i="2"/>
  <c r="C29" i="2"/>
  <c r="O96" i="2"/>
  <c r="C98" i="2"/>
  <c r="B98" i="2"/>
  <c r="G98" i="2"/>
  <c r="A99" i="2"/>
  <c r="O64" i="2"/>
  <c r="F2166" i="2" l="1"/>
  <c r="F2201" i="2" s="1"/>
  <c r="F2236" i="2" s="1"/>
  <c r="F2271" i="2" s="1"/>
  <c r="F2306" i="2"/>
  <c r="F1957" i="2"/>
  <c r="F1433" i="2"/>
  <c r="S400" i="2"/>
  <c r="G33" i="2"/>
  <c r="E33" i="2"/>
  <c r="D33" i="2"/>
  <c r="C33" i="2"/>
  <c r="B33" i="2"/>
  <c r="T59" i="2"/>
  <c r="S59" i="2"/>
  <c r="I606" i="2"/>
  <c r="I435" i="2"/>
  <c r="T877" i="2"/>
  <c r="D982" i="2"/>
  <c r="E982" i="2"/>
  <c r="B814" i="2"/>
  <c r="C814" i="2"/>
  <c r="D814" i="2"/>
  <c r="E814" i="2"/>
  <c r="T61" i="2"/>
  <c r="B983" i="2"/>
  <c r="Q881" i="2"/>
  <c r="P881" i="2"/>
  <c r="Q710" i="2"/>
  <c r="P710" i="2"/>
  <c r="Q437" i="2"/>
  <c r="P437" i="2"/>
  <c r="Q233" i="2"/>
  <c r="P233" i="2"/>
  <c r="Q29" i="2"/>
  <c r="P29" i="2"/>
  <c r="Q915" i="2"/>
  <c r="P915" i="2"/>
  <c r="Q744" i="2"/>
  <c r="P744" i="2"/>
  <c r="Q812" i="2"/>
  <c r="P812" i="2"/>
  <c r="Q301" i="2"/>
  <c r="P301" i="2"/>
  <c r="Q199" i="2"/>
  <c r="P199" i="2"/>
  <c r="Q98" i="2"/>
  <c r="P98" i="2"/>
  <c r="Q472" i="2"/>
  <c r="P472" i="2"/>
  <c r="Q506" i="2"/>
  <c r="P506" i="2"/>
  <c r="Q574" i="2"/>
  <c r="P574" i="2"/>
  <c r="Q335" i="2"/>
  <c r="P335" i="2"/>
  <c r="Q131" i="2"/>
  <c r="P131" i="2"/>
  <c r="Q165" i="2"/>
  <c r="P165" i="2"/>
  <c r="Q948" i="2"/>
  <c r="P948" i="2"/>
  <c r="Q63" i="2"/>
  <c r="P63" i="2"/>
  <c r="Q608" i="2"/>
  <c r="P608" i="2"/>
  <c r="Q642" i="2"/>
  <c r="P642" i="2"/>
  <c r="Q369" i="2"/>
  <c r="P369" i="2"/>
  <c r="Q983" i="2"/>
  <c r="P983" i="2"/>
  <c r="Q778" i="2"/>
  <c r="P778" i="2"/>
  <c r="Q403" i="2"/>
  <c r="P403" i="2"/>
  <c r="Q949" i="2"/>
  <c r="P949" i="2"/>
  <c r="Q676" i="2"/>
  <c r="P676" i="2"/>
  <c r="Q846" i="2"/>
  <c r="P846" i="2"/>
  <c r="Q540" i="2"/>
  <c r="P540" i="2"/>
  <c r="Q267" i="2"/>
  <c r="P267" i="2"/>
  <c r="Q947" i="2"/>
  <c r="S61" i="2"/>
  <c r="O95" i="2"/>
  <c r="O60" i="2"/>
  <c r="R62" i="2"/>
  <c r="D882" i="2"/>
  <c r="E882" i="2"/>
  <c r="D745" i="2"/>
  <c r="E745" i="2"/>
  <c r="D541" i="2"/>
  <c r="E541" i="2"/>
  <c r="D575" i="2"/>
  <c r="E575" i="2"/>
  <c r="D404" i="2"/>
  <c r="E404" i="2"/>
  <c r="D64" i="2"/>
  <c r="E64" i="2"/>
  <c r="G64" i="2"/>
  <c r="C64" i="2"/>
  <c r="B64" i="2"/>
  <c r="A65" i="2"/>
  <c r="D983" i="2"/>
  <c r="E983" i="2"/>
  <c r="D200" i="2"/>
  <c r="E200" i="2"/>
  <c r="D166" i="2"/>
  <c r="E166" i="2"/>
  <c r="D99" i="2"/>
  <c r="E99" i="2"/>
  <c r="D984" i="2"/>
  <c r="E984" i="2"/>
  <c r="D438" i="2"/>
  <c r="E438" i="2"/>
  <c r="D30" i="2"/>
  <c r="E30" i="2"/>
  <c r="D507" i="2"/>
  <c r="E507" i="2"/>
  <c r="D643" i="2"/>
  <c r="E643" i="2"/>
  <c r="D268" i="2"/>
  <c r="E268" i="2"/>
  <c r="D302" i="2"/>
  <c r="E302" i="2"/>
  <c r="D916" i="2"/>
  <c r="E916" i="2"/>
  <c r="D473" i="2"/>
  <c r="E473" i="2"/>
  <c r="D950" i="2"/>
  <c r="E950" i="2"/>
  <c r="D336" i="2"/>
  <c r="E336" i="2"/>
  <c r="D132" i="2"/>
  <c r="E132" i="2"/>
  <c r="A1018" i="2"/>
  <c r="A1019" i="2" s="1"/>
  <c r="D677" i="2"/>
  <c r="E677" i="2"/>
  <c r="A1052" i="2"/>
  <c r="A1053" i="2" s="1"/>
  <c r="D711" i="2"/>
  <c r="E711" i="2"/>
  <c r="D779" i="2"/>
  <c r="E779" i="2"/>
  <c r="D847" i="2"/>
  <c r="E847" i="2"/>
  <c r="D609" i="2"/>
  <c r="E609" i="2"/>
  <c r="D370" i="2"/>
  <c r="E370" i="2"/>
  <c r="D234" i="2"/>
  <c r="E234" i="2"/>
  <c r="S94" i="2"/>
  <c r="T94" i="2"/>
  <c r="I470" i="2"/>
  <c r="S742" i="2"/>
  <c r="S877" i="2"/>
  <c r="T367" i="2"/>
  <c r="T265" i="2"/>
  <c r="T878" i="2"/>
  <c r="T572" i="2"/>
  <c r="C983" i="2"/>
  <c r="G983" i="2"/>
  <c r="R743" i="2"/>
  <c r="S776" i="2"/>
  <c r="R300" i="2"/>
  <c r="T401" i="2"/>
  <c r="S333" i="2"/>
  <c r="R97" i="2"/>
  <c r="R641" i="2"/>
  <c r="T538" i="2"/>
  <c r="R880" i="2"/>
  <c r="R505" i="2"/>
  <c r="S197" i="2"/>
  <c r="R675" i="2"/>
  <c r="R130" i="2"/>
  <c r="R471" i="2"/>
  <c r="S572" i="2"/>
  <c r="S844" i="2"/>
  <c r="R709" i="2"/>
  <c r="R811" i="2"/>
  <c r="T776" i="2"/>
  <c r="T299" i="2"/>
  <c r="T810" i="2"/>
  <c r="T197" i="2"/>
  <c r="F1040" i="2"/>
  <c r="F1039" i="2"/>
  <c r="F1041" i="2"/>
  <c r="S299" i="2"/>
  <c r="S96" i="2"/>
  <c r="S504" i="2"/>
  <c r="S231" i="2"/>
  <c r="S674" i="2"/>
  <c r="R777" i="2"/>
  <c r="S640" i="2"/>
  <c r="T674" i="2"/>
  <c r="R914" i="2"/>
  <c r="R436" i="2"/>
  <c r="R845" i="2"/>
  <c r="R539" i="2"/>
  <c r="R573" i="2"/>
  <c r="S708" i="2"/>
  <c r="R912" i="2"/>
  <c r="R368" i="2"/>
  <c r="R266" i="2"/>
  <c r="T879" i="2"/>
  <c r="S367" i="2"/>
  <c r="S538" i="2"/>
  <c r="S810" i="2"/>
  <c r="S401" i="2"/>
  <c r="R198" i="2"/>
  <c r="R607" i="2"/>
  <c r="B33" i="1"/>
  <c r="G982" i="2"/>
  <c r="B982" i="2"/>
  <c r="C982" i="2"/>
  <c r="R334" i="2"/>
  <c r="R402" i="2"/>
  <c r="R232" i="2"/>
  <c r="T333" i="2"/>
  <c r="T96" i="2"/>
  <c r="T504" i="2"/>
  <c r="T640" i="2"/>
  <c r="S265" i="2"/>
  <c r="T708" i="2"/>
  <c r="T844" i="2"/>
  <c r="T742" i="2"/>
  <c r="R164" i="2"/>
  <c r="R913" i="2"/>
  <c r="R28" i="2"/>
  <c r="O914" i="2"/>
  <c r="O334" i="2"/>
  <c r="O539" i="2"/>
  <c r="O471" i="2"/>
  <c r="O709" i="2"/>
  <c r="O777" i="2"/>
  <c r="O880" i="2"/>
  <c r="O675" i="2"/>
  <c r="O436" i="2"/>
  <c r="O845" i="2"/>
  <c r="O743" i="2"/>
  <c r="O607" i="2"/>
  <c r="O198" i="2"/>
  <c r="A167" i="2"/>
  <c r="G166" i="2"/>
  <c r="C166" i="2"/>
  <c r="B166" i="2"/>
  <c r="O368" i="2"/>
  <c r="T163" i="2"/>
  <c r="S163" i="2"/>
  <c r="O982" i="2"/>
  <c r="O402" i="2"/>
  <c r="O232" i="2"/>
  <c r="T231" i="2"/>
  <c r="C234" i="2"/>
  <c r="B234" i="2"/>
  <c r="G234" i="2"/>
  <c r="A235" i="2"/>
  <c r="C132" i="2"/>
  <c r="A133" i="2"/>
  <c r="G132" i="2"/>
  <c r="B132" i="2"/>
  <c r="O131" i="2"/>
  <c r="C200" i="2"/>
  <c r="A201" i="2"/>
  <c r="B200" i="2"/>
  <c r="G200" i="2"/>
  <c r="G302" i="2"/>
  <c r="B302" i="2"/>
  <c r="A303" i="2"/>
  <c r="C302" i="2"/>
  <c r="B336" i="2"/>
  <c r="G336" i="2"/>
  <c r="A337" i="2"/>
  <c r="C336" i="2"/>
  <c r="G370" i="2"/>
  <c r="A371" i="2"/>
  <c r="B370" i="2"/>
  <c r="C370" i="2"/>
  <c r="C404" i="2"/>
  <c r="G404" i="2"/>
  <c r="A405" i="2"/>
  <c r="B404" i="2"/>
  <c r="C438" i="2"/>
  <c r="B438" i="2"/>
  <c r="A439" i="2"/>
  <c r="G438" i="2"/>
  <c r="G268" i="2"/>
  <c r="C268" i="2"/>
  <c r="B268" i="2"/>
  <c r="A269" i="2"/>
  <c r="A917" i="2"/>
  <c r="C916" i="2"/>
  <c r="G916" i="2"/>
  <c r="B916" i="2"/>
  <c r="B882" i="2"/>
  <c r="G882" i="2"/>
  <c r="A883" i="2"/>
  <c r="C882" i="2"/>
  <c r="A474" i="2"/>
  <c r="C473" i="2"/>
  <c r="B473" i="2"/>
  <c r="G473" i="2"/>
  <c r="B677" i="2"/>
  <c r="A678" i="2"/>
  <c r="G677" i="2"/>
  <c r="C677" i="2"/>
  <c r="O608" i="2"/>
  <c r="G507" i="2"/>
  <c r="A508" i="2"/>
  <c r="C507" i="2"/>
  <c r="B507" i="2"/>
  <c r="G643" i="2"/>
  <c r="A644" i="2"/>
  <c r="B643" i="2"/>
  <c r="C643" i="2"/>
  <c r="G813" i="2"/>
  <c r="B984" i="2"/>
  <c r="G984" i="2"/>
  <c r="A985" i="2"/>
  <c r="C984" i="2"/>
  <c r="A951" i="2"/>
  <c r="C950" i="2"/>
  <c r="G950" i="2"/>
  <c r="B950" i="2"/>
  <c r="C711" i="2"/>
  <c r="B711" i="2"/>
  <c r="A712" i="2"/>
  <c r="G711" i="2"/>
  <c r="B779" i="2"/>
  <c r="A780" i="2"/>
  <c r="A815" i="2" s="1"/>
  <c r="G779" i="2"/>
  <c r="C779" i="2"/>
  <c r="A848" i="2"/>
  <c r="G847" i="2"/>
  <c r="B847" i="2"/>
  <c r="C847" i="2"/>
  <c r="G745" i="2"/>
  <c r="C745" i="2"/>
  <c r="B745" i="2"/>
  <c r="A746" i="2"/>
  <c r="C609" i="2"/>
  <c r="G609" i="2"/>
  <c r="A610" i="2"/>
  <c r="B609" i="2"/>
  <c r="B541" i="2"/>
  <c r="G541" i="2"/>
  <c r="A542" i="2"/>
  <c r="C541" i="2"/>
  <c r="G575" i="2"/>
  <c r="C575" i="2"/>
  <c r="B575" i="2"/>
  <c r="A576" i="2"/>
  <c r="A31" i="2"/>
  <c r="A34" i="2" s="1"/>
  <c r="B30" i="2"/>
  <c r="C30" i="2"/>
  <c r="G30" i="2"/>
  <c r="A100" i="2"/>
  <c r="G99" i="2"/>
  <c r="B99" i="2"/>
  <c r="C99" i="2"/>
  <c r="O65" i="2"/>
  <c r="F1992" i="2" l="1"/>
  <c r="F2027" i="2" s="1"/>
  <c r="F2062" i="2" s="1"/>
  <c r="F1468" i="2"/>
  <c r="O606" i="2"/>
  <c r="S606" i="2" s="1"/>
  <c r="G34" i="2"/>
  <c r="E34" i="2"/>
  <c r="D34" i="2"/>
  <c r="C34" i="2"/>
  <c r="B34" i="2"/>
  <c r="Q33" i="2"/>
  <c r="P33" i="2"/>
  <c r="O435" i="2"/>
  <c r="T266" i="2"/>
  <c r="S912" i="2"/>
  <c r="S573" i="2"/>
  <c r="I505" i="2"/>
  <c r="I641" i="2"/>
  <c r="S300" i="2"/>
  <c r="D1017" i="2"/>
  <c r="E1017" i="2"/>
  <c r="O470" i="2"/>
  <c r="B815" i="2"/>
  <c r="C815" i="2"/>
  <c r="D815" i="2"/>
  <c r="E815" i="2"/>
  <c r="S62" i="2"/>
  <c r="O129" i="2"/>
  <c r="T95" i="2"/>
  <c r="Q575" i="2"/>
  <c r="P575" i="2"/>
  <c r="Q745" i="2"/>
  <c r="P745" i="2"/>
  <c r="Q950" i="2"/>
  <c r="P950" i="2"/>
  <c r="Q268" i="2"/>
  <c r="P268" i="2"/>
  <c r="Q302" i="2"/>
  <c r="P302" i="2"/>
  <c r="Q99" i="2"/>
  <c r="P99" i="2"/>
  <c r="Q609" i="2"/>
  <c r="P609" i="2"/>
  <c r="Q847" i="2"/>
  <c r="P847" i="2"/>
  <c r="Q779" i="2"/>
  <c r="P779" i="2"/>
  <c r="Q711" i="2"/>
  <c r="P711" i="2"/>
  <c r="Q984" i="2"/>
  <c r="P984" i="2"/>
  <c r="Q643" i="2"/>
  <c r="P643" i="2"/>
  <c r="Q507" i="2"/>
  <c r="P507" i="2"/>
  <c r="Q916" i="2"/>
  <c r="P916" i="2"/>
  <c r="Q404" i="2"/>
  <c r="P404" i="2"/>
  <c r="Q132" i="2"/>
  <c r="P132" i="2"/>
  <c r="Q234" i="2"/>
  <c r="P234" i="2"/>
  <c r="Q166" i="2"/>
  <c r="P166" i="2"/>
  <c r="Q30" i="2"/>
  <c r="P30" i="2"/>
  <c r="Q541" i="2"/>
  <c r="P541" i="2"/>
  <c r="Q473" i="2"/>
  <c r="P473" i="2"/>
  <c r="Q882" i="2"/>
  <c r="P882" i="2"/>
  <c r="Q438" i="2"/>
  <c r="P438" i="2"/>
  <c r="Q982" i="2"/>
  <c r="P982" i="2"/>
  <c r="S95" i="2"/>
  <c r="Q64" i="2"/>
  <c r="P64" i="2"/>
  <c r="Q813" i="2"/>
  <c r="P813" i="2"/>
  <c r="Q677" i="2"/>
  <c r="P677" i="2"/>
  <c r="Q370" i="2"/>
  <c r="P370" i="2"/>
  <c r="Q336" i="2"/>
  <c r="P336" i="2"/>
  <c r="Q200" i="2"/>
  <c r="P200" i="2"/>
  <c r="I130" i="2"/>
  <c r="I141" i="2" s="1"/>
  <c r="T62" i="2"/>
  <c r="T60" i="2"/>
  <c r="S60" i="2"/>
  <c r="A1087" i="2"/>
  <c r="A1122" i="2" s="1"/>
  <c r="C1018" i="2"/>
  <c r="D542" i="2"/>
  <c r="E542" i="2"/>
  <c r="D678" i="2"/>
  <c r="E678" i="2"/>
  <c r="D269" i="2"/>
  <c r="E269" i="2"/>
  <c r="D303" i="2"/>
  <c r="E303" i="2"/>
  <c r="D167" i="2"/>
  <c r="E167" i="2"/>
  <c r="D100" i="2"/>
  <c r="E100" i="2"/>
  <c r="D848" i="2"/>
  <c r="E848" i="2"/>
  <c r="D780" i="2"/>
  <c r="E780" i="2"/>
  <c r="D712" i="2"/>
  <c r="E712" i="2"/>
  <c r="D951" i="2"/>
  <c r="E951" i="2"/>
  <c r="D474" i="2"/>
  <c r="E474" i="2"/>
  <c r="D917" i="2"/>
  <c r="E917" i="2"/>
  <c r="D439" i="2"/>
  <c r="E439" i="2"/>
  <c r="D371" i="2"/>
  <c r="E371" i="2"/>
  <c r="D337" i="2"/>
  <c r="E337" i="2"/>
  <c r="D201" i="2"/>
  <c r="E201" i="2"/>
  <c r="D1018" i="2"/>
  <c r="E1018" i="2"/>
  <c r="D65" i="2"/>
  <c r="E65" i="2"/>
  <c r="B65" i="2"/>
  <c r="A66" i="2"/>
  <c r="A69" i="2" s="1"/>
  <c r="C65" i="2"/>
  <c r="G65" i="2"/>
  <c r="R63" i="2"/>
  <c r="D31" i="2"/>
  <c r="E31" i="2"/>
  <c r="D985" i="2"/>
  <c r="E985" i="2"/>
  <c r="D644" i="2"/>
  <c r="E644" i="2"/>
  <c r="D405" i="2"/>
  <c r="E405" i="2"/>
  <c r="D235" i="2"/>
  <c r="E235" i="2"/>
  <c r="D576" i="2"/>
  <c r="E576" i="2"/>
  <c r="D610" i="2"/>
  <c r="E610" i="2"/>
  <c r="D746" i="2"/>
  <c r="E746" i="2"/>
  <c r="D508" i="2"/>
  <c r="E508" i="2"/>
  <c r="D883" i="2"/>
  <c r="E883" i="2"/>
  <c r="D1019" i="2"/>
  <c r="E1019" i="2"/>
  <c r="D133" i="2"/>
  <c r="E133" i="2"/>
  <c r="B1018" i="2"/>
  <c r="G1018" i="2"/>
  <c r="S97" i="2"/>
  <c r="T300" i="2"/>
  <c r="T743" i="2"/>
  <c r="T471" i="2"/>
  <c r="T880" i="2"/>
  <c r="S471" i="2"/>
  <c r="T675" i="2"/>
  <c r="R642" i="2"/>
  <c r="S709" i="2"/>
  <c r="T811" i="2"/>
  <c r="R403" i="2"/>
  <c r="R335" i="2"/>
  <c r="R437" i="2"/>
  <c r="R778" i="2"/>
  <c r="S607" i="2"/>
  <c r="S539" i="2"/>
  <c r="S334" i="2"/>
  <c r="T914" i="2"/>
  <c r="T845" i="2"/>
  <c r="R267" i="2"/>
  <c r="R608" i="2"/>
  <c r="T709" i="2"/>
  <c r="R948" i="2"/>
  <c r="T948" i="2" s="1"/>
  <c r="S368" i="2"/>
  <c r="T232" i="2"/>
  <c r="T573" i="2"/>
  <c r="S743" i="2"/>
  <c r="T334" i="2"/>
  <c r="S266" i="2"/>
  <c r="F1075" i="2"/>
  <c r="F1074" i="2"/>
  <c r="F1076" i="2"/>
  <c r="S777" i="2"/>
  <c r="T436" i="2"/>
  <c r="T402" i="2"/>
  <c r="T198" i="2"/>
  <c r="S232" i="2"/>
  <c r="R233" i="2"/>
  <c r="R812" i="2"/>
  <c r="T777" i="2"/>
  <c r="S914" i="2"/>
  <c r="R506" i="2"/>
  <c r="T912" i="2"/>
  <c r="R846" i="2"/>
  <c r="R744" i="2"/>
  <c r="R165" i="2"/>
  <c r="R983" i="2"/>
  <c r="R301" i="2"/>
  <c r="R472" i="2"/>
  <c r="R199" i="2"/>
  <c r="S880" i="2"/>
  <c r="R676" i="2"/>
  <c r="S675" i="2"/>
  <c r="R369" i="2"/>
  <c r="R98" i="2"/>
  <c r="R949" i="2"/>
  <c r="R574" i="2"/>
  <c r="R947" i="2"/>
  <c r="B34" i="1"/>
  <c r="B1017" i="2"/>
  <c r="C1017" i="2"/>
  <c r="G1017" i="2"/>
  <c r="R540" i="2"/>
  <c r="S402" i="2"/>
  <c r="T97" i="2"/>
  <c r="R710" i="2"/>
  <c r="S198" i="2"/>
  <c r="T607" i="2"/>
  <c r="T368" i="2"/>
  <c r="S811" i="2"/>
  <c r="T539" i="2"/>
  <c r="S845" i="2"/>
  <c r="R29" i="2"/>
  <c r="R915" i="2"/>
  <c r="R131" i="2"/>
  <c r="S913" i="2"/>
  <c r="T913" i="2"/>
  <c r="O744" i="2"/>
  <c r="O710" i="2"/>
  <c r="O642" i="2"/>
  <c r="O778" i="2"/>
  <c r="O915" i="2"/>
  <c r="O301" i="2"/>
  <c r="S436" i="2"/>
  <c r="O132" i="2"/>
  <c r="O506" i="2"/>
  <c r="O403" i="2"/>
  <c r="O369" i="2"/>
  <c r="O812" i="2"/>
  <c r="O472" i="2"/>
  <c r="O846" i="2"/>
  <c r="O881" i="2"/>
  <c r="O983" i="2"/>
  <c r="O267" i="2"/>
  <c r="O437" i="2"/>
  <c r="A134" i="2"/>
  <c r="G133" i="2"/>
  <c r="C133" i="2"/>
  <c r="B133" i="2"/>
  <c r="O335" i="2"/>
  <c r="C167" i="2"/>
  <c r="G167" i="2"/>
  <c r="B167" i="2"/>
  <c r="A168" i="2"/>
  <c r="O1017" i="2"/>
  <c r="G235" i="2"/>
  <c r="A236" i="2"/>
  <c r="C235" i="2"/>
  <c r="B235" i="2"/>
  <c r="O233" i="2"/>
  <c r="O574" i="2"/>
  <c r="O949" i="2"/>
  <c r="C201" i="2"/>
  <c r="A202" i="2"/>
  <c r="G201" i="2"/>
  <c r="B201" i="2"/>
  <c r="A440" i="2"/>
  <c r="C439" i="2"/>
  <c r="B405" i="2"/>
  <c r="A406" i="2"/>
  <c r="C405" i="2"/>
  <c r="G405" i="2"/>
  <c r="C371" i="2"/>
  <c r="B337" i="2"/>
  <c r="C337" i="2"/>
  <c r="A338" i="2"/>
  <c r="G337" i="2"/>
  <c r="A304" i="2"/>
  <c r="C269" i="2"/>
  <c r="G269" i="2"/>
  <c r="A270" i="2"/>
  <c r="B269" i="2"/>
  <c r="B439" i="2"/>
  <c r="G439" i="2"/>
  <c r="O370" i="2"/>
  <c r="A372" i="2"/>
  <c r="G371" i="2"/>
  <c r="B371" i="2"/>
  <c r="C303" i="2"/>
  <c r="B303" i="2"/>
  <c r="G303" i="2"/>
  <c r="O302" i="2"/>
  <c r="C576" i="2"/>
  <c r="B576" i="2"/>
  <c r="A577" i="2"/>
  <c r="G576" i="2"/>
  <c r="B542" i="2"/>
  <c r="A543" i="2"/>
  <c r="C542" i="2"/>
  <c r="G542" i="2"/>
  <c r="G610" i="2"/>
  <c r="C610" i="2"/>
  <c r="B610" i="2"/>
  <c r="A611" i="2"/>
  <c r="B746" i="2"/>
  <c r="G746" i="2"/>
  <c r="A747" i="2"/>
  <c r="C746" i="2"/>
  <c r="O847" i="2"/>
  <c r="C848" i="2"/>
  <c r="G848" i="2"/>
  <c r="A849" i="2"/>
  <c r="B848" i="2"/>
  <c r="C780" i="2"/>
  <c r="B780" i="2"/>
  <c r="A781" i="2"/>
  <c r="A816" i="2" s="1"/>
  <c r="G780" i="2"/>
  <c r="A713" i="2"/>
  <c r="C712" i="2"/>
  <c r="G712" i="2"/>
  <c r="B712" i="2"/>
  <c r="C951" i="2"/>
  <c r="B951" i="2"/>
  <c r="G951" i="2"/>
  <c r="A952" i="2"/>
  <c r="A1054" i="2"/>
  <c r="A986" i="2"/>
  <c r="G985" i="2"/>
  <c r="B985" i="2"/>
  <c r="C985" i="2"/>
  <c r="O984" i="2"/>
  <c r="G814" i="2"/>
  <c r="A645" i="2"/>
  <c r="B644" i="2"/>
  <c r="C644" i="2"/>
  <c r="G644" i="2"/>
  <c r="G508" i="2"/>
  <c r="B508" i="2"/>
  <c r="A509" i="2"/>
  <c r="C508" i="2"/>
  <c r="A679" i="2"/>
  <c r="B678" i="2"/>
  <c r="G678" i="2"/>
  <c r="C678" i="2"/>
  <c r="O677" i="2"/>
  <c r="C474" i="2"/>
  <c r="A475" i="2"/>
  <c r="G474" i="2"/>
  <c r="B474" i="2"/>
  <c r="C883" i="2"/>
  <c r="A884" i="2"/>
  <c r="G883" i="2"/>
  <c r="B883" i="2"/>
  <c r="A1020" i="2"/>
  <c r="B1019" i="2"/>
  <c r="G1019" i="2"/>
  <c r="C1019" i="2"/>
  <c r="B917" i="2"/>
  <c r="C917" i="2"/>
  <c r="A918" i="2"/>
  <c r="G917" i="2"/>
  <c r="A32" i="2"/>
  <c r="B31" i="2"/>
  <c r="G31" i="2"/>
  <c r="C31" i="2"/>
  <c r="O98" i="2"/>
  <c r="C100" i="2"/>
  <c r="G100" i="2"/>
  <c r="B100" i="2"/>
  <c r="A101" i="2"/>
  <c r="A104" i="2" s="1"/>
  <c r="O66" i="2"/>
  <c r="F2097" i="2" l="1"/>
  <c r="F2132" i="2" s="1"/>
  <c r="T606" i="2"/>
  <c r="F1503" i="2"/>
  <c r="O641" i="2"/>
  <c r="T641" i="2" s="1"/>
  <c r="T435" i="2"/>
  <c r="R33" i="2"/>
  <c r="T33" i="2" s="1"/>
  <c r="G104" i="2"/>
  <c r="E104" i="2"/>
  <c r="D104" i="2"/>
  <c r="C104" i="2"/>
  <c r="B104" i="2"/>
  <c r="G69" i="2"/>
  <c r="E69" i="2"/>
  <c r="D69" i="2"/>
  <c r="C69" i="2"/>
  <c r="B69" i="2"/>
  <c r="Q34" i="2"/>
  <c r="P34" i="2"/>
  <c r="S435" i="2"/>
  <c r="O505" i="2"/>
  <c r="S505" i="2" s="1"/>
  <c r="I540" i="2"/>
  <c r="I676" i="2"/>
  <c r="S608" i="2"/>
  <c r="T470" i="2"/>
  <c r="G1053" i="2"/>
  <c r="D1052" i="2"/>
  <c r="E1052" i="2"/>
  <c r="D1053" i="2"/>
  <c r="E1053" i="2"/>
  <c r="S129" i="2"/>
  <c r="S470" i="2"/>
  <c r="B816" i="2"/>
  <c r="C816" i="2"/>
  <c r="D816" i="2"/>
  <c r="E816" i="2"/>
  <c r="I165" i="2"/>
  <c r="I176" i="2" s="1"/>
  <c r="O130" i="2"/>
  <c r="T129" i="2"/>
  <c r="O164" i="2"/>
  <c r="A1088" i="2"/>
  <c r="Q883" i="2"/>
  <c r="P883" i="2"/>
  <c r="Q814" i="2"/>
  <c r="P814" i="2"/>
  <c r="Q848" i="2"/>
  <c r="P848" i="2"/>
  <c r="Q337" i="2"/>
  <c r="P337" i="2"/>
  <c r="Q917" i="2"/>
  <c r="P917" i="2"/>
  <c r="Q644" i="2"/>
  <c r="P644" i="2"/>
  <c r="Q712" i="2"/>
  <c r="P712" i="2"/>
  <c r="Q780" i="2"/>
  <c r="P780" i="2"/>
  <c r="Q610" i="2"/>
  <c r="P610" i="2"/>
  <c r="Q542" i="2"/>
  <c r="P542" i="2"/>
  <c r="Q576" i="2"/>
  <c r="P576" i="2"/>
  <c r="Q371" i="2"/>
  <c r="P371" i="2"/>
  <c r="Q269" i="2"/>
  <c r="P269" i="2"/>
  <c r="Q133" i="2"/>
  <c r="P133" i="2"/>
  <c r="Q1017" i="2"/>
  <c r="P1017" i="2"/>
  <c r="Q508" i="2"/>
  <c r="P508" i="2"/>
  <c r="Q985" i="2"/>
  <c r="P985" i="2"/>
  <c r="Q439" i="2"/>
  <c r="P439" i="2"/>
  <c r="Q235" i="2"/>
  <c r="P235" i="2"/>
  <c r="Q167" i="2"/>
  <c r="P167" i="2"/>
  <c r="Q1019" i="2"/>
  <c r="P1019" i="2"/>
  <c r="Q474" i="2"/>
  <c r="P474" i="2"/>
  <c r="Q100" i="2"/>
  <c r="P100" i="2"/>
  <c r="Q31" i="2"/>
  <c r="P31" i="2"/>
  <c r="Q678" i="2"/>
  <c r="P678" i="2"/>
  <c r="Q951" i="2"/>
  <c r="P951" i="2"/>
  <c r="Q746" i="2"/>
  <c r="P746" i="2"/>
  <c r="Q303" i="2"/>
  <c r="P303" i="2"/>
  <c r="Q405" i="2"/>
  <c r="P405" i="2"/>
  <c r="Q201" i="2"/>
  <c r="P201" i="2"/>
  <c r="Q1018" i="2"/>
  <c r="P1018" i="2"/>
  <c r="Q65" i="2"/>
  <c r="P65" i="2"/>
  <c r="R64" i="2"/>
  <c r="D32" i="2"/>
  <c r="E32" i="2"/>
  <c r="D475" i="2"/>
  <c r="E475" i="2"/>
  <c r="D679" i="2"/>
  <c r="E679" i="2"/>
  <c r="D1054" i="2"/>
  <c r="E1054" i="2"/>
  <c r="D952" i="2"/>
  <c r="E952" i="2"/>
  <c r="D781" i="2"/>
  <c r="E781" i="2"/>
  <c r="D747" i="2"/>
  <c r="E747" i="2"/>
  <c r="D611" i="2"/>
  <c r="E611" i="2"/>
  <c r="D543" i="2"/>
  <c r="E543" i="2"/>
  <c r="D577" i="2"/>
  <c r="E577" i="2"/>
  <c r="D372" i="2"/>
  <c r="E372" i="2"/>
  <c r="T63" i="2"/>
  <c r="S63" i="2"/>
  <c r="D66" i="2"/>
  <c r="E66" i="2"/>
  <c r="C66" i="2"/>
  <c r="B66" i="2"/>
  <c r="G66" i="2"/>
  <c r="A67" i="2"/>
  <c r="A70" i="2" s="1"/>
  <c r="D101" i="2"/>
  <c r="E101" i="2"/>
  <c r="D440" i="2"/>
  <c r="E440" i="2"/>
  <c r="D713" i="2"/>
  <c r="E713" i="2"/>
  <c r="D849" i="2"/>
  <c r="E849" i="2"/>
  <c r="D338" i="2"/>
  <c r="E338" i="2"/>
  <c r="D406" i="2"/>
  <c r="E406" i="2"/>
  <c r="D202" i="2"/>
  <c r="E202" i="2"/>
  <c r="D134" i="2"/>
  <c r="E134" i="2"/>
  <c r="D918" i="2"/>
  <c r="E918" i="2"/>
  <c r="D1020" i="2"/>
  <c r="E1020" i="2"/>
  <c r="D884" i="2"/>
  <c r="E884" i="2"/>
  <c r="D509" i="2"/>
  <c r="E509" i="2"/>
  <c r="D645" i="2"/>
  <c r="E645" i="2"/>
  <c r="D986" i="2"/>
  <c r="E986" i="2"/>
  <c r="D270" i="2"/>
  <c r="E270" i="2"/>
  <c r="D304" i="2"/>
  <c r="E304" i="2"/>
  <c r="D236" i="2"/>
  <c r="E236" i="2"/>
  <c r="D168" i="2"/>
  <c r="E168" i="2"/>
  <c r="S642" i="2"/>
  <c r="S948" i="2"/>
  <c r="T437" i="2"/>
  <c r="T403" i="2"/>
  <c r="B1053" i="2"/>
  <c r="S403" i="2"/>
  <c r="S778" i="2"/>
  <c r="S335" i="2"/>
  <c r="C1053" i="2"/>
  <c r="R132" i="2"/>
  <c r="R575" i="2"/>
  <c r="R473" i="2"/>
  <c r="R950" i="2"/>
  <c r="T574" i="2"/>
  <c r="R541" i="2"/>
  <c r="S472" i="2"/>
  <c r="R30" i="2"/>
  <c r="S267" i="2"/>
  <c r="T608" i="2"/>
  <c r="R99" i="2"/>
  <c r="R643" i="2"/>
  <c r="R882" i="2"/>
  <c r="R507" i="2"/>
  <c r="S301" i="2"/>
  <c r="T812" i="2"/>
  <c r="S744" i="2"/>
  <c r="R984" i="2"/>
  <c r="S984" i="2" s="1"/>
  <c r="T744" i="2"/>
  <c r="F1110" i="2"/>
  <c r="F1109" i="2"/>
  <c r="T131" i="2"/>
  <c r="F1111" i="2"/>
  <c r="T983" i="2"/>
  <c r="S949" i="2"/>
  <c r="S710" i="2"/>
  <c r="S574" i="2"/>
  <c r="T506" i="2"/>
  <c r="T846" i="2"/>
  <c r="R779" i="2"/>
  <c r="R609" i="2"/>
  <c r="R302" i="2"/>
  <c r="R847" i="2"/>
  <c r="S915" i="2"/>
  <c r="T710" i="2"/>
  <c r="T369" i="2"/>
  <c r="T642" i="2"/>
  <c r="T915" i="2"/>
  <c r="S812" i="2"/>
  <c r="S846" i="2"/>
  <c r="S369" i="2"/>
  <c r="R745" i="2"/>
  <c r="S98" i="2"/>
  <c r="R336" i="2"/>
  <c r="T301" i="2"/>
  <c r="R982" i="2"/>
  <c r="R438" i="2"/>
  <c r="R916" i="2"/>
  <c r="R370" i="2"/>
  <c r="R711" i="2"/>
  <c r="R200" i="2"/>
  <c r="R677" i="2"/>
  <c r="R404" i="2"/>
  <c r="B35" i="1"/>
  <c r="B1052" i="2"/>
  <c r="G1052" i="2"/>
  <c r="C1052" i="2"/>
  <c r="R268" i="2"/>
  <c r="T947" i="2"/>
  <c r="S947" i="2"/>
  <c r="R234" i="2"/>
  <c r="R813" i="2"/>
  <c r="S983" i="2"/>
  <c r="T949" i="2"/>
  <c r="S506" i="2"/>
  <c r="T335" i="2"/>
  <c r="T778" i="2"/>
  <c r="S131" i="2"/>
  <c r="T472" i="2"/>
  <c r="T267" i="2"/>
  <c r="S437" i="2"/>
  <c r="R881" i="2"/>
  <c r="O813" i="2"/>
  <c r="T98" i="2"/>
  <c r="O916" i="2"/>
  <c r="O711" i="2"/>
  <c r="O882" i="2"/>
  <c r="O473" i="2"/>
  <c r="O507" i="2"/>
  <c r="O950" i="2"/>
  <c r="O404" i="2"/>
  <c r="C202" i="2"/>
  <c r="G202" i="2"/>
  <c r="A203" i="2"/>
  <c r="B202" i="2"/>
  <c r="O1018" i="2"/>
  <c r="O643" i="2"/>
  <c r="O1052" i="2"/>
  <c r="O609" i="2"/>
  <c r="O438" i="2"/>
  <c r="C236" i="2"/>
  <c r="A237" i="2"/>
  <c r="G236" i="2"/>
  <c r="B236" i="2"/>
  <c r="C134" i="2"/>
  <c r="G134" i="2"/>
  <c r="B134" i="2"/>
  <c r="A135" i="2"/>
  <c r="O745" i="2"/>
  <c r="O268" i="2"/>
  <c r="G168" i="2"/>
  <c r="C168" i="2"/>
  <c r="B168" i="2"/>
  <c r="A169" i="2"/>
  <c r="O166" i="2"/>
  <c r="O779" i="2"/>
  <c r="O541" i="2"/>
  <c r="O336" i="2"/>
  <c r="S233" i="2"/>
  <c r="T233" i="2"/>
  <c r="O133" i="2"/>
  <c r="B372" i="2"/>
  <c r="A373" i="2"/>
  <c r="C372" i="2"/>
  <c r="G372" i="2"/>
  <c r="G304" i="2"/>
  <c r="B304" i="2"/>
  <c r="C304" i="2"/>
  <c r="A305" i="2"/>
  <c r="B338" i="2"/>
  <c r="G338" i="2"/>
  <c r="A339" i="2"/>
  <c r="C338" i="2"/>
  <c r="C406" i="2"/>
  <c r="B406" i="2"/>
  <c r="A407" i="2"/>
  <c r="G406" i="2"/>
  <c r="O405" i="2"/>
  <c r="A441" i="2"/>
  <c r="G440" i="2"/>
  <c r="C440" i="2"/>
  <c r="B440" i="2"/>
  <c r="G270" i="2"/>
  <c r="A271" i="2"/>
  <c r="B270" i="2"/>
  <c r="C270" i="2"/>
  <c r="C918" i="2"/>
  <c r="G918" i="2"/>
  <c r="B918" i="2"/>
  <c r="A919" i="2"/>
  <c r="C1020" i="2"/>
  <c r="G1020" i="2"/>
  <c r="B1020" i="2"/>
  <c r="A1021" i="2"/>
  <c r="B884" i="2"/>
  <c r="A885" i="2"/>
  <c r="G884" i="2"/>
  <c r="C884" i="2"/>
  <c r="O474" i="2"/>
  <c r="G475" i="2"/>
  <c r="C475" i="2"/>
  <c r="B475" i="2"/>
  <c r="A476" i="2"/>
  <c r="A680" i="2"/>
  <c r="C679" i="2"/>
  <c r="G679" i="2"/>
  <c r="B679" i="2"/>
  <c r="G509" i="2"/>
  <c r="B509" i="2"/>
  <c r="A510" i="2"/>
  <c r="C509" i="2"/>
  <c r="O508" i="2"/>
  <c r="B645" i="2"/>
  <c r="G645" i="2"/>
  <c r="A646" i="2"/>
  <c r="C645" i="2"/>
  <c r="G815" i="2"/>
  <c r="B986" i="2"/>
  <c r="C986" i="2"/>
  <c r="A987" i="2"/>
  <c r="G986" i="2"/>
  <c r="B1054" i="2"/>
  <c r="G1054" i="2"/>
  <c r="C1054" i="2"/>
  <c r="A1055" i="2"/>
  <c r="A1089" i="2"/>
  <c r="A1123" i="2"/>
  <c r="A1157" i="2"/>
  <c r="C952" i="2"/>
  <c r="B952" i="2"/>
  <c r="A953" i="2"/>
  <c r="G952" i="2"/>
  <c r="C713" i="2"/>
  <c r="B713" i="2"/>
  <c r="A714" i="2"/>
  <c r="G713" i="2"/>
  <c r="G781" i="2"/>
  <c r="B781" i="2"/>
  <c r="C781" i="2"/>
  <c r="A782" i="2"/>
  <c r="A817" i="2" s="1"/>
  <c r="O848" i="2"/>
  <c r="G849" i="2"/>
  <c r="B849" i="2"/>
  <c r="A850" i="2"/>
  <c r="C849" i="2"/>
  <c r="B747" i="2"/>
  <c r="A748" i="2"/>
  <c r="G747" i="2"/>
  <c r="C747" i="2"/>
  <c r="G611" i="2"/>
  <c r="B611" i="2"/>
  <c r="A612" i="2"/>
  <c r="C611" i="2"/>
  <c r="G543" i="2"/>
  <c r="B543" i="2"/>
  <c r="A544" i="2"/>
  <c r="C543" i="2"/>
  <c r="G577" i="2"/>
  <c r="B577" i="2"/>
  <c r="C577" i="2"/>
  <c r="A578" i="2"/>
  <c r="A35" i="2"/>
  <c r="B32" i="2"/>
  <c r="G32" i="2"/>
  <c r="C32" i="2"/>
  <c r="C101" i="2"/>
  <c r="B101" i="2"/>
  <c r="A102" i="2"/>
  <c r="A105" i="2" s="1"/>
  <c r="G101" i="2"/>
  <c r="O67" i="2"/>
  <c r="S641" i="2" l="1"/>
  <c r="R34" i="2"/>
  <c r="T34" i="2" s="1"/>
  <c r="F2167" i="2"/>
  <c r="F2202" i="2" s="1"/>
  <c r="F2237" i="2" s="1"/>
  <c r="F2272" i="2" s="1"/>
  <c r="F2307" i="2"/>
  <c r="F1538" i="2"/>
  <c r="F1573" i="2" s="1"/>
  <c r="F1608" i="2" s="1"/>
  <c r="F1643" i="2" s="1"/>
  <c r="F1678" i="2" s="1"/>
  <c r="F1713" i="2" s="1"/>
  <c r="S33" i="2"/>
  <c r="O676" i="2"/>
  <c r="T676" i="2" s="1"/>
  <c r="S34" i="2"/>
  <c r="G105" i="2"/>
  <c r="E105" i="2"/>
  <c r="D105" i="2"/>
  <c r="C105" i="2"/>
  <c r="B105" i="2"/>
  <c r="Q104" i="2"/>
  <c r="P104" i="2"/>
  <c r="G70" i="2"/>
  <c r="E70" i="2"/>
  <c r="D70" i="2"/>
  <c r="C70" i="2"/>
  <c r="B70" i="2"/>
  <c r="Q69" i="2"/>
  <c r="P69" i="2"/>
  <c r="O165" i="2"/>
  <c r="T165" i="2" s="1"/>
  <c r="T505" i="2"/>
  <c r="O199" i="2"/>
  <c r="O540" i="2"/>
  <c r="S540" i="2" s="1"/>
  <c r="S677" i="2"/>
  <c r="I200" i="2"/>
  <c r="I211" i="2" s="1"/>
  <c r="S370" i="2"/>
  <c r="T847" i="2"/>
  <c r="S302" i="2"/>
  <c r="I575" i="2"/>
  <c r="G1088" i="2"/>
  <c r="D1087" i="2"/>
  <c r="E1087" i="2"/>
  <c r="D1088" i="2"/>
  <c r="E1088" i="2"/>
  <c r="T130" i="2"/>
  <c r="S130" i="2"/>
  <c r="B817" i="2"/>
  <c r="C817" i="2"/>
  <c r="D817" i="2"/>
  <c r="E817" i="2"/>
  <c r="S164" i="2"/>
  <c r="T164" i="2"/>
  <c r="Q543" i="2"/>
  <c r="P543" i="2"/>
  <c r="Q849" i="2"/>
  <c r="P849" i="2"/>
  <c r="Q645" i="2"/>
  <c r="P645" i="2"/>
  <c r="Q1052" i="2"/>
  <c r="P1052" i="2"/>
  <c r="Q747" i="2"/>
  <c r="P747" i="2"/>
  <c r="Q713" i="2"/>
  <c r="P713" i="2"/>
  <c r="Q1054" i="2"/>
  <c r="P1054" i="2"/>
  <c r="Q679" i="2"/>
  <c r="P679" i="2"/>
  <c r="Q884" i="2"/>
  <c r="P884" i="2"/>
  <c r="Q918" i="2"/>
  <c r="P918" i="2"/>
  <c r="Q372" i="2"/>
  <c r="P372" i="2"/>
  <c r="Q168" i="2"/>
  <c r="P168" i="2"/>
  <c r="Q32" i="2"/>
  <c r="P32" i="2"/>
  <c r="Q611" i="2"/>
  <c r="P611" i="2"/>
  <c r="Q952" i="2"/>
  <c r="P952" i="2"/>
  <c r="Q986" i="2"/>
  <c r="P986" i="2"/>
  <c r="Q509" i="2"/>
  <c r="P509" i="2"/>
  <c r="Q270" i="2"/>
  <c r="P270" i="2"/>
  <c r="Q440" i="2"/>
  <c r="P440" i="2"/>
  <c r="Q338" i="2"/>
  <c r="P338" i="2"/>
  <c r="Q304" i="2"/>
  <c r="P304" i="2"/>
  <c r="Q66" i="2"/>
  <c r="P66" i="2"/>
  <c r="Q101" i="2"/>
  <c r="P101" i="2"/>
  <c r="Q577" i="2"/>
  <c r="P577" i="2"/>
  <c r="Q781" i="2"/>
  <c r="P781" i="2"/>
  <c r="Q815" i="2"/>
  <c r="P815" i="2"/>
  <c r="Q475" i="2"/>
  <c r="P475" i="2"/>
  <c r="Q1020" i="2"/>
  <c r="P1020" i="2"/>
  <c r="Q406" i="2"/>
  <c r="P406" i="2"/>
  <c r="Q134" i="2"/>
  <c r="P134" i="2"/>
  <c r="Q236" i="2"/>
  <c r="P236" i="2"/>
  <c r="Q202" i="2"/>
  <c r="P202" i="2"/>
  <c r="Q1053" i="2"/>
  <c r="P1053" i="2"/>
  <c r="T64" i="2"/>
  <c r="S64" i="2"/>
  <c r="D782" i="2"/>
  <c r="E782" i="2"/>
  <c r="D953" i="2"/>
  <c r="E953" i="2"/>
  <c r="D1055" i="2"/>
  <c r="E1055" i="2"/>
  <c r="D510" i="2"/>
  <c r="E510" i="2"/>
  <c r="D680" i="2"/>
  <c r="E680" i="2"/>
  <c r="D203" i="2"/>
  <c r="E203" i="2"/>
  <c r="D102" i="2"/>
  <c r="E102" i="2"/>
  <c r="D476" i="2"/>
  <c r="E476" i="2"/>
  <c r="D441" i="2"/>
  <c r="E441" i="2"/>
  <c r="D407" i="2"/>
  <c r="E407" i="2"/>
  <c r="D135" i="2"/>
  <c r="E135" i="2"/>
  <c r="D237" i="2"/>
  <c r="E237" i="2"/>
  <c r="D35" i="2"/>
  <c r="D36" i="2" s="1"/>
  <c r="E35" i="2"/>
  <c r="E36" i="2" s="1"/>
  <c r="D544" i="2"/>
  <c r="E544" i="2"/>
  <c r="D748" i="2"/>
  <c r="E748" i="2"/>
  <c r="D850" i="2"/>
  <c r="E850" i="2"/>
  <c r="D714" i="2"/>
  <c r="E714" i="2"/>
  <c r="D1089" i="2"/>
  <c r="E1089" i="2"/>
  <c r="D987" i="2"/>
  <c r="E987" i="2"/>
  <c r="D885" i="2"/>
  <c r="E885" i="2"/>
  <c r="D919" i="2"/>
  <c r="E919" i="2"/>
  <c r="D271" i="2"/>
  <c r="E271" i="2"/>
  <c r="D339" i="2"/>
  <c r="E339" i="2"/>
  <c r="D305" i="2"/>
  <c r="E305" i="2"/>
  <c r="D373" i="2"/>
  <c r="E373" i="2"/>
  <c r="D169" i="2"/>
  <c r="E169" i="2"/>
  <c r="D67" i="2"/>
  <c r="E67" i="2"/>
  <c r="C67" i="2"/>
  <c r="A68" i="2"/>
  <c r="B67" i="2"/>
  <c r="G67" i="2"/>
  <c r="D612" i="2"/>
  <c r="E612" i="2"/>
  <c r="D578" i="2"/>
  <c r="E578" i="2"/>
  <c r="D646" i="2"/>
  <c r="E646" i="2"/>
  <c r="D1021" i="2"/>
  <c r="E1021" i="2"/>
  <c r="R65" i="2"/>
  <c r="R1018" i="2"/>
  <c r="S1018" i="2" s="1"/>
  <c r="O200" i="2"/>
  <c r="S132" i="2"/>
  <c r="T643" i="2"/>
  <c r="T132" i="2"/>
  <c r="C1088" i="2"/>
  <c r="B1088" i="2"/>
  <c r="S99" i="2"/>
  <c r="S950" i="2"/>
  <c r="T507" i="2"/>
  <c r="T473" i="2"/>
  <c r="R780" i="2"/>
  <c r="S541" i="2"/>
  <c r="R167" i="2"/>
  <c r="T984" i="2"/>
  <c r="R917" i="2"/>
  <c r="T813" i="2"/>
  <c r="S847" i="2"/>
  <c r="T370" i="2"/>
  <c r="R644" i="2"/>
  <c r="R814" i="2"/>
  <c r="S779" i="2"/>
  <c r="S268" i="2"/>
  <c r="R269" i="2"/>
  <c r="S609" i="2"/>
  <c r="F1145" i="2"/>
  <c r="F1144" i="2"/>
  <c r="F1146" i="2"/>
  <c r="T779" i="2"/>
  <c r="S813" i="2"/>
  <c r="S745" i="2"/>
  <c r="T677" i="2"/>
  <c r="T438" i="2"/>
  <c r="T302" i="2"/>
  <c r="S711" i="2"/>
  <c r="T268" i="2"/>
  <c r="R405" i="2"/>
  <c r="R848" i="2"/>
  <c r="R985" i="2"/>
  <c r="R31" i="2"/>
  <c r="T541" i="2"/>
  <c r="T916" i="2"/>
  <c r="R1019" i="2"/>
  <c r="R883" i="2"/>
  <c r="R746" i="2"/>
  <c r="R337" i="2"/>
  <c r="R100" i="2"/>
  <c r="R235" i="2"/>
  <c r="R1017" i="2"/>
  <c r="T950" i="2"/>
  <c r="R201" i="2"/>
  <c r="T609" i="2"/>
  <c r="R439" i="2"/>
  <c r="T982" i="2"/>
  <c r="S982" i="2"/>
  <c r="S438" i="2"/>
  <c r="S643" i="2"/>
  <c r="R371" i="2"/>
  <c r="R610" i="2"/>
  <c r="R474" i="2"/>
  <c r="R133" i="2"/>
  <c r="R576" i="2"/>
  <c r="B36" i="1"/>
  <c r="G1087" i="2"/>
  <c r="B1087" i="2"/>
  <c r="C1087" i="2"/>
  <c r="R712" i="2"/>
  <c r="R678" i="2"/>
  <c r="R508" i="2"/>
  <c r="R542" i="2"/>
  <c r="T99" i="2"/>
  <c r="T745" i="2"/>
  <c r="S916" i="2"/>
  <c r="T711" i="2"/>
  <c r="S473" i="2"/>
  <c r="S507" i="2"/>
  <c r="R951" i="2"/>
  <c r="R166" i="2"/>
  <c r="S881" i="2"/>
  <c r="T881" i="2"/>
  <c r="R303" i="2"/>
  <c r="O1087" i="2"/>
  <c r="B441" i="2"/>
  <c r="C441" i="2"/>
  <c r="A442" i="2"/>
  <c r="G441" i="2"/>
  <c r="O951" i="2"/>
  <c r="O644" i="2"/>
  <c r="O542" i="2"/>
  <c r="O746" i="2"/>
  <c r="O780" i="2"/>
  <c r="O712" i="2"/>
  <c r="T882" i="2"/>
  <c r="S882" i="2"/>
  <c r="O814" i="2"/>
  <c r="B407" i="2"/>
  <c r="C407" i="2"/>
  <c r="G407" i="2"/>
  <c r="A408" i="2"/>
  <c r="B339" i="2"/>
  <c r="A340" i="2"/>
  <c r="C339" i="2"/>
  <c r="G339" i="2"/>
  <c r="B373" i="2"/>
  <c r="G373" i="2"/>
  <c r="C373" i="2"/>
  <c r="A374" i="2"/>
  <c r="B203" i="2"/>
  <c r="C203" i="2"/>
  <c r="A204" i="2"/>
  <c r="G203" i="2"/>
  <c r="O303" i="2"/>
  <c r="O985" i="2"/>
  <c r="O1053" i="2"/>
  <c r="S336" i="2"/>
  <c r="T336" i="2"/>
  <c r="O201" i="2"/>
  <c r="O576" i="2"/>
  <c r="O678" i="2"/>
  <c r="O338" i="2"/>
  <c r="O371" i="2"/>
  <c r="O167" i="2"/>
  <c r="O883" i="2"/>
  <c r="O1019" i="2"/>
  <c r="A306" i="2"/>
  <c r="C305" i="2"/>
  <c r="G305" i="2"/>
  <c r="B305" i="2"/>
  <c r="G237" i="2"/>
  <c r="A238" i="2"/>
  <c r="B237" i="2"/>
  <c r="C237" i="2"/>
  <c r="S404" i="2"/>
  <c r="T404" i="2"/>
  <c r="O439" i="2"/>
  <c r="A170" i="2"/>
  <c r="C169" i="2"/>
  <c r="G169" i="2"/>
  <c r="B169" i="2"/>
  <c r="O168" i="2"/>
  <c r="O917" i="2"/>
  <c r="O337" i="2"/>
  <c r="A136" i="2"/>
  <c r="A139" i="2" s="1"/>
  <c r="B135" i="2"/>
  <c r="C135" i="2"/>
  <c r="G135" i="2"/>
  <c r="G271" i="2"/>
  <c r="B271" i="2"/>
  <c r="C271" i="2"/>
  <c r="A272" i="2"/>
  <c r="G578" i="2"/>
  <c r="C578" i="2"/>
  <c r="A579" i="2"/>
  <c r="B578" i="2"/>
  <c r="C544" i="2"/>
  <c r="A545" i="2"/>
  <c r="B544" i="2"/>
  <c r="G544" i="2"/>
  <c r="O543" i="2"/>
  <c r="G612" i="2"/>
  <c r="C612" i="2"/>
  <c r="B612" i="2"/>
  <c r="A613" i="2"/>
  <c r="G748" i="2"/>
  <c r="C748" i="2"/>
  <c r="B748" i="2"/>
  <c r="A749" i="2"/>
  <c r="A851" i="2"/>
  <c r="B850" i="2"/>
  <c r="C850" i="2"/>
  <c r="G850" i="2"/>
  <c r="C782" i="2"/>
  <c r="A783" i="2"/>
  <c r="A818" i="2" s="1"/>
  <c r="G782" i="2"/>
  <c r="B782" i="2"/>
  <c r="G714" i="2"/>
  <c r="A715" i="2"/>
  <c r="C714" i="2"/>
  <c r="B714" i="2"/>
  <c r="O713" i="2"/>
  <c r="G953" i="2"/>
  <c r="C953" i="2"/>
  <c r="B953" i="2"/>
  <c r="A954" i="2"/>
  <c r="A1192" i="2"/>
  <c r="A1158" i="2"/>
  <c r="B1123" i="2"/>
  <c r="G1123" i="2"/>
  <c r="A1124" i="2"/>
  <c r="A1090" i="2"/>
  <c r="B1089" i="2"/>
  <c r="G1089" i="2"/>
  <c r="C1089" i="2"/>
  <c r="A1056" i="2"/>
  <c r="B1055" i="2"/>
  <c r="G1055" i="2"/>
  <c r="C1055" i="2"/>
  <c r="O1054" i="2"/>
  <c r="G987" i="2"/>
  <c r="C987" i="2"/>
  <c r="A988" i="2"/>
  <c r="B987" i="2"/>
  <c r="G816" i="2"/>
  <c r="A647" i="2"/>
  <c r="G646" i="2"/>
  <c r="B646" i="2"/>
  <c r="C646" i="2"/>
  <c r="B510" i="2"/>
  <c r="G510" i="2"/>
  <c r="C510" i="2"/>
  <c r="A511" i="2"/>
  <c r="G680" i="2"/>
  <c r="B680" i="2"/>
  <c r="A681" i="2"/>
  <c r="C680" i="2"/>
  <c r="A477" i="2"/>
  <c r="C476" i="2"/>
  <c r="B476" i="2"/>
  <c r="G476" i="2"/>
  <c r="A886" i="2"/>
  <c r="G885" i="2"/>
  <c r="C885" i="2"/>
  <c r="B885" i="2"/>
  <c r="C1021" i="2"/>
  <c r="B1021" i="2"/>
  <c r="A1022" i="2"/>
  <c r="G1021" i="2"/>
  <c r="B919" i="2"/>
  <c r="A920" i="2"/>
  <c r="G919" i="2"/>
  <c r="C919" i="2"/>
  <c r="A36" i="2"/>
  <c r="B35" i="2"/>
  <c r="G35" i="2"/>
  <c r="G36" i="2" s="1"/>
  <c r="C35" i="2"/>
  <c r="C36" i="2" s="1"/>
  <c r="O100" i="2"/>
  <c r="A103" i="2"/>
  <c r="G102" i="2"/>
  <c r="B102" i="2"/>
  <c r="C102" i="2"/>
  <c r="O68" i="2"/>
  <c r="O71" i="2" s="1"/>
  <c r="S676" i="2" l="1"/>
  <c r="R69" i="2"/>
  <c r="T69" i="2" s="1"/>
  <c r="S199" i="2"/>
  <c r="F1748" i="2"/>
  <c r="R104" i="2"/>
  <c r="T104" i="2" s="1"/>
  <c r="O575" i="2"/>
  <c r="T575" i="2" s="1"/>
  <c r="O234" i="2"/>
  <c r="S234" i="2" s="1"/>
  <c r="G139" i="2"/>
  <c r="E139" i="2"/>
  <c r="D139" i="2"/>
  <c r="C139" i="2"/>
  <c r="B139" i="2"/>
  <c r="Q105" i="2"/>
  <c r="P105" i="2"/>
  <c r="Q70" i="2"/>
  <c r="P70" i="2"/>
  <c r="S165" i="2"/>
  <c r="T199" i="2"/>
  <c r="T540" i="2"/>
  <c r="S508" i="2"/>
  <c r="T474" i="2"/>
  <c r="I610" i="2"/>
  <c r="I235" i="2"/>
  <c r="I246" i="2" s="1"/>
  <c r="S848" i="2"/>
  <c r="S405" i="2"/>
  <c r="D1122" i="2"/>
  <c r="E1122" i="2"/>
  <c r="D1123" i="2"/>
  <c r="E1123" i="2"/>
  <c r="T200" i="2"/>
  <c r="B818" i="2"/>
  <c r="C818" i="2"/>
  <c r="D818" i="2"/>
  <c r="E818" i="2"/>
  <c r="Q1021" i="2"/>
  <c r="P1021" i="2"/>
  <c r="Q680" i="2"/>
  <c r="P680" i="2"/>
  <c r="Q953" i="2"/>
  <c r="P953" i="2"/>
  <c r="Q102" i="2"/>
  <c r="P102" i="2"/>
  <c r="Q476" i="2"/>
  <c r="P476" i="2"/>
  <c r="Q646" i="2"/>
  <c r="P646" i="2"/>
  <c r="Q885" i="2"/>
  <c r="P885" i="2"/>
  <c r="Q510" i="2"/>
  <c r="P510" i="2"/>
  <c r="Q816" i="2"/>
  <c r="P816" i="2"/>
  <c r="Q987" i="2"/>
  <c r="P987" i="2"/>
  <c r="Q1123" i="2"/>
  <c r="P1123" i="2"/>
  <c r="Q782" i="2"/>
  <c r="P782" i="2"/>
  <c r="Q850" i="2"/>
  <c r="P850" i="2"/>
  <c r="Q748" i="2"/>
  <c r="P748" i="2"/>
  <c r="Q544" i="2"/>
  <c r="P544" i="2"/>
  <c r="Q578" i="2"/>
  <c r="P578" i="2"/>
  <c r="Q271" i="2"/>
  <c r="P271" i="2"/>
  <c r="Q169" i="2"/>
  <c r="P169" i="2"/>
  <c r="Q203" i="2"/>
  <c r="P203" i="2"/>
  <c r="Q407" i="2"/>
  <c r="P407" i="2"/>
  <c r="Q1088" i="2"/>
  <c r="P1088" i="2"/>
  <c r="Q1055" i="2"/>
  <c r="P1055" i="2"/>
  <c r="Q135" i="2"/>
  <c r="P135" i="2"/>
  <c r="Q373" i="2"/>
  <c r="P373" i="2"/>
  <c r="Q441" i="2"/>
  <c r="P441" i="2"/>
  <c r="Q1087" i="2"/>
  <c r="P1087" i="2"/>
  <c r="Q67" i="2"/>
  <c r="P67" i="2"/>
  <c r="P919" i="2"/>
  <c r="Q919" i="2"/>
  <c r="Q612" i="2"/>
  <c r="P612" i="2"/>
  <c r="Q35" i="2"/>
  <c r="Q36" i="2" s="1"/>
  <c r="P35" i="2"/>
  <c r="P36" i="2" s="1"/>
  <c r="Q1089" i="2"/>
  <c r="P1089" i="2"/>
  <c r="Q714" i="2"/>
  <c r="P714" i="2"/>
  <c r="Q237" i="2"/>
  <c r="P237" i="2"/>
  <c r="Q305" i="2"/>
  <c r="P305" i="2"/>
  <c r="Q339" i="2"/>
  <c r="P339" i="2"/>
  <c r="T1018" i="2"/>
  <c r="S1019" i="2"/>
  <c r="R66" i="2"/>
  <c r="D920" i="2"/>
  <c r="E920" i="2"/>
  <c r="D1022" i="2"/>
  <c r="E1022" i="2"/>
  <c r="D886" i="2"/>
  <c r="E886" i="2"/>
  <c r="D681" i="2"/>
  <c r="E681" i="2"/>
  <c r="D511" i="2"/>
  <c r="E511" i="2"/>
  <c r="D1090" i="2"/>
  <c r="E1090" i="2"/>
  <c r="D954" i="2"/>
  <c r="E954" i="2"/>
  <c r="D613" i="2"/>
  <c r="E613" i="2"/>
  <c r="D170" i="2"/>
  <c r="E170" i="2"/>
  <c r="D238" i="2"/>
  <c r="E238" i="2"/>
  <c r="D408" i="2"/>
  <c r="E408" i="2"/>
  <c r="D68" i="2"/>
  <c r="D71" i="2" s="1"/>
  <c r="E68" i="2"/>
  <c r="E71" i="2" s="1"/>
  <c r="G68" i="2"/>
  <c r="G71" i="2" s="1"/>
  <c r="A71" i="2"/>
  <c r="C68" i="2"/>
  <c r="C71" i="2" s="1"/>
  <c r="B68" i="2"/>
  <c r="D1056" i="2"/>
  <c r="E1056" i="2"/>
  <c r="D783" i="2"/>
  <c r="E783" i="2"/>
  <c r="D749" i="2"/>
  <c r="E749" i="2"/>
  <c r="D136" i="2"/>
  <c r="E136" i="2"/>
  <c r="D306" i="2"/>
  <c r="E306" i="2"/>
  <c r="D442" i="2"/>
  <c r="E442" i="2"/>
  <c r="D103" i="2"/>
  <c r="D106" i="2" s="1"/>
  <c r="E103" i="2"/>
  <c r="E106" i="2" s="1"/>
  <c r="D477" i="2"/>
  <c r="E477" i="2"/>
  <c r="D647" i="2"/>
  <c r="E647" i="2"/>
  <c r="D988" i="2"/>
  <c r="E988" i="2"/>
  <c r="A1125" i="2"/>
  <c r="G1125" i="2" s="1"/>
  <c r="D1124" i="2"/>
  <c r="E1124" i="2"/>
  <c r="D715" i="2"/>
  <c r="E715" i="2"/>
  <c r="D851" i="2"/>
  <c r="E851" i="2"/>
  <c r="D545" i="2"/>
  <c r="E545" i="2"/>
  <c r="D579" i="2"/>
  <c r="E579" i="2"/>
  <c r="D272" i="2"/>
  <c r="E272" i="2"/>
  <c r="D204" i="2"/>
  <c r="E204" i="2"/>
  <c r="D374" i="2"/>
  <c r="E374" i="2"/>
  <c r="D340" i="2"/>
  <c r="E340" i="2"/>
  <c r="S65" i="2"/>
  <c r="T65" i="2"/>
  <c r="R1053" i="2"/>
  <c r="T1053" i="2" s="1"/>
  <c r="S200" i="2"/>
  <c r="T814" i="2"/>
  <c r="S133" i="2"/>
  <c r="S780" i="2"/>
  <c r="C1123" i="2"/>
  <c r="S917" i="2"/>
  <c r="S644" i="2"/>
  <c r="R781" i="2"/>
  <c r="R168" i="2"/>
  <c r="R475" i="2"/>
  <c r="R32" i="2"/>
  <c r="R372" i="2"/>
  <c r="R815" i="2"/>
  <c r="T678" i="2"/>
  <c r="R918" i="2"/>
  <c r="R1052" i="2"/>
  <c r="R747" i="2"/>
  <c r="T848" i="2"/>
  <c r="T405" i="2"/>
  <c r="T508" i="2"/>
  <c r="R406" i="2"/>
  <c r="T951" i="2"/>
  <c r="S712" i="2"/>
  <c r="T883" i="2"/>
  <c r="R986" i="2"/>
  <c r="F1180" i="2"/>
  <c r="F1179" i="2"/>
  <c r="S166" i="2"/>
  <c r="F1181" i="2"/>
  <c r="S985" i="2"/>
  <c r="S474" i="2"/>
  <c r="T746" i="2"/>
  <c r="S542" i="2"/>
  <c r="R134" i="2"/>
  <c r="S100" i="2"/>
  <c r="R440" i="2"/>
  <c r="T100" i="2"/>
  <c r="T917" i="2"/>
  <c r="S678" i="2"/>
  <c r="S814" i="2"/>
  <c r="T133" i="2"/>
  <c r="R270" i="2"/>
  <c r="R713" i="2"/>
  <c r="R611" i="2"/>
  <c r="T1017" i="2"/>
  <c r="S1017" i="2"/>
  <c r="R645" i="2"/>
  <c r="R884" i="2"/>
  <c r="S951" i="2"/>
  <c r="R679" i="2"/>
  <c r="T985" i="2"/>
  <c r="S576" i="2"/>
  <c r="T780" i="2"/>
  <c r="R1020" i="2"/>
  <c r="R577" i="2"/>
  <c r="R543" i="2"/>
  <c r="R509" i="2"/>
  <c r="R304" i="2"/>
  <c r="R236" i="2"/>
  <c r="R202" i="2"/>
  <c r="B37" i="1"/>
  <c r="G1122" i="2"/>
  <c r="B1122" i="2"/>
  <c r="C1122" i="2"/>
  <c r="R849" i="2"/>
  <c r="R338" i="2"/>
  <c r="R101" i="2"/>
  <c r="T542" i="2"/>
  <c r="T644" i="2"/>
  <c r="T712" i="2"/>
  <c r="S883" i="2"/>
  <c r="S746" i="2"/>
  <c r="T576" i="2"/>
  <c r="T166" i="2"/>
  <c r="R952" i="2"/>
  <c r="R1054" i="2"/>
  <c r="T1054" i="2" s="1"/>
  <c r="G170" i="2"/>
  <c r="B170" i="2"/>
  <c r="C170" i="2"/>
  <c r="A171" i="2"/>
  <c r="A172" i="2" s="1"/>
  <c r="T1019" i="2"/>
  <c r="O918" i="2"/>
  <c r="O1020" i="2"/>
  <c r="O679" i="2"/>
  <c r="O237" i="2"/>
  <c r="G374" i="2"/>
  <c r="A375" i="2"/>
  <c r="C374" i="2"/>
  <c r="B374" i="2"/>
  <c r="B408" i="2"/>
  <c r="C408" i="2"/>
  <c r="A409" i="2"/>
  <c r="G408" i="2"/>
  <c r="O781" i="2"/>
  <c r="O815" i="2"/>
  <c r="O1088" i="2"/>
  <c r="O1122" i="2"/>
  <c r="O475" i="2"/>
  <c r="O986" i="2"/>
  <c r="O577" i="2"/>
  <c r="O747" i="2"/>
  <c r="O509" i="2"/>
  <c r="O849" i="2"/>
  <c r="O611" i="2"/>
  <c r="O134" i="2"/>
  <c r="G306" i="2"/>
  <c r="A307" i="2"/>
  <c r="B306" i="2"/>
  <c r="C306" i="2"/>
  <c r="O406" i="2"/>
  <c r="O202" i="2"/>
  <c r="T439" i="2"/>
  <c r="S439" i="2"/>
  <c r="S303" i="2"/>
  <c r="T303" i="2"/>
  <c r="A239" i="2"/>
  <c r="C238" i="2"/>
  <c r="G238" i="2"/>
  <c r="B238" i="2"/>
  <c r="G442" i="2"/>
  <c r="A443" i="2"/>
  <c r="C442" i="2"/>
  <c r="B442" i="2"/>
  <c r="C272" i="2"/>
  <c r="A273" i="2"/>
  <c r="G272" i="2"/>
  <c r="B272" i="2"/>
  <c r="S167" i="2"/>
  <c r="T167" i="2"/>
  <c r="S201" i="2"/>
  <c r="T201" i="2"/>
  <c r="O884" i="2"/>
  <c r="S371" i="2"/>
  <c r="T371" i="2"/>
  <c r="B204" i="2"/>
  <c r="G204" i="2"/>
  <c r="C204" i="2"/>
  <c r="A205" i="2"/>
  <c r="A206" i="2" s="1"/>
  <c r="G136" i="2"/>
  <c r="B136" i="2"/>
  <c r="A137" i="2"/>
  <c r="A140" i="2" s="1"/>
  <c r="C136" i="2"/>
  <c r="O372" i="2"/>
  <c r="O952" i="2"/>
  <c r="S337" i="2"/>
  <c r="T337" i="2"/>
  <c r="O236" i="2"/>
  <c r="O440" i="2"/>
  <c r="C340" i="2"/>
  <c r="G340" i="2"/>
  <c r="A341" i="2"/>
  <c r="B340" i="2"/>
  <c r="A921" i="2"/>
  <c r="B1022" i="2"/>
  <c r="G886" i="2"/>
  <c r="C886" i="2"/>
  <c r="B886" i="2"/>
  <c r="A887" i="2"/>
  <c r="A478" i="2"/>
  <c r="G477" i="2"/>
  <c r="C477" i="2"/>
  <c r="B477" i="2"/>
  <c r="A682" i="2"/>
  <c r="B681" i="2"/>
  <c r="G681" i="2"/>
  <c r="C681" i="2"/>
  <c r="A512" i="2"/>
  <c r="G511" i="2"/>
  <c r="B511" i="2"/>
  <c r="C511" i="2"/>
  <c r="O646" i="2"/>
  <c r="G647" i="2"/>
  <c r="G817" i="2"/>
  <c r="C988" i="2"/>
  <c r="B988" i="2"/>
  <c r="C1056" i="2"/>
  <c r="G1056" i="2"/>
  <c r="C1090" i="2"/>
  <c r="A1091" i="2"/>
  <c r="A1227" i="2"/>
  <c r="G954" i="2"/>
  <c r="B954" i="2"/>
  <c r="A955" i="2"/>
  <c r="B715" i="2"/>
  <c r="A716" i="2"/>
  <c r="G715" i="2"/>
  <c r="C715" i="2"/>
  <c r="G783" i="2"/>
  <c r="C783" i="2"/>
  <c r="A784" i="2"/>
  <c r="A819" i="2" s="1"/>
  <c r="B783" i="2"/>
  <c r="G851" i="2"/>
  <c r="A852" i="2"/>
  <c r="C851" i="2"/>
  <c r="B851" i="2"/>
  <c r="C749" i="2"/>
  <c r="B749" i="2"/>
  <c r="G749" i="2"/>
  <c r="A750" i="2"/>
  <c r="C613" i="2"/>
  <c r="G613" i="2"/>
  <c r="B613" i="2"/>
  <c r="A614" i="2"/>
  <c r="O544" i="2"/>
  <c r="A546" i="2"/>
  <c r="C545" i="2"/>
  <c r="B545" i="2"/>
  <c r="G545" i="2"/>
  <c r="C579" i="2"/>
  <c r="G579" i="2"/>
  <c r="B579" i="2"/>
  <c r="A580" i="2"/>
  <c r="G920" i="2"/>
  <c r="C920" i="2"/>
  <c r="B920" i="2"/>
  <c r="C1022" i="2"/>
  <c r="A1023" i="2"/>
  <c r="G1022" i="2"/>
  <c r="C647" i="2"/>
  <c r="A648" i="2"/>
  <c r="B647" i="2"/>
  <c r="A989" i="2"/>
  <c r="G988" i="2"/>
  <c r="B1056" i="2"/>
  <c r="A1057" i="2"/>
  <c r="G1090" i="2"/>
  <c r="B1090" i="2"/>
  <c r="C1124" i="2"/>
  <c r="B1124" i="2"/>
  <c r="G1124" i="2"/>
  <c r="A1159" i="2"/>
  <c r="A1193" i="2"/>
  <c r="C954" i="2"/>
  <c r="O953" i="2"/>
  <c r="B36" i="2"/>
  <c r="O101" i="2"/>
  <c r="B103" i="2"/>
  <c r="G103" i="2"/>
  <c r="G106" i="2" s="1"/>
  <c r="C103" i="2"/>
  <c r="C106" i="2" s="1"/>
  <c r="A106" i="2"/>
  <c r="S575" i="2" l="1"/>
  <c r="S69" i="2"/>
  <c r="T234" i="2"/>
  <c r="F1783" i="2"/>
  <c r="F1818" i="2" s="1"/>
  <c r="F1853" i="2" s="1"/>
  <c r="F1888" i="2" s="1"/>
  <c r="F1923" i="2" s="1"/>
  <c r="S104" i="2"/>
  <c r="B206" i="2"/>
  <c r="C206" i="2"/>
  <c r="D206" i="2"/>
  <c r="E206" i="2"/>
  <c r="G206" i="2"/>
  <c r="A207" i="2"/>
  <c r="B172" i="2"/>
  <c r="C172" i="2"/>
  <c r="D172" i="2"/>
  <c r="E172" i="2"/>
  <c r="A173" i="2"/>
  <c r="G140" i="2"/>
  <c r="E140" i="2"/>
  <c r="D140" i="2"/>
  <c r="C140" i="2"/>
  <c r="B140" i="2"/>
  <c r="Q139" i="2"/>
  <c r="P139" i="2"/>
  <c r="R105" i="2"/>
  <c r="R70" i="2"/>
  <c r="O235" i="2"/>
  <c r="T235" i="2" s="1"/>
  <c r="T338" i="2"/>
  <c r="S543" i="2"/>
  <c r="I645" i="2"/>
  <c r="S713" i="2"/>
  <c r="I270" i="2"/>
  <c r="O270" i="2" s="1"/>
  <c r="O269" i="2"/>
  <c r="O610" i="2"/>
  <c r="S610" i="2" s="1"/>
  <c r="T1052" i="2"/>
  <c r="D1157" i="2"/>
  <c r="E1157" i="2"/>
  <c r="D1158" i="2"/>
  <c r="E1158" i="2"/>
  <c r="B819" i="2"/>
  <c r="C819" i="2"/>
  <c r="D819" i="2"/>
  <c r="E819" i="2"/>
  <c r="S66" i="2"/>
  <c r="A1126" i="2"/>
  <c r="A1127" i="2" s="1"/>
  <c r="S1053" i="2"/>
  <c r="C1125" i="2"/>
  <c r="Q103" i="2"/>
  <c r="Q106" i="2" s="1"/>
  <c r="P103" i="2"/>
  <c r="P106" i="2" s="1"/>
  <c r="Q647" i="2"/>
  <c r="P647" i="2"/>
  <c r="Q1090" i="2"/>
  <c r="P1090" i="2"/>
  <c r="Q1056" i="2"/>
  <c r="P1056" i="2"/>
  <c r="Q920" i="2"/>
  <c r="P920" i="2"/>
  <c r="Q749" i="2"/>
  <c r="P749" i="2"/>
  <c r="Q783" i="2"/>
  <c r="P783" i="2"/>
  <c r="Q954" i="2"/>
  <c r="P954" i="2"/>
  <c r="Q817" i="2"/>
  <c r="P817" i="2"/>
  <c r="Q681" i="2"/>
  <c r="P681" i="2"/>
  <c r="Q340" i="2"/>
  <c r="P340" i="2"/>
  <c r="Q136" i="2"/>
  <c r="P136" i="2"/>
  <c r="Q238" i="2"/>
  <c r="P238" i="2"/>
  <c r="Q374" i="2"/>
  <c r="P374" i="2"/>
  <c r="Q1124" i="2"/>
  <c r="P1124" i="2"/>
  <c r="Q579" i="2"/>
  <c r="P579" i="2"/>
  <c r="Q613" i="2"/>
  <c r="P613" i="2"/>
  <c r="Q715" i="2"/>
  <c r="P715" i="2"/>
  <c r="Q988" i="2"/>
  <c r="P988" i="2"/>
  <c r="Q511" i="2"/>
  <c r="P511" i="2"/>
  <c r="Q886" i="2"/>
  <c r="P886" i="2"/>
  <c r="Q1022" i="2"/>
  <c r="P1022" i="2"/>
  <c r="B1125" i="2"/>
  <c r="Q272" i="2"/>
  <c r="P272" i="2"/>
  <c r="Q68" i="2"/>
  <c r="Q71" i="2" s="1"/>
  <c r="P68" i="2"/>
  <c r="P71" i="2" s="1"/>
  <c r="Q545" i="2"/>
  <c r="P545" i="2"/>
  <c r="Q851" i="2"/>
  <c r="P851" i="2"/>
  <c r="Q477" i="2"/>
  <c r="P477" i="2"/>
  <c r="Q204" i="2"/>
  <c r="P204" i="2"/>
  <c r="Q442" i="2"/>
  <c r="P442" i="2"/>
  <c r="Q306" i="2"/>
  <c r="P306" i="2"/>
  <c r="Q408" i="2"/>
  <c r="P408" i="2"/>
  <c r="Q170" i="2"/>
  <c r="P170" i="2"/>
  <c r="Q1122" i="2"/>
  <c r="P1122" i="2"/>
  <c r="T66" i="2"/>
  <c r="D1159" i="2"/>
  <c r="E1159" i="2"/>
  <c r="D1057" i="2"/>
  <c r="E1057" i="2"/>
  <c r="D478" i="2"/>
  <c r="E478" i="2"/>
  <c r="D921" i="2"/>
  <c r="E921" i="2"/>
  <c r="D341" i="2"/>
  <c r="E341" i="2"/>
  <c r="D614" i="2"/>
  <c r="E614" i="2"/>
  <c r="D716" i="2"/>
  <c r="E716" i="2"/>
  <c r="D1091" i="2"/>
  <c r="E1091" i="2"/>
  <c r="D512" i="2"/>
  <c r="E512" i="2"/>
  <c r="D137" i="2"/>
  <c r="E137" i="2"/>
  <c r="D205" i="2"/>
  <c r="E205" i="2"/>
  <c r="D375" i="2"/>
  <c r="E375" i="2"/>
  <c r="D1125" i="2"/>
  <c r="E1125" i="2"/>
  <c r="D989" i="2"/>
  <c r="E989" i="2"/>
  <c r="D580" i="2"/>
  <c r="E580" i="2"/>
  <c r="D887" i="2"/>
  <c r="E887" i="2"/>
  <c r="D648" i="2"/>
  <c r="E648" i="2"/>
  <c r="D1023" i="2"/>
  <c r="E1023" i="2"/>
  <c r="D546" i="2"/>
  <c r="E546" i="2"/>
  <c r="D750" i="2"/>
  <c r="E750" i="2"/>
  <c r="D852" i="2"/>
  <c r="E852" i="2"/>
  <c r="D784" i="2"/>
  <c r="E784" i="2"/>
  <c r="D682" i="2"/>
  <c r="E682" i="2"/>
  <c r="D273" i="2"/>
  <c r="E273" i="2"/>
  <c r="D239" i="2"/>
  <c r="E239" i="2"/>
  <c r="D307" i="2"/>
  <c r="E307" i="2"/>
  <c r="D409" i="2"/>
  <c r="E409" i="2"/>
  <c r="B71" i="2"/>
  <c r="D955" i="2"/>
  <c r="E955" i="2"/>
  <c r="D1126" i="2"/>
  <c r="E1126" i="2"/>
  <c r="D443" i="2"/>
  <c r="E443" i="2"/>
  <c r="D171" i="2"/>
  <c r="E171" i="2"/>
  <c r="R67" i="2"/>
  <c r="R1088" i="2"/>
  <c r="T1088" i="2" s="1"/>
  <c r="S235" i="2"/>
  <c r="T168" i="2"/>
  <c r="T918" i="2"/>
  <c r="S1052" i="2"/>
  <c r="S168" i="2"/>
  <c r="T781" i="2"/>
  <c r="T475" i="2"/>
  <c r="G1158" i="2"/>
  <c r="T986" i="2"/>
  <c r="S815" i="2"/>
  <c r="R816" i="2"/>
  <c r="T747" i="2"/>
  <c r="B1158" i="2"/>
  <c r="C1158" i="2"/>
  <c r="R339" i="2"/>
  <c r="S849" i="2"/>
  <c r="R680" i="2"/>
  <c r="R748" i="2"/>
  <c r="R919" i="2"/>
  <c r="S101" i="2"/>
  <c r="R305" i="2"/>
  <c r="R1055" i="2"/>
  <c r="T543" i="2"/>
  <c r="T713" i="2"/>
  <c r="T884" i="2"/>
  <c r="T611" i="2"/>
  <c r="S338" i="2"/>
  <c r="F1215" i="2"/>
  <c r="F1214" i="2"/>
  <c r="F1249" i="2" s="1"/>
  <c r="F1216" i="2"/>
  <c r="T849" i="2"/>
  <c r="S509" i="2"/>
  <c r="T577" i="2"/>
  <c r="S679" i="2"/>
  <c r="R441" i="2"/>
  <c r="R578" i="2"/>
  <c r="R782" i="2"/>
  <c r="S1020" i="2"/>
  <c r="S884" i="2"/>
  <c r="S747" i="2"/>
  <c r="S918" i="2"/>
  <c r="R953" i="2"/>
  <c r="T953" i="2" s="1"/>
  <c r="S1054" i="2"/>
  <c r="R987" i="2"/>
  <c r="R476" i="2"/>
  <c r="R544" i="2"/>
  <c r="R646" i="2"/>
  <c r="R271" i="2"/>
  <c r="S781" i="2"/>
  <c r="S611" i="2"/>
  <c r="T101" i="2"/>
  <c r="T509" i="2"/>
  <c r="T815" i="2"/>
  <c r="S475" i="2"/>
  <c r="R1123" i="2"/>
  <c r="R169" i="2"/>
  <c r="S986" i="2"/>
  <c r="R373" i="2"/>
  <c r="R714" i="2"/>
  <c r="R135" i="2"/>
  <c r="B38" i="1"/>
  <c r="C1157" i="2"/>
  <c r="G1157" i="2"/>
  <c r="B1157" i="2"/>
  <c r="R612" i="2"/>
  <c r="R102" i="2"/>
  <c r="R1087" i="2"/>
  <c r="R407" i="2"/>
  <c r="R237" i="2"/>
  <c r="R510" i="2"/>
  <c r="R203" i="2"/>
  <c r="T679" i="2"/>
  <c r="T952" i="2"/>
  <c r="R850" i="2"/>
  <c r="R885" i="2"/>
  <c r="R1089" i="2"/>
  <c r="T1020" i="2"/>
  <c r="S577" i="2"/>
  <c r="S952" i="2"/>
  <c r="R1021" i="2"/>
  <c r="R35" i="2"/>
  <c r="R36" i="2" s="1"/>
  <c r="O1157" i="2"/>
  <c r="O987" i="2"/>
  <c r="O1123" i="2"/>
  <c r="O714" i="2"/>
  <c r="S440" i="2"/>
  <c r="T440" i="2"/>
  <c r="O1055" i="2"/>
  <c r="G137" i="2"/>
  <c r="A138" i="2"/>
  <c r="B137" i="2"/>
  <c r="C137" i="2"/>
  <c r="O135" i="2"/>
  <c r="O442" i="2"/>
  <c r="O885" i="2"/>
  <c r="O748" i="2"/>
  <c r="O850" i="2"/>
  <c r="O782" i="2"/>
  <c r="O612" i="2"/>
  <c r="O476" i="2"/>
  <c r="C409" i="2"/>
  <c r="G409" i="2"/>
  <c r="A410" i="2"/>
  <c r="B409" i="2"/>
  <c r="B239" i="2"/>
  <c r="A240" i="2"/>
  <c r="G239" i="2"/>
  <c r="C239" i="2"/>
  <c r="O203" i="2"/>
  <c r="O169" i="2"/>
  <c r="O1021" i="2"/>
  <c r="S134" i="2"/>
  <c r="T134" i="2"/>
  <c r="C171" i="2"/>
  <c r="B171" i="2"/>
  <c r="G171" i="2"/>
  <c r="B341" i="2"/>
  <c r="A342" i="2"/>
  <c r="G341" i="2"/>
  <c r="C341" i="2"/>
  <c r="O441" i="2"/>
  <c r="S202" i="2"/>
  <c r="T202" i="2"/>
  <c r="C443" i="2"/>
  <c r="A444" i="2"/>
  <c r="G443" i="2"/>
  <c r="B443" i="2"/>
  <c r="O407" i="2"/>
  <c r="T406" i="2"/>
  <c r="S406" i="2"/>
  <c r="B307" i="2"/>
  <c r="G307" i="2"/>
  <c r="A308" i="2"/>
  <c r="C307" i="2"/>
  <c r="G205" i="2"/>
  <c r="B205" i="2"/>
  <c r="C205" i="2"/>
  <c r="O271" i="2"/>
  <c r="C375" i="2"/>
  <c r="A376" i="2"/>
  <c r="B375" i="2"/>
  <c r="G375" i="2"/>
  <c r="T236" i="2"/>
  <c r="S236" i="2"/>
  <c r="T372" i="2"/>
  <c r="S372" i="2"/>
  <c r="O204" i="2"/>
  <c r="B273" i="2"/>
  <c r="A274" i="2"/>
  <c r="G273" i="2"/>
  <c r="C273" i="2"/>
  <c r="O1089" i="2"/>
  <c r="O578" i="2"/>
  <c r="O816" i="2"/>
  <c r="O510" i="2"/>
  <c r="O373" i="2"/>
  <c r="C1126" i="2"/>
  <c r="G1126" i="2"/>
  <c r="B1126" i="2"/>
  <c r="A1194" i="2"/>
  <c r="B1159" i="2"/>
  <c r="G1159" i="2"/>
  <c r="A1160" i="2"/>
  <c r="C1159" i="2"/>
  <c r="B1057" i="2"/>
  <c r="A1058" i="2"/>
  <c r="G1057" i="2"/>
  <c r="C1057" i="2"/>
  <c r="O1056" i="2"/>
  <c r="B989" i="2"/>
  <c r="G989" i="2"/>
  <c r="A990" i="2"/>
  <c r="C989" i="2"/>
  <c r="B648" i="2"/>
  <c r="C648" i="2"/>
  <c r="A649" i="2"/>
  <c r="G648" i="2"/>
  <c r="G1023" i="2"/>
  <c r="B1023" i="2"/>
  <c r="A1024" i="2"/>
  <c r="C1023" i="2"/>
  <c r="O920" i="2"/>
  <c r="A581" i="2"/>
  <c r="C580" i="2"/>
  <c r="B580" i="2"/>
  <c r="G580" i="2"/>
  <c r="C546" i="2"/>
  <c r="B546" i="2"/>
  <c r="A547" i="2"/>
  <c r="G546" i="2"/>
  <c r="C614" i="2"/>
  <c r="A615" i="2"/>
  <c r="G614" i="2"/>
  <c r="B614" i="2"/>
  <c r="O613" i="2"/>
  <c r="A751" i="2"/>
  <c r="G750" i="2"/>
  <c r="B750" i="2"/>
  <c r="C750" i="2"/>
  <c r="O749" i="2"/>
  <c r="A853" i="2"/>
  <c r="C852" i="2"/>
  <c r="G852" i="2"/>
  <c r="B852" i="2"/>
  <c r="B784" i="2"/>
  <c r="A785" i="2"/>
  <c r="A820" i="2" s="1"/>
  <c r="G784" i="2"/>
  <c r="C784" i="2"/>
  <c r="A717" i="2"/>
  <c r="C716" i="2"/>
  <c r="G716" i="2"/>
  <c r="B716" i="2"/>
  <c r="B955" i="2"/>
  <c r="G955" i="2"/>
  <c r="C955" i="2"/>
  <c r="A956" i="2"/>
  <c r="A1228" i="2"/>
  <c r="A1262" i="2"/>
  <c r="C1091" i="2"/>
  <c r="G1091" i="2"/>
  <c r="B1091" i="2"/>
  <c r="A1092" i="2"/>
  <c r="G818" i="2"/>
  <c r="O511" i="2"/>
  <c r="G512" i="2"/>
  <c r="C512" i="2"/>
  <c r="A513" i="2"/>
  <c r="B512" i="2"/>
  <c r="A683" i="2"/>
  <c r="C682" i="2"/>
  <c r="B682" i="2"/>
  <c r="G682" i="2"/>
  <c r="G478" i="2"/>
  <c r="B478" i="2"/>
  <c r="A479" i="2"/>
  <c r="C478" i="2"/>
  <c r="G887" i="2"/>
  <c r="B887" i="2"/>
  <c r="A888" i="2"/>
  <c r="C887" i="2"/>
  <c r="G921" i="2"/>
  <c r="C921" i="2"/>
  <c r="B921" i="2"/>
  <c r="A922" i="2"/>
  <c r="O102" i="2"/>
  <c r="B106" i="2"/>
  <c r="I281" i="2" l="1"/>
  <c r="S269" i="2"/>
  <c r="F1958" i="2"/>
  <c r="O645" i="2"/>
  <c r="S645" i="2" s="1"/>
  <c r="O304" i="2"/>
  <c r="S304" i="2" s="1"/>
  <c r="B207" i="2"/>
  <c r="C207" i="2"/>
  <c r="D207" i="2"/>
  <c r="E207" i="2"/>
  <c r="G207" i="2"/>
  <c r="A208" i="2"/>
  <c r="B173" i="2"/>
  <c r="C173" i="2"/>
  <c r="D173" i="2"/>
  <c r="E173" i="2"/>
  <c r="A174" i="2"/>
  <c r="Q140" i="2"/>
  <c r="P140" i="2"/>
  <c r="R139" i="2"/>
  <c r="T105" i="2"/>
  <c r="S105" i="2"/>
  <c r="T70" i="2"/>
  <c r="S70" i="2"/>
  <c r="T269" i="2"/>
  <c r="T645" i="2"/>
  <c r="T610" i="2"/>
  <c r="S270" i="2"/>
  <c r="T270" i="2"/>
  <c r="T237" i="2"/>
  <c r="T646" i="2"/>
  <c r="T544" i="2"/>
  <c r="I680" i="2"/>
  <c r="B1193" i="2"/>
  <c r="G1193" i="2"/>
  <c r="G1192" i="2"/>
  <c r="D1192" i="2"/>
  <c r="E1192" i="2"/>
  <c r="D1193" i="2"/>
  <c r="E1193" i="2"/>
  <c r="B820" i="2"/>
  <c r="C820" i="2"/>
  <c r="D820" i="2"/>
  <c r="E820" i="2"/>
  <c r="Q784" i="2"/>
  <c r="P784" i="2"/>
  <c r="Q1125" i="2"/>
  <c r="P1125" i="2"/>
  <c r="Q887" i="2"/>
  <c r="P887" i="2"/>
  <c r="Q818" i="2"/>
  <c r="P818" i="2"/>
  <c r="Q273" i="2"/>
  <c r="P273" i="2"/>
  <c r="Q443" i="2"/>
  <c r="P443" i="2"/>
  <c r="Q409" i="2"/>
  <c r="P409" i="2"/>
  <c r="Q1158" i="2"/>
  <c r="P1158" i="2"/>
  <c r="Q921" i="2"/>
  <c r="P921" i="2"/>
  <c r="Q478" i="2"/>
  <c r="P478" i="2"/>
  <c r="Q682" i="2"/>
  <c r="P682" i="2"/>
  <c r="Q512" i="2"/>
  <c r="P512" i="2"/>
  <c r="Q955" i="2"/>
  <c r="P955" i="2"/>
  <c r="Q852" i="2"/>
  <c r="P852" i="2"/>
  <c r="Q750" i="2"/>
  <c r="P750" i="2"/>
  <c r="Q648" i="2"/>
  <c r="P648" i="2"/>
  <c r="Q1057" i="2"/>
  <c r="P1057" i="2"/>
  <c r="Q375" i="2"/>
  <c r="P375" i="2"/>
  <c r="Q341" i="2"/>
  <c r="P341" i="2"/>
  <c r="Q171" i="2"/>
  <c r="P171" i="2"/>
  <c r="Q137" i="2"/>
  <c r="P137" i="2"/>
  <c r="Q1157" i="2"/>
  <c r="P1157" i="2"/>
  <c r="Q1193" i="2"/>
  <c r="P1193" i="2"/>
  <c r="Q1091" i="2"/>
  <c r="P1091" i="2"/>
  <c r="Q716" i="2"/>
  <c r="P716" i="2"/>
  <c r="Q614" i="2"/>
  <c r="P614" i="2"/>
  <c r="Q546" i="2"/>
  <c r="P546" i="2"/>
  <c r="Q580" i="2"/>
  <c r="P580" i="2"/>
  <c r="Q1023" i="2"/>
  <c r="P1023" i="2"/>
  <c r="Q989" i="2"/>
  <c r="P989" i="2"/>
  <c r="Q1159" i="2"/>
  <c r="P1159" i="2"/>
  <c r="Q1126" i="2"/>
  <c r="P1126" i="2"/>
  <c r="Q205" i="2"/>
  <c r="P205" i="2"/>
  <c r="Q307" i="2"/>
  <c r="P307" i="2"/>
  <c r="Q239" i="2"/>
  <c r="P239" i="2"/>
  <c r="S1088" i="2"/>
  <c r="D1092" i="2"/>
  <c r="E1092" i="2"/>
  <c r="D956" i="2"/>
  <c r="E956" i="2"/>
  <c r="D853" i="2"/>
  <c r="E853" i="2"/>
  <c r="D615" i="2"/>
  <c r="E615" i="2"/>
  <c r="D547" i="2"/>
  <c r="E547" i="2"/>
  <c r="D581" i="2"/>
  <c r="E581" i="2"/>
  <c r="D1024" i="2"/>
  <c r="E1024" i="2"/>
  <c r="D1127" i="2"/>
  <c r="E1127" i="2"/>
  <c r="D240" i="2"/>
  <c r="E240" i="2"/>
  <c r="D410" i="2"/>
  <c r="E410" i="2"/>
  <c r="D888" i="2"/>
  <c r="E888" i="2"/>
  <c r="D922" i="2"/>
  <c r="E922" i="2"/>
  <c r="D479" i="2"/>
  <c r="E479" i="2"/>
  <c r="D683" i="2"/>
  <c r="E683" i="2"/>
  <c r="D751" i="2"/>
  <c r="E751" i="2"/>
  <c r="D990" i="2"/>
  <c r="E990" i="2"/>
  <c r="D1058" i="2"/>
  <c r="E1058" i="2"/>
  <c r="D1160" i="2"/>
  <c r="E1160" i="2"/>
  <c r="D1194" i="2"/>
  <c r="E1194" i="2"/>
  <c r="D308" i="2"/>
  <c r="E308" i="2"/>
  <c r="D342" i="2"/>
  <c r="E342" i="2"/>
  <c r="T67" i="2"/>
  <c r="S67" i="2"/>
  <c r="D513" i="2"/>
  <c r="E513" i="2"/>
  <c r="D717" i="2"/>
  <c r="E717" i="2"/>
  <c r="D785" i="2"/>
  <c r="E785" i="2"/>
  <c r="D649" i="2"/>
  <c r="E649" i="2"/>
  <c r="D274" i="2"/>
  <c r="E274" i="2"/>
  <c r="D376" i="2"/>
  <c r="E376" i="2"/>
  <c r="D444" i="2"/>
  <c r="E444" i="2"/>
  <c r="D138" i="2"/>
  <c r="D141" i="2" s="1"/>
  <c r="E138" i="2"/>
  <c r="E141" i="2" s="1"/>
  <c r="R68" i="2"/>
  <c r="R71" i="2" s="1"/>
  <c r="T71" i="2" s="1"/>
  <c r="S919" i="2"/>
  <c r="I305" i="2"/>
  <c r="I316" i="2" s="1"/>
  <c r="S816" i="2"/>
  <c r="S1055" i="2"/>
  <c r="T476" i="2"/>
  <c r="C1193" i="2"/>
  <c r="S748" i="2"/>
  <c r="R374" i="2"/>
  <c r="R306" i="2"/>
  <c r="R340" i="2"/>
  <c r="T1055" i="2"/>
  <c r="R1090" i="2"/>
  <c r="R1124" i="2"/>
  <c r="R204" i="2"/>
  <c r="S1089" i="2"/>
  <c r="T714" i="2"/>
  <c r="S237" i="2"/>
  <c r="T987" i="2"/>
  <c r="S714" i="2"/>
  <c r="S646" i="2"/>
  <c r="T578" i="2"/>
  <c r="S476" i="2"/>
  <c r="S544" i="2"/>
  <c r="S510" i="2"/>
  <c r="S612" i="2"/>
  <c r="F1250" i="2"/>
  <c r="F1251" i="2"/>
  <c r="S953" i="2"/>
  <c r="S782" i="2"/>
  <c r="S102" i="2"/>
  <c r="T1123" i="2"/>
  <c r="T612" i="2"/>
  <c r="S987" i="2"/>
  <c r="R817" i="2"/>
  <c r="R783" i="2"/>
  <c r="R749" i="2"/>
  <c r="R545" i="2"/>
  <c r="T782" i="2"/>
  <c r="T1021" i="2"/>
  <c r="T850" i="2"/>
  <c r="R1022" i="2"/>
  <c r="T885" i="2"/>
  <c r="S1021" i="2"/>
  <c r="R647" i="2"/>
  <c r="R613" i="2"/>
  <c r="T748" i="2"/>
  <c r="R238" i="2"/>
  <c r="T919" i="2"/>
  <c r="T1089" i="2"/>
  <c r="R103" i="2"/>
  <c r="S850" i="2"/>
  <c r="T510" i="2"/>
  <c r="S885" i="2"/>
  <c r="R886" i="2"/>
  <c r="R715" i="2"/>
  <c r="R136" i="2"/>
  <c r="R408" i="2"/>
  <c r="R681" i="2"/>
  <c r="R851" i="2"/>
  <c r="R1056" i="2"/>
  <c r="R579" i="2"/>
  <c r="T1087" i="2"/>
  <c r="S1087" i="2"/>
  <c r="R988" i="2"/>
  <c r="B39" i="1"/>
  <c r="D1228" i="2" s="1"/>
  <c r="B1192" i="2"/>
  <c r="C1192" i="2"/>
  <c r="R272" i="2"/>
  <c r="R170" i="2"/>
  <c r="R954" i="2"/>
  <c r="R477" i="2"/>
  <c r="R442" i="2"/>
  <c r="R1122" i="2"/>
  <c r="S1123" i="2"/>
  <c r="S578" i="2"/>
  <c r="T816" i="2"/>
  <c r="R920" i="2"/>
  <c r="R511" i="2"/>
  <c r="O681" i="2"/>
  <c r="O988" i="2"/>
  <c r="O851" i="2"/>
  <c r="O886" i="2"/>
  <c r="C410" i="2"/>
  <c r="G410" i="2"/>
  <c r="B410" i="2"/>
  <c r="A411" i="2"/>
  <c r="G274" i="2"/>
  <c r="B274" i="2"/>
  <c r="A275" i="2"/>
  <c r="C274" i="2"/>
  <c r="C376" i="2"/>
  <c r="A377" i="2"/>
  <c r="B376" i="2"/>
  <c r="G376" i="2"/>
  <c r="O137" i="2"/>
  <c r="S373" i="2"/>
  <c r="T373" i="2"/>
  <c r="O170" i="2"/>
  <c r="B342" i="2"/>
  <c r="G342" i="2"/>
  <c r="A343" i="2"/>
  <c r="C342" i="2"/>
  <c r="G240" i="2"/>
  <c r="C240" i="2"/>
  <c r="B240" i="2"/>
  <c r="A241" i="2"/>
  <c r="C138" i="2"/>
  <c r="C141" i="2" s="1"/>
  <c r="B138" i="2"/>
  <c r="G138" i="2"/>
  <c r="G141" i="2" s="1"/>
  <c r="A141" i="2"/>
  <c r="O1022" i="2"/>
  <c r="O238" i="2"/>
  <c r="T407" i="2"/>
  <c r="S407" i="2"/>
  <c r="O408" i="2"/>
  <c r="O647" i="2"/>
  <c r="O443" i="2"/>
  <c r="T271" i="2"/>
  <c r="S271" i="2"/>
  <c r="G172" i="2"/>
  <c r="O306" i="2"/>
  <c r="O1124" i="2"/>
  <c r="O1158" i="2"/>
  <c r="O477" i="2"/>
  <c r="O954" i="2"/>
  <c r="G444" i="2"/>
  <c r="A445" i="2"/>
  <c r="C444" i="2"/>
  <c r="B444" i="2"/>
  <c r="O136" i="2"/>
  <c r="T135" i="2"/>
  <c r="S135" i="2"/>
  <c r="O1192" i="2"/>
  <c r="O1125" i="2"/>
  <c r="A309" i="2"/>
  <c r="C308" i="2"/>
  <c r="G308" i="2"/>
  <c r="B308" i="2"/>
  <c r="T169" i="2"/>
  <c r="S169" i="2"/>
  <c r="O272" i="2"/>
  <c r="S441" i="2"/>
  <c r="T441" i="2"/>
  <c r="S203" i="2"/>
  <c r="T203" i="2"/>
  <c r="O817" i="2"/>
  <c r="O783" i="2"/>
  <c r="O579" i="2"/>
  <c r="O1090" i="2"/>
  <c r="C1127" i="2"/>
  <c r="A1128" i="2"/>
  <c r="A923" i="2"/>
  <c r="B888" i="2"/>
  <c r="A889" i="2"/>
  <c r="C888" i="2"/>
  <c r="G888" i="2"/>
  <c r="B479" i="2"/>
  <c r="A480" i="2"/>
  <c r="C479" i="2"/>
  <c r="G479" i="2"/>
  <c r="C683" i="2"/>
  <c r="B683" i="2"/>
  <c r="G683" i="2"/>
  <c r="A684" i="2"/>
  <c r="G513" i="2"/>
  <c r="C513" i="2"/>
  <c r="B513" i="2"/>
  <c r="A514" i="2"/>
  <c r="G819" i="2"/>
  <c r="A1093" i="2"/>
  <c r="G1092" i="2"/>
  <c r="A1297" i="2"/>
  <c r="G956" i="2"/>
  <c r="B717" i="2"/>
  <c r="A718" i="2"/>
  <c r="G717" i="2"/>
  <c r="C717" i="2"/>
  <c r="A786" i="2"/>
  <c r="A821" i="2" s="1"/>
  <c r="G785" i="2"/>
  <c r="B785" i="2"/>
  <c r="C785" i="2"/>
  <c r="O784" i="2"/>
  <c r="G853" i="2"/>
  <c r="A854" i="2"/>
  <c r="C853" i="2"/>
  <c r="B853" i="2"/>
  <c r="B751" i="2"/>
  <c r="C751" i="2"/>
  <c r="A752" i="2"/>
  <c r="G751" i="2"/>
  <c r="B615" i="2"/>
  <c r="A616" i="2"/>
  <c r="G615" i="2"/>
  <c r="C615" i="2"/>
  <c r="B547" i="2"/>
  <c r="G547" i="2"/>
  <c r="A548" i="2"/>
  <c r="C547" i="2"/>
  <c r="A582" i="2"/>
  <c r="B581" i="2"/>
  <c r="G581" i="2"/>
  <c r="C581" i="2"/>
  <c r="B1024" i="2"/>
  <c r="G1024" i="2"/>
  <c r="A1025" i="2"/>
  <c r="C1024" i="2"/>
  <c r="G649" i="2"/>
  <c r="C649" i="2"/>
  <c r="B649" i="2"/>
  <c r="A650" i="2"/>
  <c r="O648" i="2"/>
  <c r="B990" i="2"/>
  <c r="G990" i="2"/>
  <c r="A991" i="2"/>
  <c r="B1058" i="2"/>
  <c r="A1059" i="2"/>
  <c r="C1058" i="2"/>
  <c r="B1160" i="2"/>
  <c r="A1161" i="2"/>
  <c r="G1160" i="2"/>
  <c r="C1160" i="2"/>
  <c r="G1194" i="2"/>
  <c r="B1194" i="2"/>
  <c r="G1127" i="2"/>
  <c r="B1127" i="2"/>
  <c r="C922" i="2"/>
  <c r="B922" i="2"/>
  <c r="G922" i="2"/>
  <c r="C1092" i="2"/>
  <c r="B1092" i="2"/>
  <c r="O1227" i="2"/>
  <c r="A1263" i="2"/>
  <c r="A1229" i="2"/>
  <c r="A957" i="2"/>
  <c r="C956" i="2"/>
  <c r="B956" i="2"/>
  <c r="O955" i="2"/>
  <c r="C990" i="2"/>
  <c r="O989" i="2"/>
  <c r="G1058" i="2"/>
  <c r="O1159" i="2"/>
  <c r="A1195" i="2"/>
  <c r="C1194" i="2"/>
  <c r="T102" i="2"/>
  <c r="O103" i="2"/>
  <c r="T304" i="2" l="1"/>
  <c r="O106" i="2"/>
  <c r="R106" i="2"/>
  <c r="F1993" i="2"/>
  <c r="O680" i="2"/>
  <c r="S680" i="2" s="1"/>
  <c r="B208" i="2"/>
  <c r="C208" i="2"/>
  <c r="D208" i="2"/>
  <c r="E208" i="2"/>
  <c r="G208" i="2"/>
  <c r="A209" i="2"/>
  <c r="B174" i="2"/>
  <c r="C174" i="2"/>
  <c r="D174" i="2"/>
  <c r="E174" i="2"/>
  <c r="A175" i="2"/>
  <c r="G174" i="2"/>
  <c r="R140" i="2"/>
  <c r="T139" i="2"/>
  <c r="S139" i="2"/>
  <c r="R1125" i="2"/>
  <c r="S1125" i="2" s="1"/>
  <c r="S511" i="2"/>
  <c r="T920" i="2"/>
  <c r="S442" i="2"/>
  <c r="T1056" i="2"/>
  <c r="I715" i="2"/>
  <c r="T613" i="2"/>
  <c r="S749" i="2"/>
  <c r="I340" i="2"/>
  <c r="D1227" i="2"/>
  <c r="E1227" i="2"/>
  <c r="E1228" i="2"/>
  <c r="B821" i="2"/>
  <c r="C821" i="2"/>
  <c r="D821" i="2"/>
  <c r="E821" i="2"/>
  <c r="Q751" i="2"/>
  <c r="P751" i="2"/>
  <c r="Q206" i="2"/>
  <c r="P206" i="2"/>
  <c r="Q1127" i="2"/>
  <c r="P1127" i="2"/>
  <c r="Q547" i="2"/>
  <c r="P547" i="2"/>
  <c r="Q853" i="2"/>
  <c r="P853" i="2"/>
  <c r="Q785" i="2"/>
  <c r="P785" i="2"/>
  <c r="Q717" i="2"/>
  <c r="P717" i="2"/>
  <c r="Q683" i="2"/>
  <c r="P683" i="2"/>
  <c r="Q308" i="2"/>
  <c r="P308" i="2"/>
  <c r="Q274" i="2"/>
  <c r="P274" i="2"/>
  <c r="Q410" i="2"/>
  <c r="P410" i="2"/>
  <c r="Q1192" i="2"/>
  <c r="P1192" i="2"/>
  <c r="Q956" i="2"/>
  <c r="P956" i="2"/>
  <c r="Q1092" i="2"/>
  <c r="P1092" i="2"/>
  <c r="Q922" i="2"/>
  <c r="P922" i="2"/>
  <c r="Q1160" i="2"/>
  <c r="P1160" i="2"/>
  <c r="Q1058" i="2"/>
  <c r="P1058" i="2"/>
  <c r="Q990" i="2"/>
  <c r="P990" i="2"/>
  <c r="Q649" i="2"/>
  <c r="P649" i="2"/>
  <c r="Q1024" i="2"/>
  <c r="P1024" i="2"/>
  <c r="Q581" i="2"/>
  <c r="P581" i="2"/>
  <c r="Q615" i="2"/>
  <c r="P615" i="2"/>
  <c r="Q513" i="2"/>
  <c r="P513" i="2"/>
  <c r="Q444" i="2"/>
  <c r="P444" i="2"/>
  <c r="Q172" i="2"/>
  <c r="P172" i="2"/>
  <c r="Q138" i="2"/>
  <c r="Q141" i="2" s="1"/>
  <c r="P138" i="2"/>
  <c r="P141" i="2" s="1"/>
  <c r="Q240" i="2"/>
  <c r="P240" i="2"/>
  <c r="Q342" i="2"/>
  <c r="P342" i="2"/>
  <c r="Q376" i="2"/>
  <c r="P376" i="2"/>
  <c r="Q1194" i="2"/>
  <c r="P1194" i="2"/>
  <c r="Q819" i="2"/>
  <c r="P819" i="2"/>
  <c r="Q479" i="2"/>
  <c r="P479" i="2"/>
  <c r="Q888" i="2"/>
  <c r="P888" i="2"/>
  <c r="D1195" i="2"/>
  <c r="E1195" i="2"/>
  <c r="A1230" i="2"/>
  <c r="G1230" i="2" s="1"/>
  <c r="D1229" i="2"/>
  <c r="E1229" i="2"/>
  <c r="D548" i="2"/>
  <c r="E548" i="2"/>
  <c r="D991" i="2"/>
  <c r="E991" i="2"/>
  <c r="D1025" i="2"/>
  <c r="E1025" i="2"/>
  <c r="D582" i="2"/>
  <c r="E582" i="2"/>
  <c r="D854" i="2"/>
  <c r="E854" i="2"/>
  <c r="D889" i="2"/>
  <c r="E889" i="2"/>
  <c r="D1128" i="2"/>
  <c r="E1128" i="2"/>
  <c r="D176" i="2"/>
  <c r="E176" i="2"/>
  <c r="S68" i="2"/>
  <c r="S71" i="2" s="1"/>
  <c r="T68" i="2"/>
  <c r="D480" i="2"/>
  <c r="E480" i="2"/>
  <c r="D923" i="2"/>
  <c r="E923" i="2"/>
  <c r="D241" i="2"/>
  <c r="E241" i="2"/>
  <c r="D786" i="2"/>
  <c r="E786" i="2"/>
  <c r="D718" i="2"/>
  <c r="E718" i="2"/>
  <c r="C957" i="2"/>
  <c r="D957" i="2"/>
  <c r="E957" i="2"/>
  <c r="A1162" i="2"/>
  <c r="A1163" i="2" s="1"/>
  <c r="D1161" i="2"/>
  <c r="E1161" i="2"/>
  <c r="D1059" i="2"/>
  <c r="E1059" i="2"/>
  <c r="D650" i="2"/>
  <c r="E650" i="2"/>
  <c r="D616" i="2"/>
  <c r="E616" i="2"/>
  <c r="D752" i="2"/>
  <c r="E752" i="2"/>
  <c r="D514" i="2"/>
  <c r="E514" i="2"/>
  <c r="D309" i="2"/>
  <c r="E309" i="2"/>
  <c r="D445" i="2"/>
  <c r="E445" i="2"/>
  <c r="D343" i="2"/>
  <c r="E343" i="2"/>
  <c r="D377" i="2"/>
  <c r="E377" i="2"/>
  <c r="D275" i="2"/>
  <c r="E275" i="2"/>
  <c r="D411" i="2"/>
  <c r="E411" i="2"/>
  <c r="D1093" i="2"/>
  <c r="E1093" i="2"/>
  <c r="D684" i="2"/>
  <c r="E684" i="2"/>
  <c r="R1158" i="2"/>
  <c r="T1158" i="2" s="1"/>
  <c r="T1090" i="2"/>
  <c r="O339" i="2"/>
  <c r="O305" i="2"/>
  <c r="S204" i="2"/>
  <c r="T204" i="2"/>
  <c r="S1124" i="2"/>
  <c r="G1228" i="2"/>
  <c r="R614" i="2"/>
  <c r="R818" i="2"/>
  <c r="R955" i="2"/>
  <c r="T955" i="2" s="1"/>
  <c r="R205" i="2"/>
  <c r="T886" i="2"/>
  <c r="R443" i="2"/>
  <c r="R239" i="2"/>
  <c r="R921" i="2"/>
  <c r="T817" i="2"/>
  <c r="T681" i="2"/>
  <c r="S851" i="2"/>
  <c r="R887" i="2"/>
  <c r="S988" i="2"/>
  <c r="R341" i="2"/>
  <c r="R375" i="2"/>
  <c r="T579" i="2"/>
  <c r="S783" i="2"/>
  <c r="S1056" i="2"/>
  <c r="F1285" i="2"/>
  <c r="F1284" i="2"/>
  <c r="F1286" i="2"/>
  <c r="S954" i="2"/>
  <c r="T749" i="2"/>
  <c r="S1022" i="2"/>
  <c r="T545" i="2"/>
  <c r="R580" i="2"/>
  <c r="S613" i="2"/>
  <c r="T647" i="2"/>
  <c r="R512" i="2"/>
  <c r="R137" i="2"/>
  <c r="S579" i="2"/>
  <c r="T783" i="2"/>
  <c r="T1124" i="2"/>
  <c r="S477" i="2"/>
  <c r="R273" i="2"/>
  <c r="R1057" i="2"/>
  <c r="T477" i="2"/>
  <c r="T988" i="2"/>
  <c r="R648" i="2"/>
  <c r="R989" i="2"/>
  <c r="R784" i="2"/>
  <c r="T442" i="2"/>
  <c r="C1228" i="2"/>
  <c r="B1228" i="2"/>
  <c r="S647" i="2"/>
  <c r="S817" i="2"/>
  <c r="S1090" i="2"/>
  <c r="S545" i="2"/>
  <c r="S681" i="2"/>
  <c r="T851" i="2"/>
  <c r="R307" i="2"/>
  <c r="R478" i="2"/>
  <c r="R171" i="2"/>
  <c r="R1023" i="2"/>
  <c r="R546" i="2"/>
  <c r="R1157" i="2"/>
  <c r="R409" i="2"/>
  <c r="R682" i="2"/>
  <c r="T1122" i="2"/>
  <c r="S1122" i="2"/>
  <c r="B40" i="1"/>
  <c r="E1263" i="2" s="1"/>
  <c r="B1227" i="2"/>
  <c r="C1227" i="2"/>
  <c r="G1227" i="2"/>
  <c r="R852" i="2"/>
  <c r="R750" i="2"/>
  <c r="R716" i="2"/>
  <c r="S920" i="2"/>
  <c r="T954" i="2"/>
  <c r="T1022" i="2"/>
  <c r="S886" i="2"/>
  <c r="T511" i="2"/>
  <c r="R1091" i="2"/>
  <c r="R1159" i="2"/>
  <c r="T1159" i="2" s="1"/>
  <c r="R1193" i="2"/>
  <c r="R1126" i="2"/>
  <c r="O308" i="2"/>
  <c r="O546" i="2"/>
  <c r="O273" i="2"/>
  <c r="G275" i="2"/>
  <c r="B275" i="2"/>
  <c r="C275" i="2"/>
  <c r="A276" i="2"/>
  <c r="O1193" i="2"/>
  <c r="O1126" i="2"/>
  <c r="O716" i="2"/>
  <c r="O852" i="2"/>
  <c r="O1091" i="2"/>
  <c r="G173" i="2"/>
  <c r="G176" i="2" s="1"/>
  <c r="C176" i="2"/>
  <c r="A176" i="2"/>
  <c r="O921" i="2"/>
  <c r="T306" i="2"/>
  <c r="S306" i="2"/>
  <c r="O1057" i="2"/>
  <c r="O614" i="2"/>
  <c r="O682" i="2"/>
  <c r="T272" i="2"/>
  <c r="S272" i="2"/>
  <c r="O307" i="2"/>
  <c r="O239" i="2"/>
  <c r="T238" i="2"/>
  <c r="S238" i="2"/>
  <c r="O205" i="2"/>
  <c r="T408" i="2"/>
  <c r="S408" i="2"/>
  <c r="G411" i="2"/>
  <c r="A412" i="2"/>
  <c r="C411" i="2"/>
  <c r="B411" i="2"/>
  <c r="O818" i="2"/>
  <c r="C343" i="2"/>
  <c r="B343" i="2"/>
  <c r="A344" i="2"/>
  <c r="G343" i="2"/>
  <c r="B377" i="2"/>
  <c r="C377" i="2"/>
  <c r="G377" i="2"/>
  <c r="A378" i="2"/>
  <c r="B445" i="2"/>
  <c r="G445" i="2"/>
  <c r="A446" i="2"/>
  <c r="C445" i="2"/>
  <c r="B141" i="2"/>
  <c r="O512" i="2"/>
  <c r="C309" i="2"/>
  <c r="B309" i="2"/>
  <c r="G309" i="2"/>
  <c r="A310" i="2"/>
  <c r="T136" i="2"/>
  <c r="S136" i="2"/>
  <c r="O1023" i="2"/>
  <c r="O478" i="2"/>
  <c r="O887" i="2"/>
  <c r="O171" i="2"/>
  <c r="O341" i="2"/>
  <c r="C241" i="2"/>
  <c r="A242" i="2"/>
  <c r="G241" i="2"/>
  <c r="B241" i="2"/>
  <c r="T170" i="2"/>
  <c r="S170" i="2"/>
  <c r="B1128" i="2"/>
  <c r="C1128" i="2"/>
  <c r="G1128" i="2"/>
  <c r="A1129" i="2"/>
  <c r="G991" i="2"/>
  <c r="C991" i="2"/>
  <c r="B650" i="2"/>
  <c r="A651" i="2"/>
  <c r="G650" i="2"/>
  <c r="B582" i="2"/>
  <c r="C582" i="2"/>
  <c r="A583" i="2"/>
  <c r="B548" i="2"/>
  <c r="G548" i="2"/>
  <c r="B616" i="2"/>
  <c r="A617" i="2"/>
  <c r="G752" i="2"/>
  <c r="A753" i="2"/>
  <c r="A855" i="2"/>
  <c r="C854" i="2"/>
  <c r="B854" i="2"/>
  <c r="G786" i="2"/>
  <c r="B786" i="2"/>
  <c r="G718" i="2"/>
  <c r="C1093" i="2"/>
  <c r="A1094" i="2"/>
  <c r="O819" i="2"/>
  <c r="G820" i="2"/>
  <c r="A515" i="2"/>
  <c r="C514" i="2"/>
  <c r="C684" i="2"/>
  <c r="G684" i="2"/>
  <c r="B480" i="2"/>
  <c r="G1195" i="2"/>
  <c r="B1195" i="2"/>
  <c r="C1195" i="2"/>
  <c r="A1196" i="2"/>
  <c r="A958" i="2"/>
  <c r="G957" i="2"/>
  <c r="B957" i="2"/>
  <c r="C1229" i="2"/>
  <c r="B1229" i="2"/>
  <c r="G1229" i="2"/>
  <c r="A1264" i="2"/>
  <c r="B1161" i="2"/>
  <c r="C1161" i="2"/>
  <c r="G1161" i="2"/>
  <c r="G1059" i="2"/>
  <c r="A1060" i="2"/>
  <c r="B1059" i="2"/>
  <c r="C1059" i="2"/>
  <c r="B991" i="2"/>
  <c r="A992" i="2"/>
  <c r="O990" i="2"/>
  <c r="C650" i="2"/>
  <c r="A1026" i="2"/>
  <c r="G1025" i="2"/>
  <c r="C1025" i="2"/>
  <c r="B1025" i="2"/>
  <c r="O1024" i="2"/>
  <c r="G582" i="2"/>
  <c r="C548" i="2"/>
  <c r="A549" i="2"/>
  <c r="C616" i="2"/>
  <c r="G616" i="2"/>
  <c r="C752" i="2"/>
  <c r="B752" i="2"/>
  <c r="O751" i="2"/>
  <c r="G854" i="2"/>
  <c r="A787" i="2"/>
  <c r="A822" i="2" s="1"/>
  <c r="C786" i="2"/>
  <c r="C718" i="2"/>
  <c r="B718" i="2"/>
  <c r="A719" i="2"/>
  <c r="O1262" i="2"/>
  <c r="A1298" i="2"/>
  <c r="A1332" i="2"/>
  <c r="B1093" i="2"/>
  <c r="G1093" i="2"/>
  <c r="G514" i="2"/>
  <c r="B514" i="2"/>
  <c r="A685" i="2"/>
  <c r="B684" i="2"/>
  <c r="A481" i="2"/>
  <c r="G480" i="2"/>
  <c r="C480" i="2"/>
  <c r="A890" i="2"/>
  <c r="B889" i="2"/>
  <c r="C889" i="2"/>
  <c r="G889" i="2"/>
  <c r="B923" i="2"/>
  <c r="C923" i="2"/>
  <c r="A924" i="2"/>
  <c r="G923" i="2"/>
  <c r="S103" i="2"/>
  <c r="S106" i="2" s="1"/>
  <c r="T103" i="2"/>
  <c r="T680" i="2" l="1"/>
  <c r="T106" i="2"/>
  <c r="O340" i="2"/>
  <c r="I351" i="2"/>
  <c r="S140" i="2"/>
  <c r="F2028" i="2"/>
  <c r="F2063" i="2" s="1"/>
  <c r="O715" i="2"/>
  <c r="T715" i="2" s="1"/>
  <c r="O374" i="2"/>
  <c r="T140" i="2"/>
  <c r="B209" i="2"/>
  <c r="C209" i="2"/>
  <c r="D209" i="2"/>
  <c r="E209" i="2"/>
  <c r="G209" i="2"/>
  <c r="A210" i="2"/>
  <c r="B175" i="2"/>
  <c r="C175" i="2"/>
  <c r="D175" i="2"/>
  <c r="E175" i="2"/>
  <c r="G175" i="2"/>
  <c r="Q174" i="2"/>
  <c r="P174" i="2"/>
  <c r="T1125" i="2"/>
  <c r="S546" i="2"/>
  <c r="I750" i="2"/>
  <c r="T784" i="2"/>
  <c r="S989" i="2"/>
  <c r="T648" i="2"/>
  <c r="I375" i="2"/>
  <c r="I386" i="2" s="1"/>
  <c r="S443" i="2"/>
  <c r="B1263" i="2"/>
  <c r="E1262" i="2"/>
  <c r="D1263" i="2"/>
  <c r="D1262" i="2"/>
  <c r="B822" i="2"/>
  <c r="C822" i="2"/>
  <c r="D822" i="2"/>
  <c r="E822" i="2"/>
  <c r="B1230" i="2"/>
  <c r="Q1230" i="2" s="1"/>
  <c r="A1231" i="2"/>
  <c r="C1230" i="2"/>
  <c r="B1162" i="2"/>
  <c r="Q923" i="2"/>
  <c r="P923" i="2"/>
  <c r="Q889" i="2"/>
  <c r="P889" i="2"/>
  <c r="Q820" i="2"/>
  <c r="P820" i="2"/>
  <c r="Q718" i="2"/>
  <c r="P718" i="2"/>
  <c r="Q752" i="2"/>
  <c r="P752" i="2"/>
  <c r="Q991" i="2"/>
  <c r="P991" i="2"/>
  <c r="Q957" i="2"/>
  <c r="P957" i="2"/>
  <c r="Q548" i="2"/>
  <c r="P548" i="2"/>
  <c r="Q582" i="2"/>
  <c r="P582" i="2"/>
  <c r="Q650" i="2"/>
  <c r="P650" i="2"/>
  <c r="Q1128" i="2"/>
  <c r="P1128" i="2"/>
  <c r="P1230" i="2"/>
  <c r="Q241" i="2"/>
  <c r="P241" i="2"/>
  <c r="Q173" i="2"/>
  <c r="P173" i="2"/>
  <c r="Q1227" i="2"/>
  <c r="P1227" i="2"/>
  <c r="Q514" i="2"/>
  <c r="P514" i="2"/>
  <c r="Q1229" i="2"/>
  <c r="P1229" i="2"/>
  <c r="Q616" i="2"/>
  <c r="P616" i="2"/>
  <c r="Q1162" i="2"/>
  <c r="P1162" i="2"/>
  <c r="Q343" i="2"/>
  <c r="P343" i="2"/>
  <c r="Q1093" i="2"/>
  <c r="P1093" i="2"/>
  <c r="Q1161" i="2"/>
  <c r="P1161" i="2"/>
  <c r="Q480" i="2"/>
  <c r="P480" i="2"/>
  <c r="Q854" i="2"/>
  <c r="P854" i="2"/>
  <c r="Q377" i="2"/>
  <c r="P377" i="2"/>
  <c r="Q411" i="2"/>
  <c r="P411" i="2"/>
  <c r="Q1263" i="2"/>
  <c r="P1263" i="2"/>
  <c r="Q684" i="2"/>
  <c r="P684" i="2"/>
  <c r="Q1025" i="2"/>
  <c r="P1025" i="2"/>
  <c r="Q1059" i="2"/>
  <c r="P1059" i="2"/>
  <c r="Q1195" i="2"/>
  <c r="P1195" i="2"/>
  <c r="Q786" i="2"/>
  <c r="P786" i="2"/>
  <c r="C1162" i="2"/>
  <c r="Q207" i="2"/>
  <c r="P207" i="2"/>
  <c r="Q309" i="2"/>
  <c r="P309" i="2"/>
  <c r="Q445" i="2"/>
  <c r="P445" i="2"/>
  <c r="Q275" i="2"/>
  <c r="P275" i="2"/>
  <c r="Q1228" i="2"/>
  <c r="P1228" i="2"/>
  <c r="S1158" i="2"/>
  <c r="G1162" i="2"/>
  <c r="D787" i="2"/>
  <c r="E787" i="2"/>
  <c r="D1060" i="2"/>
  <c r="E1060" i="2"/>
  <c r="D1196" i="2"/>
  <c r="E1196" i="2"/>
  <c r="D617" i="2"/>
  <c r="E617" i="2"/>
  <c r="D719" i="2"/>
  <c r="E719" i="2"/>
  <c r="D1026" i="2"/>
  <c r="E1026" i="2"/>
  <c r="D992" i="2"/>
  <c r="E992" i="2"/>
  <c r="D1264" i="2"/>
  <c r="E1264" i="2"/>
  <c r="D958" i="2"/>
  <c r="E958" i="2"/>
  <c r="D515" i="2"/>
  <c r="E515" i="2"/>
  <c r="D1094" i="2"/>
  <c r="E1094" i="2"/>
  <c r="D651" i="2"/>
  <c r="E651" i="2"/>
  <c r="D211" i="2"/>
  <c r="E211" i="2"/>
  <c r="D310" i="2"/>
  <c r="E310" i="2"/>
  <c r="D446" i="2"/>
  <c r="E446" i="2"/>
  <c r="D344" i="2"/>
  <c r="E344" i="2"/>
  <c r="D412" i="2"/>
  <c r="E412" i="2"/>
  <c r="D276" i="2"/>
  <c r="E276" i="2"/>
  <c r="D1230" i="2"/>
  <c r="E1230" i="2"/>
  <c r="D1162" i="2"/>
  <c r="E1162" i="2"/>
  <c r="D685" i="2"/>
  <c r="E685" i="2"/>
  <c r="D855" i="2"/>
  <c r="E855" i="2"/>
  <c r="D378" i="2"/>
  <c r="E378" i="2"/>
  <c r="D924" i="2"/>
  <c r="E924" i="2"/>
  <c r="D890" i="2"/>
  <c r="E890" i="2"/>
  <c r="D481" i="2"/>
  <c r="E481" i="2"/>
  <c r="D549" i="2"/>
  <c r="E549" i="2"/>
  <c r="D753" i="2"/>
  <c r="E753" i="2"/>
  <c r="D583" i="2"/>
  <c r="E583" i="2"/>
  <c r="D1231" i="2"/>
  <c r="E1231" i="2"/>
  <c r="D1129" i="2"/>
  <c r="E1129" i="2"/>
  <c r="D1163" i="2"/>
  <c r="E1163" i="2"/>
  <c r="D242" i="2"/>
  <c r="E242" i="2"/>
  <c r="S305" i="2"/>
  <c r="T305" i="2"/>
  <c r="S339" i="2"/>
  <c r="T339" i="2"/>
  <c r="S955" i="2"/>
  <c r="T137" i="2"/>
  <c r="S818" i="2"/>
  <c r="S614" i="2"/>
  <c r="G1263" i="2"/>
  <c r="C1263" i="2"/>
  <c r="T921" i="2"/>
  <c r="T443" i="2"/>
  <c r="R240" i="2"/>
  <c r="R274" i="2"/>
  <c r="T887" i="2"/>
  <c r="R819" i="2"/>
  <c r="R956" i="2"/>
  <c r="R751" i="2"/>
  <c r="S784" i="2"/>
  <c r="R581" i="2"/>
  <c r="S648" i="2"/>
  <c r="R410" i="2"/>
  <c r="R717" i="2"/>
  <c r="R615" i="2"/>
  <c r="S716" i="2"/>
  <c r="T1057" i="2"/>
  <c r="T716" i="2"/>
  <c r="R1092" i="2"/>
  <c r="S580" i="2"/>
  <c r="T989" i="2"/>
  <c r="F1320" i="2"/>
  <c r="F1319" i="2"/>
  <c r="F1321" i="2"/>
  <c r="S1091" i="2"/>
  <c r="T682" i="2"/>
  <c r="T512" i="2"/>
  <c r="T546" i="2"/>
  <c r="S137" i="2"/>
  <c r="T478" i="2"/>
  <c r="T1023" i="2"/>
  <c r="R1024" i="2"/>
  <c r="R1127" i="2"/>
  <c r="R376" i="2"/>
  <c r="S1057" i="2"/>
  <c r="S852" i="2"/>
  <c r="S512" i="2"/>
  <c r="S921" i="2"/>
  <c r="T1126" i="2"/>
  <c r="R444" i="2"/>
  <c r="R547" i="2"/>
  <c r="R888" i="2"/>
  <c r="R206" i="2"/>
  <c r="R785" i="2"/>
  <c r="R853" i="2"/>
  <c r="R683" i="2"/>
  <c r="R1194" i="2"/>
  <c r="R1192" i="2"/>
  <c r="R1160" i="2"/>
  <c r="R342" i="2"/>
  <c r="R513" i="2"/>
  <c r="T1091" i="2"/>
  <c r="R1058" i="2"/>
  <c r="R479" i="2"/>
  <c r="R172" i="2"/>
  <c r="B41" i="1"/>
  <c r="G1262" i="2"/>
  <c r="C1262" i="2"/>
  <c r="B1262" i="2"/>
  <c r="T1157" i="2"/>
  <c r="S1157" i="2"/>
  <c r="R922" i="2"/>
  <c r="R308" i="2"/>
  <c r="S1193" i="2"/>
  <c r="R649" i="2"/>
  <c r="S1159" i="2"/>
  <c r="T580" i="2"/>
  <c r="S682" i="2"/>
  <c r="T818" i="2"/>
  <c r="S887" i="2"/>
  <c r="T614" i="2"/>
  <c r="T852" i="2"/>
  <c r="T1193" i="2"/>
  <c r="R990" i="2"/>
  <c r="R138" i="2"/>
  <c r="R141" i="2" s="1"/>
  <c r="S1126" i="2"/>
  <c r="O888" i="2"/>
  <c r="O649" i="2"/>
  <c r="O956" i="2"/>
  <c r="S341" i="2"/>
  <c r="T341" i="2"/>
  <c r="O342" i="2"/>
  <c r="O274" i="2"/>
  <c r="B1163" i="2"/>
  <c r="A1164" i="2"/>
  <c r="C1163" i="2"/>
  <c r="T171" i="2"/>
  <c r="S171" i="2"/>
  <c r="O1228" i="2"/>
  <c r="O581" i="2"/>
  <c r="O922" i="2"/>
  <c r="S205" i="2"/>
  <c r="T205" i="2"/>
  <c r="O173" i="2"/>
  <c r="B176" i="2"/>
  <c r="G1129" i="2"/>
  <c r="A1130" i="2"/>
  <c r="A311" i="2"/>
  <c r="A312" i="2" s="1"/>
  <c r="C310" i="2"/>
  <c r="G310" i="2"/>
  <c r="B310" i="2"/>
  <c r="G446" i="2"/>
  <c r="B446" i="2"/>
  <c r="C446" i="2"/>
  <c r="A447" i="2"/>
  <c r="O1194" i="2"/>
  <c r="O1092" i="2"/>
  <c r="S478" i="2"/>
  <c r="O717" i="2"/>
  <c r="O547" i="2"/>
  <c r="O172" i="2"/>
  <c r="S239" i="2"/>
  <c r="T239" i="2"/>
  <c r="S273" i="2"/>
  <c r="T273" i="2"/>
  <c r="O683" i="2"/>
  <c r="S1023" i="2"/>
  <c r="O1263" i="2"/>
  <c r="C211" i="2"/>
  <c r="G211" i="2"/>
  <c r="A211" i="2"/>
  <c r="C344" i="2"/>
  <c r="B344" i="2"/>
  <c r="A345" i="2"/>
  <c r="G344" i="2"/>
  <c r="T307" i="2"/>
  <c r="S307" i="2"/>
  <c r="O138" i="2"/>
  <c r="O376" i="2"/>
  <c r="C412" i="2"/>
  <c r="A413" i="2"/>
  <c r="G412" i="2"/>
  <c r="B412" i="2"/>
  <c r="O240" i="2"/>
  <c r="O853" i="2"/>
  <c r="B1231" i="2"/>
  <c r="G1231" i="2"/>
  <c r="B276" i="2"/>
  <c r="G276" i="2"/>
  <c r="A277" i="2"/>
  <c r="A278" i="2" s="1"/>
  <c r="C276" i="2"/>
  <c r="O513" i="2"/>
  <c r="O1160" i="2"/>
  <c r="O1127" i="2"/>
  <c r="G242" i="2"/>
  <c r="B242" i="2"/>
  <c r="A243" i="2"/>
  <c r="A244" i="2" s="1"/>
  <c r="C242" i="2"/>
  <c r="B378" i="2"/>
  <c r="G378" i="2"/>
  <c r="C378" i="2"/>
  <c r="A379" i="2"/>
  <c r="O206" i="2"/>
  <c r="O615" i="2"/>
  <c r="O1058" i="2"/>
  <c r="G924" i="2"/>
  <c r="C924" i="2"/>
  <c r="A891" i="2"/>
  <c r="C890" i="2"/>
  <c r="B890" i="2"/>
  <c r="G890" i="2"/>
  <c r="G481" i="2"/>
  <c r="B481" i="2"/>
  <c r="A482" i="2"/>
  <c r="C481" i="2"/>
  <c r="C685" i="2"/>
  <c r="B685" i="2"/>
  <c r="A686" i="2"/>
  <c r="G685" i="2"/>
  <c r="G821" i="2"/>
  <c r="A1299" i="2"/>
  <c r="O1297" i="2"/>
  <c r="A720" i="2"/>
  <c r="G719" i="2"/>
  <c r="B719" i="2"/>
  <c r="C719" i="2"/>
  <c r="C787" i="2"/>
  <c r="G787" i="2"/>
  <c r="B787" i="2"/>
  <c r="A788" i="2"/>
  <c r="A823" i="2" s="1"/>
  <c r="G549" i="2"/>
  <c r="C549" i="2"/>
  <c r="B549" i="2"/>
  <c r="A550" i="2"/>
  <c r="A1027" i="2"/>
  <c r="B1026" i="2"/>
  <c r="G1026" i="2"/>
  <c r="A993" i="2"/>
  <c r="B992" i="2"/>
  <c r="G992" i="2"/>
  <c r="G1060" i="2"/>
  <c r="A1061" i="2"/>
  <c r="B1060" i="2"/>
  <c r="C1264" i="2"/>
  <c r="A1265" i="2"/>
  <c r="A959" i="2"/>
  <c r="G958" i="2"/>
  <c r="G1196" i="2"/>
  <c r="A1197" i="2"/>
  <c r="B1196" i="2"/>
  <c r="O1195" i="2"/>
  <c r="B515" i="2"/>
  <c r="A516" i="2"/>
  <c r="C515" i="2"/>
  <c r="G515" i="2"/>
  <c r="A1095" i="2"/>
  <c r="A856" i="2"/>
  <c r="C855" i="2"/>
  <c r="B855" i="2"/>
  <c r="G855" i="2"/>
  <c r="C753" i="2"/>
  <c r="G753" i="2"/>
  <c r="B753" i="2"/>
  <c r="A754" i="2"/>
  <c r="A618" i="2"/>
  <c r="C617" i="2"/>
  <c r="B617" i="2"/>
  <c r="G617" i="2"/>
  <c r="O616" i="2"/>
  <c r="B583" i="2"/>
  <c r="A584" i="2"/>
  <c r="G583" i="2"/>
  <c r="C583" i="2"/>
  <c r="G651" i="2"/>
  <c r="C651" i="2"/>
  <c r="A652" i="2"/>
  <c r="B651" i="2"/>
  <c r="A1232" i="2"/>
  <c r="C1231" i="2"/>
  <c r="B1129" i="2"/>
  <c r="C1129" i="2"/>
  <c r="G1163" i="2"/>
  <c r="A925" i="2"/>
  <c r="B924" i="2"/>
  <c r="A1333" i="2"/>
  <c r="A1367" i="2"/>
  <c r="C1026" i="2"/>
  <c r="C992" i="2"/>
  <c r="C1060" i="2"/>
  <c r="G1264" i="2"/>
  <c r="B1264" i="2"/>
  <c r="C958" i="2"/>
  <c r="B958" i="2"/>
  <c r="C1196" i="2"/>
  <c r="G1094" i="2"/>
  <c r="C1094" i="2"/>
  <c r="B1094" i="2"/>
  <c r="S340" i="2" l="1"/>
  <c r="T340" i="2"/>
  <c r="O141" i="2"/>
  <c r="O176" i="2"/>
  <c r="T374" i="2"/>
  <c r="S374" i="2"/>
  <c r="F2098" i="2"/>
  <c r="F2133" i="2" s="1"/>
  <c r="F2308" i="2" s="1"/>
  <c r="S715" i="2"/>
  <c r="O750" i="2"/>
  <c r="T750" i="2" s="1"/>
  <c r="O409" i="2"/>
  <c r="S409" i="2" s="1"/>
  <c r="B312" i="2"/>
  <c r="C312" i="2"/>
  <c r="D312" i="2"/>
  <c r="E312" i="2"/>
  <c r="G312" i="2"/>
  <c r="A313" i="2"/>
  <c r="B278" i="2"/>
  <c r="C278" i="2"/>
  <c r="D278" i="2"/>
  <c r="E278" i="2"/>
  <c r="G278" i="2"/>
  <c r="A279" i="2"/>
  <c r="B244" i="2"/>
  <c r="C244" i="2"/>
  <c r="D244" i="2"/>
  <c r="E244" i="2"/>
  <c r="G244" i="2"/>
  <c r="A245" i="2"/>
  <c r="B210" i="2"/>
  <c r="C210" i="2"/>
  <c r="D210" i="2"/>
  <c r="E210" i="2"/>
  <c r="G210" i="2"/>
  <c r="Q209" i="2"/>
  <c r="P209" i="2"/>
  <c r="R174" i="2"/>
  <c r="Q175" i="2"/>
  <c r="Q176" i="2" s="1"/>
  <c r="P175" i="2"/>
  <c r="P176" i="2" s="1"/>
  <c r="O375" i="2"/>
  <c r="S375" i="2" s="1"/>
  <c r="S990" i="2"/>
  <c r="T308" i="2"/>
  <c r="I785" i="2"/>
  <c r="S1024" i="2"/>
  <c r="I410" i="2"/>
  <c r="I421" i="2" s="1"/>
  <c r="T751" i="2"/>
  <c r="S819" i="2"/>
  <c r="T1192" i="2"/>
  <c r="C1298" i="2"/>
  <c r="E1297" i="2"/>
  <c r="E1298" i="2"/>
  <c r="D1298" i="2"/>
  <c r="D1297" i="2"/>
  <c r="B823" i="2"/>
  <c r="C823" i="2"/>
  <c r="D823" i="2"/>
  <c r="E823" i="2"/>
  <c r="Q1264" i="2"/>
  <c r="P1264" i="2"/>
  <c r="Q617" i="2"/>
  <c r="P617" i="2"/>
  <c r="Q719" i="2"/>
  <c r="P719" i="2"/>
  <c r="Q412" i="2"/>
  <c r="P412" i="2"/>
  <c r="Q344" i="2"/>
  <c r="P344" i="2"/>
  <c r="Q958" i="2"/>
  <c r="P958" i="2"/>
  <c r="Q583" i="2"/>
  <c r="P583" i="2"/>
  <c r="Q515" i="2"/>
  <c r="P515" i="2"/>
  <c r="Q1060" i="2"/>
  <c r="P1060" i="2"/>
  <c r="Q481" i="2"/>
  <c r="P481" i="2"/>
  <c r="Q890" i="2"/>
  <c r="P890" i="2"/>
  <c r="Q1231" i="2"/>
  <c r="P1231" i="2"/>
  <c r="Q208" i="2"/>
  <c r="P208" i="2"/>
  <c r="Q446" i="2"/>
  <c r="P446" i="2"/>
  <c r="Q1026" i="2"/>
  <c r="P1026" i="2"/>
  <c r="Q276" i="2"/>
  <c r="P276" i="2"/>
  <c r="Q924" i="2"/>
  <c r="P924" i="2"/>
  <c r="Q753" i="2"/>
  <c r="P753" i="2"/>
  <c r="Q992" i="2"/>
  <c r="P992" i="2"/>
  <c r="Q549" i="2"/>
  <c r="P549" i="2"/>
  <c r="Q821" i="2"/>
  <c r="P821" i="2"/>
  <c r="Q1163" i="2"/>
  <c r="P1163" i="2"/>
  <c r="Q1094" i="2"/>
  <c r="P1094" i="2"/>
  <c r="Q1129" i="2"/>
  <c r="P1129" i="2"/>
  <c r="Q651" i="2"/>
  <c r="P651" i="2"/>
  <c r="Q855" i="2"/>
  <c r="P855" i="2"/>
  <c r="Q1196" i="2"/>
  <c r="P1196" i="2"/>
  <c r="Q787" i="2"/>
  <c r="P787" i="2"/>
  <c r="Q685" i="2"/>
  <c r="P685" i="2"/>
  <c r="Q378" i="2"/>
  <c r="P378" i="2"/>
  <c r="Q242" i="2"/>
  <c r="P242" i="2"/>
  <c r="Q310" i="2"/>
  <c r="P310" i="2"/>
  <c r="Q1262" i="2"/>
  <c r="P1262" i="2"/>
  <c r="D754" i="2"/>
  <c r="E754" i="2"/>
  <c r="D1197" i="2"/>
  <c r="E1197" i="2"/>
  <c r="D959" i="2"/>
  <c r="E959" i="2"/>
  <c r="D550" i="2"/>
  <c r="E550" i="2"/>
  <c r="D1130" i="2"/>
  <c r="E1130" i="2"/>
  <c r="D1164" i="2"/>
  <c r="E1164" i="2"/>
  <c r="D1232" i="2"/>
  <c r="E1232" i="2"/>
  <c r="D652" i="2"/>
  <c r="E652" i="2"/>
  <c r="D856" i="2"/>
  <c r="E856" i="2"/>
  <c r="D1265" i="2"/>
  <c r="E1265" i="2"/>
  <c r="D1061" i="2"/>
  <c r="E1061" i="2"/>
  <c r="D788" i="2"/>
  <c r="E788" i="2"/>
  <c r="D1299" i="2"/>
  <c r="E1299" i="2"/>
  <c r="D686" i="2"/>
  <c r="E686" i="2"/>
  <c r="D243" i="2"/>
  <c r="D246" i="2" s="1"/>
  <c r="E243" i="2"/>
  <c r="E246" i="2" s="1"/>
  <c r="D447" i="2"/>
  <c r="E447" i="2"/>
  <c r="D925" i="2"/>
  <c r="E925" i="2"/>
  <c r="D584" i="2"/>
  <c r="E584" i="2"/>
  <c r="D618" i="2"/>
  <c r="E618" i="2"/>
  <c r="D1095" i="2"/>
  <c r="E1095" i="2"/>
  <c r="D516" i="2"/>
  <c r="E516" i="2"/>
  <c r="D993" i="2"/>
  <c r="E993" i="2"/>
  <c r="D1027" i="2"/>
  <c r="E1027" i="2"/>
  <c r="D720" i="2"/>
  <c r="E720" i="2"/>
  <c r="D482" i="2"/>
  <c r="E482" i="2"/>
  <c r="D891" i="2"/>
  <c r="E891" i="2"/>
  <c r="D379" i="2"/>
  <c r="E379" i="2"/>
  <c r="D277" i="2"/>
  <c r="E277" i="2"/>
  <c r="D413" i="2"/>
  <c r="E413" i="2"/>
  <c r="D345" i="2"/>
  <c r="E345" i="2"/>
  <c r="D311" i="2"/>
  <c r="E311" i="2"/>
  <c r="T375" i="2"/>
  <c r="T819" i="2"/>
  <c r="T1194" i="2"/>
  <c r="S888" i="2"/>
  <c r="S956" i="2"/>
  <c r="S751" i="2"/>
  <c r="G1298" i="2"/>
  <c r="B1298" i="2"/>
  <c r="T1092" i="2"/>
  <c r="S581" i="2"/>
  <c r="S717" i="2"/>
  <c r="T615" i="2"/>
  <c r="R514" i="2"/>
  <c r="R1093" i="2"/>
  <c r="R1227" i="2"/>
  <c r="R889" i="2"/>
  <c r="R752" i="2"/>
  <c r="T717" i="2"/>
  <c r="R411" i="2"/>
  <c r="S1127" i="2"/>
  <c r="R582" i="2"/>
  <c r="T888" i="2"/>
  <c r="S922" i="2"/>
  <c r="T1127" i="2"/>
  <c r="R1228" i="2"/>
  <c r="T1228" i="2" s="1"/>
  <c r="T922" i="2"/>
  <c r="R1025" i="2"/>
  <c r="S683" i="2"/>
  <c r="R820" i="2"/>
  <c r="R241" i="2"/>
  <c r="S649" i="2"/>
  <c r="R1230" i="2"/>
  <c r="T1058" i="2"/>
  <c r="T547" i="2"/>
  <c r="F1355" i="2"/>
  <c r="F1354" i="2"/>
  <c r="F1356" i="2"/>
  <c r="T1024" i="2"/>
  <c r="T853" i="2"/>
  <c r="S1192" i="2"/>
  <c r="S1160" i="2"/>
  <c r="S308" i="2"/>
  <c r="R923" i="2"/>
  <c r="R957" i="2"/>
  <c r="T957" i="2" s="1"/>
  <c r="R377" i="2"/>
  <c r="R1059" i="2"/>
  <c r="R548" i="2"/>
  <c r="R343" i="2"/>
  <c r="T683" i="2"/>
  <c r="S1092" i="2"/>
  <c r="R616" i="2"/>
  <c r="S513" i="2"/>
  <c r="R991" i="2"/>
  <c r="R684" i="2"/>
  <c r="R480" i="2"/>
  <c r="S547" i="2"/>
  <c r="R786" i="2"/>
  <c r="T513" i="2"/>
  <c r="T649" i="2"/>
  <c r="R1162" i="2"/>
  <c r="R275" i="2"/>
  <c r="R854" i="2"/>
  <c r="R207" i="2"/>
  <c r="T956" i="2"/>
  <c r="T581" i="2"/>
  <c r="R1128" i="2"/>
  <c r="R1263" i="2"/>
  <c r="T1263" i="2" s="1"/>
  <c r="R718" i="2"/>
  <c r="R1229" i="2"/>
  <c r="R309" i="2"/>
  <c r="R445" i="2"/>
  <c r="T990" i="2"/>
  <c r="R650" i="2"/>
  <c r="B42" i="1"/>
  <c r="C1297" i="2"/>
  <c r="G1297" i="2"/>
  <c r="B1297" i="2"/>
  <c r="S1194" i="2"/>
  <c r="S615" i="2"/>
  <c r="T1160" i="2"/>
  <c r="R1161" i="2"/>
  <c r="R1195" i="2"/>
  <c r="R173" i="2"/>
  <c r="S853" i="2"/>
  <c r="G447" i="2"/>
  <c r="C447" i="2"/>
  <c r="B447" i="2"/>
  <c r="A448" i="2"/>
  <c r="A449" i="2" s="1"/>
  <c r="O582" i="2"/>
  <c r="O548" i="2"/>
  <c r="O1229" i="2"/>
  <c r="C1027" i="2"/>
  <c r="A1028" i="2"/>
  <c r="T138" i="2"/>
  <c r="S138" i="2"/>
  <c r="S141" i="2" s="1"/>
  <c r="S1058" i="2"/>
  <c r="O1059" i="2"/>
  <c r="O650" i="2"/>
  <c r="B584" i="2"/>
  <c r="G584" i="2"/>
  <c r="C584" i="2"/>
  <c r="A585" i="2"/>
  <c r="O718" i="2"/>
  <c r="O821" i="2"/>
  <c r="G379" i="2"/>
  <c r="C379" i="2"/>
  <c r="A380" i="2"/>
  <c r="A381" i="2" s="1"/>
  <c r="B379" i="2"/>
  <c r="A1233" i="2"/>
  <c r="G1232" i="2"/>
  <c r="C1232" i="2"/>
  <c r="B1232" i="2"/>
  <c r="C652" i="2"/>
  <c r="B652" i="2"/>
  <c r="G652" i="2"/>
  <c r="A653" i="2"/>
  <c r="O684" i="2"/>
  <c r="G891" i="2"/>
  <c r="C891" i="2"/>
  <c r="A892" i="2"/>
  <c r="B891" i="2"/>
  <c r="T206" i="2"/>
  <c r="S206" i="2"/>
  <c r="A1402" i="2"/>
  <c r="A1368" i="2"/>
  <c r="A1096" i="2"/>
  <c r="G1095" i="2"/>
  <c r="C788" i="2"/>
  <c r="B788" i="2"/>
  <c r="A789" i="2"/>
  <c r="A824" i="2" s="1"/>
  <c r="G788" i="2"/>
  <c r="O1093" i="2"/>
  <c r="G822" i="2"/>
  <c r="C686" i="2"/>
  <c r="A687" i="2"/>
  <c r="B686" i="2"/>
  <c r="G686" i="2"/>
  <c r="O923" i="2"/>
  <c r="B211" i="2"/>
  <c r="A1131" i="2"/>
  <c r="B1130" i="2"/>
  <c r="G1130" i="2"/>
  <c r="C1130" i="2"/>
  <c r="A483" i="2"/>
  <c r="C482" i="2"/>
  <c r="B482" i="2"/>
  <c r="G482" i="2"/>
  <c r="G413" i="2"/>
  <c r="A414" i="2"/>
  <c r="C413" i="2"/>
  <c r="B413" i="2"/>
  <c r="O991" i="2"/>
  <c r="O275" i="2"/>
  <c r="G1061" i="2"/>
  <c r="C1061" i="2"/>
  <c r="A1334" i="2"/>
  <c r="B925" i="2"/>
  <c r="A926" i="2"/>
  <c r="B1265" i="2"/>
  <c r="A1266" i="2"/>
  <c r="C1265" i="2"/>
  <c r="G993" i="2"/>
  <c r="C993" i="2"/>
  <c r="O1025" i="2"/>
  <c r="O752" i="2"/>
  <c r="S376" i="2"/>
  <c r="T376" i="2"/>
  <c r="O207" i="2"/>
  <c r="C1164" i="2"/>
  <c r="G1164" i="2"/>
  <c r="B1164" i="2"/>
  <c r="A1165" i="2"/>
  <c r="O889" i="2"/>
  <c r="O1162" i="2"/>
  <c r="O343" i="2"/>
  <c r="O241" i="2"/>
  <c r="O411" i="2"/>
  <c r="B1197" i="2"/>
  <c r="A1198" i="2"/>
  <c r="C1197" i="2"/>
  <c r="B720" i="2"/>
  <c r="A721" i="2"/>
  <c r="C720" i="2"/>
  <c r="G720" i="2"/>
  <c r="O1230" i="2"/>
  <c r="B618" i="2"/>
  <c r="G618" i="2"/>
  <c r="C618" i="2"/>
  <c r="A619" i="2"/>
  <c r="C550" i="2"/>
  <c r="B550" i="2"/>
  <c r="G550" i="2"/>
  <c r="A551" i="2"/>
  <c r="G1299" i="2"/>
  <c r="C1299" i="2"/>
  <c r="B1299" i="2"/>
  <c r="A1300" i="2"/>
  <c r="S274" i="2"/>
  <c r="T274" i="2"/>
  <c r="S342" i="2"/>
  <c r="T342" i="2"/>
  <c r="A857" i="2"/>
  <c r="C856" i="2"/>
  <c r="B856" i="2"/>
  <c r="G856" i="2"/>
  <c r="O786" i="2"/>
  <c r="B959" i="2"/>
  <c r="C959" i="2"/>
  <c r="A960" i="2"/>
  <c r="G959" i="2"/>
  <c r="G243" i="2"/>
  <c r="G246" i="2" s="1"/>
  <c r="B243" i="2"/>
  <c r="A246" i="2"/>
  <c r="C243" i="2"/>
  <c r="C246" i="2" s="1"/>
  <c r="G277" i="2"/>
  <c r="B277" i="2"/>
  <c r="C277" i="2"/>
  <c r="O1128" i="2"/>
  <c r="T240" i="2"/>
  <c r="S240" i="2"/>
  <c r="A346" i="2"/>
  <c r="G345" i="2"/>
  <c r="B345" i="2"/>
  <c r="C345" i="2"/>
  <c r="B311" i="2"/>
  <c r="C311" i="2"/>
  <c r="G311" i="2"/>
  <c r="G754" i="2"/>
  <c r="A755" i="2"/>
  <c r="B754" i="2"/>
  <c r="C754" i="2"/>
  <c r="O854" i="2"/>
  <c r="A517" i="2"/>
  <c r="C516" i="2"/>
  <c r="G516" i="2"/>
  <c r="B516" i="2"/>
  <c r="S172" i="2"/>
  <c r="T172" i="2"/>
  <c r="O309" i="2"/>
  <c r="O377" i="2"/>
  <c r="G925" i="2"/>
  <c r="C925" i="2"/>
  <c r="B1095" i="2"/>
  <c r="C1095" i="2"/>
  <c r="G1197" i="2"/>
  <c r="G1265" i="2"/>
  <c r="A1062" i="2"/>
  <c r="B1061" i="2"/>
  <c r="B993" i="2"/>
  <c r="A994" i="2"/>
  <c r="B1027" i="2"/>
  <c r="G1027" i="2"/>
  <c r="O211" i="2" l="1"/>
  <c r="T409" i="2"/>
  <c r="O479" i="2"/>
  <c r="T479" i="2" s="1"/>
  <c r="F2168" i="2"/>
  <c r="F2203" i="2" s="1"/>
  <c r="F2238" i="2" s="1"/>
  <c r="F2273" i="2" s="1"/>
  <c r="S750" i="2"/>
  <c r="O785" i="2"/>
  <c r="T785" i="2" s="1"/>
  <c r="A450" i="2"/>
  <c r="B449" i="2"/>
  <c r="C449" i="2"/>
  <c r="D449" i="2"/>
  <c r="E449" i="2"/>
  <c r="G449" i="2"/>
  <c r="O444" i="2"/>
  <c r="S444" i="2" s="1"/>
  <c r="B381" i="2"/>
  <c r="C381" i="2"/>
  <c r="D381" i="2"/>
  <c r="E381" i="2"/>
  <c r="G381" i="2"/>
  <c r="A382" i="2"/>
  <c r="B313" i="2"/>
  <c r="C313" i="2"/>
  <c r="D313" i="2"/>
  <c r="E313" i="2"/>
  <c r="G313" i="2"/>
  <c r="A314" i="2"/>
  <c r="B279" i="2"/>
  <c r="C279" i="2"/>
  <c r="D279" i="2"/>
  <c r="E279" i="2"/>
  <c r="G279" i="2"/>
  <c r="A280" i="2"/>
  <c r="B245" i="2"/>
  <c r="C245" i="2"/>
  <c r="D245" i="2"/>
  <c r="E245" i="2"/>
  <c r="G245" i="2"/>
  <c r="Q244" i="2"/>
  <c r="P244" i="2"/>
  <c r="R209" i="2"/>
  <c r="T209" i="2" s="1"/>
  <c r="R175" i="2"/>
  <c r="Q210" i="2"/>
  <c r="Q211" i="2" s="1"/>
  <c r="P210" i="2"/>
  <c r="P211" i="2" s="1"/>
  <c r="T174" i="2"/>
  <c r="S174" i="2"/>
  <c r="O410" i="2"/>
  <c r="S1195" i="2"/>
  <c r="I445" i="2"/>
  <c r="I456" i="2" s="1"/>
  <c r="I480" i="2"/>
  <c r="I491" i="2" s="1"/>
  <c r="S616" i="2"/>
  <c r="I820" i="2"/>
  <c r="C1333" i="2"/>
  <c r="E1333" i="2"/>
  <c r="S1227" i="2"/>
  <c r="D1332" i="2"/>
  <c r="D1333" i="2"/>
  <c r="E1332" i="2"/>
  <c r="B824" i="2"/>
  <c r="C824" i="2"/>
  <c r="D824" i="2"/>
  <c r="E824" i="2"/>
  <c r="Q993" i="2"/>
  <c r="P993" i="2"/>
  <c r="Q1095" i="2"/>
  <c r="P1095" i="2"/>
  <c r="Q754" i="2"/>
  <c r="P754" i="2"/>
  <c r="Q1197" i="2"/>
  <c r="P1197" i="2"/>
  <c r="Q447" i="2"/>
  <c r="P447" i="2"/>
  <c r="Q1027" i="2"/>
  <c r="P1027" i="2"/>
  <c r="Q959" i="2"/>
  <c r="P959" i="2"/>
  <c r="Q856" i="2"/>
  <c r="P856" i="2"/>
  <c r="Q618" i="2"/>
  <c r="P618" i="2"/>
  <c r="Q1164" i="2"/>
  <c r="P1164" i="2"/>
  <c r="Q1265" i="2"/>
  <c r="P1265" i="2"/>
  <c r="Q482" i="2"/>
  <c r="P482" i="2"/>
  <c r="Q1297" i="2"/>
  <c r="P1297" i="2"/>
  <c r="Q516" i="2"/>
  <c r="P516" i="2"/>
  <c r="Q1299" i="2"/>
  <c r="P1299" i="2"/>
  <c r="P720" i="2"/>
  <c r="Q720" i="2"/>
  <c r="Q925" i="2"/>
  <c r="P925" i="2"/>
  <c r="Q1130" i="2"/>
  <c r="P1130" i="2"/>
  <c r="Q788" i="2"/>
  <c r="P788" i="2"/>
  <c r="Q652" i="2"/>
  <c r="P652" i="2"/>
  <c r="Q379" i="2"/>
  <c r="P379" i="2"/>
  <c r="Q584" i="2"/>
  <c r="P584" i="2"/>
  <c r="Q1061" i="2"/>
  <c r="P1061" i="2"/>
  <c r="Q277" i="2"/>
  <c r="P277" i="2"/>
  <c r="Q311" i="2"/>
  <c r="P311" i="2"/>
  <c r="Q345" i="2"/>
  <c r="P345" i="2"/>
  <c r="Q243" i="2"/>
  <c r="P243" i="2"/>
  <c r="Q550" i="2"/>
  <c r="P550" i="2"/>
  <c r="Q413" i="2"/>
  <c r="P413" i="2"/>
  <c r="Q686" i="2"/>
  <c r="P686" i="2"/>
  <c r="Q822" i="2"/>
  <c r="P822" i="2"/>
  <c r="Q891" i="2"/>
  <c r="P891" i="2"/>
  <c r="Q1232" i="2"/>
  <c r="P1232" i="2"/>
  <c r="Q1298" i="2"/>
  <c r="P1298" i="2"/>
  <c r="D755" i="2"/>
  <c r="E755" i="2"/>
  <c r="D346" i="2"/>
  <c r="E346" i="2"/>
  <c r="D619" i="2"/>
  <c r="E619" i="2"/>
  <c r="D1334" i="2"/>
  <c r="E1334" i="2"/>
  <c r="D414" i="2"/>
  <c r="E414" i="2"/>
  <c r="D1131" i="2"/>
  <c r="E1131" i="2"/>
  <c r="D653" i="2"/>
  <c r="E653" i="2"/>
  <c r="D380" i="2"/>
  <c r="E380" i="2"/>
  <c r="D994" i="2"/>
  <c r="E994" i="2"/>
  <c r="D1062" i="2"/>
  <c r="E1062" i="2"/>
  <c r="D960" i="2"/>
  <c r="E960" i="2"/>
  <c r="D1300" i="2"/>
  <c r="E1300" i="2"/>
  <c r="D721" i="2"/>
  <c r="E721" i="2"/>
  <c r="D1198" i="2"/>
  <c r="E1198" i="2"/>
  <c r="D926" i="2"/>
  <c r="E926" i="2"/>
  <c r="D789" i="2"/>
  <c r="E789" i="2"/>
  <c r="D1233" i="2"/>
  <c r="E1233" i="2"/>
  <c r="D448" i="2"/>
  <c r="E448" i="2"/>
  <c r="D517" i="2"/>
  <c r="E517" i="2"/>
  <c r="D281" i="2"/>
  <c r="E281" i="2"/>
  <c r="D857" i="2"/>
  <c r="E857" i="2"/>
  <c r="D551" i="2"/>
  <c r="E551" i="2"/>
  <c r="D1165" i="2"/>
  <c r="E1165" i="2"/>
  <c r="D1266" i="2"/>
  <c r="E1266" i="2"/>
  <c r="D483" i="2"/>
  <c r="E483" i="2"/>
  <c r="D687" i="2"/>
  <c r="E687" i="2"/>
  <c r="D1096" i="2"/>
  <c r="E1096" i="2"/>
  <c r="D892" i="2"/>
  <c r="E892" i="2"/>
  <c r="D585" i="2"/>
  <c r="E585" i="2"/>
  <c r="D1028" i="2"/>
  <c r="E1028" i="2"/>
  <c r="T1227" i="2"/>
  <c r="S1228" i="2"/>
  <c r="G1333" i="2"/>
  <c r="B1333" i="2"/>
  <c r="R1026" i="2"/>
  <c r="R924" i="2"/>
  <c r="R481" i="2"/>
  <c r="R890" i="2"/>
  <c r="R515" i="2"/>
  <c r="R412" i="2"/>
  <c r="R1196" i="2"/>
  <c r="R685" i="2"/>
  <c r="S957" i="2"/>
  <c r="R719" i="2"/>
  <c r="T616" i="2"/>
  <c r="R1060" i="2"/>
  <c r="F1390" i="2"/>
  <c r="F1389" i="2"/>
  <c r="F1391" i="2"/>
  <c r="S1263" i="2"/>
  <c r="R787" i="2"/>
  <c r="R753" i="2"/>
  <c r="R855" i="2"/>
  <c r="R378" i="2"/>
  <c r="R446" i="2"/>
  <c r="R617" i="2"/>
  <c r="R310" i="2"/>
  <c r="R651" i="2"/>
  <c r="R344" i="2"/>
  <c r="R821" i="2"/>
  <c r="R583" i="2"/>
  <c r="R1129" i="2"/>
  <c r="R1163" i="2"/>
  <c r="R1264" i="2"/>
  <c r="R549" i="2"/>
  <c r="T1195" i="2"/>
  <c r="R992" i="2"/>
  <c r="R958" i="2"/>
  <c r="T173" i="2"/>
  <c r="R1262" i="2"/>
  <c r="B43" i="1"/>
  <c r="C1332" i="2"/>
  <c r="B1332" i="2"/>
  <c r="G1332" i="2"/>
  <c r="S173" i="2"/>
  <c r="R276" i="2"/>
  <c r="R242" i="2"/>
  <c r="R1094" i="2"/>
  <c r="R1231" i="2"/>
  <c r="R208" i="2"/>
  <c r="O412" i="2"/>
  <c r="O754" i="2"/>
  <c r="G281" i="2"/>
  <c r="C281" i="2"/>
  <c r="A281" i="2"/>
  <c r="O958" i="2"/>
  <c r="B483" i="2"/>
  <c r="C483" i="2"/>
  <c r="A484" i="2"/>
  <c r="G483" i="2"/>
  <c r="O1332" i="2"/>
  <c r="G551" i="2"/>
  <c r="B551" i="2"/>
  <c r="C551" i="2"/>
  <c r="A552" i="2"/>
  <c r="A722" i="2"/>
  <c r="B721" i="2"/>
  <c r="G721" i="2"/>
  <c r="C721" i="2"/>
  <c r="O924" i="2"/>
  <c r="O378" i="2"/>
  <c r="G823" i="2"/>
  <c r="B1233" i="2"/>
  <c r="C1233" i="2"/>
  <c r="A1234" i="2"/>
  <c r="G1233" i="2"/>
  <c r="S718" i="2"/>
  <c r="T718" i="2"/>
  <c r="O345" i="2"/>
  <c r="A620" i="2"/>
  <c r="G619" i="2"/>
  <c r="B619" i="2"/>
  <c r="C619" i="2"/>
  <c r="G1266" i="2"/>
  <c r="A1267" i="2"/>
  <c r="B1266" i="2"/>
  <c r="C1266" i="2"/>
  <c r="B1334" i="2"/>
  <c r="A1335" i="2"/>
  <c r="C1334" i="2"/>
  <c r="G1334" i="2"/>
  <c r="A1369" i="2"/>
  <c r="B380" i="2"/>
  <c r="C380" i="2"/>
  <c r="G380" i="2"/>
  <c r="T1161" i="2"/>
  <c r="S1161" i="2"/>
  <c r="O1231" i="2"/>
  <c r="O1163" i="2"/>
  <c r="G1131" i="2"/>
  <c r="B1131" i="2"/>
  <c r="A1132" i="2"/>
  <c r="C1131" i="2"/>
  <c r="S923" i="2"/>
  <c r="T923" i="2"/>
  <c r="O1026" i="2"/>
  <c r="O242" i="2"/>
  <c r="T684" i="2"/>
  <c r="S684" i="2"/>
  <c r="B585" i="2"/>
  <c r="G585" i="2"/>
  <c r="C585" i="2"/>
  <c r="A586" i="2"/>
  <c r="O481" i="2"/>
  <c r="S548" i="2"/>
  <c r="T548" i="2"/>
  <c r="T275" i="2"/>
  <c r="S275" i="2"/>
  <c r="G414" i="2"/>
  <c r="C414" i="2"/>
  <c r="A415" i="2"/>
  <c r="B414" i="2"/>
  <c r="S1093" i="2"/>
  <c r="T1093" i="2"/>
  <c r="A654" i="2"/>
  <c r="G653" i="2"/>
  <c r="C653" i="2"/>
  <c r="B653" i="2"/>
  <c r="O1060" i="2"/>
  <c r="T582" i="2"/>
  <c r="S582" i="2"/>
  <c r="G1300" i="2"/>
  <c r="A1301" i="2"/>
  <c r="C1300" i="2"/>
  <c r="B1300" i="2"/>
  <c r="S411" i="2"/>
  <c r="T411" i="2"/>
  <c r="T207" i="2"/>
  <c r="S207" i="2"/>
  <c r="G448" i="2"/>
  <c r="B448" i="2"/>
  <c r="C448" i="2"/>
  <c r="C517" i="2"/>
  <c r="G517" i="2"/>
  <c r="B517" i="2"/>
  <c r="A518" i="2"/>
  <c r="G1198" i="2"/>
  <c r="B1198" i="2"/>
  <c r="A1199" i="2"/>
  <c r="C1198" i="2"/>
  <c r="O1196" i="2"/>
  <c r="O446" i="2"/>
  <c r="O787" i="2"/>
  <c r="C1096" i="2"/>
  <c r="A1097" i="2"/>
  <c r="G1096" i="2"/>
  <c r="B1096" i="2"/>
  <c r="O1129" i="2"/>
  <c r="T1229" i="2"/>
  <c r="S1229" i="2"/>
  <c r="O1130" i="2"/>
  <c r="C1062" i="2"/>
  <c r="A1063" i="2"/>
  <c r="G1062" i="2"/>
  <c r="B1062" i="2"/>
  <c r="O1264" i="2"/>
  <c r="B246" i="2"/>
  <c r="T241" i="2"/>
  <c r="S241" i="2"/>
  <c r="C926" i="2"/>
  <c r="G926" i="2"/>
  <c r="A927" i="2"/>
  <c r="B926" i="2"/>
  <c r="O685" i="2"/>
  <c r="O753" i="2"/>
  <c r="O344" i="2"/>
  <c r="B755" i="2"/>
  <c r="A756" i="2"/>
  <c r="G755" i="2"/>
  <c r="C755" i="2"/>
  <c r="B960" i="2"/>
  <c r="A961" i="2"/>
  <c r="C960" i="2"/>
  <c r="G960" i="2"/>
  <c r="T991" i="2"/>
  <c r="S991" i="2"/>
  <c r="T1230" i="2"/>
  <c r="S1230" i="2"/>
  <c r="S1162" i="2"/>
  <c r="T1162" i="2"/>
  <c r="T1025" i="2"/>
  <c r="S1025" i="2"/>
  <c r="O583" i="2"/>
  <c r="T650" i="2"/>
  <c r="S650" i="2"/>
  <c r="T377" i="2"/>
  <c r="S377" i="2"/>
  <c r="C346" i="2"/>
  <c r="G346" i="2"/>
  <c r="B346" i="2"/>
  <c r="A347" i="2"/>
  <c r="A348" i="2" s="1"/>
  <c r="T786" i="2"/>
  <c r="S786" i="2"/>
  <c r="A790" i="2"/>
  <c r="A825" i="2" s="1"/>
  <c r="C789" i="2"/>
  <c r="B789" i="2"/>
  <c r="G789" i="2"/>
  <c r="A1403" i="2"/>
  <c r="A1437" i="2"/>
  <c r="S854" i="2"/>
  <c r="T854" i="2"/>
  <c r="O651" i="2"/>
  <c r="S343" i="2"/>
  <c r="T343" i="2"/>
  <c r="T752" i="2"/>
  <c r="S752" i="2"/>
  <c r="O719" i="2"/>
  <c r="A688" i="2"/>
  <c r="B687" i="2"/>
  <c r="C687" i="2"/>
  <c r="G687" i="2"/>
  <c r="T309" i="2"/>
  <c r="S309" i="2"/>
  <c r="T1128" i="2"/>
  <c r="S1128" i="2"/>
  <c r="B994" i="2"/>
  <c r="A995" i="2"/>
  <c r="C994" i="2"/>
  <c r="G994" i="2"/>
  <c r="O1095" i="2"/>
  <c r="S889" i="2"/>
  <c r="T889" i="2"/>
  <c r="G892" i="2"/>
  <c r="A893" i="2"/>
  <c r="C892" i="2"/>
  <c r="B892" i="2"/>
  <c r="O1232" i="2"/>
  <c r="O276" i="2"/>
  <c r="S1059" i="2"/>
  <c r="T1059" i="2"/>
  <c r="G1028" i="2"/>
  <c r="B1028" i="2"/>
  <c r="C1028" i="2"/>
  <c r="A1029" i="2"/>
  <c r="O617" i="2"/>
  <c r="B857" i="2"/>
  <c r="A858" i="2"/>
  <c r="C857" i="2"/>
  <c r="G857" i="2"/>
  <c r="O310" i="2"/>
  <c r="G1165" i="2"/>
  <c r="C1165" i="2"/>
  <c r="B1165" i="2"/>
  <c r="A1166" i="2"/>
  <c r="O1094" i="2"/>
  <c r="S479" i="2" l="1"/>
  <c r="T444" i="2"/>
  <c r="S209" i="2"/>
  <c r="S175" i="2"/>
  <c r="S176" i="2" s="1"/>
  <c r="R176" i="2"/>
  <c r="S785" i="2"/>
  <c r="O820" i="2"/>
  <c r="S820" i="2" s="1"/>
  <c r="O514" i="2"/>
  <c r="B450" i="2"/>
  <c r="C450" i="2"/>
  <c r="D450" i="2"/>
  <c r="E450" i="2"/>
  <c r="G450" i="2"/>
  <c r="A451" i="2"/>
  <c r="B382" i="2"/>
  <c r="C382" i="2"/>
  <c r="D382" i="2"/>
  <c r="E382" i="2"/>
  <c r="G382" i="2"/>
  <c r="A383" i="2"/>
  <c r="B348" i="2"/>
  <c r="C348" i="2"/>
  <c r="D348" i="2"/>
  <c r="E348" i="2"/>
  <c r="G348" i="2"/>
  <c r="A349" i="2"/>
  <c r="B314" i="2"/>
  <c r="C314" i="2"/>
  <c r="D314" i="2"/>
  <c r="E314" i="2"/>
  <c r="G314" i="2"/>
  <c r="A315" i="2"/>
  <c r="B280" i="2"/>
  <c r="C280" i="2"/>
  <c r="D280" i="2"/>
  <c r="E280" i="2"/>
  <c r="G280" i="2"/>
  <c r="Q279" i="2"/>
  <c r="P279" i="2"/>
  <c r="R244" i="2"/>
  <c r="S244" i="2" s="1"/>
  <c r="Q245" i="2"/>
  <c r="Q246" i="2" s="1"/>
  <c r="P245" i="2"/>
  <c r="P246" i="2" s="1"/>
  <c r="T244" i="2"/>
  <c r="T175" i="2"/>
  <c r="R210" i="2"/>
  <c r="O445" i="2"/>
  <c r="S445" i="2" s="1"/>
  <c r="O480" i="2"/>
  <c r="S480" i="2" s="1"/>
  <c r="S410" i="2"/>
  <c r="T410" i="2"/>
  <c r="S821" i="2"/>
  <c r="I855" i="2"/>
  <c r="I515" i="2"/>
  <c r="I526" i="2" s="1"/>
  <c r="I890" i="2"/>
  <c r="D1367" i="2"/>
  <c r="D1368" i="2"/>
  <c r="E1368" i="2"/>
  <c r="E1367" i="2"/>
  <c r="B825" i="2"/>
  <c r="C825" i="2"/>
  <c r="D825" i="2"/>
  <c r="E825" i="2"/>
  <c r="Q687" i="2"/>
  <c r="P687" i="2"/>
  <c r="Q960" i="2"/>
  <c r="P960" i="2"/>
  <c r="Q926" i="2"/>
  <c r="P926" i="2"/>
  <c r="Q448" i="2"/>
  <c r="P448" i="2"/>
  <c r="Q380" i="2"/>
  <c r="P380" i="2"/>
  <c r="Q823" i="2"/>
  <c r="P823" i="2"/>
  <c r="Q551" i="2"/>
  <c r="P551" i="2"/>
  <c r="Q483" i="2"/>
  <c r="P483" i="2"/>
  <c r="Q857" i="2"/>
  <c r="P857" i="2"/>
  <c r="Q892" i="2"/>
  <c r="P892" i="2"/>
  <c r="Q1300" i="2"/>
  <c r="P1300" i="2"/>
  <c r="Q1131" i="2"/>
  <c r="P1131" i="2"/>
  <c r="Q312" i="2"/>
  <c r="P312" i="2"/>
  <c r="Q1028" i="2"/>
  <c r="P1028" i="2"/>
  <c r="P755" i="2"/>
  <c r="Q755" i="2"/>
  <c r="Q1096" i="2"/>
  <c r="P1096" i="2"/>
  <c r="Q585" i="2"/>
  <c r="P585" i="2"/>
  <c r="Q1266" i="2"/>
  <c r="P1266" i="2"/>
  <c r="Q278" i="2"/>
  <c r="P278" i="2"/>
  <c r="Q1333" i="2"/>
  <c r="P1333" i="2"/>
  <c r="Q1165" i="2"/>
  <c r="P1165" i="2"/>
  <c r="Q994" i="2"/>
  <c r="P994" i="2"/>
  <c r="Q789" i="2"/>
  <c r="P789" i="2"/>
  <c r="Q346" i="2"/>
  <c r="P346" i="2"/>
  <c r="Q1062" i="2"/>
  <c r="P1062" i="2"/>
  <c r="Q1198" i="2"/>
  <c r="P1198" i="2"/>
  <c r="Q517" i="2"/>
  <c r="P517" i="2"/>
  <c r="Q653" i="2"/>
  <c r="P653" i="2"/>
  <c r="Q414" i="2"/>
  <c r="P414" i="2"/>
  <c r="Q1334" i="2"/>
  <c r="P1334" i="2"/>
  <c r="Q619" i="2"/>
  <c r="P619" i="2"/>
  <c r="Q1233" i="2"/>
  <c r="P1233" i="2"/>
  <c r="Q721" i="2"/>
  <c r="P721" i="2"/>
  <c r="P1332" i="2"/>
  <c r="Q1332" i="2"/>
  <c r="R1298" i="2"/>
  <c r="T1298" i="2" s="1"/>
  <c r="D756" i="2"/>
  <c r="E756" i="2"/>
  <c r="D1301" i="2"/>
  <c r="E1301" i="2"/>
  <c r="D1166" i="2"/>
  <c r="E1166" i="2"/>
  <c r="D995" i="2"/>
  <c r="E995" i="2"/>
  <c r="D688" i="2"/>
  <c r="E688" i="2"/>
  <c r="D790" i="2"/>
  <c r="E790" i="2"/>
  <c r="D347" i="2"/>
  <c r="E347" i="2"/>
  <c r="D927" i="2"/>
  <c r="E927" i="2"/>
  <c r="D1063" i="2"/>
  <c r="E1063" i="2"/>
  <c r="D1199" i="2"/>
  <c r="E1199" i="2"/>
  <c r="D518" i="2"/>
  <c r="E518" i="2"/>
  <c r="D586" i="2"/>
  <c r="E586" i="2"/>
  <c r="D1369" i="2"/>
  <c r="E1369" i="2"/>
  <c r="D1335" i="2"/>
  <c r="E1335" i="2"/>
  <c r="D620" i="2"/>
  <c r="E620" i="2"/>
  <c r="D552" i="2"/>
  <c r="E552" i="2"/>
  <c r="D484" i="2"/>
  <c r="E484" i="2"/>
  <c r="A1472" i="2"/>
  <c r="D961" i="2"/>
  <c r="E961" i="2"/>
  <c r="D654" i="2"/>
  <c r="E654" i="2"/>
  <c r="D1267" i="2"/>
  <c r="E1267" i="2"/>
  <c r="D858" i="2"/>
  <c r="E858" i="2"/>
  <c r="D1029" i="2"/>
  <c r="E1029" i="2"/>
  <c r="D893" i="2"/>
  <c r="E893" i="2"/>
  <c r="D1097" i="2"/>
  <c r="E1097" i="2"/>
  <c r="D415" i="2"/>
  <c r="E415" i="2"/>
  <c r="D1132" i="2"/>
  <c r="E1132" i="2"/>
  <c r="D1234" i="2"/>
  <c r="E1234" i="2"/>
  <c r="D722" i="2"/>
  <c r="E722" i="2"/>
  <c r="D316" i="2"/>
  <c r="E316" i="2"/>
  <c r="G1368" i="2"/>
  <c r="C1368" i="2"/>
  <c r="B1368" i="2"/>
  <c r="R891" i="2"/>
  <c r="R1197" i="2"/>
  <c r="R822" i="2"/>
  <c r="R345" i="2"/>
  <c r="R1061" i="2"/>
  <c r="R413" i="2"/>
  <c r="R652" i="2"/>
  <c r="R311" i="2"/>
  <c r="R720" i="2"/>
  <c r="R856" i="2"/>
  <c r="R993" i="2"/>
  <c r="R1297" i="2"/>
  <c r="R754" i="2"/>
  <c r="R1164" i="2"/>
  <c r="R584" i="2"/>
  <c r="R1299" i="2"/>
  <c r="F1425" i="2"/>
  <c r="F1424" i="2"/>
  <c r="F1426" i="2"/>
  <c r="R925" i="2"/>
  <c r="R447" i="2"/>
  <c r="R1232" i="2"/>
  <c r="R516" i="2"/>
  <c r="T821" i="2"/>
  <c r="R1027" i="2"/>
  <c r="R788" i="2"/>
  <c r="R277" i="2"/>
  <c r="R482" i="2"/>
  <c r="T1262" i="2"/>
  <c r="S1262" i="2"/>
  <c r="R379" i="2"/>
  <c r="R618" i="2"/>
  <c r="R550" i="2"/>
  <c r="R959" i="2"/>
  <c r="R686" i="2"/>
  <c r="B44" i="1"/>
  <c r="G1367" i="2"/>
  <c r="C1367" i="2"/>
  <c r="B1367" i="2"/>
  <c r="R1095" i="2"/>
  <c r="R1130" i="2"/>
  <c r="R243" i="2"/>
  <c r="R1265" i="2"/>
  <c r="G1132" i="2"/>
  <c r="A1133" i="2"/>
  <c r="C1132" i="2"/>
  <c r="B1132" i="2"/>
  <c r="O311" i="2"/>
  <c r="B858" i="2"/>
  <c r="A859" i="2"/>
  <c r="C858" i="2"/>
  <c r="G858" i="2"/>
  <c r="G995" i="2"/>
  <c r="B995" i="2"/>
  <c r="C995" i="2"/>
  <c r="A996" i="2"/>
  <c r="O788" i="2"/>
  <c r="T1094" i="2"/>
  <c r="S1094" i="2"/>
  <c r="O1299" i="2"/>
  <c r="O822" i="2"/>
  <c r="B1199" i="2"/>
  <c r="A1200" i="2"/>
  <c r="C1199" i="2"/>
  <c r="G1199" i="2"/>
  <c r="O1265" i="2"/>
  <c r="O959" i="2"/>
  <c r="O516" i="2"/>
  <c r="S924" i="2"/>
  <c r="T924" i="2"/>
  <c r="C484" i="2"/>
  <c r="B484" i="2"/>
  <c r="A485" i="2"/>
  <c r="G484" i="2"/>
  <c r="O994" i="2"/>
  <c r="C1267" i="2"/>
  <c r="B1267" i="2"/>
  <c r="G1267" i="2"/>
  <c r="A1268" i="2"/>
  <c r="C1166" i="2"/>
  <c r="B1166" i="2"/>
  <c r="A1167" i="2"/>
  <c r="G1166" i="2"/>
  <c r="G893" i="2"/>
  <c r="A894" i="2"/>
  <c r="C893" i="2"/>
  <c r="B893" i="2"/>
  <c r="A1438" i="2"/>
  <c r="S276" i="2"/>
  <c r="T276" i="2"/>
  <c r="O891" i="2"/>
  <c r="O686" i="2"/>
  <c r="A962" i="2"/>
  <c r="C961" i="2"/>
  <c r="B961" i="2"/>
  <c r="G961" i="2"/>
  <c r="A757" i="2"/>
  <c r="C756" i="2"/>
  <c r="G756" i="2"/>
  <c r="B756" i="2"/>
  <c r="T753" i="2"/>
  <c r="S753" i="2"/>
  <c r="O1197" i="2"/>
  <c r="T1060" i="2"/>
  <c r="S1060" i="2"/>
  <c r="T1026" i="2"/>
  <c r="S1026" i="2"/>
  <c r="G824" i="2"/>
  <c r="A1098" i="2"/>
  <c r="B1097" i="2"/>
  <c r="C1097" i="2"/>
  <c r="G1097" i="2"/>
  <c r="A416" i="2"/>
  <c r="A417" i="2" s="1"/>
  <c r="G415" i="2"/>
  <c r="C415" i="2"/>
  <c r="B415" i="2"/>
  <c r="S992" i="2"/>
  <c r="T992" i="2"/>
  <c r="A1336" i="2"/>
  <c r="C1335" i="2"/>
  <c r="G1335" i="2"/>
  <c r="B1335" i="2"/>
  <c r="O1061" i="2"/>
  <c r="G1029" i="2"/>
  <c r="A1030" i="2"/>
  <c r="B1029" i="2"/>
  <c r="C1029" i="2"/>
  <c r="T344" i="2"/>
  <c r="S344" i="2"/>
  <c r="O447" i="2"/>
  <c r="T242" i="2"/>
  <c r="S242" i="2"/>
  <c r="O380" i="2"/>
  <c r="G722" i="2"/>
  <c r="A723" i="2"/>
  <c r="C722" i="2"/>
  <c r="B722" i="2"/>
  <c r="O1164" i="2"/>
  <c r="B281" i="2"/>
  <c r="O652" i="2"/>
  <c r="O277" i="2"/>
  <c r="O993" i="2"/>
  <c r="A928" i="2"/>
  <c r="B927" i="2"/>
  <c r="C927" i="2"/>
  <c r="G927" i="2"/>
  <c r="S208" i="2"/>
  <c r="T208" i="2"/>
  <c r="T1163" i="2"/>
  <c r="S1163" i="2"/>
  <c r="C620" i="2"/>
  <c r="G620" i="2"/>
  <c r="B620" i="2"/>
  <c r="A621" i="2"/>
  <c r="A1235" i="2"/>
  <c r="G1234" i="2"/>
  <c r="C1234" i="2"/>
  <c r="B1234" i="2"/>
  <c r="C1301" i="2"/>
  <c r="A1302" i="2"/>
  <c r="B1301" i="2"/>
  <c r="G1301" i="2"/>
  <c r="C552" i="2"/>
  <c r="G552" i="2"/>
  <c r="A553" i="2"/>
  <c r="B552" i="2"/>
  <c r="O379" i="2"/>
  <c r="S685" i="2"/>
  <c r="T685" i="2"/>
  <c r="O856" i="2"/>
  <c r="G347" i="2"/>
  <c r="B347" i="2"/>
  <c r="C347" i="2"/>
  <c r="S617" i="2"/>
  <c r="T617" i="2"/>
  <c r="A1404" i="2"/>
  <c r="S310" i="2"/>
  <c r="T310" i="2"/>
  <c r="G688" i="2"/>
  <c r="B688" i="2"/>
  <c r="A689" i="2"/>
  <c r="C688" i="2"/>
  <c r="O1368" i="2"/>
  <c r="T787" i="2"/>
  <c r="S787" i="2"/>
  <c r="S719" i="2"/>
  <c r="T719" i="2"/>
  <c r="S651" i="2"/>
  <c r="T651" i="2"/>
  <c r="S583" i="2"/>
  <c r="T583" i="2"/>
  <c r="O243" i="2"/>
  <c r="T446" i="2"/>
  <c r="S446" i="2"/>
  <c r="O618" i="2"/>
  <c r="T481" i="2"/>
  <c r="S481" i="2"/>
  <c r="O1367" i="2"/>
  <c r="G1063" i="2"/>
  <c r="C1063" i="2"/>
  <c r="A1064" i="2"/>
  <c r="B1063" i="2"/>
  <c r="T1196" i="2"/>
  <c r="S1196" i="2"/>
  <c r="G654" i="2"/>
  <c r="C654" i="2"/>
  <c r="B654" i="2"/>
  <c r="A655" i="2"/>
  <c r="O1333" i="2"/>
  <c r="B586" i="2"/>
  <c r="C586" i="2"/>
  <c r="A587" i="2"/>
  <c r="G586" i="2"/>
  <c r="T1231" i="2"/>
  <c r="S1231" i="2"/>
  <c r="B1369" i="2"/>
  <c r="G1369" i="2"/>
  <c r="A1370" i="2"/>
  <c r="C1369" i="2"/>
  <c r="O413" i="2"/>
  <c r="O551" i="2"/>
  <c r="G316" i="2"/>
  <c r="A316" i="2"/>
  <c r="C316" i="2"/>
  <c r="T412" i="2"/>
  <c r="S412" i="2"/>
  <c r="B790" i="2"/>
  <c r="G790" i="2"/>
  <c r="A791" i="2"/>
  <c r="A826" i="2" s="1"/>
  <c r="C790" i="2"/>
  <c r="O482" i="2"/>
  <c r="T1264" i="2"/>
  <c r="S1264" i="2"/>
  <c r="O720" i="2"/>
  <c r="T1129" i="2"/>
  <c r="S1129" i="2"/>
  <c r="A519" i="2"/>
  <c r="C518" i="2"/>
  <c r="G518" i="2"/>
  <c r="B518" i="2"/>
  <c r="T378" i="2"/>
  <c r="S378" i="2"/>
  <c r="T958" i="2"/>
  <c r="S958" i="2"/>
  <c r="T445" i="2" l="1"/>
  <c r="T820" i="2"/>
  <c r="O246" i="2"/>
  <c r="R211" i="2"/>
  <c r="T514" i="2"/>
  <c r="T176" i="2"/>
  <c r="S514" i="2"/>
  <c r="O890" i="2"/>
  <c r="S890" i="2" s="1"/>
  <c r="O549" i="2"/>
  <c r="T549" i="2" s="1"/>
  <c r="B451" i="2"/>
  <c r="C451" i="2"/>
  <c r="D451" i="2"/>
  <c r="E451" i="2"/>
  <c r="G451" i="2"/>
  <c r="A452" i="2"/>
  <c r="B417" i="2"/>
  <c r="C417" i="2"/>
  <c r="D417" i="2"/>
  <c r="E417" i="2"/>
  <c r="G417" i="2"/>
  <c r="A418" i="2"/>
  <c r="B383" i="2"/>
  <c r="C383" i="2"/>
  <c r="D383" i="2"/>
  <c r="E383" i="2"/>
  <c r="G383" i="2"/>
  <c r="A384" i="2"/>
  <c r="B349" i="2"/>
  <c r="C349" i="2"/>
  <c r="D349" i="2"/>
  <c r="E349" i="2"/>
  <c r="G349" i="2"/>
  <c r="A350" i="2"/>
  <c r="B315" i="2"/>
  <c r="C315" i="2"/>
  <c r="D315" i="2"/>
  <c r="E315" i="2"/>
  <c r="G315" i="2"/>
  <c r="Q314" i="2"/>
  <c r="P314" i="2"/>
  <c r="Q280" i="2"/>
  <c r="Q281" i="2" s="1"/>
  <c r="P280" i="2"/>
  <c r="P281" i="2" s="1"/>
  <c r="R245" i="2"/>
  <c r="R246" i="2" s="1"/>
  <c r="R279" i="2"/>
  <c r="T210" i="2"/>
  <c r="S210" i="2"/>
  <c r="O855" i="2"/>
  <c r="T855" i="2" s="1"/>
  <c r="T480" i="2"/>
  <c r="O515" i="2"/>
  <c r="T515" i="2" s="1"/>
  <c r="T1130" i="2"/>
  <c r="T1095" i="2"/>
  <c r="I550" i="2"/>
  <c r="O550" i="2" s="1"/>
  <c r="S1232" i="2"/>
  <c r="I925" i="2"/>
  <c r="S754" i="2"/>
  <c r="S345" i="2"/>
  <c r="E1403" i="2"/>
  <c r="D1403" i="2"/>
  <c r="T1297" i="2"/>
  <c r="C1403" i="2"/>
  <c r="E1402" i="2"/>
  <c r="D1402" i="2"/>
  <c r="B826" i="2"/>
  <c r="C826" i="2"/>
  <c r="D826" i="2"/>
  <c r="E826" i="2"/>
  <c r="S1298" i="2"/>
  <c r="Q1367" i="2"/>
  <c r="P1367" i="2"/>
  <c r="Q313" i="2"/>
  <c r="P313" i="2"/>
  <c r="Q552" i="2"/>
  <c r="P552" i="2"/>
  <c r="Q824" i="2"/>
  <c r="P824" i="2"/>
  <c r="Q893" i="2"/>
  <c r="P893" i="2"/>
  <c r="Q1166" i="2"/>
  <c r="P1166" i="2"/>
  <c r="Q484" i="2"/>
  <c r="P484" i="2"/>
  <c r="Q995" i="2"/>
  <c r="P995" i="2"/>
  <c r="Q347" i="2"/>
  <c r="P347" i="2"/>
  <c r="Q1335" i="2"/>
  <c r="P1335" i="2"/>
  <c r="Q961" i="2"/>
  <c r="P961" i="2"/>
  <c r="Q1267" i="2"/>
  <c r="P1267" i="2"/>
  <c r="Q1199" i="2"/>
  <c r="P1199" i="2"/>
  <c r="Q1132" i="2"/>
  <c r="P1132" i="2"/>
  <c r="Q1063" i="2"/>
  <c r="P1063" i="2"/>
  <c r="Q449" i="2"/>
  <c r="P449" i="2"/>
  <c r="Q620" i="2"/>
  <c r="P620" i="2"/>
  <c r="Q927" i="2"/>
  <c r="P927" i="2"/>
  <c r="Q381" i="2"/>
  <c r="P381" i="2"/>
  <c r="Q518" i="2"/>
  <c r="P518" i="2"/>
  <c r="Q790" i="2"/>
  <c r="P790" i="2"/>
  <c r="Q1369" i="2"/>
  <c r="P1369" i="2"/>
  <c r="Q586" i="2"/>
  <c r="P586" i="2"/>
  <c r="Q654" i="2"/>
  <c r="P654" i="2"/>
  <c r="Q688" i="2"/>
  <c r="P688" i="2"/>
  <c r="Q1301" i="2"/>
  <c r="P1301" i="2"/>
  <c r="Q1234" i="2"/>
  <c r="P1234" i="2"/>
  <c r="Q722" i="2"/>
  <c r="P722" i="2"/>
  <c r="Q1029" i="2"/>
  <c r="P1029" i="2"/>
  <c r="Q415" i="2"/>
  <c r="P415" i="2"/>
  <c r="Q1097" i="2"/>
  <c r="P1097" i="2"/>
  <c r="Q756" i="2"/>
  <c r="P756" i="2"/>
  <c r="Q858" i="2"/>
  <c r="P858" i="2"/>
  <c r="Q1368" i="2"/>
  <c r="P1368" i="2"/>
  <c r="D1235" i="2"/>
  <c r="E1235" i="2"/>
  <c r="D928" i="2"/>
  <c r="E928" i="2"/>
  <c r="D859" i="2"/>
  <c r="E859" i="2"/>
  <c r="D655" i="2"/>
  <c r="E655" i="2"/>
  <c r="D689" i="2"/>
  <c r="E689" i="2"/>
  <c r="D1302" i="2"/>
  <c r="E1302" i="2"/>
  <c r="D621" i="2"/>
  <c r="E621" i="2"/>
  <c r="D416" i="2"/>
  <c r="E416" i="2"/>
  <c r="D757" i="2"/>
  <c r="E757" i="2"/>
  <c r="D894" i="2"/>
  <c r="E894" i="2"/>
  <c r="D1167" i="2"/>
  <c r="E1167" i="2"/>
  <c r="D1268" i="2"/>
  <c r="E1268" i="2"/>
  <c r="D485" i="2"/>
  <c r="E485" i="2"/>
  <c r="D519" i="2"/>
  <c r="E519" i="2"/>
  <c r="D1064" i="2"/>
  <c r="E1064" i="2"/>
  <c r="D553" i="2"/>
  <c r="E553" i="2"/>
  <c r="D723" i="2"/>
  <c r="E723" i="2"/>
  <c r="D1030" i="2"/>
  <c r="E1030" i="2"/>
  <c r="D1098" i="2"/>
  <c r="E1098" i="2"/>
  <c r="D962" i="2"/>
  <c r="E962" i="2"/>
  <c r="D1200" i="2"/>
  <c r="E1200" i="2"/>
  <c r="D1133" i="2"/>
  <c r="E1133" i="2"/>
  <c r="D791" i="2"/>
  <c r="E791" i="2"/>
  <c r="D1370" i="2"/>
  <c r="E1370" i="2"/>
  <c r="D587" i="2"/>
  <c r="E587" i="2"/>
  <c r="D1404" i="2"/>
  <c r="E1404" i="2"/>
  <c r="D351" i="2"/>
  <c r="E351" i="2"/>
  <c r="D1336" i="2"/>
  <c r="E1336" i="2"/>
  <c r="D996" i="2"/>
  <c r="E996" i="2"/>
  <c r="T345" i="2"/>
  <c r="B1403" i="2"/>
  <c r="G1403" i="2"/>
  <c r="R380" i="2"/>
  <c r="T754" i="2"/>
  <c r="S1297" i="2"/>
  <c r="R1131" i="2"/>
  <c r="R892" i="2"/>
  <c r="S1095" i="2"/>
  <c r="R857" i="2"/>
  <c r="R926" i="2"/>
  <c r="R823" i="2"/>
  <c r="R619" i="2"/>
  <c r="R960" i="2"/>
  <c r="I960" i="2" s="1"/>
  <c r="T1232" i="2"/>
  <c r="R517" i="2"/>
  <c r="R1233" i="2"/>
  <c r="R1334" i="2"/>
  <c r="R721" i="2"/>
  <c r="S1130" i="2"/>
  <c r="R414" i="2"/>
  <c r="F1460" i="2"/>
  <c r="F1459" i="2"/>
  <c r="F1461" i="2"/>
  <c r="R1198" i="2"/>
  <c r="R551" i="2"/>
  <c r="R448" i="2"/>
  <c r="R585" i="2"/>
  <c r="R653" i="2"/>
  <c r="R346" i="2"/>
  <c r="R789" i="2"/>
  <c r="R483" i="2"/>
  <c r="R1266" i="2"/>
  <c r="R1332" i="2"/>
  <c r="R1062" i="2"/>
  <c r="R994" i="2"/>
  <c r="R1096" i="2"/>
  <c r="B45" i="1"/>
  <c r="C1402" i="2"/>
  <c r="G1402" i="2"/>
  <c r="B1402" i="2"/>
  <c r="R1028" i="2"/>
  <c r="R687" i="2"/>
  <c r="R312" i="2"/>
  <c r="R755" i="2"/>
  <c r="R1165" i="2"/>
  <c r="R278" i="2"/>
  <c r="R1333" i="2"/>
  <c r="S1333" i="2" s="1"/>
  <c r="R1300" i="2"/>
  <c r="O1266" i="2"/>
  <c r="G689" i="2"/>
  <c r="B689" i="2"/>
  <c r="A690" i="2"/>
  <c r="C689" i="2"/>
  <c r="S1197" i="2"/>
  <c r="T1197" i="2"/>
  <c r="O517" i="2"/>
  <c r="C859" i="2"/>
  <c r="B859" i="2"/>
  <c r="A860" i="2"/>
  <c r="G859" i="2"/>
  <c r="G587" i="2"/>
  <c r="A588" i="2"/>
  <c r="B587" i="2"/>
  <c r="C587" i="2"/>
  <c r="T277" i="2"/>
  <c r="S277" i="2"/>
  <c r="S1164" i="2"/>
  <c r="T1164" i="2"/>
  <c r="A1337" i="2"/>
  <c r="C1336" i="2"/>
  <c r="B1336" i="2"/>
  <c r="G1336" i="2"/>
  <c r="A895" i="2"/>
  <c r="B894" i="2"/>
  <c r="G894" i="2"/>
  <c r="C894" i="2"/>
  <c r="G1167" i="2"/>
  <c r="C1167" i="2"/>
  <c r="A1168" i="2"/>
  <c r="B1167" i="2"/>
  <c r="O1096" i="2"/>
  <c r="T788" i="2"/>
  <c r="S788" i="2"/>
  <c r="O858" i="2"/>
  <c r="O823" i="2"/>
  <c r="A1065" i="2"/>
  <c r="C1064" i="2"/>
  <c r="G1064" i="2"/>
  <c r="B1064" i="2"/>
  <c r="T856" i="2"/>
  <c r="S856" i="2"/>
  <c r="O312" i="2"/>
  <c r="S720" i="2"/>
  <c r="T720" i="2"/>
  <c r="O1131" i="2"/>
  <c r="C655" i="2"/>
  <c r="B655" i="2"/>
  <c r="G655" i="2"/>
  <c r="A656" i="2"/>
  <c r="O892" i="2"/>
  <c r="T618" i="2"/>
  <c r="S618" i="2"/>
  <c r="T652" i="2"/>
  <c r="S652" i="2"/>
  <c r="O687" i="2"/>
  <c r="S1027" i="2"/>
  <c r="T1027" i="2"/>
  <c r="B962" i="2"/>
  <c r="A963" i="2"/>
  <c r="C962" i="2"/>
  <c r="G962" i="2"/>
  <c r="O1166" i="2"/>
  <c r="S516" i="2"/>
  <c r="T516" i="2"/>
  <c r="G996" i="2"/>
  <c r="C996" i="2"/>
  <c r="A997" i="2"/>
  <c r="B996" i="2"/>
  <c r="S311" i="2"/>
  <c r="T311" i="2"/>
  <c r="B416" i="2"/>
  <c r="G416" i="2"/>
  <c r="C416" i="2"/>
  <c r="G825" i="2"/>
  <c r="S686" i="2"/>
  <c r="T686" i="2"/>
  <c r="A1473" i="2"/>
  <c r="A1507" i="2"/>
  <c r="S959" i="2"/>
  <c r="T959" i="2"/>
  <c r="O722" i="2"/>
  <c r="S891" i="2"/>
  <c r="T891" i="2"/>
  <c r="C1268" i="2"/>
  <c r="B1268" i="2"/>
  <c r="A1269" i="2"/>
  <c r="G1268" i="2"/>
  <c r="T1265" i="2"/>
  <c r="S1265" i="2"/>
  <c r="S482" i="2"/>
  <c r="T482" i="2"/>
  <c r="G1370" i="2"/>
  <c r="A1371" i="2"/>
  <c r="C1370" i="2"/>
  <c r="B1370" i="2"/>
  <c r="O1062" i="2"/>
  <c r="O346" i="2"/>
  <c r="O1234" i="2"/>
  <c r="O789" i="2"/>
  <c r="O1300" i="2"/>
  <c r="B1030" i="2"/>
  <c r="A1031" i="2"/>
  <c r="G1030" i="2"/>
  <c r="C1030" i="2"/>
  <c r="T1061" i="2"/>
  <c r="S1061" i="2"/>
  <c r="O1402" i="2"/>
  <c r="O1028" i="2"/>
  <c r="O278" i="2"/>
  <c r="A724" i="2"/>
  <c r="C723" i="2"/>
  <c r="G723" i="2"/>
  <c r="B723" i="2"/>
  <c r="B791" i="2"/>
  <c r="G791" i="2"/>
  <c r="C791" i="2"/>
  <c r="A792" i="2"/>
  <c r="A827" i="2" s="1"/>
  <c r="O1233" i="2"/>
  <c r="S447" i="2"/>
  <c r="T447" i="2"/>
  <c r="A1439" i="2"/>
  <c r="O1267" i="2"/>
  <c r="O1165" i="2"/>
  <c r="C1302" i="2"/>
  <c r="A1303" i="2"/>
  <c r="B1302" i="2"/>
  <c r="G1302" i="2"/>
  <c r="O1334" i="2"/>
  <c r="O653" i="2"/>
  <c r="O926" i="2"/>
  <c r="O483" i="2"/>
  <c r="A758" i="2"/>
  <c r="G757" i="2"/>
  <c r="C757" i="2"/>
  <c r="B757" i="2"/>
  <c r="A486" i="2"/>
  <c r="B485" i="2"/>
  <c r="C485" i="2"/>
  <c r="G485" i="2"/>
  <c r="O414" i="2"/>
  <c r="S822" i="2"/>
  <c r="T822" i="2"/>
  <c r="C1133" i="2"/>
  <c r="B1133" i="2"/>
  <c r="A1134" i="2"/>
  <c r="G1133" i="2"/>
  <c r="B316" i="2"/>
  <c r="T413" i="2"/>
  <c r="S413" i="2"/>
  <c r="T243" i="2"/>
  <c r="S243" i="2"/>
  <c r="T246" i="2"/>
  <c r="A520" i="2"/>
  <c r="C519" i="2"/>
  <c r="G519" i="2"/>
  <c r="B519" i="2"/>
  <c r="O755" i="2"/>
  <c r="S379" i="2"/>
  <c r="T379" i="2"/>
  <c r="B928" i="2"/>
  <c r="G928" i="2"/>
  <c r="C928" i="2"/>
  <c r="A929" i="2"/>
  <c r="O721" i="2"/>
  <c r="B1098" i="2"/>
  <c r="A1099" i="2"/>
  <c r="C1098" i="2"/>
  <c r="G1098" i="2"/>
  <c r="O857" i="2"/>
  <c r="C1404" i="2"/>
  <c r="A1405" i="2"/>
  <c r="G1404" i="2"/>
  <c r="B1404" i="2"/>
  <c r="C351" i="2"/>
  <c r="A351" i="2"/>
  <c r="G351" i="2"/>
  <c r="A1236" i="2"/>
  <c r="A1237" i="2" s="1"/>
  <c r="C1235" i="2"/>
  <c r="G1235" i="2"/>
  <c r="B1235" i="2"/>
  <c r="O1198" i="2"/>
  <c r="G1200" i="2"/>
  <c r="C1200" i="2"/>
  <c r="B1200" i="2"/>
  <c r="A1201" i="2"/>
  <c r="T1299" i="2"/>
  <c r="S1299" i="2"/>
  <c r="B553" i="2"/>
  <c r="G553" i="2"/>
  <c r="C553" i="2"/>
  <c r="A554" i="2"/>
  <c r="O448" i="2"/>
  <c r="B621" i="2"/>
  <c r="C621" i="2"/>
  <c r="G621" i="2"/>
  <c r="A622" i="2"/>
  <c r="S993" i="2"/>
  <c r="T993" i="2"/>
  <c r="T245" i="2" l="1"/>
  <c r="T890" i="2"/>
  <c r="O316" i="2"/>
  <c r="O281" i="2"/>
  <c r="I561" i="2"/>
  <c r="S211" i="2"/>
  <c r="T211" i="2"/>
  <c r="S549" i="2"/>
  <c r="S245" i="2"/>
  <c r="S246" i="2" s="1"/>
  <c r="O925" i="2"/>
  <c r="T925" i="2" s="1"/>
  <c r="O584" i="2"/>
  <c r="B452" i="2"/>
  <c r="C452" i="2"/>
  <c r="D452" i="2"/>
  <c r="E452" i="2"/>
  <c r="G452" i="2"/>
  <c r="A453" i="2"/>
  <c r="B418" i="2"/>
  <c r="C418" i="2"/>
  <c r="D418" i="2"/>
  <c r="E418" i="2"/>
  <c r="G418" i="2"/>
  <c r="A419" i="2"/>
  <c r="B384" i="2"/>
  <c r="C384" i="2"/>
  <c r="D384" i="2"/>
  <c r="E384" i="2"/>
  <c r="G384" i="2"/>
  <c r="A385" i="2"/>
  <c r="B350" i="2"/>
  <c r="C350" i="2"/>
  <c r="D350" i="2"/>
  <c r="E350" i="2"/>
  <c r="G350" i="2"/>
  <c r="Q349" i="2"/>
  <c r="P349" i="2"/>
  <c r="R314" i="2"/>
  <c r="T314" i="2" s="1"/>
  <c r="Q315" i="2"/>
  <c r="Q316" i="2" s="1"/>
  <c r="P315" i="2"/>
  <c r="P316" i="2" s="1"/>
  <c r="T279" i="2"/>
  <c r="S279" i="2"/>
  <c r="R280" i="2"/>
  <c r="S550" i="2"/>
  <c r="T550" i="2"/>
  <c r="S855" i="2"/>
  <c r="R654" i="2"/>
  <c r="S515" i="2"/>
  <c r="S994" i="2"/>
  <c r="I585" i="2"/>
  <c r="O585" i="2" s="1"/>
  <c r="T380" i="2"/>
  <c r="E1437" i="2"/>
  <c r="D1438" i="2"/>
  <c r="E1438" i="2"/>
  <c r="S925" i="2"/>
  <c r="D1437" i="2"/>
  <c r="O960" i="2"/>
  <c r="G1237" i="2"/>
  <c r="A1238" i="2"/>
  <c r="A1239" i="2" s="1"/>
  <c r="A1240" i="2" s="1"/>
  <c r="A1241" i="2" s="1"/>
  <c r="A1242" i="2" s="1"/>
  <c r="A1243" i="2" s="1"/>
  <c r="A1244" i="2" s="1"/>
  <c r="A1245" i="2" s="1"/>
  <c r="A1246" i="2" s="1"/>
  <c r="A1247" i="2" s="1"/>
  <c r="A1248" i="2" s="1"/>
  <c r="A1249" i="2" s="1"/>
  <c r="A1250" i="2" s="1"/>
  <c r="A1251" i="2" s="1"/>
  <c r="A1252" i="2" s="1"/>
  <c r="A1253" i="2" s="1"/>
  <c r="A1254" i="2" s="1"/>
  <c r="A1255" i="2" s="1"/>
  <c r="E1237" i="2"/>
  <c r="D1237" i="2"/>
  <c r="C1237" i="2"/>
  <c r="B1237" i="2"/>
  <c r="B827" i="2"/>
  <c r="C827" i="2"/>
  <c r="D827" i="2"/>
  <c r="E827" i="2"/>
  <c r="Q416" i="2"/>
  <c r="P416" i="2"/>
  <c r="P791" i="2"/>
  <c r="Q791" i="2"/>
  <c r="Q962" i="2"/>
  <c r="P962" i="2"/>
  <c r="Q859" i="2"/>
  <c r="P859" i="2"/>
  <c r="Q1098" i="2"/>
  <c r="P1098" i="2"/>
  <c r="Q485" i="2"/>
  <c r="P485" i="2"/>
  <c r="Q1268" i="2"/>
  <c r="P1268" i="2"/>
  <c r="Q655" i="2"/>
  <c r="P655" i="2"/>
  <c r="Q1167" i="2"/>
  <c r="P1167" i="2"/>
  <c r="Q1336" i="2"/>
  <c r="P1336" i="2"/>
  <c r="Q553" i="2"/>
  <c r="P553" i="2"/>
  <c r="Q1404" i="2"/>
  <c r="P1404" i="2"/>
  <c r="Q928" i="2"/>
  <c r="P928" i="2"/>
  <c r="Q621" i="2"/>
  <c r="P621" i="2"/>
  <c r="P1200" i="2"/>
  <c r="Q1200" i="2"/>
  <c r="Q1235" i="2"/>
  <c r="P1235" i="2"/>
  <c r="Q348" i="2"/>
  <c r="P348" i="2"/>
  <c r="Q519" i="2"/>
  <c r="P519" i="2"/>
  <c r="Q1133" i="2"/>
  <c r="P1133" i="2"/>
  <c r="Q757" i="2"/>
  <c r="P757" i="2"/>
  <c r="Q1302" i="2"/>
  <c r="P1302" i="2"/>
  <c r="Q723" i="2"/>
  <c r="P723" i="2"/>
  <c r="Q1030" i="2"/>
  <c r="P1030" i="2"/>
  <c r="Q1370" i="2"/>
  <c r="P1370" i="2"/>
  <c r="Q825" i="2"/>
  <c r="P825" i="2"/>
  <c r="Q450" i="2"/>
  <c r="P450" i="2"/>
  <c r="Q587" i="2"/>
  <c r="P587" i="2"/>
  <c r="Q689" i="2"/>
  <c r="P689" i="2"/>
  <c r="Q382" i="2"/>
  <c r="P382" i="2"/>
  <c r="Q1402" i="2"/>
  <c r="P1402" i="2"/>
  <c r="Q1403" i="2"/>
  <c r="P1403" i="2"/>
  <c r="Q996" i="2"/>
  <c r="P996" i="2"/>
  <c r="Q1064" i="2"/>
  <c r="P1064" i="2"/>
  <c r="Q894" i="2"/>
  <c r="P894" i="2"/>
  <c r="D1099" i="2"/>
  <c r="E1099" i="2"/>
  <c r="D520" i="2"/>
  <c r="E520" i="2"/>
  <c r="D758" i="2"/>
  <c r="E758" i="2"/>
  <c r="D622" i="2"/>
  <c r="E622" i="2"/>
  <c r="D724" i="2"/>
  <c r="E724" i="2"/>
  <c r="D1405" i="2"/>
  <c r="E1405" i="2"/>
  <c r="D1303" i="2"/>
  <c r="E1303" i="2"/>
  <c r="D963" i="2"/>
  <c r="E963" i="2"/>
  <c r="D1065" i="2"/>
  <c r="E1065" i="2"/>
  <c r="D588" i="2"/>
  <c r="E588" i="2"/>
  <c r="D860" i="2"/>
  <c r="E860" i="2"/>
  <c r="D386" i="2"/>
  <c r="E386" i="2"/>
  <c r="D554" i="2"/>
  <c r="E554" i="2"/>
  <c r="D1201" i="2"/>
  <c r="E1201" i="2"/>
  <c r="D929" i="2"/>
  <c r="E929" i="2"/>
  <c r="D1134" i="2"/>
  <c r="E1134" i="2"/>
  <c r="D486" i="2"/>
  <c r="E486" i="2"/>
  <c r="D1439" i="2"/>
  <c r="E1439" i="2"/>
  <c r="D792" i="2"/>
  <c r="E792" i="2"/>
  <c r="D1031" i="2"/>
  <c r="E1031" i="2"/>
  <c r="D1371" i="2"/>
  <c r="E1371" i="2"/>
  <c r="D997" i="2"/>
  <c r="E997" i="2"/>
  <c r="D656" i="2"/>
  <c r="E656" i="2"/>
  <c r="D1168" i="2"/>
  <c r="E1168" i="2"/>
  <c r="D895" i="2"/>
  <c r="E895" i="2"/>
  <c r="D690" i="2"/>
  <c r="E690" i="2"/>
  <c r="D1236" i="2"/>
  <c r="E1236" i="2"/>
  <c r="D1269" i="2"/>
  <c r="E1269" i="2"/>
  <c r="E1473" i="2"/>
  <c r="D1337" i="2"/>
  <c r="E1337" i="2"/>
  <c r="S380" i="2"/>
  <c r="R1368" i="2"/>
  <c r="S1368" i="2" s="1"/>
  <c r="G1438" i="2"/>
  <c r="R415" i="2"/>
  <c r="B1438" i="2"/>
  <c r="C1438" i="2"/>
  <c r="R1199" i="2"/>
  <c r="R1097" i="2"/>
  <c r="R790" i="2"/>
  <c r="R1029" i="2"/>
  <c r="R449" i="2"/>
  <c r="R1063" i="2"/>
  <c r="R347" i="2"/>
  <c r="R824" i="2"/>
  <c r="R858" i="2"/>
  <c r="R995" i="2"/>
  <c r="R927" i="2"/>
  <c r="F1495" i="2"/>
  <c r="F1530" i="2" s="1"/>
  <c r="F1494" i="2"/>
  <c r="F1529" i="2" s="1"/>
  <c r="S551" i="2"/>
  <c r="T551" i="2"/>
  <c r="F1496" i="2"/>
  <c r="F1531" i="2" s="1"/>
  <c r="T994" i="2"/>
  <c r="R518" i="2"/>
  <c r="R484" i="2"/>
  <c r="R1335" i="2"/>
  <c r="R552" i="2"/>
  <c r="R756" i="2"/>
  <c r="R381" i="2"/>
  <c r="R586" i="2"/>
  <c r="R1166" i="2"/>
  <c r="R961" i="2"/>
  <c r="S1332" i="2"/>
  <c r="T1332" i="2"/>
  <c r="R1234" i="2"/>
  <c r="R1132" i="2"/>
  <c r="R688" i="2"/>
  <c r="R620" i="2"/>
  <c r="R893" i="2"/>
  <c r="R1367" i="2"/>
  <c r="B46" i="1"/>
  <c r="G1437" i="2"/>
  <c r="C1437" i="2"/>
  <c r="B1437" i="2"/>
  <c r="R722" i="2"/>
  <c r="T1333" i="2"/>
  <c r="R1301" i="2"/>
  <c r="R1267" i="2"/>
  <c r="R313" i="2"/>
  <c r="R1369" i="2"/>
  <c r="G1065" i="2"/>
  <c r="A1066" i="2"/>
  <c r="C1065" i="2"/>
  <c r="B1065" i="2"/>
  <c r="G1337" i="2"/>
  <c r="A1338" i="2"/>
  <c r="C1337" i="2"/>
  <c r="B1337" i="2"/>
  <c r="A1542" i="2"/>
  <c r="A1508" i="2"/>
  <c r="T892" i="2"/>
  <c r="S892" i="2"/>
  <c r="O688" i="2"/>
  <c r="O1199" i="2"/>
  <c r="S1028" i="2"/>
  <c r="T1028" i="2"/>
  <c r="S1062" i="2"/>
  <c r="T1062" i="2"/>
  <c r="O518" i="2"/>
  <c r="O552" i="2"/>
  <c r="G520" i="2"/>
  <c r="A521" i="2"/>
  <c r="C520" i="2"/>
  <c r="B520" i="2"/>
  <c r="G1134" i="2"/>
  <c r="A1135" i="2"/>
  <c r="C1134" i="2"/>
  <c r="B1134" i="2"/>
  <c r="O961" i="2"/>
  <c r="G486" i="2"/>
  <c r="A487" i="2"/>
  <c r="A488" i="2" s="1"/>
  <c r="B486" i="2"/>
  <c r="C486" i="2"/>
  <c r="O1097" i="2"/>
  <c r="O756" i="2"/>
  <c r="C656" i="2"/>
  <c r="B656" i="2"/>
  <c r="A657" i="2"/>
  <c r="G656" i="2"/>
  <c r="O1369" i="2"/>
  <c r="S1266" i="2"/>
  <c r="T1266" i="2"/>
  <c r="A725" i="2"/>
  <c r="G724" i="2"/>
  <c r="B724" i="2"/>
  <c r="C724" i="2"/>
  <c r="T1300" i="2"/>
  <c r="S1300" i="2"/>
  <c r="T448" i="2"/>
  <c r="S448" i="2"/>
  <c r="S1198" i="2"/>
  <c r="T1198" i="2"/>
  <c r="B1439" i="2"/>
  <c r="G1439" i="2"/>
  <c r="A1440" i="2"/>
  <c r="C1439" i="2"/>
  <c r="G792" i="2"/>
  <c r="B792" i="2"/>
  <c r="C792" i="2"/>
  <c r="A793" i="2"/>
  <c r="A828" i="2" s="1"/>
  <c r="S278" i="2"/>
  <c r="T278" i="2"/>
  <c r="S789" i="2"/>
  <c r="T789" i="2"/>
  <c r="O1029" i="2"/>
  <c r="C963" i="2"/>
  <c r="G963" i="2"/>
  <c r="B963" i="2"/>
  <c r="A964" i="2"/>
  <c r="O449" i="2"/>
  <c r="O415" i="2"/>
  <c r="T483" i="2"/>
  <c r="S483" i="2"/>
  <c r="S1165" i="2"/>
  <c r="T1165" i="2"/>
  <c r="O347" i="2"/>
  <c r="O1437" i="2"/>
  <c r="A1474" i="2"/>
  <c r="O790" i="2"/>
  <c r="A896" i="2"/>
  <c r="B895" i="2"/>
  <c r="C895" i="2"/>
  <c r="G895" i="2"/>
  <c r="B860" i="2"/>
  <c r="G860" i="2"/>
  <c r="A861" i="2"/>
  <c r="C860" i="2"/>
  <c r="O824" i="2"/>
  <c r="O893" i="2"/>
  <c r="O1132" i="2"/>
  <c r="O381" i="2"/>
  <c r="S1096" i="2"/>
  <c r="T1096" i="2"/>
  <c r="T517" i="2"/>
  <c r="S517" i="2"/>
  <c r="G386" i="2"/>
  <c r="C386" i="2"/>
  <c r="A386" i="2"/>
  <c r="O927" i="2"/>
  <c r="B1371" i="2"/>
  <c r="G1371" i="2"/>
  <c r="A1372" i="2"/>
  <c r="C1371" i="2"/>
  <c r="G1236" i="2"/>
  <c r="C1236" i="2"/>
  <c r="B1236" i="2"/>
  <c r="S926" i="2"/>
  <c r="T926" i="2"/>
  <c r="B351" i="2"/>
  <c r="O484" i="2"/>
  <c r="O1167" i="2"/>
  <c r="B588" i="2"/>
  <c r="C588" i="2"/>
  <c r="A589" i="2"/>
  <c r="G588" i="2"/>
  <c r="O1403" i="2"/>
  <c r="C1201" i="2"/>
  <c r="A1202" i="2"/>
  <c r="B1201" i="2"/>
  <c r="G1201" i="2"/>
  <c r="T755" i="2"/>
  <c r="S755" i="2"/>
  <c r="S414" i="2"/>
  <c r="T414" i="2"/>
  <c r="A759" i="2"/>
  <c r="G758" i="2"/>
  <c r="C758" i="2"/>
  <c r="B758" i="2"/>
  <c r="T653" i="2"/>
  <c r="S653" i="2"/>
  <c r="S687" i="2"/>
  <c r="T687" i="2"/>
  <c r="T1131" i="2"/>
  <c r="S1131" i="2"/>
  <c r="S312" i="2"/>
  <c r="T312" i="2"/>
  <c r="S823" i="2"/>
  <c r="T823" i="2"/>
  <c r="O1063" i="2"/>
  <c r="B1405" i="2"/>
  <c r="A1406" i="2"/>
  <c r="C1405" i="2"/>
  <c r="G1405" i="2"/>
  <c r="C1303" i="2"/>
  <c r="G1303" i="2"/>
  <c r="A1304" i="2"/>
  <c r="B1303" i="2"/>
  <c r="G554" i="2"/>
  <c r="C554" i="2"/>
  <c r="B554" i="2"/>
  <c r="A555" i="2"/>
  <c r="G826" i="2"/>
  <c r="B622" i="2"/>
  <c r="A623" i="2"/>
  <c r="C622" i="2"/>
  <c r="G622" i="2"/>
  <c r="O1335" i="2"/>
  <c r="S1334" i="2"/>
  <c r="T1334" i="2"/>
  <c r="A1270" i="2"/>
  <c r="C1269" i="2"/>
  <c r="B1269" i="2"/>
  <c r="G1269" i="2"/>
  <c r="G1168" i="2"/>
  <c r="B1168" i="2"/>
  <c r="A1169" i="2"/>
  <c r="C1168" i="2"/>
  <c r="C690" i="2"/>
  <c r="B690" i="2"/>
  <c r="A691" i="2"/>
  <c r="G690" i="2"/>
  <c r="S721" i="2"/>
  <c r="T721" i="2"/>
  <c r="C1031" i="2"/>
  <c r="B1031" i="2"/>
  <c r="G1031" i="2"/>
  <c r="A1032" i="2"/>
  <c r="A998" i="2"/>
  <c r="G997" i="2"/>
  <c r="B997" i="2"/>
  <c r="C997" i="2"/>
  <c r="T857" i="2"/>
  <c r="S857" i="2"/>
  <c r="G1099" i="2"/>
  <c r="C1099" i="2"/>
  <c r="B1099" i="2"/>
  <c r="A1100" i="2"/>
  <c r="C929" i="2"/>
  <c r="G929" i="2"/>
  <c r="B929" i="2"/>
  <c r="A930" i="2"/>
  <c r="T1233" i="2"/>
  <c r="S1233" i="2"/>
  <c r="T346" i="2"/>
  <c r="S346" i="2"/>
  <c r="O586" i="2"/>
  <c r="I596" i="2" l="1"/>
  <c r="S280" i="2"/>
  <c r="S281" i="2" s="1"/>
  <c r="R281" i="2"/>
  <c r="T281" i="2" s="1"/>
  <c r="S584" i="2"/>
  <c r="T584" i="2"/>
  <c r="S314" i="2"/>
  <c r="O619" i="2"/>
  <c r="B488" i="2"/>
  <c r="C488" i="2"/>
  <c r="D488" i="2"/>
  <c r="E488" i="2"/>
  <c r="G488" i="2"/>
  <c r="A489" i="2"/>
  <c r="B453" i="2"/>
  <c r="B456" i="2" s="1"/>
  <c r="C453" i="2"/>
  <c r="C456" i="2" s="1"/>
  <c r="D453" i="2"/>
  <c r="D456" i="2" s="1"/>
  <c r="E453" i="2"/>
  <c r="E456" i="2" s="1"/>
  <c r="G453" i="2"/>
  <c r="G456" i="2" s="1"/>
  <c r="A454" i="2"/>
  <c r="A456" i="2"/>
  <c r="B419" i="2"/>
  <c r="C419" i="2"/>
  <c r="D419" i="2"/>
  <c r="E419" i="2"/>
  <c r="G419" i="2"/>
  <c r="A420" i="2"/>
  <c r="R349" i="2"/>
  <c r="T349" i="2" s="1"/>
  <c r="B385" i="2"/>
  <c r="C385" i="2"/>
  <c r="D385" i="2"/>
  <c r="E385" i="2"/>
  <c r="G385" i="2"/>
  <c r="Q384" i="2"/>
  <c r="P384" i="2"/>
  <c r="Q350" i="2"/>
  <c r="Q351" i="2" s="1"/>
  <c r="P350" i="2"/>
  <c r="P351" i="2" s="1"/>
  <c r="R315" i="2"/>
  <c r="T280" i="2"/>
  <c r="S1267" i="2"/>
  <c r="S722" i="2"/>
  <c r="T858" i="2"/>
  <c r="I620" i="2"/>
  <c r="I631" i="2" s="1"/>
  <c r="T1234" i="2"/>
  <c r="T1166" i="2"/>
  <c r="I995" i="2"/>
  <c r="S619" i="2"/>
  <c r="S960" i="2"/>
  <c r="S1367" i="2"/>
  <c r="T960" i="2"/>
  <c r="B1473" i="2"/>
  <c r="E1472" i="2"/>
  <c r="D1473" i="2"/>
  <c r="D1472" i="2"/>
  <c r="S585" i="2"/>
  <c r="Q1237" i="2"/>
  <c r="P1237" i="2"/>
  <c r="S1097" i="2"/>
  <c r="B828" i="2"/>
  <c r="C828" i="2"/>
  <c r="D828" i="2"/>
  <c r="E828" i="2"/>
  <c r="Q1405" i="2"/>
  <c r="P1405" i="2"/>
  <c r="Q1201" i="2"/>
  <c r="P1201" i="2"/>
  <c r="Q451" i="2"/>
  <c r="P451" i="2"/>
  <c r="Q1134" i="2"/>
  <c r="P1134" i="2"/>
  <c r="Q1065" i="2"/>
  <c r="P1065" i="2"/>
  <c r="Q929" i="2"/>
  <c r="P929" i="2"/>
  <c r="Q895" i="2"/>
  <c r="P895" i="2"/>
  <c r="Q1099" i="2"/>
  <c r="P1099" i="2"/>
  <c r="Q997" i="2"/>
  <c r="P997" i="2"/>
  <c r="Q417" i="2"/>
  <c r="P417" i="2"/>
  <c r="Q1031" i="2"/>
  <c r="P1031" i="2"/>
  <c r="Q690" i="2"/>
  <c r="P690" i="2"/>
  <c r="Q1269" i="2"/>
  <c r="P1269" i="2"/>
  <c r="Q622" i="2"/>
  <c r="P622" i="2"/>
  <c r="Q554" i="2"/>
  <c r="P554" i="2"/>
  <c r="Q1303" i="2"/>
  <c r="P1303" i="2"/>
  <c r="Q1236" i="2"/>
  <c r="P1236" i="2"/>
  <c r="Q1371" i="2"/>
  <c r="P1371" i="2"/>
  <c r="Q792" i="2"/>
  <c r="P792" i="2"/>
  <c r="Q1439" i="2"/>
  <c r="P1439" i="2"/>
  <c r="Q486" i="2"/>
  <c r="P486" i="2"/>
  <c r="Q1337" i="2"/>
  <c r="P1337" i="2"/>
  <c r="Q1438" i="2"/>
  <c r="P1438" i="2"/>
  <c r="Q1168" i="2"/>
  <c r="P1168" i="2"/>
  <c r="Q826" i="2"/>
  <c r="P826" i="2"/>
  <c r="Q758" i="2"/>
  <c r="P758" i="2"/>
  <c r="Q656" i="2"/>
  <c r="P656" i="2"/>
  <c r="Q588" i="2"/>
  <c r="P588" i="2"/>
  <c r="Q383" i="2"/>
  <c r="P383" i="2"/>
  <c r="Q860" i="2"/>
  <c r="P860" i="2"/>
  <c r="Q963" i="2"/>
  <c r="P963" i="2"/>
  <c r="Q724" i="2"/>
  <c r="P724" i="2"/>
  <c r="Q520" i="2"/>
  <c r="P520" i="2"/>
  <c r="Q1437" i="2"/>
  <c r="P1437" i="2"/>
  <c r="Q1473" i="2"/>
  <c r="P1473" i="2"/>
  <c r="T1368" i="2"/>
  <c r="D930" i="2"/>
  <c r="E930" i="2"/>
  <c r="D1032" i="2"/>
  <c r="E1032" i="2"/>
  <c r="D1304" i="2"/>
  <c r="E1304" i="2"/>
  <c r="D759" i="2"/>
  <c r="E759" i="2"/>
  <c r="D421" i="2"/>
  <c r="E421" i="2"/>
  <c r="D691" i="2"/>
  <c r="E691" i="2"/>
  <c r="D1270" i="2"/>
  <c r="E1270" i="2"/>
  <c r="D623" i="2"/>
  <c r="E623" i="2"/>
  <c r="D555" i="2"/>
  <c r="E555" i="2"/>
  <c r="D964" i="2"/>
  <c r="E964" i="2"/>
  <c r="D1372" i="2"/>
  <c r="E1372" i="2"/>
  <c r="D657" i="2"/>
  <c r="E657" i="2"/>
  <c r="D1135" i="2"/>
  <c r="E1135" i="2"/>
  <c r="D1066" i="2"/>
  <c r="E1066" i="2"/>
  <c r="D1100" i="2"/>
  <c r="E1100" i="2"/>
  <c r="D998" i="2"/>
  <c r="E998" i="2"/>
  <c r="D1202" i="2"/>
  <c r="E1202" i="2"/>
  <c r="D793" i="2"/>
  <c r="E793" i="2"/>
  <c r="D1440" i="2"/>
  <c r="E1440" i="2"/>
  <c r="D725" i="2"/>
  <c r="E725" i="2"/>
  <c r="D487" i="2"/>
  <c r="E487" i="2"/>
  <c r="D521" i="2"/>
  <c r="E521" i="2"/>
  <c r="D1169" i="2"/>
  <c r="E1169" i="2"/>
  <c r="D1406" i="2"/>
  <c r="E1406" i="2"/>
  <c r="D589" i="2"/>
  <c r="E589" i="2"/>
  <c r="D861" i="2"/>
  <c r="E861" i="2"/>
  <c r="D896" i="2"/>
  <c r="E896" i="2"/>
  <c r="D1474" i="2"/>
  <c r="E1474" i="2"/>
  <c r="D1338" i="2"/>
  <c r="E1338" i="2"/>
  <c r="R1403" i="2"/>
  <c r="T1403" i="2" s="1"/>
  <c r="T585" i="2"/>
  <c r="O620" i="2"/>
  <c r="G1473" i="2"/>
  <c r="C1473" i="2"/>
  <c r="R1098" i="2"/>
  <c r="R928" i="2"/>
  <c r="T722" i="2"/>
  <c r="S858" i="2"/>
  <c r="S1166" i="2"/>
  <c r="S1234" i="2"/>
  <c r="R723" i="2"/>
  <c r="R757" i="2"/>
  <c r="R621" i="2"/>
  <c r="R1302" i="2"/>
  <c r="R791" i="2"/>
  <c r="S791" i="2" s="1"/>
  <c r="R825" i="2"/>
  <c r="T825" i="2" s="1"/>
  <c r="R485" i="2"/>
  <c r="R519" i="2"/>
  <c r="R1167" i="2"/>
  <c r="T1167" i="2" s="1"/>
  <c r="R1336" i="2"/>
  <c r="R1064" i="2"/>
  <c r="R587" i="2"/>
  <c r="R859" i="2"/>
  <c r="R553" i="2"/>
  <c r="R655" i="2"/>
  <c r="I655" i="2" s="1"/>
  <c r="O655" i="2" s="1"/>
  <c r="R1402" i="2"/>
  <c r="R1268" i="2"/>
  <c r="R689" i="2"/>
  <c r="R962" i="2"/>
  <c r="R1133" i="2"/>
  <c r="R382" i="2"/>
  <c r="R996" i="2"/>
  <c r="R1370" i="2"/>
  <c r="R894" i="2"/>
  <c r="T1267" i="2"/>
  <c r="R416" i="2"/>
  <c r="R450" i="2"/>
  <c r="R1030" i="2"/>
  <c r="I1030" i="2" s="1"/>
  <c r="B47" i="1"/>
  <c r="C1508" i="2" s="1"/>
  <c r="B1472" i="2"/>
  <c r="C1472" i="2"/>
  <c r="G1472" i="2"/>
  <c r="T1367" i="2"/>
  <c r="R1200" i="2"/>
  <c r="R1235" i="2"/>
  <c r="R348" i="2"/>
  <c r="R1404" i="2"/>
  <c r="A1441" i="2"/>
  <c r="B1440" i="2"/>
  <c r="G1440" i="2"/>
  <c r="C1440" i="2"/>
  <c r="O1302" i="2"/>
  <c r="O1268" i="2"/>
  <c r="C555" i="2"/>
  <c r="B555" i="2"/>
  <c r="A556" i="2"/>
  <c r="A557" i="2" s="1"/>
  <c r="G555" i="2"/>
  <c r="O894" i="2"/>
  <c r="B386" i="2"/>
  <c r="O383" i="2"/>
  <c r="O450" i="2"/>
  <c r="T688" i="2"/>
  <c r="S688" i="2"/>
  <c r="G793" i="2"/>
  <c r="A794" i="2"/>
  <c r="A829" i="2" s="1"/>
  <c r="C793" i="2"/>
  <c r="B793" i="2"/>
  <c r="O1200" i="2"/>
  <c r="B998" i="2"/>
  <c r="G998" i="2"/>
  <c r="A999" i="2"/>
  <c r="C998" i="2"/>
  <c r="G827" i="2"/>
  <c r="O485" i="2"/>
  <c r="S313" i="2"/>
  <c r="T313" i="2"/>
  <c r="A965" i="2"/>
  <c r="G964" i="2"/>
  <c r="C964" i="2"/>
  <c r="B964" i="2"/>
  <c r="O1133" i="2"/>
  <c r="B487" i="2"/>
  <c r="C487" i="2"/>
  <c r="G487" i="2"/>
  <c r="O621" i="2"/>
  <c r="T1369" i="2"/>
  <c r="S1369" i="2"/>
  <c r="C691" i="2"/>
  <c r="A692" i="2"/>
  <c r="B691" i="2"/>
  <c r="G691" i="2"/>
  <c r="O1404" i="2"/>
  <c r="S381" i="2"/>
  <c r="T381" i="2"/>
  <c r="O757" i="2"/>
  <c r="A1543" i="2"/>
  <c r="A1577" i="2"/>
  <c r="B1032" i="2"/>
  <c r="A1033" i="2"/>
  <c r="C1032" i="2"/>
  <c r="G1032" i="2"/>
  <c r="A897" i="2"/>
  <c r="C896" i="2"/>
  <c r="G896" i="2"/>
  <c r="B896" i="2"/>
  <c r="A658" i="2"/>
  <c r="G657" i="2"/>
  <c r="C657" i="2"/>
  <c r="B657" i="2"/>
  <c r="T961" i="2"/>
  <c r="S961" i="2"/>
  <c r="C521" i="2"/>
  <c r="A522" i="2"/>
  <c r="A523" i="2" s="1"/>
  <c r="G521" i="2"/>
  <c r="B521" i="2"/>
  <c r="O416" i="2"/>
  <c r="O1438" i="2"/>
  <c r="T1335" i="2"/>
  <c r="S1335" i="2"/>
  <c r="O1336" i="2"/>
  <c r="A1203" i="2"/>
  <c r="C1202" i="2"/>
  <c r="G1202" i="2"/>
  <c r="B1202" i="2"/>
  <c r="O1472" i="2"/>
  <c r="O382" i="2"/>
  <c r="G1270" i="2"/>
  <c r="B1270" i="2"/>
  <c r="C1270" i="2"/>
  <c r="A1271" i="2"/>
  <c r="O1303" i="2"/>
  <c r="G1100" i="2"/>
  <c r="B1100" i="2"/>
  <c r="C1100" i="2"/>
  <c r="A1101" i="2"/>
  <c r="A421" i="2"/>
  <c r="C421" i="2"/>
  <c r="G421" i="2"/>
  <c r="O996" i="2"/>
  <c r="O723" i="2"/>
  <c r="O519" i="2"/>
  <c r="O928" i="2"/>
  <c r="C759" i="2"/>
  <c r="B759" i="2"/>
  <c r="A760" i="2"/>
  <c r="G759" i="2"/>
  <c r="O348" i="2"/>
  <c r="S927" i="2"/>
  <c r="T927" i="2"/>
  <c r="T790" i="2"/>
  <c r="S790" i="2"/>
  <c r="T1301" i="2"/>
  <c r="S1301" i="2"/>
  <c r="O1235" i="2"/>
  <c r="O1370" i="2"/>
  <c r="C623" i="2"/>
  <c r="B623" i="2"/>
  <c r="G623" i="2"/>
  <c r="A624" i="2"/>
  <c r="A625" i="2" s="1"/>
  <c r="A1067" i="2"/>
  <c r="B1066" i="2"/>
  <c r="G1066" i="2"/>
  <c r="C1066" i="2"/>
  <c r="O1098" i="2"/>
  <c r="T1063" i="2"/>
  <c r="S1063" i="2"/>
  <c r="G930" i="2"/>
  <c r="C930" i="2"/>
  <c r="B930" i="2"/>
  <c r="A931" i="2"/>
  <c r="T484" i="2"/>
  <c r="S484" i="2"/>
  <c r="O587" i="2"/>
  <c r="S824" i="2"/>
  <c r="T824" i="2"/>
  <c r="S449" i="2"/>
  <c r="T449" i="2"/>
  <c r="T586" i="2"/>
  <c r="S586" i="2"/>
  <c r="B1304" i="2"/>
  <c r="G1304" i="2"/>
  <c r="A1305" i="2"/>
  <c r="C1304" i="2"/>
  <c r="C1406" i="2"/>
  <c r="A1407" i="2"/>
  <c r="B1406" i="2"/>
  <c r="G1406" i="2"/>
  <c r="C1372" i="2"/>
  <c r="G1372" i="2"/>
  <c r="B1372" i="2"/>
  <c r="A1373" i="2"/>
  <c r="T1132" i="2"/>
  <c r="S1132" i="2"/>
  <c r="T347" i="2"/>
  <c r="S347" i="2"/>
  <c r="S1029" i="2"/>
  <c r="T1029" i="2"/>
  <c r="O962" i="2"/>
  <c r="T893" i="2"/>
  <c r="S893" i="2"/>
  <c r="S552" i="2"/>
  <c r="T552" i="2"/>
  <c r="S415" i="2"/>
  <c r="T415" i="2"/>
  <c r="A1170" i="2"/>
  <c r="C1169" i="2"/>
  <c r="B1169" i="2"/>
  <c r="G1169" i="2"/>
  <c r="O553" i="2"/>
  <c r="G589" i="2"/>
  <c r="A590" i="2"/>
  <c r="C589" i="2"/>
  <c r="B589" i="2"/>
  <c r="O1064" i="2"/>
  <c r="O859" i="2"/>
  <c r="G861" i="2"/>
  <c r="A862" i="2"/>
  <c r="B861" i="2"/>
  <c r="C861" i="2"/>
  <c r="B1474" i="2"/>
  <c r="A1475" i="2"/>
  <c r="G1474" i="2"/>
  <c r="C1474" i="2"/>
  <c r="T756" i="2"/>
  <c r="S756" i="2"/>
  <c r="T518" i="2"/>
  <c r="S518" i="2"/>
  <c r="B725" i="2"/>
  <c r="G725" i="2"/>
  <c r="C725" i="2"/>
  <c r="A726" i="2"/>
  <c r="T1097" i="2"/>
  <c r="A1136" i="2"/>
  <c r="G1135" i="2"/>
  <c r="C1135" i="2"/>
  <c r="B1135" i="2"/>
  <c r="S1199" i="2"/>
  <c r="T1199" i="2"/>
  <c r="A1509" i="2"/>
  <c r="A1339" i="2"/>
  <c r="C1338" i="2"/>
  <c r="G1338" i="2"/>
  <c r="B1338" i="2"/>
  <c r="S349" i="2" l="1"/>
  <c r="I666" i="2"/>
  <c r="O351" i="2"/>
  <c r="O386" i="2"/>
  <c r="S315" i="2"/>
  <c r="S316" i="2" s="1"/>
  <c r="R316" i="2"/>
  <c r="T316" i="2" s="1"/>
  <c r="O689" i="2"/>
  <c r="T619" i="2"/>
  <c r="B625" i="2"/>
  <c r="C625" i="2"/>
  <c r="D625" i="2"/>
  <c r="E625" i="2"/>
  <c r="G625" i="2"/>
  <c r="A626" i="2"/>
  <c r="B557" i="2"/>
  <c r="C557" i="2"/>
  <c r="D557" i="2"/>
  <c r="E557" i="2"/>
  <c r="G557" i="2"/>
  <c r="A558" i="2"/>
  <c r="B523" i="2"/>
  <c r="C523" i="2"/>
  <c r="D523" i="2"/>
  <c r="E523" i="2"/>
  <c r="G523" i="2"/>
  <c r="A524" i="2"/>
  <c r="B489" i="2"/>
  <c r="C489" i="2"/>
  <c r="D489" i="2"/>
  <c r="E489" i="2"/>
  <c r="G489" i="2"/>
  <c r="A490" i="2"/>
  <c r="B454" i="2"/>
  <c r="C454" i="2"/>
  <c r="D454" i="2"/>
  <c r="E454" i="2"/>
  <c r="G454" i="2"/>
  <c r="A455" i="2"/>
  <c r="B420" i="2"/>
  <c r="C420" i="2"/>
  <c r="D420" i="2"/>
  <c r="E420" i="2"/>
  <c r="G420" i="2"/>
  <c r="Q419" i="2"/>
  <c r="P419" i="2"/>
  <c r="R350" i="2"/>
  <c r="R351" i="2" s="1"/>
  <c r="Q385" i="2"/>
  <c r="Q386" i="2" s="1"/>
  <c r="P385" i="2"/>
  <c r="P386" i="2" s="1"/>
  <c r="R384" i="2"/>
  <c r="T315" i="2"/>
  <c r="O995" i="2"/>
  <c r="T995" i="2" s="1"/>
  <c r="E1508" i="2"/>
  <c r="D1508" i="2"/>
  <c r="D1507" i="2"/>
  <c r="E1507" i="2"/>
  <c r="T620" i="2"/>
  <c r="O1030" i="2"/>
  <c r="S1030" i="2" s="1"/>
  <c r="R1237" i="2"/>
  <c r="B829" i="2"/>
  <c r="C829" i="2"/>
  <c r="D829" i="2"/>
  <c r="E829" i="2"/>
  <c r="Q589" i="2"/>
  <c r="P589" i="2"/>
  <c r="Q1169" i="2"/>
  <c r="P1169" i="2"/>
  <c r="Q1406" i="2"/>
  <c r="P1406" i="2"/>
  <c r="Q1304" i="2"/>
  <c r="P1304" i="2"/>
  <c r="Q759" i="2"/>
  <c r="P759" i="2"/>
  <c r="Q418" i="2"/>
  <c r="P418" i="2"/>
  <c r="Q1100" i="2"/>
  <c r="P1100" i="2"/>
  <c r="Q1202" i="2"/>
  <c r="P1202" i="2"/>
  <c r="Q521" i="2"/>
  <c r="P521" i="2"/>
  <c r="Q657" i="2"/>
  <c r="P657" i="2"/>
  <c r="Q964" i="2"/>
  <c r="P964" i="2"/>
  <c r="Q998" i="2"/>
  <c r="P998" i="2"/>
  <c r="Q1472" i="2"/>
  <c r="P1472" i="2"/>
  <c r="Q861" i="2"/>
  <c r="P861" i="2"/>
  <c r="Q1066" i="2"/>
  <c r="P1066" i="2"/>
  <c r="Q896" i="2"/>
  <c r="P896" i="2"/>
  <c r="Q691" i="2"/>
  <c r="P691" i="2"/>
  <c r="Q487" i="2"/>
  <c r="P487" i="2"/>
  <c r="Q1338" i="2"/>
  <c r="P1338" i="2"/>
  <c r="Q1135" i="2"/>
  <c r="P1135" i="2"/>
  <c r="Q725" i="2"/>
  <c r="P725" i="2"/>
  <c r="Q452" i="2"/>
  <c r="P452" i="2"/>
  <c r="Q1474" i="2"/>
  <c r="P1474" i="2"/>
  <c r="Q1372" i="2"/>
  <c r="P1372" i="2"/>
  <c r="Q930" i="2"/>
  <c r="P930" i="2"/>
  <c r="Q623" i="2"/>
  <c r="P623" i="2"/>
  <c r="Q1270" i="2"/>
  <c r="P1270" i="2"/>
  <c r="Q1032" i="2"/>
  <c r="P1032" i="2"/>
  <c r="Q827" i="2"/>
  <c r="P827" i="2"/>
  <c r="Q793" i="2"/>
  <c r="P793" i="2"/>
  <c r="Q555" i="2"/>
  <c r="P555" i="2"/>
  <c r="Q1440" i="2"/>
  <c r="P1440" i="2"/>
  <c r="S1403" i="2"/>
  <c r="D1509" i="2"/>
  <c r="E1509" i="2"/>
  <c r="D1136" i="2"/>
  <c r="E1136" i="2"/>
  <c r="D726" i="2"/>
  <c r="E726" i="2"/>
  <c r="D1238" i="2"/>
  <c r="E1238" i="2"/>
  <c r="D692" i="2"/>
  <c r="E692" i="2"/>
  <c r="D1170" i="2"/>
  <c r="E1170" i="2"/>
  <c r="D760" i="2"/>
  <c r="E760" i="2"/>
  <c r="D624" i="2"/>
  <c r="E624" i="2"/>
  <c r="D1271" i="2"/>
  <c r="E1271" i="2"/>
  <c r="D1203" i="2"/>
  <c r="E1203" i="2"/>
  <c r="D658" i="2"/>
  <c r="E658" i="2"/>
  <c r="D491" i="2"/>
  <c r="E491" i="2"/>
  <c r="D965" i="2"/>
  <c r="E965" i="2"/>
  <c r="D1441" i="2"/>
  <c r="E1441" i="2"/>
  <c r="D862" i="2"/>
  <c r="E862" i="2"/>
  <c r="D590" i="2"/>
  <c r="E590" i="2"/>
  <c r="D1067" i="2"/>
  <c r="E1067" i="2"/>
  <c r="D522" i="2"/>
  <c r="E522" i="2"/>
  <c r="D1339" i="2"/>
  <c r="E1339" i="2"/>
  <c r="D1475" i="2"/>
  <c r="E1475" i="2"/>
  <c r="D1373" i="2"/>
  <c r="E1373" i="2"/>
  <c r="D1407" i="2"/>
  <c r="E1407" i="2"/>
  <c r="D1305" i="2"/>
  <c r="E1305" i="2"/>
  <c r="D931" i="2"/>
  <c r="E931" i="2"/>
  <c r="D1101" i="2"/>
  <c r="E1101" i="2"/>
  <c r="D897" i="2"/>
  <c r="E897" i="2"/>
  <c r="D1033" i="2"/>
  <c r="E1033" i="2"/>
  <c r="D999" i="2"/>
  <c r="E999" i="2"/>
  <c r="D794" i="2"/>
  <c r="E794" i="2"/>
  <c r="D556" i="2"/>
  <c r="E556" i="2"/>
  <c r="R1438" i="2"/>
  <c r="S1438" i="2" s="1"/>
  <c r="S620" i="2"/>
  <c r="O654" i="2"/>
  <c r="B1508" i="2"/>
  <c r="R656" i="2"/>
  <c r="R1031" i="2"/>
  <c r="S825" i="2"/>
  <c r="R1405" i="2"/>
  <c r="G1508" i="2"/>
  <c r="R520" i="2"/>
  <c r="R895" i="2"/>
  <c r="R1201" i="2"/>
  <c r="R826" i="2"/>
  <c r="R792" i="2"/>
  <c r="R963" i="2"/>
  <c r="S1167" i="2"/>
  <c r="R1337" i="2"/>
  <c r="F1565" i="2"/>
  <c r="F1564" i="2"/>
  <c r="F1566" i="2"/>
  <c r="R1269" i="2"/>
  <c r="R758" i="2"/>
  <c r="R1099" i="2"/>
  <c r="R860" i="2"/>
  <c r="R997" i="2"/>
  <c r="R451" i="2"/>
  <c r="R486" i="2"/>
  <c r="R690" i="2"/>
  <c r="I690" i="2" s="1"/>
  <c r="R1371" i="2"/>
  <c r="R622" i="2"/>
  <c r="R929" i="2"/>
  <c r="R1168" i="2"/>
  <c r="S1402" i="2"/>
  <c r="T1402" i="2"/>
  <c r="R1303" i="2"/>
  <c r="S1303" i="2" s="1"/>
  <c r="R554" i="2"/>
  <c r="B48" i="1"/>
  <c r="D1543" i="2" s="1"/>
  <c r="C1507" i="2"/>
  <c r="G1507" i="2"/>
  <c r="B1507" i="2"/>
  <c r="R417" i="2"/>
  <c r="R1236" i="2"/>
  <c r="R1134" i="2"/>
  <c r="R1065" i="2"/>
  <c r="I1065" i="2" s="1"/>
  <c r="R588" i="2"/>
  <c r="R724" i="2"/>
  <c r="R1437" i="2"/>
  <c r="R1439" i="2"/>
  <c r="R1473" i="2"/>
  <c r="A1408" i="2"/>
  <c r="B1407" i="2"/>
  <c r="G1407" i="2"/>
  <c r="C1407" i="2"/>
  <c r="O997" i="2"/>
  <c r="C522" i="2"/>
  <c r="B522" i="2"/>
  <c r="G522" i="2"/>
  <c r="S859" i="2"/>
  <c r="T859" i="2"/>
  <c r="O1439" i="2"/>
  <c r="A693" i="2"/>
  <c r="A694" i="2" s="1"/>
  <c r="C692" i="2"/>
  <c r="G692" i="2"/>
  <c r="B692" i="2"/>
  <c r="A1000" i="2"/>
  <c r="B999" i="2"/>
  <c r="G999" i="2"/>
  <c r="C999" i="2"/>
  <c r="T1200" i="2"/>
  <c r="S1200" i="2"/>
  <c r="S1302" i="2"/>
  <c r="T1302" i="2"/>
  <c r="C1339" i="2"/>
  <c r="A1340" i="2"/>
  <c r="G1339" i="2"/>
  <c r="B1339" i="2"/>
  <c r="A1374" i="2"/>
  <c r="B1373" i="2"/>
  <c r="C1373" i="2"/>
  <c r="G1373" i="2"/>
  <c r="A1476" i="2"/>
  <c r="B1475" i="2"/>
  <c r="G1475" i="2"/>
  <c r="C1475" i="2"/>
  <c r="O589" i="2"/>
  <c r="O963" i="2"/>
  <c r="O826" i="2"/>
  <c r="O1099" i="2"/>
  <c r="T1235" i="2"/>
  <c r="S1235" i="2"/>
  <c r="A761" i="2"/>
  <c r="C760" i="2"/>
  <c r="B760" i="2"/>
  <c r="G760" i="2"/>
  <c r="T519" i="2"/>
  <c r="S519" i="2"/>
  <c r="B1136" i="2"/>
  <c r="G1136" i="2"/>
  <c r="C1136" i="2"/>
  <c r="A1137" i="2"/>
  <c r="G590" i="2"/>
  <c r="A591" i="2"/>
  <c r="C590" i="2"/>
  <c r="B590" i="2"/>
  <c r="T962" i="2"/>
  <c r="S962" i="2"/>
  <c r="G828" i="2"/>
  <c r="O588" i="2"/>
  <c r="O622" i="2"/>
  <c r="G897" i="2"/>
  <c r="A898" i="2"/>
  <c r="C897" i="2"/>
  <c r="B897" i="2"/>
  <c r="S587" i="2"/>
  <c r="T587" i="2"/>
  <c r="B931" i="2"/>
  <c r="A932" i="2"/>
  <c r="C931" i="2"/>
  <c r="G931" i="2"/>
  <c r="C1067" i="2"/>
  <c r="G1067" i="2"/>
  <c r="B1067" i="2"/>
  <c r="A1068" i="2"/>
  <c r="S723" i="2"/>
  <c r="T723" i="2"/>
  <c r="B1271" i="2"/>
  <c r="C1271" i="2"/>
  <c r="A1272" i="2"/>
  <c r="G1271" i="2"/>
  <c r="S996" i="2"/>
  <c r="T996" i="2"/>
  <c r="S1336" i="2"/>
  <c r="T1336" i="2"/>
  <c r="O1236" i="2"/>
  <c r="C1033" i="2"/>
  <c r="B1033" i="2"/>
  <c r="G1033" i="2"/>
  <c r="A1034" i="2"/>
  <c r="S621" i="2"/>
  <c r="T621" i="2"/>
  <c r="B1305" i="2"/>
  <c r="C1305" i="2"/>
  <c r="G1305" i="2"/>
  <c r="A1306" i="2"/>
  <c r="O1031" i="2"/>
  <c r="G1203" i="2"/>
  <c r="C1203" i="2"/>
  <c r="A1204" i="2"/>
  <c r="B1203" i="2"/>
  <c r="S416" i="2"/>
  <c r="T416" i="2"/>
  <c r="C1509" i="2"/>
  <c r="G1509" i="2"/>
  <c r="A1510" i="2"/>
  <c r="B1509" i="2"/>
  <c r="O417" i="2"/>
  <c r="C658" i="2"/>
  <c r="B658" i="2"/>
  <c r="A659" i="2"/>
  <c r="G658" i="2"/>
  <c r="O1032" i="2"/>
  <c r="A966" i="2"/>
  <c r="C965" i="2"/>
  <c r="B965" i="2"/>
  <c r="G965" i="2"/>
  <c r="O486" i="2"/>
  <c r="O792" i="2"/>
  <c r="S1064" i="2"/>
  <c r="T1064" i="2"/>
  <c r="O1168" i="2"/>
  <c r="C726" i="2"/>
  <c r="G726" i="2"/>
  <c r="B726" i="2"/>
  <c r="A727" i="2"/>
  <c r="B862" i="2"/>
  <c r="C862" i="2"/>
  <c r="A863" i="2"/>
  <c r="G862" i="2"/>
  <c r="G1170" i="2"/>
  <c r="C1170" i="2"/>
  <c r="A1171" i="2"/>
  <c r="B1170" i="2"/>
  <c r="S1370" i="2"/>
  <c r="T1370" i="2"/>
  <c r="T928" i="2"/>
  <c r="S928" i="2"/>
  <c r="B421" i="2"/>
  <c r="O418" i="2"/>
  <c r="O421" i="2" s="1"/>
  <c r="O758" i="2"/>
  <c r="O860" i="2"/>
  <c r="O1371" i="2"/>
  <c r="A1612" i="2"/>
  <c r="A1578" i="2"/>
  <c r="A1544" i="2"/>
  <c r="B794" i="2"/>
  <c r="G794" i="2"/>
  <c r="A795" i="2"/>
  <c r="A830" i="2" s="1"/>
  <c r="C794" i="2"/>
  <c r="B1441" i="2"/>
  <c r="A1442" i="2"/>
  <c r="G1441" i="2"/>
  <c r="C1441" i="2"/>
  <c r="O1473" i="2"/>
  <c r="O1134" i="2"/>
  <c r="O554" i="2"/>
  <c r="O1337" i="2"/>
  <c r="O896" i="2"/>
  <c r="G1238" i="2"/>
  <c r="C1238" i="2"/>
  <c r="B1238" i="2"/>
  <c r="A491" i="2"/>
  <c r="G491" i="2"/>
  <c r="C491" i="2"/>
  <c r="O1201" i="2"/>
  <c r="O1269" i="2"/>
  <c r="O929" i="2"/>
  <c r="B556" i="2"/>
  <c r="G556" i="2"/>
  <c r="C556" i="2"/>
  <c r="T791" i="2"/>
  <c r="O1338" i="2"/>
  <c r="O1405" i="2"/>
  <c r="S1098" i="2"/>
  <c r="T1098" i="2"/>
  <c r="S382" i="2"/>
  <c r="T382" i="2"/>
  <c r="O520" i="2"/>
  <c r="S450" i="2"/>
  <c r="T450" i="2"/>
  <c r="S894" i="2"/>
  <c r="T894" i="2"/>
  <c r="S348" i="2"/>
  <c r="T348" i="2"/>
  <c r="B1101" i="2"/>
  <c r="C1101" i="2"/>
  <c r="G1101" i="2"/>
  <c r="A1102" i="2"/>
  <c r="O451" i="2"/>
  <c r="S757" i="2"/>
  <c r="T757" i="2"/>
  <c r="S1404" i="2"/>
  <c r="T1404" i="2"/>
  <c r="T1133" i="2"/>
  <c r="S1133" i="2"/>
  <c r="S485" i="2"/>
  <c r="T485" i="2"/>
  <c r="S655" i="2"/>
  <c r="T655" i="2"/>
  <c r="S553" i="2"/>
  <c r="T553" i="2"/>
  <c r="O656" i="2"/>
  <c r="G624" i="2"/>
  <c r="B624" i="2"/>
  <c r="C624" i="2"/>
  <c r="O895" i="2"/>
  <c r="S1268" i="2"/>
  <c r="T1268" i="2"/>
  <c r="T351" i="2" l="1"/>
  <c r="I701" i="2"/>
  <c r="S689" i="2"/>
  <c r="S350" i="2"/>
  <c r="S351" i="2" s="1"/>
  <c r="B694" i="2"/>
  <c r="C694" i="2"/>
  <c r="D694" i="2"/>
  <c r="E694" i="2"/>
  <c r="G694" i="2"/>
  <c r="A695" i="2"/>
  <c r="B626" i="2"/>
  <c r="C626" i="2"/>
  <c r="D626" i="2"/>
  <c r="E626" i="2"/>
  <c r="G626" i="2"/>
  <c r="A627" i="2"/>
  <c r="B558" i="2"/>
  <c r="C558" i="2"/>
  <c r="D558" i="2"/>
  <c r="E558" i="2"/>
  <c r="G558" i="2"/>
  <c r="A559" i="2"/>
  <c r="B524" i="2"/>
  <c r="C524" i="2"/>
  <c r="D524" i="2"/>
  <c r="E524" i="2"/>
  <c r="G524" i="2"/>
  <c r="A525" i="2"/>
  <c r="B490" i="2"/>
  <c r="C490" i="2"/>
  <c r="D490" i="2"/>
  <c r="E490" i="2"/>
  <c r="G490" i="2"/>
  <c r="Q489" i="2"/>
  <c r="P489" i="2"/>
  <c r="B455" i="2"/>
  <c r="C455" i="2"/>
  <c r="D455" i="2"/>
  <c r="E455" i="2"/>
  <c r="G455" i="2"/>
  <c r="R419" i="2"/>
  <c r="T419" i="2" s="1"/>
  <c r="Q454" i="2"/>
  <c r="P454" i="2"/>
  <c r="R385" i="2"/>
  <c r="Q420" i="2"/>
  <c r="Q421" i="2" s="1"/>
  <c r="P420" i="2"/>
  <c r="P421" i="2" s="1"/>
  <c r="T350" i="2"/>
  <c r="T384" i="2"/>
  <c r="S384" i="2"/>
  <c r="T689" i="2"/>
  <c r="T1030" i="2"/>
  <c r="S995" i="2"/>
  <c r="E1543" i="2"/>
  <c r="E1542" i="2"/>
  <c r="D1542" i="2"/>
  <c r="O690" i="2"/>
  <c r="O1065" i="2"/>
  <c r="T1237" i="2"/>
  <c r="S1237" i="2"/>
  <c r="B830" i="2"/>
  <c r="C830" i="2"/>
  <c r="D830" i="2"/>
  <c r="E830" i="2"/>
  <c r="Q1238" i="2"/>
  <c r="P1238" i="2"/>
  <c r="Q726" i="2"/>
  <c r="P726" i="2"/>
  <c r="Q931" i="2"/>
  <c r="P931" i="2"/>
  <c r="Q624" i="2"/>
  <c r="P624" i="2"/>
  <c r="Q488" i="2"/>
  <c r="P488" i="2"/>
  <c r="Q1033" i="2"/>
  <c r="P1033" i="2"/>
  <c r="Q1475" i="2"/>
  <c r="P1475" i="2"/>
  <c r="Q522" i="2"/>
  <c r="P522" i="2"/>
  <c r="Q1407" i="2"/>
  <c r="P1407" i="2"/>
  <c r="Q1101" i="2"/>
  <c r="P1101" i="2"/>
  <c r="Q1441" i="2"/>
  <c r="P1441" i="2"/>
  <c r="P1305" i="2"/>
  <c r="Q1305" i="2"/>
  <c r="Q1271" i="2"/>
  <c r="P1271" i="2"/>
  <c r="Q760" i="2"/>
  <c r="P760" i="2"/>
  <c r="Q1339" i="2"/>
  <c r="P1339" i="2"/>
  <c r="Q692" i="2"/>
  <c r="P692" i="2"/>
  <c r="Q556" i="2"/>
  <c r="P556" i="2"/>
  <c r="Q794" i="2"/>
  <c r="P794" i="2"/>
  <c r="Q965" i="2"/>
  <c r="P965" i="2"/>
  <c r="Q1509" i="2"/>
  <c r="P1509" i="2"/>
  <c r="Q1067" i="2"/>
  <c r="P1067" i="2"/>
  <c r="Q897" i="2"/>
  <c r="P897" i="2"/>
  <c r="Q828" i="2"/>
  <c r="P828" i="2"/>
  <c r="Q590" i="2"/>
  <c r="P590" i="2"/>
  <c r="Q1373" i="2"/>
  <c r="P1373" i="2"/>
  <c r="Q999" i="2"/>
  <c r="P999" i="2"/>
  <c r="Q1507" i="2"/>
  <c r="P1507" i="2"/>
  <c r="Q1170" i="2"/>
  <c r="P1170" i="2"/>
  <c r="Q658" i="2"/>
  <c r="P658" i="2"/>
  <c r="Q1203" i="2"/>
  <c r="P1203" i="2"/>
  <c r="Q862" i="2"/>
  <c r="P862" i="2"/>
  <c r="Q1136" i="2"/>
  <c r="P1136" i="2"/>
  <c r="Q453" i="2"/>
  <c r="P453" i="2"/>
  <c r="Q1508" i="2"/>
  <c r="P1508" i="2"/>
  <c r="T1438" i="2"/>
  <c r="D1102" i="2"/>
  <c r="E1102" i="2"/>
  <c r="D1239" i="2"/>
  <c r="E1239" i="2"/>
  <c r="D863" i="2"/>
  <c r="E863" i="2"/>
  <c r="D727" i="2"/>
  <c r="E727" i="2"/>
  <c r="D966" i="2"/>
  <c r="E966" i="2"/>
  <c r="D659" i="2"/>
  <c r="E659" i="2"/>
  <c r="D1306" i="2"/>
  <c r="E1306" i="2"/>
  <c r="D1034" i="2"/>
  <c r="E1034" i="2"/>
  <c r="D1068" i="2"/>
  <c r="E1068" i="2"/>
  <c r="D932" i="2"/>
  <c r="E932" i="2"/>
  <c r="D898" i="2"/>
  <c r="E898" i="2"/>
  <c r="D591" i="2"/>
  <c r="E591" i="2"/>
  <c r="D526" i="2"/>
  <c r="E526" i="2"/>
  <c r="D1272" i="2"/>
  <c r="E1272" i="2"/>
  <c r="D761" i="2"/>
  <c r="E761" i="2"/>
  <c r="D1374" i="2"/>
  <c r="E1374" i="2"/>
  <c r="D1340" i="2"/>
  <c r="E1340" i="2"/>
  <c r="D1000" i="2"/>
  <c r="E1000" i="2"/>
  <c r="D1442" i="2"/>
  <c r="E1442" i="2"/>
  <c r="D795" i="2"/>
  <c r="E795" i="2"/>
  <c r="D1544" i="2"/>
  <c r="E1544" i="2"/>
  <c r="D1171" i="2"/>
  <c r="E1171" i="2"/>
  <c r="D1510" i="2"/>
  <c r="E1510" i="2"/>
  <c r="D1204" i="2"/>
  <c r="E1204" i="2"/>
  <c r="D1137" i="2"/>
  <c r="E1137" i="2"/>
  <c r="D1476" i="2"/>
  <c r="E1476" i="2"/>
  <c r="D693" i="2"/>
  <c r="E693" i="2"/>
  <c r="D1408" i="2"/>
  <c r="E1408" i="2"/>
  <c r="O724" i="2"/>
  <c r="T654" i="2"/>
  <c r="S654" i="2"/>
  <c r="R1202" i="2"/>
  <c r="R930" i="2"/>
  <c r="R1440" i="2"/>
  <c r="R589" i="2"/>
  <c r="T589" i="2" s="1"/>
  <c r="B1543" i="2"/>
  <c r="G1543" i="2"/>
  <c r="C1543" i="2"/>
  <c r="R1135" i="2"/>
  <c r="I1135" i="2" s="1"/>
  <c r="R555" i="2"/>
  <c r="R1169" i="2"/>
  <c r="R827" i="2"/>
  <c r="R1066" i="2"/>
  <c r="R861" i="2"/>
  <c r="R623" i="2"/>
  <c r="R759" i="2"/>
  <c r="R896" i="2"/>
  <c r="T896" i="2" s="1"/>
  <c r="F1600" i="2"/>
  <c r="F1599" i="2"/>
  <c r="F1601" i="2"/>
  <c r="R1372" i="2"/>
  <c r="R452" i="2"/>
  <c r="R521" i="2"/>
  <c r="R1338" i="2"/>
  <c r="S1338" i="2" s="1"/>
  <c r="R657" i="2"/>
  <c r="R964" i="2"/>
  <c r="R793" i="2"/>
  <c r="R691" i="2"/>
  <c r="R725" i="2"/>
  <c r="I725" i="2" s="1"/>
  <c r="R1100" i="2"/>
  <c r="T1303" i="2"/>
  <c r="R1472" i="2"/>
  <c r="R487" i="2"/>
  <c r="R998" i="2"/>
  <c r="R1032" i="2"/>
  <c r="T1032" i="2" s="1"/>
  <c r="R1304" i="2"/>
  <c r="S1437" i="2"/>
  <c r="T1437" i="2"/>
  <c r="R1406" i="2"/>
  <c r="B49" i="1"/>
  <c r="C1542" i="2"/>
  <c r="B1542" i="2"/>
  <c r="G1542" i="2"/>
  <c r="R1270" i="2"/>
  <c r="R383" i="2"/>
  <c r="R418" i="2"/>
  <c r="R1474" i="2"/>
  <c r="C1102" i="2"/>
  <c r="G1102" i="2"/>
  <c r="B1102" i="2"/>
  <c r="A1103" i="2"/>
  <c r="T1371" i="2"/>
  <c r="S1371" i="2"/>
  <c r="O521" i="2"/>
  <c r="T1168" i="2"/>
  <c r="S1168" i="2"/>
  <c r="O1372" i="2"/>
  <c r="O930" i="2"/>
  <c r="C1340" i="2"/>
  <c r="G1340" i="2"/>
  <c r="A1341" i="2"/>
  <c r="B1340" i="2"/>
  <c r="S1201" i="2"/>
  <c r="T1201" i="2"/>
  <c r="S554" i="2"/>
  <c r="T554" i="2"/>
  <c r="O1406" i="2"/>
  <c r="O964" i="2"/>
  <c r="T1134" i="2"/>
  <c r="S1134" i="2"/>
  <c r="A796" i="2"/>
  <c r="A831" i="2" s="1"/>
  <c r="G795" i="2"/>
  <c r="C795" i="2"/>
  <c r="B795" i="2"/>
  <c r="T860" i="2"/>
  <c r="S860" i="2"/>
  <c r="O793" i="2"/>
  <c r="S417" i="2"/>
  <c r="T417" i="2"/>
  <c r="C1306" i="2"/>
  <c r="G1306" i="2"/>
  <c r="B1306" i="2"/>
  <c r="A1307" i="2"/>
  <c r="G1000" i="2"/>
  <c r="A1001" i="2"/>
  <c r="C1000" i="2"/>
  <c r="B1000" i="2"/>
  <c r="A1579" i="2"/>
  <c r="O998" i="2"/>
  <c r="S520" i="2"/>
  <c r="T520" i="2"/>
  <c r="B491" i="2"/>
  <c r="T1473" i="2"/>
  <c r="S1473" i="2"/>
  <c r="B863" i="2"/>
  <c r="G863" i="2"/>
  <c r="A864" i="2"/>
  <c r="C863" i="2"/>
  <c r="O861" i="2"/>
  <c r="T997" i="2"/>
  <c r="S997" i="2"/>
  <c r="B1034" i="2"/>
  <c r="G1034" i="2"/>
  <c r="C1034" i="2"/>
  <c r="A1035" i="2"/>
  <c r="O1169" i="2"/>
  <c r="A899" i="2"/>
  <c r="C898" i="2"/>
  <c r="G898" i="2"/>
  <c r="B898" i="2"/>
  <c r="G829" i="2"/>
  <c r="O1066" i="2"/>
  <c r="O1100" i="2"/>
  <c r="S1099" i="2"/>
  <c r="T1099" i="2"/>
  <c r="S1439" i="2"/>
  <c r="T1439" i="2"/>
  <c r="T895" i="2"/>
  <c r="S895" i="2"/>
  <c r="O452" i="2"/>
  <c r="T826" i="2"/>
  <c r="S826" i="2"/>
  <c r="O1475" i="2"/>
  <c r="O1542" i="2"/>
  <c r="O1202" i="2"/>
  <c r="O1270" i="2"/>
  <c r="C1239" i="2"/>
  <c r="G1239" i="2"/>
  <c r="B1239" i="2"/>
  <c r="A1443" i="2"/>
  <c r="C1442" i="2"/>
  <c r="B1442" i="2"/>
  <c r="G1442" i="2"/>
  <c r="A728" i="2"/>
  <c r="G727" i="2"/>
  <c r="C727" i="2"/>
  <c r="B727" i="2"/>
  <c r="S792" i="2"/>
  <c r="T792" i="2"/>
  <c r="O623" i="2"/>
  <c r="C932" i="2"/>
  <c r="G932" i="2"/>
  <c r="B932" i="2"/>
  <c r="A933" i="2"/>
  <c r="B761" i="2"/>
  <c r="C761" i="2"/>
  <c r="G761" i="2"/>
  <c r="A762" i="2"/>
  <c r="B693" i="2"/>
  <c r="C693" i="2"/>
  <c r="G693" i="2"/>
  <c r="T963" i="2"/>
  <c r="S963" i="2"/>
  <c r="B659" i="2"/>
  <c r="A660" i="2"/>
  <c r="A661" i="2" s="1"/>
  <c r="G659" i="2"/>
  <c r="C659" i="2"/>
  <c r="G1204" i="2"/>
  <c r="C1204" i="2"/>
  <c r="A1205" i="2"/>
  <c r="B1204" i="2"/>
  <c r="O487" i="2"/>
  <c r="O556" i="2"/>
  <c r="A1545" i="2"/>
  <c r="C1544" i="2"/>
  <c r="G1544" i="2"/>
  <c r="B1544" i="2"/>
  <c r="A1613" i="2"/>
  <c r="A1647" i="2"/>
  <c r="C1171" i="2"/>
  <c r="B1171" i="2"/>
  <c r="A1172" i="2"/>
  <c r="G1171" i="2"/>
  <c r="O691" i="2"/>
  <c r="T622" i="2"/>
  <c r="S622" i="2"/>
  <c r="O590" i="2"/>
  <c r="C1137" i="2"/>
  <c r="G1137" i="2"/>
  <c r="B1137" i="2"/>
  <c r="A1138" i="2"/>
  <c r="C1476" i="2"/>
  <c r="A1477" i="2"/>
  <c r="G1476" i="2"/>
  <c r="B1476" i="2"/>
  <c r="C1374" i="2"/>
  <c r="G1374" i="2"/>
  <c r="B1374" i="2"/>
  <c r="A1375" i="2"/>
  <c r="B1272" i="2"/>
  <c r="G1272" i="2"/>
  <c r="A1273" i="2"/>
  <c r="C1272" i="2"/>
  <c r="G1068" i="2"/>
  <c r="C1068" i="2"/>
  <c r="A1069" i="2"/>
  <c r="B1068" i="2"/>
  <c r="S588" i="2"/>
  <c r="T588" i="2"/>
  <c r="O1474" i="2"/>
  <c r="S486" i="2"/>
  <c r="T486" i="2"/>
  <c r="O1304" i="2"/>
  <c r="S656" i="2"/>
  <c r="T656" i="2"/>
  <c r="O1508" i="2"/>
  <c r="O555" i="2"/>
  <c r="S929" i="2"/>
  <c r="T929" i="2"/>
  <c r="O1440" i="2"/>
  <c r="T1236" i="2"/>
  <c r="S1236" i="2"/>
  <c r="O657" i="2"/>
  <c r="S451" i="2"/>
  <c r="T451" i="2"/>
  <c r="T1405" i="2"/>
  <c r="S1405" i="2"/>
  <c r="T1269" i="2"/>
  <c r="S1269" i="2"/>
  <c r="T1337" i="2"/>
  <c r="S1337" i="2"/>
  <c r="T758" i="2"/>
  <c r="S758" i="2"/>
  <c r="A967" i="2"/>
  <c r="B966" i="2"/>
  <c r="G966" i="2"/>
  <c r="C966" i="2"/>
  <c r="B1510" i="2"/>
  <c r="G1510" i="2"/>
  <c r="C1510" i="2"/>
  <c r="A1511" i="2"/>
  <c r="C591" i="2"/>
  <c r="A592" i="2"/>
  <c r="A593" i="2" s="1"/>
  <c r="G591" i="2"/>
  <c r="B591" i="2"/>
  <c r="G1408" i="2"/>
  <c r="A1409" i="2"/>
  <c r="B1408" i="2"/>
  <c r="C1408" i="2"/>
  <c r="S1031" i="2"/>
  <c r="T1031" i="2"/>
  <c r="O827" i="2"/>
  <c r="A526" i="2"/>
  <c r="C526" i="2"/>
  <c r="G526" i="2"/>
  <c r="R386" i="2" l="1"/>
  <c r="I736" i="2"/>
  <c r="S419" i="2"/>
  <c r="T385" i="2"/>
  <c r="S385" i="2"/>
  <c r="B695" i="2"/>
  <c r="C695" i="2"/>
  <c r="D695" i="2"/>
  <c r="E695" i="2"/>
  <c r="G695" i="2"/>
  <c r="A696" i="2"/>
  <c r="B661" i="2"/>
  <c r="C661" i="2"/>
  <c r="D661" i="2"/>
  <c r="E661" i="2"/>
  <c r="G661" i="2"/>
  <c r="A662" i="2"/>
  <c r="B627" i="2"/>
  <c r="C627" i="2"/>
  <c r="D627" i="2"/>
  <c r="E627" i="2"/>
  <c r="G627" i="2"/>
  <c r="A628" i="2"/>
  <c r="B593" i="2"/>
  <c r="C593" i="2"/>
  <c r="D593" i="2"/>
  <c r="E593" i="2"/>
  <c r="G593" i="2"/>
  <c r="A594" i="2"/>
  <c r="B559" i="2"/>
  <c r="C559" i="2"/>
  <c r="D559" i="2"/>
  <c r="E559" i="2"/>
  <c r="G559" i="2"/>
  <c r="A560" i="2"/>
  <c r="R489" i="2"/>
  <c r="T489" i="2" s="1"/>
  <c r="B525" i="2"/>
  <c r="C525" i="2"/>
  <c r="D525" i="2"/>
  <c r="E525" i="2"/>
  <c r="G525" i="2"/>
  <c r="Q524" i="2"/>
  <c r="P524" i="2"/>
  <c r="R454" i="2"/>
  <c r="T454" i="2" s="1"/>
  <c r="Q490" i="2"/>
  <c r="Q491" i="2" s="1"/>
  <c r="P490" i="2"/>
  <c r="P491" i="2" s="1"/>
  <c r="R420" i="2"/>
  <c r="Q455" i="2"/>
  <c r="Q456" i="2" s="1"/>
  <c r="P455" i="2"/>
  <c r="P456" i="2" s="1"/>
  <c r="S690" i="2"/>
  <c r="S724" i="2"/>
  <c r="S1065" i="2"/>
  <c r="D1578" i="2"/>
  <c r="B1578" i="2"/>
  <c r="Q1578" i="2" s="1"/>
  <c r="D1577" i="2"/>
  <c r="E1577" i="2"/>
  <c r="E1578" i="2"/>
  <c r="T690" i="2"/>
  <c r="T1065" i="2"/>
  <c r="O759" i="2"/>
  <c r="O1135" i="2"/>
  <c r="S1135" i="2" s="1"/>
  <c r="B831" i="2"/>
  <c r="C831" i="2"/>
  <c r="D831" i="2"/>
  <c r="E831" i="2"/>
  <c r="Q523" i="2"/>
  <c r="P523" i="2"/>
  <c r="Q1476" i="2"/>
  <c r="P1476" i="2"/>
  <c r="Q1204" i="2"/>
  <c r="P1204" i="2"/>
  <c r="Q693" i="2"/>
  <c r="P693" i="2"/>
  <c r="Q1543" i="2"/>
  <c r="P1543" i="2"/>
  <c r="Q761" i="2"/>
  <c r="P761" i="2"/>
  <c r="Q591" i="2"/>
  <c r="P591" i="2"/>
  <c r="Q1137" i="2"/>
  <c r="P1137" i="2"/>
  <c r="Q1171" i="2"/>
  <c r="P1171" i="2"/>
  <c r="Q1442" i="2"/>
  <c r="P1442" i="2"/>
  <c r="Q1239" i="2"/>
  <c r="P1239" i="2"/>
  <c r="Q625" i="2"/>
  <c r="P625" i="2"/>
  <c r="Q898" i="2"/>
  <c r="P898" i="2"/>
  <c r="Q863" i="2"/>
  <c r="P863" i="2"/>
  <c r="Q1000" i="2"/>
  <c r="P1000" i="2"/>
  <c r="Q966" i="2"/>
  <c r="P966" i="2"/>
  <c r="Q1544" i="2"/>
  <c r="P1544" i="2"/>
  <c r="Q932" i="2"/>
  <c r="P932" i="2"/>
  <c r="Q727" i="2"/>
  <c r="P727" i="2"/>
  <c r="Q795" i="2"/>
  <c r="P795" i="2"/>
  <c r="P1340" i="2"/>
  <c r="Q1340" i="2"/>
  <c r="Q1510" i="2"/>
  <c r="P1510" i="2"/>
  <c r="Q1068" i="2"/>
  <c r="P1068" i="2"/>
  <c r="Q1374" i="2"/>
  <c r="P1374" i="2"/>
  <c r="Q829" i="2"/>
  <c r="P829" i="2"/>
  <c r="Q1408" i="2"/>
  <c r="P1408" i="2"/>
  <c r="Q1272" i="2"/>
  <c r="P1272" i="2"/>
  <c r="Q659" i="2"/>
  <c r="P659" i="2"/>
  <c r="Q1034" i="2"/>
  <c r="P1034" i="2"/>
  <c r="Q557" i="2"/>
  <c r="P557" i="2"/>
  <c r="Q1306" i="2"/>
  <c r="P1306" i="2"/>
  <c r="Q1102" i="2"/>
  <c r="P1102" i="2"/>
  <c r="Q1542" i="2"/>
  <c r="P1542" i="2"/>
  <c r="D660" i="2"/>
  <c r="E660" i="2"/>
  <c r="D1579" i="2"/>
  <c r="E1579" i="2"/>
  <c r="D796" i="2"/>
  <c r="E796" i="2"/>
  <c r="D1069" i="2"/>
  <c r="E1069" i="2"/>
  <c r="D1138" i="2"/>
  <c r="E1138" i="2"/>
  <c r="D1172" i="2"/>
  <c r="E1172" i="2"/>
  <c r="D1035" i="2"/>
  <c r="E1035" i="2"/>
  <c r="D1001" i="2"/>
  <c r="E1001" i="2"/>
  <c r="D1341" i="2"/>
  <c r="E1341" i="2"/>
  <c r="D728" i="2"/>
  <c r="E728" i="2"/>
  <c r="D1240" i="2"/>
  <c r="E1240" i="2"/>
  <c r="D864" i="2"/>
  <c r="E864" i="2"/>
  <c r="D1307" i="2"/>
  <c r="E1307" i="2"/>
  <c r="D592" i="2"/>
  <c r="E592" i="2"/>
  <c r="D967" i="2"/>
  <c r="E967" i="2"/>
  <c r="D1205" i="2"/>
  <c r="E1205" i="2"/>
  <c r="D762" i="2"/>
  <c r="E762" i="2"/>
  <c r="D1443" i="2"/>
  <c r="E1443" i="2"/>
  <c r="D1409" i="2"/>
  <c r="E1409" i="2"/>
  <c r="D1273" i="2"/>
  <c r="E1273" i="2"/>
  <c r="D1375" i="2"/>
  <c r="E1375" i="2"/>
  <c r="D1477" i="2"/>
  <c r="E1477" i="2"/>
  <c r="D1613" i="2"/>
  <c r="D933" i="2"/>
  <c r="E933" i="2"/>
  <c r="D899" i="2"/>
  <c r="E899" i="2"/>
  <c r="D561" i="2"/>
  <c r="E561" i="2"/>
  <c r="D1511" i="2"/>
  <c r="E1511" i="2"/>
  <c r="D1545" i="2"/>
  <c r="E1545" i="2"/>
  <c r="D1103" i="2"/>
  <c r="E1103" i="2"/>
  <c r="R1508" i="2"/>
  <c r="T1508" i="2" s="1"/>
  <c r="T724" i="2"/>
  <c r="O725" i="2"/>
  <c r="T725" i="2" s="1"/>
  <c r="S589" i="2"/>
  <c r="S896" i="2"/>
  <c r="C1578" i="2"/>
  <c r="G1578" i="2"/>
  <c r="R1136" i="2"/>
  <c r="R1170" i="2"/>
  <c r="I1170" i="2" s="1"/>
  <c r="R1507" i="2"/>
  <c r="R590" i="2"/>
  <c r="S590" i="2" s="1"/>
  <c r="R1441" i="2"/>
  <c r="R1203" i="2"/>
  <c r="R760" i="2"/>
  <c r="I760" i="2" s="1"/>
  <c r="R1271" i="2"/>
  <c r="T1338" i="2"/>
  <c r="R862" i="2"/>
  <c r="R1033" i="2"/>
  <c r="R897" i="2"/>
  <c r="R1339" i="2"/>
  <c r="R726" i="2"/>
  <c r="R794" i="2"/>
  <c r="R658" i="2"/>
  <c r="S1032" i="2"/>
  <c r="F1635" i="2"/>
  <c r="F1634" i="2"/>
  <c r="F1636" i="2"/>
  <c r="R556" i="2"/>
  <c r="T556" i="2" s="1"/>
  <c r="R1067" i="2"/>
  <c r="R931" i="2"/>
  <c r="R1373" i="2"/>
  <c r="R624" i="2"/>
  <c r="R999" i="2"/>
  <c r="R1407" i="2"/>
  <c r="R692" i="2"/>
  <c r="S692" i="2" s="1"/>
  <c r="R1238" i="2"/>
  <c r="R965" i="2"/>
  <c r="T1472" i="2"/>
  <c r="S1472" i="2"/>
  <c r="R1101" i="2"/>
  <c r="R828" i="2"/>
  <c r="B50" i="1"/>
  <c r="D1612" i="2" s="1"/>
  <c r="C1577" i="2"/>
  <c r="B1577" i="2"/>
  <c r="G1577" i="2"/>
  <c r="R1475" i="2"/>
  <c r="T1475" i="2" s="1"/>
  <c r="R522" i="2"/>
  <c r="R1305" i="2"/>
  <c r="S383" i="2"/>
  <c r="T383" i="2"/>
  <c r="T418" i="2"/>
  <c r="R1509" i="2"/>
  <c r="R488" i="2"/>
  <c r="S418" i="2"/>
  <c r="O1373" i="2"/>
  <c r="O624" i="2"/>
  <c r="O1305" i="2"/>
  <c r="C1035" i="2"/>
  <c r="G1035" i="2"/>
  <c r="A1036" i="2"/>
  <c r="B1035" i="2"/>
  <c r="S998" i="2"/>
  <c r="T998" i="2"/>
  <c r="C1001" i="2"/>
  <c r="B1001" i="2"/>
  <c r="G1001" i="2"/>
  <c r="A1002" i="2"/>
  <c r="O897" i="2"/>
  <c r="T793" i="2"/>
  <c r="S793" i="2"/>
  <c r="G1103" i="2"/>
  <c r="A1104" i="2"/>
  <c r="C1103" i="2"/>
  <c r="B1103" i="2"/>
  <c r="O1067" i="2"/>
  <c r="O1271" i="2"/>
  <c r="O931" i="2"/>
  <c r="O1033" i="2"/>
  <c r="G830" i="2"/>
  <c r="A865" i="2"/>
  <c r="G864" i="2"/>
  <c r="C864" i="2"/>
  <c r="B864" i="2"/>
  <c r="O1238" i="2"/>
  <c r="O999" i="2"/>
  <c r="G1545" i="2"/>
  <c r="C1545" i="2"/>
  <c r="A1546" i="2"/>
  <c r="B1545" i="2"/>
  <c r="A1206" i="2"/>
  <c r="C1205" i="2"/>
  <c r="B1205" i="2"/>
  <c r="G1205" i="2"/>
  <c r="T964" i="2"/>
  <c r="S964" i="2"/>
  <c r="T930" i="2"/>
  <c r="S930" i="2"/>
  <c r="G933" i="2"/>
  <c r="B933" i="2"/>
  <c r="A934" i="2"/>
  <c r="C933" i="2"/>
  <c r="T1270" i="2"/>
  <c r="S1270" i="2"/>
  <c r="S1406" i="2"/>
  <c r="T1406" i="2"/>
  <c r="T1372" i="2"/>
  <c r="S1372" i="2"/>
  <c r="T1202" i="2"/>
  <c r="S1202" i="2"/>
  <c r="O1034" i="2"/>
  <c r="B561" i="2"/>
  <c r="G561" i="2"/>
  <c r="C561" i="2"/>
  <c r="A561" i="2"/>
  <c r="B1409" i="2"/>
  <c r="A1410" i="2"/>
  <c r="G1409" i="2"/>
  <c r="C1409" i="2"/>
  <c r="G967" i="2"/>
  <c r="A968" i="2"/>
  <c r="B967" i="2"/>
  <c r="C967" i="2"/>
  <c r="S1440" i="2"/>
  <c r="T1440" i="2"/>
  <c r="S1474" i="2"/>
  <c r="T1474" i="2"/>
  <c r="B1069" i="2"/>
  <c r="A1070" i="2"/>
  <c r="C1069" i="2"/>
  <c r="G1069" i="2"/>
  <c r="B526" i="2"/>
  <c r="G1511" i="2"/>
  <c r="C1511" i="2"/>
  <c r="A1512" i="2"/>
  <c r="B1511" i="2"/>
  <c r="O965" i="2"/>
  <c r="O726" i="2"/>
  <c r="C1579" i="2"/>
  <c r="B1579" i="2"/>
  <c r="G1579" i="2"/>
  <c r="A1580" i="2"/>
  <c r="O1408" i="2"/>
  <c r="O453" i="2"/>
  <c r="O1543" i="2"/>
  <c r="S555" i="2"/>
  <c r="T555" i="2"/>
  <c r="O1339" i="2"/>
  <c r="A1682" i="2"/>
  <c r="A1648" i="2"/>
  <c r="A1308" i="2"/>
  <c r="G1307" i="2"/>
  <c r="B1307" i="2"/>
  <c r="C1307" i="2"/>
  <c r="O522" i="2"/>
  <c r="A1478" i="2"/>
  <c r="C1477" i="2"/>
  <c r="G1477" i="2"/>
  <c r="B1477" i="2"/>
  <c r="O1509" i="2"/>
  <c r="B1138" i="2"/>
  <c r="G1138" i="2"/>
  <c r="A1139" i="2"/>
  <c r="C1138" i="2"/>
  <c r="O1101" i="2"/>
  <c r="O488" i="2"/>
  <c r="O1306" i="2"/>
  <c r="O1340" i="2"/>
  <c r="S521" i="2"/>
  <c r="T521" i="2"/>
  <c r="T827" i="2"/>
  <c r="S827" i="2"/>
  <c r="O591" i="2"/>
  <c r="O828" i="2"/>
  <c r="O1510" i="2"/>
  <c r="O862" i="2"/>
  <c r="G1273" i="2"/>
  <c r="A1274" i="2"/>
  <c r="B1273" i="2"/>
  <c r="C1273" i="2"/>
  <c r="A1376" i="2"/>
  <c r="B1375" i="2"/>
  <c r="G1375" i="2"/>
  <c r="C1375" i="2"/>
  <c r="A1614" i="2"/>
  <c r="O1407" i="2"/>
  <c r="O1577" i="2"/>
  <c r="B1443" i="2"/>
  <c r="C1443" i="2"/>
  <c r="G1443" i="2"/>
  <c r="A1444" i="2"/>
  <c r="S1100" i="2"/>
  <c r="T1100" i="2"/>
  <c r="B1172" i="2"/>
  <c r="G1172" i="2"/>
  <c r="A1173" i="2"/>
  <c r="C1172" i="2"/>
  <c r="C660" i="2"/>
  <c r="G660" i="2"/>
  <c r="B660" i="2"/>
  <c r="G762" i="2"/>
  <c r="C762" i="2"/>
  <c r="B762" i="2"/>
  <c r="A763" i="2"/>
  <c r="T623" i="2"/>
  <c r="S623" i="2"/>
  <c r="G796" i="2"/>
  <c r="C796" i="2"/>
  <c r="B796" i="2"/>
  <c r="A797" i="2"/>
  <c r="G1341" i="2"/>
  <c r="B1341" i="2"/>
  <c r="A1342" i="2"/>
  <c r="C1341" i="2"/>
  <c r="T1066" i="2"/>
  <c r="S1066" i="2"/>
  <c r="C899" i="2"/>
  <c r="G899" i="2"/>
  <c r="A900" i="2"/>
  <c r="B899" i="2"/>
  <c r="B592" i="2"/>
  <c r="G592" i="2"/>
  <c r="C592" i="2"/>
  <c r="O658" i="2"/>
  <c r="S657" i="2"/>
  <c r="T657" i="2"/>
  <c r="S1304" i="2"/>
  <c r="T1304" i="2"/>
  <c r="T691" i="2"/>
  <c r="S691" i="2"/>
  <c r="S487" i="2"/>
  <c r="T487" i="2"/>
  <c r="C1240" i="2"/>
  <c r="G1240" i="2"/>
  <c r="B1240" i="2"/>
  <c r="S452" i="2"/>
  <c r="T452" i="2"/>
  <c r="S1169" i="2"/>
  <c r="T1169" i="2"/>
  <c r="S861" i="2"/>
  <c r="T861" i="2"/>
  <c r="O1203" i="2"/>
  <c r="A729" i="2"/>
  <c r="A730" i="2" s="1"/>
  <c r="C728" i="2"/>
  <c r="B728" i="2"/>
  <c r="G728" i="2"/>
  <c r="O456" i="2" l="1"/>
  <c r="I771" i="2"/>
  <c r="S386" i="2"/>
  <c r="O491" i="2"/>
  <c r="S420" i="2"/>
  <c r="S421" i="2" s="1"/>
  <c r="R421" i="2"/>
  <c r="T421" i="2" s="1"/>
  <c r="T759" i="2"/>
  <c r="T386" i="2"/>
  <c r="S454" i="2"/>
  <c r="P1578" i="2"/>
  <c r="S489" i="2"/>
  <c r="B730" i="2"/>
  <c r="C730" i="2"/>
  <c r="D730" i="2"/>
  <c r="E730" i="2"/>
  <c r="G730" i="2"/>
  <c r="A731" i="2"/>
  <c r="B696" i="2"/>
  <c r="C696" i="2"/>
  <c r="D696" i="2"/>
  <c r="E696" i="2"/>
  <c r="G696" i="2"/>
  <c r="A697" i="2"/>
  <c r="B662" i="2"/>
  <c r="C662" i="2"/>
  <c r="D662" i="2"/>
  <c r="E662" i="2"/>
  <c r="G662" i="2"/>
  <c r="A663" i="2"/>
  <c r="T420" i="2"/>
  <c r="B628" i="2"/>
  <c r="C628" i="2"/>
  <c r="D628" i="2"/>
  <c r="E628" i="2"/>
  <c r="G628" i="2"/>
  <c r="A629" i="2"/>
  <c r="B594" i="2"/>
  <c r="C594" i="2"/>
  <c r="D594" i="2"/>
  <c r="E594" i="2"/>
  <c r="G594" i="2"/>
  <c r="A595" i="2"/>
  <c r="B560" i="2"/>
  <c r="C560" i="2"/>
  <c r="D560" i="2"/>
  <c r="E560" i="2"/>
  <c r="G560" i="2"/>
  <c r="Q559" i="2"/>
  <c r="P559" i="2"/>
  <c r="R524" i="2"/>
  <c r="T524" i="2" s="1"/>
  <c r="R490" i="2"/>
  <c r="R491" i="2" s="1"/>
  <c r="Q525" i="2"/>
  <c r="Q526" i="2" s="1"/>
  <c r="P525" i="2"/>
  <c r="P526" i="2" s="1"/>
  <c r="R455" i="2"/>
  <c r="T1135" i="2"/>
  <c r="E1613" i="2"/>
  <c r="T1507" i="2"/>
  <c r="S759" i="2"/>
  <c r="E1612" i="2"/>
  <c r="O794" i="2"/>
  <c r="O1170" i="2"/>
  <c r="Q762" i="2"/>
  <c r="P762" i="2"/>
  <c r="Q899" i="2"/>
  <c r="P899" i="2"/>
  <c r="Q1443" i="2"/>
  <c r="P1443" i="2"/>
  <c r="Q1273" i="2"/>
  <c r="P1273" i="2"/>
  <c r="Q1307" i="2"/>
  <c r="P1307" i="2"/>
  <c r="Q830" i="2"/>
  <c r="P830" i="2"/>
  <c r="Q1577" i="2"/>
  <c r="P1577" i="2"/>
  <c r="Q1240" i="2"/>
  <c r="P1240" i="2"/>
  <c r="Q592" i="2"/>
  <c r="P592" i="2"/>
  <c r="Q1138" i="2"/>
  <c r="P1138" i="2"/>
  <c r="Q694" i="2"/>
  <c r="P694" i="2"/>
  <c r="Q1511" i="2"/>
  <c r="P1511" i="2"/>
  <c r="Q558" i="2"/>
  <c r="P558" i="2"/>
  <c r="Q933" i="2"/>
  <c r="P933" i="2"/>
  <c r="Q864" i="2"/>
  <c r="P864" i="2"/>
  <c r="Q1341" i="2"/>
  <c r="P1341" i="2"/>
  <c r="Q1579" i="2"/>
  <c r="P1579" i="2"/>
  <c r="Q626" i="2"/>
  <c r="P626" i="2"/>
  <c r="Q1205" i="2"/>
  <c r="P1205" i="2"/>
  <c r="Q1545" i="2"/>
  <c r="P1545" i="2"/>
  <c r="Q1103" i="2"/>
  <c r="P1103" i="2"/>
  <c r="Q1001" i="2"/>
  <c r="P1001" i="2"/>
  <c r="Q796" i="2"/>
  <c r="P796" i="2"/>
  <c r="Q660" i="2"/>
  <c r="P660" i="2"/>
  <c r="Q728" i="2"/>
  <c r="P728" i="2"/>
  <c r="Q1172" i="2"/>
  <c r="P1172" i="2"/>
  <c r="Q1375" i="2"/>
  <c r="P1375" i="2"/>
  <c r="Q1477" i="2"/>
  <c r="P1477" i="2"/>
  <c r="Q1069" i="2"/>
  <c r="P1069" i="2"/>
  <c r="Q967" i="2"/>
  <c r="P967" i="2"/>
  <c r="Q1409" i="2"/>
  <c r="P1409" i="2"/>
  <c r="Q1035" i="2"/>
  <c r="P1035" i="2"/>
  <c r="S1508" i="2"/>
  <c r="D1241" i="2"/>
  <c r="E1241" i="2"/>
  <c r="D596" i="2"/>
  <c r="E596" i="2"/>
  <c r="D1478" i="2"/>
  <c r="E1478" i="2"/>
  <c r="D1580" i="2"/>
  <c r="E1580" i="2"/>
  <c r="D934" i="2"/>
  <c r="E934" i="2"/>
  <c r="D1546" i="2"/>
  <c r="E1546" i="2"/>
  <c r="D1002" i="2"/>
  <c r="E1002" i="2"/>
  <c r="D1444" i="2"/>
  <c r="E1444" i="2"/>
  <c r="D1206" i="2"/>
  <c r="E1206" i="2"/>
  <c r="D865" i="2"/>
  <c r="E865" i="2"/>
  <c r="D1104" i="2"/>
  <c r="E1104" i="2"/>
  <c r="D1036" i="2"/>
  <c r="E1036" i="2"/>
  <c r="D729" i="2"/>
  <c r="E729" i="2"/>
  <c r="D1614" i="2"/>
  <c r="E1614" i="2"/>
  <c r="D968" i="2"/>
  <c r="E968" i="2"/>
  <c r="D900" i="2"/>
  <c r="E900" i="2"/>
  <c r="D1342" i="2"/>
  <c r="E1342" i="2"/>
  <c r="D797" i="2"/>
  <c r="E797" i="2"/>
  <c r="D763" i="2"/>
  <c r="E763" i="2"/>
  <c r="D1173" i="2"/>
  <c r="E1173" i="2"/>
  <c r="D1376" i="2"/>
  <c r="E1376" i="2"/>
  <c r="D1274" i="2"/>
  <c r="E1274" i="2"/>
  <c r="D1139" i="2"/>
  <c r="E1139" i="2"/>
  <c r="D1308" i="2"/>
  <c r="E1308" i="2"/>
  <c r="D1512" i="2"/>
  <c r="E1512" i="2"/>
  <c r="D1070" i="2"/>
  <c r="E1070" i="2"/>
  <c r="D1410" i="2"/>
  <c r="E1410" i="2"/>
  <c r="S725" i="2"/>
  <c r="O760" i="2"/>
  <c r="T760" i="2" s="1"/>
  <c r="S1507" i="2"/>
  <c r="B1613" i="2"/>
  <c r="G1613" i="2"/>
  <c r="T590" i="2"/>
  <c r="R1102" i="2"/>
  <c r="C1613" i="2"/>
  <c r="R1408" i="2"/>
  <c r="S1408" i="2" s="1"/>
  <c r="R1442" i="2"/>
  <c r="R898" i="2"/>
  <c r="R1171" i="2"/>
  <c r="R625" i="2"/>
  <c r="R829" i="2"/>
  <c r="R1034" i="2"/>
  <c r="T1034" i="2" s="1"/>
  <c r="R1204" i="2"/>
  <c r="R1476" i="2"/>
  <c r="R1542" i="2"/>
  <c r="R932" i="2"/>
  <c r="R591" i="2"/>
  <c r="S591" i="2" s="1"/>
  <c r="S1475" i="2"/>
  <c r="S556" i="2"/>
  <c r="F1670" i="2"/>
  <c r="F1669" i="2"/>
  <c r="F1704" i="2" s="1"/>
  <c r="F1671" i="2"/>
  <c r="F1706" i="2" s="1"/>
  <c r="R795" i="2"/>
  <c r="I795" i="2" s="1"/>
  <c r="R1137" i="2"/>
  <c r="R557" i="2"/>
  <c r="R659" i="2"/>
  <c r="R1510" i="2"/>
  <c r="S1510" i="2" s="1"/>
  <c r="R727" i="2"/>
  <c r="R693" i="2"/>
  <c r="R863" i="2"/>
  <c r="R1306" i="2"/>
  <c r="T1306" i="2" s="1"/>
  <c r="R1272" i="2"/>
  <c r="R1000" i="2"/>
  <c r="R1239" i="2"/>
  <c r="R966" i="2"/>
  <c r="R1068" i="2"/>
  <c r="B51" i="1"/>
  <c r="E1648" i="2" s="1"/>
  <c r="B1612" i="2"/>
  <c r="G1612" i="2"/>
  <c r="C1612" i="2"/>
  <c r="R761" i="2"/>
  <c r="R1374" i="2"/>
  <c r="R1340" i="2"/>
  <c r="T1340" i="2" s="1"/>
  <c r="R1544" i="2"/>
  <c r="R453" i="2"/>
  <c r="R1578" i="2"/>
  <c r="R1543" i="2"/>
  <c r="S1543" i="2" s="1"/>
  <c r="A1140" i="2"/>
  <c r="G1139" i="2"/>
  <c r="B1139" i="2"/>
  <c r="C1139" i="2"/>
  <c r="S1136" i="2"/>
  <c r="T1136" i="2"/>
  <c r="S965" i="2"/>
  <c r="T965" i="2"/>
  <c r="C1410" i="2"/>
  <c r="B1410" i="2"/>
  <c r="A1411" i="2"/>
  <c r="G1410" i="2"/>
  <c r="S1238" i="2"/>
  <c r="T1238" i="2"/>
  <c r="O1204" i="2"/>
  <c r="B1173" i="2"/>
  <c r="A1174" i="2"/>
  <c r="G1173" i="2"/>
  <c r="C1173" i="2"/>
  <c r="C1444" i="2"/>
  <c r="A1445" i="2"/>
  <c r="G1444" i="2"/>
  <c r="B1444" i="2"/>
  <c r="A1615" i="2"/>
  <c r="C1614" i="2"/>
  <c r="G1614" i="2"/>
  <c r="B1614" i="2"/>
  <c r="T1441" i="2"/>
  <c r="S1441" i="2"/>
  <c r="C729" i="2"/>
  <c r="B729" i="2"/>
  <c r="G729" i="2"/>
  <c r="S658" i="2"/>
  <c r="T658" i="2"/>
  <c r="O966" i="2"/>
  <c r="O557" i="2"/>
  <c r="A935" i="2"/>
  <c r="B934" i="2"/>
  <c r="C934" i="2"/>
  <c r="G934" i="2"/>
  <c r="C1104" i="2"/>
  <c r="A1105" i="2"/>
  <c r="G1104" i="2"/>
  <c r="B1104" i="2"/>
  <c r="A798" i="2"/>
  <c r="G797" i="2"/>
  <c r="C797" i="2"/>
  <c r="B797" i="2"/>
  <c r="O1443" i="2"/>
  <c r="G831" i="2"/>
  <c r="A832" i="2"/>
  <c r="S624" i="2"/>
  <c r="T624" i="2"/>
  <c r="G1241" i="2"/>
  <c r="C1241" i="2"/>
  <c r="B1241" i="2"/>
  <c r="T522" i="2"/>
  <c r="S522" i="2"/>
  <c r="S1170" i="2"/>
  <c r="T1170" i="2"/>
  <c r="O1102" i="2"/>
  <c r="O1068" i="2"/>
  <c r="T1203" i="2"/>
  <c r="S1203" i="2"/>
  <c r="O1239" i="2"/>
  <c r="O1137" i="2"/>
  <c r="B1376" i="2"/>
  <c r="C1376" i="2"/>
  <c r="A1377" i="2"/>
  <c r="G1376" i="2"/>
  <c r="O727" i="2"/>
  <c r="T1509" i="2"/>
  <c r="S1509" i="2"/>
  <c r="O694" i="2"/>
  <c r="S1339" i="2"/>
  <c r="T1339" i="2"/>
  <c r="T1033" i="2"/>
  <c r="S1033" i="2"/>
  <c r="O1272" i="2"/>
  <c r="O932" i="2"/>
  <c r="B1070" i="2"/>
  <c r="C1070" i="2"/>
  <c r="A1071" i="2"/>
  <c r="G1070" i="2"/>
  <c r="O967" i="2"/>
  <c r="T931" i="2"/>
  <c r="S931" i="2"/>
  <c r="G1036" i="2"/>
  <c r="A1037" i="2"/>
  <c r="B1036" i="2"/>
  <c r="C1036" i="2"/>
  <c r="T1101" i="2"/>
  <c r="S1101" i="2"/>
  <c r="A1479" i="2"/>
  <c r="C1478" i="2"/>
  <c r="B1478" i="2"/>
  <c r="G1478" i="2"/>
  <c r="A1717" i="2"/>
  <c r="A1683" i="2"/>
  <c r="B1580" i="2"/>
  <c r="G1580" i="2"/>
  <c r="C1580" i="2"/>
  <c r="A1581" i="2"/>
  <c r="A1513" i="2"/>
  <c r="G1512" i="2"/>
  <c r="C1512" i="2"/>
  <c r="B1512" i="2"/>
  <c r="O659" i="2"/>
  <c r="C596" i="2"/>
  <c r="A596" i="2"/>
  <c r="G596" i="2"/>
  <c r="G865" i="2"/>
  <c r="A866" i="2"/>
  <c r="B865" i="2"/>
  <c r="C865" i="2"/>
  <c r="O1171" i="2"/>
  <c r="O863" i="2"/>
  <c r="C1206" i="2"/>
  <c r="G1206" i="2"/>
  <c r="A1207" i="2"/>
  <c r="B1206" i="2"/>
  <c r="S897" i="2"/>
  <c r="T897" i="2"/>
  <c r="O1000" i="2"/>
  <c r="O1273" i="2"/>
  <c r="T828" i="2"/>
  <c r="S828" i="2"/>
  <c r="O693" i="2"/>
  <c r="O1307" i="2"/>
  <c r="O523" i="2"/>
  <c r="C968" i="2"/>
  <c r="A969" i="2"/>
  <c r="G968" i="2"/>
  <c r="B968" i="2"/>
  <c r="B1342" i="2"/>
  <c r="C1342" i="2"/>
  <c r="G1342" i="2"/>
  <c r="A1343" i="2"/>
  <c r="A1275" i="2"/>
  <c r="B1274" i="2"/>
  <c r="C1274" i="2"/>
  <c r="G1274" i="2"/>
  <c r="O1442" i="2"/>
  <c r="S726" i="2"/>
  <c r="T726" i="2"/>
  <c r="O1578" i="2"/>
  <c r="T692" i="2"/>
  <c r="S1271" i="2"/>
  <c r="T1271" i="2"/>
  <c r="B1002" i="2"/>
  <c r="G1002" i="2"/>
  <c r="C1002" i="2"/>
  <c r="A1003" i="2"/>
  <c r="G900" i="2"/>
  <c r="C900" i="2"/>
  <c r="B900" i="2"/>
  <c r="A901" i="2"/>
  <c r="O625" i="2"/>
  <c r="O1374" i="2"/>
  <c r="S1407" i="2"/>
  <c r="T1407" i="2"/>
  <c r="S862" i="2"/>
  <c r="T862" i="2"/>
  <c r="O1544" i="2"/>
  <c r="G763" i="2"/>
  <c r="C763" i="2"/>
  <c r="B763" i="2"/>
  <c r="A764" i="2"/>
  <c r="T491" i="2"/>
  <c r="S488" i="2"/>
  <c r="T488" i="2"/>
  <c r="G1308" i="2"/>
  <c r="C1308" i="2"/>
  <c r="B1308" i="2"/>
  <c r="A1309" i="2"/>
  <c r="A1649" i="2"/>
  <c r="C1546" i="2"/>
  <c r="A1547" i="2"/>
  <c r="B1546" i="2"/>
  <c r="G1546" i="2"/>
  <c r="S999" i="2"/>
  <c r="T999" i="2"/>
  <c r="T1067" i="2"/>
  <c r="S1067" i="2"/>
  <c r="S1305" i="2"/>
  <c r="T1305" i="2"/>
  <c r="O898" i="2"/>
  <c r="O761" i="2"/>
  <c r="S1373" i="2"/>
  <c r="T1373" i="2"/>
  <c r="I806" i="2" l="1"/>
  <c r="S524" i="2"/>
  <c r="O526" i="2"/>
  <c r="S455" i="2"/>
  <c r="R456" i="2"/>
  <c r="T794" i="2"/>
  <c r="S490" i="2"/>
  <c r="S491" i="2" s="1"/>
  <c r="B697" i="2"/>
  <c r="C697" i="2"/>
  <c r="D697" i="2"/>
  <c r="E697" i="2"/>
  <c r="G697" i="2"/>
  <c r="A698" i="2"/>
  <c r="B731" i="2"/>
  <c r="C731" i="2"/>
  <c r="D731" i="2"/>
  <c r="E731" i="2"/>
  <c r="G731" i="2"/>
  <c r="A732" i="2"/>
  <c r="B663" i="2"/>
  <c r="C663" i="2"/>
  <c r="D663" i="2"/>
  <c r="E663" i="2"/>
  <c r="G663" i="2"/>
  <c r="A664" i="2"/>
  <c r="B629" i="2"/>
  <c r="C629" i="2"/>
  <c r="D629" i="2"/>
  <c r="E629" i="2"/>
  <c r="G629" i="2"/>
  <c r="A630" i="2"/>
  <c r="B595" i="2"/>
  <c r="C595" i="2"/>
  <c r="D595" i="2"/>
  <c r="E595" i="2"/>
  <c r="G595" i="2"/>
  <c r="Q594" i="2"/>
  <c r="P594" i="2"/>
  <c r="T490" i="2"/>
  <c r="R525" i="2"/>
  <c r="Q560" i="2"/>
  <c r="Q561" i="2" s="1"/>
  <c r="P560" i="2"/>
  <c r="P561" i="2" s="1"/>
  <c r="R559" i="2"/>
  <c r="T455" i="2"/>
  <c r="S794" i="2"/>
  <c r="T1542" i="2"/>
  <c r="G1648" i="2"/>
  <c r="E1647" i="2"/>
  <c r="D1648" i="2"/>
  <c r="D1647" i="2"/>
  <c r="Q661" i="2"/>
  <c r="P661" i="2"/>
  <c r="Q968" i="2"/>
  <c r="P968" i="2"/>
  <c r="Q1036" i="2"/>
  <c r="P1036" i="2"/>
  <c r="Q695" i="2"/>
  <c r="P695" i="2"/>
  <c r="Q1104" i="2"/>
  <c r="P1104" i="2"/>
  <c r="Q934" i="2"/>
  <c r="P934" i="2"/>
  <c r="Q1614" i="2"/>
  <c r="P1614" i="2"/>
  <c r="Q1139" i="2"/>
  <c r="P1139" i="2"/>
  <c r="Q1546" i="2"/>
  <c r="P1546" i="2"/>
  <c r="Q1308" i="2"/>
  <c r="P1308" i="2"/>
  <c r="Q763" i="2"/>
  <c r="P763" i="2"/>
  <c r="Q900" i="2"/>
  <c r="P900" i="2"/>
  <c r="Q1002" i="2"/>
  <c r="P1002" i="2"/>
  <c r="Q1206" i="2"/>
  <c r="P1206" i="2"/>
  <c r="Q1512" i="2"/>
  <c r="P1512" i="2"/>
  <c r="Q831" i="2"/>
  <c r="P831" i="2"/>
  <c r="Q1444" i="2"/>
  <c r="P1444" i="2"/>
  <c r="Q1612" i="2"/>
  <c r="P1612" i="2"/>
  <c r="Q1274" i="2"/>
  <c r="P1274" i="2"/>
  <c r="Q1342" i="2"/>
  <c r="P1342" i="2"/>
  <c r="Q865" i="2"/>
  <c r="P865" i="2"/>
  <c r="Q1580" i="2"/>
  <c r="P1580" i="2"/>
  <c r="Q1376" i="2"/>
  <c r="P1376" i="2"/>
  <c r="Q627" i="2"/>
  <c r="P627" i="2"/>
  <c r="Q797" i="2"/>
  <c r="P797" i="2"/>
  <c r="Q729" i="2"/>
  <c r="P729" i="2"/>
  <c r="Q1173" i="2"/>
  <c r="P1173" i="2"/>
  <c r="Q1410" i="2"/>
  <c r="P1410" i="2"/>
  <c r="Q1613" i="2"/>
  <c r="P1613" i="2"/>
  <c r="Q593" i="2"/>
  <c r="P593" i="2"/>
  <c r="Q1478" i="2"/>
  <c r="P1478" i="2"/>
  <c r="Q1070" i="2"/>
  <c r="P1070" i="2"/>
  <c r="Q1241" i="2"/>
  <c r="P1241" i="2"/>
  <c r="D1343" i="2"/>
  <c r="E1343" i="2"/>
  <c r="D969" i="2"/>
  <c r="E969" i="2"/>
  <c r="D1071" i="2"/>
  <c r="E1071" i="2"/>
  <c r="D935" i="2"/>
  <c r="E935" i="2"/>
  <c r="D1547" i="2"/>
  <c r="E1547" i="2"/>
  <c r="D1649" i="2"/>
  <c r="E1649" i="2"/>
  <c r="D1513" i="2"/>
  <c r="E1513" i="2"/>
  <c r="D1037" i="2"/>
  <c r="E1037" i="2"/>
  <c r="D631" i="2"/>
  <c r="E631" i="2"/>
  <c r="D1174" i="2"/>
  <c r="E1174" i="2"/>
  <c r="D1411" i="2"/>
  <c r="E1411" i="2"/>
  <c r="D1309" i="2"/>
  <c r="E1309" i="2"/>
  <c r="D1140" i="2"/>
  <c r="E1140" i="2"/>
  <c r="D764" i="2"/>
  <c r="E764" i="2"/>
  <c r="D901" i="2"/>
  <c r="E901" i="2"/>
  <c r="D1207" i="2"/>
  <c r="E1207" i="2"/>
  <c r="D1581" i="2"/>
  <c r="E1581" i="2"/>
  <c r="D1479" i="2"/>
  <c r="E1479" i="2"/>
  <c r="D832" i="2"/>
  <c r="E832" i="2"/>
  <c r="D798" i="2"/>
  <c r="E798" i="2"/>
  <c r="D1105" i="2"/>
  <c r="E1105" i="2"/>
  <c r="D1003" i="2"/>
  <c r="E1003" i="2"/>
  <c r="D1275" i="2"/>
  <c r="E1275" i="2"/>
  <c r="D866" i="2"/>
  <c r="E866" i="2"/>
  <c r="D1683" i="2"/>
  <c r="E1683" i="2"/>
  <c r="D1377" i="2"/>
  <c r="E1377" i="2"/>
  <c r="D1242" i="2"/>
  <c r="E1242" i="2"/>
  <c r="D1615" i="2"/>
  <c r="E1615" i="2"/>
  <c r="D1445" i="2"/>
  <c r="E1445" i="2"/>
  <c r="S760" i="2"/>
  <c r="O795" i="2"/>
  <c r="S795" i="2" s="1"/>
  <c r="T1408" i="2"/>
  <c r="B1648" i="2"/>
  <c r="C1648" i="2"/>
  <c r="R1273" i="2"/>
  <c r="T1273" i="2" s="1"/>
  <c r="R1001" i="2"/>
  <c r="S1542" i="2"/>
  <c r="S1034" i="2"/>
  <c r="T591" i="2"/>
  <c r="R694" i="2"/>
  <c r="S694" i="2" s="1"/>
  <c r="R830" i="2"/>
  <c r="I830" i="2" s="1"/>
  <c r="O830" i="2" s="1"/>
  <c r="R1477" i="2"/>
  <c r="T1510" i="2"/>
  <c r="R1545" i="2"/>
  <c r="R967" i="2"/>
  <c r="S967" i="2" s="1"/>
  <c r="R1240" i="2"/>
  <c r="I1240" i="2" s="1"/>
  <c r="S1306" i="2"/>
  <c r="R933" i="2"/>
  <c r="F1705" i="2"/>
  <c r="S1340" i="2"/>
  <c r="R728" i="2"/>
  <c r="R1443" i="2"/>
  <c r="S1443" i="2" s="1"/>
  <c r="R1341" i="2"/>
  <c r="R796" i="2"/>
  <c r="R1138" i="2"/>
  <c r="R1577" i="2"/>
  <c r="T1543" i="2"/>
  <c r="R1375" i="2"/>
  <c r="R626" i="2"/>
  <c r="R1103" i="2"/>
  <c r="R1307" i="2"/>
  <c r="S1307" i="2" s="1"/>
  <c r="R1409" i="2"/>
  <c r="R660" i="2"/>
  <c r="R864" i="2"/>
  <c r="S453" i="2"/>
  <c r="R762" i="2"/>
  <c r="B52" i="1"/>
  <c r="G1683" i="2" s="1"/>
  <c r="B1647" i="2"/>
  <c r="C1647" i="2"/>
  <c r="G1647" i="2"/>
  <c r="R899" i="2"/>
  <c r="R1069" i="2"/>
  <c r="R1035" i="2"/>
  <c r="R592" i="2"/>
  <c r="R1172" i="2"/>
  <c r="T453" i="2"/>
  <c r="R523" i="2"/>
  <c r="R1511" i="2"/>
  <c r="R1579" i="2"/>
  <c r="R1205" i="2"/>
  <c r="I1205" i="2" s="1"/>
  <c r="R558" i="2"/>
  <c r="G1547" i="2"/>
  <c r="C1547" i="2"/>
  <c r="A1548" i="2"/>
  <c r="B1547" i="2"/>
  <c r="A970" i="2"/>
  <c r="G969" i="2"/>
  <c r="B969" i="2"/>
  <c r="C969" i="2"/>
  <c r="C1513" i="2"/>
  <c r="G1513" i="2"/>
  <c r="A1514" i="2"/>
  <c r="B1513" i="2"/>
  <c r="O796" i="2"/>
  <c r="B1615" i="2"/>
  <c r="C1615" i="2"/>
  <c r="G1615" i="2"/>
  <c r="A1616" i="2"/>
  <c r="A1310" i="2"/>
  <c r="C1309" i="2"/>
  <c r="B1309" i="2"/>
  <c r="G1309" i="2"/>
  <c r="S1544" i="2"/>
  <c r="T1544" i="2"/>
  <c r="S1442" i="2"/>
  <c r="T1442" i="2"/>
  <c r="A1752" i="2"/>
  <c r="A1718" i="2"/>
  <c r="S727" i="2"/>
  <c r="T727" i="2"/>
  <c r="O933" i="2"/>
  <c r="O831" i="2"/>
  <c r="O762" i="2"/>
  <c r="O1511" i="2"/>
  <c r="S761" i="2"/>
  <c r="T761" i="2"/>
  <c r="S625" i="2"/>
  <c r="T625" i="2"/>
  <c r="S1476" i="2"/>
  <c r="T1476" i="2"/>
  <c r="O558" i="2"/>
  <c r="S1068" i="2"/>
  <c r="T1068" i="2"/>
  <c r="O1172" i="2"/>
  <c r="A799" i="2"/>
  <c r="G798" i="2"/>
  <c r="B798" i="2"/>
  <c r="C798" i="2"/>
  <c r="G1581" i="2"/>
  <c r="B1581" i="2"/>
  <c r="A1582" i="2"/>
  <c r="C1581" i="2"/>
  <c r="O1070" i="2"/>
  <c r="T1272" i="2"/>
  <c r="S1272" i="2"/>
  <c r="A1378" i="2"/>
  <c r="G1377" i="2"/>
  <c r="C1377" i="2"/>
  <c r="B1377" i="2"/>
  <c r="C832" i="2"/>
  <c r="B832" i="2"/>
  <c r="G832" i="2"/>
  <c r="A833" i="2"/>
  <c r="O1104" i="2"/>
  <c r="A1208" i="2"/>
  <c r="C1207" i="2"/>
  <c r="G1207" i="2"/>
  <c r="B1207" i="2"/>
  <c r="B596" i="2"/>
  <c r="S932" i="2"/>
  <c r="T932" i="2"/>
  <c r="T1102" i="2"/>
  <c r="S1102" i="2"/>
  <c r="O1409" i="2"/>
  <c r="B1445" i="2"/>
  <c r="C1445" i="2"/>
  <c r="A1446" i="2"/>
  <c r="G1445" i="2"/>
  <c r="C1411" i="2"/>
  <c r="B1411" i="2"/>
  <c r="G1411" i="2"/>
  <c r="A1412" i="2"/>
  <c r="O1001" i="2"/>
  <c r="C1003" i="2"/>
  <c r="B1003" i="2"/>
  <c r="A1004" i="2"/>
  <c r="G1003" i="2"/>
  <c r="S557" i="2"/>
  <c r="T557" i="2"/>
  <c r="O626" i="2"/>
  <c r="A1276" i="2"/>
  <c r="B1275" i="2"/>
  <c r="C1275" i="2"/>
  <c r="G1275" i="2"/>
  <c r="S1171" i="2"/>
  <c r="T1171" i="2"/>
  <c r="C631" i="2"/>
  <c r="G631" i="2"/>
  <c r="A631" i="2"/>
  <c r="O660" i="2"/>
  <c r="O1375" i="2"/>
  <c r="O1613" i="2"/>
  <c r="C1105" i="2"/>
  <c r="B1105" i="2"/>
  <c r="A1106" i="2"/>
  <c r="G1105" i="2"/>
  <c r="S966" i="2"/>
  <c r="T966" i="2"/>
  <c r="O1477" i="2"/>
  <c r="O1069" i="2"/>
  <c r="S659" i="2"/>
  <c r="T659" i="2"/>
  <c r="O1036" i="2"/>
  <c r="O1341" i="2"/>
  <c r="O1545" i="2"/>
  <c r="A1344" i="2"/>
  <c r="G1343" i="2"/>
  <c r="C1343" i="2"/>
  <c r="B1343" i="2"/>
  <c r="O1579" i="2"/>
  <c r="C1479" i="2"/>
  <c r="B1479" i="2"/>
  <c r="G1479" i="2"/>
  <c r="A1480" i="2"/>
  <c r="G1037" i="2"/>
  <c r="C1037" i="2"/>
  <c r="A1038" i="2"/>
  <c r="B1037" i="2"/>
  <c r="O592" i="2"/>
  <c r="S1137" i="2"/>
  <c r="T1137" i="2"/>
  <c r="T898" i="2"/>
  <c r="S898" i="2"/>
  <c r="S1374" i="2"/>
  <c r="T1374" i="2"/>
  <c r="B1649" i="2"/>
  <c r="C1649" i="2"/>
  <c r="A1650" i="2"/>
  <c r="G1649" i="2"/>
  <c r="B935" i="2"/>
  <c r="C935" i="2"/>
  <c r="A936" i="2"/>
  <c r="G935" i="2"/>
  <c r="B1174" i="2"/>
  <c r="G1174" i="2"/>
  <c r="A1175" i="2"/>
  <c r="C1174" i="2"/>
  <c r="A1141" i="2"/>
  <c r="C1140" i="2"/>
  <c r="B1140" i="2"/>
  <c r="G1140" i="2"/>
  <c r="T1239" i="2"/>
  <c r="S1239" i="2"/>
  <c r="O728" i="2"/>
  <c r="T1204" i="2"/>
  <c r="S1204" i="2"/>
  <c r="C764" i="2"/>
  <c r="G764" i="2"/>
  <c r="B764" i="2"/>
  <c r="A765" i="2"/>
  <c r="A766" i="2" s="1"/>
  <c r="C901" i="2"/>
  <c r="G901" i="2"/>
  <c r="A902" i="2"/>
  <c r="B901" i="2"/>
  <c r="A867" i="2"/>
  <c r="A868" i="2" s="1"/>
  <c r="G866" i="2"/>
  <c r="C866" i="2"/>
  <c r="B866" i="2"/>
  <c r="C1071" i="2"/>
  <c r="G1071" i="2"/>
  <c r="B1071" i="2"/>
  <c r="A1072" i="2"/>
  <c r="C1242" i="2"/>
  <c r="B1242" i="2"/>
  <c r="G1242" i="2"/>
  <c r="O1173" i="2"/>
  <c r="S1578" i="2"/>
  <c r="T1578" i="2"/>
  <c r="S693" i="2"/>
  <c r="T693" i="2"/>
  <c r="A1684" i="2"/>
  <c r="O1138" i="2"/>
  <c r="O1103" i="2"/>
  <c r="S1000" i="2"/>
  <c r="T1000" i="2"/>
  <c r="S863" i="2"/>
  <c r="T863" i="2"/>
  <c r="I841" i="2" l="1"/>
  <c r="O561" i="2"/>
  <c r="O829" i="2"/>
  <c r="S829" i="2" s="1"/>
  <c r="R526" i="2"/>
  <c r="S456" i="2"/>
  <c r="O864" i="2"/>
  <c r="T864" i="2" s="1"/>
  <c r="T525" i="2"/>
  <c r="S525" i="2"/>
  <c r="T456" i="2"/>
  <c r="B868" i="2"/>
  <c r="C868" i="2"/>
  <c r="D868" i="2"/>
  <c r="E868" i="2"/>
  <c r="G868" i="2"/>
  <c r="A869" i="2"/>
  <c r="B766" i="2"/>
  <c r="C766" i="2"/>
  <c r="D766" i="2"/>
  <c r="E766" i="2"/>
  <c r="G766" i="2"/>
  <c r="A767" i="2"/>
  <c r="B732" i="2"/>
  <c r="C732" i="2"/>
  <c r="D732" i="2"/>
  <c r="E732" i="2"/>
  <c r="G732" i="2"/>
  <c r="A733" i="2"/>
  <c r="B698" i="2"/>
  <c r="C698" i="2"/>
  <c r="D698" i="2"/>
  <c r="E698" i="2"/>
  <c r="G698" i="2"/>
  <c r="A699" i="2"/>
  <c r="B664" i="2"/>
  <c r="C664" i="2"/>
  <c r="D664" i="2"/>
  <c r="E664" i="2"/>
  <c r="G664" i="2"/>
  <c r="A665" i="2"/>
  <c r="B630" i="2"/>
  <c r="C630" i="2"/>
  <c r="D630" i="2"/>
  <c r="E630" i="2"/>
  <c r="G630" i="2"/>
  <c r="Q629" i="2"/>
  <c r="P629" i="2"/>
  <c r="R560" i="2"/>
  <c r="Q595" i="2"/>
  <c r="Q596" i="2" s="1"/>
  <c r="P595" i="2"/>
  <c r="P596" i="2" s="1"/>
  <c r="R594" i="2"/>
  <c r="T559" i="2"/>
  <c r="S559" i="2"/>
  <c r="T1577" i="2"/>
  <c r="E1682" i="2"/>
  <c r="D1682" i="2"/>
  <c r="O1205" i="2"/>
  <c r="S1205" i="2" s="1"/>
  <c r="O1240" i="2"/>
  <c r="T1240" i="2" s="1"/>
  <c r="Q1037" i="2"/>
  <c r="P1037" i="2"/>
  <c r="Q1343" i="2"/>
  <c r="P1343" i="2"/>
  <c r="Q1105" i="2"/>
  <c r="P1105" i="2"/>
  <c r="Q628" i="2"/>
  <c r="P628" i="2"/>
  <c r="P1445" i="2"/>
  <c r="Q1445" i="2"/>
  <c r="Q832" i="2"/>
  <c r="P832" i="2"/>
  <c r="Q969" i="2"/>
  <c r="P969" i="2"/>
  <c r="Q1547" i="2"/>
  <c r="P1547" i="2"/>
  <c r="Q1647" i="2"/>
  <c r="P1647" i="2"/>
  <c r="Q1648" i="2"/>
  <c r="P1648" i="2"/>
  <c r="Q1649" i="2"/>
  <c r="P1649" i="2"/>
  <c r="Q1479" i="2"/>
  <c r="P1479" i="2"/>
  <c r="Q662" i="2"/>
  <c r="P662" i="2"/>
  <c r="Q1242" i="2"/>
  <c r="P1242" i="2"/>
  <c r="Q1071" i="2"/>
  <c r="P1071" i="2"/>
  <c r="Q866" i="2"/>
  <c r="P866" i="2"/>
  <c r="Q764" i="2"/>
  <c r="P764" i="2"/>
  <c r="Q1140" i="2"/>
  <c r="P1140" i="2"/>
  <c r="Q1174" i="2"/>
  <c r="P1174" i="2"/>
  <c r="Q1275" i="2"/>
  <c r="P1275" i="2"/>
  <c r="Q1411" i="2"/>
  <c r="P1411" i="2"/>
  <c r="Q1207" i="2"/>
  <c r="P1207" i="2"/>
  <c r="Q1309" i="2"/>
  <c r="P1309" i="2"/>
  <c r="Q1615" i="2"/>
  <c r="P1615" i="2"/>
  <c r="Q1513" i="2"/>
  <c r="P1513" i="2"/>
  <c r="Q901" i="2"/>
  <c r="P901" i="2"/>
  <c r="Q935" i="2"/>
  <c r="P935" i="2"/>
  <c r="Q696" i="2"/>
  <c r="P696" i="2"/>
  <c r="Q1003" i="2"/>
  <c r="P1003" i="2"/>
  <c r="Q1377" i="2"/>
  <c r="P1377" i="2"/>
  <c r="Q1581" i="2"/>
  <c r="P1581" i="2"/>
  <c r="Q798" i="2"/>
  <c r="P798" i="2"/>
  <c r="Q730" i="2"/>
  <c r="P730" i="2"/>
  <c r="D1650" i="2"/>
  <c r="E1650" i="2"/>
  <c r="D1582" i="2"/>
  <c r="E1582" i="2"/>
  <c r="D867" i="2"/>
  <c r="E867" i="2"/>
  <c r="D666" i="2"/>
  <c r="E666" i="2"/>
  <c r="D1684" i="2"/>
  <c r="E1684" i="2"/>
  <c r="D1175" i="2"/>
  <c r="E1175" i="2"/>
  <c r="D1038" i="2"/>
  <c r="E1038" i="2"/>
  <c r="D1480" i="2"/>
  <c r="E1480" i="2"/>
  <c r="D1004" i="2"/>
  <c r="E1004" i="2"/>
  <c r="D1446" i="2"/>
  <c r="E1446" i="2"/>
  <c r="D1208" i="2"/>
  <c r="E1208" i="2"/>
  <c r="D833" i="2"/>
  <c r="E833" i="2"/>
  <c r="D799" i="2"/>
  <c r="E799" i="2"/>
  <c r="D1616" i="2"/>
  <c r="E1616" i="2"/>
  <c r="D1548" i="2"/>
  <c r="E1548" i="2"/>
  <c r="D1243" i="2"/>
  <c r="E1243" i="2"/>
  <c r="D1072" i="2"/>
  <c r="E1072" i="2"/>
  <c r="D902" i="2"/>
  <c r="E902" i="2"/>
  <c r="D765" i="2"/>
  <c r="E765" i="2"/>
  <c r="D1141" i="2"/>
  <c r="E1141" i="2"/>
  <c r="D936" i="2"/>
  <c r="E936" i="2"/>
  <c r="D1106" i="2"/>
  <c r="E1106" i="2"/>
  <c r="D1276" i="2"/>
  <c r="E1276" i="2"/>
  <c r="D1412" i="2"/>
  <c r="E1412" i="2"/>
  <c r="D1378" i="2"/>
  <c r="E1378" i="2"/>
  <c r="D1514" i="2"/>
  <c r="E1514" i="2"/>
  <c r="D970" i="2"/>
  <c r="E970" i="2"/>
  <c r="D1344" i="2"/>
  <c r="E1344" i="2"/>
  <c r="D1310" i="2"/>
  <c r="E1310" i="2"/>
  <c r="R1613" i="2"/>
  <c r="T1613" i="2" s="1"/>
  <c r="T795" i="2"/>
  <c r="S1273" i="2"/>
  <c r="T694" i="2"/>
  <c r="C1683" i="2"/>
  <c r="B1683" i="2"/>
  <c r="T967" i="2"/>
  <c r="R1036" i="2"/>
  <c r="T1036" i="2" s="1"/>
  <c r="R1070" i="2"/>
  <c r="T1070" i="2" s="1"/>
  <c r="R1478" i="2"/>
  <c r="R1444" i="2"/>
  <c r="R1173" i="2"/>
  <c r="T1173" i="2" s="1"/>
  <c r="R627" i="2"/>
  <c r="R729" i="2"/>
  <c r="R1308" i="2"/>
  <c r="R695" i="2"/>
  <c r="R661" i="2"/>
  <c r="T1443" i="2"/>
  <c r="S1577" i="2"/>
  <c r="F1740" i="2"/>
  <c r="F1739" i="2"/>
  <c r="F1741" i="2"/>
  <c r="T1307" i="2"/>
  <c r="R797" i="2"/>
  <c r="R1614" i="2"/>
  <c r="R1274" i="2"/>
  <c r="R1241" i="2"/>
  <c r="R1206" i="2"/>
  <c r="R900" i="2"/>
  <c r="R1002" i="2"/>
  <c r="R763" i="2"/>
  <c r="R1104" i="2"/>
  <c r="S1104" i="2" s="1"/>
  <c r="R1342" i="2"/>
  <c r="R1580" i="2"/>
  <c r="R968" i="2"/>
  <c r="R1612" i="2"/>
  <c r="T523" i="2"/>
  <c r="R831" i="2"/>
  <c r="S831" i="2" s="1"/>
  <c r="R865" i="2"/>
  <c r="I865" i="2" s="1"/>
  <c r="R1376" i="2"/>
  <c r="I1376" i="2" s="1"/>
  <c r="R934" i="2"/>
  <c r="I934" i="2" s="1"/>
  <c r="R1139" i="2"/>
  <c r="B53" i="1"/>
  <c r="B1682" i="2"/>
  <c r="G1682" i="2"/>
  <c r="C1682" i="2"/>
  <c r="R1410" i="2"/>
  <c r="S523" i="2"/>
  <c r="R1546" i="2"/>
  <c r="R1512" i="2"/>
  <c r="O1648" i="2"/>
  <c r="G1344" i="2"/>
  <c r="C1344" i="2"/>
  <c r="A1345" i="2"/>
  <c r="B1344" i="2"/>
  <c r="S1477" i="2"/>
  <c r="T1477" i="2"/>
  <c r="O1478" i="2"/>
  <c r="A1787" i="2"/>
  <c r="A1753" i="2"/>
  <c r="O797" i="2"/>
  <c r="A1176" i="2"/>
  <c r="G1175" i="2"/>
  <c r="B1175" i="2"/>
  <c r="C1175" i="2"/>
  <c r="O1614" i="2"/>
  <c r="O1037" i="2"/>
  <c r="C833" i="2"/>
  <c r="A834" i="2"/>
  <c r="A835" i="2" s="1"/>
  <c r="B833" i="2"/>
  <c r="G833" i="2"/>
  <c r="O1682" i="2"/>
  <c r="O695" i="2"/>
  <c r="O763" i="2"/>
  <c r="O1139" i="2"/>
  <c r="G1038" i="2"/>
  <c r="A1039" i="2"/>
  <c r="B1038" i="2"/>
  <c r="C1038" i="2"/>
  <c r="T1341" i="2"/>
  <c r="S1341" i="2"/>
  <c r="T1069" i="2"/>
  <c r="S1069" i="2"/>
  <c r="O1241" i="2"/>
  <c r="O593" i="2"/>
  <c r="G1208" i="2"/>
  <c r="C1208" i="2"/>
  <c r="A1209" i="2"/>
  <c r="B1208" i="2"/>
  <c r="O1444" i="2"/>
  <c r="T1103" i="2"/>
  <c r="S1103" i="2"/>
  <c r="O1002" i="2"/>
  <c r="G1650" i="2"/>
  <c r="C1650" i="2"/>
  <c r="A1651" i="2"/>
  <c r="B1650" i="2"/>
  <c r="O696" i="2"/>
  <c r="A800" i="2"/>
  <c r="B799" i="2"/>
  <c r="G799" i="2"/>
  <c r="C799" i="2"/>
  <c r="S1138" i="2"/>
  <c r="T1138" i="2"/>
  <c r="C1548" i="2"/>
  <c r="B1548" i="2"/>
  <c r="A1549" i="2"/>
  <c r="G1548" i="2"/>
  <c r="S1035" i="2"/>
  <c r="T1035" i="2"/>
  <c r="S592" i="2"/>
  <c r="T592" i="2"/>
  <c r="C666" i="2"/>
  <c r="A666" i="2"/>
  <c r="G666" i="2"/>
  <c r="B1004" i="2"/>
  <c r="A1005" i="2"/>
  <c r="G1004" i="2"/>
  <c r="C1004" i="2"/>
  <c r="G1446" i="2"/>
  <c r="B1446" i="2"/>
  <c r="C1446" i="2"/>
  <c r="A1447" i="2"/>
  <c r="T558" i="2"/>
  <c r="S558" i="2"/>
  <c r="S728" i="2"/>
  <c r="T728" i="2"/>
  <c r="G936" i="2"/>
  <c r="B936" i="2"/>
  <c r="A937" i="2"/>
  <c r="A938" i="2" s="1"/>
  <c r="C936" i="2"/>
  <c r="O1512" i="2"/>
  <c r="O1410" i="2"/>
  <c r="S1172" i="2"/>
  <c r="T1172" i="2"/>
  <c r="G1106" i="2"/>
  <c r="A1107" i="2"/>
  <c r="B1106" i="2"/>
  <c r="C1106" i="2"/>
  <c r="O1274" i="2"/>
  <c r="O1342" i="2"/>
  <c r="C1310" i="2"/>
  <c r="B1310" i="2"/>
  <c r="A1311" i="2"/>
  <c r="G1310" i="2"/>
  <c r="C867" i="2"/>
  <c r="G867" i="2"/>
  <c r="B867" i="2"/>
  <c r="A1481" i="2"/>
  <c r="G1480" i="2"/>
  <c r="C1480" i="2"/>
  <c r="B1480" i="2"/>
  <c r="S1579" i="2"/>
  <c r="T1579" i="2"/>
  <c r="O1546" i="2"/>
  <c r="O968" i="2"/>
  <c r="A1073" i="2"/>
  <c r="B1072" i="2"/>
  <c r="G1072" i="2"/>
  <c r="C1072" i="2"/>
  <c r="O661" i="2"/>
  <c r="O1580" i="2"/>
  <c r="S660" i="2"/>
  <c r="T660" i="2"/>
  <c r="S830" i="2"/>
  <c r="T830" i="2"/>
  <c r="S1001" i="2"/>
  <c r="T1001" i="2"/>
  <c r="G1378" i="2"/>
  <c r="A1379" i="2"/>
  <c r="B1378" i="2"/>
  <c r="C1378" i="2"/>
  <c r="T1511" i="2"/>
  <c r="S1511" i="2"/>
  <c r="C1616" i="2"/>
  <c r="B1616" i="2"/>
  <c r="A1617" i="2"/>
  <c r="G1616" i="2"/>
  <c r="S626" i="2"/>
  <c r="T626" i="2"/>
  <c r="C1412" i="2"/>
  <c r="B1412" i="2"/>
  <c r="G1412" i="2"/>
  <c r="A1413" i="2"/>
  <c r="S1409" i="2"/>
  <c r="T1409" i="2"/>
  <c r="C1243" i="2"/>
  <c r="B1243" i="2"/>
  <c r="G1243" i="2"/>
  <c r="S1545" i="2"/>
  <c r="T1545" i="2"/>
  <c r="B765" i="2"/>
  <c r="C765" i="2"/>
  <c r="G765" i="2"/>
  <c r="O729" i="2"/>
  <c r="S796" i="2"/>
  <c r="T796" i="2"/>
  <c r="B970" i="2"/>
  <c r="G970" i="2"/>
  <c r="A971" i="2"/>
  <c r="C970" i="2"/>
  <c r="O901" i="2"/>
  <c r="G1141" i="2"/>
  <c r="C1141" i="2"/>
  <c r="B1141" i="2"/>
  <c r="A1142" i="2"/>
  <c r="B631" i="2"/>
  <c r="B1276" i="2"/>
  <c r="A1277" i="2"/>
  <c r="G1276" i="2"/>
  <c r="C1276" i="2"/>
  <c r="O627" i="2"/>
  <c r="B1582" i="2"/>
  <c r="A1583" i="2"/>
  <c r="G1582" i="2"/>
  <c r="C1582" i="2"/>
  <c r="S933" i="2"/>
  <c r="T933" i="2"/>
  <c r="A1719" i="2"/>
  <c r="G1684" i="2"/>
  <c r="C1684" i="2"/>
  <c r="B1684" i="2"/>
  <c r="A1685" i="2"/>
  <c r="B902" i="2"/>
  <c r="C902" i="2"/>
  <c r="G902" i="2"/>
  <c r="A903" i="2"/>
  <c r="S1375" i="2"/>
  <c r="T1375" i="2"/>
  <c r="O1308" i="2"/>
  <c r="S762" i="2"/>
  <c r="T762" i="2"/>
  <c r="G1514" i="2"/>
  <c r="C1514" i="2"/>
  <c r="A1515" i="2"/>
  <c r="B1514" i="2"/>
  <c r="T829" i="2" l="1"/>
  <c r="O596" i="2"/>
  <c r="S526" i="2"/>
  <c r="I876" i="2"/>
  <c r="S560" i="2"/>
  <c r="S561" i="2" s="1"/>
  <c r="R561" i="2"/>
  <c r="T561" i="2" s="1"/>
  <c r="T526" i="2"/>
  <c r="T560" i="2"/>
  <c r="B938" i="2"/>
  <c r="C938" i="2"/>
  <c r="D938" i="2"/>
  <c r="E938" i="2"/>
  <c r="G938" i="2"/>
  <c r="A939" i="2"/>
  <c r="B869" i="2"/>
  <c r="C869" i="2"/>
  <c r="D869" i="2"/>
  <c r="E869" i="2"/>
  <c r="G869" i="2"/>
  <c r="A870" i="2"/>
  <c r="B835" i="2"/>
  <c r="C835" i="2"/>
  <c r="D835" i="2"/>
  <c r="E835" i="2"/>
  <c r="G835" i="2"/>
  <c r="A836" i="2"/>
  <c r="B767" i="2"/>
  <c r="C767" i="2"/>
  <c r="D767" i="2"/>
  <c r="E767" i="2"/>
  <c r="G767" i="2"/>
  <c r="A768" i="2"/>
  <c r="B699" i="2"/>
  <c r="C699" i="2"/>
  <c r="D699" i="2"/>
  <c r="E699" i="2"/>
  <c r="G699" i="2"/>
  <c r="A700" i="2"/>
  <c r="B733" i="2"/>
  <c r="C733" i="2"/>
  <c r="D733" i="2"/>
  <c r="E733" i="2"/>
  <c r="G733" i="2"/>
  <c r="A734" i="2"/>
  <c r="B665" i="2"/>
  <c r="C665" i="2"/>
  <c r="D665" i="2"/>
  <c r="E665" i="2"/>
  <c r="G665" i="2"/>
  <c r="Q664" i="2"/>
  <c r="P664" i="2"/>
  <c r="Q630" i="2"/>
  <c r="Q631" i="2" s="1"/>
  <c r="P630" i="2"/>
  <c r="P631" i="2" s="1"/>
  <c r="R629" i="2"/>
  <c r="T594" i="2"/>
  <c r="S594" i="2"/>
  <c r="R595" i="2"/>
  <c r="S864" i="2"/>
  <c r="T1205" i="2"/>
  <c r="S1240" i="2"/>
  <c r="E1718" i="2"/>
  <c r="C1718" i="2"/>
  <c r="D1717" i="2"/>
  <c r="D1718" i="2"/>
  <c r="E1717" i="2"/>
  <c r="O934" i="2"/>
  <c r="T934" i="2" s="1"/>
  <c r="O1376" i="2"/>
  <c r="S1376" i="2" s="1"/>
  <c r="S1613" i="2"/>
  <c r="Q1514" i="2"/>
  <c r="P1514" i="2"/>
  <c r="Q1276" i="2"/>
  <c r="P1276" i="2"/>
  <c r="Q1616" i="2"/>
  <c r="P1616" i="2"/>
  <c r="Q1004" i="2"/>
  <c r="P1004" i="2"/>
  <c r="Q1038" i="2"/>
  <c r="P1038" i="2"/>
  <c r="Q1683" i="2"/>
  <c r="P1683" i="2"/>
  <c r="Q1684" i="2"/>
  <c r="P1684" i="2"/>
  <c r="Q1582" i="2"/>
  <c r="P1582" i="2"/>
  <c r="Q765" i="2"/>
  <c r="P765" i="2"/>
  <c r="Q1072" i="2"/>
  <c r="P1072" i="2"/>
  <c r="P1480" i="2"/>
  <c r="Q1480" i="2"/>
  <c r="Q1106" i="2"/>
  <c r="P1106" i="2"/>
  <c r="Q936" i="2"/>
  <c r="P936" i="2"/>
  <c r="Q1446" i="2"/>
  <c r="P1446" i="2"/>
  <c r="Q663" i="2"/>
  <c r="P663" i="2"/>
  <c r="Q799" i="2"/>
  <c r="P799" i="2"/>
  <c r="Q1650" i="2"/>
  <c r="P1650" i="2"/>
  <c r="Q1208" i="2"/>
  <c r="P1208" i="2"/>
  <c r="Q833" i="2"/>
  <c r="P833" i="2"/>
  <c r="Q1175" i="2"/>
  <c r="P1175" i="2"/>
  <c r="Q1344" i="2"/>
  <c r="P1344" i="2"/>
  <c r="Q970" i="2"/>
  <c r="P970" i="2"/>
  <c r="Q1412" i="2"/>
  <c r="P1412" i="2"/>
  <c r="Q697" i="2"/>
  <c r="P697" i="2"/>
  <c r="Q731" i="2"/>
  <c r="P731" i="2"/>
  <c r="Q1682" i="2"/>
  <c r="P1682" i="2"/>
  <c r="Q902" i="2"/>
  <c r="P902" i="2"/>
  <c r="Q1141" i="2"/>
  <c r="P1141" i="2"/>
  <c r="Q1243" i="2"/>
  <c r="P1243" i="2"/>
  <c r="Q1378" i="2"/>
  <c r="P1378" i="2"/>
  <c r="Q867" i="2"/>
  <c r="P867" i="2"/>
  <c r="Q1310" i="2"/>
  <c r="P1310" i="2"/>
  <c r="Q1548" i="2"/>
  <c r="P1548" i="2"/>
  <c r="D903" i="2"/>
  <c r="E903" i="2"/>
  <c r="D1142" i="2"/>
  <c r="E1142" i="2"/>
  <c r="D1481" i="2"/>
  <c r="E1481" i="2"/>
  <c r="D1515" i="2"/>
  <c r="E1515" i="2"/>
  <c r="D1379" i="2"/>
  <c r="E1379" i="2"/>
  <c r="D701" i="2"/>
  <c r="E701" i="2"/>
  <c r="D1277" i="2"/>
  <c r="E1277" i="2"/>
  <c r="D971" i="2"/>
  <c r="E971" i="2"/>
  <c r="D1244" i="2"/>
  <c r="E1244" i="2"/>
  <c r="D1413" i="2"/>
  <c r="E1413" i="2"/>
  <c r="D1311" i="2"/>
  <c r="E1311" i="2"/>
  <c r="D1549" i="2"/>
  <c r="E1549" i="2"/>
  <c r="D1039" i="2"/>
  <c r="E1039" i="2"/>
  <c r="D1685" i="2"/>
  <c r="E1685" i="2"/>
  <c r="D1583" i="2"/>
  <c r="E1583" i="2"/>
  <c r="D1617" i="2"/>
  <c r="E1617" i="2"/>
  <c r="D1073" i="2"/>
  <c r="E1073" i="2"/>
  <c r="D1107" i="2"/>
  <c r="E1107" i="2"/>
  <c r="D1447" i="2"/>
  <c r="E1447" i="2"/>
  <c r="D1005" i="2"/>
  <c r="E1005" i="2"/>
  <c r="D800" i="2"/>
  <c r="E800" i="2"/>
  <c r="D1651" i="2"/>
  <c r="E1651" i="2"/>
  <c r="D1209" i="2"/>
  <c r="E1209" i="2"/>
  <c r="D834" i="2"/>
  <c r="E834" i="2"/>
  <c r="D1345" i="2"/>
  <c r="E1345" i="2"/>
  <c r="D1719" i="2"/>
  <c r="E1719" i="2"/>
  <c r="D937" i="2"/>
  <c r="E937" i="2"/>
  <c r="D1176" i="2"/>
  <c r="E1176" i="2"/>
  <c r="R1648" i="2"/>
  <c r="T1648" i="2" s="1"/>
  <c r="R1581" i="2"/>
  <c r="O865" i="2"/>
  <c r="S865" i="2" s="1"/>
  <c r="O899" i="2"/>
  <c r="I900" i="2"/>
  <c r="O900" i="2" s="1"/>
  <c r="S900" i="2" s="1"/>
  <c r="S1036" i="2"/>
  <c r="S1173" i="2"/>
  <c r="S1070" i="2"/>
  <c r="G1718" i="2"/>
  <c r="B1718" i="2"/>
  <c r="R969" i="2"/>
  <c r="R1309" i="2"/>
  <c r="R1207" i="2"/>
  <c r="R798" i="2"/>
  <c r="R1140" i="2"/>
  <c r="R1445" i="2"/>
  <c r="R1242" i="2"/>
  <c r="R1037" i="2"/>
  <c r="S1037" i="2" s="1"/>
  <c r="R1615" i="2"/>
  <c r="R1105" i="2"/>
  <c r="R1071" i="2"/>
  <c r="R1275" i="2"/>
  <c r="I1275" i="2" s="1"/>
  <c r="T831" i="2"/>
  <c r="R1003" i="2"/>
  <c r="R1547" i="2"/>
  <c r="T1104" i="2"/>
  <c r="F1775" i="2"/>
  <c r="F1774" i="2"/>
  <c r="F1776" i="2"/>
  <c r="R1513" i="2"/>
  <c r="R1343" i="2"/>
  <c r="R1377" i="2"/>
  <c r="R1649" i="2"/>
  <c r="R764" i="2"/>
  <c r="R935" i="2"/>
  <c r="I935" i="2" s="1"/>
  <c r="I946" i="2" s="1"/>
  <c r="R832" i="2"/>
  <c r="R730" i="2"/>
  <c r="R696" i="2"/>
  <c r="T696" i="2" s="1"/>
  <c r="R1647" i="2"/>
  <c r="R1411" i="2"/>
  <c r="I1411" i="2" s="1"/>
  <c r="R866" i="2"/>
  <c r="R1479" i="2"/>
  <c r="R901" i="2"/>
  <c r="T901" i="2" s="1"/>
  <c r="R662" i="2"/>
  <c r="R1174" i="2"/>
  <c r="B54" i="1"/>
  <c r="D1752" i="2" s="1"/>
  <c r="G1717" i="2"/>
  <c r="B1717" i="2"/>
  <c r="C1717" i="2"/>
  <c r="S1612" i="2"/>
  <c r="T1612" i="2"/>
  <c r="R628" i="2"/>
  <c r="R593" i="2"/>
  <c r="G1244" i="2"/>
  <c r="C1244" i="2"/>
  <c r="B1244" i="2"/>
  <c r="C1379" i="2"/>
  <c r="G1379" i="2"/>
  <c r="B1379" i="2"/>
  <c r="A1380" i="2"/>
  <c r="B666" i="2"/>
  <c r="O1377" i="2"/>
  <c r="S763" i="2"/>
  <c r="T763" i="2"/>
  <c r="T797" i="2"/>
  <c r="S797" i="2"/>
  <c r="S1241" i="2"/>
  <c r="T1241" i="2"/>
  <c r="B1719" i="2"/>
  <c r="G1719" i="2"/>
  <c r="C1719" i="2"/>
  <c r="A1720" i="2"/>
  <c r="O832" i="2"/>
  <c r="A1754" i="2"/>
  <c r="S1546" i="2"/>
  <c r="T1546" i="2"/>
  <c r="B1311" i="2"/>
  <c r="C1311" i="2"/>
  <c r="G1311" i="2"/>
  <c r="A1312" i="2"/>
  <c r="T1342" i="2"/>
  <c r="S1342" i="2"/>
  <c r="O1582" i="2"/>
  <c r="C1617" i="2"/>
  <c r="B1617" i="2"/>
  <c r="A1618" i="2"/>
  <c r="G1617" i="2"/>
  <c r="C1005" i="2"/>
  <c r="G1005" i="2"/>
  <c r="B1005" i="2"/>
  <c r="A1006" i="2"/>
  <c r="A1007" i="2" s="1"/>
  <c r="O730" i="2"/>
  <c r="O1479" i="2"/>
  <c r="O1445" i="2"/>
  <c r="O1649" i="2"/>
  <c r="B1651" i="2"/>
  <c r="A1652" i="2"/>
  <c r="C1651" i="2"/>
  <c r="G1651" i="2"/>
  <c r="T1002" i="2"/>
  <c r="S1002" i="2"/>
  <c r="O1717" i="2"/>
  <c r="A904" i="2"/>
  <c r="C903" i="2"/>
  <c r="G903" i="2"/>
  <c r="B903" i="2"/>
  <c r="T627" i="2"/>
  <c r="S627" i="2"/>
  <c r="O764" i="2"/>
  <c r="T1308" i="2"/>
  <c r="S1308" i="2"/>
  <c r="O628" i="2"/>
  <c r="B1142" i="2"/>
  <c r="A1143" i="2"/>
  <c r="C1142" i="2"/>
  <c r="G1142" i="2"/>
  <c r="O1683" i="2"/>
  <c r="C1413" i="2"/>
  <c r="B1413" i="2"/>
  <c r="G1413" i="2"/>
  <c r="A1414" i="2"/>
  <c r="C1481" i="2"/>
  <c r="B1481" i="2"/>
  <c r="A1482" i="2"/>
  <c r="G1481" i="2"/>
  <c r="G1073" i="2"/>
  <c r="B1073" i="2"/>
  <c r="A1074" i="2"/>
  <c r="C1073" i="2"/>
  <c r="S1274" i="2"/>
  <c r="T1274" i="2"/>
  <c r="B1447" i="2"/>
  <c r="G1447" i="2"/>
  <c r="A1448" i="2"/>
  <c r="C1447" i="2"/>
  <c r="O866" i="2"/>
  <c r="B1345" i="2"/>
  <c r="G1345" i="2"/>
  <c r="C1345" i="2"/>
  <c r="A1346" i="2"/>
  <c r="T1614" i="2"/>
  <c r="S1614" i="2"/>
  <c r="A972" i="2"/>
  <c r="B971" i="2"/>
  <c r="G971" i="2"/>
  <c r="C971" i="2"/>
  <c r="S1580" i="2"/>
  <c r="T1580" i="2"/>
  <c r="S1512" i="2"/>
  <c r="T1512" i="2"/>
  <c r="O1071" i="2"/>
  <c r="O1343" i="2"/>
  <c r="G1277" i="2"/>
  <c r="A1278" i="2"/>
  <c r="C1277" i="2"/>
  <c r="B1277" i="2"/>
  <c r="T968" i="2"/>
  <c r="S968" i="2"/>
  <c r="O1140" i="2"/>
  <c r="B800" i="2"/>
  <c r="A801" i="2"/>
  <c r="A802" i="2" s="1"/>
  <c r="G800" i="2"/>
  <c r="C800" i="2"/>
  <c r="O1276" i="2"/>
  <c r="O1105" i="2"/>
  <c r="O1309" i="2"/>
  <c r="B1209" i="2"/>
  <c r="C1209" i="2"/>
  <c r="A1210" i="2"/>
  <c r="G1209" i="2"/>
  <c r="B834" i="2"/>
  <c r="G834" i="2"/>
  <c r="C834" i="2"/>
  <c r="A1788" i="2"/>
  <c r="A1822" i="2"/>
  <c r="S1444" i="2"/>
  <c r="T1444" i="2"/>
  <c r="T1206" i="2"/>
  <c r="S1206" i="2"/>
  <c r="O1003" i="2"/>
  <c r="O1242" i="2"/>
  <c r="A1040" i="2"/>
  <c r="C1039" i="2"/>
  <c r="G1039" i="2"/>
  <c r="B1039" i="2"/>
  <c r="S695" i="2"/>
  <c r="T695" i="2"/>
  <c r="O798" i="2"/>
  <c r="S729" i="2"/>
  <c r="T729" i="2"/>
  <c r="O1174" i="2"/>
  <c r="O662" i="2"/>
  <c r="G1515" i="2"/>
  <c r="B1515" i="2"/>
  <c r="C1515" i="2"/>
  <c r="A1516" i="2"/>
  <c r="B1685" i="2"/>
  <c r="G1685" i="2"/>
  <c r="C1685" i="2"/>
  <c r="A1686" i="2"/>
  <c r="G701" i="2"/>
  <c r="C701" i="2"/>
  <c r="A701" i="2"/>
  <c r="G937" i="2"/>
  <c r="B937" i="2"/>
  <c r="C937" i="2"/>
  <c r="B1549" i="2"/>
  <c r="G1549" i="2"/>
  <c r="A1550" i="2"/>
  <c r="C1549" i="2"/>
  <c r="O1513" i="2"/>
  <c r="A1584" i="2"/>
  <c r="C1583" i="2"/>
  <c r="B1583" i="2"/>
  <c r="G1583" i="2"/>
  <c r="T661" i="2"/>
  <c r="S661" i="2"/>
  <c r="G1107" i="2"/>
  <c r="B1107" i="2"/>
  <c r="A1108" i="2"/>
  <c r="C1107" i="2"/>
  <c r="T1410" i="2"/>
  <c r="S1410" i="2"/>
  <c r="O1547" i="2"/>
  <c r="S1139" i="2"/>
  <c r="T1139" i="2"/>
  <c r="O1581" i="2"/>
  <c r="O1207" i="2"/>
  <c r="G1176" i="2"/>
  <c r="A1177" i="2"/>
  <c r="B1176" i="2"/>
  <c r="C1176" i="2"/>
  <c r="T1478" i="2"/>
  <c r="S1478" i="2"/>
  <c r="O1615" i="2"/>
  <c r="O631" i="2" l="1"/>
  <c r="I911" i="2"/>
  <c r="S595" i="2"/>
  <c r="R596" i="2"/>
  <c r="B1007" i="2"/>
  <c r="C1007" i="2"/>
  <c r="D1007" i="2"/>
  <c r="E1007" i="2"/>
  <c r="G1007" i="2"/>
  <c r="A1008" i="2"/>
  <c r="B939" i="2"/>
  <c r="C939" i="2"/>
  <c r="D939" i="2"/>
  <c r="E939" i="2"/>
  <c r="G939" i="2"/>
  <c r="A940" i="2"/>
  <c r="B870" i="2"/>
  <c r="C870" i="2"/>
  <c r="D870" i="2"/>
  <c r="E870" i="2"/>
  <c r="G870" i="2"/>
  <c r="A871" i="2"/>
  <c r="B836" i="2"/>
  <c r="C836" i="2"/>
  <c r="D836" i="2"/>
  <c r="E836" i="2"/>
  <c r="G836" i="2"/>
  <c r="A837" i="2"/>
  <c r="B802" i="2"/>
  <c r="C802" i="2"/>
  <c r="D802" i="2"/>
  <c r="E802" i="2"/>
  <c r="G802" i="2"/>
  <c r="A803" i="2"/>
  <c r="B768" i="2"/>
  <c r="C768" i="2"/>
  <c r="D768" i="2"/>
  <c r="E768" i="2"/>
  <c r="G768" i="2"/>
  <c r="A769" i="2"/>
  <c r="B734" i="2"/>
  <c r="C734" i="2"/>
  <c r="D734" i="2"/>
  <c r="E734" i="2"/>
  <c r="G734" i="2"/>
  <c r="A735" i="2"/>
  <c r="B700" i="2"/>
  <c r="C700" i="2"/>
  <c r="D700" i="2"/>
  <c r="E700" i="2"/>
  <c r="G700" i="2"/>
  <c r="Q699" i="2"/>
  <c r="P699" i="2"/>
  <c r="R664" i="2"/>
  <c r="S664" i="2" s="1"/>
  <c r="R630" i="2"/>
  <c r="Q665" i="2"/>
  <c r="Q666" i="2" s="1"/>
  <c r="P665" i="2"/>
  <c r="P666" i="2" s="1"/>
  <c r="T629" i="2"/>
  <c r="S629" i="2"/>
  <c r="T595" i="2"/>
  <c r="T1376" i="2"/>
  <c r="S934" i="2"/>
  <c r="E1753" i="2"/>
  <c r="D1753" i="2"/>
  <c r="E1752" i="2"/>
  <c r="O1411" i="2"/>
  <c r="O1275" i="2"/>
  <c r="Q1107" i="2"/>
  <c r="P1107" i="2"/>
  <c r="Q1549" i="2"/>
  <c r="P1549" i="2"/>
  <c r="Q937" i="2"/>
  <c r="P937" i="2"/>
  <c r="Q698" i="2"/>
  <c r="P698" i="2"/>
  <c r="Q1685" i="2"/>
  <c r="P1685" i="2"/>
  <c r="Q1515" i="2"/>
  <c r="P1515" i="2"/>
  <c r="Q766" i="2"/>
  <c r="P766" i="2"/>
  <c r="Q1209" i="2"/>
  <c r="P1209" i="2"/>
  <c r="Q800" i="2"/>
  <c r="P800" i="2"/>
  <c r="Q1413" i="2"/>
  <c r="P1413" i="2"/>
  <c r="Q1142" i="2"/>
  <c r="P1142" i="2"/>
  <c r="Q1311" i="2"/>
  <c r="P1311" i="2"/>
  <c r="Q1379" i="2"/>
  <c r="P1379" i="2"/>
  <c r="Q1717" i="2"/>
  <c r="P1717" i="2"/>
  <c r="Q1176" i="2"/>
  <c r="P1176" i="2"/>
  <c r="Q1583" i="2"/>
  <c r="P1583" i="2"/>
  <c r="Q732" i="2"/>
  <c r="P732" i="2"/>
  <c r="Q834" i="2"/>
  <c r="P834" i="2"/>
  <c r="Q1345" i="2"/>
  <c r="P1345" i="2"/>
  <c r="Q1481" i="2"/>
  <c r="P1481" i="2"/>
  <c r="Q1651" i="2"/>
  <c r="P1651" i="2"/>
  <c r="Q1005" i="2"/>
  <c r="P1005" i="2"/>
  <c r="Q1719" i="2"/>
  <c r="P1719" i="2"/>
  <c r="Q1718" i="2"/>
  <c r="P1718" i="2"/>
  <c r="Q1039" i="2"/>
  <c r="P1039" i="2"/>
  <c r="Q1277" i="2"/>
  <c r="P1277" i="2"/>
  <c r="Q971" i="2"/>
  <c r="P971" i="2"/>
  <c r="Q1447" i="2"/>
  <c r="P1447" i="2"/>
  <c r="Q868" i="2"/>
  <c r="P868" i="2"/>
  <c r="Q1073" i="2"/>
  <c r="P1073" i="2"/>
  <c r="Q903" i="2"/>
  <c r="P903" i="2"/>
  <c r="Q1617" i="2"/>
  <c r="P1617" i="2"/>
  <c r="Q1244" i="2"/>
  <c r="P1244" i="2"/>
  <c r="S1648" i="2"/>
  <c r="D1278" i="2"/>
  <c r="E1278" i="2"/>
  <c r="D1618" i="2"/>
  <c r="E1618" i="2"/>
  <c r="D1754" i="2"/>
  <c r="E1754" i="2"/>
  <c r="D1686" i="2"/>
  <c r="E1686" i="2"/>
  <c r="D1177" i="2"/>
  <c r="E1177" i="2"/>
  <c r="D1584" i="2"/>
  <c r="E1584" i="2"/>
  <c r="D1550" i="2"/>
  <c r="E1550" i="2"/>
  <c r="D1516" i="2"/>
  <c r="E1516" i="2"/>
  <c r="D736" i="2"/>
  <c r="E736" i="2"/>
  <c r="D1040" i="2"/>
  <c r="E1040" i="2"/>
  <c r="A1789" i="2"/>
  <c r="D1210" i="2"/>
  <c r="E1210" i="2"/>
  <c r="D1482" i="2"/>
  <c r="E1482" i="2"/>
  <c r="D1414" i="2"/>
  <c r="E1414" i="2"/>
  <c r="D904" i="2"/>
  <c r="E904" i="2"/>
  <c r="D1652" i="2"/>
  <c r="E1652" i="2"/>
  <c r="D1006" i="2"/>
  <c r="E1006" i="2"/>
  <c r="D1108" i="2"/>
  <c r="E1108" i="2"/>
  <c r="D801" i="2"/>
  <c r="E801" i="2"/>
  <c r="D972" i="2"/>
  <c r="E972" i="2"/>
  <c r="D1346" i="2"/>
  <c r="E1346" i="2"/>
  <c r="D1448" i="2"/>
  <c r="E1448" i="2"/>
  <c r="D1143" i="2"/>
  <c r="E1143" i="2"/>
  <c r="D1720" i="2"/>
  <c r="E1720" i="2"/>
  <c r="D1380" i="2"/>
  <c r="E1380" i="2"/>
  <c r="D1074" i="2"/>
  <c r="E1074" i="2"/>
  <c r="D1312" i="2"/>
  <c r="E1312" i="2"/>
  <c r="D1245" i="2"/>
  <c r="E1245" i="2"/>
  <c r="R1683" i="2"/>
  <c r="T1683" i="2" s="1"/>
  <c r="T865" i="2"/>
  <c r="O935" i="2"/>
  <c r="T935" i="2" s="1"/>
  <c r="T900" i="2"/>
  <c r="T899" i="2"/>
  <c r="S899" i="2"/>
  <c r="R1548" i="2"/>
  <c r="T1037" i="2"/>
  <c r="R731" i="2"/>
  <c r="B1753" i="2"/>
  <c r="G1753" i="2"/>
  <c r="C1753" i="2"/>
  <c r="R1616" i="2"/>
  <c r="R1582" i="2"/>
  <c r="T1582" i="2" s="1"/>
  <c r="R1446" i="2"/>
  <c r="R1480" i="2"/>
  <c r="R1141" i="2"/>
  <c r="R765" i="2"/>
  <c r="R697" i="2"/>
  <c r="S901" i="2"/>
  <c r="R1684" i="2"/>
  <c r="R1412" i="2"/>
  <c r="R1650" i="2"/>
  <c r="R970" i="2"/>
  <c r="I970" i="2" s="1"/>
  <c r="O970" i="2" s="1"/>
  <c r="R867" i="2"/>
  <c r="R902" i="2"/>
  <c r="R1378" i="2"/>
  <c r="F1810" i="2"/>
  <c r="F1809" i="2"/>
  <c r="F1811" i="2"/>
  <c r="S696" i="2"/>
  <c r="R1344" i="2"/>
  <c r="R936" i="2"/>
  <c r="R799" i="2"/>
  <c r="R1072" i="2"/>
  <c r="R1514" i="2"/>
  <c r="R1243" i="2"/>
  <c r="R1310" i="2"/>
  <c r="R1208" i="2"/>
  <c r="R1106" i="2"/>
  <c r="R1004" i="2"/>
  <c r="R1038" i="2"/>
  <c r="B55" i="1"/>
  <c r="G1788" i="2" s="1"/>
  <c r="G1752" i="2"/>
  <c r="B1752" i="2"/>
  <c r="C1752" i="2"/>
  <c r="R833" i="2"/>
  <c r="R1682" i="2"/>
  <c r="T1647" i="2"/>
  <c r="S1647" i="2"/>
  <c r="R1175" i="2"/>
  <c r="R1276" i="2"/>
  <c r="S1276" i="2" s="1"/>
  <c r="S593" i="2"/>
  <c r="T593" i="2"/>
  <c r="O833" i="2"/>
  <c r="S1377" i="2"/>
  <c r="T1377" i="2"/>
  <c r="B1550" i="2"/>
  <c r="G1550" i="2"/>
  <c r="A1551" i="2"/>
  <c r="C1550" i="2"/>
  <c r="O1515" i="2"/>
  <c r="O1446" i="2"/>
  <c r="O902" i="2"/>
  <c r="O1141" i="2"/>
  <c r="A1347" i="2"/>
  <c r="B1346" i="2"/>
  <c r="C1346" i="2"/>
  <c r="G1346" i="2"/>
  <c r="G1448" i="2"/>
  <c r="A1449" i="2"/>
  <c r="B1448" i="2"/>
  <c r="C1448" i="2"/>
  <c r="O1072" i="2"/>
  <c r="O663" i="2"/>
  <c r="S1174" i="2"/>
  <c r="T1174" i="2"/>
  <c r="O731" i="2"/>
  <c r="C1210" i="2"/>
  <c r="A1211" i="2"/>
  <c r="B1210" i="2"/>
  <c r="G1210" i="2"/>
  <c r="O1208" i="2"/>
  <c r="O1480" i="2"/>
  <c r="O1378" i="2"/>
  <c r="S1275" i="2"/>
  <c r="T1140" i="2"/>
  <c r="S1140" i="2"/>
  <c r="T1105" i="2"/>
  <c r="S1105" i="2"/>
  <c r="C1278" i="2"/>
  <c r="B1278" i="2"/>
  <c r="G1278" i="2"/>
  <c r="A1279" i="2"/>
  <c r="T1513" i="2"/>
  <c r="S1513" i="2"/>
  <c r="B1516" i="2"/>
  <c r="A1517" i="2"/>
  <c r="G1516" i="2"/>
  <c r="C1516" i="2"/>
  <c r="A736" i="2"/>
  <c r="C736" i="2"/>
  <c r="G736" i="2"/>
  <c r="T1615" i="2"/>
  <c r="S1615" i="2"/>
  <c r="T1581" i="2"/>
  <c r="S1581" i="2"/>
  <c r="O1514" i="2"/>
  <c r="T662" i="2"/>
  <c r="S662" i="2"/>
  <c r="T798" i="2"/>
  <c r="S798" i="2"/>
  <c r="O1548" i="2"/>
  <c r="T1242" i="2"/>
  <c r="S1242" i="2"/>
  <c r="B972" i="2"/>
  <c r="A973" i="2"/>
  <c r="A974" i="2" s="1"/>
  <c r="G972" i="2"/>
  <c r="C972" i="2"/>
  <c r="S866" i="2"/>
  <c r="T866" i="2"/>
  <c r="C1143" i="2"/>
  <c r="G1143" i="2"/>
  <c r="B1143" i="2"/>
  <c r="A1144" i="2"/>
  <c r="O1106" i="2"/>
  <c r="B1686" i="2"/>
  <c r="A1687" i="2"/>
  <c r="G1686" i="2"/>
  <c r="C1686" i="2"/>
  <c r="O1412" i="2"/>
  <c r="T1003" i="2"/>
  <c r="S1003" i="2"/>
  <c r="A1823" i="2"/>
  <c r="A1857" i="2"/>
  <c r="O1447" i="2"/>
  <c r="G1074" i="2"/>
  <c r="C1074" i="2"/>
  <c r="B1074" i="2"/>
  <c r="A1075" i="2"/>
  <c r="C904" i="2"/>
  <c r="G904" i="2"/>
  <c r="B904" i="2"/>
  <c r="A905" i="2"/>
  <c r="O697" i="2"/>
  <c r="B1312" i="2"/>
  <c r="G1312" i="2"/>
  <c r="C1312" i="2"/>
  <c r="A1313" i="2"/>
  <c r="G1245" i="2"/>
  <c r="C1245" i="2"/>
  <c r="B1245" i="2"/>
  <c r="T1207" i="2"/>
  <c r="S1207" i="2"/>
  <c r="A1178" i="2"/>
  <c r="G1177" i="2"/>
  <c r="C1177" i="2"/>
  <c r="B1177" i="2"/>
  <c r="T1309" i="2"/>
  <c r="S1309" i="2"/>
  <c r="O765" i="2"/>
  <c r="A1755" i="2"/>
  <c r="B1754" i="2"/>
  <c r="C1754" i="2"/>
  <c r="G1754" i="2"/>
  <c r="G1108" i="2"/>
  <c r="A1109" i="2"/>
  <c r="C1108" i="2"/>
  <c r="B1108" i="2"/>
  <c r="G1040" i="2"/>
  <c r="B1040" i="2"/>
  <c r="C1040" i="2"/>
  <c r="A1041" i="2"/>
  <c r="O1038" i="2"/>
  <c r="T1343" i="2"/>
  <c r="S1343" i="2"/>
  <c r="O867" i="2"/>
  <c r="C1414" i="2"/>
  <c r="G1414" i="2"/>
  <c r="A1415" i="2"/>
  <c r="B1414" i="2"/>
  <c r="S628" i="2"/>
  <c r="T628" i="2"/>
  <c r="T1649" i="2"/>
  <c r="S1649" i="2"/>
  <c r="C1006" i="2"/>
  <c r="G1006" i="2"/>
  <c r="B1006" i="2"/>
  <c r="S832" i="2"/>
  <c r="T832" i="2"/>
  <c r="T1445" i="2"/>
  <c r="S1445" i="2"/>
  <c r="G1720" i="2"/>
  <c r="C1720" i="2"/>
  <c r="A1721" i="2"/>
  <c r="B1720" i="2"/>
  <c r="O1243" i="2"/>
  <c r="O1718" i="2"/>
  <c r="B1652" i="2"/>
  <c r="C1652" i="2"/>
  <c r="G1652" i="2"/>
  <c r="A1653" i="2"/>
  <c r="T1479" i="2"/>
  <c r="S1479" i="2"/>
  <c r="A1619" i="2"/>
  <c r="G1618" i="2"/>
  <c r="B1618" i="2"/>
  <c r="C1618" i="2"/>
  <c r="O936" i="2"/>
  <c r="O799" i="2"/>
  <c r="O1616" i="2"/>
  <c r="O1344" i="2"/>
  <c r="S730" i="2"/>
  <c r="T730" i="2"/>
  <c r="C801" i="2"/>
  <c r="G801" i="2"/>
  <c r="B801" i="2"/>
  <c r="S1547" i="2"/>
  <c r="T1547" i="2"/>
  <c r="O1107" i="2"/>
  <c r="B1584" i="2"/>
  <c r="A1585" i="2"/>
  <c r="C1584" i="2"/>
  <c r="G1584" i="2"/>
  <c r="B701" i="2"/>
  <c r="B1482" i="2"/>
  <c r="A1483" i="2"/>
  <c r="G1482" i="2"/>
  <c r="C1482" i="2"/>
  <c r="G1380" i="2"/>
  <c r="A1381" i="2"/>
  <c r="B1380" i="2"/>
  <c r="C1380" i="2"/>
  <c r="T1071" i="2"/>
  <c r="S1071" i="2"/>
  <c r="S764" i="2"/>
  <c r="T764" i="2"/>
  <c r="O903" i="2"/>
  <c r="O1650" i="2"/>
  <c r="O1684" i="2"/>
  <c r="O1379" i="2"/>
  <c r="I981" i="2" l="1"/>
  <c r="O666" i="2"/>
  <c r="T664" i="2"/>
  <c r="S596" i="2"/>
  <c r="S630" i="2"/>
  <c r="S631" i="2" s="1"/>
  <c r="R631" i="2"/>
  <c r="T631" i="2" s="1"/>
  <c r="O1004" i="2"/>
  <c r="T596" i="2"/>
  <c r="B1008" i="2"/>
  <c r="C1008" i="2"/>
  <c r="D1008" i="2"/>
  <c r="E1008" i="2"/>
  <c r="G1008" i="2"/>
  <c r="A1009" i="2"/>
  <c r="B974" i="2"/>
  <c r="C974" i="2"/>
  <c r="D974" i="2"/>
  <c r="E974" i="2"/>
  <c r="G974" i="2"/>
  <c r="A975" i="2"/>
  <c r="B940" i="2"/>
  <c r="C940" i="2"/>
  <c r="D940" i="2"/>
  <c r="E940" i="2"/>
  <c r="G940" i="2"/>
  <c r="A941" i="2"/>
  <c r="B871" i="2"/>
  <c r="C871" i="2"/>
  <c r="D871" i="2"/>
  <c r="E871" i="2"/>
  <c r="G871" i="2"/>
  <c r="A872" i="2"/>
  <c r="B837" i="2"/>
  <c r="C837" i="2"/>
  <c r="D837" i="2"/>
  <c r="E837" i="2"/>
  <c r="G837" i="2"/>
  <c r="A838" i="2"/>
  <c r="B803" i="2"/>
  <c r="C803" i="2"/>
  <c r="D803" i="2"/>
  <c r="E803" i="2"/>
  <c r="G803" i="2"/>
  <c r="A804" i="2"/>
  <c r="B769" i="2"/>
  <c r="C769" i="2"/>
  <c r="D769" i="2"/>
  <c r="E769" i="2"/>
  <c r="G769" i="2"/>
  <c r="A770" i="2"/>
  <c r="B735" i="2"/>
  <c r="C735" i="2"/>
  <c r="D735" i="2"/>
  <c r="E735" i="2"/>
  <c r="G735" i="2"/>
  <c r="Q734" i="2"/>
  <c r="P734" i="2"/>
  <c r="T630" i="2"/>
  <c r="R665" i="2"/>
  <c r="Q700" i="2"/>
  <c r="Q701" i="2" s="1"/>
  <c r="P700" i="2"/>
  <c r="P701" i="2" s="1"/>
  <c r="R699" i="2"/>
  <c r="R1717" i="2"/>
  <c r="T1275" i="2"/>
  <c r="T1411" i="2"/>
  <c r="S1411" i="2"/>
  <c r="D1788" i="2"/>
  <c r="E1788" i="2"/>
  <c r="E1787" i="2"/>
  <c r="D1787" i="2"/>
  <c r="O969" i="2"/>
  <c r="Q1584" i="2"/>
  <c r="P1584" i="2"/>
  <c r="Q1720" i="2"/>
  <c r="P1720" i="2"/>
  <c r="Q1108" i="2"/>
  <c r="P1108" i="2"/>
  <c r="Q1754" i="2"/>
  <c r="P1754" i="2"/>
  <c r="Q1245" i="2"/>
  <c r="P1245" i="2"/>
  <c r="Q904" i="2"/>
  <c r="P904" i="2"/>
  <c r="Q972" i="2"/>
  <c r="P972" i="2"/>
  <c r="Q1210" i="2"/>
  <c r="P1210" i="2"/>
  <c r="Q801" i="2"/>
  <c r="P801" i="2"/>
  <c r="Q1618" i="2"/>
  <c r="P1618" i="2"/>
  <c r="Q1074" i="2"/>
  <c r="P1074" i="2"/>
  <c r="Q1686" i="2"/>
  <c r="P1686" i="2"/>
  <c r="Q1143" i="2"/>
  <c r="P1143" i="2"/>
  <c r="Q733" i="2"/>
  <c r="P733" i="2"/>
  <c r="Q1516" i="2"/>
  <c r="P1516" i="2"/>
  <c r="Q1448" i="2"/>
  <c r="P1448" i="2"/>
  <c r="Q767" i="2"/>
  <c r="P767" i="2"/>
  <c r="Q1550" i="2"/>
  <c r="P1550" i="2"/>
  <c r="Q1652" i="2"/>
  <c r="P1652" i="2"/>
  <c r="Q1006" i="2"/>
  <c r="P1006" i="2"/>
  <c r="Q1040" i="2"/>
  <c r="P1040" i="2"/>
  <c r="Q1312" i="2"/>
  <c r="P1312" i="2"/>
  <c r="Q1278" i="2"/>
  <c r="P1278" i="2"/>
  <c r="Q1346" i="2"/>
  <c r="P1346" i="2"/>
  <c r="Q1752" i="2"/>
  <c r="P1752" i="2"/>
  <c r="Q1380" i="2"/>
  <c r="P1380" i="2"/>
  <c r="Q1482" i="2"/>
  <c r="P1482" i="2"/>
  <c r="Q869" i="2"/>
  <c r="P869" i="2"/>
  <c r="Q1414" i="2"/>
  <c r="P1414" i="2"/>
  <c r="Q938" i="2"/>
  <c r="P938" i="2"/>
  <c r="Q1177" i="2"/>
  <c r="P1177" i="2"/>
  <c r="Q835" i="2"/>
  <c r="P835" i="2"/>
  <c r="Q1753" i="2"/>
  <c r="P1753" i="2"/>
  <c r="S1683" i="2"/>
  <c r="D1483" i="2"/>
  <c r="E1483" i="2"/>
  <c r="D1721" i="2"/>
  <c r="E1721" i="2"/>
  <c r="D1041" i="2"/>
  <c r="E1041" i="2"/>
  <c r="D1755" i="2"/>
  <c r="E1755" i="2"/>
  <c r="D1279" i="2"/>
  <c r="E1279" i="2"/>
  <c r="D1211" i="2"/>
  <c r="E1211" i="2"/>
  <c r="D1347" i="2"/>
  <c r="E1347" i="2"/>
  <c r="D771" i="2"/>
  <c r="E771" i="2"/>
  <c r="D1381" i="2"/>
  <c r="E1381" i="2"/>
  <c r="D1585" i="2"/>
  <c r="E1585" i="2"/>
  <c r="D1109" i="2"/>
  <c r="E1109" i="2"/>
  <c r="D1178" i="2"/>
  <c r="E1178" i="2"/>
  <c r="D1246" i="2"/>
  <c r="E1246" i="2"/>
  <c r="D905" i="2"/>
  <c r="E905" i="2"/>
  <c r="D973" i="2"/>
  <c r="E973" i="2"/>
  <c r="D1449" i="2"/>
  <c r="E1449" i="2"/>
  <c r="D1789" i="2"/>
  <c r="E1789" i="2"/>
  <c r="D1619" i="2"/>
  <c r="E1619" i="2"/>
  <c r="D1653" i="2"/>
  <c r="E1653" i="2"/>
  <c r="D1415" i="2"/>
  <c r="E1415" i="2"/>
  <c r="D1313" i="2"/>
  <c r="E1313" i="2"/>
  <c r="D1075" i="2"/>
  <c r="E1075" i="2"/>
  <c r="D1687" i="2"/>
  <c r="E1687" i="2"/>
  <c r="D1144" i="2"/>
  <c r="E1144" i="2"/>
  <c r="D1517" i="2"/>
  <c r="E1517" i="2"/>
  <c r="D1551" i="2"/>
  <c r="E1551" i="2"/>
  <c r="R1718" i="2"/>
  <c r="S1718" i="2" s="1"/>
  <c r="I1310" i="2"/>
  <c r="S935" i="2"/>
  <c r="S1582" i="2"/>
  <c r="B1788" i="2"/>
  <c r="C1788" i="2"/>
  <c r="R1311" i="2"/>
  <c r="R1583" i="2"/>
  <c r="R800" i="2"/>
  <c r="R1651" i="2"/>
  <c r="R766" i="2"/>
  <c r="R903" i="2"/>
  <c r="T903" i="2" s="1"/>
  <c r="R1005" i="2"/>
  <c r="I1005" i="2" s="1"/>
  <c r="R732" i="2"/>
  <c r="T1276" i="2"/>
  <c r="F1845" i="2"/>
  <c r="F1844" i="2"/>
  <c r="F1846" i="2"/>
  <c r="R868" i="2"/>
  <c r="R1447" i="2"/>
  <c r="T1447" i="2" s="1"/>
  <c r="R1209" i="2"/>
  <c r="R1617" i="2"/>
  <c r="R971" i="2"/>
  <c r="R834" i="2"/>
  <c r="R1039" i="2"/>
  <c r="R1107" i="2"/>
  <c r="S1107" i="2" s="1"/>
  <c r="R1277" i="2"/>
  <c r="R937" i="2"/>
  <c r="R1481" i="2"/>
  <c r="R1379" i="2"/>
  <c r="T1379" i="2" s="1"/>
  <c r="R1073" i="2"/>
  <c r="R1176" i="2"/>
  <c r="T1682" i="2"/>
  <c r="S1682" i="2"/>
  <c r="R1549" i="2"/>
  <c r="R1142" i="2"/>
  <c r="B56" i="1"/>
  <c r="D1823" i="2" s="1"/>
  <c r="B1787" i="2"/>
  <c r="G1787" i="2"/>
  <c r="C1787" i="2"/>
  <c r="R1345" i="2"/>
  <c r="I1345" i="2" s="1"/>
  <c r="R1413" i="2"/>
  <c r="R1244" i="2"/>
  <c r="R1515" i="2"/>
  <c r="S1515" i="2" s="1"/>
  <c r="R1685" i="2"/>
  <c r="R698" i="2"/>
  <c r="R663" i="2"/>
  <c r="R1719" i="2"/>
  <c r="B1721" i="2"/>
  <c r="A1722" i="2"/>
  <c r="G1721" i="2"/>
  <c r="C1721" i="2"/>
  <c r="B1246" i="2"/>
  <c r="G1246" i="2"/>
  <c r="C1246" i="2"/>
  <c r="T697" i="2"/>
  <c r="S697" i="2"/>
  <c r="O766" i="2"/>
  <c r="S1106" i="2"/>
  <c r="T1106" i="2"/>
  <c r="S1480" i="2"/>
  <c r="T1480" i="2"/>
  <c r="T936" i="2"/>
  <c r="S936" i="2"/>
  <c r="B905" i="2"/>
  <c r="C905" i="2"/>
  <c r="G905" i="2"/>
  <c r="A906" i="2"/>
  <c r="S1208" i="2"/>
  <c r="T1208" i="2"/>
  <c r="O1448" i="2"/>
  <c r="A1076" i="2"/>
  <c r="G1075" i="2"/>
  <c r="B1075" i="2"/>
  <c r="C1075" i="2"/>
  <c r="O1549" i="2"/>
  <c r="S731" i="2"/>
  <c r="T731" i="2"/>
  <c r="A1450" i="2"/>
  <c r="G1449" i="2"/>
  <c r="C1449" i="2"/>
  <c r="B1449" i="2"/>
  <c r="T833" i="2"/>
  <c r="S833" i="2"/>
  <c r="A1382" i="2"/>
  <c r="C1381" i="2"/>
  <c r="B1381" i="2"/>
  <c r="G1381" i="2"/>
  <c r="S970" i="2"/>
  <c r="T970" i="2"/>
  <c r="O1244" i="2"/>
  <c r="C1755" i="2"/>
  <c r="A1756" i="2"/>
  <c r="B1755" i="2"/>
  <c r="G1755" i="2"/>
  <c r="O698" i="2"/>
  <c r="T1344" i="2"/>
  <c r="S1344" i="2"/>
  <c r="O868" i="2"/>
  <c r="T867" i="2"/>
  <c r="S867" i="2"/>
  <c r="O732" i="2"/>
  <c r="T765" i="2"/>
  <c r="S765" i="2"/>
  <c r="O1277" i="2"/>
  <c r="S799" i="2"/>
  <c r="T799" i="2"/>
  <c r="C1653" i="2"/>
  <c r="G1653" i="2"/>
  <c r="A1654" i="2"/>
  <c r="B1653" i="2"/>
  <c r="O800" i="2"/>
  <c r="T1684" i="2"/>
  <c r="S1684" i="2"/>
  <c r="A1518" i="2"/>
  <c r="B1517" i="2"/>
  <c r="C1517" i="2"/>
  <c r="G1517" i="2"/>
  <c r="A1212" i="2"/>
  <c r="G1211" i="2"/>
  <c r="B1211" i="2"/>
  <c r="C1211" i="2"/>
  <c r="O1177" i="2"/>
  <c r="T1412" i="2"/>
  <c r="S1412" i="2"/>
  <c r="C1144" i="2"/>
  <c r="B1144" i="2"/>
  <c r="A1145" i="2"/>
  <c r="G1144" i="2"/>
  <c r="C973" i="2"/>
  <c r="B973" i="2"/>
  <c r="G973" i="2"/>
  <c r="S1616" i="2"/>
  <c r="T1616" i="2"/>
  <c r="S1650" i="2"/>
  <c r="T1650" i="2"/>
  <c r="O1719" i="2"/>
  <c r="O1481" i="2"/>
  <c r="T1141" i="2"/>
  <c r="S1141" i="2"/>
  <c r="O1413" i="2"/>
  <c r="S1038" i="2"/>
  <c r="T1038" i="2"/>
  <c r="A1110" i="2"/>
  <c r="C1109" i="2"/>
  <c r="G1109" i="2"/>
  <c r="B1109" i="2"/>
  <c r="O1073" i="2"/>
  <c r="O1209" i="2"/>
  <c r="A1892" i="2"/>
  <c r="A1858" i="2"/>
  <c r="T902" i="2"/>
  <c r="S902" i="2"/>
  <c r="O1685" i="2"/>
  <c r="C1619" i="2"/>
  <c r="G1619" i="2"/>
  <c r="A1620" i="2"/>
  <c r="B1619" i="2"/>
  <c r="A1042" i="2"/>
  <c r="G1041" i="2"/>
  <c r="B1041" i="2"/>
  <c r="C1041" i="2"/>
  <c r="A1824" i="2"/>
  <c r="B736" i="2"/>
  <c r="C1551" i="2"/>
  <c r="A1552" i="2"/>
  <c r="G1551" i="2"/>
  <c r="B1551" i="2"/>
  <c r="B1789" i="2"/>
  <c r="C1789" i="2"/>
  <c r="G1789" i="2"/>
  <c r="A1790" i="2"/>
  <c r="A1484" i="2"/>
  <c r="B1483" i="2"/>
  <c r="C1483" i="2"/>
  <c r="G1483" i="2"/>
  <c r="B1585" i="2"/>
  <c r="C1585" i="2"/>
  <c r="A1586" i="2"/>
  <c r="G1585" i="2"/>
  <c r="O1651" i="2"/>
  <c r="O1414" i="2"/>
  <c r="B1313" i="2"/>
  <c r="G1313" i="2"/>
  <c r="A1314" i="2"/>
  <c r="C1313" i="2"/>
  <c r="O1787" i="2"/>
  <c r="B1687" i="2"/>
  <c r="C1687" i="2"/>
  <c r="A1688" i="2"/>
  <c r="G1687" i="2"/>
  <c r="A1280" i="2"/>
  <c r="G1279" i="2"/>
  <c r="B1279" i="2"/>
  <c r="C1279" i="2"/>
  <c r="S1072" i="2"/>
  <c r="T1072" i="2"/>
  <c r="A1348" i="2"/>
  <c r="B1347" i="2"/>
  <c r="G1347" i="2"/>
  <c r="C1347" i="2"/>
  <c r="S1175" i="2"/>
  <c r="T1175" i="2"/>
  <c r="S1243" i="2"/>
  <c r="T1243" i="2"/>
  <c r="A1179" i="2"/>
  <c r="G1178" i="2"/>
  <c r="C1178" i="2"/>
  <c r="B1178" i="2"/>
  <c r="O1482" i="2"/>
  <c r="A1416" i="2"/>
  <c r="B1415" i="2"/>
  <c r="G1415" i="2"/>
  <c r="C1415" i="2"/>
  <c r="O1142" i="2"/>
  <c r="O1753" i="2"/>
  <c r="O834" i="2"/>
  <c r="O971" i="2"/>
  <c r="S1446" i="2"/>
  <c r="T1446" i="2"/>
  <c r="O937" i="2"/>
  <c r="O1617" i="2"/>
  <c r="O1583" i="2"/>
  <c r="O1312" i="2"/>
  <c r="S1548" i="2"/>
  <c r="T1548" i="2"/>
  <c r="T1514" i="2"/>
  <c r="S1514" i="2"/>
  <c r="S1378" i="2"/>
  <c r="T1378" i="2"/>
  <c r="A771" i="2"/>
  <c r="C771" i="2"/>
  <c r="G771" i="2"/>
  <c r="R666" i="2" l="1"/>
  <c r="O701" i="2"/>
  <c r="I1016" i="2"/>
  <c r="O1039" i="2"/>
  <c r="S1004" i="2"/>
  <c r="T665" i="2"/>
  <c r="S665" i="2"/>
  <c r="S1717" i="2"/>
  <c r="B1009" i="2"/>
  <c r="C1009" i="2"/>
  <c r="D1009" i="2"/>
  <c r="E1009" i="2"/>
  <c r="G1009" i="2"/>
  <c r="A1010" i="2"/>
  <c r="B975" i="2"/>
  <c r="C975" i="2"/>
  <c r="D975" i="2"/>
  <c r="E975" i="2"/>
  <c r="G975" i="2"/>
  <c r="A976" i="2"/>
  <c r="B941" i="2"/>
  <c r="C941" i="2"/>
  <c r="D941" i="2"/>
  <c r="E941" i="2"/>
  <c r="G941" i="2"/>
  <c r="A942" i="2"/>
  <c r="B872" i="2"/>
  <c r="C872" i="2"/>
  <c r="D872" i="2"/>
  <c r="E872" i="2"/>
  <c r="G872" i="2"/>
  <c r="A873" i="2"/>
  <c r="B838" i="2"/>
  <c r="C838" i="2"/>
  <c r="D838" i="2"/>
  <c r="E838" i="2"/>
  <c r="G838" i="2"/>
  <c r="A839" i="2"/>
  <c r="B804" i="2"/>
  <c r="C804" i="2"/>
  <c r="D804" i="2"/>
  <c r="E804" i="2"/>
  <c r="G804" i="2"/>
  <c r="A805" i="2"/>
  <c r="B770" i="2"/>
  <c r="C770" i="2"/>
  <c r="D770" i="2"/>
  <c r="E770" i="2"/>
  <c r="G770" i="2"/>
  <c r="R734" i="2"/>
  <c r="T734" i="2" s="1"/>
  <c r="Q769" i="2"/>
  <c r="P769" i="2"/>
  <c r="Q735" i="2"/>
  <c r="Q736" i="2" s="1"/>
  <c r="P735" i="2"/>
  <c r="P736" i="2" s="1"/>
  <c r="R700" i="2"/>
  <c r="T699" i="2"/>
  <c r="S699" i="2"/>
  <c r="T1004" i="2"/>
  <c r="E1823" i="2"/>
  <c r="S969" i="2"/>
  <c r="G1823" i="2"/>
  <c r="E1822" i="2"/>
  <c r="D1822" i="2"/>
  <c r="T969" i="2"/>
  <c r="O1345" i="2"/>
  <c r="S1345" i="2" s="1"/>
  <c r="O1310" i="2"/>
  <c r="Q1347" i="2"/>
  <c r="P1347" i="2"/>
  <c r="Q1279" i="2"/>
  <c r="P1279" i="2"/>
  <c r="Q1687" i="2"/>
  <c r="P1687" i="2"/>
  <c r="Q1483" i="2"/>
  <c r="P1483" i="2"/>
  <c r="Q768" i="2"/>
  <c r="P768" i="2"/>
  <c r="Q1415" i="2"/>
  <c r="P1415" i="2"/>
  <c r="Q1041" i="2"/>
  <c r="P1041" i="2"/>
  <c r="Q1007" i="2"/>
  <c r="P1007" i="2"/>
  <c r="Q1109" i="2"/>
  <c r="P1109" i="2"/>
  <c r="Q1144" i="2"/>
  <c r="P1144" i="2"/>
  <c r="Q1211" i="2"/>
  <c r="P1211" i="2"/>
  <c r="Q1075" i="2"/>
  <c r="P1075" i="2"/>
  <c r="Q905" i="2"/>
  <c r="P905" i="2"/>
  <c r="Q1246" i="2"/>
  <c r="P1246" i="2"/>
  <c r="Q1721" i="2"/>
  <c r="P1721" i="2"/>
  <c r="Q1788" i="2"/>
  <c r="P1788" i="2"/>
  <c r="Q1178" i="2"/>
  <c r="P1178" i="2"/>
  <c r="Q1789" i="2"/>
  <c r="P1789" i="2"/>
  <c r="Q1619" i="2"/>
  <c r="P1619" i="2"/>
  <c r="Q1653" i="2"/>
  <c r="P1653" i="2"/>
  <c r="Q1755" i="2"/>
  <c r="P1755" i="2"/>
  <c r="Q1449" i="2"/>
  <c r="P1449" i="2"/>
  <c r="Q939" i="2"/>
  <c r="P939" i="2"/>
  <c r="Q802" i="2"/>
  <c r="P802" i="2"/>
  <c r="Q836" i="2"/>
  <c r="P836" i="2"/>
  <c r="Q1313" i="2"/>
  <c r="P1313" i="2"/>
  <c r="P1585" i="2"/>
  <c r="Q1585" i="2"/>
  <c r="Q1551" i="2"/>
  <c r="P1551" i="2"/>
  <c r="Q870" i="2"/>
  <c r="P870" i="2"/>
  <c r="Q973" i="2"/>
  <c r="P973" i="2"/>
  <c r="Q1517" i="2"/>
  <c r="P1517" i="2"/>
  <c r="Q1381" i="2"/>
  <c r="P1381" i="2"/>
  <c r="Q1787" i="2"/>
  <c r="P1787" i="2"/>
  <c r="T1718" i="2"/>
  <c r="D1280" i="2"/>
  <c r="E1280" i="2"/>
  <c r="D1518" i="2"/>
  <c r="E1518" i="2"/>
  <c r="D906" i="2"/>
  <c r="E906" i="2"/>
  <c r="D1416" i="2"/>
  <c r="E1416" i="2"/>
  <c r="D1179" i="2"/>
  <c r="E1179" i="2"/>
  <c r="D1790" i="2"/>
  <c r="E1790" i="2"/>
  <c r="D1552" i="2"/>
  <c r="E1552" i="2"/>
  <c r="D1824" i="2"/>
  <c r="E1824" i="2"/>
  <c r="D806" i="2"/>
  <c r="E806" i="2"/>
  <c r="D1042" i="2"/>
  <c r="E1042" i="2"/>
  <c r="D1620" i="2"/>
  <c r="E1620" i="2"/>
  <c r="D1382" i="2"/>
  <c r="E1382" i="2"/>
  <c r="D1450" i="2"/>
  <c r="E1450" i="2"/>
  <c r="D1247" i="2"/>
  <c r="E1247" i="2"/>
  <c r="D1348" i="2"/>
  <c r="E1348" i="2"/>
  <c r="D1688" i="2"/>
  <c r="E1688" i="2"/>
  <c r="D1314" i="2"/>
  <c r="E1314" i="2"/>
  <c r="D1586" i="2"/>
  <c r="E1586" i="2"/>
  <c r="D1484" i="2"/>
  <c r="E1484" i="2"/>
  <c r="D1110" i="2"/>
  <c r="E1110" i="2"/>
  <c r="D1145" i="2"/>
  <c r="E1145" i="2"/>
  <c r="D1212" i="2"/>
  <c r="E1212" i="2"/>
  <c r="D1654" i="2"/>
  <c r="E1654" i="2"/>
  <c r="D1756" i="2"/>
  <c r="E1756" i="2"/>
  <c r="D1076" i="2"/>
  <c r="E1076" i="2"/>
  <c r="D1722" i="2"/>
  <c r="E1722" i="2"/>
  <c r="R1753" i="2"/>
  <c r="S1753" i="2" s="1"/>
  <c r="O1005" i="2"/>
  <c r="T1005" i="2" s="1"/>
  <c r="R869" i="2"/>
  <c r="S903" i="2"/>
  <c r="T1717" i="2"/>
  <c r="C1823" i="2"/>
  <c r="B1823" i="2"/>
  <c r="R801" i="2"/>
  <c r="R904" i="2"/>
  <c r="R1143" i="2"/>
  <c r="R1380" i="2"/>
  <c r="I1380" i="2" s="1"/>
  <c r="R1720" i="2"/>
  <c r="R835" i="2"/>
  <c r="R1516" i="2"/>
  <c r="I1516" i="2" s="1"/>
  <c r="S1447" i="2"/>
  <c r="T1107" i="2"/>
  <c r="T1515" i="2"/>
  <c r="R1686" i="2"/>
  <c r="R1752" i="2"/>
  <c r="F1880" i="2"/>
  <c r="F1879" i="2"/>
  <c r="F1881" i="2"/>
  <c r="R938" i="2"/>
  <c r="S1379" i="2"/>
  <c r="R1482" i="2"/>
  <c r="T1482" i="2" s="1"/>
  <c r="R1448" i="2"/>
  <c r="S1448" i="2" s="1"/>
  <c r="R1040" i="2"/>
  <c r="I1040" i="2" s="1"/>
  <c r="R1108" i="2"/>
  <c r="R1074" i="2"/>
  <c r="R1006" i="2"/>
  <c r="R1245" i="2"/>
  <c r="R767" i="2"/>
  <c r="R1414" i="2"/>
  <c r="T1414" i="2" s="1"/>
  <c r="R1312" i="2"/>
  <c r="S1312" i="2" s="1"/>
  <c r="R1346" i="2"/>
  <c r="R1754" i="2"/>
  <c r="R1618" i="2"/>
  <c r="B57" i="1"/>
  <c r="B1822" i="2"/>
  <c r="G1822" i="2"/>
  <c r="C1822" i="2"/>
  <c r="R1210" i="2"/>
  <c r="R1177" i="2"/>
  <c r="S1177" i="2" s="1"/>
  <c r="R972" i="2"/>
  <c r="R1584" i="2"/>
  <c r="R1278" i="2"/>
  <c r="R1652" i="2"/>
  <c r="R1550" i="2"/>
  <c r="T663" i="2"/>
  <c r="S663" i="2"/>
  <c r="S1685" i="2"/>
  <c r="T1685" i="2"/>
  <c r="S1244" i="2"/>
  <c r="T1244" i="2"/>
  <c r="O1822" i="2"/>
  <c r="A1791" i="2"/>
  <c r="G1790" i="2"/>
  <c r="B1790" i="2"/>
  <c r="C1790" i="2"/>
  <c r="T937" i="2"/>
  <c r="S937" i="2"/>
  <c r="B1688" i="2"/>
  <c r="G1688" i="2"/>
  <c r="C1688" i="2"/>
  <c r="A1689" i="2"/>
  <c r="O938" i="2"/>
  <c r="O1720" i="2"/>
  <c r="O1108" i="2"/>
  <c r="S1176" i="2"/>
  <c r="T1176" i="2"/>
  <c r="O733" i="2"/>
  <c r="G1620" i="2"/>
  <c r="B1620" i="2"/>
  <c r="A1621" i="2"/>
  <c r="C1620" i="2"/>
  <c r="A1859" i="2"/>
  <c r="S1719" i="2"/>
  <c r="T1719" i="2"/>
  <c r="O869" i="2"/>
  <c r="O1346" i="2"/>
  <c r="O870" i="2"/>
  <c r="G906" i="2"/>
  <c r="B906" i="2"/>
  <c r="C906" i="2"/>
  <c r="A907" i="2"/>
  <c r="C1247" i="2"/>
  <c r="B1247" i="2"/>
  <c r="G1247" i="2"/>
  <c r="A1111" i="2"/>
  <c r="B1110" i="2"/>
  <c r="C1110" i="2"/>
  <c r="G1110" i="2"/>
  <c r="S1311" i="2"/>
  <c r="T1311" i="2"/>
  <c r="S1142" i="2"/>
  <c r="T1142" i="2"/>
  <c r="Q803" i="2"/>
  <c r="A806" i="2"/>
  <c r="G806" i="2"/>
  <c r="C806" i="2"/>
  <c r="B1179" i="2"/>
  <c r="G1179" i="2"/>
  <c r="C1179" i="2"/>
  <c r="A1180" i="2"/>
  <c r="O1278" i="2"/>
  <c r="S1583" i="2"/>
  <c r="T1583" i="2"/>
  <c r="C1314" i="2"/>
  <c r="G1314" i="2"/>
  <c r="B1314" i="2"/>
  <c r="A1315" i="2"/>
  <c r="G1484" i="2"/>
  <c r="B1484" i="2"/>
  <c r="A1485" i="2"/>
  <c r="C1484" i="2"/>
  <c r="B1552" i="2"/>
  <c r="G1552" i="2"/>
  <c r="C1552" i="2"/>
  <c r="A1553" i="2"/>
  <c r="G1042" i="2"/>
  <c r="A1043" i="2"/>
  <c r="C1042" i="2"/>
  <c r="B1042" i="2"/>
  <c r="O1652" i="2"/>
  <c r="C1450" i="2"/>
  <c r="B1450" i="2"/>
  <c r="G1450" i="2"/>
  <c r="A1451" i="2"/>
  <c r="S766" i="2"/>
  <c r="T766" i="2"/>
  <c r="G1416" i="2"/>
  <c r="C1416" i="2"/>
  <c r="B1416" i="2"/>
  <c r="A1417" i="2"/>
  <c r="O1006" i="2"/>
  <c r="G1348" i="2"/>
  <c r="C1348" i="2"/>
  <c r="A1349" i="2"/>
  <c r="B1348" i="2"/>
  <c r="O801" i="2"/>
  <c r="A1893" i="2"/>
  <c r="A1927" i="2"/>
  <c r="A1213" i="2"/>
  <c r="G1212" i="2"/>
  <c r="C1212" i="2"/>
  <c r="B1212" i="2"/>
  <c r="T800" i="2"/>
  <c r="S800" i="2"/>
  <c r="O1210" i="2"/>
  <c r="S1277" i="2"/>
  <c r="T1277" i="2"/>
  <c r="O1618" i="2"/>
  <c r="S698" i="2"/>
  <c r="T698" i="2"/>
  <c r="B771" i="2"/>
  <c r="O1686" i="2"/>
  <c r="T971" i="2"/>
  <c r="S971" i="2"/>
  <c r="G1280" i="2"/>
  <c r="B1280" i="2"/>
  <c r="A1281" i="2"/>
  <c r="C1280" i="2"/>
  <c r="S1651" i="2"/>
  <c r="T1651" i="2"/>
  <c r="O1788" i="2"/>
  <c r="O1754" i="2"/>
  <c r="C1824" i="2"/>
  <c r="B1824" i="2"/>
  <c r="A1825" i="2"/>
  <c r="G1824" i="2"/>
  <c r="T1413" i="2"/>
  <c r="S1413" i="2"/>
  <c r="C1654" i="2"/>
  <c r="B1654" i="2"/>
  <c r="A1655" i="2"/>
  <c r="G1654" i="2"/>
  <c r="G1382" i="2"/>
  <c r="A1383" i="2"/>
  <c r="C1382" i="2"/>
  <c r="B1382" i="2"/>
  <c r="T1549" i="2"/>
  <c r="S1549" i="2"/>
  <c r="S834" i="2"/>
  <c r="T834" i="2"/>
  <c r="O1178" i="2"/>
  <c r="O1143" i="2"/>
  <c r="B1586" i="2"/>
  <c r="G1586" i="2"/>
  <c r="C1586" i="2"/>
  <c r="A1587" i="2"/>
  <c r="S1209" i="2"/>
  <c r="T1209" i="2"/>
  <c r="G1145" i="2"/>
  <c r="C1145" i="2"/>
  <c r="A1146" i="2"/>
  <c r="B1145" i="2"/>
  <c r="S732" i="2"/>
  <c r="T732" i="2"/>
  <c r="O1755" i="2"/>
  <c r="G1076" i="2"/>
  <c r="A1077" i="2"/>
  <c r="B1076" i="2"/>
  <c r="C1076" i="2"/>
  <c r="O1245" i="2"/>
  <c r="A1723" i="2"/>
  <c r="G1722" i="2"/>
  <c r="C1722" i="2"/>
  <c r="B1722" i="2"/>
  <c r="S1617" i="2"/>
  <c r="T1617" i="2"/>
  <c r="O802" i="2"/>
  <c r="T1073" i="2"/>
  <c r="S1073" i="2"/>
  <c r="A1519" i="2"/>
  <c r="G1518" i="2"/>
  <c r="B1518" i="2"/>
  <c r="C1518" i="2"/>
  <c r="O1550" i="2"/>
  <c r="O1584" i="2"/>
  <c r="O767" i="2"/>
  <c r="G1756" i="2"/>
  <c r="C1756" i="2"/>
  <c r="A1757" i="2"/>
  <c r="B1756" i="2"/>
  <c r="O972" i="2"/>
  <c r="T1481" i="2"/>
  <c r="S1481" i="2"/>
  <c r="S868" i="2"/>
  <c r="T868" i="2"/>
  <c r="O904" i="2"/>
  <c r="O835" i="2"/>
  <c r="S734" i="2" l="1"/>
  <c r="S666" i="2"/>
  <c r="I1051" i="2"/>
  <c r="O736" i="2"/>
  <c r="S700" i="2"/>
  <c r="S701" i="2" s="1"/>
  <c r="R701" i="2"/>
  <c r="T701" i="2" s="1"/>
  <c r="T666" i="2"/>
  <c r="T700" i="2"/>
  <c r="B1010" i="2"/>
  <c r="C1010" i="2"/>
  <c r="D1010" i="2"/>
  <c r="E1010" i="2"/>
  <c r="G1010" i="2"/>
  <c r="A1011" i="2"/>
  <c r="B976" i="2"/>
  <c r="C976" i="2"/>
  <c r="D976" i="2"/>
  <c r="E976" i="2"/>
  <c r="G976" i="2"/>
  <c r="A977" i="2"/>
  <c r="B942" i="2"/>
  <c r="C942" i="2"/>
  <c r="D942" i="2"/>
  <c r="E942" i="2"/>
  <c r="G942" i="2"/>
  <c r="A943" i="2"/>
  <c r="B873" i="2"/>
  <c r="C873" i="2"/>
  <c r="D873" i="2"/>
  <c r="E873" i="2"/>
  <c r="G873" i="2"/>
  <c r="A874" i="2"/>
  <c r="B839" i="2"/>
  <c r="C839" i="2"/>
  <c r="D839" i="2"/>
  <c r="E839" i="2"/>
  <c r="G839" i="2"/>
  <c r="A840" i="2"/>
  <c r="B805" i="2"/>
  <c r="C805" i="2"/>
  <c r="D805" i="2"/>
  <c r="E805" i="2"/>
  <c r="G805" i="2"/>
  <c r="Q804" i="2"/>
  <c r="P804" i="2"/>
  <c r="Q770" i="2"/>
  <c r="Q771" i="2" s="1"/>
  <c r="P770" i="2"/>
  <c r="P771" i="2" s="1"/>
  <c r="R769" i="2"/>
  <c r="R735" i="2"/>
  <c r="T1345" i="2"/>
  <c r="T1752" i="2"/>
  <c r="S1039" i="2"/>
  <c r="T1310" i="2"/>
  <c r="G1858" i="2"/>
  <c r="D1857" i="2"/>
  <c r="E1857" i="2"/>
  <c r="E1858" i="2"/>
  <c r="D1858" i="2"/>
  <c r="T1039" i="2"/>
  <c r="O1380" i="2"/>
  <c r="T1380" i="2" s="1"/>
  <c r="O1516" i="2"/>
  <c r="S1310" i="2"/>
  <c r="T1753" i="2"/>
  <c r="Q974" i="2"/>
  <c r="P974" i="2"/>
  <c r="Q1790" i="2"/>
  <c r="P1790" i="2"/>
  <c r="Q940" i="2"/>
  <c r="P940" i="2"/>
  <c r="Q837" i="2"/>
  <c r="P837" i="2"/>
  <c r="Q1722" i="2"/>
  <c r="P1722" i="2"/>
  <c r="Q1145" i="2"/>
  <c r="P1145" i="2"/>
  <c r="Q1586" i="2"/>
  <c r="P1586" i="2"/>
  <c r="Q1008" i="2"/>
  <c r="P1008" i="2"/>
  <c r="Q871" i="2"/>
  <c r="P871" i="2"/>
  <c r="Q1756" i="2"/>
  <c r="P1756" i="2"/>
  <c r="Q1518" i="2"/>
  <c r="P1518" i="2"/>
  <c r="Q1382" i="2"/>
  <c r="P1382" i="2"/>
  <c r="Q1654" i="2"/>
  <c r="P1654" i="2"/>
  <c r="Q1824" i="2"/>
  <c r="P1824" i="2"/>
  <c r="Q1280" i="2"/>
  <c r="P1280" i="2"/>
  <c r="Q1212" i="2"/>
  <c r="P1212" i="2"/>
  <c r="Q1552" i="2"/>
  <c r="P1552" i="2"/>
  <c r="Q1484" i="2"/>
  <c r="P1484" i="2"/>
  <c r="Q1314" i="2"/>
  <c r="P1314" i="2"/>
  <c r="Q1179" i="2"/>
  <c r="P1179" i="2"/>
  <c r="Q1620" i="2"/>
  <c r="P1620" i="2"/>
  <c r="Q1823" i="2"/>
  <c r="P1823" i="2"/>
  <c r="Q1416" i="2"/>
  <c r="P1416" i="2"/>
  <c r="P803" i="2"/>
  <c r="Q1348" i="2"/>
  <c r="P1348" i="2"/>
  <c r="Q906" i="2"/>
  <c r="P906" i="2"/>
  <c r="Q1076" i="2"/>
  <c r="P1076" i="2"/>
  <c r="Q1450" i="2"/>
  <c r="P1450" i="2"/>
  <c r="Q1042" i="2"/>
  <c r="P1042" i="2"/>
  <c r="Q1110" i="2"/>
  <c r="P1110" i="2"/>
  <c r="Q1247" i="2"/>
  <c r="P1247" i="2"/>
  <c r="Q1688" i="2"/>
  <c r="P1688" i="2"/>
  <c r="Q1822" i="2"/>
  <c r="P1822" i="2"/>
  <c r="D1043" i="2"/>
  <c r="E1043" i="2"/>
  <c r="D1791" i="2"/>
  <c r="E1791" i="2"/>
  <c r="D1757" i="2"/>
  <c r="E1757" i="2"/>
  <c r="D1077" i="2"/>
  <c r="E1077" i="2"/>
  <c r="D1146" i="2"/>
  <c r="E1146" i="2"/>
  <c r="D1213" i="2"/>
  <c r="E1213" i="2"/>
  <c r="D1417" i="2"/>
  <c r="E1417" i="2"/>
  <c r="D1451" i="2"/>
  <c r="E1451" i="2"/>
  <c r="D1553" i="2"/>
  <c r="E1553" i="2"/>
  <c r="D1180" i="2"/>
  <c r="E1180" i="2"/>
  <c r="D1111" i="2"/>
  <c r="E1111" i="2"/>
  <c r="D1248" i="2"/>
  <c r="E1248" i="2"/>
  <c r="D1859" i="2"/>
  <c r="E1859" i="2"/>
  <c r="D1519" i="2"/>
  <c r="E1519" i="2"/>
  <c r="D841" i="2"/>
  <c r="E841" i="2"/>
  <c r="D1723" i="2"/>
  <c r="E1723" i="2"/>
  <c r="D1587" i="2"/>
  <c r="E1587" i="2"/>
  <c r="D1383" i="2"/>
  <c r="E1383" i="2"/>
  <c r="D1655" i="2"/>
  <c r="E1655" i="2"/>
  <c r="D1825" i="2"/>
  <c r="E1825" i="2"/>
  <c r="D1281" i="2"/>
  <c r="E1281" i="2"/>
  <c r="D1349" i="2"/>
  <c r="E1349" i="2"/>
  <c r="D1485" i="2"/>
  <c r="E1485" i="2"/>
  <c r="D1315" i="2"/>
  <c r="E1315" i="2"/>
  <c r="D907" i="2"/>
  <c r="E907" i="2"/>
  <c r="D1621" i="2"/>
  <c r="E1621" i="2"/>
  <c r="D1689" i="2"/>
  <c r="E1689" i="2"/>
  <c r="S1005" i="2"/>
  <c r="R1788" i="2"/>
  <c r="S1788" i="2" s="1"/>
  <c r="O1040" i="2"/>
  <c r="S1040" i="2" s="1"/>
  <c r="O1074" i="2"/>
  <c r="R1551" i="2"/>
  <c r="I1551" i="2" s="1"/>
  <c r="C1858" i="2"/>
  <c r="R870" i="2"/>
  <c r="T870" i="2" s="1"/>
  <c r="B1858" i="2"/>
  <c r="R1619" i="2"/>
  <c r="R1109" i="2"/>
  <c r="R1585" i="2"/>
  <c r="R1381" i="2"/>
  <c r="T1312" i="2"/>
  <c r="R1483" i="2"/>
  <c r="R1144" i="2"/>
  <c r="R836" i="2"/>
  <c r="T1448" i="2"/>
  <c r="R1211" i="2"/>
  <c r="R802" i="2"/>
  <c r="S1482" i="2"/>
  <c r="R905" i="2"/>
  <c r="R939" i="2"/>
  <c r="R1075" i="2"/>
  <c r="I1075" i="2" s="1"/>
  <c r="T1177" i="2"/>
  <c r="S1414" i="2"/>
  <c r="S1752" i="2"/>
  <c r="F1915" i="2"/>
  <c r="F1914" i="2"/>
  <c r="F1916" i="2"/>
  <c r="R1755" i="2"/>
  <c r="T1755" i="2" s="1"/>
  <c r="R973" i="2"/>
  <c r="R1347" i="2"/>
  <c r="R1246" i="2"/>
  <c r="R1653" i="2"/>
  <c r="R1721" i="2"/>
  <c r="T1721" i="2" s="1"/>
  <c r="R1279" i="2"/>
  <c r="R1687" i="2"/>
  <c r="R1041" i="2"/>
  <c r="R1415" i="2"/>
  <c r="I1415" i="2" s="1"/>
  <c r="R1313" i="2"/>
  <c r="R1178" i="2"/>
  <c r="S1178" i="2" s="1"/>
  <c r="R1517" i="2"/>
  <c r="R1787" i="2"/>
  <c r="B58" i="1"/>
  <c r="G1893" i="2" s="1"/>
  <c r="B1857" i="2"/>
  <c r="G1857" i="2"/>
  <c r="C1857" i="2"/>
  <c r="R1449" i="2"/>
  <c r="R1789" i="2"/>
  <c r="R733" i="2"/>
  <c r="R768" i="2"/>
  <c r="R1007" i="2"/>
  <c r="O906" i="2"/>
  <c r="A1622" i="2"/>
  <c r="B1621" i="2"/>
  <c r="C1621" i="2"/>
  <c r="G1621" i="2"/>
  <c r="A1758" i="2"/>
  <c r="B1757" i="2"/>
  <c r="C1757" i="2"/>
  <c r="G1757" i="2"/>
  <c r="S1550" i="2"/>
  <c r="T1550" i="2"/>
  <c r="G1077" i="2"/>
  <c r="A1078" i="2"/>
  <c r="C1077" i="2"/>
  <c r="B1077" i="2"/>
  <c r="T1210" i="2"/>
  <c r="S1210" i="2"/>
  <c r="A1112" i="2"/>
  <c r="C1111" i="2"/>
  <c r="B1111" i="2"/>
  <c r="G1111" i="2"/>
  <c r="O1279" i="2"/>
  <c r="B1281" i="2"/>
  <c r="C1281" i="2"/>
  <c r="A1282" i="2"/>
  <c r="G1281" i="2"/>
  <c r="S1006" i="2"/>
  <c r="T1006" i="2"/>
  <c r="O973" i="2"/>
  <c r="B806" i="2"/>
  <c r="O939" i="2"/>
  <c r="G1791" i="2"/>
  <c r="C1791" i="2"/>
  <c r="B1791" i="2"/>
  <c r="A1792" i="2"/>
  <c r="C1383" i="2"/>
  <c r="G1383" i="2"/>
  <c r="B1383" i="2"/>
  <c r="A1384" i="2"/>
  <c r="S835" i="2"/>
  <c r="T835" i="2"/>
  <c r="O1789" i="2"/>
  <c r="S972" i="2"/>
  <c r="T972" i="2"/>
  <c r="C1723" i="2"/>
  <c r="B1723" i="2"/>
  <c r="G1723" i="2"/>
  <c r="A1724" i="2"/>
  <c r="O1517" i="2"/>
  <c r="T1652" i="2"/>
  <c r="S1652" i="2"/>
  <c r="O1552" i="2"/>
  <c r="G1180" i="2"/>
  <c r="A1181" i="2"/>
  <c r="C1180" i="2"/>
  <c r="B1180" i="2"/>
  <c r="T1346" i="2"/>
  <c r="S1346" i="2"/>
  <c r="O1381" i="2"/>
  <c r="O1483" i="2"/>
  <c r="T869" i="2"/>
  <c r="S869" i="2"/>
  <c r="O1687" i="2"/>
  <c r="O1313" i="2"/>
  <c r="S1584" i="2"/>
  <c r="T1584" i="2"/>
  <c r="B1825" i="2"/>
  <c r="C1825" i="2"/>
  <c r="G1825" i="2"/>
  <c r="A1826" i="2"/>
  <c r="A1962" i="2"/>
  <c r="A1928" i="2"/>
  <c r="B1859" i="2"/>
  <c r="A1860" i="2"/>
  <c r="C1859" i="2"/>
  <c r="G1859" i="2"/>
  <c r="T1108" i="2"/>
  <c r="S1108" i="2"/>
  <c r="A1894" i="2"/>
  <c r="T767" i="2"/>
  <c r="S767" i="2"/>
  <c r="A1656" i="2"/>
  <c r="G1655" i="2"/>
  <c r="B1655" i="2"/>
  <c r="C1655" i="2"/>
  <c r="O768" i="2"/>
  <c r="T801" i="2"/>
  <c r="S801" i="2"/>
  <c r="C1417" i="2"/>
  <c r="B1417" i="2"/>
  <c r="A1418" i="2"/>
  <c r="G1417" i="2"/>
  <c r="T1245" i="2"/>
  <c r="S1245" i="2"/>
  <c r="O1654" i="2"/>
  <c r="S1754" i="2"/>
  <c r="T1754" i="2"/>
  <c r="O1416" i="2"/>
  <c r="A1486" i="2"/>
  <c r="G1485" i="2"/>
  <c r="C1485" i="2"/>
  <c r="B1485" i="2"/>
  <c r="A841" i="2"/>
  <c r="C841" i="2"/>
  <c r="G841" i="2"/>
  <c r="B1519" i="2"/>
  <c r="A1520" i="2"/>
  <c r="A1521" i="2" s="1"/>
  <c r="C1519" i="2"/>
  <c r="G1519" i="2"/>
  <c r="O1653" i="2"/>
  <c r="A1214" i="2"/>
  <c r="G1213" i="2"/>
  <c r="C1213" i="2"/>
  <c r="B1213" i="2"/>
  <c r="O1823" i="2"/>
  <c r="T1278" i="2"/>
  <c r="S1278" i="2"/>
  <c r="B1248" i="2"/>
  <c r="G1248" i="2"/>
  <c r="C1248" i="2"/>
  <c r="O1347" i="2"/>
  <c r="S1720" i="2"/>
  <c r="T1720" i="2"/>
  <c r="O1585" i="2"/>
  <c r="S904" i="2"/>
  <c r="T904" i="2"/>
  <c r="C1587" i="2"/>
  <c r="G1587" i="2"/>
  <c r="A1588" i="2"/>
  <c r="B1587" i="2"/>
  <c r="O836" i="2"/>
  <c r="S938" i="2"/>
  <c r="T938" i="2"/>
  <c r="O1619" i="2"/>
  <c r="S1143" i="2"/>
  <c r="T1143" i="2"/>
  <c r="S1686" i="2"/>
  <c r="T1686" i="2"/>
  <c r="T1618" i="2"/>
  <c r="S1618" i="2"/>
  <c r="A1044" i="2"/>
  <c r="B1043" i="2"/>
  <c r="G1043" i="2"/>
  <c r="C1043" i="2"/>
  <c r="O1007" i="2"/>
  <c r="A1452" i="2"/>
  <c r="C1451" i="2"/>
  <c r="G1451" i="2"/>
  <c r="B1451" i="2"/>
  <c r="A1350" i="2"/>
  <c r="G1349" i="2"/>
  <c r="B1349" i="2"/>
  <c r="C1349" i="2"/>
  <c r="B907" i="2"/>
  <c r="G907" i="2"/>
  <c r="C907" i="2"/>
  <c r="A908" i="2"/>
  <c r="A909" i="2" s="1"/>
  <c r="B1689" i="2"/>
  <c r="G1689" i="2"/>
  <c r="A1690" i="2"/>
  <c r="C1689" i="2"/>
  <c r="B1146" i="2"/>
  <c r="G1146" i="2"/>
  <c r="C1146" i="2"/>
  <c r="A1147" i="2"/>
  <c r="O905" i="2"/>
  <c r="C1553" i="2"/>
  <c r="G1553" i="2"/>
  <c r="A1554" i="2"/>
  <c r="B1553" i="2"/>
  <c r="O1211" i="2"/>
  <c r="O1041" i="2"/>
  <c r="O1857" i="2"/>
  <c r="B1315" i="2"/>
  <c r="C1315" i="2"/>
  <c r="A1316" i="2"/>
  <c r="G1315" i="2"/>
  <c r="O771" i="2" l="1"/>
  <c r="I1086" i="2"/>
  <c r="S735" i="2"/>
  <c r="R736" i="2"/>
  <c r="O1144" i="2"/>
  <c r="B1521" i="2"/>
  <c r="C1521" i="2"/>
  <c r="D1521" i="2"/>
  <c r="E1521" i="2"/>
  <c r="G1521" i="2"/>
  <c r="A1522" i="2"/>
  <c r="B1011" i="2"/>
  <c r="C1011" i="2"/>
  <c r="D1011" i="2"/>
  <c r="E1011" i="2"/>
  <c r="G1011" i="2"/>
  <c r="A1012" i="2"/>
  <c r="B977" i="2"/>
  <c r="C977" i="2"/>
  <c r="D977" i="2"/>
  <c r="E977" i="2"/>
  <c r="G977" i="2"/>
  <c r="A978" i="2"/>
  <c r="B943" i="2"/>
  <c r="C943" i="2"/>
  <c r="D943" i="2"/>
  <c r="E943" i="2"/>
  <c r="G943" i="2"/>
  <c r="A944" i="2"/>
  <c r="A910" i="2"/>
  <c r="G909" i="2"/>
  <c r="E909" i="2"/>
  <c r="D909" i="2"/>
  <c r="C909" i="2"/>
  <c r="B909" i="2"/>
  <c r="B874" i="2"/>
  <c r="C874" i="2"/>
  <c r="D874" i="2"/>
  <c r="E874" i="2"/>
  <c r="G874" i="2"/>
  <c r="A875" i="2"/>
  <c r="B840" i="2"/>
  <c r="C840" i="2"/>
  <c r="D840" i="2"/>
  <c r="E840" i="2"/>
  <c r="G840" i="2"/>
  <c r="Q839" i="2"/>
  <c r="P839" i="2"/>
  <c r="Q805" i="2"/>
  <c r="Q806" i="2" s="1"/>
  <c r="P805" i="2"/>
  <c r="P806" i="2" s="1"/>
  <c r="R804" i="2"/>
  <c r="T769" i="2"/>
  <c r="S769" i="2"/>
  <c r="R770" i="2"/>
  <c r="T735" i="2"/>
  <c r="T1516" i="2"/>
  <c r="S1380" i="2"/>
  <c r="D1893" i="2"/>
  <c r="D1892" i="2"/>
  <c r="E1893" i="2"/>
  <c r="E1892" i="2"/>
  <c r="S1516" i="2"/>
  <c r="T1074" i="2"/>
  <c r="O1415" i="2"/>
  <c r="S1415" i="2" s="1"/>
  <c r="O1109" i="2"/>
  <c r="O1551" i="2"/>
  <c r="S1551" i="2" s="1"/>
  <c r="S802" i="2"/>
  <c r="Q1077" i="2"/>
  <c r="P1077" i="2"/>
  <c r="Q1349" i="2"/>
  <c r="P1349" i="2"/>
  <c r="Q975" i="2"/>
  <c r="P975" i="2"/>
  <c r="Q1315" i="2"/>
  <c r="P1315" i="2"/>
  <c r="Q1146" i="2"/>
  <c r="P1146" i="2"/>
  <c r="Q907" i="2"/>
  <c r="P907" i="2"/>
  <c r="Q1451" i="2"/>
  <c r="P1451" i="2"/>
  <c r="Q1519" i="2"/>
  <c r="P1519" i="2"/>
  <c r="Q1485" i="2"/>
  <c r="P1485" i="2"/>
  <c r="Q1655" i="2"/>
  <c r="P1655" i="2"/>
  <c r="Q1009" i="2"/>
  <c r="P1009" i="2"/>
  <c r="Q1859" i="2"/>
  <c r="P1859" i="2"/>
  <c r="Q1281" i="2"/>
  <c r="P1281" i="2"/>
  <c r="Q1857" i="2"/>
  <c r="P1857" i="2"/>
  <c r="Q1587" i="2"/>
  <c r="P1587" i="2"/>
  <c r="Q872" i="2"/>
  <c r="P872" i="2"/>
  <c r="Q1621" i="2"/>
  <c r="P1621" i="2"/>
  <c r="Q941" i="2"/>
  <c r="P941" i="2"/>
  <c r="Q1248" i="2"/>
  <c r="P1248" i="2"/>
  <c r="Q1417" i="2"/>
  <c r="P1417" i="2"/>
  <c r="Q1825" i="2"/>
  <c r="P1825" i="2"/>
  <c r="Q1180" i="2"/>
  <c r="P1180" i="2"/>
  <c r="Q1383" i="2"/>
  <c r="P1383" i="2"/>
  <c r="Q1111" i="2"/>
  <c r="P1111" i="2"/>
  <c r="Q1553" i="2"/>
  <c r="P1553" i="2"/>
  <c r="Q1689" i="2"/>
  <c r="P1689" i="2"/>
  <c r="Q1043" i="2"/>
  <c r="P1043" i="2"/>
  <c r="T1788" i="2"/>
  <c r="Q1213" i="2"/>
  <c r="P1213" i="2"/>
  <c r="Q838" i="2"/>
  <c r="P838" i="2"/>
  <c r="Q1723" i="2"/>
  <c r="P1723" i="2"/>
  <c r="Q1791" i="2"/>
  <c r="P1791" i="2"/>
  <c r="Q1757" i="2"/>
  <c r="P1757" i="2"/>
  <c r="Q1858" i="2"/>
  <c r="P1858" i="2"/>
  <c r="D1181" i="2"/>
  <c r="E1181" i="2"/>
  <c r="D1724" i="2"/>
  <c r="E1724" i="2"/>
  <c r="D1112" i="2"/>
  <c r="E1112" i="2"/>
  <c r="D1520" i="2"/>
  <c r="E1520" i="2"/>
  <c r="D1826" i="2"/>
  <c r="E1826" i="2"/>
  <c r="D1554" i="2"/>
  <c r="E1554" i="2"/>
  <c r="D1690" i="2"/>
  <c r="E1690" i="2"/>
  <c r="D1044" i="2"/>
  <c r="E1044" i="2"/>
  <c r="D1418" i="2"/>
  <c r="E1418" i="2"/>
  <c r="D1656" i="2"/>
  <c r="E1656" i="2"/>
  <c r="D1894" i="2"/>
  <c r="E1894" i="2"/>
  <c r="D1860" i="2"/>
  <c r="E1860" i="2"/>
  <c r="D1384" i="2"/>
  <c r="E1384" i="2"/>
  <c r="D1758" i="2"/>
  <c r="E1758" i="2"/>
  <c r="D1147" i="2"/>
  <c r="E1147" i="2"/>
  <c r="D908" i="2"/>
  <c r="D911" i="2" s="1"/>
  <c r="E908" i="2"/>
  <c r="E911" i="2" s="1"/>
  <c r="D1452" i="2"/>
  <c r="E1452" i="2"/>
  <c r="D1588" i="2"/>
  <c r="E1588" i="2"/>
  <c r="D876" i="2"/>
  <c r="E876" i="2"/>
  <c r="D1486" i="2"/>
  <c r="E1486" i="2"/>
  <c r="D1792" i="2"/>
  <c r="E1792" i="2"/>
  <c r="D1622" i="2"/>
  <c r="E1622" i="2"/>
  <c r="D1316" i="2"/>
  <c r="E1316" i="2"/>
  <c r="D1350" i="2"/>
  <c r="E1350" i="2"/>
  <c r="D1249" i="2"/>
  <c r="E1249" i="2"/>
  <c r="D1214" i="2"/>
  <c r="E1214" i="2"/>
  <c r="E1928" i="2"/>
  <c r="D1282" i="2"/>
  <c r="E1282" i="2"/>
  <c r="D1078" i="2"/>
  <c r="E1078" i="2"/>
  <c r="R1823" i="2"/>
  <c r="S1823" i="2" s="1"/>
  <c r="T1040" i="2"/>
  <c r="S1074" i="2"/>
  <c r="O1075" i="2"/>
  <c r="T1075" i="2" s="1"/>
  <c r="S870" i="2"/>
  <c r="B1893" i="2"/>
  <c r="C1893" i="2"/>
  <c r="R1654" i="2"/>
  <c r="T1654" i="2" s="1"/>
  <c r="T802" i="2"/>
  <c r="R1110" i="2"/>
  <c r="R1416" i="2"/>
  <c r="T1416" i="2" s="1"/>
  <c r="R1247" i="2"/>
  <c r="R1552" i="2"/>
  <c r="S1552" i="2" s="1"/>
  <c r="R1824" i="2"/>
  <c r="R1145" i="2"/>
  <c r="I1145" i="2" s="1"/>
  <c r="R1348" i="2"/>
  <c r="R1518" i="2"/>
  <c r="R1620" i="2"/>
  <c r="R1382" i="2"/>
  <c r="R906" i="2"/>
  <c r="S906" i="2" s="1"/>
  <c r="S1755" i="2"/>
  <c r="S1721" i="2"/>
  <c r="F1950" i="2"/>
  <c r="F1949" i="2"/>
  <c r="F1951" i="2"/>
  <c r="T1178" i="2"/>
  <c r="R871" i="2"/>
  <c r="R1586" i="2"/>
  <c r="R837" i="2"/>
  <c r="R1688" i="2"/>
  <c r="R1822" i="2"/>
  <c r="R1042" i="2"/>
  <c r="R1076" i="2"/>
  <c r="R1314" i="2"/>
  <c r="R1484" i="2"/>
  <c r="R1450" i="2"/>
  <c r="I1450" i="2" s="1"/>
  <c r="R1179" i="2"/>
  <c r="R1008" i="2"/>
  <c r="R940" i="2"/>
  <c r="R1722" i="2"/>
  <c r="R974" i="2"/>
  <c r="S1787" i="2"/>
  <c r="T1787" i="2"/>
  <c r="R1212" i="2"/>
  <c r="R1756" i="2"/>
  <c r="B59" i="1"/>
  <c r="B1928" i="2" s="1"/>
  <c r="G1892" i="2"/>
  <c r="B1892" i="2"/>
  <c r="C1892" i="2"/>
  <c r="R1280" i="2"/>
  <c r="S733" i="2"/>
  <c r="T733" i="2"/>
  <c r="R1790" i="2"/>
  <c r="T1007" i="2"/>
  <c r="S1007" i="2"/>
  <c r="O1213" i="2"/>
  <c r="G1147" i="2"/>
  <c r="C1147" i="2"/>
  <c r="B1147" i="2"/>
  <c r="A1148" i="2"/>
  <c r="T1585" i="2"/>
  <c r="S1585" i="2"/>
  <c r="C1656" i="2"/>
  <c r="B1656" i="2"/>
  <c r="A1657" i="2"/>
  <c r="G1656" i="2"/>
  <c r="G1894" i="2"/>
  <c r="B1894" i="2"/>
  <c r="A1895" i="2"/>
  <c r="C1894" i="2"/>
  <c r="O1620" i="2"/>
  <c r="O1892" i="2"/>
  <c r="C1758" i="2"/>
  <c r="G1758" i="2"/>
  <c r="A1759" i="2"/>
  <c r="B1758" i="2"/>
  <c r="S905" i="2"/>
  <c r="T905" i="2"/>
  <c r="A1691" i="2"/>
  <c r="C1690" i="2"/>
  <c r="G1690" i="2"/>
  <c r="B1690" i="2"/>
  <c r="C1350" i="2"/>
  <c r="G1350" i="2"/>
  <c r="A1351" i="2"/>
  <c r="B1350" i="2"/>
  <c r="O975" i="2"/>
  <c r="S1041" i="2"/>
  <c r="T1041" i="2"/>
  <c r="O1722" i="2"/>
  <c r="A911" i="2"/>
  <c r="B908" i="2"/>
  <c r="G908" i="2"/>
  <c r="G911" i="2" s="1"/>
  <c r="C908" i="2"/>
  <c r="C911" i="2" s="1"/>
  <c r="T1449" i="2"/>
  <c r="S1449" i="2"/>
  <c r="A1929" i="2"/>
  <c r="S1483" i="2"/>
  <c r="T1483" i="2"/>
  <c r="A1385" i="2"/>
  <c r="C1384" i="2"/>
  <c r="B1384" i="2"/>
  <c r="G1384" i="2"/>
  <c r="O1824" i="2"/>
  <c r="S1313" i="2"/>
  <c r="T1313" i="2"/>
  <c r="B1181" i="2"/>
  <c r="C1181" i="2"/>
  <c r="G1181" i="2"/>
  <c r="A1182" i="2"/>
  <c r="B1112" i="2"/>
  <c r="G1112" i="2"/>
  <c r="C1112" i="2"/>
  <c r="A1113" i="2"/>
  <c r="S768" i="2"/>
  <c r="T768" i="2"/>
  <c r="S1381" i="2"/>
  <c r="T1381" i="2"/>
  <c r="O1688" i="2"/>
  <c r="O1586" i="2"/>
  <c r="O907" i="2"/>
  <c r="A1487" i="2"/>
  <c r="G1486" i="2"/>
  <c r="C1486" i="2"/>
  <c r="B1486" i="2"/>
  <c r="G1316" i="2"/>
  <c r="A1317" i="2"/>
  <c r="C1316" i="2"/>
  <c r="B1316" i="2"/>
  <c r="A1555" i="2"/>
  <c r="G1554" i="2"/>
  <c r="C1554" i="2"/>
  <c r="B1554" i="2"/>
  <c r="A1045" i="2"/>
  <c r="A1046" i="2" s="1"/>
  <c r="G1044" i="2"/>
  <c r="B1044" i="2"/>
  <c r="C1044" i="2"/>
  <c r="S1619" i="2"/>
  <c r="T1619" i="2"/>
  <c r="T836" i="2"/>
  <c r="S836" i="2"/>
  <c r="S1347" i="2"/>
  <c r="T1347" i="2"/>
  <c r="O974" i="2"/>
  <c r="O1076" i="2"/>
  <c r="O1042" i="2"/>
  <c r="A1215" i="2"/>
  <c r="B1214" i="2"/>
  <c r="C1214" i="2"/>
  <c r="G1214" i="2"/>
  <c r="O837" i="2"/>
  <c r="S1687" i="2"/>
  <c r="T1687" i="2"/>
  <c r="A1079" i="2"/>
  <c r="A1080" i="2" s="1"/>
  <c r="G1078" i="2"/>
  <c r="B1078" i="2"/>
  <c r="C1078" i="2"/>
  <c r="C1249" i="2"/>
  <c r="B1249" i="2"/>
  <c r="G1249" i="2"/>
  <c r="A876" i="2"/>
  <c r="G876" i="2"/>
  <c r="C876" i="2"/>
  <c r="O1280" i="2"/>
  <c r="A1963" i="2"/>
  <c r="A1997" i="2"/>
  <c r="O803" i="2"/>
  <c r="O1314" i="2"/>
  <c r="G1520" i="2"/>
  <c r="B1520" i="2"/>
  <c r="C1520" i="2"/>
  <c r="G1452" i="2"/>
  <c r="A1453" i="2"/>
  <c r="B1452" i="2"/>
  <c r="C1452" i="2"/>
  <c r="O1348" i="2"/>
  <c r="O1484" i="2"/>
  <c r="T1653" i="2"/>
  <c r="S1653" i="2"/>
  <c r="O940" i="2"/>
  <c r="A1827" i="2"/>
  <c r="G1826" i="2"/>
  <c r="C1826" i="2"/>
  <c r="B1826" i="2"/>
  <c r="O1756" i="2"/>
  <c r="O1212" i="2"/>
  <c r="O871" i="2"/>
  <c r="B1792" i="2"/>
  <c r="A1793" i="2"/>
  <c r="C1792" i="2"/>
  <c r="G1792" i="2"/>
  <c r="S973" i="2"/>
  <c r="T973" i="2"/>
  <c r="S939" i="2"/>
  <c r="T939" i="2"/>
  <c r="C1282" i="2"/>
  <c r="B1282" i="2"/>
  <c r="A1283" i="2"/>
  <c r="G1282" i="2"/>
  <c r="T1279" i="2"/>
  <c r="S1279" i="2"/>
  <c r="B1622" i="2"/>
  <c r="A1623" i="2"/>
  <c r="C1622" i="2"/>
  <c r="G1622" i="2"/>
  <c r="B1418" i="2"/>
  <c r="C1418" i="2"/>
  <c r="G1418" i="2"/>
  <c r="A1419" i="2"/>
  <c r="O1655" i="2"/>
  <c r="S1517" i="2"/>
  <c r="T1517" i="2"/>
  <c r="O1518" i="2"/>
  <c r="T1789" i="2"/>
  <c r="S1789" i="2"/>
  <c r="O1790" i="2"/>
  <c r="O1858" i="2"/>
  <c r="O1382" i="2"/>
  <c r="B841" i="2"/>
  <c r="S1246" i="2"/>
  <c r="T1246" i="2"/>
  <c r="G1860" i="2"/>
  <c r="B1860" i="2"/>
  <c r="A1861" i="2"/>
  <c r="C1860" i="2"/>
  <c r="T1211" i="2"/>
  <c r="S1211" i="2"/>
  <c r="G1588" i="2"/>
  <c r="B1588" i="2"/>
  <c r="C1588" i="2"/>
  <c r="A1589" i="2"/>
  <c r="O1247" i="2"/>
  <c r="B1724" i="2"/>
  <c r="A1725" i="2"/>
  <c r="C1724" i="2"/>
  <c r="G1724" i="2"/>
  <c r="O1008" i="2"/>
  <c r="O806" i="2" l="1"/>
  <c r="S736" i="2"/>
  <c r="I1156" i="2"/>
  <c r="S770" i="2"/>
  <c r="S771" i="2" s="1"/>
  <c r="R771" i="2"/>
  <c r="T771" i="2" s="1"/>
  <c r="T736" i="2"/>
  <c r="B1522" i="2"/>
  <c r="C1522" i="2"/>
  <c r="D1522" i="2"/>
  <c r="E1522" i="2"/>
  <c r="G1522" i="2"/>
  <c r="A1523" i="2"/>
  <c r="B1080" i="2"/>
  <c r="C1080" i="2"/>
  <c r="D1080" i="2"/>
  <c r="E1080" i="2"/>
  <c r="G1080" i="2"/>
  <c r="A1081" i="2"/>
  <c r="B1046" i="2"/>
  <c r="C1046" i="2"/>
  <c r="D1046" i="2"/>
  <c r="E1046" i="2"/>
  <c r="G1046" i="2"/>
  <c r="A1047" i="2"/>
  <c r="B1012" i="2"/>
  <c r="C1012" i="2"/>
  <c r="D1012" i="2"/>
  <c r="E1012" i="2"/>
  <c r="G1012" i="2"/>
  <c r="A1013" i="2"/>
  <c r="B978" i="2"/>
  <c r="C978" i="2"/>
  <c r="D978" i="2"/>
  <c r="E978" i="2"/>
  <c r="G978" i="2"/>
  <c r="A979" i="2"/>
  <c r="B944" i="2"/>
  <c r="C944" i="2"/>
  <c r="D944" i="2"/>
  <c r="E944" i="2"/>
  <c r="G944" i="2"/>
  <c r="A945" i="2"/>
  <c r="B875" i="2"/>
  <c r="C875" i="2"/>
  <c r="D875" i="2"/>
  <c r="E875" i="2"/>
  <c r="G875" i="2"/>
  <c r="Q909" i="2"/>
  <c r="P909" i="2"/>
  <c r="G910" i="2"/>
  <c r="E910" i="2"/>
  <c r="D910" i="2"/>
  <c r="C910" i="2"/>
  <c r="B910" i="2"/>
  <c r="Q874" i="2"/>
  <c r="P874" i="2"/>
  <c r="R839" i="2"/>
  <c r="S839" i="2" s="1"/>
  <c r="Q840" i="2"/>
  <c r="Q841" i="2" s="1"/>
  <c r="P840" i="2"/>
  <c r="P841" i="2" s="1"/>
  <c r="T804" i="2"/>
  <c r="S804" i="2"/>
  <c r="R805" i="2"/>
  <c r="T770" i="2"/>
  <c r="T1551" i="2"/>
  <c r="T1822" i="2"/>
  <c r="T1415" i="2"/>
  <c r="T1109" i="2"/>
  <c r="S1144" i="2"/>
  <c r="E1927" i="2"/>
  <c r="D1927" i="2"/>
  <c r="D1928" i="2"/>
  <c r="S1109" i="2"/>
  <c r="T1144" i="2"/>
  <c r="O1179" i="2"/>
  <c r="T1823" i="2"/>
  <c r="Q1860" i="2"/>
  <c r="P1860" i="2"/>
  <c r="Q1418" i="2"/>
  <c r="P1418" i="2"/>
  <c r="Q1282" i="2"/>
  <c r="P1282" i="2"/>
  <c r="Q1792" i="2"/>
  <c r="P1792" i="2"/>
  <c r="Q1520" i="2"/>
  <c r="P1520" i="2"/>
  <c r="Q873" i="2"/>
  <c r="P873" i="2"/>
  <c r="Q1214" i="2"/>
  <c r="P1214" i="2"/>
  <c r="Q1044" i="2"/>
  <c r="P1044" i="2"/>
  <c r="Q1554" i="2"/>
  <c r="P1554" i="2"/>
  <c r="Q1112" i="2"/>
  <c r="P1112" i="2"/>
  <c r="Q1384" i="2"/>
  <c r="P1384" i="2"/>
  <c r="Q1010" i="2"/>
  <c r="P1010" i="2"/>
  <c r="Q1656" i="2"/>
  <c r="P1656" i="2"/>
  <c r="Q1892" i="2"/>
  <c r="P1892" i="2"/>
  <c r="Q1893" i="2"/>
  <c r="P1893" i="2"/>
  <c r="Q1724" i="2"/>
  <c r="P1724" i="2"/>
  <c r="Q976" i="2"/>
  <c r="P976" i="2"/>
  <c r="Q1622" i="2"/>
  <c r="P1622" i="2"/>
  <c r="Q1826" i="2"/>
  <c r="P1826" i="2"/>
  <c r="Q1452" i="2"/>
  <c r="P1452" i="2"/>
  <c r="Q1249" i="2"/>
  <c r="P1249" i="2"/>
  <c r="Q1078" i="2"/>
  <c r="P1078" i="2"/>
  <c r="Q1316" i="2"/>
  <c r="P1316" i="2"/>
  <c r="Q1181" i="2"/>
  <c r="P1181" i="2"/>
  <c r="Q908" i="2"/>
  <c r="P908" i="2"/>
  <c r="Q1350" i="2"/>
  <c r="P1350" i="2"/>
  <c r="Q942" i="2"/>
  <c r="P942" i="2"/>
  <c r="Q1588" i="2"/>
  <c r="P1588" i="2"/>
  <c r="Q1486" i="2"/>
  <c r="P1486" i="2"/>
  <c r="P1690" i="2"/>
  <c r="Q1690" i="2"/>
  <c r="Q1758" i="2"/>
  <c r="P1758" i="2"/>
  <c r="Q1894" i="2"/>
  <c r="P1894" i="2"/>
  <c r="Q1147" i="2"/>
  <c r="P1147" i="2"/>
  <c r="Q1928" i="2"/>
  <c r="P1928" i="2"/>
  <c r="D1623" i="2"/>
  <c r="E1623" i="2"/>
  <c r="D1250" i="2"/>
  <c r="E1250" i="2"/>
  <c r="D1079" i="2"/>
  <c r="E1079" i="2"/>
  <c r="D1555" i="2"/>
  <c r="E1555" i="2"/>
  <c r="D1317" i="2"/>
  <c r="E1317" i="2"/>
  <c r="D1113" i="2"/>
  <c r="E1113" i="2"/>
  <c r="D1759" i="2"/>
  <c r="E1759" i="2"/>
  <c r="D1725" i="2"/>
  <c r="E1725" i="2"/>
  <c r="D1589" i="2"/>
  <c r="E1589" i="2"/>
  <c r="D1419" i="2"/>
  <c r="E1419" i="2"/>
  <c r="D1827" i="2"/>
  <c r="E1827" i="2"/>
  <c r="D1215" i="2"/>
  <c r="E1215" i="2"/>
  <c r="D1182" i="2"/>
  <c r="E1182" i="2"/>
  <c r="D1895" i="2"/>
  <c r="E1895" i="2"/>
  <c r="D1148" i="2"/>
  <c r="E1148" i="2"/>
  <c r="D1861" i="2"/>
  <c r="E1861" i="2"/>
  <c r="D1283" i="2"/>
  <c r="E1283" i="2"/>
  <c r="D1793" i="2"/>
  <c r="E1793" i="2"/>
  <c r="D1453" i="2"/>
  <c r="E1453" i="2"/>
  <c r="D1045" i="2"/>
  <c r="E1045" i="2"/>
  <c r="D1487" i="2"/>
  <c r="E1487" i="2"/>
  <c r="D1385" i="2"/>
  <c r="E1385" i="2"/>
  <c r="D1929" i="2"/>
  <c r="E1929" i="2"/>
  <c r="D1351" i="2"/>
  <c r="E1351" i="2"/>
  <c r="D1691" i="2"/>
  <c r="E1691" i="2"/>
  <c r="D1657" i="2"/>
  <c r="E1657" i="2"/>
  <c r="D946" i="2"/>
  <c r="E946" i="2"/>
  <c r="R1858" i="2"/>
  <c r="S1858" i="2" s="1"/>
  <c r="O1145" i="2"/>
  <c r="S1145" i="2" s="1"/>
  <c r="S1654" i="2"/>
  <c r="S1075" i="2"/>
  <c r="I1110" i="2"/>
  <c r="I1121" i="2" s="1"/>
  <c r="T1552" i="2"/>
  <c r="G1928" i="2"/>
  <c r="C1928" i="2"/>
  <c r="S1416" i="2"/>
  <c r="R1655" i="2"/>
  <c r="S1655" i="2" s="1"/>
  <c r="R1281" i="2"/>
  <c r="R1349" i="2"/>
  <c r="R975" i="2"/>
  <c r="S975" i="2" s="1"/>
  <c r="R1315" i="2"/>
  <c r="R1248" i="2"/>
  <c r="T906" i="2"/>
  <c r="R1077" i="2"/>
  <c r="R1180" i="2"/>
  <c r="I1180" i="2" s="1"/>
  <c r="R1519" i="2"/>
  <c r="R1723" i="2"/>
  <c r="R1213" i="2"/>
  <c r="S1213" i="2" s="1"/>
  <c r="R941" i="2"/>
  <c r="R1791" i="2"/>
  <c r="F1985" i="2"/>
  <c r="F1984" i="2"/>
  <c r="F1986" i="2"/>
  <c r="R1043" i="2"/>
  <c r="R1383" i="2"/>
  <c r="R1553" i="2"/>
  <c r="S1822" i="2"/>
  <c r="R1451" i="2"/>
  <c r="R1111" i="2"/>
  <c r="R1417" i="2"/>
  <c r="R1146" i="2"/>
  <c r="R1857" i="2"/>
  <c r="R872" i="2"/>
  <c r="R1485" i="2"/>
  <c r="R1757" i="2"/>
  <c r="R1689" i="2"/>
  <c r="R1825" i="2"/>
  <c r="B60" i="1"/>
  <c r="D1962" i="2" s="1"/>
  <c r="C1927" i="2"/>
  <c r="G1927" i="2"/>
  <c r="B1927" i="2"/>
  <c r="R1009" i="2"/>
  <c r="R1587" i="2"/>
  <c r="R1621" i="2"/>
  <c r="I1621" i="2" s="1"/>
  <c r="R907" i="2"/>
  <c r="R1859" i="2"/>
  <c r="R838" i="2"/>
  <c r="R803" i="2"/>
  <c r="T1076" i="2"/>
  <c r="S1076" i="2"/>
  <c r="A1386" i="2"/>
  <c r="G1385" i="2"/>
  <c r="B1385" i="2"/>
  <c r="C1385" i="2"/>
  <c r="T1722" i="2"/>
  <c r="S1722" i="2"/>
  <c r="O1417" i="2"/>
  <c r="O1689" i="2"/>
  <c r="O1146" i="2"/>
  <c r="S1688" i="2"/>
  <c r="T1688" i="2"/>
  <c r="T1824" i="2"/>
  <c r="S1824" i="2"/>
  <c r="O1349" i="2"/>
  <c r="O1282" i="2"/>
  <c r="O1519" i="2"/>
  <c r="O1927" i="2"/>
  <c r="S837" i="2"/>
  <c r="T837" i="2"/>
  <c r="T1247" i="2"/>
  <c r="S1247" i="2"/>
  <c r="A1862" i="2"/>
  <c r="C1861" i="2"/>
  <c r="B1861" i="2"/>
  <c r="G1861" i="2"/>
  <c r="C1283" i="2"/>
  <c r="B1283" i="2"/>
  <c r="G1283" i="2"/>
  <c r="A1284" i="2"/>
  <c r="S1008" i="2"/>
  <c r="T1008" i="2"/>
  <c r="B1589" i="2"/>
  <c r="G1589" i="2"/>
  <c r="C1589" i="2"/>
  <c r="A1590" i="2"/>
  <c r="O1587" i="2"/>
  <c r="B876" i="2"/>
  <c r="A1216" i="2"/>
  <c r="B1215" i="2"/>
  <c r="G1215" i="2"/>
  <c r="C1215" i="2"/>
  <c r="B911" i="2"/>
  <c r="O1315" i="2"/>
  <c r="O1111" i="2"/>
  <c r="O1859" i="2"/>
  <c r="T1179" i="2"/>
  <c r="S940" i="2"/>
  <c r="T940" i="2"/>
  <c r="G1453" i="2"/>
  <c r="A1454" i="2"/>
  <c r="B1453" i="2"/>
  <c r="C1453" i="2"/>
  <c r="G1250" i="2"/>
  <c r="C1250" i="2"/>
  <c r="B1250" i="2"/>
  <c r="O1553" i="2"/>
  <c r="T1790" i="2"/>
  <c r="S1790" i="2"/>
  <c r="A1828" i="2"/>
  <c r="C1827" i="2"/>
  <c r="B1827" i="2"/>
  <c r="G1827" i="2"/>
  <c r="C1895" i="2"/>
  <c r="A1896" i="2"/>
  <c r="G1895" i="2"/>
  <c r="B1895" i="2"/>
  <c r="S1348" i="2"/>
  <c r="T1348" i="2"/>
  <c r="C1079" i="2"/>
  <c r="B1079" i="2"/>
  <c r="G1079" i="2"/>
  <c r="O872" i="2"/>
  <c r="T1042" i="2"/>
  <c r="S1042" i="2"/>
  <c r="G1182" i="2"/>
  <c r="B1182" i="2"/>
  <c r="C1182" i="2"/>
  <c r="A1183" i="2"/>
  <c r="A1184" i="2" s="1"/>
  <c r="C1725" i="2"/>
  <c r="A1726" i="2"/>
  <c r="G1725" i="2"/>
  <c r="B1725" i="2"/>
  <c r="O1893" i="2"/>
  <c r="O1043" i="2"/>
  <c r="O1588" i="2"/>
  <c r="B1419" i="2"/>
  <c r="G1419" i="2"/>
  <c r="C1419" i="2"/>
  <c r="A1420" i="2"/>
  <c r="B1623" i="2"/>
  <c r="G1623" i="2"/>
  <c r="C1623" i="2"/>
  <c r="A1624" i="2"/>
  <c r="S1484" i="2"/>
  <c r="T1484" i="2"/>
  <c r="A1998" i="2"/>
  <c r="A2032" i="2"/>
  <c r="O1077" i="2"/>
  <c r="C1148" i="2"/>
  <c r="A1149" i="2"/>
  <c r="B1148" i="2"/>
  <c r="G1148" i="2"/>
  <c r="T1382" i="2"/>
  <c r="S1382" i="2"/>
  <c r="S1518" i="2"/>
  <c r="T1518" i="2"/>
  <c r="B1793" i="2"/>
  <c r="C1793" i="2"/>
  <c r="G1793" i="2"/>
  <c r="A1794" i="2"/>
  <c r="A1964" i="2"/>
  <c r="O1383" i="2"/>
  <c r="S974" i="2"/>
  <c r="T974" i="2"/>
  <c r="B1045" i="2"/>
  <c r="C1045" i="2"/>
  <c r="G1045" i="2"/>
  <c r="B1691" i="2"/>
  <c r="C1691" i="2"/>
  <c r="A1692" i="2"/>
  <c r="G1691" i="2"/>
  <c r="O1758" i="2"/>
  <c r="G946" i="2"/>
  <c r="A946" i="2"/>
  <c r="C946" i="2"/>
  <c r="A1556" i="2"/>
  <c r="G1555" i="2"/>
  <c r="B1555" i="2"/>
  <c r="C1555" i="2"/>
  <c r="T1586" i="2"/>
  <c r="S1586" i="2"/>
  <c r="B1113" i="2"/>
  <c r="G1113" i="2"/>
  <c r="A1114" i="2"/>
  <c r="C1113" i="2"/>
  <c r="A1760" i="2"/>
  <c r="C1759" i="2"/>
  <c r="G1759" i="2"/>
  <c r="B1759" i="2"/>
  <c r="O1860" i="2"/>
  <c r="O1418" i="2"/>
  <c r="O1757" i="2"/>
  <c r="O1281" i="2"/>
  <c r="O838" i="2"/>
  <c r="S871" i="2"/>
  <c r="T871" i="2"/>
  <c r="T1314" i="2"/>
  <c r="S1314" i="2"/>
  <c r="T1280" i="2"/>
  <c r="S1280" i="2"/>
  <c r="O1451" i="2"/>
  <c r="B1929" i="2"/>
  <c r="G1929" i="2"/>
  <c r="A1930" i="2"/>
  <c r="C1929" i="2"/>
  <c r="A1352" i="2"/>
  <c r="C1351" i="2"/>
  <c r="B1351" i="2"/>
  <c r="G1351" i="2"/>
  <c r="T1212" i="2"/>
  <c r="S1212" i="2"/>
  <c r="C1487" i="2"/>
  <c r="A1488" i="2"/>
  <c r="B1487" i="2"/>
  <c r="G1487" i="2"/>
  <c r="T1620" i="2"/>
  <c r="S1620" i="2"/>
  <c r="G1657" i="2"/>
  <c r="B1657" i="2"/>
  <c r="C1657" i="2"/>
  <c r="A1658" i="2"/>
  <c r="C1317" i="2"/>
  <c r="B1317" i="2"/>
  <c r="G1317" i="2"/>
  <c r="A1318" i="2"/>
  <c r="O1928" i="2"/>
  <c r="O941" i="2"/>
  <c r="O1723" i="2"/>
  <c r="O1825" i="2"/>
  <c r="O1009" i="2"/>
  <c r="S1756" i="2"/>
  <c r="T1756" i="2"/>
  <c r="O1248" i="2"/>
  <c r="A2311" i="2"/>
  <c r="G2311" i="2"/>
  <c r="C2311" i="2"/>
  <c r="I1191" i="2" l="1"/>
  <c r="O841" i="2"/>
  <c r="S805" i="2"/>
  <c r="R806" i="2"/>
  <c r="T839" i="2"/>
  <c r="B1523" i="2"/>
  <c r="C1523" i="2"/>
  <c r="D1523" i="2"/>
  <c r="E1523" i="2"/>
  <c r="G1523" i="2"/>
  <c r="A1524" i="2"/>
  <c r="B1184" i="2"/>
  <c r="C1184" i="2"/>
  <c r="D1184" i="2"/>
  <c r="E1184" i="2"/>
  <c r="G1184" i="2"/>
  <c r="A1185" i="2"/>
  <c r="B1081" i="2"/>
  <c r="C1081" i="2"/>
  <c r="D1081" i="2"/>
  <c r="E1081" i="2"/>
  <c r="G1081" i="2"/>
  <c r="A1082" i="2"/>
  <c r="B1047" i="2"/>
  <c r="C1047" i="2"/>
  <c r="D1047" i="2"/>
  <c r="E1047" i="2"/>
  <c r="G1047" i="2"/>
  <c r="A1048" i="2"/>
  <c r="B1013" i="2"/>
  <c r="C1013" i="2"/>
  <c r="D1013" i="2"/>
  <c r="E1013" i="2"/>
  <c r="G1013" i="2"/>
  <c r="A1014" i="2"/>
  <c r="B979" i="2"/>
  <c r="C979" i="2"/>
  <c r="D979" i="2"/>
  <c r="E979" i="2"/>
  <c r="G979" i="2"/>
  <c r="A980" i="2"/>
  <c r="B945" i="2"/>
  <c r="C945" i="2"/>
  <c r="D945" i="2"/>
  <c r="E945" i="2"/>
  <c r="G945" i="2"/>
  <c r="Q944" i="2"/>
  <c r="P944" i="2"/>
  <c r="Q910" i="2"/>
  <c r="Q911" i="2" s="1"/>
  <c r="P910" i="2"/>
  <c r="P911" i="2" s="1"/>
  <c r="R909" i="2"/>
  <c r="Q875" i="2"/>
  <c r="Q876" i="2" s="1"/>
  <c r="P875" i="2"/>
  <c r="P876" i="2" s="1"/>
  <c r="R874" i="2"/>
  <c r="R840" i="2"/>
  <c r="R841" i="2" s="1"/>
  <c r="T805" i="2"/>
  <c r="D1963" i="2"/>
  <c r="S1179" i="2"/>
  <c r="E1963" i="2"/>
  <c r="E1962" i="2"/>
  <c r="O1110" i="2"/>
  <c r="O1621" i="2"/>
  <c r="T907" i="2"/>
  <c r="R1894" i="2"/>
  <c r="Q1555" i="2"/>
  <c r="P1555" i="2"/>
  <c r="Q1079" i="2"/>
  <c r="P1079" i="2"/>
  <c r="Q1521" i="2"/>
  <c r="P1521" i="2"/>
  <c r="Q1861" i="2"/>
  <c r="P1861" i="2"/>
  <c r="Q1385" i="2"/>
  <c r="P1385" i="2"/>
  <c r="Q1011" i="2"/>
  <c r="P1011" i="2"/>
  <c r="Q977" i="2"/>
  <c r="P977" i="2"/>
  <c r="Q1759" i="2"/>
  <c r="P1759" i="2"/>
  <c r="Q943" i="2"/>
  <c r="P943" i="2"/>
  <c r="Q1623" i="2"/>
  <c r="P1623" i="2"/>
  <c r="Q1453" i="2"/>
  <c r="P1453" i="2"/>
  <c r="Q1657" i="2"/>
  <c r="P1657" i="2"/>
  <c r="P1725" i="2"/>
  <c r="Q1725" i="2"/>
  <c r="Q1182" i="2"/>
  <c r="P1182" i="2"/>
  <c r="Q1589" i="2"/>
  <c r="P1589" i="2"/>
  <c r="Q1927" i="2"/>
  <c r="P1927" i="2"/>
  <c r="Q1317" i="2"/>
  <c r="P1317" i="2"/>
  <c r="Q1487" i="2"/>
  <c r="P1487" i="2"/>
  <c r="Q1351" i="2"/>
  <c r="P1351" i="2"/>
  <c r="Q1929" i="2"/>
  <c r="P1929" i="2"/>
  <c r="Q1113" i="2"/>
  <c r="P1113" i="2"/>
  <c r="Q1691" i="2"/>
  <c r="P1691" i="2"/>
  <c r="Q1045" i="2"/>
  <c r="P1045" i="2"/>
  <c r="Q1793" i="2"/>
  <c r="P1793" i="2"/>
  <c r="Q1148" i="2"/>
  <c r="P1148" i="2"/>
  <c r="Q1419" i="2"/>
  <c r="P1419" i="2"/>
  <c r="Q1895" i="2"/>
  <c r="P1895" i="2"/>
  <c r="Q1827" i="2"/>
  <c r="P1827" i="2"/>
  <c r="Q1250" i="2"/>
  <c r="P1250" i="2"/>
  <c r="Q1215" i="2"/>
  <c r="P1215" i="2"/>
  <c r="Q1283" i="2"/>
  <c r="P1283" i="2"/>
  <c r="T1858" i="2"/>
  <c r="D981" i="2"/>
  <c r="E981" i="2"/>
  <c r="D1556" i="2"/>
  <c r="E1556" i="2"/>
  <c r="D1794" i="2"/>
  <c r="E1794" i="2"/>
  <c r="D1624" i="2"/>
  <c r="E1624" i="2"/>
  <c r="D1183" i="2"/>
  <c r="E1183" i="2"/>
  <c r="D1454" i="2"/>
  <c r="E1454" i="2"/>
  <c r="D1862" i="2"/>
  <c r="E1862" i="2"/>
  <c r="D1386" i="2"/>
  <c r="E1386" i="2"/>
  <c r="D1658" i="2"/>
  <c r="E1658" i="2"/>
  <c r="D1352" i="2"/>
  <c r="E1352" i="2"/>
  <c r="D1760" i="2"/>
  <c r="E1760" i="2"/>
  <c r="D1964" i="2"/>
  <c r="E1964" i="2"/>
  <c r="D1149" i="2"/>
  <c r="E1149" i="2"/>
  <c r="D1896" i="2"/>
  <c r="E1896" i="2"/>
  <c r="D1828" i="2"/>
  <c r="E1828" i="2"/>
  <c r="D1318" i="2"/>
  <c r="E1318" i="2"/>
  <c r="D1488" i="2"/>
  <c r="E1488" i="2"/>
  <c r="D1930" i="2"/>
  <c r="E1930" i="2"/>
  <c r="D1114" i="2"/>
  <c r="E1114" i="2"/>
  <c r="D1692" i="2"/>
  <c r="E1692" i="2"/>
  <c r="D1420" i="2"/>
  <c r="E1420" i="2"/>
  <c r="D1726" i="2"/>
  <c r="E1726" i="2"/>
  <c r="D1251" i="2"/>
  <c r="E1251" i="2"/>
  <c r="D1216" i="2"/>
  <c r="E1216" i="2"/>
  <c r="D1590" i="2"/>
  <c r="E1590" i="2"/>
  <c r="D1284" i="2"/>
  <c r="E1284" i="2"/>
  <c r="R1893" i="2"/>
  <c r="S1893" i="2" s="1"/>
  <c r="T1145" i="2"/>
  <c r="I1485" i="2"/>
  <c r="O1180" i="2"/>
  <c r="S1180" i="2" s="1"/>
  <c r="T1655" i="2"/>
  <c r="T975" i="2"/>
  <c r="G1963" i="2"/>
  <c r="B1963" i="2"/>
  <c r="R1147" i="2"/>
  <c r="R1384" i="2"/>
  <c r="T1213" i="2"/>
  <c r="R1554" i="2"/>
  <c r="C1963" i="2"/>
  <c r="R1316" i="2"/>
  <c r="R1282" i="2"/>
  <c r="S1282" i="2" s="1"/>
  <c r="R1249" i="2"/>
  <c r="R1112" i="2"/>
  <c r="R1181" i="2"/>
  <c r="R1792" i="2"/>
  <c r="R1044" i="2"/>
  <c r="R1452" i="2"/>
  <c r="R1690" i="2"/>
  <c r="R1656" i="2"/>
  <c r="I1656" i="2" s="1"/>
  <c r="S907" i="2"/>
  <c r="R1214" i="2"/>
  <c r="R1758" i="2"/>
  <c r="S1758" i="2" s="1"/>
  <c r="R1418" i="2"/>
  <c r="T1418" i="2" s="1"/>
  <c r="R1350" i="2"/>
  <c r="R942" i="2"/>
  <c r="R1588" i="2"/>
  <c r="S1588" i="2" s="1"/>
  <c r="R1622" i="2"/>
  <c r="F2020" i="2"/>
  <c r="F2019" i="2"/>
  <c r="F2021" i="2"/>
  <c r="R1520" i="2"/>
  <c r="I1520" i="2" s="1"/>
  <c r="R1486" i="2"/>
  <c r="R1928" i="2"/>
  <c r="T1928" i="2" s="1"/>
  <c r="R1078" i="2"/>
  <c r="R1724" i="2"/>
  <c r="T1857" i="2"/>
  <c r="S1857" i="2"/>
  <c r="R976" i="2"/>
  <c r="R1010" i="2"/>
  <c r="R1860" i="2"/>
  <c r="S1860" i="2" s="1"/>
  <c r="R1826" i="2"/>
  <c r="B61" i="1"/>
  <c r="D1997" i="2" s="1"/>
  <c r="B1962" i="2"/>
  <c r="C1962" i="2"/>
  <c r="G1962" i="2"/>
  <c r="R1892" i="2"/>
  <c r="S803" i="2"/>
  <c r="T803" i="2"/>
  <c r="R908" i="2"/>
  <c r="B1964" i="2"/>
  <c r="A1965" i="2"/>
  <c r="G1964" i="2"/>
  <c r="C1964" i="2"/>
  <c r="O1384" i="2"/>
  <c r="G1726" i="2"/>
  <c r="C1726" i="2"/>
  <c r="B1726" i="2"/>
  <c r="A1727" i="2"/>
  <c r="S872" i="2"/>
  <c r="T872" i="2"/>
  <c r="O1554" i="2"/>
  <c r="O1827" i="2"/>
  <c r="B1454" i="2"/>
  <c r="G1454" i="2"/>
  <c r="A1455" i="2"/>
  <c r="C1454" i="2"/>
  <c r="T1689" i="2"/>
  <c r="S1689" i="2"/>
  <c r="O1010" i="2"/>
  <c r="O1316" i="2"/>
  <c r="T838" i="2"/>
  <c r="S838" i="2"/>
  <c r="A981" i="2"/>
  <c r="G981" i="2"/>
  <c r="C981" i="2"/>
  <c r="S1825" i="2"/>
  <c r="T1825" i="2"/>
  <c r="S1281" i="2"/>
  <c r="T1281" i="2"/>
  <c r="B1794" i="2"/>
  <c r="C1794" i="2"/>
  <c r="G1794" i="2"/>
  <c r="A1795" i="2"/>
  <c r="C1862" i="2"/>
  <c r="A1863" i="2"/>
  <c r="B1862" i="2"/>
  <c r="G1862" i="2"/>
  <c r="B1828" i="2"/>
  <c r="A1829" i="2"/>
  <c r="G1828" i="2"/>
  <c r="C1828" i="2"/>
  <c r="O1283" i="2"/>
  <c r="T1248" i="2"/>
  <c r="S1248" i="2"/>
  <c r="O942" i="2"/>
  <c r="A2067" i="2"/>
  <c r="A2033" i="2"/>
  <c r="T941" i="2"/>
  <c r="S941" i="2"/>
  <c r="O1112" i="2"/>
  <c r="T1757" i="2"/>
  <c r="S1757" i="2"/>
  <c r="A1557" i="2"/>
  <c r="G1556" i="2"/>
  <c r="B1556" i="2"/>
  <c r="C1556" i="2"/>
  <c r="A1999" i="2"/>
  <c r="B1420" i="2"/>
  <c r="A1421" i="2"/>
  <c r="G1420" i="2"/>
  <c r="C1420" i="2"/>
  <c r="B1183" i="2"/>
  <c r="C1183" i="2"/>
  <c r="G1183" i="2"/>
  <c r="G1896" i="2"/>
  <c r="C1896" i="2"/>
  <c r="B1896" i="2"/>
  <c r="A1897" i="2"/>
  <c r="O1962" i="2"/>
  <c r="O908" i="2"/>
  <c r="T1519" i="2"/>
  <c r="S1519" i="2"/>
  <c r="O1486" i="2"/>
  <c r="S1723" i="2"/>
  <c r="T1723" i="2"/>
  <c r="B1658" i="2"/>
  <c r="C1658" i="2"/>
  <c r="A1659" i="2"/>
  <c r="G1658" i="2"/>
  <c r="B1488" i="2"/>
  <c r="G1488" i="2"/>
  <c r="C1488" i="2"/>
  <c r="A1489" i="2"/>
  <c r="A1353" i="2"/>
  <c r="G1352" i="2"/>
  <c r="B1352" i="2"/>
  <c r="C1352" i="2"/>
  <c r="O1657" i="2"/>
  <c r="T1451" i="2"/>
  <c r="S1451" i="2"/>
  <c r="C1114" i="2"/>
  <c r="A1115" i="2"/>
  <c r="B1114" i="2"/>
  <c r="G1114" i="2"/>
  <c r="O1622" i="2"/>
  <c r="O1148" i="2"/>
  <c r="O1452" i="2"/>
  <c r="O1521" i="2"/>
  <c r="C1251" i="2"/>
  <c r="B1251" i="2"/>
  <c r="G1251" i="2"/>
  <c r="O873" i="2"/>
  <c r="O976" i="2"/>
  <c r="O1078" i="2"/>
  <c r="G1692" i="2"/>
  <c r="B1692" i="2"/>
  <c r="C1692" i="2"/>
  <c r="A1693" i="2"/>
  <c r="S1315" i="2"/>
  <c r="T1315" i="2"/>
  <c r="B1930" i="2"/>
  <c r="A1931" i="2"/>
  <c r="G1930" i="2"/>
  <c r="C1930" i="2"/>
  <c r="C1149" i="2"/>
  <c r="B1149" i="2"/>
  <c r="A1150" i="2"/>
  <c r="G1149" i="2"/>
  <c r="O1826" i="2"/>
  <c r="B1386" i="2"/>
  <c r="G1386" i="2"/>
  <c r="A1387" i="2"/>
  <c r="C1386" i="2"/>
  <c r="T1009" i="2"/>
  <c r="S1009" i="2"/>
  <c r="O1792" i="2"/>
  <c r="C1760" i="2"/>
  <c r="B1760" i="2"/>
  <c r="A1761" i="2"/>
  <c r="G1760" i="2"/>
  <c r="T1791" i="2"/>
  <c r="S1791" i="2"/>
  <c r="S1553" i="2"/>
  <c r="T1553" i="2"/>
  <c r="T1859" i="2"/>
  <c r="S1859" i="2"/>
  <c r="A1319" i="2"/>
  <c r="B1318" i="2"/>
  <c r="G1318" i="2"/>
  <c r="C1318" i="2"/>
  <c r="O1113" i="2"/>
  <c r="B946" i="2"/>
  <c r="O1044" i="2"/>
  <c r="S1111" i="2"/>
  <c r="T1111" i="2"/>
  <c r="S1587" i="2"/>
  <c r="T1587" i="2"/>
  <c r="O1181" i="2"/>
  <c r="S1417" i="2"/>
  <c r="T1417" i="2"/>
  <c r="S1077" i="2"/>
  <c r="T1077" i="2"/>
  <c r="G1216" i="2"/>
  <c r="B1216" i="2"/>
  <c r="A1217" i="2"/>
  <c r="C1216" i="2"/>
  <c r="G1590" i="2"/>
  <c r="B1590" i="2"/>
  <c r="C1590" i="2"/>
  <c r="A1591" i="2"/>
  <c r="O1453" i="2"/>
  <c r="O1317" i="2"/>
  <c r="O1350" i="2"/>
  <c r="S1383" i="2"/>
  <c r="T1383" i="2"/>
  <c r="O1894" i="2"/>
  <c r="A1625" i="2"/>
  <c r="G1624" i="2"/>
  <c r="C1624" i="2"/>
  <c r="B1624" i="2"/>
  <c r="O1724" i="2"/>
  <c r="O1690" i="2"/>
  <c r="O1691" i="2"/>
  <c r="O1147" i="2"/>
  <c r="T1043" i="2"/>
  <c r="S1043" i="2"/>
  <c r="G1284" i="2"/>
  <c r="C1284" i="2"/>
  <c r="B1284" i="2"/>
  <c r="A1285" i="2"/>
  <c r="T1349" i="2"/>
  <c r="S1349" i="2"/>
  <c r="S1146" i="2"/>
  <c r="T1146" i="2"/>
  <c r="B2311" i="2"/>
  <c r="T841" i="2" l="1"/>
  <c r="O911" i="2"/>
  <c r="O876" i="2"/>
  <c r="S806" i="2"/>
  <c r="S840" i="2"/>
  <c r="S841" i="2" s="1"/>
  <c r="T806" i="2"/>
  <c r="B1524" i="2"/>
  <c r="C1524" i="2"/>
  <c r="D1524" i="2"/>
  <c r="E1524" i="2"/>
  <c r="G1524" i="2"/>
  <c r="A1525" i="2"/>
  <c r="B1185" i="2"/>
  <c r="C1185" i="2"/>
  <c r="D1185" i="2"/>
  <c r="E1185" i="2"/>
  <c r="G1185" i="2"/>
  <c r="A1186" i="2"/>
  <c r="B1082" i="2"/>
  <c r="C1082" i="2"/>
  <c r="D1082" i="2"/>
  <c r="E1082" i="2"/>
  <c r="G1082" i="2"/>
  <c r="A1083" i="2"/>
  <c r="B1048" i="2"/>
  <c r="C1048" i="2"/>
  <c r="D1048" i="2"/>
  <c r="E1048" i="2"/>
  <c r="G1048" i="2"/>
  <c r="A1049" i="2"/>
  <c r="B1014" i="2"/>
  <c r="C1014" i="2"/>
  <c r="D1014" i="2"/>
  <c r="E1014" i="2"/>
  <c r="G1014" i="2"/>
  <c r="A1015" i="2"/>
  <c r="R944" i="2"/>
  <c r="S944" i="2" s="1"/>
  <c r="B980" i="2"/>
  <c r="C980" i="2"/>
  <c r="D980" i="2"/>
  <c r="E980" i="2"/>
  <c r="G980" i="2"/>
  <c r="Q979" i="2"/>
  <c r="P979" i="2"/>
  <c r="R910" i="2"/>
  <c r="R911" i="2" s="1"/>
  <c r="Q945" i="2"/>
  <c r="Q946" i="2" s="1"/>
  <c r="P945" i="2"/>
  <c r="P946" i="2" s="1"/>
  <c r="T909" i="2"/>
  <c r="S909" i="2"/>
  <c r="R875" i="2"/>
  <c r="T910" i="2"/>
  <c r="T874" i="2"/>
  <c r="S874" i="2"/>
  <c r="T840" i="2"/>
  <c r="T1621" i="2"/>
  <c r="S1621" i="2"/>
  <c r="T1110" i="2"/>
  <c r="D1998" i="2"/>
  <c r="B1998" i="2"/>
  <c r="E1997" i="2"/>
  <c r="E1998" i="2"/>
  <c r="O1520" i="2"/>
  <c r="S1520" i="2" s="1"/>
  <c r="O1214" i="2"/>
  <c r="O1249" i="2"/>
  <c r="S1110" i="2"/>
  <c r="O1656" i="2"/>
  <c r="O1485" i="2"/>
  <c r="S1485" i="2" s="1"/>
  <c r="Q1216" i="2"/>
  <c r="P1216" i="2"/>
  <c r="Q1183" i="2"/>
  <c r="P1183" i="2"/>
  <c r="Q1964" i="2"/>
  <c r="P1964" i="2"/>
  <c r="Q1998" i="2"/>
  <c r="P1998" i="2"/>
  <c r="Q1963" i="2"/>
  <c r="P1963" i="2"/>
  <c r="P1760" i="2"/>
  <c r="Q1760" i="2"/>
  <c r="Q1149" i="2"/>
  <c r="P1149" i="2"/>
  <c r="Q1114" i="2"/>
  <c r="P1114" i="2"/>
  <c r="Q1862" i="2"/>
  <c r="P1862" i="2"/>
  <c r="Q978" i="2"/>
  <c r="P978" i="2"/>
  <c r="Q1318" i="2"/>
  <c r="P1318" i="2"/>
  <c r="Q1046" i="2"/>
  <c r="P1046" i="2"/>
  <c r="Q1692" i="2"/>
  <c r="P1692" i="2"/>
  <c r="Q1352" i="2"/>
  <c r="P1352" i="2"/>
  <c r="Q1488" i="2"/>
  <c r="P1488" i="2"/>
  <c r="Q1420" i="2"/>
  <c r="P1420" i="2"/>
  <c r="Q1556" i="2"/>
  <c r="P1556" i="2"/>
  <c r="Q1828" i="2"/>
  <c r="P1828" i="2"/>
  <c r="Q1794" i="2"/>
  <c r="P1794" i="2"/>
  <c r="Q1284" i="2"/>
  <c r="P1284" i="2"/>
  <c r="Q1624" i="2"/>
  <c r="P1624" i="2"/>
  <c r="Q1590" i="2"/>
  <c r="P1590" i="2"/>
  <c r="Q1522" i="2"/>
  <c r="P1522" i="2"/>
  <c r="Q1386" i="2"/>
  <c r="P1386" i="2"/>
  <c r="Q1930" i="2"/>
  <c r="P1930" i="2"/>
  <c r="Q1251" i="2"/>
  <c r="P1251" i="2"/>
  <c r="Q1658" i="2"/>
  <c r="P1658" i="2"/>
  <c r="Q1896" i="2"/>
  <c r="P1896" i="2"/>
  <c r="Q1080" i="2"/>
  <c r="P1080" i="2"/>
  <c r="Q1012" i="2"/>
  <c r="P1012" i="2"/>
  <c r="Q1454" i="2"/>
  <c r="P1454" i="2"/>
  <c r="Q1726" i="2"/>
  <c r="P1726" i="2"/>
  <c r="Q1962" i="2"/>
  <c r="P1962" i="2"/>
  <c r="T1893" i="2"/>
  <c r="D1625" i="2"/>
  <c r="E1625" i="2"/>
  <c r="D1217" i="2"/>
  <c r="E1217" i="2"/>
  <c r="D1285" i="2"/>
  <c r="E1285" i="2"/>
  <c r="D1387" i="2"/>
  <c r="E1387" i="2"/>
  <c r="D1252" i="2"/>
  <c r="E1252" i="2"/>
  <c r="D1353" i="2"/>
  <c r="E1353" i="2"/>
  <c r="D1659" i="2"/>
  <c r="E1659" i="2"/>
  <c r="D1421" i="2"/>
  <c r="E1421" i="2"/>
  <c r="D1557" i="2"/>
  <c r="E1557" i="2"/>
  <c r="D1016" i="2"/>
  <c r="E1016" i="2"/>
  <c r="D1829" i="2"/>
  <c r="E1829" i="2"/>
  <c r="D1795" i="2"/>
  <c r="E1795" i="2"/>
  <c r="D1455" i="2"/>
  <c r="E1455" i="2"/>
  <c r="D1931" i="2"/>
  <c r="E1931" i="2"/>
  <c r="D1115" i="2"/>
  <c r="E1115" i="2"/>
  <c r="D1489" i="2"/>
  <c r="E1489" i="2"/>
  <c r="D1897" i="2"/>
  <c r="E1897" i="2"/>
  <c r="D1863" i="2"/>
  <c r="E1863" i="2"/>
  <c r="D1727" i="2"/>
  <c r="E1727" i="2"/>
  <c r="D1591" i="2"/>
  <c r="E1591" i="2"/>
  <c r="D1319" i="2"/>
  <c r="E1319" i="2"/>
  <c r="D1761" i="2"/>
  <c r="E1761" i="2"/>
  <c r="D1150" i="2"/>
  <c r="E1150" i="2"/>
  <c r="D1693" i="2"/>
  <c r="E1693" i="2"/>
  <c r="D1999" i="2"/>
  <c r="E1999" i="2"/>
  <c r="D1965" i="2"/>
  <c r="E1965" i="2"/>
  <c r="T1180" i="2"/>
  <c r="T1282" i="2"/>
  <c r="T1588" i="2"/>
  <c r="C1998" i="2"/>
  <c r="S1418" i="2"/>
  <c r="T1758" i="2"/>
  <c r="R977" i="2"/>
  <c r="R1623" i="2"/>
  <c r="R1793" i="2"/>
  <c r="R1657" i="2"/>
  <c r="S1657" i="2" s="1"/>
  <c r="R1521" i="2"/>
  <c r="T1521" i="2" s="1"/>
  <c r="R1113" i="2"/>
  <c r="T1113" i="2" s="1"/>
  <c r="R1011" i="2"/>
  <c r="T1860" i="2"/>
  <c r="R1283" i="2"/>
  <c r="T1283" i="2" s="1"/>
  <c r="R1148" i="2"/>
  <c r="T1148" i="2" s="1"/>
  <c r="R1317" i="2"/>
  <c r="T1317" i="2" s="1"/>
  <c r="R1759" i="2"/>
  <c r="S1928" i="2"/>
  <c r="F2055" i="2"/>
  <c r="F2054" i="2"/>
  <c r="F2056" i="2"/>
  <c r="R1927" i="2"/>
  <c r="R1555" i="2"/>
  <c r="I1555" i="2" s="1"/>
  <c r="R1487" i="2"/>
  <c r="R1691" i="2"/>
  <c r="S1691" i="2" s="1"/>
  <c r="R1182" i="2"/>
  <c r="G1998" i="2"/>
  <c r="R1827" i="2"/>
  <c r="T1827" i="2" s="1"/>
  <c r="R1250" i="2"/>
  <c r="I1250" i="2" s="1"/>
  <c r="O1250" i="2" s="1"/>
  <c r="R1453" i="2"/>
  <c r="S1453" i="2" s="1"/>
  <c r="R1589" i="2"/>
  <c r="R1079" i="2"/>
  <c r="R1351" i="2"/>
  <c r="S1892" i="2"/>
  <c r="T1892" i="2"/>
  <c r="R1045" i="2"/>
  <c r="R1419" i="2"/>
  <c r="B62" i="1"/>
  <c r="E2032" i="2" s="1"/>
  <c r="C1997" i="2"/>
  <c r="B1997" i="2"/>
  <c r="G1997" i="2"/>
  <c r="R1385" i="2"/>
  <c r="R1215" i="2"/>
  <c r="I1215" i="2" s="1"/>
  <c r="R1725" i="2"/>
  <c r="R1861" i="2"/>
  <c r="R1895" i="2"/>
  <c r="R1929" i="2"/>
  <c r="R873" i="2"/>
  <c r="R943" i="2"/>
  <c r="O1318" i="2"/>
  <c r="O943" i="2"/>
  <c r="B1319" i="2"/>
  <c r="A1320" i="2"/>
  <c r="C1319" i="2"/>
  <c r="G1319" i="2"/>
  <c r="O1793" i="2"/>
  <c r="C1931" i="2"/>
  <c r="G1931" i="2"/>
  <c r="A1932" i="2"/>
  <c r="B1931" i="2"/>
  <c r="S1826" i="2"/>
  <c r="T1826" i="2"/>
  <c r="O1997" i="2"/>
  <c r="G1659" i="2"/>
  <c r="C1659" i="2"/>
  <c r="B1659" i="2"/>
  <c r="A1660" i="2"/>
  <c r="O1759" i="2"/>
  <c r="O1861" i="2"/>
  <c r="S1724" i="2"/>
  <c r="T1724" i="2"/>
  <c r="S1181" i="2"/>
  <c r="T1181" i="2"/>
  <c r="B1761" i="2"/>
  <c r="A1762" i="2"/>
  <c r="G1761" i="2"/>
  <c r="C1761" i="2"/>
  <c r="G1489" i="2"/>
  <c r="A1490" i="2"/>
  <c r="C1489" i="2"/>
  <c r="B1489" i="2"/>
  <c r="A2102" i="2"/>
  <c r="A2068" i="2"/>
  <c r="O1385" i="2"/>
  <c r="O1182" i="2"/>
  <c r="S1214" i="2"/>
  <c r="C1353" i="2"/>
  <c r="B1353" i="2"/>
  <c r="G1353" i="2"/>
  <c r="A1354" i="2"/>
  <c r="O1183" i="2"/>
  <c r="G1999" i="2"/>
  <c r="C1999" i="2"/>
  <c r="B1999" i="2"/>
  <c r="A2000" i="2"/>
  <c r="O1929" i="2"/>
  <c r="O1045" i="2"/>
  <c r="A1694" i="2"/>
  <c r="G1693" i="2"/>
  <c r="C1693" i="2"/>
  <c r="B1693" i="2"/>
  <c r="S1078" i="2"/>
  <c r="T1078" i="2"/>
  <c r="C1421" i="2"/>
  <c r="G1421" i="2"/>
  <c r="B1421" i="2"/>
  <c r="A1422" i="2"/>
  <c r="S1112" i="2"/>
  <c r="T1112" i="2"/>
  <c r="S1010" i="2"/>
  <c r="T1010" i="2"/>
  <c r="C1217" i="2"/>
  <c r="B1217" i="2"/>
  <c r="A1218" i="2"/>
  <c r="G1217" i="2"/>
  <c r="S1622" i="2"/>
  <c r="T1622" i="2"/>
  <c r="S1486" i="2"/>
  <c r="T1486" i="2"/>
  <c r="O1895" i="2"/>
  <c r="B1795" i="2"/>
  <c r="C1795" i="2"/>
  <c r="A1796" i="2"/>
  <c r="G1795" i="2"/>
  <c r="B981" i="2"/>
  <c r="G1150" i="2"/>
  <c r="A1151" i="2"/>
  <c r="B1150" i="2"/>
  <c r="C1150" i="2"/>
  <c r="O1419" i="2"/>
  <c r="S976" i="2"/>
  <c r="T976" i="2"/>
  <c r="O1011" i="2"/>
  <c r="T1792" i="2"/>
  <c r="S1792" i="2"/>
  <c r="A1388" i="2"/>
  <c r="C1387" i="2"/>
  <c r="B1387" i="2"/>
  <c r="G1387" i="2"/>
  <c r="O1080" i="2"/>
  <c r="B1557" i="2"/>
  <c r="A1558" i="2"/>
  <c r="G1557" i="2"/>
  <c r="C1557" i="2"/>
  <c r="O1623" i="2"/>
  <c r="B1863" i="2"/>
  <c r="G1863" i="2"/>
  <c r="A1864" i="2"/>
  <c r="C1863" i="2"/>
  <c r="O1487" i="2"/>
  <c r="G1897" i="2"/>
  <c r="A1898" i="2"/>
  <c r="B1897" i="2"/>
  <c r="C1897" i="2"/>
  <c r="O1998" i="2"/>
  <c r="C1829" i="2"/>
  <c r="A1830" i="2"/>
  <c r="G1829" i="2"/>
  <c r="B1829" i="2"/>
  <c r="S1384" i="2"/>
  <c r="T1384" i="2"/>
  <c r="T1147" i="2"/>
  <c r="S1147" i="2"/>
  <c r="S1044" i="2"/>
  <c r="T1044" i="2"/>
  <c r="O1149" i="2"/>
  <c r="A1626" i="2"/>
  <c r="C1625" i="2"/>
  <c r="G1625" i="2"/>
  <c r="B1625" i="2"/>
  <c r="O1725" i="2"/>
  <c r="S1316" i="2"/>
  <c r="T1316" i="2"/>
  <c r="B1252" i="2"/>
  <c r="C1252" i="2"/>
  <c r="G1252" i="2"/>
  <c r="O1488" i="2"/>
  <c r="T942" i="2"/>
  <c r="S942" i="2"/>
  <c r="A1286" i="2"/>
  <c r="G1285" i="2"/>
  <c r="B1285" i="2"/>
  <c r="C1285" i="2"/>
  <c r="T1894" i="2"/>
  <c r="S1894" i="2"/>
  <c r="S1452" i="2"/>
  <c r="T1452" i="2"/>
  <c r="A1116" i="2"/>
  <c r="C1115" i="2"/>
  <c r="G1115" i="2"/>
  <c r="B1115" i="2"/>
  <c r="T908" i="2"/>
  <c r="S908" i="2"/>
  <c r="G1016" i="2"/>
  <c r="A1016" i="2"/>
  <c r="C1016" i="2"/>
  <c r="O977" i="2"/>
  <c r="O1963" i="2"/>
  <c r="O1079" i="2"/>
  <c r="C1455" i="2"/>
  <c r="B1455" i="2"/>
  <c r="A1456" i="2"/>
  <c r="G1455" i="2"/>
  <c r="T1554" i="2"/>
  <c r="S1554" i="2"/>
  <c r="A1592" i="2"/>
  <c r="G1591" i="2"/>
  <c r="B1591" i="2"/>
  <c r="C1591" i="2"/>
  <c r="G1965" i="2"/>
  <c r="C1965" i="2"/>
  <c r="A1966" i="2"/>
  <c r="B1965" i="2"/>
  <c r="S1350" i="2"/>
  <c r="T1350" i="2"/>
  <c r="S1690" i="2"/>
  <c r="T1690" i="2"/>
  <c r="A2034" i="2"/>
  <c r="O1589" i="2"/>
  <c r="O1351" i="2"/>
  <c r="A1728" i="2"/>
  <c r="C1727" i="2"/>
  <c r="B1727" i="2"/>
  <c r="G1727" i="2"/>
  <c r="T911" i="2" l="1"/>
  <c r="I1261" i="2"/>
  <c r="O946" i="2"/>
  <c r="I1226" i="2"/>
  <c r="S875" i="2"/>
  <c r="R876" i="2"/>
  <c r="T875" i="2"/>
  <c r="T1214" i="2"/>
  <c r="S910" i="2"/>
  <c r="S911" i="2" s="1"/>
  <c r="B1525" i="2"/>
  <c r="C1525" i="2"/>
  <c r="D1525" i="2"/>
  <c r="E1525" i="2"/>
  <c r="G1525" i="2"/>
  <c r="A1526" i="2"/>
  <c r="T944" i="2"/>
  <c r="B1186" i="2"/>
  <c r="C1186" i="2"/>
  <c r="D1186" i="2"/>
  <c r="E1186" i="2"/>
  <c r="G1186" i="2"/>
  <c r="A1187" i="2"/>
  <c r="B1083" i="2"/>
  <c r="C1083" i="2"/>
  <c r="D1083" i="2"/>
  <c r="E1083" i="2"/>
  <c r="G1083" i="2"/>
  <c r="A1084" i="2"/>
  <c r="B1049" i="2"/>
  <c r="C1049" i="2"/>
  <c r="D1049" i="2"/>
  <c r="E1049" i="2"/>
  <c r="G1049" i="2"/>
  <c r="A1050" i="2"/>
  <c r="B1015" i="2"/>
  <c r="C1015" i="2"/>
  <c r="D1015" i="2"/>
  <c r="E1015" i="2"/>
  <c r="G1015" i="2"/>
  <c r="Q1014" i="2"/>
  <c r="P1014" i="2"/>
  <c r="Q980" i="2"/>
  <c r="Q981" i="2" s="1"/>
  <c r="P980" i="2"/>
  <c r="P981" i="2" s="1"/>
  <c r="R979" i="2"/>
  <c r="R945" i="2"/>
  <c r="R946" i="2" s="1"/>
  <c r="D2033" i="2"/>
  <c r="T1520" i="2"/>
  <c r="T1485" i="2"/>
  <c r="S1249" i="2"/>
  <c r="T1927" i="2"/>
  <c r="S1656" i="2"/>
  <c r="D2032" i="2"/>
  <c r="E2033" i="2"/>
  <c r="G2033" i="2"/>
  <c r="B63" i="1"/>
  <c r="T1656" i="2"/>
  <c r="T1249" i="2"/>
  <c r="O1555" i="2"/>
  <c r="S1555" i="2" s="1"/>
  <c r="Q1965" i="2"/>
  <c r="P1965" i="2"/>
  <c r="Q1863" i="2"/>
  <c r="P1863" i="2"/>
  <c r="Q1150" i="2"/>
  <c r="P1150" i="2"/>
  <c r="P1795" i="2"/>
  <c r="Q1795" i="2"/>
  <c r="Q1217" i="2"/>
  <c r="P1217" i="2"/>
  <c r="Q1523" i="2"/>
  <c r="P1523" i="2"/>
  <c r="Q1659" i="2"/>
  <c r="P1659" i="2"/>
  <c r="Q1931" i="2"/>
  <c r="P1931" i="2"/>
  <c r="Q1997" i="2"/>
  <c r="P1997" i="2"/>
  <c r="Q1727" i="2"/>
  <c r="P1727" i="2"/>
  <c r="Q1455" i="2"/>
  <c r="P1455" i="2"/>
  <c r="Q1115" i="2"/>
  <c r="P1115" i="2"/>
  <c r="Q1285" i="2"/>
  <c r="P1285" i="2"/>
  <c r="Q1252" i="2"/>
  <c r="P1252" i="2"/>
  <c r="Q1829" i="2"/>
  <c r="P1829" i="2"/>
  <c r="Q1184" i="2"/>
  <c r="P1184" i="2"/>
  <c r="Q1421" i="2"/>
  <c r="P1421" i="2"/>
  <c r="Q1999" i="2"/>
  <c r="P1999" i="2"/>
  <c r="Q1353" i="2"/>
  <c r="P1353" i="2"/>
  <c r="Q1761" i="2"/>
  <c r="P1761" i="2"/>
  <c r="Q1387" i="2"/>
  <c r="P1387" i="2"/>
  <c r="Q1081" i="2"/>
  <c r="P1081" i="2"/>
  <c r="Q1319" i="2"/>
  <c r="P1319" i="2"/>
  <c r="Q1047" i="2"/>
  <c r="P1047" i="2"/>
  <c r="Q1625" i="2"/>
  <c r="P1625" i="2"/>
  <c r="Q1897" i="2"/>
  <c r="P1897" i="2"/>
  <c r="Q1557" i="2"/>
  <c r="P1557" i="2"/>
  <c r="Q1591" i="2"/>
  <c r="P1591" i="2"/>
  <c r="Q1013" i="2"/>
  <c r="P1013" i="2"/>
  <c r="Q1693" i="2"/>
  <c r="P1693" i="2"/>
  <c r="Q1489" i="2"/>
  <c r="P1489" i="2"/>
  <c r="D1728" i="2"/>
  <c r="E1728" i="2"/>
  <c r="D1592" i="2"/>
  <c r="E1592" i="2"/>
  <c r="D1626" i="2"/>
  <c r="E1626" i="2"/>
  <c r="D1218" i="2"/>
  <c r="E1218" i="2"/>
  <c r="D1354" i="2"/>
  <c r="E1354" i="2"/>
  <c r="A2137" i="2"/>
  <c r="B2137" i="2" s="1"/>
  <c r="D1490" i="2"/>
  <c r="E1490" i="2"/>
  <c r="D1660" i="2"/>
  <c r="E1660" i="2"/>
  <c r="D2034" i="2"/>
  <c r="E2034" i="2"/>
  <c r="D1966" i="2"/>
  <c r="E1966" i="2"/>
  <c r="D1116" i="2"/>
  <c r="E1116" i="2"/>
  <c r="D1253" i="2"/>
  <c r="E1253" i="2"/>
  <c r="D1864" i="2"/>
  <c r="E1864" i="2"/>
  <c r="D1558" i="2"/>
  <c r="E1558" i="2"/>
  <c r="D1388" i="2"/>
  <c r="E1388" i="2"/>
  <c r="D1151" i="2"/>
  <c r="E1151" i="2"/>
  <c r="D1796" i="2"/>
  <c r="E1796" i="2"/>
  <c r="D2068" i="2"/>
  <c r="E2068" i="2"/>
  <c r="D1932" i="2"/>
  <c r="E1932" i="2"/>
  <c r="D1320" i="2"/>
  <c r="E1320" i="2"/>
  <c r="D1051" i="2"/>
  <c r="E1051" i="2"/>
  <c r="D1456" i="2"/>
  <c r="E1456" i="2"/>
  <c r="D1286" i="2"/>
  <c r="E1286" i="2"/>
  <c r="D1830" i="2"/>
  <c r="E1830" i="2"/>
  <c r="D1898" i="2"/>
  <c r="E1898" i="2"/>
  <c r="D1422" i="2"/>
  <c r="E1422" i="2"/>
  <c r="D1694" i="2"/>
  <c r="E1694" i="2"/>
  <c r="D2000" i="2"/>
  <c r="E2000" i="2"/>
  <c r="D1762" i="2"/>
  <c r="E1762" i="2"/>
  <c r="R1963" i="2"/>
  <c r="T1963" i="2" s="1"/>
  <c r="S1283" i="2"/>
  <c r="O1215" i="2"/>
  <c r="S1215" i="2" s="1"/>
  <c r="S1317" i="2"/>
  <c r="S1148" i="2"/>
  <c r="S1113" i="2"/>
  <c r="R1318" i="2"/>
  <c r="T1318" i="2" s="1"/>
  <c r="C2033" i="2"/>
  <c r="R1522" i="2"/>
  <c r="R1386" i="2"/>
  <c r="S1521" i="2"/>
  <c r="T1657" i="2"/>
  <c r="B2033" i="2"/>
  <c r="T1453" i="2"/>
  <c r="R1726" i="2"/>
  <c r="T1691" i="2"/>
  <c r="R1183" i="2"/>
  <c r="T1183" i="2" s="1"/>
  <c r="R1114" i="2"/>
  <c r="R1624" i="2"/>
  <c r="R1454" i="2"/>
  <c r="R1216" i="2"/>
  <c r="S1927" i="2"/>
  <c r="R1352" i="2"/>
  <c r="R1046" i="2"/>
  <c r="R1760" i="2"/>
  <c r="F2090" i="2"/>
  <c r="F2089" i="2"/>
  <c r="F2091" i="2"/>
  <c r="S1827" i="2"/>
  <c r="R1420" i="2"/>
  <c r="R1794" i="2"/>
  <c r="R1658" i="2"/>
  <c r="R1930" i="2"/>
  <c r="R1284" i="2"/>
  <c r="R1488" i="2"/>
  <c r="T1488" i="2" s="1"/>
  <c r="R1556" i="2"/>
  <c r="R1251" i="2"/>
  <c r="R1828" i="2"/>
  <c r="R1962" i="2"/>
  <c r="R1012" i="2"/>
  <c r="R1964" i="2"/>
  <c r="R1896" i="2"/>
  <c r="R1149" i="2"/>
  <c r="S1149" i="2" s="1"/>
  <c r="R1590" i="2"/>
  <c r="I1590" i="2" s="1"/>
  <c r="R1862" i="2"/>
  <c r="R1692" i="2"/>
  <c r="R1080" i="2"/>
  <c r="T1080" i="2" s="1"/>
  <c r="C2068" i="2"/>
  <c r="B2032" i="2"/>
  <c r="G2032" i="2"/>
  <c r="C2032" i="2"/>
  <c r="R1998" i="2"/>
  <c r="S1998" i="2" s="1"/>
  <c r="S873" i="2"/>
  <c r="T873" i="2"/>
  <c r="R978" i="2"/>
  <c r="G1456" i="2"/>
  <c r="B1456" i="2"/>
  <c r="C1456" i="2"/>
  <c r="A1457" i="2"/>
  <c r="T1079" i="2"/>
  <c r="S1079" i="2"/>
  <c r="G1116" i="2"/>
  <c r="C1116" i="2"/>
  <c r="A1117" i="2"/>
  <c r="A1118" i="2" s="1"/>
  <c r="B1116" i="2"/>
  <c r="B1898" i="2"/>
  <c r="A1899" i="2"/>
  <c r="G1898" i="2"/>
  <c r="C1898" i="2"/>
  <c r="T1895" i="2"/>
  <c r="S1895" i="2"/>
  <c r="T1929" i="2"/>
  <c r="S1929" i="2"/>
  <c r="O1489" i="2"/>
  <c r="O1556" i="2"/>
  <c r="S1419" i="2"/>
  <c r="T1419" i="2"/>
  <c r="O1081" i="2"/>
  <c r="G1932" i="2"/>
  <c r="B1932" i="2"/>
  <c r="A1933" i="2"/>
  <c r="C1932" i="2"/>
  <c r="T943" i="2"/>
  <c r="S943" i="2"/>
  <c r="O1251" i="2"/>
  <c r="C1558" i="2"/>
  <c r="G1558" i="2"/>
  <c r="B1558" i="2"/>
  <c r="A1559" i="2"/>
  <c r="O1862" i="2"/>
  <c r="T1182" i="2"/>
  <c r="S1182" i="2"/>
  <c r="G1051" i="2"/>
  <c r="C1051" i="2"/>
  <c r="A1051" i="2"/>
  <c r="O1930" i="2"/>
  <c r="A1287" i="2"/>
  <c r="A1288" i="2" s="1"/>
  <c r="G1286" i="2"/>
  <c r="B1286" i="2"/>
  <c r="C1286" i="2"/>
  <c r="C1253" i="2"/>
  <c r="B1253" i="2"/>
  <c r="G1253" i="2"/>
  <c r="O1557" i="2"/>
  <c r="O1999" i="2"/>
  <c r="B1354" i="2"/>
  <c r="C1354" i="2"/>
  <c r="G1354" i="2"/>
  <c r="A1355" i="2"/>
  <c r="A2069" i="2"/>
  <c r="O1012" i="2"/>
  <c r="G2034" i="2"/>
  <c r="A2035" i="2"/>
  <c r="B2034" i="2"/>
  <c r="C2034" i="2"/>
  <c r="O1964" i="2"/>
  <c r="O1386" i="2"/>
  <c r="T1725" i="2"/>
  <c r="S1725" i="2"/>
  <c r="C1830" i="2"/>
  <c r="B1830" i="2"/>
  <c r="G1830" i="2"/>
  <c r="A1831" i="2"/>
  <c r="A1797" i="2"/>
  <c r="B1796" i="2"/>
  <c r="C1796" i="2"/>
  <c r="G1796" i="2"/>
  <c r="O1624" i="2"/>
  <c r="S1793" i="2"/>
  <c r="T1793" i="2"/>
  <c r="O1352" i="2"/>
  <c r="S1250" i="2"/>
  <c r="T1250" i="2"/>
  <c r="O1829" i="2"/>
  <c r="T1487" i="2"/>
  <c r="S1487" i="2"/>
  <c r="O1421" i="2"/>
  <c r="B1762" i="2"/>
  <c r="G1762" i="2"/>
  <c r="A1763" i="2"/>
  <c r="C1762" i="2"/>
  <c r="S1759" i="2"/>
  <c r="T1759" i="2"/>
  <c r="O1726" i="2"/>
  <c r="S1351" i="2"/>
  <c r="T1351" i="2"/>
  <c r="O1828" i="2"/>
  <c r="T1589" i="2"/>
  <c r="S1589" i="2"/>
  <c r="C1151" i="2"/>
  <c r="G1151" i="2"/>
  <c r="B1151" i="2"/>
  <c r="A1152" i="2"/>
  <c r="O1420" i="2"/>
  <c r="A1423" i="2"/>
  <c r="G1422" i="2"/>
  <c r="B1422" i="2"/>
  <c r="C1422" i="2"/>
  <c r="A2103" i="2"/>
  <c r="B1966" i="2"/>
  <c r="C1966" i="2"/>
  <c r="A1967" i="2"/>
  <c r="G1966" i="2"/>
  <c r="O1046" i="2"/>
  <c r="O1692" i="2"/>
  <c r="C1864" i="2"/>
  <c r="G1864" i="2"/>
  <c r="B1864" i="2"/>
  <c r="A1865" i="2"/>
  <c r="B1016" i="2"/>
  <c r="O1114" i="2"/>
  <c r="A1627" i="2"/>
  <c r="B1626" i="2"/>
  <c r="C1626" i="2"/>
  <c r="G1626" i="2"/>
  <c r="S1045" i="2"/>
  <c r="T1045" i="2"/>
  <c r="G1660" i="2"/>
  <c r="A1661" i="2"/>
  <c r="B1660" i="2"/>
  <c r="C1660" i="2"/>
  <c r="O1658" i="2"/>
  <c r="O1693" i="2"/>
  <c r="B2000" i="2"/>
  <c r="C2000" i="2"/>
  <c r="A2001" i="2"/>
  <c r="G2000" i="2"/>
  <c r="T1385" i="2"/>
  <c r="S1385" i="2"/>
  <c r="C1490" i="2"/>
  <c r="G1490" i="2"/>
  <c r="B1490" i="2"/>
  <c r="A1491" i="2"/>
  <c r="C1388" i="2"/>
  <c r="B1388" i="2"/>
  <c r="G1388" i="2"/>
  <c r="A1389" i="2"/>
  <c r="O1727" i="2"/>
  <c r="O1454" i="2"/>
  <c r="A1593" i="2"/>
  <c r="C1592" i="2"/>
  <c r="G1592" i="2"/>
  <c r="B1592" i="2"/>
  <c r="O1794" i="2"/>
  <c r="S977" i="2"/>
  <c r="T977" i="2"/>
  <c r="O1216" i="2"/>
  <c r="O978" i="2"/>
  <c r="B1218" i="2"/>
  <c r="G1218" i="2"/>
  <c r="A1219" i="2"/>
  <c r="C1218" i="2"/>
  <c r="A1695" i="2"/>
  <c r="B1694" i="2"/>
  <c r="G1694" i="2"/>
  <c r="C1694" i="2"/>
  <c r="G1728" i="2"/>
  <c r="C1728" i="2"/>
  <c r="A1729" i="2"/>
  <c r="B1728" i="2"/>
  <c r="O1522" i="2"/>
  <c r="S1623" i="2"/>
  <c r="T1623" i="2"/>
  <c r="T1011" i="2"/>
  <c r="S1011" i="2"/>
  <c r="O2032" i="2"/>
  <c r="O1760" i="2"/>
  <c r="S1861" i="2"/>
  <c r="T1861" i="2"/>
  <c r="G1320" i="2"/>
  <c r="C1320" i="2"/>
  <c r="A1321" i="2"/>
  <c r="B1320" i="2"/>
  <c r="O981" i="2" l="1"/>
  <c r="S876" i="2"/>
  <c r="O1284" i="2"/>
  <c r="S945" i="2"/>
  <c r="S946" i="2" s="1"/>
  <c r="T876" i="2"/>
  <c r="B1526" i="2"/>
  <c r="C1526" i="2"/>
  <c r="D1526" i="2"/>
  <c r="E1526" i="2"/>
  <c r="G1526" i="2"/>
  <c r="A1527" i="2"/>
  <c r="B1288" i="2"/>
  <c r="C1288" i="2"/>
  <c r="D1288" i="2"/>
  <c r="E1288" i="2"/>
  <c r="G1288" i="2"/>
  <c r="A1289" i="2"/>
  <c r="B1187" i="2"/>
  <c r="C1187" i="2"/>
  <c r="D1187" i="2"/>
  <c r="E1187" i="2"/>
  <c r="G1187" i="2"/>
  <c r="A1188" i="2"/>
  <c r="B1118" i="2"/>
  <c r="C1118" i="2"/>
  <c r="D1118" i="2"/>
  <c r="E1118" i="2"/>
  <c r="G1118" i="2"/>
  <c r="A1119" i="2"/>
  <c r="B1084" i="2"/>
  <c r="C1084" i="2"/>
  <c r="D1084" i="2"/>
  <c r="E1084" i="2"/>
  <c r="G1084" i="2"/>
  <c r="A1085" i="2"/>
  <c r="B1050" i="2"/>
  <c r="C1050" i="2"/>
  <c r="D1050" i="2"/>
  <c r="E1050" i="2"/>
  <c r="G1050" i="2"/>
  <c r="Q1049" i="2"/>
  <c r="P1049" i="2"/>
  <c r="R980" i="2"/>
  <c r="R981" i="2" s="1"/>
  <c r="Q1015" i="2"/>
  <c r="Q1016" i="2" s="1"/>
  <c r="P1015" i="2"/>
  <c r="P1016" i="2" s="1"/>
  <c r="R1014" i="2"/>
  <c r="T979" i="2"/>
  <c r="S979" i="2"/>
  <c r="T945" i="2"/>
  <c r="T1555" i="2"/>
  <c r="B64" i="1"/>
  <c r="D2067" i="2"/>
  <c r="E2067" i="2"/>
  <c r="O1590" i="2"/>
  <c r="T1590" i="2" s="1"/>
  <c r="A2138" i="2"/>
  <c r="A2172" i="2"/>
  <c r="Q1728" i="2"/>
  <c r="P1728" i="2"/>
  <c r="Q1626" i="2"/>
  <c r="P1626" i="2"/>
  <c r="Q2000" i="2"/>
  <c r="P2000" i="2"/>
  <c r="Q1253" i="2"/>
  <c r="P1253" i="2"/>
  <c r="Q1286" i="2"/>
  <c r="P1286" i="2"/>
  <c r="Q1558" i="2"/>
  <c r="P1558" i="2"/>
  <c r="Q1932" i="2"/>
  <c r="P1932" i="2"/>
  <c r="Q1898" i="2"/>
  <c r="P1898" i="2"/>
  <c r="Q1320" i="2"/>
  <c r="P1320" i="2"/>
  <c r="Q1218" i="2"/>
  <c r="P1218" i="2"/>
  <c r="Q1388" i="2"/>
  <c r="P1388" i="2"/>
  <c r="Q1490" i="2"/>
  <c r="P1490" i="2"/>
  <c r="Q1660" i="2"/>
  <c r="P1660" i="2"/>
  <c r="Q1864" i="2"/>
  <c r="P1864" i="2"/>
  <c r="Q1966" i="2"/>
  <c r="P1966" i="2"/>
  <c r="Q1422" i="2"/>
  <c r="P1422" i="2"/>
  <c r="Q1762" i="2"/>
  <c r="P1762" i="2"/>
  <c r="Q1524" i="2"/>
  <c r="P1524" i="2"/>
  <c r="Q1830" i="2"/>
  <c r="P1830" i="2"/>
  <c r="Q1354" i="2"/>
  <c r="P1354" i="2"/>
  <c r="Q1048" i="2"/>
  <c r="P1048" i="2"/>
  <c r="Q1456" i="2"/>
  <c r="P1456" i="2"/>
  <c r="Q2032" i="2"/>
  <c r="P2032" i="2"/>
  <c r="Q2033" i="2"/>
  <c r="P2033" i="2"/>
  <c r="Q2034" i="2"/>
  <c r="P2034" i="2"/>
  <c r="Q1116" i="2"/>
  <c r="P1116" i="2"/>
  <c r="Q1694" i="2"/>
  <c r="P1694" i="2"/>
  <c r="Q1592" i="2"/>
  <c r="P1592" i="2"/>
  <c r="Q1185" i="2"/>
  <c r="P1185" i="2"/>
  <c r="Q1151" i="2"/>
  <c r="P1151" i="2"/>
  <c r="Q1796" i="2"/>
  <c r="P1796" i="2"/>
  <c r="Q1082" i="2"/>
  <c r="P1082" i="2"/>
  <c r="S1963" i="2"/>
  <c r="D2001" i="2"/>
  <c r="E2001" i="2"/>
  <c r="D1254" i="2"/>
  <c r="E1254" i="2"/>
  <c r="D1287" i="2"/>
  <c r="E1287" i="2"/>
  <c r="D1559" i="2"/>
  <c r="E1559" i="2"/>
  <c r="D1933" i="2"/>
  <c r="E1933" i="2"/>
  <c r="D1899" i="2"/>
  <c r="E1899" i="2"/>
  <c r="D1457" i="2"/>
  <c r="E1457" i="2"/>
  <c r="D1219" i="2"/>
  <c r="E1219" i="2"/>
  <c r="D2103" i="2"/>
  <c r="E2103" i="2"/>
  <c r="D1152" i="2"/>
  <c r="E1152" i="2"/>
  <c r="D2069" i="2"/>
  <c r="E2069" i="2"/>
  <c r="A2207" i="2"/>
  <c r="D1321" i="2"/>
  <c r="E1321" i="2"/>
  <c r="D1593" i="2"/>
  <c r="E1593" i="2"/>
  <c r="D1389" i="2"/>
  <c r="E1389" i="2"/>
  <c r="D1661" i="2"/>
  <c r="E1661" i="2"/>
  <c r="D1967" i="2"/>
  <c r="E1967" i="2"/>
  <c r="D1763" i="2"/>
  <c r="E1763" i="2"/>
  <c r="D2035" i="2"/>
  <c r="E2035" i="2"/>
  <c r="D1117" i="2"/>
  <c r="E1117" i="2"/>
  <c r="D1729" i="2"/>
  <c r="E1729" i="2"/>
  <c r="D1695" i="2"/>
  <c r="E1695" i="2"/>
  <c r="D1491" i="2"/>
  <c r="E1491" i="2"/>
  <c r="D1627" i="2"/>
  <c r="E1627" i="2"/>
  <c r="D1865" i="2"/>
  <c r="E1865" i="2"/>
  <c r="D1423" i="2"/>
  <c r="E1423" i="2"/>
  <c r="D1797" i="2"/>
  <c r="E1797" i="2"/>
  <c r="D1355" i="2"/>
  <c r="E1355" i="2"/>
  <c r="D1086" i="2"/>
  <c r="E1086" i="2"/>
  <c r="D1831" i="2"/>
  <c r="E1831" i="2"/>
  <c r="T1215" i="2"/>
  <c r="A2139" i="2"/>
  <c r="A2173" i="2"/>
  <c r="S1318" i="2"/>
  <c r="G2068" i="2"/>
  <c r="B2068" i="2"/>
  <c r="S1183" i="2"/>
  <c r="R1285" i="2"/>
  <c r="I1285" i="2" s="1"/>
  <c r="R1829" i="2"/>
  <c r="T1829" i="2" s="1"/>
  <c r="R1252" i="2"/>
  <c r="R1150" i="2"/>
  <c r="R1115" i="2"/>
  <c r="R1455" i="2"/>
  <c r="R1421" i="2"/>
  <c r="S1421" i="2" s="1"/>
  <c r="R1523" i="2"/>
  <c r="R1761" i="2"/>
  <c r="T1149" i="2"/>
  <c r="S1080" i="2"/>
  <c r="S1488" i="2"/>
  <c r="T1998" i="2"/>
  <c r="F2125" i="2"/>
  <c r="F2160" i="2" s="1"/>
  <c r="F2195" i="2" s="1"/>
  <c r="F2230" i="2" s="1"/>
  <c r="F2265" i="2" s="1"/>
  <c r="F2124" i="2"/>
  <c r="F2159" i="2" s="1"/>
  <c r="F2194" i="2" s="1"/>
  <c r="F2229" i="2" s="1"/>
  <c r="F2264" i="2" s="1"/>
  <c r="F2126" i="2"/>
  <c r="R1693" i="2"/>
  <c r="S1693" i="2" s="1"/>
  <c r="R1659" i="2"/>
  <c r="R1489" i="2"/>
  <c r="T1489" i="2" s="1"/>
  <c r="R1795" i="2"/>
  <c r="R1184" i="2"/>
  <c r="R1081" i="2"/>
  <c r="T1081" i="2" s="1"/>
  <c r="R1591" i="2"/>
  <c r="R1319" i="2"/>
  <c r="R1997" i="2"/>
  <c r="R1217" i="2"/>
  <c r="R1353" i="2"/>
  <c r="R1931" i="2"/>
  <c r="R1387" i="2"/>
  <c r="R1727" i="2"/>
  <c r="T1727" i="2" s="1"/>
  <c r="R1047" i="2"/>
  <c r="T1962" i="2"/>
  <c r="S1962" i="2"/>
  <c r="R1557" i="2"/>
  <c r="S1557" i="2" s="1"/>
  <c r="B2103" i="2"/>
  <c r="C2067" i="2"/>
  <c r="G2067" i="2"/>
  <c r="B2067" i="2"/>
  <c r="R1625" i="2"/>
  <c r="I1625" i="2" s="1"/>
  <c r="T946" i="2"/>
  <c r="R1897" i="2"/>
  <c r="R1863" i="2"/>
  <c r="R1999" i="2"/>
  <c r="S1999" i="2" s="1"/>
  <c r="R1965" i="2"/>
  <c r="A1696" i="2"/>
  <c r="G1695" i="2"/>
  <c r="C1695" i="2"/>
  <c r="B1695" i="2"/>
  <c r="G1491" i="2"/>
  <c r="C1491" i="2"/>
  <c r="A1492" i="2"/>
  <c r="B1491" i="2"/>
  <c r="O1217" i="2"/>
  <c r="B1117" i="2"/>
  <c r="C1117" i="2"/>
  <c r="G1117" i="2"/>
  <c r="A1832" i="2"/>
  <c r="G1831" i="2"/>
  <c r="B1831" i="2"/>
  <c r="C1831" i="2"/>
  <c r="S1930" i="2"/>
  <c r="T1930" i="2"/>
  <c r="O1558" i="2"/>
  <c r="G1593" i="2"/>
  <c r="C1593" i="2"/>
  <c r="B1593" i="2"/>
  <c r="A1594" i="2"/>
  <c r="O1490" i="2"/>
  <c r="T1760" i="2"/>
  <c r="S1760" i="2"/>
  <c r="O1761" i="2"/>
  <c r="B1219" i="2"/>
  <c r="G1219" i="2"/>
  <c r="A1220" i="2"/>
  <c r="C1219" i="2"/>
  <c r="S1454" i="2"/>
  <c r="T1454" i="2"/>
  <c r="O1455" i="2"/>
  <c r="O1523" i="2"/>
  <c r="T1352" i="2"/>
  <c r="S1352" i="2"/>
  <c r="B1051" i="2"/>
  <c r="C1797" i="2"/>
  <c r="B1797" i="2"/>
  <c r="A1798" i="2"/>
  <c r="G1797" i="2"/>
  <c r="T1964" i="2"/>
  <c r="S1964" i="2"/>
  <c r="G1287" i="2"/>
  <c r="C1287" i="2"/>
  <c r="B1287" i="2"/>
  <c r="B1933" i="2"/>
  <c r="G1933" i="2"/>
  <c r="C1933" i="2"/>
  <c r="A1934" i="2"/>
  <c r="O1897" i="2"/>
  <c r="S978" i="2"/>
  <c r="T978" i="2"/>
  <c r="B1661" i="2"/>
  <c r="A1662" i="2"/>
  <c r="G1661" i="2"/>
  <c r="C1661" i="2"/>
  <c r="B1627" i="2"/>
  <c r="C1627" i="2"/>
  <c r="G1627" i="2"/>
  <c r="A1628" i="2"/>
  <c r="C1254" i="2"/>
  <c r="B1254" i="2"/>
  <c r="G1254" i="2"/>
  <c r="O1013" i="2"/>
  <c r="S1046" i="2"/>
  <c r="T1046" i="2"/>
  <c r="B1967" i="2"/>
  <c r="C1967" i="2"/>
  <c r="A1968" i="2"/>
  <c r="G1967" i="2"/>
  <c r="B1763" i="2"/>
  <c r="G1763" i="2"/>
  <c r="A1764" i="2"/>
  <c r="C1763" i="2"/>
  <c r="A1356" i="2"/>
  <c r="B1355" i="2"/>
  <c r="C1355" i="2"/>
  <c r="G1355" i="2"/>
  <c r="O1965" i="2"/>
  <c r="S1624" i="2"/>
  <c r="T1624" i="2"/>
  <c r="C2035" i="2"/>
  <c r="A2036" i="2"/>
  <c r="B2035" i="2"/>
  <c r="G2035" i="2"/>
  <c r="S1251" i="2"/>
  <c r="T1251" i="2"/>
  <c r="O1659" i="2"/>
  <c r="O1387" i="2"/>
  <c r="O1047" i="2"/>
  <c r="O1931" i="2"/>
  <c r="B1899" i="2"/>
  <c r="A1900" i="2"/>
  <c r="C1899" i="2"/>
  <c r="G1899" i="2"/>
  <c r="C1457" i="2"/>
  <c r="G1457" i="2"/>
  <c r="A1458" i="2"/>
  <c r="B1457" i="2"/>
  <c r="S1114" i="2"/>
  <c r="T1114" i="2"/>
  <c r="T1216" i="2"/>
  <c r="S1216" i="2"/>
  <c r="O1082" i="2"/>
  <c r="O1252" i="2"/>
  <c r="C1423" i="2"/>
  <c r="B1423" i="2"/>
  <c r="A1424" i="2"/>
  <c r="G1423" i="2"/>
  <c r="S1794" i="2"/>
  <c r="T1794" i="2"/>
  <c r="O1863" i="2"/>
  <c r="O1115" i="2"/>
  <c r="O1353" i="2"/>
  <c r="B1729" i="2"/>
  <c r="G1729" i="2"/>
  <c r="A1730" i="2"/>
  <c r="C1729" i="2"/>
  <c r="O1591" i="2"/>
  <c r="G1865" i="2"/>
  <c r="C1865" i="2"/>
  <c r="B1865" i="2"/>
  <c r="A1866" i="2"/>
  <c r="S1692" i="2"/>
  <c r="T1692" i="2"/>
  <c r="S1420" i="2"/>
  <c r="T1420" i="2"/>
  <c r="T1828" i="2"/>
  <c r="S1828" i="2"/>
  <c r="S1012" i="2"/>
  <c r="T1012" i="2"/>
  <c r="C1086" i="2"/>
  <c r="A1086" i="2"/>
  <c r="G1086" i="2"/>
  <c r="S1522" i="2"/>
  <c r="T1522" i="2"/>
  <c r="T1896" i="2"/>
  <c r="S1896" i="2"/>
  <c r="A2104" i="2"/>
  <c r="T1386" i="2"/>
  <c r="S1386" i="2"/>
  <c r="O1150" i="2"/>
  <c r="A1322" i="2"/>
  <c r="C1321" i="2"/>
  <c r="G1321" i="2"/>
  <c r="B1321" i="2"/>
  <c r="O1795" i="2"/>
  <c r="B1389" i="2"/>
  <c r="A1390" i="2"/>
  <c r="G1389" i="2"/>
  <c r="C1389" i="2"/>
  <c r="B2001" i="2"/>
  <c r="A2002" i="2"/>
  <c r="G2001" i="2"/>
  <c r="C2001" i="2"/>
  <c r="T1658" i="2"/>
  <c r="S1658" i="2"/>
  <c r="O2033" i="2"/>
  <c r="B1152" i="2"/>
  <c r="G1152" i="2"/>
  <c r="C1152" i="2"/>
  <c r="A1153" i="2"/>
  <c r="A1154" i="2" s="1"/>
  <c r="T1726" i="2"/>
  <c r="S1726" i="2"/>
  <c r="O1184" i="2"/>
  <c r="S1862" i="2"/>
  <c r="T1862" i="2"/>
  <c r="T1556" i="2"/>
  <c r="S1556" i="2"/>
  <c r="A2070" i="2"/>
  <c r="B2069" i="2"/>
  <c r="G2069" i="2"/>
  <c r="C2069" i="2"/>
  <c r="A1560" i="2"/>
  <c r="B1559" i="2"/>
  <c r="G1559" i="2"/>
  <c r="C1559" i="2"/>
  <c r="I1296" i="2" l="1"/>
  <c r="O1016" i="2"/>
  <c r="S980" i="2"/>
  <c r="S981" i="2" s="1"/>
  <c r="B1527" i="2"/>
  <c r="C1527" i="2"/>
  <c r="D1527" i="2"/>
  <c r="E1527" i="2"/>
  <c r="G1527" i="2"/>
  <c r="A1528" i="2"/>
  <c r="B1289" i="2"/>
  <c r="C1289" i="2"/>
  <c r="D1289" i="2"/>
  <c r="E1289" i="2"/>
  <c r="G1289" i="2"/>
  <c r="A1290" i="2"/>
  <c r="B1188" i="2"/>
  <c r="C1188" i="2"/>
  <c r="D1188" i="2"/>
  <c r="E1188" i="2"/>
  <c r="G1188" i="2"/>
  <c r="A1189" i="2"/>
  <c r="B1119" i="2"/>
  <c r="C1119" i="2"/>
  <c r="D1119" i="2"/>
  <c r="E1119" i="2"/>
  <c r="G1119" i="2"/>
  <c r="A1120" i="2"/>
  <c r="A1155" i="2"/>
  <c r="G1154" i="2"/>
  <c r="E1154" i="2"/>
  <c r="D1154" i="2"/>
  <c r="C1154" i="2"/>
  <c r="B1154" i="2"/>
  <c r="B1085" i="2"/>
  <c r="C1085" i="2"/>
  <c r="D1085" i="2"/>
  <c r="E1085" i="2"/>
  <c r="G1085" i="2"/>
  <c r="Q1084" i="2"/>
  <c r="P1084" i="2"/>
  <c r="T980" i="2"/>
  <c r="R1049" i="2"/>
  <c r="Q1050" i="2"/>
  <c r="Q1051" i="2" s="1"/>
  <c r="P1050" i="2"/>
  <c r="P1051" i="2" s="1"/>
  <c r="T1014" i="2"/>
  <c r="S1014" i="2"/>
  <c r="R1015" i="2"/>
  <c r="S1590" i="2"/>
  <c r="D2102" i="2"/>
  <c r="E2102" i="2"/>
  <c r="G2137" i="2"/>
  <c r="T1284" i="2"/>
  <c r="O1625" i="2"/>
  <c r="S1625" i="2" s="1"/>
  <c r="A2208" i="2"/>
  <c r="Q1729" i="2"/>
  <c r="P1729" i="2"/>
  <c r="Q2035" i="2"/>
  <c r="P2035" i="2"/>
  <c r="Q1933" i="2"/>
  <c r="P1933" i="2"/>
  <c r="Q1321" i="2"/>
  <c r="P1321" i="2"/>
  <c r="Q1083" i="2"/>
  <c r="P1083" i="2"/>
  <c r="Q1763" i="2"/>
  <c r="P1763" i="2"/>
  <c r="Q1152" i="2"/>
  <c r="P1152" i="2"/>
  <c r="Q1627" i="2"/>
  <c r="P1627" i="2"/>
  <c r="Q1219" i="2"/>
  <c r="P1219" i="2"/>
  <c r="Q1117" i="2"/>
  <c r="P1117" i="2"/>
  <c r="Q2001" i="2"/>
  <c r="P2001" i="2"/>
  <c r="Q1899" i="2"/>
  <c r="P1899" i="2"/>
  <c r="Q1661" i="2"/>
  <c r="P1661" i="2"/>
  <c r="Q1831" i="2"/>
  <c r="P1831" i="2"/>
  <c r="Q1695" i="2"/>
  <c r="P1695" i="2"/>
  <c r="Q1559" i="2"/>
  <c r="P1559" i="2"/>
  <c r="Q1389" i="2"/>
  <c r="P1389" i="2"/>
  <c r="Q1865" i="2"/>
  <c r="P1865" i="2"/>
  <c r="Q1423" i="2"/>
  <c r="P1423" i="2"/>
  <c r="Q1355" i="2"/>
  <c r="P1355" i="2"/>
  <c r="Q1967" i="2"/>
  <c r="P1967" i="2"/>
  <c r="Q1186" i="2"/>
  <c r="P1186" i="2"/>
  <c r="Q1254" i="2"/>
  <c r="P1254" i="2"/>
  <c r="Q1525" i="2"/>
  <c r="P1525" i="2"/>
  <c r="Q1287" i="2"/>
  <c r="P1287" i="2"/>
  <c r="Q2067" i="2"/>
  <c r="P2067" i="2"/>
  <c r="Q2103" i="2"/>
  <c r="P2103" i="2"/>
  <c r="Q2068" i="2"/>
  <c r="P2068" i="2"/>
  <c r="Q2069" i="2"/>
  <c r="P2069" i="2"/>
  <c r="Q1457" i="2"/>
  <c r="P1457" i="2"/>
  <c r="Q1797" i="2"/>
  <c r="P1797" i="2"/>
  <c r="Q1593" i="2"/>
  <c r="P1593" i="2"/>
  <c r="Q1491" i="2"/>
  <c r="P1491" i="2"/>
  <c r="D2070" i="2"/>
  <c r="E2070" i="2"/>
  <c r="D1322" i="2"/>
  <c r="E1322" i="2"/>
  <c r="D1730" i="2"/>
  <c r="E1730" i="2"/>
  <c r="D1424" i="2"/>
  <c r="E1424" i="2"/>
  <c r="D1458" i="2"/>
  <c r="E1458" i="2"/>
  <c r="D1220" i="2"/>
  <c r="E1220" i="2"/>
  <c r="D1121" i="2"/>
  <c r="E1121" i="2"/>
  <c r="D1492" i="2"/>
  <c r="E1492" i="2"/>
  <c r="D1696" i="2"/>
  <c r="E1696" i="2"/>
  <c r="D2104" i="2"/>
  <c r="E2104" i="2"/>
  <c r="D1764" i="2"/>
  <c r="E1764" i="2"/>
  <c r="D1594" i="2"/>
  <c r="E1594" i="2"/>
  <c r="D1390" i="2"/>
  <c r="E1390" i="2"/>
  <c r="D1866" i="2"/>
  <c r="E1866" i="2"/>
  <c r="D2036" i="2"/>
  <c r="E2036" i="2"/>
  <c r="D1798" i="2"/>
  <c r="E1798" i="2"/>
  <c r="D1560" i="2"/>
  <c r="E1560" i="2"/>
  <c r="D1153" i="2"/>
  <c r="D1156" i="2" s="1"/>
  <c r="E1153" i="2"/>
  <c r="E1156" i="2" s="1"/>
  <c r="D2002" i="2"/>
  <c r="E2002" i="2"/>
  <c r="D1900" i="2"/>
  <c r="E1900" i="2"/>
  <c r="D1356" i="2"/>
  <c r="E1356" i="2"/>
  <c r="D1968" i="2"/>
  <c r="E1968" i="2"/>
  <c r="D1255" i="2"/>
  <c r="E1255" i="2"/>
  <c r="D1628" i="2"/>
  <c r="E1628" i="2"/>
  <c r="D1662" i="2"/>
  <c r="E1662" i="2"/>
  <c r="D1934" i="2"/>
  <c r="E1934" i="2"/>
  <c r="D1832" i="2"/>
  <c r="E1832" i="2"/>
  <c r="D2139" i="2"/>
  <c r="E2139" i="2"/>
  <c r="A2242" i="2"/>
  <c r="R2033" i="2"/>
  <c r="S2033" i="2" s="1"/>
  <c r="F2161" i="2"/>
  <c r="F2196" i="2" s="1"/>
  <c r="S1284" i="2"/>
  <c r="O1285" i="2"/>
  <c r="S1285" i="2" s="1"/>
  <c r="A2209" i="2"/>
  <c r="A2174" i="2"/>
  <c r="G2139" i="2"/>
  <c r="C2139" i="2"/>
  <c r="A2140" i="2"/>
  <c r="B2139" i="2"/>
  <c r="S1829" i="2"/>
  <c r="G2103" i="2"/>
  <c r="T1421" i="2"/>
  <c r="R1898" i="2"/>
  <c r="C2103" i="2"/>
  <c r="R1558" i="2"/>
  <c r="S1558" i="2" s="1"/>
  <c r="R1082" i="2"/>
  <c r="R1762" i="2"/>
  <c r="R1320" i="2"/>
  <c r="I1320" i="2" s="1"/>
  <c r="O1320" i="2" s="1"/>
  <c r="R1490" i="2"/>
  <c r="T1490" i="2" s="1"/>
  <c r="R1932" i="2"/>
  <c r="R1422" i="2"/>
  <c r="S1727" i="2"/>
  <c r="S1081" i="2"/>
  <c r="T1693" i="2"/>
  <c r="S1489" i="2"/>
  <c r="R1286" i="2"/>
  <c r="T1557" i="2"/>
  <c r="F2300" i="2"/>
  <c r="F2299" i="2"/>
  <c r="F2301" i="2"/>
  <c r="R1151" i="2"/>
  <c r="R1218" i="2"/>
  <c r="R1388" i="2"/>
  <c r="T1997" i="2"/>
  <c r="S1997" i="2"/>
  <c r="R1253" i="2"/>
  <c r="R1592" i="2"/>
  <c r="R1116" i="2"/>
  <c r="R1728" i="2"/>
  <c r="R1660" i="2"/>
  <c r="I1660" i="2" s="1"/>
  <c r="R2034" i="2"/>
  <c r="R1694" i="2"/>
  <c r="R1524" i="2"/>
  <c r="R1966" i="2"/>
  <c r="R1626" i="2"/>
  <c r="R2000" i="2"/>
  <c r="R2032" i="2"/>
  <c r="R1864" i="2"/>
  <c r="C2102" i="2"/>
  <c r="B2102" i="2"/>
  <c r="G2102" i="2"/>
  <c r="R1354" i="2"/>
  <c r="R1456" i="2"/>
  <c r="R1796" i="2"/>
  <c r="R1185" i="2"/>
  <c r="R1830" i="2"/>
  <c r="T981" i="2"/>
  <c r="T1999" i="2"/>
  <c r="R1048" i="2"/>
  <c r="R1013" i="2"/>
  <c r="O2001" i="2"/>
  <c r="G1322" i="2"/>
  <c r="C1322" i="2"/>
  <c r="A1323" i="2"/>
  <c r="B1322" i="2"/>
  <c r="B1086" i="2"/>
  <c r="O1966" i="2"/>
  <c r="O1151" i="2"/>
  <c r="B1458" i="2"/>
  <c r="A1459" i="2"/>
  <c r="C1458" i="2"/>
  <c r="G1458" i="2"/>
  <c r="S1931" i="2"/>
  <c r="T1931" i="2"/>
  <c r="G2036" i="2"/>
  <c r="B2036" i="2"/>
  <c r="C2036" i="2"/>
  <c r="A2037" i="2"/>
  <c r="G1764" i="2"/>
  <c r="A1765" i="2"/>
  <c r="B1764" i="2"/>
  <c r="C1764" i="2"/>
  <c r="A1969" i="2"/>
  <c r="B1968" i="2"/>
  <c r="C1968" i="2"/>
  <c r="G1968" i="2"/>
  <c r="O2034" i="2"/>
  <c r="G1220" i="2"/>
  <c r="A1221" i="2"/>
  <c r="C1220" i="2"/>
  <c r="B1220" i="2"/>
  <c r="S1455" i="2"/>
  <c r="T1455" i="2"/>
  <c r="O1456" i="2"/>
  <c r="S1591" i="2"/>
  <c r="T1591" i="2"/>
  <c r="O1728" i="2"/>
  <c r="A1425" i="2"/>
  <c r="B1424" i="2"/>
  <c r="G1424" i="2"/>
  <c r="C1424" i="2"/>
  <c r="S1047" i="2"/>
  <c r="T1047" i="2"/>
  <c r="B1356" i="2"/>
  <c r="G1356" i="2"/>
  <c r="C1356" i="2"/>
  <c r="A1357" i="2"/>
  <c r="C1492" i="2"/>
  <c r="G1492" i="2"/>
  <c r="B1492" i="2"/>
  <c r="A1493" i="2"/>
  <c r="T1387" i="2"/>
  <c r="S1387" i="2"/>
  <c r="B1628" i="2"/>
  <c r="G1628" i="2"/>
  <c r="C1628" i="2"/>
  <c r="A1629" i="2"/>
  <c r="O1048" i="2"/>
  <c r="S1659" i="2"/>
  <c r="T1659" i="2"/>
  <c r="O1830" i="2"/>
  <c r="O1967" i="2"/>
  <c r="C1594" i="2"/>
  <c r="A1595" i="2"/>
  <c r="B1594" i="2"/>
  <c r="G1594" i="2"/>
  <c r="B2070" i="2"/>
  <c r="G2070" i="2"/>
  <c r="C2070" i="2"/>
  <c r="A2071" i="2"/>
  <c r="O1116" i="2"/>
  <c r="C1255" i="2"/>
  <c r="A1256" i="2"/>
  <c r="A1257" i="2" s="1"/>
  <c r="G1255" i="2"/>
  <c r="B1255" i="2"/>
  <c r="O1388" i="2"/>
  <c r="O1219" i="2"/>
  <c r="O1626" i="2"/>
  <c r="T1761" i="2"/>
  <c r="S1761" i="2"/>
  <c r="O2102" i="2"/>
  <c r="O1762" i="2"/>
  <c r="S1184" i="2"/>
  <c r="T1184" i="2"/>
  <c r="O1218" i="2"/>
  <c r="S1115" i="2"/>
  <c r="T1115" i="2"/>
  <c r="S1252" i="2"/>
  <c r="T1252" i="2"/>
  <c r="O1253" i="2"/>
  <c r="O1932" i="2"/>
  <c r="G1730" i="2"/>
  <c r="B1730" i="2"/>
  <c r="A1731" i="2"/>
  <c r="C1730" i="2"/>
  <c r="O1422" i="2"/>
  <c r="T1897" i="2"/>
  <c r="S1897" i="2"/>
  <c r="S1795" i="2"/>
  <c r="T1795" i="2"/>
  <c r="O1592" i="2"/>
  <c r="B1866" i="2"/>
  <c r="G1866" i="2"/>
  <c r="A1867" i="2"/>
  <c r="C1866" i="2"/>
  <c r="S1863" i="2"/>
  <c r="T1863" i="2"/>
  <c r="O1185" i="2"/>
  <c r="S1965" i="2"/>
  <c r="T1965" i="2"/>
  <c r="O1524" i="2"/>
  <c r="O2000" i="2"/>
  <c r="C1900" i="2"/>
  <c r="B1900" i="2"/>
  <c r="G1900" i="2"/>
  <c r="A1901" i="2"/>
  <c r="A1935" i="2"/>
  <c r="C1934" i="2"/>
  <c r="G1934" i="2"/>
  <c r="B1934" i="2"/>
  <c r="B1798" i="2"/>
  <c r="C1798" i="2"/>
  <c r="A1799" i="2"/>
  <c r="G1798" i="2"/>
  <c r="T1150" i="2"/>
  <c r="S1150" i="2"/>
  <c r="O1286" i="2"/>
  <c r="T1353" i="2"/>
  <c r="S1353" i="2"/>
  <c r="O1898" i="2"/>
  <c r="O1694" i="2"/>
  <c r="O1797" i="2"/>
  <c r="G1390" i="2"/>
  <c r="B1390" i="2"/>
  <c r="C1390" i="2"/>
  <c r="A1391" i="2"/>
  <c r="O1864" i="2"/>
  <c r="B1153" i="2"/>
  <c r="B1156" i="2" s="1"/>
  <c r="C1153" i="2"/>
  <c r="C1156" i="2" s="1"/>
  <c r="G1153" i="2"/>
  <c r="G1156" i="2" s="1"/>
  <c r="A1156" i="2"/>
  <c r="G2104" i="2"/>
  <c r="A2105" i="2"/>
  <c r="C2104" i="2"/>
  <c r="B2104" i="2"/>
  <c r="A1561" i="2"/>
  <c r="C1560" i="2"/>
  <c r="G1560" i="2"/>
  <c r="B1560" i="2"/>
  <c r="O1796" i="2"/>
  <c r="C2002" i="2"/>
  <c r="B2002" i="2"/>
  <c r="G2002" i="2"/>
  <c r="A2003" i="2"/>
  <c r="A1663" i="2"/>
  <c r="B1662" i="2"/>
  <c r="G1662" i="2"/>
  <c r="C1662" i="2"/>
  <c r="O2068" i="2"/>
  <c r="S1523" i="2"/>
  <c r="T1523" i="2"/>
  <c r="S1217" i="2"/>
  <c r="T1217" i="2"/>
  <c r="C1696" i="2"/>
  <c r="G1696" i="2"/>
  <c r="B1696" i="2"/>
  <c r="A1697" i="2"/>
  <c r="B1832" i="2"/>
  <c r="A1833" i="2"/>
  <c r="C1832" i="2"/>
  <c r="G1832" i="2"/>
  <c r="G1121" i="2"/>
  <c r="C1121" i="2"/>
  <c r="A1121" i="2"/>
  <c r="T1625" i="2" l="1"/>
  <c r="I1331" i="2"/>
  <c r="O1051" i="2"/>
  <c r="S1015" i="2"/>
  <c r="R1016" i="2"/>
  <c r="B1528" i="2"/>
  <c r="C1528" i="2"/>
  <c r="D1528" i="2"/>
  <c r="E1528" i="2"/>
  <c r="G1528" i="2"/>
  <c r="A1529" i="2"/>
  <c r="B1290" i="2"/>
  <c r="C1290" i="2"/>
  <c r="D1290" i="2"/>
  <c r="E1290" i="2"/>
  <c r="G1290" i="2"/>
  <c r="A1291" i="2"/>
  <c r="B1257" i="2"/>
  <c r="C1257" i="2"/>
  <c r="D1257" i="2"/>
  <c r="E1257" i="2"/>
  <c r="G1257" i="2"/>
  <c r="A1258" i="2"/>
  <c r="B1189" i="2"/>
  <c r="C1189" i="2"/>
  <c r="D1189" i="2"/>
  <c r="E1189" i="2"/>
  <c r="G1189" i="2"/>
  <c r="A1190" i="2"/>
  <c r="Q1154" i="2"/>
  <c r="P1154" i="2"/>
  <c r="B1120" i="2"/>
  <c r="C1120" i="2"/>
  <c r="D1120" i="2"/>
  <c r="E1120" i="2"/>
  <c r="G1120" i="2"/>
  <c r="G1155" i="2"/>
  <c r="E1155" i="2"/>
  <c r="D1155" i="2"/>
  <c r="C1155" i="2"/>
  <c r="B1155" i="2"/>
  <c r="Q1119" i="2"/>
  <c r="P1119" i="2"/>
  <c r="R1084" i="2"/>
  <c r="T1084" i="2" s="1"/>
  <c r="Q1085" i="2"/>
  <c r="Q1086" i="2" s="1"/>
  <c r="P1085" i="2"/>
  <c r="P1086" i="2" s="1"/>
  <c r="S1084" i="2"/>
  <c r="T1049" i="2"/>
  <c r="S1049" i="2"/>
  <c r="R1050" i="2"/>
  <c r="R1051" i="2" s="1"/>
  <c r="T1015" i="2"/>
  <c r="C2137" i="2"/>
  <c r="E2172" i="2"/>
  <c r="D2138" i="2"/>
  <c r="C2138" i="2"/>
  <c r="E2138" i="2"/>
  <c r="B2138" i="2"/>
  <c r="D2137" i="2"/>
  <c r="G2172" i="2"/>
  <c r="D2172" i="2"/>
  <c r="E2137" i="2"/>
  <c r="G2138" i="2"/>
  <c r="C2172" i="2"/>
  <c r="B2172" i="2"/>
  <c r="O1354" i="2"/>
  <c r="O1660" i="2"/>
  <c r="T1660" i="2" s="1"/>
  <c r="T1082" i="2"/>
  <c r="Q1696" i="2"/>
  <c r="P1696" i="2"/>
  <c r="Q1187" i="2"/>
  <c r="P1187" i="2"/>
  <c r="Q2070" i="2"/>
  <c r="P2070" i="2"/>
  <c r="Q1492" i="2"/>
  <c r="P1492" i="2"/>
  <c r="Q1934" i="2"/>
  <c r="P1934" i="2"/>
  <c r="Q2102" i="2"/>
  <c r="P2102" i="2"/>
  <c r="Q2002" i="2"/>
  <c r="P2002" i="2"/>
  <c r="Q1560" i="2"/>
  <c r="P1560" i="2"/>
  <c r="Q1390" i="2"/>
  <c r="P1390" i="2"/>
  <c r="Q1526" i="2"/>
  <c r="P1526" i="2"/>
  <c r="T2033" i="2"/>
  <c r="Q1866" i="2"/>
  <c r="P1866" i="2"/>
  <c r="Q1730" i="2"/>
  <c r="P1730" i="2"/>
  <c r="Q1255" i="2"/>
  <c r="P1255" i="2"/>
  <c r="Q1594" i="2"/>
  <c r="P1594" i="2"/>
  <c r="Q1628" i="2"/>
  <c r="P1628" i="2"/>
  <c r="Q1220" i="2"/>
  <c r="P1220" i="2"/>
  <c r="Q2036" i="2"/>
  <c r="P2036" i="2"/>
  <c r="Q1424" i="2"/>
  <c r="P1424" i="2"/>
  <c r="Q1968" i="2"/>
  <c r="P1968" i="2"/>
  <c r="Q1764" i="2"/>
  <c r="P1764" i="2"/>
  <c r="Q1458" i="2"/>
  <c r="P1458" i="2"/>
  <c r="Q2139" i="2"/>
  <c r="P2139" i="2"/>
  <c r="Q2104" i="2"/>
  <c r="P2104" i="2"/>
  <c r="Q1798" i="2"/>
  <c r="P1798" i="2"/>
  <c r="Q1288" i="2"/>
  <c r="P1288" i="2"/>
  <c r="Q1118" i="2"/>
  <c r="P1118" i="2"/>
  <c r="Q1832" i="2"/>
  <c r="P1832" i="2"/>
  <c r="Q1662" i="2"/>
  <c r="P1662" i="2"/>
  <c r="Q1153" i="2"/>
  <c r="P1153" i="2"/>
  <c r="P1900" i="2"/>
  <c r="Q1900" i="2"/>
  <c r="Q1356" i="2"/>
  <c r="P1356" i="2"/>
  <c r="Q1322" i="2"/>
  <c r="P1322" i="2"/>
  <c r="D1833" i="2"/>
  <c r="E1833" i="2"/>
  <c r="D2003" i="2"/>
  <c r="E2003" i="2"/>
  <c r="D1391" i="2"/>
  <c r="E1391" i="2"/>
  <c r="D1901" i="2"/>
  <c r="E1901" i="2"/>
  <c r="D1629" i="2"/>
  <c r="E1629" i="2"/>
  <c r="D1493" i="2"/>
  <c r="E1493" i="2"/>
  <c r="D1459" i="2"/>
  <c r="E1459" i="2"/>
  <c r="D1323" i="2"/>
  <c r="E1323" i="2"/>
  <c r="D1191" i="2"/>
  <c r="E1191" i="2"/>
  <c r="D1867" i="2"/>
  <c r="E1867" i="2"/>
  <c r="D2071" i="2"/>
  <c r="E2071" i="2"/>
  <c r="D1595" i="2"/>
  <c r="E1595" i="2"/>
  <c r="D2037" i="2"/>
  <c r="E2037" i="2"/>
  <c r="D2140" i="2"/>
  <c r="E2140" i="2"/>
  <c r="D1697" i="2"/>
  <c r="E1697" i="2"/>
  <c r="D1663" i="2"/>
  <c r="E1663" i="2"/>
  <c r="D1561" i="2"/>
  <c r="E1561" i="2"/>
  <c r="D2105" i="2"/>
  <c r="E2105" i="2"/>
  <c r="D1799" i="2"/>
  <c r="E1799" i="2"/>
  <c r="D1935" i="2"/>
  <c r="E1935" i="2"/>
  <c r="D1731" i="2"/>
  <c r="E1731" i="2"/>
  <c r="D1256" i="2"/>
  <c r="E1256" i="2"/>
  <c r="D1357" i="2"/>
  <c r="E1357" i="2"/>
  <c r="D1425" i="2"/>
  <c r="E1425" i="2"/>
  <c r="D1221" i="2"/>
  <c r="E1221" i="2"/>
  <c r="D1969" i="2"/>
  <c r="E1969" i="2"/>
  <c r="D1765" i="2"/>
  <c r="E1765" i="2"/>
  <c r="D2174" i="2"/>
  <c r="E2174" i="2"/>
  <c r="A2243" i="2"/>
  <c r="R2068" i="2"/>
  <c r="S2068" i="2" s="1"/>
  <c r="F2231" i="2"/>
  <c r="F2266" i="2" s="1"/>
  <c r="T1285" i="2"/>
  <c r="O1319" i="2"/>
  <c r="A2210" i="2"/>
  <c r="G2140" i="2"/>
  <c r="A2141" i="2"/>
  <c r="B2140" i="2"/>
  <c r="C2140" i="2"/>
  <c r="G2174" i="2"/>
  <c r="C2174" i="2"/>
  <c r="B2174" i="2"/>
  <c r="A2175" i="2"/>
  <c r="T1558" i="2"/>
  <c r="S1082" i="2"/>
  <c r="S1490" i="2"/>
  <c r="R1525" i="2"/>
  <c r="R1933" i="2"/>
  <c r="R1763" i="2"/>
  <c r="R1321" i="2"/>
  <c r="R1695" i="2"/>
  <c r="I1695" i="2" s="1"/>
  <c r="R2035" i="2"/>
  <c r="R1661" i="2"/>
  <c r="R1186" i="2"/>
  <c r="R1219" i="2"/>
  <c r="S1219" i="2" s="1"/>
  <c r="R1117" i="2"/>
  <c r="R1899" i="2"/>
  <c r="R1152" i="2"/>
  <c r="R1423" i="2"/>
  <c r="R1254" i="2"/>
  <c r="R1355" i="2"/>
  <c r="I1355" i="2" s="1"/>
  <c r="R1559" i="2"/>
  <c r="R2069" i="2"/>
  <c r="R1593" i="2"/>
  <c r="R1491" i="2"/>
  <c r="R1287" i="2"/>
  <c r="R2067" i="2"/>
  <c r="R1797" i="2"/>
  <c r="S1797" i="2" s="1"/>
  <c r="R1729" i="2"/>
  <c r="R1389" i="2"/>
  <c r="R1831" i="2"/>
  <c r="R1457" i="2"/>
  <c r="T2032" i="2"/>
  <c r="S2032" i="2"/>
  <c r="R1627" i="2"/>
  <c r="T1013" i="2"/>
  <c r="R2001" i="2"/>
  <c r="T2001" i="2" s="1"/>
  <c r="R1967" i="2"/>
  <c r="T1967" i="2" s="1"/>
  <c r="R2103" i="2"/>
  <c r="T1016" i="2"/>
  <c r="R1865" i="2"/>
  <c r="S1013" i="2"/>
  <c r="O1560" i="2"/>
  <c r="O2069" i="2"/>
  <c r="O1152" i="2"/>
  <c r="T1830" i="2"/>
  <c r="S1830" i="2"/>
  <c r="A1834" i="2"/>
  <c r="C1833" i="2"/>
  <c r="B1833" i="2"/>
  <c r="G1833" i="2"/>
  <c r="A1936" i="2"/>
  <c r="C1935" i="2"/>
  <c r="G1935" i="2"/>
  <c r="B1935" i="2"/>
  <c r="O1627" i="2"/>
  <c r="T1592" i="2"/>
  <c r="S1592" i="2"/>
  <c r="A1596" i="2"/>
  <c r="B1595" i="2"/>
  <c r="G1595" i="2"/>
  <c r="C1595" i="2"/>
  <c r="S1966" i="2"/>
  <c r="T1966" i="2"/>
  <c r="G1323" i="2"/>
  <c r="A1324" i="2"/>
  <c r="C1323" i="2"/>
  <c r="B1323" i="2"/>
  <c r="B2105" i="2"/>
  <c r="C2105" i="2"/>
  <c r="A2106" i="2"/>
  <c r="G2105" i="2"/>
  <c r="S1898" i="2"/>
  <c r="T1898" i="2"/>
  <c r="S1286" i="2"/>
  <c r="T1286" i="2"/>
  <c r="O1457" i="2"/>
  <c r="O1186" i="2"/>
  <c r="G1391" i="2"/>
  <c r="B1391" i="2"/>
  <c r="C1391" i="2"/>
  <c r="A1392" i="2"/>
  <c r="T1932" i="2"/>
  <c r="S1932" i="2"/>
  <c r="T1762" i="2"/>
  <c r="S1762" i="2"/>
  <c r="T1626" i="2"/>
  <c r="S1626" i="2"/>
  <c r="T1116" i="2"/>
  <c r="S1116" i="2"/>
  <c r="O1254" i="2"/>
  <c r="B1629" i="2"/>
  <c r="A1630" i="2"/>
  <c r="G1629" i="2"/>
  <c r="C1629" i="2"/>
  <c r="S2034" i="2"/>
  <c r="T2034" i="2"/>
  <c r="C1256" i="2"/>
  <c r="G1256" i="2"/>
  <c r="B1256" i="2"/>
  <c r="A1191" i="2"/>
  <c r="C1191" i="2"/>
  <c r="G1191" i="2"/>
  <c r="S1253" i="2"/>
  <c r="T1253" i="2"/>
  <c r="C2071" i="2"/>
  <c r="B2071" i="2"/>
  <c r="G2071" i="2"/>
  <c r="A2072" i="2"/>
  <c r="O1287" i="2"/>
  <c r="C1969" i="2"/>
  <c r="A1970" i="2"/>
  <c r="G1969" i="2"/>
  <c r="B1969" i="2"/>
  <c r="O1934" i="2"/>
  <c r="A1494" i="2"/>
  <c r="B1493" i="2"/>
  <c r="G1493" i="2"/>
  <c r="C1493" i="2"/>
  <c r="O2035" i="2"/>
  <c r="O1899" i="2"/>
  <c r="G1697" i="2"/>
  <c r="A1698" i="2"/>
  <c r="B1697" i="2"/>
  <c r="C1697" i="2"/>
  <c r="O1321" i="2"/>
  <c r="O1559" i="2"/>
  <c r="O1661" i="2"/>
  <c r="B1561" i="2"/>
  <c r="C1561" i="2"/>
  <c r="G1561" i="2"/>
  <c r="A1562" i="2"/>
  <c r="O1865" i="2"/>
  <c r="B1799" i="2"/>
  <c r="C1799" i="2"/>
  <c r="G1799" i="2"/>
  <c r="A1800" i="2"/>
  <c r="B1901" i="2"/>
  <c r="G1901" i="2"/>
  <c r="C1901" i="2"/>
  <c r="A1902" i="2"/>
  <c r="T1185" i="2"/>
  <c r="S1185" i="2"/>
  <c r="S1218" i="2"/>
  <c r="T1218" i="2"/>
  <c r="O1083" i="2"/>
  <c r="B1121" i="2"/>
  <c r="S1694" i="2"/>
  <c r="T1694" i="2"/>
  <c r="G2003" i="2"/>
  <c r="C2003" i="2"/>
  <c r="A2004" i="2"/>
  <c r="B2003" i="2"/>
  <c r="O1117" i="2"/>
  <c r="S2000" i="2"/>
  <c r="T2000" i="2"/>
  <c r="T1388" i="2"/>
  <c r="S1388" i="2"/>
  <c r="S1048" i="2"/>
  <c r="T1048" i="2"/>
  <c r="A1358" i="2"/>
  <c r="G1357" i="2"/>
  <c r="C1357" i="2"/>
  <c r="B1357" i="2"/>
  <c r="B1425" i="2"/>
  <c r="C1425" i="2"/>
  <c r="G1425" i="2"/>
  <c r="A1426" i="2"/>
  <c r="T1524" i="2"/>
  <c r="S1524" i="2"/>
  <c r="S1422" i="2"/>
  <c r="T1422" i="2"/>
  <c r="O1763" i="2"/>
  <c r="S1728" i="2"/>
  <c r="T1728" i="2"/>
  <c r="C1765" i="2"/>
  <c r="G1765" i="2"/>
  <c r="B1765" i="2"/>
  <c r="A1766" i="2"/>
  <c r="S1864" i="2"/>
  <c r="T1864" i="2"/>
  <c r="T1320" i="2"/>
  <c r="S1320" i="2"/>
  <c r="G1867" i="2"/>
  <c r="C1867" i="2"/>
  <c r="B1867" i="2"/>
  <c r="A1868" i="2"/>
  <c r="A1732" i="2"/>
  <c r="G1731" i="2"/>
  <c r="C1731" i="2"/>
  <c r="B1731" i="2"/>
  <c r="O1729" i="2"/>
  <c r="O1220" i="2"/>
  <c r="O1525" i="2"/>
  <c r="O1593" i="2"/>
  <c r="A1460" i="2"/>
  <c r="C1459" i="2"/>
  <c r="G1459" i="2"/>
  <c r="B1459" i="2"/>
  <c r="O1423" i="2"/>
  <c r="O1356" i="2"/>
  <c r="S1456" i="2"/>
  <c r="T1456" i="2"/>
  <c r="G1221" i="2"/>
  <c r="C1221" i="2"/>
  <c r="B1221" i="2"/>
  <c r="A1222" i="2"/>
  <c r="A1223" i="2" s="1"/>
  <c r="G2037" i="2"/>
  <c r="C2037" i="2"/>
  <c r="B2037" i="2"/>
  <c r="A2038" i="2"/>
  <c r="S1796" i="2"/>
  <c r="T1796" i="2"/>
  <c r="O1933" i="2"/>
  <c r="O1458" i="2"/>
  <c r="B1663" i="2"/>
  <c r="A1664" i="2"/>
  <c r="C1663" i="2"/>
  <c r="G1663" i="2"/>
  <c r="S1151" i="2"/>
  <c r="T1151" i="2"/>
  <c r="K2309" i="2" l="1"/>
  <c r="L2310" i="2"/>
  <c r="J2309" i="2"/>
  <c r="N2309" i="2"/>
  <c r="L2309" i="2"/>
  <c r="M2309" i="2"/>
  <c r="M2310" i="2"/>
  <c r="N2310" i="2"/>
  <c r="J2310" i="2"/>
  <c r="K2310" i="2"/>
  <c r="S1016" i="2"/>
  <c r="O1086" i="2"/>
  <c r="I1366" i="2"/>
  <c r="S1354" i="2"/>
  <c r="S1050" i="2"/>
  <c r="S1051" i="2" s="1"/>
  <c r="B1529" i="2"/>
  <c r="C1529" i="2"/>
  <c r="D1529" i="2"/>
  <c r="E1529" i="2"/>
  <c r="G1529" i="2"/>
  <c r="A1530" i="2"/>
  <c r="L2301" i="2"/>
  <c r="R1154" i="2"/>
  <c r="S1154" i="2" s="1"/>
  <c r="B1291" i="2"/>
  <c r="C1291" i="2"/>
  <c r="D1291" i="2"/>
  <c r="E1291" i="2"/>
  <c r="G1291" i="2"/>
  <c r="A1292" i="2"/>
  <c r="N2299" i="2"/>
  <c r="L2299" i="2"/>
  <c r="B1258" i="2"/>
  <c r="C1258" i="2"/>
  <c r="D1258" i="2"/>
  <c r="E1258" i="2"/>
  <c r="G1258" i="2"/>
  <c r="A1259" i="2"/>
  <c r="K2301" i="2"/>
  <c r="B1223" i="2"/>
  <c r="C1223" i="2"/>
  <c r="D1223" i="2"/>
  <c r="E1223" i="2"/>
  <c r="G1223" i="2"/>
  <c r="A1224" i="2"/>
  <c r="L2300" i="2"/>
  <c r="B1190" i="2"/>
  <c r="C1190" i="2"/>
  <c r="D1190" i="2"/>
  <c r="E1190" i="2"/>
  <c r="G1190" i="2"/>
  <c r="L2287" i="2"/>
  <c r="Q1189" i="2"/>
  <c r="P1189" i="2"/>
  <c r="Q1155" i="2"/>
  <c r="Q1156" i="2" s="1"/>
  <c r="P1155" i="2"/>
  <c r="P1156" i="2" s="1"/>
  <c r="Q1120" i="2"/>
  <c r="Q1121" i="2" s="1"/>
  <c r="P1120" i="2"/>
  <c r="P1121" i="2" s="1"/>
  <c r="R1085" i="2"/>
  <c r="T1085" i="2" s="1"/>
  <c r="R1119" i="2"/>
  <c r="T1050" i="2"/>
  <c r="M2283" i="2"/>
  <c r="M2299" i="2"/>
  <c r="K2300" i="2"/>
  <c r="K2294" i="2"/>
  <c r="M2301" i="2"/>
  <c r="J2301" i="2"/>
  <c r="K2285" i="2"/>
  <c r="J2307" i="2"/>
  <c r="L2306" i="2"/>
  <c r="M2297" i="2"/>
  <c r="L2308" i="2"/>
  <c r="K2291" i="2"/>
  <c r="K2280" i="2"/>
  <c r="J2281" i="2"/>
  <c r="N2281" i="2"/>
  <c r="N2306" i="2"/>
  <c r="K2308" i="2"/>
  <c r="J2285" i="2"/>
  <c r="K2305" i="2"/>
  <c r="M2291" i="2"/>
  <c r="N2287" i="2"/>
  <c r="J2298" i="2"/>
  <c r="K2289" i="2"/>
  <c r="K2296" i="2"/>
  <c r="L2280" i="2"/>
  <c r="K2282" i="2"/>
  <c r="J2296" i="2"/>
  <c r="M2296" i="2"/>
  <c r="L2292" i="2"/>
  <c r="J2280" i="2"/>
  <c r="T1354" i="2"/>
  <c r="L2285" i="2"/>
  <c r="J2297" i="2"/>
  <c r="N2288" i="2"/>
  <c r="J2290" i="2"/>
  <c r="K2307" i="2"/>
  <c r="S1660" i="2"/>
  <c r="S2067" i="2"/>
  <c r="L2288" i="2"/>
  <c r="K2287" i="2"/>
  <c r="L2307" i="2"/>
  <c r="M2279" i="2"/>
  <c r="L2278" i="2"/>
  <c r="J2302" i="2"/>
  <c r="K2279" i="2"/>
  <c r="M2287" i="2"/>
  <c r="M2280" i="2"/>
  <c r="Q2172" i="2"/>
  <c r="P2172" i="2"/>
  <c r="Q2137" i="2"/>
  <c r="P2137" i="2"/>
  <c r="Q2138" i="2"/>
  <c r="P2138" i="2"/>
  <c r="B2208" i="2"/>
  <c r="E2173" i="2"/>
  <c r="G2173" i="2"/>
  <c r="D2208" i="2"/>
  <c r="C2173" i="2"/>
  <c r="E2208" i="2"/>
  <c r="D2173" i="2"/>
  <c r="E2207" i="2"/>
  <c r="G2208" i="2"/>
  <c r="C2208" i="2"/>
  <c r="B2173" i="2"/>
  <c r="B2207" i="2"/>
  <c r="O1389" i="2"/>
  <c r="O1695" i="2"/>
  <c r="T1695" i="2" s="1"/>
  <c r="M2305" i="2"/>
  <c r="N2302" i="2"/>
  <c r="I1831" i="2"/>
  <c r="N2291" i="2"/>
  <c r="K2283" i="2"/>
  <c r="L2304" i="2"/>
  <c r="M2294" i="2"/>
  <c r="L2291" i="2"/>
  <c r="M2307" i="2"/>
  <c r="K2295" i="2"/>
  <c r="K2290" i="2"/>
  <c r="M2286" i="2"/>
  <c r="J2308" i="2"/>
  <c r="N2307" i="2"/>
  <c r="K2304" i="2"/>
  <c r="N2297" i="2"/>
  <c r="M2285" i="2"/>
  <c r="N2298" i="2"/>
  <c r="M2281" i="2"/>
  <c r="Q1663" i="2"/>
  <c r="P1663" i="2"/>
  <c r="Q1799" i="2"/>
  <c r="P1799" i="2"/>
  <c r="Q1595" i="2"/>
  <c r="P1595" i="2"/>
  <c r="Q1221" i="2"/>
  <c r="P1221" i="2"/>
  <c r="Q1289" i="2"/>
  <c r="P1289" i="2"/>
  <c r="Q1867" i="2"/>
  <c r="P1867" i="2"/>
  <c r="Q1765" i="2"/>
  <c r="P1765" i="2"/>
  <c r="Q1697" i="2"/>
  <c r="P1697" i="2"/>
  <c r="Q1256" i="2"/>
  <c r="P1256" i="2"/>
  <c r="Q1629" i="2"/>
  <c r="P1629" i="2"/>
  <c r="Q1391" i="2"/>
  <c r="P1391" i="2"/>
  <c r="Q1323" i="2"/>
  <c r="P1323" i="2"/>
  <c r="Q1935" i="2"/>
  <c r="P1935" i="2"/>
  <c r="Q2174" i="2"/>
  <c r="P2174" i="2"/>
  <c r="Q2037" i="2"/>
  <c r="P2037" i="2"/>
  <c r="Q1357" i="2"/>
  <c r="P1357" i="2"/>
  <c r="Q2003" i="2"/>
  <c r="P2003" i="2"/>
  <c r="Q2071" i="2"/>
  <c r="P2071" i="2"/>
  <c r="Q1188" i="2"/>
  <c r="P1188" i="2"/>
  <c r="Q2105" i="2"/>
  <c r="P2105" i="2"/>
  <c r="Q1833" i="2"/>
  <c r="P1833" i="2"/>
  <c r="Q1459" i="2"/>
  <c r="P1459" i="2"/>
  <c r="Q1731" i="2"/>
  <c r="P1731" i="2"/>
  <c r="Q1527" i="2"/>
  <c r="P1527" i="2"/>
  <c r="Q1425" i="2"/>
  <c r="P1425" i="2"/>
  <c r="Q1901" i="2"/>
  <c r="P1901" i="2"/>
  <c r="Q1561" i="2"/>
  <c r="P1561" i="2"/>
  <c r="Q1493" i="2"/>
  <c r="P1493" i="2"/>
  <c r="Q1969" i="2"/>
  <c r="P1969" i="2"/>
  <c r="Q2140" i="2"/>
  <c r="P2140" i="2"/>
  <c r="T2068" i="2"/>
  <c r="M2289" i="2"/>
  <c r="N2296" i="2"/>
  <c r="M2278" i="2"/>
  <c r="J2306" i="2"/>
  <c r="J2282" i="2"/>
  <c r="K2299" i="2"/>
  <c r="N2293" i="2"/>
  <c r="K2284" i="2"/>
  <c r="M2277" i="2"/>
  <c r="J2277" i="2"/>
  <c r="L2296" i="2"/>
  <c r="N2304" i="2"/>
  <c r="J2294" i="2"/>
  <c r="K2302" i="2"/>
  <c r="J2293" i="2"/>
  <c r="J2292" i="2"/>
  <c r="K2306" i="2"/>
  <c r="N2289" i="2"/>
  <c r="N2294" i="2"/>
  <c r="J2299" i="2"/>
  <c r="J2303" i="2"/>
  <c r="K2303" i="2"/>
  <c r="J2300" i="2"/>
  <c r="L2295" i="2"/>
  <c r="M2293" i="2"/>
  <c r="J2291" i="2"/>
  <c r="N2290" i="2"/>
  <c r="M2303" i="2"/>
  <c r="L2298" i="2"/>
  <c r="K2277" i="2"/>
  <c r="M2298" i="2"/>
  <c r="N2295" i="2"/>
  <c r="L2286" i="2"/>
  <c r="J2288" i="2"/>
  <c r="K2297" i="2"/>
  <c r="J2295" i="2"/>
  <c r="L2283" i="2"/>
  <c r="N2278" i="2"/>
  <c r="J2289" i="2"/>
  <c r="M2288" i="2"/>
  <c r="L2284" i="2"/>
  <c r="L2305" i="2"/>
  <c r="L2282" i="2"/>
  <c r="N2284" i="2"/>
  <c r="L2293" i="2"/>
  <c r="J2305" i="2"/>
  <c r="L2290" i="2"/>
  <c r="N2282" i="2"/>
  <c r="N2292" i="2"/>
  <c r="N2286" i="2"/>
  <c r="K2292" i="2"/>
  <c r="L2281" i="2"/>
  <c r="N2285" i="2"/>
  <c r="M2306" i="2"/>
  <c r="K2298" i="2"/>
  <c r="L2297" i="2"/>
  <c r="M2308" i="2"/>
  <c r="K2293" i="2"/>
  <c r="M2295" i="2"/>
  <c r="J2278" i="2"/>
  <c r="J2287" i="2"/>
  <c r="M2282" i="2"/>
  <c r="N2300" i="2"/>
  <c r="M2300" i="2"/>
  <c r="M2302" i="2"/>
  <c r="J2286" i="2"/>
  <c r="N2308" i="2"/>
  <c r="L2303" i="2"/>
  <c r="K2286" i="2"/>
  <c r="K2278" i="2"/>
  <c r="J2304" i="2"/>
  <c r="M2284" i="2"/>
  <c r="J2279" i="2"/>
  <c r="M2304" i="2"/>
  <c r="M2290" i="2"/>
  <c r="L2279" i="2"/>
  <c r="L2302" i="2"/>
  <c r="N2277" i="2"/>
  <c r="L2277" i="2"/>
  <c r="N2301" i="2"/>
  <c r="N2280" i="2"/>
  <c r="N2279" i="2"/>
  <c r="N2305" i="2"/>
  <c r="N2283" i="2"/>
  <c r="N2303" i="2"/>
  <c r="K2281" i="2"/>
  <c r="J2284" i="2"/>
  <c r="K2288" i="2"/>
  <c r="M2292" i="2"/>
  <c r="L2294" i="2"/>
  <c r="L2289" i="2"/>
  <c r="J2283" i="2"/>
  <c r="D1936" i="2"/>
  <c r="E1936" i="2"/>
  <c r="D1596" i="2"/>
  <c r="E1596" i="2"/>
  <c r="D2175" i="2"/>
  <c r="E2175" i="2"/>
  <c r="D2141" i="2"/>
  <c r="E2141" i="2"/>
  <c r="D1732" i="2"/>
  <c r="E1732" i="2"/>
  <c r="D1426" i="2"/>
  <c r="E1426" i="2"/>
  <c r="D2210" i="2"/>
  <c r="E2210" i="2"/>
  <c r="D2004" i="2"/>
  <c r="E2004" i="2"/>
  <c r="D1970" i="2"/>
  <c r="E1970" i="2"/>
  <c r="D2072" i="2"/>
  <c r="E2072" i="2"/>
  <c r="D2106" i="2"/>
  <c r="E2106" i="2"/>
  <c r="D1664" i="2"/>
  <c r="E1664" i="2"/>
  <c r="D2038" i="2"/>
  <c r="E2038" i="2"/>
  <c r="D1460" i="2"/>
  <c r="E1460" i="2"/>
  <c r="D1902" i="2"/>
  <c r="E1902" i="2"/>
  <c r="D1562" i="2"/>
  <c r="E1562" i="2"/>
  <c r="D1698" i="2"/>
  <c r="E1698" i="2"/>
  <c r="D1392" i="2"/>
  <c r="E1392" i="2"/>
  <c r="D1222" i="2"/>
  <c r="E1222" i="2"/>
  <c r="D1868" i="2"/>
  <c r="E1868" i="2"/>
  <c r="D1766" i="2"/>
  <c r="E1766" i="2"/>
  <c r="D1358" i="2"/>
  <c r="E1358" i="2"/>
  <c r="D1800" i="2"/>
  <c r="E1800" i="2"/>
  <c r="D1494" i="2"/>
  <c r="E1494" i="2"/>
  <c r="D1630" i="2"/>
  <c r="E1630" i="2"/>
  <c r="D1324" i="2"/>
  <c r="E1324" i="2"/>
  <c r="D1834" i="2"/>
  <c r="E1834" i="2"/>
  <c r="A2244" i="2"/>
  <c r="O1355" i="2"/>
  <c r="T1355" i="2" s="1"/>
  <c r="T1319" i="2"/>
  <c r="S1319" i="2"/>
  <c r="C2210" i="2"/>
  <c r="A2211" i="2"/>
  <c r="B2210" i="2"/>
  <c r="G2210" i="2"/>
  <c r="B2175" i="2"/>
  <c r="G2175" i="2"/>
  <c r="A2176" i="2"/>
  <c r="C2175" i="2"/>
  <c r="R2139" i="2"/>
  <c r="B2141" i="2"/>
  <c r="C2141" i="2"/>
  <c r="G2141" i="2"/>
  <c r="A2142" i="2"/>
  <c r="T1219" i="2"/>
  <c r="R1187" i="2"/>
  <c r="R1356" i="2"/>
  <c r="T1356" i="2" s="1"/>
  <c r="R1662" i="2"/>
  <c r="R1628" i="2"/>
  <c r="R1220" i="2"/>
  <c r="T1220" i="2" s="1"/>
  <c r="R1255" i="2"/>
  <c r="R1696" i="2"/>
  <c r="R1458" i="2"/>
  <c r="T1458" i="2" s="1"/>
  <c r="R1322" i="2"/>
  <c r="R1526" i="2"/>
  <c r="S1967" i="2"/>
  <c r="R1560" i="2"/>
  <c r="T1560" i="2" s="1"/>
  <c r="T1797" i="2"/>
  <c r="R1594" i="2"/>
  <c r="R1730" i="2"/>
  <c r="I1730" i="2" s="1"/>
  <c r="R1424" i="2"/>
  <c r="R1764" i="2"/>
  <c r="R2036" i="2"/>
  <c r="R1492" i="2"/>
  <c r="O1492" i="2" s="1"/>
  <c r="T2067" i="2"/>
  <c r="R2102" i="2"/>
  <c r="R1390" i="2"/>
  <c r="R1866" i="2"/>
  <c r="I1866" i="2" s="1"/>
  <c r="R1832" i="2"/>
  <c r="R1288" i="2"/>
  <c r="R2070" i="2"/>
  <c r="R1934" i="2"/>
  <c r="S1934" i="2" s="1"/>
  <c r="R2002" i="2"/>
  <c r="R1968" i="2"/>
  <c r="R1798" i="2"/>
  <c r="S2001" i="2"/>
  <c r="R1900" i="2"/>
  <c r="T1051" i="2"/>
  <c r="R2104" i="2"/>
  <c r="R1118" i="2"/>
  <c r="R1083" i="2"/>
  <c r="O1322" i="2"/>
  <c r="S1729" i="2"/>
  <c r="T1729" i="2"/>
  <c r="O1357" i="2"/>
  <c r="O1628" i="2"/>
  <c r="C1800" i="2"/>
  <c r="G1800" i="2"/>
  <c r="A1801" i="2"/>
  <c r="B1800" i="2"/>
  <c r="T2035" i="2"/>
  <c r="S2035" i="2"/>
  <c r="T2103" i="2"/>
  <c r="S2103" i="2"/>
  <c r="O1968" i="2"/>
  <c r="S1933" i="2"/>
  <c r="T1933" i="2"/>
  <c r="C2038" i="2"/>
  <c r="B2038" i="2"/>
  <c r="A2039" i="2"/>
  <c r="G2038" i="2"/>
  <c r="O1289" i="2"/>
  <c r="O1731" i="2"/>
  <c r="O1798" i="2"/>
  <c r="O1662" i="2"/>
  <c r="O1696" i="2"/>
  <c r="A1495" i="2"/>
  <c r="B1494" i="2"/>
  <c r="G1494" i="2"/>
  <c r="C1494" i="2"/>
  <c r="S1287" i="2"/>
  <c r="T1287" i="2"/>
  <c r="S1186" i="2"/>
  <c r="T1186" i="2"/>
  <c r="T1152" i="2"/>
  <c r="S1152" i="2"/>
  <c r="G1664" i="2"/>
  <c r="A1665" i="2"/>
  <c r="C1664" i="2"/>
  <c r="B1664" i="2"/>
  <c r="O2037" i="2"/>
  <c r="S1593" i="2"/>
  <c r="T1593" i="2"/>
  <c r="S1763" i="2"/>
  <c r="T1763" i="2"/>
  <c r="T1661" i="2"/>
  <c r="S1661" i="2"/>
  <c r="O1832" i="2"/>
  <c r="B2072" i="2"/>
  <c r="A2073" i="2"/>
  <c r="C2072" i="2"/>
  <c r="G2072" i="2"/>
  <c r="T1457" i="2"/>
  <c r="S1457" i="2"/>
  <c r="O1595" i="2"/>
  <c r="A1937" i="2"/>
  <c r="G1936" i="2"/>
  <c r="C1936" i="2"/>
  <c r="B1936" i="2"/>
  <c r="O1833" i="2"/>
  <c r="O1594" i="2"/>
  <c r="O2003" i="2"/>
  <c r="G1698" i="2"/>
  <c r="C1698" i="2"/>
  <c r="B1698" i="2"/>
  <c r="A1699" i="2"/>
  <c r="T1423" i="2"/>
  <c r="S1423" i="2"/>
  <c r="O1867" i="2"/>
  <c r="S1254" i="2"/>
  <c r="T1254" i="2"/>
  <c r="O1391" i="2"/>
  <c r="O1935" i="2"/>
  <c r="S1491" i="2"/>
  <c r="T1491" i="2"/>
  <c r="O1663" i="2"/>
  <c r="O1288" i="2"/>
  <c r="S1525" i="2"/>
  <c r="T1525" i="2"/>
  <c r="O1255" i="2"/>
  <c r="S1559" i="2"/>
  <c r="T1559" i="2"/>
  <c r="C1596" i="2"/>
  <c r="A1597" i="2"/>
  <c r="G1596" i="2"/>
  <c r="B1596" i="2"/>
  <c r="T2069" i="2"/>
  <c r="S2069" i="2"/>
  <c r="O2071" i="2"/>
  <c r="O1153" i="2"/>
  <c r="C1732" i="2"/>
  <c r="A1733" i="2"/>
  <c r="G1732" i="2"/>
  <c r="B1732" i="2"/>
  <c r="T1117" i="2"/>
  <c r="S1117" i="2"/>
  <c r="O1799" i="2"/>
  <c r="B1191" i="2"/>
  <c r="O1187" i="2"/>
  <c r="B1834" i="2"/>
  <c r="G1834" i="2"/>
  <c r="C1834" i="2"/>
  <c r="A1835" i="2"/>
  <c r="G1902" i="2"/>
  <c r="B1902" i="2"/>
  <c r="A1903" i="2"/>
  <c r="C1902" i="2"/>
  <c r="T1865" i="2"/>
  <c r="S1865" i="2"/>
  <c r="O1969" i="2"/>
  <c r="O1256" i="2"/>
  <c r="O2002" i="2"/>
  <c r="C1562" i="2"/>
  <c r="A1563" i="2"/>
  <c r="B1562" i="2"/>
  <c r="G1562" i="2"/>
  <c r="O1697" i="2"/>
  <c r="O1118" i="2"/>
  <c r="S1321" i="2"/>
  <c r="T1321" i="2"/>
  <c r="G1630" i="2"/>
  <c r="A1631" i="2"/>
  <c r="B1630" i="2"/>
  <c r="C1630" i="2"/>
  <c r="C1392" i="2"/>
  <c r="A1393" i="2"/>
  <c r="G1392" i="2"/>
  <c r="B1392" i="2"/>
  <c r="B2106" i="2"/>
  <c r="G2106" i="2"/>
  <c r="C2106" i="2"/>
  <c r="A2107" i="2"/>
  <c r="O1323" i="2"/>
  <c r="A1359" i="2"/>
  <c r="G1358" i="2"/>
  <c r="C1358" i="2"/>
  <c r="B1358" i="2"/>
  <c r="O2104" i="2"/>
  <c r="O1527" i="2"/>
  <c r="O1900" i="2"/>
  <c r="C1426" i="2"/>
  <c r="B1426" i="2"/>
  <c r="A1427" i="2"/>
  <c r="G1426" i="2"/>
  <c r="O1526" i="2"/>
  <c r="A1869" i="2"/>
  <c r="G1868" i="2"/>
  <c r="C1868" i="2"/>
  <c r="B1868" i="2"/>
  <c r="O1221" i="2"/>
  <c r="G2004" i="2"/>
  <c r="A2005" i="2"/>
  <c r="B2004" i="2"/>
  <c r="C2004" i="2"/>
  <c r="B1970" i="2"/>
  <c r="G1970" i="2"/>
  <c r="C1970" i="2"/>
  <c r="A1971" i="2"/>
  <c r="O1629" i="2"/>
  <c r="S1627" i="2"/>
  <c r="T1627" i="2"/>
  <c r="C1222" i="2"/>
  <c r="G1222" i="2"/>
  <c r="B1222" i="2"/>
  <c r="O1901" i="2"/>
  <c r="O1561" i="2"/>
  <c r="T1899" i="2"/>
  <c r="S1899" i="2"/>
  <c r="O1493" i="2"/>
  <c r="C1324" i="2"/>
  <c r="A1325" i="2"/>
  <c r="G1324" i="2"/>
  <c r="B1324" i="2"/>
  <c r="C1460" i="2"/>
  <c r="A1461" i="2"/>
  <c r="G1460" i="2"/>
  <c r="B1460" i="2"/>
  <c r="O2070" i="2"/>
  <c r="A1767" i="2"/>
  <c r="C1766" i="2"/>
  <c r="G1766" i="2"/>
  <c r="B1766" i="2"/>
  <c r="O1764" i="2"/>
  <c r="O2105" i="2"/>
  <c r="T1154" i="2" l="1"/>
  <c r="O1121" i="2"/>
  <c r="O1156" i="2"/>
  <c r="S1085" i="2"/>
  <c r="R1086" i="2"/>
  <c r="T1086" i="2" s="1"/>
  <c r="O1424" i="2"/>
  <c r="S1389" i="2"/>
  <c r="J2311" i="2"/>
  <c r="L2311" i="2"/>
  <c r="N2311" i="2"/>
  <c r="K2311" i="2"/>
  <c r="M2311" i="2"/>
  <c r="B1530" i="2"/>
  <c r="C1530" i="2"/>
  <c r="D1530" i="2"/>
  <c r="E1530" i="2"/>
  <c r="G1530" i="2"/>
  <c r="A1531" i="2"/>
  <c r="B1292" i="2"/>
  <c r="C1292" i="2"/>
  <c r="D1292" i="2"/>
  <c r="E1292" i="2"/>
  <c r="G1292" i="2"/>
  <c r="A1293" i="2"/>
  <c r="R1189" i="2"/>
  <c r="T1189" i="2" s="1"/>
  <c r="B1259" i="2"/>
  <c r="C1259" i="2"/>
  <c r="D1259" i="2"/>
  <c r="E1259" i="2"/>
  <c r="G1259" i="2"/>
  <c r="A1260" i="2"/>
  <c r="B1224" i="2"/>
  <c r="C1224" i="2"/>
  <c r="D1224" i="2"/>
  <c r="E1224" i="2"/>
  <c r="G1224" i="2"/>
  <c r="A1225" i="2"/>
  <c r="Q1190" i="2"/>
  <c r="Q1191" i="2" s="1"/>
  <c r="P1190" i="2"/>
  <c r="P1191" i="2" s="1"/>
  <c r="R1155" i="2"/>
  <c r="T1155" i="2" s="1"/>
  <c r="R1120" i="2"/>
  <c r="R1121" i="2" s="1"/>
  <c r="T1119" i="2"/>
  <c r="S1119" i="2"/>
  <c r="T1389" i="2"/>
  <c r="S1695" i="2"/>
  <c r="R2137" i="2"/>
  <c r="R2172" i="2"/>
  <c r="Q2208" i="2"/>
  <c r="P2208" i="2"/>
  <c r="D2207" i="2"/>
  <c r="R2138" i="2"/>
  <c r="I2138" i="2" s="1"/>
  <c r="O2138" i="2" s="1"/>
  <c r="Q2207" i="2"/>
  <c r="P2207" i="2"/>
  <c r="Q2173" i="2"/>
  <c r="P2173" i="2"/>
  <c r="G2207" i="2"/>
  <c r="E2209" i="2"/>
  <c r="D2242" i="2"/>
  <c r="C2242" i="2"/>
  <c r="B2209" i="2"/>
  <c r="G2209" i="2"/>
  <c r="C2209" i="2"/>
  <c r="C2207" i="2"/>
  <c r="E2242" i="2"/>
  <c r="D2209" i="2"/>
  <c r="G2242" i="2"/>
  <c r="B2242" i="2"/>
  <c r="O1866" i="2"/>
  <c r="O1730" i="2"/>
  <c r="T1730" i="2" s="1"/>
  <c r="O1831" i="2"/>
  <c r="Q1868" i="2"/>
  <c r="P1868" i="2"/>
  <c r="Q1358" i="2"/>
  <c r="P1358" i="2"/>
  <c r="Q1392" i="2"/>
  <c r="P1392" i="2"/>
  <c r="Q1562" i="2"/>
  <c r="P1562" i="2"/>
  <c r="Q1732" i="2"/>
  <c r="P1732" i="2"/>
  <c r="Q1290" i="2"/>
  <c r="P1290" i="2"/>
  <c r="Q1698" i="2"/>
  <c r="P1698" i="2"/>
  <c r="Q1664" i="2"/>
  <c r="P1664" i="2"/>
  <c r="Q2038" i="2"/>
  <c r="P2038" i="2"/>
  <c r="Q1800" i="2"/>
  <c r="P1800" i="2"/>
  <c r="Q1460" i="2"/>
  <c r="P1460" i="2"/>
  <c r="Q1426" i="2"/>
  <c r="P1426" i="2"/>
  <c r="Q1902" i="2"/>
  <c r="P1902" i="2"/>
  <c r="Q2072" i="2"/>
  <c r="P2072" i="2"/>
  <c r="Q2175" i="2"/>
  <c r="P2175" i="2"/>
  <c r="Q2210" i="2"/>
  <c r="P2210" i="2"/>
  <c r="P1970" i="2"/>
  <c r="Q1970" i="2"/>
  <c r="Q1834" i="2"/>
  <c r="P1834" i="2"/>
  <c r="Q1936" i="2"/>
  <c r="P1936" i="2"/>
  <c r="Q1494" i="2"/>
  <c r="P1494" i="2"/>
  <c r="Q1528" i="2"/>
  <c r="P1528" i="2"/>
  <c r="Q1766" i="2"/>
  <c r="P1766" i="2"/>
  <c r="Q1324" i="2"/>
  <c r="P1324" i="2"/>
  <c r="Q1222" i="2"/>
  <c r="P1222" i="2"/>
  <c r="Q2004" i="2"/>
  <c r="P2004" i="2"/>
  <c r="Q2106" i="2"/>
  <c r="P2106" i="2"/>
  <c r="Q1630" i="2"/>
  <c r="P1630" i="2"/>
  <c r="Q1257" i="2"/>
  <c r="P1257" i="2"/>
  <c r="Q1596" i="2"/>
  <c r="P1596" i="2"/>
  <c r="Q2141" i="2"/>
  <c r="P2141" i="2"/>
  <c r="S1355" i="2"/>
  <c r="D2244" i="2"/>
  <c r="E2244" i="2"/>
  <c r="C2244" i="2"/>
  <c r="G2244" i="2"/>
  <c r="B2244" i="2"/>
  <c r="A2245" i="2"/>
  <c r="D1597" i="2"/>
  <c r="E1597" i="2"/>
  <c r="D1495" i="2"/>
  <c r="E1495" i="2"/>
  <c r="D1461" i="2"/>
  <c r="E1461" i="2"/>
  <c r="D1971" i="2"/>
  <c r="E1971" i="2"/>
  <c r="D2005" i="2"/>
  <c r="E2005" i="2"/>
  <c r="D1869" i="2"/>
  <c r="E1869" i="2"/>
  <c r="D1427" i="2"/>
  <c r="E1427" i="2"/>
  <c r="D1359" i="2"/>
  <c r="E1359" i="2"/>
  <c r="D1631" i="2"/>
  <c r="E1631" i="2"/>
  <c r="D1261" i="2"/>
  <c r="E1261" i="2"/>
  <c r="D1903" i="2"/>
  <c r="E1903" i="2"/>
  <c r="D1835" i="2"/>
  <c r="E1835" i="2"/>
  <c r="D1937" i="2"/>
  <c r="E1937" i="2"/>
  <c r="D2073" i="2"/>
  <c r="E2073" i="2"/>
  <c r="D2039" i="2"/>
  <c r="E2039" i="2"/>
  <c r="D2142" i="2"/>
  <c r="E2142" i="2"/>
  <c r="D2176" i="2"/>
  <c r="E2176" i="2"/>
  <c r="D2211" i="2"/>
  <c r="E2211" i="2"/>
  <c r="D1325" i="2"/>
  <c r="E1325" i="2"/>
  <c r="D1563" i="2"/>
  <c r="E1563" i="2"/>
  <c r="D1767" i="2"/>
  <c r="E1767" i="2"/>
  <c r="D1226" i="2"/>
  <c r="E1226" i="2"/>
  <c r="D2107" i="2"/>
  <c r="E2107" i="2"/>
  <c r="D1393" i="2"/>
  <c r="E1393" i="2"/>
  <c r="D1733" i="2"/>
  <c r="E1733" i="2"/>
  <c r="D1699" i="2"/>
  <c r="E1699" i="2"/>
  <c r="D1665" i="2"/>
  <c r="E1665" i="2"/>
  <c r="D1801" i="2"/>
  <c r="E1801" i="2"/>
  <c r="I1390" i="2"/>
  <c r="I1401" i="2" s="1"/>
  <c r="R2140" i="2"/>
  <c r="I2140" i="2" s="1"/>
  <c r="C2211" i="2"/>
  <c r="G2211" i="2"/>
  <c r="A2212" i="2"/>
  <c r="B2211" i="2"/>
  <c r="C2142" i="2"/>
  <c r="A2143" i="2"/>
  <c r="G2142" i="2"/>
  <c r="B2142" i="2"/>
  <c r="I2139" i="2"/>
  <c r="R2174" i="2"/>
  <c r="A2177" i="2"/>
  <c r="B2176" i="2"/>
  <c r="G2176" i="2"/>
  <c r="C2176" i="2"/>
  <c r="S1220" i="2"/>
  <c r="S1356" i="2"/>
  <c r="S1458" i="2"/>
  <c r="R1765" i="2"/>
  <c r="R1833" i="2"/>
  <c r="T1833" i="2" s="1"/>
  <c r="R1493" i="2"/>
  <c r="T1493" i="2" s="1"/>
  <c r="R1357" i="2"/>
  <c r="S1357" i="2" s="1"/>
  <c r="S1560" i="2"/>
  <c r="R2105" i="2"/>
  <c r="T2105" i="2" s="1"/>
  <c r="R2003" i="2"/>
  <c r="T2003" i="2" s="1"/>
  <c r="R1391" i="2"/>
  <c r="S1391" i="2" s="1"/>
  <c r="R1731" i="2"/>
  <c r="S1731" i="2" s="1"/>
  <c r="R1629" i="2"/>
  <c r="S1629" i="2" s="1"/>
  <c r="T1934" i="2"/>
  <c r="R1527" i="2"/>
  <c r="T1527" i="2" s="1"/>
  <c r="R1697" i="2"/>
  <c r="S1697" i="2" s="1"/>
  <c r="R1221" i="2"/>
  <c r="S1221" i="2" s="1"/>
  <c r="R1663" i="2"/>
  <c r="T1663" i="2" s="1"/>
  <c r="R1425" i="2"/>
  <c r="O28" i="2"/>
  <c r="S28" i="2" s="1"/>
  <c r="O4" i="2"/>
  <c r="O22" i="2"/>
  <c r="O13" i="2"/>
  <c r="O27" i="2"/>
  <c r="O14" i="2"/>
  <c r="O5" i="2"/>
  <c r="O15" i="2"/>
  <c r="O7" i="2"/>
  <c r="O35" i="2"/>
  <c r="O23" i="2"/>
  <c r="O8" i="2"/>
  <c r="O30" i="2"/>
  <c r="O10" i="2"/>
  <c r="O26" i="2"/>
  <c r="O12" i="2"/>
  <c r="O18" i="2"/>
  <c r="O25" i="2"/>
  <c r="O16" i="2"/>
  <c r="O32" i="2"/>
  <c r="O9" i="2"/>
  <c r="O31" i="2"/>
  <c r="O24" i="2"/>
  <c r="O29" i="2"/>
  <c r="R1799" i="2"/>
  <c r="S1799" i="2" s="1"/>
  <c r="R1595" i="2"/>
  <c r="T1595" i="2" s="1"/>
  <c r="R1289" i="2"/>
  <c r="S1289" i="2" s="1"/>
  <c r="R2037" i="2"/>
  <c r="S2037" i="2" s="1"/>
  <c r="R1459" i="2"/>
  <c r="S2102" i="2"/>
  <c r="T2102" i="2"/>
  <c r="R1969" i="2"/>
  <c r="R1867" i="2"/>
  <c r="S1867" i="2" s="1"/>
  <c r="R1323" i="2"/>
  <c r="T1323" i="2" s="1"/>
  <c r="R1561" i="2"/>
  <c r="R1256" i="2"/>
  <c r="S1256" i="2" s="1"/>
  <c r="R1901" i="2"/>
  <c r="R1935" i="2"/>
  <c r="T1083" i="2"/>
  <c r="S1083" i="2"/>
  <c r="R1153" i="2"/>
  <c r="R2071" i="2"/>
  <c r="T2071" i="2" s="1"/>
  <c r="R1188" i="2"/>
  <c r="T1764" i="2"/>
  <c r="S1764" i="2"/>
  <c r="A1768" i="2"/>
  <c r="C1767" i="2"/>
  <c r="B1767" i="2"/>
  <c r="G1767" i="2"/>
  <c r="S2070" i="2"/>
  <c r="T2070" i="2"/>
  <c r="B1461" i="2"/>
  <c r="G1461" i="2"/>
  <c r="A1462" i="2"/>
  <c r="C1461" i="2"/>
  <c r="A1326" i="2"/>
  <c r="B1325" i="2"/>
  <c r="C1325" i="2"/>
  <c r="G1325" i="2"/>
  <c r="O1222" i="2"/>
  <c r="C1226" i="2"/>
  <c r="A1226" i="2"/>
  <c r="G1226" i="2"/>
  <c r="C1971" i="2"/>
  <c r="A1972" i="2"/>
  <c r="G1971" i="2"/>
  <c r="B1971" i="2"/>
  <c r="A2006" i="2"/>
  <c r="B2005" i="2"/>
  <c r="G2005" i="2"/>
  <c r="C2005" i="2"/>
  <c r="O1868" i="2"/>
  <c r="B1869" i="2"/>
  <c r="C1869" i="2"/>
  <c r="G1869" i="2"/>
  <c r="A1870" i="2"/>
  <c r="T1526" i="2"/>
  <c r="S1526" i="2"/>
  <c r="G1427" i="2"/>
  <c r="B1427" i="2"/>
  <c r="A1428" i="2"/>
  <c r="C1427" i="2"/>
  <c r="O1426" i="2"/>
  <c r="S1900" i="2"/>
  <c r="T1900" i="2"/>
  <c r="T2104" i="2"/>
  <c r="S2104" i="2"/>
  <c r="A1360" i="2"/>
  <c r="C1359" i="2"/>
  <c r="G1359" i="2"/>
  <c r="B1359" i="2"/>
  <c r="G2107" i="2"/>
  <c r="C2107" i="2"/>
  <c r="B2107" i="2"/>
  <c r="A2108" i="2"/>
  <c r="B1393" i="2"/>
  <c r="A1394" i="2"/>
  <c r="C1393" i="2"/>
  <c r="G1393" i="2"/>
  <c r="G1631" i="2"/>
  <c r="C1631" i="2"/>
  <c r="B1631" i="2"/>
  <c r="A1632" i="2"/>
  <c r="S1118" i="2"/>
  <c r="T1118" i="2"/>
  <c r="C1261" i="2"/>
  <c r="G1261" i="2"/>
  <c r="A1261" i="2"/>
  <c r="O1562" i="2"/>
  <c r="B1563" i="2"/>
  <c r="A1564" i="2"/>
  <c r="G1563" i="2"/>
  <c r="C1563" i="2"/>
  <c r="T2002" i="2"/>
  <c r="S2002" i="2"/>
  <c r="B1903" i="2"/>
  <c r="G1903" i="2"/>
  <c r="A1904" i="2"/>
  <c r="C1903" i="2"/>
  <c r="G1835" i="2"/>
  <c r="A1836" i="2"/>
  <c r="C1835" i="2"/>
  <c r="B1835" i="2"/>
  <c r="T1187" i="2"/>
  <c r="S1187" i="2"/>
  <c r="T2036" i="2"/>
  <c r="S2036" i="2"/>
  <c r="O1188" i="2"/>
  <c r="G1733" i="2"/>
  <c r="B1733" i="2"/>
  <c r="C1733" i="2"/>
  <c r="A1734" i="2"/>
  <c r="G1597" i="2"/>
  <c r="B1597" i="2"/>
  <c r="A1598" i="2"/>
  <c r="C1597" i="2"/>
  <c r="T1492" i="2"/>
  <c r="S1492" i="2"/>
  <c r="S1255" i="2"/>
  <c r="T1255" i="2"/>
  <c r="T1288" i="2"/>
  <c r="S1288" i="2"/>
  <c r="A1700" i="2"/>
  <c r="B1699" i="2"/>
  <c r="G1699" i="2"/>
  <c r="C1699" i="2"/>
  <c r="T1594" i="2"/>
  <c r="S1594" i="2"/>
  <c r="C1937" i="2"/>
  <c r="G1937" i="2"/>
  <c r="B1937" i="2"/>
  <c r="A1938" i="2"/>
  <c r="B2073" i="2"/>
  <c r="A2074" i="2"/>
  <c r="G2073" i="2"/>
  <c r="C2073" i="2"/>
  <c r="S1832" i="2"/>
  <c r="T1832" i="2"/>
  <c r="O1664" i="2"/>
  <c r="C1665" i="2"/>
  <c r="B1665" i="2"/>
  <c r="A1666" i="2"/>
  <c r="G1665" i="2"/>
  <c r="A1496" i="2"/>
  <c r="G1495" i="2"/>
  <c r="C1495" i="2"/>
  <c r="B1495" i="2"/>
  <c r="S1696" i="2"/>
  <c r="T1696" i="2"/>
  <c r="S1662" i="2"/>
  <c r="T1662" i="2"/>
  <c r="S1798" i="2"/>
  <c r="T1798" i="2"/>
  <c r="A2040" i="2"/>
  <c r="C2039" i="2"/>
  <c r="B2039" i="2"/>
  <c r="G2039" i="2"/>
  <c r="T1968" i="2"/>
  <c r="S1968" i="2"/>
  <c r="G1801" i="2"/>
  <c r="B1801" i="2"/>
  <c r="C1801" i="2"/>
  <c r="A1802" i="2"/>
  <c r="S1628" i="2"/>
  <c r="T1628" i="2"/>
  <c r="S1322" i="2"/>
  <c r="T1322" i="2"/>
  <c r="T1121" i="2" l="1"/>
  <c r="O36" i="2"/>
  <c r="T36" i="2" s="1"/>
  <c r="O1191" i="2"/>
  <c r="S1086" i="2"/>
  <c r="S1155" i="2"/>
  <c r="R1156" i="2"/>
  <c r="S1424" i="2"/>
  <c r="S1189" i="2"/>
  <c r="B1531" i="2"/>
  <c r="C1531" i="2"/>
  <c r="D1531" i="2"/>
  <c r="E1531" i="2"/>
  <c r="G1531" i="2"/>
  <c r="A1532" i="2"/>
  <c r="B1293" i="2"/>
  <c r="C1293" i="2"/>
  <c r="D1293" i="2"/>
  <c r="E1293" i="2"/>
  <c r="G1293" i="2"/>
  <c r="A1294" i="2"/>
  <c r="B1260" i="2"/>
  <c r="C1260" i="2"/>
  <c r="D1260" i="2"/>
  <c r="E1260" i="2"/>
  <c r="G1260" i="2"/>
  <c r="Q1259" i="2"/>
  <c r="P1259" i="2"/>
  <c r="B1225" i="2"/>
  <c r="C1225" i="2"/>
  <c r="D1225" i="2"/>
  <c r="E1225" i="2"/>
  <c r="G1225" i="2"/>
  <c r="Q1224" i="2"/>
  <c r="P1224" i="2"/>
  <c r="S1120" i="2"/>
  <c r="R1190" i="2"/>
  <c r="T1120" i="2"/>
  <c r="I2172" i="2"/>
  <c r="S1831" i="2"/>
  <c r="T1424" i="2"/>
  <c r="S1730" i="2"/>
  <c r="I2137" i="2"/>
  <c r="T1866" i="2"/>
  <c r="S1866" i="2"/>
  <c r="R2173" i="2"/>
  <c r="I2173" i="2" s="1"/>
  <c r="O2173" i="2" s="1"/>
  <c r="S2173" i="2" s="1"/>
  <c r="R2208" i="2"/>
  <c r="P2242" i="2"/>
  <c r="Q2242" i="2"/>
  <c r="E2243" i="2"/>
  <c r="B2243" i="2"/>
  <c r="G2243" i="2"/>
  <c r="C2243" i="2"/>
  <c r="D2243" i="2"/>
  <c r="R2207" i="2"/>
  <c r="P2209" i="2"/>
  <c r="Q2209" i="2"/>
  <c r="T1831" i="2"/>
  <c r="Q2039" i="2"/>
  <c r="P2039" i="2"/>
  <c r="Q1495" i="2"/>
  <c r="P1495" i="2"/>
  <c r="Q1665" i="2"/>
  <c r="P1665" i="2"/>
  <c r="Q1291" i="2"/>
  <c r="P1291" i="2"/>
  <c r="Q1733" i="2"/>
  <c r="P1733" i="2"/>
  <c r="Q1835" i="2"/>
  <c r="P1835" i="2"/>
  <c r="Q1903" i="2"/>
  <c r="P1903" i="2"/>
  <c r="Q1563" i="2"/>
  <c r="P1563" i="2"/>
  <c r="Q2107" i="2"/>
  <c r="P2107" i="2"/>
  <c r="Q1359" i="2"/>
  <c r="P1359" i="2"/>
  <c r="Q1869" i="2"/>
  <c r="P1869" i="2"/>
  <c r="Q1971" i="2"/>
  <c r="P1971" i="2"/>
  <c r="Q1223" i="2"/>
  <c r="P1223" i="2"/>
  <c r="Q2176" i="2"/>
  <c r="P2176" i="2"/>
  <c r="Q1937" i="2"/>
  <c r="P1937" i="2"/>
  <c r="Q1631" i="2"/>
  <c r="P1631" i="2"/>
  <c r="Q1461" i="2"/>
  <c r="P1461" i="2"/>
  <c r="Q1801" i="2"/>
  <c r="P1801" i="2"/>
  <c r="Q1597" i="2"/>
  <c r="P1597" i="2"/>
  <c r="Q1393" i="2"/>
  <c r="P1393" i="2"/>
  <c r="P2005" i="2"/>
  <c r="Q2005" i="2"/>
  <c r="Q2211" i="2"/>
  <c r="P2211" i="2"/>
  <c r="Q2244" i="2"/>
  <c r="P2244" i="2"/>
  <c r="Q2073" i="2"/>
  <c r="P2073" i="2"/>
  <c r="Q1699" i="2"/>
  <c r="P1699" i="2"/>
  <c r="Q1258" i="2"/>
  <c r="P1258" i="2"/>
  <c r="Q1427" i="2"/>
  <c r="P1427" i="2"/>
  <c r="Q1325" i="2"/>
  <c r="P1325" i="2"/>
  <c r="Q1767" i="2"/>
  <c r="P1767" i="2"/>
  <c r="Q1529" i="2"/>
  <c r="P1529" i="2"/>
  <c r="Q2142" i="2"/>
  <c r="P2142" i="2"/>
  <c r="D2074" i="2"/>
  <c r="E2074" i="2"/>
  <c r="D1734" i="2"/>
  <c r="E1734" i="2"/>
  <c r="D1904" i="2"/>
  <c r="E1904" i="2"/>
  <c r="D1802" i="2"/>
  <c r="E1802" i="2"/>
  <c r="D2040" i="2"/>
  <c r="E2040" i="2"/>
  <c r="D1666" i="2"/>
  <c r="E1666" i="2"/>
  <c r="D1836" i="2"/>
  <c r="E1836" i="2"/>
  <c r="D1564" i="2"/>
  <c r="E1564" i="2"/>
  <c r="D2108" i="2"/>
  <c r="E2108" i="2"/>
  <c r="D2006" i="2"/>
  <c r="E2006" i="2"/>
  <c r="D1972" i="2"/>
  <c r="E1972" i="2"/>
  <c r="D1462" i="2"/>
  <c r="E1462" i="2"/>
  <c r="D2212" i="2"/>
  <c r="E2212" i="2"/>
  <c r="D2245" i="2"/>
  <c r="E2245" i="2"/>
  <c r="C2245" i="2"/>
  <c r="A2246" i="2"/>
  <c r="B2245" i="2"/>
  <c r="G2245" i="2"/>
  <c r="D1768" i="2"/>
  <c r="E1768" i="2"/>
  <c r="D2177" i="2"/>
  <c r="E2177" i="2"/>
  <c r="D2143" i="2"/>
  <c r="E2143" i="2"/>
  <c r="D1496" i="2"/>
  <c r="E1496" i="2"/>
  <c r="D1938" i="2"/>
  <c r="E1938" i="2"/>
  <c r="D1700" i="2"/>
  <c r="E1700" i="2"/>
  <c r="D1598" i="2"/>
  <c r="E1598" i="2"/>
  <c r="D1632" i="2"/>
  <c r="E1632" i="2"/>
  <c r="D1394" i="2"/>
  <c r="E1394" i="2"/>
  <c r="D1360" i="2"/>
  <c r="E1360" i="2"/>
  <c r="D1870" i="2"/>
  <c r="E1870" i="2"/>
  <c r="D1326" i="2"/>
  <c r="E1326" i="2"/>
  <c r="D1428" i="2"/>
  <c r="E1428" i="2"/>
  <c r="I1765" i="2"/>
  <c r="S1833" i="2"/>
  <c r="O1390" i="2"/>
  <c r="I1425" i="2"/>
  <c r="I1436" i="2" s="1"/>
  <c r="O1459" i="2"/>
  <c r="T28" i="2"/>
  <c r="R2210" i="2"/>
  <c r="I2210" i="2" s="1"/>
  <c r="O2210" i="2" s="1"/>
  <c r="S2210" i="2" s="1"/>
  <c r="O2140" i="2"/>
  <c r="S2140" i="2" s="1"/>
  <c r="S2138" i="2"/>
  <c r="T2138" i="2"/>
  <c r="C2212" i="2"/>
  <c r="G2212" i="2"/>
  <c r="B2212" i="2"/>
  <c r="A2213" i="2"/>
  <c r="R2175" i="2"/>
  <c r="I2175" i="2" s="1"/>
  <c r="O2175" i="2" s="1"/>
  <c r="S2175" i="2" s="1"/>
  <c r="R2141" i="2"/>
  <c r="I2141" i="2" s="1"/>
  <c r="I2174" i="2"/>
  <c r="O2174" i="2" s="1"/>
  <c r="S2174" i="2" s="1"/>
  <c r="O2139" i="2"/>
  <c r="C2177" i="2"/>
  <c r="G2177" i="2"/>
  <c r="B2177" i="2"/>
  <c r="A2178" i="2"/>
  <c r="G2143" i="2"/>
  <c r="B2143" i="2"/>
  <c r="A2144" i="2"/>
  <c r="C2143" i="2"/>
  <c r="T1357" i="2"/>
  <c r="T1731" i="2"/>
  <c r="S2105" i="2"/>
  <c r="T1629" i="2"/>
  <c r="S2003" i="2"/>
  <c r="T1391" i="2"/>
  <c r="S1527" i="2"/>
  <c r="S1493" i="2"/>
  <c r="R1528" i="2"/>
  <c r="T1799" i="2"/>
  <c r="R1460" i="2"/>
  <c r="I1460" i="2" s="1"/>
  <c r="O1460" i="2" s="1"/>
  <c r="R1664" i="2"/>
  <c r="T1664" i="2" s="1"/>
  <c r="S1663" i="2"/>
  <c r="R1324" i="2"/>
  <c r="T1221" i="2"/>
  <c r="T1697" i="2"/>
  <c r="R2106" i="2"/>
  <c r="R1698" i="2"/>
  <c r="T1289" i="2"/>
  <c r="S1935" i="2"/>
  <c r="T1969" i="2"/>
  <c r="T2037" i="2"/>
  <c r="S1901" i="2"/>
  <c r="T1561" i="2"/>
  <c r="S1595" i="2"/>
  <c r="T1867" i="2"/>
  <c r="S1561" i="2"/>
  <c r="R1358" i="2"/>
  <c r="R1732" i="2"/>
  <c r="S1323" i="2"/>
  <c r="R1902" i="2"/>
  <c r="R1392" i="2"/>
  <c r="T1935" i="2"/>
  <c r="S10" i="2"/>
  <c r="T10" i="2"/>
  <c r="S7" i="2"/>
  <c r="T7" i="2"/>
  <c r="T16" i="2"/>
  <c r="S16" i="2"/>
  <c r="S12" i="2"/>
  <c r="T12" i="2"/>
  <c r="S30" i="2"/>
  <c r="T30" i="2"/>
  <c r="T25" i="2"/>
  <c r="S25" i="2"/>
  <c r="S24" i="2"/>
  <c r="T24" i="2"/>
  <c r="S5" i="2"/>
  <c r="T5" i="2"/>
  <c r="T13" i="2"/>
  <c r="S13" i="2"/>
  <c r="T31" i="2"/>
  <c r="S31" i="2"/>
  <c r="S14" i="2"/>
  <c r="T14" i="2"/>
  <c r="S22" i="2"/>
  <c r="T22" i="2"/>
  <c r="S9" i="2"/>
  <c r="T9" i="2"/>
  <c r="S15" i="2"/>
  <c r="T15" i="2"/>
  <c r="T8" i="2"/>
  <c r="S8" i="2"/>
  <c r="S19" i="2"/>
  <c r="T19" i="2"/>
  <c r="T32" i="2"/>
  <c r="S32" i="2"/>
  <c r="S26" i="2"/>
  <c r="T26" i="2"/>
  <c r="T27" i="2"/>
  <c r="S27" i="2"/>
  <c r="S4" i="2"/>
  <c r="T4" i="2"/>
  <c r="T29" i="2"/>
  <c r="S29" i="2"/>
  <c r="T18" i="2"/>
  <c r="S18" i="2"/>
  <c r="S23" i="2"/>
  <c r="T23" i="2"/>
  <c r="S35" i="2"/>
  <c r="T35" i="2"/>
  <c r="R1426" i="2"/>
  <c r="S1969" i="2"/>
  <c r="R1630" i="2"/>
  <c r="R1800" i="2"/>
  <c r="R1494" i="2"/>
  <c r="T1901" i="2"/>
  <c r="T1256" i="2"/>
  <c r="R2072" i="2"/>
  <c r="R1766" i="2"/>
  <c r="R1222" i="2"/>
  <c r="R1868" i="2"/>
  <c r="T1868" i="2" s="1"/>
  <c r="R1257" i="2"/>
  <c r="R1596" i="2"/>
  <c r="R1834" i="2"/>
  <c r="R1562" i="2"/>
  <c r="R2004" i="2"/>
  <c r="R1936" i="2"/>
  <c r="I1936" i="2" s="1"/>
  <c r="R2038" i="2"/>
  <c r="R1290" i="2"/>
  <c r="R1970" i="2"/>
  <c r="S1153" i="2"/>
  <c r="T1153" i="2"/>
  <c r="S2071" i="2"/>
  <c r="O1392" i="2"/>
  <c r="O2072" i="2"/>
  <c r="O1630" i="2"/>
  <c r="O1698" i="2"/>
  <c r="O2038" i="2"/>
  <c r="O1257" i="2"/>
  <c r="O1970" i="2"/>
  <c r="O1528" i="2"/>
  <c r="O1834" i="2"/>
  <c r="O1358" i="2"/>
  <c r="O1324" i="2"/>
  <c r="O1902" i="2"/>
  <c r="O1290" i="2"/>
  <c r="O2004" i="2"/>
  <c r="O1732" i="2"/>
  <c r="O1766" i="2"/>
  <c r="G1802" i="2"/>
  <c r="B1802" i="2"/>
  <c r="A1803" i="2"/>
  <c r="C1802" i="2"/>
  <c r="O1801" i="2"/>
  <c r="B2040" i="2"/>
  <c r="C2040" i="2"/>
  <c r="A2041" i="2"/>
  <c r="G2040" i="2"/>
  <c r="G1496" i="2"/>
  <c r="A1497" i="2"/>
  <c r="C1496" i="2"/>
  <c r="B1496" i="2"/>
  <c r="A1667" i="2"/>
  <c r="C1666" i="2"/>
  <c r="B1666" i="2"/>
  <c r="G1666" i="2"/>
  <c r="C2074" i="2"/>
  <c r="G2074" i="2"/>
  <c r="A2075" i="2"/>
  <c r="B2074" i="2"/>
  <c r="G1938" i="2"/>
  <c r="A1939" i="2"/>
  <c r="B1938" i="2"/>
  <c r="C1938" i="2"/>
  <c r="O1699" i="2"/>
  <c r="A1701" i="2"/>
  <c r="B1700" i="2"/>
  <c r="G1700" i="2"/>
  <c r="C1700" i="2"/>
  <c r="A1599" i="2"/>
  <c r="C1598" i="2"/>
  <c r="G1598" i="2"/>
  <c r="B1598" i="2"/>
  <c r="B1734" i="2"/>
  <c r="G1734" i="2"/>
  <c r="C1734" i="2"/>
  <c r="A1735" i="2"/>
  <c r="S1188" i="2"/>
  <c r="T1188" i="2"/>
  <c r="B1836" i="2"/>
  <c r="A1837" i="2"/>
  <c r="G1836" i="2"/>
  <c r="C1836" i="2"/>
  <c r="A1905" i="2"/>
  <c r="G1904" i="2"/>
  <c r="C1904" i="2"/>
  <c r="B1904" i="2"/>
  <c r="B1564" i="2"/>
  <c r="A1565" i="2"/>
  <c r="C1564" i="2"/>
  <c r="G1564" i="2"/>
  <c r="B1261" i="2"/>
  <c r="G1632" i="2"/>
  <c r="B1632" i="2"/>
  <c r="A1633" i="2"/>
  <c r="C1632" i="2"/>
  <c r="A1395" i="2"/>
  <c r="B1394" i="2"/>
  <c r="C1394" i="2"/>
  <c r="G1394" i="2"/>
  <c r="A2109" i="2"/>
  <c r="B2108" i="2"/>
  <c r="C2108" i="2"/>
  <c r="G2108" i="2"/>
  <c r="A1361" i="2"/>
  <c r="C1360" i="2"/>
  <c r="B1360" i="2"/>
  <c r="G1360" i="2"/>
  <c r="B1428" i="2"/>
  <c r="A1429" i="2"/>
  <c r="G1428" i="2"/>
  <c r="C1428" i="2"/>
  <c r="C1870" i="2"/>
  <c r="B1870" i="2"/>
  <c r="G1870" i="2"/>
  <c r="A1871" i="2"/>
  <c r="C2006" i="2"/>
  <c r="G2006" i="2"/>
  <c r="A2007" i="2"/>
  <c r="B2006" i="2"/>
  <c r="C1972" i="2"/>
  <c r="G1972" i="2"/>
  <c r="B1972" i="2"/>
  <c r="A1973" i="2"/>
  <c r="B1226" i="2"/>
  <c r="O1325" i="2"/>
  <c r="B1326" i="2"/>
  <c r="A1327" i="2"/>
  <c r="A1328" i="2" s="1"/>
  <c r="G1326" i="2"/>
  <c r="C1326" i="2"/>
  <c r="G1462" i="2"/>
  <c r="B1462" i="2"/>
  <c r="A1463" i="2"/>
  <c r="A1464" i="2" s="1"/>
  <c r="C1462" i="2"/>
  <c r="O1767" i="2"/>
  <c r="A1769" i="2"/>
  <c r="B1768" i="2"/>
  <c r="C1768" i="2"/>
  <c r="G1768" i="2"/>
  <c r="S36" i="2" l="1"/>
  <c r="I1471" i="2"/>
  <c r="S1156" i="2"/>
  <c r="S1190" i="2"/>
  <c r="S1191" i="2" s="1"/>
  <c r="R1191" i="2"/>
  <c r="T1191" i="2" s="1"/>
  <c r="S1121" i="2"/>
  <c r="O1494" i="2"/>
  <c r="S1459" i="2"/>
  <c r="T1156" i="2"/>
  <c r="B1532" i="2"/>
  <c r="C1532" i="2"/>
  <c r="D1532" i="2"/>
  <c r="E1532" i="2"/>
  <c r="G1532" i="2"/>
  <c r="A1533" i="2"/>
  <c r="B1464" i="2"/>
  <c r="C1464" i="2"/>
  <c r="D1464" i="2"/>
  <c r="E1464" i="2"/>
  <c r="G1464" i="2"/>
  <c r="A1465" i="2"/>
  <c r="B1328" i="2"/>
  <c r="C1328" i="2"/>
  <c r="D1328" i="2"/>
  <c r="E1328" i="2"/>
  <c r="G1328" i="2"/>
  <c r="A1329" i="2"/>
  <c r="B1294" i="2"/>
  <c r="C1294" i="2"/>
  <c r="D1294" i="2"/>
  <c r="E1294" i="2"/>
  <c r="G1294" i="2"/>
  <c r="A1295" i="2"/>
  <c r="T1190" i="2"/>
  <c r="R1224" i="2"/>
  <c r="T1224" i="2" s="1"/>
  <c r="R1259" i="2"/>
  <c r="T1259" i="2" s="1"/>
  <c r="Q1260" i="2"/>
  <c r="Q1261" i="2" s="1"/>
  <c r="P1260" i="2"/>
  <c r="P1261" i="2" s="1"/>
  <c r="Q1225" i="2"/>
  <c r="Q1226" i="2" s="1"/>
  <c r="P1225" i="2"/>
  <c r="P1226" i="2" s="1"/>
  <c r="T2173" i="2"/>
  <c r="O2172" i="2"/>
  <c r="I2207" i="2"/>
  <c r="O2137" i="2"/>
  <c r="I2208" i="2"/>
  <c r="O2208" i="2" s="1"/>
  <c r="S2208" i="2" s="1"/>
  <c r="R2209" i="2"/>
  <c r="Q2243" i="2"/>
  <c r="P2243" i="2"/>
  <c r="R2242" i="2"/>
  <c r="O1936" i="2"/>
  <c r="T1936" i="2" s="1"/>
  <c r="O1765" i="2"/>
  <c r="S1222" i="2"/>
  <c r="Q1462" i="2"/>
  <c r="P1462" i="2"/>
  <c r="Q2006" i="2"/>
  <c r="P2006" i="2"/>
  <c r="Q1292" i="2"/>
  <c r="P1292" i="2"/>
  <c r="Q1496" i="2"/>
  <c r="P1496" i="2"/>
  <c r="Q1326" i="2"/>
  <c r="P1326" i="2"/>
  <c r="Q1428" i="2"/>
  <c r="P1428" i="2"/>
  <c r="Q1632" i="2"/>
  <c r="P1632" i="2"/>
  <c r="Q1904" i="2"/>
  <c r="P1904" i="2"/>
  <c r="Q1598" i="2"/>
  <c r="P1598" i="2"/>
  <c r="Q1802" i="2"/>
  <c r="P1802" i="2"/>
  <c r="Q2143" i="2"/>
  <c r="P2143" i="2"/>
  <c r="Q2177" i="2"/>
  <c r="P2177" i="2"/>
  <c r="Q2212" i="2"/>
  <c r="P2212" i="2"/>
  <c r="Q1530" i="2"/>
  <c r="P1530" i="2"/>
  <c r="Q1972" i="2"/>
  <c r="P1972" i="2"/>
  <c r="Q1870" i="2"/>
  <c r="P1870" i="2"/>
  <c r="Q2108" i="2"/>
  <c r="P2108" i="2"/>
  <c r="Q1836" i="2"/>
  <c r="P1836" i="2"/>
  <c r="Q1700" i="2"/>
  <c r="P1700" i="2"/>
  <c r="Q1666" i="2"/>
  <c r="P1666" i="2"/>
  <c r="Q1768" i="2"/>
  <c r="P1768" i="2"/>
  <c r="Q1360" i="2"/>
  <c r="P1360" i="2"/>
  <c r="Q1394" i="2"/>
  <c r="P1394" i="2"/>
  <c r="Q1564" i="2"/>
  <c r="P1564" i="2"/>
  <c r="Q1734" i="2"/>
  <c r="P1734" i="2"/>
  <c r="Q1938" i="2"/>
  <c r="P1938" i="2"/>
  <c r="Q2074" i="2"/>
  <c r="P2074" i="2"/>
  <c r="P2040" i="2"/>
  <c r="Q2040" i="2"/>
  <c r="Q2245" i="2"/>
  <c r="P2245" i="2"/>
  <c r="D1327" i="2"/>
  <c r="E1327" i="2"/>
  <c r="D2109" i="2"/>
  <c r="E2109" i="2"/>
  <c r="D1803" i="2"/>
  <c r="E1803" i="2"/>
  <c r="D1973" i="2"/>
  <c r="E1973" i="2"/>
  <c r="D1837" i="2"/>
  <c r="E1837" i="2"/>
  <c r="D2075" i="2"/>
  <c r="E2075" i="2"/>
  <c r="D1769" i="2"/>
  <c r="E1769" i="2"/>
  <c r="D1463" i="2"/>
  <c r="E1463" i="2"/>
  <c r="D1395" i="2"/>
  <c r="E1395" i="2"/>
  <c r="D1905" i="2"/>
  <c r="E1905" i="2"/>
  <c r="D1599" i="2"/>
  <c r="E1599" i="2"/>
  <c r="D1296" i="2"/>
  <c r="E1296" i="2"/>
  <c r="D1939" i="2"/>
  <c r="E1939" i="2"/>
  <c r="D1667" i="2"/>
  <c r="E1667" i="2"/>
  <c r="D1497" i="2"/>
  <c r="E1497" i="2"/>
  <c r="D2041" i="2"/>
  <c r="E2041" i="2"/>
  <c r="D1361" i="2"/>
  <c r="E1361" i="2"/>
  <c r="D1565" i="2"/>
  <c r="E1565" i="2"/>
  <c r="D2246" i="2"/>
  <c r="E2246" i="2"/>
  <c r="B2246" i="2"/>
  <c r="G2246" i="2"/>
  <c r="A2247" i="2"/>
  <c r="C2246" i="2"/>
  <c r="D2007" i="2"/>
  <c r="E2007" i="2"/>
  <c r="D1871" i="2"/>
  <c r="E1871" i="2"/>
  <c r="D1429" i="2"/>
  <c r="E1429" i="2"/>
  <c r="D1633" i="2"/>
  <c r="E1633" i="2"/>
  <c r="D1735" i="2"/>
  <c r="E1735" i="2"/>
  <c r="D1701" i="2"/>
  <c r="E1701" i="2"/>
  <c r="D2144" i="2"/>
  <c r="E2144" i="2"/>
  <c r="D2178" i="2"/>
  <c r="E2178" i="2"/>
  <c r="D2213" i="2"/>
  <c r="E2213" i="2"/>
  <c r="R2244" i="2"/>
  <c r="I2244" i="2" s="1"/>
  <c r="O2244" i="2" s="1"/>
  <c r="S2244" i="2" s="1"/>
  <c r="T1459" i="2"/>
  <c r="I1800" i="2"/>
  <c r="S1390" i="2"/>
  <c r="T1390" i="2"/>
  <c r="O1425" i="2"/>
  <c r="T2140" i="2"/>
  <c r="T2174" i="2"/>
  <c r="R2211" i="2"/>
  <c r="I2211" i="2" s="1"/>
  <c r="O2211" i="2" s="1"/>
  <c r="S2211" i="2" s="1"/>
  <c r="O2141" i="2"/>
  <c r="S2141" i="2" s="1"/>
  <c r="A2214" i="2"/>
  <c r="B2213" i="2"/>
  <c r="G2213" i="2"/>
  <c r="C2213" i="2"/>
  <c r="T2210" i="2"/>
  <c r="T2175" i="2"/>
  <c r="R2176" i="2"/>
  <c r="R2142" i="2"/>
  <c r="G2178" i="2"/>
  <c r="C2178" i="2"/>
  <c r="B2178" i="2"/>
  <c r="A2179" i="2"/>
  <c r="S2139" i="2"/>
  <c r="T2139" i="2"/>
  <c r="G2144" i="2"/>
  <c r="C2144" i="2"/>
  <c r="A2145" i="2"/>
  <c r="B2144" i="2"/>
  <c r="T1460" i="2"/>
  <c r="S1664" i="2"/>
  <c r="T1324" i="2"/>
  <c r="T1358" i="2"/>
  <c r="R1529" i="2"/>
  <c r="R1495" i="2"/>
  <c r="I1495" i="2" s="1"/>
  <c r="R1291" i="2"/>
  <c r="T1290" i="2"/>
  <c r="R1699" i="2"/>
  <c r="S1699" i="2" s="1"/>
  <c r="T1630" i="2"/>
  <c r="R1869" i="2"/>
  <c r="R1563" i="2"/>
  <c r="S1630" i="2"/>
  <c r="S1392" i="2"/>
  <c r="R1903" i="2"/>
  <c r="T1732" i="2"/>
  <c r="S1698" i="2"/>
  <c r="T1562" i="2"/>
  <c r="S1902" i="2"/>
  <c r="R2005" i="2"/>
  <c r="T1596" i="2"/>
  <c r="T2106" i="2"/>
  <c r="S1528" i="2"/>
  <c r="S1868" i="2"/>
  <c r="S2106" i="2"/>
  <c r="T1426" i="2"/>
  <c r="S2038" i="2"/>
  <c r="S1766" i="2"/>
  <c r="S1596" i="2"/>
  <c r="S1426" i="2"/>
  <c r="T1222" i="2"/>
  <c r="S1257" i="2"/>
  <c r="T2072" i="2"/>
  <c r="S1834" i="2"/>
  <c r="R1597" i="2"/>
  <c r="R2073" i="2"/>
  <c r="R1665" i="2"/>
  <c r="S1460" i="2"/>
  <c r="S2072" i="2"/>
  <c r="S1290" i="2"/>
  <c r="T1902" i="2"/>
  <c r="T2004" i="2"/>
  <c r="R1461" i="2"/>
  <c r="R1937" i="2"/>
  <c r="S1562" i="2"/>
  <c r="S2004" i="2"/>
  <c r="R1427" i="2"/>
  <c r="R1325" i="2"/>
  <c r="S1325" i="2" s="1"/>
  <c r="R1631" i="2"/>
  <c r="T1631" i="2" s="1"/>
  <c r="R1801" i="2"/>
  <c r="S1801" i="2" s="1"/>
  <c r="S1358" i="2"/>
  <c r="T1257" i="2"/>
  <c r="R1971" i="2"/>
  <c r="S1324" i="2"/>
  <c r="T1834" i="2"/>
  <c r="T1766" i="2"/>
  <c r="R1733" i="2"/>
  <c r="R2107" i="2"/>
  <c r="R1393" i="2"/>
  <c r="R1359" i="2"/>
  <c r="R1767" i="2"/>
  <c r="S1767" i="2" s="1"/>
  <c r="T1970" i="2"/>
  <c r="R1835" i="2"/>
  <c r="R2039" i="2"/>
  <c r="S1732" i="2"/>
  <c r="T2038" i="2"/>
  <c r="S1970" i="2"/>
  <c r="T1528" i="2"/>
  <c r="T1392" i="2"/>
  <c r="T1698" i="2"/>
  <c r="R1258" i="2"/>
  <c r="O1937" i="2"/>
  <c r="O2107" i="2"/>
  <c r="O1563" i="2"/>
  <c r="O1903" i="2"/>
  <c r="O1597" i="2"/>
  <c r="O2005" i="2"/>
  <c r="O1971" i="2"/>
  <c r="O1359" i="2"/>
  <c r="O1665" i="2"/>
  <c r="O2039" i="2"/>
  <c r="O1393" i="2"/>
  <c r="O1869" i="2"/>
  <c r="O1461" i="2"/>
  <c r="O1427" i="2"/>
  <c r="O1733" i="2"/>
  <c r="O1291" i="2"/>
  <c r="O2073" i="2"/>
  <c r="C1769" i="2"/>
  <c r="G1769" i="2"/>
  <c r="A1770" i="2"/>
  <c r="B1769" i="2"/>
  <c r="C1463" i="2"/>
  <c r="G1463" i="2"/>
  <c r="B1463" i="2"/>
  <c r="B1327" i="2"/>
  <c r="C1327" i="2"/>
  <c r="G1327" i="2"/>
  <c r="O1223" i="2"/>
  <c r="C1973" i="2"/>
  <c r="A1974" i="2"/>
  <c r="G1973" i="2"/>
  <c r="B1973" i="2"/>
  <c r="A2008" i="2"/>
  <c r="C2007" i="2"/>
  <c r="G2007" i="2"/>
  <c r="B2007" i="2"/>
  <c r="G1871" i="2"/>
  <c r="C1871" i="2"/>
  <c r="A1872" i="2"/>
  <c r="B1871" i="2"/>
  <c r="G1429" i="2"/>
  <c r="C1429" i="2"/>
  <c r="B1429" i="2"/>
  <c r="A1430" i="2"/>
  <c r="A1431" i="2" s="1"/>
  <c r="G1361" i="2"/>
  <c r="C1361" i="2"/>
  <c r="A1362" i="2"/>
  <c r="B1361" i="2"/>
  <c r="G2109" i="2"/>
  <c r="A2110" i="2"/>
  <c r="C2109" i="2"/>
  <c r="B2109" i="2"/>
  <c r="O1394" i="2"/>
  <c r="G1395" i="2"/>
  <c r="C1395" i="2"/>
  <c r="A1396" i="2"/>
  <c r="B1395" i="2"/>
  <c r="C1633" i="2"/>
  <c r="G1633" i="2"/>
  <c r="B1633" i="2"/>
  <c r="A1634" i="2"/>
  <c r="O1258" i="2"/>
  <c r="G1565" i="2"/>
  <c r="C1565" i="2"/>
  <c r="B1565" i="2"/>
  <c r="A1566" i="2"/>
  <c r="O1904" i="2"/>
  <c r="A1906" i="2"/>
  <c r="C1905" i="2"/>
  <c r="B1905" i="2"/>
  <c r="G1905" i="2"/>
  <c r="C1837" i="2"/>
  <c r="B1837" i="2"/>
  <c r="A1838" i="2"/>
  <c r="G1837" i="2"/>
  <c r="B1735" i="2"/>
  <c r="A1736" i="2"/>
  <c r="C1735" i="2"/>
  <c r="G1735" i="2"/>
  <c r="O1598" i="2"/>
  <c r="A1600" i="2"/>
  <c r="C1599" i="2"/>
  <c r="G1599" i="2"/>
  <c r="B1599" i="2"/>
  <c r="A1296" i="2"/>
  <c r="G1296" i="2"/>
  <c r="C1296" i="2"/>
  <c r="G1701" i="2"/>
  <c r="A1702" i="2"/>
  <c r="C1701" i="2"/>
  <c r="B1701" i="2"/>
  <c r="B1939" i="2"/>
  <c r="G1939" i="2"/>
  <c r="C1939" i="2"/>
  <c r="A1940" i="2"/>
  <c r="A2076" i="2"/>
  <c r="C2075" i="2"/>
  <c r="G2075" i="2"/>
  <c r="B2075" i="2"/>
  <c r="C1667" i="2"/>
  <c r="A1668" i="2"/>
  <c r="B1667" i="2"/>
  <c r="G1667" i="2"/>
  <c r="G1497" i="2"/>
  <c r="B1497" i="2"/>
  <c r="A1498" i="2"/>
  <c r="A1499" i="2" s="1"/>
  <c r="C1497" i="2"/>
  <c r="C2041" i="2"/>
  <c r="B2041" i="2"/>
  <c r="A2042" i="2"/>
  <c r="G2041" i="2"/>
  <c r="G1803" i="2"/>
  <c r="A1804" i="2"/>
  <c r="C1803" i="2"/>
  <c r="B1803" i="2"/>
  <c r="O1261" i="2" l="1"/>
  <c r="O1226" i="2"/>
  <c r="I1506" i="2"/>
  <c r="S1224" i="2"/>
  <c r="B1533" i="2"/>
  <c r="C1533" i="2"/>
  <c r="D1533" i="2"/>
  <c r="E1533" i="2"/>
  <c r="G1533" i="2"/>
  <c r="A1534" i="2"/>
  <c r="B1499" i="2"/>
  <c r="C1499" i="2"/>
  <c r="D1499" i="2"/>
  <c r="E1499" i="2"/>
  <c r="G1499" i="2"/>
  <c r="A1500" i="2"/>
  <c r="B1465" i="2"/>
  <c r="C1465" i="2"/>
  <c r="D1465" i="2"/>
  <c r="E1465" i="2"/>
  <c r="G1465" i="2"/>
  <c r="A1466" i="2"/>
  <c r="B1431" i="2"/>
  <c r="C1431" i="2"/>
  <c r="D1431" i="2"/>
  <c r="E1431" i="2"/>
  <c r="G1431" i="2"/>
  <c r="A1432" i="2"/>
  <c r="B1329" i="2"/>
  <c r="C1329" i="2"/>
  <c r="D1329" i="2"/>
  <c r="E1329" i="2"/>
  <c r="G1329" i="2"/>
  <c r="A1330" i="2"/>
  <c r="S1259" i="2"/>
  <c r="B1295" i="2"/>
  <c r="C1295" i="2"/>
  <c r="D1295" i="2"/>
  <c r="E1295" i="2"/>
  <c r="G1295" i="2"/>
  <c r="R1260" i="2"/>
  <c r="R1261" i="2" s="1"/>
  <c r="Q1294" i="2"/>
  <c r="P1294" i="2"/>
  <c r="R1225" i="2"/>
  <c r="T2172" i="2"/>
  <c r="S2172" i="2"/>
  <c r="O2207" i="2"/>
  <c r="S1494" i="2"/>
  <c r="S1765" i="2"/>
  <c r="S1936" i="2"/>
  <c r="S2137" i="2"/>
  <c r="T2137" i="2"/>
  <c r="T2208" i="2"/>
  <c r="R2243" i="2"/>
  <c r="I2242" i="2"/>
  <c r="I2209" i="2"/>
  <c r="O2209" i="2" s="1"/>
  <c r="S2209" i="2" s="1"/>
  <c r="T1494" i="2"/>
  <c r="T1765" i="2"/>
  <c r="O1800" i="2"/>
  <c r="Q1293" i="2"/>
  <c r="P1293" i="2"/>
  <c r="Q1361" i="2"/>
  <c r="P1361" i="2"/>
  <c r="Q2007" i="2"/>
  <c r="P2007" i="2"/>
  <c r="Q1803" i="2"/>
  <c r="P1803" i="2"/>
  <c r="Q2041" i="2"/>
  <c r="P2041" i="2"/>
  <c r="Q1701" i="2"/>
  <c r="P1701" i="2"/>
  <c r="Q1565" i="2"/>
  <c r="P1565" i="2"/>
  <c r="Q1633" i="2"/>
  <c r="P1633" i="2"/>
  <c r="Q1395" i="2"/>
  <c r="P1395" i="2"/>
  <c r="Q1531" i="2"/>
  <c r="P1531" i="2"/>
  <c r="Q2144" i="2"/>
  <c r="P2144" i="2"/>
  <c r="Q1497" i="2"/>
  <c r="P1497" i="2"/>
  <c r="Q1667" i="2"/>
  <c r="P1667" i="2"/>
  <c r="P2075" i="2"/>
  <c r="Q2075" i="2"/>
  <c r="Q1735" i="2"/>
  <c r="P1735" i="2"/>
  <c r="Q1837" i="2"/>
  <c r="P1837" i="2"/>
  <c r="Q1905" i="2"/>
  <c r="P1905" i="2"/>
  <c r="Q1973" i="2"/>
  <c r="P1973" i="2"/>
  <c r="Q1463" i="2"/>
  <c r="P1463" i="2"/>
  <c r="Q2178" i="2"/>
  <c r="P2178" i="2"/>
  <c r="Q2213" i="2"/>
  <c r="P2213" i="2"/>
  <c r="Q2246" i="2"/>
  <c r="P2246" i="2"/>
  <c r="Q1939" i="2"/>
  <c r="P1939" i="2"/>
  <c r="Q1599" i="2"/>
  <c r="P1599" i="2"/>
  <c r="Q2109" i="2"/>
  <c r="P2109" i="2"/>
  <c r="Q1429" i="2"/>
  <c r="P1429" i="2"/>
  <c r="Q1871" i="2"/>
  <c r="P1871" i="2"/>
  <c r="Q1327" i="2"/>
  <c r="P1327" i="2"/>
  <c r="Q1769" i="2"/>
  <c r="P1769" i="2"/>
  <c r="I2279" i="2"/>
  <c r="T2244" i="2"/>
  <c r="D1940" i="2"/>
  <c r="E1940" i="2"/>
  <c r="D1600" i="2"/>
  <c r="E1600" i="2"/>
  <c r="D1566" i="2"/>
  <c r="E1566" i="2"/>
  <c r="D1634" i="2"/>
  <c r="E1634" i="2"/>
  <c r="D2214" i="2"/>
  <c r="E2214" i="2"/>
  <c r="D2076" i="2"/>
  <c r="E2076" i="2"/>
  <c r="D1396" i="2"/>
  <c r="E1396" i="2"/>
  <c r="D2110" i="2"/>
  <c r="E2110" i="2"/>
  <c r="D1362" i="2"/>
  <c r="E1362" i="2"/>
  <c r="D1430" i="2"/>
  <c r="E1430" i="2"/>
  <c r="D2145" i="2"/>
  <c r="E2145" i="2"/>
  <c r="D2247" i="2"/>
  <c r="E2247" i="2"/>
  <c r="C2247" i="2"/>
  <c r="A2248" i="2"/>
  <c r="G2247" i="2"/>
  <c r="B2247" i="2"/>
  <c r="D1702" i="2"/>
  <c r="E1702" i="2"/>
  <c r="D1804" i="2"/>
  <c r="E1804" i="2"/>
  <c r="D2042" i="2"/>
  <c r="E2042" i="2"/>
  <c r="D1668" i="2"/>
  <c r="E1668" i="2"/>
  <c r="D1498" i="2"/>
  <c r="E1498" i="2"/>
  <c r="D1736" i="2"/>
  <c r="E1736" i="2"/>
  <c r="D1838" i="2"/>
  <c r="E1838" i="2"/>
  <c r="D1906" i="2"/>
  <c r="E1906" i="2"/>
  <c r="D1872" i="2"/>
  <c r="E1872" i="2"/>
  <c r="D2008" i="2"/>
  <c r="E2008" i="2"/>
  <c r="D1974" i="2"/>
  <c r="E1974" i="2"/>
  <c r="D1331" i="2"/>
  <c r="E1331" i="2"/>
  <c r="D1770" i="2"/>
  <c r="E1770" i="2"/>
  <c r="D2179" i="2"/>
  <c r="E2179" i="2"/>
  <c r="R2245" i="2"/>
  <c r="I1835" i="2"/>
  <c r="O1495" i="2"/>
  <c r="T1495" i="2" s="1"/>
  <c r="T1425" i="2"/>
  <c r="S1425" i="2"/>
  <c r="R2212" i="2"/>
  <c r="I2212" i="2" s="1"/>
  <c r="O2212" i="2" s="1"/>
  <c r="S2212" i="2" s="1"/>
  <c r="T2141" i="2"/>
  <c r="T2211" i="2"/>
  <c r="R2177" i="2"/>
  <c r="I2177" i="2" s="1"/>
  <c r="O2177" i="2" s="1"/>
  <c r="S2177" i="2" s="1"/>
  <c r="C2214" i="2"/>
  <c r="G2214" i="2"/>
  <c r="B2214" i="2"/>
  <c r="A2215" i="2"/>
  <c r="R2143" i="2"/>
  <c r="I2143" i="2" s="1"/>
  <c r="C2179" i="2"/>
  <c r="G2179" i="2"/>
  <c r="A2180" i="2"/>
  <c r="B2179" i="2"/>
  <c r="G2145" i="2"/>
  <c r="C2145" i="2"/>
  <c r="A2146" i="2"/>
  <c r="B2145" i="2"/>
  <c r="I2142" i="2"/>
  <c r="I2176" i="2"/>
  <c r="T1665" i="2"/>
  <c r="T1699" i="2"/>
  <c r="R1564" i="2"/>
  <c r="R1394" i="2"/>
  <c r="T1394" i="2" s="1"/>
  <c r="T1903" i="2"/>
  <c r="T1291" i="2"/>
  <c r="T1733" i="2"/>
  <c r="R1870" i="2"/>
  <c r="I1870" i="2" s="1"/>
  <c r="R1496" i="2"/>
  <c r="T1801" i="2"/>
  <c r="R1530" i="2"/>
  <c r="I1530" i="2" s="1"/>
  <c r="S1427" i="2"/>
  <c r="R1632" i="2"/>
  <c r="S1631" i="2"/>
  <c r="T1869" i="2"/>
  <c r="T1767" i="2"/>
  <c r="S2005" i="2"/>
  <c r="S1597" i="2"/>
  <c r="R1292" i="2"/>
  <c r="T1393" i="2"/>
  <c r="S1665" i="2"/>
  <c r="S1563" i="2"/>
  <c r="T1971" i="2"/>
  <c r="S2073" i="2"/>
  <c r="T1325" i="2"/>
  <c r="S1359" i="2"/>
  <c r="S1461" i="2"/>
  <c r="T2107" i="2"/>
  <c r="S1937" i="2"/>
  <c r="S1393" i="2"/>
  <c r="S2039" i="2"/>
  <c r="R1462" i="2"/>
  <c r="R1666" i="2"/>
  <c r="R1428" i="2"/>
  <c r="S1291" i="2"/>
  <c r="T1937" i="2"/>
  <c r="S1903" i="2"/>
  <c r="T1597" i="2"/>
  <c r="R2074" i="2"/>
  <c r="R1938" i="2"/>
  <c r="T2005" i="2"/>
  <c r="T2073" i="2"/>
  <c r="R2006" i="2"/>
  <c r="S1869" i="2"/>
  <c r="S2107" i="2"/>
  <c r="R1904" i="2"/>
  <c r="S1904" i="2" s="1"/>
  <c r="R1700" i="2"/>
  <c r="R1598" i="2"/>
  <c r="T1598" i="2" s="1"/>
  <c r="R1326" i="2"/>
  <c r="T1461" i="2"/>
  <c r="R1768" i="2"/>
  <c r="R1836" i="2"/>
  <c r="R2108" i="2"/>
  <c r="R1360" i="2"/>
  <c r="R1734" i="2"/>
  <c r="R1802" i="2"/>
  <c r="R1972" i="2"/>
  <c r="S1733" i="2"/>
  <c r="T2039" i="2"/>
  <c r="T1563" i="2"/>
  <c r="S1971" i="2"/>
  <c r="T1359" i="2"/>
  <c r="T1427" i="2"/>
  <c r="R2040" i="2"/>
  <c r="R1223" i="2"/>
  <c r="O1802" i="2"/>
  <c r="O1700" i="2"/>
  <c r="O1428" i="2"/>
  <c r="O1972" i="2"/>
  <c r="O2108" i="2"/>
  <c r="O1734" i="2"/>
  <c r="O2040" i="2"/>
  <c r="O2074" i="2"/>
  <c r="O1938" i="2"/>
  <c r="O1632" i="2"/>
  <c r="O1836" i="2"/>
  <c r="O2006" i="2"/>
  <c r="O1326" i="2"/>
  <c r="O1496" i="2"/>
  <c r="O1292" i="2"/>
  <c r="O1462" i="2"/>
  <c r="O1768" i="2"/>
  <c r="O1666" i="2"/>
  <c r="O1360" i="2"/>
  <c r="B1804" i="2"/>
  <c r="G1804" i="2"/>
  <c r="C1804" i="2"/>
  <c r="A1805" i="2"/>
  <c r="G2042" i="2"/>
  <c r="B2042" i="2"/>
  <c r="A2043" i="2"/>
  <c r="C2042" i="2"/>
  <c r="B1498" i="2"/>
  <c r="C1498" i="2"/>
  <c r="G1498" i="2"/>
  <c r="B1668" i="2"/>
  <c r="C1668" i="2"/>
  <c r="A1669" i="2"/>
  <c r="G1668" i="2"/>
  <c r="A2077" i="2"/>
  <c r="B2076" i="2"/>
  <c r="G2076" i="2"/>
  <c r="C2076" i="2"/>
  <c r="A1941" i="2"/>
  <c r="C1940" i="2"/>
  <c r="B1940" i="2"/>
  <c r="G1940" i="2"/>
  <c r="O1701" i="2"/>
  <c r="G1702" i="2"/>
  <c r="A1703" i="2"/>
  <c r="B1702" i="2"/>
  <c r="C1702" i="2"/>
  <c r="B1296" i="2"/>
  <c r="C1600" i="2"/>
  <c r="B1600" i="2"/>
  <c r="A1601" i="2"/>
  <c r="G1600" i="2"/>
  <c r="B1736" i="2"/>
  <c r="G1736" i="2"/>
  <c r="A1737" i="2"/>
  <c r="C1736" i="2"/>
  <c r="A1839" i="2"/>
  <c r="C1838" i="2"/>
  <c r="G1838" i="2"/>
  <c r="B1838" i="2"/>
  <c r="B1906" i="2"/>
  <c r="A1907" i="2"/>
  <c r="C1906" i="2"/>
  <c r="G1906" i="2"/>
  <c r="C1566" i="2"/>
  <c r="B1566" i="2"/>
  <c r="G1566" i="2"/>
  <c r="A1567" i="2"/>
  <c r="T1258" i="2"/>
  <c r="S1258" i="2"/>
  <c r="A1635" i="2"/>
  <c r="C1634" i="2"/>
  <c r="B1634" i="2"/>
  <c r="G1634" i="2"/>
  <c r="O1633" i="2"/>
  <c r="C1396" i="2"/>
  <c r="B1396" i="2"/>
  <c r="A1397" i="2"/>
  <c r="G1396" i="2"/>
  <c r="O2109" i="2"/>
  <c r="B2110" i="2"/>
  <c r="C2110" i="2"/>
  <c r="G2110" i="2"/>
  <c r="A2111" i="2"/>
  <c r="C1362" i="2"/>
  <c r="B1362" i="2"/>
  <c r="A1363" i="2"/>
  <c r="A1364" i="2" s="1"/>
  <c r="G1362" i="2"/>
  <c r="C1430" i="2"/>
  <c r="G1430" i="2"/>
  <c r="B1430" i="2"/>
  <c r="G1872" i="2"/>
  <c r="A1873" i="2"/>
  <c r="C1872" i="2"/>
  <c r="B1872" i="2"/>
  <c r="B2008" i="2"/>
  <c r="G2008" i="2"/>
  <c r="C2008" i="2"/>
  <c r="A2009" i="2"/>
  <c r="C1974" i="2"/>
  <c r="G1974" i="2"/>
  <c r="A1975" i="2"/>
  <c r="B1974" i="2"/>
  <c r="C1331" i="2"/>
  <c r="A1331" i="2"/>
  <c r="G1331" i="2"/>
  <c r="G1770" i="2"/>
  <c r="C1770" i="2"/>
  <c r="B1770" i="2"/>
  <c r="A1771" i="2"/>
  <c r="I1541" i="2" l="1"/>
  <c r="S1225" i="2"/>
  <c r="R1226" i="2"/>
  <c r="O1564" i="2"/>
  <c r="S1260" i="2"/>
  <c r="S1261" i="2" s="1"/>
  <c r="T1260" i="2"/>
  <c r="B1534" i="2"/>
  <c r="C1534" i="2"/>
  <c r="D1534" i="2"/>
  <c r="E1534" i="2"/>
  <c r="G1534" i="2"/>
  <c r="A1535" i="2"/>
  <c r="O1530" i="2"/>
  <c r="T1530" i="2" s="1"/>
  <c r="B1500" i="2"/>
  <c r="C1500" i="2"/>
  <c r="D1500" i="2"/>
  <c r="E1500" i="2"/>
  <c r="G1500" i="2"/>
  <c r="A1501" i="2"/>
  <c r="B1466" i="2"/>
  <c r="C1466" i="2"/>
  <c r="D1466" i="2"/>
  <c r="E1466" i="2"/>
  <c r="G1466" i="2"/>
  <c r="A1467" i="2"/>
  <c r="B1432" i="2"/>
  <c r="C1432" i="2"/>
  <c r="D1432" i="2"/>
  <c r="E1432" i="2"/>
  <c r="G1432" i="2"/>
  <c r="A1433" i="2"/>
  <c r="A1365" i="2"/>
  <c r="G1364" i="2"/>
  <c r="E1364" i="2"/>
  <c r="D1364" i="2"/>
  <c r="C1364" i="2"/>
  <c r="B1364" i="2"/>
  <c r="B1330" i="2"/>
  <c r="C1330" i="2"/>
  <c r="D1330" i="2"/>
  <c r="E1330" i="2"/>
  <c r="G1330" i="2"/>
  <c r="R1294" i="2"/>
  <c r="T1294" i="2" s="1"/>
  <c r="Q1329" i="2"/>
  <c r="P1329" i="2"/>
  <c r="Q1295" i="2"/>
  <c r="Q1296" i="2" s="1"/>
  <c r="P1295" i="2"/>
  <c r="P1296" i="2" s="1"/>
  <c r="T1225" i="2"/>
  <c r="S2207" i="2"/>
  <c r="T2207" i="2"/>
  <c r="T1800" i="2"/>
  <c r="I2243" i="2"/>
  <c r="T2209" i="2"/>
  <c r="O2242" i="2"/>
  <c r="I2277" i="2"/>
  <c r="O1529" i="2"/>
  <c r="O1870" i="2"/>
  <c r="T1870" i="2" s="1"/>
  <c r="O1835" i="2"/>
  <c r="S1800" i="2"/>
  <c r="O2279" i="2"/>
  <c r="Q1872" i="2"/>
  <c r="P1872" i="2"/>
  <c r="Q1770" i="2"/>
  <c r="P1770" i="2"/>
  <c r="Q1328" i="2"/>
  <c r="P1328" i="2"/>
  <c r="Q2076" i="2"/>
  <c r="P2076" i="2"/>
  <c r="Q2042" i="2"/>
  <c r="P2042" i="2"/>
  <c r="Q2145" i="2"/>
  <c r="P2145" i="2"/>
  <c r="Q1532" i="2"/>
  <c r="P1532" i="2"/>
  <c r="Q2008" i="2"/>
  <c r="P2008" i="2"/>
  <c r="Q1634" i="2"/>
  <c r="P1634" i="2"/>
  <c r="Q1736" i="2"/>
  <c r="P1736" i="2"/>
  <c r="Q1600" i="2"/>
  <c r="P1600" i="2"/>
  <c r="Q1940" i="2"/>
  <c r="P1940" i="2"/>
  <c r="Q2179" i="2"/>
  <c r="P2179" i="2"/>
  <c r="Q2214" i="2"/>
  <c r="P2214" i="2"/>
  <c r="Q2247" i="2"/>
  <c r="P2247" i="2"/>
  <c r="P2110" i="2"/>
  <c r="Q2110" i="2"/>
  <c r="Q1906" i="2"/>
  <c r="P1906" i="2"/>
  <c r="Q1702" i="2"/>
  <c r="P1702" i="2"/>
  <c r="Q1668" i="2"/>
  <c r="P1668" i="2"/>
  <c r="Q1498" i="2"/>
  <c r="P1498" i="2"/>
  <c r="Q1804" i="2"/>
  <c r="P1804" i="2"/>
  <c r="Q1464" i="2"/>
  <c r="P1464" i="2"/>
  <c r="Q1974" i="2"/>
  <c r="P1974" i="2"/>
  <c r="Q1430" i="2"/>
  <c r="P1430" i="2"/>
  <c r="Q1362" i="2"/>
  <c r="P1362" i="2"/>
  <c r="Q1396" i="2"/>
  <c r="P1396" i="2"/>
  <c r="Q1566" i="2"/>
  <c r="P1566" i="2"/>
  <c r="Q1838" i="2"/>
  <c r="P1838" i="2"/>
  <c r="R2246" i="2"/>
  <c r="D1771" i="2"/>
  <c r="E1771" i="2"/>
  <c r="D1397" i="2"/>
  <c r="E1397" i="2"/>
  <c r="D2043" i="2"/>
  <c r="E2043" i="2"/>
  <c r="I2245" i="2"/>
  <c r="D1975" i="2"/>
  <c r="E1975" i="2"/>
  <c r="D2009" i="2"/>
  <c r="E2009" i="2"/>
  <c r="D1567" i="2"/>
  <c r="E1567" i="2"/>
  <c r="D2077" i="2"/>
  <c r="E2077" i="2"/>
  <c r="D2215" i="2"/>
  <c r="E2215" i="2"/>
  <c r="D1363" i="2"/>
  <c r="D1366" i="2" s="1"/>
  <c r="E1363" i="2"/>
  <c r="E1366" i="2" s="1"/>
  <c r="D2111" i="2"/>
  <c r="E2111" i="2"/>
  <c r="D1737" i="2"/>
  <c r="E1737" i="2"/>
  <c r="D1805" i="2"/>
  <c r="E1805" i="2"/>
  <c r="D2146" i="2"/>
  <c r="E2146" i="2"/>
  <c r="D1635" i="2"/>
  <c r="E1635" i="2"/>
  <c r="D1839" i="2"/>
  <c r="E1839" i="2"/>
  <c r="D1601" i="2"/>
  <c r="E1601" i="2"/>
  <c r="D1703" i="2"/>
  <c r="E1703" i="2"/>
  <c r="D1941" i="2"/>
  <c r="E1941" i="2"/>
  <c r="D1669" i="2"/>
  <c r="E1669" i="2"/>
  <c r="D2180" i="2"/>
  <c r="E2180" i="2"/>
  <c r="D1873" i="2"/>
  <c r="E1873" i="2"/>
  <c r="D1907" i="2"/>
  <c r="E1907" i="2"/>
  <c r="D2248" i="2"/>
  <c r="E2248" i="2"/>
  <c r="A2249" i="2"/>
  <c r="C2248" i="2"/>
  <c r="B2248" i="2"/>
  <c r="G2248" i="2"/>
  <c r="S1495" i="2"/>
  <c r="O2143" i="2"/>
  <c r="S2143" i="2" s="1"/>
  <c r="G2215" i="2"/>
  <c r="C2215" i="2"/>
  <c r="A2216" i="2"/>
  <c r="B2215" i="2"/>
  <c r="R2144" i="2"/>
  <c r="I2144" i="2" s="1"/>
  <c r="T2177" i="2"/>
  <c r="R2213" i="2"/>
  <c r="T2212" i="2"/>
  <c r="G2180" i="2"/>
  <c r="A2181" i="2"/>
  <c r="C2180" i="2"/>
  <c r="B2180" i="2"/>
  <c r="O2176" i="2"/>
  <c r="O2142" i="2"/>
  <c r="R2178" i="2"/>
  <c r="C2146" i="2"/>
  <c r="A2147" i="2"/>
  <c r="G2146" i="2"/>
  <c r="B2146" i="2"/>
  <c r="T1292" i="2"/>
  <c r="S1394" i="2"/>
  <c r="S1496" i="2"/>
  <c r="R1769" i="2"/>
  <c r="S1530" i="2"/>
  <c r="S1632" i="2"/>
  <c r="R1633" i="2"/>
  <c r="S1633" i="2" s="1"/>
  <c r="S1734" i="2"/>
  <c r="S1326" i="2"/>
  <c r="R1395" i="2"/>
  <c r="S1598" i="2"/>
  <c r="T1326" i="2"/>
  <c r="S1700" i="2"/>
  <c r="R1361" i="2"/>
  <c r="R1939" i="2"/>
  <c r="R1871" i="2"/>
  <c r="T1261" i="2"/>
  <c r="R1463" i="2"/>
  <c r="T1734" i="2"/>
  <c r="S1938" i="2"/>
  <c r="R1973" i="2"/>
  <c r="S2006" i="2"/>
  <c r="T1768" i="2"/>
  <c r="T1428" i="2"/>
  <c r="T1462" i="2"/>
  <c r="S1972" i="2"/>
  <c r="S2040" i="2"/>
  <c r="S1428" i="2"/>
  <c r="S2108" i="2"/>
  <c r="T1836" i="2"/>
  <c r="T1938" i="2"/>
  <c r="S1360" i="2"/>
  <c r="S2074" i="2"/>
  <c r="T1666" i="2"/>
  <c r="R1429" i="2"/>
  <c r="R2075" i="2"/>
  <c r="R1497" i="2"/>
  <c r="R2109" i="2"/>
  <c r="S2109" i="2" s="1"/>
  <c r="R2041" i="2"/>
  <c r="T1496" i="2"/>
  <c r="S1462" i="2"/>
  <c r="T1972" i="2"/>
  <c r="T2074" i="2"/>
  <c r="R1905" i="2"/>
  <c r="I1905" i="2" s="1"/>
  <c r="R1599" i="2"/>
  <c r="R1803" i="2"/>
  <c r="R1701" i="2"/>
  <c r="S1701" i="2" s="1"/>
  <c r="R1327" i="2"/>
  <c r="R1735" i="2"/>
  <c r="T2040" i="2"/>
  <c r="R1837" i="2"/>
  <c r="T1632" i="2"/>
  <c r="T2108" i="2"/>
  <c r="T1904" i="2"/>
  <c r="S1292" i="2"/>
  <c r="S1802" i="2"/>
  <c r="R2007" i="2"/>
  <c r="R1565" i="2"/>
  <c r="I1565" i="2" s="1"/>
  <c r="R1667" i="2"/>
  <c r="R1531" i="2"/>
  <c r="S1836" i="2"/>
  <c r="T2006" i="2"/>
  <c r="T1700" i="2"/>
  <c r="T1360" i="2"/>
  <c r="S1768" i="2"/>
  <c r="S1666" i="2"/>
  <c r="T1802" i="2"/>
  <c r="T1223" i="2"/>
  <c r="S1223" i="2"/>
  <c r="O1973" i="2"/>
  <c r="O1667" i="2"/>
  <c r="O1769" i="2"/>
  <c r="O1463" i="2"/>
  <c r="O2007" i="2"/>
  <c r="O1735" i="2"/>
  <c r="O1395" i="2"/>
  <c r="O1327" i="2"/>
  <c r="O1531" i="2"/>
  <c r="O1803" i="2"/>
  <c r="O1837" i="2"/>
  <c r="O1497" i="2"/>
  <c r="O2075" i="2"/>
  <c r="O2041" i="2"/>
  <c r="O1871" i="2"/>
  <c r="O1429" i="2"/>
  <c r="O1361" i="2"/>
  <c r="O1939" i="2"/>
  <c r="B1771" i="2"/>
  <c r="C1771" i="2"/>
  <c r="A1772" i="2"/>
  <c r="G1771" i="2"/>
  <c r="B1331" i="2"/>
  <c r="O1974" i="2"/>
  <c r="B1975" i="2"/>
  <c r="C1975" i="2"/>
  <c r="G1975" i="2"/>
  <c r="A1976" i="2"/>
  <c r="C2009" i="2"/>
  <c r="A2010" i="2"/>
  <c r="B2009" i="2"/>
  <c r="G2009" i="2"/>
  <c r="B1873" i="2"/>
  <c r="G1873" i="2"/>
  <c r="A1874" i="2"/>
  <c r="C1873" i="2"/>
  <c r="C1363" i="2"/>
  <c r="C1366" i="2" s="1"/>
  <c r="G1363" i="2"/>
  <c r="G1366" i="2" s="1"/>
  <c r="A1366" i="2"/>
  <c r="B1363" i="2"/>
  <c r="O1362" i="2"/>
  <c r="B2111" i="2"/>
  <c r="A2112" i="2"/>
  <c r="G2111" i="2"/>
  <c r="C2111" i="2"/>
  <c r="A1398" i="2"/>
  <c r="A1399" i="2" s="1"/>
  <c r="C1397" i="2"/>
  <c r="G1397" i="2"/>
  <c r="B1397" i="2"/>
  <c r="O1396" i="2"/>
  <c r="C1635" i="2"/>
  <c r="G1635" i="2"/>
  <c r="B1635" i="2"/>
  <c r="A1636" i="2"/>
  <c r="C1567" i="2"/>
  <c r="G1567" i="2"/>
  <c r="B1567" i="2"/>
  <c r="A1568" i="2"/>
  <c r="A1908" i="2"/>
  <c r="C1907" i="2"/>
  <c r="G1907" i="2"/>
  <c r="B1907" i="2"/>
  <c r="A1840" i="2"/>
  <c r="C1839" i="2"/>
  <c r="G1839" i="2"/>
  <c r="B1839" i="2"/>
  <c r="A1738" i="2"/>
  <c r="C1737" i="2"/>
  <c r="B1737" i="2"/>
  <c r="G1737" i="2"/>
  <c r="G1601" i="2"/>
  <c r="C1601" i="2"/>
  <c r="A1602" i="2"/>
  <c r="B1601" i="2"/>
  <c r="O1293" i="2"/>
  <c r="B1703" i="2"/>
  <c r="C1703" i="2"/>
  <c r="G1703" i="2"/>
  <c r="A1704" i="2"/>
  <c r="C1941" i="2"/>
  <c r="A1942" i="2"/>
  <c r="G1941" i="2"/>
  <c r="B1941" i="2"/>
  <c r="G2077" i="2"/>
  <c r="C2077" i="2"/>
  <c r="B2077" i="2"/>
  <c r="A2078" i="2"/>
  <c r="C1669" i="2"/>
  <c r="B1669" i="2"/>
  <c r="G1669" i="2"/>
  <c r="A1670" i="2"/>
  <c r="B2043" i="2"/>
  <c r="C2043" i="2"/>
  <c r="A2044" i="2"/>
  <c r="G2043" i="2"/>
  <c r="C1805" i="2"/>
  <c r="B1805" i="2"/>
  <c r="A1806" i="2"/>
  <c r="G1805" i="2"/>
  <c r="O1804" i="2"/>
  <c r="S1294" i="2" l="1"/>
  <c r="I1576" i="2"/>
  <c r="S1226" i="2"/>
  <c r="O1296" i="2"/>
  <c r="S1564" i="2"/>
  <c r="T1226" i="2"/>
  <c r="B1535" i="2"/>
  <c r="C1535" i="2"/>
  <c r="D1535" i="2"/>
  <c r="E1535" i="2"/>
  <c r="G1535" i="2"/>
  <c r="A1536" i="2"/>
  <c r="B1501" i="2"/>
  <c r="C1501" i="2"/>
  <c r="D1501" i="2"/>
  <c r="E1501" i="2"/>
  <c r="G1501" i="2"/>
  <c r="A1502" i="2"/>
  <c r="B1467" i="2"/>
  <c r="C1467" i="2"/>
  <c r="D1467" i="2"/>
  <c r="E1467" i="2"/>
  <c r="G1467" i="2"/>
  <c r="A1468" i="2"/>
  <c r="B1433" i="2"/>
  <c r="B1436" i="2" s="1"/>
  <c r="C1433" i="2"/>
  <c r="C1436" i="2" s="1"/>
  <c r="D1433" i="2"/>
  <c r="D1436" i="2" s="1"/>
  <c r="E1433" i="2"/>
  <c r="E1436" i="2" s="1"/>
  <c r="G1433" i="2"/>
  <c r="G1436" i="2" s="1"/>
  <c r="A1434" i="2"/>
  <c r="A1436" i="2"/>
  <c r="A1400" i="2"/>
  <c r="G1399" i="2"/>
  <c r="E1399" i="2"/>
  <c r="D1399" i="2"/>
  <c r="C1399" i="2"/>
  <c r="B1399" i="2"/>
  <c r="Q1364" i="2"/>
  <c r="P1364" i="2"/>
  <c r="G1365" i="2"/>
  <c r="E1365" i="2"/>
  <c r="D1365" i="2"/>
  <c r="C1365" i="2"/>
  <c r="B1365" i="2"/>
  <c r="R1295" i="2"/>
  <c r="Q1330" i="2"/>
  <c r="Q1331" i="2" s="1"/>
  <c r="P1330" i="2"/>
  <c r="P1331" i="2" s="1"/>
  <c r="R1329" i="2"/>
  <c r="T1564" i="2"/>
  <c r="O2277" i="2"/>
  <c r="T1835" i="2"/>
  <c r="S1870" i="2"/>
  <c r="T1529" i="2"/>
  <c r="O2243" i="2"/>
  <c r="I2278" i="2"/>
  <c r="S2242" i="2"/>
  <c r="T2242" i="2"/>
  <c r="S1529" i="2"/>
  <c r="S1835" i="2"/>
  <c r="O1905" i="2"/>
  <c r="S1905" i="2" s="1"/>
  <c r="Q2043" i="2"/>
  <c r="P2043" i="2"/>
  <c r="Q2146" i="2"/>
  <c r="P2146" i="2"/>
  <c r="Q1737" i="2"/>
  <c r="P1737" i="2"/>
  <c r="Q1975" i="2"/>
  <c r="P1975" i="2"/>
  <c r="Q1499" i="2"/>
  <c r="P1499" i="2"/>
  <c r="Q2077" i="2"/>
  <c r="P2077" i="2"/>
  <c r="Q1635" i="2"/>
  <c r="P1635" i="2"/>
  <c r="Q1431" i="2"/>
  <c r="P1431" i="2"/>
  <c r="Q1873" i="2"/>
  <c r="P1873" i="2"/>
  <c r="Q2180" i="2"/>
  <c r="P2180" i="2"/>
  <c r="Q1839" i="2"/>
  <c r="P1839" i="2"/>
  <c r="Q1567" i="2"/>
  <c r="P1567" i="2"/>
  <c r="Q2111" i="2"/>
  <c r="P2111" i="2"/>
  <c r="Q2009" i="2"/>
  <c r="P2009" i="2"/>
  <c r="Q2215" i="2"/>
  <c r="P2215" i="2"/>
  <c r="Q1805" i="2"/>
  <c r="P1805" i="2"/>
  <c r="Q1669" i="2"/>
  <c r="P1669" i="2"/>
  <c r="Q1941" i="2"/>
  <c r="P1941" i="2"/>
  <c r="Q1601" i="2"/>
  <c r="P1601" i="2"/>
  <c r="Q1907" i="2"/>
  <c r="P1907" i="2"/>
  <c r="Q1771" i="2"/>
  <c r="P1771" i="2"/>
  <c r="Q1703" i="2"/>
  <c r="P1703" i="2"/>
  <c r="Q1397" i="2"/>
  <c r="P1397" i="2"/>
  <c r="Q1363" i="2"/>
  <c r="P1363" i="2"/>
  <c r="Q1465" i="2"/>
  <c r="P1465" i="2"/>
  <c r="Q1533" i="2"/>
  <c r="P1533" i="2"/>
  <c r="Q2248" i="2"/>
  <c r="P2248" i="2"/>
  <c r="R2247" i="2"/>
  <c r="I2247" i="2" s="1"/>
  <c r="O2247" i="2" s="1"/>
  <c r="T2247" i="2" s="1"/>
  <c r="I2246" i="2"/>
  <c r="I2281" i="2" s="1"/>
  <c r="D1908" i="2"/>
  <c r="E1908" i="2"/>
  <c r="D1806" i="2"/>
  <c r="E1806" i="2"/>
  <c r="D2078" i="2"/>
  <c r="E2078" i="2"/>
  <c r="D1942" i="2"/>
  <c r="E1942" i="2"/>
  <c r="D1840" i="2"/>
  <c r="E1840" i="2"/>
  <c r="D1636" i="2"/>
  <c r="E1636" i="2"/>
  <c r="D1976" i="2"/>
  <c r="E1976" i="2"/>
  <c r="D2147" i="2"/>
  <c r="E2147" i="2"/>
  <c r="O2245" i="2"/>
  <c r="I2280" i="2"/>
  <c r="D2010" i="2"/>
  <c r="E2010" i="2"/>
  <c r="D2181" i="2"/>
  <c r="E2181" i="2"/>
  <c r="D2249" i="2"/>
  <c r="E2249" i="2"/>
  <c r="C2249" i="2"/>
  <c r="B2249" i="2"/>
  <c r="G2249" i="2"/>
  <c r="A2250" i="2"/>
  <c r="D2044" i="2"/>
  <c r="E2044" i="2"/>
  <c r="D1670" i="2"/>
  <c r="E1670" i="2"/>
  <c r="D1704" i="2"/>
  <c r="E1704" i="2"/>
  <c r="D1602" i="2"/>
  <c r="E1602" i="2"/>
  <c r="D1738" i="2"/>
  <c r="E1738" i="2"/>
  <c r="D1568" i="2"/>
  <c r="E1568" i="2"/>
  <c r="D1398" i="2"/>
  <c r="D1401" i="2" s="1"/>
  <c r="E1398" i="2"/>
  <c r="E1401" i="2" s="1"/>
  <c r="D2112" i="2"/>
  <c r="E2112" i="2"/>
  <c r="D1874" i="2"/>
  <c r="E1874" i="2"/>
  <c r="D1772" i="2"/>
  <c r="E1772" i="2"/>
  <c r="D2216" i="2"/>
  <c r="E2216" i="2"/>
  <c r="S1395" i="2"/>
  <c r="O1599" i="2"/>
  <c r="O1565" i="2"/>
  <c r="S1565" i="2" s="1"/>
  <c r="T2143" i="2"/>
  <c r="O2144" i="2"/>
  <c r="S2144" i="2" s="1"/>
  <c r="R2179" i="2"/>
  <c r="I2179" i="2" s="1"/>
  <c r="O2179" i="2" s="1"/>
  <c r="S2179" i="2" s="1"/>
  <c r="R2214" i="2"/>
  <c r="R2145" i="2"/>
  <c r="I2145" i="2" s="1"/>
  <c r="A2217" i="2"/>
  <c r="B2216" i="2"/>
  <c r="C2216" i="2"/>
  <c r="G2216" i="2"/>
  <c r="I2213" i="2"/>
  <c r="S2142" i="2"/>
  <c r="T2142" i="2"/>
  <c r="A2148" i="2"/>
  <c r="G2147" i="2"/>
  <c r="C2147" i="2"/>
  <c r="B2147" i="2"/>
  <c r="S2176" i="2"/>
  <c r="T2176" i="2"/>
  <c r="A2182" i="2"/>
  <c r="C2181" i="2"/>
  <c r="G2181" i="2"/>
  <c r="B2181" i="2"/>
  <c r="I2178" i="2"/>
  <c r="S1769" i="2"/>
  <c r="S1463" i="2"/>
  <c r="T1633" i="2"/>
  <c r="R1600" i="2"/>
  <c r="I1600" i="2" s="1"/>
  <c r="R2008" i="2"/>
  <c r="R1498" i="2"/>
  <c r="R1464" i="2"/>
  <c r="T1973" i="2"/>
  <c r="T1361" i="2"/>
  <c r="S1871" i="2"/>
  <c r="R1770" i="2"/>
  <c r="R2110" i="2"/>
  <c r="S1429" i="2"/>
  <c r="R1396" i="2"/>
  <c r="S1396" i="2" s="1"/>
  <c r="T1667" i="2"/>
  <c r="R1906" i="2"/>
  <c r="T1701" i="2"/>
  <c r="T1837" i="2"/>
  <c r="T1905" i="2"/>
  <c r="T1769" i="2"/>
  <c r="T1939" i="2"/>
  <c r="S1735" i="2"/>
  <c r="S2041" i="2"/>
  <c r="S1939" i="2"/>
  <c r="T2109" i="2"/>
  <c r="S2075" i="2"/>
  <c r="T2007" i="2"/>
  <c r="S1803" i="2"/>
  <c r="T1735" i="2"/>
  <c r="S1327" i="2"/>
  <c r="S1497" i="2"/>
  <c r="T1531" i="2"/>
  <c r="R1362" i="2"/>
  <c r="R1702" i="2"/>
  <c r="T1327" i="2"/>
  <c r="T2041" i="2"/>
  <c r="T1871" i="2"/>
  <c r="T2075" i="2"/>
  <c r="S1837" i="2"/>
  <c r="S1531" i="2"/>
  <c r="R1566" i="2"/>
  <c r="R1736" i="2"/>
  <c r="R1532" i="2"/>
  <c r="R1634" i="2"/>
  <c r="T1497" i="2"/>
  <c r="T1429" i="2"/>
  <c r="R1838" i="2"/>
  <c r="R1668" i="2"/>
  <c r="R1940" i="2"/>
  <c r="I1940" i="2" s="1"/>
  <c r="S1361" i="2"/>
  <c r="S2007" i="2"/>
  <c r="R1430" i="2"/>
  <c r="R1974" i="2"/>
  <c r="S1974" i="2" s="1"/>
  <c r="R2042" i="2"/>
  <c r="R2076" i="2"/>
  <c r="S1667" i="2"/>
  <c r="R1804" i="2"/>
  <c r="S1804" i="2" s="1"/>
  <c r="R1872" i="2"/>
  <c r="T1803" i="2"/>
  <c r="S1973" i="2"/>
  <c r="R1328" i="2"/>
  <c r="R1293" i="2"/>
  <c r="O1770" i="2"/>
  <c r="O2110" i="2"/>
  <c r="O2008" i="2"/>
  <c r="O2076" i="2"/>
  <c r="T1463" i="2"/>
  <c r="O1498" i="2"/>
  <c r="O1838" i="2"/>
  <c r="O1430" i="2"/>
  <c r="O1668" i="2"/>
  <c r="O1906" i="2"/>
  <c r="O1566" i="2"/>
  <c r="T1395" i="2"/>
  <c r="O1464" i="2"/>
  <c r="O1872" i="2"/>
  <c r="O2042" i="2"/>
  <c r="O1702" i="2"/>
  <c r="O1736" i="2"/>
  <c r="O1532" i="2"/>
  <c r="C1806" i="2"/>
  <c r="G1806" i="2"/>
  <c r="B1806" i="2"/>
  <c r="A1807" i="2"/>
  <c r="B2044" i="2"/>
  <c r="A2045" i="2"/>
  <c r="C2044" i="2"/>
  <c r="G2044" i="2"/>
  <c r="C1670" i="2"/>
  <c r="B1670" i="2"/>
  <c r="A1671" i="2"/>
  <c r="G1670" i="2"/>
  <c r="G2078" i="2"/>
  <c r="C2078" i="2"/>
  <c r="A2079" i="2"/>
  <c r="B2078" i="2"/>
  <c r="B1942" i="2"/>
  <c r="C1942" i="2"/>
  <c r="A1943" i="2"/>
  <c r="G1942" i="2"/>
  <c r="B1704" i="2"/>
  <c r="C1704" i="2"/>
  <c r="G1704" i="2"/>
  <c r="A1705" i="2"/>
  <c r="G1602" i="2"/>
  <c r="C1602" i="2"/>
  <c r="A1603" i="2"/>
  <c r="B1602" i="2"/>
  <c r="A1739" i="2"/>
  <c r="B1738" i="2"/>
  <c r="C1738" i="2"/>
  <c r="G1738" i="2"/>
  <c r="G1840" i="2"/>
  <c r="C1840" i="2"/>
  <c r="B1840" i="2"/>
  <c r="A1841" i="2"/>
  <c r="A1909" i="2"/>
  <c r="C1908" i="2"/>
  <c r="G1908" i="2"/>
  <c r="B1908" i="2"/>
  <c r="C1568" i="2"/>
  <c r="A1569" i="2"/>
  <c r="B1568" i="2"/>
  <c r="G1568" i="2"/>
  <c r="C1636" i="2"/>
  <c r="B1636" i="2"/>
  <c r="A1637" i="2"/>
  <c r="G1636" i="2"/>
  <c r="G1398" i="2"/>
  <c r="G1401" i="2" s="1"/>
  <c r="A1401" i="2"/>
  <c r="C1398" i="2"/>
  <c r="C1401" i="2" s="1"/>
  <c r="B1398" i="2"/>
  <c r="A2113" i="2"/>
  <c r="C2112" i="2"/>
  <c r="B2112" i="2"/>
  <c r="G2112" i="2"/>
  <c r="O2111" i="2"/>
  <c r="B1366" i="2"/>
  <c r="C1874" i="2"/>
  <c r="G1874" i="2"/>
  <c r="A1875" i="2"/>
  <c r="B1874" i="2"/>
  <c r="O2009" i="2"/>
  <c r="A2011" i="2"/>
  <c r="C2010" i="2"/>
  <c r="B2010" i="2"/>
  <c r="G2010" i="2"/>
  <c r="B1976" i="2"/>
  <c r="A1977" i="2"/>
  <c r="C1976" i="2"/>
  <c r="G1976" i="2"/>
  <c r="O1328" i="2"/>
  <c r="C1772" i="2"/>
  <c r="B1772" i="2"/>
  <c r="A1773" i="2"/>
  <c r="G1772" i="2"/>
  <c r="I1611" i="2" l="1"/>
  <c r="O1331" i="2"/>
  <c r="S1295" i="2"/>
  <c r="R1296" i="2"/>
  <c r="T1295" i="2"/>
  <c r="B1536" i="2"/>
  <c r="C1536" i="2"/>
  <c r="D1536" i="2"/>
  <c r="E1536" i="2"/>
  <c r="G1536" i="2"/>
  <c r="A1537" i="2"/>
  <c r="R1364" i="2"/>
  <c r="T1364" i="2" s="1"/>
  <c r="B1502" i="2"/>
  <c r="C1502" i="2"/>
  <c r="D1502" i="2"/>
  <c r="E1502" i="2"/>
  <c r="G1502" i="2"/>
  <c r="A1503" i="2"/>
  <c r="B1468" i="2"/>
  <c r="C1468" i="2"/>
  <c r="D1468" i="2"/>
  <c r="E1468" i="2"/>
  <c r="G1468" i="2"/>
  <c r="A1469" i="2"/>
  <c r="B1434" i="2"/>
  <c r="C1434" i="2"/>
  <c r="D1434" i="2"/>
  <c r="E1434" i="2"/>
  <c r="G1434" i="2"/>
  <c r="A1435" i="2"/>
  <c r="Q1399" i="2"/>
  <c r="P1399" i="2"/>
  <c r="G1400" i="2"/>
  <c r="E1400" i="2"/>
  <c r="D1400" i="2"/>
  <c r="C1400" i="2"/>
  <c r="B1400" i="2"/>
  <c r="Q1365" i="2"/>
  <c r="Q1366" i="2" s="1"/>
  <c r="P1365" i="2"/>
  <c r="P1366" i="2" s="1"/>
  <c r="T1329" i="2"/>
  <c r="S1329" i="2"/>
  <c r="R1330" i="2"/>
  <c r="O2213" i="2"/>
  <c r="O2278" i="2"/>
  <c r="S2243" i="2"/>
  <c r="T2243" i="2"/>
  <c r="O1940" i="2"/>
  <c r="T1940" i="2" s="1"/>
  <c r="S1599" i="2"/>
  <c r="T1362" i="2"/>
  <c r="O2280" i="2"/>
  <c r="I2282" i="2"/>
  <c r="Q1772" i="2"/>
  <c r="P1772" i="2"/>
  <c r="Q1568" i="2"/>
  <c r="P1568" i="2"/>
  <c r="Q1942" i="2"/>
  <c r="P1942" i="2"/>
  <c r="Q1466" i="2"/>
  <c r="P1466" i="2"/>
  <c r="Q2010" i="2"/>
  <c r="P2010" i="2"/>
  <c r="Q1432" i="2"/>
  <c r="P1432" i="2"/>
  <c r="Q1398" i="2"/>
  <c r="P1398" i="2"/>
  <c r="Q1636" i="2"/>
  <c r="P1636" i="2"/>
  <c r="Q1908" i="2"/>
  <c r="P1908" i="2"/>
  <c r="Q1602" i="2"/>
  <c r="P1602" i="2"/>
  <c r="Q1806" i="2"/>
  <c r="P1806" i="2"/>
  <c r="Q2181" i="2"/>
  <c r="P2181" i="2"/>
  <c r="Q2147" i="2"/>
  <c r="P2147" i="2"/>
  <c r="Q2216" i="2"/>
  <c r="P2216" i="2"/>
  <c r="Q1534" i="2"/>
  <c r="P1534" i="2"/>
  <c r="Q1976" i="2"/>
  <c r="P1976" i="2"/>
  <c r="Q1874" i="2"/>
  <c r="P1874" i="2"/>
  <c r="Q1738" i="2"/>
  <c r="P1738" i="2"/>
  <c r="Q2078" i="2"/>
  <c r="P2078" i="2"/>
  <c r="Q1670" i="2"/>
  <c r="P1670" i="2"/>
  <c r="Q1500" i="2"/>
  <c r="P1500" i="2"/>
  <c r="Q2044" i="2"/>
  <c r="P2044" i="2"/>
  <c r="Q2249" i="2"/>
  <c r="P2249" i="2"/>
  <c r="Q2112" i="2"/>
  <c r="P2112" i="2"/>
  <c r="Q1840" i="2"/>
  <c r="P1840" i="2"/>
  <c r="Q1704" i="2"/>
  <c r="P1704" i="2"/>
  <c r="O2246" i="2"/>
  <c r="R2248" i="2"/>
  <c r="S2245" i="2"/>
  <c r="T2245" i="2"/>
  <c r="D1773" i="2"/>
  <c r="E1773" i="2"/>
  <c r="D2011" i="2"/>
  <c r="E2011" i="2"/>
  <c r="D1875" i="2"/>
  <c r="E1875" i="2"/>
  <c r="D2113" i="2"/>
  <c r="E2113" i="2"/>
  <c r="D1637" i="2"/>
  <c r="E1637" i="2"/>
  <c r="D2250" i="2"/>
  <c r="E2250" i="2"/>
  <c r="B2250" i="2"/>
  <c r="A2251" i="2"/>
  <c r="G2250" i="2"/>
  <c r="C2250" i="2"/>
  <c r="D1739" i="2"/>
  <c r="E1739" i="2"/>
  <c r="D1705" i="2"/>
  <c r="E1705" i="2"/>
  <c r="D2079" i="2"/>
  <c r="E2079" i="2"/>
  <c r="D1807" i="2"/>
  <c r="E1807" i="2"/>
  <c r="D2217" i="2"/>
  <c r="E2217" i="2"/>
  <c r="D1977" i="2"/>
  <c r="E1977" i="2"/>
  <c r="D1909" i="2"/>
  <c r="E1909" i="2"/>
  <c r="D1671" i="2"/>
  <c r="E1671" i="2"/>
  <c r="D2045" i="2"/>
  <c r="E2045" i="2"/>
  <c r="D1569" i="2"/>
  <c r="E1569" i="2"/>
  <c r="D1841" i="2"/>
  <c r="E1841" i="2"/>
  <c r="D1603" i="2"/>
  <c r="E1603" i="2"/>
  <c r="D1943" i="2"/>
  <c r="E1943" i="2"/>
  <c r="D2182" i="2"/>
  <c r="E2182" i="2"/>
  <c r="D2148" i="2"/>
  <c r="E2148" i="2"/>
  <c r="T1565" i="2"/>
  <c r="T1464" i="2"/>
  <c r="T1599" i="2"/>
  <c r="S2247" i="2"/>
  <c r="O1600" i="2"/>
  <c r="T1600" i="2" s="1"/>
  <c r="T2144" i="2"/>
  <c r="R2215" i="2"/>
  <c r="I2215" i="2" s="1"/>
  <c r="O2215" i="2" s="1"/>
  <c r="S2215" i="2" s="1"/>
  <c r="B2217" i="2"/>
  <c r="C2217" i="2"/>
  <c r="G2217" i="2"/>
  <c r="A2218" i="2"/>
  <c r="I2214" i="2"/>
  <c r="C2148" i="2"/>
  <c r="B2148" i="2"/>
  <c r="G2148" i="2"/>
  <c r="A2149" i="2"/>
  <c r="B2182" i="2"/>
  <c r="A2183" i="2"/>
  <c r="C2182" i="2"/>
  <c r="G2182" i="2"/>
  <c r="T2179" i="2"/>
  <c r="R2180" i="2"/>
  <c r="O2178" i="2"/>
  <c r="O2145" i="2"/>
  <c r="R2146" i="2"/>
  <c r="T1498" i="2"/>
  <c r="T1532" i="2"/>
  <c r="T1396" i="2"/>
  <c r="S2110" i="2"/>
  <c r="S1770" i="2"/>
  <c r="T1906" i="2"/>
  <c r="R1805" i="2"/>
  <c r="R1397" i="2"/>
  <c r="R2043" i="2"/>
  <c r="R1465" i="2"/>
  <c r="R2077" i="2"/>
  <c r="T2110" i="2"/>
  <c r="T1736" i="2"/>
  <c r="R1431" i="2"/>
  <c r="S1362" i="2"/>
  <c r="T2042" i="2"/>
  <c r="R1839" i="2"/>
  <c r="T1804" i="2"/>
  <c r="S1532" i="2"/>
  <c r="R1601" i="2"/>
  <c r="S2008" i="2"/>
  <c r="T1770" i="2"/>
  <c r="T1566" i="2"/>
  <c r="S2042" i="2"/>
  <c r="S2076" i="2"/>
  <c r="T1702" i="2"/>
  <c r="S1668" i="2"/>
  <c r="S1430" i="2"/>
  <c r="S1838" i="2"/>
  <c r="R1635" i="2"/>
  <c r="I1635" i="2" s="1"/>
  <c r="O1635" i="2" s="1"/>
  <c r="R1771" i="2"/>
  <c r="R1873" i="2"/>
  <c r="S1464" i="2"/>
  <c r="S1906" i="2"/>
  <c r="T1668" i="2"/>
  <c r="S1498" i="2"/>
  <c r="S1566" i="2"/>
  <c r="R1907" i="2"/>
  <c r="R1499" i="2"/>
  <c r="T1974" i="2"/>
  <c r="R2111" i="2"/>
  <c r="T2111" i="2" s="1"/>
  <c r="R1737" i="2"/>
  <c r="R2009" i="2"/>
  <c r="S2009" i="2" s="1"/>
  <c r="S1872" i="2"/>
  <c r="R1703" i="2"/>
  <c r="R1941" i="2"/>
  <c r="S1702" i="2"/>
  <c r="S1736" i="2"/>
  <c r="T2076" i="2"/>
  <c r="R1975" i="2"/>
  <c r="I1975" i="2" s="1"/>
  <c r="R1533" i="2"/>
  <c r="S1293" i="2"/>
  <c r="R1567" i="2"/>
  <c r="R1669" i="2"/>
  <c r="T1430" i="2"/>
  <c r="T2008" i="2"/>
  <c r="T1872" i="2"/>
  <c r="T1838" i="2"/>
  <c r="T1293" i="2"/>
  <c r="O1397" i="2"/>
  <c r="O1533" i="2"/>
  <c r="O1431" i="2"/>
  <c r="O1703" i="2"/>
  <c r="O1737" i="2"/>
  <c r="O2077" i="2"/>
  <c r="O1805" i="2"/>
  <c r="O1601" i="2"/>
  <c r="O1465" i="2"/>
  <c r="O1873" i="2"/>
  <c r="O1839" i="2"/>
  <c r="O1941" i="2"/>
  <c r="O1499" i="2"/>
  <c r="O2043" i="2"/>
  <c r="O1907" i="2"/>
  <c r="O1567" i="2"/>
  <c r="O1771" i="2"/>
  <c r="O1534" i="2"/>
  <c r="A1774" i="2"/>
  <c r="C1773" i="2"/>
  <c r="B1773" i="2"/>
  <c r="G1773" i="2"/>
  <c r="S1328" i="2"/>
  <c r="T1328" i="2"/>
  <c r="A1978" i="2"/>
  <c r="B1977" i="2"/>
  <c r="G1977" i="2"/>
  <c r="C1977" i="2"/>
  <c r="O1976" i="2"/>
  <c r="G2011" i="2"/>
  <c r="C2011" i="2"/>
  <c r="B2011" i="2"/>
  <c r="A2012" i="2"/>
  <c r="A1876" i="2"/>
  <c r="C1875" i="2"/>
  <c r="G1875" i="2"/>
  <c r="B1875" i="2"/>
  <c r="O1363" i="2"/>
  <c r="B2113" i="2"/>
  <c r="C2113" i="2"/>
  <c r="A2114" i="2"/>
  <c r="G2113" i="2"/>
  <c r="B1401" i="2"/>
  <c r="A1638" i="2"/>
  <c r="B1637" i="2"/>
  <c r="G1637" i="2"/>
  <c r="C1637" i="2"/>
  <c r="A1570" i="2"/>
  <c r="G1569" i="2"/>
  <c r="C1569" i="2"/>
  <c r="B1569" i="2"/>
  <c r="O1908" i="2"/>
  <c r="C1909" i="2"/>
  <c r="G1909" i="2"/>
  <c r="A1910" i="2"/>
  <c r="B1909" i="2"/>
  <c r="A1842" i="2"/>
  <c r="B1841" i="2"/>
  <c r="G1841" i="2"/>
  <c r="C1841" i="2"/>
  <c r="C1739" i="2"/>
  <c r="B1739" i="2"/>
  <c r="G1739" i="2"/>
  <c r="A1740" i="2"/>
  <c r="C1603" i="2"/>
  <c r="B1603" i="2"/>
  <c r="A1604" i="2"/>
  <c r="G1603" i="2"/>
  <c r="G1705" i="2"/>
  <c r="A1706" i="2"/>
  <c r="C1705" i="2"/>
  <c r="B1705" i="2"/>
  <c r="G1943" i="2"/>
  <c r="A1944" i="2"/>
  <c r="B1943" i="2"/>
  <c r="C1943" i="2"/>
  <c r="O1942" i="2"/>
  <c r="G2079" i="2"/>
  <c r="A2080" i="2"/>
  <c r="C2079" i="2"/>
  <c r="B2079" i="2"/>
  <c r="G1671" i="2"/>
  <c r="C1671" i="2"/>
  <c r="B1671" i="2"/>
  <c r="A1672" i="2"/>
  <c r="B2045" i="2"/>
  <c r="A2046" i="2"/>
  <c r="G2045" i="2"/>
  <c r="C2045" i="2"/>
  <c r="A1808" i="2"/>
  <c r="B1807" i="2"/>
  <c r="C1807" i="2"/>
  <c r="G1807" i="2"/>
  <c r="S1364" i="2" l="1"/>
  <c r="I1646" i="2"/>
  <c r="S1296" i="2"/>
  <c r="O1366" i="2"/>
  <c r="S1330" i="2"/>
  <c r="S1331" i="2" s="1"/>
  <c r="R1331" i="2"/>
  <c r="T1331" i="2" s="1"/>
  <c r="O1669" i="2"/>
  <c r="T1669" i="2" s="1"/>
  <c r="T1296" i="2"/>
  <c r="S2213" i="2"/>
  <c r="B1537" i="2"/>
  <c r="C1537" i="2"/>
  <c r="D1537" i="2"/>
  <c r="E1537" i="2"/>
  <c r="G1537" i="2"/>
  <c r="A1538" i="2"/>
  <c r="B1503" i="2"/>
  <c r="C1503" i="2"/>
  <c r="D1503" i="2"/>
  <c r="E1503" i="2"/>
  <c r="G1503" i="2"/>
  <c r="A1504" i="2"/>
  <c r="B1469" i="2"/>
  <c r="C1469" i="2"/>
  <c r="D1469" i="2"/>
  <c r="E1469" i="2"/>
  <c r="G1469" i="2"/>
  <c r="A1470" i="2"/>
  <c r="B1435" i="2"/>
  <c r="C1435" i="2"/>
  <c r="D1435" i="2"/>
  <c r="E1435" i="2"/>
  <c r="G1435" i="2"/>
  <c r="R1399" i="2"/>
  <c r="S1399" i="2" s="1"/>
  <c r="Q1434" i="2"/>
  <c r="P1434" i="2"/>
  <c r="Q1400" i="2"/>
  <c r="Q1401" i="2" s="1"/>
  <c r="P1400" i="2"/>
  <c r="P1401" i="2" s="1"/>
  <c r="R1365" i="2"/>
  <c r="T1330" i="2"/>
  <c r="S1940" i="2"/>
  <c r="T2213" i="2"/>
  <c r="O2282" i="2"/>
  <c r="O1975" i="2"/>
  <c r="S1975" i="2" s="1"/>
  <c r="O2281" i="2"/>
  <c r="Q2011" i="2"/>
  <c r="P2011" i="2"/>
  <c r="Q2148" i="2"/>
  <c r="P2148" i="2"/>
  <c r="Q1501" i="2"/>
  <c r="P1501" i="2"/>
  <c r="Q2182" i="2"/>
  <c r="P2182" i="2"/>
  <c r="Q1841" i="2"/>
  <c r="P1841" i="2"/>
  <c r="Q2113" i="2"/>
  <c r="P2113" i="2"/>
  <c r="Q1875" i="2"/>
  <c r="P1875" i="2"/>
  <c r="Q1773" i="2"/>
  <c r="P1773" i="2"/>
  <c r="Q2250" i="2"/>
  <c r="P2250" i="2"/>
  <c r="Q2045" i="2"/>
  <c r="P2045" i="2"/>
  <c r="Q1671" i="2"/>
  <c r="P1671" i="2"/>
  <c r="Q2079" i="2"/>
  <c r="P2079" i="2"/>
  <c r="Q1943" i="2"/>
  <c r="P1943" i="2"/>
  <c r="Q1705" i="2"/>
  <c r="P1705" i="2"/>
  <c r="Q1603" i="2"/>
  <c r="P1603" i="2"/>
  <c r="Q1569" i="2"/>
  <c r="P1569" i="2"/>
  <c r="Q1637" i="2"/>
  <c r="P1637" i="2"/>
  <c r="Q1467" i="2"/>
  <c r="P1467" i="2"/>
  <c r="Q1535" i="2"/>
  <c r="P1535" i="2"/>
  <c r="Q1807" i="2"/>
  <c r="P1807" i="2"/>
  <c r="Q1739" i="2"/>
  <c r="P1739" i="2"/>
  <c r="Q1909" i="2"/>
  <c r="P1909" i="2"/>
  <c r="Q1433" i="2"/>
  <c r="P1433" i="2"/>
  <c r="Q1977" i="2"/>
  <c r="P1977" i="2"/>
  <c r="Q2217" i="2"/>
  <c r="P2217" i="2"/>
  <c r="R2249" i="2"/>
  <c r="S2246" i="2"/>
  <c r="T2246" i="2"/>
  <c r="D1808" i="2"/>
  <c r="E1808" i="2"/>
  <c r="D2046" i="2"/>
  <c r="E2046" i="2"/>
  <c r="D1672" i="2"/>
  <c r="E1672" i="2"/>
  <c r="D1604" i="2"/>
  <c r="E1604" i="2"/>
  <c r="D1910" i="2"/>
  <c r="E1910" i="2"/>
  <c r="D2251" i="2"/>
  <c r="E2251" i="2"/>
  <c r="G2251" i="2"/>
  <c r="A2252" i="2"/>
  <c r="C2251" i="2"/>
  <c r="B2251" i="2"/>
  <c r="D1706" i="2"/>
  <c r="E1706" i="2"/>
  <c r="D1876" i="2"/>
  <c r="E1876" i="2"/>
  <c r="D1978" i="2"/>
  <c r="E1978" i="2"/>
  <c r="D1471" i="2"/>
  <c r="E1471" i="2"/>
  <c r="D2218" i="2"/>
  <c r="E2218" i="2"/>
  <c r="D1570" i="2"/>
  <c r="E1570" i="2"/>
  <c r="D2149" i="2"/>
  <c r="E2149" i="2"/>
  <c r="D2080" i="2"/>
  <c r="E2080" i="2"/>
  <c r="D1740" i="2"/>
  <c r="E1740" i="2"/>
  <c r="D1842" i="2"/>
  <c r="E1842" i="2"/>
  <c r="D2114" i="2"/>
  <c r="E2114" i="2"/>
  <c r="D2012" i="2"/>
  <c r="E2012" i="2"/>
  <c r="D1944" i="2"/>
  <c r="E1944" i="2"/>
  <c r="D1638" i="2"/>
  <c r="E1638" i="2"/>
  <c r="D1774" i="2"/>
  <c r="E1774" i="2"/>
  <c r="D2183" i="2"/>
  <c r="E2183" i="2"/>
  <c r="I2248" i="2"/>
  <c r="S1600" i="2"/>
  <c r="T1465" i="2"/>
  <c r="O1634" i="2"/>
  <c r="T2215" i="2"/>
  <c r="R2216" i="2"/>
  <c r="I2216" i="2" s="1"/>
  <c r="O2216" i="2" s="1"/>
  <c r="S2216" i="2" s="1"/>
  <c r="O2214" i="2"/>
  <c r="A2219" i="2"/>
  <c r="C2218" i="2"/>
  <c r="G2218" i="2"/>
  <c r="B2218" i="2"/>
  <c r="R2181" i="2"/>
  <c r="I2181" i="2" s="1"/>
  <c r="O2181" i="2" s="1"/>
  <c r="S2181" i="2" s="1"/>
  <c r="I2146" i="2"/>
  <c r="A2184" i="2"/>
  <c r="B2183" i="2"/>
  <c r="G2183" i="2"/>
  <c r="C2183" i="2"/>
  <c r="R2147" i="2"/>
  <c r="B2149" i="2"/>
  <c r="C2149" i="2"/>
  <c r="A2150" i="2"/>
  <c r="G2149" i="2"/>
  <c r="S2145" i="2"/>
  <c r="T2145" i="2"/>
  <c r="S2178" i="2"/>
  <c r="T2178" i="2"/>
  <c r="I2180" i="2"/>
  <c r="T1397" i="2"/>
  <c r="S1499" i="2"/>
  <c r="S1941" i="2"/>
  <c r="S1397" i="2"/>
  <c r="S1805" i="2"/>
  <c r="S1431" i="2"/>
  <c r="S2077" i="2"/>
  <c r="R1942" i="2"/>
  <c r="T1942" i="2" s="1"/>
  <c r="S1601" i="2"/>
  <c r="S1703" i="2"/>
  <c r="T1737" i="2"/>
  <c r="T1533" i="2"/>
  <c r="T2009" i="2"/>
  <c r="T1771" i="2"/>
  <c r="T1499" i="2"/>
  <c r="S1737" i="2"/>
  <c r="R1534" i="2"/>
  <c r="T1534" i="2" s="1"/>
  <c r="T2043" i="2"/>
  <c r="S1873" i="2"/>
  <c r="T1431" i="2"/>
  <c r="T1839" i="2"/>
  <c r="T1805" i="2"/>
  <c r="T1635" i="2"/>
  <c r="S2111" i="2"/>
  <c r="T1941" i="2"/>
  <c r="T1703" i="2"/>
  <c r="T1907" i="2"/>
  <c r="R1874" i="2"/>
  <c r="R1602" i="2"/>
  <c r="S1567" i="2"/>
  <c r="R1840" i="2"/>
  <c r="T1873" i="2"/>
  <c r="R2044" i="2"/>
  <c r="R1806" i="2"/>
  <c r="R1908" i="2"/>
  <c r="S1908" i="2" s="1"/>
  <c r="R1466" i="2"/>
  <c r="R1432" i="2"/>
  <c r="R1568" i="2"/>
  <c r="T1601" i="2"/>
  <c r="R1636" i="2"/>
  <c r="R1670" i="2"/>
  <c r="I1670" i="2" s="1"/>
  <c r="O1670" i="2" s="1"/>
  <c r="S1465" i="2"/>
  <c r="T1567" i="2"/>
  <c r="S1771" i="2"/>
  <c r="R2010" i="2"/>
  <c r="I2010" i="2" s="1"/>
  <c r="R1772" i="2"/>
  <c r="R1500" i="2"/>
  <c r="R1738" i="2"/>
  <c r="S2043" i="2"/>
  <c r="T2077" i="2"/>
  <c r="S1839" i="2"/>
  <c r="S1533" i="2"/>
  <c r="R1976" i="2"/>
  <c r="T1976" i="2" s="1"/>
  <c r="R2078" i="2"/>
  <c r="R1704" i="2"/>
  <c r="R2112" i="2"/>
  <c r="S1635" i="2"/>
  <c r="S1907" i="2"/>
  <c r="R1363" i="2"/>
  <c r="R1398" i="2"/>
  <c r="O1568" i="2"/>
  <c r="O2044" i="2"/>
  <c r="O1500" i="2"/>
  <c r="O1806" i="2"/>
  <c r="O1466" i="2"/>
  <c r="O1874" i="2"/>
  <c r="O1772" i="2"/>
  <c r="O2078" i="2"/>
  <c r="O1602" i="2"/>
  <c r="O1840" i="2"/>
  <c r="O1738" i="2"/>
  <c r="O1636" i="2"/>
  <c r="O2112" i="2"/>
  <c r="O1432" i="2"/>
  <c r="G1808" i="2"/>
  <c r="B1808" i="2"/>
  <c r="C1808" i="2"/>
  <c r="A1809" i="2"/>
  <c r="B2046" i="2"/>
  <c r="C2046" i="2"/>
  <c r="G2046" i="2"/>
  <c r="A2047" i="2"/>
  <c r="A1673" i="2"/>
  <c r="B1672" i="2"/>
  <c r="G1672" i="2"/>
  <c r="C1672" i="2"/>
  <c r="C2080" i="2"/>
  <c r="B2080" i="2"/>
  <c r="A2081" i="2"/>
  <c r="G2080" i="2"/>
  <c r="G1944" i="2"/>
  <c r="A1945" i="2"/>
  <c r="C1944" i="2"/>
  <c r="B1944" i="2"/>
  <c r="G1706" i="2"/>
  <c r="A1707" i="2"/>
  <c r="B1706" i="2"/>
  <c r="C1706" i="2"/>
  <c r="G1604" i="2"/>
  <c r="A1605" i="2"/>
  <c r="B1604" i="2"/>
  <c r="C1604" i="2"/>
  <c r="A1741" i="2"/>
  <c r="C1740" i="2"/>
  <c r="G1740" i="2"/>
  <c r="B1740" i="2"/>
  <c r="G1842" i="2"/>
  <c r="C1842" i="2"/>
  <c r="A1843" i="2"/>
  <c r="B1842" i="2"/>
  <c r="C1910" i="2"/>
  <c r="A1911" i="2"/>
  <c r="G1910" i="2"/>
  <c r="B1910" i="2"/>
  <c r="C1570" i="2"/>
  <c r="B1570" i="2"/>
  <c r="G1570" i="2"/>
  <c r="A1571" i="2"/>
  <c r="C1638" i="2"/>
  <c r="G1638" i="2"/>
  <c r="B1638" i="2"/>
  <c r="A1639" i="2"/>
  <c r="O1398" i="2"/>
  <c r="C2114" i="2"/>
  <c r="G2114" i="2"/>
  <c r="A2115" i="2"/>
  <c r="B2114" i="2"/>
  <c r="O1875" i="2"/>
  <c r="G1876" i="2"/>
  <c r="C1876" i="2"/>
  <c r="B1876" i="2"/>
  <c r="A1877" i="2"/>
  <c r="A2013" i="2"/>
  <c r="G2012" i="2"/>
  <c r="C2012" i="2"/>
  <c r="B2012" i="2"/>
  <c r="A1979" i="2"/>
  <c r="G1978" i="2"/>
  <c r="B1978" i="2"/>
  <c r="C1978" i="2"/>
  <c r="C1471" i="2"/>
  <c r="G1471" i="2"/>
  <c r="A1471" i="2"/>
  <c r="G1774" i="2"/>
  <c r="B1774" i="2"/>
  <c r="A1775" i="2"/>
  <c r="C1774" i="2"/>
  <c r="T1399" i="2" l="1"/>
  <c r="O1401" i="2"/>
  <c r="I1681" i="2"/>
  <c r="S1365" i="2"/>
  <c r="R1366" i="2"/>
  <c r="S1669" i="2"/>
  <c r="B1538" i="2"/>
  <c r="C1538" i="2"/>
  <c r="D1538" i="2"/>
  <c r="E1538" i="2"/>
  <c r="G1538" i="2"/>
  <c r="A1539" i="2"/>
  <c r="B1504" i="2"/>
  <c r="C1504" i="2"/>
  <c r="D1504" i="2"/>
  <c r="E1504" i="2"/>
  <c r="G1504" i="2"/>
  <c r="A1505" i="2"/>
  <c r="B1470" i="2"/>
  <c r="C1470" i="2"/>
  <c r="D1470" i="2"/>
  <c r="E1470" i="2"/>
  <c r="G1470" i="2"/>
  <c r="R1434" i="2"/>
  <c r="S1434" i="2" s="1"/>
  <c r="Q1469" i="2"/>
  <c r="P1469" i="2"/>
  <c r="R1400" i="2"/>
  <c r="R1401" i="2" s="1"/>
  <c r="Q1435" i="2"/>
  <c r="Q1436" i="2" s="1"/>
  <c r="P1435" i="2"/>
  <c r="P1436" i="2" s="1"/>
  <c r="T1365" i="2"/>
  <c r="T1975" i="2"/>
  <c r="O2010" i="2"/>
  <c r="S2010" i="2" s="1"/>
  <c r="Q1774" i="2"/>
  <c r="P1774" i="2"/>
  <c r="Q1536" i="2"/>
  <c r="P1536" i="2"/>
  <c r="Q1978" i="2"/>
  <c r="P1978" i="2"/>
  <c r="Q2012" i="2"/>
  <c r="P2012" i="2"/>
  <c r="Q1638" i="2"/>
  <c r="P1638" i="2"/>
  <c r="Q1740" i="2"/>
  <c r="P1740" i="2"/>
  <c r="Q1706" i="2"/>
  <c r="P1706" i="2"/>
  <c r="Q1944" i="2"/>
  <c r="P1944" i="2"/>
  <c r="Q2080" i="2"/>
  <c r="P2080" i="2"/>
  <c r="Q1502" i="2"/>
  <c r="P1502" i="2"/>
  <c r="Q2183" i="2"/>
  <c r="P2183" i="2"/>
  <c r="Q2251" i="2"/>
  <c r="P2251" i="2"/>
  <c r="Q1910" i="2"/>
  <c r="P1910" i="2"/>
  <c r="Q1672" i="2"/>
  <c r="P1672" i="2"/>
  <c r="Q2046" i="2"/>
  <c r="P2046" i="2"/>
  <c r="Q1808" i="2"/>
  <c r="P1808" i="2"/>
  <c r="Q2218" i="2"/>
  <c r="P2218" i="2"/>
  <c r="Q1468" i="2"/>
  <c r="P1468" i="2"/>
  <c r="Q1876" i="2"/>
  <c r="P1876" i="2"/>
  <c r="Q2114" i="2"/>
  <c r="P2114" i="2"/>
  <c r="Q1570" i="2"/>
  <c r="P1570" i="2"/>
  <c r="Q1842" i="2"/>
  <c r="P1842" i="2"/>
  <c r="Q1604" i="2"/>
  <c r="P1604" i="2"/>
  <c r="Q2149" i="2"/>
  <c r="P2149" i="2"/>
  <c r="I2249" i="2"/>
  <c r="R2250" i="2"/>
  <c r="I2250" i="2" s="1"/>
  <c r="O2250" i="2" s="1"/>
  <c r="S2250" i="2" s="1"/>
  <c r="D1775" i="2"/>
  <c r="E1775" i="2"/>
  <c r="D1707" i="2"/>
  <c r="E1707" i="2"/>
  <c r="D2047" i="2"/>
  <c r="E2047" i="2"/>
  <c r="D2184" i="2"/>
  <c r="E2184" i="2"/>
  <c r="D2219" i="2"/>
  <c r="E2219" i="2"/>
  <c r="D1979" i="2"/>
  <c r="E1979" i="2"/>
  <c r="D1639" i="2"/>
  <c r="E1639" i="2"/>
  <c r="D1945" i="2"/>
  <c r="E1945" i="2"/>
  <c r="D2081" i="2"/>
  <c r="E2081" i="2"/>
  <c r="D1673" i="2"/>
  <c r="E1673" i="2"/>
  <c r="D1506" i="2"/>
  <c r="E1506" i="2"/>
  <c r="D1809" i="2"/>
  <c r="E1809" i="2"/>
  <c r="D2115" i="2"/>
  <c r="E2115" i="2"/>
  <c r="D1571" i="2"/>
  <c r="E1571" i="2"/>
  <c r="D2252" i="2"/>
  <c r="E2252" i="2"/>
  <c r="C2252" i="2"/>
  <c r="A2253" i="2"/>
  <c r="G2252" i="2"/>
  <c r="B2252" i="2"/>
  <c r="D2013" i="2"/>
  <c r="E2013" i="2"/>
  <c r="D1911" i="2"/>
  <c r="E1911" i="2"/>
  <c r="D1843" i="2"/>
  <c r="E1843" i="2"/>
  <c r="D1741" i="2"/>
  <c r="E1741" i="2"/>
  <c r="D1605" i="2"/>
  <c r="E1605" i="2"/>
  <c r="D2150" i="2"/>
  <c r="E2150" i="2"/>
  <c r="D1877" i="2"/>
  <c r="E1877" i="2"/>
  <c r="O2248" i="2"/>
  <c r="I2283" i="2"/>
  <c r="S1634" i="2"/>
  <c r="T1634" i="2"/>
  <c r="T2216" i="2"/>
  <c r="R2182" i="2"/>
  <c r="I2182" i="2" s="1"/>
  <c r="O2182" i="2" s="1"/>
  <c r="T2182" i="2" s="1"/>
  <c r="S2214" i="2"/>
  <c r="T2214" i="2"/>
  <c r="O2180" i="2"/>
  <c r="R2217" i="2"/>
  <c r="B2219" i="2"/>
  <c r="A2220" i="2"/>
  <c r="C2219" i="2"/>
  <c r="G2219" i="2"/>
  <c r="T2181" i="2"/>
  <c r="I2147" i="2"/>
  <c r="B2184" i="2"/>
  <c r="A2185" i="2"/>
  <c r="C2184" i="2"/>
  <c r="G2184" i="2"/>
  <c r="C2150" i="2"/>
  <c r="A2151" i="2"/>
  <c r="B2150" i="2"/>
  <c r="G2150" i="2"/>
  <c r="R2148" i="2"/>
  <c r="O2146" i="2"/>
  <c r="S1942" i="2"/>
  <c r="S1806" i="2"/>
  <c r="S1534" i="2"/>
  <c r="R1501" i="2"/>
  <c r="R1705" i="2"/>
  <c r="I1705" i="2" s="1"/>
  <c r="O1705" i="2" s="1"/>
  <c r="R2045" i="2"/>
  <c r="I2045" i="2" s="1"/>
  <c r="S1602" i="2"/>
  <c r="S1636" i="2"/>
  <c r="S1976" i="2"/>
  <c r="R1603" i="2"/>
  <c r="S1466" i="2"/>
  <c r="T1806" i="2"/>
  <c r="R1841" i="2"/>
  <c r="T1568" i="2"/>
  <c r="T1432" i="2"/>
  <c r="S1568" i="2"/>
  <c r="T1602" i="2"/>
  <c r="S1670" i="2"/>
  <c r="T2078" i="2"/>
  <c r="T1908" i="2"/>
  <c r="T1840" i="2"/>
  <c r="S1874" i="2"/>
  <c r="T1772" i="2"/>
  <c r="T1466" i="2"/>
  <c r="S1500" i="2"/>
  <c r="S1432" i="2"/>
  <c r="S2112" i="2"/>
  <c r="S2044" i="2"/>
  <c r="S1738" i="2"/>
  <c r="R1773" i="2"/>
  <c r="R2079" i="2"/>
  <c r="R1637" i="2"/>
  <c r="R1875" i="2"/>
  <c r="T1875" i="2" s="1"/>
  <c r="R2011" i="2"/>
  <c r="R1535" i="2"/>
  <c r="R1569" i="2"/>
  <c r="T1670" i="2"/>
  <c r="R1807" i="2"/>
  <c r="R1909" i="2"/>
  <c r="T2112" i="2"/>
  <c r="T2044" i="2"/>
  <c r="R2113" i="2"/>
  <c r="T1738" i="2"/>
  <c r="T1500" i="2"/>
  <c r="R1671" i="2"/>
  <c r="T1636" i="2"/>
  <c r="S1363" i="2"/>
  <c r="R1467" i="2"/>
  <c r="R1739" i="2"/>
  <c r="T1874" i="2"/>
  <c r="S1840" i="2"/>
  <c r="R1977" i="2"/>
  <c r="S1772" i="2"/>
  <c r="R1943" i="2"/>
  <c r="S2078" i="2"/>
  <c r="T1363" i="2"/>
  <c r="R1433" i="2"/>
  <c r="O1977" i="2"/>
  <c r="O2011" i="2"/>
  <c r="O1637" i="2"/>
  <c r="O1603" i="2"/>
  <c r="O1909" i="2"/>
  <c r="O1943" i="2"/>
  <c r="O1807" i="2"/>
  <c r="O1467" i="2"/>
  <c r="O2113" i="2"/>
  <c r="O1773" i="2"/>
  <c r="O1569" i="2"/>
  <c r="O1535" i="2"/>
  <c r="O2079" i="2"/>
  <c r="O1501" i="2"/>
  <c r="O1841" i="2"/>
  <c r="O1671" i="2"/>
  <c r="B1775" i="2"/>
  <c r="G1775" i="2"/>
  <c r="A1776" i="2"/>
  <c r="C1775" i="2"/>
  <c r="B1471" i="2"/>
  <c r="A1980" i="2"/>
  <c r="G1979" i="2"/>
  <c r="B1979" i="2"/>
  <c r="C1979" i="2"/>
  <c r="B2013" i="2"/>
  <c r="C2013" i="2"/>
  <c r="A2014" i="2"/>
  <c r="G2013" i="2"/>
  <c r="G1877" i="2"/>
  <c r="B1877" i="2"/>
  <c r="A1878" i="2"/>
  <c r="C1877" i="2"/>
  <c r="O1433" i="2"/>
  <c r="A2116" i="2"/>
  <c r="B2115" i="2"/>
  <c r="G2115" i="2"/>
  <c r="C2115" i="2"/>
  <c r="T1398" i="2"/>
  <c r="S1398" i="2"/>
  <c r="C1639" i="2"/>
  <c r="B1639" i="2"/>
  <c r="G1639" i="2"/>
  <c r="A1640" i="2"/>
  <c r="O1638" i="2"/>
  <c r="A1572" i="2"/>
  <c r="G1571" i="2"/>
  <c r="C1571" i="2"/>
  <c r="B1571" i="2"/>
  <c r="O1570" i="2"/>
  <c r="A1912" i="2"/>
  <c r="B1911" i="2"/>
  <c r="C1911" i="2"/>
  <c r="G1911" i="2"/>
  <c r="O1842" i="2"/>
  <c r="G1843" i="2"/>
  <c r="A1844" i="2"/>
  <c r="C1843" i="2"/>
  <c r="B1843" i="2"/>
  <c r="G1741" i="2"/>
  <c r="B1741" i="2"/>
  <c r="A1742" i="2"/>
  <c r="C1741" i="2"/>
  <c r="O1604" i="2"/>
  <c r="A1606" i="2"/>
  <c r="G1605" i="2"/>
  <c r="B1605" i="2"/>
  <c r="C1605" i="2"/>
  <c r="C1707" i="2"/>
  <c r="A1708" i="2"/>
  <c r="G1707" i="2"/>
  <c r="B1707" i="2"/>
  <c r="B1945" i="2"/>
  <c r="A1946" i="2"/>
  <c r="G1945" i="2"/>
  <c r="C1945" i="2"/>
  <c r="G2081" i="2"/>
  <c r="C2081" i="2"/>
  <c r="A2082" i="2"/>
  <c r="B2081" i="2"/>
  <c r="C1673" i="2"/>
  <c r="B1673" i="2"/>
  <c r="A1674" i="2"/>
  <c r="G1673" i="2"/>
  <c r="G1506" i="2"/>
  <c r="C1506" i="2"/>
  <c r="A1506" i="2"/>
  <c r="G2047" i="2"/>
  <c r="C2047" i="2"/>
  <c r="B2047" i="2"/>
  <c r="A2048" i="2"/>
  <c r="C1809" i="2"/>
  <c r="B1809" i="2"/>
  <c r="G1809" i="2"/>
  <c r="A1810" i="2"/>
  <c r="T1434" i="2" l="1"/>
  <c r="T1401" i="2"/>
  <c r="I1716" i="2"/>
  <c r="T1400" i="2"/>
  <c r="O1436" i="2"/>
  <c r="S1366" i="2"/>
  <c r="S1400" i="2"/>
  <c r="S1401" i="2" s="1"/>
  <c r="T1366" i="2"/>
  <c r="B1539" i="2"/>
  <c r="C1539" i="2"/>
  <c r="D1539" i="2"/>
  <c r="E1539" i="2"/>
  <c r="G1539" i="2"/>
  <c r="A1540" i="2"/>
  <c r="B1505" i="2"/>
  <c r="C1505" i="2"/>
  <c r="D1505" i="2"/>
  <c r="E1505" i="2"/>
  <c r="G1505" i="2"/>
  <c r="Q1504" i="2"/>
  <c r="P1504" i="2"/>
  <c r="Q1470" i="2"/>
  <c r="Q1471" i="2" s="1"/>
  <c r="P1470" i="2"/>
  <c r="P1471" i="2" s="1"/>
  <c r="R1469" i="2"/>
  <c r="R1435" i="2"/>
  <c r="R1436" i="2" s="1"/>
  <c r="T2010" i="2"/>
  <c r="O2045" i="2"/>
  <c r="S2045" i="2" s="1"/>
  <c r="O2283" i="2"/>
  <c r="Q1639" i="2"/>
  <c r="P1639" i="2"/>
  <c r="Q1877" i="2"/>
  <c r="P1877" i="2"/>
  <c r="Q1843" i="2"/>
  <c r="P1843" i="2"/>
  <c r="Q1979" i="2"/>
  <c r="P1979" i="2"/>
  <c r="Q1809" i="2"/>
  <c r="P1809" i="2"/>
  <c r="Q2047" i="2"/>
  <c r="P2047" i="2"/>
  <c r="Q1503" i="2"/>
  <c r="P1503" i="2"/>
  <c r="Q1673" i="2"/>
  <c r="P1673" i="2"/>
  <c r="Q1945" i="2"/>
  <c r="P1945" i="2"/>
  <c r="Q1605" i="2"/>
  <c r="P1605" i="2"/>
  <c r="Q1741" i="2"/>
  <c r="P1741" i="2"/>
  <c r="Q1911" i="2"/>
  <c r="P1911" i="2"/>
  <c r="Q1571" i="2"/>
  <c r="P1571" i="2"/>
  <c r="Q2013" i="2"/>
  <c r="P2013" i="2"/>
  <c r="Q1775" i="2"/>
  <c r="P1775" i="2"/>
  <c r="Q2150" i="2"/>
  <c r="P2150" i="2"/>
  <c r="Q2184" i="2"/>
  <c r="P2184" i="2"/>
  <c r="Q2219" i="2"/>
  <c r="P2219" i="2"/>
  <c r="Q2252" i="2"/>
  <c r="P2252" i="2"/>
  <c r="Q1707" i="2"/>
  <c r="P1707" i="2"/>
  <c r="Q1537" i="2"/>
  <c r="P1537" i="2"/>
  <c r="Q2081" i="2"/>
  <c r="P2081" i="2"/>
  <c r="Q2115" i="2"/>
  <c r="P2115" i="2"/>
  <c r="I2285" i="2"/>
  <c r="O2285" i="2" s="1"/>
  <c r="T2250" i="2"/>
  <c r="O2249" i="2"/>
  <c r="I2284" i="2"/>
  <c r="D1708" i="2"/>
  <c r="E1708" i="2"/>
  <c r="D2116" i="2"/>
  <c r="E2116" i="2"/>
  <c r="D1844" i="2"/>
  <c r="E1844" i="2"/>
  <c r="D2014" i="2"/>
  <c r="E2014" i="2"/>
  <c r="D1980" i="2"/>
  <c r="E1980" i="2"/>
  <c r="D1776" i="2"/>
  <c r="E1776" i="2"/>
  <c r="D2185" i="2"/>
  <c r="E2185" i="2"/>
  <c r="D2220" i="2"/>
  <c r="E2220" i="2"/>
  <c r="R2251" i="2"/>
  <c r="I2251" i="2" s="1"/>
  <c r="O2251" i="2" s="1"/>
  <c r="S2251" i="2" s="1"/>
  <c r="S2248" i="2"/>
  <c r="T2248" i="2"/>
  <c r="D1572" i="2"/>
  <c r="E1572" i="2"/>
  <c r="D1810" i="2"/>
  <c r="E1810" i="2"/>
  <c r="D1912" i="2"/>
  <c r="E1912" i="2"/>
  <c r="D2048" i="2"/>
  <c r="E2048" i="2"/>
  <c r="D1674" i="2"/>
  <c r="E1674" i="2"/>
  <c r="D1946" i="2"/>
  <c r="E1946" i="2"/>
  <c r="D1606" i="2"/>
  <c r="E1606" i="2"/>
  <c r="D1742" i="2"/>
  <c r="E1742" i="2"/>
  <c r="D1640" i="2"/>
  <c r="E1640" i="2"/>
  <c r="D1541" i="2"/>
  <c r="E1541" i="2"/>
  <c r="D2253" i="2"/>
  <c r="E2253" i="2"/>
  <c r="C2253" i="2"/>
  <c r="A2254" i="2"/>
  <c r="B2253" i="2"/>
  <c r="G2253" i="2"/>
  <c r="D2082" i="2"/>
  <c r="E2082" i="2"/>
  <c r="D1878" i="2"/>
  <c r="E1878" i="2"/>
  <c r="D2151" i="2"/>
  <c r="E2151" i="2"/>
  <c r="T1603" i="2"/>
  <c r="O1704" i="2"/>
  <c r="R2149" i="2"/>
  <c r="I2149" i="2" s="1"/>
  <c r="R2183" i="2"/>
  <c r="I2183" i="2" s="1"/>
  <c r="O2183" i="2" s="1"/>
  <c r="S2183" i="2" s="1"/>
  <c r="R2218" i="2"/>
  <c r="I2218" i="2" s="1"/>
  <c r="O2218" i="2" s="1"/>
  <c r="S2218" i="2" s="1"/>
  <c r="O2147" i="2"/>
  <c r="S2180" i="2"/>
  <c r="T2180" i="2"/>
  <c r="G2220" i="2"/>
  <c r="C2220" i="2"/>
  <c r="B2220" i="2"/>
  <c r="A2221" i="2"/>
  <c r="I2217" i="2"/>
  <c r="O2217" i="2" s="1"/>
  <c r="G2185" i="2"/>
  <c r="C2185" i="2"/>
  <c r="B2185" i="2"/>
  <c r="A2186" i="2"/>
  <c r="S2146" i="2"/>
  <c r="T2146" i="2"/>
  <c r="C2151" i="2"/>
  <c r="A2152" i="2"/>
  <c r="G2151" i="2"/>
  <c r="B2151" i="2"/>
  <c r="I2148" i="2"/>
  <c r="S2182" i="2"/>
  <c r="T1501" i="2"/>
  <c r="S1841" i="2"/>
  <c r="T1705" i="2"/>
  <c r="T2045" i="2"/>
  <c r="R1706" i="2"/>
  <c r="R1910" i="2"/>
  <c r="S2011" i="2"/>
  <c r="S1501" i="2"/>
  <c r="T2079" i="2"/>
  <c r="T1977" i="2"/>
  <c r="R2114" i="2"/>
  <c r="R1536" i="2"/>
  <c r="R1604" i="2"/>
  <c r="T1604" i="2" s="1"/>
  <c r="S1875" i="2"/>
  <c r="T1637" i="2"/>
  <c r="R2046" i="2"/>
  <c r="S2079" i="2"/>
  <c r="T1535" i="2"/>
  <c r="T1569" i="2"/>
  <c r="S1977" i="2"/>
  <c r="S1909" i="2"/>
  <c r="S1467" i="2"/>
  <c r="T1909" i="2"/>
  <c r="S1773" i="2"/>
  <c r="T1807" i="2"/>
  <c r="S1671" i="2"/>
  <c r="T2011" i="2"/>
  <c r="T2113" i="2"/>
  <c r="R1842" i="2"/>
  <c r="S1842" i="2" s="1"/>
  <c r="S1637" i="2"/>
  <c r="T1467" i="2"/>
  <c r="S1807" i="2"/>
  <c r="T1671" i="2"/>
  <c r="T1841" i="2"/>
  <c r="R1944" i="2"/>
  <c r="R1978" i="2"/>
  <c r="R1808" i="2"/>
  <c r="R2012" i="2"/>
  <c r="R1774" i="2"/>
  <c r="R1502" i="2"/>
  <c r="R1672" i="2"/>
  <c r="S2113" i="2"/>
  <c r="S1943" i="2"/>
  <c r="S1603" i="2"/>
  <c r="T1943" i="2"/>
  <c r="R1570" i="2"/>
  <c r="S1570" i="2" s="1"/>
  <c r="R1740" i="2"/>
  <c r="R1638" i="2"/>
  <c r="S1638" i="2" s="1"/>
  <c r="R1876" i="2"/>
  <c r="T1773" i="2"/>
  <c r="S1705" i="2"/>
  <c r="R2080" i="2"/>
  <c r="I2080" i="2" s="1"/>
  <c r="R1468" i="2"/>
  <c r="O2114" i="2"/>
  <c r="O1706" i="2"/>
  <c r="S1569" i="2"/>
  <c r="S1535" i="2"/>
  <c r="O2046" i="2"/>
  <c r="O1502" i="2"/>
  <c r="O2012" i="2"/>
  <c r="O1672" i="2"/>
  <c r="O1910" i="2"/>
  <c r="O1944" i="2"/>
  <c r="O1808" i="2"/>
  <c r="O1876" i="2"/>
  <c r="O1978" i="2"/>
  <c r="O1536" i="2"/>
  <c r="A1811" i="2"/>
  <c r="C1810" i="2"/>
  <c r="B1810" i="2"/>
  <c r="G1810" i="2"/>
  <c r="A2049" i="2"/>
  <c r="C2048" i="2"/>
  <c r="B2048" i="2"/>
  <c r="G2048" i="2"/>
  <c r="B1506" i="2"/>
  <c r="C1674" i="2"/>
  <c r="B1674" i="2"/>
  <c r="G1674" i="2"/>
  <c r="A1675" i="2"/>
  <c r="C2082" i="2"/>
  <c r="B2082" i="2"/>
  <c r="A2083" i="2"/>
  <c r="G2082" i="2"/>
  <c r="G1946" i="2"/>
  <c r="A1947" i="2"/>
  <c r="C1946" i="2"/>
  <c r="B1946" i="2"/>
  <c r="B1708" i="2"/>
  <c r="A1709" i="2"/>
  <c r="C1708" i="2"/>
  <c r="G1708" i="2"/>
  <c r="A1607" i="2"/>
  <c r="B1606" i="2"/>
  <c r="C1606" i="2"/>
  <c r="G1606" i="2"/>
  <c r="C1742" i="2"/>
  <c r="G1742" i="2"/>
  <c r="A1743" i="2"/>
  <c r="B1742" i="2"/>
  <c r="O1741" i="2"/>
  <c r="G1844" i="2"/>
  <c r="A1845" i="2"/>
  <c r="C1844" i="2"/>
  <c r="B1844" i="2"/>
  <c r="B1912" i="2"/>
  <c r="G1912" i="2"/>
  <c r="C1912" i="2"/>
  <c r="A1913" i="2"/>
  <c r="O1571" i="2"/>
  <c r="C1572" i="2"/>
  <c r="B1572" i="2"/>
  <c r="G1572" i="2"/>
  <c r="A1573" i="2"/>
  <c r="A1574" i="2" s="1"/>
  <c r="C1640" i="2"/>
  <c r="B1640" i="2"/>
  <c r="A1641" i="2"/>
  <c r="G1640" i="2"/>
  <c r="G2116" i="2"/>
  <c r="C2116" i="2"/>
  <c r="A2117" i="2"/>
  <c r="B2116" i="2"/>
  <c r="S1433" i="2"/>
  <c r="T1433" i="2"/>
  <c r="B1878" i="2"/>
  <c r="A1879" i="2"/>
  <c r="G1878" i="2"/>
  <c r="C1878" i="2"/>
  <c r="B2014" i="2"/>
  <c r="A2015" i="2"/>
  <c r="G2014" i="2"/>
  <c r="C2014" i="2"/>
  <c r="O2013" i="2"/>
  <c r="G1980" i="2"/>
  <c r="A1981" i="2"/>
  <c r="B1980" i="2"/>
  <c r="C1980" i="2"/>
  <c r="O1468" i="2"/>
  <c r="G1776" i="2"/>
  <c r="A1777" i="2"/>
  <c r="C1776" i="2"/>
  <c r="B1776" i="2"/>
  <c r="C1541" i="2"/>
  <c r="G1541" i="2"/>
  <c r="A1541" i="2"/>
  <c r="O1537" i="2"/>
  <c r="T1436" i="2" l="1"/>
  <c r="O1774" i="2"/>
  <c r="S1435" i="2"/>
  <c r="S1436" i="2" s="1"/>
  <c r="A1575" i="2"/>
  <c r="G1574" i="2"/>
  <c r="E1574" i="2"/>
  <c r="D1574" i="2"/>
  <c r="C1574" i="2"/>
  <c r="B1574" i="2"/>
  <c r="B1540" i="2"/>
  <c r="C1540" i="2"/>
  <c r="D1540" i="2"/>
  <c r="E1540" i="2"/>
  <c r="G1540" i="2"/>
  <c r="R1504" i="2"/>
  <c r="S1504" i="2" s="1"/>
  <c r="Q1539" i="2"/>
  <c r="P1539" i="2"/>
  <c r="Q1505" i="2"/>
  <c r="Q1506" i="2" s="1"/>
  <c r="P1505" i="2"/>
  <c r="P1506" i="2" s="1"/>
  <c r="R1470" i="2"/>
  <c r="R1471" i="2" s="1"/>
  <c r="T1469" i="2"/>
  <c r="S1469" i="2"/>
  <c r="T1435" i="2"/>
  <c r="S2217" i="2"/>
  <c r="O1739" i="2"/>
  <c r="O2080" i="2"/>
  <c r="T2080" i="2" s="1"/>
  <c r="O2284" i="2"/>
  <c r="Q2014" i="2"/>
  <c r="P2014" i="2"/>
  <c r="Q1572" i="2"/>
  <c r="P1572" i="2"/>
  <c r="Q1742" i="2"/>
  <c r="P1742" i="2"/>
  <c r="Q1606" i="2"/>
  <c r="P1606" i="2"/>
  <c r="Q1946" i="2"/>
  <c r="P1946" i="2"/>
  <c r="Q2082" i="2"/>
  <c r="P2082" i="2"/>
  <c r="Q1810" i="2"/>
  <c r="P1810" i="2"/>
  <c r="Q2220" i="2"/>
  <c r="P2220" i="2"/>
  <c r="Q1912" i="2"/>
  <c r="P1912" i="2"/>
  <c r="Q1878" i="2"/>
  <c r="P1878" i="2"/>
  <c r="Q1844" i="2"/>
  <c r="P1844" i="2"/>
  <c r="Q1674" i="2"/>
  <c r="P1674" i="2"/>
  <c r="Q2151" i="2"/>
  <c r="P2151" i="2"/>
  <c r="Q1538" i="2"/>
  <c r="P1538" i="2"/>
  <c r="Q1776" i="2"/>
  <c r="P1776" i="2"/>
  <c r="Q1980" i="2"/>
  <c r="P1980" i="2"/>
  <c r="Q2116" i="2"/>
  <c r="P2116" i="2"/>
  <c r="Q1640" i="2"/>
  <c r="P1640" i="2"/>
  <c r="Q1708" i="2"/>
  <c r="P1708" i="2"/>
  <c r="Q2048" i="2"/>
  <c r="P2048" i="2"/>
  <c r="Q2185" i="2"/>
  <c r="P2185" i="2"/>
  <c r="Q2253" i="2"/>
  <c r="P2253" i="2"/>
  <c r="I2286" i="2"/>
  <c r="T2251" i="2"/>
  <c r="S2249" i="2"/>
  <c r="T2249" i="2"/>
  <c r="R2252" i="2"/>
  <c r="I2252" i="2" s="1"/>
  <c r="O2252" i="2" s="1"/>
  <c r="S2252" i="2" s="1"/>
  <c r="D1641" i="2"/>
  <c r="E1641" i="2"/>
  <c r="D1573" i="2"/>
  <c r="D1576" i="2" s="1"/>
  <c r="E1573" i="2"/>
  <c r="E1576" i="2" s="1"/>
  <c r="D1743" i="2"/>
  <c r="E1743" i="2"/>
  <c r="D1607" i="2"/>
  <c r="E1607" i="2"/>
  <c r="D2152" i="2"/>
  <c r="E2152" i="2"/>
  <c r="D2221" i="2"/>
  <c r="E2221" i="2"/>
  <c r="D2015" i="2"/>
  <c r="E2015" i="2"/>
  <c r="D2083" i="2"/>
  <c r="E2083" i="2"/>
  <c r="D1811" i="2"/>
  <c r="E1811" i="2"/>
  <c r="D2186" i="2"/>
  <c r="E2186" i="2"/>
  <c r="D1981" i="2"/>
  <c r="E1981" i="2"/>
  <c r="D1879" i="2"/>
  <c r="E1879" i="2"/>
  <c r="D2117" i="2"/>
  <c r="E2117" i="2"/>
  <c r="D1913" i="2"/>
  <c r="E1913" i="2"/>
  <c r="D1845" i="2"/>
  <c r="E1845" i="2"/>
  <c r="D1777" i="2"/>
  <c r="E1777" i="2"/>
  <c r="D1709" i="2"/>
  <c r="E1709" i="2"/>
  <c r="D2049" i="2"/>
  <c r="E2049" i="2"/>
  <c r="D1947" i="2"/>
  <c r="E1947" i="2"/>
  <c r="D1675" i="2"/>
  <c r="E1675" i="2"/>
  <c r="D2254" i="2"/>
  <c r="E2254" i="2"/>
  <c r="G2254" i="2"/>
  <c r="C2254" i="2"/>
  <c r="B2254" i="2"/>
  <c r="A2255" i="2"/>
  <c r="I1740" i="2"/>
  <c r="O1740" i="2" s="1"/>
  <c r="T1740" i="2" s="1"/>
  <c r="S1704" i="2"/>
  <c r="T1704" i="2"/>
  <c r="R2219" i="2"/>
  <c r="I2219" i="2" s="1"/>
  <c r="O2219" i="2" s="1"/>
  <c r="S2219" i="2" s="1"/>
  <c r="R2184" i="2"/>
  <c r="I2184" i="2" s="1"/>
  <c r="O2184" i="2" s="1"/>
  <c r="T2184" i="2" s="1"/>
  <c r="T2217" i="2"/>
  <c r="S2147" i="2"/>
  <c r="T2147" i="2"/>
  <c r="O2148" i="2"/>
  <c r="S2148" i="2" s="1"/>
  <c r="O2149" i="2"/>
  <c r="S2149" i="2" s="1"/>
  <c r="R2150" i="2"/>
  <c r="I2150" i="2" s="1"/>
  <c r="T2183" i="2"/>
  <c r="T2218" i="2"/>
  <c r="G2221" i="2"/>
  <c r="C2221" i="2"/>
  <c r="A2222" i="2"/>
  <c r="B2221" i="2"/>
  <c r="B2152" i="2"/>
  <c r="G2152" i="2"/>
  <c r="A2153" i="2"/>
  <c r="C2152" i="2"/>
  <c r="A2187" i="2"/>
  <c r="C2186" i="2"/>
  <c r="G2186" i="2"/>
  <c r="B2186" i="2"/>
  <c r="S1910" i="2"/>
  <c r="T2114" i="2"/>
  <c r="R1605" i="2"/>
  <c r="S1604" i="2"/>
  <c r="S1706" i="2"/>
  <c r="S1536" i="2"/>
  <c r="S2012" i="2"/>
  <c r="T1638" i="2"/>
  <c r="S2046" i="2"/>
  <c r="S2114" i="2"/>
  <c r="T1672" i="2"/>
  <c r="R2047" i="2"/>
  <c r="R1741" i="2"/>
  <c r="T1741" i="2" s="1"/>
  <c r="T1570" i="2"/>
  <c r="S1978" i="2"/>
  <c r="T1944" i="2"/>
  <c r="S1502" i="2"/>
  <c r="T2012" i="2"/>
  <c r="T1910" i="2"/>
  <c r="T1842" i="2"/>
  <c r="S1876" i="2"/>
  <c r="T1808" i="2"/>
  <c r="R1945" i="2"/>
  <c r="S1944" i="2"/>
  <c r="R1911" i="2"/>
  <c r="R1775" i="2"/>
  <c r="I1775" i="2" s="1"/>
  <c r="R1537" i="2"/>
  <c r="T1536" i="2"/>
  <c r="R1707" i="2"/>
  <c r="S1672" i="2"/>
  <c r="T1502" i="2"/>
  <c r="R1673" i="2"/>
  <c r="T1876" i="2"/>
  <c r="T1978" i="2"/>
  <c r="T1706" i="2"/>
  <c r="S1808" i="2"/>
  <c r="R1809" i="2"/>
  <c r="R2081" i="2"/>
  <c r="R1571" i="2"/>
  <c r="S1571" i="2" s="1"/>
  <c r="R1877" i="2"/>
  <c r="R2013" i="2"/>
  <c r="T2013" i="2" s="1"/>
  <c r="R1639" i="2"/>
  <c r="R1843" i="2"/>
  <c r="R2115" i="2"/>
  <c r="I2115" i="2" s="1"/>
  <c r="R1979" i="2"/>
  <c r="O1605" i="2"/>
  <c r="O1877" i="2"/>
  <c r="T2046" i="2"/>
  <c r="O1639" i="2"/>
  <c r="O1843" i="2"/>
  <c r="O1979" i="2"/>
  <c r="O1673" i="2"/>
  <c r="O1911" i="2"/>
  <c r="O2081" i="2"/>
  <c r="O2047" i="2"/>
  <c r="O1707" i="2"/>
  <c r="O1945" i="2"/>
  <c r="B1541" i="2"/>
  <c r="B1777" i="2"/>
  <c r="G1777" i="2"/>
  <c r="A1778" i="2"/>
  <c r="C1777" i="2"/>
  <c r="S1468" i="2"/>
  <c r="T1468" i="2"/>
  <c r="G1981" i="2"/>
  <c r="A1982" i="2"/>
  <c r="B1981" i="2"/>
  <c r="C1981" i="2"/>
  <c r="A2016" i="2"/>
  <c r="C2015" i="2"/>
  <c r="B2015" i="2"/>
  <c r="G2015" i="2"/>
  <c r="G1879" i="2"/>
  <c r="A1880" i="2"/>
  <c r="B1879" i="2"/>
  <c r="C1879" i="2"/>
  <c r="O2116" i="2"/>
  <c r="A2118" i="2"/>
  <c r="B2117" i="2"/>
  <c r="G2117" i="2"/>
  <c r="C2117" i="2"/>
  <c r="C1641" i="2"/>
  <c r="G1641" i="2"/>
  <c r="B1641" i="2"/>
  <c r="A1642" i="2"/>
  <c r="G1573" i="2"/>
  <c r="G1576" i="2" s="1"/>
  <c r="B1573" i="2"/>
  <c r="A1576" i="2"/>
  <c r="C1573" i="2"/>
  <c r="C1576" i="2" s="1"/>
  <c r="B1913" i="2"/>
  <c r="G1913" i="2"/>
  <c r="A1914" i="2"/>
  <c r="C1913" i="2"/>
  <c r="B1845" i="2"/>
  <c r="C1845" i="2"/>
  <c r="A1846" i="2"/>
  <c r="G1845" i="2"/>
  <c r="A1744" i="2"/>
  <c r="B1743" i="2"/>
  <c r="G1743" i="2"/>
  <c r="C1743" i="2"/>
  <c r="G1607" i="2"/>
  <c r="A1608" i="2"/>
  <c r="A1609" i="2" s="1"/>
  <c r="C1607" i="2"/>
  <c r="B1607" i="2"/>
  <c r="A1710" i="2"/>
  <c r="B1709" i="2"/>
  <c r="C1709" i="2"/>
  <c r="G1709" i="2"/>
  <c r="C1947" i="2"/>
  <c r="B1947" i="2"/>
  <c r="A1948" i="2"/>
  <c r="G1947" i="2"/>
  <c r="B2083" i="2"/>
  <c r="C2083" i="2"/>
  <c r="A2084" i="2"/>
  <c r="G2083" i="2"/>
  <c r="G1675" i="2"/>
  <c r="A1676" i="2"/>
  <c r="C1675" i="2"/>
  <c r="B1675" i="2"/>
  <c r="O1674" i="2"/>
  <c r="O1503" i="2"/>
  <c r="B2049" i="2"/>
  <c r="G2049" i="2"/>
  <c r="A2050" i="2"/>
  <c r="C2049" i="2"/>
  <c r="C1811" i="2"/>
  <c r="G1811" i="2"/>
  <c r="A1812" i="2"/>
  <c r="B1811" i="2"/>
  <c r="T1504" i="2" l="1"/>
  <c r="O1506" i="2"/>
  <c r="I1786" i="2"/>
  <c r="I1751" i="2"/>
  <c r="S1739" i="2"/>
  <c r="T1774" i="2"/>
  <c r="S1470" i="2"/>
  <c r="R1539" i="2"/>
  <c r="S1539" i="2" s="1"/>
  <c r="A1610" i="2"/>
  <c r="G1609" i="2"/>
  <c r="E1609" i="2"/>
  <c r="D1609" i="2"/>
  <c r="C1609" i="2"/>
  <c r="B1609" i="2"/>
  <c r="Q1574" i="2"/>
  <c r="P1574" i="2"/>
  <c r="T1470" i="2"/>
  <c r="G1575" i="2"/>
  <c r="E1575" i="2"/>
  <c r="D1575" i="2"/>
  <c r="C1575" i="2"/>
  <c r="B1575" i="2"/>
  <c r="R1505" i="2"/>
  <c r="Q1540" i="2"/>
  <c r="Q1541" i="2" s="1"/>
  <c r="P1540" i="2"/>
  <c r="P1541" i="2" s="1"/>
  <c r="S1774" i="2"/>
  <c r="T1739" i="2"/>
  <c r="S2080" i="2"/>
  <c r="O2115" i="2"/>
  <c r="T1537" i="2"/>
  <c r="O2286" i="2"/>
  <c r="Q1607" i="2"/>
  <c r="P1607" i="2"/>
  <c r="Q2049" i="2"/>
  <c r="P2049" i="2"/>
  <c r="Q1641" i="2"/>
  <c r="P1641" i="2"/>
  <c r="Q2152" i="2"/>
  <c r="P2152" i="2"/>
  <c r="Q1811" i="2"/>
  <c r="P1811" i="2"/>
  <c r="Q1947" i="2"/>
  <c r="P1947" i="2"/>
  <c r="Q1743" i="2"/>
  <c r="P1743" i="2"/>
  <c r="Q2015" i="2"/>
  <c r="P2015" i="2"/>
  <c r="Q2186" i="2"/>
  <c r="P2186" i="2"/>
  <c r="Q2221" i="2"/>
  <c r="P2221" i="2"/>
  <c r="Q1709" i="2"/>
  <c r="P1709" i="2"/>
  <c r="Q1573" i="2"/>
  <c r="P1573" i="2"/>
  <c r="Q2117" i="2"/>
  <c r="P2117" i="2"/>
  <c r="Q1879" i="2"/>
  <c r="P1879" i="2"/>
  <c r="Q1981" i="2"/>
  <c r="P1981" i="2"/>
  <c r="Q1777" i="2"/>
  <c r="P1777" i="2"/>
  <c r="Q2083" i="2"/>
  <c r="P2083" i="2"/>
  <c r="Q1845" i="2"/>
  <c r="P1845" i="2"/>
  <c r="Q1913" i="2"/>
  <c r="P1913" i="2"/>
  <c r="Q1675" i="2"/>
  <c r="P1675" i="2"/>
  <c r="Q2254" i="2"/>
  <c r="P2254" i="2"/>
  <c r="I2287" i="2"/>
  <c r="T2252" i="2"/>
  <c r="D1846" i="2"/>
  <c r="E1846" i="2"/>
  <c r="D2118" i="2"/>
  <c r="E2118" i="2"/>
  <c r="D2016" i="2"/>
  <c r="E2016" i="2"/>
  <c r="D1982" i="2"/>
  <c r="E1982" i="2"/>
  <c r="D2187" i="2"/>
  <c r="E2187" i="2"/>
  <c r="D2222" i="2"/>
  <c r="E2222" i="2"/>
  <c r="D2255" i="2"/>
  <c r="E2255" i="2"/>
  <c r="B2255" i="2"/>
  <c r="G2255" i="2"/>
  <c r="A2256" i="2"/>
  <c r="C2255" i="2"/>
  <c r="D2084" i="2"/>
  <c r="E2084" i="2"/>
  <c r="D1744" i="2"/>
  <c r="E1744" i="2"/>
  <c r="D1914" i="2"/>
  <c r="E1914" i="2"/>
  <c r="R2253" i="2"/>
  <c r="D2050" i="2"/>
  <c r="E2050" i="2"/>
  <c r="D1676" i="2"/>
  <c r="E1676" i="2"/>
  <c r="D1880" i="2"/>
  <c r="E1880" i="2"/>
  <c r="D1812" i="2"/>
  <c r="E1812" i="2"/>
  <c r="D1948" i="2"/>
  <c r="E1948" i="2"/>
  <c r="D1710" i="2"/>
  <c r="E1710" i="2"/>
  <c r="D1608" i="2"/>
  <c r="D1611" i="2" s="1"/>
  <c r="E1608" i="2"/>
  <c r="E1611" i="2" s="1"/>
  <c r="D1642" i="2"/>
  <c r="E1642" i="2"/>
  <c r="D1778" i="2"/>
  <c r="E1778" i="2"/>
  <c r="D2153" i="2"/>
  <c r="E2153" i="2"/>
  <c r="S1740" i="2"/>
  <c r="O1775" i="2"/>
  <c r="T1775" i="2" s="1"/>
  <c r="T2148" i="2"/>
  <c r="T2149" i="2"/>
  <c r="O2150" i="2"/>
  <c r="R2185" i="2"/>
  <c r="I2185" i="2" s="1"/>
  <c r="O2185" i="2" s="1"/>
  <c r="S2185" i="2" s="1"/>
  <c r="R2151" i="2"/>
  <c r="I2151" i="2" s="1"/>
  <c r="A2223" i="2"/>
  <c r="B2222" i="2"/>
  <c r="C2222" i="2"/>
  <c r="G2222" i="2"/>
  <c r="T2219" i="2"/>
  <c r="R2220" i="2"/>
  <c r="G2153" i="2"/>
  <c r="A2154" i="2"/>
  <c r="C2153" i="2"/>
  <c r="B2153" i="2"/>
  <c r="C2187" i="2"/>
  <c r="A2188" i="2"/>
  <c r="G2187" i="2"/>
  <c r="B2187" i="2"/>
  <c r="S2184" i="2"/>
  <c r="T1605" i="2"/>
  <c r="S2081" i="2"/>
  <c r="T2047" i="2"/>
  <c r="S1741" i="2"/>
  <c r="R2116" i="2"/>
  <c r="T2116" i="2" s="1"/>
  <c r="R1572" i="2"/>
  <c r="R1640" i="2"/>
  <c r="R1742" i="2"/>
  <c r="S2013" i="2"/>
  <c r="S1707" i="2"/>
  <c r="S1911" i="2"/>
  <c r="S1605" i="2"/>
  <c r="S1537" i="2"/>
  <c r="T2081" i="2"/>
  <c r="T1945" i="2"/>
  <c r="T1571" i="2"/>
  <c r="S1877" i="2"/>
  <c r="T1673" i="2"/>
  <c r="T1979" i="2"/>
  <c r="T1843" i="2"/>
  <c r="T1639" i="2"/>
  <c r="S1673" i="2"/>
  <c r="S1639" i="2"/>
  <c r="S1979" i="2"/>
  <c r="T1911" i="2"/>
  <c r="T1877" i="2"/>
  <c r="R1912" i="2"/>
  <c r="R1980" i="2"/>
  <c r="R1708" i="2"/>
  <c r="S1945" i="2"/>
  <c r="R2048" i="2"/>
  <c r="T1707" i="2"/>
  <c r="R1878" i="2"/>
  <c r="R1810" i="2"/>
  <c r="I1810" i="2" s="1"/>
  <c r="O1810" i="2" s="1"/>
  <c r="R1674" i="2"/>
  <c r="T1674" i="2" s="1"/>
  <c r="R2014" i="2"/>
  <c r="R2082" i="2"/>
  <c r="R1946" i="2"/>
  <c r="R1606" i="2"/>
  <c r="R1844" i="2"/>
  <c r="R1776" i="2"/>
  <c r="S1843" i="2"/>
  <c r="R1503" i="2"/>
  <c r="R1538" i="2"/>
  <c r="O1708" i="2"/>
  <c r="O1912" i="2"/>
  <c r="O1878" i="2"/>
  <c r="O2048" i="2"/>
  <c r="O2014" i="2"/>
  <c r="O1946" i="2"/>
  <c r="O1572" i="2"/>
  <c r="O1640" i="2"/>
  <c r="O1776" i="2"/>
  <c r="O1742" i="2"/>
  <c r="O1606" i="2"/>
  <c r="S2047" i="2"/>
  <c r="O2082" i="2"/>
  <c r="O1980" i="2"/>
  <c r="O1811" i="2"/>
  <c r="C1812" i="2"/>
  <c r="B1812" i="2"/>
  <c r="A1813" i="2"/>
  <c r="G1812" i="2"/>
  <c r="A2051" i="2"/>
  <c r="G2050" i="2"/>
  <c r="C2050" i="2"/>
  <c r="B2050" i="2"/>
  <c r="O2049" i="2"/>
  <c r="A1677" i="2"/>
  <c r="C1676" i="2"/>
  <c r="B1676" i="2"/>
  <c r="G1676" i="2"/>
  <c r="C2084" i="2"/>
  <c r="B2084" i="2"/>
  <c r="G2084" i="2"/>
  <c r="A2085" i="2"/>
  <c r="G1948" i="2"/>
  <c r="B1948" i="2"/>
  <c r="A1949" i="2"/>
  <c r="C1948" i="2"/>
  <c r="C1710" i="2"/>
  <c r="B1710" i="2"/>
  <c r="G1710" i="2"/>
  <c r="A1711" i="2"/>
  <c r="C1608" i="2"/>
  <c r="C1611" i="2" s="1"/>
  <c r="B1608" i="2"/>
  <c r="A1611" i="2"/>
  <c r="G1608" i="2"/>
  <c r="G1611" i="2" s="1"/>
  <c r="O1743" i="2"/>
  <c r="C1744" i="2"/>
  <c r="B1744" i="2"/>
  <c r="G1744" i="2"/>
  <c r="A1745" i="2"/>
  <c r="C1846" i="2"/>
  <c r="B1846" i="2"/>
  <c r="G1846" i="2"/>
  <c r="A1847" i="2"/>
  <c r="A1915" i="2"/>
  <c r="C1914" i="2"/>
  <c r="B1914" i="2"/>
  <c r="G1914" i="2"/>
  <c r="O1913" i="2"/>
  <c r="B1576" i="2"/>
  <c r="A1643" i="2"/>
  <c r="A1644" i="2" s="1"/>
  <c r="C1642" i="2"/>
  <c r="B1642" i="2"/>
  <c r="G1642" i="2"/>
  <c r="C2118" i="2"/>
  <c r="B2118" i="2"/>
  <c r="G2118" i="2"/>
  <c r="A2119" i="2"/>
  <c r="C1880" i="2"/>
  <c r="G1880" i="2"/>
  <c r="B1880" i="2"/>
  <c r="A1881" i="2"/>
  <c r="G2016" i="2"/>
  <c r="A2017" i="2"/>
  <c r="C2016" i="2"/>
  <c r="B2016" i="2"/>
  <c r="G1982" i="2"/>
  <c r="B1982" i="2"/>
  <c r="C1982" i="2"/>
  <c r="A1983" i="2"/>
  <c r="B1778" i="2"/>
  <c r="A1779" i="2"/>
  <c r="A1780" i="2" s="1"/>
  <c r="G1778" i="2"/>
  <c r="C1778" i="2"/>
  <c r="O1538" i="2"/>
  <c r="T1539" i="2" l="1"/>
  <c r="O1541" i="2"/>
  <c r="I1821" i="2"/>
  <c r="S1505" i="2"/>
  <c r="R1506" i="2"/>
  <c r="O1844" i="2"/>
  <c r="B1780" i="2"/>
  <c r="C1780" i="2"/>
  <c r="D1780" i="2"/>
  <c r="E1780" i="2"/>
  <c r="G1780" i="2"/>
  <c r="A1781" i="2"/>
  <c r="T1505" i="2"/>
  <c r="R1574" i="2"/>
  <c r="S1574" i="2" s="1"/>
  <c r="A1645" i="2"/>
  <c r="G1644" i="2"/>
  <c r="E1644" i="2"/>
  <c r="D1644" i="2"/>
  <c r="C1644" i="2"/>
  <c r="B1644" i="2"/>
  <c r="Q1609" i="2"/>
  <c r="P1609" i="2"/>
  <c r="G1610" i="2"/>
  <c r="E1610" i="2"/>
  <c r="D1610" i="2"/>
  <c r="C1610" i="2"/>
  <c r="B1610" i="2"/>
  <c r="R1540" i="2"/>
  <c r="R1541" i="2" s="1"/>
  <c r="Q1575" i="2"/>
  <c r="Q1576" i="2" s="1"/>
  <c r="P1575" i="2"/>
  <c r="P1576" i="2" s="1"/>
  <c r="S2115" i="2"/>
  <c r="T2115" i="2"/>
  <c r="O1809" i="2"/>
  <c r="O2287" i="2"/>
  <c r="Q1778" i="2"/>
  <c r="P1778" i="2"/>
  <c r="Q1880" i="2"/>
  <c r="P1880" i="2"/>
  <c r="Q1642" i="2"/>
  <c r="P1642" i="2"/>
  <c r="Q1608" i="2"/>
  <c r="P1608" i="2"/>
  <c r="Q1710" i="2"/>
  <c r="P1710" i="2"/>
  <c r="Q1948" i="2"/>
  <c r="P1948" i="2"/>
  <c r="Q2084" i="2"/>
  <c r="P2084" i="2"/>
  <c r="Q2050" i="2"/>
  <c r="P2050" i="2"/>
  <c r="Q1982" i="2"/>
  <c r="P1982" i="2"/>
  <c r="Q2118" i="2"/>
  <c r="P2118" i="2"/>
  <c r="Q2255" i="2"/>
  <c r="P2255" i="2"/>
  <c r="Q1914" i="2"/>
  <c r="P1914" i="2"/>
  <c r="Q1812" i="2"/>
  <c r="P1812" i="2"/>
  <c r="Q2153" i="2"/>
  <c r="P2153" i="2"/>
  <c r="Q2222" i="2"/>
  <c r="P2222" i="2"/>
  <c r="Q2187" i="2"/>
  <c r="P2187" i="2"/>
  <c r="Q2016" i="2"/>
  <c r="P2016" i="2"/>
  <c r="Q1846" i="2"/>
  <c r="P1846" i="2"/>
  <c r="Q1744" i="2"/>
  <c r="P1744" i="2"/>
  <c r="Q1676" i="2"/>
  <c r="P1676" i="2"/>
  <c r="R2254" i="2"/>
  <c r="I2254" i="2" s="1"/>
  <c r="D1949" i="2"/>
  <c r="E1949" i="2"/>
  <c r="D2085" i="2"/>
  <c r="E2085" i="2"/>
  <c r="D1813" i="2"/>
  <c r="E1813" i="2"/>
  <c r="D2188" i="2"/>
  <c r="E2188" i="2"/>
  <c r="I2253" i="2"/>
  <c r="D1983" i="2"/>
  <c r="E1983" i="2"/>
  <c r="D2017" i="2"/>
  <c r="E2017" i="2"/>
  <c r="D2119" i="2"/>
  <c r="E2119" i="2"/>
  <c r="D1745" i="2"/>
  <c r="E1745" i="2"/>
  <c r="D1711" i="2"/>
  <c r="E1711" i="2"/>
  <c r="D1677" i="2"/>
  <c r="E1677" i="2"/>
  <c r="D2051" i="2"/>
  <c r="E2051" i="2"/>
  <c r="D2154" i="2"/>
  <c r="E2154" i="2"/>
  <c r="D2256" i="2"/>
  <c r="E2256" i="2"/>
  <c r="A2257" i="2"/>
  <c r="C2256" i="2"/>
  <c r="G2256" i="2"/>
  <c r="B2256" i="2"/>
  <c r="D1881" i="2"/>
  <c r="E1881" i="2"/>
  <c r="D1847" i="2"/>
  <c r="E1847" i="2"/>
  <c r="D1779" i="2"/>
  <c r="E1779" i="2"/>
  <c r="D1643" i="2"/>
  <c r="D1646" i="2" s="1"/>
  <c r="E1643" i="2"/>
  <c r="E1646" i="2" s="1"/>
  <c r="D1915" i="2"/>
  <c r="E1915" i="2"/>
  <c r="D2223" i="2"/>
  <c r="E2223" i="2"/>
  <c r="S1775" i="2"/>
  <c r="R1947" i="2"/>
  <c r="S1572" i="2"/>
  <c r="R2221" i="2"/>
  <c r="I2221" i="2" s="1"/>
  <c r="O2221" i="2" s="1"/>
  <c r="S2221" i="2" s="1"/>
  <c r="O2151" i="2"/>
  <c r="S2151" i="2" s="1"/>
  <c r="R2152" i="2"/>
  <c r="I2152" i="2" s="1"/>
  <c r="S2150" i="2"/>
  <c r="T2150" i="2"/>
  <c r="I2220" i="2"/>
  <c r="A2224" i="2"/>
  <c r="C2223" i="2"/>
  <c r="G2223" i="2"/>
  <c r="B2223" i="2"/>
  <c r="T2185" i="2"/>
  <c r="A2189" i="2"/>
  <c r="B2188" i="2"/>
  <c r="C2188" i="2"/>
  <c r="G2188" i="2"/>
  <c r="R2186" i="2"/>
  <c r="G2154" i="2"/>
  <c r="C2154" i="2"/>
  <c r="A2155" i="2"/>
  <c r="B2154" i="2"/>
  <c r="S2116" i="2"/>
  <c r="S1742" i="2"/>
  <c r="T1640" i="2"/>
  <c r="R2049" i="2"/>
  <c r="S2049" i="2" s="1"/>
  <c r="R1607" i="2"/>
  <c r="R2015" i="2"/>
  <c r="S1980" i="2"/>
  <c r="R1845" i="2"/>
  <c r="I1845" i="2" s="1"/>
  <c r="R1743" i="2"/>
  <c r="S1743" i="2" s="1"/>
  <c r="S1776" i="2"/>
  <c r="T1708" i="2"/>
  <c r="S1674" i="2"/>
  <c r="T1503" i="2"/>
  <c r="T2014" i="2"/>
  <c r="T2048" i="2"/>
  <c r="S1878" i="2"/>
  <c r="S1810" i="2"/>
  <c r="S2082" i="2"/>
  <c r="T1912" i="2"/>
  <c r="R1811" i="2"/>
  <c r="T1811" i="2" s="1"/>
  <c r="R1879" i="2"/>
  <c r="R2117" i="2"/>
  <c r="T1776" i="2"/>
  <c r="T1742" i="2"/>
  <c r="T1980" i="2"/>
  <c r="S1708" i="2"/>
  <c r="T1606" i="2"/>
  <c r="S1640" i="2"/>
  <c r="R1777" i="2"/>
  <c r="S1606" i="2"/>
  <c r="S1946" i="2"/>
  <c r="S2014" i="2"/>
  <c r="R1641" i="2"/>
  <c r="R2083" i="2"/>
  <c r="R1981" i="2"/>
  <c r="R1709" i="2"/>
  <c r="R1675" i="2"/>
  <c r="R1913" i="2"/>
  <c r="S1913" i="2" s="1"/>
  <c r="S1912" i="2"/>
  <c r="T1946" i="2"/>
  <c r="T1810" i="2"/>
  <c r="T2082" i="2"/>
  <c r="S1503" i="2"/>
  <c r="S2048" i="2"/>
  <c r="T1878" i="2"/>
  <c r="T1572" i="2"/>
  <c r="R1573" i="2"/>
  <c r="O1947" i="2"/>
  <c r="O2083" i="2"/>
  <c r="O1675" i="2"/>
  <c r="O2117" i="2"/>
  <c r="O1777" i="2"/>
  <c r="O1981" i="2"/>
  <c r="O1641" i="2"/>
  <c r="O1607" i="2"/>
  <c r="O1709" i="2"/>
  <c r="O2015" i="2"/>
  <c r="S1538" i="2"/>
  <c r="T1538" i="2"/>
  <c r="C1779" i="2"/>
  <c r="G1779" i="2"/>
  <c r="B1779" i="2"/>
  <c r="G1983" i="2"/>
  <c r="B1983" i="2"/>
  <c r="C1983" i="2"/>
  <c r="A1984" i="2"/>
  <c r="A2018" i="2"/>
  <c r="C2017" i="2"/>
  <c r="B2017" i="2"/>
  <c r="G2017" i="2"/>
  <c r="C1881" i="2"/>
  <c r="G1881" i="2"/>
  <c r="A1882" i="2"/>
  <c r="B1881" i="2"/>
  <c r="G2119" i="2"/>
  <c r="A2120" i="2"/>
  <c r="B2119" i="2"/>
  <c r="C2119" i="2"/>
  <c r="A1646" i="2"/>
  <c r="G1643" i="2"/>
  <c r="G1646" i="2" s="1"/>
  <c r="B1643" i="2"/>
  <c r="C1643" i="2"/>
  <c r="C1646" i="2" s="1"/>
  <c r="O1573" i="2"/>
  <c r="G1915" i="2"/>
  <c r="A1916" i="2"/>
  <c r="B1915" i="2"/>
  <c r="C1915" i="2"/>
  <c r="G1847" i="2"/>
  <c r="C1847" i="2"/>
  <c r="B1847" i="2"/>
  <c r="A1848" i="2"/>
  <c r="C1745" i="2"/>
  <c r="B1745" i="2"/>
  <c r="A1746" i="2"/>
  <c r="A1747" i="2" s="1"/>
  <c r="G1745" i="2"/>
  <c r="B1611" i="2"/>
  <c r="C1711" i="2"/>
  <c r="G1711" i="2"/>
  <c r="B1711" i="2"/>
  <c r="A1712" i="2"/>
  <c r="C1949" i="2"/>
  <c r="A1950" i="2"/>
  <c r="G1949" i="2"/>
  <c r="B1949" i="2"/>
  <c r="A2086" i="2"/>
  <c r="C2085" i="2"/>
  <c r="G2085" i="2"/>
  <c r="B2085" i="2"/>
  <c r="O2084" i="2"/>
  <c r="O1676" i="2"/>
  <c r="A1678" i="2"/>
  <c r="A1679" i="2" s="1"/>
  <c r="B1677" i="2"/>
  <c r="C1677" i="2"/>
  <c r="G1677" i="2"/>
  <c r="B2051" i="2"/>
  <c r="A2052" i="2"/>
  <c r="G2051" i="2"/>
  <c r="C2051" i="2"/>
  <c r="A1814" i="2"/>
  <c r="C1813" i="2"/>
  <c r="B1813" i="2"/>
  <c r="G1813" i="2"/>
  <c r="O1812" i="2"/>
  <c r="T1541" i="2" l="1"/>
  <c r="T1574" i="2"/>
  <c r="T1540" i="2"/>
  <c r="T1844" i="2"/>
  <c r="S1506" i="2"/>
  <c r="O1576" i="2"/>
  <c r="I1856" i="2"/>
  <c r="R1609" i="2"/>
  <c r="S1609" i="2" s="1"/>
  <c r="S1540" i="2"/>
  <c r="S1541" i="2" s="1"/>
  <c r="T1506" i="2"/>
  <c r="B1781" i="2"/>
  <c r="C1781" i="2"/>
  <c r="D1781" i="2"/>
  <c r="E1781" i="2"/>
  <c r="G1781" i="2"/>
  <c r="A1782" i="2"/>
  <c r="B1747" i="2"/>
  <c r="C1747" i="2"/>
  <c r="D1747" i="2"/>
  <c r="E1747" i="2"/>
  <c r="G1747" i="2"/>
  <c r="A1748" i="2"/>
  <c r="A1749" i="2" s="1"/>
  <c r="A1680" i="2"/>
  <c r="G1679" i="2"/>
  <c r="E1679" i="2"/>
  <c r="D1679" i="2"/>
  <c r="C1679" i="2"/>
  <c r="B1679" i="2"/>
  <c r="G1645" i="2"/>
  <c r="E1645" i="2"/>
  <c r="D1645" i="2"/>
  <c r="C1645" i="2"/>
  <c r="B1645" i="2"/>
  <c r="Q1644" i="2"/>
  <c r="P1644" i="2"/>
  <c r="Q1610" i="2"/>
  <c r="Q1611" i="2" s="1"/>
  <c r="P1610" i="2"/>
  <c r="P1611" i="2" s="1"/>
  <c r="R1575" i="2"/>
  <c r="S2015" i="2"/>
  <c r="S1809" i="2"/>
  <c r="S1844" i="2"/>
  <c r="O2254" i="2"/>
  <c r="S2254" i="2" s="1"/>
  <c r="I2289" i="2"/>
  <c r="O2289" i="2" s="1"/>
  <c r="O1879" i="2"/>
  <c r="T1809" i="2"/>
  <c r="Q1677" i="2"/>
  <c r="P1677" i="2"/>
  <c r="Q1983" i="2"/>
  <c r="P1983" i="2"/>
  <c r="Q1949" i="2"/>
  <c r="P1949" i="2"/>
  <c r="Q2256" i="2"/>
  <c r="P2256" i="2"/>
  <c r="Q2051" i="2"/>
  <c r="P2051" i="2"/>
  <c r="Q1711" i="2"/>
  <c r="P1711" i="2"/>
  <c r="Q2154" i="2"/>
  <c r="P2154" i="2"/>
  <c r="Q1847" i="2"/>
  <c r="P1847" i="2"/>
  <c r="Q1881" i="2"/>
  <c r="P1881" i="2"/>
  <c r="Q2085" i="2"/>
  <c r="P2085" i="2"/>
  <c r="Q2188" i="2"/>
  <c r="P2188" i="2"/>
  <c r="Q1915" i="2"/>
  <c r="P1915" i="2"/>
  <c r="Q1813" i="2"/>
  <c r="P1813" i="2"/>
  <c r="Q1745" i="2"/>
  <c r="P1745" i="2"/>
  <c r="Q1643" i="2"/>
  <c r="P1643" i="2"/>
  <c r="Q2119" i="2"/>
  <c r="P2119" i="2"/>
  <c r="Q2017" i="2"/>
  <c r="P2017" i="2"/>
  <c r="Q1779" i="2"/>
  <c r="P1779" i="2"/>
  <c r="Q2223" i="2"/>
  <c r="P2223" i="2"/>
  <c r="R2255" i="2"/>
  <c r="I2255" i="2" s="1"/>
  <c r="O2255" i="2" s="1"/>
  <c r="S2255" i="2" s="1"/>
  <c r="D1712" i="2"/>
  <c r="E1712" i="2"/>
  <c r="D1746" i="2"/>
  <c r="E1746" i="2"/>
  <c r="D1916" i="2"/>
  <c r="E1916" i="2"/>
  <c r="D2120" i="2"/>
  <c r="E2120" i="2"/>
  <c r="D2018" i="2"/>
  <c r="E2018" i="2"/>
  <c r="D2086" i="2"/>
  <c r="E2086" i="2"/>
  <c r="D1950" i="2"/>
  <c r="E1950" i="2"/>
  <c r="D1814" i="2"/>
  <c r="E1814" i="2"/>
  <c r="D2052" i="2"/>
  <c r="E2052" i="2"/>
  <c r="D2155" i="2"/>
  <c r="E2155" i="2"/>
  <c r="D2224" i="2"/>
  <c r="E2224" i="2"/>
  <c r="O2253" i="2"/>
  <c r="I2288" i="2"/>
  <c r="D1848" i="2"/>
  <c r="E1848" i="2"/>
  <c r="D1882" i="2"/>
  <c r="E1882" i="2"/>
  <c r="D2189" i="2"/>
  <c r="E2189" i="2"/>
  <c r="D1678" i="2"/>
  <c r="D1681" i="2" s="1"/>
  <c r="E1678" i="2"/>
  <c r="E1681" i="2" s="1"/>
  <c r="D1984" i="2"/>
  <c r="E1984" i="2"/>
  <c r="D2257" i="2"/>
  <c r="E2257" i="2"/>
  <c r="A2258" i="2"/>
  <c r="G2257" i="2"/>
  <c r="C2257" i="2"/>
  <c r="B2257" i="2"/>
  <c r="O1845" i="2"/>
  <c r="S1845" i="2" s="1"/>
  <c r="R2187" i="2"/>
  <c r="I2187" i="2" s="1"/>
  <c r="O2187" i="2" s="1"/>
  <c r="S2187" i="2" s="1"/>
  <c r="R2222" i="2"/>
  <c r="I2222" i="2" s="1"/>
  <c r="O2222" i="2" s="1"/>
  <c r="S2222" i="2" s="1"/>
  <c r="R2153" i="2"/>
  <c r="I2153" i="2" s="1"/>
  <c r="T2151" i="2"/>
  <c r="O2220" i="2"/>
  <c r="O2152" i="2"/>
  <c r="S2152" i="2" s="1"/>
  <c r="T2221" i="2"/>
  <c r="A2225" i="2"/>
  <c r="G2224" i="2"/>
  <c r="B2224" i="2"/>
  <c r="C2224" i="2"/>
  <c r="I2186" i="2"/>
  <c r="G2155" i="2"/>
  <c r="B2155" i="2"/>
  <c r="C2155" i="2"/>
  <c r="A2156" i="2"/>
  <c r="B2189" i="2"/>
  <c r="C2189" i="2"/>
  <c r="G2189" i="2"/>
  <c r="A2190" i="2"/>
  <c r="T1607" i="2"/>
  <c r="T1743" i="2"/>
  <c r="T2049" i="2"/>
  <c r="T1675" i="2"/>
  <c r="R1744" i="2"/>
  <c r="R1982" i="2"/>
  <c r="S1709" i="2"/>
  <c r="R2050" i="2"/>
  <c r="S1675" i="2"/>
  <c r="S2117" i="2"/>
  <c r="S1811" i="2"/>
  <c r="S1777" i="2"/>
  <c r="T1981" i="2"/>
  <c r="T2117" i="2"/>
  <c r="T2083" i="2"/>
  <c r="S1947" i="2"/>
  <c r="S1641" i="2"/>
  <c r="T2015" i="2"/>
  <c r="S1607" i="2"/>
  <c r="R2016" i="2"/>
  <c r="R1880" i="2"/>
  <c r="I1880" i="2" s="1"/>
  <c r="R1846" i="2"/>
  <c r="R2118" i="2"/>
  <c r="R1812" i="2"/>
  <c r="S1812" i="2" s="1"/>
  <c r="S2083" i="2"/>
  <c r="R1948" i="2"/>
  <c r="R2084" i="2"/>
  <c r="S2084" i="2" s="1"/>
  <c r="R1778" i="2"/>
  <c r="T1947" i="2"/>
  <c r="T1913" i="2"/>
  <c r="R1710" i="2"/>
  <c r="R1914" i="2"/>
  <c r="R1642" i="2"/>
  <c r="R1676" i="2"/>
  <c r="S1676" i="2" s="1"/>
  <c r="T1709" i="2"/>
  <c r="T1641" i="2"/>
  <c r="S1981" i="2"/>
  <c r="T1777" i="2"/>
  <c r="R1608" i="2"/>
  <c r="O1948" i="2"/>
  <c r="O2118" i="2"/>
  <c r="O2050" i="2"/>
  <c r="O1710" i="2"/>
  <c r="O1846" i="2"/>
  <c r="O1642" i="2"/>
  <c r="O1778" i="2"/>
  <c r="O1744" i="2"/>
  <c r="O1982" i="2"/>
  <c r="O2016" i="2"/>
  <c r="O1813" i="2"/>
  <c r="C1814" i="2"/>
  <c r="A1815" i="2"/>
  <c r="A1816" i="2" s="1"/>
  <c r="G1814" i="2"/>
  <c r="B1814" i="2"/>
  <c r="C2052" i="2"/>
  <c r="A2053" i="2"/>
  <c r="G2052" i="2"/>
  <c r="B2052" i="2"/>
  <c r="C1678" i="2"/>
  <c r="C1681" i="2" s="1"/>
  <c r="A1681" i="2"/>
  <c r="G1678" i="2"/>
  <c r="G1681" i="2" s="1"/>
  <c r="B1678" i="2"/>
  <c r="G2086" i="2"/>
  <c r="A2087" i="2"/>
  <c r="B2086" i="2"/>
  <c r="C2086" i="2"/>
  <c r="A1951" i="2"/>
  <c r="C1950" i="2"/>
  <c r="B1950" i="2"/>
  <c r="G1950" i="2"/>
  <c r="G1712" i="2"/>
  <c r="B1712" i="2"/>
  <c r="C1712" i="2"/>
  <c r="A1713" i="2"/>
  <c r="A1714" i="2" s="1"/>
  <c r="O1608" i="2"/>
  <c r="C1746" i="2"/>
  <c r="B1746" i="2"/>
  <c r="G1746" i="2"/>
  <c r="G1848" i="2"/>
  <c r="B1848" i="2"/>
  <c r="A1849" i="2"/>
  <c r="C1848" i="2"/>
  <c r="B1916" i="2"/>
  <c r="C1916" i="2"/>
  <c r="A1917" i="2"/>
  <c r="G1916" i="2"/>
  <c r="S1573" i="2"/>
  <c r="T1573" i="2"/>
  <c r="B1646" i="2"/>
  <c r="A2121" i="2"/>
  <c r="G2120" i="2"/>
  <c r="B2120" i="2"/>
  <c r="C2120" i="2"/>
  <c r="B1882" i="2"/>
  <c r="A1883" i="2"/>
  <c r="G1882" i="2"/>
  <c r="C1882" i="2"/>
  <c r="B2018" i="2"/>
  <c r="C2018" i="2"/>
  <c r="A2019" i="2"/>
  <c r="G2018" i="2"/>
  <c r="G1984" i="2"/>
  <c r="C1984" i="2"/>
  <c r="B1984" i="2"/>
  <c r="A1985" i="2"/>
  <c r="T1609" i="2" l="1"/>
  <c r="O1611" i="2"/>
  <c r="I1891" i="2"/>
  <c r="S1575" i="2"/>
  <c r="S1576" i="2" s="1"/>
  <c r="R1576" i="2"/>
  <c r="T1576" i="2" s="1"/>
  <c r="I1914" i="2"/>
  <c r="O1914" i="2" s="1"/>
  <c r="B1816" i="2"/>
  <c r="C1816" i="2"/>
  <c r="D1816" i="2"/>
  <c r="E1816" i="2"/>
  <c r="G1816" i="2"/>
  <c r="A1817" i="2"/>
  <c r="B1782" i="2"/>
  <c r="C1782" i="2"/>
  <c r="D1782" i="2"/>
  <c r="E1782" i="2"/>
  <c r="G1782" i="2"/>
  <c r="A1783" i="2"/>
  <c r="B1749" i="2"/>
  <c r="C1749" i="2"/>
  <c r="D1749" i="2"/>
  <c r="E1749" i="2"/>
  <c r="G1749" i="2"/>
  <c r="A1750" i="2"/>
  <c r="B1748" i="2"/>
  <c r="C1748" i="2"/>
  <c r="D1748" i="2"/>
  <c r="E1748" i="2"/>
  <c r="G1748" i="2"/>
  <c r="A1715" i="2"/>
  <c r="G1714" i="2"/>
  <c r="E1714" i="2"/>
  <c r="D1714" i="2"/>
  <c r="C1714" i="2"/>
  <c r="B1714" i="2"/>
  <c r="Q1679" i="2"/>
  <c r="P1679" i="2"/>
  <c r="G1680" i="2"/>
  <c r="E1680" i="2"/>
  <c r="D1680" i="2"/>
  <c r="C1680" i="2"/>
  <c r="B1680" i="2"/>
  <c r="R1610" i="2"/>
  <c r="Q1645" i="2"/>
  <c r="Q1646" i="2" s="1"/>
  <c r="P1645" i="2"/>
  <c r="P1646" i="2" s="1"/>
  <c r="R1644" i="2"/>
  <c r="T1575" i="2"/>
  <c r="T2254" i="2"/>
  <c r="S1879" i="2"/>
  <c r="T1879" i="2"/>
  <c r="O2288" i="2"/>
  <c r="Q2155" i="2"/>
  <c r="P2155" i="2"/>
  <c r="Q2224" i="2"/>
  <c r="P2224" i="2"/>
  <c r="Q1780" i="2"/>
  <c r="P1780" i="2"/>
  <c r="Q2120" i="2"/>
  <c r="P2120" i="2"/>
  <c r="Q2052" i="2"/>
  <c r="P2052" i="2"/>
  <c r="Q1848" i="2"/>
  <c r="P1848" i="2"/>
  <c r="Q1950" i="2"/>
  <c r="P1950" i="2"/>
  <c r="Q2086" i="2"/>
  <c r="P2086" i="2"/>
  <c r="Q2257" i="2"/>
  <c r="P2257" i="2"/>
  <c r="Q1984" i="2"/>
  <c r="P1984" i="2"/>
  <c r="Q1746" i="2"/>
  <c r="P1746" i="2"/>
  <c r="Q1678" i="2"/>
  <c r="P1678" i="2"/>
  <c r="Q1814" i="2"/>
  <c r="P1814" i="2"/>
  <c r="Q2189" i="2"/>
  <c r="P2189" i="2"/>
  <c r="Q2018" i="2"/>
  <c r="P2018" i="2"/>
  <c r="Q1882" i="2"/>
  <c r="P1882" i="2"/>
  <c r="Q1916" i="2"/>
  <c r="P1916" i="2"/>
  <c r="Q1712" i="2"/>
  <c r="P1712" i="2"/>
  <c r="T2255" i="2"/>
  <c r="D1985" i="2"/>
  <c r="E1985" i="2"/>
  <c r="D1917" i="2"/>
  <c r="E1917" i="2"/>
  <c r="D1883" i="2"/>
  <c r="E1883" i="2"/>
  <c r="D1849" i="2"/>
  <c r="E1849" i="2"/>
  <c r="D1951" i="2"/>
  <c r="E1951" i="2"/>
  <c r="D2087" i="2"/>
  <c r="E2087" i="2"/>
  <c r="D1815" i="2"/>
  <c r="E1815" i="2"/>
  <c r="D2190" i="2"/>
  <c r="E2190" i="2"/>
  <c r="D2225" i="2"/>
  <c r="E2225" i="2"/>
  <c r="D2019" i="2"/>
  <c r="E2019" i="2"/>
  <c r="D2156" i="2"/>
  <c r="E2156" i="2"/>
  <c r="D2258" i="2"/>
  <c r="E2258" i="2"/>
  <c r="A2259" i="2"/>
  <c r="C2258" i="2"/>
  <c r="B2258" i="2"/>
  <c r="G2258" i="2"/>
  <c r="D2121" i="2"/>
  <c r="E2121" i="2"/>
  <c r="D1713" i="2"/>
  <c r="D1716" i="2" s="1"/>
  <c r="E1713" i="2"/>
  <c r="E1716" i="2" s="1"/>
  <c r="D2053" i="2"/>
  <c r="E2053" i="2"/>
  <c r="R2256" i="2"/>
  <c r="S2253" i="2"/>
  <c r="T2253" i="2"/>
  <c r="T1845" i="2"/>
  <c r="O1880" i="2"/>
  <c r="T1880" i="2" s="1"/>
  <c r="T2152" i="2"/>
  <c r="O2153" i="2"/>
  <c r="S2153" i="2" s="1"/>
  <c r="O2186" i="2"/>
  <c r="T2222" i="2"/>
  <c r="S2220" i="2"/>
  <c r="T2220" i="2"/>
  <c r="A2226" i="2"/>
  <c r="B2225" i="2"/>
  <c r="C2225" i="2"/>
  <c r="G2225" i="2"/>
  <c r="T2187" i="2"/>
  <c r="R2223" i="2"/>
  <c r="A2157" i="2"/>
  <c r="G2156" i="2"/>
  <c r="C2156" i="2"/>
  <c r="B2156" i="2"/>
  <c r="G2190" i="2"/>
  <c r="B2190" i="2"/>
  <c r="A2191" i="2"/>
  <c r="C2190" i="2"/>
  <c r="R2154" i="2"/>
  <c r="R2188" i="2"/>
  <c r="T1744" i="2"/>
  <c r="T1982" i="2"/>
  <c r="T1710" i="2"/>
  <c r="S2050" i="2"/>
  <c r="R1779" i="2"/>
  <c r="R1745" i="2"/>
  <c r="R2017" i="2"/>
  <c r="R2051" i="2"/>
  <c r="R1813" i="2"/>
  <c r="T1813" i="2" s="1"/>
  <c r="R1949" i="2"/>
  <c r="T2084" i="2"/>
  <c r="S1846" i="2"/>
  <c r="T1812" i="2"/>
  <c r="S2118" i="2"/>
  <c r="T1642" i="2"/>
  <c r="T2016" i="2"/>
  <c r="S1948" i="2"/>
  <c r="T1778" i="2"/>
  <c r="S1642" i="2"/>
  <c r="T2118" i="2"/>
  <c r="T1676" i="2"/>
  <c r="T1846" i="2"/>
  <c r="S1710" i="2"/>
  <c r="R1983" i="2"/>
  <c r="R1711" i="2"/>
  <c r="T2050" i="2"/>
  <c r="S2016" i="2"/>
  <c r="R1881" i="2"/>
  <c r="R1847" i="2"/>
  <c r="R2119" i="2"/>
  <c r="S1778" i="2"/>
  <c r="R1915" i="2"/>
  <c r="I1915" i="2" s="1"/>
  <c r="S1744" i="2"/>
  <c r="S1982" i="2"/>
  <c r="R2085" i="2"/>
  <c r="R1677" i="2"/>
  <c r="T1948" i="2"/>
  <c r="O2017" i="2"/>
  <c r="O1881" i="2"/>
  <c r="O1847" i="2"/>
  <c r="O1779" i="2"/>
  <c r="O1745" i="2"/>
  <c r="O1677" i="2"/>
  <c r="O2085" i="2"/>
  <c r="O2051" i="2"/>
  <c r="O1983" i="2"/>
  <c r="O2119" i="2"/>
  <c r="O1711" i="2"/>
  <c r="B1985" i="2"/>
  <c r="A1986" i="2"/>
  <c r="G1985" i="2"/>
  <c r="C1985" i="2"/>
  <c r="C2019" i="2"/>
  <c r="B2019" i="2"/>
  <c r="A2020" i="2"/>
  <c r="G2019" i="2"/>
  <c r="C1883" i="2"/>
  <c r="B1883" i="2"/>
  <c r="G1883" i="2"/>
  <c r="A1884" i="2"/>
  <c r="G2121" i="2"/>
  <c r="C2121" i="2"/>
  <c r="B2121" i="2"/>
  <c r="A2122" i="2"/>
  <c r="O1643" i="2"/>
  <c r="G1917" i="2"/>
  <c r="A1918" i="2"/>
  <c r="C1917" i="2"/>
  <c r="B1917" i="2"/>
  <c r="O1916" i="2"/>
  <c r="G1849" i="2"/>
  <c r="B1849" i="2"/>
  <c r="C1849" i="2"/>
  <c r="A1850" i="2"/>
  <c r="S1608" i="2"/>
  <c r="T1608" i="2"/>
  <c r="A1716" i="2"/>
  <c r="C1713" i="2"/>
  <c r="C1716" i="2" s="1"/>
  <c r="G1713" i="2"/>
  <c r="G1716" i="2" s="1"/>
  <c r="B1713" i="2"/>
  <c r="B1951" i="2"/>
  <c r="G1951" i="2"/>
  <c r="C1951" i="2"/>
  <c r="A1952" i="2"/>
  <c r="G2087" i="2"/>
  <c r="B2087" i="2"/>
  <c r="C2087" i="2"/>
  <c r="A2088" i="2"/>
  <c r="B1681" i="2"/>
  <c r="B2053" i="2"/>
  <c r="C2053" i="2"/>
  <c r="A2054" i="2"/>
  <c r="G2053" i="2"/>
  <c r="C1815" i="2"/>
  <c r="G1815" i="2"/>
  <c r="B1815" i="2"/>
  <c r="O1646" i="2" l="1"/>
  <c r="I1926" i="2"/>
  <c r="S1610" i="2"/>
  <c r="S1611" i="2" s="1"/>
  <c r="R1611" i="2"/>
  <c r="T1611" i="2" s="1"/>
  <c r="T1610" i="2"/>
  <c r="O1949" i="2"/>
  <c r="T1914" i="2"/>
  <c r="B1817" i="2"/>
  <c r="C1817" i="2"/>
  <c r="D1817" i="2"/>
  <c r="E1817" i="2"/>
  <c r="G1817" i="2"/>
  <c r="A1818" i="2"/>
  <c r="B1783" i="2"/>
  <c r="C1783" i="2"/>
  <c r="D1783" i="2"/>
  <c r="E1783" i="2"/>
  <c r="G1783" i="2"/>
  <c r="A1784" i="2"/>
  <c r="B1750" i="2"/>
  <c r="C1750" i="2"/>
  <c r="D1750" i="2"/>
  <c r="E1750" i="2"/>
  <c r="G1750" i="2"/>
  <c r="Q1714" i="2"/>
  <c r="P1714" i="2"/>
  <c r="G1715" i="2"/>
  <c r="E1715" i="2"/>
  <c r="D1715" i="2"/>
  <c r="C1715" i="2"/>
  <c r="B1715" i="2"/>
  <c r="R1679" i="2"/>
  <c r="Q1680" i="2"/>
  <c r="Q1681" i="2" s="1"/>
  <c r="P1680" i="2"/>
  <c r="P1681" i="2" s="1"/>
  <c r="T1644" i="2"/>
  <c r="S1644" i="2"/>
  <c r="R1645" i="2"/>
  <c r="S1914" i="2"/>
  <c r="Q1883" i="2"/>
  <c r="P1883" i="2"/>
  <c r="Q1713" i="2"/>
  <c r="P1713" i="2"/>
  <c r="Q1951" i="2"/>
  <c r="P1951" i="2"/>
  <c r="Q2019" i="2"/>
  <c r="P2019" i="2"/>
  <c r="Q2190" i="2"/>
  <c r="P2190" i="2"/>
  <c r="Q2258" i="2"/>
  <c r="P2258" i="2"/>
  <c r="Q1917" i="2"/>
  <c r="P1917" i="2"/>
  <c r="Q1985" i="2"/>
  <c r="P1985" i="2"/>
  <c r="Q1781" i="2"/>
  <c r="P1781" i="2"/>
  <c r="Q2053" i="2"/>
  <c r="P2053" i="2"/>
  <c r="Q1747" i="2"/>
  <c r="P1747" i="2"/>
  <c r="Q1849" i="2"/>
  <c r="P1849" i="2"/>
  <c r="Q2156" i="2"/>
  <c r="P2156" i="2"/>
  <c r="Q2225" i="2"/>
  <c r="P2225" i="2"/>
  <c r="Q1815" i="2"/>
  <c r="P1815" i="2"/>
  <c r="Q2087" i="2"/>
  <c r="P2087" i="2"/>
  <c r="Q2121" i="2"/>
  <c r="P2121" i="2"/>
  <c r="S2051" i="2"/>
  <c r="R2257" i="2"/>
  <c r="I2257" i="2" s="1"/>
  <c r="O2257" i="2" s="1"/>
  <c r="S2257" i="2" s="1"/>
  <c r="D2226" i="2"/>
  <c r="E2226" i="2"/>
  <c r="I2256" i="2"/>
  <c r="D1952" i="2"/>
  <c r="E1952" i="2"/>
  <c r="D1850" i="2"/>
  <c r="E1850" i="2"/>
  <c r="D1986" i="2"/>
  <c r="E1986" i="2"/>
  <c r="D2054" i="2"/>
  <c r="E2054" i="2"/>
  <c r="D2088" i="2"/>
  <c r="E2088" i="2"/>
  <c r="D1751" i="2"/>
  <c r="E1751" i="2"/>
  <c r="D1884" i="2"/>
  <c r="E1884" i="2"/>
  <c r="D2191" i="2"/>
  <c r="E2191" i="2"/>
  <c r="D2157" i="2"/>
  <c r="E2157" i="2"/>
  <c r="D1918" i="2"/>
  <c r="E1918" i="2"/>
  <c r="D2122" i="2"/>
  <c r="E2122" i="2"/>
  <c r="D2020" i="2"/>
  <c r="E2020" i="2"/>
  <c r="D2259" i="2"/>
  <c r="E2259" i="2"/>
  <c r="C2259" i="2"/>
  <c r="G2259" i="2"/>
  <c r="B2259" i="2"/>
  <c r="A2260" i="2"/>
  <c r="S1880" i="2"/>
  <c r="O1915" i="2"/>
  <c r="S1915" i="2" s="1"/>
  <c r="T2153" i="2"/>
  <c r="R2224" i="2"/>
  <c r="O2224" i="2" s="1"/>
  <c r="S2224" i="2" s="1"/>
  <c r="S2186" i="2"/>
  <c r="T2186" i="2"/>
  <c r="I2223" i="2"/>
  <c r="O2223" i="2" s="1"/>
  <c r="S2223" i="2" s="1"/>
  <c r="B2226" i="2"/>
  <c r="G2226" i="2"/>
  <c r="A2227" i="2"/>
  <c r="C2226" i="2"/>
  <c r="R2155" i="2"/>
  <c r="I2155" i="2" s="1"/>
  <c r="G2191" i="2"/>
  <c r="B2191" i="2"/>
  <c r="A2192" i="2"/>
  <c r="C2191" i="2"/>
  <c r="I2188" i="2"/>
  <c r="R2189" i="2"/>
  <c r="G2157" i="2"/>
  <c r="A2158" i="2"/>
  <c r="B2157" i="2"/>
  <c r="C2157" i="2"/>
  <c r="S2017" i="2"/>
  <c r="S1813" i="2"/>
  <c r="S1779" i="2"/>
  <c r="S1745" i="2"/>
  <c r="R2120" i="2"/>
  <c r="R2086" i="2"/>
  <c r="R1746" i="2"/>
  <c r="T2051" i="2"/>
  <c r="S2085" i="2"/>
  <c r="S2119" i="2"/>
  <c r="S1983" i="2"/>
  <c r="S1847" i="2"/>
  <c r="S1881" i="2"/>
  <c r="S1677" i="2"/>
  <c r="S1711" i="2"/>
  <c r="R1984" i="2"/>
  <c r="R1780" i="2"/>
  <c r="R1916" i="2"/>
  <c r="T1916" i="2" s="1"/>
  <c r="T1779" i="2"/>
  <c r="T1677" i="2"/>
  <c r="T2017" i="2"/>
  <c r="T1847" i="2"/>
  <c r="T1983" i="2"/>
  <c r="R1848" i="2"/>
  <c r="T2119" i="2"/>
  <c r="R1814" i="2"/>
  <c r="T2085" i="2"/>
  <c r="R1950" i="2"/>
  <c r="I1950" i="2" s="1"/>
  <c r="O1950" i="2" s="1"/>
  <c r="R1712" i="2"/>
  <c r="R1882" i="2"/>
  <c r="R2052" i="2"/>
  <c r="R2018" i="2"/>
  <c r="T1745" i="2"/>
  <c r="T1711" i="2"/>
  <c r="R1678" i="2"/>
  <c r="R1643" i="2"/>
  <c r="O1848" i="2"/>
  <c r="T1881" i="2"/>
  <c r="O1780" i="2"/>
  <c r="O1814" i="2"/>
  <c r="O2120" i="2"/>
  <c r="O2018" i="2"/>
  <c r="O2052" i="2"/>
  <c r="O2086" i="2"/>
  <c r="O1746" i="2"/>
  <c r="O1882" i="2"/>
  <c r="O1712" i="2"/>
  <c r="B2054" i="2"/>
  <c r="G2054" i="2"/>
  <c r="A2055" i="2"/>
  <c r="C2054" i="2"/>
  <c r="O1678" i="2"/>
  <c r="G2088" i="2"/>
  <c r="B2088" i="2"/>
  <c r="A2089" i="2"/>
  <c r="C2088" i="2"/>
  <c r="C1952" i="2"/>
  <c r="B1952" i="2"/>
  <c r="G1952" i="2"/>
  <c r="A1953" i="2"/>
  <c r="A1954" i="2" s="1"/>
  <c r="B1716" i="2"/>
  <c r="A1751" i="2"/>
  <c r="G1751" i="2"/>
  <c r="C1751" i="2"/>
  <c r="C1850" i="2"/>
  <c r="B1850" i="2"/>
  <c r="G1850" i="2"/>
  <c r="A1851" i="2"/>
  <c r="O1917" i="2"/>
  <c r="A1919" i="2"/>
  <c r="B1918" i="2"/>
  <c r="G1918" i="2"/>
  <c r="C1918" i="2"/>
  <c r="B2122" i="2"/>
  <c r="C2122" i="2"/>
  <c r="G2122" i="2"/>
  <c r="A2123" i="2"/>
  <c r="B1884" i="2"/>
  <c r="C1884" i="2"/>
  <c r="A1885" i="2"/>
  <c r="G1884" i="2"/>
  <c r="O1883" i="2"/>
  <c r="A2021" i="2"/>
  <c r="B2020" i="2"/>
  <c r="C2020" i="2"/>
  <c r="G2020" i="2"/>
  <c r="C1986" i="2"/>
  <c r="B1986" i="2"/>
  <c r="A1987" i="2"/>
  <c r="A1988" i="2" s="1"/>
  <c r="G1986" i="2"/>
  <c r="O1681" i="2" l="1"/>
  <c r="I1961" i="2"/>
  <c r="S1645" i="2"/>
  <c r="R1646" i="2"/>
  <c r="T1949" i="2"/>
  <c r="B1988" i="2"/>
  <c r="C1988" i="2"/>
  <c r="D1988" i="2"/>
  <c r="E1988" i="2"/>
  <c r="G1988" i="2"/>
  <c r="A1989" i="2"/>
  <c r="B1954" i="2"/>
  <c r="C1954" i="2"/>
  <c r="D1954" i="2"/>
  <c r="E1954" i="2"/>
  <c r="G1954" i="2"/>
  <c r="A1955" i="2"/>
  <c r="B1818" i="2"/>
  <c r="C1818" i="2"/>
  <c r="D1818" i="2"/>
  <c r="E1818" i="2"/>
  <c r="G1818" i="2"/>
  <c r="A1819" i="2"/>
  <c r="B1784" i="2"/>
  <c r="C1784" i="2"/>
  <c r="D1784" i="2"/>
  <c r="E1784" i="2"/>
  <c r="G1784" i="2"/>
  <c r="A1785" i="2"/>
  <c r="R1714" i="2"/>
  <c r="T1714" i="2" s="1"/>
  <c r="Q1749" i="2"/>
  <c r="P1749" i="2"/>
  <c r="Q1715" i="2"/>
  <c r="Q1716" i="2" s="1"/>
  <c r="P1715" i="2"/>
  <c r="P1716" i="2" s="1"/>
  <c r="R1680" i="2"/>
  <c r="R1681" i="2" s="1"/>
  <c r="T1679" i="2"/>
  <c r="S1679" i="2"/>
  <c r="T1645" i="2"/>
  <c r="S1949" i="2"/>
  <c r="O1984" i="2"/>
  <c r="Q1782" i="2"/>
  <c r="P1782" i="2"/>
  <c r="Q2122" i="2"/>
  <c r="P2122" i="2"/>
  <c r="Q2157" i="2"/>
  <c r="P2157" i="2"/>
  <c r="Q1850" i="2"/>
  <c r="P1850" i="2"/>
  <c r="Q2054" i="2"/>
  <c r="P2054" i="2"/>
  <c r="Q2259" i="2"/>
  <c r="P2259" i="2"/>
  <c r="Q1748" i="2"/>
  <c r="P1748" i="2"/>
  <c r="Q1884" i="2"/>
  <c r="P1884" i="2"/>
  <c r="Q1918" i="2"/>
  <c r="P1918" i="2"/>
  <c r="Q2191" i="2"/>
  <c r="P2191" i="2"/>
  <c r="Q1986" i="2"/>
  <c r="P1986" i="2"/>
  <c r="Q2020" i="2"/>
  <c r="P2020" i="2"/>
  <c r="Q1952" i="2"/>
  <c r="P1952" i="2"/>
  <c r="Q2088" i="2"/>
  <c r="P2088" i="2"/>
  <c r="Q1816" i="2"/>
  <c r="P1816" i="2"/>
  <c r="Q2226" i="2"/>
  <c r="P2226" i="2"/>
  <c r="T2257" i="2"/>
  <c r="I2292" i="2"/>
  <c r="O2292" i="2" s="1"/>
  <c r="R2258" i="2"/>
  <c r="D1786" i="2"/>
  <c r="E1786" i="2"/>
  <c r="D2089" i="2"/>
  <c r="E2089" i="2"/>
  <c r="D2055" i="2"/>
  <c r="E2055" i="2"/>
  <c r="O2256" i="2"/>
  <c r="I2291" i="2"/>
  <c r="O2291" i="2" s="1"/>
  <c r="D1987" i="2"/>
  <c r="E1987" i="2"/>
  <c r="D2021" i="2"/>
  <c r="E2021" i="2"/>
  <c r="D1885" i="2"/>
  <c r="E1885" i="2"/>
  <c r="D2123" i="2"/>
  <c r="E2123" i="2"/>
  <c r="D1851" i="2"/>
  <c r="E1851" i="2"/>
  <c r="D1953" i="2"/>
  <c r="E1953" i="2"/>
  <c r="D2227" i="2"/>
  <c r="E2227" i="2"/>
  <c r="D1919" i="2"/>
  <c r="E1919" i="2"/>
  <c r="D2158" i="2"/>
  <c r="E2158" i="2"/>
  <c r="D2192" i="2"/>
  <c r="E2192" i="2"/>
  <c r="D2260" i="2"/>
  <c r="E2260" i="2"/>
  <c r="A2261" i="2"/>
  <c r="C2260" i="2"/>
  <c r="G2260" i="2"/>
  <c r="B2260" i="2"/>
  <c r="T1915" i="2"/>
  <c r="T2223" i="2"/>
  <c r="R2225" i="2"/>
  <c r="I2225" i="2" s="1"/>
  <c r="O2225" i="2" s="1"/>
  <c r="S2225" i="2" s="1"/>
  <c r="O2155" i="2"/>
  <c r="S2155" i="2" s="1"/>
  <c r="O2154" i="2"/>
  <c r="S2154" i="2" s="1"/>
  <c r="T2224" i="2"/>
  <c r="O2188" i="2"/>
  <c r="S2188" i="2" s="1"/>
  <c r="R2190" i="2"/>
  <c r="I2190" i="2" s="1"/>
  <c r="O2190" i="2" s="1"/>
  <c r="S2190" i="2" s="1"/>
  <c r="G2227" i="2"/>
  <c r="C2227" i="2"/>
  <c r="A2228" i="2"/>
  <c r="B2227" i="2"/>
  <c r="R2156" i="2"/>
  <c r="C2158" i="2"/>
  <c r="A2159" i="2"/>
  <c r="B2158" i="2"/>
  <c r="G2158" i="2"/>
  <c r="C2192" i="2"/>
  <c r="B2192" i="2"/>
  <c r="G2192" i="2"/>
  <c r="A2193" i="2"/>
  <c r="O2189" i="2"/>
  <c r="S2189" i="2" s="1"/>
  <c r="T2086" i="2"/>
  <c r="S2120" i="2"/>
  <c r="S1916" i="2"/>
  <c r="S1746" i="2"/>
  <c r="T1780" i="2"/>
  <c r="S1814" i="2"/>
  <c r="R1883" i="2"/>
  <c r="T1883" i="2" s="1"/>
  <c r="R1985" i="2"/>
  <c r="I1985" i="2" s="1"/>
  <c r="S1848" i="2"/>
  <c r="T2018" i="2"/>
  <c r="S1950" i="2"/>
  <c r="T1712" i="2"/>
  <c r="T1882" i="2"/>
  <c r="R2087" i="2"/>
  <c r="R1849" i="2"/>
  <c r="S1882" i="2"/>
  <c r="T1848" i="2"/>
  <c r="S2052" i="2"/>
  <c r="R2053" i="2"/>
  <c r="R1917" i="2"/>
  <c r="T1917" i="2" s="1"/>
  <c r="R2019" i="2"/>
  <c r="S1712" i="2"/>
  <c r="T1814" i="2"/>
  <c r="T1950" i="2"/>
  <c r="R1747" i="2"/>
  <c r="R2121" i="2"/>
  <c r="R1781" i="2"/>
  <c r="R1815" i="2"/>
  <c r="R1951" i="2"/>
  <c r="S2018" i="2"/>
  <c r="T1746" i="2"/>
  <c r="S2086" i="2"/>
  <c r="T2120" i="2"/>
  <c r="T2052" i="2"/>
  <c r="S1780" i="2"/>
  <c r="T1643" i="2"/>
  <c r="S1643" i="2"/>
  <c r="R1713" i="2"/>
  <c r="O2121" i="2"/>
  <c r="O2053" i="2"/>
  <c r="O1747" i="2"/>
  <c r="O1781" i="2"/>
  <c r="O1951" i="2"/>
  <c r="O2087" i="2"/>
  <c r="O1849" i="2"/>
  <c r="O1815" i="2"/>
  <c r="A1786" i="2"/>
  <c r="G1786" i="2"/>
  <c r="C1786" i="2"/>
  <c r="G1987" i="2"/>
  <c r="B1987" i="2"/>
  <c r="C1987" i="2"/>
  <c r="C2021" i="2"/>
  <c r="A2022" i="2"/>
  <c r="G2021" i="2"/>
  <c r="B2021" i="2"/>
  <c r="B1885" i="2"/>
  <c r="C1885" i="2"/>
  <c r="G1885" i="2"/>
  <c r="A1886" i="2"/>
  <c r="B2123" i="2"/>
  <c r="C2123" i="2"/>
  <c r="A2124" i="2"/>
  <c r="G2123" i="2"/>
  <c r="C1919" i="2"/>
  <c r="B1919" i="2"/>
  <c r="G1919" i="2"/>
  <c r="A1920" i="2"/>
  <c r="B1851" i="2"/>
  <c r="C1851" i="2"/>
  <c r="G1851" i="2"/>
  <c r="A1852" i="2"/>
  <c r="B1751" i="2"/>
  <c r="O1713" i="2"/>
  <c r="B1953" i="2"/>
  <c r="C1953" i="2"/>
  <c r="G1953" i="2"/>
  <c r="G2089" i="2"/>
  <c r="C2089" i="2"/>
  <c r="B2089" i="2"/>
  <c r="A2090" i="2"/>
  <c r="S1678" i="2"/>
  <c r="T1678" i="2"/>
  <c r="G2055" i="2"/>
  <c r="A2056" i="2"/>
  <c r="C2055" i="2"/>
  <c r="B2055" i="2"/>
  <c r="O1816" i="2"/>
  <c r="T1681" i="2" l="1"/>
  <c r="I1996" i="2"/>
  <c r="O1716" i="2"/>
  <c r="S1646" i="2"/>
  <c r="S1984" i="2"/>
  <c r="S1680" i="2"/>
  <c r="S1681" i="2" s="1"/>
  <c r="T1646" i="2"/>
  <c r="S1714" i="2"/>
  <c r="B1989" i="2"/>
  <c r="C1989" i="2"/>
  <c r="D1989" i="2"/>
  <c r="E1989" i="2"/>
  <c r="G1989" i="2"/>
  <c r="A1990" i="2"/>
  <c r="B1955" i="2"/>
  <c r="C1955" i="2"/>
  <c r="D1955" i="2"/>
  <c r="E1955" i="2"/>
  <c r="G1955" i="2"/>
  <c r="A1956" i="2"/>
  <c r="R1749" i="2"/>
  <c r="S1749" i="2" s="1"/>
  <c r="T1680" i="2"/>
  <c r="B1819" i="2"/>
  <c r="C1819" i="2"/>
  <c r="D1819" i="2"/>
  <c r="E1819" i="2"/>
  <c r="G1819" i="2"/>
  <c r="A1820" i="2"/>
  <c r="B1785" i="2"/>
  <c r="C1785" i="2"/>
  <c r="D1785" i="2"/>
  <c r="E1785" i="2"/>
  <c r="G1785" i="2"/>
  <c r="Q1784" i="2"/>
  <c r="P1784" i="2"/>
  <c r="Q1750" i="2"/>
  <c r="Q1751" i="2" s="1"/>
  <c r="P1750" i="2"/>
  <c r="P1751" i="2" s="1"/>
  <c r="R1715" i="2"/>
  <c r="T1984" i="2"/>
  <c r="O2019" i="2"/>
  <c r="Q1953" i="2"/>
  <c r="P1953" i="2"/>
  <c r="Q2055" i="2"/>
  <c r="P2055" i="2"/>
  <c r="Q2089" i="2"/>
  <c r="P2089" i="2"/>
  <c r="Q1851" i="2"/>
  <c r="P1851" i="2"/>
  <c r="Q2123" i="2"/>
  <c r="P2123" i="2"/>
  <c r="Q1885" i="2"/>
  <c r="P1885" i="2"/>
  <c r="Q1783" i="2"/>
  <c r="P1783" i="2"/>
  <c r="Q2158" i="2"/>
  <c r="P2158" i="2"/>
  <c r="Q2227" i="2"/>
  <c r="P2227" i="2"/>
  <c r="Q1817" i="2"/>
  <c r="P1817" i="2"/>
  <c r="Q2021" i="2"/>
  <c r="P2021" i="2"/>
  <c r="Q2192" i="2"/>
  <c r="P2192" i="2"/>
  <c r="Q2260" i="2"/>
  <c r="P2260" i="2"/>
  <c r="Q1987" i="2"/>
  <c r="P1987" i="2"/>
  <c r="Q1919" i="2"/>
  <c r="P1919" i="2"/>
  <c r="I2258" i="2"/>
  <c r="R2259" i="2"/>
  <c r="O2259" i="2" s="1"/>
  <c r="S2259" i="2" s="1"/>
  <c r="D2090" i="2"/>
  <c r="E2090" i="2"/>
  <c r="D1920" i="2"/>
  <c r="E1920" i="2"/>
  <c r="D2193" i="2"/>
  <c r="E2193" i="2"/>
  <c r="D2159" i="2"/>
  <c r="E2159" i="2"/>
  <c r="S2256" i="2"/>
  <c r="T2256" i="2"/>
  <c r="D2228" i="2"/>
  <c r="E2228" i="2"/>
  <c r="D2261" i="2"/>
  <c r="E2261" i="2"/>
  <c r="A2262" i="2"/>
  <c r="B2261" i="2"/>
  <c r="C2261" i="2"/>
  <c r="G2261" i="2"/>
  <c r="D1821" i="2"/>
  <c r="E1821" i="2"/>
  <c r="D2056" i="2"/>
  <c r="E2056" i="2"/>
  <c r="D1852" i="2"/>
  <c r="E1852" i="2"/>
  <c r="D2124" i="2"/>
  <c r="E2124" i="2"/>
  <c r="D1886" i="2"/>
  <c r="E1886" i="2"/>
  <c r="D2022" i="2"/>
  <c r="E2022" i="2"/>
  <c r="O1985" i="2"/>
  <c r="T1985" i="2" s="1"/>
  <c r="T2188" i="2"/>
  <c r="T2154" i="2"/>
  <c r="T2155" i="2"/>
  <c r="T2225" i="2"/>
  <c r="T2190" i="2"/>
  <c r="R2226" i="2"/>
  <c r="I2226" i="2" s="1"/>
  <c r="O2226" i="2" s="1"/>
  <c r="S2226" i="2" s="1"/>
  <c r="R2191" i="2"/>
  <c r="I2191" i="2" s="1"/>
  <c r="O2191" i="2" s="1"/>
  <c r="S2191" i="2" s="1"/>
  <c r="C2228" i="2"/>
  <c r="B2228" i="2"/>
  <c r="A2229" i="2"/>
  <c r="G2228" i="2"/>
  <c r="T2189" i="2"/>
  <c r="G2159" i="2"/>
  <c r="C2159" i="2"/>
  <c r="B2159" i="2"/>
  <c r="A2160" i="2"/>
  <c r="C2193" i="2"/>
  <c r="B2193" i="2"/>
  <c r="G2193" i="2"/>
  <c r="A2194" i="2"/>
  <c r="R2157" i="2"/>
  <c r="I2156" i="2"/>
  <c r="S1883" i="2"/>
  <c r="R1986" i="2"/>
  <c r="S1849" i="2"/>
  <c r="R1884" i="2"/>
  <c r="S2053" i="2"/>
  <c r="S2121" i="2"/>
  <c r="T1781" i="2"/>
  <c r="S1747" i="2"/>
  <c r="T2053" i="2"/>
  <c r="S1917" i="2"/>
  <c r="S1815" i="2"/>
  <c r="S2087" i="2"/>
  <c r="R1816" i="2"/>
  <c r="S1816" i="2" s="1"/>
  <c r="T2121" i="2"/>
  <c r="T1951" i="2"/>
  <c r="S1951" i="2"/>
  <c r="R1918" i="2"/>
  <c r="R2088" i="2"/>
  <c r="T1747" i="2"/>
  <c r="R2122" i="2"/>
  <c r="T1815" i="2"/>
  <c r="T2087" i="2"/>
  <c r="R2054" i="2"/>
  <c r="R2020" i="2"/>
  <c r="I2020" i="2" s="1"/>
  <c r="R1782" i="2"/>
  <c r="R1850" i="2"/>
  <c r="R1952" i="2"/>
  <c r="T1849" i="2"/>
  <c r="R1748" i="2"/>
  <c r="S1781" i="2"/>
  <c r="O2122" i="2"/>
  <c r="O1884" i="2"/>
  <c r="O1918" i="2"/>
  <c r="O1782" i="2"/>
  <c r="O2088" i="2"/>
  <c r="O1952" i="2"/>
  <c r="O1986" i="2"/>
  <c r="O1850" i="2"/>
  <c r="A1821" i="2"/>
  <c r="C1821" i="2"/>
  <c r="G1821" i="2"/>
  <c r="A2057" i="2"/>
  <c r="G2056" i="2"/>
  <c r="C2056" i="2"/>
  <c r="B2056" i="2"/>
  <c r="G2090" i="2"/>
  <c r="C2090" i="2"/>
  <c r="A2091" i="2"/>
  <c r="B2090" i="2"/>
  <c r="S1713" i="2"/>
  <c r="T1713" i="2"/>
  <c r="O1748" i="2"/>
  <c r="B1852" i="2"/>
  <c r="G1852" i="2"/>
  <c r="A1853" i="2"/>
  <c r="A1854" i="2" s="1"/>
  <c r="C1852" i="2"/>
  <c r="A1921" i="2"/>
  <c r="C1920" i="2"/>
  <c r="B1920" i="2"/>
  <c r="G1920" i="2"/>
  <c r="B2124" i="2"/>
  <c r="C2124" i="2"/>
  <c r="A2125" i="2"/>
  <c r="G2124" i="2"/>
  <c r="G1886" i="2"/>
  <c r="B1886" i="2"/>
  <c r="C1886" i="2"/>
  <c r="A1887" i="2"/>
  <c r="O1885" i="2"/>
  <c r="G2022" i="2"/>
  <c r="B2022" i="2"/>
  <c r="A2023" i="2"/>
  <c r="C2022" i="2"/>
  <c r="B1786" i="2"/>
  <c r="T1749" i="2" l="1"/>
  <c r="I2031" i="2"/>
  <c r="O1751" i="2"/>
  <c r="S1715" i="2"/>
  <c r="S1716" i="2" s="1"/>
  <c r="R1716" i="2"/>
  <c r="T1716" i="2" s="1"/>
  <c r="O2054" i="2"/>
  <c r="S2019" i="2"/>
  <c r="B1990" i="2"/>
  <c r="C1990" i="2"/>
  <c r="D1990" i="2"/>
  <c r="E1990" i="2"/>
  <c r="G1990" i="2"/>
  <c r="A1991" i="2"/>
  <c r="B1956" i="2"/>
  <c r="C1956" i="2"/>
  <c r="D1956" i="2"/>
  <c r="E1956" i="2"/>
  <c r="G1956" i="2"/>
  <c r="A1957" i="2"/>
  <c r="B1820" i="2"/>
  <c r="C1820" i="2"/>
  <c r="D1820" i="2"/>
  <c r="E1820" i="2"/>
  <c r="G1820" i="2"/>
  <c r="A1855" i="2"/>
  <c r="G1854" i="2"/>
  <c r="E1854" i="2"/>
  <c r="D1854" i="2"/>
  <c r="C1854" i="2"/>
  <c r="B1854" i="2"/>
  <c r="Q1819" i="2"/>
  <c r="P1819" i="2"/>
  <c r="R1784" i="2"/>
  <c r="Q1785" i="2"/>
  <c r="Q1786" i="2" s="1"/>
  <c r="P1785" i="2"/>
  <c r="P1786" i="2" s="1"/>
  <c r="R1750" i="2"/>
  <c r="T1715" i="2"/>
  <c r="T2019" i="2"/>
  <c r="Q2022" i="2"/>
  <c r="P2022" i="2"/>
  <c r="Q1886" i="2"/>
  <c r="P1886" i="2"/>
  <c r="Q1954" i="2"/>
  <c r="P1954" i="2"/>
  <c r="Q1852" i="2"/>
  <c r="P1852" i="2"/>
  <c r="Q1988" i="2"/>
  <c r="P1988" i="2"/>
  <c r="Q2124" i="2"/>
  <c r="P2124" i="2"/>
  <c r="Q2159" i="2"/>
  <c r="P2159" i="2"/>
  <c r="Q2090" i="2"/>
  <c r="P2090" i="2"/>
  <c r="Q2056" i="2"/>
  <c r="P2056" i="2"/>
  <c r="Q1818" i="2"/>
  <c r="P1818" i="2"/>
  <c r="Q2193" i="2"/>
  <c r="P2193" i="2"/>
  <c r="Q2228" i="2"/>
  <c r="P2228" i="2"/>
  <c r="Q2261" i="2"/>
  <c r="P2261" i="2"/>
  <c r="Q1920" i="2"/>
  <c r="P1920" i="2"/>
  <c r="I2294" i="2"/>
  <c r="O2294" i="2" s="1"/>
  <c r="T2259" i="2"/>
  <c r="O2258" i="2"/>
  <c r="I2293" i="2"/>
  <c r="O2293" i="2" s="1"/>
  <c r="R2260" i="2"/>
  <c r="I2260" i="2" s="1"/>
  <c r="O2260" i="2" s="1"/>
  <c r="D2194" i="2"/>
  <c r="E2194" i="2"/>
  <c r="D2091" i="2"/>
  <c r="E2091" i="2"/>
  <c r="D2057" i="2"/>
  <c r="E2057" i="2"/>
  <c r="D2125" i="2"/>
  <c r="E2125" i="2"/>
  <c r="D1921" i="2"/>
  <c r="E1921" i="2"/>
  <c r="D2160" i="2"/>
  <c r="E2160" i="2"/>
  <c r="D2229" i="2"/>
  <c r="E2229" i="2"/>
  <c r="D1853" i="2"/>
  <c r="D1856" i="2" s="1"/>
  <c r="E1853" i="2"/>
  <c r="E1856" i="2" s="1"/>
  <c r="D2023" i="2"/>
  <c r="E2023" i="2"/>
  <c r="D1887" i="2"/>
  <c r="E1887" i="2"/>
  <c r="D2262" i="2"/>
  <c r="E2262" i="2"/>
  <c r="B2262" i="2"/>
  <c r="A2263" i="2"/>
  <c r="G2262" i="2"/>
  <c r="C2262" i="2"/>
  <c r="S1985" i="2"/>
  <c r="O2020" i="2"/>
  <c r="T2020" i="2" s="1"/>
  <c r="O2156" i="2"/>
  <c r="S2156" i="2" s="1"/>
  <c r="C2229" i="2"/>
  <c r="B2229" i="2"/>
  <c r="G2229" i="2"/>
  <c r="A2230" i="2"/>
  <c r="R2227" i="2"/>
  <c r="R2158" i="2"/>
  <c r="I2158" i="2" s="1"/>
  <c r="T2226" i="2"/>
  <c r="T2191" i="2"/>
  <c r="C2160" i="2"/>
  <c r="A2161" i="2"/>
  <c r="G2160" i="2"/>
  <c r="B2160" i="2"/>
  <c r="I2157" i="2"/>
  <c r="R2192" i="2"/>
  <c r="B2194" i="2"/>
  <c r="A2195" i="2"/>
  <c r="C2194" i="2"/>
  <c r="G2194" i="2"/>
  <c r="S1986" i="2"/>
  <c r="T1850" i="2"/>
  <c r="T1884" i="2"/>
  <c r="R1919" i="2"/>
  <c r="R2089" i="2"/>
  <c r="S1952" i="2"/>
  <c r="S1884" i="2"/>
  <c r="T1816" i="2"/>
  <c r="S1850" i="2"/>
  <c r="S1918" i="2"/>
  <c r="T2122" i="2"/>
  <c r="S2088" i="2"/>
  <c r="S1782" i="2"/>
  <c r="R2021" i="2"/>
  <c r="R1885" i="2"/>
  <c r="T1885" i="2" s="1"/>
  <c r="T1952" i="2"/>
  <c r="T1782" i="2"/>
  <c r="T1918" i="2"/>
  <c r="R2055" i="2"/>
  <c r="I2055" i="2" s="1"/>
  <c r="R1953" i="2"/>
  <c r="R1987" i="2"/>
  <c r="R1851" i="2"/>
  <c r="R2123" i="2"/>
  <c r="R1817" i="2"/>
  <c r="T1986" i="2"/>
  <c r="S2122" i="2"/>
  <c r="T2088" i="2"/>
  <c r="O2123" i="2"/>
  <c r="O2021" i="2"/>
  <c r="O1987" i="2"/>
  <c r="O1851" i="2"/>
  <c r="O1953" i="2"/>
  <c r="O1919" i="2"/>
  <c r="O1817" i="2"/>
  <c r="O1783" i="2"/>
  <c r="O1988" i="2"/>
  <c r="A2024" i="2"/>
  <c r="C2023" i="2"/>
  <c r="G2023" i="2"/>
  <c r="B2023" i="2"/>
  <c r="G1887" i="2"/>
  <c r="A1888" i="2"/>
  <c r="A1889" i="2" s="1"/>
  <c r="C1887" i="2"/>
  <c r="B1887" i="2"/>
  <c r="C2125" i="2"/>
  <c r="B2125" i="2"/>
  <c r="G2125" i="2"/>
  <c r="A2126" i="2"/>
  <c r="C1921" i="2"/>
  <c r="B1921" i="2"/>
  <c r="A1922" i="2"/>
  <c r="G1921" i="2"/>
  <c r="A1856" i="2"/>
  <c r="B1853" i="2"/>
  <c r="C1853" i="2"/>
  <c r="C1856" i="2" s="1"/>
  <c r="G1853" i="2"/>
  <c r="G1856" i="2" s="1"/>
  <c r="O1852" i="2"/>
  <c r="S1748" i="2"/>
  <c r="T1748" i="2"/>
  <c r="B2091" i="2"/>
  <c r="A2092" i="2"/>
  <c r="A2093" i="2" s="1"/>
  <c r="C2091" i="2"/>
  <c r="G2091" i="2"/>
  <c r="B2057" i="2"/>
  <c r="A2058" i="2"/>
  <c r="C2057" i="2"/>
  <c r="G2057" i="2"/>
  <c r="B1821" i="2"/>
  <c r="O1786" i="2" l="1"/>
  <c r="I2066" i="2"/>
  <c r="S1750" i="2"/>
  <c r="S1751" i="2" s="1"/>
  <c r="R1751" i="2"/>
  <c r="T1751" i="2" s="1"/>
  <c r="O2089" i="2"/>
  <c r="S2089" i="2" s="1"/>
  <c r="T2054" i="2"/>
  <c r="B2093" i="2"/>
  <c r="C2093" i="2"/>
  <c r="D2093" i="2"/>
  <c r="E2093" i="2"/>
  <c r="G2093" i="2"/>
  <c r="A2094" i="2"/>
  <c r="T1750" i="2"/>
  <c r="B1991" i="2"/>
  <c r="C1991" i="2"/>
  <c r="D1991" i="2"/>
  <c r="E1991" i="2"/>
  <c r="G1991" i="2"/>
  <c r="A1992" i="2"/>
  <c r="B1957" i="2"/>
  <c r="C1957" i="2"/>
  <c r="D1957" i="2"/>
  <c r="E1957" i="2"/>
  <c r="G1957" i="2"/>
  <c r="A1958" i="2"/>
  <c r="A1890" i="2"/>
  <c r="G1889" i="2"/>
  <c r="E1889" i="2"/>
  <c r="D1889" i="2"/>
  <c r="C1889" i="2"/>
  <c r="B1889" i="2"/>
  <c r="G1855" i="2"/>
  <c r="E1855" i="2"/>
  <c r="D1855" i="2"/>
  <c r="C1855" i="2"/>
  <c r="B1855" i="2"/>
  <c r="Q1854" i="2"/>
  <c r="P1854" i="2"/>
  <c r="R1819" i="2"/>
  <c r="T1819" i="2" s="1"/>
  <c r="Q1820" i="2"/>
  <c r="Q1821" i="2" s="1"/>
  <c r="P1820" i="2"/>
  <c r="P1821" i="2" s="1"/>
  <c r="R1785" i="2"/>
  <c r="T1784" i="2"/>
  <c r="S1784" i="2"/>
  <c r="S2054" i="2"/>
  <c r="Q1955" i="2"/>
  <c r="P1955" i="2"/>
  <c r="Q1887" i="2"/>
  <c r="P1887" i="2"/>
  <c r="Q2023" i="2"/>
  <c r="P2023" i="2"/>
  <c r="Q2160" i="2"/>
  <c r="P2160" i="2"/>
  <c r="Q2262" i="2"/>
  <c r="P2262" i="2"/>
  <c r="Q1989" i="2"/>
  <c r="P1989" i="2"/>
  <c r="Q2194" i="2"/>
  <c r="P2194" i="2"/>
  <c r="Q1853" i="2"/>
  <c r="P1853" i="2"/>
  <c r="Q1921" i="2"/>
  <c r="P1921" i="2"/>
  <c r="Q2125" i="2"/>
  <c r="P2125" i="2"/>
  <c r="Q2229" i="2"/>
  <c r="P2229" i="2"/>
  <c r="Q2057" i="2"/>
  <c r="P2057" i="2"/>
  <c r="Q2091" i="2"/>
  <c r="P2091" i="2"/>
  <c r="I2295" i="2"/>
  <c r="O2295" i="2" s="1"/>
  <c r="S2258" i="2"/>
  <c r="T2258" i="2"/>
  <c r="D2263" i="2"/>
  <c r="E2263" i="2"/>
  <c r="G2263" i="2"/>
  <c r="B2263" i="2"/>
  <c r="A2264" i="2"/>
  <c r="C2263" i="2"/>
  <c r="D2126" i="2"/>
  <c r="E2126" i="2"/>
  <c r="D2058" i="2"/>
  <c r="E2058" i="2"/>
  <c r="D2024" i="2"/>
  <c r="E2024" i="2"/>
  <c r="D2195" i="2"/>
  <c r="E2195" i="2"/>
  <c r="D2161" i="2"/>
  <c r="E2161" i="2"/>
  <c r="D2230" i="2"/>
  <c r="E2230" i="2"/>
  <c r="D2092" i="2"/>
  <c r="E2092" i="2"/>
  <c r="D1922" i="2"/>
  <c r="E1922" i="2"/>
  <c r="D1888" i="2"/>
  <c r="D1891" i="2" s="1"/>
  <c r="E1888" i="2"/>
  <c r="E1891" i="2" s="1"/>
  <c r="R2261" i="2"/>
  <c r="S2020" i="2"/>
  <c r="T2156" i="2"/>
  <c r="S2260" i="2"/>
  <c r="T2260" i="2"/>
  <c r="O2055" i="2"/>
  <c r="T2055" i="2" s="1"/>
  <c r="O2157" i="2"/>
  <c r="O2158" i="2"/>
  <c r="I2227" i="2"/>
  <c r="O2227" i="2" s="1"/>
  <c r="S2227" i="2" s="1"/>
  <c r="R2228" i="2"/>
  <c r="G2230" i="2"/>
  <c r="A2231" i="2"/>
  <c r="B2230" i="2"/>
  <c r="C2230" i="2"/>
  <c r="R2193" i="2"/>
  <c r="I2192" i="2"/>
  <c r="O2192" i="2" s="1"/>
  <c r="S2192" i="2" s="1"/>
  <c r="R2159" i="2"/>
  <c r="G2195" i="2"/>
  <c r="B2195" i="2"/>
  <c r="C2195" i="2"/>
  <c r="A2196" i="2"/>
  <c r="G2161" i="2"/>
  <c r="C2161" i="2"/>
  <c r="A2162" i="2"/>
  <c r="B2161" i="2"/>
  <c r="T1919" i="2"/>
  <c r="S1885" i="2"/>
  <c r="T1817" i="2"/>
  <c r="S1817" i="2"/>
  <c r="T1851" i="2"/>
  <c r="S1919" i="2"/>
  <c r="T2021" i="2"/>
  <c r="T2123" i="2"/>
  <c r="S1851" i="2"/>
  <c r="S1987" i="2"/>
  <c r="S1953" i="2"/>
  <c r="R1988" i="2"/>
  <c r="R1852" i="2"/>
  <c r="R1954" i="2"/>
  <c r="S2021" i="2"/>
  <c r="S2123" i="2"/>
  <c r="R2090" i="2"/>
  <c r="I2090" i="2" s="1"/>
  <c r="O2090" i="2" s="1"/>
  <c r="R2056" i="2"/>
  <c r="R2124" i="2"/>
  <c r="R1920" i="2"/>
  <c r="R1886" i="2"/>
  <c r="R2022" i="2"/>
  <c r="T1987" i="2"/>
  <c r="T1953" i="2"/>
  <c r="R1818" i="2"/>
  <c r="R1783" i="2"/>
  <c r="O1954" i="2"/>
  <c r="O1886" i="2"/>
  <c r="O1920" i="2"/>
  <c r="O2056" i="2"/>
  <c r="O2022" i="2"/>
  <c r="O1818" i="2"/>
  <c r="G2058" i="2"/>
  <c r="B2058" i="2"/>
  <c r="A2059" i="2"/>
  <c r="C2058" i="2"/>
  <c r="G2092" i="2"/>
  <c r="C2092" i="2"/>
  <c r="B2092" i="2"/>
  <c r="B1856" i="2"/>
  <c r="B1922" i="2"/>
  <c r="A1923" i="2"/>
  <c r="A1924" i="2" s="1"/>
  <c r="G1922" i="2"/>
  <c r="C1922" i="2"/>
  <c r="O1921" i="2"/>
  <c r="A2127" i="2"/>
  <c r="G2126" i="2"/>
  <c r="C2126" i="2"/>
  <c r="B2126" i="2"/>
  <c r="B1888" i="2"/>
  <c r="A1891" i="2"/>
  <c r="G1888" i="2"/>
  <c r="G1891" i="2" s="1"/>
  <c r="C1888" i="2"/>
  <c r="C1891" i="2" s="1"/>
  <c r="C2024" i="2"/>
  <c r="B2024" i="2"/>
  <c r="G2024" i="2"/>
  <c r="A2025" i="2"/>
  <c r="S1819" i="2" l="1"/>
  <c r="I2101" i="2"/>
  <c r="O1821" i="2"/>
  <c r="R1786" i="2"/>
  <c r="O2124" i="2"/>
  <c r="T1785" i="2"/>
  <c r="S1785" i="2"/>
  <c r="B2094" i="2"/>
  <c r="C2094" i="2"/>
  <c r="D2094" i="2"/>
  <c r="E2094" i="2"/>
  <c r="G2094" i="2"/>
  <c r="A2095" i="2"/>
  <c r="B1992" i="2"/>
  <c r="C1992" i="2"/>
  <c r="D1992" i="2"/>
  <c r="E1992" i="2"/>
  <c r="G1992" i="2"/>
  <c r="A1993" i="2"/>
  <c r="T1988" i="2"/>
  <c r="B1958" i="2"/>
  <c r="C1958" i="2"/>
  <c r="D1958" i="2"/>
  <c r="E1958" i="2"/>
  <c r="G1958" i="2"/>
  <c r="A1959" i="2"/>
  <c r="A1925" i="2"/>
  <c r="G1924" i="2"/>
  <c r="E1924" i="2"/>
  <c r="D1924" i="2"/>
  <c r="C1924" i="2"/>
  <c r="B1924" i="2"/>
  <c r="Q1889" i="2"/>
  <c r="P1889" i="2"/>
  <c r="R1854" i="2"/>
  <c r="T1854" i="2" s="1"/>
  <c r="G1890" i="2"/>
  <c r="E1890" i="2"/>
  <c r="D1890" i="2"/>
  <c r="C1890" i="2"/>
  <c r="B1890" i="2"/>
  <c r="Q1855" i="2"/>
  <c r="Q1856" i="2" s="1"/>
  <c r="P1855" i="2"/>
  <c r="P1856" i="2" s="1"/>
  <c r="R1820" i="2"/>
  <c r="T1820" i="2" s="1"/>
  <c r="T2089" i="2"/>
  <c r="T1852" i="2"/>
  <c r="Q1888" i="2"/>
  <c r="P1888" i="2"/>
  <c r="Q1922" i="2"/>
  <c r="P1922" i="2"/>
  <c r="Q2058" i="2"/>
  <c r="P2058" i="2"/>
  <c r="Q2263" i="2"/>
  <c r="P2263" i="2"/>
  <c r="Q2161" i="2"/>
  <c r="P2161" i="2"/>
  <c r="Q2230" i="2"/>
  <c r="P2230" i="2"/>
  <c r="Q2092" i="2"/>
  <c r="P2092" i="2"/>
  <c r="Q2126" i="2"/>
  <c r="P2126" i="2"/>
  <c r="Q2024" i="2"/>
  <c r="P2024" i="2"/>
  <c r="Q1956" i="2"/>
  <c r="P1956" i="2"/>
  <c r="Q1990" i="2"/>
  <c r="P1990" i="2"/>
  <c r="Q2195" i="2"/>
  <c r="P2195" i="2"/>
  <c r="D2127" i="2"/>
  <c r="E2127" i="2"/>
  <c r="D2059" i="2"/>
  <c r="E2059" i="2"/>
  <c r="D2231" i="2"/>
  <c r="E2231" i="2"/>
  <c r="D2196" i="2"/>
  <c r="E2196" i="2"/>
  <c r="R2262" i="2"/>
  <c r="I2262" i="2" s="1"/>
  <c r="O2262" i="2" s="1"/>
  <c r="S2262" i="2" s="1"/>
  <c r="I2261" i="2"/>
  <c r="D1923" i="2"/>
  <c r="D1926" i="2" s="1"/>
  <c r="E1923" i="2"/>
  <c r="E1926" i="2" s="1"/>
  <c r="D2162" i="2"/>
  <c r="E2162" i="2"/>
  <c r="D2025" i="2"/>
  <c r="E2025" i="2"/>
  <c r="D2264" i="2"/>
  <c r="E2264" i="2"/>
  <c r="C2264" i="2"/>
  <c r="A2265" i="2"/>
  <c r="G2264" i="2"/>
  <c r="B2264" i="2"/>
  <c r="S2055" i="2"/>
  <c r="T2192" i="2"/>
  <c r="T2227" i="2"/>
  <c r="R2229" i="2"/>
  <c r="S2158" i="2"/>
  <c r="T2158" i="2"/>
  <c r="S2157" i="2"/>
  <c r="T2157" i="2"/>
  <c r="B2231" i="2"/>
  <c r="A2232" i="2"/>
  <c r="G2231" i="2"/>
  <c r="C2231" i="2"/>
  <c r="R2160" i="2"/>
  <c r="I2160" i="2" s="1"/>
  <c r="O2160" i="2" s="1"/>
  <c r="S2160" i="2" s="1"/>
  <c r="I2228" i="2"/>
  <c r="O2228" i="2" s="1"/>
  <c r="S2228" i="2" s="1"/>
  <c r="G2196" i="2"/>
  <c r="A2197" i="2"/>
  <c r="C2196" i="2"/>
  <c r="B2196" i="2"/>
  <c r="R2194" i="2"/>
  <c r="I2159" i="2"/>
  <c r="A2163" i="2"/>
  <c r="G2162" i="2"/>
  <c r="B2162" i="2"/>
  <c r="C2162" i="2"/>
  <c r="I2193" i="2"/>
  <c r="R2057" i="2"/>
  <c r="S1920" i="2"/>
  <c r="S1886" i="2"/>
  <c r="R1887" i="2"/>
  <c r="T1886" i="2"/>
  <c r="S1988" i="2"/>
  <c r="T1954" i="2"/>
  <c r="T2022" i="2"/>
  <c r="S1852" i="2"/>
  <c r="S1954" i="2"/>
  <c r="S2090" i="2"/>
  <c r="R2091" i="2"/>
  <c r="S2056" i="2"/>
  <c r="R1989" i="2"/>
  <c r="T1920" i="2"/>
  <c r="T2090" i="2"/>
  <c r="S2022" i="2"/>
  <c r="R1921" i="2"/>
  <c r="T1921" i="2" s="1"/>
  <c r="R2023" i="2"/>
  <c r="T1783" i="2"/>
  <c r="R2125" i="2"/>
  <c r="I2125" i="2" s="1"/>
  <c r="O2125" i="2" s="1"/>
  <c r="R1955" i="2"/>
  <c r="S1783" i="2"/>
  <c r="T2056" i="2"/>
  <c r="T1786" i="2"/>
  <c r="O1989" i="2"/>
  <c r="O2091" i="2"/>
  <c r="O2057" i="2"/>
  <c r="O2023" i="2"/>
  <c r="O1955" i="2"/>
  <c r="O1887" i="2"/>
  <c r="A2026" i="2"/>
  <c r="B2025" i="2"/>
  <c r="C2025" i="2"/>
  <c r="G2025" i="2"/>
  <c r="O2024" i="2"/>
  <c r="B1891" i="2"/>
  <c r="B2127" i="2"/>
  <c r="C2127" i="2"/>
  <c r="G2127" i="2"/>
  <c r="A2128" i="2"/>
  <c r="C1923" i="2"/>
  <c r="C1926" i="2" s="1"/>
  <c r="A1926" i="2"/>
  <c r="G1923" i="2"/>
  <c r="G1926" i="2" s="1"/>
  <c r="B1923" i="2"/>
  <c r="O1853" i="2"/>
  <c r="G2059" i="2"/>
  <c r="C2059" i="2"/>
  <c r="A2060" i="2"/>
  <c r="B2059" i="2"/>
  <c r="T1818" i="2"/>
  <c r="S1818" i="2"/>
  <c r="S1854" i="2" l="1"/>
  <c r="O1856" i="2"/>
  <c r="S1786" i="2"/>
  <c r="I2136" i="2"/>
  <c r="S1820" i="2"/>
  <c r="S1821" i="2" s="1"/>
  <c r="R1821" i="2"/>
  <c r="T1821" i="2" s="1"/>
  <c r="I2229" i="2"/>
  <c r="B2095" i="2"/>
  <c r="C2095" i="2"/>
  <c r="D2095" i="2"/>
  <c r="E2095" i="2"/>
  <c r="G2095" i="2"/>
  <c r="A2096" i="2"/>
  <c r="B1993" i="2"/>
  <c r="C1993" i="2"/>
  <c r="D1993" i="2"/>
  <c r="E1993" i="2"/>
  <c r="G1993" i="2"/>
  <c r="A1994" i="2"/>
  <c r="B1959" i="2"/>
  <c r="C1959" i="2"/>
  <c r="D1959" i="2"/>
  <c r="E1959" i="2"/>
  <c r="G1959" i="2"/>
  <c r="A1960" i="2"/>
  <c r="R1889" i="2"/>
  <c r="S1889" i="2" s="1"/>
  <c r="Q1924" i="2"/>
  <c r="P1924" i="2"/>
  <c r="G1925" i="2"/>
  <c r="E1925" i="2"/>
  <c r="D1925" i="2"/>
  <c r="C1925" i="2"/>
  <c r="B1925" i="2"/>
  <c r="Q1890" i="2"/>
  <c r="Q1891" i="2" s="1"/>
  <c r="P1890" i="2"/>
  <c r="P1891" i="2" s="1"/>
  <c r="R1855" i="2"/>
  <c r="T2124" i="2"/>
  <c r="S2124" i="2"/>
  <c r="Q2093" i="2"/>
  <c r="P2093" i="2"/>
  <c r="Q2196" i="2"/>
  <c r="P2196" i="2"/>
  <c r="Q2264" i="2"/>
  <c r="P2264" i="2"/>
  <c r="Q2059" i="2"/>
  <c r="P2059" i="2"/>
  <c r="Q2127" i="2"/>
  <c r="P2127" i="2"/>
  <c r="Q1991" i="2"/>
  <c r="P1991" i="2"/>
  <c r="Q2025" i="2"/>
  <c r="P2025" i="2"/>
  <c r="Q2231" i="2"/>
  <c r="P2231" i="2"/>
  <c r="Q1923" i="2"/>
  <c r="P1923" i="2"/>
  <c r="Q1957" i="2"/>
  <c r="P1957" i="2"/>
  <c r="Q2162" i="2"/>
  <c r="P2162" i="2"/>
  <c r="T2262" i="2"/>
  <c r="I2297" i="2"/>
  <c r="O2297" i="2" s="1"/>
  <c r="D2060" i="2"/>
  <c r="E2060" i="2"/>
  <c r="D1961" i="2"/>
  <c r="E1961" i="2"/>
  <c r="D2128" i="2"/>
  <c r="E2128" i="2"/>
  <c r="D2197" i="2"/>
  <c r="E2197" i="2"/>
  <c r="O2261" i="2"/>
  <c r="I2296" i="2"/>
  <c r="O2296" i="2" s="1"/>
  <c r="D2163" i="2"/>
  <c r="E2163" i="2"/>
  <c r="D2026" i="2"/>
  <c r="E2026" i="2"/>
  <c r="D2232" i="2"/>
  <c r="E2232" i="2"/>
  <c r="D2265" i="2"/>
  <c r="E2265" i="2"/>
  <c r="C2265" i="2"/>
  <c r="G2265" i="2"/>
  <c r="B2265" i="2"/>
  <c r="A2266" i="2"/>
  <c r="R2263" i="2"/>
  <c r="R2230" i="2"/>
  <c r="O2230" i="2" s="1"/>
  <c r="S2230" i="2" s="1"/>
  <c r="O2159" i="2"/>
  <c r="T2160" i="2"/>
  <c r="O2193" i="2"/>
  <c r="S2193" i="2" s="1"/>
  <c r="R2195" i="2"/>
  <c r="O2195" i="2" s="1"/>
  <c r="S2195" i="2" s="1"/>
  <c r="G2232" i="2"/>
  <c r="A2233" i="2"/>
  <c r="B2232" i="2"/>
  <c r="C2232" i="2"/>
  <c r="R2161" i="2"/>
  <c r="I2161" i="2" s="1"/>
  <c r="T2228" i="2"/>
  <c r="I2194" i="2"/>
  <c r="G2163" i="2"/>
  <c r="C2163" i="2"/>
  <c r="B2163" i="2"/>
  <c r="A2164" i="2"/>
  <c r="C2197" i="2"/>
  <c r="A2198" i="2"/>
  <c r="G2197" i="2"/>
  <c r="B2197" i="2"/>
  <c r="T2057" i="2"/>
  <c r="T1887" i="2"/>
  <c r="S1921" i="2"/>
  <c r="R2024" i="2"/>
  <c r="S2024" i="2" s="1"/>
  <c r="S2057" i="2"/>
  <c r="S2091" i="2"/>
  <c r="S2023" i="2"/>
  <c r="T1989" i="2"/>
  <c r="T1955" i="2"/>
  <c r="R2058" i="2"/>
  <c r="T2023" i="2"/>
  <c r="S2125" i="2"/>
  <c r="R2126" i="2"/>
  <c r="R1922" i="2"/>
  <c r="T2091" i="2"/>
  <c r="R1990" i="2"/>
  <c r="R1956" i="2"/>
  <c r="R2092" i="2"/>
  <c r="S1989" i="2"/>
  <c r="S1955" i="2"/>
  <c r="R1853" i="2"/>
  <c r="R1888" i="2"/>
  <c r="O2126" i="2"/>
  <c r="T2125" i="2"/>
  <c r="S1887" i="2"/>
  <c r="O2058" i="2"/>
  <c r="O2092" i="2"/>
  <c r="O1956" i="2"/>
  <c r="O1990" i="2"/>
  <c r="O1922" i="2"/>
  <c r="B2060" i="2"/>
  <c r="G2060" i="2"/>
  <c r="A2061" i="2"/>
  <c r="C2060" i="2"/>
  <c r="C1961" i="2"/>
  <c r="A1961" i="2"/>
  <c r="G1961" i="2"/>
  <c r="B1926" i="2"/>
  <c r="G2128" i="2"/>
  <c r="B2128" i="2"/>
  <c r="A2129" i="2"/>
  <c r="C2128" i="2"/>
  <c r="O2127" i="2"/>
  <c r="O1888" i="2"/>
  <c r="O2025" i="2"/>
  <c r="G2026" i="2"/>
  <c r="B2026" i="2"/>
  <c r="C2026" i="2"/>
  <c r="A2027" i="2"/>
  <c r="A2028" i="2" s="1"/>
  <c r="O1991" i="2"/>
  <c r="T1889" i="2" l="1"/>
  <c r="O1891" i="2"/>
  <c r="S1855" i="2"/>
  <c r="R1856" i="2"/>
  <c r="T1856" i="2" s="1"/>
  <c r="O2194" i="2"/>
  <c r="S2159" i="2"/>
  <c r="O2229" i="2"/>
  <c r="T2229" i="2" s="1"/>
  <c r="B2096" i="2"/>
  <c r="C2096" i="2"/>
  <c r="D2096" i="2"/>
  <c r="E2096" i="2"/>
  <c r="G2096" i="2"/>
  <c r="A2097" i="2"/>
  <c r="B2028" i="2"/>
  <c r="C2028" i="2"/>
  <c r="D2028" i="2"/>
  <c r="E2028" i="2"/>
  <c r="G2028" i="2"/>
  <c r="A2029" i="2"/>
  <c r="B1994" i="2"/>
  <c r="C1994" i="2"/>
  <c r="D1994" i="2"/>
  <c r="E1994" i="2"/>
  <c r="G1994" i="2"/>
  <c r="A1995" i="2"/>
  <c r="R1924" i="2"/>
  <c r="T1924" i="2" s="1"/>
  <c r="B1960" i="2"/>
  <c r="C1960" i="2"/>
  <c r="D1960" i="2"/>
  <c r="E1960" i="2"/>
  <c r="G1960" i="2"/>
  <c r="Q1959" i="2"/>
  <c r="P1959" i="2"/>
  <c r="R1890" i="2"/>
  <c r="R1891" i="2" s="1"/>
  <c r="Q1925" i="2"/>
  <c r="Q1926" i="2" s="1"/>
  <c r="P1925" i="2"/>
  <c r="P1926" i="2" s="1"/>
  <c r="T1855" i="2"/>
  <c r="Q2128" i="2"/>
  <c r="P2128" i="2"/>
  <c r="Q1992" i="2"/>
  <c r="P1992" i="2"/>
  <c r="Q2026" i="2"/>
  <c r="P2026" i="2"/>
  <c r="Q1958" i="2"/>
  <c r="P1958" i="2"/>
  <c r="Q2197" i="2"/>
  <c r="P2197" i="2"/>
  <c r="Q2094" i="2"/>
  <c r="P2094" i="2"/>
  <c r="Q2060" i="2"/>
  <c r="P2060" i="2"/>
  <c r="Q2163" i="2"/>
  <c r="P2163" i="2"/>
  <c r="Q2232" i="2"/>
  <c r="P2232" i="2"/>
  <c r="Q2265" i="2"/>
  <c r="P2265" i="2"/>
  <c r="R2264" i="2"/>
  <c r="D2164" i="2"/>
  <c r="E2164" i="2"/>
  <c r="D2266" i="2"/>
  <c r="E2266" i="2"/>
  <c r="G2266" i="2"/>
  <c r="C2266" i="2"/>
  <c r="A2267" i="2"/>
  <c r="B2266" i="2"/>
  <c r="D2027" i="2"/>
  <c r="E2027" i="2"/>
  <c r="S2261" i="2"/>
  <c r="T2261" i="2"/>
  <c r="D1996" i="2"/>
  <c r="E1996" i="2"/>
  <c r="D2129" i="2"/>
  <c r="E2129" i="2"/>
  <c r="D2198" i="2"/>
  <c r="E2198" i="2"/>
  <c r="D2233" i="2"/>
  <c r="E2233" i="2"/>
  <c r="D2061" i="2"/>
  <c r="E2061" i="2"/>
  <c r="I2263" i="2"/>
  <c r="T2159" i="2"/>
  <c r="T2193" i="2"/>
  <c r="T2230" i="2"/>
  <c r="T2195" i="2"/>
  <c r="O2161" i="2"/>
  <c r="S2161" i="2" s="1"/>
  <c r="R2231" i="2"/>
  <c r="R2196" i="2"/>
  <c r="T2194" i="2"/>
  <c r="G2233" i="2"/>
  <c r="C2233" i="2"/>
  <c r="A2234" i="2"/>
  <c r="B2233" i="2"/>
  <c r="C2198" i="2"/>
  <c r="A2199" i="2"/>
  <c r="G2198" i="2"/>
  <c r="B2198" i="2"/>
  <c r="R2162" i="2"/>
  <c r="I2162" i="2" s="1"/>
  <c r="G2164" i="2"/>
  <c r="A2165" i="2"/>
  <c r="B2164" i="2"/>
  <c r="C2164" i="2"/>
  <c r="T2024" i="2"/>
  <c r="R2093" i="2"/>
  <c r="R1957" i="2"/>
  <c r="S1990" i="2"/>
  <c r="S2058" i="2"/>
  <c r="T1922" i="2"/>
  <c r="S2126" i="2"/>
  <c r="T1956" i="2"/>
  <c r="S1922" i="2"/>
  <c r="T1990" i="2"/>
  <c r="T2126" i="2"/>
  <c r="T2092" i="2"/>
  <c r="R2025" i="2"/>
  <c r="T2025" i="2" s="1"/>
  <c r="S1956" i="2"/>
  <c r="R1991" i="2"/>
  <c r="S1853" i="2"/>
  <c r="T1853" i="2"/>
  <c r="R2127" i="2"/>
  <c r="S2127" i="2" s="1"/>
  <c r="R2059" i="2"/>
  <c r="T2058" i="2"/>
  <c r="R1923" i="2"/>
  <c r="O2093" i="2"/>
  <c r="S2092" i="2"/>
  <c r="O1957" i="2"/>
  <c r="O2059" i="2"/>
  <c r="C1996" i="2"/>
  <c r="A1996" i="2"/>
  <c r="G1996" i="2"/>
  <c r="G2027" i="2"/>
  <c r="C2027" i="2"/>
  <c r="B2027" i="2"/>
  <c r="T1888" i="2"/>
  <c r="S1888" i="2"/>
  <c r="A2130" i="2"/>
  <c r="A2131" i="2" s="1"/>
  <c r="G2129" i="2"/>
  <c r="C2129" i="2"/>
  <c r="B2129" i="2"/>
  <c r="O1923" i="2"/>
  <c r="B1961" i="2"/>
  <c r="B2061" i="2"/>
  <c r="C2061" i="2"/>
  <c r="A2062" i="2"/>
  <c r="G2061" i="2"/>
  <c r="T1891" i="2" l="1"/>
  <c r="S1924" i="2"/>
  <c r="T1890" i="2"/>
  <c r="S1856" i="2"/>
  <c r="O1926" i="2"/>
  <c r="I2264" i="2"/>
  <c r="S1890" i="2"/>
  <c r="S1891" i="2" s="1"/>
  <c r="S2229" i="2"/>
  <c r="S2194" i="2"/>
  <c r="B2131" i="2"/>
  <c r="C2131" i="2"/>
  <c r="D2131" i="2"/>
  <c r="E2131" i="2"/>
  <c r="G2131" i="2"/>
  <c r="A2132" i="2"/>
  <c r="B2097" i="2"/>
  <c r="C2097" i="2"/>
  <c r="D2097" i="2"/>
  <c r="E2097" i="2"/>
  <c r="G2097" i="2"/>
  <c r="A2098" i="2"/>
  <c r="R1959" i="2"/>
  <c r="S1959" i="2" s="1"/>
  <c r="B2029" i="2"/>
  <c r="C2029" i="2"/>
  <c r="D2029" i="2"/>
  <c r="E2029" i="2"/>
  <c r="G2029" i="2"/>
  <c r="A2030" i="2"/>
  <c r="B1995" i="2"/>
  <c r="C1995" i="2"/>
  <c r="D1995" i="2"/>
  <c r="E1995" i="2"/>
  <c r="G1995" i="2"/>
  <c r="T1991" i="2"/>
  <c r="Q1994" i="2"/>
  <c r="P1994" i="2"/>
  <c r="R1925" i="2"/>
  <c r="Q1960" i="2"/>
  <c r="Q1961" i="2" s="1"/>
  <c r="P1960" i="2"/>
  <c r="P1961" i="2" s="1"/>
  <c r="I2196" i="2"/>
  <c r="O2196" i="2" s="1"/>
  <c r="I2231" i="2"/>
  <c r="O2231" i="2" s="1"/>
  <c r="Q2198" i="2"/>
  <c r="P2198" i="2"/>
  <c r="Q2266" i="2"/>
  <c r="P2266" i="2"/>
  <c r="Q1993" i="2"/>
  <c r="P1993" i="2"/>
  <c r="Q2164" i="2"/>
  <c r="P2164" i="2"/>
  <c r="Q2233" i="2"/>
  <c r="P2233" i="2"/>
  <c r="Q2027" i="2"/>
  <c r="P2027" i="2"/>
  <c r="Q2061" i="2"/>
  <c r="P2061" i="2"/>
  <c r="Q2129" i="2"/>
  <c r="P2129" i="2"/>
  <c r="Q2095" i="2"/>
  <c r="P2095" i="2"/>
  <c r="R2265" i="2"/>
  <c r="I2265" i="2" s="1"/>
  <c r="O2265" i="2" s="1"/>
  <c r="S2265" i="2" s="1"/>
  <c r="D2031" i="2"/>
  <c r="E2031" i="2"/>
  <c r="D2199" i="2"/>
  <c r="E2199" i="2"/>
  <c r="D2062" i="2"/>
  <c r="E2062" i="2"/>
  <c r="D2130" i="2"/>
  <c r="E2130" i="2"/>
  <c r="D2165" i="2"/>
  <c r="E2165" i="2"/>
  <c r="D2234" i="2"/>
  <c r="E2234" i="2"/>
  <c r="O2263" i="2"/>
  <c r="I2298" i="2"/>
  <c r="O2298" i="2" s="1"/>
  <c r="D2267" i="2"/>
  <c r="E2267" i="2"/>
  <c r="A2268" i="2"/>
  <c r="B2267" i="2"/>
  <c r="G2267" i="2"/>
  <c r="C2267" i="2"/>
  <c r="T2161" i="2"/>
  <c r="R2232" i="2"/>
  <c r="I2232" i="2" s="1"/>
  <c r="O2232" i="2" s="1"/>
  <c r="S2232" i="2" s="1"/>
  <c r="R2163" i="2"/>
  <c r="I2163" i="2" s="1"/>
  <c r="O2163" i="2" s="1"/>
  <c r="S2163" i="2" s="1"/>
  <c r="G2234" i="2"/>
  <c r="A2235" i="2"/>
  <c r="C2234" i="2"/>
  <c r="B2234" i="2"/>
  <c r="A2200" i="2"/>
  <c r="C2199" i="2"/>
  <c r="B2199" i="2"/>
  <c r="G2199" i="2"/>
  <c r="G2165" i="2"/>
  <c r="C2165" i="2"/>
  <c r="A2166" i="2"/>
  <c r="B2165" i="2"/>
  <c r="R2197" i="2"/>
  <c r="I2197" i="2" s="1"/>
  <c r="T2093" i="2"/>
  <c r="S1957" i="2"/>
  <c r="S2025" i="2"/>
  <c r="T2059" i="2"/>
  <c r="T2127" i="2"/>
  <c r="S1991" i="2"/>
  <c r="R1992" i="2"/>
  <c r="R2026" i="2"/>
  <c r="R2060" i="2"/>
  <c r="R2094" i="2"/>
  <c r="R2128" i="2"/>
  <c r="S2059" i="2"/>
  <c r="S2093" i="2"/>
  <c r="T1957" i="2"/>
  <c r="R1958" i="2"/>
  <c r="O2060" i="2"/>
  <c r="O2128" i="2"/>
  <c r="O2026" i="2"/>
  <c r="O2094" i="2"/>
  <c r="O1992" i="2"/>
  <c r="C2062" i="2"/>
  <c r="B2062" i="2"/>
  <c r="G2062" i="2"/>
  <c r="A2063" i="2"/>
  <c r="A2064" i="2" s="1"/>
  <c r="O2095" i="2"/>
  <c r="O1958" i="2"/>
  <c r="S1923" i="2"/>
  <c r="T1923" i="2"/>
  <c r="C2130" i="2"/>
  <c r="B2130" i="2"/>
  <c r="G2130" i="2"/>
  <c r="C2031" i="2"/>
  <c r="A2031" i="2"/>
  <c r="G2031" i="2"/>
  <c r="B1996" i="2"/>
  <c r="O1961" i="2" l="1"/>
  <c r="T1959" i="2"/>
  <c r="S1925" i="2"/>
  <c r="S1926" i="2" s="1"/>
  <c r="R1926" i="2"/>
  <c r="T1926" i="2" s="1"/>
  <c r="O2264" i="2"/>
  <c r="T2264" i="2" s="1"/>
  <c r="B2132" i="2"/>
  <c r="C2132" i="2"/>
  <c r="D2132" i="2"/>
  <c r="E2132" i="2"/>
  <c r="G2132" i="2"/>
  <c r="A2133" i="2"/>
  <c r="B2098" i="2"/>
  <c r="C2098" i="2"/>
  <c r="D2098" i="2"/>
  <c r="E2098" i="2"/>
  <c r="G2098" i="2"/>
  <c r="A2099" i="2"/>
  <c r="T1925" i="2"/>
  <c r="A2065" i="2"/>
  <c r="G2064" i="2"/>
  <c r="E2064" i="2"/>
  <c r="D2064" i="2"/>
  <c r="C2064" i="2"/>
  <c r="B2064" i="2"/>
  <c r="B2030" i="2"/>
  <c r="C2030" i="2"/>
  <c r="D2030" i="2"/>
  <c r="E2030" i="2"/>
  <c r="G2030" i="2"/>
  <c r="Q2029" i="2"/>
  <c r="P2029" i="2"/>
  <c r="R1994" i="2"/>
  <c r="Q1995" i="2"/>
  <c r="Q1996" i="2" s="1"/>
  <c r="P1995" i="2"/>
  <c r="P1996" i="2" s="1"/>
  <c r="R1960" i="2"/>
  <c r="T1960" i="2" s="1"/>
  <c r="S2231" i="2"/>
  <c r="T2231" i="2"/>
  <c r="S2196" i="2"/>
  <c r="T2196" i="2"/>
  <c r="Q2165" i="2"/>
  <c r="P2165" i="2"/>
  <c r="Q2234" i="2"/>
  <c r="P2234" i="2"/>
  <c r="Q2062" i="2"/>
  <c r="P2062" i="2"/>
  <c r="Q2199" i="2"/>
  <c r="P2199" i="2"/>
  <c r="Q2267" i="2"/>
  <c r="P2267" i="2"/>
  <c r="Q2028" i="2"/>
  <c r="P2028" i="2"/>
  <c r="Q2130" i="2"/>
  <c r="P2130" i="2"/>
  <c r="Q2096" i="2"/>
  <c r="P2096" i="2"/>
  <c r="T2265" i="2"/>
  <c r="D2166" i="2"/>
  <c r="E2166" i="2"/>
  <c r="D2235" i="2"/>
  <c r="E2235" i="2"/>
  <c r="D2063" i="2"/>
  <c r="D2066" i="2" s="1"/>
  <c r="E2063" i="2"/>
  <c r="E2066" i="2" s="1"/>
  <c r="D2200" i="2"/>
  <c r="E2200" i="2"/>
  <c r="S2263" i="2"/>
  <c r="T2263" i="2"/>
  <c r="D2268" i="2"/>
  <c r="E2268" i="2"/>
  <c r="A2269" i="2"/>
  <c r="G2268" i="2"/>
  <c r="C2268" i="2"/>
  <c r="B2268" i="2"/>
  <c r="R2266" i="2"/>
  <c r="I2266" i="2" s="1"/>
  <c r="R2233" i="2"/>
  <c r="I2233" i="2" s="1"/>
  <c r="O2233" i="2" s="1"/>
  <c r="S2233" i="2" s="1"/>
  <c r="O2162" i="2"/>
  <c r="S2162" i="2" s="1"/>
  <c r="T2232" i="2"/>
  <c r="T2163" i="2"/>
  <c r="A2236" i="2"/>
  <c r="B2235" i="2"/>
  <c r="C2235" i="2"/>
  <c r="G2235" i="2"/>
  <c r="O2197" i="2"/>
  <c r="S2197" i="2" s="1"/>
  <c r="A2167" i="2"/>
  <c r="C2166" i="2"/>
  <c r="G2166" i="2"/>
  <c r="B2166" i="2"/>
  <c r="C2200" i="2"/>
  <c r="B2200" i="2"/>
  <c r="G2200" i="2"/>
  <c r="A2201" i="2"/>
  <c r="R2198" i="2"/>
  <c r="R2164" i="2"/>
  <c r="S2094" i="2"/>
  <c r="S2026" i="2"/>
  <c r="S2128" i="2"/>
  <c r="S1992" i="2"/>
  <c r="S2060" i="2"/>
  <c r="R2061" i="2"/>
  <c r="R2129" i="2"/>
  <c r="T1992" i="2"/>
  <c r="T2128" i="2"/>
  <c r="R2027" i="2"/>
  <c r="R2095" i="2"/>
  <c r="T2060" i="2"/>
  <c r="T2026" i="2"/>
  <c r="T2094" i="2"/>
  <c r="O2129" i="2"/>
  <c r="O2027" i="2"/>
  <c r="O2061" i="2"/>
  <c r="O1993" i="2"/>
  <c r="B2031" i="2"/>
  <c r="S1958" i="2"/>
  <c r="T1958" i="2"/>
  <c r="O2096" i="2"/>
  <c r="A2066" i="2"/>
  <c r="G2063" i="2"/>
  <c r="G2066" i="2" s="1"/>
  <c r="C2063" i="2"/>
  <c r="C2066" i="2" s="1"/>
  <c r="B2063" i="2"/>
  <c r="O1996" i="2" l="1"/>
  <c r="S1960" i="2"/>
  <c r="S1961" i="2" s="1"/>
  <c r="R1961" i="2"/>
  <c r="T1961" i="2" s="1"/>
  <c r="S2264" i="2"/>
  <c r="B2133" i="2"/>
  <c r="C2133" i="2"/>
  <c r="D2133" i="2"/>
  <c r="E2133" i="2"/>
  <c r="G2133" i="2"/>
  <c r="A2134" i="2"/>
  <c r="B2099" i="2"/>
  <c r="C2099" i="2"/>
  <c r="D2099" i="2"/>
  <c r="E2099" i="2"/>
  <c r="G2099" i="2"/>
  <c r="A2100" i="2"/>
  <c r="S2095" i="2"/>
  <c r="Q2064" i="2"/>
  <c r="P2064" i="2"/>
  <c r="G2065" i="2"/>
  <c r="E2065" i="2"/>
  <c r="D2065" i="2"/>
  <c r="C2065" i="2"/>
  <c r="B2065" i="2"/>
  <c r="R2029" i="2"/>
  <c r="T2029" i="2" s="1"/>
  <c r="Q2030" i="2"/>
  <c r="Q2031" i="2" s="1"/>
  <c r="P2030" i="2"/>
  <c r="P2031" i="2" s="1"/>
  <c r="R1995" i="2"/>
  <c r="T1994" i="2"/>
  <c r="S1994" i="2"/>
  <c r="Q2063" i="2"/>
  <c r="P2063" i="2"/>
  <c r="Q2268" i="2"/>
  <c r="P2268" i="2"/>
  <c r="Q2131" i="2"/>
  <c r="P2131" i="2"/>
  <c r="Q2235" i="2"/>
  <c r="P2235" i="2"/>
  <c r="Q2097" i="2"/>
  <c r="P2097" i="2"/>
  <c r="Q2200" i="2"/>
  <c r="P2200" i="2"/>
  <c r="Q2166" i="2"/>
  <c r="P2166" i="2"/>
  <c r="D2101" i="2"/>
  <c r="E2101" i="2"/>
  <c r="R2267" i="2"/>
  <c r="O2266" i="2"/>
  <c r="S2266" i="2" s="1"/>
  <c r="D2269" i="2"/>
  <c r="E2269" i="2"/>
  <c r="B2269" i="2"/>
  <c r="A2270" i="2"/>
  <c r="C2269" i="2"/>
  <c r="G2269" i="2"/>
  <c r="D2167" i="2"/>
  <c r="E2167" i="2"/>
  <c r="D2201" i="2"/>
  <c r="E2201" i="2"/>
  <c r="D2236" i="2"/>
  <c r="E2236" i="2"/>
  <c r="T2162" i="2"/>
  <c r="R2234" i="2"/>
  <c r="I2234" i="2" s="1"/>
  <c r="O2234" i="2" s="1"/>
  <c r="S2234" i="2" s="1"/>
  <c r="R2199" i="2"/>
  <c r="I2199" i="2" s="1"/>
  <c r="O2199" i="2" s="1"/>
  <c r="S2199" i="2" s="1"/>
  <c r="B2236" i="2"/>
  <c r="G2236" i="2"/>
  <c r="A2237" i="2"/>
  <c r="C2236" i="2"/>
  <c r="T2233" i="2"/>
  <c r="B2201" i="2"/>
  <c r="C2201" i="2"/>
  <c r="A2202" i="2"/>
  <c r="G2201" i="2"/>
  <c r="I2164" i="2"/>
  <c r="I2198" i="2"/>
  <c r="O2198" i="2" s="1"/>
  <c r="S2198" i="2" s="1"/>
  <c r="G2167" i="2"/>
  <c r="A2168" i="2"/>
  <c r="A2169" i="2" s="1"/>
  <c r="B2167" i="2"/>
  <c r="C2167" i="2"/>
  <c r="R2165" i="2"/>
  <c r="T2197" i="2"/>
  <c r="T2027" i="2"/>
  <c r="S2129" i="2"/>
  <c r="T2061" i="2"/>
  <c r="T2095" i="2"/>
  <c r="R2130" i="2"/>
  <c r="S2061" i="2"/>
  <c r="T2129" i="2"/>
  <c r="R2062" i="2"/>
  <c r="S2027" i="2"/>
  <c r="R2096" i="2"/>
  <c r="R1993" i="2"/>
  <c r="R2028" i="2"/>
  <c r="O2028" i="2"/>
  <c r="O2130" i="2"/>
  <c r="O2062" i="2"/>
  <c r="B2066" i="2"/>
  <c r="A2101" i="2"/>
  <c r="G2101" i="2"/>
  <c r="C2101" i="2"/>
  <c r="R1996" i="2" l="1"/>
  <c r="O2031" i="2"/>
  <c r="T1995" i="2"/>
  <c r="S1995" i="2"/>
  <c r="B2134" i="2"/>
  <c r="C2134" i="2"/>
  <c r="D2134" i="2"/>
  <c r="E2134" i="2"/>
  <c r="G2134" i="2"/>
  <c r="A2135" i="2"/>
  <c r="A2170" i="2"/>
  <c r="G2169" i="2"/>
  <c r="E2169" i="2"/>
  <c r="D2169" i="2"/>
  <c r="C2169" i="2"/>
  <c r="B2169" i="2"/>
  <c r="B2100" i="2"/>
  <c r="C2100" i="2"/>
  <c r="D2100" i="2"/>
  <c r="E2100" i="2"/>
  <c r="G2100" i="2"/>
  <c r="T2096" i="2"/>
  <c r="Q2099" i="2"/>
  <c r="P2099" i="2"/>
  <c r="S2029" i="2"/>
  <c r="Q2065" i="2"/>
  <c r="Q2066" i="2" s="1"/>
  <c r="P2065" i="2"/>
  <c r="P2066" i="2" s="1"/>
  <c r="R2064" i="2"/>
  <c r="R2030" i="2"/>
  <c r="Q2098" i="2"/>
  <c r="P2098" i="2"/>
  <c r="Q2167" i="2"/>
  <c r="P2167" i="2"/>
  <c r="Q2201" i="2"/>
  <c r="P2201" i="2"/>
  <c r="Q2132" i="2"/>
  <c r="P2132" i="2"/>
  <c r="Q2236" i="2"/>
  <c r="P2236" i="2"/>
  <c r="Q2269" i="2"/>
  <c r="P2269" i="2"/>
  <c r="D2202" i="2"/>
  <c r="E2202" i="2"/>
  <c r="I2267" i="2"/>
  <c r="D2237" i="2"/>
  <c r="E2237" i="2"/>
  <c r="D2136" i="2"/>
  <c r="E2136" i="2"/>
  <c r="D2168" i="2"/>
  <c r="D2171" i="2" s="1"/>
  <c r="E2168" i="2"/>
  <c r="E2171" i="2" s="1"/>
  <c r="R2268" i="2"/>
  <c r="D2270" i="2"/>
  <c r="E2270" i="2"/>
  <c r="B2270" i="2"/>
  <c r="A2271" i="2"/>
  <c r="C2270" i="2"/>
  <c r="G2270" i="2"/>
  <c r="T2266" i="2"/>
  <c r="T2198" i="2"/>
  <c r="T2234" i="2"/>
  <c r="R2200" i="2"/>
  <c r="I2200" i="2" s="1"/>
  <c r="O2200" i="2" s="1"/>
  <c r="S2200" i="2" s="1"/>
  <c r="R2235" i="2"/>
  <c r="I2235" i="2" s="1"/>
  <c r="O2235" i="2" s="1"/>
  <c r="S2235" i="2" s="1"/>
  <c r="O2164" i="2"/>
  <c r="S2164" i="2" s="1"/>
  <c r="B2237" i="2"/>
  <c r="C2237" i="2"/>
  <c r="G2237" i="2"/>
  <c r="A2238" i="2"/>
  <c r="A2239" i="2" s="1"/>
  <c r="T2199" i="2"/>
  <c r="I2165" i="2"/>
  <c r="O2165" i="2" s="1"/>
  <c r="S2165" i="2" s="1"/>
  <c r="C2202" i="2"/>
  <c r="A2203" i="2"/>
  <c r="A2204" i="2" s="1"/>
  <c r="G2202" i="2"/>
  <c r="B2202" i="2"/>
  <c r="C2168" i="2"/>
  <c r="C2171" i="2" s="1"/>
  <c r="A2171" i="2"/>
  <c r="G2168" i="2"/>
  <c r="G2171" i="2" s="1"/>
  <c r="B2168" i="2"/>
  <c r="R2166" i="2"/>
  <c r="T2062" i="2"/>
  <c r="S2096" i="2"/>
  <c r="S2130" i="2"/>
  <c r="R2131" i="2"/>
  <c r="R2097" i="2"/>
  <c r="T2130" i="2"/>
  <c r="S2062" i="2"/>
  <c r="T2028" i="2"/>
  <c r="S1993" i="2"/>
  <c r="T1993" i="2"/>
  <c r="T1996" i="2"/>
  <c r="S2028" i="2"/>
  <c r="R2063" i="2"/>
  <c r="O2063" i="2"/>
  <c r="O2097" i="2"/>
  <c r="O2131" i="2"/>
  <c r="G2136" i="2"/>
  <c r="A2136" i="2"/>
  <c r="C2136" i="2"/>
  <c r="B2101" i="2"/>
  <c r="S1996" i="2" l="1"/>
  <c r="O2066" i="2"/>
  <c r="S2030" i="2"/>
  <c r="S2031" i="2" s="1"/>
  <c r="R2031" i="2"/>
  <c r="T2031" i="2" s="1"/>
  <c r="A2240" i="2"/>
  <c r="G2239" i="2"/>
  <c r="E2239" i="2"/>
  <c r="D2239" i="2"/>
  <c r="C2239" i="2"/>
  <c r="B2239" i="2"/>
  <c r="R2099" i="2"/>
  <c r="S2099" i="2" s="1"/>
  <c r="A2205" i="2"/>
  <c r="G2204" i="2"/>
  <c r="E2204" i="2"/>
  <c r="D2204" i="2"/>
  <c r="C2204" i="2"/>
  <c r="B2204" i="2"/>
  <c r="Q2169" i="2"/>
  <c r="P2169" i="2"/>
  <c r="B2135" i="2"/>
  <c r="C2135" i="2"/>
  <c r="D2135" i="2"/>
  <c r="E2135" i="2"/>
  <c r="G2135" i="2"/>
  <c r="G2170" i="2"/>
  <c r="E2170" i="2"/>
  <c r="D2170" i="2"/>
  <c r="C2170" i="2"/>
  <c r="B2170" i="2"/>
  <c r="Q2134" i="2"/>
  <c r="P2134" i="2"/>
  <c r="Q2100" i="2"/>
  <c r="Q2101" i="2" s="1"/>
  <c r="P2100" i="2"/>
  <c r="P2101" i="2" s="1"/>
  <c r="T2030" i="2"/>
  <c r="R2065" i="2"/>
  <c r="R2066" i="2" s="1"/>
  <c r="T2064" i="2"/>
  <c r="S2064" i="2"/>
  <c r="O2267" i="2"/>
  <c r="T2267" i="2" s="1"/>
  <c r="Q2168" i="2"/>
  <c r="P2168" i="2"/>
  <c r="Q2133" i="2"/>
  <c r="P2133" i="2"/>
  <c r="Q2202" i="2"/>
  <c r="P2202" i="2"/>
  <c r="Q2237" i="2"/>
  <c r="P2237" i="2"/>
  <c r="Q2270" i="2"/>
  <c r="P2270" i="2"/>
  <c r="R2269" i="2"/>
  <c r="D2203" i="2"/>
  <c r="D2206" i="2" s="1"/>
  <c r="E2203" i="2"/>
  <c r="E2206" i="2" s="1"/>
  <c r="D2238" i="2"/>
  <c r="D2241" i="2" s="1"/>
  <c r="E2238" i="2"/>
  <c r="E2241" i="2" s="1"/>
  <c r="D2271" i="2"/>
  <c r="E2271" i="2"/>
  <c r="B2271" i="2"/>
  <c r="G2271" i="2"/>
  <c r="A2272" i="2"/>
  <c r="C2271" i="2"/>
  <c r="I2268" i="2"/>
  <c r="O2268" i="2" s="1"/>
  <c r="S2268" i="2" s="1"/>
  <c r="T2164" i="2"/>
  <c r="T2235" i="2"/>
  <c r="T2200" i="2"/>
  <c r="R2236" i="2"/>
  <c r="A2241" i="2"/>
  <c r="G2238" i="2"/>
  <c r="G2241" i="2" s="1"/>
  <c r="C2238" i="2"/>
  <c r="C2241" i="2" s="1"/>
  <c r="B2238" i="2"/>
  <c r="I2166" i="2"/>
  <c r="O2166" i="2" s="1"/>
  <c r="S2166" i="2" s="1"/>
  <c r="R2201" i="2"/>
  <c r="G2203" i="2"/>
  <c r="G2206" i="2" s="1"/>
  <c r="A2206" i="2"/>
  <c r="C2203" i="2"/>
  <c r="C2206" i="2" s="1"/>
  <c r="B2203" i="2"/>
  <c r="R2167" i="2"/>
  <c r="T2165" i="2"/>
  <c r="B2171" i="2"/>
  <c r="T2097" i="2"/>
  <c r="T2131" i="2"/>
  <c r="S2097" i="2"/>
  <c r="R2132" i="2"/>
  <c r="S2131" i="2"/>
  <c r="S2063" i="2"/>
  <c r="T2063" i="2"/>
  <c r="R2098" i="2"/>
  <c r="O2132" i="2"/>
  <c r="O2098" i="2"/>
  <c r="B2136" i="2"/>
  <c r="T2099" i="2" l="1"/>
  <c r="O2101" i="2"/>
  <c r="R2169" i="2"/>
  <c r="I2169" i="2" s="1"/>
  <c r="O2169" i="2" s="1"/>
  <c r="S2065" i="2"/>
  <c r="S2066" i="2" s="1"/>
  <c r="R2134" i="2"/>
  <c r="S2134" i="2" s="1"/>
  <c r="Q2239" i="2"/>
  <c r="P2239" i="2"/>
  <c r="T2065" i="2"/>
  <c r="G2240" i="2"/>
  <c r="E2240" i="2"/>
  <c r="D2240" i="2"/>
  <c r="C2240" i="2"/>
  <c r="B2240" i="2"/>
  <c r="G2205" i="2"/>
  <c r="E2205" i="2"/>
  <c r="D2205" i="2"/>
  <c r="C2205" i="2"/>
  <c r="B2205" i="2"/>
  <c r="Q2204" i="2"/>
  <c r="P2204" i="2"/>
  <c r="Q2170" i="2"/>
  <c r="Q2171" i="2" s="1"/>
  <c r="P2170" i="2"/>
  <c r="P2171" i="2" s="1"/>
  <c r="Q2135" i="2"/>
  <c r="Q2136" i="2" s="1"/>
  <c r="P2135" i="2"/>
  <c r="P2136" i="2" s="1"/>
  <c r="R2100" i="2"/>
  <c r="S2267" i="2"/>
  <c r="Q2203" i="2"/>
  <c r="P2203" i="2"/>
  <c r="Q2271" i="2"/>
  <c r="P2271" i="2"/>
  <c r="Q2238" i="2"/>
  <c r="P2238" i="2"/>
  <c r="T2268" i="2"/>
  <c r="I2269" i="2"/>
  <c r="O2269" i="2" s="1"/>
  <c r="S2269" i="2" s="1"/>
  <c r="D2272" i="2"/>
  <c r="E2272" i="2"/>
  <c r="G2272" i="2"/>
  <c r="B2272" i="2"/>
  <c r="A2273" i="2"/>
  <c r="A2274" i="2" s="1"/>
  <c r="C2272" i="2"/>
  <c r="R2270" i="2"/>
  <c r="T2166" i="2"/>
  <c r="R2237" i="2"/>
  <c r="B2241" i="2"/>
  <c r="I2236" i="2"/>
  <c r="O2236" i="2" s="1"/>
  <c r="T2236" i="2" s="1"/>
  <c r="B2206" i="2"/>
  <c r="R2202" i="2"/>
  <c r="I2201" i="2"/>
  <c r="O2201" i="2" s="1"/>
  <c r="S2201" i="2" s="1"/>
  <c r="R2168" i="2"/>
  <c r="S2132" i="2"/>
  <c r="T2132" i="2"/>
  <c r="T2066" i="2"/>
  <c r="S2098" i="2"/>
  <c r="R2133" i="2"/>
  <c r="O2133" i="2"/>
  <c r="T2098" i="2"/>
  <c r="T2134" i="2" l="1"/>
  <c r="T2169" i="2"/>
  <c r="S2169" i="2"/>
  <c r="O2136" i="2"/>
  <c r="S2100" i="2"/>
  <c r="S2101" i="2" s="1"/>
  <c r="R2101" i="2"/>
  <c r="T2101" i="2" s="1"/>
  <c r="A2275" i="2"/>
  <c r="G2274" i="2"/>
  <c r="E2274" i="2"/>
  <c r="D2274" i="2"/>
  <c r="C2274" i="2"/>
  <c r="B2274" i="2"/>
  <c r="Q2240" i="2"/>
  <c r="Q2241" i="2" s="1"/>
  <c r="P2240" i="2"/>
  <c r="P2241" i="2" s="1"/>
  <c r="R2204" i="2"/>
  <c r="I2204" i="2" s="1"/>
  <c r="R2239" i="2"/>
  <c r="R2170" i="2"/>
  <c r="R2171" i="2" s="1"/>
  <c r="Q2205" i="2"/>
  <c r="Q2206" i="2" s="1"/>
  <c r="P2205" i="2"/>
  <c r="P2206" i="2" s="1"/>
  <c r="T2100" i="2"/>
  <c r="R2135" i="2"/>
  <c r="O2167" i="2"/>
  <c r="S2167" i="2" s="1"/>
  <c r="Q2272" i="2"/>
  <c r="P2272" i="2"/>
  <c r="T2269" i="2"/>
  <c r="R2271" i="2"/>
  <c r="I2270" i="2"/>
  <c r="O2270" i="2" s="1"/>
  <c r="S2270" i="2" s="1"/>
  <c r="D2273" i="2"/>
  <c r="E2273" i="2"/>
  <c r="E2276" i="2" s="1"/>
  <c r="G2273" i="2"/>
  <c r="G2276" i="2" s="1"/>
  <c r="B2273" i="2"/>
  <c r="C2273" i="2"/>
  <c r="C2276" i="2" s="1"/>
  <c r="A2276" i="2"/>
  <c r="P2282" i="2"/>
  <c r="P2277" i="2"/>
  <c r="P2278" i="2"/>
  <c r="P2279" i="2"/>
  <c r="P2283" i="2"/>
  <c r="P2280" i="2"/>
  <c r="P2281" i="2"/>
  <c r="P2284" i="2"/>
  <c r="P2285" i="2"/>
  <c r="P2286" i="2"/>
  <c r="P2287" i="2"/>
  <c r="P2288" i="2"/>
  <c r="P2289" i="2"/>
  <c r="P2290" i="2"/>
  <c r="P2291" i="2"/>
  <c r="P2292" i="2"/>
  <c r="P2293" i="2"/>
  <c r="P2294" i="2"/>
  <c r="P2295" i="2"/>
  <c r="P2296" i="2"/>
  <c r="P2297" i="2"/>
  <c r="P2298" i="2"/>
  <c r="P2300" i="2"/>
  <c r="P2299" i="2"/>
  <c r="Q2279" i="2"/>
  <c r="Q2277" i="2"/>
  <c r="Q2278" i="2"/>
  <c r="Q2282" i="2"/>
  <c r="Q2283" i="2"/>
  <c r="Q2280" i="2"/>
  <c r="Q2281" i="2"/>
  <c r="Q2284" i="2"/>
  <c r="Q2285" i="2"/>
  <c r="Q2286" i="2"/>
  <c r="Q2287" i="2"/>
  <c r="Q2288" i="2"/>
  <c r="Q2289" i="2"/>
  <c r="Q2290" i="2"/>
  <c r="Q2291" i="2"/>
  <c r="Q2292" i="2"/>
  <c r="Q2293" i="2"/>
  <c r="Q2294" i="2"/>
  <c r="Q2295" i="2"/>
  <c r="Q2296" i="2"/>
  <c r="Q2297" i="2"/>
  <c r="Q2298" i="2"/>
  <c r="Q2299" i="2"/>
  <c r="Q2300" i="2"/>
  <c r="S2236" i="2"/>
  <c r="R2238" i="2"/>
  <c r="I2168" i="2"/>
  <c r="T2201" i="2"/>
  <c r="R2203" i="2"/>
  <c r="T2133" i="2"/>
  <c r="S2133" i="2"/>
  <c r="T2167" i="2" l="1"/>
  <c r="S2135" i="2"/>
  <c r="S2136" i="2" s="1"/>
  <c r="R2136" i="2"/>
  <c r="T2136" i="2" s="1"/>
  <c r="O2204" i="2"/>
  <c r="S2204" i="2" s="1"/>
  <c r="Q2274" i="2"/>
  <c r="P2274" i="2"/>
  <c r="R2240" i="2"/>
  <c r="I2240" i="2" s="1"/>
  <c r="G2275" i="2"/>
  <c r="E2275" i="2"/>
  <c r="D2275" i="2"/>
  <c r="C21" i="6" s="1"/>
  <c r="C2275" i="2"/>
  <c r="B2275" i="2"/>
  <c r="I2239" i="2"/>
  <c r="O2239" i="2" s="1"/>
  <c r="S2239" i="2" s="1"/>
  <c r="R2205" i="2"/>
  <c r="I2170" i="2"/>
  <c r="I2171" i="2" s="1"/>
  <c r="T2135" i="2"/>
  <c r="O2202" i="2"/>
  <c r="O2237" i="2"/>
  <c r="Q2273" i="2"/>
  <c r="P2273" i="2"/>
  <c r="D2276" i="2"/>
  <c r="D16" i="6"/>
  <c r="C54" i="6"/>
  <c r="D119" i="6"/>
  <c r="C76" i="6"/>
  <c r="D89" i="6"/>
  <c r="C35" i="6"/>
  <c r="T2270" i="2"/>
  <c r="I2271" i="2"/>
  <c r="O2271" i="2" s="1"/>
  <c r="S2271" i="2" s="1"/>
  <c r="B2276" i="2"/>
  <c r="J63" i="1" s="1"/>
  <c r="R2272" i="2"/>
  <c r="R2277" i="2"/>
  <c r="R2278" i="2"/>
  <c r="T2278" i="2" s="1"/>
  <c r="R2292" i="2"/>
  <c r="T2292" i="2" s="1"/>
  <c r="R2282" i="2"/>
  <c r="T2282" i="2" s="1"/>
  <c r="R2289" i="2"/>
  <c r="S2289" i="2" s="1"/>
  <c r="R2297" i="2"/>
  <c r="S2297" i="2" s="1"/>
  <c r="R2285" i="2"/>
  <c r="T2285" i="2" s="1"/>
  <c r="R2280" i="2"/>
  <c r="S2280" i="2" s="1"/>
  <c r="R2281" i="2"/>
  <c r="S2281" i="2" s="1"/>
  <c r="R2295" i="2"/>
  <c r="S2295" i="2" s="1"/>
  <c r="R2300" i="2"/>
  <c r="R2283" i="2"/>
  <c r="S2283" i="2" s="1"/>
  <c r="R2293" i="2"/>
  <c r="T2293" i="2" s="1"/>
  <c r="R2296" i="2"/>
  <c r="T2296" i="2" s="1"/>
  <c r="R2284" i="2"/>
  <c r="T2284" i="2" s="1"/>
  <c r="R2279" i="2"/>
  <c r="T2279" i="2" s="1"/>
  <c r="R2291" i="2"/>
  <c r="S2291" i="2" s="1"/>
  <c r="R2290" i="2"/>
  <c r="R2287" i="2"/>
  <c r="T2287" i="2" s="1"/>
  <c r="R2298" i="2"/>
  <c r="T2298" i="2" s="1"/>
  <c r="R2286" i="2"/>
  <c r="T2286" i="2" s="1"/>
  <c r="R2288" i="2"/>
  <c r="T2288" i="2" s="1"/>
  <c r="R2299" i="2"/>
  <c r="R2294" i="2"/>
  <c r="T2202" i="2"/>
  <c r="I2238" i="2"/>
  <c r="I2203" i="2"/>
  <c r="O2168" i="2"/>
  <c r="C42" i="6" l="1"/>
  <c r="C69" i="6"/>
  <c r="C9" i="6"/>
  <c r="C38" i="6"/>
  <c r="D68" i="6"/>
  <c r="C44" i="6"/>
  <c r="C20" i="6"/>
  <c r="D78" i="6"/>
  <c r="I22" i="1"/>
  <c r="H25" i="1"/>
  <c r="I23" i="1"/>
  <c r="J23" i="1"/>
  <c r="I25" i="1"/>
  <c r="H26" i="1"/>
  <c r="I24" i="1"/>
  <c r="H27" i="1"/>
  <c r="J27" i="1"/>
  <c r="J25" i="1"/>
  <c r="H28" i="1"/>
  <c r="J24" i="1"/>
  <c r="H20" i="1"/>
  <c r="H23" i="1"/>
  <c r="I10" i="1"/>
  <c r="H22" i="1"/>
  <c r="J26" i="1"/>
  <c r="J16" i="1"/>
  <c r="J22" i="1"/>
  <c r="H24" i="1"/>
  <c r="I6" i="1"/>
  <c r="J10" i="1"/>
  <c r="H10" i="1"/>
  <c r="I21" i="1"/>
  <c r="H6" i="1"/>
  <c r="J8" i="1"/>
  <c r="H19" i="1"/>
  <c r="I17" i="1"/>
  <c r="J20" i="1"/>
  <c r="I15" i="1"/>
  <c r="I14" i="1"/>
  <c r="H17" i="1"/>
  <c r="J9" i="1"/>
  <c r="I8" i="1"/>
  <c r="H13" i="1"/>
  <c r="H14" i="1"/>
  <c r="H8" i="1"/>
  <c r="J18" i="1"/>
  <c r="H21" i="1"/>
  <c r="J19" i="1"/>
  <c r="H11" i="1"/>
  <c r="H9" i="1"/>
  <c r="I19" i="1"/>
  <c r="J11" i="1"/>
  <c r="I11" i="1"/>
  <c r="I9" i="1"/>
  <c r="H16" i="1"/>
  <c r="J15" i="1"/>
  <c r="J12" i="1"/>
  <c r="J6" i="1"/>
  <c r="J21" i="1"/>
  <c r="I13" i="1"/>
  <c r="I12" i="1"/>
  <c r="I16" i="1"/>
  <c r="H15" i="1"/>
  <c r="H18" i="1"/>
  <c r="H12" i="1"/>
  <c r="H7" i="1"/>
  <c r="J13" i="1"/>
  <c r="I20" i="1"/>
  <c r="I18" i="1"/>
  <c r="J14" i="1"/>
  <c r="J17" i="1"/>
  <c r="H29" i="1"/>
  <c r="H30" i="1"/>
  <c r="I27" i="1"/>
  <c r="I26" i="1"/>
  <c r="I29" i="1"/>
  <c r="J29" i="1"/>
  <c r="I30" i="1"/>
  <c r="H31" i="1"/>
  <c r="J28" i="1"/>
  <c r="I28" i="1"/>
  <c r="J30" i="1"/>
  <c r="H32" i="1"/>
  <c r="J31" i="1"/>
  <c r="H33" i="1"/>
  <c r="J36" i="1"/>
  <c r="I31" i="1"/>
  <c r="I32" i="1"/>
  <c r="H35" i="1"/>
  <c r="J32" i="1"/>
  <c r="I36" i="1"/>
  <c r="J34" i="1"/>
  <c r="H34" i="1"/>
  <c r="I33" i="1"/>
  <c r="J33" i="1"/>
  <c r="I34" i="1"/>
  <c r="H36" i="1"/>
  <c r="I37" i="1"/>
  <c r="I35" i="1"/>
  <c r="H37" i="1"/>
  <c r="J35" i="1"/>
  <c r="H39" i="1"/>
  <c r="H38" i="1"/>
  <c r="J38" i="1"/>
  <c r="J37" i="1"/>
  <c r="H40" i="1"/>
  <c r="I39" i="1"/>
  <c r="J39" i="1"/>
  <c r="H41" i="1"/>
  <c r="I38" i="1"/>
  <c r="H44" i="1"/>
  <c r="J40" i="1"/>
  <c r="H42" i="1"/>
  <c r="J41" i="1"/>
  <c r="I40" i="1"/>
  <c r="H43" i="1"/>
  <c r="I41" i="1"/>
  <c r="J43" i="1"/>
  <c r="I43" i="1"/>
  <c r="J42" i="1"/>
  <c r="I44" i="1"/>
  <c r="I42" i="1"/>
  <c r="J44" i="1"/>
  <c r="I45" i="1"/>
  <c r="H46" i="1"/>
  <c r="J46" i="1"/>
  <c r="I48" i="1"/>
  <c r="H47" i="1"/>
  <c r="H48" i="1"/>
  <c r="H49" i="1"/>
  <c r="I46" i="1"/>
  <c r="I47" i="1"/>
  <c r="J47" i="1"/>
  <c r="I49" i="1"/>
  <c r="J48" i="1"/>
  <c r="J49" i="1"/>
  <c r="H50" i="1"/>
  <c r="H51" i="1"/>
  <c r="I52" i="1"/>
  <c r="H53" i="1"/>
  <c r="H52" i="1"/>
  <c r="J51" i="1"/>
  <c r="J50" i="1"/>
  <c r="H54" i="1"/>
  <c r="I51" i="1"/>
  <c r="J52" i="1"/>
  <c r="I50" i="1"/>
  <c r="I53" i="1"/>
  <c r="H55" i="1"/>
  <c r="J53" i="1"/>
  <c r="J54" i="1"/>
  <c r="I54" i="1"/>
  <c r="J55" i="1"/>
  <c r="H56" i="1"/>
  <c r="H59" i="1"/>
  <c r="H58" i="1"/>
  <c r="I55" i="1"/>
  <c r="H57" i="1"/>
  <c r="I56" i="1"/>
  <c r="J57" i="1"/>
  <c r="J56" i="1"/>
  <c r="I57" i="1"/>
  <c r="J62" i="1"/>
  <c r="J61" i="1"/>
  <c r="H61" i="1"/>
  <c r="I60" i="1"/>
  <c r="I58" i="1"/>
  <c r="J60" i="1"/>
  <c r="I62" i="1"/>
  <c r="I61" i="1"/>
  <c r="I59" i="1"/>
  <c r="H62" i="1"/>
  <c r="J58" i="1"/>
  <c r="J59" i="1"/>
  <c r="H60" i="1"/>
  <c r="H63" i="1"/>
  <c r="I63" i="1"/>
  <c r="T2204" i="2"/>
  <c r="I64" i="1"/>
  <c r="J64" i="1"/>
  <c r="I2241" i="2"/>
  <c r="H64" i="1"/>
  <c r="R2206" i="2"/>
  <c r="I66" i="1" s="1"/>
  <c r="R2241" i="2"/>
  <c r="I67" i="1" s="1"/>
  <c r="P2310" i="2"/>
  <c r="P2309" i="2"/>
  <c r="R2274" i="2"/>
  <c r="I2274" i="2" s="1"/>
  <c r="O2274" i="2" s="1"/>
  <c r="S2274" i="2" s="1"/>
  <c r="Q2309" i="2"/>
  <c r="Q2310" i="2"/>
  <c r="I2309" i="2"/>
  <c r="O2309" i="2" s="1"/>
  <c r="I2205" i="2"/>
  <c r="O2205" i="2" s="1"/>
  <c r="T2294" i="2"/>
  <c r="Q2275" i="2"/>
  <c r="Q2276" i="2" s="1"/>
  <c r="P2275" i="2"/>
  <c r="P2276" i="2" s="1"/>
  <c r="O2240" i="2"/>
  <c r="T2239" i="2"/>
  <c r="O2170" i="2"/>
  <c r="O2171" i="2" s="1"/>
  <c r="D15" i="6"/>
  <c r="D13" i="6"/>
  <c r="C112" i="6"/>
  <c r="C78" i="6"/>
  <c r="E78" i="6" s="1"/>
  <c r="F78" i="6" s="1"/>
  <c r="T78" i="6" s="1"/>
  <c r="C6" i="6"/>
  <c r="C114" i="6"/>
  <c r="S2277" i="2"/>
  <c r="S2237" i="2"/>
  <c r="T2237" i="2"/>
  <c r="S2202" i="2"/>
  <c r="D120" i="6"/>
  <c r="C106" i="6"/>
  <c r="D116" i="6"/>
  <c r="C121" i="6"/>
  <c r="C107" i="6"/>
  <c r="C13" i="6"/>
  <c r="C73" i="6"/>
  <c r="C19" i="6"/>
  <c r="D114" i="6"/>
  <c r="C11" i="6"/>
  <c r="D21" i="6"/>
  <c r="E21" i="6" s="1"/>
  <c r="F21" i="6" s="1"/>
  <c r="T21" i="6" s="1"/>
  <c r="D106" i="6"/>
  <c r="D17" i="6"/>
  <c r="D46" i="6"/>
  <c r="D84" i="6"/>
  <c r="D36" i="6"/>
  <c r="C70" i="6"/>
  <c r="D110" i="6"/>
  <c r="C12" i="6"/>
  <c r="D19" i="6"/>
  <c r="C102" i="6"/>
  <c r="C119" i="6"/>
  <c r="C17" i="6"/>
  <c r="C71" i="6"/>
  <c r="D76" i="6"/>
  <c r="E76" i="6" s="1"/>
  <c r="F76" i="6" s="1"/>
  <c r="D102" i="6"/>
  <c r="C120" i="6"/>
  <c r="C51" i="6"/>
  <c r="D3" i="6"/>
  <c r="D18" i="6"/>
  <c r="D69" i="6"/>
  <c r="E69" i="6" s="1"/>
  <c r="C86" i="6"/>
  <c r="D11" i="6"/>
  <c r="D5" i="6"/>
  <c r="D71" i="6"/>
  <c r="D109" i="6"/>
  <c r="D39" i="6"/>
  <c r="C68" i="6"/>
  <c r="E68" i="6" s="1"/>
  <c r="F68" i="6" s="1"/>
  <c r="T68" i="6" s="1"/>
  <c r="D80" i="6"/>
  <c r="C108" i="6"/>
  <c r="C80" i="6"/>
  <c r="C14" i="6"/>
  <c r="C2" i="6"/>
  <c r="D7" i="6"/>
  <c r="D10" i="6"/>
  <c r="D73" i="6"/>
  <c r="C3" i="6"/>
  <c r="C22" i="6"/>
  <c r="D101" i="6"/>
  <c r="C8" i="6"/>
  <c r="D2" i="6"/>
  <c r="C15" i="6"/>
  <c r="D74" i="6"/>
  <c r="D14" i="6"/>
  <c r="D38" i="6"/>
  <c r="E38" i="6" s="1"/>
  <c r="C37" i="6"/>
  <c r="C117" i="6"/>
  <c r="C116" i="6"/>
  <c r="D121" i="6"/>
  <c r="C36" i="6"/>
  <c r="C113" i="6"/>
  <c r="D115" i="6"/>
  <c r="C81" i="6"/>
  <c r="D55" i="6"/>
  <c r="C115" i="6"/>
  <c r="C110" i="6"/>
  <c r="D12" i="6"/>
  <c r="D112" i="6"/>
  <c r="C23" i="6"/>
  <c r="D53" i="6"/>
  <c r="D82" i="6"/>
  <c r="C74" i="6"/>
  <c r="D70" i="6"/>
  <c r="C4" i="6"/>
  <c r="D35" i="6"/>
  <c r="E35" i="6" s="1"/>
  <c r="F35" i="6" s="1"/>
  <c r="T35" i="6" s="1"/>
  <c r="C46" i="6"/>
  <c r="D40" i="6"/>
  <c r="C103" i="6"/>
  <c r="D111" i="6"/>
  <c r="C39" i="6"/>
  <c r="C79" i="6"/>
  <c r="D6" i="6"/>
  <c r="C16" i="6"/>
  <c r="E16" i="6" s="1"/>
  <c r="F16" i="6" s="1"/>
  <c r="T16" i="6" s="1"/>
  <c r="C88" i="6"/>
  <c r="D113" i="6"/>
  <c r="D72" i="6"/>
  <c r="D107" i="6"/>
  <c r="C52" i="6"/>
  <c r="D103" i="6"/>
  <c r="C72" i="6"/>
  <c r="D37" i="6"/>
  <c r="D9" i="6"/>
  <c r="E9" i="6" s="1"/>
  <c r="F9" i="6" s="1"/>
  <c r="D104" i="6"/>
  <c r="D4" i="6"/>
  <c r="D22" i="6"/>
  <c r="C109" i="6"/>
  <c r="E109" i="6" s="1"/>
  <c r="F109" i="6" s="1"/>
  <c r="C101" i="6"/>
  <c r="C7" i="6"/>
  <c r="D75" i="6"/>
  <c r="C40" i="6"/>
  <c r="C56" i="6"/>
  <c r="C104" i="6"/>
  <c r="D118" i="6"/>
  <c r="D117" i="6"/>
  <c r="D54" i="6"/>
  <c r="E54" i="6" s="1"/>
  <c r="F54" i="6" s="1"/>
  <c r="T54" i="6" s="1"/>
  <c r="D124" i="6"/>
  <c r="D8" i="6"/>
  <c r="D105" i="6"/>
  <c r="C18" i="6"/>
  <c r="D20" i="6"/>
  <c r="E20" i="6" s="1"/>
  <c r="F20" i="6" s="1"/>
  <c r="T20" i="6" s="1"/>
  <c r="C118" i="6"/>
  <c r="C105" i="6"/>
  <c r="C77" i="6"/>
  <c r="C10" i="6"/>
  <c r="C53" i="6"/>
  <c r="C83" i="6"/>
  <c r="C47" i="6"/>
  <c r="C85" i="6"/>
  <c r="D108" i="6"/>
  <c r="D23" i="6"/>
  <c r="C41" i="6"/>
  <c r="C50" i="6"/>
  <c r="D47" i="6"/>
  <c r="C75" i="6"/>
  <c r="I65" i="1"/>
  <c r="D122" i="6"/>
  <c r="D24" i="6"/>
  <c r="D25" i="6"/>
  <c r="C123" i="6"/>
  <c r="C84" i="6"/>
  <c r="C122" i="6"/>
  <c r="C89" i="6"/>
  <c r="E89" i="6" s="1"/>
  <c r="F89" i="6" s="1"/>
  <c r="T89" i="6" s="1"/>
  <c r="C49" i="6"/>
  <c r="C55" i="6"/>
  <c r="C82" i="6"/>
  <c r="D83" i="6"/>
  <c r="C5" i="6"/>
  <c r="C43" i="6"/>
  <c r="C45" i="6"/>
  <c r="C124" i="6"/>
  <c r="C111" i="6"/>
  <c r="C87" i="6"/>
  <c r="T2271" i="2"/>
  <c r="J5" i="1"/>
  <c r="H4" i="1"/>
  <c r="I4" i="1"/>
  <c r="J4" i="1"/>
  <c r="H5" i="1"/>
  <c r="P2302" i="2"/>
  <c r="P2301" i="2"/>
  <c r="P2304" i="2"/>
  <c r="P2306" i="2"/>
  <c r="R2273" i="2"/>
  <c r="P2305" i="2"/>
  <c r="P2308" i="2"/>
  <c r="P2307" i="2"/>
  <c r="P2303" i="2"/>
  <c r="Q2305" i="2"/>
  <c r="Q2307" i="2"/>
  <c r="Q2302" i="2"/>
  <c r="Q2303" i="2"/>
  <c r="Q2301" i="2"/>
  <c r="Q2304" i="2"/>
  <c r="Q2308" i="2"/>
  <c r="Q2306" i="2"/>
  <c r="S2282" i="2"/>
  <c r="S2278" i="2"/>
  <c r="T2297" i="2"/>
  <c r="T2280" i="2"/>
  <c r="S2292" i="2"/>
  <c r="T2277" i="2"/>
  <c r="T2289" i="2"/>
  <c r="S2285" i="2"/>
  <c r="I2299" i="2"/>
  <c r="I2300" i="2"/>
  <c r="O2300" i="2" s="1"/>
  <c r="T2281" i="2"/>
  <c r="T2283" i="2"/>
  <c r="S2296" i="2"/>
  <c r="S2294" i="2"/>
  <c r="S2284" i="2"/>
  <c r="T2295" i="2"/>
  <c r="S2293" i="2"/>
  <c r="S2279" i="2"/>
  <c r="S2287" i="2"/>
  <c r="S2288" i="2"/>
  <c r="T2291" i="2"/>
  <c r="S2298" i="2"/>
  <c r="S2286" i="2"/>
  <c r="O2238" i="2"/>
  <c r="S2168" i="2"/>
  <c r="C31" i="6"/>
  <c r="T2168" i="2"/>
  <c r="C26" i="6"/>
  <c r="C30" i="6"/>
  <c r="C24" i="6"/>
  <c r="C27" i="6"/>
  <c r="C32" i="6"/>
  <c r="C29" i="6"/>
  <c r="C25" i="6"/>
  <c r="C28" i="6"/>
  <c r="O2203" i="2"/>
  <c r="D45" i="6"/>
  <c r="D48" i="6"/>
  <c r="D81" i="6"/>
  <c r="D41" i="6"/>
  <c r="D85" i="6"/>
  <c r="D56" i="6"/>
  <c r="D52" i="6"/>
  <c r="D51" i="6"/>
  <c r="D77" i="6"/>
  <c r="D79" i="6"/>
  <c r="D123" i="6"/>
  <c r="D88" i="6"/>
  <c r="D86" i="6"/>
  <c r="D50" i="6"/>
  <c r="D43" i="6"/>
  <c r="D49" i="6"/>
  <c r="D42" i="6"/>
  <c r="D44" i="6"/>
  <c r="E44" i="6" s="1"/>
  <c r="D87" i="6"/>
  <c r="D58" i="6"/>
  <c r="D91" i="6"/>
  <c r="D90" i="6"/>
  <c r="D57" i="6"/>
  <c r="D33" i="6"/>
  <c r="D30" i="6"/>
  <c r="D32" i="6"/>
  <c r="D29" i="6"/>
  <c r="D31" i="6"/>
  <c r="D27" i="6"/>
  <c r="D26" i="6"/>
  <c r="D28" i="6"/>
  <c r="D60" i="6"/>
  <c r="D59" i="6"/>
  <c r="D61" i="6"/>
  <c r="D66" i="6"/>
  <c r="D65" i="6"/>
  <c r="D64" i="6"/>
  <c r="D63" i="6"/>
  <c r="D62" i="6"/>
  <c r="D92" i="6"/>
  <c r="D97" i="6"/>
  <c r="D93" i="6"/>
  <c r="D94" i="6"/>
  <c r="D95" i="6"/>
  <c r="D96" i="6"/>
  <c r="D98" i="6"/>
  <c r="E112" i="6" l="1"/>
  <c r="F112" i="6" s="1"/>
  <c r="T112" i="6" s="1"/>
  <c r="E6" i="6"/>
  <c r="F6" i="6" s="1"/>
  <c r="T6" i="6" s="1"/>
  <c r="E15" i="6"/>
  <c r="F15" i="6" s="1"/>
  <c r="I71" i="1"/>
  <c r="I70" i="1"/>
  <c r="T2205" i="2"/>
  <c r="O2206" i="2"/>
  <c r="H66" i="1" s="1"/>
  <c r="T2240" i="2"/>
  <c r="O2241" i="2"/>
  <c r="I2310" i="2"/>
  <c r="O2310" i="2" s="1"/>
  <c r="I2206" i="2"/>
  <c r="E13" i="6"/>
  <c r="F13" i="6" s="1"/>
  <c r="T13" i="6" s="1"/>
  <c r="E114" i="6"/>
  <c r="F114" i="6" s="1"/>
  <c r="R2309" i="2"/>
  <c r="T2309" i="2" s="1"/>
  <c r="R2310" i="2"/>
  <c r="Q2311" i="2"/>
  <c r="P2311" i="2"/>
  <c r="R2275" i="2"/>
  <c r="I2275" i="2" s="1"/>
  <c r="T2274" i="2"/>
  <c r="S2240" i="2"/>
  <c r="S2205" i="2"/>
  <c r="T2170" i="2"/>
  <c r="S2170" i="2"/>
  <c r="S2171" i="2" s="1"/>
  <c r="E110" i="6"/>
  <c r="F110" i="6" s="1"/>
  <c r="T110" i="6" s="1"/>
  <c r="F103" i="6"/>
  <c r="T103" i="6" s="1"/>
  <c r="F102" i="6"/>
  <c r="D99" i="6"/>
  <c r="D100" i="6" s="1"/>
  <c r="C33" i="6"/>
  <c r="C34" i="6" s="1"/>
  <c r="E12" i="6"/>
  <c r="F12" i="6" s="1"/>
  <c r="T12" i="6" s="1"/>
  <c r="K14" i="1"/>
  <c r="D125" i="6"/>
  <c r="D158" i="6" s="1"/>
  <c r="O2272" i="2"/>
  <c r="E120" i="6"/>
  <c r="F120" i="6" s="1"/>
  <c r="T120" i="6" s="1"/>
  <c r="E106" i="6"/>
  <c r="F106" i="6" s="1"/>
  <c r="E116" i="6"/>
  <c r="F116" i="6" s="1"/>
  <c r="T116" i="6" s="1"/>
  <c r="C134" i="6"/>
  <c r="E101" i="6"/>
  <c r="F101" i="6" s="1"/>
  <c r="T101" i="6" s="1"/>
  <c r="E36" i="6"/>
  <c r="F36" i="6" s="1"/>
  <c r="T36" i="6" s="1"/>
  <c r="E74" i="6"/>
  <c r="F74" i="6" s="1"/>
  <c r="E3" i="6"/>
  <c r="C135" i="6"/>
  <c r="F4" i="6"/>
  <c r="T4" i="6" s="1"/>
  <c r="F37" i="6"/>
  <c r="E119" i="6"/>
  <c r="F119" i="6" s="1"/>
  <c r="T119" i="6" s="1"/>
  <c r="E73" i="6"/>
  <c r="F73" i="6" s="1"/>
  <c r="T73" i="6" s="1"/>
  <c r="E85" i="6"/>
  <c r="F85" i="6" s="1"/>
  <c r="T85" i="6" s="1"/>
  <c r="E19" i="6"/>
  <c r="F19" i="6" s="1"/>
  <c r="T19" i="6" s="1"/>
  <c r="E86" i="6"/>
  <c r="F86" i="6" s="1"/>
  <c r="E88" i="6"/>
  <c r="F88" i="6" s="1"/>
  <c r="T88" i="6" s="1"/>
  <c r="E81" i="6"/>
  <c r="F81" i="6" s="1"/>
  <c r="E7" i="6"/>
  <c r="F7" i="6" s="1"/>
  <c r="T7" i="6" s="1"/>
  <c r="E108" i="6"/>
  <c r="F108" i="6" s="1"/>
  <c r="T108" i="6" s="1"/>
  <c r="E121" i="6"/>
  <c r="F121" i="6" s="1"/>
  <c r="T121" i="6" s="1"/>
  <c r="E80" i="6"/>
  <c r="F80" i="6" s="1"/>
  <c r="T80" i="6" s="1"/>
  <c r="E107" i="6"/>
  <c r="F107" i="6" s="1"/>
  <c r="T107" i="6" s="1"/>
  <c r="E8" i="6"/>
  <c r="F8" i="6" s="1"/>
  <c r="E46" i="6"/>
  <c r="F46" i="6" s="1"/>
  <c r="T46" i="6" s="1"/>
  <c r="F70" i="6"/>
  <c r="E14" i="6"/>
  <c r="F14" i="6" s="1"/>
  <c r="E77" i="6"/>
  <c r="F77" i="6" s="1"/>
  <c r="T77" i="6" s="1"/>
  <c r="E56" i="6"/>
  <c r="F56" i="6" s="1"/>
  <c r="E17" i="6"/>
  <c r="F17" i="6" s="1"/>
  <c r="T17" i="6" s="1"/>
  <c r="D135" i="6"/>
  <c r="E52" i="6"/>
  <c r="F52" i="6" s="1"/>
  <c r="C141" i="6"/>
  <c r="E11" i="6"/>
  <c r="F11" i="6" s="1"/>
  <c r="T11" i="6" s="1"/>
  <c r="E115" i="6"/>
  <c r="F115" i="6" s="1"/>
  <c r="T115" i="6" s="1"/>
  <c r="E10" i="6"/>
  <c r="F10" i="6" s="1"/>
  <c r="E39" i="6"/>
  <c r="F39" i="6" s="1"/>
  <c r="T39" i="6" s="1"/>
  <c r="E53" i="6"/>
  <c r="F53" i="6" s="1"/>
  <c r="T53" i="6" s="1"/>
  <c r="D137" i="6"/>
  <c r="E47" i="6"/>
  <c r="F47" i="6" s="1"/>
  <c r="T47" i="6" s="1"/>
  <c r="E41" i="6"/>
  <c r="F41" i="6" s="1"/>
  <c r="E2" i="6"/>
  <c r="F2" i="6" s="1"/>
  <c r="T2" i="6" s="1"/>
  <c r="E71" i="6"/>
  <c r="F71" i="6" s="1"/>
  <c r="T102" i="6"/>
  <c r="C153" i="6"/>
  <c r="E84" i="6"/>
  <c r="F84" i="6" s="1"/>
  <c r="T84" i="6" s="1"/>
  <c r="D139" i="6"/>
  <c r="E79" i="6"/>
  <c r="F79" i="6" s="1"/>
  <c r="T79" i="6" s="1"/>
  <c r="E18" i="6"/>
  <c r="F18" i="6" s="1"/>
  <c r="T18" i="6" s="1"/>
  <c r="E117" i="6"/>
  <c r="F117" i="6" s="1"/>
  <c r="T117" i="6" s="1"/>
  <c r="C136" i="6"/>
  <c r="E82" i="6"/>
  <c r="F82" i="6" s="1"/>
  <c r="T82" i="6" s="1"/>
  <c r="D134" i="6"/>
  <c r="C143" i="6"/>
  <c r="E22" i="6"/>
  <c r="F22" i="6" s="1"/>
  <c r="T22" i="6" s="1"/>
  <c r="C142" i="6"/>
  <c r="C154" i="6"/>
  <c r="C138" i="6"/>
  <c r="E40" i="6"/>
  <c r="F40" i="6" s="1"/>
  <c r="T40" i="6" s="1"/>
  <c r="D136" i="6"/>
  <c r="E113" i="6"/>
  <c r="F113" i="6" s="1"/>
  <c r="T113" i="6" s="1"/>
  <c r="C146" i="6"/>
  <c r="D138" i="6"/>
  <c r="E111" i="6"/>
  <c r="F111" i="6" s="1"/>
  <c r="T111" i="6" s="1"/>
  <c r="E72" i="6"/>
  <c r="F72" i="6" s="1"/>
  <c r="T72" i="6" s="1"/>
  <c r="E23" i="6"/>
  <c r="F23" i="6" s="1"/>
  <c r="E104" i="6"/>
  <c r="F104" i="6" s="1"/>
  <c r="D146" i="6"/>
  <c r="C137" i="6"/>
  <c r="C145" i="6"/>
  <c r="E87" i="6"/>
  <c r="E105" i="6"/>
  <c r="F105" i="6" s="1"/>
  <c r="T105" i="6" s="1"/>
  <c r="E83" i="6"/>
  <c r="F83" i="6" s="1"/>
  <c r="T83" i="6" s="1"/>
  <c r="C140" i="6"/>
  <c r="C149" i="6"/>
  <c r="C152" i="6"/>
  <c r="E124" i="6"/>
  <c r="F124" i="6" s="1"/>
  <c r="C139" i="6"/>
  <c r="C151" i="6"/>
  <c r="E118" i="6"/>
  <c r="F118" i="6" s="1"/>
  <c r="T118" i="6" s="1"/>
  <c r="E75" i="6"/>
  <c r="F75" i="6" s="1"/>
  <c r="C150" i="6"/>
  <c r="C155" i="6"/>
  <c r="C144" i="6"/>
  <c r="E55" i="6"/>
  <c r="F55" i="6" s="1"/>
  <c r="T55" i="6" s="1"/>
  <c r="C148" i="6"/>
  <c r="E43" i="6"/>
  <c r="F43" i="6" s="1"/>
  <c r="E122" i="6"/>
  <c r="F122" i="6" s="1"/>
  <c r="E5" i="6"/>
  <c r="F5" i="6" s="1"/>
  <c r="K37" i="1"/>
  <c r="K42" i="1"/>
  <c r="F69" i="6"/>
  <c r="F38" i="6"/>
  <c r="K4" i="1"/>
  <c r="K29" i="1"/>
  <c r="K12" i="1"/>
  <c r="K10" i="1"/>
  <c r="K40" i="1"/>
  <c r="K27" i="1"/>
  <c r="K58" i="1"/>
  <c r="K44" i="1"/>
  <c r="K50" i="1"/>
  <c r="K43" i="1"/>
  <c r="K48" i="1"/>
  <c r="K47" i="1"/>
  <c r="K32" i="1"/>
  <c r="K15" i="1"/>
  <c r="K46" i="1"/>
  <c r="K35" i="1"/>
  <c r="K13" i="1"/>
  <c r="D126" i="6"/>
  <c r="D159" i="6" s="1"/>
  <c r="D128" i="6"/>
  <c r="D161" i="6" s="1"/>
  <c r="D131" i="6"/>
  <c r="D164" i="6" s="1"/>
  <c r="D127" i="6"/>
  <c r="D160" i="6" s="1"/>
  <c r="D130" i="6"/>
  <c r="D163" i="6" s="1"/>
  <c r="K6" i="1"/>
  <c r="D132" i="6"/>
  <c r="D129" i="6"/>
  <c r="D162" i="6" s="1"/>
  <c r="K18" i="1"/>
  <c r="K55" i="1"/>
  <c r="K20" i="1"/>
  <c r="R2305" i="2"/>
  <c r="K17" i="1"/>
  <c r="K24" i="1"/>
  <c r="K11" i="1"/>
  <c r="K62" i="1"/>
  <c r="R2308" i="2"/>
  <c r="R2304" i="2"/>
  <c r="K63" i="1"/>
  <c r="K54" i="1"/>
  <c r="K26" i="1"/>
  <c r="K61" i="1"/>
  <c r="K9" i="1"/>
  <c r="K30" i="1"/>
  <c r="K56" i="1"/>
  <c r="K57" i="1"/>
  <c r="K59" i="1"/>
  <c r="K34" i="1"/>
  <c r="K23" i="1"/>
  <c r="K52" i="1"/>
  <c r="K38" i="1"/>
  <c r="R2301" i="2"/>
  <c r="K16" i="1"/>
  <c r="K64" i="1"/>
  <c r="R2303" i="2"/>
  <c r="I2273" i="2"/>
  <c r="R2302" i="2"/>
  <c r="K19" i="1"/>
  <c r="K39" i="1"/>
  <c r="K28" i="1"/>
  <c r="K25" i="1"/>
  <c r="K60" i="1"/>
  <c r="K21" i="1"/>
  <c r="K36" i="1"/>
  <c r="K33" i="1"/>
  <c r="R2307" i="2"/>
  <c r="R2306" i="2"/>
  <c r="K8" i="1"/>
  <c r="K49" i="1"/>
  <c r="K53" i="1"/>
  <c r="K41" i="1"/>
  <c r="K22" i="1"/>
  <c r="K31" i="1"/>
  <c r="K51" i="1"/>
  <c r="O2299" i="2"/>
  <c r="T2299" i="2" s="1"/>
  <c r="T2300" i="2"/>
  <c r="S2300" i="2"/>
  <c r="S2238" i="2"/>
  <c r="C91" i="6"/>
  <c r="E91" i="6" s="1"/>
  <c r="F91" i="6" s="1"/>
  <c r="C94" i="6"/>
  <c r="E94" i="6" s="1"/>
  <c r="F94" i="6" s="1"/>
  <c r="C93" i="6"/>
  <c r="E93" i="6" s="1"/>
  <c r="F93" i="6" s="1"/>
  <c r="C97" i="6"/>
  <c r="E97" i="6" s="1"/>
  <c r="F97" i="6" s="1"/>
  <c r="C98" i="6"/>
  <c r="E98" i="6" s="1"/>
  <c r="F98" i="6" s="1"/>
  <c r="T98" i="6" s="1"/>
  <c r="C96" i="6"/>
  <c r="E96" i="6" s="1"/>
  <c r="F96" i="6" s="1"/>
  <c r="C95" i="6"/>
  <c r="E95" i="6" s="1"/>
  <c r="F95" i="6" s="1"/>
  <c r="C92" i="6"/>
  <c r="E92" i="6" s="1"/>
  <c r="F92" i="6" s="1"/>
  <c r="C90" i="6"/>
  <c r="T2238" i="2"/>
  <c r="E25" i="6"/>
  <c r="F25" i="6" s="1"/>
  <c r="E24" i="6"/>
  <c r="F24" i="6" s="1"/>
  <c r="T24" i="6" s="1"/>
  <c r="S2203" i="2"/>
  <c r="C61" i="6"/>
  <c r="E61" i="6" s="1"/>
  <c r="C58" i="6"/>
  <c r="C62" i="6"/>
  <c r="C60" i="6"/>
  <c r="C57" i="6"/>
  <c r="C65" i="6"/>
  <c r="C59" i="6"/>
  <c r="C66" i="6"/>
  <c r="C63" i="6"/>
  <c r="C64" i="6"/>
  <c r="E64" i="6" s="1"/>
  <c r="T2203" i="2"/>
  <c r="E123" i="6"/>
  <c r="F123" i="6" s="1"/>
  <c r="T123" i="6" s="1"/>
  <c r="E28" i="6"/>
  <c r="F28" i="6" s="1"/>
  <c r="E51" i="6"/>
  <c r="E26" i="6"/>
  <c r="F26" i="6" s="1"/>
  <c r="T26" i="6" s="1"/>
  <c r="E27" i="6"/>
  <c r="F27" i="6" s="1"/>
  <c r="T27" i="6" s="1"/>
  <c r="F44" i="6"/>
  <c r="T44" i="6" s="1"/>
  <c r="E31" i="6"/>
  <c r="F31" i="6" s="1"/>
  <c r="E42" i="6"/>
  <c r="E29" i="6"/>
  <c r="E49" i="6"/>
  <c r="E32" i="6"/>
  <c r="F32" i="6" s="1"/>
  <c r="T32" i="6" s="1"/>
  <c r="E30" i="6"/>
  <c r="E50" i="6"/>
  <c r="E45" i="6"/>
  <c r="D147" i="6"/>
  <c r="D144" i="6"/>
  <c r="D154" i="6"/>
  <c r="D149" i="6"/>
  <c r="D152" i="6"/>
  <c r="D156" i="6"/>
  <c r="D145" i="6"/>
  <c r="D157" i="6"/>
  <c r="D150" i="6"/>
  <c r="D153" i="6"/>
  <c r="D151" i="6"/>
  <c r="D143" i="6"/>
  <c r="D155" i="6"/>
  <c r="D141" i="6"/>
  <c r="D148" i="6"/>
  <c r="D140" i="6"/>
  <c r="D142" i="6"/>
  <c r="D34" i="6"/>
  <c r="D67" i="6"/>
  <c r="S2241" i="2" l="1"/>
  <c r="J67" i="1" s="1"/>
  <c r="J71" i="1" s="1"/>
  <c r="T2310" i="2"/>
  <c r="S2206" i="2"/>
  <c r="J66" i="1" s="1"/>
  <c r="O2275" i="2"/>
  <c r="T2275" i="2" s="1"/>
  <c r="I2276" i="2"/>
  <c r="R2276" i="2"/>
  <c r="I68" i="1" s="1"/>
  <c r="I72" i="1" s="1"/>
  <c r="S2309" i="2"/>
  <c r="S2310" i="2"/>
  <c r="R2311" i="2"/>
  <c r="T2171" i="2"/>
  <c r="H65" i="1"/>
  <c r="H69" i="1" s="1"/>
  <c r="T2241" i="2"/>
  <c r="H67" i="1"/>
  <c r="D165" i="6"/>
  <c r="D166" i="6" s="1"/>
  <c r="E33" i="6"/>
  <c r="E34" i="6" s="1"/>
  <c r="E153" i="6"/>
  <c r="T2272" i="2"/>
  <c r="S2272" i="2"/>
  <c r="F3" i="6"/>
  <c r="F135" i="6" s="1"/>
  <c r="T135" i="6" s="1"/>
  <c r="E135" i="6"/>
  <c r="E140" i="6"/>
  <c r="E143" i="6"/>
  <c r="F145" i="6"/>
  <c r="T145" i="6" s="1"/>
  <c r="E150" i="6"/>
  <c r="E145" i="6"/>
  <c r="E152" i="6"/>
  <c r="F140" i="6"/>
  <c r="T140" i="6" s="1"/>
  <c r="F134" i="6"/>
  <c r="T134" i="6" s="1"/>
  <c r="F154" i="6"/>
  <c r="T154" i="6" s="1"/>
  <c r="E134" i="6"/>
  <c r="E141" i="6"/>
  <c r="E149" i="6"/>
  <c r="E148" i="6"/>
  <c r="E144" i="6"/>
  <c r="E139" i="6"/>
  <c r="F87" i="6"/>
  <c r="T87" i="6" s="1"/>
  <c r="E151" i="6"/>
  <c r="F155" i="6"/>
  <c r="T155" i="6" s="1"/>
  <c r="E138" i="6"/>
  <c r="E146" i="6"/>
  <c r="F137" i="6"/>
  <c r="F138" i="6"/>
  <c r="T138" i="6" s="1"/>
  <c r="E142" i="6"/>
  <c r="E155" i="6"/>
  <c r="E154" i="6"/>
  <c r="E137" i="6"/>
  <c r="T14" i="6"/>
  <c r="F146" i="6"/>
  <c r="T146" i="6" s="1"/>
  <c r="T106" i="6"/>
  <c r="F139" i="6"/>
  <c r="T139" i="6" s="1"/>
  <c r="T70" i="6"/>
  <c r="F136" i="6"/>
  <c r="T69" i="6"/>
  <c r="D133" i="6"/>
  <c r="I2306" i="2"/>
  <c r="O2306" i="2" s="1"/>
  <c r="I2301" i="2"/>
  <c r="O2301" i="2" s="1"/>
  <c r="I2303" i="2"/>
  <c r="O2303" i="2" s="1"/>
  <c r="I2307" i="2"/>
  <c r="O2307" i="2" s="1"/>
  <c r="I2305" i="2"/>
  <c r="O2305" i="2" s="1"/>
  <c r="I2304" i="2"/>
  <c r="O2304" i="2" s="1"/>
  <c r="O2273" i="2"/>
  <c r="I2308" i="2"/>
  <c r="O2308" i="2" s="1"/>
  <c r="S2308" i="2" s="1"/>
  <c r="I2302" i="2"/>
  <c r="O2302" i="2" s="1"/>
  <c r="S2299" i="2"/>
  <c r="C157" i="6"/>
  <c r="C156" i="6"/>
  <c r="E90" i="6"/>
  <c r="F90" i="6" s="1"/>
  <c r="T90" i="6" s="1"/>
  <c r="E62" i="6"/>
  <c r="F62" i="6" s="1"/>
  <c r="F64" i="6"/>
  <c r="E57" i="6"/>
  <c r="F57" i="6" s="1"/>
  <c r="T57" i="6" s="1"/>
  <c r="E59" i="6"/>
  <c r="F59" i="6" s="1"/>
  <c r="T59" i="6" s="1"/>
  <c r="E63" i="6"/>
  <c r="F63" i="6" s="1"/>
  <c r="T63" i="6" s="1"/>
  <c r="E66" i="6"/>
  <c r="F66" i="6" s="1"/>
  <c r="T66" i="6" s="1"/>
  <c r="E58" i="6"/>
  <c r="E157" i="6" s="1"/>
  <c r="E65" i="6"/>
  <c r="F65" i="6" s="1"/>
  <c r="T65" i="6" s="1"/>
  <c r="T2206" i="2"/>
  <c r="E60" i="6"/>
  <c r="F152" i="6"/>
  <c r="T152" i="6" s="1"/>
  <c r="T86" i="6"/>
  <c r="F142" i="6"/>
  <c r="T142" i="6" s="1"/>
  <c r="T43" i="6"/>
  <c r="F151" i="6"/>
  <c r="T151" i="6" s="1"/>
  <c r="T52" i="6"/>
  <c r="F143" i="6"/>
  <c r="T143" i="6" s="1"/>
  <c r="F49" i="6"/>
  <c r="F42" i="6"/>
  <c r="F141" i="6" s="1"/>
  <c r="T141" i="6" s="1"/>
  <c r="F29" i="6"/>
  <c r="F51" i="6"/>
  <c r="F30" i="6"/>
  <c r="F45" i="6"/>
  <c r="F50" i="6"/>
  <c r="F61" i="6"/>
  <c r="T61" i="6" s="1"/>
  <c r="K65" i="1" l="1"/>
  <c r="O2276" i="2"/>
  <c r="H68" i="1" s="1"/>
  <c r="S2275" i="2"/>
  <c r="F33" i="6"/>
  <c r="T33" i="6" s="1"/>
  <c r="J65" i="1"/>
  <c r="K67" i="1"/>
  <c r="C99" i="6"/>
  <c r="T3" i="6"/>
  <c r="F153" i="6"/>
  <c r="T153" i="6" s="1"/>
  <c r="T2308" i="2"/>
  <c r="S2304" i="2"/>
  <c r="T2304" i="2"/>
  <c r="S2301" i="2"/>
  <c r="T2301" i="2"/>
  <c r="T2305" i="2"/>
  <c r="S2305" i="2"/>
  <c r="S2306" i="2"/>
  <c r="T2306" i="2"/>
  <c r="T2302" i="2"/>
  <c r="S2302" i="2"/>
  <c r="S2307" i="2"/>
  <c r="T2307" i="2"/>
  <c r="S2273" i="2"/>
  <c r="C130" i="6"/>
  <c r="C128" i="6"/>
  <c r="C129" i="6"/>
  <c r="C132" i="6"/>
  <c r="T2273" i="2"/>
  <c r="C131" i="6"/>
  <c r="C125" i="6"/>
  <c r="C127" i="6"/>
  <c r="C126" i="6"/>
  <c r="T2303" i="2"/>
  <c r="S2303" i="2"/>
  <c r="F156" i="6"/>
  <c r="T156" i="6" s="1"/>
  <c r="E156" i="6"/>
  <c r="F58" i="6"/>
  <c r="F157" i="6" s="1"/>
  <c r="F60" i="6"/>
  <c r="T60" i="6" s="1"/>
  <c r="K66" i="1"/>
  <c r="F149" i="6"/>
  <c r="F144" i="6"/>
  <c r="T144" i="6" s="1"/>
  <c r="T45" i="6"/>
  <c r="F150" i="6"/>
  <c r="T150" i="6" s="1"/>
  <c r="T51" i="6"/>
  <c r="F148" i="6"/>
  <c r="T148" i="6" s="1"/>
  <c r="T49" i="6"/>
  <c r="S37" i="6"/>
  <c r="M67" i="6"/>
  <c r="T37" i="6"/>
  <c r="M136" i="6"/>
  <c r="M166" i="6"/>
  <c r="S2276" i="2" l="1"/>
  <c r="J68" i="1" s="1"/>
  <c r="J72" i="1" s="1"/>
  <c r="F34" i="6"/>
  <c r="T34" i="6" s="1"/>
  <c r="H71" i="1"/>
  <c r="K71" i="1" s="1"/>
  <c r="E99" i="6"/>
  <c r="C100" i="6"/>
  <c r="E131" i="6"/>
  <c r="C164" i="6"/>
  <c r="E128" i="6"/>
  <c r="C161" i="6"/>
  <c r="E126" i="6"/>
  <c r="C159" i="6"/>
  <c r="E130" i="6"/>
  <c r="C163" i="6"/>
  <c r="E127" i="6"/>
  <c r="C160" i="6"/>
  <c r="E132" i="6"/>
  <c r="C165" i="6"/>
  <c r="C133" i="6"/>
  <c r="E125" i="6"/>
  <c r="C158" i="6"/>
  <c r="E129" i="6"/>
  <c r="C162" i="6"/>
  <c r="T2276" i="2"/>
  <c r="S136" i="6"/>
  <c r="T136" i="6"/>
  <c r="F99" i="6" l="1"/>
  <c r="E100" i="6"/>
  <c r="F132" i="6"/>
  <c r="E165" i="6"/>
  <c r="F130" i="6"/>
  <c r="E163" i="6"/>
  <c r="F128" i="6"/>
  <c r="F161" i="6" s="1"/>
  <c r="E161" i="6"/>
  <c r="K68" i="1"/>
  <c r="H72" i="1"/>
  <c r="K72" i="1" s="1"/>
  <c r="F125" i="6"/>
  <c r="E133" i="6"/>
  <c r="E158" i="6"/>
  <c r="F129" i="6"/>
  <c r="E162" i="6"/>
  <c r="F127" i="6"/>
  <c r="F160" i="6" s="1"/>
  <c r="T160" i="6" s="1"/>
  <c r="E160" i="6"/>
  <c r="F126" i="6"/>
  <c r="E159" i="6"/>
  <c r="F131" i="6"/>
  <c r="E164" i="6"/>
  <c r="B5716" i="5"/>
  <c r="B5717" i="5" s="1"/>
  <c r="B5718" i="5" s="1"/>
  <c r="B5719" i="5" s="1"/>
  <c r="B5720" i="5" s="1"/>
  <c r="B5721" i="5" s="1"/>
  <c r="B5722" i="5" s="1"/>
  <c r="B5723" i="5" s="1"/>
  <c r="B5724" i="5" s="1"/>
  <c r="B5725" i="5" s="1"/>
  <c r="B5726" i="5" s="1"/>
  <c r="B5727" i="5" s="1"/>
  <c r="B5728" i="5" s="1"/>
  <c r="B5729" i="5" s="1"/>
  <c r="B5730" i="5" s="1"/>
  <c r="B5731" i="5" s="1"/>
  <c r="B5732" i="5" s="1"/>
  <c r="B5733" i="5" s="1"/>
  <c r="B5734" i="5" s="1"/>
  <c r="B5735" i="5" s="1"/>
  <c r="B5736" i="5" s="1"/>
  <c r="B5737" i="5" s="1"/>
  <c r="B5738" i="5" s="1"/>
  <c r="B5739" i="5" s="1"/>
  <c r="B5740" i="5" s="1"/>
  <c r="B5741" i="5" s="1"/>
  <c r="B5742" i="5" s="1"/>
  <c r="B5743" i="5" s="1"/>
  <c r="B5744" i="5" s="1"/>
  <c r="B5745" i="5" s="1"/>
  <c r="B5746" i="5" s="1"/>
  <c r="B5747" i="5" s="1"/>
  <c r="B5748" i="5" s="1"/>
  <c r="B5749" i="5" s="1"/>
  <c r="B5750" i="5" s="1"/>
  <c r="B5751" i="5" s="1"/>
  <c r="B5752" i="5" s="1"/>
  <c r="B5753" i="5" s="1"/>
  <c r="B5754" i="5" s="1"/>
  <c r="B5755" i="5" s="1"/>
  <c r="B5756" i="5" s="1"/>
  <c r="B5757" i="5" s="1"/>
  <c r="B5758" i="5" s="1"/>
  <c r="B5759" i="5" s="1"/>
  <c r="B5760" i="5" s="1"/>
  <c r="B5761" i="5" s="1"/>
  <c r="B5762" i="5" s="1"/>
  <c r="B5763" i="5" s="1"/>
  <c r="B5764" i="5" s="1"/>
  <c r="B5765" i="5" s="1"/>
  <c r="B5766" i="5" s="1"/>
  <c r="B5767" i="5" s="1"/>
  <c r="B5768" i="5" s="1"/>
  <c r="B5769" i="5" s="1"/>
  <c r="B5770" i="5" s="1"/>
  <c r="B5771" i="5" s="1"/>
  <c r="B5772" i="5" s="1"/>
  <c r="B5773" i="5" s="1"/>
  <c r="B5774" i="5" s="1"/>
  <c r="B5775" i="5" s="1"/>
  <c r="B5776" i="5" s="1"/>
  <c r="B5777" i="5" s="1"/>
  <c r="B5778" i="5" s="1"/>
  <c r="B5779" i="5" s="1"/>
  <c r="B5780" i="5" s="1"/>
  <c r="B5781" i="5" s="1"/>
  <c r="B5782" i="5" s="1"/>
  <c r="B5783" i="5" s="1"/>
  <c r="B5784" i="5" s="1"/>
  <c r="B5785" i="5" s="1"/>
  <c r="B5786" i="5" s="1"/>
  <c r="B5787" i="5" s="1"/>
  <c r="B5788" i="5" s="1"/>
  <c r="B5789" i="5" s="1"/>
  <c r="B5790" i="5" s="1"/>
  <c r="B5791" i="5" s="1"/>
  <c r="B5792" i="5" s="1"/>
  <c r="B5793" i="5" s="1"/>
  <c r="B5794" i="5" s="1"/>
  <c r="B5795" i="5" s="1"/>
  <c r="B5796" i="5" s="1"/>
  <c r="B5797" i="5" s="1"/>
  <c r="B5798" i="5" s="1"/>
  <c r="B5799" i="5" s="1"/>
  <c r="B5800" i="5" s="1"/>
  <c r="B5801" i="5" s="1"/>
  <c r="B5802" i="5" s="1"/>
  <c r="B5803" i="5" s="1"/>
  <c r="B5804" i="5" s="1"/>
  <c r="B5805" i="5" s="1"/>
  <c r="B5806" i="5" s="1"/>
  <c r="B5807" i="5" s="1"/>
  <c r="B5808" i="5" s="1"/>
  <c r="B5809" i="5" s="1"/>
  <c r="B5810" i="5" s="1"/>
  <c r="B5811" i="5" s="1"/>
  <c r="B5812" i="5" s="1"/>
  <c r="B5813" i="5" s="1"/>
  <c r="B5814" i="5" s="1"/>
  <c r="B5815" i="5" s="1"/>
  <c r="B5816" i="5" s="1"/>
  <c r="B5817" i="5" s="1"/>
  <c r="B5818" i="5" s="1"/>
  <c r="B5819" i="5" s="1"/>
  <c r="B5820" i="5" s="1"/>
  <c r="B5821" i="5" s="1"/>
  <c r="B5822" i="5" s="1"/>
  <c r="B5823" i="5" s="1"/>
  <c r="B5824" i="5" s="1"/>
  <c r="B5825" i="5" s="1"/>
  <c r="B5826" i="5" s="1"/>
  <c r="B5827" i="5" s="1"/>
  <c r="B5828" i="5" s="1"/>
  <c r="B5829" i="5" s="1"/>
  <c r="B5830" i="5" s="1"/>
  <c r="B5831" i="5" s="1"/>
  <c r="B5832" i="5" s="1"/>
  <c r="B5833" i="5" s="1"/>
  <c r="B5834" i="5" s="1"/>
  <c r="B5835" i="5" s="1"/>
  <c r="B5837" i="5" s="1"/>
  <c r="B5838" i="5" s="1"/>
  <c r="B5839" i="5" s="1"/>
  <c r="T99" i="6" l="1"/>
  <c r="F100" i="6"/>
  <c r="T100" i="6" s="1"/>
  <c r="F164" i="6"/>
  <c r="T164" i="6" s="1"/>
  <c r="T131" i="6"/>
  <c r="F162" i="6"/>
  <c r="T162" i="6" s="1"/>
  <c r="T129" i="6"/>
  <c r="F163" i="6"/>
  <c r="T163" i="6" s="1"/>
  <c r="T130" i="6"/>
  <c r="F165" i="6"/>
  <c r="T165" i="6" s="1"/>
  <c r="T132" i="6"/>
  <c r="F159" i="6"/>
  <c r="T159" i="6" s="1"/>
  <c r="T126" i="6"/>
  <c r="F133" i="6"/>
  <c r="T133" i="6" s="1"/>
  <c r="F158" i="6"/>
  <c r="T158" i="6" s="1"/>
  <c r="B5840" i="5"/>
  <c r="B5841" i="5" s="1"/>
  <c r="B5842" i="5" s="1"/>
  <c r="B5843" i="5" s="1"/>
  <c r="B5844" i="5" s="1"/>
  <c r="B5845" i="5" s="1"/>
  <c r="B5846" i="5" s="1"/>
  <c r="B5847" i="5" s="1"/>
  <c r="B5848" i="5" s="1"/>
  <c r="B5849" i="5" s="1"/>
  <c r="B5850" i="5" s="1"/>
  <c r="B5851" i="5" s="1"/>
  <c r="B5852" i="5" s="1"/>
  <c r="B5853" i="5" s="1"/>
  <c r="B5854" i="5" s="1"/>
  <c r="B5855" i="5" s="1"/>
  <c r="B5856" i="5" s="1"/>
  <c r="B5857" i="5" s="1"/>
  <c r="B5858" i="5" s="1"/>
  <c r="B5859" i="5" s="1"/>
  <c r="B5860" i="5" s="1"/>
  <c r="B5861" i="5" s="1"/>
  <c r="B5862" i="5" s="1"/>
  <c r="B5863" i="5" s="1"/>
  <c r="B5864" i="5" s="1"/>
  <c r="B5865" i="5" s="1"/>
  <c r="B5866" i="5" s="1"/>
  <c r="B5867" i="5" s="1"/>
  <c r="B5868" i="5" s="1"/>
  <c r="B5869" i="5" s="1"/>
  <c r="B5870" i="5" s="1"/>
  <c r="B5871" i="5" s="1"/>
  <c r="B5872" i="5" s="1"/>
  <c r="B5873" i="5" s="1"/>
  <c r="B5874" i="5" s="1"/>
  <c r="B5875" i="5" s="1"/>
  <c r="B5876" i="5" s="1"/>
  <c r="B5877" i="5" s="1"/>
  <c r="B5878" i="5" s="1"/>
  <c r="B5879" i="5" s="1"/>
  <c r="I2290" i="2"/>
  <c r="I2311" i="2" s="1"/>
  <c r="O1450" i="2"/>
  <c r="O1471" i="2" s="1"/>
  <c r="S1450" i="2" l="1"/>
  <c r="O2290" i="2"/>
  <c r="O2311" i="2" s="1"/>
  <c r="T2311" i="2" s="1"/>
  <c r="B5880" i="5"/>
  <c r="B5881" i="5" s="1"/>
  <c r="B5882" i="5" s="1"/>
  <c r="B5883" i="5" s="1"/>
  <c r="B5884" i="5" s="1"/>
  <c r="B5885" i="5" s="1"/>
  <c r="B5886" i="5" s="1"/>
  <c r="B5887" i="5" s="1"/>
  <c r="B5888" i="5" s="1"/>
  <c r="B5889" i="5" s="1"/>
  <c r="B5890" i="5" s="1"/>
  <c r="B5891" i="5" s="1"/>
  <c r="B5983" i="5"/>
  <c r="B5984" i="5" s="1"/>
  <c r="B5985" i="5" s="1"/>
  <c r="B5986" i="5" s="1"/>
  <c r="B5987" i="5" s="1"/>
  <c r="B5988" i="5" s="1"/>
  <c r="B5989" i="5" s="1"/>
  <c r="B5990" i="5" s="1"/>
  <c r="B5991" i="5" s="1"/>
  <c r="B5992" i="5" s="1"/>
  <c r="B5993" i="5" s="1"/>
  <c r="B5994" i="5" s="1"/>
  <c r="B5995" i="5" s="1"/>
  <c r="B5996" i="5" s="1"/>
  <c r="B5997" i="5" s="1"/>
  <c r="B5998" i="5" s="1"/>
  <c r="B5999" i="5" s="1"/>
  <c r="B6000" i="5" s="1"/>
  <c r="B6001" i="5" s="1"/>
  <c r="B6002" i="5" s="1"/>
  <c r="B6003" i="5" s="1"/>
  <c r="B6004" i="5" s="1"/>
  <c r="B6005" i="5" s="1"/>
  <c r="B6006" i="5" s="1"/>
  <c r="B6007" i="5" s="1"/>
  <c r="B6008" i="5" s="1"/>
  <c r="B6009" i="5" s="1"/>
  <c r="B6010" i="5" s="1"/>
  <c r="B6011" i="5" s="1"/>
  <c r="B6012" i="5" s="1"/>
  <c r="B6013" i="5" s="1"/>
  <c r="B6014" i="5" s="1"/>
  <c r="B6015" i="5" s="1"/>
  <c r="B6016" i="5" s="1"/>
  <c r="B6017" i="5" s="1"/>
  <c r="B6018" i="5" s="1"/>
  <c r="B6019" i="5" s="1"/>
  <c r="B6020" i="5" s="1"/>
  <c r="B6021" i="5" s="1"/>
  <c r="B6022" i="5" s="1"/>
  <c r="B6023" i="5" s="1"/>
  <c r="B6024" i="5" s="1"/>
  <c r="B6025" i="5" s="1"/>
  <c r="B6026" i="5" s="1"/>
  <c r="B6027" i="5" s="1"/>
  <c r="B6028" i="5" s="1"/>
  <c r="B6029" i="5" s="1"/>
  <c r="B6030" i="5" s="1"/>
  <c r="B6031" i="5" s="1"/>
  <c r="B6032" i="5" s="1"/>
  <c r="B6033" i="5" s="1"/>
  <c r="B6034" i="5" s="1"/>
  <c r="B6035" i="5" s="1"/>
  <c r="B6036" i="5" s="1"/>
  <c r="B6037" i="5" s="1"/>
  <c r="B6038" i="5" s="1"/>
  <c r="B6039" i="5" s="1"/>
  <c r="B6040" i="5" s="1"/>
  <c r="B6041" i="5" s="1"/>
  <c r="B6042" i="5" s="1"/>
  <c r="B6043" i="5" s="1"/>
  <c r="B6044" i="5" s="1"/>
  <c r="B6045" i="5" s="1"/>
  <c r="B6046" i="5" s="1"/>
  <c r="B6047" i="5" s="1"/>
  <c r="B6048" i="5" s="1"/>
  <c r="B6049" i="5" s="1"/>
  <c r="B6050" i="5" s="1"/>
  <c r="B6051" i="5" s="1"/>
  <c r="B6052" i="5" s="1"/>
  <c r="B6053" i="5" s="1"/>
  <c r="B6054" i="5" s="1"/>
  <c r="B6055" i="5" s="1"/>
  <c r="B6056" i="5" s="1"/>
  <c r="B6057" i="5" s="1"/>
  <c r="B6058" i="5" s="1"/>
  <c r="B6059" i="5" s="1"/>
  <c r="B6060" i="5" s="1"/>
  <c r="B6061" i="5" s="1"/>
  <c r="B6062" i="5" s="1"/>
  <c r="B6063" i="5" s="1"/>
  <c r="B6064" i="5" s="1"/>
  <c r="B6065" i="5" s="1"/>
  <c r="B6066" i="5" s="1"/>
  <c r="B6067" i="5" s="1"/>
  <c r="B6068" i="5" s="1"/>
  <c r="B6069" i="5" s="1"/>
  <c r="B6070" i="5" s="1"/>
  <c r="B6071" i="5" s="1"/>
  <c r="B6072" i="5" s="1"/>
  <c r="B6073" i="5" s="1"/>
  <c r="B6074" i="5" s="1"/>
  <c r="B6075" i="5" s="1"/>
  <c r="B6076" i="5" s="1"/>
  <c r="B6077" i="5" s="1"/>
  <c r="B6078" i="5" s="1"/>
  <c r="B6079" i="5" s="1"/>
  <c r="B6080" i="5" s="1"/>
  <c r="B6081" i="5" s="1"/>
  <c r="B6082" i="5" s="1"/>
  <c r="B6083" i="5" s="1"/>
  <c r="B6084" i="5" s="1"/>
  <c r="B6085" i="5" s="1"/>
  <c r="B6086" i="5" s="1"/>
  <c r="B6087" i="5" s="1"/>
  <c r="B6088" i="5" s="1"/>
  <c r="B6089" i="5" s="1"/>
  <c r="B6090" i="5" s="1"/>
  <c r="B6091" i="5" s="1"/>
  <c r="B6092" i="5" s="1"/>
  <c r="B6093" i="5" s="1"/>
  <c r="B6094" i="5" s="1"/>
  <c r="B6095" i="5" s="1"/>
  <c r="B6096" i="5" s="1"/>
  <c r="B6097" i="5" s="1"/>
  <c r="B6098" i="5" s="1"/>
  <c r="B6099" i="5" s="1"/>
  <c r="B6100" i="5" s="1"/>
  <c r="B6101" i="5" s="1"/>
  <c r="B6102" i="5" s="1"/>
  <c r="B6103" i="5" s="1"/>
  <c r="B6104" i="5" s="1"/>
  <c r="B6105" i="5" s="1"/>
  <c r="B6106" i="5" s="1"/>
  <c r="B6107" i="5" s="1"/>
  <c r="B6108" i="5" s="1"/>
  <c r="B6109" i="5" s="1"/>
  <c r="B6110" i="5" s="1"/>
  <c r="B6111" i="5" s="1"/>
  <c r="B6112" i="5" s="1"/>
  <c r="B6113" i="5" s="1"/>
  <c r="B6114" i="5" s="1"/>
  <c r="B6115" i="5" s="1"/>
  <c r="B6116" i="5" s="1"/>
  <c r="B6117" i="5" s="1"/>
  <c r="B6118" i="5" s="1"/>
  <c r="B6119" i="5" s="1"/>
  <c r="B6120" i="5" s="1"/>
  <c r="B6121" i="5" s="1"/>
  <c r="B6122" i="5" s="1"/>
  <c r="B6123" i="5" s="1"/>
  <c r="B6124" i="5" s="1"/>
  <c r="B6125" i="5" s="1"/>
  <c r="B6126" i="5" s="1"/>
  <c r="B6127" i="5" s="1"/>
  <c r="B6128" i="5" s="1"/>
  <c r="B6129" i="5" s="1"/>
  <c r="B6130" i="5" s="1"/>
  <c r="B6131" i="5" s="1"/>
  <c r="B6132" i="5" s="1"/>
  <c r="B6133" i="5" s="1"/>
  <c r="B6134" i="5" s="1"/>
  <c r="B6135" i="5" s="1"/>
  <c r="B6136" i="5" s="1"/>
  <c r="B6137" i="5" s="1"/>
  <c r="B6138" i="5" s="1"/>
  <c r="B6139" i="5" s="1"/>
  <c r="B6140" i="5" s="1"/>
  <c r="B6141" i="5" s="1"/>
  <c r="B6142" i="5" s="1"/>
  <c r="B6143" i="5" s="1"/>
  <c r="B6144" i="5" s="1"/>
  <c r="B6145" i="5" s="1"/>
  <c r="B6146" i="5" s="1"/>
  <c r="B6147" i="5" s="1"/>
  <c r="B6148" i="5" s="1"/>
  <c r="B6149" i="5" s="1"/>
  <c r="B6150" i="5" s="1"/>
  <c r="B6151" i="5" s="1"/>
  <c r="B6152" i="5" s="1"/>
  <c r="B6153" i="5" s="1"/>
  <c r="B6154" i="5" s="1"/>
  <c r="B6155" i="5" s="1"/>
  <c r="B6156" i="5" s="1"/>
  <c r="B6157" i="5" s="1"/>
  <c r="B6158" i="5" s="1"/>
  <c r="B6159" i="5" s="1"/>
  <c r="B6160" i="5" s="1"/>
  <c r="B6161" i="5" s="1"/>
  <c r="B6162" i="5" s="1"/>
  <c r="B6163" i="5" s="1"/>
  <c r="B6164" i="5" s="1"/>
  <c r="B6165" i="5" s="1"/>
  <c r="B6166" i="5" s="1"/>
  <c r="B6167" i="5" s="1"/>
  <c r="B6168" i="5" s="1"/>
  <c r="B6169" i="5" s="1"/>
  <c r="B6170" i="5" s="1"/>
  <c r="B6171" i="5" s="1"/>
  <c r="B6172" i="5" s="1"/>
  <c r="B6173" i="5" s="1"/>
  <c r="B6174" i="5" s="1"/>
  <c r="B6175" i="5" s="1"/>
  <c r="B6176" i="5" s="1"/>
  <c r="B6177" i="5" s="1"/>
  <c r="B6178" i="5" s="1"/>
  <c r="B6179" i="5" s="1"/>
  <c r="B6180" i="5" s="1"/>
  <c r="B6181" i="5" s="1"/>
  <c r="B6182" i="5" s="1"/>
  <c r="B6183" i="5" s="1"/>
  <c r="B6184" i="5" s="1"/>
  <c r="B6185" i="5" s="1"/>
  <c r="B6186" i="5" s="1"/>
  <c r="B6187" i="5" s="1"/>
  <c r="B6188" i="5" s="1"/>
  <c r="B6189" i="5" s="1"/>
  <c r="B6190" i="5" s="1"/>
  <c r="B6191" i="5" s="1"/>
  <c r="B6192" i="5" s="1"/>
  <c r="B6193" i="5" s="1"/>
  <c r="B6194" i="5" s="1"/>
  <c r="B6195" i="5" s="1"/>
  <c r="B6196" i="5" s="1"/>
  <c r="B6197" i="5" s="1"/>
  <c r="B6198" i="5" s="1"/>
  <c r="B6199" i="5" s="1"/>
  <c r="B6200" i="5" s="1"/>
  <c r="B6201" i="5" s="1"/>
  <c r="B6202" i="5" s="1"/>
  <c r="B6203" i="5" s="1"/>
  <c r="B6204" i="5" s="1"/>
  <c r="B6205" i="5" s="1"/>
  <c r="B6206" i="5" s="1"/>
  <c r="B6207" i="5" s="1"/>
  <c r="B6208" i="5" s="1"/>
  <c r="B6209" i="5" s="1"/>
  <c r="B6210" i="5" s="1"/>
  <c r="B6211" i="5" s="1"/>
  <c r="B6212" i="5" s="1"/>
  <c r="B6213" i="5" s="1"/>
  <c r="B6214" i="5" s="1"/>
  <c r="B6215" i="5" s="1"/>
  <c r="B6216" i="5" s="1"/>
  <c r="B6217" i="5" s="1"/>
  <c r="B6218" i="5" s="1"/>
  <c r="B6219" i="5" s="1"/>
  <c r="B6220" i="5" s="1"/>
  <c r="B6221" i="5" s="1"/>
  <c r="B6222" i="5" s="1"/>
  <c r="B6223" i="5" s="1"/>
  <c r="B6224" i="5" s="1"/>
  <c r="B6225" i="5" s="1"/>
  <c r="B6226" i="5" s="1"/>
  <c r="B6227" i="5" s="1"/>
  <c r="B6228" i="5" s="1"/>
  <c r="B6229" i="5" s="1"/>
  <c r="B6230" i="5" s="1"/>
  <c r="B6231" i="5" s="1"/>
  <c r="B6232" i="5" s="1"/>
  <c r="B6233" i="5" s="1"/>
  <c r="B6234" i="5" s="1"/>
  <c r="B6235" i="5" s="1"/>
  <c r="B6236" i="5" s="1"/>
  <c r="B6237" i="5" s="1"/>
  <c r="B6238" i="5" s="1"/>
  <c r="B6239" i="5" s="1"/>
  <c r="B6240" i="5" s="1"/>
  <c r="B6241" i="5" s="1"/>
  <c r="B6242" i="5" s="1"/>
  <c r="B6243" i="5" s="1"/>
  <c r="B6244" i="5" s="1"/>
  <c r="B6245" i="5" s="1"/>
  <c r="B6246" i="5" s="1"/>
  <c r="B6247" i="5" s="1"/>
  <c r="B6248" i="5" s="1"/>
  <c r="B6249" i="5" s="1"/>
  <c r="B6250" i="5" s="1"/>
  <c r="B6251" i="5" s="1"/>
  <c r="B6252" i="5" s="1"/>
  <c r="B6253" i="5" s="1"/>
  <c r="B6254" i="5" s="1"/>
  <c r="B6255" i="5" s="1"/>
  <c r="B6256" i="5" s="1"/>
  <c r="B6257" i="5" s="1"/>
  <c r="B6258" i="5" s="1"/>
  <c r="B6259" i="5" s="1"/>
  <c r="B6260" i="5" s="1"/>
  <c r="B6261" i="5" s="1"/>
  <c r="B6262" i="5" s="1"/>
  <c r="B6263" i="5" s="1"/>
  <c r="B6264" i="5" s="1"/>
  <c r="B6265" i="5" s="1"/>
  <c r="B6266" i="5" s="1"/>
  <c r="B6267" i="5" s="1"/>
  <c r="B6268" i="5" s="1"/>
  <c r="B6269" i="5" s="1"/>
  <c r="B6270" i="5" s="1"/>
  <c r="B6271" i="5" s="1"/>
  <c r="B6272" i="5" s="1"/>
  <c r="B6273" i="5" s="1"/>
  <c r="B6274" i="5" s="1"/>
  <c r="B6275" i="5" s="1"/>
  <c r="B6276" i="5" s="1"/>
  <c r="B6277" i="5" s="1"/>
  <c r="B6278" i="5" s="1"/>
  <c r="B6279" i="5" s="1"/>
  <c r="B6280" i="5" s="1"/>
  <c r="B6281" i="5" s="1"/>
  <c r="B6282" i="5" s="1"/>
  <c r="B6283" i="5" s="1"/>
  <c r="B6284" i="5" s="1"/>
  <c r="B6285" i="5" s="1"/>
  <c r="B6286" i="5" s="1"/>
  <c r="B6289" i="5" s="1"/>
  <c r="B6290" i="5" s="1"/>
  <c r="B6291" i="5" s="1"/>
  <c r="B6292" i="5" s="1"/>
  <c r="B6293" i="5" s="1"/>
  <c r="B6294" i="5" s="1"/>
  <c r="B6295" i="5" s="1"/>
  <c r="B6296" i="5" s="1"/>
  <c r="B6297" i="5" s="1"/>
  <c r="B6298" i="5" s="1"/>
  <c r="B6299" i="5" s="1"/>
  <c r="B6300" i="5" s="1"/>
  <c r="B6301" i="5" s="1"/>
  <c r="B6302" i="5" s="1"/>
  <c r="B6303" i="5" s="1"/>
  <c r="B6304" i="5" s="1"/>
  <c r="B6305" i="5" s="1"/>
  <c r="B6306" i="5" s="1"/>
  <c r="B6307" i="5" s="1"/>
  <c r="B6308" i="5" s="1"/>
  <c r="B6309" i="5" s="1"/>
  <c r="B6310" i="5" s="1"/>
  <c r="B6311" i="5" s="1"/>
  <c r="B6312" i="5" s="1"/>
  <c r="B6313" i="5" s="1"/>
  <c r="B6314" i="5" s="1"/>
  <c r="B6315" i="5" s="1"/>
  <c r="B6316" i="5" s="1"/>
  <c r="B6317" i="5" s="1"/>
  <c r="B6318" i="5" s="1"/>
  <c r="B6319" i="5" s="1"/>
  <c r="B6320" i="5" s="1"/>
  <c r="B6321" i="5" s="1"/>
  <c r="B6322" i="5" s="1"/>
  <c r="B6323" i="5" s="1"/>
  <c r="B6324" i="5" s="1"/>
  <c r="B6325" i="5" s="1"/>
  <c r="B6326" i="5" s="1"/>
  <c r="B6327" i="5" s="1"/>
  <c r="B6328" i="5" s="1"/>
  <c r="B6329" i="5" s="1"/>
  <c r="B6330" i="5" s="1"/>
  <c r="B6331" i="5" s="1"/>
  <c r="B6332" i="5" s="1"/>
  <c r="B6333" i="5" s="1"/>
  <c r="B6334" i="5" s="1"/>
  <c r="B6335" i="5" s="1"/>
  <c r="B6336" i="5" s="1"/>
  <c r="B6337" i="5" s="1"/>
  <c r="B6338" i="5" s="1"/>
  <c r="B6339" i="5" s="1"/>
  <c r="B6340" i="5" s="1"/>
  <c r="B6341" i="5" s="1"/>
  <c r="B6342" i="5" s="1"/>
  <c r="B6343" i="5" s="1"/>
  <c r="B6344" i="5" s="1"/>
  <c r="B6345" i="5" s="1"/>
  <c r="B6346" i="5" s="1"/>
  <c r="B6347" i="5" s="1"/>
  <c r="B6348" i="5" s="1"/>
  <c r="B6349" i="5" s="1"/>
  <c r="B6350" i="5" s="1"/>
  <c r="B6351" i="5" s="1"/>
  <c r="B6352" i="5" s="1"/>
  <c r="B6353" i="5" s="1"/>
  <c r="B6354" i="5" s="1"/>
  <c r="B6355" i="5" s="1"/>
  <c r="B6356" i="5" s="1"/>
  <c r="B6357" i="5" s="1"/>
  <c r="B6358" i="5" s="1"/>
  <c r="B6359" i="5" s="1"/>
  <c r="B6360" i="5" s="1"/>
  <c r="B6361" i="5" s="1"/>
  <c r="B6362" i="5" s="1"/>
  <c r="B6363" i="5" s="1"/>
  <c r="B6364" i="5" s="1"/>
  <c r="B6365" i="5" s="1"/>
  <c r="B6366" i="5" s="1"/>
  <c r="B6367" i="5" s="1"/>
  <c r="B6368" i="5" s="1"/>
  <c r="B6369" i="5" s="1"/>
  <c r="B6370" i="5" s="1"/>
  <c r="B6371" i="5" s="1"/>
  <c r="B6372" i="5" s="1"/>
  <c r="B6373" i="5" s="1"/>
  <c r="B6374" i="5" s="1"/>
  <c r="B6375" i="5" s="1"/>
  <c r="B6376" i="5" s="1"/>
  <c r="B6377" i="5" s="1"/>
  <c r="B6378" i="5" s="1"/>
  <c r="B6379" i="5" s="1"/>
  <c r="B6380" i="5" s="1"/>
  <c r="B6381" i="5" s="1"/>
  <c r="B6382" i="5" s="1"/>
  <c r="B6383" i="5" s="1"/>
  <c r="B6384" i="5" s="1"/>
  <c r="B6385" i="5" s="1"/>
  <c r="B6386" i="5" s="1"/>
  <c r="B6387" i="5" s="1"/>
  <c r="B6388" i="5" s="1"/>
  <c r="B6389" i="5" s="1"/>
  <c r="B6390" i="5" s="1"/>
  <c r="B6391" i="5" s="1"/>
  <c r="B6392" i="5" s="1"/>
  <c r="B6393" i="5" s="1"/>
  <c r="B6394" i="5" s="1"/>
  <c r="B6395" i="5" s="1"/>
  <c r="B6396" i="5" s="1"/>
  <c r="B6397" i="5" s="1"/>
  <c r="B6398" i="5" s="1"/>
  <c r="B6399" i="5" s="1"/>
  <c r="B6400" i="5" s="1"/>
  <c r="B6401" i="5" s="1"/>
  <c r="B6402" i="5" s="1"/>
  <c r="B6403" i="5" s="1"/>
  <c r="B6404" i="5" s="1"/>
  <c r="B6405" i="5" s="1"/>
  <c r="B6406" i="5" s="1"/>
  <c r="B6407" i="5" s="1"/>
  <c r="B6408" i="5" s="1"/>
  <c r="B6409" i="5" s="1"/>
  <c r="B6410" i="5" s="1"/>
  <c r="B6411" i="5" s="1"/>
  <c r="B6412" i="5" s="1"/>
  <c r="B6413" i="5" s="1"/>
  <c r="B6414" i="5" s="1"/>
  <c r="B6415" i="5" s="1"/>
  <c r="B6416" i="5" s="1"/>
  <c r="B6417" i="5" s="1"/>
  <c r="B6418" i="5" s="1"/>
  <c r="B6419" i="5" s="1"/>
  <c r="B6420" i="5" s="1"/>
  <c r="B6421" i="5" s="1"/>
  <c r="B6422" i="5" s="1"/>
  <c r="B6423" i="5" s="1"/>
  <c r="B6424" i="5" s="1"/>
  <c r="B6425" i="5" s="1"/>
  <c r="B6426" i="5" s="1"/>
  <c r="B6427" i="5" s="1"/>
  <c r="B6428" i="5" s="1"/>
  <c r="B6429" i="5" s="1"/>
  <c r="B6430" i="5" s="1"/>
  <c r="B6431" i="5" s="1"/>
  <c r="B6432" i="5" s="1"/>
  <c r="B6433" i="5" s="1"/>
  <c r="B6434" i="5" s="1"/>
  <c r="B6435" i="5" s="1"/>
  <c r="B6436" i="5" s="1"/>
  <c r="B6437" i="5" s="1"/>
  <c r="B6438" i="5" s="1"/>
  <c r="B6439" i="5" s="1"/>
  <c r="B6440" i="5" s="1"/>
  <c r="B6441" i="5" s="1"/>
  <c r="B6442" i="5" s="1"/>
  <c r="B6443" i="5" s="1"/>
  <c r="B6444" i="5" s="1"/>
  <c r="B6445" i="5" s="1"/>
  <c r="B6446" i="5" s="1"/>
  <c r="B6447" i="5" s="1"/>
  <c r="B6448" i="5" s="1"/>
  <c r="B6449" i="5" s="1"/>
  <c r="B6450" i="5" s="1"/>
  <c r="B6451" i="5" s="1"/>
  <c r="B6452" i="5" s="1"/>
  <c r="B6453" i="5" s="1"/>
  <c r="B6454" i="5" s="1"/>
  <c r="B6455" i="5" s="1"/>
  <c r="B6456" i="5" s="1"/>
  <c r="B6457" i="5" s="1"/>
  <c r="B6458" i="5" s="1"/>
  <c r="B6459" i="5" s="1"/>
  <c r="B6460" i="5" s="1"/>
  <c r="B6461" i="5" s="1"/>
  <c r="B6462" i="5" s="1"/>
  <c r="B6463" i="5" s="1"/>
  <c r="B6464" i="5" s="1"/>
  <c r="B6465" i="5" s="1"/>
  <c r="B6466" i="5" s="1"/>
  <c r="B6467" i="5" s="1"/>
  <c r="B6468" i="5" s="1"/>
  <c r="B6469" i="5" s="1"/>
  <c r="B6470" i="5" s="1"/>
  <c r="B6471" i="5" s="1"/>
  <c r="B6472" i="5" s="1"/>
  <c r="B6473" i="5" s="1"/>
  <c r="B6474" i="5" s="1"/>
  <c r="B6475" i="5" s="1"/>
  <c r="B6476" i="5" s="1"/>
  <c r="B6477" i="5" s="1"/>
  <c r="B6478" i="5" s="1"/>
  <c r="B6479" i="5" s="1"/>
  <c r="B6480" i="5" s="1"/>
  <c r="B6481" i="5" s="1"/>
  <c r="B6482" i="5" s="1"/>
  <c r="B6483" i="5" s="1"/>
  <c r="B6484" i="5" s="1"/>
  <c r="B6485" i="5" s="1"/>
  <c r="B6486" i="5" s="1"/>
  <c r="B6487" i="5" s="1"/>
  <c r="B6488" i="5" s="1"/>
  <c r="B6489" i="5" s="1"/>
  <c r="B6490" i="5" s="1"/>
  <c r="B6491" i="5" s="1"/>
  <c r="B6492" i="5" s="1"/>
  <c r="B6493" i="5" s="1"/>
  <c r="B6494" i="5" s="1"/>
  <c r="B6495" i="5" s="1"/>
  <c r="B6496" i="5" s="1"/>
  <c r="B6497" i="5" s="1"/>
  <c r="B6498" i="5" s="1"/>
  <c r="B6499" i="5" s="1"/>
  <c r="B6500" i="5" s="1"/>
  <c r="B6501" i="5" s="1"/>
  <c r="B6502" i="5" s="1"/>
  <c r="B6503" i="5" s="1"/>
  <c r="B6504" i="5" s="1"/>
  <c r="B6505" i="5" s="1"/>
  <c r="B6506" i="5" s="1"/>
  <c r="B6507" i="5" s="1"/>
  <c r="B6508" i="5" s="1"/>
  <c r="B6509" i="5" s="1"/>
  <c r="B6510" i="5" s="1"/>
  <c r="B6511" i="5" s="1"/>
  <c r="B6512" i="5" s="1"/>
  <c r="B6513" i="5" s="1"/>
  <c r="B6514" i="5" s="1"/>
  <c r="B6515" i="5" s="1"/>
  <c r="B6516" i="5" s="1"/>
  <c r="B6517" i="5" s="1"/>
  <c r="B6518" i="5" s="1"/>
  <c r="B6519" i="5" s="1"/>
  <c r="B6520" i="5" s="1"/>
  <c r="B6521" i="5" s="1"/>
  <c r="B6522" i="5" s="1"/>
  <c r="B6523" i="5" s="1"/>
  <c r="B6524" i="5" s="1"/>
  <c r="B6525" i="5" s="1"/>
  <c r="B6526" i="5" s="1"/>
  <c r="B6527" i="5" s="1"/>
  <c r="B6528" i="5" s="1"/>
  <c r="B6529" i="5" s="1"/>
  <c r="B6530" i="5" s="1"/>
  <c r="B6531" i="5" s="1"/>
  <c r="B6532" i="5" s="1"/>
  <c r="B6533" i="5" s="1"/>
  <c r="B6534" i="5" s="1"/>
  <c r="B6535" i="5" s="1"/>
  <c r="B6536" i="5" s="1"/>
  <c r="B6537" i="5" s="1"/>
  <c r="B6538" i="5" s="1"/>
  <c r="B6539" i="5" s="1"/>
  <c r="B6540" i="5" s="1"/>
  <c r="B6541" i="5" s="1"/>
  <c r="B6542" i="5" s="1"/>
  <c r="B6543" i="5" s="1"/>
  <c r="B6544" i="5" s="1"/>
  <c r="B6545" i="5" s="1"/>
  <c r="B6546" i="5" s="1"/>
  <c r="B6547" i="5" s="1"/>
  <c r="B6548" i="5" s="1"/>
  <c r="B6549" i="5" s="1"/>
  <c r="B6550" i="5" s="1"/>
  <c r="B6551" i="5" s="1"/>
  <c r="B6552" i="5" s="1"/>
  <c r="B6553" i="5" s="1"/>
  <c r="B6554" i="5" s="1"/>
  <c r="B6555" i="5" s="1"/>
  <c r="B6556" i="5" s="1"/>
  <c r="B6557" i="5" s="1"/>
  <c r="B6558" i="5" s="1"/>
  <c r="B6559" i="5" s="1"/>
  <c r="B6560" i="5" s="1"/>
  <c r="B6561" i="5" s="1"/>
  <c r="B6562" i="5" s="1"/>
  <c r="B6563" i="5" s="1"/>
  <c r="B6564" i="5" s="1"/>
  <c r="B6565" i="5" s="1"/>
  <c r="B6566" i="5" s="1"/>
  <c r="B6567" i="5" s="1"/>
  <c r="B6568" i="5" s="1"/>
  <c r="B6569" i="5" s="1"/>
  <c r="B6570" i="5" s="1"/>
  <c r="B6571" i="5" s="1"/>
  <c r="B6572" i="5" s="1"/>
  <c r="B6573" i="5" s="1"/>
  <c r="B6574" i="5" s="1"/>
  <c r="B6575" i="5" s="1"/>
  <c r="B6576" i="5" s="1"/>
  <c r="B6577" i="5" s="1"/>
  <c r="B6578" i="5" s="1"/>
  <c r="B6579" i="5" s="1"/>
  <c r="B6580" i="5" s="1"/>
  <c r="B6581" i="5" s="1"/>
  <c r="B6582" i="5" s="1"/>
  <c r="B6583" i="5" s="1"/>
  <c r="B6584" i="5" s="1"/>
  <c r="B6585" i="5" s="1"/>
  <c r="B6586" i="5" s="1"/>
  <c r="B6587" i="5" s="1"/>
  <c r="B6588" i="5" s="1"/>
  <c r="B6589" i="5" s="1"/>
  <c r="B6590" i="5" s="1"/>
  <c r="B6591" i="5" s="1"/>
  <c r="B6592" i="5" s="1"/>
  <c r="B6593" i="5" s="1"/>
  <c r="B6594" i="5" s="1"/>
  <c r="B6595" i="5" s="1"/>
  <c r="B6596" i="5" s="1"/>
  <c r="B6597" i="5" s="1"/>
  <c r="B6598" i="5" s="1"/>
  <c r="B6599" i="5" s="1"/>
  <c r="B6600" i="5" s="1"/>
  <c r="B6601" i="5" s="1"/>
  <c r="B6602" i="5" s="1"/>
  <c r="B6603" i="5" s="1"/>
  <c r="B6604" i="5" s="1"/>
  <c r="B6605" i="5" s="1"/>
  <c r="B6606" i="5" s="1"/>
  <c r="B6607" i="5" s="1"/>
  <c r="B6608" i="5" s="1"/>
  <c r="B6609" i="5" s="1"/>
  <c r="B6610" i="5" s="1"/>
  <c r="B6611" i="5" s="1"/>
  <c r="B6612" i="5" s="1"/>
  <c r="B6613" i="5" s="1"/>
  <c r="B6614" i="5" s="1"/>
  <c r="B6615" i="5" s="1"/>
  <c r="B6616" i="5" s="1"/>
  <c r="B6617" i="5" s="1"/>
  <c r="B6618" i="5" s="1"/>
  <c r="B6619" i="5" s="1"/>
  <c r="B6620" i="5" s="1"/>
  <c r="B6621" i="5" s="1"/>
  <c r="B6622" i="5" s="1"/>
  <c r="B6623" i="5" s="1"/>
  <c r="B6624" i="5" s="1"/>
  <c r="B6625" i="5" s="1"/>
  <c r="B6626" i="5" s="1"/>
  <c r="B6627" i="5" s="1"/>
  <c r="B6628" i="5" s="1"/>
  <c r="B6629" i="5" s="1"/>
  <c r="B6630" i="5" s="1"/>
  <c r="B6631" i="5" s="1"/>
  <c r="B6632" i="5" s="1"/>
  <c r="B6633" i="5" s="1"/>
  <c r="B6634" i="5" s="1"/>
  <c r="B6635" i="5" s="1"/>
  <c r="B6636" i="5" s="1"/>
  <c r="B6637" i="5" s="1"/>
  <c r="B6638" i="5" s="1"/>
  <c r="B6639" i="5" s="1"/>
  <c r="B6640" i="5" s="1"/>
  <c r="B6641" i="5" s="1"/>
  <c r="B6642" i="5" s="1"/>
  <c r="B6643" i="5" s="1"/>
  <c r="B6644" i="5" s="1"/>
  <c r="B6645" i="5" s="1"/>
  <c r="B6646" i="5" s="1"/>
  <c r="B6647" i="5" s="1"/>
  <c r="B6648" i="5" s="1"/>
  <c r="B6649" i="5" s="1"/>
  <c r="B6650" i="5" s="1"/>
  <c r="B6651" i="5" s="1"/>
  <c r="B6652" i="5" s="1"/>
  <c r="B6653" i="5" s="1"/>
  <c r="B6654" i="5" s="1"/>
  <c r="B6655" i="5" s="1"/>
  <c r="B6656" i="5" s="1"/>
  <c r="B6657" i="5" s="1"/>
  <c r="B6658" i="5" s="1"/>
  <c r="B6659" i="5" s="1"/>
  <c r="B6660" i="5" s="1"/>
  <c r="B6661" i="5" s="1"/>
  <c r="B6662" i="5" s="1"/>
  <c r="B6663" i="5" s="1"/>
  <c r="B6664" i="5" s="1"/>
  <c r="B6665" i="5" s="1"/>
  <c r="B6666" i="5" s="1"/>
  <c r="B6667" i="5" s="1"/>
  <c r="B6668" i="5" s="1"/>
  <c r="B6669" i="5" s="1"/>
  <c r="B6670" i="5" s="1"/>
  <c r="B6671" i="5" s="1"/>
  <c r="B6672" i="5" s="1"/>
  <c r="B6673" i="5" s="1"/>
  <c r="B6674" i="5" s="1"/>
  <c r="B6675" i="5" s="1"/>
  <c r="B6676" i="5" s="1"/>
  <c r="B6677" i="5" s="1"/>
  <c r="B6678" i="5" s="1"/>
  <c r="B6679" i="5" s="1"/>
  <c r="B6680" i="5" s="1"/>
  <c r="B6681" i="5" s="1"/>
  <c r="B6682" i="5" s="1"/>
  <c r="B6683" i="5" s="1"/>
  <c r="B6684" i="5" s="1"/>
  <c r="B6685" i="5" s="1"/>
  <c r="B6686" i="5" s="1"/>
  <c r="B6687" i="5" s="1"/>
  <c r="B6688" i="5" s="1"/>
  <c r="B6689" i="5" s="1"/>
  <c r="B6690" i="5" s="1"/>
  <c r="B6691" i="5" s="1"/>
  <c r="B6692" i="5" s="1"/>
  <c r="B6693" i="5" s="1"/>
  <c r="B6694" i="5" s="1"/>
  <c r="B6695" i="5" s="1"/>
  <c r="B6696" i="5" s="1"/>
  <c r="B6697" i="5" s="1"/>
  <c r="B6698" i="5" s="1"/>
  <c r="B6699" i="5" s="1"/>
  <c r="B6700" i="5" s="1"/>
  <c r="B6701" i="5" s="1"/>
  <c r="B6702" i="5" s="1"/>
  <c r="B6703" i="5" s="1"/>
  <c r="B6704" i="5" s="1"/>
  <c r="B6705" i="5" s="1"/>
  <c r="B6706" i="5" s="1"/>
  <c r="B6707" i="5" s="1"/>
  <c r="B6708" i="5" s="1"/>
  <c r="B6709" i="5" s="1"/>
  <c r="B6710" i="5" s="1"/>
  <c r="B6711" i="5" s="1"/>
  <c r="B6712" i="5" s="1"/>
  <c r="B6713" i="5" s="1"/>
  <c r="B6714" i="5" s="1"/>
  <c r="B6715" i="5" s="1"/>
  <c r="B6716" i="5" s="1"/>
  <c r="B6717" i="5" s="1"/>
  <c r="B6718" i="5" s="1"/>
  <c r="B6719" i="5" s="1"/>
  <c r="B6720" i="5" s="1"/>
  <c r="B6722" i="5" s="1"/>
  <c r="B6723" i="5" s="1"/>
  <c r="B6724" i="5" s="1"/>
  <c r="B6725" i="5" s="1"/>
  <c r="B6726" i="5" s="1"/>
  <c r="B6727" i="5" s="1"/>
  <c r="B6728" i="5" s="1"/>
  <c r="B6729" i="5" s="1"/>
  <c r="B6730" i="5" s="1"/>
  <c r="B6731" i="5" s="1"/>
  <c r="B6732" i="5" s="1"/>
  <c r="B6733" i="5" s="1"/>
  <c r="B6734" i="5" s="1"/>
  <c r="B6735" i="5" s="1"/>
  <c r="B6736" i="5" s="1"/>
  <c r="B6737" i="5" s="1"/>
  <c r="B6738" i="5" s="1"/>
  <c r="B6739" i="5" s="1"/>
  <c r="B6740" i="5" s="1"/>
  <c r="B6741" i="5" s="1"/>
  <c r="B6742" i="5" s="1"/>
  <c r="B6743" i="5" s="1"/>
  <c r="B6744" i="5" s="1"/>
  <c r="B6745" i="5" s="1"/>
  <c r="B6746" i="5" s="1"/>
  <c r="B6747" i="5" s="1"/>
  <c r="B6748" i="5" s="1"/>
  <c r="B6749" i="5" s="1"/>
  <c r="B6750" i="5" s="1"/>
  <c r="B6751" i="5" s="1"/>
  <c r="B6752" i="5" s="1"/>
  <c r="B6753" i="5" s="1"/>
  <c r="B6754" i="5" s="1"/>
  <c r="B6755" i="5" s="1"/>
  <c r="B6756" i="5" s="1"/>
  <c r="B6757" i="5" s="1"/>
  <c r="B6758" i="5" s="1"/>
  <c r="B6759" i="5" s="1"/>
  <c r="B6760" i="5" s="1"/>
  <c r="B6761" i="5" s="1"/>
  <c r="B6762" i="5" s="1"/>
  <c r="B6763" i="5" s="1"/>
  <c r="B6764" i="5" s="1"/>
  <c r="B6765" i="5" s="1"/>
  <c r="B6766" i="5" s="1"/>
  <c r="B6767" i="5" s="1"/>
  <c r="B6768" i="5" s="1"/>
  <c r="B6769" i="5" s="1"/>
  <c r="B6770" i="5" s="1"/>
  <c r="B6771" i="5" s="1"/>
  <c r="B6772" i="5" s="1"/>
  <c r="B6773" i="5" s="1"/>
  <c r="B6774" i="5" s="1"/>
  <c r="B6775" i="5" s="1"/>
  <c r="B6776" i="5" s="1"/>
  <c r="B6777" i="5" s="1"/>
  <c r="B6778" i="5" s="1"/>
  <c r="B6779" i="5" s="1"/>
  <c r="B6780" i="5" s="1"/>
  <c r="B6781" i="5" s="1"/>
  <c r="B6782" i="5" s="1"/>
  <c r="B6783" i="5" s="1"/>
  <c r="B6784" i="5" s="1"/>
  <c r="B6785" i="5" s="1"/>
  <c r="B6786" i="5" s="1"/>
  <c r="B6787" i="5" s="1"/>
  <c r="B6788" i="5" s="1"/>
  <c r="B6789" i="5" s="1"/>
  <c r="B6790" i="5" s="1"/>
  <c r="B6791" i="5" s="1"/>
  <c r="B6792" i="5" s="1"/>
  <c r="B6793" i="5" s="1"/>
  <c r="B6794" i="5" s="1"/>
  <c r="B6795" i="5" s="1"/>
  <c r="B6796" i="5" s="1"/>
  <c r="B6797" i="5" s="1"/>
  <c r="B6798" i="5" s="1"/>
  <c r="B6799" i="5" s="1"/>
  <c r="B6800" i="5" s="1"/>
  <c r="B6801" i="5" s="1"/>
  <c r="B6802" i="5" s="1"/>
  <c r="B6803" i="5" s="1"/>
  <c r="B6804" i="5" s="1"/>
  <c r="B6805" i="5" s="1"/>
  <c r="B6806" i="5" s="1"/>
  <c r="B6807" i="5" s="1"/>
  <c r="B6808" i="5" s="1"/>
  <c r="B6809" i="5" s="1"/>
  <c r="B6810" i="5" s="1"/>
  <c r="B6811" i="5" s="1"/>
  <c r="B6812" i="5" s="1"/>
  <c r="B6813" i="5" s="1"/>
  <c r="B6814" i="5" s="1"/>
  <c r="B6815" i="5" s="1"/>
  <c r="B6816" i="5" s="1"/>
  <c r="B6817" i="5" s="1"/>
  <c r="B6818" i="5" s="1"/>
  <c r="B6819" i="5" s="1"/>
  <c r="B6820" i="5" s="1"/>
  <c r="B6821" i="5" s="1"/>
  <c r="B6822" i="5" s="1"/>
  <c r="B6823" i="5" s="1"/>
  <c r="B6824" i="5" s="1"/>
  <c r="B6825" i="5" s="1"/>
  <c r="B6826" i="5" s="1"/>
  <c r="B6827" i="5" s="1"/>
  <c r="B6828" i="5" s="1"/>
  <c r="B6829" i="5" s="1"/>
  <c r="B6830" i="5" s="1"/>
  <c r="B6831" i="5" s="1"/>
  <c r="B6832" i="5" s="1"/>
  <c r="B6833" i="5" s="1"/>
  <c r="B6834" i="5" s="1"/>
  <c r="B6835" i="5" s="1"/>
  <c r="B6836" i="5" s="1"/>
  <c r="B6837" i="5" s="1"/>
  <c r="B6838" i="5" s="1"/>
  <c r="B6839" i="5" s="1"/>
  <c r="B6840" i="5" s="1"/>
  <c r="B6841" i="5" s="1"/>
  <c r="B6842" i="5" s="1"/>
  <c r="B6843" i="5" s="1"/>
  <c r="B6844" i="5" s="1"/>
  <c r="B6845" i="5" s="1"/>
  <c r="B6846" i="5" s="1"/>
  <c r="B6847" i="5" s="1"/>
  <c r="B6848" i="5" s="1"/>
  <c r="B6849" i="5" s="1"/>
  <c r="B6850" i="5" s="1"/>
  <c r="B6851" i="5" s="1"/>
  <c r="B6852" i="5" s="1"/>
  <c r="B6853" i="5" s="1"/>
  <c r="B6854" i="5" s="1"/>
  <c r="B6855" i="5" s="1"/>
  <c r="B6856" i="5" s="1"/>
  <c r="B6857" i="5" s="1"/>
  <c r="B6858" i="5" s="1"/>
  <c r="B6859" i="5" s="1"/>
  <c r="B6860" i="5" s="1"/>
  <c r="B6861" i="5" s="1"/>
  <c r="B6862" i="5" s="1"/>
  <c r="B6863" i="5" s="1"/>
  <c r="B6864" i="5" s="1"/>
  <c r="B6865" i="5" s="1"/>
  <c r="B6866" i="5" s="1"/>
  <c r="B6867" i="5" s="1"/>
  <c r="B6868" i="5" s="1"/>
  <c r="B6869" i="5" s="1"/>
  <c r="B6870" i="5" s="1"/>
  <c r="B6871" i="5" s="1"/>
  <c r="B6872" i="5" s="1"/>
  <c r="B6873" i="5" s="1"/>
  <c r="B6874" i="5" s="1"/>
  <c r="B6875" i="5" s="1"/>
  <c r="B6876" i="5" s="1"/>
  <c r="B6877" i="5" s="1"/>
  <c r="B6878" i="5" s="1"/>
  <c r="B6879" i="5" s="1"/>
  <c r="B6880" i="5" s="1"/>
  <c r="B6881" i="5" s="1"/>
  <c r="B6882" i="5" s="1"/>
  <c r="B6883" i="5" s="1"/>
  <c r="B6884" i="5" s="1"/>
  <c r="B6885" i="5" s="1"/>
  <c r="B6886" i="5" s="1"/>
  <c r="B6887" i="5" s="1"/>
  <c r="B6888" i="5" s="1"/>
  <c r="B6889" i="5" s="1"/>
  <c r="B6890" i="5" s="1"/>
  <c r="B6891" i="5" s="1"/>
  <c r="B6892" i="5" s="1"/>
  <c r="B6893" i="5" s="1"/>
  <c r="B6894" i="5" s="1"/>
  <c r="B6895" i="5" s="1"/>
  <c r="B6896" i="5" s="1"/>
  <c r="B6897" i="5" s="1"/>
  <c r="B6898" i="5" s="1"/>
  <c r="B6899" i="5" s="1"/>
  <c r="B6900" i="5" s="1"/>
  <c r="B6901" i="5" s="1"/>
  <c r="B6902" i="5" s="1"/>
  <c r="B6903" i="5" s="1"/>
  <c r="B6904" i="5" s="1"/>
  <c r="B6905" i="5" s="1"/>
  <c r="B6906" i="5" s="1"/>
  <c r="B6907" i="5" s="1"/>
  <c r="B6908" i="5" s="1"/>
  <c r="B6909" i="5" s="1"/>
  <c r="B6910" i="5" s="1"/>
  <c r="B6911" i="5" s="1"/>
  <c r="B6912" i="5" s="1"/>
  <c r="B6913" i="5" s="1"/>
  <c r="B6914" i="5" s="1"/>
  <c r="B6915" i="5" s="1"/>
  <c r="B6916" i="5" s="1"/>
  <c r="B6917" i="5" s="1"/>
  <c r="B6918" i="5" s="1"/>
  <c r="B6919" i="5" s="1"/>
  <c r="B6920" i="5" s="1"/>
  <c r="B6921" i="5" s="1"/>
  <c r="B6922" i="5" s="1"/>
  <c r="B6923" i="5" s="1"/>
  <c r="B6924" i="5" s="1"/>
  <c r="B6925" i="5" s="1"/>
  <c r="B6926" i="5" s="1"/>
  <c r="B6927" i="5" s="1"/>
  <c r="B6928" i="5" s="1"/>
  <c r="B6929" i="5" s="1"/>
  <c r="B6930" i="5" s="1"/>
  <c r="B6931" i="5" s="1"/>
  <c r="B6932" i="5" s="1"/>
  <c r="B6933" i="5" s="1"/>
  <c r="B6934" i="5" s="1"/>
  <c r="B6935" i="5" s="1"/>
  <c r="B6936" i="5" s="1"/>
  <c r="B6937" i="5" s="1"/>
  <c r="B6938" i="5" s="1"/>
  <c r="B6939" i="5" s="1"/>
  <c r="B6940" i="5" s="1"/>
  <c r="B6941" i="5" s="1"/>
  <c r="B6942" i="5" s="1"/>
  <c r="B6943" i="5" s="1"/>
  <c r="B6944" i="5" s="1"/>
  <c r="B6945" i="5" s="1"/>
  <c r="B6946" i="5" s="1"/>
  <c r="B6947" i="5" s="1"/>
  <c r="B6948" i="5" s="1"/>
  <c r="B6949" i="5" s="1"/>
  <c r="B6950" i="5" s="1"/>
  <c r="B6951" i="5" s="1"/>
  <c r="B6953" i="5" s="1"/>
  <c r="B6954" i="5" s="1"/>
  <c r="B6955" i="5" s="1"/>
  <c r="B6956" i="5" s="1"/>
  <c r="B6957" i="5" s="1"/>
  <c r="B6958" i="5" s="1"/>
  <c r="B6959" i="5" s="1"/>
  <c r="B6960" i="5" s="1"/>
  <c r="B6961" i="5" s="1"/>
  <c r="B6962" i="5" s="1"/>
  <c r="B6963" i="5" s="1"/>
  <c r="B6964" i="5" s="1"/>
  <c r="B6965" i="5" s="1"/>
  <c r="B6966" i="5" s="1"/>
  <c r="B6967" i="5" s="1"/>
  <c r="B6968" i="5" s="1"/>
  <c r="B6969" i="5" s="1"/>
  <c r="B6970" i="5" s="1"/>
  <c r="B6971" i="5" s="1"/>
  <c r="B6972" i="5" s="1"/>
  <c r="B6973" i="5" s="1"/>
  <c r="B6974" i="5" s="1"/>
  <c r="B6975" i="5" s="1"/>
  <c r="B6976" i="5" s="1"/>
  <c r="B6977" i="5" s="1"/>
  <c r="B6978" i="5" s="1"/>
  <c r="B6979" i="5" s="1"/>
  <c r="B6980" i="5" s="1"/>
  <c r="B6981" i="5" s="1"/>
  <c r="B6982" i="5" s="1"/>
  <c r="B6983" i="5" s="1"/>
  <c r="B6984" i="5" s="1"/>
  <c r="B6985" i="5" s="1"/>
  <c r="B6986" i="5" s="1"/>
  <c r="B6987" i="5" s="1"/>
  <c r="B6988" i="5" s="1"/>
  <c r="B6989" i="5" s="1"/>
  <c r="B6990" i="5" s="1"/>
  <c r="B6991" i="5" s="1"/>
  <c r="B6992" i="5" s="1"/>
  <c r="B6993" i="5" s="1"/>
  <c r="B6994" i="5" s="1"/>
  <c r="B6995" i="5" s="1"/>
  <c r="B6996" i="5" s="1"/>
  <c r="B6997" i="5" s="1"/>
  <c r="B6998" i="5" s="1"/>
  <c r="B6999" i="5" s="1"/>
  <c r="B7000" i="5" s="1"/>
  <c r="B7001" i="5" s="1"/>
  <c r="B7002" i="5" s="1"/>
  <c r="B7003" i="5" s="1"/>
  <c r="B7004" i="5" s="1"/>
  <c r="B7005" i="5" s="1"/>
  <c r="B7006" i="5" s="1"/>
  <c r="B7007" i="5" s="1"/>
  <c r="B7008" i="5" s="1"/>
  <c r="B7009" i="5" s="1"/>
  <c r="B7010" i="5" s="1"/>
  <c r="B7011" i="5" s="1"/>
  <c r="B7012" i="5" s="1"/>
  <c r="B7013" i="5" s="1"/>
  <c r="B7014" i="5" s="1"/>
  <c r="B7015" i="5" s="1"/>
  <c r="B7016" i="5" s="1"/>
  <c r="B7017" i="5" s="1"/>
  <c r="B7018" i="5" s="1"/>
  <c r="B7019" i="5" s="1"/>
  <c r="B7020" i="5" s="1"/>
  <c r="B7021" i="5" s="1"/>
  <c r="B7022" i="5" s="1"/>
  <c r="B7023" i="5" s="1"/>
  <c r="B7024" i="5" s="1"/>
  <c r="B7025" i="5" s="1"/>
  <c r="B7026" i="5" s="1"/>
  <c r="B7027" i="5" s="1"/>
  <c r="B7028" i="5" s="1"/>
  <c r="B7029" i="5" s="1"/>
  <c r="B7030" i="5" s="1"/>
  <c r="B7031" i="5" s="1"/>
  <c r="B7032" i="5" s="1"/>
  <c r="C48" i="6"/>
  <c r="T1450" i="2"/>
  <c r="S1471" i="2" l="1"/>
  <c r="J45" i="1" s="1"/>
  <c r="J70" i="1" s="1"/>
  <c r="T1471" i="2"/>
  <c r="H45" i="1"/>
  <c r="T2290" i="2"/>
  <c r="S2290" i="2"/>
  <c r="S2311" i="2" s="1"/>
  <c r="E48" i="6"/>
  <c r="C147" i="6"/>
  <c r="C166" i="6" s="1"/>
  <c r="C67" i="6"/>
  <c r="E147" i="6" l="1"/>
  <c r="E166" i="6" s="1"/>
  <c r="E67" i="6"/>
  <c r="F48" i="6"/>
  <c r="H70" i="1"/>
  <c r="H73" i="1" s="1"/>
  <c r="K45" i="1"/>
  <c r="K70" i="1" l="1"/>
  <c r="F147" i="6"/>
  <c r="F166" i="6" s="1"/>
  <c r="F67" i="6"/>
  <c r="B8329" i="5"/>
  <c r="B8330" i="5" s="1"/>
  <c r="B8331" i="5" s="1"/>
  <c r="B8332" i="5" s="1"/>
  <c r="B8333" i="5" s="1"/>
  <c r="B8334" i="5" s="1"/>
  <c r="B8335" i="5" s="1"/>
  <c r="B8336" i="5" s="1"/>
  <c r="B8337" i="5" s="1"/>
  <c r="B8338" i="5" s="1"/>
  <c r="B8339" i="5" s="1"/>
  <c r="B8340" i="5" s="1"/>
  <c r="B8341" i="5" s="1"/>
  <c r="B8342" i="5" s="1"/>
  <c r="B8343" i="5" s="1"/>
  <c r="B8344" i="5" s="1"/>
  <c r="B8345" i="5" s="1"/>
  <c r="B8346" i="5" s="1"/>
  <c r="B8347" i="5" s="1"/>
  <c r="B8348" i="5" s="1"/>
  <c r="B8349" i="5" s="1"/>
  <c r="B8350" i="5" s="1"/>
  <c r="B8351" i="5" s="1"/>
  <c r="B8352" i="5" s="1"/>
  <c r="B8353" i="5" s="1"/>
  <c r="B8354" i="5" s="1"/>
  <c r="B8355" i="5" s="1"/>
  <c r="B8356" i="5" s="1"/>
  <c r="B8357" i="5" s="1"/>
  <c r="B8358" i="5" s="1"/>
  <c r="B8359" i="5" s="1"/>
  <c r="B8360" i="5" s="1"/>
  <c r="B8361" i="5" s="1"/>
  <c r="B8362" i="5" s="1"/>
  <c r="B8363" i="5" s="1"/>
  <c r="B8364" i="5" s="1"/>
  <c r="B8365" i="5" s="1"/>
  <c r="B8366" i="5" s="1"/>
  <c r="B8367" i="5" s="1"/>
  <c r="B8368" i="5" s="1"/>
  <c r="B8369" i="5" s="1"/>
  <c r="B8370" i="5" s="1"/>
  <c r="B8371" i="5" s="1"/>
  <c r="B8372" i="5" s="1"/>
  <c r="B8373" i="5" s="1"/>
  <c r="B8374" i="5" s="1"/>
  <c r="B8375" i="5" s="1"/>
  <c r="B8376" i="5" s="1"/>
  <c r="B8377" i="5" s="1"/>
  <c r="B8378" i="5" s="1"/>
  <c r="B8379" i="5" s="1"/>
  <c r="B8380" i="5" s="1"/>
  <c r="B8381" i="5" s="1"/>
  <c r="B8382" i="5" s="1"/>
  <c r="B8383" i="5" s="1"/>
  <c r="B8384" i="5" s="1"/>
  <c r="B8385" i="5" s="1"/>
  <c r="B8386" i="5" s="1"/>
  <c r="B8387" i="5" s="1"/>
  <c r="B8388" i="5" s="1"/>
  <c r="B8389" i="5" s="1"/>
  <c r="B8390" i="5" s="1"/>
  <c r="B8391" i="5" s="1"/>
  <c r="B8392" i="5" s="1"/>
  <c r="B8393" i="5" s="1"/>
  <c r="B8394" i="5" s="1"/>
  <c r="B8395" i="5" s="1"/>
  <c r="B8396" i="5" s="1"/>
  <c r="B8397" i="5" s="1"/>
  <c r="B8398" i="5" s="1"/>
  <c r="B8399" i="5" s="1"/>
  <c r="B8400" i="5" s="1"/>
  <c r="B8401" i="5" s="1"/>
  <c r="B8402" i="5" s="1"/>
  <c r="B8403" i="5" s="1"/>
  <c r="B8404" i="5" s="1"/>
  <c r="B8405" i="5" s="1"/>
  <c r="B8406" i="5" s="1"/>
  <c r="B8407" i="5" s="1"/>
  <c r="B8408" i="5" s="1"/>
  <c r="B8409" i="5" s="1"/>
  <c r="B8410" i="5" s="1"/>
  <c r="B8411" i="5" s="1"/>
  <c r="B8412" i="5" s="1"/>
  <c r="B8413" i="5" s="1"/>
  <c r="B8414" i="5" s="1"/>
  <c r="B8415" i="5" s="1"/>
  <c r="B8416" i="5" s="1"/>
  <c r="B8417" i="5" s="1"/>
  <c r="B8418" i="5" s="1"/>
  <c r="B8419" i="5" s="1"/>
  <c r="B8420" i="5" s="1"/>
  <c r="B8421" i="5" s="1"/>
  <c r="B8422" i="5" s="1"/>
  <c r="B8423" i="5" s="1"/>
  <c r="B8424" i="5" s="1"/>
  <c r="B8425" i="5" s="1"/>
  <c r="B8426" i="5" s="1"/>
  <c r="B8427" i="5" s="1"/>
  <c r="B8428" i="5" s="1"/>
  <c r="B8429" i="5" s="1"/>
  <c r="B8430" i="5" s="1"/>
  <c r="B8431" i="5" s="1"/>
  <c r="B8432" i="5" s="1"/>
  <c r="B8433" i="5" s="1"/>
  <c r="B8434" i="5" s="1"/>
  <c r="B8435" i="5" s="1"/>
  <c r="B8436" i="5" s="1"/>
  <c r="B8437" i="5" s="1"/>
  <c r="B8438" i="5" s="1"/>
  <c r="B8439" i="5" s="1"/>
  <c r="B8440" i="5" s="1"/>
  <c r="B8441" i="5" s="1"/>
  <c r="B8442" i="5" s="1"/>
  <c r="B8443" i="5" s="1"/>
  <c r="B8444" i="5" s="1"/>
  <c r="B8445" i="5" s="1"/>
  <c r="B8446" i="5" s="1"/>
  <c r="B8447" i="5" s="1"/>
  <c r="B8448" i="5" s="1"/>
  <c r="B8449" i="5" s="1"/>
  <c r="B8450" i="5" s="1"/>
  <c r="B8451" i="5" s="1"/>
  <c r="B8452" i="5" s="1"/>
  <c r="B8453" i="5" s="1"/>
  <c r="B8456" i="5" s="1"/>
  <c r="B8457" i="5" s="1"/>
  <c r="B8458" i="5" s="1"/>
  <c r="B8459" i="5" s="1"/>
  <c r="B8460" i="5" s="1"/>
  <c r="B8461" i="5" s="1"/>
  <c r="B8462" i="5" s="1"/>
  <c r="B8463" i="5" s="1"/>
  <c r="B8464" i="5" s="1"/>
  <c r="B8465" i="5" s="1"/>
  <c r="B8466" i="5" s="1"/>
  <c r="B8467" i="5" s="1"/>
  <c r="B8468" i="5" s="1"/>
  <c r="B8469" i="5" s="1"/>
  <c r="B8470" i="5" s="1"/>
  <c r="B8471" i="5" s="1"/>
  <c r="B8472" i="5" s="1"/>
  <c r="B8473" i="5" s="1"/>
  <c r="B8474" i="5" s="1"/>
  <c r="B8475" i="5" s="1"/>
  <c r="B8476" i="5" s="1"/>
  <c r="B8477" i="5" s="1"/>
  <c r="B8478" i="5" s="1"/>
  <c r="B8479" i="5" s="1"/>
  <c r="B8480" i="5" s="1"/>
  <c r="B8481" i="5" s="1"/>
  <c r="B8482" i="5" s="1"/>
  <c r="B8483" i="5" s="1"/>
  <c r="B8484" i="5" s="1"/>
  <c r="B8485" i="5" s="1"/>
  <c r="B8486" i="5" s="1"/>
  <c r="B8487" i="5" s="1"/>
  <c r="B8488" i="5" s="1"/>
  <c r="B8489" i="5" s="1"/>
  <c r="B8490" i="5" s="1"/>
  <c r="B8491" i="5" s="1"/>
  <c r="B8492" i="5" s="1"/>
  <c r="B8493" i="5" s="1"/>
  <c r="B8494" i="5" s="1"/>
  <c r="B8495" i="5" s="1"/>
  <c r="B8496" i="5" s="1"/>
  <c r="B8497" i="5" s="1"/>
  <c r="B8498" i="5" s="1"/>
  <c r="B8499" i="5" s="1"/>
  <c r="B8500" i="5" s="1"/>
  <c r="B8501" i="5" s="1"/>
  <c r="B8502" i="5" s="1"/>
  <c r="B8503" i="5" s="1"/>
  <c r="B8504" i="5" s="1"/>
  <c r="B8505" i="5" s="1"/>
  <c r="B8506" i="5" s="1"/>
  <c r="B8507" i="5" s="1"/>
  <c r="B8508" i="5" s="1"/>
  <c r="B8509" i="5" s="1"/>
  <c r="B8510" i="5" s="1"/>
  <c r="B8511" i="5" s="1"/>
  <c r="B8512" i="5" s="1"/>
  <c r="B8513" i="5" s="1"/>
  <c r="B8514" i="5" s="1"/>
  <c r="B8515" i="5" s="1"/>
  <c r="B8516" i="5" s="1"/>
  <c r="B8517" i="5" s="1"/>
  <c r="B8518" i="5" s="1"/>
  <c r="B8519" i="5" s="1"/>
  <c r="B8520" i="5" s="1"/>
  <c r="B8521" i="5" s="1"/>
  <c r="B8522" i="5" s="1"/>
  <c r="B8523" i="5" s="1"/>
  <c r="B8524" i="5" s="1"/>
  <c r="B8525" i="5" s="1"/>
  <c r="B8526" i="5" s="1"/>
  <c r="B8527" i="5" s="1"/>
  <c r="B8528" i="5" s="1"/>
  <c r="B8529" i="5" s="1"/>
  <c r="B8530" i="5" s="1"/>
  <c r="B8531" i="5" s="1"/>
  <c r="B8532" i="5" s="1"/>
  <c r="B8533" i="5" s="1"/>
  <c r="B8534" i="5" s="1"/>
  <c r="B8535" i="5" s="1"/>
  <c r="B8536" i="5" s="1"/>
  <c r="B8537" i="5" s="1"/>
  <c r="B8538" i="5" s="1"/>
  <c r="B8539" i="5" s="1"/>
  <c r="B8540" i="5" s="1"/>
  <c r="B8541" i="5" s="1"/>
  <c r="B8542" i="5" s="1"/>
  <c r="B8543" i="5" s="1"/>
  <c r="B8544" i="5" s="1"/>
  <c r="B8545" i="5" s="1"/>
  <c r="B8546" i="5" s="1"/>
  <c r="B8547" i="5" s="1"/>
  <c r="B8548" i="5" s="1"/>
  <c r="B8549" i="5" s="1"/>
  <c r="B8550" i="5" s="1"/>
  <c r="B8551" i="5" s="1"/>
  <c r="B8552" i="5" s="1"/>
  <c r="B8553" i="5" s="1"/>
  <c r="B8554" i="5" s="1"/>
  <c r="B8555" i="5" s="1"/>
  <c r="B8556" i="5" s="1"/>
  <c r="B8557" i="5" s="1"/>
  <c r="B8558" i="5" s="1"/>
  <c r="B8559" i="5" s="1"/>
  <c r="B8560" i="5" s="1"/>
  <c r="B8561" i="5" s="1"/>
  <c r="B8562" i="5" s="1"/>
  <c r="B8563" i="5" s="1"/>
  <c r="B8564" i="5" s="1"/>
  <c r="B8565" i="5" s="1"/>
  <c r="B8566" i="5" s="1"/>
  <c r="B8567" i="5" s="1"/>
  <c r="B8568" i="5" s="1"/>
  <c r="B8569" i="5" s="1"/>
  <c r="B8570" i="5" s="1"/>
  <c r="B8571" i="5" s="1"/>
  <c r="B8572" i="5" s="1"/>
  <c r="B8573" i="5" s="1"/>
  <c r="B8574" i="5" s="1"/>
  <c r="B8575" i="5" s="1"/>
  <c r="B8576" i="5" s="1"/>
  <c r="B8577" i="5" s="1"/>
  <c r="B8578" i="5" s="1"/>
  <c r="B8579" i="5" s="1"/>
  <c r="B8580" i="5" s="1"/>
  <c r="B8581" i="5" s="1"/>
  <c r="B8582" i="5" s="1"/>
  <c r="B8583" i="5" s="1"/>
  <c r="B8584" i="5" s="1"/>
  <c r="B8585" i="5" s="1"/>
  <c r="B8586" i="5" s="1"/>
  <c r="B8587" i="5" s="1"/>
  <c r="B8588" i="5" s="1"/>
  <c r="B8589" i="5" s="1"/>
  <c r="B8590" i="5" s="1"/>
  <c r="B8591" i="5" s="1"/>
  <c r="B8592" i="5" s="1"/>
  <c r="B8593" i="5" s="1"/>
  <c r="B8594" i="5" s="1"/>
  <c r="B8595" i="5" s="1"/>
  <c r="B8596" i="5" s="1"/>
  <c r="B8597" i="5" s="1"/>
  <c r="B8598" i="5" s="1"/>
  <c r="B8599" i="5" s="1"/>
  <c r="B8600" i="5" s="1"/>
  <c r="B8601" i="5" s="1"/>
  <c r="B8602" i="5" s="1"/>
  <c r="B8603" i="5" s="1"/>
  <c r="B8604" i="5" s="1"/>
  <c r="B8605" i="5" s="1"/>
  <c r="B8606" i="5" s="1"/>
  <c r="B8607" i="5" s="1"/>
  <c r="B8608" i="5" s="1"/>
  <c r="B8609" i="5" s="1"/>
  <c r="B8610" i="5" s="1"/>
  <c r="B8611" i="5" s="1"/>
  <c r="B8612" i="5" s="1"/>
  <c r="B8613" i="5" s="1"/>
  <c r="B8614" i="5" s="1"/>
  <c r="B8615" i="5" s="1"/>
  <c r="B8616" i="5" s="1"/>
  <c r="B8617" i="5" s="1"/>
  <c r="B8618" i="5" s="1"/>
  <c r="B8619" i="5" s="1"/>
  <c r="B8620" i="5" s="1"/>
  <c r="B8621" i="5" s="1"/>
  <c r="B8622" i="5" s="1"/>
  <c r="B8623" i="5" s="1"/>
  <c r="B8624" i="5" s="1"/>
  <c r="B8625" i="5" s="1"/>
  <c r="B8626" i="5" s="1"/>
  <c r="B8627" i="5" s="1"/>
  <c r="B8628" i="5" s="1"/>
  <c r="B8629" i="5" s="1"/>
  <c r="B8630" i="5" s="1"/>
  <c r="B8631" i="5" s="1"/>
  <c r="B8632" i="5" s="1"/>
  <c r="B8633" i="5" s="1"/>
  <c r="B8634" i="5" s="1"/>
  <c r="B8635" i="5" s="1"/>
  <c r="B8636" i="5" s="1"/>
  <c r="B8637" i="5" s="1"/>
  <c r="B8638" i="5" s="1"/>
  <c r="B8639" i="5" s="1"/>
  <c r="B8640" i="5" s="1"/>
  <c r="B8641" i="5" s="1"/>
  <c r="B8642" i="5" s="1"/>
  <c r="B8643" i="5" s="1"/>
  <c r="B8644" i="5" s="1"/>
  <c r="B8645" i="5" s="1"/>
  <c r="B8646" i="5" s="1"/>
  <c r="B8647" i="5" s="1"/>
  <c r="B8648" i="5" s="1"/>
  <c r="B8649" i="5" s="1"/>
  <c r="B8650" i="5" s="1"/>
  <c r="B8651" i="5" s="1"/>
  <c r="B8652" i="5" s="1"/>
  <c r="B8653" i="5" s="1"/>
  <c r="B8654" i="5" s="1"/>
  <c r="B8655" i="5" s="1"/>
  <c r="B8656" i="5" s="1"/>
  <c r="B8657" i="5" s="1"/>
  <c r="B8658" i="5" s="1"/>
  <c r="B8659" i="5" s="1"/>
  <c r="B8660" i="5" s="1"/>
  <c r="B8661" i="5" s="1"/>
  <c r="B8662" i="5" s="1"/>
  <c r="B8663" i="5" s="1"/>
  <c r="B8664" i="5" s="1"/>
  <c r="B8665" i="5" s="1"/>
  <c r="B8666" i="5" s="1"/>
  <c r="B8667" i="5" s="1"/>
  <c r="B8668" i="5" s="1"/>
  <c r="B8669" i="5" s="1"/>
  <c r="B8670" i="5" s="1"/>
  <c r="B8671" i="5" s="1"/>
  <c r="B8672" i="5" s="1"/>
  <c r="B8673" i="5" s="1"/>
  <c r="B8674" i="5" s="1"/>
  <c r="B8675" i="5" s="1"/>
  <c r="B8676" i="5" s="1"/>
  <c r="B8677" i="5" s="1"/>
  <c r="B8678" i="5" s="1"/>
  <c r="B8679" i="5" s="1"/>
  <c r="B8680" i="5" s="1"/>
  <c r="B8681" i="5" s="1"/>
  <c r="B8682" i="5" s="1"/>
  <c r="B8683" i="5" s="1"/>
  <c r="B8684" i="5" s="1"/>
  <c r="B8685" i="5" s="1"/>
  <c r="B8686" i="5" s="1"/>
  <c r="B8687" i="5" s="1"/>
  <c r="B8688" i="5" s="1"/>
  <c r="B8689" i="5" s="1"/>
  <c r="B8690" i="5" s="1"/>
  <c r="B8691" i="5" s="1"/>
  <c r="B8692" i="5" s="1"/>
  <c r="B8693" i="5" s="1"/>
  <c r="B8694" i="5" s="1"/>
  <c r="B8695" i="5" s="1"/>
  <c r="B8696" i="5" s="1"/>
  <c r="B8697" i="5" s="1"/>
  <c r="B8698" i="5" s="1"/>
  <c r="B8699" i="5" s="1"/>
  <c r="B8700" i="5" s="1"/>
  <c r="B8701" i="5" s="1"/>
  <c r="B8702" i="5" s="1"/>
  <c r="B8703" i="5" s="1"/>
  <c r="B8704" i="5" s="1"/>
  <c r="B8705" i="5" s="1"/>
  <c r="B8706" i="5" s="1"/>
  <c r="B8707" i="5" s="1"/>
  <c r="B8708" i="5" s="1"/>
  <c r="B8709" i="5" s="1"/>
  <c r="B8710" i="5" s="1"/>
  <c r="B8711" i="5" s="1"/>
  <c r="B8712" i="5" s="1"/>
  <c r="B8713" i="5" s="1"/>
  <c r="B8714" i="5" s="1"/>
  <c r="B8715" i="5" s="1"/>
  <c r="B8716" i="5" s="1"/>
  <c r="B8717" i="5" s="1"/>
  <c r="B8718" i="5" s="1"/>
  <c r="B8719" i="5" s="1"/>
  <c r="B8720" i="5" s="1"/>
  <c r="B8721" i="5" s="1"/>
  <c r="B8722" i="5" s="1"/>
  <c r="B8723" i="5" s="1"/>
  <c r="B8724" i="5" s="1"/>
  <c r="B8725" i="5" s="1"/>
  <c r="B8726" i="5" s="1"/>
  <c r="B8727" i="5" s="1"/>
  <c r="B8728" i="5" s="1"/>
  <c r="B8729" i="5" s="1"/>
  <c r="B8730" i="5" s="1"/>
  <c r="B8731" i="5" s="1"/>
  <c r="B8732" i="5" s="1"/>
  <c r="B8733" i="5" s="1"/>
  <c r="B8734" i="5" s="1"/>
  <c r="B8735" i="5" s="1"/>
  <c r="B8736" i="5" s="1"/>
  <c r="B8737" i="5" s="1"/>
  <c r="B8738" i="5" s="1"/>
  <c r="B8739" i="5" s="1"/>
  <c r="B8740" i="5" s="1"/>
  <c r="B8741" i="5" s="1"/>
  <c r="B8742" i="5" s="1"/>
  <c r="B8743" i="5" s="1"/>
  <c r="B8744" i="5" s="1"/>
  <c r="B8745" i="5" s="1"/>
  <c r="B8746" i="5" s="1"/>
  <c r="B8747" i="5" s="1"/>
  <c r="B8748" i="5" s="1"/>
  <c r="B8749" i="5" s="1"/>
  <c r="B8750" i="5" s="1"/>
  <c r="B8751" i="5" s="1"/>
  <c r="B8752" i="5" s="1"/>
  <c r="B8753" i="5" s="1"/>
  <c r="B8754" i="5" s="1"/>
  <c r="B8755" i="5" s="1"/>
  <c r="B8756" i="5" s="1"/>
  <c r="B8757" i="5" s="1"/>
  <c r="B8758" i="5" s="1"/>
  <c r="B8759" i="5" s="1"/>
  <c r="B8760" i="5" s="1"/>
  <c r="B8761" i="5" s="1"/>
  <c r="B8762" i="5" s="1"/>
  <c r="B8763" i="5" s="1"/>
  <c r="B8764" i="5" s="1"/>
  <c r="B8765" i="5" s="1"/>
  <c r="B8766" i="5" s="1"/>
  <c r="B8767" i="5" s="1"/>
  <c r="B8768" i="5" s="1"/>
  <c r="B8769" i="5" s="1"/>
  <c r="B8770" i="5" s="1"/>
  <c r="B8771" i="5" s="1"/>
  <c r="B8772" i="5" s="1"/>
  <c r="B8773" i="5" s="1"/>
  <c r="B8774" i="5" s="1"/>
  <c r="B8775" i="5" s="1"/>
  <c r="B8776" i="5" s="1"/>
  <c r="B8777" i="5" s="1"/>
  <c r="B8778" i="5" s="1"/>
  <c r="B8779" i="5" s="1"/>
  <c r="B8780" i="5" s="1"/>
  <c r="B8781" i="5" s="1"/>
  <c r="B8782" i="5" s="1"/>
  <c r="B8783" i="5" s="1"/>
  <c r="B8784" i="5" s="1"/>
  <c r="B8785" i="5" s="1"/>
  <c r="B8786" i="5" s="1"/>
  <c r="B8787" i="5" s="1"/>
  <c r="B8788" i="5" s="1"/>
  <c r="B8789" i="5" s="1"/>
  <c r="B8790" i="5" s="1"/>
  <c r="B8791" i="5" s="1"/>
  <c r="B8792" i="5" s="1"/>
  <c r="B8793" i="5" s="1"/>
  <c r="B8794" i="5" s="1"/>
  <c r="B8795" i="5" s="1"/>
  <c r="B8796" i="5" s="1"/>
  <c r="B8797" i="5" s="1"/>
  <c r="B8798" i="5" s="1"/>
  <c r="B8799" i="5" s="1"/>
  <c r="B8800" i="5" s="1"/>
  <c r="B8801" i="5" s="1"/>
  <c r="B8802" i="5" s="1"/>
  <c r="B8803" i="5" s="1"/>
  <c r="B8804" i="5" s="1"/>
  <c r="B8805" i="5" s="1"/>
  <c r="B8806" i="5" s="1"/>
  <c r="B8807" i="5" s="1"/>
  <c r="B8808" i="5" s="1"/>
  <c r="B8809" i="5" s="1"/>
  <c r="B8810" i="5" s="1"/>
  <c r="B8811" i="5" s="1"/>
  <c r="B8812" i="5" s="1"/>
  <c r="B8813" i="5" s="1"/>
  <c r="B8814" i="5" s="1"/>
  <c r="B8815" i="5" s="1"/>
  <c r="B8816" i="5" s="1"/>
  <c r="B8817" i="5" s="1"/>
  <c r="B8818" i="5" s="1"/>
  <c r="B8819" i="5" s="1"/>
  <c r="B8820" i="5" s="1"/>
  <c r="B8821" i="5" s="1"/>
  <c r="B8822" i="5" s="1"/>
  <c r="B8823" i="5" s="1"/>
  <c r="B8824" i="5" s="1"/>
  <c r="B8825" i="5" s="1"/>
  <c r="B8826" i="5" s="1"/>
  <c r="B8827" i="5" s="1"/>
  <c r="B8828" i="5" s="1"/>
  <c r="B8829" i="5" s="1"/>
  <c r="B8830" i="5" s="1"/>
  <c r="B8831" i="5" s="1"/>
  <c r="B8832" i="5" s="1"/>
  <c r="B8833" i="5" s="1"/>
  <c r="B8834" i="5" s="1"/>
  <c r="B8835" i="5" s="1"/>
  <c r="B8836" i="5" s="1"/>
  <c r="B8837" i="5" s="1"/>
  <c r="B8838" i="5" s="1"/>
  <c r="B8839" i="5" s="1"/>
  <c r="B8840" i="5" s="1"/>
  <c r="B8841" i="5" s="1"/>
  <c r="B8842" i="5" s="1"/>
  <c r="B8843" i="5" s="1"/>
  <c r="B8844" i="5" s="1"/>
  <c r="B8845" i="5" s="1"/>
  <c r="B8846" i="5" s="1"/>
  <c r="B8847" i="5" s="1"/>
  <c r="B8848" i="5" s="1"/>
  <c r="B8849" i="5" s="1"/>
  <c r="B8850" i="5" s="1"/>
  <c r="B8851" i="5" s="1"/>
  <c r="B8852" i="5" s="1"/>
  <c r="B8853" i="5" s="1"/>
  <c r="B8854" i="5" s="1"/>
  <c r="B8855" i="5" s="1"/>
  <c r="B8856" i="5" s="1"/>
  <c r="B8857" i="5" s="1"/>
  <c r="B8858" i="5" s="1"/>
  <c r="B8859" i="5" s="1"/>
  <c r="B8860" i="5" s="1"/>
  <c r="B8861" i="5" s="1"/>
  <c r="B8862" i="5" s="1"/>
  <c r="B8863" i="5" s="1"/>
  <c r="B8864" i="5" s="1"/>
  <c r="B8865" i="5" s="1"/>
  <c r="B8866" i="5" s="1"/>
  <c r="B8867" i="5" s="1"/>
  <c r="B8868" i="5" s="1"/>
  <c r="B8869" i="5" s="1"/>
  <c r="B8870" i="5" s="1"/>
  <c r="B8871" i="5" s="1"/>
  <c r="B8872" i="5" s="1"/>
  <c r="B8873" i="5" s="1"/>
  <c r="B8874" i="5" s="1"/>
  <c r="B8875" i="5" s="1"/>
  <c r="B8876" i="5" s="1"/>
  <c r="B8877" i="5" s="1"/>
  <c r="B8878" i="5" s="1"/>
  <c r="B8879" i="5" s="1"/>
  <c r="B8880" i="5" s="1"/>
  <c r="B8881" i="5" s="1"/>
  <c r="B8882" i="5" s="1"/>
  <c r="B8883" i="5" s="1"/>
  <c r="B8884" i="5" s="1"/>
  <c r="B8885" i="5" s="1"/>
  <c r="B8886" i="5" s="1"/>
  <c r="B8887" i="5" s="1"/>
  <c r="B8888" i="5" s="1"/>
  <c r="B8889" i="5" s="1"/>
  <c r="B8121" i="5"/>
  <c r="B8122" i="5" s="1"/>
  <c r="B8123" i="5" s="1"/>
  <c r="B8124" i="5" s="1"/>
  <c r="B8125" i="5" s="1"/>
  <c r="B8126" i="5" s="1"/>
  <c r="B8127" i="5" s="1"/>
  <c r="B8128" i="5" s="1"/>
  <c r="B8129" i="5" s="1"/>
  <c r="B8130" i="5" s="1"/>
  <c r="B8131" i="5" s="1"/>
  <c r="B8132" i="5" s="1"/>
  <c r="B8133" i="5" s="1"/>
  <c r="B8134" i="5" s="1"/>
  <c r="B8135" i="5" s="1"/>
  <c r="B8136" i="5" s="1"/>
  <c r="B8137" i="5" s="1"/>
  <c r="B8138" i="5" s="1"/>
  <c r="B8139" i="5" s="1"/>
  <c r="B8140" i="5" s="1"/>
  <c r="B8141" i="5" s="1"/>
  <c r="B8142" i="5" s="1"/>
  <c r="B8143" i="5" s="1"/>
  <c r="B8144" i="5" s="1"/>
  <c r="B8145" i="5" s="1"/>
  <c r="B8146" i="5" s="1"/>
  <c r="B8147" i="5" s="1"/>
  <c r="B8148" i="5" s="1"/>
  <c r="B8149" i="5" s="1"/>
  <c r="B8150" i="5" s="1"/>
  <c r="B8154" i="5" s="1"/>
  <c r="B8158" i="5" s="1"/>
  <c r="B8163" i="5" s="1"/>
  <c r="B8164" i="5" s="1"/>
  <c r="B8165" i="5" s="1"/>
  <c r="B8166" i="5" s="1"/>
  <c r="B8167" i="5" s="1"/>
  <c r="B8168" i="5" s="1"/>
  <c r="B8169" i="5" s="1"/>
  <c r="B8170" i="5" s="1"/>
  <c r="B8171" i="5" s="1"/>
  <c r="B8172" i="5" s="1"/>
  <c r="B8173" i="5" s="1"/>
  <c r="B8174" i="5" s="1"/>
  <c r="B8175" i="5" s="1"/>
  <c r="B8176" i="5" s="1"/>
  <c r="B8177" i="5" s="1"/>
  <c r="B8178" i="5" s="1"/>
  <c r="B8179" i="5" s="1"/>
  <c r="B8180" i="5" s="1"/>
  <c r="B8181" i="5" s="1"/>
  <c r="B8182" i="5" s="1"/>
  <c r="B8183" i="5" s="1"/>
  <c r="B8184" i="5" s="1"/>
  <c r="B8185" i="5" s="1"/>
  <c r="B8186" i="5" s="1"/>
  <c r="B8187" i="5" s="1"/>
  <c r="B8188" i="5" s="1"/>
  <c r="B8189" i="5" s="1"/>
  <c r="B8190" i="5" s="1"/>
  <c r="B8191" i="5" s="1"/>
  <c r="B8192" i="5" s="1"/>
  <c r="B8193" i="5" s="1"/>
  <c r="B8194" i="5" s="1"/>
  <c r="B8195" i="5" s="1"/>
  <c r="B8196" i="5" s="1"/>
  <c r="B8197" i="5" s="1"/>
  <c r="B8198" i="5" s="1"/>
  <c r="B8199" i="5" s="1"/>
  <c r="B8200" i="5" s="1"/>
  <c r="B8201" i="5" s="1"/>
  <c r="B8202" i="5" s="1"/>
  <c r="B8203" i="5" s="1"/>
  <c r="B8204" i="5" s="1"/>
  <c r="B8205" i="5" s="1"/>
  <c r="B8206" i="5" s="1"/>
  <c r="B8207" i="5" s="1"/>
  <c r="B8208" i="5" s="1"/>
  <c r="B8209" i="5" s="1"/>
  <c r="B8210" i="5" s="1"/>
  <c r="B8211" i="5" s="1"/>
  <c r="B8212" i="5" s="1"/>
  <c r="B8213" i="5" s="1"/>
  <c r="B8214" i="5" s="1"/>
  <c r="B8215" i="5" s="1"/>
  <c r="B8216" i="5" s="1"/>
  <c r="B8217" i="5" s="1"/>
  <c r="B8218" i="5" s="1"/>
  <c r="B8219" i="5" s="1"/>
  <c r="B8220" i="5" s="1"/>
  <c r="B8221" i="5" s="1"/>
  <c r="B8222" i="5" s="1"/>
  <c r="B8223" i="5" s="1"/>
  <c r="B8224" i="5" s="1"/>
  <c r="B8225" i="5" s="1"/>
  <c r="B8226" i="5" s="1"/>
  <c r="B8227" i="5" s="1"/>
  <c r="B8228" i="5" s="1"/>
  <c r="B8229" i="5" s="1"/>
  <c r="B8230" i="5" s="1"/>
  <c r="B8231" i="5" s="1"/>
  <c r="B8232" i="5" s="1"/>
  <c r="B8233" i="5" s="1"/>
  <c r="B8234" i="5" s="1"/>
  <c r="B8235" i="5" s="1"/>
  <c r="B8236" i="5" s="1"/>
  <c r="B8237" i="5" s="1"/>
  <c r="B8238" i="5" s="1"/>
  <c r="B8239" i="5" s="1"/>
  <c r="B8240" i="5" s="1"/>
  <c r="B8241" i="5" s="1"/>
  <c r="B8242" i="5" s="1"/>
  <c r="B8243" i="5" s="1"/>
  <c r="B8244" i="5" s="1"/>
  <c r="B8245" i="5" s="1"/>
  <c r="B8246" i="5" s="1"/>
  <c r="B8247" i="5" s="1"/>
  <c r="B8248" i="5" s="1"/>
  <c r="B8249" i="5" s="1"/>
  <c r="B8250" i="5" s="1"/>
  <c r="B8251" i="5" s="1"/>
  <c r="B8252" i="5" s="1"/>
  <c r="B8253" i="5" s="1"/>
  <c r="B8254" i="5" s="1"/>
  <c r="B8255" i="5" s="1"/>
  <c r="B8256" i="5" s="1"/>
  <c r="B8257" i="5" s="1"/>
  <c r="B8258" i="5" s="1"/>
  <c r="B8259" i="5" s="1"/>
  <c r="B8260" i="5" s="1"/>
  <c r="B8261" i="5" s="1"/>
  <c r="B8262" i="5" s="1"/>
  <c r="B8263" i="5" s="1"/>
  <c r="B8264" i="5" s="1"/>
  <c r="B8265" i="5" s="1"/>
  <c r="B8266" i="5" s="1"/>
  <c r="B8267" i="5" s="1"/>
  <c r="B8268" i="5" s="1"/>
  <c r="B8269" i="5" s="1"/>
  <c r="B8270" i="5" s="1"/>
  <c r="B8271" i="5" s="1"/>
  <c r="B8272" i="5" s="1"/>
  <c r="B8273" i="5" s="1"/>
  <c r="B8274" i="5" s="1"/>
  <c r="B8275" i="5" s="1"/>
  <c r="B8276" i="5" s="1"/>
  <c r="B8277" i="5" s="1"/>
  <c r="B8278" i="5" s="1"/>
  <c r="B8279" i="5" s="1"/>
  <c r="B8280" i="5" s="1"/>
  <c r="B8281" i="5" s="1"/>
  <c r="B8282" i="5" s="1"/>
  <c r="B8283" i="5" s="1"/>
  <c r="B8284" i="5" s="1"/>
  <c r="B8285" i="5" s="1"/>
  <c r="B8286" i="5" s="1"/>
  <c r="B8287" i="5" s="1"/>
  <c r="B8288" i="5" s="1"/>
  <c r="B8289" i="5" s="1"/>
  <c r="B8290" i="5" s="1"/>
  <c r="B8291" i="5" s="1"/>
  <c r="B8292" i="5" s="1"/>
  <c r="B8293" i="5" s="1"/>
  <c r="B8294" i="5" s="1"/>
  <c r="B8295" i="5" s="1"/>
  <c r="B8296" i="5" s="1"/>
  <c r="B8297" i="5" s="1"/>
  <c r="B8298" i="5" s="1"/>
  <c r="B8299" i="5" s="1"/>
  <c r="B8300" i="5" s="1"/>
  <c r="B8301" i="5" s="1"/>
  <c r="B8302" i="5" s="1"/>
  <c r="B8303" i="5" s="1"/>
  <c r="B8304" i="5" s="1"/>
  <c r="B8305" i="5" s="1"/>
  <c r="B8306" i="5" s="1"/>
  <c r="B8307" i="5" s="1"/>
  <c r="B8308" i="5" s="1"/>
  <c r="B8309" i="5" s="1"/>
  <c r="B8310" i="5" s="1"/>
  <c r="B8311" i="5" s="1"/>
  <c r="B8312" i="5" s="1"/>
  <c r="B8313" i="5" s="1"/>
  <c r="B8314" i="5" s="1"/>
  <c r="B8315" i="5" s="1"/>
  <c r="B8316" i="5" s="1"/>
  <c r="B8317" i="5" s="1"/>
  <c r="B8318" i="5" s="1"/>
  <c r="B8319" i="5" s="1"/>
  <c r="B8320" i="5" s="1"/>
  <c r="B8321" i="5" s="1"/>
  <c r="B8322" i="5" s="1"/>
  <c r="B8323" i="5" s="1"/>
  <c r="B8324" i="5" s="1"/>
  <c r="B8325" i="5" s="1"/>
  <c r="B8326" i="5" s="1"/>
  <c r="B8327" i="5" s="1"/>
  <c r="B8890" i="5" l="1"/>
  <c r="B8891" i="5" s="1"/>
  <c r="B8892" i="5" s="1"/>
  <c r="B8893" i="5" s="1"/>
  <c r="B8894" i="5" s="1"/>
  <c r="B8895" i="5" s="1"/>
  <c r="B8896" i="5" s="1"/>
  <c r="B8897" i="5" s="1"/>
  <c r="B8898" i="5" s="1"/>
  <c r="B8899" i="5" s="1"/>
  <c r="B8900" i="5" s="1"/>
  <c r="B8901" i="5" s="1"/>
  <c r="B8902" i="5" s="1"/>
  <c r="B8903" i="5" s="1"/>
  <c r="B8904" i="5" s="1"/>
  <c r="B8905" i="5" s="1"/>
  <c r="B8906" i="5" s="1"/>
  <c r="B8907" i="5" s="1"/>
  <c r="B8908" i="5" s="1"/>
  <c r="B8909" i="5" s="1"/>
  <c r="B8910" i="5" s="1"/>
  <c r="B8911" i="5" s="1"/>
  <c r="B8912" i="5" s="1"/>
  <c r="B8913" i="5" s="1"/>
  <c r="B8914" i="5" s="1"/>
  <c r="B8915" i="5" s="1"/>
  <c r="B8916" i="5" s="1"/>
  <c r="B8917" i="5" s="1"/>
  <c r="B8918" i="5" s="1"/>
  <c r="B8919" i="5" s="1"/>
  <c r="B8920" i="5" s="1"/>
  <c r="B8921" i="5" s="1"/>
  <c r="B8922" i="5" s="1"/>
  <c r="B8923" i="5" s="1"/>
  <c r="B8924" i="5" s="1"/>
  <c r="B8925" i="5" s="1"/>
  <c r="B8926" i="5" s="1"/>
  <c r="B8927" i="5" s="1"/>
  <c r="B8928" i="5" s="1"/>
  <c r="B8929" i="5" s="1"/>
  <c r="B8930" i="5" s="1"/>
  <c r="B8931" i="5" s="1"/>
  <c r="B8932" i="5" s="1"/>
  <c r="B8933" i="5" s="1"/>
  <c r="B8934" i="5" s="1"/>
  <c r="B8935" i="5" s="1"/>
  <c r="B8936" i="5" s="1"/>
  <c r="B8937" i="5" s="1"/>
  <c r="B8938" i="5" s="1"/>
  <c r="B8939" i="5" s="1"/>
  <c r="B8940" i="5" s="1"/>
  <c r="B8941" i="5" s="1"/>
  <c r="B8942" i="5" s="1"/>
  <c r="B8943" i="5" s="1"/>
  <c r="B8944" i="5" s="1"/>
  <c r="B8945" i="5" s="1"/>
  <c r="B8946" i="5" s="1"/>
  <c r="B8947" i="5" s="1"/>
  <c r="B8948" i="5" s="1"/>
  <c r="B8949" i="5" s="1"/>
  <c r="B8950" i="5" s="1"/>
  <c r="B8951" i="5" s="1"/>
  <c r="B8952" i="5" s="1"/>
  <c r="B8953" i="5" s="1"/>
  <c r="B8954" i="5" s="1"/>
  <c r="B8955" i="5" s="1"/>
  <c r="B8956" i="5" s="1"/>
  <c r="B8957" i="5" s="1"/>
  <c r="B8958" i="5" s="1"/>
  <c r="B8959" i="5" s="1"/>
  <c r="B8960" i="5" s="1"/>
  <c r="B8961" i="5" s="1"/>
  <c r="B8962" i="5" s="1"/>
  <c r="B8963" i="5" s="1"/>
  <c r="B8964" i="5" s="1"/>
  <c r="B8965" i="5" s="1"/>
  <c r="B8966" i="5" s="1"/>
  <c r="B8967" i="5" s="1"/>
  <c r="B8968" i="5" s="1"/>
  <c r="B8969" i="5" s="1"/>
  <c r="B8970" i="5" s="1"/>
  <c r="B8971" i="5" s="1"/>
  <c r="B8972" i="5" s="1"/>
  <c r="B8973" i="5" s="1"/>
  <c r="B8974" i="5" s="1"/>
  <c r="B8975" i="5" s="1"/>
  <c r="B8976" i="5" s="1"/>
  <c r="B8977" i="5" s="1"/>
  <c r="B8978" i="5" s="1"/>
  <c r="B8979" i="5" s="1"/>
  <c r="B8980" i="5" s="1"/>
  <c r="B8981" i="5" s="1"/>
  <c r="B8982" i="5" s="1"/>
  <c r="B8983" i="5" s="1"/>
  <c r="B8984" i="5" s="1"/>
  <c r="B8986" i="5" s="1"/>
  <c r="B8987" i="5" s="1"/>
  <c r="B8988" i="5" s="1"/>
  <c r="B8989" i="5" s="1"/>
  <c r="B8990" i="5" s="1"/>
  <c r="B8991" i="5" s="1"/>
  <c r="B8992" i="5" s="1"/>
  <c r="B8993" i="5" s="1"/>
  <c r="B8994" i="5" s="1"/>
  <c r="B8995" i="5" s="1"/>
  <c r="B8996" i="5" s="1"/>
  <c r="B8997" i="5" s="1"/>
  <c r="B8998" i="5" s="1"/>
  <c r="B8999" i="5" s="1"/>
  <c r="B9000" i="5" s="1"/>
  <c r="B9001" i="5" s="1"/>
  <c r="B9002" i="5" s="1"/>
  <c r="B9003" i="5" s="1"/>
  <c r="B9004" i="5" s="1"/>
  <c r="B9005" i="5" s="1"/>
  <c r="B9006" i="5" s="1"/>
  <c r="B9007" i="5" s="1"/>
  <c r="B9008" i="5" s="1"/>
  <c r="B9009" i="5" s="1"/>
  <c r="B9010" i="5" s="1"/>
  <c r="B9011" i="5" s="1"/>
  <c r="B9012" i="5" s="1"/>
  <c r="B9013" i="5" s="1"/>
  <c r="B9014" i="5" s="1"/>
  <c r="B9015" i="5" s="1"/>
  <c r="B9016" i="5" s="1"/>
  <c r="B9017" i="5" s="1"/>
  <c r="B9018" i="5" s="1"/>
  <c r="B9019" i="5" s="1"/>
  <c r="B9020" i="5" s="1"/>
  <c r="B9021" i="5" s="1"/>
  <c r="B9022" i="5" s="1"/>
  <c r="B9023" i="5" s="1"/>
  <c r="B9024" i="5" s="1"/>
  <c r="B9025" i="5" s="1"/>
  <c r="B9026" i="5" s="1"/>
  <c r="B9027" i="5" s="1"/>
  <c r="B9028" i="5" s="1"/>
  <c r="B9029" i="5" s="1"/>
  <c r="B9030" i="5" s="1"/>
  <c r="B9031" i="5" s="1"/>
  <c r="B9032" i="5" s="1"/>
  <c r="B9033" i="5" s="1"/>
  <c r="B9034" i="5" s="1"/>
  <c r="B9035" i="5" s="1"/>
  <c r="B9036" i="5" s="1"/>
  <c r="B9037" i="5" s="1"/>
  <c r="B9038" i="5" s="1"/>
  <c r="B9039" i="5" s="1"/>
  <c r="B9040" i="5" s="1"/>
  <c r="B9041" i="5" s="1"/>
  <c r="B9042" i="5" s="1"/>
  <c r="B9043" i="5" s="1"/>
  <c r="B9044" i="5" s="1"/>
  <c r="B9045" i="5" s="1"/>
  <c r="B9046" i="5" s="1"/>
  <c r="B9047" i="5" s="1"/>
  <c r="B9048" i="5" s="1"/>
  <c r="B9049" i="5" s="1"/>
  <c r="B9050" i="5" s="1"/>
  <c r="B9051" i="5" s="1"/>
  <c r="B9052" i="5" s="1"/>
  <c r="B9053" i="5" s="1"/>
  <c r="B9054" i="5" s="1"/>
  <c r="B9055" i="5" s="1"/>
  <c r="B9056" i="5" s="1"/>
  <c r="B9057" i="5" s="1"/>
  <c r="B9058" i="5" s="1"/>
  <c r="B9059" i="5" s="1"/>
  <c r="B9060" i="5" s="1"/>
  <c r="B9061" i="5" s="1"/>
  <c r="B9062" i="5" s="1"/>
  <c r="B9063" i="5" s="1"/>
  <c r="B9064" i="5" s="1"/>
  <c r="B9065" i="5" s="1"/>
  <c r="B9066" i="5" s="1"/>
  <c r="B9067" i="5" s="1"/>
  <c r="B9068" i="5" s="1"/>
  <c r="B9069" i="5" s="1"/>
  <c r="B9070" i="5" s="1"/>
  <c r="B9071" i="5" s="1"/>
  <c r="B9072" i="5" s="1"/>
  <c r="B9073" i="5" s="1"/>
  <c r="B9074" i="5" s="1"/>
  <c r="B9075" i="5" s="1"/>
  <c r="B9076" i="5" s="1"/>
  <c r="B9077" i="5" s="1"/>
  <c r="B9078" i="5" s="1"/>
  <c r="B9079" i="5" s="1"/>
  <c r="B9080" i="5" s="1"/>
  <c r="B9081" i="5" s="1"/>
  <c r="B9082" i="5" s="1"/>
  <c r="B9083" i="5" s="1"/>
  <c r="B9084" i="5" s="1"/>
  <c r="B9085" i="5" s="1"/>
  <c r="B9086" i="5" s="1"/>
  <c r="B9087" i="5" s="1"/>
  <c r="B9088" i="5" s="1"/>
  <c r="B9089" i="5" s="1"/>
  <c r="B9090" i="5" s="1"/>
  <c r="B9091" i="5" s="1"/>
  <c r="B9092" i="5" s="1"/>
  <c r="B9093" i="5" s="1"/>
  <c r="B9094" i="5" s="1"/>
  <c r="B9095" i="5" s="1"/>
  <c r="B9096" i="5" s="1"/>
  <c r="B9097" i="5" l="1"/>
  <c r="B9098" i="5" s="1"/>
  <c r="B9099" i="5" s="1"/>
  <c r="B9100" i="5" s="1"/>
  <c r="B9101" i="5" s="1"/>
  <c r="B9102" i="5" s="1"/>
  <c r="B9103" i="5" s="1"/>
  <c r="B9104" i="5" s="1"/>
  <c r="B9105" i="5" s="1"/>
  <c r="B9106" i="5" s="1"/>
  <c r="B9107" i="5" s="1"/>
  <c r="B9108" i="5" s="1"/>
  <c r="B9109" i="5" s="1"/>
  <c r="B9110" i="5" s="1"/>
  <c r="B9111" i="5" s="1"/>
  <c r="B9112" i="5" s="1"/>
  <c r="B9113" i="5" s="1"/>
  <c r="B9114" i="5" s="1"/>
  <c r="B9115" i="5" s="1"/>
  <c r="B9116" i="5" s="1"/>
  <c r="B9117" i="5" s="1"/>
  <c r="B9118" i="5" s="1"/>
  <c r="B9119" i="5" s="1"/>
  <c r="B9120" i="5" s="1"/>
  <c r="B9121" i="5" s="1"/>
  <c r="B9122" i="5" s="1"/>
  <c r="B9123" i="5" s="1"/>
  <c r="B9124" i="5" s="1"/>
  <c r="B9125" i="5" s="1"/>
  <c r="B9126" i="5" s="1"/>
  <c r="B9127" i="5" s="1"/>
  <c r="B9128" i="5" s="1"/>
  <c r="B9129" i="5" s="1"/>
  <c r="B9130" i="5" s="1"/>
  <c r="B9131" i="5" s="1"/>
  <c r="B9132" i="5" s="1"/>
  <c r="B9133" i="5" s="1"/>
  <c r="B9134" i="5" s="1"/>
  <c r="B9135" i="5" s="1"/>
  <c r="B9136" i="5" s="1"/>
  <c r="B9137" i="5" s="1"/>
  <c r="B9138" i="5" s="1"/>
  <c r="B9139" i="5" s="1"/>
  <c r="B9140" i="5" s="1"/>
  <c r="B9141" i="5" s="1"/>
  <c r="B9142" i="5" s="1"/>
  <c r="B9143" i="5" s="1"/>
  <c r="B9144" i="5" s="1"/>
  <c r="B9145" i="5" s="1"/>
  <c r="B9146" i="5" s="1"/>
  <c r="B9147" i="5" s="1"/>
  <c r="B9148" i="5" s="1"/>
  <c r="B9149" i="5" s="1"/>
  <c r="B9150" i="5" s="1"/>
  <c r="B9151" i="5" s="1"/>
  <c r="B9152" i="5" s="1"/>
  <c r="B9153" i="5" s="1"/>
  <c r="B9154" i="5" s="1"/>
  <c r="B9155" i="5" s="1"/>
  <c r="B9156" i="5" s="1"/>
  <c r="B9157" i="5" s="1"/>
  <c r="B9158" i="5" s="1"/>
  <c r="B9159" i="5" s="1"/>
  <c r="B9160" i="5" s="1"/>
  <c r="B9161" i="5" s="1"/>
  <c r="B9162" i="5" s="1"/>
  <c r="B9163" i="5" s="1"/>
  <c r="B9164" i="5" s="1"/>
  <c r="B9165" i="5" s="1"/>
  <c r="B9166" i="5" s="1"/>
  <c r="B9167" i="5" s="1"/>
  <c r="B9168" i="5" s="1"/>
  <c r="B9169" i="5" s="1"/>
  <c r="B9170" i="5" s="1"/>
  <c r="B9171" i="5" s="1"/>
  <c r="B9172" i="5" s="1"/>
  <c r="B9173" i="5" s="1"/>
  <c r="B9174" i="5" s="1"/>
  <c r="B9175" i="5" s="1"/>
  <c r="B9176" i="5" s="1"/>
  <c r="B9177" i="5" s="1"/>
  <c r="B9178" i="5" s="1"/>
  <c r="B9179" i="5" s="1"/>
  <c r="B9180" i="5" s="1"/>
  <c r="B9181" i="5" s="1"/>
  <c r="B9182" i="5" s="1"/>
  <c r="B9183" i="5" s="1"/>
  <c r="B9184" i="5" s="1"/>
  <c r="B9185" i="5" s="1"/>
  <c r="B9186" i="5" s="1"/>
  <c r="B9187" i="5" s="1"/>
  <c r="B9188" i="5" s="1"/>
  <c r="B9189" i="5" s="1"/>
  <c r="B9192" i="5" s="1"/>
  <c r="B9193" i="5" s="1"/>
  <c r="B9194" i="5" s="1"/>
  <c r="B9195" i="5" s="1"/>
  <c r="B9196" i="5" s="1"/>
  <c r="B9197" i="5" s="1"/>
  <c r="B9198" i="5" s="1"/>
  <c r="B9199" i="5" s="1"/>
  <c r="B9200" i="5" s="1"/>
  <c r="B9201" i="5" s="1"/>
  <c r="B9202" i="5" s="1"/>
  <c r="B9203" i="5" s="1"/>
  <c r="B9204" i="5" s="1"/>
  <c r="B9205" i="5" s="1"/>
  <c r="B9206" i="5" s="1"/>
  <c r="B9207" i="5" s="1"/>
  <c r="B9208" i="5" s="1"/>
  <c r="B9209" i="5" s="1"/>
  <c r="B9210" i="5" s="1"/>
  <c r="B9211" i="5" s="1"/>
  <c r="B9212" i="5" s="1"/>
  <c r="B9213" i="5" s="1"/>
  <c r="B9214" i="5" s="1"/>
  <c r="B9215" i="5" s="1"/>
  <c r="B9216" i="5" s="1"/>
  <c r="B9217" i="5" s="1"/>
  <c r="B9218" i="5" s="1"/>
  <c r="B9219" i="5" s="1"/>
  <c r="B9220" i="5" s="1"/>
  <c r="B9221" i="5" s="1"/>
  <c r="B9222" i="5" s="1"/>
  <c r="B9223" i="5" s="1"/>
  <c r="B9224" i="5" s="1"/>
  <c r="B9225" i="5" s="1"/>
  <c r="B9226" i="5" s="1"/>
  <c r="B9227" i="5" s="1"/>
  <c r="B9228" i="5" s="1"/>
  <c r="B9229" i="5" s="1"/>
  <c r="B9230" i="5" s="1"/>
  <c r="B9231" i="5" s="1"/>
  <c r="B9232" i="5" s="1"/>
  <c r="B9233" i="5" s="1"/>
  <c r="B9234" i="5" s="1"/>
  <c r="B9235" i="5" s="1"/>
  <c r="B9236" i="5" s="1"/>
  <c r="B9237" i="5" s="1"/>
  <c r="B9238" i="5" s="1"/>
  <c r="B9239" i="5" s="1"/>
  <c r="B9240" i="5" s="1"/>
  <c r="B9241" i="5" s="1"/>
  <c r="B9242" i="5" s="1"/>
  <c r="B9243" i="5" s="1"/>
  <c r="B9244" i="5" s="1"/>
  <c r="B9245" i="5" s="1"/>
  <c r="B9246" i="5" s="1"/>
  <c r="B9247" i="5" s="1"/>
  <c r="B9248" i="5" s="1"/>
  <c r="B9249" i="5" s="1"/>
  <c r="B9250" i="5" s="1"/>
  <c r="B9251" i="5" s="1"/>
  <c r="B9252" i="5" s="1"/>
  <c r="B9253" i="5" s="1"/>
  <c r="B9254" i="5" s="1"/>
  <c r="B9255" i="5" s="1"/>
  <c r="B9256" i="5" s="1"/>
  <c r="B9257" i="5" s="1"/>
  <c r="B9258" i="5" s="1"/>
  <c r="B9259" i="5" s="1"/>
  <c r="B9260" i="5" s="1"/>
  <c r="B9261" i="5" s="1"/>
  <c r="B9262" i="5" s="1"/>
  <c r="B9263" i="5" s="1"/>
  <c r="B9264" i="5" s="1"/>
  <c r="B9265" i="5" s="1"/>
  <c r="B9266" i="5" s="1"/>
  <c r="B9267" i="5" s="1"/>
  <c r="B9268" i="5" s="1"/>
  <c r="B9269" i="5" s="1"/>
  <c r="B9270" i="5" s="1"/>
  <c r="B9271" i="5" s="1"/>
  <c r="B9272" i="5" s="1"/>
  <c r="B9273" i="5" s="1"/>
  <c r="B9274" i="5" s="1"/>
  <c r="B9275" i="5" s="1"/>
  <c r="B9276" i="5" s="1"/>
  <c r="B9277" i="5" s="1"/>
  <c r="B9278" i="5" s="1"/>
  <c r="B9279" i="5" s="1"/>
  <c r="B9280" i="5" s="1"/>
  <c r="B9281" i="5" s="1"/>
  <c r="B9282" i="5" s="1"/>
  <c r="B9283" i="5" s="1"/>
  <c r="B9284" i="5" s="1"/>
  <c r="B9285" i="5" s="1"/>
  <c r="B9286" i="5" s="1"/>
  <c r="B9287" i="5" s="1"/>
  <c r="B9288" i="5" s="1"/>
  <c r="B9289" i="5" s="1"/>
  <c r="B9290" i="5" s="1"/>
  <c r="B9291" i="5" s="1"/>
  <c r="B9292" i="5" s="1"/>
  <c r="B9293" i="5" s="1"/>
  <c r="B9294" i="5" s="1"/>
  <c r="B9295" i="5" s="1"/>
  <c r="B9296" i="5" s="1"/>
  <c r="B9297" i="5" s="1"/>
  <c r="B9298" i="5" s="1"/>
  <c r="B9299" i="5" s="1"/>
  <c r="B9300" i="5" s="1"/>
  <c r="B9301" i="5" s="1"/>
  <c r="B9302" i="5" s="1"/>
  <c r="B9303" i="5" s="1"/>
  <c r="B9304" i="5" s="1"/>
  <c r="B9305" i="5" s="1"/>
  <c r="B9306" i="5" s="1"/>
  <c r="B9307" i="5" s="1"/>
  <c r="B9308" i="5" s="1"/>
  <c r="B9309" i="5" s="1"/>
  <c r="B9310" i="5" s="1"/>
  <c r="B9311" i="5" s="1"/>
  <c r="B9312" i="5" s="1"/>
  <c r="B9313" i="5" s="1"/>
  <c r="B9314" i="5" s="1"/>
  <c r="B9315" i="5" s="1"/>
  <c r="B9316" i="5" s="1"/>
  <c r="B9317" i="5" s="1"/>
  <c r="B9318" i="5" s="1"/>
  <c r="B9319" i="5" s="1"/>
  <c r="B9320" i="5" s="1"/>
  <c r="B9321" i="5" s="1"/>
  <c r="B9322" i="5" s="1"/>
  <c r="B9323" i="5" s="1"/>
  <c r="B9324" i="5" s="1"/>
  <c r="B9325" i="5" s="1"/>
  <c r="B9326" i="5" s="1"/>
  <c r="B9327" i="5" s="1"/>
  <c r="B9328" i="5" s="1"/>
  <c r="B9329" i="5" s="1"/>
  <c r="B9330" i="5" s="1"/>
  <c r="B9331" i="5" s="1"/>
  <c r="B9332" i="5" s="1"/>
  <c r="B9333" i="5" s="1"/>
  <c r="B9334" i="5" s="1"/>
  <c r="B9335" i="5" s="1"/>
  <c r="B9336" i="5" s="1"/>
  <c r="B9337" i="5" s="1"/>
  <c r="B9338" i="5" s="1"/>
  <c r="B9339" i="5" s="1"/>
  <c r="B9340" i="5" s="1"/>
  <c r="B9341" i="5" s="1"/>
  <c r="B9342" i="5" s="1"/>
  <c r="B9343" i="5" s="1"/>
  <c r="B9344" i="5" s="1"/>
  <c r="B9345" i="5" s="1"/>
  <c r="B9346" i="5" s="1"/>
  <c r="B9347" i="5" s="1"/>
  <c r="B9348" i="5" s="1"/>
  <c r="B9349" i="5" s="1"/>
  <c r="B9350" i="5" s="1"/>
  <c r="B9351" i="5" s="1"/>
  <c r="B9352" i="5" s="1"/>
  <c r="B9353" i="5" s="1"/>
  <c r="B9354" i="5" s="1"/>
  <c r="B9355" i="5" s="1"/>
  <c r="B9356" i="5" s="1"/>
  <c r="B9357" i="5" s="1"/>
  <c r="B9358" i="5" s="1"/>
  <c r="B9359" i="5" s="1"/>
  <c r="B9360" i="5" s="1"/>
  <c r="B9361" i="5" s="1"/>
  <c r="B9362" i="5" s="1"/>
  <c r="B9363" i="5" s="1"/>
  <c r="B9364" i="5" s="1"/>
  <c r="B9365" i="5" s="1"/>
  <c r="B9366" i="5" s="1"/>
  <c r="B9367" i="5" s="1"/>
  <c r="B9368" i="5" s="1"/>
  <c r="B9369" i="5" s="1"/>
  <c r="B9370" i="5" s="1"/>
  <c r="B9371" i="5" s="1"/>
  <c r="B9372" i="5" s="1"/>
  <c r="B9373" i="5" s="1"/>
  <c r="B9374" i="5" s="1"/>
  <c r="B9375" i="5" s="1"/>
  <c r="B9376" i="5" s="1"/>
  <c r="B9377" i="5" s="1"/>
  <c r="B9378" i="5" s="1"/>
  <c r="B9379" i="5" s="1"/>
  <c r="B9380" i="5" s="1"/>
  <c r="B9381" i="5" s="1"/>
  <c r="B9382" i="5" s="1"/>
  <c r="B9383" i="5" s="1"/>
  <c r="B9384" i="5" s="1"/>
  <c r="B9385" i="5" s="1"/>
  <c r="B9386" i="5" s="1"/>
  <c r="B9387" i="5" s="1"/>
  <c r="B9388" i="5" s="1"/>
  <c r="B9389" i="5" s="1"/>
  <c r="B9390" i="5" s="1"/>
  <c r="B9391" i="5" s="1"/>
  <c r="B9392" i="5" s="1"/>
  <c r="B9393" i="5" s="1"/>
  <c r="B9394" i="5" s="1"/>
  <c r="B9395" i="5" s="1"/>
  <c r="B9396" i="5" s="1"/>
  <c r="B9397" i="5" s="1"/>
  <c r="B9398" i="5" s="1"/>
  <c r="B9399" i="5" s="1"/>
  <c r="B9400" i="5" s="1"/>
  <c r="B9401" i="5" s="1"/>
  <c r="B9402" i="5" s="1"/>
  <c r="B9403" i="5" s="1"/>
  <c r="B9404" i="5" s="1"/>
  <c r="B9405" i="5" s="1"/>
  <c r="B9406" i="5" s="1"/>
  <c r="B9407" i="5" s="1"/>
  <c r="B9408" i="5" s="1"/>
  <c r="B9409" i="5" s="1"/>
  <c r="B9410" i="5" s="1"/>
  <c r="B9411" i="5" s="1"/>
  <c r="B9412" i="5" s="1"/>
  <c r="B9413" i="5" s="1"/>
  <c r="B9414" i="5" s="1"/>
  <c r="B9415" i="5" s="1"/>
  <c r="B9416" i="5" s="1"/>
  <c r="B9417" i="5" s="1"/>
  <c r="B9418" i="5" s="1"/>
  <c r="B9419" i="5" s="1"/>
  <c r="B9420" i="5" s="1"/>
  <c r="B9421" i="5" s="1"/>
  <c r="B9422" i="5" s="1"/>
  <c r="B9423" i="5" s="1"/>
  <c r="B9424" i="5" s="1"/>
  <c r="B9425" i="5" s="1"/>
  <c r="B9426" i="5" s="1"/>
  <c r="B9427" i="5" s="1"/>
  <c r="B9428" i="5" s="1"/>
  <c r="B9429" i="5" s="1"/>
  <c r="B9430" i="5" s="1"/>
  <c r="B9431" i="5" s="1"/>
  <c r="B9432" i="5" s="1"/>
  <c r="B9433" i="5" s="1"/>
  <c r="B9434" i="5" s="1"/>
  <c r="B9435" i="5" s="1"/>
  <c r="B9436" i="5" s="1"/>
  <c r="B9437" i="5" s="1"/>
  <c r="B9438" i="5" s="1"/>
  <c r="B9439" i="5" s="1"/>
  <c r="B9440" i="5" s="1"/>
  <c r="B9441" i="5" s="1"/>
  <c r="B9442" i="5" s="1"/>
  <c r="B9443" i="5" s="1"/>
  <c r="B9444" i="5" s="1"/>
  <c r="B9445" i="5" s="1"/>
  <c r="B9446" i="5" s="1"/>
  <c r="B9447" i="5" s="1"/>
  <c r="B9448" i="5" s="1"/>
  <c r="B9449" i="5" s="1"/>
  <c r="B9450" i="5" s="1"/>
  <c r="B9451" i="5" s="1"/>
  <c r="B9452" i="5" s="1"/>
  <c r="B9453" i="5" s="1"/>
  <c r="B9454" i="5" s="1"/>
  <c r="B9455" i="5" s="1"/>
  <c r="B9456" i="5" s="1"/>
  <c r="B9457" i="5" s="1"/>
  <c r="B9458" i="5" s="1"/>
  <c r="B9459" i="5" s="1"/>
  <c r="B9460" i="5" s="1"/>
  <c r="B9461" i="5" s="1"/>
  <c r="B9462" i="5" s="1"/>
  <c r="B9463" i="5" s="1"/>
  <c r="B9464" i="5" s="1"/>
  <c r="B9465" i="5" s="1"/>
  <c r="B9466" i="5" s="1"/>
  <c r="B9467" i="5" s="1"/>
  <c r="B9468" i="5" s="1"/>
  <c r="B9469" i="5" s="1"/>
  <c r="B9470" i="5" s="1"/>
  <c r="B9471" i="5" s="1"/>
  <c r="B9472" i="5" s="1"/>
  <c r="B9473" i="5" s="1"/>
  <c r="B9474" i="5" s="1"/>
  <c r="B9475" i="5" s="1"/>
  <c r="B9476" i="5" l="1"/>
  <c r="B9477" i="5" s="1"/>
  <c r="B9478" i="5" s="1"/>
  <c r="B9479" i="5" s="1"/>
  <c r="B9480" i="5" s="1"/>
  <c r="B9481" i="5" s="1"/>
  <c r="B9482" i="5" s="1"/>
  <c r="B9483" i="5" s="1"/>
  <c r="B9484" i="5" s="1"/>
  <c r="B9485" i="5" s="1"/>
  <c r="B9486" i="5" s="1"/>
  <c r="B9487" i="5" s="1"/>
  <c r="B9488" i="5" s="1"/>
  <c r="B9489" i="5" s="1"/>
  <c r="B9490" i="5" s="1"/>
  <c r="B9491" i="5" s="1"/>
  <c r="B9492" i="5" l="1"/>
  <c r="B9493" i="5" s="1"/>
  <c r="B9494" i="5" s="1"/>
  <c r="B9495" i="5" s="1"/>
  <c r="B9496" i="5" s="1"/>
  <c r="B9497" i="5" s="1"/>
  <c r="B9498" i="5" s="1"/>
  <c r="B9499" i="5" s="1"/>
  <c r="B9500" i="5" s="1"/>
  <c r="B9501" i="5" s="1"/>
  <c r="B9502" i="5" s="1"/>
  <c r="B9503" i="5" s="1"/>
  <c r="B9504" i="5" s="1"/>
  <c r="B9505" i="5" s="1"/>
  <c r="B9506" i="5" s="1"/>
  <c r="B9507" i="5" s="1"/>
  <c r="B9508" i="5" s="1"/>
  <c r="B9509" i="5" s="1"/>
  <c r="B9510" i="5" s="1"/>
  <c r="B9511" i="5" s="1"/>
  <c r="B9512" i="5" s="1"/>
  <c r="B9513" i="5" s="1"/>
  <c r="B9514" i="5" s="1"/>
  <c r="B9515" i="5" s="1"/>
  <c r="B9516" i="5" s="1"/>
  <c r="B9517" i="5" s="1"/>
  <c r="B9518" i="5" s="1"/>
  <c r="B9519" i="5" s="1"/>
  <c r="B9520" i="5" s="1"/>
  <c r="B9521" i="5" s="1"/>
  <c r="B9522" i="5" s="1"/>
  <c r="B9523" i="5" s="1"/>
  <c r="B9524" i="5" s="1"/>
  <c r="B9525" i="5" s="1"/>
  <c r="B9526" i="5" s="1"/>
  <c r="B9527" i="5" s="1"/>
  <c r="B9528" i="5" s="1"/>
  <c r="B9529" i="5" s="1"/>
  <c r="B9530" i="5" s="1"/>
  <c r="B9531" i="5" s="1"/>
  <c r="B9532" i="5" s="1"/>
  <c r="B9533" i="5" s="1"/>
  <c r="B9534" i="5" s="1"/>
  <c r="B9535" i="5" s="1"/>
  <c r="B9536" i="5" s="1"/>
  <c r="B9537" i="5" s="1"/>
  <c r="B9538" i="5" s="1"/>
  <c r="B9539" i="5" s="1"/>
  <c r="B9540" i="5" s="1"/>
  <c r="B9541" i="5" s="1"/>
  <c r="B9542" i="5" s="1"/>
  <c r="B9543" i="5" s="1"/>
  <c r="B9544" i="5" s="1"/>
  <c r="B9545" i="5" s="1"/>
  <c r="B9546" i="5" s="1"/>
  <c r="B9547" i="5" s="1"/>
  <c r="B9548" i="5" s="1"/>
  <c r="B9549" i="5" s="1"/>
  <c r="B9550" i="5" s="1"/>
  <c r="B9551" i="5" s="1"/>
  <c r="B9552" i="5" s="1"/>
  <c r="B9553" i="5" s="1"/>
  <c r="B9554" i="5" s="1"/>
  <c r="B9555" i="5" s="1"/>
  <c r="B9556" i="5" s="1"/>
  <c r="B9557" i="5" s="1"/>
  <c r="B9558" i="5" s="1"/>
  <c r="B9559" i="5" s="1"/>
  <c r="B9560" i="5" s="1"/>
  <c r="B9561" i="5" s="1"/>
  <c r="B9562" i="5" s="1"/>
  <c r="B9563" i="5" s="1"/>
  <c r="B9564" i="5" s="1"/>
  <c r="B9565" i="5" s="1"/>
  <c r="B9566" i="5" s="1"/>
  <c r="B9567" i="5" s="1"/>
  <c r="B9568" i="5" s="1"/>
  <c r="B9569" i="5" s="1"/>
  <c r="B9570" i="5" s="1"/>
  <c r="B9571" i="5" s="1"/>
  <c r="B9572" i="5" s="1"/>
  <c r="B9573" i="5" s="1"/>
  <c r="B9574" i="5" s="1"/>
  <c r="B9575" i="5" s="1"/>
  <c r="B9576" i="5" s="1"/>
  <c r="B9577" i="5" s="1"/>
  <c r="B9578" i="5" s="1"/>
  <c r="B9579" i="5" s="1"/>
  <c r="B9580" i="5" s="1"/>
  <c r="B9581" i="5" s="1"/>
  <c r="B9582" i="5" s="1"/>
  <c r="B9583" i="5" s="1"/>
  <c r="B9584" i="5" s="1"/>
  <c r="B9585" i="5" s="1"/>
  <c r="B9586" i="5" s="1"/>
  <c r="B9587" i="5" s="1"/>
  <c r="B9588" i="5" s="1"/>
  <c r="B9589" i="5" s="1"/>
  <c r="B9590" i="5" s="1"/>
  <c r="B9591" i="5" s="1"/>
  <c r="B9592" i="5" s="1"/>
  <c r="B9593" i="5" s="1"/>
  <c r="B9594" i="5" s="1"/>
  <c r="B9595" i="5" s="1"/>
  <c r="B9596" i="5" s="1"/>
  <c r="B9597" i="5" l="1"/>
  <c r="B9598" i="5" s="1"/>
  <c r="B9599" i="5" s="1"/>
  <c r="B9600" i="5" s="1"/>
  <c r="B9601" i="5" s="1"/>
  <c r="B9602" i="5" s="1"/>
  <c r="B9603" i="5" s="1"/>
  <c r="B9604" i="5" s="1"/>
  <c r="B9605" i="5" s="1"/>
  <c r="B9606" i="5" s="1"/>
  <c r="B9607" i="5" s="1"/>
  <c r="B9608" i="5" s="1"/>
  <c r="B9609" i="5" s="1"/>
  <c r="B9610" i="5" s="1"/>
  <c r="B9611" i="5" s="1"/>
  <c r="B9612" i="5" s="1"/>
  <c r="B9613" i="5" s="1"/>
  <c r="B9614" i="5" s="1"/>
  <c r="B9615" i="5" s="1"/>
  <c r="B9616" i="5" s="1"/>
  <c r="B9617" i="5" s="1"/>
  <c r="B9618" i="5" s="1"/>
  <c r="B9619" i="5" s="1"/>
  <c r="B9620" i="5" s="1"/>
  <c r="B9621" i="5" s="1"/>
  <c r="B9622" i="5" s="1"/>
  <c r="B9623" i="5" s="1"/>
  <c r="B9624" i="5" s="1"/>
  <c r="B9625" i="5" s="1"/>
  <c r="B9626" i="5" s="1"/>
  <c r="B9629" i="5" s="1"/>
  <c r="B9630" i="5" s="1"/>
  <c r="B9631" i="5" s="1"/>
  <c r="B9632" i="5" s="1"/>
  <c r="B9633" i="5" s="1"/>
  <c r="B9634" i="5" s="1"/>
  <c r="B9635" i="5" s="1"/>
  <c r="B9636" i="5" s="1"/>
  <c r="B9637" i="5" s="1"/>
  <c r="B9638" i="5" s="1"/>
  <c r="B9639" i="5" s="1"/>
  <c r="B9640" i="5" s="1"/>
  <c r="B9641" i="5" s="1"/>
  <c r="B9642" i="5" s="1"/>
  <c r="B9643" i="5" l="1"/>
  <c r="B9644" i="5" s="1"/>
  <c r="B9645" i="5" s="1"/>
  <c r="B9646" i="5" s="1"/>
  <c r="B9647" i="5" s="1"/>
  <c r="B9648" i="5" s="1"/>
  <c r="B9649" i="5" s="1"/>
  <c r="B9650" i="5" s="1"/>
  <c r="B9651" i="5" s="1"/>
  <c r="B9652" i="5" s="1"/>
  <c r="B9653" i="5" s="1"/>
  <c r="B9654" i="5" s="1"/>
  <c r="B9655" i="5" s="1"/>
  <c r="B9656" i="5" s="1"/>
  <c r="B9657" i="5" s="1"/>
  <c r="B9658" i="5" s="1"/>
  <c r="B9659" i="5" s="1"/>
  <c r="B9660" i="5" s="1"/>
  <c r="B9661" i="5" s="1"/>
  <c r="B9662" i="5" s="1"/>
  <c r="B9663" i="5" s="1"/>
  <c r="B9664" i="5" s="1"/>
  <c r="B9665" i="5" s="1"/>
  <c r="B9666" i="5" s="1"/>
  <c r="B9667" i="5" s="1"/>
  <c r="B9668" i="5" s="1"/>
  <c r="B9669" i="5" s="1"/>
  <c r="B9670" i="5" s="1"/>
  <c r="B9671" i="5" s="1"/>
  <c r="B9672" i="5" s="1"/>
  <c r="B9673" i="5" s="1"/>
  <c r="B9674" i="5" s="1"/>
  <c r="B9675" i="5" s="1"/>
  <c r="B9676" i="5" s="1"/>
  <c r="B9677" i="5" s="1"/>
  <c r="B9678" i="5" s="1"/>
  <c r="B9679" i="5" s="1"/>
  <c r="B9680" i="5" s="1"/>
  <c r="B9681" i="5" s="1"/>
  <c r="B9682" i="5" s="1"/>
  <c r="B9683" i="5" s="1"/>
  <c r="B9684" i="5" s="1"/>
  <c r="B9685" i="5" s="1"/>
  <c r="B9686" i="5" s="1"/>
  <c r="B9687" i="5" s="1"/>
  <c r="B9688" i="5" s="1"/>
  <c r="B9689" i="5" s="1"/>
  <c r="B9690" i="5" s="1"/>
  <c r="B9691" i="5" s="1"/>
  <c r="B9692" i="5" s="1"/>
  <c r="B9693" i="5" s="1"/>
  <c r="B9694" i="5" s="1"/>
  <c r="B9695" i="5" s="1"/>
  <c r="B9696" i="5" s="1"/>
  <c r="B9697" i="5" s="1"/>
  <c r="B9698" i="5" s="1"/>
  <c r="B9699" i="5" s="1"/>
  <c r="B9700" i="5" s="1"/>
  <c r="B9701" i="5" s="1"/>
  <c r="B9702" i="5" s="1"/>
  <c r="B9703" i="5" s="1"/>
  <c r="B9704" i="5" s="1"/>
  <c r="B9705" i="5" s="1"/>
  <c r="B9706" i="5" s="1"/>
  <c r="B9707" i="5" s="1"/>
  <c r="B9708" i="5" s="1"/>
  <c r="B9709" i="5" s="1"/>
  <c r="B9710" i="5" s="1"/>
  <c r="B9711" i="5" s="1"/>
  <c r="B9712" i="5" s="1"/>
  <c r="B9713" i="5" s="1"/>
  <c r="B9714" i="5" s="1"/>
  <c r="B9715" i="5" s="1"/>
  <c r="B9716" i="5" s="1"/>
  <c r="B9717" i="5" s="1"/>
  <c r="B9718" i="5" s="1"/>
  <c r="B9719" i="5" s="1"/>
  <c r="B9720" i="5" s="1"/>
  <c r="B9721" i="5" s="1"/>
  <c r="B9722" i="5" s="1"/>
  <c r="B9723" i="5" s="1"/>
  <c r="B9724" i="5" s="1"/>
  <c r="B9725" i="5" s="1"/>
  <c r="B9726" i="5" s="1"/>
  <c r="B9727" i="5" s="1"/>
  <c r="B9728" i="5" s="1"/>
  <c r="B9729" i="5" s="1"/>
  <c r="B9730" i="5" s="1"/>
  <c r="B9731" i="5" s="1"/>
  <c r="B9732" i="5" s="1"/>
  <c r="B9733" i="5" s="1"/>
  <c r="B9734" i="5" s="1"/>
  <c r="B9735" i="5" s="1"/>
  <c r="B9736" i="5" s="1"/>
  <c r="B9737" i="5" s="1"/>
  <c r="B9738" i="5" s="1"/>
  <c r="B9739" i="5" s="1"/>
  <c r="B9740" i="5" s="1"/>
  <c r="B9741" i="5" s="1"/>
  <c r="B9742" i="5" s="1"/>
  <c r="B9743" i="5" s="1"/>
  <c r="B9744" i="5" s="1"/>
  <c r="B9745" i="5" s="1"/>
  <c r="B9746" i="5" s="1"/>
  <c r="B9747" i="5" s="1"/>
  <c r="B9748" i="5" s="1"/>
  <c r="B9749" i="5" s="1"/>
  <c r="B9750" i="5" s="1"/>
  <c r="B9751" i="5" s="1"/>
  <c r="B9752" i="5" s="1"/>
  <c r="B9753" i="5" s="1"/>
  <c r="B9754" i="5" s="1"/>
  <c r="B9755" i="5" s="1"/>
  <c r="B9756" i="5" s="1"/>
  <c r="B9757" i="5" s="1"/>
  <c r="B9758" i="5" s="1"/>
  <c r="B9759" i="5" s="1"/>
  <c r="B9760" i="5" s="1"/>
  <c r="B9761" i="5" s="1"/>
  <c r="B9762" i="5" s="1"/>
  <c r="B9763" i="5" s="1"/>
  <c r="B9764" i="5" s="1"/>
  <c r="B9765" i="5" s="1"/>
  <c r="B9766" i="5" s="1"/>
  <c r="B9767" i="5" s="1"/>
  <c r="B9768" i="5" s="1"/>
  <c r="B9769" i="5" s="1"/>
  <c r="B9770" i="5" s="1"/>
  <c r="B9771" i="5" s="1"/>
  <c r="B9772" i="5" s="1"/>
  <c r="B9773" i="5" s="1"/>
  <c r="B9774" i="5" s="1"/>
  <c r="B9775" i="5" s="1"/>
  <c r="B9776" i="5" s="1"/>
  <c r="B9777" i="5" s="1"/>
  <c r="B9778" i="5" s="1"/>
  <c r="B9779" i="5" s="1"/>
  <c r="B9780" i="5" s="1"/>
  <c r="B9781" i="5" s="1"/>
  <c r="B9782" i="5" s="1"/>
  <c r="B9783" i="5" s="1"/>
  <c r="B9784" i="5" s="1"/>
  <c r="B9785" i="5" l="1"/>
  <c r="B9787" i="5" s="1"/>
  <c r="B9789" i="5" s="1"/>
  <c r="B9790" i="5" s="1"/>
  <c r="B9791" i="5" s="1"/>
  <c r="B9792" i="5" s="1"/>
  <c r="B9793" i="5" s="1"/>
  <c r="B9794" i="5" s="1"/>
  <c r="B9795" i="5" s="1"/>
  <c r="B9796" i="5" s="1"/>
  <c r="B9797" i="5" s="1"/>
  <c r="B9798" i="5" s="1"/>
  <c r="B9799" i="5" s="1"/>
  <c r="B9807" i="5" l="1"/>
  <c r="B9808" i="5" s="1"/>
  <c r="B9809" i="5" s="1"/>
  <c r="B9810" i="5" s="1"/>
  <c r="B9811" i="5" s="1"/>
  <c r="B9812" i="5" s="1"/>
  <c r="B9813" i="5" s="1"/>
  <c r="B9814" i="5" s="1"/>
  <c r="B9815" i="5" s="1"/>
  <c r="B9816" i="5" s="1"/>
  <c r="B9817" i="5" s="1"/>
  <c r="B9818" i="5" s="1"/>
  <c r="B9819" i="5" s="1"/>
  <c r="B9820" i="5" s="1"/>
  <c r="B9821" i="5" s="1"/>
  <c r="B9823" i="5" s="1"/>
  <c r="B9824" i="5" s="1"/>
  <c r="B9825" i="5" s="1"/>
  <c r="B9826" i="5" s="1"/>
  <c r="B9827" i="5" s="1"/>
  <c r="B9828" i="5" s="1"/>
  <c r="B9829" i="5" s="1"/>
  <c r="B9830" i="5" s="1"/>
  <c r="B9831" i="5" s="1"/>
  <c r="B9832" i="5" s="1"/>
  <c r="B9833" i="5" s="1"/>
  <c r="B9834" i="5" s="1"/>
  <c r="B9836" i="5" s="1"/>
  <c r="B9837" i="5" s="1"/>
  <c r="B9838" i="5" s="1"/>
  <c r="B9839" i="5" s="1"/>
  <c r="B9840" i="5" s="1"/>
  <c r="B9841" i="5" s="1"/>
  <c r="B9842" i="5" s="1"/>
  <c r="B9844" i="5" s="1"/>
  <c r="B9845" i="5" s="1"/>
  <c r="B9846" i="5" s="1"/>
  <c r="B9847" i="5" s="1"/>
  <c r="B9848" i="5" s="1"/>
  <c r="B9849" i="5" s="1"/>
  <c r="B9850" i="5" s="1"/>
  <c r="B9851" i="5" s="1"/>
  <c r="B9852" i="5" s="1"/>
  <c r="B9853" i="5" s="1"/>
  <c r="B9854" i="5" s="1"/>
  <c r="B9855" i="5" s="1"/>
  <c r="B9856" i="5" s="1"/>
  <c r="B9857" i="5" s="1"/>
  <c r="B9858" i="5" s="1"/>
  <c r="B9859" i="5" s="1"/>
  <c r="B9860" i="5" s="1"/>
  <c r="B9861" i="5" s="1"/>
  <c r="B9862" i="5" s="1"/>
  <c r="B9863" i="5" s="1"/>
  <c r="B9864" i="5" s="1"/>
  <c r="B9865" i="5" s="1"/>
  <c r="B9866" i="5" s="1"/>
  <c r="B9867" i="5" s="1"/>
  <c r="B9868" i="5" s="1"/>
  <c r="B9869" i="5" s="1"/>
  <c r="B9870" i="5" s="1"/>
  <c r="B9871" i="5" s="1"/>
  <c r="B9872" i="5" s="1"/>
  <c r="B9873" i="5" s="1"/>
  <c r="B9874" i="5" s="1"/>
  <c r="B9875" i="5" s="1"/>
  <c r="B9876" i="5" s="1"/>
  <c r="B9878" i="5" s="1"/>
  <c r="B9879" i="5" s="1"/>
  <c r="B9880" i="5" l="1"/>
  <c r="B9885" i="5" l="1"/>
  <c r="B9886" i="5" s="1"/>
  <c r="B9887" i="5" s="1"/>
  <c r="B9888" i="5" s="1"/>
  <c r="B9889" i="5" s="1"/>
  <c r="B9890" i="5" s="1"/>
  <c r="B9891" i="5" s="1"/>
  <c r="B9892" i="5" s="1"/>
  <c r="B9893" i="5" s="1"/>
  <c r="B9894" i="5" s="1"/>
  <c r="B9895" i="5" s="1"/>
  <c r="B9896" i="5" s="1"/>
  <c r="B9897" i="5" s="1"/>
  <c r="B9898" i="5" s="1"/>
  <c r="B9899" i="5" s="1"/>
  <c r="B9900" i="5" s="1"/>
  <c r="B9901" i="5" s="1"/>
  <c r="B9902" i="5" s="1"/>
  <c r="B9903" i="5" s="1"/>
  <c r="B9904" i="5" s="1"/>
  <c r="B9905" i="5" s="1"/>
  <c r="B9906" i="5" s="1"/>
  <c r="B9907" i="5" s="1"/>
  <c r="B9908" i="5" s="1"/>
  <c r="B9909" i="5" s="1"/>
  <c r="B9910" i="5" s="1"/>
  <c r="B9911" i="5" s="1"/>
  <c r="B9912" i="5" s="1"/>
  <c r="B9913" i="5" s="1"/>
  <c r="B9914" i="5" s="1"/>
  <c r="B9915" i="5" s="1"/>
  <c r="B9916" i="5" s="1"/>
  <c r="B9917" i="5" s="1"/>
  <c r="B9918" i="5" s="1"/>
  <c r="B9919" i="5" s="1"/>
  <c r="B9920" i="5" s="1"/>
  <c r="B9921" i="5" s="1"/>
  <c r="B9922" i="5" s="1"/>
  <c r="B9923" i="5" s="1"/>
  <c r="B9924" i="5" s="1"/>
  <c r="B9925" i="5" s="1"/>
  <c r="B9926" i="5" s="1"/>
  <c r="B9927" i="5" s="1"/>
  <c r="B9928" i="5" s="1"/>
  <c r="B9929" i="5" s="1"/>
  <c r="B9930" i="5" s="1"/>
  <c r="B9931" i="5" s="1"/>
  <c r="B9932" i="5" s="1"/>
  <c r="B9933" i="5" s="1"/>
  <c r="B9934" i="5" s="1"/>
  <c r="B9935" i="5" s="1"/>
  <c r="B9936" i="5" s="1"/>
  <c r="B9937" i="5" s="1"/>
  <c r="B9938" i="5" s="1"/>
  <c r="B9939" i="5" s="1"/>
  <c r="B9940" i="5" s="1"/>
  <c r="B9941" i="5" s="1"/>
  <c r="B9942" i="5" s="1"/>
  <c r="B9943" i="5" s="1"/>
  <c r="B9944" i="5" s="1"/>
  <c r="B9945" i="5" s="1"/>
  <c r="B9946" i="5" s="1"/>
  <c r="B9947" i="5" s="1"/>
  <c r="B9948" i="5" s="1"/>
  <c r="B9949" i="5" s="1"/>
  <c r="B9950" i="5" s="1"/>
  <c r="B9951" i="5" s="1"/>
  <c r="B9952" i="5" s="1"/>
  <c r="B9953" i="5" s="1"/>
  <c r="B9954" i="5" s="1"/>
  <c r="B9955" i="5" s="1"/>
  <c r="B9956" i="5" s="1"/>
  <c r="B9957" i="5" s="1"/>
  <c r="B9958" i="5" s="1"/>
  <c r="B9960" i="5" s="1"/>
  <c r="B9961" i="5" s="1"/>
  <c r="B9962" i="5" s="1"/>
  <c r="B9963" i="5" s="1"/>
  <c r="B9964" i="5" s="1"/>
  <c r="B9965" i="5" s="1"/>
  <c r="B9966" i="5" s="1"/>
  <c r="B9967" i="5" s="1"/>
  <c r="B9968" i="5" s="1"/>
  <c r="B9969" i="5" s="1"/>
  <c r="B9970" i="5" s="1"/>
  <c r="B9971" i="5" s="1"/>
  <c r="B9972" i="5" s="1"/>
  <c r="B9973" i="5" s="1"/>
  <c r="B9974" i="5" s="1"/>
  <c r="B9975" i="5" s="1"/>
  <c r="B9976" i="5" s="1"/>
  <c r="B9977" i="5" s="1"/>
  <c r="B9978" i="5" s="1"/>
  <c r="B9979" i="5" s="1"/>
  <c r="G67" i="6"/>
  <c r="G149" i="6"/>
  <c r="S50" i="6"/>
  <c r="B9980" i="5" l="1"/>
  <c r="B9981" i="5" s="1"/>
  <c r="B9982" i="5" s="1"/>
  <c r="B9983" i="5" s="1"/>
  <c r="B9984" i="5" s="1"/>
  <c r="B9985" i="5" s="1"/>
  <c r="B9987" i="5" s="1"/>
  <c r="B9988" i="5" s="1"/>
  <c r="B9989" i="5" s="1"/>
  <c r="B9990" i="5" s="1"/>
  <c r="B9991" i="5" s="1"/>
  <c r="B9992" i="5" s="1"/>
  <c r="B9993" i="5" s="1"/>
  <c r="B9994" i="5" s="1"/>
  <c r="B9995" i="5" s="1"/>
  <c r="B9996" i="5" s="1"/>
  <c r="B9997" i="5" s="1"/>
  <c r="B9998" i="5" s="1"/>
  <c r="B9999" i="5" s="1"/>
  <c r="B10000" i="5" s="1"/>
  <c r="B10001" i="5" s="1"/>
  <c r="B10002" i="5" s="1"/>
  <c r="B10003" i="5" s="1"/>
  <c r="B10004" i="5" s="1"/>
  <c r="B10005" i="5" s="1"/>
  <c r="B10006" i="5" s="1"/>
  <c r="B10007" i="5" s="1"/>
  <c r="B10008" i="5" s="1"/>
  <c r="B10009" i="5" s="1"/>
  <c r="S67" i="6"/>
  <c r="T50" i="6"/>
  <c r="G166" i="6"/>
  <c r="S149" i="6"/>
  <c r="T67" i="6"/>
  <c r="B10010" i="5" l="1"/>
  <c r="B10011" i="5" s="1"/>
  <c r="B10012" i="5" s="1"/>
  <c r="B10013" i="5" s="1"/>
  <c r="B10014" i="5" s="1"/>
  <c r="B10015" i="5" s="1"/>
  <c r="B10016" i="5" s="1"/>
  <c r="B10017" i="5" s="1"/>
  <c r="B10018" i="5" s="1"/>
  <c r="B10019" i="5" s="1"/>
  <c r="B10020" i="5" s="1"/>
  <c r="B10021" i="5" s="1"/>
  <c r="B10022" i="5" s="1"/>
  <c r="B10023" i="5" s="1"/>
  <c r="B10024" i="5" s="1"/>
  <c r="B10025" i="5" s="1"/>
  <c r="B10026" i="5" s="1"/>
  <c r="B10027" i="5" s="1"/>
  <c r="B10028" i="5" s="1"/>
  <c r="B10029" i="5" s="1"/>
  <c r="B10030" i="5" s="1"/>
  <c r="B10031" i="5" s="1"/>
  <c r="B10032" i="5" s="1"/>
  <c r="B10033" i="5" s="1"/>
  <c r="B10034" i="5" s="1"/>
  <c r="B10035" i="5" s="1"/>
  <c r="B10036" i="5" s="1"/>
  <c r="B10037" i="5" s="1"/>
  <c r="B10038" i="5" s="1"/>
  <c r="B10039" i="5" s="1"/>
  <c r="B10040" i="5" s="1"/>
  <c r="B10041" i="5" s="1"/>
  <c r="B10042" i="5" s="1"/>
  <c r="S166" i="6"/>
  <c r="T149" i="6"/>
  <c r="T166" i="6"/>
  <c r="B10043" i="5" l="1"/>
  <c r="B10044" i="5" s="1"/>
  <c r="B10045" i="5" s="1"/>
  <c r="B10046" i="5" s="1"/>
  <c r="B10047" i="5" s="1"/>
  <c r="B10048" i="5" s="1"/>
  <c r="B10049" i="5" s="1"/>
  <c r="B10050" i="5" s="1"/>
  <c r="B10051" i="5" s="1"/>
  <c r="B10052" i="5" s="1"/>
  <c r="B10053" i="5" s="1"/>
  <c r="B10054" i="5" s="1"/>
  <c r="B10055" i="5" s="1"/>
  <c r="B10056" i="5" s="1"/>
  <c r="B10057" i="5" s="1"/>
  <c r="B10058" i="5" s="1"/>
  <c r="B10059" i="5" s="1"/>
  <c r="B10060" i="5" s="1"/>
  <c r="B10061" i="5" s="1"/>
  <c r="B10062" i="5" s="1"/>
  <c r="B10063" i="5" s="1"/>
  <c r="B10064" i="5" s="1"/>
  <c r="B10065" i="5" s="1"/>
  <c r="B10066" i="5" s="1"/>
  <c r="B10067" i="5" s="1"/>
  <c r="B10068" i="5" s="1"/>
  <c r="B10071" i="5"/>
  <c r="B10072" i="5" s="1"/>
  <c r="B10073" i="5" s="1"/>
  <c r="B10074" i="5" s="1"/>
  <c r="B10075" i="5" s="1"/>
  <c r="B10076" i="5" s="1"/>
  <c r="B10077" i="5" s="1"/>
  <c r="B10078" i="5" s="1"/>
  <c r="B10079" i="5" s="1"/>
  <c r="B10080" i="5" s="1"/>
  <c r="B10081" i="5" s="1"/>
  <c r="B10082" i="5" s="1"/>
  <c r="B10083" i="5" s="1"/>
  <c r="B10084" i="5" s="1"/>
  <c r="B10085" i="5" s="1"/>
  <c r="B10086" i="5" s="1"/>
  <c r="B10087" i="5" s="1"/>
  <c r="B10088" i="5" s="1"/>
  <c r="B10089" i="5" s="1"/>
  <c r="B10090" i="5" s="1"/>
  <c r="B10091" i="5" s="1"/>
  <c r="B10092" i="5" s="1"/>
  <c r="B10093" i="5" s="1"/>
  <c r="B10094" i="5" s="1"/>
  <c r="B10095" i="5" s="1"/>
  <c r="B10096" i="5" s="1"/>
  <c r="B10097" i="5" s="1"/>
  <c r="B10098" i="5" s="1"/>
  <c r="B10099" i="5" s="1"/>
  <c r="B10100" i="5" s="1"/>
  <c r="B10101" i="5" s="1"/>
  <c r="B10102" i="5" s="1"/>
  <c r="B10103" i="5" s="1"/>
  <c r="B10104" i="5" s="1"/>
  <c r="B10105" i="5" s="1"/>
  <c r="B10106" i="5" s="1"/>
  <c r="B10107" i="5" s="1"/>
  <c r="B10108" i="5" s="1"/>
  <c r="B10109" i="5" s="1"/>
  <c r="B10110" i="5" s="1"/>
  <c r="B10111" i="5" s="1"/>
  <c r="B10112" i="5" s="1"/>
  <c r="B10113" i="5" s="1"/>
  <c r="B10114" i="5" s="1"/>
  <c r="B10115" i="5" s="1"/>
  <c r="B10116" i="5" s="1"/>
  <c r="B10117" i="5" s="1"/>
  <c r="B10118" i="5" s="1"/>
  <c r="B10119" i="5" s="1"/>
  <c r="B10120" i="5" s="1"/>
  <c r="B10121" i="5" s="1"/>
  <c r="B10122" i="5" s="1"/>
  <c r="B10123" i="5" s="1"/>
  <c r="B10124" i="5" s="1"/>
  <c r="B10125" i="5" s="1"/>
  <c r="B10126" i="5" s="1"/>
  <c r="B10127" i="5" s="1"/>
  <c r="B10128" i="5" s="1"/>
  <c r="B10129" i="5" s="1"/>
  <c r="B10130" i="5" s="1"/>
  <c r="B10131" i="5" s="1"/>
  <c r="B10132" i="5" s="1"/>
  <c r="B10133" i="5" s="1"/>
  <c r="B10134" i="5" s="1"/>
  <c r="B10135" i="5" s="1"/>
  <c r="B10136" i="5" s="1"/>
  <c r="B10137" i="5" s="1"/>
  <c r="B10138" i="5" s="1"/>
  <c r="B10139" i="5" s="1"/>
  <c r="B10140" i="5" s="1"/>
  <c r="B10141" i="5" s="1"/>
  <c r="B10142" i="5" s="1"/>
  <c r="B10143" i="5" s="1"/>
  <c r="B10144" i="5" s="1"/>
  <c r="B10145" i="5" s="1"/>
  <c r="B10146" i="5" s="1"/>
  <c r="B10147" i="5" s="1"/>
  <c r="B10148" i="5" s="1"/>
  <c r="B10149" i="5" s="1"/>
  <c r="B10150" i="5" s="1"/>
  <c r="B10151" i="5" s="1"/>
  <c r="B10152" i="5" s="1"/>
  <c r="B10153" i="5" s="1"/>
  <c r="B10154" i="5" l="1"/>
  <c r="B10155" i="5" s="1"/>
  <c r="B10156" i="5" s="1"/>
  <c r="B10157" i="5" s="1"/>
  <c r="B10158" i="5" s="1"/>
  <c r="B10159" i="5" s="1"/>
  <c r="B10160" i="5" s="1"/>
  <c r="B10161" i="5" s="1"/>
  <c r="B10162" i="5" s="1"/>
  <c r="B10163" i="5" s="1"/>
  <c r="B10164" i="5" s="1"/>
  <c r="B10165" i="5" s="1"/>
  <c r="B10166" i="5" s="1"/>
  <c r="B10167" i="5" s="1"/>
  <c r="B10168" i="5" s="1"/>
  <c r="B10169" i="5" s="1"/>
  <c r="B10170" i="5" s="1"/>
  <c r="B10171" i="5" s="1"/>
  <c r="B10172" i="5" s="1"/>
  <c r="B10173" i="5" s="1"/>
  <c r="B10174" i="5" s="1"/>
  <c r="B10175" i="5" s="1"/>
  <c r="B10176" i="5" s="1"/>
  <c r="B10177" i="5" s="1"/>
  <c r="B10178" i="5" s="1"/>
  <c r="B10179" i="5" s="1"/>
  <c r="B10180" i="5" s="1"/>
  <c r="B10181" i="5" s="1"/>
  <c r="B10182" i="5" s="1"/>
  <c r="B10183" i="5" s="1"/>
  <c r="B10184" i="5" s="1"/>
  <c r="B10185" i="5" s="1"/>
  <c r="B10186" i="5" s="1"/>
  <c r="B10187" i="5" s="1"/>
  <c r="B10188" i="5" s="1"/>
  <c r="B10189" i="5" s="1"/>
  <c r="B10190" i="5" s="1"/>
  <c r="B10191" i="5" s="1"/>
  <c r="B10192" i="5" s="1"/>
  <c r="B10193" i="5" s="1"/>
  <c r="B10194" i="5" s="1"/>
  <c r="B10195" i="5" s="1"/>
  <c r="B10196" i="5" s="1"/>
  <c r="B10197" i="5" s="1"/>
  <c r="B10198" i="5" s="1"/>
  <c r="B10199" i="5" s="1"/>
  <c r="B10200" i="5" s="1"/>
  <c r="B10201" i="5" s="1"/>
  <c r="B10202" i="5" s="1"/>
  <c r="B10203" i="5" s="1"/>
  <c r="B10204" i="5" s="1"/>
  <c r="B10205" i="5" l="1"/>
  <c r="B10206" i="5" s="1"/>
  <c r="B10207" i="5" s="1"/>
  <c r="B10208" i="5" s="1"/>
  <c r="B10209" i="5" s="1"/>
  <c r="B10210" i="5" s="1"/>
  <c r="B10211" i="5" s="1"/>
  <c r="B10212" i="5" s="1"/>
  <c r="B10213" i="5" s="1"/>
  <c r="B10214" i="5" s="1"/>
  <c r="B10215" i="5" s="1"/>
  <c r="B10216" i="5" s="1"/>
  <c r="B10217" i="5" s="1"/>
  <c r="B10218" i="5" s="1"/>
  <c r="B10219" i="5" s="1"/>
  <c r="B10220" i="5" s="1"/>
  <c r="B10221" i="5" s="1"/>
  <c r="B10222" i="5" s="1"/>
  <c r="B10223" i="5" s="1"/>
  <c r="B10224" i="5" s="1"/>
  <c r="B10225" i="5" s="1"/>
  <c r="B10226" i="5" s="1"/>
  <c r="B10227" i="5" s="1"/>
  <c r="B10228" i="5" s="1"/>
  <c r="B10229" i="5" s="1"/>
  <c r="B10230" i="5" s="1"/>
  <c r="B10231" i="5" s="1"/>
  <c r="B10232" i="5" s="1"/>
  <c r="B10233" i="5" s="1"/>
  <c r="B10234" i="5" s="1"/>
  <c r="B10235" i="5" s="1"/>
  <c r="B10236" i="5" s="1"/>
  <c r="B10237" i="5" s="1"/>
  <c r="B10238" i="5" s="1"/>
  <c r="B10239" i="5" s="1"/>
  <c r="B10240" i="5" s="1"/>
  <c r="B10241" i="5" s="1"/>
  <c r="B10242" i="5" s="1"/>
  <c r="B10243" i="5" s="1"/>
  <c r="B10244" i="5" s="1"/>
  <c r="B10245" i="5" s="1"/>
  <c r="B10246" i="5" s="1"/>
  <c r="B10247" i="5" s="1"/>
  <c r="B10248" i="5" s="1"/>
  <c r="B10249" i="5" s="1"/>
  <c r="B10250" i="5" s="1"/>
  <c r="B10251" i="5" s="1"/>
  <c r="B10252" i="5" s="1"/>
  <c r="B10253" i="5" s="1"/>
  <c r="B10254" i="5" s="1"/>
  <c r="B10255" i="5" s="1"/>
  <c r="B10256" i="5" s="1"/>
  <c r="B10257" i="5" s="1"/>
  <c r="B10258" i="5" s="1"/>
  <c r="B10259" i="5" l="1"/>
  <c r="B10260" i="5" s="1"/>
  <c r="B10261" i="5" s="1"/>
  <c r="B10262" i="5" s="1"/>
  <c r="B10263" i="5" s="1"/>
  <c r="B10264" i="5" s="1"/>
  <c r="B10265" i="5" s="1"/>
  <c r="B10266" i="5" s="1"/>
  <c r="B10267" i="5" s="1"/>
  <c r="B10268" i="5" s="1"/>
  <c r="B10269" i="5" s="1"/>
  <c r="B10270" i="5" s="1"/>
  <c r="B10271" i="5" s="1"/>
  <c r="B10272" i="5" s="1"/>
  <c r="B10273" i="5" s="1"/>
  <c r="B10274" i="5" s="1"/>
  <c r="B10275" i="5" s="1"/>
  <c r="B10276" i="5" s="1"/>
  <c r="B10277" i="5" s="1"/>
  <c r="B10278" i="5" s="1"/>
  <c r="B10279" i="5" s="1"/>
  <c r="B10280" i="5" s="1"/>
  <c r="B10281" i="5" s="1"/>
  <c r="B10282" i="5" s="1"/>
  <c r="B10283" i="5" s="1"/>
  <c r="B10284" i="5" s="1"/>
  <c r="B10285" i="5" s="1"/>
  <c r="B10286" i="5" s="1"/>
  <c r="B10287" i="5" s="1"/>
  <c r="B10288" i="5" s="1"/>
  <c r="B10289" i="5" s="1"/>
  <c r="B10290" i="5" s="1"/>
  <c r="B10291" i="5" s="1"/>
  <c r="B10292" i="5" s="1"/>
  <c r="B10294" i="5" s="1"/>
  <c r="B10295" i="5" s="1"/>
  <c r="B10296" i="5" s="1"/>
  <c r="B10297" i="5" s="1"/>
  <c r="B10298" i="5" s="1"/>
  <c r="B10299" i="5" s="1"/>
  <c r="B10300" i="5" s="1"/>
  <c r="B10301" i="5" s="1"/>
  <c r="B10302" i="5" s="1"/>
  <c r="B10303" i="5" s="1"/>
  <c r="B10304" i="5" s="1"/>
  <c r="B10305" i="5" s="1"/>
  <c r="B10306" i="5" s="1"/>
  <c r="B10307" i="5" s="1"/>
  <c r="B10308" i="5" s="1"/>
  <c r="B10310" i="5" s="1"/>
  <c r="B10311" i="5" s="1"/>
  <c r="B10312" i="5" s="1"/>
  <c r="B10313" i="5" s="1"/>
  <c r="B10314" i="5" s="1"/>
  <c r="B10315" i="5" s="1"/>
  <c r="B10316" i="5" s="1"/>
  <c r="B10317" i="5" s="1"/>
  <c r="B10318" i="5" s="1"/>
  <c r="B10319" i="5" s="1"/>
  <c r="B10320" i="5" s="1"/>
  <c r="B10321" i="5" s="1"/>
  <c r="B10322" i="5" s="1"/>
  <c r="B10323" i="5" s="1"/>
  <c r="B10324" i="5" s="1"/>
  <c r="B10325" i="5" s="1"/>
  <c r="B10326" i="5" s="1"/>
  <c r="B10327" i="5" s="1"/>
  <c r="B10328" i="5" s="1"/>
  <c r="B10329" i="5" s="1"/>
  <c r="B10330" i="5" s="1"/>
  <c r="B10331" i="5" s="1"/>
  <c r="B10332" i="5" s="1"/>
  <c r="B10333" i="5" s="1"/>
  <c r="B10334" i="5" s="1"/>
  <c r="B10335" i="5" s="1"/>
  <c r="B10336" i="5" s="1"/>
  <c r="B10337" i="5" s="1"/>
  <c r="B10338" i="5" s="1"/>
  <c r="B10339" i="5" s="1"/>
  <c r="B10340" i="5" s="1"/>
  <c r="B10341" i="5" s="1"/>
  <c r="B10342" i="5" s="1"/>
  <c r="B10343" i="5" s="1"/>
  <c r="B10344" i="5" s="1"/>
  <c r="B10345" i="5" s="1"/>
  <c r="B10346" i="5" s="1"/>
  <c r="B10347" i="5" s="1"/>
  <c r="B10348" i="5" s="1"/>
  <c r="B10349" i="5" s="1"/>
  <c r="B10350" i="5" s="1"/>
  <c r="B10351" i="5" s="1"/>
  <c r="B10352" i="5" s="1"/>
  <c r="B10353" i="5" s="1"/>
  <c r="B10354" i="5" s="1"/>
  <c r="B10355" i="5" s="1"/>
  <c r="B10356" i="5" s="1"/>
  <c r="B10357" i="5" s="1"/>
  <c r="B10358" i="5" s="1"/>
  <c r="B10359" i="5" s="1"/>
  <c r="B10360" i="5" s="1"/>
  <c r="B10361" i="5" s="1"/>
  <c r="B10362" i="5" s="1"/>
  <c r="B10363" i="5" s="1"/>
  <c r="B10364" i="5" s="1"/>
  <c r="B10365" i="5" s="1"/>
  <c r="B10367" i="5" s="1"/>
  <c r="B10368" i="5" s="1"/>
  <c r="B10369" i="5" s="1"/>
  <c r="B10370" i="5" s="1"/>
  <c r="B10371" i="5" s="1"/>
  <c r="B10372" i="5" s="1"/>
  <c r="B10373" i="5" s="1"/>
  <c r="B10374" i="5" s="1"/>
  <c r="B10375" i="5" s="1"/>
  <c r="B10376" i="5" s="1"/>
  <c r="B10377" i="5" s="1"/>
  <c r="B10378" i="5" s="1"/>
  <c r="B10379" i="5" s="1"/>
  <c r="B10380" i="5" s="1"/>
  <c r="B10381" i="5" s="1"/>
  <c r="B10382" i="5" s="1"/>
  <c r="B10383" i="5" s="1"/>
  <c r="B10384" i="5" s="1"/>
  <c r="B10385" i="5" s="1"/>
  <c r="B10386" i="5" s="1"/>
  <c r="B10387" i="5" s="1"/>
  <c r="B10388" i="5" s="1"/>
  <c r="B10389" i="5" s="1"/>
  <c r="B10390" i="5" s="1"/>
  <c r="B10391" i="5" l="1"/>
  <c r="B10392" i="5" s="1"/>
  <c r="B10393" i="5" s="1"/>
  <c r="B10394" i="5" s="1"/>
  <c r="B10395" i="5" s="1"/>
  <c r="B10396" i="5" s="1"/>
  <c r="B10397" i="5" s="1"/>
  <c r="B10398" i="5" s="1"/>
  <c r="B10399" i="5" s="1"/>
  <c r="B10400" i="5" s="1"/>
  <c r="B10401" i="5" s="1"/>
  <c r="B10402" i="5" s="1"/>
  <c r="B10403" i="5" s="1"/>
  <c r="B10404" i="5" s="1"/>
  <c r="B10405" i="5" s="1"/>
  <c r="B10406" i="5" s="1"/>
  <c r="B10407" i="5" s="1"/>
  <c r="B10408" i="5" s="1"/>
  <c r="B10409" i="5" s="1"/>
  <c r="B10410" i="5" s="1"/>
  <c r="B10411" i="5" s="1"/>
  <c r="B10412" i="5" s="1"/>
  <c r="B10413" i="5" s="1"/>
  <c r="B10414" i="5" s="1"/>
  <c r="B10415" i="5" s="1"/>
  <c r="B10416" i="5" s="1"/>
  <c r="B10417" i="5" s="1"/>
  <c r="B10418" i="5" s="1"/>
  <c r="B10419" i="5" s="1"/>
  <c r="B10420" i="5" s="1"/>
  <c r="B10421" i="5" s="1"/>
  <c r="B10422" i="5" s="1"/>
  <c r="B10423" i="5" s="1"/>
  <c r="B10424" i="5" s="1"/>
  <c r="B10425" i="5" s="1"/>
  <c r="B10426" i="5" s="1"/>
  <c r="B10427" i="5" s="1"/>
  <c r="B10428" i="5" s="1"/>
  <c r="B10429" i="5" s="1"/>
  <c r="B10430" i="5" s="1"/>
  <c r="B10431" i="5" s="1"/>
  <c r="B10432" i="5" s="1"/>
  <c r="B10433" i="5" s="1"/>
  <c r="B10434" i="5" s="1"/>
  <c r="B10435" i="5" s="1"/>
  <c r="B10436" i="5" s="1"/>
  <c r="B10437" i="5" s="1"/>
  <c r="B10438" i="5" s="1"/>
  <c r="B10439" i="5" s="1"/>
  <c r="B10440" i="5" s="1"/>
  <c r="B10441" i="5" s="1"/>
  <c r="B10442" i="5" s="1"/>
  <c r="B10443" i="5" s="1"/>
  <c r="B10444" i="5" s="1"/>
  <c r="B10445" i="5" s="1"/>
  <c r="B10446" i="5" s="1"/>
  <c r="B10447" i="5" s="1"/>
  <c r="B10448" i="5" s="1"/>
  <c r="B10449" i="5" s="1"/>
  <c r="B10450" i="5" s="1"/>
  <c r="B10451" i="5" s="1"/>
  <c r="B10452" i="5" s="1"/>
  <c r="B10453" i="5" s="1"/>
  <c r="B10454" i="5" s="1"/>
  <c r="B10455" i="5" s="1"/>
  <c r="B10456" i="5" s="1"/>
  <c r="B10457" i="5" s="1"/>
  <c r="B10458" i="5" s="1"/>
  <c r="B10459" i="5" s="1"/>
  <c r="B10460" i="5" s="1"/>
  <c r="B10461" i="5" s="1"/>
  <c r="B10462" i="5" s="1"/>
  <c r="B10463" i="5" s="1"/>
  <c r="B10464" i="5" s="1"/>
  <c r="B10465" i="5" s="1"/>
  <c r="B10466" i="5" s="1"/>
  <c r="B10467" i="5" s="1"/>
  <c r="B10468" i="5" s="1"/>
  <c r="B10469" i="5" s="1"/>
  <c r="B10470" i="5" s="1"/>
  <c r="B10471" i="5" s="1"/>
  <c r="B10472" i="5" s="1"/>
  <c r="B10473" i="5" s="1"/>
  <c r="B10474" i="5" s="1"/>
  <c r="B10475" i="5" s="1"/>
  <c r="B10476" i="5" s="1"/>
  <c r="B10477" i="5" s="1"/>
  <c r="B10478" i="5" s="1"/>
  <c r="B10479" i="5" s="1"/>
  <c r="B10480" i="5" s="1"/>
  <c r="B10481" i="5" s="1"/>
  <c r="B10482" i="5" s="1"/>
  <c r="B10483" i="5" s="1"/>
  <c r="B10484" i="5" s="1"/>
  <c r="B10485" i="5" s="1"/>
  <c r="B10486" i="5" s="1"/>
  <c r="B10487" i="5" s="1"/>
  <c r="B10488" i="5" s="1"/>
  <c r="B10489" i="5" s="1"/>
  <c r="B10490" i="5" s="1"/>
  <c r="B10491" i="5" s="1"/>
  <c r="B10492" i="5" s="1"/>
  <c r="B10493" i="5" s="1"/>
  <c r="B10494" i="5" s="1"/>
  <c r="B10495" i="5" s="1"/>
  <c r="B10496" i="5" s="1"/>
  <c r="B10497" i="5" s="1"/>
  <c r="B10498" i="5" s="1"/>
  <c r="B10499" i="5" s="1"/>
  <c r="B10500" i="5" s="1"/>
  <c r="B10501" i="5" s="1"/>
  <c r="B10502" i="5" s="1"/>
  <c r="B10503" i="5" s="1"/>
  <c r="B10504" i="5" s="1"/>
  <c r="B10505" i="5" s="1"/>
  <c r="B10506" i="5" s="1"/>
  <c r="B10507" i="5" s="1"/>
  <c r="B10508" i="5" s="1"/>
  <c r="B10509" i="5" s="1"/>
  <c r="B10510" i="5" s="1"/>
  <c r="B10511" i="5" s="1"/>
  <c r="B10512" i="5" s="1"/>
  <c r="B10513" i="5" s="1"/>
  <c r="B10514" i="5" s="1"/>
  <c r="B10515" i="5" s="1"/>
  <c r="B10516" i="5" s="1"/>
  <c r="B10517" i="5" s="1"/>
  <c r="B10518" i="5" s="1"/>
  <c r="B10519" i="5" s="1"/>
  <c r="B10520" i="5" s="1"/>
  <c r="B10521" i="5" s="1"/>
  <c r="B10522" i="5" s="1"/>
  <c r="B10523" i="5" s="1"/>
  <c r="B10524" i="5" s="1"/>
  <c r="B10525" i="5" s="1"/>
  <c r="B10526" i="5" s="1"/>
  <c r="B10527" i="5" s="1"/>
  <c r="B10528" i="5" s="1"/>
  <c r="B10529" i="5" s="1"/>
  <c r="B10530" i="5" s="1"/>
  <c r="B10531" i="5" s="1"/>
  <c r="B10532" i="5" s="1"/>
  <c r="B10533" i="5" s="1"/>
  <c r="B10534" i="5" s="1"/>
  <c r="B10535" i="5" s="1"/>
  <c r="B10536" i="5" s="1"/>
  <c r="B10537" i="5" s="1"/>
  <c r="B10538" i="5" s="1"/>
  <c r="B10539" i="5" s="1"/>
  <c r="B10540" i="5" s="1"/>
  <c r="B10541" i="5" s="1"/>
  <c r="B10542" i="5" s="1"/>
  <c r="B10543" i="5" s="1"/>
  <c r="B10544" i="5" s="1"/>
  <c r="B10545" i="5" s="1"/>
  <c r="B10546" i="5" s="1"/>
  <c r="B10547" i="5" s="1"/>
  <c r="B10548" i="5" s="1"/>
  <c r="B10549" i="5" s="1"/>
  <c r="B10550" i="5" s="1"/>
  <c r="B10551" i="5" s="1"/>
  <c r="B10552" i="5" s="1"/>
  <c r="B10553" i="5" s="1"/>
  <c r="B10554" i="5" s="1"/>
  <c r="B10555" i="5" s="1"/>
  <c r="B10556" i="5" s="1"/>
  <c r="B10557" i="5" s="1"/>
  <c r="B10558" i="5" s="1"/>
  <c r="B10559" i="5" s="1"/>
  <c r="B10560" i="5" s="1"/>
  <c r="B10561" i="5" s="1"/>
  <c r="B10562" i="5" s="1"/>
  <c r="B10563" i="5" s="1"/>
  <c r="B10564" i="5" s="1"/>
  <c r="B10565" i="5" s="1"/>
  <c r="B10566" i="5" s="1"/>
  <c r="B10567" i="5" s="1"/>
  <c r="B10568" i="5" s="1"/>
  <c r="B10569" i="5" s="1"/>
  <c r="B10570" i="5" s="1"/>
  <c r="B10571" i="5" s="1"/>
  <c r="B10572" i="5" s="1"/>
  <c r="B10573" i="5" s="1"/>
  <c r="B10574" i="5" s="1"/>
  <c r="B10575" i="5" s="1"/>
  <c r="B10576" i="5" s="1"/>
  <c r="B10577" i="5" s="1"/>
  <c r="B10578" i="5" s="1"/>
  <c r="B10579" i="5" s="1"/>
  <c r="B10580" i="5" s="1"/>
  <c r="B10581" i="5" s="1"/>
  <c r="B10582" i="5" s="1"/>
  <c r="B10583" i="5" s="1"/>
  <c r="B10584" i="5" s="1"/>
  <c r="B10585" i="5" s="1"/>
  <c r="B10586" i="5" s="1"/>
  <c r="B10587" i="5" s="1"/>
  <c r="B10588" i="5" s="1"/>
  <c r="B10589" i="5" s="1"/>
  <c r="B10590" i="5" s="1"/>
  <c r="B10591" i="5" s="1"/>
  <c r="B10592" i="5" s="1"/>
  <c r="B10593" i="5" s="1"/>
  <c r="B10594" i="5" s="1"/>
  <c r="B10595" i="5" s="1"/>
  <c r="B10596" i="5" s="1"/>
  <c r="B10597" i="5" s="1"/>
  <c r="B10598" i="5" s="1"/>
  <c r="B10599" i="5" s="1"/>
  <c r="B10600" i="5" s="1"/>
  <c r="B10601" i="5" s="1"/>
  <c r="B10602" i="5" s="1"/>
  <c r="B10603" i="5" s="1"/>
  <c r="B10604" i="5" s="1"/>
  <c r="B10605" i="5" s="1"/>
  <c r="B10606" i="5" s="1"/>
  <c r="B10607" i="5" s="1"/>
  <c r="B10608" i="5" s="1"/>
  <c r="B10609" i="5" s="1"/>
  <c r="B10610" i="5" s="1"/>
  <c r="B10611" i="5" s="1"/>
  <c r="B10612" i="5" s="1"/>
  <c r="B10613" i="5" s="1"/>
  <c r="B10614" i="5" s="1"/>
  <c r="B10615" i="5" s="1"/>
  <c r="B10616" i="5" s="1"/>
  <c r="B10617" i="5" s="1"/>
  <c r="B10618" i="5" s="1"/>
  <c r="B10619" i="5" s="1"/>
  <c r="B10620" i="5" s="1"/>
  <c r="B10621" i="5" s="1"/>
  <c r="B10622" i="5" s="1"/>
  <c r="B10623" i="5" s="1"/>
  <c r="B10624" i="5" s="1"/>
  <c r="B10625" i="5" s="1"/>
  <c r="B10626" i="5" s="1"/>
  <c r="B10627" i="5" s="1"/>
  <c r="B10628" i="5" s="1"/>
  <c r="J7" i="1"/>
  <c r="J69" i="1" s="1"/>
  <c r="J73" i="1" s="1"/>
  <c r="I5" i="1"/>
  <c r="K5" i="1" s="1"/>
  <c r="B10629" i="5" l="1"/>
  <c r="B10630" i="5" s="1"/>
  <c r="B10631" i="5" s="1"/>
  <c r="B10632" i="5" s="1"/>
  <c r="B10633" i="5" s="1"/>
  <c r="I7" i="1"/>
  <c r="K7" i="1" s="1"/>
  <c r="T141" i="2"/>
  <c r="B10634" i="5" l="1"/>
  <c r="B10635" i="5" s="1"/>
  <c r="B10636" i="5" s="1"/>
  <c r="B10637" i="5" s="1"/>
  <c r="B10638" i="5" s="1"/>
  <c r="B10639" i="5" s="1"/>
  <c r="B10640" i="5" s="1"/>
  <c r="B10641" i="5" s="1"/>
  <c r="B10642" i="5" s="1"/>
  <c r="B10643" i="5" s="1"/>
  <c r="B10644" i="5" s="1"/>
  <c r="B10645" i="5" s="1"/>
  <c r="B10646" i="5" s="1"/>
  <c r="B10647" i="5" s="1"/>
  <c r="B10648" i="5" s="1"/>
  <c r="B10649" i="5" s="1"/>
  <c r="B10651" i="5" s="1"/>
  <c r="B10652" i="5" s="1"/>
  <c r="B10653" i="5" s="1"/>
  <c r="B10654" i="5" s="1"/>
  <c r="B10655" i="5" s="1"/>
  <c r="B10656" i="5" s="1"/>
  <c r="B10657" i="5" s="1"/>
  <c r="B10658" i="5" s="1"/>
  <c r="B10659" i="5" s="1"/>
  <c r="B10660" i="5" s="1"/>
  <c r="B10661" i="5" s="1"/>
  <c r="B10662" i="5" s="1"/>
  <c r="B10663" i="5" s="1"/>
  <c r="B10664" i="5" s="1"/>
  <c r="B10665" i="5" s="1"/>
  <c r="B10666" i="5" s="1"/>
  <c r="B10667" i="5" s="1"/>
  <c r="B10668" i="5" s="1"/>
  <c r="B10669" i="5" s="1"/>
  <c r="B10670" i="5" s="1"/>
  <c r="B10671" i="5" s="1"/>
  <c r="B10672" i="5" s="1"/>
  <c r="B10673" i="5" s="1"/>
  <c r="B10674" i="5" s="1"/>
  <c r="B10675" i="5" s="1"/>
  <c r="B10676" i="5" s="1"/>
  <c r="B10677" i="5" s="1"/>
  <c r="B10678" i="5" s="1"/>
  <c r="B10679" i="5" s="1"/>
  <c r="B10680" i="5" s="1"/>
  <c r="B10681" i="5" s="1"/>
  <c r="B10682" i="5" s="1"/>
  <c r="B10683" i="5" s="1"/>
  <c r="B10684" i="5" s="1"/>
  <c r="B10685" i="5" s="1"/>
  <c r="B10686" i="5" s="1"/>
  <c r="B10687" i="5" s="1"/>
  <c r="B10688" i="5" s="1"/>
  <c r="B10689" i="5" s="1"/>
  <c r="B10690" i="5" s="1"/>
  <c r="B10691" i="5" s="1"/>
  <c r="B10692" i="5" s="1"/>
  <c r="B10693" i="5" s="1"/>
  <c r="B10694" i="5" s="1"/>
  <c r="B10695" i="5" s="1"/>
  <c r="B10696" i="5" s="1"/>
  <c r="B10697" i="5" s="1"/>
  <c r="B10698" i="5" s="1"/>
  <c r="B10699" i="5" s="1"/>
  <c r="B10700" i="5" s="1"/>
  <c r="B10701" i="5" s="1"/>
  <c r="B10702" i="5" s="1"/>
  <c r="B10703" i="5" s="1"/>
  <c r="B10704" i="5" s="1"/>
  <c r="B10705" i="5" s="1"/>
  <c r="B10706" i="5" s="1"/>
  <c r="I69" i="1"/>
  <c r="B10707" i="5" l="1"/>
  <c r="B10708" i="5" s="1"/>
  <c r="B10709" i="5" s="1"/>
  <c r="B10710" i="5" s="1"/>
  <c r="B10711" i="5" s="1"/>
  <c r="B10712" i="5" s="1"/>
  <c r="B10713" i="5" s="1"/>
  <c r="B10714" i="5" s="1"/>
  <c r="B10715" i="5" s="1"/>
  <c r="B10716" i="5" s="1"/>
  <c r="B10717" i="5" s="1"/>
  <c r="B10718" i="5" s="1"/>
  <c r="B10719" i="5" s="1"/>
  <c r="B10720" i="5" s="1"/>
  <c r="B10721" i="5" s="1"/>
  <c r="B10722" i="5" s="1"/>
  <c r="B10723" i="5" s="1"/>
  <c r="B10724" i="5" s="1"/>
  <c r="B10725" i="5" s="1"/>
  <c r="B10726" i="5" s="1"/>
  <c r="B10727" i="5" s="1"/>
  <c r="B10728" i="5" s="1"/>
  <c r="B10729" i="5" s="1"/>
  <c r="B10730" i="5" s="1"/>
  <c r="B10731" i="5" s="1"/>
  <c r="B10732" i="5" s="1"/>
  <c r="B10733" i="5" s="1"/>
  <c r="B10734" i="5" s="1"/>
  <c r="B10735" i="5" s="1"/>
  <c r="B10736" i="5" s="1"/>
  <c r="K69" i="1"/>
  <c r="I73" i="1"/>
  <c r="K73" i="1" s="1"/>
  <c r="B10737" i="5" l="1"/>
  <c r="B10738" i="5" s="1"/>
  <c r="B10739" i="5" s="1"/>
  <c r="B10740" i="5" s="1"/>
  <c r="B10741" i="5" s="1"/>
  <c r="B10742" i="5" s="1"/>
  <c r="B10743" i="5" s="1"/>
  <c r="B10744" i="5" s="1"/>
  <c r="B10745" i="5" s="1"/>
  <c r="B10746" i="5" s="1"/>
  <c r="B10747" i="5" s="1"/>
  <c r="B10748" i="5" s="1"/>
  <c r="B10749" i="5" s="1"/>
  <c r="B10750" i="5" s="1"/>
  <c r="B10751" i="5" s="1"/>
  <c r="B10752" i="5" s="1"/>
  <c r="B10753" i="5" s="1"/>
  <c r="B10754" i="5" s="1"/>
  <c r="B10755" i="5" s="1"/>
  <c r="B10756" i="5" s="1"/>
  <c r="B10757" i="5" s="1"/>
  <c r="B10758" i="5" s="1"/>
  <c r="B10759" i="5" s="1"/>
  <c r="B10760" i="5" s="1"/>
  <c r="B10761" i="5" s="1"/>
  <c r="B10762" i="5" s="1"/>
  <c r="B10763" i="5" s="1"/>
  <c r="B10764" i="5" s="1"/>
  <c r="B10765" i="5" s="1"/>
  <c r="B10766" i="5" s="1"/>
  <c r="B10767" i="5" s="1"/>
  <c r="B10768" i="5" s="1"/>
  <c r="B10769" i="5" s="1"/>
  <c r="B10770" i="5" s="1"/>
  <c r="B10771" i="5" s="1"/>
  <c r="B10772" i="5" s="1"/>
  <c r="B10773" i="5" s="1"/>
  <c r="B10774" i="5" s="1"/>
  <c r="B10775" i="5" s="1"/>
  <c r="B10776" i="5" s="1"/>
  <c r="B10777" i="5" s="1"/>
  <c r="B10778" i="5" s="1"/>
  <c r="B10779" i="5" s="1"/>
  <c r="B10780" i="5" s="1"/>
  <c r="B10781" i="5" s="1"/>
  <c r="B10782" i="5" s="1"/>
  <c r="B10783" i="5" s="1"/>
  <c r="B10784" i="5" s="1"/>
  <c r="B10785" i="5" s="1"/>
  <c r="B10786" i="5" s="1"/>
  <c r="B10787" i="5" s="1"/>
  <c r="B10788" i="5" s="1"/>
  <c r="B10789" i="5" s="1"/>
  <c r="B10790" i="5" s="1"/>
  <c r="B10791" i="5" s="1"/>
  <c r="B10792" i="5" s="1"/>
  <c r="B10793" i="5" s="1"/>
  <c r="B10794" i="5" s="1"/>
  <c r="B10795" i="5" s="1"/>
  <c r="B10796" i="5" s="1"/>
  <c r="B10797" i="5" s="1"/>
  <c r="B10798" i="5" s="1"/>
  <c r="B10799" i="5" s="1"/>
  <c r="B10800" i="5" s="1"/>
  <c r="U1121" i="2"/>
  <c r="U1821" i="2"/>
  <c r="U1016" i="2"/>
  <c r="U246" i="2"/>
  <c r="U141" i="2"/>
  <c r="U1471" i="2"/>
  <c r="U2276" i="2"/>
  <c r="U561" i="2"/>
  <c r="U23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Romanei da Silva</author>
    <author>Gabriela Bezerra de Souza</author>
  </authors>
  <commentList>
    <comment ref="I3" authorId="0" shapeId="0" xr:uid="{D63A2C9F-5FF6-4113-8407-0DADB958E423}">
      <text>
        <r>
          <rPr>
            <sz val="8"/>
            <color theme="1"/>
            <rFont val="Calibri"/>
            <family val="2"/>
          </rPr>
          <t>Valor do Distrato da MBA. Valor do contrato da MBA era de 1.566013,66 + 1.519033,00 = R$ 3.085.046,91</t>
        </r>
      </text>
    </comment>
    <comment ref="J3" authorId="0" shapeId="0" xr:uid="{DCB6020D-E13C-4654-87FC-B51D14330CF0}">
      <text>
        <r>
          <rPr>
            <sz val="8"/>
            <color theme="1"/>
            <rFont val="Calibri"/>
            <family val="2"/>
          </rPr>
          <t>Romanei da Silva:
Distratos		Contrato	20% Gastos	Impostos das notas	Descontar:	Religador e materiais:		
Diamantina1	MORI GERACAO II 	R$ 3.677.500,00	R$ 735.500,00	R$ 0,00	R$ 460.000,00	R$ 197.032,23	R$ 78.467,77	A pagar Comerc
Diamantina2	MORI GERACAO II 	R$ 3.665.456,72	R$ 733.091,34	R$ 131.490,00	R$ 1.220.091,34	R$ 137.032,22	-R$ 492.542,22	A receber Comerc
Paraguaçu 1	MORI MINAS IV	R$ 3.085.046,91	R$ 617.009,38	R$ 0,00	R$ 626.405,00	R$ 0,00	-R$ 9.395,62	A receber Comerc
Muzambinho	MORI MINAS IV	R$ 2.270.553,19	R$ 454.110,64	R$ 99.960,00	R$ 952.000,00	R$ 0,00	-R$ 397.929,36	
						Saldo: 	-R$ 821.399,43	
Olhar na pasta distrato na Rede.</t>
        </r>
      </text>
    </comment>
    <comment ref="K4" authorId="0" shapeId="0" xr:uid="{A6A99D99-E378-49F6-8223-258E0836B460}">
      <text>
        <r>
          <rPr>
            <sz val="8"/>
            <color theme="1"/>
            <rFont val="Calibri"/>
            <family val="2"/>
          </rPr>
          <t>Romanei da Silva:
Pagamento de medição, referente aos serviços e mão de obra prestados na usina. REAJUSTE DE CONTRATO . ENVIADO POR MANOEL + PRESTAÇÃO DE SERVIÇOS UFVs (DIAMANTINA 1)  NF 732 - 91704,15 R$</t>
        </r>
      </text>
    </comment>
    <comment ref="L4" authorId="0" shapeId="0" xr:uid="{FAEAEBAE-9C0E-4E20-8CBA-4F35B63230A9}">
      <text>
        <r>
          <rPr>
            <sz val="8"/>
            <color theme="1"/>
            <rFont val="Calibri"/>
            <family val="2"/>
          </rPr>
          <t xml:space="preserve">Aditivo de contrato a ser  celebrado entre a Implantar. 251.404,62. Enviado por Gilson em 12/04/24. Aguardando assinatura do contrato
</t>
        </r>
      </text>
    </comment>
    <comment ref="M4" authorId="0" shapeId="0" xr:uid="{5FBE6FE6-34CB-4270-819F-4EDB1D452EA3}">
      <text>
        <r>
          <rPr>
            <sz val="8"/>
            <color theme="1"/>
            <rFont val="Calibri"/>
            <family val="2"/>
          </rPr>
          <t>Pagamento referente a medição final, aditivo,inclusão dos custos indiretos que a Implantar teve no aditivo e BDI.ENVIADO POR GILSON</t>
        </r>
      </text>
    </comment>
    <comment ref="I14" authorId="0" shapeId="0" xr:uid="{C34908DA-A55B-457B-B540-E5A13FB5DEB8}">
      <text>
        <r>
          <rPr>
            <sz val="8"/>
            <color theme="1"/>
            <rFont val="Calibri"/>
            <family val="2"/>
          </rPr>
          <t>Exec. + Terr. + Dren</t>
        </r>
      </text>
    </comment>
    <comment ref="J14" authorId="0" shapeId="0" xr:uid="{6F06369D-4594-4018-BA83-36F6BD1FB31D}">
      <text>
        <r>
          <rPr>
            <sz val="8"/>
            <color theme="1"/>
            <rFont val="Calibri"/>
            <family val="2"/>
          </rPr>
          <t>Aditivo de contrato a ser assinado enviado e pago 10/04/24.</t>
        </r>
      </text>
    </comment>
    <comment ref="J20" authorId="0" shapeId="0" xr:uid="{37CB4ED3-991A-4B7A-AACB-D97D926BB1BF}">
      <text>
        <r>
          <rPr>
            <sz val="8"/>
            <color theme="1"/>
            <rFont val="Calibri"/>
            <family val="2"/>
          </rPr>
          <t>Romanei da Silva:
Mobilização ( Locação de retro escavadeira , caminhão basculante ,transporte de colaboradores, ferramental de outras locações diversas necessárias para o operação das atividade.
Cobrar aditivo de contrato 22/02/24 email manoel desta data.</t>
        </r>
      </text>
    </comment>
    <comment ref="J22" authorId="0" shapeId="0" xr:uid="{995FE2F1-B5F9-4DC2-B485-67439F80FE60}">
      <text>
        <r>
          <rPr>
            <sz val="8"/>
            <color theme="1"/>
            <rFont val="Calibri"/>
            <family val="2"/>
          </rPr>
          <t>Romanei da Silva:
Elaboração da Comunicação de Corte e Colheita dos indivíduos em nome do proprietário da área, excluindo a comercialização ou produção de carvão. Elaboração de protocolo do pedido de Comunicação de Corte e Colheita de indivíduo plantados.</t>
        </r>
      </text>
    </comment>
    <comment ref="K22" authorId="0" shapeId="0" xr:uid="{E8D3C7AA-EF7F-4289-B234-A1C4B1ABF1D4}">
      <text>
        <r>
          <rPr>
            <sz val="8"/>
            <color theme="1"/>
            <rFont val="Calibri"/>
            <family val="2"/>
          </rPr>
          <t>Aditivo de supresão vegetal enviado em Dener Carvalho Faria da Silva &lt;dener.silva@comerc.com.br&gt; Aguardando a assinatura contrato 06/02/24</t>
        </r>
      </text>
    </comment>
    <comment ref="J24" authorId="0" shapeId="0" xr:uid="{D5E25E2E-9B72-4AED-9461-A321746A0881}">
      <text>
        <r>
          <rPr>
            <sz val="8"/>
            <color theme="1"/>
            <rFont val="Calibri"/>
            <family val="2"/>
          </rPr>
          <t>1)-Alterado para revisão escopo em 29/08/24
2)-Alterado para revisão escopo em 09/09/25</t>
        </r>
      </text>
    </comment>
    <comment ref="I34" authorId="0" shapeId="0" xr:uid="{0ED2CB90-4A58-47CE-B0B5-155484FDA3A8}">
      <text>
        <r>
          <rPr>
            <sz val="8"/>
            <color theme="1"/>
            <rFont val="Calibri"/>
            <family val="2"/>
          </rPr>
          <t>Prad GOS</t>
        </r>
      </text>
    </comment>
    <comment ref="J38" authorId="0" shapeId="0" xr:uid="{2E1AD468-5E1A-4921-91BD-B762A4B66879}">
      <text>
        <r>
          <rPr>
            <sz val="8"/>
            <color theme="1"/>
            <rFont val="Calibri"/>
            <family val="2"/>
          </rPr>
          <t>Impostos das notas conforme Distrato MBA Que devem ser abatidos no distrato</t>
        </r>
      </text>
    </comment>
    <comment ref="K38" authorId="0" shapeId="0" xr:uid="{DF47D7EC-3991-4D7F-B16A-6AAAAC92E4E9}">
      <text>
        <r>
          <rPr>
            <sz val="8"/>
            <color theme="1"/>
            <rFont val="Calibri"/>
            <family val="2"/>
          </rPr>
          <t>Romanei da Silva:
Distratos		Contrato	20% Gastos	Impostos das notas	Descontar:	Religador e materiais:		
Diamantina1	MORI GERACAO II 	R$ 3.677.500,00	R$ 735.500,00	R$ 0,00	R$ 460.000,00	R$ 197.032,23	R$ 78.467,77	A pagar Comerc
Diamantina2	MORI GERACAO II 	R$ 3.665.456,72	R$ 733.091,34	R$ 131.490,00	R$ 1.220.091,34	R$ 137.032,22	-R$ 492.542,22	A receber Comerc
Paraguaçu 1	MORI MINAS IV	R$ 3.085.046,91	R$ 617.009,38	R$ 0,00	R$ 626.405,00	R$ 0,00	-R$ 9.395,62	A receber Comerc
Muzambinho	MORI MINAS IV	R$ 2.270.553,19	R$ 454.110,64	R$ 99.960,00	R$ 952.000,00	R$ 0,00	-R$ 397.929,36	
						Saldo: 	-R$ 821.399,43	
Olhar na pasta distrato na Rede.</t>
        </r>
      </text>
    </comment>
    <comment ref="J49" authorId="0" shapeId="0" xr:uid="{229BE6C4-9C5A-4CF5-9FA0-FB626058D044}">
      <text>
        <r>
          <rPr>
            <sz val="8"/>
            <color theme="1"/>
            <rFont val="Calibri"/>
            <family val="2"/>
          </rPr>
          <t>Aditivo de contrato a ser assinado enviado e pago 10/04/24.</t>
        </r>
      </text>
    </comment>
    <comment ref="L55" authorId="0" shapeId="0" xr:uid="{7F1B3E82-2E86-45D4-B5BD-505D401232CF}">
      <text>
        <r>
          <rPr>
            <sz val="8"/>
            <color theme="1"/>
            <rFont val="Calibri"/>
            <family val="2"/>
          </rPr>
          <t>cONTRATO SALVO NA AREA DE CONTRATOS DRENAGEM.. ORCI. APROVAÇÃO PELO CONSELHO EM JULHO DE 2025.</t>
        </r>
      </text>
    </comment>
    <comment ref="I57" authorId="0" shapeId="0" xr:uid="{02D5CBD6-A27C-4AB5-BA99-37395B13A11D}">
      <text>
        <r>
          <rPr>
            <sz val="8"/>
            <color theme="1"/>
            <rFont val="Calibri"/>
            <family val="2"/>
          </rPr>
          <t>Aguardando assinatura do contrato. Guilherme - 18/01/2024</t>
        </r>
      </text>
    </comment>
    <comment ref="J57" authorId="0" shapeId="0" xr:uid="{2FC8E82A-2C16-47CD-A5DA-6CA7A051E3A8}">
      <text>
        <r>
          <rPr>
            <sz val="8"/>
            <color theme="1"/>
            <rFont val="Calibri"/>
            <family val="2"/>
          </rPr>
          <t>Romanei da Silva:
Este contrato e complemento com a Rima + JX Ambiental.serviços de assessoria ambiental na coordenação e elaboração dos trabalhos, estudos e documentos técnicos necessários para a elaboração do processo administrativo de AIA para a Usina Solar Fotovoltaica.</t>
        </r>
      </text>
    </comment>
    <comment ref="J59" authorId="0" shapeId="0" xr:uid="{95060C4E-8796-4798-82FF-A41C201254B6}">
      <text>
        <r>
          <rPr>
            <sz val="8"/>
            <color theme="1"/>
            <rFont val="Calibri"/>
            <family val="2"/>
          </rPr>
          <t>1)-Alterado para revisão escopo em 29/08/24
2)-Alterado para revisão escopo em 09/09/25</t>
        </r>
      </text>
    </comment>
    <comment ref="I61" authorId="0" shapeId="0" xr:uid="{5A72A1C5-3C5E-46ED-9191-C027F93E731B}">
      <text>
        <r>
          <rPr>
            <sz val="8"/>
            <color theme="1"/>
            <rFont val="Calibri"/>
            <family val="2"/>
          </rPr>
          <t>Valor contrato Engeluz</t>
        </r>
      </text>
    </comment>
    <comment ref="I69" authorId="0" shapeId="0" xr:uid="{5CEFA8B6-FFB0-4A93-99FB-1D9B4FFF0C34}">
      <text>
        <r>
          <rPr>
            <sz val="8"/>
            <color theme="1"/>
            <rFont val="Calibri"/>
            <family val="2"/>
          </rPr>
          <t>Prad GOS</t>
        </r>
      </text>
    </comment>
    <comment ref="J94" authorId="0" shapeId="0" xr:uid="{E3782A3B-7251-43BF-9F03-E272E17A4B9B}">
      <text>
        <r>
          <rPr>
            <sz val="8"/>
            <color theme="1"/>
            <rFont val="Calibri"/>
            <family val="2"/>
          </rPr>
          <t>1)-Alterado para revisão escopo em 29/08/24
2)-Alterado para revisão escopo em 09/09/25</t>
        </r>
      </text>
    </comment>
    <comment ref="J129" authorId="0" shapeId="0" xr:uid="{8BB64B4A-61A3-4693-BC43-DA605F549099}">
      <text>
        <r>
          <rPr>
            <sz val="8"/>
            <color theme="1"/>
            <rFont val="Calibri"/>
            <family val="2"/>
          </rPr>
          <t>1)-Alterado para revisão escopo em 29/08/24
2)-Alterado para revisão escopo em 09/09/25</t>
        </r>
      </text>
    </comment>
    <comment ref="J143" authorId="0" shapeId="0" xr:uid="{81B75CE5-7574-477B-86F5-096D6A769E1E}">
      <text>
        <r>
          <rPr>
            <sz val="8"/>
            <color theme="1"/>
            <rFont val="Calibri"/>
            <family val="2"/>
          </rPr>
          <t>Romanei da Silva:
Apresentamos a V. Sra. Proposta Técnica comercial de serviços de Fornecimento de Mão de Obra e materiais para instalação de poste de entrada de UFV Nova Ponte em aérea rural no município de Nova Ponte/MG.
Serviço sera executado pela MBA e fora do contrato da Weg, conforme Marcio 17/01/23 as 14;00 pwlo Teans.</t>
        </r>
      </text>
    </comment>
    <comment ref="J147" authorId="0" shapeId="0" xr:uid="{5587D165-2F46-4B85-B8F5-514934DF40AD}">
      <text>
        <r>
          <rPr>
            <sz val="8"/>
            <color theme="1"/>
            <rFont val="Calibri"/>
            <family val="2"/>
          </rPr>
          <t>Retirado do valor weg. se trata de atividade MBA
Romanei da Silva:
Apresentamos a V. Sra. Proposta Técnica comercial de serviços de Fornecimento de Mão de Obra e materiais para instalação de poste de entrada de UFV Nova Ponte em aérea rural no município de Nova Ponte/MG.
Serviço sera executado pela MBA e fora do contrato da Weg, conforme Marcio 17/01/23 as 14;00 pwlo Teans.</t>
        </r>
      </text>
    </comment>
    <comment ref="J159" authorId="0" shapeId="0" xr:uid="{249F27CF-8BC5-4D2A-800D-6E00514EC47C}">
      <text>
        <r>
          <rPr>
            <sz val="8"/>
            <color theme="1"/>
            <rFont val="Calibri"/>
            <family val="2"/>
          </rPr>
          <t>Contrato enviado em 25/09/24</t>
        </r>
      </text>
    </comment>
    <comment ref="J164" authorId="0" shapeId="0" xr:uid="{DABD3CD6-5E79-4D21-9957-561DD9269E49}">
      <text>
        <r>
          <rPr>
            <sz val="8"/>
            <color theme="1"/>
            <rFont val="Calibri"/>
            <family val="2"/>
          </rPr>
          <t>1)-Alterado para revisão escopo em 29/08/24
2)-Alterado para revisão escopo em 09/09/25</t>
        </r>
      </text>
    </comment>
    <comment ref="J178" authorId="0" shapeId="0" xr:uid="{7CEC67E6-3CD2-443B-B2E1-C8ED82077CC1}">
      <text>
        <r>
          <rPr>
            <sz val="8"/>
            <color theme="1"/>
            <rFont val="Calibri"/>
            <family val="2"/>
          </rPr>
          <t>Cobrado aditivo de contrato. Email Marcio 19/03/2024.</t>
        </r>
      </text>
    </comment>
    <comment ref="J199" authorId="0" shapeId="0" xr:uid="{5393D8DA-57B2-484C-AF78-4B87C3F15732}">
      <text>
        <r>
          <rPr>
            <sz val="8"/>
            <color theme="1"/>
            <rFont val="Calibri"/>
            <family val="2"/>
          </rPr>
          <t>1)-Alterado para revisão escopo em 29/08/24
2)-Alterado para revisão escopo em 09/09/25</t>
        </r>
      </text>
    </comment>
    <comment ref="J214" authorId="0" shapeId="0" xr:uid="{6A8FB788-F9B7-450C-8F3F-D588D493B3F6}">
      <text>
        <r>
          <rPr>
            <sz val="8"/>
            <color theme="1"/>
            <rFont val="Calibri"/>
            <family val="2"/>
          </rPr>
          <t>Aguardando assinatura do aditivo de contrato enviado pelo Gilson em 02/10/2023</t>
        </r>
      </text>
    </comment>
    <comment ref="J229" authorId="0" shapeId="0" xr:uid="{7791451B-3D6E-4BE2-9584-C5FD72268C2A}">
      <text>
        <r>
          <rPr>
            <sz val="8"/>
            <color theme="1"/>
            <rFont val="Calibri"/>
            <family val="2"/>
          </rPr>
          <t>Contrato enviado em 25/09/24</t>
        </r>
      </text>
    </comment>
    <comment ref="J234" authorId="0" shapeId="0" xr:uid="{4538BD8D-76EB-4822-A4B5-B47699B78AA3}">
      <text>
        <r>
          <rPr>
            <sz val="8"/>
            <color theme="1"/>
            <rFont val="Calibri"/>
            <family val="2"/>
          </rPr>
          <t>1)-Alterado para revisão escopo em 29/08/24
2)-Alterado para revisão escopo em 09/09/25</t>
        </r>
      </text>
    </comment>
    <comment ref="J249" authorId="0" shapeId="0" xr:uid="{E8482260-F08E-4C94-BFAB-40B3E576C8AF}">
      <text>
        <r>
          <rPr>
            <sz val="8"/>
            <color theme="1"/>
            <rFont val="Calibri"/>
            <family val="2"/>
          </rPr>
          <t>Aditivo das hastes concretadas, Verificar com Gilson 18/12/2023</t>
        </r>
      </text>
    </comment>
    <comment ref="J251" authorId="0" shapeId="0" xr:uid="{B66B3846-8596-48C6-AAAB-211BE225DEE5}">
      <text>
        <r>
          <rPr>
            <sz val="8"/>
            <color theme="1"/>
            <rFont val="Calibri"/>
            <family val="2"/>
          </rPr>
          <t>Solicitado aditivo de contrato em 31/10/23. Aguardando a assinatura. o RDA de PATOS DE MINAS 3  e será necessário a inclusão de mais 01 poste circular de concreto e extensão de mais 40 metros devido a mudança que houve no SKID 3. Segue em anexo proposta comercial de ADITIVO para serviço adicional.</t>
        </r>
      </text>
    </comment>
    <comment ref="I258" authorId="0" shapeId="0" xr:uid="{5A908AA2-B710-4B0B-A3BC-11CE486BAECF}">
      <text>
        <r>
          <rPr>
            <sz val="8"/>
            <color theme="1"/>
            <rFont val="Calibri"/>
            <family val="2"/>
          </rPr>
          <t xml:space="preserve">Romanei da Silva:
Escopo Projeto Valor Terr. 20.000R$ + Drenagrem R$15.000.(Contrato)
</t>
        </r>
      </text>
    </comment>
    <comment ref="J258" authorId="0" shapeId="0" xr:uid="{F8218FEE-6791-414B-859A-0F74ECB6803B}">
      <text>
        <r>
          <rPr>
            <sz val="8"/>
            <color theme="1"/>
            <rFont val="Calibri"/>
            <family val="2"/>
          </rPr>
          <t>Aditivo de contrato a ser assinado enviado e pago 10/04/24.</t>
        </r>
      </text>
    </comment>
    <comment ref="J269" authorId="0" shapeId="0" xr:uid="{EC2421F0-5A3C-4419-A5F4-90706C3363DC}">
      <text>
        <r>
          <rPr>
            <sz val="8"/>
            <color theme="1"/>
            <rFont val="Calibri"/>
            <family val="2"/>
          </rPr>
          <t>1)-Alterado para revisão escopo em 29/08/24
2)-Alterado para revisão escopo em 09/09/25</t>
        </r>
      </text>
    </comment>
    <comment ref="J284" authorId="0" shapeId="0" xr:uid="{9C7AE9D0-DC19-47CD-979D-93B1D8D26BB0}">
      <text>
        <r>
          <rPr>
            <sz val="8"/>
            <color theme="1"/>
            <rFont val="Calibri"/>
            <family val="2"/>
          </rPr>
          <t>Aditivo de concretagem</t>
        </r>
      </text>
    </comment>
    <comment ref="J304" authorId="0" shapeId="0" xr:uid="{185A4A49-3280-4A32-AC84-3D33E11745AE}">
      <text>
        <r>
          <rPr>
            <sz val="8"/>
            <color theme="1"/>
            <rFont val="Calibri"/>
            <family val="2"/>
          </rPr>
          <t>1)-Alterado para revisão escopo em 29/08/24
2)-Alterado para revisão escopo em 09/09/25</t>
        </r>
      </text>
    </comment>
    <comment ref="J335" authorId="0" shapeId="0" xr:uid="{98E31701-3A03-4A76-8901-334ECCCA1AC6}">
      <text>
        <r>
          <rPr>
            <sz val="8"/>
            <color theme="1"/>
            <rFont val="Calibri"/>
            <family val="2"/>
          </rPr>
          <t>A ser elaborado por contrato de aditivo 02/10/23 conforme e-mails do Gilson.</t>
        </r>
      </text>
    </comment>
    <comment ref="J339" authorId="0" shapeId="0" xr:uid="{4380D07B-7AC1-433D-B4B0-3BEEA322497D}">
      <text>
        <r>
          <rPr>
            <sz val="8"/>
            <color theme="1"/>
            <rFont val="Calibri"/>
            <family val="2"/>
          </rPr>
          <t>1)-Alterado para revisão escopo em 29/08/24
2)-Alterado para revisão escopo em 09/09/25</t>
        </r>
      </text>
    </comment>
    <comment ref="J354" authorId="0" shapeId="0" xr:uid="{CF5052AA-CBA0-492F-A4EA-5D42B17E366B}">
      <text>
        <r>
          <rPr>
            <sz val="8"/>
            <color theme="1"/>
            <rFont val="Calibri"/>
            <family val="2"/>
          </rPr>
          <t>Aguardando assinatura contrato conforme e-mail Gilson em 02/10/2023.</t>
        </r>
      </text>
    </comment>
    <comment ref="J374" authorId="0" shapeId="0" xr:uid="{2263B6AA-9E1D-4852-8724-D61CD86BF001}">
      <text>
        <r>
          <rPr>
            <sz val="8"/>
            <color theme="1"/>
            <rFont val="Calibri"/>
            <family val="2"/>
          </rPr>
          <t>1)-Alterado para revisão escopo em 29/08/24
2)-Alterado para revisão escopo em 09/09/25</t>
        </r>
      </text>
    </comment>
    <comment ref="J409" authorId="0" shapeId="0" xr:uid="{9DB5E489-8F45-44DD-8470-A4C0AF0CBF0F}">
      <text>
        <r>
          <rPr>
            <sz val="8"/>
            <color theme="1"/>
            <rFont val="Calibri"/>
            <family val="2"/>
          </rPr>
          <t>1)-Alterado para revisão escopo em 29/08/24
2)-Alterado para revisão escopo em 09/09/25</t>
        </r>
      </text>
    </comment>
    <comment ref="J412" authorId="0" shapeId="0" xr:uid="{10C4526B-DBE3-4988-8E78-CA7062893840}">
      <text>
        <r>
          <rPr>
            <sz val="8"/>
            <color theme="1"/>
            <rFont val="Calibri"/>
            <family val="2"/>
          </rPr>
          <t>Aguardando assinatura do contrato enviado pela Milena  e Gilson Aditivo 1 em seg 06/05/2024 09:38</t>
        </r>
      </text>
    </comment>
    <comment ref="J423" authorId="0" shapeId="0" xr:uid="{5E407E5D-7193-45B3-8ACF-F430C184F490}">
      <text>
        <r>
          <rPr>
            <sz val="8"/>
            <color theme="1"/>
            <rFont val="Calibri"/>
            <family val="2"/>
          </rPr>
          <t>Aguardando assinatura contrato 28/11/23. Solicitação já enviado para o Jurídico.</t>
        </r>
      </text>
    </comment>
    <comment ref="J444" authorId="0" shapeId="0" xr:uid="{4396C790-C867-42E3-90A4-28063CE78C1D}">
      <text>
        <r>
          <rPr>
            <sz val="8"/>
            <color theme="1"/>
            <rFont val="Calibri"/>
            <family val="2"/>
          </rPr>
          <t>1)-Alterado para revisão escopo em 29/08/24
2)-Alterado para revisão escopo em 09/09/25</t>
        </r>
      </text>
    </comment>
    <comment ref="J447" authorId="0" shapeId="0" xr:uid="{3FBDFBD1-9E8C-4092-BFD5-292F745FEC91}">
      <text>
        <r>
          <rPr>
            <sz val="8"/>
            <color theme="1"/>
            <rFont val="Calibri"/>
            <family val="2"/>
          </rPr>
          <t>Aguardando assinatura do contrato enviado pela Milena  e Gilson Aditivo 1 em seg 06/05/2024 09:38</t>
        </r>
      </text>
    </comment>
    <comment ref="J479" authorId="0" shapeId="0" xr:uid="{BD458A16-B567-44FC-BFA6-FD272D79700A}">
      <text>
        <r>
          <rPr>
            <sz val="8"/>
            <color theme="1"/>
            <rFont val="Calibri"/>
            <family val="2"/>
          </rPr>
          <t>1)-Alterado para revisão escopo em 29/08/24
2)-Alterado para revisão escopo em 09/09/25</t>
        </r>
      </text>
    </comment>
    <comment ref="I484" authorId="0" shapeId="0" xr:uid="{D5240364-2C3D-4F4B-8D54-ECE9B6E8256C}">
      <text>
        <r>
          <rPr>
            <sz val="8"/>
            <color theme="1"/>
            <rFont val="Calibri"/>
            <family val="2"/>
          </rPr>
          <t>Pacote e aditivo de sobressalentes.</t>
        </r>
      </text>
    </comment>
    <comment ref="J494" authorId="0" shapeId="0" xr:uid="{30DAD276-C529-463B-AE33-4AFC8A9C2BC6}">
      <text>
        <r>
          <rPr>
            <sz val="8"/>
            <color theme="1"/>
            <rFont val="Calibri"/>
            <family val="2"/>
          </rPr>
          <t>Romanei da Silva:
Pagamento aditivo de recomposição de custos. ENVIADO POR MATHEUS VILELA 25/02/24.</t>
        </r>
      </text>
    </comment>
    <comment ref="I503" authorId="0" shapeId="0" xr:uid="{E66F3075-4BC3-456E-9A65-3DF70DB31A37}">
      <text>
        <r>
          <rPr>
            <sz val="8"/>
            <color theme="1"/>
            <rFont val="Calibri"/>
            <family val="2"/>
          </rPr>
          <t xml:space="preserve">Romanei da Silva:
Escopo Projeto Valor Terr. 20.000R$ + Drenagrem R$15.000.(Contrato)
</t>
        </r>
      </text>
    </comment>
    <comment ref="J503" authorId="0" shapeId="0" xr:uid="{8F00A812-6C15-486E-938C-030F6E5EC208}">
      <text>
        <r>
          <rPr>
            <sz val="8"/>
            <color theme="1"/>
            <rFont val="Calibri"/>
            <family val="2"/>
          </rPr>
          <t>Aditivo de contrato a ser assinado enviado e pago 10/04/24.</t>
        </r>
      </text>
    </comment>
    <comment ref="J510" authorId="0" shapeId="0" xr:uid="{39D0531F-7B79-40DD-8894-2E0D908CF66F}">
      <text>
        <r>
          <rPr>
            <sz val="8"/>
            <color theme="1"/>
            <rFont val="Calibri"/>
            <family val="2"/>
          </rPr>
          <t>Solicitado Aditivo de contrato para Mayara em 20/12/23.</t>
        </r>
      </text>
    </comment>
    <comment ref="J514" authorId="0" shapeId="0" xr:uid="{67160D94-6D1E-47C7-A60D-F3A6B8246005}">
      <text>
        <r>
          <rPr>
            <sz val="8"/>
            <color theme="1"/>
            <rFont val="Calibri"/>
            <family val="2"/>
          </rPr>
          <t>1)-Alterado para revisão escopo em 29/08/24
2)-Alterado para revisão escopo em 09/09/25</t>
        </r>
      </text>
    </comment>
    <comment ref="L529" authorId="0" shapeId="0" xr:uid="{A26842AD-02E5-4342-B666-DFE3CDF22CB7}">
      <text>
        <r>
          <rPr>
            <sz val="8"/>
            <color theme="1"/>
            <rFont val="Calibri"/>
            <family val="2"/>
          </rPr>
          <t>Aguardando envio do contrato. 20/09/2023.</t>
        </r>
      </text>
    </comment>
    <comment ref="J549" authorId="0" shapeId="0" xr:uid="{1F885F60-BCFC-416B-AF7C-D6EEA58AB3F9}">
      <text>
        <r>
          <rPr>
            <sz val="8"/>
            <color theme="1"/>
            <rFont val="Calibri"/>
            <family val="2"/>
          </rPr>
          <t>1)-Alterado para revisão escopo em 29/08/24
2)-Alterado para revisão escopo em 09/09/25</t>
        </r>
      </text>
    </comment>
    <comment ref="L564" authorId="0" shapeId="0" xr:uid="{5921BEF6-6E89-443E-A13D-461A56E193A8}">
      <text>
        <r>
          <rPr>
            <sz val="8"/>
            <color theme="1"/>
            <rFont val="Calibri"/>
            <family val="2"/>
          </rPr>
          <t>Aguardando envio do contrato. 20/09/2023.</t>
        </r>
      </text>
    </comment>
    <comment ref="J584" authorId="0" shapeId="0" xr:uid="{4F025B9C-2127-46C9-8302-ECEA1F308525}">
      <text>
        <r>
          <rPr>
            <sz val="8"/>
            <color theme="1"/>
            <rFont val="Calibri"/>
            <family val="2"/>
          </rPr>
          <t>1)-Alterado para revisão escopo em 29/08/24
2)-Alterado para revisão escopo em 09/09/25</t>
        </r>
      </text>
    </comment>
    <comment ref="J598" authorId="0" shapeId="0" xr:uid="{89494875-8CF7-42DF-880A-843618C76ABE}">
      <text>
        <r>
          <rPr>
            <sz val="8"/>
            <color theme="1"/>
            <rFont val="Calibri"/>
            <family val="2"/>
          </rPr>
          <t>Romanei da Silva:
Apresentamos a V. Sra. Proposta Técnica comercial de serviços de Fornecimento de Mão de Obra para limpeza de área UFV GUARDA MOR em aérea rural no município de Guarda Mor/MG.
Serviço sera executado pela MBA e fora do contrato da Weg, conforme Marcio 17/01/23 as 14;00 pwlo Teans.</t>
        </r>
      </text>
    </comment>
    <comment ref="J602" authorId="0" shapeId="0" xr:uid="{11EFF0A2-4658-4499-8709-343C61608F11}">
      <text>
        <r>
          <rPr>
            <sz val="8"/>
            <color theme="1"/>
            <rFont val="Calibri"/>
            <family val="2"/>
          </rPr>
          <t>Romanei da Silva:
rETIRADO.. tRATASE D UM ADITIVO mba
Apresentamos a V. Sra. Proposta Técnica comercial de serviços de Fornecimento de Mão de Obra para limpeza de área UFV GUARDA MOR em aérea rural no município de Guarda Mor/MG.
Serviço sera executado pela MBA e fora do contrato da Weg, conforme Marcio 17/01/23 as 14;00 pwlo Teans.</t>
        </r>
      </text>
    </comment>
    <comment ref="J619" authorId="0" shapeId="0" xr:uid="{659B5773-B7BB-4496-A1A8-11DF245414D7}">
      <text>
        <r>
          <rPr>
            <sz val="8"/>
            <color theme="1"/>
            <rFont val="Calibri"/>
            <family val="2"/>
          </rPr>
          <t>1)-Alterado para revisão escopo em 29/08/24
2)-Alterado para revisão escopo em 09/09/25</t>
        </r>
      </text>
    </comment>
    <comment ref="I624" authorId="0" shapeId="0" xr:uid="{FB356BA9-5152-46CA-B11C-0E9D269DAE35}">
      <text>
        <r>
          <rPr>
            <sz val="8"/>
            <color theme="1"/>
            <rFont val="Calibri"/>
            <family val="2"/>
          </rPr>
          <t>Pacote e aditivo de sobressalentes.</t>
        </r>
      </text>
    </comment>
    <comment ref="J654" authorId="0" shapeId="0" xr:uid="{B215FFE7-0F4B-4263-9E4D-26FB36C7C394}">
      <text>
        <r>
          <rPr>
            <sz val="8"/>
            <color theme="1"/>
            <rFont val="Calibri"/>
            <family val="2"/>
          </rPr>
          <t>1)-Alterado para revisão escopo em 29/08/24
2)-Alterado para revisão escopo em 09/09/25</t>
        </r>
      </text>
    </comment>
    <comment ref="I659" authorId="0" shapeId="0" xr:uid="{ABC4B149-785B-4731-AAAA-DD23F42991FB}">
      <text>
        <r>
          <rPr>
            <sz val="8"/>
            <color theme="1"/>
            <rFont val="Calibri"/>
            <family val="2"/>
          </rPr>
          <t>Pacote e aditivo de sobressalentes.</t>
        </r>
      </text>
    </comment>
    <comment ref="J689" authorId="0" shapeId="0" xr:uid="{5BAE0BA4-2841-4193-8933-A8A8D8292BFF}">
      <text>
        <r>
          <rPr>
            <sz val="8"/>
            <color theme="1"/>
            <rFont val="Calibri"/>
            <family val="2"/>
          </rPr>
          <t>1)-Alterado para revisão escopo em 29/08/24
2)-Alterado para revisão escopo em 09/09/25</t>
        </r>
      </text>
    </comment>
    <comment ref="I694" authorId="0" shapeId="0" xr:uid="{97658303-5565-494D-803F-744D8600D293}">
      <text>
        <r>
          <rPr>
            <sz val="8"/>
            <color theme="1"/>
            <rFont val="Calibri"/>
            <family val="2"/>
          </rPr>
          <t>Pacote e aditivo de sobressalentes.</t>
        </r>
      </text>
    </comment>
    <comment ref="L704" authorId="0" shapeId="0" xr:uid="{1B49FFBB-87EA-4BF6-90F8-CDFE4CAF6513}">
      <text>
        <r>
          <rPr>
            <sz val="8"/>
            <color theme="1"/>
            <rFont val="Calibri"/>
            <family val="2"/>
          </rPr>
          <t>Aguardando envio do contrato. 20/09/2023.</t>
        </r>
      </text>
    </comment>
    <comment ref="J724" authorId="0" shapeId="0" xr:uid="{533C5D6D-59A7-4331-B559-F9C39EDFBEED}">
      <text>
        <r>
          <rPr>
            <sz val="8"/>
            <color theme="1"/>
            <rFont val="Calibri"/>
            <family val="2"/>
          </rPr>
          <t>1)-Alterado para revisão escopo em 29/08/24
2)-Alterado para revisão escopo em 09/09/25</t>
        </r>
      </text>
    </comment>
    <comment ref="L739" authorId="0" shapeId="0" xr:uid="{E4C1F41E-779A-4318-818C-9127E6D21D1E}">
      <text>
        <r>
          <rPr>
            <sz val="8"/>
            <color theme="1"/>
            <rFont val="Calibri"/>
            <family val="2"/>
          </rPr>
          <t>Aguardando envio do contrato. 20/09/2023.</t>
        </r>
      </text>
    </comment>
    <comment ref="J759" authorId="0" shapeId="0" xr:uid="{F897BAA9-A9C0-4E6D-B6F1-D1BA164FD97C}">
      <text>
        <r>
          <rPr>
            <sz val="8"/>
            <color theme="1"/>
            <rFont val="Calibri"/>
            <family val="2"/>
          </rPr>
          <t>1)-Alterado para revisão escopo em 29/08/24
2)-Alterado para revisão escopo em 09/09/25</t>
        </r>
      </text>
    </comment>
    <comment ref="L774" authorId="0" shapeId="0" xr:uid="{D3682B39-A814-4732-AB45-5F0F5962963F}">
      <text>
        <r>
          <rPr>
            <sz val="8"/>
            <color theme="1"/>
            <rFont val="Calibri"/>
            <family val="2"/>
          </rPr>
          <t>Aditivos de custos não previstos a ser analisado 18/12/23.</t>
        </r>
      </text>
    </comment>
    <comment ref="M774" authorId="0" shapeId="0" xr:uid="{86BA021C-C7FA-42D6-B7B8-065FD9B29475}">
      <text>
        <r>
          <rPr>
            <sz val="8"/>
            <color theme="1"/>
            <rFont val="Calibri"/>
            <family val="2"/>
          </rPr>
          <t>Correção dos Danos provocados pela Chuva.</t>
        </r>
      </text>
    </comment>
    <comment ref="I784" authorId="0" shapeId="0" xr:uid="{388181E6-6FF0-492C-AD7D-2DCAAA5D1232}">
      <text>
        <r>
          <rPr>
            <sz val="8"/>
            <color theme="1"/>
            <rFont val="Calibri"/>
            <family val="2"/>
          </rPr>
          <t>Exec. + Terr. + Dren</t>
        </r>
      </text>
    </comment>
    <comment ref="J784" authorId="0" shapeId="0" xr:uid="{62E8D04D-F0E8-40C1-A4E3-2DBA101795CC}">
      <text>
        <r>
          <rPr>
            <sz val="8"/>
            <color theme="1"/>
            <rFont val="Calibri"/>
            <family val="2"/>
          </rPr>
          <t>Aditivo de contrato a ser assinado enviado e pago 10/04/24.</t>
        </r>
      </text>
    </comment>
    <comment ref="J790" authorId="0" shapeId="0" xr:uid="{793B833F-B9A3-4496-B27E-8CDC356C8F06}">
      <text>
        <r>
          <rPr>
            <sz val="8"/>
            <color theme="1"/>
            <rFont val="Calibri"/>
            <family val="2"/>
          </rPr>
          <t>Serviço de bacia contenção da drenagem. Aguardando Contrato. Enviado orçamento em qui 25/04/2024 15:26</t>
        </r>
      </text>
    </comment>
    <comment ref="I792" authorId="0" shapeId="0" xr:uid="{94F78824-FFB1-4367-8381-DA21A471CB72}">
      <text>
        <r>
          <rPr>
            <sz val="8"/>
            <color theme="1"/>
            <rFont val="Calibri"/>
            <family val="2"/>
          </rPr>
          <t xml:space="preserve">Romanei da Silva:
RIA Executado (Relatório pós supressão) na rede da UFV Jaboticatubas. </t>
        </r>
      </text>
    </comment>
    <comment ref="J794" authorId="0" shapeId="0" xr:uid="{2BDB5AFF-6E0B-432C-A21A-E7EEB2916C39}">
      <text>
        <r>
          <rPr>
            <sz val="8"/>
            <color theme="1"/>
            <rFont val="Calibri"/>
            <family val="2"/>
          </rPr>
          <t>1)-Alterado para revisão escopo em 29/08/24
2)-Alterado para revisão escopo em 09/09/25</t>
        </r>
      </text>
    </comment>
    <comment ref="J808" authorId="0" shapeId="0" xr:uid="{EBDBD911-5808-416B-98DC-D81E4FE60B92}">
      <text>
        <r>
          <rPr>
            <sz val="8"/>
            <color theme="1"/>
            <rFont val="Calibri"/>
            <family val="2"/>
          </rPr>
          <t>Aguardando assinatura de contrato com a Engeluz 28/11/2023.</t>
        </r>
      </text>
    </comment>
    <comment ref="J809" authorId="0" shapeId="0" xr:uid="{81CB34E5-E159-4F32-92A0-01D2858F92CE}">
      <text>
        <r>
          <rPr>
            <sz val="8"/>
            <color theme="1"/>
            <rFont val="Calibri"/>
            <family val="2"/>
          </rPr>
          <t>Romanei da Silva:
Aditivo das Hastes de concreto</t>
        </r>
      </text>
    </comment>
    <comment ref="I818" authorId="0" shapeId="0" xr:uid="{8C3731D9-ABA4-4FF1-9E16-0EE188B79259}">
      <text>
        <r>
          <rPr>
            <sz val="8"/>
            <color theme="1"/>
            <rFont val="Calibri"/>
            <family val="2"/>
          </rPr>
          <t xml:space="preserve">Romanei da Silva:
Escopo Projeto Valor Terr. 20.000R$ + Drenagrem R$15.000.(Contrato)
</t>
        </r>
      </text>
    </comment>
    <comment ref="J818" authorId="0" shapeId="0" xr:uid="{EE960428-B4A6-40A0-85C1-028F2BD06808}">
      <text>
        <r>
          <rPr>
            <sz val="8"/>
            <color theme="1"/>
            <rFont val="Calibri"/>
            <family val="2"/>
          </rPr>
          <t>Aditivo de contrato a ser assinado enviado e pago 10/04/24.</t>
        </r>
      </text>
    </comment>
    <comment ref="J824" authorId="0" shapeId="0" xr:uid="{A9657128-99FF-4227-AEC0-A75B25387680}">
      <text>
        <r>
          <rPr>
            <sz val="8"/>
            <color theme="1"/>
            <rFont val="Calibri"/>
            <family val="2"/>
          </rPr>
          <t>Contrato enviado em 25/09/24</t>
        </r>
      </text>
    </comment>
    <comment ref="J829" authorId="0" shapeId="0" xr:uid="{01D01B46-BB7C-47FA-B013-4D660C912EF6}">
      <text>
        <r>
          <rPr>
            <sz val="8"/>
            <color theme="1"/>
            <rFont val="Calibri"/>
            <family val="2"/>
          </rPr>
          <t>1)-Alterado para revisão escopo em 29/08/24
2)-Alterado para revisão escopo em 09/09/25</t>
        </r>
      </text>
    </comment>
    <comment ref="J844" authorId="0" shapeId="0" xr:uid="{8E2986A3-1AB0-4D6F-AC84-80E12E846EBC}">
      <text>
        <r>
          <rPr>
            <sz val="8"/>
            <color theme="1"/>
            <rFont val="Calibri"/>
            <family val="2"/>
          </rPr>
          <t>Inserido concretagem das hastes, previsto em contrato para são sebastião 6 empresa Getel, Valor 276751.</t>
        </r>
      </text>
    </comment>
    <comment ref="I853" authorId="0" shapeId="0" xr:uid="{C76F2CA7-2100-4F24-9632-B02F953FDCF9}">
      <text>
        <r>
          <rPr>
            <sz val="8"/>
            <color theme="1"/>
            <rFont val="Calibri"/>
            <family val="2"/>
          </rPr>
          <t xml:space="preserve">Romanei da Silva:
Escopo Projeto Valor Terr. 20.000R$ + Drenagrem R$15.000.(Contrato)
</t>
        </r>
      </text>
    </comment>
    <comment ref="J853" authorId="0" shapeId="0" xr:uid="{70C3B8B1-A874-470E-A43A-3EB85667261E}">
      <text>
        <r>
          <rPr>
            <sz val="8"/>
            <color theme="1"/>
            <rFont val="Calibri"/>
            <family val="2"/>
          </rPr>
          <t>Aditivo de contrato a ser assinado enviado e pago 10/04/24.</t>
        </r>
      </text>
    </comment>
    <comment ref="J859" authorId="0" shapeId="0" xr:uid="{050AFB23-76D7-4C06-8B99-C3FBCEA1B348}">
      <text>
        <r>
          <rPr>
            <sz val="8"/>
            <color theme="1"/>
            <rFont val="Calibri"/>
            <family val="2"/>
          </rPr>
          <t>Contrato enviado em 25/09/24</t>
        </r>
      </text>
    </comment>
    <comment ref="J864" authorId="0" shapeId="0" xr:uid="{4D0562A7-7550-4B7E-9895-02E53FEEC352}">
      <text>
        <r>
          <rPr>
            <sz val="8"/>
            <color theme="1"/>
            <rFont val="Calibri"/>
            <family val="2"/>
          </rPr>
          <t>1)-Alterado para revisão escopo em 29/08/24
2)-Alterado para revisão escopo em 09/09/25</t>
        </r>
      </text>
    </comment>
    <comment ref="J879" authorId="0" shapeId="0" xr:uid="{93DCA490-B3AF-46B5-B7FD-81AA690C1FB0}">
      <text>
        <r>
          <rPr>
            <sz val="8"/>
            <color theme="1"/>
            <rFont val="Calibri"/>
            <family val="2"/>
          </rPr>
          <t>Pagamento de medição referente aditivo de concreto. ENVIADO POR AUGUSTO</t>
        </r>
      </text>
    </comment>
    <comment ref="J888" authorId="0" shapeId="0" xr:uid="{82C1CD7F-6859-4EBC-8245-C52AED6D488C}">
      <text>
        <r>
          <rPr>
            <sz val="8"/>
            <color theme="1"/>
            <rFont val="Calibri"/>
            <family val="2"/>
          </rPr>
          <t>Aditivo de contrato a ser assinado enviado e pago 10/04/24.</t>
        </r>
      </text>
    </comment>
    <comment ref="J895" authorId="0" shapeId="0" xr:uid="{27B9FC81-F38D-424C-810C-9BD4479A2D3F}">
      <text>
        <r>
          <rPr>
            <sz val="8"/>
            <color theme="1"/>
            <rFont val="Calibri"/>
            <family val="2"/>
          </rPr>
          <t>Teremos aditivo de contrato em assinatura conforme email Augusto sexta 03/11 medição final.</t>
        </r>
      </text>
    </comment>
    <comment ref="J899" authorId="0" shapeId="0" xr:uid="{3D94BDDC-A817-4F6D-8435-8EEA7EF82E33}">
      <text>
        <r>
          <rPr>
            <sz val="8"/>
            <color theme="1"/>
            <rFont val="Calibri"/>
            <family val="2"/>
          </rPr>
          <t>1)-Alterado para revisão escopo em 29/08/24
2)-Alterado para revisão escopo em 09/09/25</t>
        </r>
      </text>
    </comment>
    <comment ref="J930" authorId="0" shapeId="0" xr:uid="{8E9C4AFE-2485-4D62-ADE4-3934A38FD99C}">
      <text>
        <r>
          <rPr>
            <sz val="8"/>
            <color theme="1"/>
            <rFont val="Calibri"/>
            <family val="2"/>
          </rPr>
          <t>Contrato a ser assinado e enviado pelo Augusto para conferir valores do aditivo.18/08/2023 enviado por email as 14:04.</t>
        </r>
      </text>
    </comment>
    <comment ref="J934" authorId="0" shapeId="0" xr:uid="{67E2661F-83F8-47DA-9F8F-C401784D2B32}">
      <text>
        <r>
          <rPr>
            <sz val="8"/>
            <color theme="1"/>
            <rFont val="Calibri"/>
            <family val="2"/>
          </rPr>
          <t>1)-Alterado para revisão escopo em 29/08/24
2)-Alterado para revisão escopo em 09/09/25</t>
        </r>
      </text>
    </comment>
    <comment ref="J949" authorId="0" shapeId="0" xr:uid="{38CE4444-ED97-4C16-8B80-9592E1D144DA}">
      <text>
        <r>
          <rPr>
            <sz val="8"/>
            <color theme="1"/>
            <rFont val="Calibri"/>
            <family val="2"/>
          </rPr>
          <t>Aguardando Assinatura aditivo Augusto - 17/08/2023-Pagamento medição de aditivos de concretagem e refazimento, referente a prestação de serviço de mão de obra, necessário à construção da UFVs</t>
        </r>
      </text>
    </comment>
    <comment ref="L949" authorId="0" shapeId="0" xr:uid="{DDB938E8-DD7E-44A0-8E1F-E8466A607E32}">
      <text>
        <r>
          <rPr>
            <sz val="8"/>
            <color theme="1"/>
            <rFont val="Calibri"/>
            <family val="2"/>
          </rPr>
          <t>Fazer aditivo de contrato para atividade da furação com a helice para fundação dos office. Data 13/12/23.Cobrar Augusto.</t>
        </r>
      </text>
    </comment>
    <comment ref="N949" authorId="0" shapeId="0" xr:uid="{51B117B0-5B89-43E1-811F-EFFC2E5C09CB}">
      <text>
        <r>
          <rPr>
            <sz val="8"/>
            <color theme="1"/>
            <rFont val="Calibri"/>
            <family val="2"/>
          </rPr>
          <t>Romanei da Silva:
R$ 151.928,79 Memorial de cálculo dos recursos utilizados para atendimento do concreto adicional utilizado no solo erodido de Pedra 3 e na mudança dos 206 detalhes nº 4 de Pedra 1.</t>
        </r>
      </text>
    </comment>
    <comment ref="J964" authorId="0" shapeId="0" xr:uid="{CD0847AF-6C49-462F-8D8B-93CA2B32F5AC}">
      <text>
        <r>
          <rPr>
            <sz val="8"/>
            <color theme="1"/>
            <rFont val="Calibri"/>
            <family val="2"/>
          </rPr>
          <t>Contrato enviado em 25/09/24</t>
        </r>
      </text>
    </comment>
    <comment ref="J969" authorId="0" shapeId="0" xr:uid="{50A11F19-B0BA-49F4-BDE7-85A88CA7BFED}">
      <text>
        <r>
          <rPr>
            <sz val="8"/>
            <color theme="1"/>
            <rFont val="Calibri"/>
            <family val="2"/>
          </rPr>
          <t>1)-Alterado para revisão escopo em 29/08/24
2)-Alterado para revisão escopo em 09/09/25</t>
        </r>
      </text>
    </comment>
    <comment ref="J984" authorId="0" shapeId="0" xr:uid="{A55159F3-D42D-4FA0-A076-EE83A0BE633B}">
      <text>
        <r>
          <rPr>
            <sz val="8"/>
            <color theme="1"/>
            <rFont val="Calibri"/>
            <family val="2"/>
          </rPr>
          <t xml:space="preserve">Aguardando Assinatura aditivo Augusto - 17/08/2023. Arracamento, perfuração e concretagem. R$ 421000,00
</t>
        </r>
      </text>
    </comment>
    <comment ref="L984" authorId="0" shapeId="0" xr:uid="{3C5D0573-EBFE-4A3F-886D-E572DE6E3309}">
      <text>
        <r>
          <rPr>
            <sz val="8"/>
            <color theme="1"/>
            <rFont val="Calibri"/>
            <family val="2"/>
          </rPr>
          <t>Confirmar com Augusto Valores e aditivo de serviços fora escopo. Aguardando aditivo.(27/09/23)</t>
        </r>
      </text>
    </comment>
    <comment ref="J1004" authorId="0" shapeId="0" xr:uid="{2CC9868B-4DEB-4BBE-8CA3-1B88CCD08C8A}">
      <text>
        <r>
          <rPr>
            <sz val="8"/>
            <color theme="1"/>
            <rFont val="Calibri"/>
            <family val="2"/>
          </rPr>
          <t>1)-Alterado para revisão escopo em 29/08/24
2)-Alterado para revisão escopo em 09/09/25</t>
        </r>
      </text>
    </comment>
    <comment ref="J1019" authorId="0" shapeId="0" xr:uid="{288316D8-2667-43B7-957E-36DED87A5DC3}">
      <text>
        <r>
          <rPr>
            <sz val="8"/>
            <color theme="1"/>
            <rFont val="Calibri"/>
            <family val="2"/>
          </rPr>
          <t>Aditivo de Concretagem.</t>
        </r>
      </text>
    </comment>
    <comment ref="J1027" authorId="0" shapeId="0" xr:uid="{62E5C878-9E8B-4929-8876-E54FEE2B3534}">
      <text>
        <r>
          <rPr>
            <sz val="8"/>
            <color theme="1"/>
            <rFont val="Calibri"/>
            <family val="2"/>
          </rPr>
          <t>Solicitado Aditivo de contrato pelo Rafael Rachiatto.30/10/23.</t>
        </r>
      </text>
    </comment>
    <comment ref="J1039" authorId="0" shapeId="0" xr:uid="{33F54DBA-8841-4218-BC9F-44FF44C75854}">
      <text>
        <r>
          <rPr>
            <sz val="8"/>
            <color theme="1"/>
            <rFont val="Calibri"/>
            <family val="2"/>
          </rPr>
          <t>1)-Alterado para revisão escopo em 29/08/24
2)-Alterado para revisão escopo em 09/09/25</t>
        </r>
      </text>
    </comment>
    <comment ref="J1045" authorId="0" shapeId="0" xr:uid="{02934326-7E00-4C75-A597-A3DD79569F17}">
      <text>
        <r>
          <rPr>
            <sz val="8"/>
            <color theme="1"/>
            <rFont val="Calibri"/>
            <family val="2"/>
          </rPr>
          <t>São previstos no contrato o valor de 45 a furação de tampas de caixas de passagem. Nesta Usina tivemos 40 furações.</t>
        </r>
      </text>
    </comment>
    <comment ref="J1053" authorId="0" shapeId="0" xr:uid="{8749A6EA-B9DB-4DC8-BC61-30E810E9D73A}">
      <text>
        <r>
          <rPr>
            <sz val="8"/>
            <color theme="1"/>
            <rFont val="Calibri"/>
            <family val="2"/>
          </rPr>
          <t>Retirado Valores dos aditivos devido a valores.</t>
        </r>
      </text>
    </comment>
    <comment ref="I1056" authorId="0" shapeId="0" xr:uid="{EDDA1B46-7631-4394-846C-B9AD197F5D4F}">
      <text>
        <r>
          <rPr>
            <sz val="8"/>
            <color theme="1"/>
            <rFont val="Calibri"/>
            <family val="2"/>
          </rPr>
          <t>Romanei da Silva:
Transferido Paracatu 4 e 5</t>
        </r>
      </text>
    </comment>
    <comment ref="I1058" authorId="0" shapeId="0" xr:uid="{E5711E90-4EEA-4C3D-83E7-4BF671BD496A}">
      <text>
        <r>
          <rPr>
            <sz val="8"/>
            <color theme="1"/>
            <rFont val="Calibri"/>
            <family val="2"/>
          </rPr>
          <t>Romanei da Silva:
Transferido Paracatu 4</t>
        </r>
      </text>
    </comment>
    <comment ref="I1059" authorId="0" shapeId="0" xr:uid="{5D1D0CDF-DFAD-4D12-91A3-2DB2E97ACC27}">
      <text>
        <r>
          <rPr>
            <sz val="8"/>
            <color theme="1"/>
            <rFont val="Calibri"/>
            <family val="2"/>
          </rPr>
          <t>Romanei da Silva:
Transferido Paracatu 4</t>
        </r>
      </text>
    </comment>
    <comment ref="I1063" authorId="0" shapeId="0" xr:uid="{81FDBF9D-6F3F-4F34-B840-C663D887A5FF}">
      <text>
        <r>
          <rPr>
            <sz val="8"/>
            <color theme="1"/>
            <rFont val="Calibri"/>
            <family val="2"/>
          </rPr>
          <t xml:space="preserve">Romanei da Silva:
Escopo Projeto Valor Terr. 20.000R$ + Drenagrem R$15.000.(Contrato)
</t>
        </r>
      </text>
    </comment>
    <comment ref="J1063" authorId="0" shapeId="0" xr:uid="{CEEE18F6-E833-4780-8E6B-62B83FFA383C}">
      <text>
        <r>
          <rPr>
            <sz val="8"/>
            <color theme="1"/>
            <rFont val="Calibri"/>
            <family val="2"/>
          </rPr>
          <t>Aditivo de contrato a ser assinado enviado e pago 10/04/24.</t>
        </r>
      </text>
    </comment>
    <comment ref="I1067" authorId="0" shapeId="0" xr:uid="{2B3DDC5C-85EC-4F26-B081-519BFBC85959}">
      <text>
        <r>
          <rPr>
            <sz val="8"/>
            <color theme="1"/>
            <rFont val="Calibri"/>
            <family val="2"/>
          </rPr>
          <t>Transferido para Paracatu 4 e 5.</t>
        </r>
      </text>
    </comment>
    <comment ref="I1068" authorId="0" shapeId="0" xr:uid="{F697185E-E5C5-474F-9EBC-BAC8BF6C9FAA}">
      <text>
        <r>
          <rPr>
            <sz val="8"/>
            <color theme="1"/>
            <rFont val="Calibri"/>
            <family val="2"/>
          </rPr>
          <t>Transferido para Paracatu 4 e 5.</t>
        </r>
      </text>
    </comment>
    <comment ref="J1074" authorId="0" shapeId="0" xr:uid="{F08EF4B6-C744-45FF-A0E6-650418C80379}">
      <text>
        <r>
          <rPr>
            <sz val="8"/>
            <color theme="1"/>
            <rFont val="Calibri"/>
            <family val="2"/>
          </rPr>
          <t>1)-Alterado para revisão escopo em 29/08/24
2)-Alterado para revisão escopo em 09/09/25</t>
        </r>
      </text>
    </comment>
    <comment ref="J1088" authorId="0" shapeId="0" xr:uid="{9A2DCC6E-EDA0-4D23-9053-6B4409EE5104}">
      <text>
        <r>
          <rPr>
            <sz val="8"/>
            <color theme="1"/>
            <rFont val="Calibri"/>
            <family val="2"/>
          </rPr>
          <t>Retirado Valores dos aditivos devido a valores.</t>
        </r>
      </text>
    </comment>
    <comment ref="I1091" authorId="0" shapeId="0" xr:uid="{32FECE42-0267-4E80-BBDF-9784F120337D}">
      <text>
        <r>
          <rPr>
            <sz val="8"/>
            <color theme="1"/>
            <rFont val="Calibri"/>
            <family val="2"/>
          </rPr>
          <t>Romanei da Silva:
Transferido Paracatu 4 e 5</t>
        </r>
      </text>
    </comment>
    <comment ref="I1094" authorId="0" shapeId="0" xr:uid="{0E6CE5BD-8894-4DCC-A558-8AC5FB581D83}">
      <text>
        <r>
          <rPr>
            <sz val="8"/>
            <color theme="1"/>
            <rFont val="Calibri"/>
            <family val="2"/>
          </rPr>
          <t>Transferido Paractu 5</t>
        </r>
      </text>
    </comment>
    <comment ref="I1098" authorId="0" shapeId="0" xr:uid="{71250B0B-0E20-4311-AD28-6AC77BADEDB2}">
      <text>
        <r>
          <rPr>
            <sz val="8"/>
            <color theme="1"/>
            <rFont val="Calibri"/>
            <family val="2"/>
          </rPr>
          <t xml:space="preserve">Romanei da Silva:
Escopo Projeto Valor Terr. 20.000R$ + Drenagrem R$15.000.(Contrato)
</t>
        </r>
      </text>
    </comment>
    <comment ref="I1102" authorId="0" shapeId="0" xr:uid="{B118A592-D134-4FF3-87B8-CA1732660232}">
      <text>
        <r>
          <rPr>
            <sz val="8"/>
            <color theme="1"/>
            <rFont val="Calibri"/>
            <family val="2"/>
          </rPr>
          <t>Transferido para Paracatu 4 e 5.</t>
        </r>
      </text>
    </comment>
    <comment ref="I1103" authorId="0" shapeId="0" xr:uid="{23CFCD6D-CC38-48DA-A3E4-4A9DBE22401E}">
      <text>
        <r>
          <rPr>
            <sz val="8"/>
            <color theme="1"/>
            <rFont val="Calibri"/>
            <family val="2"/>
          </rPr>
          <t>Transferido para Paracatu 4 e 5.</t>
        </r>
      </text>
    </comment>
    <comment ref="J1109" authorId="0" shapeId="0" xr:uid="{0406595C-648A-48BC-A5DF-AFB5D59B0FBE}">
      <text>
        <r>
          <rPr>
            <sz val="8"/>
            <color theme="1"/>
            <rFont val="Calibri"/>
            <family val="2"/>
          </rPr>
          <t>1)-Alterado para revisão escopo em 29/08/24
2)-Alterado para revisão escopo em 09/09/25</t>
        </r>
      </text>
    </comment>
    <comment ref="J1124" authorId="0" shapeId="0" xr:uid="{180671EC-64B4-4253-9E0F-629F4B361A04}">
      <text>
        <r>
          <rPr>
            <sz val="8"/>
            <color theme="1"/>
            <rFont val="Calibri"/>
            <family val="2"/>
          </rPr>
          <t>Pagamento de medição referente aditivo de concreto. ENVIADO POR AUGUSTO</t>
        </r>
      </text>
    </comment>
    <comment ref="I1133" authorId="0" shapeId="0" xr:uid="{AA61B40A-5461-4F2A-BCAF-09C289D47F06}">
      <text>
        <r>
          <rPr>
            <sz val="8"/>
            <color theme="1"/>
            <rFont val="Calibri"/>
            <family val="2"/>
          </rPr>
          <t xml:space="preserve">Romanei da Silva:
Escopo Projeto Valor Terr. 20.000R$ + Drenagrem R$15.000.(Contrato)
</t>
        </r>
      </text>
    </comment>
    <comment ref="J1133" authorId="0" shapeId="0" xr:uid="{DA6D15D1-AC17-458A-8558-BD646DBCBCB9}">
      <text>
        <r>
          <rPr>
            <sz val="8"/>
            <color theme="1"/>
            <rFont val="Calibri"/>
            <family val="2"/>
          </rPr>
          <t>Aditivo de contrato a ser assinado enviado e pago 10/04/24.</t>
        </r>
      </text>
    </comment>
    <comment ref="J1140" authorId="0" shapeId="0" xr:uid="{5F19DE2E-C288-4FE3-B766-5D88394E2068}">
      <text>
        <r>
          <rPr>
            <sz val="8"/>
            <color theme="1"/>
            <rFont val="Calibri"/>
            <family val="2"/>
          </rPr>
          <t>Enviado pelo Augusto em qua 01/05/2024 13:48. Aguardando o aditivo de Contrato.</t>
        </r>
      </text>
    </comment>
    <comment ref="J1144" authorId="0" shapeId="0" xr:uid="{2BBAD4F6-F46B-442D-BC5A-C410BF88AD28}">
      <text>
        <r>
          <rPr>
            <sz val="8"/>
            <color theme="1"/>
            <rFont val="Calibri"/>
            <family val="2"/>
          </rPr>
          <t>1)-Alterado para revisão escopo em 29/08/24
2)-Alterado para revisão escopo em 09/09/25</t>
        </r>
      </text>
    </comment>
    <comment ref="J1159" authorId="0" shapeId="0" xr:uid="{70CD42EF-1C4F-4D3B-8487-FD05B8C46159}">
      <text>
        <r>
          <rPr>
            <sz val="8"/>
            <color theme="1"/>
            <rFont val="Calibri"/>
            <family val="2"/>
          </rPr>
          <t>Inserido concretagem das hastes, previsto em contrato para são sebastião 6 empresa Getel, Valor 276751.</t>
        </r>
      </text>
    </comment>
    <comment ref="I1168" authorId="0" shapeId="0" xr:uid="{FABBC74F-826B-4851-8B6B-D909DA0B5ECF}">
      <text>
        <r>
          <rPr>
            <sz val="8"/>
            <color theme="1"/>
            <rFont val="Calibri"/>
            <family val="2"/>
          </rPr>
          <t xml:space="preserve">Romanei da Silva:
Escopo Projeto Valor Terr. 20.000R$ + Drenagrem R$15.000.(Contrato)
</t>
        </r>
      </text>
    </comment>
    <comment ref="J1168" authorId="0" shapeId="0" xr:uid="{508D300F-CDA5-4055-9582-520CB185E33D}">
      <text>
        <r>
          <rPr>
            <sz val="8"/>
            <color theme="1"/>
            <rFont val="Calibri"/>
            <family val="2"/>
          </rPr>
          <t>Aditivo de contrato a ser assinado enviado e pago 10/04/24.</t>
        </r>
      </text>
    </comment>
    <comment ref="J1175" authorId="0" shapeId="0" xr:uid="{DB58807D-19C0-4E50-9F1F-FB55C5836BC0}">
      <text>
        <r>
          <rPr>
            <sz val="8"/>
            <color theme="1"/>
            <rFont val="Calibri"/>
            <family val="2"/>
          </rPr>
          <t>Aditivo de contrato enviado pelo Augusto em 01/05/2024.Aguardando assinatura do contrato.</t>
        </r>
      </text>
    </comment>
    <comment ref="J1179" authorId="0" shapeId="0" xr:uid="{AEDD904B-603F-4856-82B7-48D71925BB4D}">
      <text>
        <r>
          <rPr>
            <sz val="8"/>
            <color theme="1"/>
            <rFont val="Calibri"/>
            <family val="2"/>
          </rPr>
          <t>1)-Alterado para revisão escopo em 29/08/24
2)-Alterado para revisão escopo em 09/09/25</t>
        </r>
      </text>
    </comment>
    <comment ref="I1193" authorId="0" shapeId="0" xr:uid="{1DFF694D-B486-49A2-90A2-92B992E26299}">
      <text>
        <r>
          <rPr>
            <sz val="8"/>
            <color theme="1"/>
            <rFont val="Calibri"/>
            <family val="2"/>
          </rPr>
          <t>Valor Negociação com a MBA</t>
        </r>
      </text>
    </comment>
    <comment ref="J1193" authorId="0" shapeId="0" xr:uid="{C2FCA3A7-41A8-4757-87F3-C9D90B5C4A47}">
      <text>
        <r>
          <rPr>
            <sz val="8"/>
            <color theme="1"/>
            <rFont val="Calibri"/>
            <family val="2"/>
          </rPr>
          <t>Impostos das notas conforme Distrato MBA Que devem ser abatidos no distrato</t>
        </r>
      </text>
    </comment>
    <comment ref="N1193" authorId="0" shapeId="0" xr:uid="{2DA762F6-890D-408C-A402-97F4D9E11253}">
      <text>
        <r>
          <rPr>
            <sz val="8"/>
            <color theme="1"/>
            <rFont val="Calibri"/>
            <family val="2"/>
          </rPr>
          <t xml:space="preserve">Distrato MBA. Obras foram Transferidas MBA para Engeluz: 
Valor a Abater:
Diamantina 1:+78.467,77
Diamantina 2:-492.542,21
Paraguaçu1:-9.395,61
Muzambinho:-397.929,362
Total:-821.399,426 - Total a Receber Comerc
Contratos aonde iremos descontar : 
Arcos 7 : 
Passos 4 : 
</t>
        </r>
      </text>
    </comment>
    <comment ref="J1194" authorId="0" shapeId="0" xr:uid="{5A08D356-EC15-48FC-9F9C-1610D2227303}">
      <text>
        <r>
          <rPr>
            <sz val="8"/>
            <color theme="1"/>
            <rFont val="Calibri"/>
            <family val="2"/>
          </rPr>
          <t xml:space="preserve">Ajuste de WP+ ajuste de piso de faturamento direto </t>
        </r>
      </text>
    </comment>
    <comment ref="I1204" authorId="0" shapeId="0" xr:uid="{B89DCEEC-F832-4B47-833F-EDC515D56F53}">
      <text>
        <r>
          <rPr>
            <sz val="8"/>
            <color theme="1"/>
            <rFont val="Calibri"/>
            <family val="2"/>
          </rPr>
          <t>Exec. + Terr. + Dren</t>
        </r>
      </text>
    </comment>
    <comment ref="J1204" authorId="0" shapeId="0" xr:uid="{F88E91B4-0E93-4EE4-A620-76CA21F0B268}">
      <text>
        <r>
          <rPr>
            <sz val="8"/>
            <color theme="1"/>
            <rFont val="Calibri"/>
            <family val="2"/>
          </rPr>
          <t>Aditivo de contrato a ser assinado enviado e pago 10/04/24.</t>
        </r>
      </text>
    </comment>
    <comment ref="I1212" authorId="0" shapeId="0" xr:uid="{B03E45BC-A2BF-477A-AB7D-381F24553CCF}">
      <text>
        <r>
          <rPr>
            <sz val="8"/>
            <color theme="1"/>
            <rFont val="Calibri"/>
            <family val="2"/>
          </rPr>
          <t>Aguardando assinatura do contrato. Guilherme - 18/01/2024</t>
        </r>
      </text>
    </comment>
    <comment ref="J1212" authorId="0" shapeId="0" xr:uid="{C5B2BF09-FE61-4754-B116-4B04D6F30A47}">
      <text>
        <r>
          <rPr>
            <sz val="8"/>
            <color theme="1"/>
            <rFont val="Calibri"/>
            <family val="2"/>
          </rPr>
          <t>Incluido Ria de executado colheita. Este contrato e com a RIMA</t>
        </r>
      </text>
    </comment>
    <comment ref="J1214" authorId="0" shapeId="0" xr:uid="{CD9ED384-D5BF-405F-AB5C-1457AC5922CA}">
      <text>
        <r>
          <rPr>
            <sz val="8"/>
            <color theme="1"/>
            <rFont val="Calibri"/>
            <family val="2"/>
          </rPr>
          <t>1)-Alterado para revisão escopo em 29/08/24
2)-Alterado para revisão escopo em 09/09/25</t>
        </r>
      </text>
    </comment>
    <comment ref="I1216" authorId="0" shapeId="0" xr:uid="{186659D9-278E-41A5-947E-ED596E8E403B}">
      <text>
        <r>
          <rPr>
            <sz val="8"/>
            <color theme="1"/>
            <rFont val="Calibri"/>
            <family val="2"/>
          </rPr>
          <t>Valor contrato Engeluz</t>
        </r>
      </text>
    </comment>
    <comment ref="J1216" authorId="0" shapeId="0" xr:uid="{EBD7FA8D-5A83-4A3D-B4C9-02EFDFE04137}">
      <text>
        <r>
          <rPr>
            <b/>
            <sz val="9"/>
            <color indexed="81"/>
            <rFont val="Segoe UI"/>
            <charset val="1"/>
          </rPr>
          <t>Aguardando fechamento contrato com a Engeluz</t>
        </r>
      </text>
    </comment>
    <comment ref="J1229" authorId="0" shapeId="0" xr:uid="{76AD8C19-D0C2-46DB-9ED3-469E0E844F2A}">
      <text>
        <r>
          <rPr>
            <sz val="8"/>
            <color theme="1"/>
            <rFont val="Calibri"/>
            <family val="2"/>
          </rPr>
          <t>Aditivo de contrato concretagem das estagas já prevista em contrato</t>
        </r>
      </text>
    </comment>
    <comment ref="I1233" authorId="0" shapeId="0" xr:uid="{D40DFEE5-F46C-46E4-9398-8470BB6658DE}">
      <text>
        <r>
          <rPr>
            <sz val="8"/>
            <color theme="1"/>
            <rFont val="Calibri"/>
            <family val="2"/>
          </rPr>
          <t>Romanei da Silva:
Transferido de Pians1</t>
        </r>
      </text>
    </comment>
    <comment ref="I1234" authorId="0" shapeId="0" xr:uid="{D815DB3F-5D1D-4232-95CB-C5CB7FD6DBEC}">
      <text>
        <r>
          <rPr>
            <sz val="8"/>
            <color theme="1"/>
            <rFont val="Calibri"/>
            <family val="2"/>
          </rPr>
          <t>Romanei da Silva:
Transferido de Pains1</t>
        </r>
      </text>
    </comment>
    <comment ref="J1246" authorId="0" shapeId="0" xr:uid="{F294B191-733D-4B33-B1E4-AD3F2773E35E}">
      <text>
        <r>
          <rPr>
            <sz val="8"/>
            <color theme="1"/>
            <rFont val="Calibri"/>
            <family val="2"/>
          </rPr>
          <t>Aditivo de contrato a ser assinado. Pagamento medição de aditivo referente a prestação de serviços de drenagem/terraplenagem. ENVIADO POR AUGUSTO. Orçamento enviado pelo Augusto em 17/05/24 pelo Tems e Salvo na pasta de Drenagem Orci Paracatu 4.</t>
        </r>
      </text>
    </comment>
    <comment ref="J1249" authorId="0" shapeId="0" xr:uid="{F102A843-116D-44AA-8FE7-2A1D00C999CF}">
      <text>
        <r>
          <rPr>
            <sz val="8"/>
            <color theme="1"/>
            <rFont val="Calibri"/>
            <family val="2"/>
          </rPr>
          <t>1)-Alterado para revisão escopo em 29/08/24
2)-Alterado para revisão escopo em 09/09/25</t>
        </r>
      </text>
    </comment>
    <comment ref="J1264" authorId="0" shapeId="0" xr:uid="{DB00E1ED-00DA-4E42-9F92-EC392EB086C7}">
      <text>
        <r>
          <rPr>
            <sz val="8"/>
            <color theme="1"/>
            <rFont val="Calibri"/>
            <family val="2"/>
          </rPr>
          <t>Aditivo de contrato concretagem das estagas já prevista em contrato</t>
        </r>
      </text>
    </comment>
    <comment ref="I1277" authorId="0" shapeId="0" xr:uid="{49905C64-0AB8-4AFF-812E-C7D9AF92A644}">
      <text>
        <r>
          <rPr>
            <sz val="8"/>
            <color theme="1"/>
            <rFont val="Calibri"/>
            <family val="2"/>
          </rPr>
          <t>Romanei da Silva:
Transferido de Pains 1 e 2</t>
        </r>
      </text>
    </comment>
    <comment ref="I1278" authorId="0" shapeId="0" xr:uid="{C1E9680C-47DD-45AA-91E4-0382D49DC99C}">
      <text>
        <r>
          <rPr>
            <sz val="8"/>
            <color theme="1"/>
            <rFont val="Calibri"/>
            <family val="2"/>
          </rPr>
          <t>Romanei da Silva:
Transferido de Pains 1 e 2</t>
        </r>
      </text>
    </comment>
    <comment ref="J1284" authorId="0" shapeId="0" xr:uid="{34982C8F-0C6A-4E9B-9246-D38C3E238FF0}">
      <text>
        <r>
          <rPr>
            <sz val="8"/>
            <color theme="1"/>
            <rFont val="Calibri"/>
            <family val="2"/>
          </rPr>
          <t>1)-Alterado para revisão escopo em 29/08/24
2)-Alterado para revisão escopo em 09/09/25</t>
        </r>
      </text>
    </comment>
    <comment ref="L1299" authorId="0" shapeId="0" xr:uid="{40E06825-4485-40A6-BAFA-D66D61F7405B}">
      <text>
        <r>
          <rPr>
            <sz val="8"/>
            <color theme="1"/>
            <rFont val="Calibri"/>
            <family val="2"/>
          </rPr>
          <t>Correção IPCA.</t>
        </r>
      </text>
    </comment>
    <comment ref="I1309" authorId="0" shapeId="0" xr:uid="{B5265737-EFE2-40AB-8BFB-93E1C579C672}">
      <text>
        <r>
          <rPr>
            <sz val="8"/>
            <color theme="1"/>
            <rFont val="Calibri"/>
            <family val="2"/>
          </rPr>
          <t>Exec. + Terr. + Dren</t>
        </r>
      </text>
    </comment>
    <comment ref="J1309" authorId="0" shapeId="0" xr:uid="{2EF97327-D882-4E99-B12F-A6FABD9461D8}">
      <text>
        <r>
          <rPr>
            <sz val="8"/>
            <color theme="1"/>
            <rFont val="Calibri"/>
            <family val="2"/>
          </rPr>
          <t>Aditivo de contrato a ser assinado enviado e pago 10/04/24.</t>
        </r>
      </text>
    </comment>
    <comment ref="K1314" authorId="1" shapeId="0" xr:uid="{735E6C5E-3454-4CCD-BD24-ABDBC0E3B6F9}">
      <text>
        <r>
          <rPr>
            <sz val="8"/>
            <color theme="1"/>
            <rFont val="Calibri"/>
            <family val="2"/>
          </rPr>
          <t xml:space="preserve">Gabriela Bezerra de Souza:
4° aditivo </t>
        </r>
      </text>
    </comment>
    <comment ref="J1315" authorId="0" shapeId="0" xr:uid="{A8D70ADB-1918-4780-9588-4F228BF9B656}">
      <text>
        <r>
          <rPr>
            <sz val="8"/>
            <color theme="1"/>
            <rFont val="Calibri"/>
            <family val="2"/>
          </rPr>
          <t>cONTRATO SALVO NA AREA DE CONTRATOS DRENAGEM.. ORCI. APROVAÇÃO PELO CONSELHO EM JULHO DE 2025.</t>
        </r>
      </text>
    </comment>
    <comment ref="I1317" authorId="0" shapeId="0" xr:uid="{A52ED6DB-B308-4D14-824C-9FC16D2F9711}">
      <text>
        <r>
          <rPr>
            <sz val="8"/>
            <color theme="1"/>
            <rFont val="Calibri"/>
            <family val="2"/>
          </rPr>
          <t>Romanei da Silva:
3.1. Descrição dos Serviços: Prestação de Serviços de limpeza de faixa, pode e supressão de árvores no trecho da sustação até a UFV Alfenas, nos termos e condições descritos no Anexo I - Proposta Comercial
Local da prestação de Serviço: Desde a subestação até a UFV Alfenas</t>
        </r>
      </text>
    </comment>
    <comment ref="J1317" authorId="0" shapeId="0" xr:uid="{C5C79E2B-A409-4ECB-8FA8-6C4DC0EBFD04}">
      <text>
        <r>
          <rPr>
            <sz val="8"/>
            <color theme="1"/>
            <rFont val="Calibri"/>
            <family val="2"/>
          </rPr>
          <t>Incluido Ria de executado colheita.Este contrato e com a RIMA em complemento ao de Supressão da Atenas.</t>
        </r>
      </text>
    </comment>
    <comment ref="J1319" authorId="0" shapeId="0" xr:uid="{A45C9096-7FD7-4AC5-AD8E-91862759A1F1}">
      <text>
        <r>
          <rPr>
            <sz val="8"/>
            <color theme="1"/>
            <rFont val="Calibri"/>
            <family val="2"/>
          </rPr>
          <t>1)-Alterado para revisão escopo em 29/08/24
2)-Alterado para revisão escopo em 09/09/25</t>
        </r>
      </text>
    </comment>
    <comment ref="I1329" authorId="0" shapeId="0" xr:uid="{E7F7EE33-6BD1-4FC4-AD46-8C63333F9E6A}">
      <text>
        <r>
          <rPr>
            <sz val="8"/>
            <color theme="1"/>
            <rFont val="Calibri"/>
            <family val="2"/>
          </rPr>
          <t>Prad GOS</t>
        </r>
      </text>
    </comment>
    <comment ref="M1333" authorId="0" shapeId="0" xr:uid="{6DC96671-1E19-4E40-A1A1-95E3B7F7A9AB}">
      <text>
        <r>
          <rPr>
            <sz val="8"/>
            <color theme="1"/>
            <rFont val="Calibri"/>
            <family val="2"/>
          </rPr>
          <t>Romanei da Silva:
Distratos		Contrato	20% Gastos	Impostos das notas	Descontar:	Religador e materiais:		
Diamantina1	MORI GERACAO II 	R$ 3.677.500,00	R$ 735.500,00	R$ 0,00	R$ 460.000,00	R$ 197.032,23	R$ 78.467,77	A pagar Comerc
Diamantina2	MORI GERACAO II 	R$ 3.665.456,72	R$ 733.091,34	R$ 131.490,00	R$ 1.220.091,34	R$ 137.032,22	-R$ 492.542,22	A receber Comerc
Paraguaçu 1	MORI MINAS IV	R$ 3.085.046,91	R$ 617.009,38	R$ 0,00	R$ 626.405,00	R$ 0,00	-R$ 9.395,62	A receber Comerc
Muzambinho	MORI MINAS IV	R$ 2.270.553,19	R$ 454.110,64	R$ 99.960,00	R$ 952.000,00	R$ 0,00	-R$ 397.929,36	
						Saldo: 	-R$ 821.399,43	
Olhar na pasta distrato na Rede.</t>
        </r>
      </text>
    </comment>
    <comment ref="J1334" authorId="0" shapeId="0" xr:uid="{F2E261F0-60DC-4AD0-BC34-1148B607C0E2}">
      <text>
        <r>
          <rPr>
            <b/>
            <sz val="9"/>
            <color indexed="81"/>
            <rFont val="Segoe UI"/>
            <charset val="1"/>
          </rPr>
          <t xml:space="preserve">Aditivo a ser assinado concretagem  pelo GLD e Augusto . Johnata Ref 04/08/23
</t>
        </r>
      </text>
    </comment>
    <comment ref="J1352" authorId="0" shapeId="0" xr:uid="{91D8B376-6295-4219-BC99-9CA650B9DAF5}">
      <text>
        <r>
          <rPr>
            <sz val="8"/>
            <color theme="1"/>
            <rFont val="Calibri"/>
            <family val="2"/>
          </rPr>
          <t>Romanei da Silva:
Serviço executado pela JX Ambiental. Temos dois contratos aqui nesta linha. Atenas e JX Ambiental. Realizar acompanhamento e possíveis alinhamentos junto a CEMIG até a emissão do RIA;</t>
        </r>
      </text>
    </comment>
    <comment ref="L1352" authorId="0" shapeId="0" xr:uid="{6A6D540E-1B5D-4BC7-B675-3E986B825174}">
      <text>
        <r>
          <rPr>
            <sz val="8"/>
            <color theme="1"/>
            <rFont val="Calibri"/>
            <family val="2"/>
          </rPr>
          <t>Fornecimento de material e mão de obra especializada, para ADICIONAL DE LIMPEZA DE FAIXA, PODE E
SUPRESSÃO DE 970 EUCALIPTOS EM UMA AREA TOTAL DE 5.000 METROS DENTRO DO
TRECHO DA USINA A SUBSTAÇÃO DE ARCOS - Aditivo contrato da Atenas</t>
        </r>
      </text>
    </comment>
    <comment ref="J1354" authorId="0" shapeId="0" xr:uid="{BA0C9007-E84B-4B55-9928-4F6980B9FC39}">
      <text>
        <r>
          <rPr>
            <sz val="8"/>
            <color theme="1"/>
            <rFont val="Calibri"/>
            <family val="2"/>
          </rPr>
          <t>1)-Alterado para revisão escopo em 29/08/24
2)-Alterado para revisão escopo em 09/09/25</t>
        </r>
      </text>
    </comment>
    <comment ref="J1389" authorId="0" shapeId="0" xr:uid="{8D0A4D9F-FEA2-4881-A210-3F71473F4BA4}">
      <text>
        <r>
          <rPr>
            <sz val="8"/>
            <color theme="1"/>
            <rFont val="Calibri"/>
            <family val="2"/>
          </rPr>
          <t>1)-Alterado para revisão escopo em 29/08/24
2)-Alterado para revisão escopo em 09/09/25</t>
        </r>
      </text>
    </comment>
    <comment ref="J1407" authorId="0" shapeId="0" xr:uid="{88AED9D0-97BC-4A6B-B650-43FD2BF0E255}">
      <text>
        <r>
          <rPr>
            <sz val="8"/>
            <color theme="1"/>
            <rFont val="Calibri"/>
            <family val="2"/>
          </rPr>
          <t>Romanei da Silva:
Apresentação de proposta técnica de aditivo referente à concretagem das estacas da obra da UFV Bambuí 1.2. Passado para escopo Comerc 38719,04</t>
        </r>
      </text>
    </comment>
    <comment ref="J1424" authorId="0" shapeId="0" xr:uid="{9C7D0485-DC57-4372-B496-0663FC940C8A}">
      <text>
        <r>
          <rPr>
            <sz val="8"/>
            <color theme="1"/>
            <rFont val="Calibri"/>
            <family val="2"/>
          </rPr>
          <t>1)-Alterado para revisão escopo em 29/08/24
2)-Alterado para revisão escopo em 09/09/25</t>
        </r>
      </text>
    </comment>
    <comment ref="L1438" authorId="0" shapeId="0" xr:uid="{6D280E8F-A386-4344-A4CD-F11ED35A7FF4}">
      <text>
        <r>
          <rPr>
            <sz val="8"/>
            <color theme="1"/>
            <rFont val="Calibri"/>
            <family val="2"/>
          </rPr>
          <t>Adicionado aditivo  Preventivo MBA Obras MT Campo Belo 1( R$ 1.235.706,81.). Esta em negociação este valor.</t>
        </r>
      </text>
    </comment>
    <comment ref="J1439" authorId="0" shapeId="0" xr:uid="{A49E05EA-B864-454E-B5B9-148285FAB8BF}">
      <text>
        <r>
          <rPr>
            <sz val="8"/>
            <color theme="1"/>
            <rFont val="Calibri"/>
            <family val="2"/>
          </rPr>
          <t>Ajuste de WP</t>
        </r>
      </text>
    </comment>
    <comment ref="L1439" authorId="0" shapeId="0" xr:uid="{FDC8BC51-0C75-4605-9449-C06B8B59C78E}">
      <text>
        <r>
          <rPr>
            <sz val="8"/>
            <color theme="1"/>
            <rFont val="Calibri"/>
            <family val="2"/>
          </rPr>
          <t>Ajuste de piso de faturamento direto</t>
        </r>
      </text>
    </comment>
    <comment ref="N1439" authorId="0" shapeId="0" xr:uid="{DB83BDA7-1407-4E4D-B8FA-756BAA71D0B1}">
      <text>
        <r>
          <rPr>
            <sz val="8"/>
            <color theme="1"/>
            <rFont val="Calibri"/>
            <family val="2"/>
          </rPr>
          <t>Atrasos de Obra</t>
        </r>
      </text>
    </comment>
    <comment ref="J1449" authorId="0" shapeId="0" xr:uid="{E163922D-DB01-4175-80BF-0D0B45A4DA8E}">
      <text>
        <r>
          <rPr>
            <sz val="8"/>
            <color theme="1"/>
            <rFont val="Calibri"/>
            <family val="2"/>
          </rPr>
          <t>Aditivo de contrato a ser assinado enviado e pago 10/04/24.</t>
        </r>
      </text>
    </comment>
    <comment ref="K1454" authorId="1" shapeId="0" xr:uid="{4981D38A-45B3-4EDA-8F57-EED185DEEDED}">
      <text>
        <r>
          <rPr>
            <sz val="8"/>
            <color theme="1"/>
            <rFont val="Calibri"/>
            <family val="2"/>
          </rPr>
          <t>Gabriela Bezerra de Souza:
4° aditivo</t>
        </r>
      </text>
    </comment>
    <comment ref="J1457" authorId="0" shapeId="0" xr:uid="{7C8CDCDB-8763-4A15-B3E1-5593794AC33F}">
      <text>
        <r>
          <rPr>
            <sz val="8"/>
            <color theme="1"/>
            <rFont val="Calibri"/>
            <family val="2"/>
          </rPr>
          <t>Incluido Ria de executado colheita.</t>
        </r>
      </text>
    </comment>
    <comment ref="J1459" authorId="0" shapeId="0" xr:uid="{0C263449-1CE7-42CF-AA66-DB84D4BC2EF6}">
      <text>
        <r>
          <rPr>
            <sz val="8"/>
            <color theme="1"/>
            <rFont val="Calibri"/>
            <family val="2"/>
          </rPr>
          <t>1)-Alterado para revisão escopo em 29/08/24
2)-Alterado para revisão escopo em 09/09/25</t>
        </r>
      </text>
    </comment>
    <comment ref="L1473" authorId="0" shapeId="0" xr:uid="{FE3BD988-F19D-4523-831F-FB1AE0EC1E9D}">
      <text>
        <r>
          <rPr>
            <sz val="8"/>
            <color theme="1"/>
            <rFont val="Calibri"/>
            <family val="2"/>
          </rPr>
          <t>154.000,00 Aditivo Linha viva Campo Belo 2. Enviado Marcio em qua 24/04/2024 10:46 e solicitado aditivo ao Juridico.</t>
        </r>
      </text>
    </comment>
    <comment ref="J1474" authorId="0" shapeId="0" xr:uid="{F501690A-4BBE-43CF-8AEC-73A4D9B55945}">
      <text>
        <r>
          <rPr>
            <sz val="8"/>
            <color theme="1"/>
            <rFont val="Calibri"/>
            <family val="2"/>
          </rPr>
          <t>Romanei da Silva:
Ajuste de Wp+Ajuste de piso de faturamento direto</t>
        </r>
      </text>
    </comment>
    <comment ref="L1474" authorId="0" shapeId="0" xr:uid="{B35A86B7-96AF-4FCC-A03F-152EE5B6D2B5}">
      <text>
        <r>
          <rPr>
            <sz val="8"/>
            <color theme="1"/>
            <rFont val="Calibri"/>
            <family val="2"/>
          </rPr>
          <t>Correção do IPCA previsto contrato.</t>
        </r>
      </text>
    </comment>
    <comment ref="M1474" authorId="0" shapeId="0" xr:uid="{EF8B83C6-22BD-46B3-A334-7E108308DDEF}">
      <text>
        <r>
          <rPr>
            <sz val="8"/>
            <color theme="1"/>
            <rFont val="Calibri"/>
            <family val="2"/>
          </rPr>
          <t>Romanei da Silva:
Atraso de Obra a ser assinado aditivo conforme Rafael em 23/01/2024.Atrasos de obra</t>
        </r>
      </text>
    </comment>
    <comment ref="N1474" authorId="0" shapeId="0" xr:uid="{DEE6BC81-67F2-47A7-AA3A-828EC9A45E66}">
      <text>
        <r>
          <rPr>
            <sz val="8"/>
            <color theme="1"/>
            <rFont val="Calibri"/>
            <family val="2"/>
          </rPr>
          <t>Romanei da Silva:
Atraso de Obra a ser assinado aditivo conforme Rafael em 23/01/2024.Serviços fora de escopo (remobilização)</t>
        </r>
      </text>
    </comment>
    <comment ref="J1484" authorId="0" shapeId="0" xr:uid="{8B9ADDDB-0432-49CF-AA3E-7C14DCDEB405}">
      <text>
        <r>
          <rPr>
            <sz val="8"/>
            <color theme="1"/>
            <rFont val="Calibri"/>
            <family val="2"/>
          </rPr>
          <t>Aditivo de contrato a ser assinado enviado e pago 10/04/24.</t>
        </r>
      </text>
    </comment>
    <comment ref="K1489" authorId="1" shapeId="0" xr:uid="{B90BFA67-4C0C-49AA-90F2-A22A94648558}">
      <text>
        <r>
          <rPr>
            <sz val="8"/>
            <color theme="1"/>
            <rFont val="Calibri"/>
            <family val="2"/>
          </rPr>
          <t>Gabriela Bezerra de Souza:
4° aditivo</t>
        </r>
      </text>
    </comment>
    <comment ref="J1492" authorId="0" shapeId="0" xr:uid="{898A213D-7C5C-41B7-8438-AD6F44092FBC}">
      <text>
        <r>
          <rPr>
            <sz val="8"/>
            <color theme="1"/>
            <rFont val="Calibri"/>
            <family val="2"/>
          </rPr>
          <t xml:space="preserve"> Descrição dos Serviços: Elaboração de documentação ambiental para solicitação de DAIA único e dossiê 
ambiental CEMIG – D nos termos e especificações previstos no Anexo 1 – Proposta Comercial e Técnica.
 Local da prestação de Serviço: UFV Campo Belo 2
 Prazo de Conclusão dos Serviços: Mobilização em até 5 dias após aprovação da proposta. Entrega prevista 
dossiê Ambiental Cemig-D, em até 20 dias.
</t>
        </r>
      </text>
    </comment>
    <comment ref="J1494" authorId="0" shapeId="0" xr:uid="{922A3AA6-FCF5-4BDF-9BF0-A75B9E38FB9C}">
      <text>
        <r>
          <rPr>
            <sz val="8"/>
            <color theme="1"/>
            <rFont val="Calibri"/>
            <family val="2"/>
          </rPr>
          <t>1)-Alterado para revisão escopo em 29/08/24
2)-Alterado para revisão escopo em 09/09/25</t>
        </r>
      </text>
    </comment>
    <comment ref="J1529" authorId="0" shapeId="0" xr:uid="{9CDF745D-0350-4DD0-8166-708896ED6F2C}">
      <text>
        <r>
          <rPr>
            <sz val="8"/>
            <color theme="1"/>
            <rFont val="Calibri"/>
            <family val="2"/>
          </rPr>
          <t>1)-Alterado para revisão escopo em 29/08/24
2)-Alterado para revisão escopo em 09/09/25</t>
        </r>
      </text>
    </comment>
    <comment ref="J1564" authorId="0" shapeId="0" xr:uid="{49CF2CB6-8D99-4DCA-84D3-D271C89B65EA}">
      <text>
        <r>
          <rPr>
            <sz val="8"/>
            <color theme="1"/>
            <rFont val="Calibri"/>
            <family val="2"/>
          </rPr>
          <t>1)-Alterado para revisão escopo em 29/08/24
2)-Alterado para revisão escopo em 09/09/25</t>
        </r>
      </text>
    </comment>
    <comment ref="J1579" authorId="0" shapeId="0" xr:uid="{6181E498-4405-4777-AD13-A4584D9C09C1}">
      <text>
        <r>
          <rPr>
            <sz val="8"/>
            <color theme="1"/>
            <rFont val="Calibri"/>
            <family val="2"/>
          </rPr>
          <t>Ajuste de Wp.(R$52.647,00)+Ajuste de piso de faturamento direto (R$50.355,00). = 103.002,00R$</t>
        </r>
      </text>
    </comment>
    <comment ref="L1579" authorId="0" shapeId="0" xr:uid="{CAB777D4-1983-47B7-95C9-F2D7D4771CA0}">
      <text>
        <r>
          <rPr>
            <sz val="8"/>
            <color theme="1"/>
            <rFont val="Calibri"/>
            <family val="2"/>
          </rPr>
          <t>Aditivo de concretagem das estacas.</t>
        </r>
      </text>
    </comment>
    <comment ref="M1579" authorId="0" shapeId="0" xr:uid="{073F1E68-4652-489C-AAB2-55D276664439}">
      <text>
        <r>
          <rPr>
            <sz val="8"/>
            <color theme="1"/>
            <rFont val="Calibri"/>
            <family val="2"/>
          </rPr>
          <t>Correção IPCA conforme contrato.(45889,71R$)+serviços fora do escopo e remobilização(53102,86R$)=98993 R$</t>
        </r>
      </text>
    </comment>
    <comment ref="N1579" authorId="0" shapeId="0" xr:uid="{FBAF25C7-43A5-4A46-8B6C-264BAA4EABF4}">
      <text>
        <r>
          <rPr>
            <sz val="8"/>
            <color theme="1"/>
            <rFont val="Calibri"/>
            <family val="2"/>
          </rPr>
          <t>Atrasos de Mão de Obra</t>
        </r>
      </text>
    </comment>
    <comment ref="K1594" authorId="1" shapeId="0" xr:uid="{5FE94005-CC3C-4508-8AAB-B896BD3E31DB}">
      <text>
        <r>
          <rPr>
            <sz val="8"/>
            <color theme="1"/>
            <rFont val="Calibri"/>
            <family val="2"/>
          </rPr>
          <t>Gabriela Bezerra de Souza:
4° aditivo</t>
        </r>
      </text>
    </comment>
    <comment ref="J1595" authorId="0" shapeId="0" xr:uid="{F2896422-13A9-40E8-B775-D841A578A420}">
      <text>
        <r>
          <rPr>
            <sz val="8"/>
            <color theme="1"/>
            <rFont val="Calibri"/>
            <family val="2"/>
          </rPr>
          <t>cONTRATO SALVO NA AREA DE CONTRATOS DRENAGEM.. ORCI. APROVAÇÃO PELO CONSELHO EM JULHO DE 2025.</t>
        </r>
      </text>
    </comment>
    <comment ref="L1596" authorId="0" shapeId="0" xr:uid="{0E7DB3BF-5CFD-4F31-A8E9-A92F1C3C45AE}">
      <text>
        <r>
          <rPr>
            <sz val="8"/>
            <color theme="1"/>
            <rFont val="Calibri"/>
            <family val="2"/>
          </rPr>
          <t>Enviado Comentário de aditivo pelo Rafael em qui 06/06/2024 16:38</t>
        </r>
      </text>
    </comment>
    <comment ref="J1597" authorId="0" shapeId="0" xr:uid="{4BC8847A-F08A-4783-8404-FC9665417A08}">
      <text>
        <r>
          <rPr>
            <sz val="8"/>
            <color theme="1"/>
            <rFont val="Calibri"/>
            <family val="2"/>
          </rPr>
          <t xml:space="preserve">Aplicação de semeadura pelo medodo hidrossemeadura Cntrato Rima em </t>
        </r>
      </text>
    </comment>
    <comment ref="J1599" authorId="0" shapeId="0" xr:uid="{371294F9-31C3-4FE6-A330-6A4D61BBAD21}">
      <text>
        <r>
          <rPr>
            <sz val="8"/>
            <color theme="1"/>
            <rFont val="Calibri"/>
            <family val="2"/>
          </rPr>
          <t>1)-Alterado para revisão escopo em 29/08/24
2)-Alterado para revisão escopo em 09/09/25</t>
        </r>
      </text>
    </comment>
    <comment ref="I1609" authorId="0" shapeId="0" xr:uid="{3CF71F7C-632A-4DA6-9B20-1C62CC4FF02C}">
      <text>
        <r>
          <rPr>
            <sz val="8"/>
            <color theme="1"/>
            <rFont val="Calibri"/>
            <family val="2"/>
          </rPr>
          <t>Prad GOS</t>
        </r>
      </text>
    </comment>
    <comment ref="J1634" authorId="0" shapeId="0" xr:uid="{2E60B476-0C05-4F0E-A5E3-82BCE9F84E7E}">
      <text>
        <r>
          <rPr>
            <sz val="8"/>
            <color theme="1"/>
            <rFont val="Calibri"/>
            <family val="2"/>
          </rPr>
          <t>1)-Alterado para revisão escopo em 29/08/24
2)-Alterado para revisão escopo em 09/09/25</t>
        </r>
      </text>
    </comment>
    <comment ref="J1652" authorId="0" shapeId="0" xr:uid="{0CAE4FA4-4EBE-45A0-9AE8-22FA980D3FF3}">
      <text>
        <r>
          <rPr>
            <sz val="8"/>
            <color theme="1"/>
            <rFont val="Calibri"/>
            <family val="2"/>
          </rPr>
          <t>Romanei da Silva:
Transferido para escopo Comerc 3780</t>
        </r>
      </text>
    </comment>
    <comment ref="L1652" authorId="0" shapeId="0" xr:uid="{650F04C4-2242-4512-828F-9EB48D09CEB5}">
      <text>
        <r>
          <rPr>
            <sz val="8"/>
            <color theme="1"/>
            <rFont val="Calibri"/>
            <family val="2"/>
          </rPr>
          <t>Romanei da Silva: Pago a Inovar Energ
Re-escavação das sapatas de acordo com as exigências de novos dimensionais apresentadas pelo fabricante STI, bem como custo 
de volume de concreto adicional ao previsto em orçamento, face aos novos dimensionais das sapatas.
40479,95 - Transferido para escopo Comerc</t>
        </r>
      </text>
    </comment>
    <comment ref="J1669" authorId="0" shapeId="0" xr:uid="{515233A2-9BD6-4C8F-996A-223D64B68BF9}">
      <text>
        <r>
          <rPr>
            <sz val="8"/>
            <color theme="1"/>
            <rFont val="Calibri"/>
            <family val="2"/>
          </rPr>
          <t>1)-Alterado para revisão escopo em 29/08/24
2)-Alterado para revisão escopo em 09/09/25</t>
        </r>
      </text>
    </comment>
    <comment ref="J1684" authorId="0" shapeId="0" xr:uid="{130EC782-7DDA-4429-B14E-57BE501AFCC6}">
      <text>
        <r>
          <rPr>
            <sz val="8"/>
            <color theme="1"/>
            <rFont val="Calibri"/>
            <family val="2"/>
          </rPr>
          <t xml:space="preserve">Aditivo a ser assinado  Augusto 17/08/2023.
</t>
        </r>
      </text>
    </comment>
    <comment ref="L1684" authorId="0" shapeId="0" xr:uid="{393FC358-75B9-45DE-8644-693E5478E420}">
      <text>
        <r>
          <rPr>
            <sz val="8"/>
            <color theme="1"/>
            <rFont val="Calibri"/>
            <family val="2"/>
          </rPr>
          <t xml:space="preserve">Romanei da Silva:
Recomposição de custo, referente a mão de obra  necessária para a construção das UFVs, em contrato EPC.  - ENVIADO POR RAFAEL </t>
        </r>
      </text>
    </comment>
    <comment ref="M1684" authorId="0" shapeId="0" xr:uid="{D49525AC-66E6-4EA2-B09D-D078F1A75980}">
      <text>
        <r>
          <rPr>
            <sz val="8"/>
            <color theme="1"/>
            <rFont val="Calibri"/>
            <family val="2"/>
          </rPr>
          <t>Romanei da Silva:
Aditivo de concretagem</t>
        </r>
      </text>
    </comment>
    <comment ref="J1700" authorId="0" shapeId="0" xr:uid="{F6E786FE-7840-459E-A5D1-2400DB9404DA}">
      <text>
        <r>
          <rPr>
            <sz val="8"/>
            <color theme="1"/>
            <rFont val="Calibri"/>
            <family val="2"/>
          </rPr>
          <t>Aditivo de Contrato a ser assinado</t>
        </r>
      </text>
    </comment>
    <comment ref="J1704" authorId="0" shapeId="0" xr:uid="{20200FA7-6BF8-481F-8AFE-5DF3AC8C6470}">
      <text>
        <r>
          <rPr>
            <sz val="8"/>
            <color theme="1"/>
            <rFont val="Calibri"/>
            <family val="2"/>
          </rPr>
          <t>1)-Alterado para revisão escopo em 29/08/24
2)-Alterado para revisão escopo em 09/09/25</t>
        </r>
      </text>
    </comment>
    <comment ref="I1714" authorId="0" shapeId="0" xr:uid="{CF330857-CE02-426E-8E6A-1E0A52C4BECF}">
      <text>
        <r>
          <rPr>
            <sz val="8"/>
            <color theme="1"/>
            <rFont val="Calibri"/>
            <family val="2"/>
          </rPr>
          <t>Prad GOS</t>
        </r>
      </text>
    </comment>
    <comment ref="J1718" authorId="0" shapeId="0" xr:uid="{674C395A-3D3F-4FF5-8D72-1102ECC3E2F3}">
      <text>
        <r>
          <rPr>
            <sz val="8"/>
            <color theme="1"/>
            <rFont val="Calibri"/>
            <family val="2"/>
          </rPr>
          <t>Aditivo a ser assinado contrato ADITIVO LINHA VIVA</t>
        </r>
      </text>
    </comment>
    <comment ref="L1718" authorId="0" shapeId="0" xr:uid="{D2CFBE23-0A96-4278-8929-093BDA354949}">
      <text>
        <r>
          <rPr>
            <sz val="8"/>
            <color theme="1"/>
            <rFont val="Calibri"/>
            <family val="2"/>
          </rPr>
          <t>Valor refere ao serviço de linha viva e não esta aditivado no Contrato.</t>
        </r>
      </text>
    </comment>
    <comment ref="M1718" authorId="0" shapeId="0" xr:uid="{7FA18AEC-D135-4CD2-BC02-FC80ED7D7D84}">
      <text>
        <r>
          <rPr>
            <sz val="8"/>
            <color theme="1"/>
            <rFont val="Calibri"/>
            <family val="2"/>
          </rPr>
          <t>Romanei da Silva:
Alterado para abater o contratos de At conforme email Marcio Milena e Melina dia 26/06/2024.RES: Acerto contratos AT/MT. Email na pasta de obras MT e At.</t>
        </r>
      </text>
    </comment>
    <comment ref="N1718" authorId="0" shapeId="0" xr:uid="{10AC240A-7203-48C6-A50F-3B88E3C0016F}">
      <text>
        <r>
          <rPr>
            <sz val="8"/>
            <color theme="1"/>
            <rFont val="Calibri"/>
            <family val="2"/>
          </rPr>
          <t>Romanei da Silva:
Distratos		Contrato	20% Gastos	Impostos das notas	Descontar:	Religador e materiais:		
Diamantina1	MORI GERACAO II 	R$ 3.677.500,00	R$ 735.500,00	R$ 0,00	R$ 460.000,00	R$ 197.032,23	R$ 78.467,77	A pagar Comerc
Diamantina2	MORI GERACAO II 	R$ 3.665.456,72	R$ 733.091,34	R$ 131.490,00	R$ 1.220.091,34	R$ 137.032,22	-R$ 492.542,22	A receber Comerc
Paraguaçu 1	MORI MINAS IV	R$ 3.085.046,91	R$ 617.009,38	R$ 0,00	R$ 626.405,00	R$ 0,00	-R$ 9.395,62	A receber Comerc
Muzambinho	MORI MINAS IV	R$ 2.270.553,19	R$ 454.110,64	R$ 99.960,00	R$ 952.000,00	R$ 0,00	-R$ 397.929,36	
						Saldo: 	-R$ 821.399,43	
Olhar na pasta distrato na Rede.</t>
        </r>
      </text>
    </comment>
    <comment ref="J1719" authorId="0" shapeId="0" xr:uid="{2EF8E2B4-6661-4C4A-9085-DCC744926FAB}">
      <text>
        <r>
          <rPr>
            <sz val="8"/>
            <color theme="1"/>
            <rFont val="Calibri"/>
            <family val="2"/>
          </rPr>
          <t>Pagamento de medição referente aditivo de concreto. ENVIADO POR AUGUSTO</t>
        </r>
      </text>
    </comment>
    <comment ref="J1728" authorId="0" shapeId="0" xr:uid="{9082CE23-D786-4830-98DB-5B0C609EB908}">
      <text>
        <r>
          <rPr>
            <sz val="8"/>
            <color theme="1"/>
            <rFont val="Calibri"/>
            <family val="2"/>
          </rPr>
          <t>Aditivo de contrato a ser assinado enviado e pago 10/04/24.</t>
        </r>
      </text>
    </comment>
    <comment ref="J1737" authorId="0" shapeId="0" xr:uid="{C910C347-AD42-4EB8-AC3D-9722DA55F25D}">
      <text>
        <r>
          <rPr>
            <sz val="8"/>
            <color theme="1"/>
            <rFont val="Calibri"/>
            <family val="2"/>
          </rPr>
          <t>Romanei da Silva:
Daia - Elaboração de dossie unico Cemig D</t>
        </r>
      </text>
    </comment>
    <comment ref="J1739" authorId="0" shapeId="0" xr:uid="{14D5F013-0893-456C-B108-371E24C41FEB}">
      <text>
        <r>
          <rPr>
            <sz val="8"/>
            <color theme="1"/>
            <rFont val="Calibri"/>
            <family val="2"/>
          </rPr>
          <t>1)-Alterado para revisão escopo em 29/08/24
2)-Alterado para revisão escopo em 09/09/25</t>
        </r>
      </text>
    </comment>
    <comment ref="J1753" authorId="0" shapeId="0" xr:uid="{4EC4CBDC-5366-4068-8767-62E9842F626D}">
      <text>
        <r>
          <rPr>
            <sz val="8"/>
            <color theme="1"/>
            <rFont val="Calibri"/>
            <family val="2"/>
          </rPr>
          <t>Romanei da Silva:
Distratos		Contrato	20% Gastos	Impostos das notas	Descontar:	Religador e materiais:		
Diamantina1	MORI GERACAO II 	R$ 3.677.500,00	R$ 735.500,00	R$ 0,00	R$ 460.000,00	R$ 197.032,23	R$ 78.467,77	A pagar Comerc
Diamantina2	MORI GERACAO II 	R$ 3.665.456,72	R$ 733.091,34	R$ 131.490,00	R$ 1.220.091,34	R$ 137.032,22	-R$ 492.542,22	A receber Comerc
Paraguaçu 1	MORI MINAS IV	R$ 3.085.046,91	R$ 617.009,38	R$ 0,00	R$ 626.405,00	R$ 0,00	-R$ 9.395,62	A receber Comerc
Muzambinho	MORI MINAS IV	R$ 2.270.553,19	R$ 454.110,64	R$ 99.960,00	R$ 952.000,00	R$ 0,00	-R$ 397.929,36	
						Saldo: 	-R$ 821.399,43	
Olhar na pasta distrato na Rede.</t>
        </r>
      </text>
    </comment>
    <comment ref="J1754" authorId="0" shapeId="0" xr:uid="{01486C3F-B02F-40DC-B11B-CE0BAE72C214}">
      <text>
        <r>
          <rPr>
            <sz val="8"/>
            <color theme="1"/>
            <rFont val="Calibri"/>
            <family val="2"/>
          </rPr>
          <t>Ajuste de Wp</t>
        </r>
      </text>
    </comment>
    <comment ref="L1754" authorId="0" shapeId="0" xr:uid="{1852E06F-AD61-4535-A1DC-C0CDD1179B17}">
      <text>
        <r>
          <rPr>
            <sz val="8"/>
            <color theme="1"/>
            <rFont val="Calibri"/>
            <family val="2"/>
          </rPr>
          <t xml:space="preserve">Romanei da Silva:
Concretagens de estacas das demais usinas </t>
        </r>
      </text>
    </comment>
    <comment ref="J1764" authorId="0" shapeId="0" xr:uid="{3E861F81-8110-4C51-B7F2-D5FAD09B09F6}">
      <text>
        <r>
          <rPr>
            <sz val="8"/>
            <color theme="1"/>
            <rFont val="Calibri"/>
            <family val="2"/>
          </rPr>
          <t>Aditivo de contrato a ser assinado enviado e pago 10/04/24.</t>
        </r>
      </text>
    </comment>
    <comment ref="J1772" authorId="0" shapeId="0" xr:uid="{FB173CE5-959D-43DE-970D-3DD4170F2464}">
      <text>
        <r>
          <rPr>
            <sz val="8"/>
            <color theme="1"/>
            <rFont val="Calibri"/>
            <family val="2"/>
          </rPr>
          <t>Incluido Ria de supressão de executado colheita.Este contrato e com a RIMA em complemento ao de Supressão da Atenas.</t>
        </r>
      </text>
    </comment>
    <comment ref="J1774" authorId="0" shapeId="0" xr:uid="{0E6A100A-698F-47CE-8D11-E82522AAB723}">
      <text>
        <r>
          <rPr>
            <sz val="8"/>
            <color theme="1"/>
            <rFont val="Calibri"/>
            <family val="2"/>
          </rPr>
          <t>1)-Alterado para revisão escopo em 29/08/24
2)-Alterado para revisão escopo em 09/09/25</t>
        </r>
      </text>
    </comment>
    <comment ref="I1776" authorId="0" shapeId="0" xr:uid="{FBEF993A-2A3D-421F-8533-82929840A809}">
      <text>
        <r>
          <rPr>
            <sz val="8"/>
            <color theme="1"/>
            <rFont val="Calibri"/>
            <family val="2"/>
          </rPr>
          <t>CONTRATO ENGELUZ</t>
        </r>
      </text>
    </comment>
    <comment ref="J1776" authorId="0" shapeId="0" xr:uid="{3CCC5034-84E0-4209-A7B3-F0173DB55ECB}">
      <text>
        <r>
          <rPr>
            <sz val="8"/>
            <color theme="1"/>
            <rFont val="Calibri"/>
            <family val="2"/>
          </rPr>
          <t>R$ 258.144,00  Aditivo enviado para assinatura em 01/03/24. Aditivo de contrato Engeluz</t>
        </r>
      </text>
    </comment>
    <comment ref="M1788" authorId="0" shapeId="0" xr:uid="{0908DA21-18CC-41C7-8179-417FB8CA0EF2}">
      <text>
        <r>
          <rPr>
            <sz val="8"/>
            <color theme="1"/>
            <rFont val="Calibri"/>
            <family val="2"/>
          </rPr>
          <t xml:space="preserve">Descontado o saldo no contrato de Passos 4 na negociação acerto de contas das Usinas 
</t>
        </r>
      </text>
    </comment>
    <comment ref="J1789" authorId="0" shapeId="0" xr:uid="{53458E14-7159-419D-AE6E-5BC6ECA07901}">
      <text>
        <r>
          <rPr>
            <sz val="8"/>
            <color theme="1"/>
            <rFont val="Calibri"/>
            <family val="2"/>
          </rPr>
          <t xml:space="preserve">Ajuste de WP+ ajuste de piso de faturamento direto </t>
        </r>
      </text>
    </comment>
    <comment ref="L1789" authorId="0" shapeId="0" xr:uid="{0B0674A0-C72E-4232-9842-C4D7EF6B0A5A}">
      <text>
        <r>
          <rPr>
            <sz val="8"/>
            <color theme="1"/>
            <rFont val="Calibri"/>
            <family val="2"/>
          </rPr>
          <t>Concretagem das estacas das demais usinas</t>
        </r>
      </text>
    </comment>
    <comment ref="I1799" authorId="0" shapeId="0" xr:uid="{08642860-3F8C-4C63-976F-5ED8D15D3FB4}">
      <text>
        <r>
          <rPr>
            <sz val="8"/>
            <color theme="1"/>
            <rFont val="Calibri"/>
            <family val="2"/>
          </rPr>
          <t>Exec. + Terr. + Dren</t>
        </r>
      </text>
    </comment>
    <comment ref="J1799" authorId="0" shapeId="0" xr:uid="{90587068-533F-4158-BBD2-B8ABC5E9D4D0}">
      <text>
        <r>
          <rPr>
            <sz val="8"/>
            <color theme="1"/>
            <rFont val="Calibri"/>
            <family val="2"/>
          </rPr>
          <t>Aditivo de contrato a ser assinado enviado e pago 10/04/24.</t>
        </r>
      </text>
    </comment>
    <comment ref="K1804" authorId="1" shapeId="0" xr:uid="{7D50D90A-7C56-48A9-B145-082E33DECE1F}">
      <text>
        <r>
          <rPr>
            <sz val="8"/>
            <color theme="1"/>
            <rFont val="Calibri"/>
            <family val="2"/>
          </rPr>
          <t>Gabriela Bezerra de Souza:
4° aditivo</t>
        </r>
      </text>
    </comment>
    <comment ref="J1807" authorId="0" shapeId="0" xr:uid="{CC7A496E-A943-4AD8-916A-D0428FE143B0}">
      <text>
        <r>
          <rPr>
            <sz val="8"/>
            <color theme="1"/>
            <rFont val="Calibri"/>
            <family val="2"/>
          </rPr>
          <t>TEMOS DOIS CONTRATOS.. DAIA+ SUPRESÃO.</t>
        </r>
      </text>
    </comment>
    <comment ref="J1809" authorId="0" shapeId="0" xr:uid="{E5E936C9-9649-4706-BB93-0649E72A01B5}">
      <text>
        <r>
          <rPr>
            <sz val="8"/>
            <color theme="1"/>
            <rFont val="Calibri"/>
            <family val="2"/>
          </rPr>
          <t>1)-Alterado para revisão escopo em 29/08/24
2)-Alterado para revisão escopo em 09/09/25</t>
        </r>
      </text>
    </comment>
    <comment ref="I1819" authorId="0" shapeId="0" xr:uid="{9DFAB2C7-0C98-48E0-8CD4-1E7AA946D919}">
      <text>
        <r>
          <rPr>
            <sz val="8"/>
            <color theme="1"/>
            <rFont val="Calibri"/>
            <family val="2"/>
          </rPr>
          <t>Prad GOS</t>
        </r>
      </text>
    </comment>
    <comment ref="J1844" authorId="0" shapeId="0" xr:uid="{1422D34C-E6AC-476F-BDF2-4486AAEBAF86}">
      <text>
        <r>
          <rPr>
            <sz val="8"/>
            <color theme="1"/>
            <rFont val="Calibri"/>
            <family val="2"/>
          </rPr>
          <t>1)-Alterado para revisão escopo em 29/08/24
2)-Alterado para revisão escopo em 09/09/25</t>
        </r>
      </text>
    </comment>
    <comment ref="I1849" authorId="0" shapeId="0" xr:uid="{675B42FB-0FA5-465D-9505-12C54B55EE6A}">
      <text>
        <r>
          <rPr>
            <sz val="8"/>
            <color theme="1"/>
            <rFont val="Calibri"/>
            <family val="2"/>
          </rPr>
          <t>Pacote e aditivo de sobressalentes.</t>
        </r>
      </text>
    </comment>
    <comment ref="J1875" authorId="0" shapeId="0" xr:uid="{25515277-16AA-4A4C-A156-141F299D002F}">
      <text>
        <r>
          <rPr>
            <sz val="8"/>
            <color theme="1"/>
            <rFont val="Calibri"/>
            <family val="2"/>
          </rPr>
          <t>Cobrar contrato de Drenagem aditivo</t>
        </r>
      </text>
    </comment>
    <comment ref="J1879" authorId="0" shapeId="0" xr:uid="{DF3C1CFB-376E-4072-AD70-AB30F9D607EA}">
      <text>
        <r>
          <rPr>
            <sz val="8"/>
            <color theme="1"/>
            <rFont val="Calibri"/>
            <family val="2"/>
          </rPr>
          <t>1)-Alterado para revisão escopo em 29/08/24
2)-Alterado para revisão escopo em 09/09/25</t>
        </r>
      </text>
    </comment>
    <comment ref="I1884" authorId="0" shapeId="0" xr:uid="{97D0E182-C169-4D1E-B9EF-55000D07BF04}">
      <text>
        <r>
          <rPr>
            <sz val="8"/>
            <color theme="1"/>
            <rFont val="Calibri"/>
            <family val="2"/>
          </rPr>
          <t>Pacote e aditivo de sobressalentes.</t>
        </r>
      </text>
    </comment>
    <comment ref="L1893" authorId="0" shapeId="0" xr:uid="{49D0E2A3-DCE6-4CDA-B942-D5EBACE61D29}">
      <text>
        <r>
          <rPr>
            <sz val="8"/>
            <color theme="1"/>
            <rFont val="Calibri"/>
            <family val="2"/>
          </rPr>
          <t>Romanei da Silva:
Distratos		Contrato	20% Gastos	Impostos das notas	Descontar:	Religador e materiais:		
Diamantina1	MORI GERACAO II 	R$ 3.677.500,00	R$ 735.500,00	R$ 0,00	R$ 460.000,00	R$ 197.032,23	R$ 78.467,77	A pagar Comerc
Diamantina2	MORI GERACAO II 	R$ 3.665.456,72	R$ 733.091,34	R$ 131.490,00	R$ 1.220.091,34	R$ 137.032,22	-R$ 492.542,22	A receber Comerc
Paraguaçu 1	MORI MINAS IV	R$ 3.085.046,91	R$ 617.009,38	R$ 0,00	R$ 626.405,00	R$ 0,00	-R$ 9.395,62	A receber Comerc
Muzambinho	MORI MINAS IV	R$ 2.270.553,19	R$ 454.110,64	R$ 99.960,00	R$ 952.000,00	R$ 0,00	-R$ 397.929,36	
						Saldo: 	-R$ 821.399,43	
Olhar na pasta distrato na Rede.</t>
        </r>
      </text>
    </comment>
    <comment ref="J1894" authorId="0" shapeId="0" xr:uid="{1D767AEE-9A44-416F-ACAB-D47A650BDFC1}">
      <text>
        <r>
          <rPr>
            <sz val="8"/>
            <color theme="1"/>
            <rFont val="Calibri"/>
            <family val="2"/>
          </rPr>
          <t>Romanei da Silva:
Aditivo concretagem das hastes</t>
        </r>
      </text>
    </comment>
    <comment ref="I1903" authorId="0" shapeId="0" xr:uid="{216ECFAF-E51F-4AED-AFE5-D6F90E1334C3}">
      <text>
        <r>
          <rPr>
            <sz val="8"/>
            <color theme="1"/>
            <rFont val="Calibri"/>
            <family val="2"/>
          </rPr>
          <t xml:space="preserve">Romanei da Silva:
Escopo Projeto Valor Terr. 20.000R$ + Drenagrem R$15.000.(Contrato)
</t>
        </r>
      </text>
    </comment>
    <comment ref="J1903" authorId="0" shapeId="0" xr:uid="{D02A853C-F42C-43BC-A3ED-D0D08CB52457}">
      <text>
        <r>
          <rPr>
            <sz val="8"/>
            <color theme="1"/>
            <rFont val="Calibri"/>
            <family val="2"/>
          </rPr>
          <t>Aditivo de contrato a ser assinado enviado e pago 10/04/24.</t>
        </r>
      </text>
    </comment>
    <comment ref="J1912" authorId="0" shapeId="0" xr:uid="{CE19AC9F-8F2C-4C40-9BF5-F4E694E22A22}">
      <text>
        <r>
          <rPr>
            <sz val="8"/>
            <color theme="1"/>
            <rFont val="Calibri"/>
            <family val="2"/>
          </rPr>
          <t>Romanei da Silva:
Serviço – Licenciamento Ambiental/ Comunicação de colheita/Eucaliptos –
datada em 03 de fevereiro de 2023.</t>
        </r>
      </text>
    </comment>
    <comment ref="J1914" authorId="0" shapeId="0" xr:uid="{51858191-C120-4230-BAA1-FDFDDAC75950}">
      <text>
        <r>
          <rPr>
            <sz val="8"/>
            <color theme="1"/>
            <rFont val="Calibri"/>
            <family val="2"/>
          </rPr>
          <t>1)-Alterado para revisão escopo em 29/08/24
2)-Alterado para revisão escopo em 09/09/25</t>
        </r>
      </text>
    </comment>
    <comment ref="J1949" authorId="0" shapeId="0" xr:uid="{7FC0775C-57A3-4FF3-925B-DC18DB4DD6A2}">
      <text>
        <r>
          <rPr>
            <sz val="8"/>
            <color theme="1"/>
            <rFont val="Calibri"/>
            <family val="2"/>
          </rPr>
          <t>1)-Alterado para revisão escopo em 29/08/24
2)-Alterado para revisão escopo em 09/09/25</t>
        </r>
      </text>
    </comment>
    <comment ref="J1964" authorId="0" shapeId="0" xr:uid="{EE47D00C-88E5-4E6E-B720-9A77DC469BD5}">
      <text>
        <r>
          <rPr>
            <sz val="8"/>
            <color theme="1"/>
            <rFont val="Calibri"/>
            <family val="2"/>
          </rPr>
          <t>Romanei da Silva:
Concretagem varginha 1</t>
        </r>
      </text>
    </comment>
    <comment ref="L1964" authorId="0" shapeId="0" xr:uid="{B5DB80AF-E16F-412F-BE75-0E520D8E1501}">
      <text>
        <r>
          <rPr>
            <sz val="8"/>
            <color theme="1"/>
            <rFont val="Calibri"/>
            <family val="2"/>
          </rPr>
          <t>Romanei da Silva:
Ajuste wp</t>
        </r>
      </text>
    </comment>
    <comment ref="M1964" authorId="0" shapeId="0" xr:uid="{0A244D14-650C-4B77-8B53-5641310B84F6}">
      <text>
        <r>
          <rPr>
            <sz val="8"/>
            <color theme="1"/>
            <rFont val="Calibri"/>
            <family val="2"/>
          </rPr>
          <t>Romanei da Silva:
Atrasos de Obra</t>
        </r>
      </text>
    </comment>
    <comment ref="N1964" authorId="0" shapeId="0" xr:uid="{DD1BAC0E-D1DD-4079-90F6-49D3EC4770DC}">
      <text>
        <r>
          <rPr>
            <sz val="8"/>
            <color theme="1"/>
            <rFont val="Calibri"/>
            <family val="2"/>
          </rPr>
          <t>Romanei da Silva:
IPCA previsto em Contrato.</t>
        </r>
      </text>
    </comment>
    <comment ref="K1979" authorId="1" shapeId="0" xr:uid="{52271DC8-399B-4791-A574-38AFE54B161C}">
      <text>
        <r>
          <rPr>
            <sz val="8"/>
            <color theme="1"/>
            <rFont val="Calibri"/>
            <family val="2"/>
          </rPr>
          <t>Gabriela Bezerra de Souza:
4° aditivo</t>
        </r>
      </text>
    </comment>
    <comment ref="J1984" authorId="0" shapeId="0" xr:uid="{4E5EC808-060C-47F8-9242-AFBC69526A77}">
      <text>
        <r>
          <rPr>
            <sz val="8"/>
            <color theme="1"/>
            <rFont val="Calibri"/>
            <family val="2"/>
          </rPr>
          <t>1)-Alterado para revisão escopo em 29/08/24
2)-Alterado para revisão escopo em 09/09/25</t>
        </r>
      </text>
    </comment>
    <comment ref="L1998" authorId="0" shapeId="0" xr:uid="{9AAB8DCE-DDD1-4BC3-859A-305FF23BDD20}">
      <text>
        <r>
          <rPr>
            <sz val="8"/>
            <color theme="1"/>
            <rFont val="Calibri"/>
            <family val="2"/>
          </rPr>
          <t>Romanei da Silva:
Não tinhamos este aditivo conforme verificado Romanei/Dener/Gui em 18/02/25.</t>
        </r>
      </text>
    </comment>
    <comment ref="J1999" authorId="0" shapeId="0" xr:uid="{1EADCC13-2BC3-4262-85EA-F39B16EF4566}">
      <text>
        <r>
          <rPr>
            <sz val="8"/>
            <color theme="1"/>
            <rFont val="Calibri"/>
            <family val="2"/>
          </rPr>
          <t>Romanei da Silva:
Concretagem das estacas de Varginha 2</t>
        </r>
      </text>
    </comment>
    <comment ref="L1999" authorId="0" shapeId="0" xr:uid="{CDC51B91-F58C-4573-A9F9-A37F9E78A53B}">
      <text>
        <r>
          <rPr>
            <sz val="8"/>
            <color theme="1"/>
            <rFont val="Calibri"/>
            <family val="2"/>
          </rPr>
          <t>Romanei da Silva:
Ajuste de Wp</t>
        </r>
      </text>
    </comment>
    <comment ref="M1999" authorId="0" shapeId="0" xr:uid="{016D5D0F-BDF0-4613-91DE-0DE57D5A9839}">
      <text>
        <r>
          <rPr>
            <sz val="8"/>
            <color theme="1"/>
            <rFont val="Calibri"/>
            <family val="2"/>
          </rPr>
          <t>Romanei da Silva:
Atrasos de obra</t>
        </r>
      </text>
    </comment>
    <comment ref="N1999" authorId="0" shapeId="0" xr:uid="{AB63CF54-8C7E-4135-814F-87B1BE1407F6}">
      <text>
        <r>
          <rPr>
            <sz val="8"/>
            <color theme="1"/>
            <rFont val="Calibri"/>
            <family val="2"/>
          </rPr>
          <t>Romanei da Silva:
Correção IPCA prevista em contrato</t>
        </r>
      </text>
    </comment>
    <comment ref="J2019" authorId="0" shapeId="0" xr:uid="{84D3931C-4B1B-416D-9C30-2F00707438AC}">
      <text>
        <r>
          <rPr>
            <sz val="8"/>
            <color theme="1"/>
            <rFont val="Calibri"/>
            <family val="2"/>
          </rPr>
          <t>1)-Alterado para revisão escopo em 29/08/24
2)-Alterado para revisão escopo em 09/09/25</t>
        </r>
      </text>
    </comment>
    <comment ref="J2034" authorId="0" shapeId="0" xr:uid="{4B4171AA-92D1-4821-81E7-869FCA03500F}">
      <text>
        <r>
          <rPr>
            <sz val="8"/>
            <color theme="1"/>
            <rFont val="Calibri"/>
            <family val="2"/>
          </rPr>
          <t>Romanei da Silva:
Concretagem</t>
        </r>
      </text>
    </comment>
    <comment ref="L2034" authorId="0" shapeId="0" xr:uid="{4DBD5C39-D4C9-4AF8-90AA-CD690FA8194F}">
      <text>
        <r>
          <rPr>
            <sz val="8"/>
            <color theme="1"/>
            <rFont val="Calibri"/>
            <family val="2"/>
          </rPr>
          <t>Ajuste de Wp</t>
        </r>
      </text>
    </comment>
    <comment ref="M2034" authorId="0" shapeId="0" xr:uid="{4A5A25DC-4784-48EB-B215-85F681E2130A}">
      <text>
        <r>
          <rPr>
            <sz val="8"/>
            <color theme="1"/>
            <rFont val="Calibri"/>
            <family val="2"/>
          </rPr>
          <t>Atrasos de Obra.</t>
        </r>
      </text>
    </comment>
    <comment ref="N2034" authorId="0" shapeId="0" xr:uid="{5AC48DA8-DDCA-4250-9F15-C6F740FC4061}">
      <text>
        <r>
          <rPr>
            <sz val="8"/>
            <color theme="1"/>
            <rFont val="Calibri"/>
            <family val="2"/>
          </rPr>
          <t xml:space="preserve">Pagamento de medição, referente a correção IPCA + elaboração de planos,  necessários a construção da UFVs, em contrato EPC.  35% - ENVIADO POR SM RAFAEL OLIVEIRA </t>
        </r>
      </text>
    </comment>
    <comment ref="J2049" authorId="0" shapeId="0" xr:uid="{6B5CD60F-46B6-4640-9E80-77D3B287EC26}">
      <text>
        <r>
          <rPr>
            <sz val="8"/>
            <color theme="1"/>
            <rFont val="Calibri"/>
            <family val="2"/>
          </rPr>
          <t>Contrato enviado em 25/09/24</t>
        </r>
      </text>
    </comment>
    <comment ref="F2050" authorId="0" shapeId="0" xr:uid="{A8EA33C8-4A7E-40E9-A30F-332B2086281D}">
      <text>
        <r>
          <rPr>
            <sz val="8"/>
            <color theme="1"/>
            <rFont val="Calibri"/>
            <family val="2"/>
          </rPr>
          <t xml:space="preserve">Drenagem esta dentro Pacote da EPC, deve ser classificado como Serviços de Construção.
</t>
        </r>
      </text>
    </comment>
    <comment ref="J2054" authorId="0" shapeId="0" xr:uid="{057D982C-CF4B-42B9-AA3F-ACD64DD0878B}">
      <text>
        <r>
          <rPr>
            <sz val="8"/>
            <color theme="1"/>
            <rFont val="Calibri"/>
            <family val="2"/>
          </rPr>
          <t>1)-Alterado para revisão escopo em 29/08/24
2)-Alterado para revisão escopo em 09/09/25</t>
        </r>
      </text>
    </comment>
    <comment ref="M2068" authorId="0" shapeId="0" xr:uid="{BB9EB843-3BA5-4016-9F92-8B01DF3B478B}">
      <text>
        <r>
          <rPr>
            <sz val="8"/>
            <color theme="1"/>
            <rFont val="Calibri"/>
            <family val="2"/>
          </rPr>
          <t>Romanei da Silva:
Alterado para abater o contratos de At conforme email Marcio Milena e Melina dia 26/06/2024.RES: Acerto contratos AT/MT. Email na pasta de obras MT e At.</t>
        </r>
      </text>
    </comment>
    <comment ref="N2068" authorId="0" shapeId="0" xr:uid="{3E6BAE1F-D432-4D77-84CC-4B8C9C8496A8}">
      <text>
        <r>
          <rPr>
            <sz val="8"/>
            <color theme="1"/>
            <rFont val="Calibri"/>
            <family val="2"/>
          </rPr>
          <t xml:space="preserve">Saldo a Mais pago na ultima nota da MBA enviada por causa de erro nas notas de simples remessa.. Equivoco MBA.. Email Outubro de 2024 férias Romanei </t>
        </r>
      </text>
    </comment>
    <comment ref="J2069" authorId="0" shapeId="0" xr:uid="{54331843-5D69-41E9-BCD1-ABF74A933962}">
      <text>
        <r>
          <rPr>
            <sz val="8"/>
            <color theme="1"/>
            <rFont val="Calibri"/>
            <family val="2"/>
          </rPr>
          <t>Ajuste de Wp</t>
        </r>
      </text>
    </comment>
    <comment ref="L2069" authorId="0" shapeId="0" xr:uid="{D1F73F93-1553-4D7B-B239-F92BCB17DDC8}">
      <text>
        <r>
          <rPr>
            <sz val="8"/>
            <color theme="1"/>
            <rFont val="Calibri"/>
            <family val="2"/>
          </rPr>
          <t>Concretagem das estacas</t>
        </r>
      </text>
    </comment>
    <comment ref="J2079" authorId="0" shapeId="0" xr:uid="{EDD2094F-4543-4DF1-8C11-13C7E38F7945}">
      <text>
        <r>
          <rPr>
            <sz val="8"/>
            <color theme="1"/>
            <rFont val="Calibri"/>
            <family val="2"/>
          </rPr>
          <t>Aditivo de contrato a ser assinado enviado e pago 10/04/24.</t>
        </r>
      </text>
    </comment>
    <comment ref="L2086" authorId="0" shapeId="0" xr:uid="{EEA84251-D977-45E1-BBA8-6DE460C466F0}">
      <text>
        <r>
          <rPr>
            <sz val="8"/>
            <color theme="1"/>
            <rFont val="Calibri"/>
            <family val="2"/>
          </rPr>
          <t>Aditivo a ser assinado Contrato enviado Rafael em
qui 06/06/2024 16:38.</t>
        </r>
      </text>
    </comment>
    <comment ref="J2089" authorId="0" shapeId="0" xr:uid="{22E25562-B316-4306-9EB8-88FC10D14068}">
      <text>
        <r>
          <rPr>
            <sz val="8"/>
            <color theme="1"/>
            <rFont val="Calibri"/>
            <family val="2"/>
          </rPr>
          <t>1)-Alterado para revisão escopo em 29/08/24
2)-Alterado para revisão escopo em 09/09/25</t>
        </r>
      </text>
    </comment>
    <comment ref="I2093" authorId="0" shapeId="0" xr:uid="{E410173A-4987-4537-B68A-F47B916882FF}">
      <text>
        <r>
          <rPr>
            <sz val="8"/>
            <color theme="1"/>
            <rFont val="Calibri"/>
            <family val="2"/>
          </rPr>
          <t>Conforme Contrato Valor sem impostos - Colocado na abra lateral - 16,33%</t>
        </r>
      </text>
    </comment>
    <comment ref="J2093" authorId="0" shapeId="0" xr:uid="{2844EF5F-E411-4BCA-A4C0-6FA0CBA41E60}">
      <text>
        <r>
          <rPr>
            <sz val="8"/>
            <color theme="1"/>
            <rFont val="Calibri"/>
            <family val="2"/>
          </rPr>
          <t>Colocado na abra lateral - 16,33%</t>
        </r>
      </text>
    </comment>
    <comment ref="I2099" authorId="0" shapeId="0" xr:uid="{E8872D8A-564D-400C-9B3F-C3CE008022E3}">
      <text>
        <r>
          <rPr>
            <sz val="8"/>
            <color theme="1"/>
            <rFont val="Calibri"/>
            <family val="2"/>
          </rPr>
          <t>Prad GOS</t>
        </r>
      </text>
    </comment>
    <comment ref="I2103" authorId="0" shapeId="0" xr:uid="{3BD14E61-3FD2-4646-97B7-685B8C87636B}">
      <text>
        <r>
          <rPr>
            <sz val="8"/>
            <color theme="1"/>
            <rFont val="Calibri"/>
            <family val="2"/>
          </rPr>
          <t>Romanei da Silva:
Alterado para abater o contratos de At conforme email Marcio Milena e Melina dia 26/06/2024.RES: Acerto contratos AT/MT. Email na pasta de obras MT e At.</t>
        </r>
      </text>
    </comment>
    <comment ref="J2104" authorId="0" shapeId="0" xr:uid="{02334626-5EDD-444A-B38B-A1C8F0DD943A}">
      <text>
        <r>
          <rPr>
            <sz val="8"/>
            <color theme="1"/>
            <rFont val="Calibri"/>
            <family val="2"/>
          </rPr>
          <t xml:space="preserve">Romanei da Silva:
Ajuste de Wp
52.647,00 </t>
        </r>
      </text>
    </comment>
    <comment ref="L2104" authorId="0" shapeId="0" xr:uid="{956015BA-919C-4748-A8F4-F6D8C3B17B36}">
      <text>
        <r>
          <rPr>
            <sz val="8"/>
            <color theme="1"/>
            <rFont val="Calibri"/>
            <family val="2"/>
          </rPr>
          <t xml:space="preserve">Romanei da Silva:
Concretagens de estacas das demais usinas </t>
        </r>
      </text>
    </comment>
    <comment ref="I2114" authorId="0" shapeId="0" xr:uid="{21C60754-1E25-4F62-AB2D-DFBF63DB87AD}">
      <text>
        <r>
          <rPr>
            <sz val="8"/>
            <color theme="1"/>
            <rFont val="Calibri"/>
            <family val="2"/>
          </rPr>
          <t>Exec. + Terr. + Dren</t>
        </r>
      </text>
    </comment>
    <comment ref="J2114" authorId="0" shapeId="0" xr:uid="{C8785B91-A370-4159-9FDD-531A3136033A}">
      <text>
        <r>
          <rPr>
            <sz val="8"/>
            <color theme="1"/>
            <rFont val="Calibri"/>
            <family val="2"/>
          </rPr>
          <t>Aditivo de contrato a ser assinado enviado e pago 10/04/24.</t>
        </r>
      </text>
    </comment>
    <comment ref="J2121" authorId="0" shapeId="0" xr:uid="{0873CFA6-F3AA-4411-9D91-433D9969AF5A}">
      <text>
        <r>
          <rPr>
            <sz val="8"/>
            <color theme="1"/>
            <rFont val="Calibri"/>
            <family val="2"/>
          </rPr>
          <t>Conforme Informado pelo Rafael pelo Teams em 07/11/23 as 16:00 teremos um aditivo de contrato.</t>
        </r>
      </text>
    </comment>
    <comment ref="I2122" authorId="0" shapeId="0" xr:uid="{38D482ED-7992-4BAF-9DB8-AFC5004C35C7}">
      <text>
        <r>
          <rPr>
            <sz val="8"/>
            <color theme="1"/>
            <rFont val="Calibri"/>
            <family val="2"/>
          </rPr>
          <t>Aguardando assinatura do contrato. Guilherme - 18/01/2024</t>
        </r>
      </text>
    </comment>
    <comment ref="J2122" authorId="0" shapeId="0" xr:uid="{AC14F2FA-331B-47F4-8188-07B9E335893A}">
      <text>
        <r>
          <rPr>
            <sz val="8"/>
            <color theme="1"/>
            <rFont val="Calibri"/>
            <family val="2"/>
          </rPr>
          <t xml:space="preserve">Romanei da Silva:
ELABORAÇÃO DE DOCUMENTAÇÃO AMBIENTAL PARA SOLICITAÇÃO DE DAIA ÚNICO E DOSSIÊ AMBIENTAL CEMIG-D.
</t>
        </r>
      </text>
    </comment>
    <comment ref="J2124" authorId="0" shapeId="0" xr:uid="{3A05C81E-1DA5-434A-B671-7077D1D7F597}">
      <text>
        <r>
          <rPr>
            <sz val="8"/>
            <color theme="1"/>
            <rFont val="Calibri"/>
            <family val="2"/>
          </rPr>
          <t>1)-Alterado para revisão escopo em 29/08/24
2)-Alterado para revisão escopo em 09/09/25</t>
        </r>
      </text>
    </comment>
    <comment ref="I2128" authorId="0" shapeId="0" xr:uid="{12EBF181-2672-4569-8E5E-EC70DA9F76CF}">
      <text>
        <r>
          <rPr>
            <sz val="8"/>
            <color theme="1"/>
            <rFont val="Calibri"/>
            <family val="2"/>
          </rPr>
          <t>Conforme Contrato Valor sem impostos - Colocado na abra lateral - 16,33%</t>
        </r>
      </text>
    </comment>
    <comment ref="J2128" authorId="0" shapeId="0" xr:uid="{06B93E8F-44EE-4EF9-BC20-E542208091DB}">
      <text>
        <r>
          <rPr>
            <sz val="8"/>
            <color theme="1"/>
            <rFont val="Calibri"/>
            <family val="2"/>
          </rPr>
          <t xml:space="preserve">Colocado na abra lateral - 16,33%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Romanei da Silva</author>
  </authors>
  <commentList>
    <comment ref="K4" authorId="0" shapeId="0" xr:uid="{6DB7509B-6468-4E3C-94DA-0BA63768D00D}">
      <text>
        <r>
          <rPr>
            <sz val="8"/>
            <color theme="1"/>
            <rFont val="Calibri"/>
            <family val="2"/>
          </rPr>
          <t>Romanei da Silva:
PRESTAÇÃO DE SERVIÇOS UFVs (DIAMANTINA 1)  NF 732+</t>
        </r>
      </text>
    </comment>
    <comment ref="J470" authorId="0" shapeId="0" xr:uid="{551CC4BB-7CE1-4E25-AF46-3BC872A6CA85}">
      <text>
        <r>
          <rPr>
            <sz val="8"/>
            <color theme="1"/>
            <rFont val="Calibri"/>
            <family val="2"/>
          </rPr>
          <t>Romanei da Silva:
Pagamento aditivo de recomposição de custos. ENVIADO POR MATHEUS VILELA 25/02/</t>
        </r>
      </text>
    </comment>
    <comment ref="L899" authorId="0" shapeId="0" xr:uid="{AC9BD5D1-8010-4899-8791-B115E73D3AA8}">
      <text>
        <r>
          <rPr>
            <sz val="8"/>
            <color theme="1"/>
            <rFont val="Calibri"/>
            <family val="2"/>
          </rPr>
          <t>Aditivo de contratação da hélice continua do oficce.Cobrar a</t>
        </r>
      </text>
    </comment>
    <comment ref="K1361" authorId="0" shapeId="0" xr:uid="{865D4D4D-FD7B-4342-850F-73FAB4AAAD66}">
      <text>
        <r>
          <rPr>
            <b/>
            <sz val="9"/>
            <color indexed="81"/>
            <rFont val="Segoe UI"/>
            <family val="2"/>
          </rPr>
          <t>Romanei da Silva:</t>
        </r>
        <r>
          <rPr>
            <sz val="9"/>
            <color indexed="81"/>
            <rFont val="Segoe UI"/>
            <family val="2"/>
          </rPr>
          <t xml:space="preserve">
15729,49 - Compra feita diretamente pela Comerc acertada com Implantar e Wendel em 31/01.</t>
        </r>
      </text>
    </comment>
    <comment ref="L1921" authorId="0" shapeId="0" xr:uid="{BBD96A8B-B359-4145-9A86-F2C45EDA7E0E}">
      <text>
        <r>
          <rPr>
            <sz val="8"/>
            <color theme="1"/>
            <rFont val="Calibri"/>
            <family val="2"/>
          </rPr>
          <t xml:space="preserve">Romanei da Silva:
</t>
        </r>
      </text>
    </comment>
    <comment ref="K2043" authorId="0" shapeId="0" xr:uid="{274692BC-1454-494A-8A33-D31CE7704C72}">
      <text>
        <r>
          <rPr>
            <b/>
            <sz val="9"/>
            <color indexed="81"/>
            <rFont val="Segoe UI"/>
            <family val="2"/>
          </rPr>
          <t>Romanei da Silva:</t>
        </r>
        <r>
          <rPr>
            <sz val="9"/>
            <color indexed="81"/>
            <rFont val="Segoe UI"/>
            <family val="2"/>
          </rPr>
          <t xml:space="preserve">
 NF 157  CONCERT NÃO DESCONTAR EM CONTRATO</t>
        </r>
      </text>
    </comment>
    <comment ref="K9117" authorId="0" shapeId="0" xr:uid="{0B537CE2-F808-4F3E-836B-02CDE3239A43}">
      <text>
        <r>
          <rPr>
            <sz val="8"/>
            <color theme="1"/>
            <rFont val="Calibri"/>
            <family val="2"/>
          </rP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Romanei da Silva</author>
  </authors>
  <commentList>
    <comment ref="E32" authorId="0" shapeId="0" xr:uid="{1C23BCE9-DFBC-427F-8A0A-D52C24FD5045}">
      <text>
        <r>
          <rPr>
            <sz val="8"/>
            <color theme="1"/>
            <rFont val="Calibri"/>
            <family val="2"/>
          </rPr>
          <t>Enviado pelo Augusto em qua 01/05/2024 13:48. Aguardando o aditivo de Contrato.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Romanei da Silva</author>
  </authors>
  <commentList>
    <comment ref="E32" authorId="0" shapeId="0" xr:uid="{D4555181-5532-44C2-8039-30D22F3E8E98}">
      <text>
        <r>
          <rPr>
            <sz val="8"/>
            <color theme="1"/>
            <rFont val="Calibri"/>
            <family val="2"/>
          </rPr>
          <t>Enviado pelo Augusto em qua 01/05/2024 13:48. Aguardando o aditivo de Contrato.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Romanei da Silva</author>
  </authors>
  <commentList>
    <comment ref="E4" authorId="0" shapeId="0" xr:uid="{0423EB9E-2454-4780-B552-B81F56EFF544}">
      <text>
        <r>
          <rPr>
            <sz val="8"/>
            <color theme="1"/>
            <rFont val="Calibri"/>
            <family val="2"/>
          </rPr>
          <t>Valores Retirados das Obras GLD que deixou contrato. Alinhado Marcio.</t>
        </r>
      </text>
    </comment>
    <comment ref="E5" authorId="0" shapeId="0" xr:uid="{D4BE3C05-AF95-4845-B6D4-4740855B84D6}">
      <text>
        <r>
          <rPr>
            <sz val="8"/>
            <color theme="1"/>
            <rFont val="Calibri"/>
            <family val="2"/>
          </rPr>
          <t>Sai Via Prumo + Rosseti</t>
        </r>
      </text>
    </comment>
    <comment ref="E37" authorId="0" shapeId="0" xr:uid="{F229E75E-E383-4005-97F9-248A4F160C9A}">
      <text>
        <r>
          <rPr>
            <sz val="8"/>
            <color theme="1"/>
            <rFont val="Calibri"/>
            <family val="2"/>
          </rPr>
          <t>Valores Retirados das Obras GLD que deixou contrato. Alinhado Marcio.</t>
        </r>
      </text>
    </comment>
    <comment ref="E38" authorId="0" shapeId="0" xr:uid="{A2ED8FCD-8CEB-427E-998C-9E8A1002511F}">
      <text>
        <r>
          <rPr>
            <sz val="8"/>
            <color theme="1"/>
            <rFont val="Calibri"/>
            <family val="2"/>
          </rPr>
          <t>Sai Via Prumo + Rosseti</t>
        </r>
      </text>
    </comment>
    <comment ref="E70" authorId="0" shapeId="0" xr:uid="{BD58C6D0-B36E-4929-9B55-93FF3F64A38A}">
      <text>
        <r>
          <rPr>
            <sz val="8"/>
            <color theme="1"/>
            <rFont val="Calibri"/>
            <family val="2"/>
          </rPr>
          <t>Valores Retirados das Obras GLD que deixou contrato. Alinhado Marcio.</t>
        </r>
      </text>
    </comment>
    <comment ref="E71" authorId="0" shapeId="0" xr:uid="{42B8BE5B-2961-4B2E-944C-A10CB42B0782}">
      <text>
        <r>
          <rPr>
            <sz val="8"/>
            <color theme="1"/>
            <rFont val="Calibri"/>
            <family val="2"/>
          </rPr>
          <t>Sai Via Prumo + Rosseti</t>
        </r>
      </text>
    </comment>
    <comment ref="E103" authorId="0" shapeId="0" xr:uid="{FD6CD8BE-16A2-45FA-9DBE-1DF1E58E1259}">
      <text>
        <r>
          <rPr>
            <sz val="8"/>
            <color theme="1"/>
            <rFont val="Calibri"/>
            <family val="2"/>
          </rPr>
          <t>Valores Retirados das Obras GLD que deixou contrato. Alinhado Marcio.</t>
        </r>
      </text>
    </comment>
    <comment ref="E104" authorId="0" shapeId="0" xr:uid="{C1D8BA9C-7C7F-405F-B896-2C5413F6FEAA}">
      <text>
        <r>
          <rPr>
            <sz val="8"/>
            <color theme="1"/>
            <rFont val="Calibri"/>
            <family val="2"/>
          </rPr>
          <t>Sai Via Prumo + Rosseti</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Romanei da Silva</author>
  </authors>
  <commentList>
    <comment ref="J830" authorId="0" shapeId="0" xr:uid="{F791230D-03EE-4ED9-98CD-F24B312951F1}">
      <text>
        <r>
          <rPr>
            <sz val="8"/>
            <color theme="1"/>
            <rFont val="Calibri"/>
            <family val="2"/>
          </rPr>
          <t>Aditivo de Drenagem a ser enviado pelo Augusto em 23/01/24 Divinopolis1</t>
        </r>
      </text>
    </comment>
    <comment ref="K965" authorId="0" shapeId="0" xr:uid="{875827C0-5B16-4972-9BA0-79A66475A502}">
      <text>
        <r>
          <rPr>
            <sz val="8"/>
            <color theme="1"/>
            <rFont val="Calibri"/>
            <family val="2"/>
          </rPr>
          <t>Aditivo de recomposição de custos.</t>
        </r>
      </text>
    </comment>
    <comment ref="L1388" authorId="0" shapeId="0" xr:uid="{D3AA49F3-26C3-4D8D-839E-72F0A8545E71}">
      <text>
        <r>
          <rPr>
            <sz val="8"/>
            <color theme="1"/>
            <rFont val="Calibri"/>
            <family val="2"/>
          </rPr>
          <t>Estimado a ser aprovado: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Romanei da Silva</author>
  </authors>
  <commentList>
    <comment ref="J3" authorId="0" shapeId="0" xr:uid="{2E647657-1B33-4768-B183-749128FD07A5}">
      <text>
        <r>
          <rPr>
            <sz val="8"/>
            <color theme="1"/>
            <rFont val="Calibri"/>
            <family val="2"/>
          </rPr>
          <t>Estimativa de Gastos Escopo Conforme Manoel em 10/06/24.</t>
        </r>
      </text>
    </comment>
    <comment ref="J4" authorId="0" shapeId="0" xr:uid="{2FF97DE9-D0D3-4BF6-B880-EDD7910345D8}">
      <text>
        <r>
          <rPr>
            <sz val="8"/>
            <color theme="1"/>
            <rFont val="Calibri"/>
            <family val="2"/>
          </rPr>
          <t>Estimativa de Gastos Escopo Conforme Manoel em 10/06/24.</t>
        </r>
      </text>
    </comment>
    <comment ref="J6" authorId="0" shapeId="0" xr:uid="{466BF186-35A9-4559-A28F-D699DE4FA090}">
      <text>
        <r>
          <rPr>
            <sz val="8"/>
            <color theme="1"/>
            <rFont val="Calibri"/>
            <family val="2"/>
          </rPr>
          <t>Estimativa de Gastos Escopo Conforme Gilson.
Em 21/10/2024 Retirado o Contrato da RM solar para finalizar a obra e colocado na Natureza serviços de Construção:  62.590,00</t>
        </r>
      </text>
    </comment>
    <comment ref="J9" authorId="0" shapeId="0" xr:uid="{A3F7E6EE-00F8-4880-AD27-FE2581153635}">
      <text>
        <r>
          <rPr>
            <sz val="8"/>
            <color theme="1"/>
            <rFont val="Calibri"/>
            <family val="2"/>
          </rPr>
          <t>Estimativa de Gastos Escopo Conforme Gilson em 10/06/24.</t>
        </r>
      </text>
    </comment>
    <comment ref="J10" authorId="0" shapeId="0" xr:uid="{8940A141-61D8-43DA-B80E-FD26D9F17B72}">
      <text>
        <r>
          <rPr>
            <sz val="8"/>
            <color theme="1"/>
            <rFont val="Calibri"/>
            <family val="2"/>
          </rPr>
          <t>Estimativa de Gastos Escopo Conforme Gilson em 10/06/24.</t>
        </r>
      </text>
    </comment>
    <comment ref="J11" authorId="0" shapeId="0" xr:uid="{1A365699-979F-4F3C-BF3F-F8235AE244B0}">
      <text>
        <r>
          <rPr>
            <sz val="8"/>
            <color theme="1"/>
            <rFont val="Calibri"/>
            <family val="2"/>
          </rPr>
          <t>Estimativa de Gastos Escopo Conforme Gilson em 10/06/24.
Retirado Valor de acerto da Drenagem pela RM Solar em 24/09/2024</t>
        </r>
      </text>
    </comment>
    <comment ref="J12" authorId="0" shapeId="0" xr:uid="{48EB9746-E0CC-4C85-B86A-BBA02D3B2422}">
      <text>
        <r>
          <rPr>
            <sz val="8"/>
            <color theme="1"/>
            <rFont val="Calibri"/>
            <family val="2"/>
          </rPr>
          <t>Estimativa de Gastos Escopo Conforme Gilson em 10/06/24.</t>
        </r>
      </text>
    </comment>
    <comment ref="J13" authorId="0" shapeId="0" xr:uid="{35C2DC0B-97EA-4D46-BB0B-92749E356811}">
      <text>
        <r>
          <rPr>
            <sz val="8"/>
            <color theme="1"/>
            <rFont val="Calibri"/>
            <family val="2"/>
          </rPr>
          <t>Estimativa de Gastos Escopo Conforme Gilson em 10/06/24.</t>
        </r>
      </text>
    </comment>
    <comment ref="J14" authorId="0" shapeId="0" xr:uid="{62D3B845-1280-45B6-BA19-DF2C0776FC78}">
      <text>
        <r>
          <rPr>
            <sz val="8"/>
            <color theme="1"/>
            <rFont val="Calibri"/>
            <family val="2"/>
          </rPr>
          <t>Estimativa de Gastos Escopo Conforme Gilson em 10/06/24.</t>
        </r>
      </text>
    </comment>
    <comment ref="J15" authorId="0" shapeId="0" xr:uid="{F02CDB68-E855-4BCE-A866-5BA7F7B71953}">
      <text>
        <r>
          <rPr>
            <sz val="8"/>
            <color theme="1"/>
            <rFont val="Calibri"/>
            <family val="2"/>
          </rPr>
          <t>Estimativa de Gastos Escopo Conforme Gilson em 10/06/24.</t>
        </r>
      </text>
    </comment>
    <comment ref="J17" authorId="0" shapeId="0" xr:uid="{00D5B53A-22C9-4E78-8A3D-6A9D2D9AAAF9}">
      <text>
        <r>
          <rPr>
            <sz val="8"/>
            <color theme="1"/>
            <rFont val="Calibri"/>
            <family val="2"/>
          </rPr>
          <t>Estimativa de Gastos Escopo Conforme Gilson em 10/06/24.</t>
        </r>
      </text>
    </comment>
    <comment ref="J25" authorId="0" shapeId="0" xr:uid="{D1D8EC46-E58A-4BF0-B0AE-BE3F011E8A9A}">
      <text>
        <r>
          <rPr>
            <sz val="8"/>
            <color theme="1"/>
            <rFont val="Calibri"/>
            <family val="2"/>
          </rPr>
          <t>Estimativa de Gastos Escopo Conforme Manoel em 10/06/24.</t>
        </r>
      </text>
    </comment>
    <comment ref="J26" authorId="0" shapeId="0" xr:uid="{B4E1DF54-4D82-4F16-AC6A-B0FCD4F8921C}">
      <text>
        <r>
          <rPr>
            <sz val="8"/>
            <color theme="1"/>
            <rFont val="Calibri"/>
            <family val="2"/>
          </rPr>
          <t xml:space="preserve">Estimativa de Gasto ciclo 2 enviado Augusto em 10/06/24.
</t>
        </r>
      </text>
    </comment>
    <comment ref="J27" authorId="0" shapeId="0" xr:uid="{B317F708-4271-4070-9BA9-B1BAD60F4217}">
      <text>
        <r>
          <rPr>
            <sz val="8"/>
            <color theme="1"/>
            <rFont val="Calibri"/>
            <family val="2"/>
          </rPr>
          <t>Estimativa de Gastos Escopo Conforme Augusto em 10/06/24.</t>
        </r>
      </text>
    </comment>
    <comment ref="J28" authorId="0" shapeId="0" xr:uid="{76E3D840-F84B-4A9D-85C5-520BDD359675}">
      <text>
        <r>
          <rPr>
            <sz val="8"/>
            <color theme="1"/>
            <rFont val="Calibri"/>
            <family val="2"/>
          </rPr>
          <t>Estimativa de Gastos Escopo Conforme Augusto em 10/06/24.
10/02/25 - DESCONTADO A 1 PARCELA DA EMPRESA MAR E AR DESOREAMENTO DA LAGOA VIZINHO</t>
        </r>
      </text>
    </comment>
    <comment ref="J29" authorId="0" shapeId="0" xr:uid="{90EF41F3-7304-4894-9249-CA09BEE8E803}">
      <text>
        <r>
          <rPr>
            <sz val="8"/>
            <color theme="1"/>
            <rFont val="Calibri"/>
            <family val="2"/>
          </rPr>
          <t>Estimativa de Gastos Escopo Conforme Augusto em 10/06/24.</t>
        </r>
      </text>
    </comment>
    <comment ref="J30" authorId="0" shapeId="0" xr:uid="{6596C7BF-3C9E-4156-A677-FD07C1BA60F7}">
      <text>
        <r>
          <rPr>
            <sz val="8"/>
            <color theme="1"/>
            <rFont val="Calibri"/>
            <family val="2"/>
          </rPr>
          <t xml:space="preserve">Estimativa de Gasto ciclo 2 enviado Augusto em 10/06/24.
</t>
        </r>
      </text>
    </comment>
    <comment ref="J31" authorId="0" shapeId="0" xr:uid="{5921F62F-72DA-4AAF-A290-6600AFA6B3AE}">
      <text>
        <r>
          <rPr>
            <sz val="8"/>
            <color theme="1"/>
            <rFont val="Calibri"/>
            <family val="2"/>
          </rPr>
          <t xml:space="preserve">Estimativa de Gasto ciclo 2 enviado Augusto em 10/06/24.
</t>
        </r>
      </text>
    </comment>
    <comment ref="J32" authorId="0" shapeId="0" xr:uid="{9996471B-D50B-483D-A115-CA059EEECA02}">
      <text>
        <r>
          <rPr>
            <sz val="8"/>
            <color theme="1"/>
            <rFont val="Calibri"/>
            <family val="2"/>
          </rPr>
          <t xml:space="preserve">Estimativa de Gasto ciclo 2 enviado Augusto em 10/06/24.
</t>
        </r>
      </text>
    </comment>
    <comment ref="J35" authorId="0" shapeId="0" xr:uid="{E2E31CAD-518D-41EA-9F95-AB39C8758812}">
      <text>
        <r>
          <rPr>
            <sz val="8"/>
            <color theme="1"/>
            <rFont val="Calibri"/>
            <family val="2"/>
          </rPr>
          <t xml:space="preserve">Estimativa de Gasto ciclo 2 enviado Augusto em 10/06/24.
</t>
        </r>
      </text>
    </comment>
    <comment ref="J36" authorId="0" shapeId="0" xr:uid="{0C038CE1-D93B-4A6A-B57F-066E8E45C27A}">
      <text>
        <r>
          <rPr>
            <sz val="8"/>
            <color theme="1"/>
            <rFont val="Calibri"/>
            <family val="2"/>
          </rPr>
          <t xml:space="preserve">Estimativa de Gasto ciclo 2 enviado Augusto em 10/06/24.
</t>
        </r>
      </text>
    </comment>
    <comment ref="J37" authorId="0" shapeId="0" xr:uid="{A0B33ABA-0335-4DB8-BA9A-04D01645248D}">
      <text>
        <r>
          <rPr>
            <sz val="8"/>
            <color theme="1"/>
            <rFont val="Calibri"/>
            <family val="2"/>
          </rPr>
          <t>Estimativa de Gastos Escopo Conforme Rafael em 10/06/24.</t>
        </r>
      </text>
    </comment>
    <comment ref="J38" authorId="0" shapeId="0" xr:uid="{5F5CD1B1-9337-4E42-95CB-AFA6581D3BBF}">
      <text>
        <r>
          <rPr>
            <sz val="8"/>
            <color theme="1"/>
            <rFont val="Calibri"/>
            <family val="2"/>
          </rPr>
          <t>Estimativa obras MT para final ciclo 2 Guilherme.</t>
        </r>
      </text>
    </comment>
    <comment ref="J39" authorId="0" shapeId="0" xr:uid="{CCC8A8F4-2087-4742-A90B-323399EC12E3}">
      <text>
        <r>
          <rPr>
            <sz val="8"/>
            <color theme="1"/>
            <rFont val="Calibri"/>
            <family val="2"/>
          </rPr>
          <t>Estimativa obras MT para final ciclo 2 Guilherme.</t>
        </r>
      </text>
    </comment>
    <comment ref="J40" authorId="0" shapeId="0" xr:uid="{C304910D-B797-4265-BD16-4008BB29BF3F}">
      <text>
        <r>
          <rPr>
            <sz val="8"/>
            <color theme="1"/>
            <rFont val="Calibri"/>
            <family val="2"/>
          </rPr>
          <t>Alterado para revisão escopo em 29/08.24</t>
        </r>
      </text>
    </comment>
    <comment ref="J41" authorId="0" shapeId="0" xr:uid="{8907D0E7-4574-492B-B753-DA0E8BAD4498}">
      <text>
        <r>
          <rPr>
            <sz val="8"/>
            <color theme="1"/>
            <rFont val="Calibri"/>
            <family val="2"/>
          </rPr>
          <t xml:space="preserve">Estimativa de Gastos Escopo Conforme Augusto em 10/06/24.
23/10/24 - Alterado o valor da a natureza escopo Comerc. Valor foi para Aditivo de obras MT 288.432  </t>
        </r>
      </text>
    </comment>
    <comment ref="J44" authorId="0" shapeId="0" xr:uid="{53456063-6C73-40DD-860D-D5CDF2ACE42C}">
      <text>
        <r>
          <rPr>
            <sz val="8"/>
            <color theme="1"/>
            <rFont val="Calibri"/>
            <family val="2"/>
          </rPr>
          <t>Estimativa de Gastos Escopo Conforme Rafael em 10/06/24.</t>
        </r>
      </text>
    </comment>
    <comment ref="J45" authorId="0" shapeId="0" xr:uid="{8A6023A8-9BF6-4E55-A481-031E3451C672}">
      <text>
        <r>
          <rPr>
            <sz val="8"/>
            <color theme="1"/>
            <rFont val="Calibri"/>
            <family val="2"/>
          </rPr>
          <t>Estimativa de Gastos Escopo Conforme Rafael em 10/06/24.</t>
        </r>
      </text>
    </comment>
    <comment ref="J48" authorId="0" shapeId="0" xr:uid="{9EB1906B-C5AD-44BE-9E8E-9CCD48505C8D}">
      <text>
        <r>
          <rPr>
            <sz val="8"/>
            <color theme="1"/>
            <rFont val="Calibri"/>
            <family val="2"/>
          </rPr>
          <t>Estimativa de Gastos Escopo Conforme Rafael em 10/06/24.</t>
        </r>
      </text>
    </comment>
    <comment ref="J51" authorId="0" shapeId="0" xr:uid="{BA6D39AD-651E-4768-8DC1-08A732A8C693}">
      <text>
        <r>
          <rPr>
            <sz val="8"/>
            <color theme="1"/>
            <rFont val="Calibri"/>
            <family val="2"/>
          </rPr>
          <t>Estimativa de Gastos Escopo Conforme Augusto em 10/06/24.</t>
        </r>
      </text>
    </comment>
    <comment ref="J52" authorId="0" shapeId="0" xr:uid="{95583844-8F1D-42ED-A8D4-6A3E9A3CE7F4}">
      <text>
        <r>
          <rPr>
            <sz val="8"/>
            <color theme="1"/>
            <rFont val="Calibri"/>
            <family val="2"/>
          </rPr>
          <t xml:space="preserve">Estimativa de Gasto ciclo 2 enviado Augusto em 10/06/24.
</t>
        </r>
      </text>
    </comment>
    <comment ref="J53" authorId="0" shapeId="0" xr:uid="{9FD90EAA-6454-4ABF-8E31-E18B78A6F525}">
      <text>
        <r>
          <rPr>
            <sz val="8"/>
            <color theme="1"/>
            <rFont val="Calibri"/>
            <family val="2"/>
          </rPr>
          <t>Estimativa de Gastos Escopo Conforme Rafael em 10/06/24.</t>
        </r>
      </text>
    </comment>
    <comment ref="J54" authorId="0" shapeId="0" xr:uid="{9DB775A0-B9DE-40B3-8B85-1562CA8F7992}">
      <text>
        <r>
          <rPr>
            <sz val="8"/>
            <color theme="1"/>
            <rFont val="Calibri"/>
            <family val="2"/>
          </rPr>
          <t>Estimativa de Gastos Escopo Conforme Rafael em 10/06/24.</t>
        </r>
      </text>
    </comment>
    <comment ref="J57" authorId="0" shapeId="0" xr:uid="{85F97FBF-CADB-4B60-88B0-DE0B5A7FB7E9}">
      <text>
        <r>
          <rPr>
            <sz val="8"/>
            <color theme="1"/>
            <rFont val="Calibri"/>
            <family val="2"/>
          </rPr>
          <t>Valor estimado Guilherme Kursel para termino obras MT ciclo 2</t>
        </r>
      </text>
    </comment>
    <comment ref="J59" authorId="0" shapeId="0" xr:uid="{2C33922C-FF61-4018-82BC-661B5680BEA5}">
      <text>
        <r>
          <rPr>
            <sz val="8"/>
            <color theme="1"/>
            <rFont val="Calibri"/>
            <family val="2"/>
          </rPr>
          <t>Estimativa de Gastos Escopo Conforme Rafael em 10/06/24.
Retirado o Valor estimado da terraplanagem Baldoni e adicionado no contrato.(18.275,00)
Valor Atualizado em 29/08/2024.Rev01 Capex.</t>
        </r>
      </text>
    </comment>
    <comment ref="J60" authorId="0" shapeId="0" xr:uid="{CFAA5A14-9F1D-4CFA-8A50-B566417A70B8}">
      <text>
        <r>
          <rPr>
            <sz val="8"/>
            <color theme="1"/>
            <rFont val="Calibri"/>
            <family val="2"/>
          </rPr>
          <t>Estimativa de Gastos Escopo Conforme Rafael em 10/06/24.
Retirado o ultimo aditivo de terraplanagem, visto que já esta em contrato. R$ 14075 e colocado na Natureza Terraplanagem.(31/07/2024).
Atualização de Capex 29/08/24.</t>
        </r>
      </text>
    </comment>
    <comment ref="J61" authorId="0" shapeId="0" xr:uid="{B2B25DCD-8039-4155-89D4-E8C2D3F836DC}">
      <text>
        <r>
          <rPr>
            <sz val="8"/>
            <color theme="1"/>
            <rFont val="Calibri"/>
            <family val="2"/>
          </rPr>
          <t>Estimativa de Gastos Escopo Conforme Rafael em 10/06/24.
Escopo atualizado em 29/08/2024.Capex revisão.</t>
        </r>
      </text>
    </comment>
    <comment ref="J62" authorId="0" shapeId="0" xr:uid="{B78FFCC5-73CE-4FA3-900E-E9F4503AFED0}">
      <text>
        <r>
          <rPr>
            <sz val="8"/>
            <color theme="1"/>
            <rFont val="Calibri"/>
            <family val="2"/>
          </rPr>
          <t>Estimativa de Gastos Escopo Conforme Rafael em 10/06/24.</t>
        </r>
      </text>
    </comment>
    <comment ref="J63" authorId="0" shapeId="0" xr:uid="{0E39716C-8A9A-4B4A-8090-0CC0CB635751}">
      <text>
        <r>
          <rPr>
            <sz val="8"/>
            <color theme="1"/>
            <rFont val="Calibri"/>
            <family val="2"/>
          </rPr>
          <t>Estimativa de Gastos Escopo Conforme Rafael em 10/06/24.</t>
        </r>
      </text>
    </comment>
  </commentList>
</comments>
</file>

<file path=xl/sharedStrings.xml><?xml version="1.0" encoding="utf-8"?>
<sst xmlns="http://schemas.openxmlformats.org/spreadsheetml/2006/main" count="125582" uniqueCount="26328">
  <si>
    <t>Controle Capex</t>
  </si>
  <si>
    <t>Suporte lista</t>
  </si>
  <si>
    <t>#</t>
  </si>
  <si>
    <t>UFV</t>
  </si>
  <si>
    <t>CNPJ</t>
  </si>
  <si>
    <t>Unidade</t>
  </si>
  <si>
    <t>Frente</t>
  </si>
  <si>
    <t>Portfólio</t>
  </si>
  <si>
    <t>Contrato</t>
  </si>
  <si>
    <t>Medição</t>
  </si>
  <si>
    <t>Saldo a medir</t>
  </si>
  <si>
    <t>Avanço</t>
  </si>
  <si>
    <t>Natureza</t>
  </si>
  <si>
    <t>Diamantina 1</t>
  </si>
  <si>
    <t xml:space="preserve">MORI GERACAO II </t>
  </si>
  <si>
    <t>Mori II</t>
  </si>
  <si>
    <t>Mori</t>
  </si>
  <si>
    <t>Conexão AT - Obras</t>
  </si>
  <si>
    <t>Diamantina 2</t>
  </si>
  <si>
    <t>Conexão MT - Obras</t>
  </si>
  <si>
    <t>Frei Inocêncio 1</t>
  </si>
  <si>
    <t>Weg</t>
  </si>
  <si>
    <t>Construção - Serviços de Construção</t>
  </si>
  <si>
    <t>Lagoa Formosa 1</t>
  </si>
  <si>
    <t>Construção - Serviços de Construção - Substituição</t>
  </si>
  <si>
    <t>Nova Ponte 1</t>
  </si>
  <si>
    <t>Construção - RDA Interno</t>
  </si>
  <si>
    <t>Paracatu 8</t>
  </si>
  <si>
    <t>Full EPC - Contrato</t>
  </si>
  <si>
    <t>Patos de Minas 1</t>
  </si>
  <si>
    <t>Equipamentos Curva A - Outros (Transformadores)</t>
  </si>
  <si>
    <t>Patos de Minas 3</t>
  </si>
  <si>
    <t>Equipamentos Curva A - Outros (Cabine + Skid)</t>
  </si>
  <si>
    <t>Patos de Minas 4</t>
  </si>
  <si>
    <t>Equipamentos Curva A - Outros (Cabine + Skid + Transformador)</t>
  </si>
  <si>
    <t>Patos de Minas 7</t>
  </si>
  <si>
    <t>Desenvolvimento de projeto - Projetos - (Eng° Proprietario)</t>
  </si>
  <si>
    <t>Patos de Minas 8</t>
  </si>
  <si>
    <t>Desenvolvimento de projeto - Projetos - Executivos</t>
  </si>
  <si>
    <t>Patrocínio 2</t>
  </si>
  <si>
    <t>Desenvolvimento de projeto - Projetos Básica</t>
  </si>
  <si>
    <t>Patrocínio 3</t>
  </si>
  <si>
    <t>Desenvolvimento de projeto - Projetos Detalhada</t>
  </si>
  <si>
    <t>Varjão de Minas 1</t>
  </si>
  <si>
    <t>Desenvolvimento de projeto - Ambiental / Outros</t>
  </si>
  <si>
    <t>Varjão de Minas 4</t>
  </si>
  <si>
    <t>Desenvolvimento de projeto - Coordenograma</t>
  </si>
  <si>
    <t>Buritizeiro 1</t>
  </si>
  <si>
    <t xml:space="preserve">ESTRELA DO NORTE </t>
  </si>
  <si>
    <t>EDN</t>
  </si>
  <si>
    <t>Apolo</t>
  </si>
  <si>
    <t>Sistemas de Monitoramento - Supervisório</t>
  </si>
  <si>
    <t>Buritizeiro 2</t>
  </si>
  <si>
    <t>Sistemas de Monitoramento - Estações Solarimétricas</t>
  </si>
  <si>
    <t>Guarda-Mor</t>
  </si>
  <si>
    <t>Sistemas de Monitoramento - CFTV</t>
  </si>
  <si>
    <t>Indaiabira 1</t>
  </si>
  <si>
    <t>Serviços Auxiliares - Drenagem</t>
  </si>
  <si>
    <t>Indaiabira 2</t>
  </si>
  <si>
    <t>Serviços Auxiliares - Terraplanagem</t>
  </si>
  <si>
    <t>Indaiabira 3</t>
  </si>
  <si>
    <t>Serviços Auxiliares - Supressão Vegetal</t>
  </si>
  <si>
    <t>Indaiabira 4</t>
  </si>
  <si>
    <t>RDR-Rede de Distribuição Rural</t>
  </si>
  <si>
    <t>Jaboticatubas</t>
  </si>
  <si>
    <t>Escopo COMERC</t>
  </si>
  <si>
    <t>São Sebastião 0</t>
  </si>
  <si>
    <t>Não Controlado</t>
  </si>
  <si>
    <t>Divinópolis 1</t>
  </si>
  <si>
    <t>Controle da Lais</t>
  </si>
  <si>
    <t>Divinópolis 2</t>
  </si>
  <si>
    <t>Escopo COMERC - Segurança</t>
  </si>
  <si>
    <t>Divinópolis 3</t>
  </si>
  <si>
    <t>Conexão MT - Obras Transferencia</t>
  </si>
  <si>
    <t>Pedra do Indaiá 1</t>
  </si>
  <si>
    <t>Bases de Contaniers</t>
  </si>
  <si>
    <t>Pedra do Indaiá 3</t>
  </si>
  <si>
    <t>Construção - Serviços de Construção - Ase Engenharia</t>
  </si>
  <si>
    <t>Pedra do Indaiá 5</t>
  </si>
  <si>
    <t>Full EPC - Contrato Sobressalentes</t>
  </si>
  <si>
    <t>Pains 1</t>
  </si>
  <si>
    <t>Construção - Serviços de Construção - NOVA MORADA</t>
  </si>
  <si>
    <t>Pains 2</t>
  </si>
  <si>
    <t>Equipamentos Curva A -  Contrato Sobressalentes - SETTA</t>
  </si>
  <si>
    <t>Pains 3</t>
  </si>
  <si>
    <t>Equipamentos Curva A -  Contrato Sobressalentes - Arctech</t>
  </si>
  <si>
    <t>São Sebastião 6</t>
  </si>
  <si>
    <t>Equipamentos Curva A -  Contrato Sobressalentes - Romagnole</t>
  </si>
  <si>
    <t>Muzambinho 1</t>
  </si>
  <si>
    <t>MORI MINAS IV</t>
  </si>
  <si>
    <t>NewCo IV</t>
  </si>
  <si>
    <t>Solatio</t>
  </si>
  <si>
    <t>GOS FLORESTAL - (PRAD - Recuperação Area Ambiental)</t>
  </si>
  <si>
    <t>Paracatu 4</t>
  </si>
  <si>
    <t>Cercamento das bacias de contenção ciclo 2</t>
  </si>
  <si>
    <t>Paracatu 5</t>
  </si>
  <si>
    <t>*</t>
  </si>
  <si>
    <t>Alfenas 4</t>
  </si>
  <si>
    <t>MORI MINAS V</t>
  </si>
  <si>
    <t>NewCo V</t>
  </si>
  <si>
    <t>Arcos 7</t>
  </si>
  <si>
    <t>Bambuí 1.1</t>
  </si>
  <si>
    <t>Bambuí 1.2</t>
  </si>
  <si>
    <t>Campo Belo 1</t>
  </si>
  <si>
    <t>Campo Belo 2</t>
  </si>
  <si>
    <t>Campo Belo 3</t>
  </si>
  <si>
    <t>Campo Belo 4</t>
  </si>
  <si>
    <t>Campo Belo 5</t>
  </si>
  <si>
    <t>Cássia 1</t>
  </si>
  <si>
    <t>Cássia 2</t>
  </si>
  <si>
    <t>Formiga 6</t>
  </si>
  <si>
    <t>Passos 4</t>
  </si>
  <si>
    <t>Paraguaçu 1</t>
  </si>
  <si>
    <t>Santo Antônio 1</t>
  </si>
  <si>
    <t>São Sebastião 1</t>
  </si>
  <si>
    <t>weg</t>
  </si>
  <si>
    <t>São Sebastião 3</t>
  </si>
  <si>
    <t>São Sebastião 4</t>
  </si>
  <si>
    <t>São Sebastião 5</t>
  </si>
  <si>
    <t>Varginha 1</t>
  </si>
  <si>
    <t>Varginha 2</t>
  </si>
  <si>
    <t>Varginha 5</t>
  </si>
  <si>
    <t>Três Corações 3</t>
  </si>
  <si>
    <t>Ouro Fino 2</t>
  </si>
  <si>
    <t>Ciclo 2</t>
  </si>
  <si>
    <t>Ckek</t>
  </si>
  <si>
    <t>N°</t>
  </si>
  <si>
    <t>Fornecedor</t>
  </si>
  <si>
    <t>Contrato original</t>
  </si>
  <si>
    <t>Aditivo 1</t>
  </si>
  <si>
    <t>Aditivo 2</t>
  </si>
  <si>
    <t>Aditivo 3</t>
  </si>
  <si>
    <t>Aditivo 4</t>
  </si>
  <si>
    <t>Aditivo 5</t>
  </si>
  <si>
    <t>Valor total</t>
  </si>
  <si>
    <t>FD.Medido</t>
  </si>
  <si>
    <t>FD+Medição</t>
  </si>
  <si>
    <t>Saldo a Medir</t>
  </si>
  <si>
    <t>Avanço Contratual%</t>
  </si>
  <si>
    <t>Avanço OBRA%</t>
  </si>
  <si>
    <t>OBS:</t>
  </si>
  <si>
    <t>MBA</t>
  </si>
  <si>
    <t>Implantar</t>
  </si>
  <si>
    <t>Eletrocamp</t>
  </si>
  <si>
    <t>Romagnole</t>
  </si>
  <si>
    <t>LM Eng.</t>
  </si>
  <si>
    <t>Enersolar</t>
  </si>
  <si>
    <t>GLD</t>
  </si>
  <si>
    <t>Varios</t>
  </si>
  <si>
    <t xml:space="preserve"> PROJETTI</t>
  </si>
  <si>
    <t>ATI</t>
  </si>
  <si>
    <t xml:space="preserve">Hukseflux  </t>
  </si>
  <si>
    <t>Maxvision</t>
  </si>
  <si>
    <t>CONSPLAN / ORCI</t>
  </si>
  <si>
    <t>MRO</t>
  </si>
  <si>
    <t>Rima</t>
  </si>
  <si>
    <t>ENGELUZ</t>
  </si>
  <si>
    <t>Add.</t>
  </si>
  <si>
    <t>Total</t>
  </si>
  <si>
    <t>Total:</t>
  </si>
  <si>
    <t xml:space="preserve">                 /;.,   3 </t>
  </si>
  <si>
    <t>Pagamento? 
Sim / Não</t>
  </si>
  <si>
    <t>N</t>
  </si>
  <si>
    <t>Em Processo Judicial</t>
  </si>
  <si>
    <t>Feito com a GLD</t>
  </si>
  <si>
    <t>CONSPLAN / ORCI / Engetela</t>
  </si>
  <si>
    <t>S</t>
  </si>
  <si>
    <t>Escopo Comerc</t>
  </si>
  <si>
    <t>Engeluz</t>
  </si>
  <si>
    <t>Onix</t>
  </si>
  <si>
    <t>Gos Florestal</t>
  </si>
  <si>
    <t>GOS  -  Esse refere-se ao Contrato aprovado junto com acerto das Drenagens</t>
  </si>
  <si>
    <t>A Definir</t>
  </si>
  <si>
    <t>ORCI / Engetela</t>
  </si>
  <si>
    <t>Drenagem Orci Aprovada</t>
  </si>
  <si>
    <t>ORCI</t>
  </si>
  <si>
    <t>Afaplan</t>
  </si>
  <si>
    <t>GR ENGENHARIA</t>
  </si>
  <si>
    <t>Prumo</t>
  </si>
  <si>
    <t>ENGECON+R&amp;M Solar</t>
  </si>
  <si>
    <t>FEITO CONTRATO EPC VP</t>
  </si>
  <si>
    <t>R&amp;M Solar</t>
  </si>
  <si>
    <t>N.A</t>
  </si>
  <si>
    <t>CALTER</t>
  </si>
  <si>
    <t>Fechamento Final com a WEG</t>
  </si>
  <si>
    <t>Engecon</t>
  </si>
  <si>
    <t>EGF</t>
  </si>
  <si>
    <t xml:space="preserve">Onix + Romagnole </t>
  </si>
  <si>
    <t>EGF+R&amp;M SOLAR</t>
  </si>
  <si>
    <t>EGF / RM SOLAR</t>
  </si>
  <si>
    <t>Critical PV</t>
  </si>
  <si>
    <t>THM ENG</t>
  </si>
  <si>
    <t>R&amp;M SOLAR</t>
  </si>
  <si>
    <t>-</t>
  </si>
  <si>
    <t>CEMIG</t>
  </si>
  <si>
    <t>DELTA</t>
  </si>
  <si>
    <t>Setta</t>
  </si>
  <si>
    <t xml:space="preserve">G&amp;M </t>
  </si>
  <si>
    <t>GR Eng.</t>
  </si>
  <si>
    <t>RODOSOUZA</t>
  </si>
  <si>
    <t>Renovo / ORCI</t>
  </si>
  <si>
    <t xml:space="preserve"> GTEL</t>
  </si>
  <si>
    <t>Rosseti</t>
  </si>
  <si>
    <t>ENGECON</t>
  </si>
  <si>
    <t>Resende</t>
  </si>
  <si>
    <t>RIMA</t>
  </si>
  <si>
    <t xml:space="preserve">GLD </t>
  </si>
  <si>
    <t>Alternativa</t>
  </si>
  <si>
    <t>MIPE</t>
  </si>
  <si>
    <t>Antares / Resende</t>
  </si>
  <si>
    <t>NOVA MORADA</t>
  </si>
  <si>
    <t>Usina descontinuada</t>
  </si>
  <si>
    <t>N.Aplicavel</t>
  </si>
  <si>
    <t>Não Aplicavel</t>
  </si>
  <si>
    <t>Baldoni</t>
  </si>
  <si>
    <t>Final de Contrato Maxvision + Aditivo</t>
  </si>
  <si>
    <t>MIPE / ORCI</t>
  </si>
  <si>
    <t>OUROPAV</t>
  </si>
  <si>
    <t>Atenas + Rima</t>
  </si>
  <si>
    <t>Antares</t>
  </si>
  <si>
    <t>Atenas</t>
  </si>
  <si>
    <t>REMO</t>
  </si>
  <si>
    <t>Aditivo Maxvision</t>
  </si>
  <si>
    <t>Mosaico</t>
  </si>
  <si>
    <t>Tem semeadura Vilela</t>
  </si>
  <si>
    <t>AP Engecon</t>
  </si>
  <si>
    <t>Engecon / ORCI</t>
  </si>
  <si>
    <t>FITO</t>
  </si>
  <si>
    <t>Ultimo contrato da MBA</t>
  </si>
  <si>
    <t>Ultimo contrato da ATI</t>
  </si>
  <si>
    <t>Antares / Baldoni</t>
  </si>
  <si>
    <t>Rima / FRASA / GOS FLORESTAL</t>
  </si>
  <si>
    <t>GOS  -  Esse refere-se somente a Formiga Prad</t>
  </si>
  <si>
    <t>GOMES</t>
  </si>
  <si>
    <t>PHP</t>
  </si>
  <si>
    <t>RENOVO / ORCI</t>
  </si>
  <si>
    <t>ADITIVO INCLUSO EPC GLD</t>
  </si>
  <si>
    <t>Gomes / ORCI</t>
  </si>
  <si>
    <t>Ase Engenharia</t>
  </si>
  <si>
    <t>Serviços de Construção - Ase Engenharia</t>
  </si>
  <si>
    <t>Ouropav</t>
  </si>
  <si>
    <t>Estimado</t>
  </si>
  <si>
    <t xml:space="preserve"> Contrato Sobressalentes - Arctech</t>
  </si>
  <si>
    <t>Ronda Processo GLD/Juridico</t>
  </si>
  <si>
    <t>Segurança Ronda</t>
  </si>
  <si>
    <t xml:space="preserve">                                              </t>
  </si>
  <si>
    <t>=</t>
  </si>
  <si>
    <t>FILIAL</t>
  </si>
  <si>
    <t>Número do pedido</t>
  </si>
  <si>
    <t>Tipo</t>
  </si>
  <si>
    <t>Descrição</t>
  </si>
  <si>
    <t>Descrição adicional</t>
  </si>
  <si>
    <t>Valor</t>
  </si>
  <si>
    <t>Vencimento</t>
  </si>
  <si>
    <t>REF ENG</t>
  </si>
  <si>
    <t>Outros</t>
  </si>
  <si>
    <t>Natureza Nova</t>
  </si>
  <si>
    <t>Unidade da Usina</t>
  </si>
  <si>
    <t>FD</t>
  </si>
  <si>
    <t>A701-ARES 2 PARTICIPACOES S.A</t>
  </si>
  <si>
    <t>Fat. Direto (MBA-AT)</t>
  </si>
  <si>
    <t>Projetos AT - PROEL (Diamantina 1)</t>
  </si>
  <si>
    <t>[CCC02328-03]</t>
  </si>
  <si>
    <t>Diamantina 1_Obras AT_FT</t>
  </si>
  <si>
    <t>Obras de AT</t>
  </si>
  <si>
    <t>Sim</t>
  </si>
  <si>
    <t>Outros - Serviços à UFV</t>
  </si>
  <si>
    <t>JX AMBIENTAL - Procedimento Administrativo - DAIA de implantação de UFV - 50% iniciais - (Diamantina 1)</t>
  </si>
  <si>
    <t>[CCC02461-01]</t>
  </si>
  <si>
    <t>Diamantina 1 _Outros</t>
  </si>
  <si>
    <t>Serviço/Taxas Ambientais</t>
  </si>
  <si>
    <t xml:space="preserve">JX AMBIENTAL </t>
  </si>
  <si>
    <t>Não</t>
  </si>
  <si>
    <t>JX AMBIENTAL - Procedimento Administrativo - DAIA de implantação de rede rural - 50% iniciais - (Diamantina 1)</t>
  </si>
  <si>
    <t>JX AMBIENTAL - Taxa de Analise (Diamantina 1)</t>
  </si>
  <si>
    <t>[CCC02534-01]</t>
  </si>
  <si>
    <t>JX AMBIENTAL - Taxa de Lenha (Diamantina 1)</t>
  </si>
  <si>
    <t>[CCC02534-02]</t>
  </si>
  <si>
    <t>JX AMBIENTAL - Taxa de Madeira (Diamantina 1)</t>
  </si>
  <si>
    <t>[CCC02534-03]</t>
  </si>
  <si>
    <t>JX AMBIENTAL - Procedimento Administrativo - DAIA de implantação de UFV - 40% intermediários - (Diamantina 1)</t>
  </si>
  <si>
    <t>[CCC02488-02]</t>
  </si>
  <si>
    <t>[CCC02545]</t>
  </si>
  <si>
    <t>Medição (MBA-AT)</t>
  </si>
  <si>
    <t>CONT. PROJETOS - Medição final de serviços (Diamantina 1)</t>
  </si>
  <si>
    <t>[CCC02581]</t>
  </si>
  <si>
    <t>Diamantina 1 _Obras AT_MD</t>
  </si>
  <si>
    <t>JX AMBIENTAL - Procedimento Administrativo - DAIA de implantação de UFV - 10% finais (Diamantina 1)</t>
  </si>
  <si>
    <t>[CCC02575]</t>
  </si>
  <si>
    <t>A-SOLATIO</t>
  </si>
  <si>
    <t>0001</t>
  </si>
  <si>
    <t>Medição (REMO-MT)</t>
  </si>
  <si>
    <t>Medição 0 - Adiantamento (VARGINHA 5 )</t>
  </si>
  <si>
    <t>Pagamento orindo da Solatio para Usinas Solares</t>
  </si>
  <si>
    <t>[CCC03152]</t>
  </si>
  <si>
    <t>[URGENTE] Controle de pagamentos AT e MT
ter 05/04/2022 13:25</t>
  </si>
  <si>
    <t>0002</t>
  </si>
  <si>
    <t>Medição 0 - Adiantamento (CAMPO BELO 4)</t>
  </si>
  <si>
    <t>0003</t>
  </si>
  <si>
    <t>Medição 0 - Adiantamento (BAMBUI 1.1)</t>
  </si>
  <si>
    <t>000048</t>
  </si>
  <si>
    <t>Medição 0 - Adiantamento (Diamantina 1)</t>
  </si>
  <si>
    <t>[CCC02610-01]</t>
  </si>
  <si>
    <t>0101-MORI HOLDING SA</t>
  </si>
  <si>
    <t>001205</t>
  </si>
  <si>
    <t>Outros - Serviços para Projetos</t>
  </si>
  <si>
    <t>Consultoria em servidão (Diamantina 1) GEOVANY</t>
  </si>
  <si>
    <t>Pagamento de consultoria em obtenção de documentos de servidão em suporte à implantação de UFV e sua rede MT.</t>
  </si>
  <si>
    <t>[CCC02649]</t>
  </si>
  <si>
    <t>A201-MORI GERACAO II ENERGIA SOLAR S.A</t>
  </si>
  <si>
    <t>000066</t>
  </si>
  <si>
    <t>Projetos de fundações e drenagem - HALLITE (Diamantina 1) Analise terraplanagem</t>
  </si>
  <si>
    <t>Pagamento de serviço contratado, desenvolvendo análise e projeto de terraplanagem na UFV apontada (Diamantina 1)</t>
  </si>
  <si>
    <t>[CCC02569-02]</t>
  </si>
  <si>
    <t>JX AMBIENTAL - Procedimento Administrativo - DAIA de implantação de rede rural - 40% intermediários - (Diamantina 1)</t>
  </si>
  <si>
    <t>Segunda parcela de serviço de consultoria contratado cumprimento de legislação ambiental.</t>
  </si>
  <si>
    <t>[CCC02743-06]</t>
  </si>
  <si>
    <t>JX AMBIENTAL - Taxa de Analise - Rede (Diamantina 1)</t>
  </si>
  <si>
    <t>[CCC02693-01]</t>
  </si>
  <si>
    <t>JX AMBIENTAL - Taxa de Lenha  - Rede - Complementar (Diamantina 1)</t>
  </si>
  <si>
    <t>[CCC02693-02]</t>
  </si>
  <si>
    <t>JX AMBIENTAL - Taxa de Madeira - Rede - Complementar (Diamantina 1)</t>
  </si>
  <si>
    <t>[CCC02693-03]</t>
  </si>
  <si>
    <t>000133</t>
  </si>
  <si>
    <t>Revisão de coordenadas de terreno - Soluç. Agrimensura (Diamantina 1)</t>
  </si>
  <si>
    <t>Serviço contatado para revisar coordenadas de projetos em desenvolvimento, com revalidação e certificação de dados e documentação.</t>
  </si>
  <si>
    <t>[CCC02851-01]</t>
  </si>
  <si>
    <t>JX AMBIENTAL - Taxa de Analise APP - Rede (Diamantina 1)</t>
  </si>
  <si>
    <t>Taxa necessária à avaliação de intervenção ambiental na Rede de distribuição para a UFV.</t>
  </si>
  <si>
    <t>[CCC02873]</t>
  </si>
  <si>
    <t>SCOMP-000001</t>
  </si>
  <si>
    <t>Outros - Compras para a UFV</t>
  </si>
  <si>
    <t>Reatores de aterramento ADELCO (Diamantina 1)</t>
  </si>
  <si>
    <t>Modelos 13,8kv - Pot:375kW Xreator: 50,8Ω (RNA 134750-7); Pot:1000kW Xreator: 25,4Ω (RNA 67376-13); Pot:1000kW Xreator: 25,4Ω (RNA 67376-13)</t>
  </si>
  <si>
    <t>[CCC02908]</t>
  </si>
  <si>
    <t>JX AMBIENTAL - Procedimento Administrativo - DAIA de implantação de rede rural - 10% finais - (Diamantina 1)</t>
  </si>
  <si>
    <t>[CCC02919-03]</t>
  </si>
  <si>
    <t>000189</t>
  </si>
  <si>
    <t>JX AMBIENTAL - PTRF - Rede - 01de03 (Diamantina 1)</t>
  </si>
  <si>
    <t>Pagamento inicial do serviço de consultoria ambiental para p PTRF em suporte à implantação da rede da UFV.</t>
  </si>
  <si>
    <t>[CCC02901]</t>
  </si>
  <si>
    <t>000187</t>
  </si>
  <si>
    <t>JX AMBIENTAL - PTRF - Rede - 02de03 (Diamantina 1)</t>
  </si>
  <si>
    <t>Pagamento intermediário do serviço de consultoria ambiental para p PTRF em suporte à implantação da rede da UFV.</t>
  </si>
  <si>
    <t>[CCC02919-01]</t>
  </si>
  <si>
    <t>000188</t>
  </si>
  <si>
    <t>JX AMBIENTAL - PTRF - Rede - 03de03 (Diamantina 1)</t>
  </si>
  <si>
    <t>Pagamento final do serviço de consultoria ambiental para o PTRF em suporte à implantação da rede da UFV.</t>
  </si>
  <si>
    <t>[CCC02919-02]</t>
  </si>
  <si>
    <t>000205</t>
  </si>
  <si>
    <t>Fat. Direto (MBA-MT)</t>
  </si>
  <si>
    <t>Desenvolvimento de Projeto MT (Diamantina 1)</t>
  </si>
  <si>
    <t>Compra feita em Faturamento Direto, em contrato de obras MT externas à UFV.</t>
  </si>
  <si>
    <t>[CCC02962-01]</t>
  </si>
  <si>
    <t>Cobrado no Distrato MBA</t>
  </si>
  <si>
    <t>Diamantina 1 _Obras MT_FD</t>
  </si>
  <si>
    <t>Obras de MT</t>
  </si>
  <si>
    <t>000201</t>
  </si>
  <si>
    <t>Medição (MBA-MT)</t>
  </si>
  <si>
    <t>Medição 0 - Adiantamento contratual (Diamantina 1)</t>
  </si>
  <si>
    <t>Medição inicial, suportando adiantamento contratual para obras no contrato MT EXTERNOS à UFV.</t>
  </si>
  <si>
    <t>[CCC02925-01]</t>
  </si>
  <si>
    <t>Diamantina 1 _Obras MT_MD</t>
  </si>
  <si>
    <t>000305</t>
  </si>
  <si>
    <t>Medição 01 (Diamantina 1)</t>
  </si>
  <si>
    <t>Medição de serviços, suportando desenvolvimento de serviços em obras no contrato AT.</t>
  </si>
  <si>
    <t>[CCC03178-05]</t>
  </si>
  <si>
    <t>000293</t>
  </si>
  <si>
    <t>Archtech - Testes de PullOuT_Biotec - Adiantamento (Diamantina 1)</t>
  </si>
  <si>
    <t>[CCC03145-47]</t>
  </si>
  <si>
    <t>000357</t>
  </si>
  <si>
    <t>Archtech - Testes de PullOuT_Biotec - Finalização (Diamantina 1)</t>
  </si>
  <si>
    <t>Faturamento Direto de serviço de pullout, em testes de solo para dimenskonamento de estruturas</t>
  </si>
  <si>
    <t>[CCC03265-47]</t>
  </si>
  <si>
    <t>000362</t>
  </si>
  <si>
    <t>Serviço de SPT - BIOTEC (Diamantina 1) - 40% iniciais - Campanha 6</t>
  </si>
  <si>
    <t>Pagamento de serviço de sondagem de solo, executado em campo em preparação para implantação de UFV.</t>
  </si>
  <si>
    <t>[CCC03281-09]</t>
  </si>
  <si>
    <t>000376</t>
  </si>
  <si>
    <t>Serviço de SPT - BIOTEC (Diamantina 1) - 60% finais - Campanha 6</t>
  </si>
  <si>
    <t>[CCC03295-04]</t>
  </si>
  <si>
    <t>000405</t>
  </si>
  <si>
    <t>Fat. Direto (ATI)</t>
  </si>
  <si>
    <t>SUPERVISORIO - Ciclo 2 - Gateways e remota (Diamantina 1) NF 1706</t>
  </si>
  <si>
    <t>Compra inicial de equipamentos para implementação de sistema supervisório na UFV. Compra com NF de venda futura.</t>
  </si>
  <si>
    <t>[CCC03287-01]</t>
  </si>
  <si>
    <t>Diamantina 1 _SGD</t>
  </si>
  <si>
    <t>SGD - Supervisorio Geração Distribuida</t>
  </si>
  <si>
    <t>000412</t>
  </si>
  <si>
    <t>SUPERVISORIO - Ciclo 2 - Baterias, desktops, switch e acessórios (Diamantina 1) NF 1722</t>
  </si>
  <si>
    <t>[CCC03287-17]</t>
  </si>
  <si>
    <t>JX AMBIENTAL - Taxa de Rep. Florestal - Complementar (Diamantina 1)</t>
  </si>
  <si>
    <t>Taxa necessária à avaliação de intervenção ambiental para a UFV.</t>
  </si>
  <si>
    <t>[CCC02957]</t>
  </si>
  <si>
    <t>000437</t>
  </si>
  <si>
    <t>Eng. Executiva GLD - Entrega 01 - P01_05 (Diamantina 1)</t>
  </si>
  <si>
    <t>Pagamento inicial suportando contrato de desenvolvimento de projetos executivos, na entrega de Projetos de Sistemas de Drenagem</t>
  </si>
  <si>
    <t>[CCC03314-01]</t>
  </si>
  <si>
    <t>Diamantina 1 _Engenharia Executiva - Basica</t>
  </si>
  <si>
    <t>Engenharia Executiva - Basica</t>
  </si>
  <si>
    <t>000441</t>
  </si>
  <si>
    <t>Eng. Executiva GLD - Entrega 02 - P01_03 (Diamantina 1)</t>
  </si>
  <si>
    <t>[CCC03314-06]</t>
  </si>
  <si>
    <t>JX AMBIENTAL - Taxa de Extrator de lenha - UFV (Diamantina 1)</t>
  </si>
  <si>
    <t>[CCC03363-01]</t>
  </si>
  <si>
    <t>000008</t>
  </si>
  <si>
    <t>JX AMBIENTAL - Taxa de Extrator de Madeira - UFV (Diamantina 1)</t>
  </si>
  <si>
    <t>[CCC03363-02]</t>
  </si>
  <si>
    <t>000483</t>
  </si>
  <si>
    <t>Medição (EPC)</t>
  </si>
  <si>
    <t>CANCELAR  -  Construção e Montagem IMPLANTAR - Adiantamento contratual (Diamantina 1)</t>
  </si>
  <si>
    <t>Pagamento de adiantamento contratual de 15% do total de contrato EPC de construção da UFV</t>
  </si>
  <si>
    <t>[CCC03380-01]</t>
  </si>
  <si>
    <t>Diamantina 1 _EPC_MD</t>
  </si>
  <si>
    <t>EPC - CLUSTER 1/2/3/4</t>
  </si>
  <si>
    <t>000485</t>
  </si>
  <si>
    <t>Construção e Montagem IMPLANTAR - Adiantamento contratual (Diamantina 1)</t>
  </si>
  <si>
    <t>DUPLO PEDIDO 000557 A201</t>
  </si>
  <si>
    <t>000461</t>
  </si>
  <si>
    <t>Religadores (Diamantina 1) NF372</t>
  </si>
  <si>
    <t>Serviço necessário à disponibilização do software adquirido para gestão de documentação técnica da Engenharia.</t>
  </si>
  <si>
    <t>[CCC03327-01]</t>
  </si>
  <si>
    <t>Cobrado no Contrato da Engeluz</t>
  </si>
  <si>
    <t>000550</t>
  </si>
  <si>
    <t>Transformador Monofásico - Adiantamento (Diamantina 1)</t>
  </si>
  <si>
    <t>[CCC03396-01]</t>
  </si>
  <si>
    <t>Cobrado na Engeluz</t>
  </si>
  <si>
    <t>000581</t>
  </si>
  <si>
    <t>Estação solarimétrica – Hukseflux    Diamantina 1  *
NF 7022 PC 003177</t>
  </si>
  <si>
    <t>Compra de equipamento adicional de monitoração de condições atmosféricas, adiantamento 30 % .</t>
  </si>
  <si>
    <t>[CCC03542]</t>
  </si>
  <si>
    <t>Diamantina 1 _Estação solarimétrica</t>
  </si>
  <si>
    <t>Estação solarimétrica</t>
  </si>
  <si>
    <t>000049</t>
  </si>
  <si>
    <t>DAE - Dispença de Licenciamento ambiental UFV  ( DIAMANTINA 1 ) N 1900017760527 LENHA  PAGA EM PC 000007</t>
  </si>
  <si>
    <t>[CCC03629]</t>
  </si>
  <si>
    <t>000050</t>
  </si>
  <si>
    <t>DAE - Dispença de Licenciamento ambiental UFV  ( DIAMANTINA 1 ) N 1900017760608  MADEIRA</t>
  </si>
  <si>
    <t>000557</t>
  </si>
  <si>
    <t>SERVIÇO DE MAO DE OBRA E EQUIPAMENTOS / FERRAMENTAL  ( DIAMANTINA 1)  NF 659</t>
  </si>
  <si>
    <t>Pagamento referente a 1° medição mão de obra e equipamentos</t>
  </si>
  <si>
    <t>IMPLANTAR</t>
  </si>
  <si>
    <t>000938</t>
  </si>
  <si>
    <t>Atividades para liberação de execução de POT nas UFVs ( DIAMANTINA 1)  NF  429</t>
  </si>
  <si>
    <t>Pagamento referente a 50 % do serviço de engenharia, necessário a construção da UFVs.</t>
  </si>
  <si>
    <t>[CCC04054]</t>
  </si>
  <si>
    <t>000715</t>
  </si>
  <si>
    <t>Desenvolvimento de   projetos  GLD  (DIAMANTINA 1)    NF  226</t>
  </si>
  <si>
    <t>Pagamento referente a elaboracao de planos diretores, estudos de viabilidade necessário para a construção da UFv .</t>
  </si>
  <si>
    <t>[CCC03840]</t>
  </si>
  <si>
    <t>A210-MORI GERACAO II -  UFV DIAMANTINA 1</t>
  </si>
  <si>
    <t>0001145</t>
  </si>
  <si>
    <t>PRESTAÇÃO DE SERVIÇOS UFVs (  DIAMANTINA 1 )    NF 960 VB AMBIENTAL</t>
  </si>
  <si>
    <t>Pagamento referente a Análise documental e elaboração de laudos de cubagem visando à instalação das Usinas Contratantes no estado de Minas Gerais  .</t>
  </si>
  <si>
    <t> [CCC04173]</t>
  </si>
  <si>
    <t>001036</t>
  </si>
  <si>
    <t>DAE - Dispença de Licenciamento ambiental UFV  (DIAMANTINA 01  )  NF  906</t>
  </si>
  <si>
    <t>[CCC04108]</t>
  </si>
  <si>
    <t>A401-MORI MINAS NEWCO IV ENERGIA SOLAR S.A</t>
  </si>
  <si>
    <t>000976</t>
  </si>
  <si>
    <t>Fat.Direito EPC ( GLD )</t>
  </si>
  <si>
    <t>PRESTÇÃO DE SERVIÇOS UFVS ( CAMPO BELO 5 )  NF  297</t>
  </si>
  <si>
    <t>Pagamento  EM FATURAMENTO DIRETO,  PRESTAÇÃO DE SERVIÇO DE VIGILANCIA DESARMADA ,  necessário à construção da UFV  em contrato EPC .</t>
  </si>
  <si>
    <t> [CCC04223]</t>
  </si>
  <si>
    <t>Diamantina 1 _EPC_FD</t>
  </si>
  <si>
    <t>JX AMBIENTAL - Procedimento Administrativo - DAIA de implantação de UFV - 50% iniciais - (Diamantina 2)</t>
  </si>
  <si>
    <t>Diamantina 2 _Outros</t>
  </si>
  <si>
    <t>JX AMBIENTAL</t>
  </si>
  <si>
    <t>JX AMBIENTAL - Procedimento Administrativo - DAIA de implantação de rede rural - 50% iniciais - (Diamantina 2)</t>
  </si>
  <si>
    <t>000014</t>
  </si>
  <si>
    <t>Execução de testes SPT - 10% iniciais - (Diamantina 2)</t>
  </si>
  <si>
    <t>[CCC02492-04]</t>
  </si>
  <si>
    <t>JX AMBIENTAL - Taxa de Analise (Diamantina 2)</t>
  </si>
  <si>
    <t>[CCC02534-04]</t>
  </si>
  <si>
    <t>JX AMBIENTAL - Taxa de Lenha (Diamantina 2)</t>
  </si>
  <si>
    <t>[CCC02534-05]</t>
  </si>
  <si>
    <t>JX AMBIENTAL - Taxa de Madeira (Diamantina 2)</t>
  </si>
  <si>
    <t>[CCC02534-06]</t>
  </si>
  <si>
    <t>JX AMBIENTAL - Taxa de Rep. Florestal (Diamantina 2)</t>
  </si>
  <si>
    <t>[CCC02534-07]</t>
  </si>
  <si>
    <t>JX AMBIENTAL - Procedimento Administrativo - DAIA de implantação de UFV - 40% intermediários - (Diamantina 2)</t>
  </si>
  <si>
    <t>000026</t>
  </si>
  <si>
    <t>Execução de testes SPT - Pagamento final (Diamantina 2)</t>
  </si>
  <si>
    <t>[CCC02540]</t>
  </si>
  <si>
    <t>Projetos AT - PROEL (Diamantina 2)</t>
  </si>
  <si>
    <t>Diamantina 2 - CAPEX - Serviço AT - CCAP-C2_000008</t>
  </si>
  <si>
    <t>Diamantina 2_Obras AT_FT</t>
  </si>
  <si>
    <t>CONT. PROJETOS - Medição final de serviços (Diamantina 2)</t>
  </si>
  <si>
    <t>Diamantina 2_Obras AT_MD</t>
  </si>
  <si>
    <t>001153</t>
  </si>
  <si>
    <t>Consultoria em servidão (Diamantina 2) GEOVANY</t>
  </si>
  <si>
    <t>[CCC02579]</t>
  </si>
  <si>
    <t>JX AMBIENTAL - Procedimento Administrativo - DAIA de implantação de UFV - 10% finais (Diamantina 2)</t>
  </si>
  <si>
    <t>[CCC02593]</t>
  </si>
  <si>
    <t>Medição 0 - Adiantamento (Diamantina 2)</t>
  </si>
  <si>
    <t>[CCC02610-02]</t>
  </si>
  <si>
    <t>[CCC02746-01]</t>
  </si>
  <si>
    <t>JX AMBIENTAL - Taxa Florestal - Lenha (Diamantina 2)</t>
  </si>
  <si>
    <t>[CCC02746-02]</t>
  </si>
  <si>
    <t>JX AMBIENTAL - Procedimento Administrativo - DAIA de implantação de rede rural - 40% intermediários - (Diamantina 2)</t>
  </si>
  <si>
    <t>[CCC02743-07]</t>
  </si>
  <si>
    <t>JX AMBIENTAL - Taxa de Analise - Rede - (Diamantina 2)</t>
  </si>
  <si>
    <t>[CCC02693-04]</t>
  </si>
  <si>
    <t>JX AMBIENTAL - Taxa de Lenha - Rede - Complementar (Diamantina 2)</t>
  </si>
  <si>
    <t>[CCC02693-05]</t>
  </si>
  <si>
    <t>JX AMBIENTAL - Taxa de Madeira - Rede - Complementar (Diamantina 2)</t>
  </si>
  <si>
    <t>[CCC02693-06]</t>
  </si>
  <si>
    <t>JX AMBIENTAL - Taxa de Analise - UFV - (Diamantina 2)</t>
  </si>
  <si>
    <t>[CCC02856-01]</t>
  </si>
  <si>
    <t>JX AMBIENTAL - Taxa de Lenha - UFV - Complementar (Diamantina 2)</t>
  </si>
  <si>
    <t>[CCC02856-02]</t>
  </si>
  <si>
    <t>JX AMBIENTAL - Taxa de Madeira - UFV - Complementar (Diamantina 2)</t>
  </si>
  <si>
    <t>[CCC02856-03]</t>
  </si>
  <si>
    <t>JX AMBIENTAL - Taxa de Analise - (Diamantina 2)</t>
  </si>
  <si>
    <t>[CCC02857]</t>
  </si>
  <si>
    <t>000134</t>
  </si>
  <si>
    <t>Revisão de coordenadas de terreno - Soluç. Agrimensura (Diamantina 2)</t>
  </si>
  <si>
    <t>[CCC02851-02]</t>
  </si>
  <si>
    <t>SCOMP-000002</t>
  </si>
  <si>
    <t>Reatores de aterramento ADELCO (Diamantina 2)</t>
  </si>
  <si>
    <t>JX AMBIENTAL - Procedimento Administrativo - DAIA de implantação de rede rural - 10% finais - (Diamantina 2)</t>
  </si>
  <si>
    <t>[CCC02919-04]</t>
  </si>
  <si>
    <t>000206</t>
  </si>
  <si>
    <t>Desenvolvimento de Projeto MT (Diamantina 2)</t>
  </si>
  <si>
    <t>[CCC02962-02]</t>
  </si>
  <si>
    <t>Diamantina 2 - CAPEX - Serviço MT - CCAP-C2_000019
Descontado Contrato MBA</t>
  </si>
  <si>
    <t>Diamantina 2 _Obras MT_FD</t>
  </si>
  <si>
    <t>000239</t>
  </si>
  <si>
    <t>Medição 01 (Diamantina 2)</t>
  </si>
  <si>
    <t>Medição de serviços contratados para execução de projeto de rede MT, externos à UFV.</t>
  </si>
  <si>
    <t>[CCC03090-01]</t>
  </si>
  <si>
    <t>Diamantina 2 - CAPEX - Serviço MT - CCAP-C2_000019
(Valor a ser Restituido)</t>
  </si>
  <si>
    <t>Diamantina 2 _Obras MT_MD</t>
  </si>
  <si>
    <t>000304</t>
  </si>
  <si>
    <t>[CCC03178-06]</t>
  </si>
  <si>
    <t>000294</t>
  </si>
  <si>
    <t>Archtech - Testes de PullOuT_Biotec - Adiantamento (Diamantina 2)</t>
  </si>
  <si>
    <t>[CCC03145-48]</t>
  </si>
  <si>
    <t>000358</t>
  </si>
  <si>
    <t>Archtech - Testes de PullOuT_Biotec - Finalização (Diamantina 2)</t>
  </si>
  <si>
    <t>[CCC03265-48]</t>
  </si>
  <si>
    <t>000406</t>
  </si>
  <si>
    <t>SUPERVISORIO - Ciclo 2 - Gateways e remota (Diamantina 2) NF 1708</t>
  </si>
  <si>
    <t>[CCC03287-03]</t>
  </si>
  <si>
    <t>Diamantina 2 _SGD</t>
  </si>
  <si>
    <t>000418</t>
  </si>
  <si>
    <t>SUPERVISORIO - Ciclo 2 - Baterias, desktops, switch e acessórios (Diamantina 2) NF 1723</t>
  </si>
  <si>
    <t>[CCC03287-18]</t>
  </si>
  <si>
    <t>000438</t>
  </si>
  <si>
    <t>Eng. Executiva GLD - Entrega 01 - P01_05 (Diamantina 2)</t>
  </si>
  <si>
    <t>[CCC03314-09]</t>
  </si>
  <si>
    <t>Diamantina 2_Engenharia Executiva - Detalhada</t>
  </si>
  <si>
    <t>Engenharia Executiva - Detalhada</t>
  </si>
  <si>
    <t>000442</t>
  </si>
  <si>
    <t>Eng. Executiva GLD - Entrega 02 - P01_03 (Diamantina 2)</t>
  </si>
  <si>
    <t>[CCC03314-14]</t>
  </si>
  <si>
    <t>000486</t>
  </si>
  <si>
    <t>Construção e Montagem IMPLANTAR - Adiantamento contratual (Diamantina 2)</t>
  </si>
  <si>
    <t>[CCC03380-02]</t>
  </si>
  <si>
    <t>CANCELADO DUPLO A201 000523 LINHA 6259</t>
  </si>
  <si>
    <t>Diamantina 2_EPC_MD</t>
  </si>
  <si>
    <t>000551</t>
  </si>
  <si>
    <t>Transformador Monofásico - Adiantamento (Diamantina 2)</t>
  </si>
  <si>
    <t>[CCC03396-02]</t>
  </si>
  <si>
    <t>000582</t>
  </si>
  <si>
    <t>Estação solarimétrica – Hukseflux              Diamantina 2
NF 7023 PC 003178</t>
  </si>
  <si>
    <t>Diamantina 2 _Estação solarimétrica</t>
  </si>
  <si>
    <t>000523</t>
  </si>
  <si>
    <t>SERVIÇO DE MAO DE OBRA E EQUIPAMENTOS / FERRAMENTAL  ( DIAMANTINA 2)  NF 658</t>
  </si>
  <si>
    <t>Pagamento referente a 1° medição mão de obra e equipamentos ( Não foi medição, isto se trata-se de adiantamento)</t>
  </si>
  <si>
    <t>000705</t>
  </si>
  <si>
    <t>SERVIÇOS FUNDIÁRIOS PTRF -  (Diamantina 2 )  NF 125</t>
  </si>
  <si>
    <t>Pagamento referente ao serviço de consultoria contratado cumprimento de legislação ambiental.</t>
  </si>
  <si>
    <t>[CCC03821]</t>
  </si>
  <si>
    <t>000939</t>
  </si>
  <si>
    <t>Atividades para liberação de execução de POT nas UFVs ( DIAMANTINA 2)  NF  430</t>
  </si>
  <si>
    <t>000716</t>
  </si>
  <si>
    <t>Desenvolvimento de   projetos  GLD  (DIAMANTINA 2)    NF  227</t>
  </si>
  <si>
    <t>Diamantina 2 _Engenharia Executiva - Basica</t>
  </si>
  <si>
    <t>001037</t>
  </si>
  <si>
    <t>DAE - Dispença de Licenciamento ambiental UFV  (DIAMANTINA 02 )  NF  907</t>
  </si>
  <si>
    <t>A211-MORI GERACAO II -  UFV DIMANTINA   2</t>
  </si>
  <si>
    <t>001143</t>
  </si>
  <si>
    <t>PRESTAÇÃO DE SERVIÇOS UFVs (  DIAMANTINA 2 )    NF 961  VB AMBIENTAL</t>
  </si>
  <si>
    <t>001483</t>
  </si>
  <si>
    <t xml:space="preserve">Outros - Serviços à UFV </t>
  </si>
  <si>
    <t>JX AMBIENTAL - Taxa de Extrator - UFV (DIAMANTINA 2)  NF 619</t>
  </si>
  <si>
    <t> [CCC04565]</t>
  </si>
  <si>
    <t>000115</t>
  </si>
  <si>
    <t>PRESTAÇÃO DE SERVIÇOS UFVs ( DIAMANTINA 2) NF 271  JX AMBIENTAL</t>
  </si>
  <si>
    <t>Pagamento referente a taxa necessária à avaliação de intervenção ambiental, necessáriso a construção das usinas.</t>
  </si>
  <si>
    <t> [CCC04628]</t>
  </si>
  <si>
    <t>001515</t>
  </si>
  <si>
    <t>PRESTAÇÃO DE SERVIÇOS UFVs ( DIAMANTINA 2 ) NF  2560</t>
  </si>
  <si>
    <t>Pagamento de medição referente a Prestação de serviço de montagem e instalação elétrica de redes de distribuição de energia rural e urbana, em contrato MT.</t>
  </si>
  <si>
    <t> [CCC04662]</t>
  </si>
  <si>
    <t>COMPRA DE MATERIAIS UFvs ( DIAMANTINA 2) NF 27269  EXPONENCIAL</t>
  </si>
  <si>
    <t>Pagamento em faturamento direto, refrente a COMPRA DE MATERIAIS, necessário à construção da UFV.</t>
  </si>
  <si>
    <t> [CCC04720]</t>
  </si>
  <si>
    <t>000954</t>
  </si>
  <si>
    <t>Consultoria em servidão (Frei Inocêncio 1) GEOVANY</t>
  </si>
  <si>
    <t>[CCC02067-07]</t>
  </si>
  <si>
    <t>Frei Inocêncio 1 _Outros</t>
  </si>
  <si>
    <t>CONT. PROJETOS - Projetos AT - PROEL (Frei Inocêncio 1)</t>
  </si>
  <si>
    <t>Confirmar Junto com Contratos / Marcio.
Proel não inclusa contrato MBA</t>
  </si>
  <si>
    <t>[CCC02328-04]</t>
  </si>
  <si>
    <t>Frei Inocêncio 1 - CAPEX - Serviço AT - CCAP-C2_000008</t>
  </si>
  <si>
    <t>Frei Inocêncio 1_Obras AT_FD</t>
  </si>
  <si>
    <t>JX AMBIENTAL - Procedimento Administrativo - DAIA de implantação de UFV - 50% iniciais - (Frei Inocêncio 1)</t>
  </si>
  <si>
    <t>JX AMBIENTAL - Procedimento Administrativo - DAIA de implantação de rede rural - 50% iniciais - (Frei Inocêncio 1)</t>
  </si>
  <si>
    <t>000013</t>
  </si>
  <si>
    <t>Execução de testes SPT - 10% iniciais - (Frei Inocêncio 1)</t>
  </si>
  <si>
    <t>[CCC02492-03]</t>
  </si>
  <si>
    <t>JX AMBIENTAL - Taxa de Analise (Frei Inocêncio 1)</t>
  </si>
  <si>
    <t>[CCC02534-08]</t>
  </si>
  <si>
    <t>JX AMBIENTAL - Taxa de Rep. Florestal (Frei Inocêncio 1)</t>
  </si>
  <si>
    <t>[CCC02534-09]</t>
  </si>
  <si>
    <t>JX AMBIENTAL - Taxa de Lenha (Frei Inocêncio 1)</t>
  </si>
  <si>
    <t>[CCC02534-10]</t>
  </si>
  <si>
    <t>JX AMBIENTAL - Procedimento Administrativo - DAIA de implantação de UFV - 40% intermediários - (Frei Inocêncio 1)</t>
  </si>
  <si>
    <t>JX AMBIENTAL - Procedimento Administrativo - DAIA de implantação de rede rural - 40% intermediários - (Frei Inocêncio 1)</t>
  </si>
  <si>
    <t>[CCC02552]</t>
  </si>
  <si>
    <t>CONT. PROJETOS - Medição final de serviços (Frei Inocêncio 1)</t>
  </si>
  <si>
    <t>Frei Inocêncio 1_Obras AT_MD</t>
  </si>
  <si>
    <t>JX AMBIENTAL - Procedimento Administrativo - DAIA de implantação de UFV - 10% finais (Frei Inocêncio 1)</t>
  </si>
  <si>
    <t>[CCC02582]</t>
  </si>
  <si>
    <t>000044</t>
  </si>
  <si>
    <t>Execução de testes SPT - finalização (Frei Inocêncio 1)</t>
  </si>
  <si>
    <t>[CCC02590-02]</t>
  </si>
  <si>
    <t>000058</t>
  </si>
  <si>
    <t>Medição 0 - Adiantamento (Frei Inocêncio 1)</t>
  </si>
  <si>
    <t>[CCC02610-11]</t>
  </si>
  <si>
    <t>JX AMBIENTAL - Taxa de Analise corte - Rede (Frei Inocêncio 1)</t>
  </si>
  <si>
    <t>[CCC02661-01]</t>
  </si>
  <si>
    <t>JX AMBIENTAL - Taxa de Lenha  - Rede (Frei Inocêncio 1)</t>
  </si>
  <si>
    <t>[CCC02661-02]</t>
  </si>
  <si>
    <t>JX AMBIENTAL - Taxa de Madeira - Rede (Frei Inocêncio 1)</t>
  </si>
  <si>
    <t>[CCC02661-03]</t>
  </si>
  <si>
    <t>000078</t>
  </si>
  <si>
    <t>JX AMBIENTAL - PTRF - Espécies protegidas - Rede - 01de03 (Frei Inocêncio 1)</t>
  </si>
  <si>
    <t>Primeira parcela de serviço de consultoria contratado cumprimento de legislação ambiental.</t>
  </si>
  <si>
    <t>[CCC02670-02]</t>
  </si>
  <si>
    <t>000101</t>
  </si>
  <si>
    <t>JX AMBIENTAL - PTRF - Espécies protegidas - Rede - 02de03 (Frei Inocêncio 1) EXCLUIR</t>
  </si>
  <si>
    <t>[CCC02743-01]</t>
  </si>
  <si>
    <t>000111</t>
  </si>
  <si>
    <t>JX AMBIENTAL - PTRF - Espécies protegidas - Rede - 02de03 (Frei Inocêncio 1) REEDIÇÃO</t>
  </si>
  <si>
    <t>000135</t>
  </si>
  <si>
    <t>Revisão de coordenadas de terreno - Soluç. Agrimensura (Frei Inocêncio 1)</t>
  </si>
  <si>
    <t>[CCC02851-03]</t>
  </si>
  <si>
    <t>SCOMP-000003</t>
  </si>
  <si>
    <t>Reatores de aterramento ADELCO (Frei Inocêncio 1)</t>
  </si>
  <si>
    <t>Modelos 13,8kv - Pot:1000kW Xreator: 25,4Ω (RNA 67376-13); Pot:1000kW Xreator: 25,4Ω (RNA 67376-13)</t>
  </si>
  <si>
    <t>000192</t>
  </si>
  <si>
    <t>Medição 0 - Adiantamento contratual (Frei Inocêncio 1)</t>
  </si>
  <si>
    <t>Medição inicial, suportando adiantamento contratual para obras no contrato AT.</t>
  </si>
  <si>
    <t>[CCC02924-01]</t>
  </si>
  <si>
    <t>A301-MORI MINAS NEWCO V ENERGIA SOLAR S.A.</t>
  </si>
  <si>
    <t>Histórico SOLATIO -Projetos - Linha de Distribuição - Rodonaves Transportadora e Encomendas LTDA (Campo Belo 4)</t>
  </si>
  <si>
    <t>Tipo:</t>
  </si>
  <si>
    <t>Natureza Antiga:</t>
  </si>
  <si>
    <t>000204</t>
  </si>
  <si>
    <t>[CCC02925-04]</t>
  </si>
  <si>
    <t>Frei Inocêncio - CAPEX - Serviço MT - CCAP-C2_000019</t>
  </si>
  <si>
    <t>Frei Inocêncio 1 _Obras MT_MD</t>
  </si>
  <si>
    <t>000224</t>
  </si>
  <si>
    <t>Desenvolvimento de Projeto MT (Frei Inocêncio 1)</t>
  </si>
  <si>
    <t>[CCC03043]</t>
  </si>
  <si>
    <t>Frei Inocêncio 1 _Obras MT_FD</t>
  </si>
  <si>
    <t>000240</t>
  </si>
  <si>
    <t>Medição 01 (Frei Inocêncio 1)</t>
  </si>
  <si>
    <t>[CCC03090-02]</t>
  </si>
  <si>
    <t>000309</t>
  </si>
  <si>
    <t>Medição 02 (Frei Inocêncio 1)</t>
  </si>
  <si>
    <t>[CCC03178-01]</t>
  </si>
  <si>
    <t>000289</t>
  </si>
  <si>
    <t>Archtech - Testes de PullOuT_Biotec - Adiantamento (Frei Inocêncio 1)</t>
  </si>
  <si>
    <t>[CCC03145-46]</t>
  </si>
  <si>
    <t>000331</t>
  </si>
  <si>
    <t>Projeto de cabine primária  - PROJETTI - 100% (Frei Inocêncio 1)</t>
  </si>
  <si>
    <t>Pagamento de serviço de desenvolvimento e provação de projeto de cabine de medição para a UFV.</t>
  </si>
  <si>
    <t>[CCC03233-11]</t>
  </si>
  <si>
    <t>Frei Inocêncio 1_Projeto/Coordenograma</t>
  </si>
  <si>
    <t>Projeto/Coordenograma</t>
  </si>
  <si>
    <t>PROJETTI</t>
  </si>
  <si>
    <t>000356</t>
  </si>
  <si>
    <t>Archtech - Testes de PullOuT_Biotec - Finalização (Frei Inocêncio 1)</t>
  </si>
  <si>
    <t>[CCC03265-46]</t>
  </si>
  <si>
    <t>000399</t>
  </si>
  <si>
    <t>SUPERVISORIO - Ciclo 2 - Gateways e remota (Frei Inocêncio 1) NF 1711</t>
  </si>
  <si>
    <t>[CCC03287-06]</t>
  </si>
  <si>
    <t>Frei Inocêncio 1 _SGD</t>
  </si>
  <si>
    <t>000417</t>
  </si>
  <si>
    <t>SUPERVISORIO - Ciclo 2 - Baterias, desktops, switch e acessórios (Frei Inocêncio 1) NF 1721</t>
  </si>
  <si>
    <t>[CCC03287-16]</t>
  </si>
  <si>
    <t>000425</t>
  </si>
  <si>
    <t>Postes de concreto (Frei Inocêncio 1)</t>
  </si>
  <si>
    <t>[CCC02786-06]</t>
  </si>
  <si>
    <t>000427</t>
  </si>
  <si>
    <t>Parafusos, cabos e material de fixação (Frei Inocêncio 1)</t>
  </si>
  <si>
    <t>[CCC02911-01]</t>
  </si>
  <si>
    <t>000446</t>
  </si>
  <si>
    <t>JX AMBIENTAL - PTRF - Espécies protegidas - Rede - 03de03 (Frei Inocêncio 1)</t>
  </si>
  <si>
    <t>Terceira parcela de serviço de consultoria contratado cumprimento de legislação ambiental.</t>
  </si>
  <si>
    <t>[CCC03325-01]</t>
  </si>
  <si>
    <t>Formiga 6 - CAPEX - Serviço MT - CCAP-C2_000021</t>
  </si>
  <si>
    <t>000002</t>
  </si>
  <si>
    <t>JX AMBIENTAL - Procedimento Administrativo - DAIA de implantação de rede rural - 10% finais (Frei Inocêncio 1)</t>
  </si>
  <si>
    <t>Terceira parcela de serviço de consultoria contratado cumprimento de legislação ambiental. PROPOSTA 91A/2022</t>
  </si>
  <si>
    <t>[CCC03325-09]</t>
  </si>
  <si>
    <t>000468</t>
  </si>
  <si>
    <t>Construção e Montagem WEG - Medição 1 - Adiantamento (Frei Inocêncio 1)</t>
  </si>
  <si>
    <t>Pagamento de adiantamento contratual de 25% do total de contrato FullEPC de construção da UFV</t>
  </si>
  <si>
    <t>[CCC03330-11]</t>
  </si>
  <si>
    <t>Adiantamento</t>
  </si>
  <si>
    <t>Frei Inocêncio 1_Full EPC - Turn Key</t>
  </si>
  <si>
    <t>Full EPC - Turn Key</t>
  </si>
  <si>
    <t>000487</t>
  </si>
  <si>
    <t>Medição de serviços, suportando desenvolvimento de serviços em obras no contrato AT.  Sem descontos por adiantamento</t>
  </si>
  <si>
    <t>[CCC03355-01]</t>
  </si>
  <si>
    <t>000493</t>
  </si>
  <si>
    <t>Medição 03 (Frei Inocêncio 1)</t>
  </si>
  <si>
    <t>[CCC03356-08]</t>
  </si>
  <si>
    <t>000473</t>
  </si>
  <si>
    <t>CANCELADO  -  Construção e Montagem WEG - Medição 2 - Entrega de POs (Frei Inocêncio 1)</t>
  </si>
  <si>
    <t>Pagamento de medição contratual, suportada pelo 1o marco de contrato FullEPC de construção da UFV</t>
  </si>
  <si>
    <t>[CCC03352-11]</t>
  </si>
  <si>
    <t>Cancelado</t>
  </si>
  <si>
    <t>000499</t>
  </si>
  <si>
    <t>ART Inst. elétricas - Distribuidoras CEMIG - Modificações Complexas (Frei Inocêncio 1)</t>
  </si>
  <si>
    <t>Taxa necessária a análise de projeto em implantação.</t>
  </si>
  <si>
    <t>[CCC03395-01]</t>
  </si>
  <si>
    <t>000497</t>
  </si>
  <si>
    <t>Compra de cruzetas MBA (Frei Inocêncio 1)</t>
  </si>
  <si>
    <t>[CCC03382-01]</t>
  </si>
  <si>
    <t>APROVADO</t>
  </si>
  <si>
    <t>000534</t>
  </si>
  <si>
    <t>MRO - Terraplanagem UFVs Full-EPC - Adiantamento contratual de 15% (Frei Inocêncio, Nova Ponte, Paracatu 8 e Varjão 1) VALOR A SER PAGO R$ 74.644,73</t>
  </si>
  <si>
    <t>Pagamento de serviço de terraplanagem necessário à construção da UFV.</t>
  </si>
  <si>
    <t>[CCC03475]</t>
  </si>
  <si>
    <t>Frei Inocêncio 1_Obras Terraplanagem</t>
  </si>
  <si>
    <t>Obras Terraplanagem</t>
  </si>
  <si>
    <t>000661</t>
  </si>
  <si>
    <t>COMPRA DE MATEIRIAS UFVs ( FREI INOCENCIO)  NF   410015</t>
  </si>
  <si>
    <t>Compra feita em Faturamento Direto, em contrato de obras MT externas à UFV. Adiantamento</t>
  </si>
  <si>
    <t>[CCC03729]</t>
  </si>
  <si>
    <t>000552</t>
  </si>
  <si>
    <t>Transformador Monofásico - Adiantamento (Frei Inocêncio 1)</t>
  </si>
  <si>
    <t>[CCC03396-03]</t>
  </si>
  <si>
    <t>000507</t>
  </si>
  <si>
    <t>Terminais e material de conexão (Frei Inocêncio 1)</t>
  </si>
  <si>
    <t>[CCC03389-01]</t>
  </si>
  <si>
    <t/>
  </si>
  <si>
    <t>A212 - MORI GERAÇÃO  II - UFV FREI INOCENCIO</t>
  </si>
  <si>
    <t>001160</t>
  </si>
  <si>
    <t>Medição (Full-EPC)</t>
  </si>
  <si>
    <t xml:space="preserve">WEG PRESTAÇÃO DE SERVIÇOS UFVs (   FREI INOCENCIO)   ADIANTAMENTO </t>
  </si>
  <si>
    <t>Pagamento MEDIÇÃO  MONTAGEM 100% DAS ESTACAS  , contrato FULL EPC WEG. EVENTO 4  . 10 %</t>
  </si>
  <si>
    <t> [CCC04185]</t>
  </si>
  <si>
    <t>3 medição</t>
  </si>
  <si>
    <t>000515</t>
  </si>
  <si>
    <t>[CCC03389-04]</t>
  </si>
  <si>
    <t>Verificar com Marcio a Mudança desta Nota Conforme email e quinta-feira, 26 de janeiro de 2023 20:21 Matheus</t>
  </si>
  <si>
    <t>000504</t>
  </si>
  <si>
    <t>Construção e Montagem WEG - Medição 2 - Entrega de POs (Frei Inocêncio 1)</t>
  </si>
  <si>
    <t>1 medição</t>
  </si>
  <si>
    <t>000649</t>
  </si>
  <si>
    <t>MRO - Terraplanagem UFVs Full-EPC -   1° MEDIÇAO ( Frei Inocêncio 1)  NF 366  VALOR A SER PAGO R$ 74.644,73</t>
  </si>
  <si>
    <t>[CCC03680]</t>
  </si>
  <si>
    <t>A212 - MORI GERÇÃO  II - UFB FREI INOCENCIO</t>
  </si>
  <si>
    <t>000907</t>
  </si>
  <si>
    <t xml:space="preserve">WEG MEDIÇÃO 4  ENTREGADE MODULOS  -  EVENTO 3 -UFVs ( FREI INOCENCIO )  </t>
  </si>
  <si>
    <t>Pagamento de medição contratual, mobilização dos canteiro de obras, Evento 3 de contrato FullEPC de construção da UFV .</t>
  </si>
  <si>
    <t>[CCC04017]</t>
  </si>
  <si>
    <t>2 medição</t>
  </si>
  <si>
    <t>A212 - MORI GERÇÃO  II - UFV FREI INOCENCIO</t>
  </si>
  <si>
    <t>000936</t>
  </si>
  <si>
    <t xml:space="preserve"> WEG  MEDIÇÃO 4 PRESTAÇÃO DE SERVIÇOS EVENTO  3   (FREI INOCENCIO)  NF 3636  INTEGRADOR ATC</t>
  </si>
  <si>
    <t>Pagamento de medição contratual, mobilização de canteiros de obras, Evento 3 de contrato FullEPC de construção da UFV .</t>
  </si>
  <si>
    <t>[CCC04048]</t>
  </si>
  <si>
    <t>000810</t>
  </si>
  <si>
    <t xml:space="preserve">Construção e Montagem WEG - Medição 3 - Entrega dos módulos na obra   UFVs( FREI INOCENCIO)  </t>
  </si>
  <si>
    <t>Pagamento de medição contratual, Evento  5 , referente ao contrato FullEPC de construção da UFV.</t>
  </si>
  <si>
    <t>[CCC03931]</t>
  </si>
  <si>
    <t>5medição</t>
  </si>
  <si>
    <t>000548</t>
  </si>
  <si>
    <t>Construção e Montagem WEG(integrador ATC) - Medição 2 - Entrega de POs (Frei Inocêncio 1)</t>
  </si>
  <si>
    <t>Pagamento de medição contratual, suportada pelo 2o marco de contrato FullEPC de construção da UFV</t>
  </si>
  <si>
    <t>000561</t>
  </si>
  <si>
    <t>Revisão de coordenograma de proteção em função de alteração da potência dos transformadores . (UFV Frei Inocêncio)</t>
  </si>
  <si>
    <t>Pagamento de serviço de revisão dos coordenogramas de proteção das cabines de medição para a UFV.</t>
  </si>
  <si>
    <t>[CCC03450]</t>
  </si>
  <si>
    <t>000981</t>
  </si>
  <si>
    <t>MEDIÇÃO  PRESTAÇÃO DE SERVIÇOS (FREI INOCENCIO )    NF 2429</t>
  </si>
  <si>
    <t>Pagamento de serviço de Extensão de rede de distribuição rural para atender à UFV.</t>
  </si>
  <si>
    <t>[CCC04087}</t>
  </si>
  <si>
    <t>Verificar com Marcio a Mudança desta Nota Conforme email e seg 30/01/2023 18:42 20:21 Matheus</t>
  </si>
  <si>
    <t>001038</t>
  </si>
  <si>
    <t>DAE - Dispença de Licenciamento ambiental UFV  ( FREI INOCÊNCIO 01)  NF  908</t>
  </si>
  <si>
    <t>000975</t>
  </si>
  <si>
    <t>MRO - Terraplanagem UFVs Full-EPC -  MEDIÇÃO FINAL  AVANÇO 10%  (  FREI INOCENCIO) NF  416</t>
  </si>
  <si>
    <t>Pagamento  referente a AVANÇO  10% finais dos serviços,  necessário à construção da UFV. EVENTO 4</t>
  </si>
  <si>
    <t>[CCC04081]</t>
  </si>
  <si>
    <t>001094</t>
  </si>
  <si>
    <t>Religadores ( FRE INOCÊNCIO)   TAVRIDA    NF     711</t>
  </si>
  <si>
    <t>Compra feita em Faturamento Direto, em contrato de obras MT externas à UFV</t>
  </si>
  <si>
    <t> [CCC04134]</t>
  </si>
  <si>
    <t>A212 - MORI GERAÇÃO  II - UFB FREI INOCENCIO</t>
  </si>
  <si>
    <t>000923</t>
  </si>
  <si>
    <t>Engenharia do proprietário (AFPLAN)</t>
  </si>
  <si>
    <t>MEDIÇÃO MENSAL OUT /2022 UFVs  ( Frei Inocêncio 1 )   AFAPLAN   NF  7359</t>
  </si>
  <si>
    <t>Pagamento de medição, serviço contratuais de Engenharia do proprietário,  necessário à construção da UFV.</t>
  </si>
  <si>
    <t>[CCC04039]</t>
  </si>
  <si>
    <t>Frei Inocêncio 1_Engenharia de Proprietario</t>
  </si>
  <si>
    <t>Engenharia de Proprietario</t>
  </si>
  <si>
    <t>001104</t>
  </si>
  <si>
    <t>MEDIÇÃO MENSAL NOV /2022 UFVs  ( Frei Inocêncio 1 )   AFAPLAN   NF   7523</t>
  </si>
  <si>
    <t> [CCC04151]</t>
  </si>
  <si>
    <t xml:space="preserve">A212-MORI GERACAO II -  FRE INOCENCIO </t>
  </si>
  <si>
    <t>0001149</t>
  </si>
  <si>
    <t>PRESTAÇÃO DE SERVIÇOS UFVs ( FREI INOCENCIO  )    NF962  VB AMBIENTAL</t>
  </si>
  <si>
    <t>001315</t>
  </si>
  <si>
    <t>MEDIÇÃO MENSAL UFVs  ( Frei Inocêncio 1 )   AFAPLAN   NF   7879</t>
  </si>
  <si>
    <t>Pagamento de medição, serviço contratuais de Engenharia do proprietário,  necessário à construção da UFV. DEZ/2022</t>
  </si>
  <si>
    <t> [CCC04335]</t>
  </si>
  <si>
    <t>001272</t>
  </si>
  <si>
    <t>WEG PRESTAÇÃO DE SERVIÇOS UFVs ( FRE INOCENCIO )   ADIANTAMENTO   EVENTO 6</t>
  </si>
  <si>
    <t>Pagamento MEDIÇÃO MONTAGEM 100% DAS MESAS  , contrato FULL EPC WEG. EVENTO 6</t>
  </si>
  <si>
    <t> [CCC04265]</t>
  </si>
  <si>
    <t>6medição</t>
  </si>
  <si>
    <t>000817</t>
  </si>
  <si>
    <t xml:space="preserve">COMPRA DE MATEIRIAS UFVs (  FREI INOCENCIO)  NF   416970  LOJA ELETRICA </t>
  </si>
  <si>
    <t>[CCC03946]</t>
  </si>
  <si>
    <t>001392</t>
  </si>
  <si>
    <t>PRESTAÇÃO DE SERVIÇOS (FRE INOCÊNCIO) NF 8   CONCERT NÃO DESCONTAR EM CONTRATO</t>
  </si>
  <si>
    <t>Pagamento em faturamento direto referente ao acompanhamento e fiscalização da execução de obras de engenharia, em contrato AT. (não descontar em contrato, fora do escopo contratual )</t>
  </si>
  <si>
    <t> [CCC04412]</t>
  </si>
  <si>
    <t>001393</t>
  </si>
  <si>
    <t>PRESTAÇÃO DE SERVIÇOS (FRE INOCÊNCIO) NF 9   CONCERT NÃO DESCONTAR EM CONTRATO</t>
  </si>
  <si>
    <t>001439</t>
  </si>
  <si>
    <t>WEG PRESTAÇÃO DE SERVIÇOS UFVs ( FREI INOCÊNCIO)  NF3656  INTEGRADOR ATC   EVENTO 7</t>
  </si>
  <si>
    <t>Pagamento de medição referente a Conclusão conexões CC e CA , em contrato FullEPC de construção da UFV. Evento 7</t>
  </si>
  <si>
    <t> [CCC04527]</t>
  </si>
  <si>
    <t>001412</t>
  </si>
  <si>
    <t>MEDIÇÃO MENSAL UFVs  ( Frei Inocêncio 1 )   AFAPLAN   NF   8034</t>
  </si>
  <si>
    <t>Pagamento de medição, serviço contratuais de Engenharia do proprietário,  necessário à construção da UFV. JAN/2023</t>
  </si>
  <si>
    <t> [CCC04489]</t>
  </si>
  <si>
    <t>001451</t>
  </si>
  <si>
    <t xml:space="preserve">PRESTAÇÃO DE SERVIÇOS UFVs (FREI INOCÊNCIO) NF 941  NORTE CONEXÃO </t>
  </si>
  <si>
    <t>Pagamento em faturamento direto, referente a supervisão da usina, necessário para construção da usina.</t>
  </si>
  <si>
    <t> [CCC04542]</t>
  </si>
  <si>
    <t>001450</t>
  </si>
  <si>
    <t>COMPRA DE MATERIAL UFVs (FREI INOCÊNCIO) NF 1989  ATI</t>
  </si>
  <si>
    <t>Pagamento referente ao forncecimento de material para SGD, em contrato celebrato entre Mori 2 e ATI.</t>
  </si>
  <si>
    <t> [CCC04541]</t>
  </si>
  <si>
    <t>001484</t>
  </si>
  <si>
    <t>COMPRA DE MATERIAIS UFVs (FREI INOCENCIO)   NF 1989 ATI AUTOMAÇÃO</t>
  </si>
  <si>
    <t>Pagamento em faturamento direto referente  a  compra de materiais, necessários a construção da USINA.</t>
  </si>
  <si>
    <t> [CCC04567]</t>
  </si>
  <si>
    <t xml:space="preserve">O pedido foi cancelado e repassado para o 001450 </t>
  </si>
  <si>
    <t>A212 - MORI GERAÇÃO II - UFV FREI INOCENCIO</t>
  </si>
  <si>
    <t>001464</t>
  </si>
  <si>
    <t xml:space="preserve">MEDIÇÃO MENSAL UFVs  ( Frei Inocêncio 1 )   AFAPLAN   NF  </t>
  </si>
  <si>
    <t>Pagamento de medição, serviço contratuais de Engenharia do proprietário,  necessário à construção da UFV. FEV/2023</t>
  </si>
  <si>
    <t> [CCC04552]</t>
  </si>
  <si>
    <t>001490</t>
  </si>
  <si>
    <t>WEG PRESTAÇÃO DE SERVIÇOS UFVs (FREI INOCENCIO)   ADIANTAMENTO   EVENTO 7</t>
  </si>
  <si>
    <t>Pagamento medição, refrente a Conclusão das conexões CC e CA , contrato FULL EPC WEG. EVENTO 7</t>
  </si>
  <si>
    <t> [CCC04592]</t>
  </si>
  <si>
    <t>001578</t>
  </si>
  <si>
    <t xml:space="preserve">PRESTAÇÃO DE SERVIÇOS UFVs ( FREI INOCÊNCIO ) NF 2573 </t>
  </si>
  <si>
    <t xml:space="preserve">Pagamento medição final, refernete ao serviço de extensão de rede de distribuição rural,  necessário à construção da UFV. </t>
  </si>
  <si>
    <t> [CCC04716]</t>
  </si>
  <si>
    <t>001571</t>
  </si>
  <si>
    <t>Pagamento de medição, serviço contratuais de Engenharia do proprietário,  necessário à construção da UFV. MAR/2023</t>
  </si>
  <si>
    <t>[CCC04708]</t>
  </si>
  <si>
    <t>001615</t>
  </si>
  <si>
    <t>Outros - Serviços à UFV (WEG)</t>
  </si>
  <si>
    <t>PRESTAÇÃO DE SERVIÇOS UFVs (FREI INOCENCIO)  NF 609    RONDA PORTEIROS</t>
  </si>
  <si>
    <t>Pagamento em faturamento direto referente ao serviço de vigilância desarmada , necessário a construção da usinas. ESCOPO COMERC</t>
  </si>
  <si>
    <t> [CCC04833]</t>
  </si>
  <si>
    <t xml:space="preserve"> Escopo Comerc</t>
  </si>
  <si>
    <t>001599</t>
  </si>
  <si>
    <t>PRESTAÇÃO DE SERVIÇOS UFVs (FREI INOCÊNCIO) NF 126 ATI</t>
  </si>
  <si>
    <t>Pagamento em faturamento direto referente a prestação de serviço de instalação de sistema de supervisão, necessário a construção da usinas.</t>
  </si>
  <si>
    <t> [CCC04787]</t>
  </si>
  <si>
    <t>000999</t>
  </si>
  <si>
    <t>Consultoria em servidão (Lagoa Formosa 1) reedição - GEOVANY</t>
  </si>
  <si>
    <t>[CCC02385]</t>
  </si>
  <si>
    <t>Lagoa Formosa 1 _Outros</t>
  </si>
  <si>
    <t>CONT. PROJETOS - Projetos AT - PROEL NSs 1132538732, 1133809054, 1134093798, 1138566893, 1138567585 (Lagoa Formosa 1)</t>
  </si>
  <si>
    <t>[CCC02328-01]</t>
  </si>
  <si>
    <t>Lagoa Formosa - CAPEX - Serviço AT - CCAP-C2_000008</t>
  </si>
  <si>
    <t>Lagoa Formosa 1_Obras AT_FD</t>
  </si>
  <si>
    <t>JX AMBIENTAL - Procedimento Administrativo - DAIA de implantação de UFV - 50% iniciais - (LAGOA FORMOSA 1)</t>
  </si>
  <si>
    <t>JX AMBIENTAL - Procedimento Administrativo - DAIA de implantação de rede rural - 50% iniciais - (LAGOA FORMOSA 1)</t>
  </si>
  <si>
    <t>[CCC02515]</t>
  </si>
  <si>
    <t>JX AMBIENTAL - Procedimento Administrativo - DAIA de implantação de UFV - 40% intermediários - (LAGOA FORMOSA 1)</t>
  </si>
  <si>
    <t>JX AMBIENTAL - Procedimento Administrativo - DAIA de implantação de rede rural - 40% intermediários - (LAGOA FORMOSA 1)</t>
  </si>
  <si>
    <t>CONT. PROJETOS - Medição final de serviços (Lagoa Formosa 1)</t>
  </si>
  <si>
    <t>Lagoa Formosa 1_Obras AT_MD</t>
  </si>
  <si>
    <t>JX AMBIENTAL - Taxa de Lenha (Lagoa Formosa 1)</t>
  </si>
  <si>
    <t>[CCC02592-01]</t>
  </si>
  <si>
    <t>JX AMBIENTAL - Taxa de Madeira (Lagoa Formosa 1)</t>
  </si>
  <si>
    <t>[CCC02592-02]</t>
  </si>
  <si>
    <t>JX AMBIENTAL - Taxa de Analise (Lagoa Formosa 1)</t>
  </si>
  <si>
    <t>[CCC02592-03]</t>
  </si>
  <si>
    <t>000053</t>
  </si>
  <si>
    <t>Medição 0 - Adiantamento (Lagoa Formosa 1)</t>
  </si>
  <si>
    <t>[CCC02610-06]</t>
  </si>
  <si>
    <t>JX AMBIENTAL - Taxa de Rede de Lenha (Lagoa Formosa 1)</t>
  </si>
  <si>
    <t>[CCC02628-01]</t>
  </si>
  <si>
    <t>JX AMBIENTAL - Taxa de Rede de Madeira (Lagoa Formosa 1)</t>
  </si>
  <si>
    <t>[CCC02628-02]</t>
  </si>
  <si>
    <t>JX AMBIENTAL - Taxa de Rede de Analise (Lagoa Formosa 1)</t>
  </si>
  <si>
    <t>[CCC02628-03]</t>
  </si>
  <si>
    <t>JX AMBIENTAL - Taxa de Reposição Florestal - Lenha (Lagoa Formosa 1)</t>
  </si>
  <si>
    <t>[CCC02638-01]</t>
  </si>
  <si>
    <t>JX AMBIENTAL - Taxa de Reposição Florestal - Madeira (Lagoa Formosa 1)</t>
  </si>
  <si>
    <t>[CCC02638-02]</t>
  </si>
  <si>
    <t>000068</t>
  </si>
  <si>
    <t>Medição (ENGELUZ-MT)</t>
  </si>
  <si>
    <t>Medição 0 - Adiantamento  (Lagoa Formosa 1)</t>
  </si>
  <si>
    <t>[CCC02663-02]</t>
  </si>
  <si>
    <t>Lagoa Formosa - CAPEX - Serviço MT - CCAP-C2_000015</t>
  </si>
  <si>
    <t>Lagoa Formosa 1 _Obras MT_MD</t>
  </si>
  <si>
    <t>000077</t>
  </si>
  <si>
    <t>JX AMBIENTAL - PTRF - Espécies protegidas - Rede - 01de03 (Lagoa Formosa 1)</t>
  </si>
  <si>
    <t>[CCC02670-01]</t>
  </si>
  <si>
    <t>JX AMBIENTAL - Procedimento Administrativo - DAIA de implantação de rede rural - 10% finais - (LAGOA FORMOSA 1)</t>
  </si>
  <si>
    <t>[CCC02682-03]</t>
  </si>
  <si>
    <t>000083</t>
  </si>
  <si>
    <t>JX AMBIENTAL - PTRF - Espécies protegidas - Rede - 02de03 (Lagoa Formosa 1)</t>
  </si>
  <si>
    <t>[CCC02682-01]</t>
  </si>
  <si>
    <t>000084</t>
  </si>
  <si>
    <t>JX AMBIENTAL - PTRF - Espécies protegidas - Rede - 03de03 (Lagoa Formosa 1)</t>
  </si>
  <si>
    <t>[CCC02682-02]</t>
  </si>
  <si>
    <t>000097</t>
  </si>
  <si>
    <t>Projetos de fundações e drenagem - HALLITE (Lagoa Formosa 1) Analise terraplanagem</t>
  </si>
  <si>
    <t>[CCC02715-03]</t>
  </si>
  <si>
    <t>000110</t>
  </si>
  <si>
    <t>Consultoria em servidão - Obtenção de PTRF (Lagoa Formosa 1) - GEOVANY</t>
  </si>
  <si>
    <t>[CCC02818-04]</t>
  </si>
  <si>
    <t>000136</t>
  </si>
  <si>
    <t>Revisão de coordenadas de terreno - Soluç. Agrimensura (Lagoa Formosa)</t>
  </si>
  <si>
    <t>[CCC02851-04]</t>
  </si>
  <si>
    <t>SCOMP-000004</t>
  </si>
  <si>
    <t>Reatores de aterramento ADELCO (Lagoa Formosa 1)</t>
  </si>
  <si>
    <t>000193</t>
  </si>
  <si>
    <t>Medição 0 - Adiantamento contratual (Lagoa Formosa 1)</t>
  </si>
  <si>
    <t>[CCC02924-02]</t>
  </si>
  <si>
    <t>000268</t>
  </si>
  <si>
    <t>JX AMBIENTAL - Taxa de Analise - Complementar (Lagoa Formosa 1)</t>
  </si>
  <si>
    <t>[CCC03149-01]</t>
  </si>
  <si>
    <t>000270</t>
  </si>
  <si>
    <t>JX AMBIENTAL - Taxa de Madeira - Complementar (Lagoa Formosa 1)</t>
  </si>
  <si>
    <t>[CCC03149-03]</t>
  </si>
  <si>
    <t>000271</t>
  </si>
  <si>
    <t>JX AMBIENTAL - Taxa de reposição de Lenha - Complementar (Lagoa Formosa 1)</t>
  </si>
  <si>
    <t>[CCC03149-04]</t>
  </si>
  <si>
    <t>000272</t>
  </si>
  <si>
    <t>JX AMBIENTAL - Taxa de reposição de Madeira - Complementar (Lagoa Formosa 1)</t>
  </si>
  <si>
    <t>[CCC03149-05]</t>
  </si>
  <si>
    <t>000269</t>
  </si>
  <si>
    <t>JX AMBIENTAL - Taxa de Lenha - Complementar (Lagoa Formosa 1)</t>
  </si>
  <si>
    <t>[CCC03149-02]</t>
  </si>
  <si>
    <t>000265</t>
  </si>
  <si>
    <t>Desenvolvimento de projetos Executivos - 20% iniciais (Lagoa Formosa 1)</t>
  </si>
  <si>
    <t>[CCC03147-02]</t>
  </si>
  <si>
    <t>Lagoa Formosa 1_Engenharia Executiva</t>
  </si>
  <si>
    <t>Engenharia Executiva</t>
  </si>
  <si>
    <t>ENERSOLAR</t>
  </si>
  <si>
    <t>000306</t>
  </si>
  <si>
    <t>Medição 01 (Lagoa Formosa 1)</t>
  </si>
  <si>
    <t>[CCC03178-04]</t>
  </si>
  <si>
    <t>000285</t>
  </si>
  <si>
    <t>Archtech - Testes de PullOuT_Biotec - Adiantamento (Lagoa Formosa 1)</t>
  </si>
  <si>
    <t>[CCC03145-10]</t>
  </si>
  <si>
    <t>000319</t>
  </si>
  <si>
    <t>Fat. Direto (ENGELUZ-MT)</t>
  </si>
  <si>
    <t>Postes de concreto (Lagoa Formosa 1)</t>
  </si>
  <si>
    <t>[CCC03215-01]</t>
  </si>
  <si>
    <t>Lagoa Formosa 1 _Obras MT_FD</t>
  </si>
  <si>
    <t>000320</t>
  </si>
  <si>
    <t>Postes de madeira (Lagoa Formosa 1)</t>
  </si>
  <si>
    <t>[CCC03215-02]</t>
  </si>
  <si>
    <t>000322</t>
  </si>
  <si>
    <t>Conectores e material de fixação (Lagoa Formosa 1)</t>
  </si>
  <si>
    <t>[CCC03215-03]</t>
  </si>
  <si>
    <t>000323</t>
  </si>
  <si>
    <t>Serviço de SPT - NOVO TEMPO (Lagoa Formosa 1) - Campanha 5</t>
  </si>
  <si>
    <t>[CCC03047-01]</t>
  </si>
  <si>
    <t>000330</t>
  </si>
  <si>
    <t>Materiais para conexão de cabos (Lagoa Formosa 1)</t>
  </si>
  <si>
    <t>[CCC03237]</t>
  </si>
  <si>
    <t>000332</t>
  </si>
  <si>
    <t>Projeto de cabine primária  - PROJETTI - 100% (Lagoa Formosa 1)</t>
  </si>
  <si>
    <t>[CCC03233-12]</t>
  </si>
  <si>
    <t>Lagoa Formosa 1_Projeto/Coordenograma</t>
  </si>
  <si>
    <t>000352</t>
  </si>
  <si>
    <t>Archtech - Testes de PullOuT_Biotec - Finalização (Lagoa Formosa 1)</t>
  </si>
  <si>
    <t>[CCC03265-10]</t>
  </si>
  <si>
    <t>000367</t>
  </si>
  <si>
    <t>Desenvolvimento de projetos Executivos - 20% intermediários - 1a entrega (Lagoa Formosa 1)</t>
  </si>
  <si>
    <t>[CCC03290-04]</t>
  </si>
  <si>
    <t>000378</t>
  </si>
  <si>
    <t>Medição 02 (Lagoa Formosa 1)</t>
  </si>
  <si>
    <t>[CCC03222-01]</t>
  </si>
  <si>
    <t>JX AMBIENTAL - Procedimento Administrativo - DAIA de implantação de UFV - 10% finais - (LAGOA FORMOSA 1)</t>
  </si>
  <si>
    <t>[CCC03319]</t>
  </si>
  <si>
    <t>000396</t>
  </si>
  <si>
    <t>SUPERVISORIO - Ciclo 2 - Gateways e remota (Lagoa Formosa 1)</t>
  </si>
  <si>
    <t>[CCC03287-10]</t>
  </si>
  <si>
    <t>Lagoa Formosa 1 _SGD</t>
  </si>
  <si>
    <t>000409</t>
  </si>
  <si>
    <t>SUPERVISORIO - Ciclo 2 - Baterias, desktops, switch e acessórios (Lagoa Formosa 1)</t>
  </si>
  <si>
    <t>[CCC03287-23]</t>
  </si>
  <si>
    <t>000394</t>
  </si>
  <si>
    <t>[CCC03321]</t>
  </si>
  <si>
    <t>000479</t>
  </si>
  <si>
    <t>[CCC03346]</t>
  </si>
  <si>
    <t>000480</t>
  </si>
  <si>
    <t>Desenvolvimento de projetos Executivos - ENERSOLAR - 20% avançados - 2a entrega (Lagoa Formosa 1)</t>
  </si>
  <si>
    <t>[CCC03368-01]</t>
  </si>
  <si>
    <t>000488</t>
  </si>
  <si>
    <t>Medição 03 (Lagoa Formosa 1)</t>
  </si>
  <si>
    <t>[CCC03355-02]</t>
  </si>
  <si>
    <t>000537</t>
  </si>
  <si>
    <t xml:space="preserve">Construção e Montagem Viaprumo - Medição 1 - Adiantamento (Lagoa Formosa) </t>
  </si>
  <si>
    <t>[CCC03484]</t>
  </si>
  <si>
    <t>Lagoa Formosa 1_EPC_MD</t>
  </si>
  <si>
    <t>00583</t>
  </si>
  <si>
    <t xml:space="preserve">Estação solarimétrica – Hukseflux    Lagoa Formosa
</t>
  </si>
  <si>
    <t>[CCC03547]</t>
  </si>
  <si>
    <t>Lagoa Formosa 1 _Estação solarimétrica</t>
  </si>
  <si>
    <t>000635</t>
  </si>
  <si>
    <t xml:space="preserve">Religadores (Lagoa Formosa)   TAVRIDA    NF 330   </t>
  </si>
  <si>
    <t>[CCC03626]</t>
  </si>
  <si>
    <t>000984</t>
  </si>
  <si>
    <t>Fat. Direto (ENGELUZ) - RDA - Rede de Distribuição Aerea</t>
  </si>
  <si>
    <t xml:space="preserve">COMPRA MATERIAIS PARA UFVs  ( LAGOA FORMOSA  )  NF 26107     EXPONECIAL RDA INTERNO  </t>
  </si>
  <si>
    <t>Compra feita em Faturamento Direto, em contrato de obras EPC da UFV.  (RDA interna)</t>
  </si>
  <si>
    <t>[CCC04053]</t>
  </si>
  <si>
    <t>Lagoa Formosa 1_RDA - Rede de Distribuição Aerea</t>
  </si>
  <si>
    <t>RDA - Rede de Distribuição Aerea</t>
  </si>
  <si>
    <t>000709</t>
  </si>
  <si>
    <t>Fat.Direito EPC (VIAPRUMO)</t>
  </si>
  <si>
    <t>COMPRA MATERIAIS PARA UFVs ( LAGOA FORMOSA)   NF 50733</t>
  </si>
  <si>
    <t>Compra feita em Faturamento Direto, em contrato de obras EPC da UFV.</t>
  </si>
  <si>
    <t>[CCC03829]</t>
  </si>
  <si>
    <t>Lagoa Formosa 1_EPC_FD</t>
  </si>
  <si>
    <t>000754</t>
  </si>
  <si>
    <t>Projetos de fundações e drenagem - HALLITE (LAGOA FORMOSA) Analise terraplanagem - 30% FINAIS   NF 56</t>
  </si>
  <si>
    <t>Pagamento referente ao pagamento final de 30 % do projeto de terraplanagem mais aditivo de escopo (acessos e bases) .</t>
  </si>
  <si>
    <t>[CCC03873]</t>
  </si>
  <si>
    <t>000770</t>
  </si>
  <si>
    <t>Medição (LMENG)</t>
  </si>
  <si>
    <t>MOBILIZAÇÃO -  MEDIÇÃO  UFVs ( LAGOA FORMOSA ,  PATOS 1 - 4 -7 -8,  PATROCINIO 2-3 )LMENG    NF   10593</t>
  </si>
  <si>
    <t>Pagamento de medição relativa ao contrato de Engenharia do Proprietário</t>
  </si>
  <si>
    <t>[CCC03888]</t>
  </si>
  <si>
    <t>Lagoa Formosa 1_Engenharia de Proprietario</t>
  </si>
  <si>
    <t>LMENG</t>
  </si>
  <si>
    <t>000987</t>
  </si>
  <si>
    <t>PRESTAÇÃO DE SERVIÇO  UFVs  ( LAGOA FORMOSA)  NF  5809  FADRE</t>
  </si>
  <si>
    <t>[CCC04091]</t>
  </si>
  <si>
    <t>000988</t>
  </si>
  <si>
    <t>PRESTAÇÃO DE SERVIÇO  UFVs  ( LAGOA FORMOSA)  NF  4474 FADRE</t>
  </si>
  <si>
    <t>001054</t>
  </si>
  <si>
    <t xml:space="preserve">PRESTAÇÃO DE SERVIÇOS  UFVs  (  LAGOA FORMOSA)  NF  5  </t>
  </si>
  <si>
    <t xml:space="preserve">Pagamento de serviços de TERRAPLANAGEM,  em Faturamento Direto,  em contrato de obras EPC da UFV. </t>
  </si>
  <si>
    <t>[CCC04098]</t>
  </si>
  <si>
    <t>001056</t>
  </si>
  <si>
    <t xml:space="preserve">PRESTAÇÃO DE SERVIÇOS  UFVs   (  LAGOA FORMOSA)  NF  89   </t>
  </si>
  <si>
    <t>001022</t>
  </si>
  <si>
    <t>MEDIÇÃO EPC ( VIAPRUMO)</t>
  </si>
  <si>
    <t>MEDIÇÃO PRESTAÇÃO DE SERVIÇOS   UFVs ( LAGOA FORMOSA )  NF 194</t>
  </si>
  <si>
    <t>Pagamento de medição referente a  SERVIÇOS REFERENTES A EXECUÇÃO DE INSTALAÇÕES CIVIS PARA OBRA, necessários a construção das UFVs.</t>
  </si>
  <si>
    <t>[CCC04102]</t>
  </si>
  <si>
    <t>001029</t>
  </si>
  <si>
    <t xml:space="preserve">COMPRA MATERIAIS PARA UFVs  (  LAGOA FORMOSA  )  NF  72939  LTB  RDA INTERNO  </t>
  </si>
  <si>
    <t>[CCC04107]</t>
  </si>
  <si>
    <t>001039</t>
  </si>
  <si>
    <t>DAE - Dispença de Licenciamento ambiental UFV  ( LAGOA FORMOSA)  NF  909</t>
  </si>
  <si>
    <t>001083</t>
  </si>
  <si>
    <t>PRESTAÇÃO DE SERVIÇOS  UFVS ( LAGOA FORMOSA)   NF 1596</t>
  </si>
  <si>
    <t>Pagamento de serviços de VIGILANCIA, SEGURANCA OU MONITORAMENTO DE BENS E PESSOAS , em  Faturamento Direto, em contrato de obras EPC da UFV.</t>
  </si>
  <si>
    <t> [CCC04121]</t>
  </si>
  <si>
    <t>000771</t>
  </si>
  <si>
    <t>MOBILIZAÇÃO -  MEDIÇÃO  UFVs ( LAGOA FORMOSA ,  PATOS 1 - 4 -7 -8,  PATROCINIO 2-3 )LMENG    NF   10597</t>
  </si>
  <si>
    <t>000886</t>
  </si>
  <si>
    <t>COMPRA MATERIAIS PARA UFVs  ( LAGOA FORMOSA)  NF  2351</t>
  </si>
  <si>
    <t>[CCC03988]</t>
  </si>
  <si>
    <t>VIAPRUMO</t>
  </si>
  <si>
    <t>000895</t>
  </si>
  <si>
    <t>PRESTAÇÃO DE SERVIÇOS  MEDIÇÃO 1 UFVs  ( LAGOA FORMOSA)  NF  185</t>
  </si>
  <si>
    <t>Pagamento referente ao serviço de execução de instalações civis , 1° MEDIÇÃO ,  serviços necessários a construção da UFV.</t>
  </si>
  <si>
    <t>[CCC04009]</t>
  </si>
  <si>
    <t>000899</t>
  </si>
  <si>
    <t>COMPRA MATERIAIS PARA UFVs  ( LAGOA FORMOSA)  NF  1900</t>
  </si>
  <si>
    <t>000901</t>
  </si>
  <si>
    <t>COMPRA MATERIAIS PARA UFVs  ( LAGOA FORMOSA)  NF   14431</t>
  </si>
  <si>
    <t>000944</t>
  </si>
  <si>
    <t xml:space="preserve">COMPRA MATERIAIS PARA UFVs  ( LAGOA FORMOSA)  NF  2157   </t>
  </si>
  <si>
    <t>[CCC04010]</t>
  </si>
  <si>
    <t>15040 Este valor deve estar em Patos 1</t>
  </si>
  <si>
    <t>000931</t>
  </si>
  <si>
    <t>Desenvolvimento de projetos Executivos  - ENERSOLAR -  20%  EMITIDOS -  ( LAGOA FORMOSA )   NF 154</t>
  </si>
  <si>
    <t>Serviço contratado de desenvolvimento de projetos executivos destinados à construção de instalações internas da UFV.</t>
  </si>
  <si>
    <t>[CCC04045]</t>
  </si>
  <si>
    <t>000932</t>
  </si>
  <si>
    <t>Desenvolvimento de projetos Executivos  - ENERSOLAR -  20%  APROVADO -  ( LAGOA FORMOSA )   NF  155</t>
  </si>
  <si>
    <t>000872</t>
  </si>
  <si>
    <t>COMPRA MATERIAIS PARA UFVs  ( LAGOA FORMOSA 1 )  NF  8166 ZETA POSTES  RDA INTERNA</t>
  </si>
  <si>
    <t>[CCC04001]</t>
  </si>
  <si>
    <t>001167</t>
  </si>
  <si>
    <t>MEDIÇÃO  ( ENGELUZ-MT)RDA - Rede de Distribuição Aerea</t>
  </si>
  <si>
    <t xml:space="preserve">MEDIÇÃO DE EXECUÇÃO RDA INTERNO   UFVs ( LAGOA FORMOSA )  NF 321  </t>
  </si>
  <si>
    <t>Pagamento  de medição  de serviços DE MÃO DE OBRA ESPECIALIZADA NA CONSTRUÇÃO RDR INTERNO, necessário a construção da UFV.</t>
  </si>
  <si>
    <t> [CCC04200]</t>
  </si>
  <si>
    <t>000914</t>
  </si>
  <si>
    <t xml:space="preserve">Estação solarimétrica – Hukseflux   UFVs (LAGOA FORMOSA 1)   VINCULO PEDIDO  000583 A201   NF   4783
</t>
  </si>
  <si>
    <t>Compra de equipamento adicional de monitoração de condições atmosféricas, 70% FINAIS.</t>
  </si>
  <si>
    <t>[CCC04028]</t>
  </si>
  <si>
    <t>001102</t>
  </si>
  <si>
    <t>PRESTAÇÃO DE SERVIÇOS  UFVS (LAGOA FORMOSA  )   NF  86 GERMAQ</t>
  </si>
  <si>
    <t>Pagamento de serviços  de LOCAÇÃO PÁ RETROESCAVADEIRA,  em  Faturamento Direto, em contrato de obras EPC da UFV.</t>
  </si>
  <si>
    <t> [CCC04146]</t>
  </si>
  <si>
    <t>001357</t>
  </si>
  <si>
    <t>PRESTAÇÃO SERVIÇOS UFVs ( LAGOA FORMOSA ) NF  240</t>
  </si>
  <si>
    <t>Pagamento  de medição , referente INSTALAÇÃO DOS MÓDULOS FOTOVOLTAICOS,INSTALAÇÃO DE SKIDS, INSTALAÇÃO DACABINE. INSTALAÇÃO DATALOGGER/ESTAÇÃO METEOROLOGICA, REDE DE MÉDIA TENSÃO, em contrato EPC. 4°</t>
  </si>
  <si>
    <t> [CCC04381]</t>
  </si>
  <si>
    <t>001198</t>
  </si>
  <si>
    <t>PRESTAÇÃO DE SERVIÇOS UFVs (LAGOA FORMOSA  ) NF   1545     SOUZA LIMA SEGURANÇA</t>
  </si>
  <si>
    <t>Pagamento em Faturamento Direto , referente ao serviços de  sessao de mao de obra  - vigilancia ,  em contrato EPC.</t>
  </si>
  <si>
    <t> [CCC04210]</t>
  </si>
  <si>
    <t>PRESTAÇÃO DE SERVIÇOS  UFVS (LAGOA FORMOSA  )   NF  85 GERMAQ</t>
  </si>
  <si>
    <t>001120</t>
  </si>
  <si>
    <t>PRESTAÇÃO DE SERVIÇOS UFVs (LAGOA FORMOSA ) NF  5842</t>
  </si>
  <si>
    <t>Pagamento de serviço de mão de obra na operação de manipulador de telescópio  , feito em Faturamento Direto, em contrato  EPC .</t>
  </si>
  <si>
    <t> [CCC04163]</t>
  </si>
  <si>
    <t>001121</t>
  </si>
  <si>
    <t>PRESTAÇÃO DE SERVIÇOS UFVs (LAGOA FORMOSA ) NF  4502</t>
  </si>
  <si>
    <t>Pagamento de serviço de LOCAÇÃO  , feito em Faturamento Direto, em contrato  EPC .</t>
  </si>
  <si>
    <t>001155</t>
  </si>
  <si>
    <t>PRESTAÇÃO SERVIÇO UFVs ( LAGOA FORMOSA ) NF   1835</t>
  </si>
  <si>
    <t>Pagamento de serviço de  LOCAÇÃO DE Manipuladores Telescópico Diesel  , feito em Faturamento Direto, em contrato  EPC .</t>
  </si>
  <si>
    <t> [CCC04184]</t>
  </si>
  <si>
    <t>001158</t>
  </si>
  <si>
    <t>COMPRA DE MATERIAIS  UFVs   ( LAGOA FORMOSA)  NF 2383</t>
  </si>
  <si>
    <t>Compra feita em Faturamento Direto, em contrato  EPC .</t>
  </si>
  <si>
    <t>000889</t>
  </si>
  <si>
    <t>COMPRA MATERIAIS PARA UFVs  ( LAGOA FORMOSA)  NF  51296</t>
  </si>
  <si>
    <t>000813</t>
  </si>
  <si>
    <t>PROJETOS CABINE PRIMÁRIA   UFVs (ARCOS 7 )  PROJETTI   NF  172</t>
  </si>
  <si>
    <t>Pagamento de serviço  de Primeira aprovação do projeto de cabine (não existe escopo adicional) , necessários a construção das UFVs .</t>
  </si>
  <si>
    <t> [CCC04118]</t>
  </si>
  <si>
    <t>001216</t>
  </si>
  <si>
    <t>COMPRA DE MATERIAIS UFVS ( LAGOA FORMOSA  ) NF  500</t>
  </si>
  <si>
    <t>Pagamento  EM FATURAMENTO DIRETO,   SERVIÇO DE INSTALAÇÃO DE ALAMBRADO E PORTÕES ,  necessário à construção da UFV  em contrato EPC .</t>
  </si>
  <si>
    <t> [CCC04225]</t>
  </si>
  <si>
    <t>001197</t>
  </si>
  <si>
    <t>PRESTAÇÃO DE SERVIÇOS UFVs (LAGOA FORMOSA  ) NF   1544      SOUZA LIMA SEGURANÇA</t>
  </si>
  <si>
    <t>001475</t>
  </si>
  <si>
    <t>PRESTAÇÃO DE SERVIÇOS UFVs ( LAGOA FORMOSA  ) NF 284 aguardar ok Gilson</t>
  </si>
  <si>
    <t xml:space="preserve">Pagamento de medição referente AO DE SERVIÇO BM04 MARCO DA MEDIÇÃO: (INSTALAÇÃO DOS MÓDULOS FOTOVOLTAICOS,INSTALAÇÃO DE SKIDS, INSTALAÇÃO DACABINE. INTALAÇÃO DATALOGGER/ESTAÇÃO METEOROLOGICA, REDE DE MÉDIA TENSÃO )s, em contrato EPC. </t>
  </si>
  <si>
    <t> [CCC04561]</t>
  </si>
  <si>
    <t>001228</t>
  </si>
  <si>
    <t>PRESTAÇÃO DE SERVIÇOS UFVS (LAGOA FORMOSA ) NF 312</t>
  </si>
  <si>
    <t>PAGAMENTO PRESTAÇÃO DE SERVIÇO DE VIGILANCIA DESARMADANECESSÁRTIOS A CONSTRUÇÃO DA UFVS.</t>
  </si>
  <si>
    <t> [CCC04231]</t>
  </si>
  <si>
    <t>ESCOPO COMERC</t>
  </si>
  <si>
    <t>RONDA PORTEIROS</t>
  </si>
  <si>
    <t>001247</t>
  </si>
  <si>
    <t xml:space="preserve">PRESTAÇÃO DE SERVIÇOS UFVS (LAGOA FORMOSA ) NF  5 </t>
  </si>
  <si>
    <t>PAGAMENTO PRESTAÇÃO DE SERVIÇO DE  TRANSPORTE, NECESSARIO  A CONSTRUÇÃO DA UFVS.</t>
  </si>
  <si>
    <t> [CCC04234]</t>
  </si>
  <si>
    <t>ESCOPO COMERC-  Pago depois abandono da  Via Prumo</t>
  </si>
  <si>
    <t>JOAO RICARDO BRANDAO</t>
  </si>
  <si>
    <t>000831</t>
  </si>
  <si>
    <t xml:space="preserve">SERVIÇO DE LOCAÇÃO  UFVs ( LAGOA FORMOSA)   NF    83 </t>
  </si>
  <si>
    <t>Pagamento de serviço de locação,  feito em Faturamento Direto, em contrato de obras EPC da UFV.</t>
  </si>
  <si>
    <t>[CCC03939]</t>
  </si>
  <si>
    <t>001337</t>
  </si>
  <si>
    <t>MEDIÇÃO DE EXECUÇÃO UFVs (LAGOA FORMOSA) NF 341</t>
  </si>
  <si>
    <t>agamento  de medição  de serviços DE MÃO DE OBRA ESPECIALIZADA NA CONSTRUÇÃO RDR , necessário a construção da UFV em contrato MT.</t>
  </si>
  <si>
    <t> [CCC04348]</t>
  </si>
  <si>
    <t>001298</t>
  </si>
  <si>
    <t>PRESTAÇÃO DE SERVIÇOS UFVs  ( LAGOA FORMOSA) NF 4536   FADRE</t>
  </si>
  <si>
    <t>Pagamento  EM FATURAMENTO DIRETO,  referente a locação Manipulador Telescópico ,  necessário à construção da UFV  em contrato EPC .</t>
  </si>
  <si>
    <t> [CCC04312]</t>
  </si>
  <si>
    <t>001299</t>
  </si>
  <si>
    <t>PRESTAÇÃO DE SERVIÇOS UFVs  ( LAGOA FORMOSA) NF 5904  FADRE</t>
  </si>
  <si>
    <t>Pagamento  EM FATURAMENTO DIRETO,  referente  a mão de obra na operação de manipulador telescopio,  necessário à construção da UFV  em contrato EPC .</t>
  </si>
  <si>
    <t>001301</t>
  </si>
  <si>
    <t>PRESTAÇÃO DE SERVIÇOS UFVs  ( LAGOA FORMOSA) NF 89  ROGERIO GERALDO GMARQ</t>
  </si>
  <si>
    <t>Pagamento EM FATURAMENTO DIRETO, REFERENTE A LOCAÇÃO DE PÁ RETROESCAVADEIRA, necessário à construção da UFV em contrato EPC .</t>
  </si>
  <si>
    <t> [CCC04315]</t>
  </si>
  <si>
    <t>001303</t>
  </si>
  <si>
    <t>Outros - Serviços à UFV (VIAPRUMO)</t>
  </si>
  <si>
    <t>PRESTAÇÃO DE SERVIÇOS UFVs  ( LAGOA FORMOSA) NF   371  RONDA PORTEIROS</t>
  </si>
  <si>
    <t>Pagamento de serviços, REFERENTE A PRESTAÇÃO DE SERVIÇO DE VIGILANCIA DESARMADA, necessário à construção da UFV em contrato EPC . SERVIÇO EXTRA</t>
  </si>
  <si>
    <t> [CCC04316]</t>
  </si>
  <si>
    <t>001321</t>
  </si>
  <si>
    <t>PRESTAÇÃO DE SERVIÇOS UFVs ( LAGOA FORMOSA ) NF 78 SOUZA LIMA SEGURANÇA</t>
  </si>
  <si>
    <t>Prestação de serviços mediante a acesso de mão de obra-vigilância, necessário à construção da UFV em contrato EPC .</t>
  </si>
  <si>
    <t> [CCC04341]</t>
  </si>
  <si>
    <t>001352</t>
  </si>
  <si>
    <t xml:space="preserve">COMPRA DE MATERIAIS UFVs (LAGOA FORMOSA)  NF 26357   </t>
  </si>
  <si>
    <t>Pagamento em faturamento direto, REFERENTE A COMPRA DE MATERIAIS, necessário à construção da UFV em contrato MT .  RDA INTERNO</t>
  </si>
  <si>
    <t> [CCC04377]</t>
  </si>
  <si>
    <t>001401</t>
  </si>
  <si>
    <t>PRESTAÇÃO DE SERVIÇOS  UFVs (LAGOA FORMOSA ) NF 90 ROGERIO GERALDO</t>
  </si>
  <si>
    <t>Pagamento referente a LOCAÇÃO, necessário a construção da usina.</t>
  </si>
  <si>
    <t> [CCC04439]</t>
  </si>
  <si>
    <t>001438</t>
  </si>
  <si>
    <t xml:space="preserve"> PRESTAÇÃO DE SERVIÇOS UFVs (LAGOA FORMOSA )   NF 433   RONDA PORTEIROS</t>
  </si>
  <si>
    <t>Pagamento em faturamento direto referente  a vigilância, em contrato EPC.  NÃO DESCONTAR CONTRATO VIAPRUMO</t>
  </si>
  <si>
    <t> [CCC04524]</t>
  </si>
  <si>
    <t>000775</t>
  </si>
  <si>
    <t>Consultoria em servidão (Lagoa Formosa 1) GEOVANY</t>
  </si>
  <si>
    <t>[CCC02067-01]</t>
  </si>
  <si>
    <t>001177</t>
  </si>
  <si>
    <t>MEDIÇÃO ADITIVO DE TERRAPLANAGEM UFVs ( LAGOA FORMOSA        )  NF 221</t>
  </si>
  <si>
    <t>Pagamento  de medição  de PRESTAÇÃO DE SERVIÇOS REFERENTE A EXECUÇÃO DE INSTALAÇÕES CIVIS, necessário a construção da UFV.</t>
  </si>
  <si>
    <t> [CCC04203]</t>
  </si>
  <si>
    <t>001176</t>
  </si>
  <si>
    <t>MEDIÇÃO ADITIVO DE TERRAPLANAGEM UFVs ( LAGOA FORMOSA         )  NF 220</t>
  </si>
  <si>
    <t>001170</t>
  </si>
  <si>
    <t>MEDIÇÃO ADITIVO DE TERRAPLANAGEM UFVs (LAGOA FORMOSA      )  NF 214</t>
  </si>
  <si>
    <t>001472</t>
  </si>
  <si>
    <t xml:space="preserve">PRESTAÇÃO DE SERVIÇOS UFVs( LAGOA FORMOSA) NF 365    RDA INTERNA </t>
  </si>
  <si>
    <t>Pagamento de medição, referente ao serviços de mão de obra especializada na construção RDR, em contrato MT.  RDA INTERNA</t>
  </si>
  <si>
    <t> [CCC04555]</t>
  </si>
  <si>
    <t>001489</t>
  </si>
  <si>
    <t>Outros - Serviços à UFV ( VIAPRUMO)</t>
  </si>
  <si>
    <t>COMPRA DE MATERIAIS UFVs (LAGOA FORMOSA)   NF  374669  ALEXANDRE JOSE</t>
  </si>
  <si>
    <t>Pagamento em faturamento direto referente a  compra de materiais, em contrato EPC. ESCOPO COMERC</t>
  </si>
  <si>
    <t> [CCC04589]</t>
  </si>
  <si>
    <t>ALEXANDRE JOSE</t>
  </si>
  <si>
    <t>001523</t>
  </si>
  <si>
    <t>PRESTAÇÃO  DE SERVIÇOS UFVs ( FORMOSA )   NF 307     SOUZA LIMA</t>
  </si>
  <si>
    <t>Pagamento em faturamento direto referente a SEVIÇO DE MÃO DE OBRA - VIGILANCIA, necessário a construção da usina, em contrato EPC.</t>
  </si>
  <si>
    <t> [CCC04667]</t>
  </si>
  <si>
    <t>001540</t>
  </si>
  <si>
    <t>PRESTAÇÃO  DE SERVIÇOS UFVs ( FORMOSA )   NF 511    SOUZA LIMA</t>
  </si>
  <si>
    <t> [CCC04669]</t>
  </si>
  <si>
    <t>001541</t>
  </si>
  <si>
    <t>PRESTAÇÃO  DE SERVIÇOS UFVs ( FORMOSA )   NF 512    SOUZA LIMA</t>
  </si>
  <si>
    <t>001542</t>
  </si>
  <si>
    <t>PRESTAÇÃO  DE SERVIÇOS UFVs ( FORMOSA )   NF 513    SOUZA LIMA</t>
  </si>
  <si>
    <t>PRESTAÇÃO DE SERVIÇOS UFVs (LAGOA FORMOSA)  NF  932  INOVAR LOCAÇÕES</t>
  </si>
  <si>
    <t>Pagamento em faturamento direto referente ao serviço de locação de módulo metálico , necessário a construção da usinas, em contrato EPC.</t>
  </si>
  <si>
    <t xml:space="preserve"> [CCC04830] </t>
  </si>
  <si>
    <t>INOVAR LOCAÇÕES</t>
  </si>
  <si>
    <t>000955</t>
  </si>
  <si>
    <t>Consultoria em servidão (Nova Ponte 1) GEOVANY</t>
  </si>
  <si>
    <t>[CCC02067-08]</t>
  </si>
  <si>
    <t>Nova Ponte 1 _Outros</t>
  </si>
  <si>
    <t>JX AMBIENTAL - Procedimento Administrativo - DAIA de implantação de UFV - 50% iniciais - (Nova Ponte 1)</t>
  </si>
  <si>
    <t>JX AMBIENTAL - Taxa de Analise (Nova Ponte 1)</t>
  </si>
  <si>
    <t>[CCC02534-11]</t>
  </si>
  <si>
    <t>JX AMBIENTAL - Taxa de Rep. Florestal (Nova Ponte 1)</t>
  </si>
  <si>
    <t>[CCC02534-12]</t>
  </si>
  <si>
    <t>JX AMBIENTAL - Taxa de Lenha (Nova Ponte 1)</t>
  </si>
  <si>
    <t>[CCC02534-13]</t>
  </si>
  <si>
    <t>JX AMBIENTAL - Taxa de Madeira (Nova Ponte 1)</t>
  </si>
  <si>
    <t>[CCC02534-14]</t>
  </si>
  <si>
    <t>JX AMBIENTAL - Procedimento Administrativo - DAIA de implantação de UFV - 40% intermediários - (Nova Ponte 1)</t>
  </si>
  <si>
    <t>000036</t>
  </si>
  <si>
    <t>Projetos de fundações e drenagem - HALLITE (Nova Ponte 1) Analise terraplanagem</t>
  </si>
  <si>
    <t>[CCC02571-01]</t>
  </si>
  <si>
    <t>000137</t>
  </si>
  <si>
    <t>Revisão de coordenadas de terreno - Soluç. Agrimensura (Nova Ponte)</t>
  </si>
  <si>
    <t>[CCC02851-05]</t>
  </si>
  <si>
    <t>SCOMP-000005</t>
  </si>
  <si>
    <t>Reatores de aterramento ADELCO (Nova Ponte 1)</t>
  </si>
  <si>
    <t>Modelos 13,8kv - Pot:500kW Xreator: 50,8Ω (RNA 134750-7); Pot:1000kW Xreator: 25,4Ω (RNA 67376-13)</t>
  </si>
  <si>
    <t>JX AMBIENTAL - Taxa de Analise - Complementar (Nova Ponte 1)</t>
  </si>
  <si>
    <t>[CCC02932-01]</t>
  </si>
  <si>
    <t>JX AMBIENTAL - Taxa de Rep. Florestal - Complementar (Nova Ponte 1)</t>
  </si>
  <si>
    <t>[CCC02932-02]</t>
  </si>
  <si>
    <t>JX AMBIENTAL - Taxa de Lenha - Complementar (Nova Ponte 1)</t>
  </si>
  <si>
    <t>[CCC02932-03]</t>
  </si>
  <si>
    <t>JX AMBIENTAL - Taxa de Madeira - Complementar (Nova Ponte 1)</t>
  </si>
  <si>
    <t>[CCC02932-04]</t>
  </si>
  <si>
    <t>000202</t>
  </si>
  <si>
    <t>Medição 0 - Adiantamento contratual (Nova Ponte 1)</t>
  </si>
  <si>
    <t>[CCC02925-02]</t>
  </si>
  <si>
    <t>Nova Ponte - CAPEX - Serviço MT - CCAP-C2_000019</t>
  </si>
  <si>
    <t>Nova Ponte 1 _Obras MT_MD</t>
  </si>
  <si>
    <t>JX AMBIENTAL - Procedimento Administrativo - DAIA de implantação de UFV - 10% finais (NOVA PONTE 1)</t>
  </si>
  <si>
    <t>Parcela final de serviço de desenvolvimento de relatório e visitação para assegurar não-necessidade de DAIA</t>
  </si>
  <si>
    <t>[CCC03028]</t>
  </si>
  <si>
    <t>000241</t>
  </si>
  <si>
    <t>Medição 01 (Nova Ponte 1)</t>
  </si>
  <si>
    <t>[CCC03090-03]</t>
  </si>
  <si>
    <t>000308</t>
  </si>
  <si>
    <t>Medição 02 (Nova Ponte 1)</t>
  </si>
  <si>
    <t>[CCC03178-02]</t>
  </si>
  <si>
    <t>000288</t>
  </si>
  <si>
    <t>Archtech - Testes de PullOuT_Biotec - Adiantamento (Nova Ponte)</t>
  </si>
  <si>
    <t>[CCC03145-13]</t>
  </si>
  <si>
    <t>000316</t>
  </si>
  <si>
    <t>Postes de concreto (Nova Ponte 1)</t>
  </si>
  <si>
    <t>[CCC03202]</t>
  </si>
  <si>
    <t>Nova Ponte 1 _Obras MT_FD</t>
  </si>
  <si>
    <t>000324</t>
  </si>
  <si>
    <t>Serviço de SPT - NOVO TEMPO (Nova Ponte 1) - Campanha 5</t>
  </si>
  <si>
    <t>[CCC03047-02]</t>
  </si>
  <si>
    <t>000333</t>
  </si>
  <si>
    <t>Projeto de cabine primária  - PROJETTI - 100% (Nova Ponte 1)</t>
  </si>
  <si>
    <t>[CCC03233-13]</t>
  </si>
  <si>
    <t>Nova Ponte 1_Projeto/Coordenograma</t>
  </si>
  <si>
    <t>000355</t>
  </si>
  <si>
    <t>Archtech - Testes de PullOuT_Biotec - Finalização (Nova Ponte)</t>
  </si>
  <si>
    <t>[CCC03265-13]</t>
  </si>
  <si>
    <t>000404</t>
  </si>
  <si>
    <t>SUPERVISORIO - Ciclo 2 - Gateways e remota (Nova Ponte 1)</t>
  </si>
  <si>
    <t>[CCC03287-15]</t>
  </si>
  <si>
    <t>Nova Ponte 1 _SGD</t>
  </si>
  <si>
    <t>000422</t>
  </si>
  <si>
    <t>SUPERVISORIO - Ciclo 2 - Baterias, desktops, switch e acessórios (Nova Ponte 1)</t>
  </si>
  <si>
    <t>[CCC03287-26]</t>
  </si>
  <si>
    <t>A214-MORI GERACAO II -  UFV NOVA PONTE 1</t>
  </si>
  <si>
    <t>000610</t>
  </si>
  <si>
    <t>Construção e Montagem WEG - Medição 2 - Entrega de POs (Nova Ponte 1)  VIROU A214    610</t>
  </si>
  <si>
    <t>[CCC03352-12]</t>
  </si>
  <si>
    <t>A214000610</t>
  </si>
  <si>
    <t>Nova Ponte 1_Full EPC - Turn Key</t>
  </si>
  <si>
    <t>000933</t>
  </si>
  <si>
    <t xml:space="preserve"> WEG  MEDIÇÃO PRESTAÇÃO DE SERVIÇOS  EVENTO  3 (NOVA PONTE 1)  PG ADIANTAMENTO  PROFORMA</t>
  </si>
  <si>
    <t>[CCC04046]</t>
  </si>
  <si>
    <t>Evento3</t>
  </si>
  <si>
    <t>A214 -MORI GERACAO II - NOVA PONTE  1</t>
  </si>
  <si>
    <t>000950</t>
  </si>
  <si>
    <t xml:space="preserve"> WEG  MEDIÇÃO PRESTAÇÃO DE SERVIÇOS  EVENTO 3  (NOVA PONTE)  NF 17 ONE ENERGY </t>
  </si>
  <si>
    <t>Pagamento de medição contratual,  MOBILIZAÇÃO E MÃO DE OBRA  , Evento  3 , contrato FullEPC de construção da UFV .</t>
  </si>
  <si>
    <t>[CCC04055]</t>
  </si>
  <si>
    <t>001088</t>
  </si>
  <si>
    <t xml:space="preserve">WEG MEDIÇÃO  ENTREGADE MODULOS   -  EVENTO 5 -UFVs ( NOVA PONTE )  </t>
  </si>
  <si>
    <t>Pagamento de medição contratual, CONTRA ENTREGA DE MODULOS, Evento 5 de contrato FullEPC de construção da UFV .</t>
  </si>
  <si>
    <t> [CCC04125]</t>
  </si>
  <si>
    <t>Evento5</t>
  </si>
  <si>
    <t>000469</t>
  </si>
  <si>
    <t>Construção e Montagem WEG - Medição 1 - Adiantamento (Nova Ponte 1)</t>
  </si>
  <si>
    <t>[CCC03330-12]</t>
  </si>
  <si>
    <t>000500</t>
  </si>
  <si>
    <t>ART Inst. elétricas - Distribuidoras CEMIG - Modificações Complexas (Nova Ponte 1)</t>
  </si>
  <si>
    <t>[CCC03395-03]</t>
  </si>
  <si>
    <t>000553</t>
  </si>
  <si>
    <t>Transformador Monofásico - Adiantamento (Nova Ponte 1)</t>
  </si>
  <si>
    <t>[CCC03396-04]</t>
  </si>
  <si>
    <t>000651</t>
  </si>
  <si>
    <t>MRO - Terraplanagem UFVs Full-EPC -   1° MEDIÇAO ( Nova Ponte 1)  NF   369  VALOR A SER  PAGO   R$ 347.557,54</t>
  </si>
  <si>
    <t>[CCC03681]</t>
  </si>
  <si>
    <t>Nova Ponte 1_Obras Terraplanagem</t>
  </si>
  <si>
    <t>A214-MORI GERACAO II ENERGIA SOLAR S.A</t>
  </si>
  <si>
    <t>000546</t>
  </si>
  <si>
    <t>Construção e Montagem WEG- (integrador - ONE ENERGY ) - Medição 2 -  ( Nova Ponte 1)</t>
  </si>
  <si>
    <t>ONE ENERGY</t>
  </si>
  <si>
    <t>000558</t>
  </si>
  <si>
    <t>Revisão de coordenograma de proteção em função de alteração da potência dos transformadores  (UFV Nova Ponte )</t>
  </si>
  <si>
    <t>[CCC03447]</t>
  </si>
  <si>
    <t>000563</t>
  </si>
  <si>
    <t>Revisão de coordenograma de proteção em função de alteração do modelo do relé de proteção (UFV Nova Ponte)</t>
  </si>
  <si>
    <t>[CCC03458]</t>
  </si>
  <si>
    <t>000757</t>
  </si>
  <si>
    <t>Outros - Serviços para a UFV</t>
  </si>
  <si>
    <t>Serviços de  levantamento topográfico  ( NOVA PONTE)  NF 296   SOLUÇÃO AGRIMENSURA EIRELI</t>
  </si>
  <si>
    <t>Pagamento , referente  ao  LEVANTAMENTO PLANIALTIMÉTRICO  necessários a construção das UFVs</t>
  </si>
  <si>
    <t>[CCC03879]</t>
  </si>
  <si>
    <t>001087</t>
  </si>
  <si>
    <t>Obras Drenagem</t>
  </si>
  <si>
    <t xml:space="preserve">WEG   PROJETOS DE DRENAGEM  ADIANTAMENTO  ( NOVA PONTE 1)  CALTER    </t>
  </si>
  <si>
    <t>Pagamento de adiantamento contratual de 10% do total de contrato de construção da UFV.</t>
  </si>
  <si>
    <t> [CCC04122]</t>
  </si>
  <si>
    <t>Nova Ponte 1_Obras Drenagem</t>
  </si>
  <si>
    <t>000924</t>
  </si>
  <si>
    <t>MEDIÇÃO MENSAL OUT/2022 UFVs  (  Nova Ponte 1  )   AFAPLAN   NF  7360</t>
  </si>
  <si>
    <t>Nova Ponte 1_Engenharia de Proprietario</t>
  </si>
  <si>
    <t>001105</t>
  </si>
  <si>
    <t>MEDIÇÃO MENSAL  NOV/2022 UFVs  (  Nova Ponte 1  )   AFAPLAN   NF    7524</t>
  </si>
  <si>
    <t>001051</t>
  </si>
  <si>
    <t>DAE - Dispença de Licenciamento ambiental UFV  (NOVA PONTE 01 )  NF  942</t>
  </si>
  <si>
    <t>001148</t>
  </si>
  <si>
    <t>PRESTAÇÃO DE SERVIÇOS UFVs ( NOVA PONTE 1  )    NF 963 VB AMBIENTAL</t>
  </si>
  <si>
    <t>001215</t>
  </si>
  <si>
    <t>MEDIÇÃO 1  CALTERT UFVS ( Nova Ponte 1)   NF   81</t>
  </si>
  <si>
    <t>Pagamento 1° medição , referente a serviços de drenagem, contrato FULL- EPC .</t>
  </si>
  <si>
    <t> [CCC04224]</t>
  </si>
  <si>
    <t>A214 -MORI GERACAO II - NOVA PONTE  2</t>
  </si>
  <si>
    <t>001300</t>
  </si>
  <si>
    <t>MEDIÇÃO 2  CALTERT UFVS ( NOVA PONTE 1)   NF   93</t>
  </si>
  <si>
    <t>Pagamento 2° medição , referente a serviços de drenagem, contrato FULL- EPC .</t>
  </si>
  <si>
    <t> [CCC04314]</t>
  </si>
  <si>
    <t>A214 -MORI GERACAO II - NOVA PONTE  3</t>
  </si>
  <si>
    <t>001316</t>
  </si>
  <si>
    <t>MEDIÇÃO MENSAL UFVs  (  Nova Ponte 1  )   AFAPLAN   NF   7880</t>
  </si>
  <si>
    <t>000622</t>
  </si>
  <si>
    <t>Religadores ( NOVA PONTE 1)     TAVRIDA NF 473</t>
  </si>
  <si>
    <t>[CCC03606]</t>
  </si>
  <si>
    <t>001391</t>
  </si>
  <si>
    <t>MEDIÇÃO 3  CALTERT UFVS ( NOVA PONTE 1)   NF     105</t>
  </si>
  <si>
    <t>Pagamento 3° medição , referente a serviços de drenagem, contrato FULL- EPC .</t>
  </si>
  <si>
    <t> [CCC04411]</t>
  </si>
  <si>
    <t>001413</t>
  </si>
  <si>
    <t>MEDIÇÃO MENSAL UFVs  (  Nova Ponte 1  )   AFAPLAN   NF   8035</t>
  </si>
  <si>
    <t>001459</t>
  </si>
  <si>
    <t xml:space="preserve">PRESTAÇÃO DE SERVIÇOS UFVs(NOVA PONTE) NF 2536  </t>
  </si>
  <si>
    <t>Pagamento de medição final referente a, Prestação de serviço de instalação elétrica de redes de distribuição de energia rural e urbana, no município de Nova Ponte/MG, em contrato MT.</t>
  </si>
  <si>
    <t> [CCC04550]</t>
  </si>
  <si>
    <t>001465</t>
  </si>
  <si>
    <t xml:space="preserve">MEDIÇÃO MENSAL UFVs  (  Nova Ponte 1  )   AFAPLAN   NF   </t>
  </si>
  <si>
    <t>001569</t>
  </si>
  <si>
    <t>WEG PRESTAÇÃO DE SERVIÇOS UFVs ( NOVA PONTE 1)   ADIANTAMENTO   EVENTO 4</t>
  </si>
  <si>
    <t>Pagamento MEDIÇÃO MONTAGEM 100% DAS ESTACAS , contrato FULL EPC WEG. EVENTO 4</t>
  </si>
  <si>
    <t>[CCC04706]</t>
  </si>
  <si>
    <t>001579</t>
  </si>
  <si>
    <t xml:space="preserve">WEG PRESTAÇÃO DE SERVIÇOS UFVs ( NOVA PONTE 1)  NF 77 APOGEU  EVENTO 4  </t>
  </si>
  <si>
    <t>Pagamento de medição referente a Montagem de 100% das estacas , em contrato FullEPC de construção da UFV. Evento 4</t>
  </si>
  <si>
    <t>[CCC04715]</t>
  </si>
  <si>
    <t>001572</t>
  </si>
  <si>
    <t>001595</t>
  </si>
  <si>
    <t>WEG PRESTAÇÃO DE SERVIÇOS UFVs (NOVA PONTE 1) NF 79  INTEGRADOR APOGEU     EVENTO 6</t>
  </si>
  <si>
    <t>Pagamento de medição, referente a montagem de 100% das mesas , em contrato FullEPC de construção da UFV. Evento 6</t>
  </si>
  <si>
    <t> [CCC04777]</t>
  </si>
  <si>
    <t>CONT. PROJETOS - Projetos AT - PROEL (Paracatu 8)</t>
  </si>
  <si>
    <t>[CCC02328-02]</t>
  </si>
  <si>
    <t>Paracatu 8 - CAPEX - Serviço AT - CCAP-C2_000008</t>
  </si>
  <si>
    <t>Paracatu 8_Obras AT_FD</t>
  </si>
  <si>
    <t>JX AMBIENTAL - Procedimento Administrativo - DAIA de implantação de UFV - 50% iniciais - (PARACATU 8)</t>
  </si>
  <si>
    <t>Paracatu 8 _Outros</t>
  </si>
  <si>
    <t>JX AMBIENTAL - Procedimento Administrativo - DAIA de implantação de rede rural - 50% iniciais - (PARACATU 8)</t>
  </si>
  <si>
    <t>JX AMBIENTAL - Taxa de Analise corte (Paracatu 8)</t>
  </si>
  <si>
    <t>[CCC02534-15]</t>
  </si>
  <si>
    <t>JX AMBIENTAL - Taxa de Analise supres. (Paracatu 8)</t>
  </si>
  <si>
    <t>[CCC02534-16]</t>
  </si>
  <si>
    <t>JX AMBIENTAL - Taxa de Lenha (Paracatu 8)</t>
  </si>
  <si>
    <t>[CCC02534-17]</t>
  </si>
  <si>
    <t>JX AMBIENTAL - Taxa de Madeira (Paracatu 8)</t>
  </si>
  <si>
    <t>[CCC02534-18]</t>
  </si>
  <si>
    <t>CONT. PROJETOS - Projetos AT - PROEL (Paracatu 8) Nº:2021/423</t>
  </si>
  <si>
    <t>[CCC02538] - PROEL ENGENHARIA LTDA</t>
  </si>
  <si>
    <t>JX AMBIENTAL - Procedimento Administrativo - DAIA de implantação de UFV - 40% intermediários - (PARACATU 8)</t>
  </si>
  <si>
    <t>JX AMBIENTAL - Procedimento Administrativo - DAIA de implantação de rede rural - 40% intermediários - (PARACATU 8)</t>
  </si>
  <si>
    <t>2201-MORI MINAS NEWCO II ENERGIA SOLAR S.A</t>
  </si>
  <si>
    <t>Taxa Florestal - Analise de corte (Paracatu 8)</t>
  </si>
  <si>
    <t>[CCC02546-01]</t>
  </si>
  <si>
    <t>000423</t>
  </si>
  <si>
    <t>Taxa Florestal - Analise de supressão (Paracatu 8)</t>
  </si>
  <si>
    <t>[CCC02546-02]</t>
  </si>
  <si>
    <t>000424</t>
  </si>
  <si>
    <t>Taxa Florestal - Lenha (Paracatu 8)</t>
  </si>
  <si>
    <t>[CCC02546-03]</t>
  </si>
  <si>
    <t>Taxa Florestal - Madeira (Paracatu 8)</t>
  </si>
  <si>
    <t>[CCC02546-04]</t>
  </si>
  <si>
    <t>CONT. PROJETOS - Medição final de serviços (Paracatu 8)1924</t>
  </si>
  <si>
    <t>000041</t>
  </si>
  <si>
    <t>JX AMBIENTAL - PTRF - Espécies protegidas - Rede - 01de03 (Paracatu 8)</t>
  </si>
  <si>
    <t>[CCC02573-01]</t>
  </si>
  <si>
    <t>Consultoria em servidão (Paracatu 8) - GEOVANY - pedido 001088</t>
  </si>
  <si>
    <t>[CCC02067-03]</t>
  </si>
  <si>
    <t>CONT. PROJETOS - Medição 0 - Adiantamento (Paracatu 8 )Projetos</t>
  </si>
  <si>
    <t>[CCC02610-03]</t>
  </si>
  <si>
    <t>Paracatu 8_Obras AT_MD</t>
  </si>
  <si>
    <t>000062</t>
  </si>
  <si>
    <t>JX AMBIENTAL - PTRF - Espécies protegidas - Rede - 02de03 (Paracatu 8)</t>
  </si>
  <si>
    <t>[CCC02650-01]</t>
  </si>
  <si>
    <t>000108</t>
  </si>
  <si>
    <t>Consultoria em servidão - Obtenção de PTRF (Paracatu 8) - GEOVANY</t>
  </si>
  <si>
    <t>Serviço de consultoria fundiária para atendimento a necessidades com locais para pendências ambientais (PTRF)</t>
  </si>
  <si>
    <t>[CCC02818-01]</t>
  </si>
  <si>
    <t>000126</t>
  </si>
  <si>
    <t>Outros - Gastos de projetos</t>
  </si>
  <si>
    <t>Quitação de Indenização - PTRF - Heleno da Costa \ Helena Pereira (Paracatu 8)</t>
  </si>
  <si>
    <t>Pagamento orientado pelo termo de anuência e quitação, suportando a implantação do PTRF do projeto de Paracatu 8</t>
  </si>
  <si>
    <t>[CCC02591]</t>
  </si>
  <si>
    <t>000484</t>
  </si>
  <si>
    <t>EXCLUIDO  -  Taxa Florestal - Analise de corte - Complementar (Paracatu 8)</t>
  </si>
  <si>
    <t>[CCC02616-01]</t>
  </si>
  <si>
    <t>EXCLUIDO  -  Taxa Florestal - Analise de supressão - Complementar (Paracatu 8)</t>
  </si>
  <si>
    <t>[CCC02616-02]</t>
  </si>
  <si>
    <t>EXCLUIDO  -  Taxa Florestal - Lenha - Complementar (Paracatu 8)</t>
  </si>
  <si>
    <t>[CCC02616-03]</t>
  </si>
  <si>
    <t>EXCLUIDO  -  Taxa Florestal - Madeira - Complementar (Paracatu 8)</t>
  </si>
  <si>
    <t>[CCC02616-04]</t>
  </si>
  <si>
    <t>JX AMBIENTAL - Taxa Florestal - Analise de corte - Complementar (Paracatu 8)</t>
  </si>
  <si>
    <t>JX AMBIENTAL - Taxa Florestal - Analise de supressão - Complementar (Paracatu 8)</t>
  </si>
  <si>
    <t>JX AMBIENTAL - Taxa Florestal - Lenha - Complementar (Paracatu 8)</t>
  </si>
  <si>
    <t>JX AMBIENTAL - Taxa Florestal - Madeira - Complementar (Paracatu 8)</t>
  </si>
  <si>
    <t>000138</t>
  </si>
  <si>
    <t>Revisão de coordenadas de terreno - Soluç. Agrimensura (Paracatu 8)</t>
  </si>
  <si>
    <t>[CCC02851-06]</t>
  </si>
  <si>
    <t>JX AMBIENTAL - Taxa de Analise - (Paracatu 8)</t>
  </si>
  <si>
    <t>[CCC02865]</t>
  </si>
  <si>
    <t>[CCC02885-01]</t>
  </si>
  <si>
    <t>[CCC02885-02]</t>
  </si>
  <si>
    <t>[CCC02885-03]</t>
  </si>
  <si>
    <t>[CCC02885-04]</t>
  </si>
  <si>
    <t>SCOMP-000006</t>
  </si>
  <si>
    <t>Reatores de aterramento ADELCO (Paracatu 8)</t>
  </si>
  <si>
    <t>JX AMBIENTAL - Procedimento Administrativo - DAIA de implantação de rede rural - 10% finais (PARACATU 8)</t>
  </si>
  <si>
    <t>[CCC02942-02]</t>
  </si>
  <si>
    <t>000207</t>
  </si>
  <si>
    <t>JX AMBIENTAL - PTRF - Espécies protegidas - Rede - 03de03 (Paracatu 8)</t>
  </si>
  <si>
    <t>[CCC02942-01]</t>
  </si>
  <si>
    <t>000194</t>
  </si>
  <si>
    <t>Medição 0 - Adiantamento contratual (Paracatu 8)Entrada Contratual 30%</t>
  </si>
  <si>
    <t>[CCC02924-05]</t>
  </si>
  <si>
    <t>000203</t>
  </si>
  <si>
    <t>Medição 0 - Adiantamento contratual (Paracatu 8)
NF 2054</t>
  </si>
  <si>
    <t>[CCC02925-03]</t>
  </si>
  <si>
    <t>Paracatu 8 - CAPEX - Serviço MT - CCAP-C2_000019</t>
  </si>
  <si>
    <t>Paracatu 8 _Obras MT_MD</t>
  </si>
  <si>
    <t>000242</t>
  </si>
  <si>
    <t>Medição 01 (Paracatu 8) NF2091</t>
  </si>
  <si>
    <t>[CCC03090-04]</t>
  </si>
  <si>
    <t>000307</t>
  </si>
  <si>
    <t>Medição 02 (Paracatu 8)  NF2108</t>
  </si>
  <si>
    <t>[CCC03178-03]</t>
  </si>
  <si>
    <t>000279</t>
  </si>
  <si>
    <t>Archtech - Testes de PullOuT_Biotec - Adiantamento (Paracatu 8)</t>
  </si>
  <si>
    <t>[CCC03145-01]</t>
  </si>
  <si>
    <t>000314</t>
  </si>
  <si>
    <t>Desenvolvimento de Projeto MT (Paracatu 8) -NF- 202200000000186</t>
  </si>
  <si>
    <t>[CCC03190]</t>
  </si>
  <si>
    <t>Paracatu 8 _Obras MT_FD</t>
  </si>
  <si>
    <t>000325</t>
  </si>
  <si>
    <t>Serviço de SPT - NOVO TEMPO (Paracatu 8) - Campanha 5</t>
  </si>
  <si>
    <t>[CCC03047-03]</t>
  </si>
  <si>
    <t>000334</t>
  </si>
  <si>
    <t>Projeto de cabine primária  - PROJETTI - 100% (Paracatu 8)</t>
  </si>
  <si>
    <t>[CCC03233-14]</t>
  </si>
  <si>
    <t>Paracatu 8_Projeto/Coordenograma</t>
  </si>
  <si>
    <t>000342</t>
  </si>
  <si>
    <t>Archtech - Testes de PullOuT_Biotec - Finalização (Paracatu 8)</t>
  </si>
  <si>
    <t>[CCC03265-01]</t>
  </si>
  <si>
    <t>JX AMBIENTAL - Procedimento Administrativo - DAIA de implantação de UFV - 10% finais - (PARACATU 8)</t>
  </si>
  <si>
    <t>[CCC03292-09]</t>
  </si>
  <si>
    <t>000379</t>
  </si>
  <si>
    <t>Medição 01 (Paracatu 8) FINAL Execução 2228</t>
  </si>
  <si>
    <t>[CCC03222-02]</t>
  </si>
  <si>
    <t>000400</t>
  </si>
  <si>
    <t>SUPERVISORIO - Ciclo 2 - Gateways e remota (Paracatu 8)</t>
  </si>
  <si>
    <t>[CCC03287-07]</t>
  </si>
  <si>
    <t>Paracatu 8 _SGD</t>
  </si>
  <si>
    <t>SUPERVISORIO - Ciclo 2 - Baterias, desktops, switch e acessórios (Paracatu 8)</t>
  </si>
  <si>
    <t>[CCC03287-30]</t>
  </si>
  <si>
    <t>000426</t>
  </si>
  <si>
    <t>Postes de concreto (Paracatu 8) NF41392</t>
  </si>
  <si>
    <t>[CCC02786-08]</t>
  </si>
  <si>
    <t>000428</t>
  </si>
  <si>
    <t>Parafusos, cabos e material de fixação (Paracatu 8) - NF24679</t>
  </si>
  <si>
    <t>[CCC02911-02]</t>
  </si>
  <si>
    <t>JX AMBIENTAL - Taxa de Reposição Florestal - UFV (Paracatu 8)</t>
  </si>
  <si>
    <t>[CCC03314-02]</t>
  </si>
  <si>
    <t>JX AMBIENTAL - Taxa de compensação - UFV - Pequizeiros (Paracatu 8)</t>
  </si>
  <si>
    <t>JX AMBIENTAL - Taxa de Reposição Florestal - REDE (Paracatu 8)</t>
  </si>
  <si>
    <t>[CCC03328-01]</t>
  </si>
  <si>
    <t>JX AMBIENTAL - Taxa de compensação - REDE - Pequizeiros (Paracatu 8)</t>
  </si>
  <si>
    <t>[CCC03328-02]</t>
  </si>
  <si>
    <t>000470</t>
  </si>
  <si>
    <t>Construção e Montagem WEG - Medição 1 - Adiantamento (Paracatu 8)</t>
  </si>
  <si>
    <t>[CCC03330-13]</t>
  </si>
  <si>
    <t>Adiantamento1</t>
  </si>
  <si>
    <t>Paracatu 8_Full EPC - Turn Key</t>
  </si>
  <si>
    <t>WEG</t>
  </si>
  <si>
    <t>000463</t>
  </si>
  <si>
    <t>Religadores NF 374 - Conforme conversa com Matheus e email</t>
  </si>
  <si>
    <t>[CCC03327-03] Fat. Direto (MBA-MT) - Religadores (Paracatu 8) - Foi pago como sendo da UFV Frei Inocêncio - Compra feita em Faturamento Direto, em contrato de obras MT</t>
  </si>
  <si>
    <t>[CCC03327-03]</t>
  </si>
  <si>
    <r>
      <rPr>
        <strike/>
        <sz val="9"/>
        <color theme="1"/>
        <rFont val="Arial"/>
      </rPr>
      <t>Enviada em: terça-feira, 12 de setembro de 2023 10:34 - Medição 09/2023 - UFV Paracatu - NS 113345443</t>
    </r>
    <r>
      <rPr>
        <sz val="9"/>
        <color theme="1"/>
        <rFont val="Arial"/>
      </rPr>
      <t>3
Patrocinio 3  conforme email Matheus MBA  19/01/24</t>
    </r>
  </si>
  <si>
    <t>000501</t>
  </si>
  <si>
    <t>ART Inst. elétricas - Distribuidoras CEMIG - Modificações Complexas (Paracatu 8)</t>
  </si>
  <si>
    <t>[CCC03395-04]</t>
  </si>
  <si>
    <t>000498</t>
  </si>
  <si>
    <t>Compra de cruzetas MBA (Paracatu 8)
NF 00003816</t>
  </si>
  <si>
    <t>[CCC03382-08]</t>
  </si>
  <si>
    <t>000554</t>
  </si>
  <si>
    <t>Transformador Monofásico - Adiantamento (Paracatu 8)</t>
  </si>
  <si>
    <t>[CCC03396-05]</t>
  </si>
  <si>
    <t>000508</t>
  </si>
  <si>
    <t>Terminais e material de conexão (Paracatu 8)
Nº 000.397.585</t>
  </si>
  <si>
    <t>[CCC03389-02]</t>
  </si>
  <si>
    <t>A215</t>
  </si>
  <si>
    <t>000505</t>
  </si>
  <si>
    <t>Construção e Montagem WEG - Medição 2 - Entrega de POs (Paracatu 8)</t>
  </si>
  <si>
    <t>[CCC03352-13]</t>
  </si>
  <si>
    <t>000549</t>
  </si>
  <si>
    <t>Construção e Montagem WEG(integrador ATC) - Medição 2 - Entrega de POs (Paracatu 8)</t>
  </si>
  <si>
    <t>000559</t>
  </si>
  <si>
    <t>Revisão de coordenograma de proteção em função de alteração da potência dos transformadores  (UFV Paracatu 8)</t>
  </si>
  <si>
    <t>[CCC03448]</t>
  </si>
  <si>
    <t>A215-MORI GERACAO II - UFV PARACATU 8</t>
  </si>
  <si>
    <t>000706</t>
  </si>
  <si>
    <t xml:space="preserve">Construção e Montagem WEG - Medição  3  - Entrega dos módulos na obra (PARACATU  8) </t>
  </si>
  <si>
    <t>Pagamento de medição contratual, suportada pelo 5o marco de contrato FullEPC de construção da UFV</t>
  </si>
  <si>
    <t>[CCC03812]</t>
  </si>
  <si>
    <t>Evento05</t>
  </si>
  <si>
    <t>000830</t>
  </si>
  <si>
    <t xml:space="preserve">Mobilização  WEG -  EVENTO 3 -UFVs ( PARACATU 8 )  </t>
  </si>
  <si>
    <t>[CCC03965]</t>
  </si>
  <si>
    <t>Evento03</t>
  </si>
  <si>
    <t>000934</t>
  </si>
  <si>
    <t>MRO - Terraplanagem UFVs Full-EPC -  MEDIÇÃO FINAL  AVANÇO 100%  ( PARACATU 8) NF  409</t>
  </si>
  <si>
    <t>Pagamento  referente a 100 %  dos serviços  necessário à construção da UFV.</t>
  </si>
  <si>
    <t>[CCC04047]</t>
  </si>
  <si>
    <t>Paracatu 8_Obras Terraplanagem</t>
  </si>
  <si>
    <t>000925</t>
  </si>
  <si>
    <t>MEDIÇÃO MENSAL  OUT /2022 UFVs  ( Paracatu 8  )   AFAPLAN   NF      7361</t>
  </si>
  <si>
    <t>Paracatu 8_Engenharia de Proprietario</t>
  </si>
  <si>
    <t>001095</t>
  </si>
  <si>
    <t>Religadores ( PARACATU 8)   TAVRIDA    NF     708</t>
  </si>
  <si>
    <t>NS PARACATU 8</t>
  </si>
  <si>
    <t>000745</t>
  </si>
  <si>
    <t>COMPRA MATERIAIS PARA UFVs (PARACATU 8)  NF 25621   EXPONENCIAL</t>
  </si>
  <si>
    <t>[CCC03862]</t>
  </si>
  <si>
    <t>001069</t>
  </si>
  <si>
    <t>PROJETOS CABINE PRIMÁRIA   UFVs ( PARACATU 8 )   PROJETTI   NF 178</t>
  </si>
  <si>
    <t>Pagamento de serviço  referente a Segunda aprovação devido a realocação do posicionamento da cabine (primeira aprovação medido em 13/05, mudança de Trafo e rele medido em 08/09) , necessários a construção das UFVs .</t>
  </si>
  <si>
    <t>001106</t>
  </si>
  <si>
    <t>MEDIÇÃO MENSAL  NOV/2022 UFVs ( Paracatu 8  )   AFAPLAN   NF     7525</t>
  </si>
  <si>
    <t>001040</t>
  </si>
  <si>
    <t>DAE - Dispença de Licenciamento ambiental UFV  ( PARACATU 08)  NF  910</t>
  </si>
  <si>
    <t>A215-MORI GERACAO II -  UFV PARACATU 8</t>
  </si>
  <si>
    <t>001150</t>
  </si>
  <si>
    <t>PRESTAÇÃO DE SERVIÇOS UFVs ( PARACATU 8  )    NF964  VB AMBIENTAL</t>
  </si>
  <si>
    <t>001317</t>
  </si>
  <si>
    <t>MEDIÇÃO MENSAL UFVs ( Paracatu 8  )   AFAPLAN   NF   7881</t>
  </si>
  <si>
    <t>000951</t>
  </si>
  <si>
    <t xml:space="preserve"> WEG  MEDIÇÃO PRESTAÇÃO DE SERVIÇOS  EVENTO 4  ( PARACATU 8)  NF 3637  INTEGRADOR ATC</t>
  </si>
  <si>
    <t>Pagamento de medição contratual, MONTAGEM 100 % DAS ESTACAS , Evento 4 de contrato FullEPC de construção da UFV .</t>
  </si>
  <si>
    <t>001414</t>
  </si>
  <si>
    <t>MEDIÇÃO MENSAL UFVs ( Paracatu 8  )   AFAPLAN   NF   8036</t>
  </si>
  <si>
    <t>001445</t>
  </si>
  <si>
    <t>WEG PRESTAÇÃO DE SERVIÇOS UFVs ( PARACATU  8)   ADIANTAMENTO   EVENTO 4</t>
  </si>
  <si>
    <t>Pagamento MEDIÇÃO MONTAGEM 100% DAS ESTACAS  , contrato FULL EPC WEG. EVENTO 4</t>
  </si>
  <si>
    <t> [CCC04538]</t>
  </si>
  <si>
    <t>001458</t>
  </si>
  <si>
    <t>Outros - Serviços à UFV AT</t>
  </si>
  <si>
    <t>PRESTAÇÃO DE SERVIÇOS UFVs ( PARACATU 8) NF  98      A.R. ARQUITETURA</t>
  </si>
  <si>
    <t>Pagamento referente a requerimento de licença de objeto projetado no espaço aereo  , necessário a construção das usinas.</t>
  </si>
  <si>
    <t> [CCC04548]</t>
  </si>
  <si>
    <t>001466</t>
  </si>
  <si>
    <t xml:space="preserve">MEDIÇÃO MENSAL UFVs ( Paracatu 8  )   AFAPLAN   NF   </t>
  </si>
  <si>
    <t>001550</t>
  </si>
  <si>
    <t>WEG PRESTAÇÃO DE SERVIÇO  UFVs ( PARACATU 8  )   ENGECON  NF   DRENAGEM</t>
  </si>
  <si>
    <t>Pagamento de medição 1,  referente aos serviços de drenagem,  necessário à construção da UFV.  70% DAS ATIVIDADES</t>
  </si>
  <si>
    <t> [CCC04682]</t>
  </si>
  <si>
    <t>Paracatu 8_Obras Drenagem</t>
  </si>
  <si>
    <t>001573</t>
  </si>
  <si>
    <t>CONT. PROJETOS - Projetos AT - PROEL NSs 1132538732, 1133809054, 1134093798, 1138566893, 1138567585 (Patos de Minas 1)</t>
  </si>
  <si>
    <t>Patos de Minas 1 - CAPEX - Serviço AT - CCAP-C2_000008</t>
  </si>
  <si>
    <t>Patos de Minas 1_Obras AT_FD</t>
  </si>
  <si>
    <t>JX AMBIENTAL - Procedimento Administrativo - DAIA de implantação de UFV - 50% iniciais - (PATOS DE MINAS 1)</t>
  </si>
  <si>
    <t>Patos de Minas 1 _Outros</t>
  </si>
  <si>
    <t>JX AMBIENTAL - Procedimento Administrativo - DAIA de implantação de rede rural - 50% iniciais - (PATOS DE MINAS 1)</t>
  </si>
  <si>
    <t>Consultoria em servidão (Patos de Minas 1) GEOVANY</t>
  </si>
  <si>
    <t>[CCC02496]</t>
  </si>
  <si>
    <t>000015</t>
  </si>
  <si>
    <t>Execução de testes SPT - 10% iniciais - (Patos de Minas 1)</t>
  </si>
  <si>
    <t>[CCC02492-05]</t>
  </si>
  <si>
    <t>JX AMBIENTAL - Taxa de Analise (Patos DE MINAS 1)</t>
  </si>
  <si>
    <t>[CCC02534-19]</t>
  </si>
  <si>
    <t>JX AMBIENTAL - Taxa de Rep. Florestal (Patos DE MINAS 1)</t>
  </si>
  <si>
    <t>[CCC02534-20]</t>
  </si>
  <si>
    <t>JX AMBIENTAL - Taxa de Lenha (Patos DE MINAS 1)</t>
  </si>
  <si>
    <t>[CCC02534-21]</t>
  </si>
  <si>
    <t>JX AMBIENTAL - Taxa de Madeira (Patos DE MINAS 1)</t>
  </si>
  <si>
    <t>[CCC02534-22]</t>
  </si>
  <si>
    <t>JX AMBIENTAL - Procedimento Administrativo - DAIA de implantação de UFV - 40% intermediários - (PATOS DE MINAS 1)</t>
  </si>
  <si>
    <t>JX AMBIENTAL - Procedimento Administrativo - DAIA de implantação de rede rural - 40% intermediários - (PATOS DE MINAS 1)</t>
  </si>
  <si>
    <t>[CCC02556-03]</t>
  </si>
  <si>
    <t>000027</t>
  </si>
  <si>
    <t>Execução de testes SPT - 90% finais - (Patos de Minas 1)</t>
  </si>
  <si>
    <t>[CCC02567-01]</t>
  </si>
  <si>
    <t>CONT. PROJETOS - Medição final de serviços (Patos de minas 1)</t>
  </si>
  <si>
    <t>Patos de Minas 1_Obras AT_MD</t>
  </si>
  <si>
    <t>000051</t>
  </si>
  <si>
    <t>Medição 0 - Adiantamento (Patos de Minas 1)</t>
  </si>
  <si>
    <t>[CCC02610-04]</t>
  </si>
  <si>
    <t>JX AMBIENTAL - Taxa de Analise corte - Rede (Patos de Minas 1)</t>
  </si>
  <si>
    <t>[CCC02661-04]</t>
  </si>
  <si>
    <t>JX AMBIENTAL - Taxa de Lenha  - Rede (Patos de Minas 1)</t>
  </si>
  <si>
    <t>[CCC02661-05]</t>
  </si>
  <si>
    <t>JX AMBIENTAL - Taxa de Madeira - Rede (Patos de Minas 1)</t>
  </si>
  <si>
    <t>[CCC02661-06]</t>
  </si>
  <si>
    <t>000070</t>
  </si>
  <si>
    <t>Medição 0 - Adiantamento  (Patos de Minas 1)</t>
  </si>
  <si>
    <t>Pagamento de adiantamento contratual, referente a 5% do valor total contratado para este projeto (Patos de Minas 1)</t>
  </si>
  <si>
    <t>[CCC02663-04]</t>
  </si>
  <si>
    <t>Patos de Minas 1 - CAPEX - Serviço MT - CCAP-C2_000015</t>
  </si>
  <si>
    <t>Patos de Minas 1 _Obras MT_MD</t>
  </si>
  <si>
    <t>JX AMBIENTAL - Procedimento Administrativo - DAIA de implantação de rede rural - 10% finais - (PATOS DE MINAS 1)</t>
  </si>
  <si>
    <t>[CCC02822]</t>
  </si>
  <si>
    <t>JX AMBIENTAL - Taxa de Analise - Complementar (Patos de Minas 1)</t>
  </si>
  <si>
    <t>[CCC02684-01]</t>
  </si>
  <si>
    <t>JX AMBIENTAL - Taxa de Rep. Florestal - Complementar  (Patos de Minas 1)</t>
  </si>
  <si>
    <t>[CCC02684-02]</t>
  </si>
  <si>
    <t>JX AMBIENTAL - Taxa de Lenha - Complementar  (Patos de Minas 1)</t>
  </si>
  <si>
    <t>[CCC02684-03]</t>
  </si>
  <si>
    <t>JX AMBIENTAL - Taxa de Madeira - Complementar  (Patos de Minas 1)</t>
  </si>
  <si>
    <t>[CCC02684-04]</t>
  </si>
  <si>
    <t>000139</t>
  </si>
  <si>
    <t>Revisão de coordenadas de terreno - Soluç. Agrimensura (Patos de Minas 1)</t>
  </si>
  <si>
    <t>[CCC02851-07]</t>
  </si>
  <si>
    <t>JX AMBIENTAL - Taxa de Reposição Florestal - Rede (Patos de Minas 1)</t>
  </si>
  <si>
    <t>[CCC02912-01]</t>
  </si>
  <si>
    <t>JX AMBIENTAL - Taxa de Reposição Florestal - Rede - Ipê amarelo (Patos de Minas 1)</t>
  </si>
  <si>
    <t>[CCC02912-02]</t>
  </si>
  <si>
    <t>SCOMP-000007</t>
  </si>
  <si>
    <t>Reatores de aterramento ADELCO (Patos de Minas 1)</t>
  </si>
  <si>
    <t>000195</t>
  </si>
  <si>
    <t>Medição 0 - Adiantamento contratual (Patos de Minas 1)</t>
  </si>
  <si>
    <t>[CCC02924-06]</t>
  </si>
  <si>
    <t>JX AMBIENTAL - Procedimento Administrativo - DAIA de implantação de UFV - 10% finais (PATOS DE MINAS 1)</t>
  </si>
  <si>
    <t>[CCC03049]</t>
  </si>
  <si>
    <t>000266</t>
  </si>
  <si>
    <t>Desenvolvimento de projetos Executivos - 20% iniciais (Patos de Minas 1)</t>
  </si>
  <si>
    <t>[CCC03147-03]</t>
  </si>
  <si>
    <t>Patos de Minas 1_Engenharia Executiva - Detalhada</t>
  </si>
  <si>
    <t>000295</t>
  </si>
  <si>
    <t>Cordoalha de aço (Patos de Minas 1)</t>
  </si>
  <si>
    <t>[CCC03161-01]</t>
  </si>
  <si>
    <t>Patos de Minas 1 _Obras MT_FD</t>
  </si>
  <si>
    <t>000296</t>
  </si>
  <si>
    <t>Fio e cabo de aço aluminizado (Patos de Minas 1)</t>
  </si>
  <si>
    <t>[CCC03161-02]</t>
  </si>
  <si>
    <t>000290</t>
  </si>
  <si>
    <t>Archtech - Testes de PullOuT_Biotec - Adiantamento (Patos de Minas 1)</t>
  </si>
  <si>
    <t>[CCC03145-04]</t>
  </si>
  <si>
    <t>000335</t>
  </si>
  <si>
    <t>Projeto de cabine primária  - PROJETTI - 100% (Patos de Minas 1)</t>
  </si>
  <si>
    <t>[CCC03233-15]</t>
  </si>
  <si>
    <t>Patos de Minas 1_Projeto/Coordenograma</t>
  </si>
  <si>
    <t>000345</t>
  </si>
  <si>
    <t>Archtech - Testes de PullOuT_Biotec - Finalização (Patos de Minas 1)</t>
  </si>
  <si>
    <t>[CCC03265-04]</t>
  </si>
  <si>
    <t>000368</t>
  </si>
  <si>
    <t>Desenvolvimento de projetos Executivos - 20% intermediários - 1a entrega (Patos de Minas 1)</t>
  </si>
  <si>
    <t>[CCC03290-07]</t>
  </si>
  <si>
    <t>000380</t>
  </si>
  <si>
    <t>Medição 01 (Patos de Minas 1)</t>
  </si>
  <si>
    <t>[CCC03222-03]</t>
  </si>
  <si>
    <t>000408</t>
  </si>
  <si>
    <t>SUPERVISORIO - Ciclo 2 - Gateways e remota (Patos de Minas 1)</t>
  </si>
  <si>
    <t>[CCC03287-11]</t>
  </si>
  <si>
    <t>Patos de Minas 1 _SGD</t>
  </si>
  <si>
    <t>000413</t>
  </si>
  <si>
    <t>SUPERVISORIO - Ciclo 2 - Baterias, desktops, switch e acessórios (Patos de Minas 1)</t>
  </si>
  <si>
    <t>[CCC03287-20]</t>
  </si>
  <si>
    <t>000447</t>
  </si>
  <si>
    <t>Projetos de fundações e drenagem - HALLITE (Patos de Minas 1) 70%  -  Analise terraplanagem</t>
  </si>
  <si>
    <t>Pagamento de serviço de desenvolvimento de projeto de drenagem e terraplanagem, suportado por contrato específico.</t>
  </si>
  <si>
    <t>[CCC03309-01]</t>
  </si>
  <si>
    <t>000489</t>
  </si>
  <si>
    <t>Medição 02 (Patos de Minas 1)</t>
  </si>
  <si>
    <t>[CCC03355-03]</t>
  </si>
  <si>
    <t>000538</t>
  </si>
  <si>
    <t>Medição (EPC)(VIAPRUMO)</t>
  </si>
  <si>
    <t>Construção e Montagem Viaprumo - Medição 1  - Adiantamento (Patos de Minas 1)</t>
  </si>
  <si>
    <t>Pagamento de adiantamento contratual de 15% do total de contrato de construção da UFV</t>
  </si>
  <si>
    <t>[CCC03485]</t>
  </si>
  <si>
    <t>Patos de Minas 1_EPC_MD</t>
  </si>
  <si>
    <t>000584</t>
  </si>
  <si>
    <t xml:space="preserve">Estação solarimétrica – Hukseflux   Patos de Minas 1
</t>
  </si>
  <si>
    <t>[CCC03553]</t>
  </si>
  <si>
    <t>Entrada de 30%. Nota fiscal ba LInha 494.</t>
  </si>
  <si>
    <t>Hukseflux</t>
  </si>
  <si>
    <t>000695</t>
  </si>
  <si>
    <t xml:space="preserve">COMPRA MATERIAIS PARA UFVs ( PATOS DE MINAS 1)   NF 1858 </t>
  </si>
  <si>
    <t>[CCC03779]</t>
  </si>
  <si>
    <t>Patos de Minas 1_EPC_FD</t>
  </si>
  <si>
    <t>Revisão de coordenograma de proteção em função de alteração do modelo do relé de proteção (UFV Patos de Minas 1)</t>
  </si>
  <si>
    <t>[CCC03461]</t>
  </si>
  <si>
    <t>000710</t>
  </si>
  <si>
    <t>COMPRA MATERIAIS PARA UFVs ( PATOS DE MINAS 1)   NF 50728</t>
  </si>
  <si>
    <t>[CCC03830]</t>
  </si>
  <si>
    <t>000896</t>
  </si>
  <si>
    <t>PRESTAÇÃO DE SERVIÇOS MEDIÇÃO 1UFVs  ( PATOS DE MINAS 1)  NF  186</t>
  </si>
  <si>
    <t>000994</t>
  </si>
  <si>
    <t xml:space="preserve">COMPRA MATERIAIS PARA UFVs  (  PATOS DE MINAS 1)  NF   26108  EXPONECIAL RDA INTERNO  </t>
  </si>
  <si>
    <t>Patos de Minas 1_RDA - Rede de Distribuição Aerea</t>
  </si>
  <si>
    <t>000979</t>
  </si>
  <si>
    <t>COMPRA MATERIAIS PARA UFVs  ( PATOS DE MINAS 1)  NF  5787</t>
  </si>
  <si>
    <t>[CCC04085]</t>
  </si>
  <si>
    <t>000980</t>
  </si>
  <si>
    <t>COMPRA MATERIAIS PARA UFVs  ( PATOS DE MINAS 1)  NF  4665 2022</t>
  </si>
  <si>
    <t>000905</t>
  </si>
  <si>
    <t>COMPRA MATERIAIS PARA UFVs  (PATOS MINAS 1)  NF   14426</t>
  </si>
  <si>
    <t>[CCC04012]</t>
  </si>
  <si>
    <t>000906</t>
  </si>
  <si>
    <t>COMPRA MATERIAIS PARA UFVs  (PATOS MINAS 1)  NF   1895</t>
  </si>
  <si>
    <t>Caixas Polipropileno</t>
  </si>
  <si>
    <t>000873</t>
  </si>
  <si>
    <t>COMPRA MATERIAIS PARA UFVs  ( PATOS DE MINAS 1 )  NF  8167 ZETA POSTES  RDA INTERNA</t>
  </si>
  <si>
    <t>000973</t>
  </si>
  <si>
    <t>COMPRA MATERIAIS PARA UFVs  ( PATOS DE MINAS  1)  NF  2157</t>
  </si>
  <si>
    <t>000919</t>
  </si>
  <si>
    <t>Estação solarimétrica – Hukseflux   UFVs ( PATOS 1)  VINCULO PEDIDO 000584 A201   NF4784</t>
  </si>
  <si>
    <t>Nota fiscal de complemento do adiantamento.</t>
  </si>
  <si>
    <t>001050</t>
  </si>
  <si>
    <t xml:space="preserve">COMPRA MATERIAIS PARA UFVs  (  Patos de Minas 1  )  NF  4178  CAMPO ALEGRE </t>
  </si>
  <si>
    <t xml:space="preserve">Compra feita em Faturamento Direto, em contrato de obra MT .  </t>
  </si>
  <si>
    <t>[CCC04110]</t>
  </si>
  <si>
    <t>CAMPO ALEGRE</t>
  </si>
  <si>
    <t>001030</t>
  </si>
  <si>
    <t xml:space="preserve">COMPRA MATERIAIS PARA UFVs  (  PATOS DE MINAS 1  )  NF  72942  LTB  RDA INTERNO  </t>
  </si>
  <si>
    <t>001023</t>
  </si>
  <si>
    <t>MEDIÇÃO PRESTAÇÃO DE SERVIÇOS   UFVs ( PATOS 1 )  NF 195</t>
  </si>
  <si>
    <t>001084</t>
  </si>
  <si>
    <t>PRESTAÇÃO DE SERVIÇOS  UFVS ( Patos 1)   NF 1595</t>
  </si>
  <si>
    <t>001076</t>
  </si>
  <si>
    <t>PRESTAÇÃO DE SERVIÇOS  UFVs  (  PATOS DE MINAS 1)  NF  90</t>
  </si>
  <si>
    <t>001114</t>
  </si>
  <si>
    <t>PRESTAÇÃO DE SERVIÇOS  UFVS ( PATOS DE MINAS  1)   NF  39</t>
  </si>
  <si>
    <t>Pagamento de serviços DE TRANSPORTE,  em  Faturamento Direto, em contrato de obras EPC da UFV.</t>
  </si>
  <si>
    <t>001111</t>
  </si>
  <si>
    <t>PRESTAÇÃO DE SERVIÇOS PARA UFVs (PATOS DE MINAS 1 )    NF  4495  FRADE</t>
  </si>
  <si>
    <t>Pagamento de Locação MANIPULADOR TELESCÓPIO , feito em Faturamento Direto, em contrato  EPC .</t>
  </si>
  <si>
    <t> [CCC04158]</t>
  </si>
  <si>
    <t>001112</t>
  </si>
  <si>
    <t>PRESTAÇÃO DE SERVIÇOS PARA UFVs (PATOS DE MINAS 1 )    NF  5835  FRADE</t>
  </si>
  <si>
    <t>Pagamento de SERVIÇOS DE MÃO DE OBRA NA MANIPULAÇÃO DE TELESCOPIO  , feito em Faturamento Direto, em contrato  EPC .</t>
  </si>
  <si>
    <t>001157</t>
  </si>
  <si>
    <t>PRESTAÇÃO SERVIÇO UFVs ( PATOS 1  ) NF   1834</t>
  </si>
  <si>
    <t>000751</t>
  </si>
  <si>
    <t>Projetos de fundações e drenagem - HALLITE (Patos de Minas 1) Analise terraplanagem - 30% FINAIS    NF 53</t>
  </si>
  <si>
    <t>[CCC03872]</t>
  </si>
  <si>
    <t>001010</t>
  </si>
  <si>
    <t>Desenvolvimento de projetos Executivos  - ENERSOLAR -  20% APROVADOS  (PATOS 1 ) NF  163</t>
  </si>
  <si>
    <t>[CCC04101]</t>
  </si>
  <si>
    <t>001011</t>
  </si>
  <si>
    <t>Desenvolvimento de projetos Executivos  - ENERSOLAR -  20% ANALISADO -  (PATOS 1 )  NF 164</t>
  </si>
  <si>
    <t>001196</t>
  </si>
  <si>
    <t>PRESTAÇÃO DE SERVIÇOS UFVs ( PATOS DE MINAS 1) NF 1543 SOUZA LIMA SEGURANÇA</t>
  </si>
  <si>
    <t>'001219</t>
  </si>
  <si>
    <t>COMPRA MATERIAIS PARA UFVs  (  PATOS  DE MINAS 1  )  LOJA ELETRICA    NF  428751</t>
  </si>
  <si>
    <t>Compra feita em Faturamento Direto, em contrato de obras MT .</t>
  </si>
  <si>
    <t> [CCC04226]</t>
  </si>
  <si>
    <t xml:space="preserve">  LOJA ELETRICA</t>
  </si>
  <si>
    <t>'001221</t>
  </si>
  <si>
    <t>COMPRA MATERIAIS PARA UFVs  (  PATOS  DE MINAS 1  )  LOJA ELETRICA    NF   428758</t>
  </si>
  <si>
    <t>001223</t>
  </si>
  <si>
    <t>PRESTAÇÃO DE SERVIÇOS UFVS ( PATOS DE MINAS 1) NF 307</t>
  </si>
  <si>
    <t>000861</t>
  </si>
  <si>
    <t>SERVIÇO DE LOCAÇÃO  UFVs  ( PATOS DE MINAS 1 )  N 4439</t>
  </si>
  <si>
    <t>Pagamento de serviço de locação de manipulador de telescopio , referência setembro   Faturamento Direto, em contrato de obras EPC da UFV.</t>
  </si>
  <si>
    <t>[CCC03976]</t>
  </si>
  <si>
    <t>001171</t>
  </si>
  <si>
    <t>MEDIÇÃO ADITIVO DE TERRAPLANAGEM UFVs ( PATOS DE MINAS 01 )  NF 215</t>
  </si>
  <si>
    <t>001041</t>
  </si>
  <si>
    <t>DAE - Dispença de Licenciamento ambiental UFV  (PATOS DE MINAS 01 )  NF  911</t>
  </si>
  <si>
    <t>A202-MORI GERACAO II -  UFV PATOS DE MINAS 1</t>
  </si>
  <si>
    <t>001141</t>
  </si>
  <si>
    <t>PRESTAÇÃO DE SERVIÇOS UFVs (  PATOS DE MINAS 1 )    NF953  VB AMBIENTAL</t>
  </si>
  <si>
    <t>001195</t>
  </si>
  <si>
    <t>PRESTAÇÃO DE SERVIÇOS UFVs ( PATOS DE MINAS 1) NF 1542 SOUZA LIMA SEGURANÇA</t>
  </si>
  <si>
    <t>000820</t>
  </si>
  <si>
    <t>COMPRA MATERIAIS PARA UFVs  ( PATOS DE MINAS 1 )  NF  51295</t>
  </si>
  <si>
    <t>[CCC03951]</t>
  </si>
  <si>
    <t>000860</t>
  </si>
  <si>
    <t xml:space="preserve">SERVIÇOS MÃO DE OBRA ESPECIALIZADA  UFVs  ( PATOS DE MINAS  1)  NF  5736 </t>
  </si>
  <si>
    <t>Pagamento de serviço de mão de obra na operação de manipular telescópio,  faturamento Direto, em contrato de obras EPC da UFV.</t>
  </si>
  <si>
    <t>001178</t>
  </si>
  <si>
    <t>MEDIÇÃO ADITIVO DE TERRAPLANAGEM UFVs ( PATOS DE MINAS 1       )  NF 222</t>
  </si>
  <si>
    <t>001358</t>
  </si>
  <si>
    <t>PRESTAÇÃO SERVIÇOS UFVs ( PATOS DE MINAS 1 ) NF  241</t>
  </si>
  <si>
    <t>Pagamento  de medição , referenteCERCAS PERIMETRAL, DA CABINE E REAOTRES, em contrato EPC.  4°</t>
  </si>
  <si>
    <t>000768</t>
  </si>
  <si>
    <t>Religadores   UFVs ( PATOS 1- 3 - 4 -7- 8  + VARJÃO  4 )   TAVRIDA   NF 544</t>
  </si>
  <si>
    <t>[CCC03887]</t>
  </si>
  <si>
    <t xml:space="preserve">TAVRIDA   </t>
  </si>
  <si>
    <t>001433</t>
  </si>
  <si>
    <t xml:space="preserve"> PRESTAÇÃO DE SERVIÇOS UFVs (PATOS DE MINAS 1 )   NF 429   RONDA PORTEIROS</t>
  </si>
  <si>
    <t>001288</t>
  </si>
  <si>
    <t>COMPRA DE MATERIAIS UFVS (   PATOS DE MINAS 1 ) EXPONENCIAL RDA INTERNO NF 26504</t>
  </si>
  <si>
    <t xml:space="preserve">Compra de materiais em faturamento direto, em contrato MT.  RDA INTERNO </t>
  </si>
  <si>
    <t> [CCC04300]</t>
  </si>
  <si>
    <t>001282</t>
  </si>
  <si>
    <t xml:space="preserve">PRESTAÇÃO DE SERVIÇO UFVs (PATOS DE MINAS 1 )   NF 40 DIEGO RODRIGUES </t>
  </si>
  <si>
    <t>Pagamento em faturamento direto referente ao SERVIÇOS DE TRANPORTE  , em contrato EPC.</t>
  </si>
  <si>
    <t> [CCC04294]</t>
  </si>
  <si>
    <t>001302</t>
  </si>
  <si>
    <t>PRESTAÇÃO DE SERVIÇOS UFVs  ( PATOS DE MINAS 1  ) NF   367  RONDA PORTEIROS</t>
  </si>
  <si>
    <t>001310</t>
  </si>
  <si>
    <t>PRESTAÇÃO DE SERVIÇOS UFVs  ( PATOS DE MINAS 1  ) NF  4538  FADRE</t>
  </si>
  <si>
    <t> [CCC04322]</t>
  </si>
  <si>
    <t>001311</t>
  </si>
  <si>
    <t>PRESTAÇÃO DE SERVIÇOS UFVs  ( PATOS DE MINAS 1  ) NF 5911  FADRE</t>
  </si>
  <si>
    <t>001322</t>
  </si>
  <si>
    <t>PRESTAÇÃO DE SERVIÇOS UFVs ( PATOS 1 ) NF 77 SOUZA LIMA SEGURANÇA</t>
  </si>
  <si>
    <t>001335</t>
  </si>
  <si>
    <t>MEDIÇÃO DE EXECUÇÃO UFVs (PATOS DE MINAS  1 ) NF 338</t>
  </si>
  <si>
    <t>Pagamento  de medição  de serviços DE MÃO DE OBRA ESPECIALIZADA NA CONSTRUÇÃO RDR , necessário a construção da UFV em contrato MT.</t>
  </si>
  <si>
    <t>001354</t>
  </si>
  <si>
    <t>PRESTAÇÃO DE SERVIÇOS UFVs (PATOS DE MINAS 1) NF 549</t>
  </si>
  <si>
    <t xml:space="preserve">Pagamento em faturamento direto, REFERENTE A EXECUÇÃO POR ADM EMPREITADA OU SUBEMPREITADA, necessário à construção da UFV em contrato EPC .  </t>
  </si>
  <si>
    <t> [CCC04378]</t>
  </si>
  <si>
    <t>001430</t>
  </si>
  <si>
    <t>COMPRA DE MATERIAIS UFVs (PATOS DE MINAS 1  )   NF 13384 CAMPO ALEGRE</t>
  </si>
  <si>
    <t>Pagamento em faturamento direto referente  a  compra de materiais, em contrato MT.</t>
  </si>
  <si>
    <t> [CCC04520]</t>
  </si>
  <si>
    <t>001431</t>
  </si>
  <si>
    <t xml:space="preserve"> PRESTAÇÃO DE SERVIÇOS UFVs (PATOS DE MINAS 1 )   NF 208   CAMPO ALEGRE</t>
  </si>
  <si>
    <t>Pagamento em faturamento direto referente  a trasnporte, em contrato MT.</t>
  </si>
  <si>
    <t>001449</t>
  </si>
  <si>
    <t>PRESTAÇÃO DE SERVIÇOS UFVs ( PATOS DE MINAS 1e 4) ROSELENA ADIANTAMENTO</t>
  </si>
  <si>
    <t>Pagamento referente a indenização do contrato de constituição de servidão perpétua , necessário a construção das usinas.</t>
  </si>
  <si>
    <t> [CCC04539]</t>
  </si>
  <si>
    <t xml:space="preserve"> ROSELENA </t>
  </si>
  <si>
    <t>001485</t>
  </si>
  <si>
    <t>PRESTAÇÃO DE SERVIÇOS UFVs (PATOS DE MINAS 1 E 4 )  NF 153    GP SERVIÇOS</t>
  </si>
  <si>
    <t>Pagamento DE SERVIÇO REFERENTE A SERVIDÃO DE REDE, NECESSÁRIOS A CONSTRUÇÃO DAS USINAS.   100%</t>
  </si>
  <si>
    <t> [CCC04579]</t>
  </si>
  <si>
    <t>001488</t>
  </si>
  <si>
    <t>PRESTAÇÃO DE SERVIÇOS UFVs ( PATOS DE MINAS 1 )  NF 26  KPD</t>
  </si>
  <si>
    <t>Pagamento em faturamento direto, referente a serviços de acompanhamento e fiscalização de obras ,  necessário a construção das usinas em contrato EPC .</t>
  </si>
  <si>
    <t> [CCC04587]</t>
  </si>
  <si>
    <t>001501</t>
  </si>
  <si>
    <t>COMPRA DE MATERIAIS UFVs (PATOS DE MINAS 1)   NF  37633836  ALEXANDRE JOSE</t>
  </si>
  <si>
    <t>Pagamento referente ao serviço de  compra de materiais, necessários a construção das usinas. ESCOPO COMERC</t>
  </si>
  <si>
    <t> [CCC04619]</t>
  </si>
  <si>
    <t>001514</t>
  </si>
  <si>
    <t>PRESTAÇÃO DE SERVIÇOS UFVs (PATOS DE MINAS 1) NF 373</t>
  </si>
  <si>
    <t>Pagamento de medição referente a SERVIÇOS DE MÃO DE OBRA ESPECIALIZADA NA CONSTRUÇÃO RDR, necessário a construção em contrato MT.</t>
  </si>
  <si>
    <t> [CCC04661]</t>
  </si>
  <si>
    <t>001522</t>
  </si>
  <si>
    <t>PRESTAÇÃO  DE SERVIÇOS UFVs ( ARAGÃO )   NF 306   SOUZA LIMA</t>
  </si>
  <si>
    <t>001538</t>
  </si>
  <si>
    <t>PRESTAÇÃO  DE SERVIÇOS UFVs ( ARAGAO )   NF 508     SOUZA LIMA</t>
  </si>
  <si>
    <t> [CCC04668]</t>
  </si>
  <si>
    <t>001536</t>
  </si>
  <si>
    <t>PRESTAÇÃO  DE SERVIÇOS UFVs ( ARAGAO )   NF 509     SOUZA LIMA</t>
  </si>
  <si>
    <t>001539</t>
  </si>
  <si>
    <t>PRESTAÇÃO  DE SERVIÇOS UFVs ( ARAGAO )   NF 510     SOUZA LIMA</t>
  </si>
  <si>
    <t xml:space="preserve">PRESTAÇÃO DE SERVIÇOS UFVs ( PATOS 1 E 4)  HELSON CAIXETA  ADIANTAMENTO  </t>
  </si>
  <si>
    <t> [CCC04693]</t>
  </si>
  <si>
    <t xml:space="preserve">PRESTAÇÃO DE SERVIÇOS UFVs ( PATOS 1 E 4)  PEDRO ALTON ADIANTAMENTO  </t>
  </si>
  <si>
    <t xml:space="preserve">PRESTAÇÃO DE SERVIÇOS UFVs ( PATOS 1 E 4)  JOSE MARIA ADIANTAMENTO  </t>
  </si>
  <si>
    <t>001557</t>
  </si>
  <si>
    <t>PRESTAÇÃO DE SERVIÇOS UFVs ( PATOS DE MINAS 1 )  NF 301</t>
  </si>
  <si>
    <t>Pagamento de medição , referente a serviço de cravação de estacas, necessário a construção da usina, em contrato EPC.</t>
  </si>
  <si>
    <t> [CCC04695]</t>
  </si>
  <si>
    <t>PRESTAÇÃO DE SERVIÇOS UFVs ( PATOS DE MINAS 1,7,8 )  NF 33 ADV INVESTIMENTOS  CADASTRO</t>
  </si>
  <si>
    <t>Pagamento referente a serviço de EXTRAÇÃO DE AREIA, CASCALHO E AFINS , necessário para a construção das usinas. ESCOPO COMERC</t>
  </si>
  <si>
    <t> [CCC04701]</t>
  </si>
  <si>
    <t>001589</t>
  </si>
  <si>
    <t>PRESTAÇÃO DE SERVIÇOS UFVs ( PATOS DE MINAS 1) NF  385</t>
  </si>
  <si>
    <t>Pagamento de medição 2, referente a SERVIÇOS DE MÃO DE OBRA ESPECIALIZADA NA CONSTRUÇÃO RDR, em contrato MT.</t>
  </si>
  <si>
    <t> [CCC04737]</t>
  </si>
  <si>
    <t>001603</t>
  </si>
  <si>
    <t xml:space="preserve">COMPRA DE MATERIAIS UFVs ( PATOS DE MINAS 1) NF 037668073 ALEXANDRE JOSE </t>
  </si>
  <si>
    <t>Pagamento referente a compra de haste, necessário a construção das usinas. ESCOPO COMERC</t>
  </si>
  <si>
    <t> [CCC04792]</t>
  </si>
  <si>
    <t>PRESTAÇÃO DE SERVIÇOS UFVs (PATOS 1)  NF  931  INOVAR LOCAÇÕES</t>
  </si>
  <si>
    <t> [CCC04830]</t>
  </si>
  <si>
    <t>JX AMBIENTAL - Procedimento Administrativo - DAIA de implantação de UFV - 50% iniciais - (PATOS DE MINAS 3)</t>
  </si>
  <si>
    <t>Patos de Minas 3 _Outros</t>
  </si>
  <si>
    <t>JX AMBIENTAL - Procedimento Administrativo - DAIA de implantação de rede rural - 50% iniciais - (PATOS DE MINAS 3)</t>
  </si>
  <si>
    <t>000016</t>
  </si>
  <si>
    <t>Execução de testes SPT - 10% iniciais - (Patos de Minas 3)</t>
  </si>
  <si>
    <t>[CCC02492-06]</t>
  </si>
  <si>
    <t>JX AMBIENTAL - Taxa de Analise (Patos DE MINAS 3)</t>
  </si>
  <si>
    <t>[CCC02534-23]</t>
  </si>
  <si>
    <t>JX AMBIENTAL - Taxa de Lenha (Patos DE MINAS 3)</t>
  </si>
  <si>
    <t>[CCC02534-24]</t>
  </si>
  <si>
    <t>JX AMBIENTAL - Taxa de Madeira (Patos DE MINAS 3)</t>
  </si>
  <si>
    <t>[CCC02534-25]</t>
  </si>
  <si>
    <t>JX AMBIENTAL - Procedimento Administrativo - DAIA de implantação de UFV - 40% intermediários - (PATOS DE MINAS 3)</t>
  </si>
  <si>
    <t>000028</t>
  </si>
  <si>
    <t>Execução de testes SPT - 90% finais - (Patos de Minas 3)</t>
  </si>
  <si>
    <t>[CCC02567-02]</t>
  </si>
  <si>
    <t>000054</t>
  </si>
  <si>
    <t>Medição 0 - Adiantamento (Patos de Minas 3) Entrada Contratual 30%</t>
  </si>
  <si>
    <t>[CCC02610-07]</t>
  </si>
  <si>
    <t>Patos de Minas 3 - CAPEX - Serviço AT - CCAP-C2_000008</t>
  </si>
  <si>
    <t>Patos de Minas 3_Obras AT_MD</t>
  </si>
  <si>
    <t>000069</t>
  </si>
  <si>
    <t>Medição 0 - Adiantamento  (Patos de Minas 3)</t>
  </si>
  <si>
    <t>Pagamento de adiantamento contratual, referente a 5% do valor total contratado para este projeto (Patos de Minas 3)</t>
  </si>
  <si>
    <t>[CCC02663-03]</t>
  </si>
  <si>
    <t>Patos de Minas 3 - CAPEX - Serviço MT - CCAP-C2_000015</t>
  </si>
  <si>
    <t>Patos de Minas 3 _Obras MT_MD</t>
  </si>
  <si>
    <t>001232</t>
  </si>
  <si>
    <t>Consultoria em servidão (Patos de Minas 3) GEOVANY</t>
  </si>
  <si>
    <t>[CCC02674]</t>
  </si>
  <si>
    <t>JX AMBIENTAL - Procedimento Administrativo - DAIA de implantação de UFV - 10% finais (PATOS DE MINAS 3)</t>
  </si>
  <si>
    <t>[CCC02841]</t>
  </si>
  <si>
    <t>000140</t>
  </si>
  <si>
    <t>Revisão de coordenadas de terreno - Soluç. Agrimensura (Patos de Minas 3)</t>
  </si>
  <si>
    <t>[CCC02851-08]</t>
  </si>
  <si>
    <t>000151</t>
  </si>
  <si>
    <t>Fornecimento de doc. técnica para DUP - Laudo Área 1 - GRANI (Patos de Minas 3)</t>
  </si>
  <si>
    <t>Pagamento de serviço de emissão de laudo destinado à emissão de DUP para implantação de rede MT da UFV.</t>
  </si>
  <si>
    <t>[CCC02861-01]</t>
  </si>
  <si>
    <t>000152</t>
  </si>
  <si>
    <t>Fornecimento de doc. técnica para DUP - Laudo Área 2 - GRANI (Patos de Minas 3)</t>
  </si>
  <si>
    <t>[CCC02861-02]</t>
  </si>
  <si>
    <t>000080</t>
  </si>
  <si>
    <t>Fornecimento de doc. técnica para DUP - 50% iniciais - Area 1 - GEOVANY (Patos de Minas 3)</t>
  </si>
  <si>
    <t>Pagamento de assessoria contratada para viabilizar Declaração de Utilidade Pública, com envio de Mapa topográfico e memorial Descritivo.</t>
  </si>
  <si>
    <t>[CCC02708-01]</t>
  </si>
  <si>
    <t>000156</t>
  </si>
  <si>
    <t>Fornecimento de doc. técnica para DUP - 50% finais - Area 1 - GEOVANY (Patos de Minas 3)</t>
  </si>
  <si>
    <t>[CCC02708-04]</t>
  </si>
  <si>
    <t>000157</t>
  </si>
  <si>
    <t>Fornecimento de doc. técnica para DUP - 100% - Area 2 - GEOVANY (Patos de Minas 3)</t>
  </si>
  <si>
    <t>[CCC02708-05]</t>
  </si>
  <si>
    <t>SCOMP-000008</t>
  </si>
  <si>
    <t>Reatores de aterramento ADELCO (Patos de Minas 3)</t>
  </si>
  <si>
    <t>000196</t>
  </si>
  <si>
    <t>Medição 0 - Adiantamento contratual (Patos de Minas 3)Projetos</t>
  </si>
  <si>
    <t>[CCC02924-07]</t>
  </si>
  <si>
    <t>000209</t>
  </si>
  <si>
    <t>Desenvolvimento de planialtimétrico (Patos de Minas 3)</t>
  </si>
  <si>
    <t>Desenvolvimento de novo planialtimétrico para o site da UFV.</t>
  </si>
  <si>
    <t>[CCC02970]</t>
  </si>
  <si>
    <t>000252</t>
  </si>
  <si>
    <t>JX AMBIENTAL - Procedimento Administrativo - DAIA de UFV - 01de03 - (Patos de Minas 3)</t>
  </si>
  <si>
    <t>[CCC03092-05]</t>
  </si>
  <si>
    <t>000258</t>
  </si>
  <si>
    <t>JX AMBIENTAL - Taxa de Análise de corte (Patos de Minas 3)</t>
  </si>
  <si>
    <t>[CCC03119-01]</t>
  </si>
  <si>
    <t>000259</t>
  </si>
  <si>
    <t>JX AMBIENTAL - Taxa de Lenha (Patos de Minas 3)</t>
  </si>
  <si>
    <t>[CCC03119-02]</t>
  </si>
  <si>
    <t>000260</t>
  </si>
  <si>
    <t>JX AMBIENTAL - Taxa de Madeira (Patos de Minas 3)</t>
  </si>
  <si>
    <t>[CCC03119-03]</t>
  </si>
  <si>
    <t>000276</t>
  </si>
  <si>
    <t>JX AMBIENTAL - Procedimento Administrativo - DAIA de UFV - 02de03 - (Patos de Minas 3)</t>
  </si>
  <si>
    <t>[CCC03144-05]</t>
  </si>
  <si>
    <t>000291</t>
  </si>
  <si>
    <t>Archtech - Testes de PullOuT_Biotec - Adiantamento (Patos de Minas 3)</t>
  </si>
  <si>
    <t>[CCC03145-05]</t>
  </si>
  <si>
    <t>000225</t>
  </si>
  <si>
    <t>Serviço de SPT - NOVO TEMPO (Patos de Minas 3) - Campanha 3</t>
  </si>
  <si>
    <t>[CCC03077-01]</t>
  </si>
  <si>
    <t>000338</t>
  </si>
  <si>
    <t>JX AMBIENTAL - Procedimento Administrativo - DAIA de UFV - 03de03 - (Patos de Minas 3)</t>
  </si>
  <si>
    <t>[CCC03230-01]</t>
  </si>
  <si>
    <t>000346</t>
  </si>
  <si>
    <t>Archtech - Testes de PullOuT_Biotec - Finalização (Patos de Minas 3)</t>
  </si>
  <si>
    <t>[CCC03265-05]</t>
  </si>
  <si>
    <t>000359</t>
  </si>
  <si>
    <t>JX AMBIENTAL - Taxa de Reposição Florestal - UFV (Patos de Minas 3)</t>
  </si>
  <si>
    <t>[CCC03264-01]</t>
  </si>
  <si>
    <t>000360</t>
  </si>
  <si>
    <t>JX AMBIENTAL - Taxa de Reposição Florestal - UFV - Ipê amarelo (Patos de Minas 3)</t>
  </si>
  <si>
    <t>[CCC03264-02]</t>
  </si>
  <si>
    <t>000381</t>
  </si>
  <si>
    <t>Medição 01 (Patos de Minas 3) NF2230</t>
  </si>
  <si>
    <t>[CCC03222-04]</t>
  </si>
  <si>
    <t>000416</t>
  </si>
  <si>
    <t>SUPERVISORIO - Ciclo 2 - Gateways e remota (Patos de Minas 3)</t>
  </si>
  <si>
    <t>[CCC03287-05]</t>
  </si>
  <si>
    <t>Patos de Minas 3 _SGD</t>
  </si>
  <si>
    <t>000415</t>
  </si>
  <si>
    <t>SUPERVISORIO - Ciclo 2 - Baterias, desktops, switch e acessórios (Patos de Minas 3)</t>
  </si>
  <si>
    <t>[CCC03287-27]</t>
  </si>
  <si>
    <t>000940</t>
  </si>
  <si>
    <t>Atividades para liberação de execução de POT nas UFVs ( PATOS DE MINAS 3)  NF  431</t>
  </si>
  <si>
    <t>001068</t>
  </si>
  <si>
    <t>Projeto de cabine primária  - PROJETTI - 100% (Patos de minas 8)</t>
  </si>
  <si>
    <t xml:space="preserve"> [CCC04118]</t>
  </si>
  <si>
    <t>Patos de Minas 3_Projeto/Coordenograma</t>
  </si>
  <si>
    <t>000490</t>
  </si>
  <si>
    <t>Medição 02 (Patos de Minas 3) NF2260</t>
  </si>
  <si>
    <t>[CCC03355-04]</t>
  </si>
  <si>
    <t>000539</t>
  </si>
  <si>
    <t>Construção e Montagem Viaprumo - Medição 1  - Adiantamento (Patos de Minas 3)</t>
  </si>
  <si>
    <t>[CCC03486]</t>
  </si>
  <si>
    <t>Patos de Minas 3_EPC_MD</t>
  </si>
  <si>
    <t>000879</t>
  </si>
  <si>
    <t>Fat. Direto (ENGELUZ)</t>
  </si>
  <si>
    <t xml:space="preserve">COMPRA MATERIAIS PARA UFVs  ( PATOS DE MINAS 3)  NF  4157  TEC FIBRAS </t>
  </si>
  <si>
    <t>Compra feita ADITIVOS  - Em  Faturamento Direto, em contrato de obras EPC da UFV.</t>
  </si>
  <si>
    <t>[CCC04002]</t>
  </si>
  <si>
    <t>Patos de Minas 3 _Obras MT_FD</t>
  </si>
  <si>
    <t>000880</t>
  </si>
  <si>
    <t>COMPRA MATERIAIS PARA UFVs  ( PATOS DE MINAS 3)  NF  67716  SULMINAS</t>
  </si>
  <si>
    <t>000882</t>
  </si>
  <si>
    <t>COMPRA MATERIAIS PARA UFVs  ( PATOS DE MINAS 3)  NF  8177  ZETA POSTES</t>
  </si>
  <si>
    <t>000883</t>
  </si>
  <si>
    <t xml:space="preserve">COMPRA MATERIAIS PARA UFVs  ( PATOS DE MINAS 3)  NF  10932  VULCANO </t>
  </si>
  <si>
    <t>000884</t>
  </si>
  <si>
    <t>COMPRA MATERIAIS PARA UFVs  ( PATOS DE MINAS 3)  NF  418275</t>
  </si>
  <si>
    <t>000585</t>
  </si>
  <si>
    <t>Estação solarimétrica – Hukseflux   Patos de Minas 3
NF 7024  PC 003179</t>
  </si>
  <si>
    <t>Patos de Minas 3 _Estação solarimétrica</t>
  </si>
  <si>
    <t>HUKSEFLUX</t>
  </si>
  <si>
    <t>000443</t>
  </si>
  <si>
    <t>Desenvolvimento de projetos Executivos - ENERSOLAR - 20% iniciais - 01/05 (Patos de Minas 3)  NF 72</t>
  </si>
  <si>
    <t>[CCC03326-46]</t>
  </si>
  <si>
    <t>[CCC03326-31] Outros - Serviços à UFV - Desenvolvimento de projetos Executivos  - ENERSOLAR -  20% iniciais - 01/05 (Pains 3)   NF 79 - Serviço contratado de desenvolvimento de projetos executivos destinados à construção de instalações internas da UFV.</t>
  </si>
  <si>
    <t>Patos de Minas 3_Engenharia Executiva - Detalhada</t>
  </si>
  <si>
    <t>000564</t>
  </si>
  <si>
    <t>Revisão de coordenograma de proteção em função de alteração do modelo do relé de proteção (UFV Patos de Minas 3)</t>
  </si>
  <si>
    <t>[CCC03466]</t>
  </si>
  <si>
    <t>001027</t>
  </si>
  <si>
    <t>Fat. Direto (MBA -AT )</t>
  </si>
  <si>
    <t>COMPRA MATERIAIS PARA UFVs  ( PATOS DE MINAS 3 )  NF   97</t>
  </si>
  <si>
    <t>Compra feita em Faturamento Direto, em contrato de obras AT .</t>
  </si>
  <si>
    <t>[CCC04106]</t>
  </si>
  <si>
    <t>CONCERT SERVICOS DE ENGENHARIA LTDA</t>
  </si>
  <si>
    <t>Patos de Minas 3_Obras AT_FD</t>
  </si>
  <si>
    <t>001028</t>
  </si>
  <si>
    <t>COMPRA MATERIAIS PARA UFVs  ( PATOS DE MINAS 3 )  NF   96</t>
  </si>
  <si>
    <t>000983</t>
  </si>
  <si>
    <t>COMPRA MATERIAIS PARA UFVs  ( Patos de Minas 3)  NF  422015  LOJA ELTRICA</t>
  </si>
  <si>
    <t>[CCC04088}</t>
  </si>
  <si>
    <t>000982</t>
  </si>
  <si>
    <t>COMPRA MATERIAIS PARA UFVs  ( Patos de Minas 3)  NF  421915  LOJA ELETRICA</t>
  </si>
  <si>
    <t>000717</t>
  </si>
  <si>
    <t>Desenvolvimento de   projetos  GLD  ( PATOS DE MINAS 3  )    NF  224</t>
  </si>
  <si>
    <t>[CCC03843]</t>
  </si>
  <si>
    <t>Patos de Minas 3 _Engenharia Executiva - Basica</t>
  </si>
  <si>
    <t>001014</t>
  </si>
  <si>
    <t>Desenvolvimento de projetos Executivos  - ENERSOLAR -  20%  INTERMEDIÁRIO  (PATOS  3 )  NF  167</t>
  </si>
  <si>
    <t>001015</t>
  </si>
  <si>
    <t>Desenvolvimento de projetos Executivos  - ENERSOLAR -  20%  EMITIDO-  (PATOS  3 )  NF  168</t>
  </si>
  <si>
    <t>001016</t>
  </si>
  <si>
    <t>Desenvolvimento de projetos Executivos  - ENERSOLAR -  20% ANALISADO -  (PATOS  3)  NF 169</t>
  </si>
  <si>
    <t>001017</t>
  </si>
  <si>
    <t>Desenvolvimento de projetos Executivos  - ENERSOLAR -  Layout aprovado -  (PATOS  3)  NF 170</t>
  </si>
  <si>
    <t>001233</t>
  </si>
  <si>
    <t>Desenvolvimento de projetos Executivos  - ENERSOLAR -  20%  APROVADO (PATOS DE MINAS 3) NF  197</t>
  </si>
  <si>
    <t> [CCC04232]</t>
  </si>
  <si>
    <t>001042</t>
  </si>
  <si>
    <t xml:space="preserve">DAE - Dispença de Licenciamento ambiental UFV  (PATOS DE MINAS 03 )  NF 912 </t>
  </si>
  <si>
    <t>A203-MORI GERACAO II -  UFV PATOS DE MINAS 7</t>
  </si>
  <si>
    <t>001142</t>
  </si>
  <si>
    <t>PRESTAÇÃO DE SERVIÇOS UFVs (PATOS DE MINAS 3   )    NF 954 VB AMBIENTAL</t>
  </si>
  <si>
    <t>001201</t>
  </si>
  <si>
    <t>COMPRA MATERIAIS PARA UFVs  ( PATOS DE MINAS 3 )  LOJA ELETRICA    NF 429096</t>
  </si>
  <si>
    <t> [CCC04213]</t>
  </si>
  <si>
    <t>SERVIÇOS DE MÃO DE OBRA   MEDIÇÃO 1   UFVs ( PATOS 3)  NF 281</t>
  </si>
  <si>
    <t>Pagamento  de medição  de serviços DE MÃO DE OBRA ESPECIALIZADA NA CONSTRUÇÃO RDR, necessário a construção da UFV.</t>
  </si>
  <si>
    <t>[CCC03938]</t>
  </si>
  <si>
    <t>000960</t>
  </si>
  <si>
    <t>COMPRA MATERIAIS PARA UFVs  ( CAMPO BELO 2)  NF  231395  INDUSCABOS</t>
  </si>
  <si>
    <t>[CCC04074]</t>
  </si>
  <si>
    <t>001344</t>
  </si>
  <si>
    <t>COMPRA DE MATERIAIS UFVs (PATOS DEMINAS 3) NF 434349  LOJA ELETRICA RDA INTERNO</t>
  </si>
  <si>
    <t>Pagamento em faturamento direto, referente A COMPRA DE MATERIAIS ,necessário à construção da UFV em contrato MT. RDA INTERNO .</t>
  </si>
  <si>
    <t> [CCC04359]</t>
  </si>
  <si>
    <t>Não e RDA e sim Obras de MT.</t>
  </si>
  <si>
    <t>000887</t>
  </si>
  <si>
    <t>COMPRA MATERIAIS PARA UFVs  ( PARACATU 1 )  NF  418276 - Patos 3</t>
  </si>
  <si>
    <t>[CCC04003]</t>
  </si>
  <si>
    <t>001381</t>
  </si>
  <si>
    <t>COMPRA DE MATERIAIS  UFVs ( PATOS DE MINAS 3)   NF 234083 INDUSCABOS</t>
  </si>
  <si>
    <t xml:space="preserve">Pagamento em faturamento direto, REFERENTE A COMPRA DE MATERIAIS, necessário à construção da UFV em contrato MT . </t>
  </si>
  <si>
    <t> [CCC04388]</t>
  </si>
  <si>
    <t>001504</t>
  </si>
  <si>
    <t>Fat.Direto EPC (VIAPRUMO)</t>
  </si>
  <si>
    <t>PRESTAÇÃO DE SERVIÇOS UFVS ( PATOS DE MINAS 3 ) NF  514  RONDA SERVIÇOS</t>
  </si>
  <si>
    <t>Pagamento referente ao serviço de vigilância desarmada, necessários a construção das usinas. ESCOPO COMERC</t>
  </si>
  <si>
    <t> [CCC04625]</t>
  </si>
  <si>
    <t>001506</t>
  </si>
  <si>
    <t>PRESTAÇÃO DE SERVIÇOS UFVS ( PATOS DE MINAS 3 ) NF  513 RONDA SERVIÇOS</t>
  </si>
  <si>
    <t>001549</t>
  </si>
  <si>
    <t>PRESTAÇÃO  DE SERVIÇOS UFVs ( PATOS DE MINAS 3 )   NF 519    SOUZA LIMA</t>
  </si>
  <si>
    <t>Patos de Minas 3_EPC_FD</t>
  </si>
  <si>
    <t>001566</t>
  </si>
  <si>
    <t xml:space="preserve">PRESTAÇÃO DE SERVIÇOS UFVs ( PATOS DE MINAS 3 ) NF 124  JOSE CARLOS </t>
  </si>
  <si>
    <t>Pagamento em faturamento direto referente a terraplanagem, necessário a construção da usina, em contrato EPC.</t>
  </si>
  <si>
    <t> [CCC04702]</t>
  </si>
  <si>
    <t>Obras de Terraplanagem estão dentro contrato da EPC.</t>
  </si>
  <si>
    <t>001612</t>
  </si>
  <si>
    <t>PRESTAÇÃO DE SERVIÇOS UFVs ( PATOS DE MINAS 3) NF 606  RONDA PORTEIROS</t>
  </si>
  <si>
    <t>Pagamento em faturamento direto, referente  a prestação de serviços de VIGILANCIA DESARMADA,  necessário a construção da usina  em contrato EPC.</t>
  </si>
  <si>
    <t> [CCC04814]</t>
  </si>
  <si>
    <t>001613</t>
  </si>
  <si>
    <t>COMPRA DE MATERIAIS PARA AS UFVs    NF 3230  GAUCHA ALIMENTAÇÃO</t>
  </si>
  <si>
    <t>Pagamento em faturamento direto referente ao fornecimento de alimentação dos colaboradores, necessário a construção da usinas, em contrato EPC.</t>
  </si>
  <si>
    <t> [CCC04818]</t>
  </si>
  <si>
    <t>001617</t>
  </si>
  <si>
    <t xml:space="preserve">PRESTAÇÃO DE SERVIÇOS UFVs  NF 46361   ATIVA LOCAÇÃO          </t>
  </si>
  <si>
    <t>Pagamento em faturamento direto referente ao serviço de locação, necessário a construção da usinas CLUSTER 3, em contrato EPC.</t>
  </si>
  <si>
    <t> [CCC04829]</t>
  </si>
  <si>
    <t xml:space="preserve">A203- MORI GERAÇÃO II - UFV PATOS DE MINAS 3 </t>
  </si>
  <si>
    <t>001600</t>
  </si>
  <si>
    <t>PRESTAÇÃO DE SERVIÇOS UFVs( PATOS DE MINAS 3)  ENERSOLAR NF 258</t>
  </si>
  <si>
    <t>Pagamento referente ao serviço de revisão de projetoss executivos destinados à construção de instalações internas da UFV.</t>
  </si>
  <si>
    <t> [CCC04789]</t>
  </si>
  <si>
    <t>Projetos AT - PROEL NSs 1132538732, 1133809054, 1134093798, 1138566893, 1138567585 (Patos de Minas 4)</t>
  </si>
  <si>
    <t>Patos de Minas 4 - CAPEX - Serviço AT - CCAP-C2_000008</t>
  </si>
  <si>
    <t>Patos de Minas 4_Obras AT_FD</t>
  </si>
  <si>
    <t>JX AMBIENTAL - Procedimento Administrativo - DAIA de implantação de UFV - 50% iniciais - (PATOS DE MINAS 4)</t>
  </si>
  <si>
    <t>Patos de Minas 4 _Outros</t>
  </si>
  <si>
    <t>JX AMBIENTAL - Procedimento Administrativo - DAIA de implantação de rede rural - 50% iniciais - (PATOS DE MINAS 4)</t>
  </si>
  <si>
    <t>001089</t>
  </si>
  <si>
    <t>Consultoria em servidão (Patos de Minas 4) GEOVANY</t>
  </si>
  <si>
    <t>[CCC02493]</t>
  </si>
  <si>
    <t>JX AMBIENTAL - Taxa de Analise (Patos DE MINAS 4)</t>
  </si>
  <si>
    <t>[CCC02534-26]</t>
  </si>
  <si>
    <t>JX AMBIENTAL - Taxa de Rep. Florestal (Patos DE MINAS 4)</t>
  </si>
  <si>
    <t>[CCC02534-27]</t>
  </si>
  <si>
    <t>JX AMBIENTAL - Taxa de Lenha (Patos DE MINAS 4)</t>
  </si>
  <si>
    <t>[CCC02534-28]</t>
  </si>
  <si>
    <t>JX AMBIENTAL - Taxa de Madeira (Patos DE MINAS 4)</t>
  </si>
  <si>
    <t>[CCC02534-29]</t>
  </si>
  <si>
    <t>JX AMBIENTAL - Procedimento Administrativo - DAIA de implantação de UFV - 40% intermediários - (PATOS DE MINAS 4)</t>
  </si>
  <si>
    <t>JX AMBIENTAL - Procedimento Administrativo - DAIA de implantação de rede rural - 40% intermediários - (PATOS DE MINAS 4)</t>
  </si>
  <si>
    <t>[CCC02556-04]</t>
  </si>
  <si>
    <t>CONT. PROJETOS - Medição final de serviços (Patos de minas 4)</t>
  </si>
  <si>
    <t>Patos de Minas 4_Obras AT_MD</t>
  </si>
  <si>
    <t>000071</t>
  </si>
  <si>
    <t>Medição 0 - Adiantamento  (Patos de Minas 4)</t>
  </si>
  <si>
    <t>Pagamento de adiantamento contratual, referente a 5% do valor total contratado para este projeto (Patos de Minas 4)</t>
  </si>
  <si>
    <t>[CCC02663-05]</t>
  </si>
  <si>
    <t>Patos de Minas 4 - CAPEX - Serviço MT - CCAP-C2_000015</t>
  </si>
  <si>
    <t>Patos de Minas 4 _Obras MT_MD</t>
  </si>
  <si>
    <t>000102</t>
  </si>
  <si>
    <t>JX AMBIENTAL - PTRF - Rede - 01de03 (Patos de Minas 4) EXCLUIR</t>
  </si>
  <si>
    <t>[CCC02743-02]</t>
  </si>
  <si>
    <t>000103</t>
  </si>
  <si>
    <t>JX AMBIENTAL - PTRF - Rede - 02de03 (Patos de Minas 4) EXCLUIR</t>
  </si>
  <si>
    <t>[CCC02743-03]</t>
  </si>
  <si>
    <t>000112</t>
  </si>
  <si>
    <t>JX AMBIENTAL - PTRF - Rede - 01de03 (Patos de Minas 4) REEDIÇÃO</t>
  </si>
  <si>
    <t>000113</t>
  </si>
  <si>
    <t>JX AMBIENTAL - PTRF - Rede - 02de03 (Patos de Minas 4) REEDIÇÃO</t>
  </si>
  <si>
    <t>000141</t>
  </si>
  <si>
    <t>Revisão de coordenadas de terreno - Soluç. Agrimensura (Patos de Minas 4)</t>
  </si>
  <si>
    <t>[CCC02851-09]</t>
  </si>
  <si>
    <t>JX AMBIENTAL - Taxa de Analise APP - Rede (Patos de Minas 4)</t>
  </si>
  <si>
    <t>[CCC02892-01]</t>
  </si>
  <si>
    <t>JX AMBIENTAL - Taxa Florestal - Analise de corte - Complementar (Patos de Minas 4)</t>
  </si>
  <si>
    <t>[CCC02892-02]</t>
  </si>
  <si>
    <t>JX AMBIENTAL - Taxa Florestal - Lenha - Complementar (Patos de Minas 4)</t>
  </si>
  <si>
    <t>[CCC02892-03]</t>
  </si>
  <si>
    <t>JX AMBIENTAL - Taxa Florestal - Madeira - Complementar (Patos de Minas 4)</t>
  </si>
  <si>
    <t>[CCC02892-04]</t>
  </si>
  <si>
    <t>JX AMBIENTAL - Taxa de Reposição Florestal - UFV - Lenha (Patos de Minas 4)</t>
  </si>
  <si>
    <t>[CCC02890-01]</t>
  </si>
  <si>
    <t>JX AMBIENTAL - Taxa de Reposição Florestal - UFV - Madeira (Patos de Minas 4)</t>
  </si>
  <si>
    <t>[CCC02890-02]</t>
  </si>
  <si>
    <t>SCOMP-000009</t>
  </si>
  <si>
    <t>Reatores de aterramento ADELCO (Patos de Minas 4)</t>
  </si>
  <si>
    <t>JX AMBIENTAL - Taxa de Analise - Complementar (Patos de Minas 4)</t>
  </si>
  <si>
    <t>[CCC02933-01]</t>
  </si>
  <si>
    <t>JX AMBIENTAL - Taxa de Lenha - Complementar (Patos de Minas 4)</t>
  </si>
  <si>
    <t>[CCC02933-02]</t>
  </si>
  <si>
    <t>JX AMBIENTAL - Taxa de Madeira - Complementar (Patos de Minas 4)</t>
  </si>
  <si>
    <t>[CCC02933-03]</t>
  </si>
  <si>
    <t>JX AMBIENTAL - Procedimento Administrativo - DAIA de implantação de rede - 10% finais (PATOS DE MINAS 4)</t>
  </si>
  <si>
    <t>[CCC02944-02]</t>
  </si>
  <si>
    <t>000191</t>
  </si>
  <si>
    <t>JX AMBIENTAL - PTRF - Rede - 03de03 (Patos de Minas 4)</t>
  </si>
  <si>
    <t>[CCC02944-01]</t>
  </si>
  <si>
    <t>000267</t>
  </si>
  <si>
    <t>Desenvolvimento de projetos Executivos - 20% iniciais (Patos de Minas 4)</t>
  </si>
  <si>
    <t>[CCC03147-04]</t>
  </si>
  <si>
    <t>Patos de Minas 4_Engenharia Executiva</t>
  </si>
  <si>
    <t>000299</t>
  </si>
  <si>
    <t>Cabo de alumínio e cordoalha (Patos de Minas 4)</t>
  </si>
  <si>
    <t>[CCC03162-02]</t>
  </si>
  <si>
    <t>Patos de Minas 4 _Obras MT_FD</t>
  </si>
  <si>
    <t>000292</t>
  </si>
  <si>
    <t>Archtech - Testes de PullOuT_Biotec - Adiantamento (Patos de Minas 4)</t>
  </si>
  <si>
    <t>[CCC03145-06]</t>
  </si>
  <si>
    <t>000226</t>
  </si>
  <si>
    <t>Serviço de SPT - NOVO TEMPO (Patos de Minas 4) - Campanha 3</t>
  </si>
  <si>
    <t>[CCC03077-02]</t>
  </si>
  <si>
    <t>JX AMBIENTAL - Procedimento Administrativo - DAIA de implantação de UFV - 10% finais - (PATOS DE MINAS 4)</t>
  </si>
  <si>
    <t>Parcela final de serviço de consultoria contratado cumprimento de legislação ambiental.</t>
  </si>
  <si>
    <t>[CCC03232-21]</t>
  </si>
  <si>
    <t>000347</t>
  </si>
  <si>
    <t>Archtech - Testes de PullOuT_Biotec - Finalização (Patos de Minas 4)</t>
  </si>
  <si>
    <t>[CCC03265-06]</t>
  </si>
  <si>
    <t>000369</t>
  </si>
  <si>
    <t>Desenvolvimento de projetos Executivos - 20% intermediários - 1a entrega (Patos de Minas 4)</t>
  </si>
  <si>
    <t>[CCC03290-08]</t>
  </si>
  <si>
    <t>000407</t>
  </si>
  <si>
    <t>SUPERVISORIO - Ciclo 2 - Gateways e remota (Patos de Minas 4)</t>
  </si>
  <si>
    <t>[CCC03287-09]</t>
  </si>
  <si>
    <t>Patos de Minas 4 _SGD</t>
  </si>
  <si>
    <t>000414</t>
  </si>
  <si>
    <t>SUPERVISORIO - Ciclo 2 - Baterias, desktops, switch e acessórios (Patos de Minas 4)</t>
  </si>
  <si>
    <t>[CCC03287-21]</t>
  </si>
  <si>
    <t>000448</t>
  </si>
  <si>
    <t>Projetos de fundações e drenagem - HALLITE (Patos de Minas 4) 70%  -  Analise terraplanagem</t>
  </si>
  <si>
    <t>[CCC03309-02]</t>
  </si>
  <si>
    <t>WEG PRESTAÇÃO DE SERVIÇOS UFVs ( PARACATU 8)</t>
  </si>
  <si>
    <t>Pagamento Final  , contrato FULL EPC WEG. EVENTO Final</t>
  </si>
  <si>
    <t>Pagamento final feito direto pelo financeiro.</t>
  </si>
  <si>
    <t>Patos de Minas 4_Projeto/Coordenograma</t>
  </si>
  <si>
    <t>000540</t>
  </si>
  <si>
    <t>MEDIÇÃO -EPC ( VIAPRUMO )</t>
  </si>
  <si>
    <t>Construção e Montagem Viaprumo - Medição 1  - Adiantamento (Patos de Minas 4)</t>
  </si>
  <si>
    <t>[CCC03487]</t>
  </si>
  <si>
    <t>Patos de Minas 4_EPC_MD</t>
  </si>
  <si>
    <t>000586</t>
  </si>
  <si>
    <t xml:space="preserve">Estação solarimétrica – Hukseflux   Patos de minas 4
</t>
  </si>
  <si>
    <t>Patos de Minas 4 _Estação solarimétrica</t>
  </si>
  <si>
    <t>DAE - Dispença de Licenciamento ambiental UFV   ( PATOS DE MINAS 4) N 1401210703408</t>
  </si>
  <si>
    <t>[CCC03627]</t>
  </si>
  <si>
    <t>000850</t>
  </si>
  <si>
    <t>RDR-Rede de Distribuição Rural - FD</t>
  </si>
  <si>
    <t>COMPRA MATERIAIS PARA UFVs  ( PATOS 4)  NF  17633 METRA</t>
  </si>
  <si>
    <t>[CCC03984]</t>
  </si>
  <si>
    <t xml:space="preserve">Patos de Minas 4_RDR-Rede de Distribuição Rural </t>
  </si>
  <si>
    <t xml:space="preserve">RDR-Rede de Distribuição Rural </t>
  </si>
  <si>
    <t>000851</t>
  </si>
  <si>
    <t xml:space="preserve">COMPRA MATERIAIS PARA UFVs  ( PATOS 4)  NF  25927     EXPONENCIAL </t>
  </si>
  <si>
    <t>000254</t>
  </si>
  <si>
    <t>Revisão de coordenograma de proteção em função de alteração do modelo do relé de proteção (UFV Patos de Minas 4)</t>
  </si>
  <si>
    <t>[CCC03453]</t>
  </si>
  <si>
    <t>000904</t>
  </si>
  <si>
    <t>Fat.Direito EPC ( VIAPRUMO)</t>
  </si>
  <si>
    <t>COMPRA MATERIAIS PARA UFVs  (PATOS MINAS 4)  NF   14427</t>
  </si>
  <si>
    <t>Patos de Minas 4_EPC_FD</t>
  </si>
  <si>
    <t>000990</t>
  </si>
  <si>
    <t xml:space="preserve">COMPRA MATERIAIS PARA UFVs  ( PATOS DE MINAS 4 )  NF 26109     EXPONECIAL RDA INTERNO  </t>
  </si>
  <si>
    <t>Patos de Minas 4_RDA - Rede de Distribuição Aerea</t>
  </si>
  <si>
    <t>000947</t>
  </si>
  <si>
    <t>PRESTAÇÃO DE SERVIÇOS UFVs  (PATOS DE MINAS 4)   NF 1</t>
  </si>
  <si>
    <t>Pagamento referente a serviço de locação,  em Faturamento Direto, em contrato de obras EPC da UFV.</t>
  </si>
  <si>
    <t>[CCC04027]</t>
  </si>
  <si>
    <t>000920</t>
  </si>
  <si>
    <t>Estação solarimétrica – Hukseflux   UFVs ( PATOS 4)  VINCULO PEDIDO 000586 A201  NF 4785</t>
  </si>
  <si>
    <t>000875</t>
  </si>
  <si>
    <t>COMPRA MATERIAIS PARA UFVs  ( PATOS DE MINAS 4)  NF   8169 ZETA POSTES  RDA INTERNA</t>
  </si>
  <si>
    <t>001031</t>
  </si>
  <si>
    <t xml:space="preserve">COMPRA MATERIAIS PARA UFVs  (  PATOS DE MINAS 4  )  NF  72943  LTB  RDA INTERNO  </t>
  </si>
  <si>
    <t>001130</t>
  </si>
  <si>
    <t>RDR-Rede de Distribuição Rural - MD</t>
  </si>
  <si>
    <t>PRESTAÇÃO DE SERVIÇOS ( PATOS DE MINAS 4 )  NF  309</t>
  </si>
  <si>
    <t>Pagamento de serviços de mão de obra especializada na construçao de rdr , necessária as UFVs.  MEDIÇÃO FINAL</t>
  </si>
  <si>
    <t> [CCC04166]</t>
  </si>
  <si>
    <t>001080</t>
  </si>
  <si>
    <t xml:space="preserve">PRESTAÇÃO DE SERVIÇOS  UFVS ( Patos 4 )   NF 1591  </t>
  </si>
  <si>
    <t>001151</t>
  </si>
  <si>
    <t>PRESTAÇÃO SERVIÇO UFVs ( PATOS 4) NF   1830</t>
  </si>
  <si>
    <t>Pagamento de serviço de PRESTACAO DE SERVICOS MEDIANTE A CESSAO DE MAO DE OBRA - VIGILANCIA , feito em Faturamento Direto, em contrato  EPC .</t>
  </si>
  <si>
    <t>000752</t>
  </si>
  <si>
    <t>Projetos de fundações e drenagem - HALLITE (Patos de Minas 4) Analise terraplanagem - 30% FINAIS   NF 54</t>
  </si>
  <si>
    <t>001187</t>
  </si>
  <si>
    <t>PRESTAÇÃO DE SERVIÇOS UFVs ( PATOS DE MINAS 4) NF 1532 SOUZA LIMA SEGURANÇA</t>
  </si>
  <si>
    <t>001188</t>
  </si>
  <si>
    <t>PRESTAÇÃO DE SERVIÇOS UFVs ( PATOS DE MINAS 4) NF 1533 SOUZA LIMA SEGURANÇA</t>
  </si>
  <si>
    <t>001231</t>
  </si>
  <si>
    <t>COMPRA MATERIAIS PARA UFVs  (  PATOS  DE MINAS 4 )  LOJA ELETRICA    NF 428749</t>
  </si>
  <si>
    <t> [CCC04227]</t>
  </si>
  <si>
    <t>COMPRA MATERIAIS PARA UFVs  (  PATOS  DE MINAS 4 )  LOJA ELETRICA    NF 428750</t>
  </si>
  <si>
    <t>001224</t>
  </si>
  <si>
    <t>PRESTAÇÃO DE SERVIÇOS UFVS ( PATOS DE MINAS 4) NF 309</t>
  </si>
  <si>
    <t>000821</t>
  </si>
  <si>
    <t>COMPRA MATERIAIS PARA UFVs  (PATOS DE MINA 4 )  NF  1929</t>
  </si>
  <si>
    <t>000822</t>
  </si>
  <si>
    <t>COMPRA MATERIAIS PARA UFVs  ( PATOS DE MINAS 4 )  NF  51294</t>
  </si>
  <si>
    <t>000867</t>
  </si>
  <si>
    <t>COMPRA MATERIAIS PARA UFVs  ( PATOS DE MINAS 4)  NF  1896</t>
  </si>
  <si>
    <t>000729</t>
  </si>
  <si>
    <t>COMPRA MATERIAIS PARA UFVs ( PATOS 4)     NF 50731</t>
  </si>
  <si>
    <t>[CCC03828]</t>
  </si>
  <si>
    <t>001286</t>
  </si>
  <si>
    <t>COMPRA DE MATERIAIS UFVS (   PATOS DE MINAS 4  ) EXPONENCIAL RDA INTERNO NF 26503</t>
  </si>
  <si>
    <t>001306</t>
  </si>
  <si>
    <t>PRESTAÇÃO DE SERVIÇOS UFVs  ( PATOS DE MINAS 4  ) NF   368  RONDA PORTEIROS</t>
  </si>
  <si>
    <t>001326</t>
  </si>
  <si>
    <t>PRESTAÇÃO DE SERVIÇOS UFVs ( PATOS 4 ) NF 73 SOUZA LIMA SEGURANÇA</t>
  </si>
  <si>
    <t>001336</t>
  </si>
  <si>
    <t>MEDIÇÃO DE EXECUÇÃO UFVs (PATOS DE MINAS 4 ) NF 339</t>
  </si>
  <si>
    <t>000848</t>
  </si>
  <si>
    <t>COMPRA MATERIAIS PARA UFVs  ( PATOS 4)  NF  8158 ZETA POSTES</t>
  </si>
  <si>
    <t>001427</t>
  </si>
  <si>
    <t xml:space="preserve">PRESTAÇÃO DE SERVIÇOS UFVs(PATOS DE MINAS 4 ) NF 116  JOSE CARLOS </t>
  </si>
  <si>
    <t>Pagamento em faturamento direto,  REFERENTE A SERVIÇOS DE TERRA PLANAGEM., necessário à construção da UFV em contrato EPC.</t>
  </si>
  <si>
    <t> [CCC04512]</t>
  </si>
  <si>
    <t>001428</t>
  </si>
  <si>
    <t xml:space="preserve">PRESTAÇÃO DE SERVIÇOS UFVs(PATOS DE MINAS 4 ) NF 117  JOSE CARLOS </t>
  </si>
  <si>
    <t>001435</t>
  </si>
  <si>
    <t xml:space="preserve"> PRESTAÇÃO DE SERVIÇOS UFVs (PATOS DE MINAS 4 )   NF 430   RONDA PORTEIROS</t>
  </si>
  <si>
    <t>001179</t>
  </si>
  <si>
    <t>MEDIÇÃO ADITIVO DE TERRAPLANAGEM UFVs ( PATOS DE MINAS 4 )  NF 223</t>
  </si>
  <si>
    <t>001359</t>
  </si>
  <si>
    <t>PRESTAÇÃO SERVIÇOS UFVs ( PATOS DE MINAS  4 ) NF  242</t>
  </si>
  <si>
    <t>Pagamento de medição , referente SUPRESSÃO VEGETAL E REGULARIZAÇÃO DO TERRENO, em contrato EPC. 4°</t>
  </si>
  <si>
    <t>001487</t>
  </si>
  <si>
    <t>PRESTAÇÃO DE SERVIÇOS UFVs ( PATOS DE MINAS 4 )  NF 48  DIEGO RODRIGUES</t>
  </si>
  <si>
    <t>Pagamento em faturamento direto, referente a serviço de transporte ,  necessário a construção das usinas em contrato EPC .</t>
  </si>
  <si>
    <t> [CCC04586]</t>
  </si>
  <si>
    <t>001507</t>
  </si>
  <si>
    <t>PRESTAÇÃO DE SERVIÇOS UFVS ( PATOS DE MINAS 4 ) NF  515  RONDA SERVIÇOS</t>
  </si>
  <si>
    <t>001513</t>
  </si>
  <si>
    <t>PRESTAÇÃO DE SERVIÇOS UFVs (PATOS DE MINAS 4) NF 374</t>
  </si>
  <si>
    <t> [CCC04659]</t>
  </si>
  <si>
    <t>001516</t>
  </si>
  <si>
    <t>PRESTAÇÃO  DE SERVIÇOS UFVs ( PATOS DE MINAS 4 )   NF  302  SOUZA LIMA</t>
  </si>
  <si>
    <t>001525</t>
  </si>
  <si>
    <t>PRESTAÇÃO  DE SERVIÇOS UFVs ( PATOS DE MINAS 4 )   NF 497     SOUZA LIMA</t>
  </si>
  <si>
    <t>001526</t>
  </si>
  <si>
    <t>PRESTAÇÃO  DE SERVIÇOS UFVs ( PATOS DE MINAS 4 )   NF 498     SOUZA LIMA</t>
  </si>
  <si>
    <t>001527</t>
  </si>
  <si>
    <t>PRESTAÇÃO  DE SERVIÇOS UFVs ( PATOS DE MINAS 4 )   NF 499     SOUZA LIMA</t>
  </si>
  <si>
    <t>001560</t>
  </si>
  <si>
    <t xml:space="preserve">PRESTAÇÃO DE SERVIÇOS UFVs (PATOS DE MINAS 4 ) NF 302 </t>
  </si>
  <si>
    <t>Pagamento de medição, referente ao SERVIÇO ADITIVO MARCO DA MEDIÇÃO: (TERRAPLANAGEM ), necessário a construção da usina em contrato EPC.</t>
  </si>
  <si>
    <t> [CCC04694]</t>
  </si>
  <si>
    <t>001558</t>
  </si>
  <si>
    <t>PRESTAÇÃO DE SERVIÇOS UFVs ( PATOS DE MINAS 4 )  NF 286</t>
  </si>
  <si>
    <t>Pagamento de medição , referente a serviço de cercas perimetral, da cabine e reatores, necessário a construção da usina, em contrato EPC.</t>
  </si>
  <si>
    <t>001584</t>
  </si>
  <si>
    <t>PRESTAÇÃO DE SERVIÇOS UFVs (PATOS DE MINAS 4 ) NF  381</t>
  </si>
  <si>
    <t> [CCC04730]</t>
  </si>
  <si>
    <t>001611</t>
  </si>
  <si>
    <t>PRESTAÇÃO DE SERVIÇOS UFVs ( PATOS DE MINAS 4) NF 615 RONDA PORTEIROS</t>
  </si>
  <si>
    <t>PRESTAÇÃO DE SERVIÇOS UFVs (PATOS 4)  NF  930  INOVAR LOCAÇÕES</t>
  </si>
  <si>
    <t>CONT. PROJETOS - Projetos AT - PROEL NSs 1132538732, 1133809054, 1134093798, 1138566893, 1138567585 (Patos de Minas 7)</t>
  </si>
  <si>
    <t>Patos de Minas 7 - CAPEX - Serviço AT - CCAP-C2_000008</t>
  </si>
  <si>
    <t>Patos de Minas 7_Obras AT_FD</t>
  </si>
  <si>
    <t>JX AMBIENTAL - Procedimento Administrativo - DAIA de implantação de UFV - 50% iniciais - (PATOS DE MINAS 7)</t>
  </si>
  <si>
    <t>Patos de Minas 7 _Outros</t>
  </si>
  <si>
    <t>JX AMBIENTAL - Procedimento Administrativo - DAIA de implantação de rede rural - 50% iniciais - (PATOS DE MINAS 7)</t>
  </si>
  <si>
    <t>000017</t>
  </si>
  <si>
    <t>Execução de testes SPT - 10% iniciais - (Patos de Minas 7)</t>
  </si>
  <si>
    <t>[CCC02492-07]</t>
  </si>
  <si>
    <t>JX AMBIENTAL - Taxa de Analise (Patos DE MINAS 7)</t>
  </si>
  <si>
    <t>[CCC02534-30]</t>
  </si>
  <si>
    <t>JX AMBIENTAL - Taxa de Rep. Florestal (Patos DE MINAS 7)</t>
  </si>
  <si>
    <t>[CCC02534-31]</t>
  </si>
  <si>
    <t>JX AMBIENTAL - Taxa de Lenha (Patos DE MINAS 7)</t>
  </si>
  <si>
    <t>[CCC02534-32]</t>
  </si>
  <si>
    <t>JX AMBIENTAL - Taxa de Madeira (Patos DE MINAS 7)</t>
  </si>
  <si>
    <t>[CCC02534-33]</t>
  </si>
  <si>
    <t>JX AMBIENTAL - Procedimento Administrativo - DAIA de implantação de UFV - 40% intermediários - (PATOS DE MINAS 7)</t>
  </si>
  <si>
    <t>000029</t>
  </si>
  <si>
    <t>Execução de testes SPT - 90% finais - (Patos de Minas 7)</t>
  </si>
  <si>
    <t>[CCC02567-03]</t>
  </si>
  <si>
    <t>CONT. PROJETOS - Medição final de serviços (Patos de minas 7)</t>
  </si>
  <si>
    <t>Patos de Minas 7_Obras AT_MD</t>
  </si>
  <si>
    <t>000055</t>
  </si>
  <si>
    <t>Medição 0 - Adiantamento (Patos de Minas 7)</t>
  </si>
  <si>
    <t>[CCC02610-08]</t>
  </si>
  <si>
    <t>000072</t>
  </si>
  <si>
    <t>Medição 0 - Adiantamento  (Patos de Minas 7)</t>
  </si>
  <si>
    <t>Pagamento de adiantamento contratual, referente a 5% do valor total contratado para este projeto (Patos de Minas 7)</t>
  </si>
  <si>
    <t>[CCC02663-06]</t>
  </si>
  <si>
    <t>Patos de Minas 7 - CAPEX - Serviço MT - CCAP-C2_000015</t>
  </si>
  <si>
    <t>Patos de Minas 7 _Obras MT_MD</t>
  </si>
  <si>
    <t>001254</t>
  </si>
  <si>
    <t>EXCLUIDO  -  Fornecimento de doc. técnica para DUP - 50% iniciais - GEOVANY (Patos de Minas 7)</t>
  </si>
  <si>
    <t>[CCC02708-02]</t>
  </si>
  <si>
    <t>0101-MORI ENERGIA HOLDING S.A</t>
  </si>
  <si>
    <t>001380</t>
  </si>
  <si>
    <t>Consultoria em servidão (Patos de minas 7) GEOVANY</t>
  </si>
  <si>
    <t>[CCC02847-01]</t>
  </si>
  <si>
    <t>000143</t>
  </si>
  <si>
    <t>Revisão de coordenadas de terreno - Soluç. Agrimensura (Patos de Minas 7)</t>
  </si>
  <si>
    <t>[CCC02851-11]</t>
  </si>
  <si>
    <t>Patos de Minas 7_Projeto/Coordenograma</t>
  </si>
  <si>
    <t>SOLUÇÕES</t>
  </si>
  <si>
    <t>000153</t>
  </si>
  <si>
    <t>Fornecimento de doc. técnica para DUP - Laudo Área 1 - GRANI (Patos de Minas 7)</t>
  </si>
  <si>
    <t>[CCC02861-03]</t>
  </si>
  <si>
    <t>000154</t>
  </si>
  <si>
    <t>Fornecimento de doc. técnica para DUP - Laudo Área 2 - GRANI (Patos de Minas 7)</t>
  </si>
  <si>
    <t>[CCC02861-04]</t>
  </si>
  <si>
    <t>000081</t>
  </si>
  <si>
    <t>Fornecimento de doc. técnica para DUP - 50% iniciais - Area 1 - GEOVANY (Patos de Minas 7)</t>
  </si>
  <si>
    <t>000158</t>
  </si>
  <si>
    <t>Fornecimento de doc. técnica para DUP - 50% finais - Area 1 - GEOVANY (Patos de Minas 7)</t>
  </si>
  <si>
    <t>[CCC02708-06]</t>
  </si>
  <si>
    <t>000159</t>
  </si>
  <si>
    <t>Fornecimento de doc. técnica para DUP - 100% - Area 2 - GEOVANY (Patos de Minas 7)</t>
  </si>
  <si>
    <t>[CCC02708-07]</t>
  </si>
  <si>
    <t>000160</t>
  </si>
  <si>
    <t>Fornecimento de doc. técnica para DUP - 100% - Area 3 - GEOVANY (Patos de Minas 7)</t>
  </si>
  <si>
    <t>[CCC02708-08]</t>
  </si>
  <si>
    <t>SCOMP-000010</t>
  </si>
  <si>
    <t>Reatores de aterramento ADELCO (Patos de Minas 7)</t>
  </si>
  <si>
    <t>JX AMBIENTAL - Taxa de Analise - Complementar (Patos de Minas 7)</t>
  </si>
  <si>
    <t>[CCC02945-01]</t>
  </si>
  <si>
    <t>JX AMBIENTAL - Taxa de Rep. Florestal - Complementar  (Patos de Minas 7)</t>
  </si>
  <si>
    <t>[CCC02945-02]</t>
  </si>
  <si>
    <t>JX AMBIENTAL - Taxa de Lenha - Complementar  (Patos de Minas 7)</t>
  </si>
  <si>
    <t>[CCC02945-03]</t>
  </si>
  <si>
    <t>JX AMBIENTAL - Taxa de Madeira - Complementar  (Patos de Minas 7)</t>
  </si>
  <si>
    <t>[CCC02945-04]</t>
  </si>
  <si>
    <t>000197</t>
  </si>
  <si>
    <t>Medição 0 - Adiantamento contratual (Patos de Minas 7)</t>
  </si>
  <si>
    <t>[CCC02924-08]</t>
  </si>
  <si>
    <t>000227</t>
  </si>
  <si>
    <t>Desenvolvimento de projetos Executivos - 20% iniciais (Patos de minas 7)</t>
  </si>
  <si>
    <t>[CCC02997-16]</t>
  </si>
  <si>
    <t>Patos de Minas 7_Engenharia Executiva</t>
  </si>
  <si>
    <t>000283</t>
  </si>
  <si>
    <t>Archtech - Testes de PullOuT_Biotec - Adiantamento (Patos de Minas 7)</t>
  </si>
  <si>
    <t>[CCC03145-08]</t>
  </si>
  <si>
    <t>000315</t>
  </si>
  <si>
    <t>Cabo tripolar e Cabo de aço (Patos de Minas 7)</t>
  </si>
  <si>
    <t>[CCC03208-02]</t>
  </si>
  <si>
    <t>Patos de Minas 7 _Obras MT_FD</t>
  </si>
  <si>
    <t>JX AMBIENTAL - Procedimento Administrativo - DAIA de implantação de UFV - 03de03 - (Patos de Minas 7)</t>
  </si>
  <si>
    <t>[CCC03226]</t>
  </si>
  <si>
    <t>000349</t>
  </si>
  <si>
    <t>Archtech - Testes de PullOuT_Biotec - Finalização (Patos de Minas 7)</t>
  </si>
  <si>
    <t>[CCC03265-08]</t>
  </si>
  <si>
    <t>000370</t>
  </si>
  <si>
    <t>Desenvolvimento de projetos Executivos - 20% intermediários - 1a entrega (Patos de minas 7)</t>
  </si>
  <si>
    <t>[CCC03290-09]</t>
  </si>
  <si>
    <t>000382</t>
  </si>
  <si>
    <t>Medição 01 (Patos de Minas 7)</t>
  </si>
  <si>
    <t>[CCC03222-05]</t>
  </si>
  <si>
    <t>000398</t>
  </si>
  <si>
    <t>SUPERVISORIO - Ciclo 2 - Gateways e remota (Patos de Minas 7)</t>
  </si>
  <si>
    <t>[CCC03287-02]</t>
  </si>
  <si>
    <t>Patos de Minas 7 _SGD</t>
  </si>
  <si>
    <t>000421</t>
  </si>
  <si>
    <t>SUPERVISORIO - Ciclo 2 - Baterias, desktops, switch e acessórios (Patos de Minas 7)</t>
  </si>
  <si>
    <t>[CCC03287-25]</t>
  </si>
  <si>
    <t>000449</t>
  </si>
  <si>
    <t>Projetos de fundações e drenagem - HALLITE (Patos de Minas 7) 70%  -  Analise terraplanagem</t>
  </si>
  <si>
    <t>[CCC03309-03]</t>
  </si>
  <si>
    <t>000491</t>
  </si>
  <si>
    <t>Medição 02 (Patos de Minas 7)</t>
  </si>
  <si>
    <t>[CCC03355-05]</t>
  </si>
  <si>
    <t>000541</t>
  </si>
  <si>
    <t>Medição (EPC- VIAPRUMO)</t>
  </si>
  <si>
    <t>Construção e Montagem Viaprumo - Medição 1  - Adiantamento (Patos de Minas 7)</t>
  </si>
  <si>
    <t>[CCC03488]</t>
  </si>
  <si>
    <t>Patos de Minas 7_EPC_MD</t>
  </si>
  <si>
    <t>000022</t>
  </si>
  <si>
    <t>Taxa de reposição florestal  UFV (Patos de Minas 7)</t>
  </si>
  <si>
    <t>[CCC03418]</t>
  </si>
  <si>
    <t>000023</t>
  </si>
  <si>
    <t>000587</t>
  </si>
  <si>
    <t xml:space="preserve">Estação solarimétrica – Hukseflux   Patos de minas 7
</t>
  </si>
  <si>
    <t>Patos de Minas 7 _Estação solarimétrica</t>
  </si>
  <si>
    <t>000696</t>
  </si>
  <si>
    <t>COMPRA MATERIAIS PARA UFVs ( PATOS DE MINAS 7)   NF 1856</t>
  </si>
  <si>
    <t>[CCC03780]</t>
  </si>
  <si>
    <t>Patos de Minas 7_EPC_FD</t>
  </si>
  <si>
    <t>000708</t>
  </si>
  <si>
    <t>COMPRA MATERIAIS PARA UFVs ( PATOS DE MINAS 7)   NF 50730</t>
  </si>
  <si>
    <t>000864</t>
  </si>
  <si>
    <t>COMPRA MATERIAIS PARA UFVs  ( PATOS DE MINAS 7 )  NF  14428</t>
  </si>
  <si>
    <t>001006</t>
  </si>
  <si>
    <t>RDA - Rede de Distribuição Aerea Fat. Direto</t>
  </si>
  <si>
    <t xml:space="preserve">COMPRA MATERIAIS PARA UFVs  (  PATOS DE MINAS 7  )  NF    26110 EXPONECIAL RDA INTERNO  </t>
  </si>
  <si>
    <t>Patos de Minas 7_RDA - Rede de Distribuição Aerea</t>
  </si>
  <si>
    <t>000915</t>
  </si>
  <si>
    <t>Estação solarimétrica – Hukseflux   UFVs (PATOS DE MINAS 7 )   VINCULO PEDIDO 000587 A201   NF 4786</t>
  </si>
  <si>
    <t>000962</t>
  </si>
  <si>
    <t xml:space="preserve">COMPRA MATERIAIS PARA UFVs  ( PATOS  7 )  NF  304  </t>
  </si>
  <si>
    <t>[CCC04078]</t>
  </si>
  <si>
    <t>001032</t>
  </si>
  <si>
    <t xml:space="preserve">COMPRA MATERIAIS PARA UFVs  ( PATOS DE MINAS 7 )  NF  72944  LTB  RDA INTERNO  </t>
  </si>
  <si>
    <t>001024</t>
  </si>
  <si>
    <t>MEDIÇÃO PRESTAÇÃO DE SERVIÇOS   UFVs ( PATOS 7 )  NF 198</t>
  </si>
  <si>
    <t>001081</t>
  </si>
  <si>
    <t>PRESTAÇÃO DE SERVIÇOS  UFVS ( Patos 7 )   NF 1592</t>
  </si>
  <si>
    <t>001113</t>
  </si>
  <si>
    <t xml:space="preserve">PRESTAÇÃO DE SERVIÇOS PARA UFVs (PATOS DE MINAS 7 )    NF  1079  </t>
  </si>
  <si>
    <t>Pagamento de serviço de LOCAÇÃO DE RETROESCAVADEIRA, feito em Faturamento Direto, em contrato  EPC .</t>
  </si>
  <si>
    <t>001129</t>
  </si>
  <si>
    <t>PRESTAÇÃO DE SERVIÇOS UFVs (PATOS DE MINAS 7) NF  4500</t>
  </si>
  <si>
    <t> [CCC04167]</t>
  </si>
  <si>
    <t>001152</t>
  </si>
  <si>
    <t>PRESTAÇÃO SERVIÇO UFVs ( PATOS 7) NF   1831</t>
  </si>
  <si>
    <t>000753</t>
  </si>
  <si>
    <t>Projetos de fundações e drenagem - HALLITE (Patos de Minas 7) Analise terraplanagem - 30% FINAIS   NF 55</t>
  </si>
  <si>
    <t>001012</t>
  </si>
  <si>
    <t>Desenvolvimento de projetos Executivos  - ENERSOLAR -  20% APROVADOS  (PATOS 7 ) NF  166</t>
  </si>
  <si>
    <t>001013</t>
  </si>
  <si>
    <t>Desenvolvimento de projetos Executivos  - ENERSOLAR -  20% ANALISADO -  (PATOS  7 )  NF 165</t>
  </si>
  <si>
    <t>001189</t>
  </si>
  <si>
    <t>PRESTAÇÃO DE SERVIÇOS UFVs ( PATOS DE MINAS 7) NF 1535 SOUZA LIMA SEGURANÇA</t>
  </si>
  <si>
    <t>001190</t>
  </si>
  <si>
    <t>PRESTAÇÃO DE SERVIÇOS UFVs ( PATOS DE MINAS 7) NF 1536  SOUZA LIMA SEGURANÇA</t>
  </si>
  <si>
    <t>001214</t>
  </si>
  <si>
    <t>PRESTÇÃO DE SERVIÇOS UFVS ( PATOS DE MINAS 7 )  NF 112</t>
  </si>
  <si>
    <t>Pagamento  EM FATURAMENTO DIRETO,  REFERENTE A MÃO DE OBRA  necessário à construção da UFV  em contrato EPC .</t>
  </si>
  <si>
    <t> [CCC04222]</t>
  </si>
  <si>
    <t>001168</t>
  </si>
  <si>
    <t>MEDIÇÃO DE EXECUÇÃO   UFVs ( PATOS 7)  NF 315</t>
  </si>
  <si>
    <t> [CCC04202]</t>
  </si>
  <si>
    <t>001225</t>
  </si>
  <si>
    <t>PRESTAÇÃO DE SERVIÇOS UFVS ( PATOS DE MINAS 7) NF 310</t>
  </si>
  <si>
    <t>000874</t>
  </si>
  <si>
    <t>COMPRA MATERIAIS PARA UFVs  ( PATOS DE MINAS  7)  NF   8168 ZETA POSTES  RDA INTERNA</t>
  </si>
  <si>
    <t>000658</t>
  </si>
  <si>
    <t>SERVIÇOS PRESTADOS DE MÃO DE OBRA ESPECIALIZADA NA CONSTRUÇÃO DE RDR   NF 267 ( PATO VII) ADITIVOS</t>
  </si>
  <si>
    <t>Pagamento mão de obra especializa (indenização)</t>
  </si>
  <si>
    <t>[CCC03724]</t>
  </si>
  <si>
    <t>000614</t>
  </si>
  <si>
    <t>COMPRA MATERIAIS PARA UFVs (PATOS 7)      PEDRO</t>
  </si>
  <si>
    <t>[CCC03598]</t>
  </si>
  <si>
    <t>000865</t>
  </si>
  <si>
    <t>COMPRA MATERIAIS PARA UFVs  (PATOS DE MINAS 7 )  NF  1897</t>
  </si>
  <si>
    <t>000866</t>
  </si>
  <si>
    <t>COMPRA MATERIAIS PARA UFVs  (PATOS DE MINAS 7 )  NF  51291</t>
  </si>
  <si>
    <t>001128</t>
  </si>
  <si>
    <t>PRESTAÇÃO DE SERVIÇOS UFVs (PATROCÍNIO 2 ) NF  5840</t>
  </si>
  <si>
    <t>001117</t>
  </si>
  <si>
    <t>W.A.S. COMERCIAL, SERVICOS E DANFE</t>
  </si>
  <si>
    <t>Compra feita em Faturamento Direto, em contato de obras MT externas à UFV</t>
  </si>
  <si>
    <t>001287</t>
  </si>
  <si>
    <t>COMPRA DE MATERIAIS UFVS (   PATOS DE MINAS 7  ) EXPONENCIAL RDA INTERNO NF  26496</t>
  </si>
  <si>
    <t>001294</t>
  </si>
  <si>
    <t>PRESTAÇÃO DE SERVIÇOS UFVs  ( PATOS DE MINAS 7  ) NF  4533  FADRE</t>
  </si>
  <si>
    <t>001295</t>
  </si>
  <si>
    <t xml:space="preserve">PRESTAÇÃO DE SERVIÇOS UFVs  ( PATOS DE MINAS 7  ) NF  5896  FADRE </t>
  </si>
  <si>
    <t>001305</t>
  </si>
  <si>
    <t>PRESTAÇÃO DE SERVIÇOS UFVs  ( PATOS DE MINAS 7  ) NF   369  RONDA PORTEIROS</t>
  </si>
  <si>
    <t>001325</t>
  </si>
  <si>
    <t>PRESTAÇÃO DE SERVIÇOS UFVs ( PATOS 7 ) NF 74 SOUZA LIMA SEGURANÇA</t>
  </si>
  <si>
    <t>001339</t>
  </si>
  <si>
    <t xml:space="preserve">RDA - Rede de Distribuição Aerea MEDIÇÃO </t>
  </si>
  <si>
    <t>MEDIÇÃO DE EXECUÇÃO RDA INTERNO   UFVs (PATOS 7)  NF   343</t>
  </si>
  <si>
    <t>Pagamento  de medição  de serviços DE MÃO DE OBRA ESPECIALIZADA NA CONSTRUÇÃO RDR , necessário a construção da UFV em contrato MT. RDA INTERNO</t>
  </si>
  <si>
    <t> [CCC04351]</t>
  </si>
  <si>
    <t>001418</t>
  </si>
  <si>
    <t>PRESTAÇÃO DE SERVIÇOS UFVs ( PATOS DE MINAS 7) NF 558  ENGETELA</t>
  </si>
  <si>
    <t>Pagamento em faturamento direto referente, serviços de transporte de natureza municiapal, em contrato EPC.</t>
  </si>
  <si>
    <t> [CCC04480]</t>
  </si>
  <si>
    <t>001420</t>
  </si>
  <si>
    <t>PRESTAÇÃO DE SERVIÇOS UFVs ( PATOS DE MINAS 7) NF 268</t>
  </si>
  <si>
    <t>Pagamento de medição referente a CERCAS PERIMETRAL DA CABINE E REATORES,  em contrato EPC.  MEDIÇÃO 4</t>
  </si>
  <si>
    <t> [CCC04481]</t>
  </si>
  <si>
    <t>001436</t>
  </si>
  <si>
    <t xml:space="preserve"> PRESTAÇÃO DE SERVIÇOS UFVs (PATOS DE MINAS 7 )   NF 431   RONDA PORTEIROS</t>
  </si>
  <si>
    <t>001443</t>
  </si>
  <si>
    <t xml:space="preserve">PRESTAÇÃO DE SERVIÇOS UFVs(PATOS DE MINAS 7 ) NF 17  KDP KING </t>
  </si>
  <si>
    <t>Pagamento em faturamento direto,  REFERENTE A CRAVAÇÃO DE ESTACAS / MOBILIZAÇÃO, necessário à construção da UFV em contrato EPC.</t>
  </si>
  <si>
    <t> [CCC04533]</t>
  </si>
  <si>
    <t>001172</t>
  </si>
  <si>
    <t>MEDIÇÃO ADITIVO DE TERRAPLANAGEM UFVs (PATOS DE MINAS 7       )  NF 216</t>
  </si>
  <si>
    <t>001183</t>
  </si>
  <si>
    <t>MEDIÇÃO ADITIVO DE TERRAPLANAGEM UFVs ( PATOS DE MINAS 7        )  NF 226</t>
  </si>
  <si>
    <t>001360</t>
  </si>
  <si>
    <t>PRESTAÇÃO SERVIÇOS UFVs ( PATOS DE MINAS  7 ) NF  243</t>
  </si>
  <si>
    <t>Pagamento de medição , referente BASES CIVIS - CABINES, SKIDS, REATOR E CAIXA D´ÁGUA DE 10 M3, CRAVAÇÃO DASESTACAS, INSTALAÇÃO DA CABINE, REDE DE MÉDIA TENSÃO, em contrato EPC. 4°</t>
  </si>
  <si>
    <t>001477</t>
  </si>
  <si>
    <t>PRESTAÇÃO DE SERVIÇOS UFVs ( PATOS DE MINAS 7 ) NF 287</t>
  </si>
  <si>
    <t xml:space="preserve">Pagamento de medição referente ao SERVIÇO BM05 MARCO DA MEDIÇÃO: (CERCAS PERIMETRAL, DA CABINE E REAOTRES), em contrato EPC. </t>
  </si>
  <si>
    <t>001478</t>
  </si>
  <si>
    <t>ADITIVOS DE HASTES  UFVs ( PATOS DE MINAS 7 ) NF 288</t>
  </si>
  <si>
    <t xml:space="preserve">Pagamento de medição referente ao SERVIÇO ADITIVO HASTES, em contrato EPC. </t>
  </si>
  <si>
    <t>001473</t>
  </si>
  <si>
    <t>PRESTAÇÃO DE SERVIÇOS UFVs( PATOS DE MINAS 7) NF 366     CEMIG</t>
  </si>
  <si>
    <t>Pagamento de medição, referente ao serviços de mão de obra especializada na construção RDR, em contrato MT. CEMIG</t>
  </si>
  <si>
    <t>001510</t>
  </si>
  <si>
    <t xml:space="preserve">COMPRA DE MATERIAIS  UFVs( PATOS 7) NF 517 JOSE WILSON </t>
  </si>
  <si>
    <t>Pagamento em fatuamento direto referente a COMPRA DE MATERIAIS, necessários a construção da usina, em contrato EPC.</t>
  </si>
  <si>
    <t> [CCC04635]</t>
  </si>
  <si>
    <t>001517</t>
  </si>
  <si>
    <t>PRESTAÇÃO  DE SERVIÇOS UFVs ( PATOS DE MINAS 7 )   NF  303  SOUZA LIMA</t>
  </si>
  <si>
    <t>001528</t>
  </si>
  <si>
    <t>PRESTAÇÃO  DE SERVIÇOS UFVs ( PATOS DE MINAS 7 )   NF 500     SOUZA LIMA</t>
  </si>
  <si>
    <t>001529</t>
  </si>
  <si>
    <t>PRESTAÇÃO  DE SERVIÇOS UFVs ( PATOS DE MINAS 7 )   NF 501     SOUZA LIMA</t>
  </si>
  <si>
    <t>001530</t>
  </si>
  <si>
    <t>PRESTAÇÃO  DE SERVIÇOS UFVs ( PATOS DE MINAS 7 )   NF 502     SOUZA LIMA</t>
  </si>
  <si>
    <t>001561</t>
  </si>
  <si>
    <t xml:space="preserve">PRESTAÇÃO DE SERVIÇOS UFVs (PATOS DE MINAS 7 ) NF 303 </t>
  </si>
  <si>
    <t>Pagamento de medição,  referente ao SERVIÇO (CONCRETAGEM BLOCOS DE CORAMENTE E TRACKERS EXTERNOS), necessário a construção da usina em contrato EPC.</t>
  </si>
  <si>
    <t>001605</t>
  </si>
  <si>
    <t>COMPRA DE MATERIAIS UFVs ( PATOS DE MINAS 7) NF 22092   MIL WATSS  CADASTRO</t>
  </si>
  <si>
    <t>PRESTAÇÃO DE SERVIÇOS UFVs (PATOS 7)  NF  939  INOVAR LOCAÇÕES</t>
  </si>
  <si>
    <t>Projetos AT - PROEL NSs 1132538732, 1133809054, 1134093798, 1138566893, 1138567585 (Patos de Minas 8)</t>
  </si>
  <si>
    <t>Patos de Minas 8 - CAPEX - Serviço AT - CCAP-C2_000008</t>
  </si>
  <si>
    <t>Patos de Minas 8_Obras AT_FD</t>
  </si>
  <si>
    <t>JX AMBIENTAL - Procedimento Administrativo - DAIA de implantação de UFV - 50% iniciais - (PATOS DE MINAS 8)</t>
  </si>
  <si>
    <t>Patos de Minas 8 _Outros</t>
  </si>
  <si>
    <t>JX AMBIENTAL - Procedimento Administrativo - DAIA de implantação de rede rural - 50% iniciais - (PATOS DE MINAS 8)</t>
  </si>
  <si>
    <t>000018</t>
  </si>
  <si>
    <t>Execução de testes SPT - 10% iniciais - (Patos de Minas 8)</t>
  </si>
  <si>
    <t>[CCC02492-08]</t>
  </si>
  <si>
    <t>JX AMBIENTAL - Taxa de Analise (Patos DE MINAS 8)</t>
  </si>
  <si>
    <t>[CCC02534-34]</t>
  </si>
  <si>
    <t>JX AMBIENTAL - Taxa de Lenha (Patos DE MINAS 8)</t>
  </si>
  <si>
    <t>[CCC02534-35]</t>
  </si>
  <si>
    <t>JX AMBIENTAL - Taxa de Madeira (Patos DE MINAS 8)</t>
  </si>
  <si>
    <t>[CCC02534-36]</t>
  </si>
  <si>
    <t>JX AMBIENTAL - Procedimento Administrativo - DAIA de implantação de UFV - 40% intermediários - (PATOS DE MINAS 8)</t>
  </si>
  <si>
    <t>000030</t>
  </si>
  <si>
    <t>Execução de testes SPT - 90% finais - (Patos de Minas 8)</t>
  </si>
  <si>
    <t>[CCC02567-04]</t>
  </si>
  <si>
    <t>CONT. PROJETOS - Medição final de serviços (Patos de minas 8)</t>
  </si>
  <si>
    <t>Patos de Minas 8_Obras AT_MD</t>
  </si>
  <si>
    <t>000052</t>
  </si>
  <si>
    <t>Medição 0 - Adiantamento (Patos de Minas 8)</t>
  </si>
  <si>
    <t>[CCC02610-05]</t>
  </si>
  <si>
    <t>JX AMBIENTAL - Procedimento Administrativo - DAIA de implantação de UFV - 10% finais - (PATOS DE MINAS 8)</t>
  </si>
  <si>
    <t>[CCC02613]</t>
  </si>
  <si>
    <t>000073</t>
  </si>
  <si>
    <t>Medição 0 - Adiantamento  (Patos de Minas 8)</t>
  </si>
  <si>
    <t>Pagamento de adiantamento contratual, referente a 5% do valor total contratado para este projeto (Patos de Minas 8)</t>
  </si>
  <si>
    <t>[CCC02663-07]</t>
  </si>
  <si>
    <t>Patos de Minas 8 - CAPEX - Serviço MT - CCAP-C2_000015</t>
  </si>
  <si>
    <t>Patos de Minas 8 _Obras MT_MD</t>
  </si>
  <si>
    <t>001255</t>
  </si>
  <si>
    <t>EXCLUIDO  -  Fornecimento de doc. técnica para DUP - 50% iniciais - GEOVANY (Patos de Minas 8)</t>
  </si>
  <si>
    <t>[CCC02708-03]</t>
  </si>
  <si>
    <t>001383</t>
  </si>
  <si>
    <t>Consultoria em servidão (Patos de minas 8) GEOVANY</t>
  </si>
  <si>
    <t>[CCC02847-02]</t>
  </si>
  <si>
    <t>000144</t>
  </si>
  <si>
    <t>Revisão de coordenadas de terreno - Soluç. Agrimensura (Patos de Minas 8)</t>
  </si>
  <si>
    <t>[CCC02851-12]</t>
  </si>
  <si>
    <t>000155</t>
  </si>
  <si>
    <t>Fornecimento de doc. técnica para DUP - Laudo Área 1 - GRANI (Patos de Minas 8)</t>
  </si>
  <si>
    <t>[CCC02861-05]</t>
  </si>
  <si>
    <t>000082</t>
  </si>
  <si>
    <t>Fornecimento de doc. técnica para DUP - 50% iniciais - Area 1 - GEOVANY (Patos de Minas 8)</t>
  </si>
  <si>
    <t>000161</t>
  </si>
  <si>
    <t>Fornecimento de doc. técnica para DUP - 50% finais - Area 1 - GEOVANY (Patos de Minas 8)</t>
  </si>
  <si>
    <t>[CCC02708-09]</t>
  </si>
  <si>
    <t>000162</t>
  </si>
  <si>
    <t>Fornecimento de doc. técnica para DUP - 100% - Area 2 - GEOVANY (Patos de Minas 8)</t>
  </si>
  <si>
    <t>[CCC02708-10]</t>
  </si>
  <si>
    <t>000163</t>
  </si>
  <si>
    <t>Fornecimento de doc. técnica para DUP - 100% - Area 3 - GEOVANY (Patos de Minas 8)</t>
  </si>
  <si>
    <t>[CCC02708-11]</t>
  </si>
  <si>
    <t>SCOMP-000011</t>
  </si>
  <si>
    <t>Reatores de aterramento ADELCO (Patos de Minas 8)</t>
  </si>
  <si>
    <t>000198</t>
  </si>
  <si>
    <t>Medição 0 - Adiantamento contratual (Patos de Minas 8)</t>
  </si>
  <si>
    <t>[CCC02924-09]</t>
  </si>
  <si>
    <t>Taxa ambiental - Dispensa de certidão (Patos de Minas 8)</t>
  </si>
  <si>
    <t xml:space="preserve">Certidão de Dispensa de Licenciamento Ambiental
</t>
  </si>
  <si>
    <t>[CCC02984]</t>
  </si>
  <si>
    <t>000214</t>
  </si>
  <si>
    <t>Desenvolvimento de projetos Executivos - 20% iniciais (Patos de minas 8)</t>
  </si>
  <si>
    <t>[CCC02997-15]</t>
  </si>
  <si>
    <t>Patos de Minas 8_Engenharia Executiva</t>
  </si>
  <si>
    <t>000262</t>
  </si>
  <si>
    <t>JX AMBIENTAL - Taxa de Lenha (Patos de Minas 8)</t>
  </si>
  <si>
    <t>[CCC03123-01]</t>
  </si>
  <si>
    <t>000263</t>
  </si>
  <si>
    <t>JX AMBIENTAL - Taxa de Madeira (Patos de Minas 8)</t>
  </si>
  <si>
    <t>[CCC03123-02]</t>
  </si>
  <si>
    <t>000298</t>
  </si>
  <si>
    <t>Cabos, chave religadora e fusível (Patos de Minas 8)</t>
  </si>
  <si>
    <t>[CCC03162-01]</t>
  </si>
  <si>
    <t>Patos de Minas 8 _Obras MT_FD</t>
  </si>
  <si>
    <t>000284</t>
  </si>
  <si>
    <t>Archtech - Testes de PullOuT_Biotec - Adiantamento (Patos de Minas 8)</t>
  </si>
  <si>
    <t>[CCC03145-09]</t>
  </si>
  <si>
    <t>000328</t>
  </si>
  <si>
    <t>Cabo de alumínio (Patos de Minas 8)</t>
  </si>
  <si>
    <t>[CCC03208-04]</t>
  </si>
  <si>
    <t>000351</t>
  </si>
  <si>
    <t>Archtech - Testes de PullOuT_Biotec - Finalização (Patos de Minas 8)</t>
  </si>
  <si>
    <t>[CCC03265-09]</t>
  </si>
  <si>
    <t>000371</t>
  </si>
  <si>
    <t>Desenvolvimento de projetos Executivos - 20% intermediários - 1a entrega (Patos de minas 8)</t>
  </si>
  <si>
    <t>[CCC03290-10]</t>
  </si>
  <si>
    <t>000373</t>
  </si>
  <si>
    <t>Projetos de fundações e drenagem - HALLITE (Patos de Minas 8) Analise terraplanagem - 70% iniciais</t>
  </si>
  <si>
    <t>[CCC03309-04]</t>
  </si>
  <si>
    <t>000385</t>
  </si>
  <si>
    <t>Medição 01 (Patos de Minas 8)</t>
  </si>
  <si>
    <t>[CCC03222-06]</t>
  </si>
  <si>
    <t>000402</t>
  </si>
  <si>
    <t>SUPERVISORIO - Ciclo 2 - Gateways e remota (Patos de Minas 8)</t>
  </si>
  <si>
    <t>[CCC03287-12]</t>
  </si>
  <si>
    <t>Patos de Minas 8 _SGD</t>
  </si>
  <si>
    <t>000420</t>
  </si>
  <si>
    <t>SUPERVISORIO - Ciclo 2 - Baterias, desktops, switch e acessórios (Patos de Minas 8)</t>
  </si>
  <si>
    <t>[CCC03287-22]</t>
  </si>
  <si>
    <t>000492</t>
  </si>
  <si>
    <t>Medição 02 (Patos de Minas 8)</t>
  </si>
  <si>
    <t>[CCC03355-06]</t>
  </si>
  <si>
    <t>000542</t>
  </si>
  <si>
    <t>Construção e Montagem Viaprumo - Medição 1 - Adiantamento (Patos de Minas 8)</t>
  </si>
  <si>
    <t>[CCC03489]</t>
  </si>
  <si>
    <t>Patos de Minas 8_EPC_MD</t>
  </si>
  <si>
    <t>000572</t>
  </si>
  <si>
    <t xml:space="preserve"> Terraplanagem UFVs -  Medição 2   HALLITE   (Patos de Minas 8)  NF    41</t>
  </si>
  <si>
    <t>Pagamento dos 30% restantes da 2° medição, mais aditivos para a UFV.</t>
  </si>
  <si>
    <t>[CCC03509]</t>
  </si>
  <si>
    <t>000588</t>
  </si>
  <si>
    <t xml:space="preserve">Estação solarimétrica – Hukseflux   Patos de minas 8
</t>
  </si>
  <si>
    <t>Patos de Minas 8 _Estação solarimétrica</t>
  </si>
  <si>
    <t>000704</t>
  </si>
  <si>
    <t>Desenvolvimento de projetos Executivos  - ENERSOLAR -  20% ANALISADO-  (PATOS DE MINAS 8 )    NF 123</t>
  </si>
  <si>
    <t>[CCC03814]</t>
  </si>
  <si>
    <t>000993</t>
  </si>
  <si>
    <t>RDA - Rede de Distribuição Aerea-FD</t>
  </si>
  <si>
    <t xml:space="preserve">COMPRA MATERIAIS PARA UFVs  (  PATOS DE MINAS 8  )  NF  26111    EXPONECIAL RDA INTERNO  </t>
  </si>
  <si>
    <t>Patos de Minas 8_RDA - Rede de Distribuição Aerea</t>
  </si>
  <si>
    <t>000918</t>
  </si>
  <si>
    <t>Estação solarimétrica – Hukseflux   UFVs ( PATOS 8)  VINCULO PEDIDO 000588 A201  NF 4787</t>
  </si>
  <si>
    <t>000963</t>
  </si>
  <si>
    <t>COMPRA MATERIAIS PARA UFVs  ( PATOS  8 )  NF  305</t>
  </si>
  <si>
    <t>001033</t>
  </si>
  <si>
    <t xml:space="preserve">COMPRA MATERIAIS PARA UFVs  (  PATOS DE MINAS 8  )  NF  72945  LTB  RDA INTERNO  </t>
  </si>
  <si>
    <t>001082</t>
  </si>
  <si>
    <t>Fat. Direto (VIAPRUMO -EPC)</t>
  </si>
  <si>
    <t>PRESTAÇÃO DE SERVIÇOS  UFVS ( Patos 8)   NF 1593</t>
  </si>
  <si>
    <t>Patos de Minas 8_EPC_FD</t>
  </si>
  <si>
    <t>001098</t>
  </si>
  <si>
    <t>PRESTAÇÃO DE SERVIÇOS  UFVS ( PATOS DE MINAS 8 )   NF  103</t>
  </si>
  <si>
    <t>Pagamento de serviços  DE TERRA PLANAGEM.,  em  Faturamento Direto, em contrato de obras EPC da UFV.</t>
  </si>
  <si>
    <t> [CCC04143]</t>
  </si>
  <si>
    <t>PRESTAÇÃO SERVIÇO UFVs ( PATOS 8) NF   1832</t>
  </si>
  <si>
    <t>001185</t>
  </si>
  <si>
    <t>PRESTAÇÃO DE SERVIÇOS UFVs ( PATOS DE MINAS 8) NF 1537  SOUZA LIMA SEGURANÇA</t>
  </si>
  <si>
    <t>001186</t>
  </si>
  <si>
    <t>PRESTAÇÃO DE SERVIÇOS UFVs ( PATOS DE MINAS 8) NF 1538  SOUZA LIMA SEGURANÇA</t>
  </si>
  <si>
    <t>001227</t>
  </si>
  <si>
    <t>PRESTAÇÃO DE SERVIÇOS UFVS ( PATOS DE MINAS 8) NF 311</t>
  </si>
  <si>
    <t>000659</t>
  </si>
  <si>
    <t>SERVIÇOS PRESTADOS DE MÃO DE OBRA ESPECIALIZADA NA CONSTRUÇÃO DE RDR   NF 268 ( PATO VIII) ADITIVOS</t>
  </si>
  <si>
    <t>[CCC03725]</t>
  </si>
  <si>
    <t>000876</t>
  </si>
  <si>
    <t>COMPRA MATERIAIS PARA UFVs  ( PATOS DE MINAS 8 )  NF  8170 ZETA POSTES  RDA INTERNA</t>
  </si>
  <si>
    <t>001285</t>
  </si>
  <si>
    <t>COMPRA DE MATERIAIS UFVS ( PATOS DE MINAS 8  ) EXPONENCIAL RDA INTERNO NF 26502</t>
  </si>
  <si>
    <t>000812</t>
  </si>
  <si>
    <t>SERVIÇOS DE MÃO DE OBRA   MEDIÇÃO 1   UFVs ( PATOS 8)  NF 282</t>
  </si>
  <si>
    <t>000621</t>
  </si>
  <si>
    <t>COMPRA MATERIAIS PARA UFVs (PATOS 8)     PEDRO</t>
  </si>
  <si>
    <t>[CCC03599]</t>
  </si>
  <si>
    <t>001249</t>
  </si>
  <si>
    <t>COMPRA DE MATERIAIS UFVS ( PATOS DE MINAS 8  ) NF  15112</t>
  </si>
  <si>
    <t>Pagamento  EM FATURAMENTO DIRETO,  COMPRA DE MATERIAIS ,  necessário à construção da UFV  em contrato EPC .</t>
  </si>
  <si>
    <t> [CCC04242]</t>
  </si>
  <si>
    <t>001250</t>
  </si>
  <si>
    <t>COMPRA DE MATERIAIS UFVS ( PATOS DE MINAS  ) NF  2089</t>
  </si>
  <si>
    <t>000593</t>
  </si>
  <si>
    <t>COMPRA MATERIAIS PARA UFVs ( PATOS 8)   NF 7990</t>
  </si>
  <si>
    <t>Serviço de compra de EPIS necessários para atividades internas na  UFV.</t>
  </si>
  <si>
    <t>[CCC03577]</t>
  </si>
  <si>
    <t>001292</t>
  </si>
  <si>
    <t>PRESTAÇÃO DE SERVIÇOS UFVs ( PATOS DE MINAS 8  ) NF  16  KDP</t>
  </si>
  <si>
    <t>Pagamento  EM FATURAMENTO DIRETO,   referente ao serviço de cravação direta,  necessário à construção da UFV  em contrato EPC .</t>
  </si>
  <si>
    <t> [CCC04311]</t>
  </si>
  <si>
    <t>001293</t>
  </si>
  <si>
    <t>PRESTAÇÃO DE SERVIÇOS UFVs  ( PATOS DE MINAS 8  ) NF  14 KDP</t>
  </si>
  <si>
    <t>001304</t>
  </si>
  <si>
    <t>PRESTAÇÃO DE SERVIÇOS UFVs  ( PATOS DE MINAS 8 ) NF   370  RONDA PORTEIROS</t>
  </si>
  <si>
    <t>001324</t>
  </si>
  <si>
    <t>PRESTAÇÃO DE SERVIÇOS UFVs ( PATOS 8 ) NF 75 SOUZA LIMA SEGURANÇA</t>
  </si>
  <si>
    <t>001338</t>
  </si>
  <si>
    <t>RDA - Rede de Distribuição Aerea-MD</t>
  </si>
  <si>
    <t>MEDIÇÃO DE EXECUÇÃO RDA INTERNO   UFVs ( PATOS 8 )  NF  342</t>
  </si>
  <si>
    <t>001409</t>
  </si>
  <si>
    <t>PRESTAÇÃO DE SERVIÇOS UFVs( PATOS DE MINAS 8 )  NF 40  DIEGO RODRIGUES    CANCELO NOTA ENVIADA EM JAN E FEV</t>
  </si>
  <si>
    <t>Pagamento em Faturamento Direto,  referente aos SERVIÇO DE TRANSPORTES , em contrato de obras EPC.</t>
  </si>
  <si>
    <t> [CCC04460]</t>
  </si>
  <si>
    <t>001416</t>
  </si>
  <si>
    <t>PRESTAÇÃO DE SERVIÇOS UFVs ( PATOS DE MINAS 8) NF 42  DIEGO RODRIGUES</t>
  </si>
  <si>
    <t>001417</t>
  </si>
  <si>
    <t>COMPRA DE MATERIAIS UFVs ( PATOS DE MINAS 8 ) NF 2466  ENGETELA</t>
  </si>
  <si>
    <t>Pagamento em faturamento direto referente, a compra de materiais em contrato EPC.</t>
  </si>
  <si>
    <t>001437</t>
  </si>
  <si>
    <t xml:space="preserve"> PRESTAÇÃO DE SERVIÇOS UFVs (PATOS DE MINAS 8 )   NF 432  RONDA PORTEIROS</t>
  </si>
  <si>
    <t>001173</t>
  </si>
  <si>
    <t>MEDIÇÃO ADITIVO DE TERRAPLANAGEM UFVs ( PATOS DE MINAS 8         )  NF 217</t>
  </si>
  <si>
    <t>001184</t>
  </si>
  <si>
    <t>MEDIÇÃO ADITIVO DE TERRAPLANAGEM UFVs ( PATOS DE MINAS 8       )  NF 227</t>
  </si>
  <si>
    <t>001361</t>
  </si>
  <si>
    <t>PRESTAÇÃO SERVIÇOS UFVs ( PATOS DE MINAS  8 ) NF  244</t>
  </si>
  <si>
    <t>Pagamento  de medição , referente BASES CIVIS - CABINES, SKIDS, REATOR E CAIXA D´ÁGUA DE 10 M3, CRAVAÇÃO DAS ESTACAS ,  em contrato EPC.</t>
  </si>
  <si>
    <t>001480</t>
  </si>
  <si>
    <t>PRESTAÇÃO DE SERVIÇOS UFVs ( PATOS DE MINAS 8 ) NF 289</t>
  </si>
  <si>
    <t xml:space="preserve">Pagamento de MEDIÇÃO DE SERVIÇO BM05 MARCO DA MEDIÇÃO: (BASES CIVIS - CABINES, SKIDS, REATOR E CAIXA D´ÁGUA DE 10 M3, CRAVAÇÃO DASESTACAS), em contrato EPC. </t>
  </si>
  <si>
    <t>001470</t>
  </si>
  <si>
    <t xml:space="preserve">PRESTAÇÃO DE SERVIÇOS UFVs( PATOS DE MINAS 8) NF 364    RDA INTERNA </t>
  </si>
  <si>
    <t>001474</t>
  </si>
  <si>
    <t>PRESTAÇÃO DE SERVIÇOS UFVs( PATOS DE MINAS 8) NF 367     CEMIG</t>
  </si>
  <si>
    <t>001492</t>
  </si>
  <si>
    <t>COMPRA DE MATERIAIS UFVs (PATOS DE MINAS 8)   NF  37467601  ALEXANDRE JOSE</t>
  </si>
  <si>
    <t> [CCC04593]</t>
  </si>
  <si>
    <t>001502</t>
  </si>
  <si>
    <t xml:space="preserve">PRESTAÇÃO DE SERVIÇOS UFVS ( PATOS DE MINAS 8 ) NF 609 ENGETELA </t>
  </si>
  <si>
    <t>Pagamento em fatuamento direto referente a INSTALAÇÃO DE ALMBRADOS E PORTÔES, necessários a construção da usina, em contrato EPC.</t>
  </si>
  <si>
    <t> [CCC04622]</t>
  </si>
  <si>
    <t>001503</t>
  </si>
  <si>
    <t>PRESTAÇÃO DE SERVIÇOS UFVS ( PATOS DE MINAS 8 ) NF 46 DIEGO RODRIGUES</t>
  </si>
  <si>
    <t>Pagamento em fatuamento direto referente a LOCAÇÃO DE RETROESCAVADEIRA, necessários a construção da usina, em contrato EPC.</t>
  </si>
  <si>
    <t> [CCC04624]</t>
  </si>
  <si>
    <t>001520</t>
  </si>
  <si>
    <t>PRESTAÇÃO  DE SERVIÇOS UFVs ( PATOS DE MINAS 8 )   NF  304   SOUZA LIMA</t>
  </si>
  <si>
    <t>001531</t>
  </si>
  <si>
    <t>PRESTAÇÃO  DE SERVIÇOS UFVs ( PATOS DE MINAS 8 )   NF 503     SOUZA LIMA</t>
  </si>
  <si>
    <t>001532</t>
  </si>
  <si>
    <t>PRESTAÇÃO  DE SERVIÇOS UFVs ( PATOS DE MINAS 8 )   NF 504     SOUZA LIMA</t>
  </si>
  <si>
    <t>001533</t>
  </si>
  <si>
    <t>PRESTAÇÃO  DE SERVIÇOS UFVs ( PATOS DE MINAS 8 )   NF 505     SOUZA LIMA</t>
  </si>
  <si>
    <t>001562</t>
  </si>
  <si>
    <t>PRESTAÇÃO DE SERVIÇOS UFVs ( PATOS DE MINAS 8 )  NF 304</t>
  </si>
  <si>
    <t>Pagamento de medição , referente a SERVIÇO DE REDE DE MÉDIA TENSÃO, necessário a construção da usina, em contrato EPC.</t>
  </si>
  <si>
    <t> [CCC04697]</t>
  </si>
  <si>
    <t xml:space="preserve">PRESTAÇÃO DE SERVIÇOS UFVs (PATOS 8)  NF  928  INOVAR LOCAÇÕES    </t>
  </si>
  <si>
    <t xml:space="preserve"> Escopo Comerc.</t>
  </si>
  <si>
    <t>PROJETO - Projetos AT - PROEL (Patrocínio 2)</t>
  </si>
  <si>
    <t>[CCC02328-05]</t>
  </si>
  <si>
    <t>Patrocínio 2 - CAPEX - Serviço AT - CCAP-C2_000008</t>
  </si>
  <si>
    <t>Patrocínio 2_Obras AT_FD</t>
  </si>
  <si>
    <t>JX AMBIENTAL - Vistoria técnica para avaliação de necessidade de DAIA - 50% iniciais - (Patrocínio 2)</t>
  </si>
  <si>
    <t>Patrocínio 2 _Outros</t>
  </si>
  <si>
    <t>JX AMBIENTAL - Procedimento Administrativo - DAIA de implantação de rede rural - 50% iniciais - (Patrocínio 2)</t>
  </si>
  <si>
    <t>000019</t>
  </si>
  <si>
    <t>Execução de testes SPT - 10% iniciais - (Patrocínio 2)</t>
  </si>
  <si>
    <t>[CCC02492-09]</t>
  </si>
  <si>
    <t>JX AMBIENTAL - Vistoria técnica para avaliação de necessidade de DAIA - 40% intermediários - (Patrocínio 2)</t>
  </si>
  <si>
    <t>000045</t>
  </si>
  <si>
    <t>Execução de testes SPT - finaliação (Patrocínio 2)</t>
  </si>
  <si>
    <t>[CCC02590-03]</t>
  </si>
  <si>
    <t>000056</t>
  </si>
  <si>
    <t>PROJETO - Medição 0 - Adiantamento (Patrocínio 2)</t>
  </si>
  <si>
    <t>[CCC02610-09]</t>
  </si>
  <si>
    <t>Patrocínio 2_Obras AT_MD</t>
  </si>
  <si>
    <t>000065</t>
  </si>
  <si>
    <t>Transformadores de corrente (Patrocínio 2) 50% Adiantamento</t>
  </si>
  <si>
    <t>Faturamento direto de serviço dentro de contrato para serviços em instalações AT para a UFV.</t>
  </si>
  <si>
    <t>[CCC02652-01]</t>
  </si>
  <si>
    <t>JX AMBIENTAL - Vistoria técnica para avaliação de necessidade de DAIA - 10% finais - (Patrocínio 2)</t>
  </si>
  <si>
    <t>[CCC02760-01]</t>
  </si>
  <si>
    <t>000131</t>
  </si>
  <si>
    <t>Bloco terminal (Patrocínio 2)</t>
  </si>
  <si>
    <t>Faturamento direto de compra para contrato de serviços em instalações AT para a UFV.</t>
  </si>
  <si>
    <t>[CCC02504]</t>
  </si>
  <si>
    <t>000146</t>
  </si>
  <si>
    <t>Revisão de coordenadas de terreno - Soluç. Agrimensura (Patrocínio 2)</t>
  </si>
  <si>
    <t>[CCC02851-14]</t>
  </si>
  <si>
    <t>000168</t>
  </si>
  <si>
    <t>Tampa de equipamentos (Patrocínio 2)</t>
  </si>
  <si>
    <t>[CCC02887-02]</t>
  </si>
  <si>
    <t>000169</t>
  </si>
  <si>
    <t>Relé, base e disjuntores (Patrocínio 2)</t>
  </si>
  <si>
    <t>[CCC02877-03]</t>
  </si>
  <si>
    <t>SCOMP-000012</t>
  </si>
  <si>
    <t>Reatores de aterramento ADELCO (Patrocínio 2)</t>
  </si>
  <si>
    <t>Patrocínio 2_</t>
  </si>
  <si>
    <t>000166</t>
  </si>
  <si>
    <t>Projeto de cabine primária  - PROJETTI - 100% (Patrocínio 2)</t>
  </si>
  <si>
    <t>[CCC02893-05]</t>
  </si>
  <si>
    <t>Patrocínio 2_Projeto/Coordenograma</t>
  </si>
  <si>
    <t>000190</t>
  </si>
  <si>
    <t>Relé e base (Patrocínio 2)</t>
  </si>
  <si>
    <t>[CCC02922-02]</t>
  </si>
  <si>
    <t>000117</t>
  </si>
  <si>
    <t>Caixa para equipamentos (Patrocínio 2) Adiantamento</t>
  </si>
  <si>
    <t>Compra feita em Faturamento Direto, em contrato de obras AT externas à UFV.</t>
  </si>
  <si>
    <t>[CCC02764-02]</t>
  </si>
  <si>
    <t>000208</t>
  </si>
  <si>
    <t>Material de fixação (Patrocínio 2)</t>
  </si>
  <si>
    <t>[CCC02956-01]</t>
  </si>
  <si>
    <t>Transformadores de corrente (Patrocínio 2) 50% Finais</t>
  </si>
  <si>
    <t>[CCC02652-02]</t>
  </si>
  <si>
    <t>000210</t>
  </si>
  <si>
    <t>Faturamento direto de serviço para contrato de serviços em instalações AT para a UFV.</t>
  </si>
  <si>
    <t>[CCC02996-01]</t>
  </si>
  <si>
    <t>Transformadores de corrente (Patrocínio 2) Adiantamento 02_02</t>
  </si>
  <si>
    <t>[CCC03034]</t>
  </si>
  <si>
    <t>000212</t>
  </si>
  <si>
    <t>Desenvolvimento de projetos Executivos - 20% iniciais (Patrocínio 2)</t>
  </si>
  <si>
    <t>[CCC02997-11]</t>
  </si>
  <si>
    <t>Patrocínio 2_Engenharia Executiva</t>
  </si>
  <si>
    <t>000237</t>
  </si>
  <si>
    <t>Transporte de equipamentos (Patrocínio 2)</t>
  </si>
  <si>
    <t>[CCC03059-04]</t>
  </si>
  <si>
    <t>000243</t>
  </si>
  <si>
    <t>Medição 01 (Patrocínio 2)</t>
  </si>
  <si>
    <t>[CCC03090-05]</t>
  </si>
  <si>
    <t>Patrocínio 2 - CAPEX - Serviço MT - CCAP-C2_000019</t>
  </si>
  <si>
    <t>Patrocínio 2_Obras MT_MD</t>
  </si>
  <si>
    <t>000245</t>
  </si>
  <si>
    <t>[CCC03085-01]</t>
  </si>
  <si>
    <t>000246</t>
  </si>
  <si>
    <t>[CCC03085-02]</t>
  </si>
  <si>
    <t>000247</t>
  </si>
  <si>
    <t>[CCC03085-03]</t>
  </si>
  <si>
    <t>000248</t>
  </si>
  <si>
    <t>[CCC03085-04]</t>
  </si>
  <si>
    <t>000274</t>
  </si>
  <si>
    <t>[CCC03156-02]</t>
  </si>
  <si>
    <t>000275</t>
  </si>
  <si>
    <t>Ferragens (Patrocínio 2)</t>
  </si>
  <si>
    <t>[CCC03156-01]</t>
  </si>
  <si>
    <t>000312</t>
  </si>
  <si>
    <t>PROJETO - Medição 01 (Patrocínio 2)</t>
  </si>
  <si>
    <t>Medição de serviços, suportando desenvolvimento de serviços em PROJETOS no contrato AT.</t>
  </si>
  <si>
    <t>[CCC03178-09]</t>
  </si>
  <si>
    <t>000286</t>
  </si>
  <si>
    <t>Archtech - Testes de PullOuT_Biotec - Adiantamento (Patrocínio 2)</t>
  </si>
  <si>
    <t>[CCC03145-11]</t>
  </si>
  <si>
    <t>000310</t>
  </si>
  <si>
    <t>[CCC03178-07]</t>
  </si>
  <si>
    <t>000353</t>
  </si>
  <si>
    <t>Archtech - Testes de PullOuT_Biotec - Finalização (Patrocínio 2)</t>
  </si>
  <si>
    <t>[CCC03265-11]</t>
  </si>
  <si>
    <t>000365</t>
  </si>
  <si>
    <t>Desenvolvimento de projetos Executivos - 20% intermediários - 1a entrega (Patrocínio 2)</t>
  </si>
  <si>
    <t>[CCC03290-01]</t>
  </si>
  <si>
    <t>000386</t>
  </si>
  <si>
    <t>Medição 02 (Patrocínio 2)</t>
  </si>
  <si>
    <t>[CCC03222-07]</t>
  </si>
  <si>
    <t>000403</t>
  </si>
  <si>
    <t>SUPERVISORIO - Ciclo 2 - Gateways e remota (Patrocínio 2) NF 1719</t>
  </si>
  <si>
    <t>[CCC03287-14]</t>
  </si>
  <si>
    <t>Patrocínio 2_SGD</t>
  </si>
  <si>
    <t>000419</t>
  </si>
  <si>
    <t>SUPERVISORIO - Ciclo 2 - Baterias, desktops, switch e acessórios (Patrocínio 2) NF 1724</t>
  </si>
  <si>
    <t>[CCC03287-19]</t>
  </si>
  <si>
    <t>000450</t>
  </si>
  <si>
    <t>Projetos de fundações e drenagem - HALLITE (Patrocínio 2) 70%  -  Analise terraplanagem</t>
  </si>
  <si>
    <t>[CCC03309-06]</t>
  </si>
  <si>
    <t>A201 MORI GERACAO II ENERGIA SOLAR S.A</t>
  </si>
  <si>
    <t>000565</t>
  </si>
  <si>
    <t xml:space="preserve">Equipamentos - ABS SISTEMAS (Patrocínio 2)   NF  10099  </t>
  </si>
  <si>
    <t>[CCC03472]</t>
  </si>
  <si>
    <t>000543</t>
  </si>
  <si>
    <t>Construção e Montagem Viaprumo - Medição 1  - Adiantamento (Patrocínio 2)</t>
  </si>
  <si>
    <t>[CCC03490]</t>
  </si>
  <si>
    <t>Patrocínio 2_EPC_MD</t>
  </si>
  <si>
    <t>000555</t>
  </si>
  <si>
    <t>Transformador Monofásico - Adiantamento (Patrocínio 2)  NF 71787</t>
  </si>
  <si>
    <t>[CCC03396-06]</t>
  </si>
  <si>
    <t>Patrocínio 2 _Obras MT_FD</t>
  </si>
  <si>
    <t>001058</t>
  </si>
  <si>
    <t xml:space="preserve">PRESTAÇÃO DE SERVIÇOS  UFVs  (  PATROCINIO 2 )  NF  87 </t>
  </si>
  <si>
    <t>Patrocínio 2_EPC_FD</t>
  </si>
  <si>
    <t>001034</t>
  </si>
  <si>
    <t xml:space="preserve">COMPRA MATERIAIS PARA UFVs  (  PATROCINIO 2  )  NF  72946  LTB  RDA INTERNO  </t>
  </si>
  <si>
    <t>Patrocínio 2_RDA - Rede de Distribuição Aerea</t>
  </si>
  <si>
    <t>001025</t>
  </si>
  <si>
    <t>MEDIÇÃO PRESTAÇÃO DE SERVIÇOS   UFVs ( PATROCÍNIO 2 )  NF 196</t>
  </si>
  <si>
    <t>001085</t>
  </si>
  <si>
    <t>PRESTAÇÃO DE SERVIÇOS  UFVS ( PATROCÍNIO 2)   NF 1594</t>
  </si>
  <si>
    <t>001096</t>
  </si>
  <si>
    <t xml:space="preserve">PRESTAÇÃO DE SERVIÇOS  UFVS ( Patrocínio 2 )   NF  13  </t>
  </si>
  <si>
    <t>Pagamento de serviços DE FUNDAÇÃO E CRAVAÇÃO DIRETA,  em  Faturamento Direto, em contrato de obras EPC da UFV.</t>
  </si>
  <si>
    <t>001115</t>
  </si>
  <si>
    <t xml:space="preserve">PRESTAÇÃO DE SERVIÇOS  UFVS ( Patrocínio 2 )   NF  155  </t>
  </si>
  <si>
    <t>Pagamento de serviços DE PERFURAÇÃO DO SOLO,  em  Faturamento Direto, em contrato de obras EPC da UFV.</t>
  </si>
  <si>
    <t>001123</t>
  </si>
  <si>
    <t>PRESTAÇÃO DE SERVIÇOS UFVs (PATROCIIO 2 ) NF  106</t>
  </si>
  <si>
    <t>001126</t>
  </si>
  <si>
    <t>PRESTAÇÃO DE SERVIÇOS UFVs (PATROCÍNIO 2 ) NF  5851</t>
  </si>
  <si>
    <t> [CCC04165]</t>
  </si>
  <si>
    <t>001127</t>
  </si>
  <si>
    <t>PRESTAÇÃO DE SERVIÇOS UFVs (PATROCÍNIO 2 ) NF  4507</t>
  </si>
  <si>
    <t>001156</t>
  </si>
  <si>
    <t>PRESTAÇÃO SERVIÇO UFVs (PATROCINIO 2) NF   1836</t>
  </si>
  <si>
    <t>000589</t>
  </si>
  <si>
    <t xml:space="preserve">Estação solarimétrica – Hukseflux   Patrocínio 2
</t>
  </si>
  <si>
    <t>[CCC03554]</t>
  </si>
  <si>
    <t>Patrocínio 2 _Estação solarimétrica</t>
  </si>
  <si>
    <t>001191</t>
  </si>
  <si>
    <t>PRESTAÇÃO DE SERVIÇOS UFVs ( PATROCINIO 2) NF 1539  SOUZA LIMA SEGURANÇA</t>
  </si>
  <si>
    <t>001193</t>
  </si>
  <si>
    <t>PRESTAÇÃO DE SERVIÇOS UFVs ( PATROCINIO 2) NF 1541  SOUZA LIMA SEGURANÇA</t>
  </si>
  <si>
    <t>001241</t>
  </si>
  <si>
    <t>PRESTAÇÃO DE SERVIÇOS UFVS ( PATROCINIO 2 )  NF  483</t>
  </si>
  <si>
    <t>Pagamento  EM FATURAMENTO DIRETO, REFERENTE A INSTALAÇÃO DE ALAMBRADOS E PORTOES  , necessário à construção da UFV  em contrato EPC .</t>
  </si>
  <si>
    <t> [CCC04240]</t>
  </si>
  <si>
    <t>001243</t>
  </si>
  <si>
    <t>PRESTAÇÃO DE SERVIÇOS UFVS ( PATROCINIO 2 )  NF  2024</t>
  </si>
  <si>
    <t>Pagamento  EM FATURAMENTO DIRETO, REFERENTE A PREPARAÇÃO DE ENTREGA DE 25M³ DE CONCRETO,  necessário à construção da UFV  em contrato EPC .</t>
  </si>
  <si>
    <t>001229</t>
  </si>
  <si>
    <t>PRESTAÇÃO DE SERVIÇOS UFVS (PATROCINIO 2 ) NF 313</t>
  </si>
  <si>
    <t>000878</t>
  </si>
  <si>
    <t>COMPRA MATERIAIS PARA UFVs  ( PATROCINIO 2 )  NF  8172  ZETA POSTES  RDA INTERNA</t>
  </si>
  <si>
    <t>000995</t>
  </si>
  <si>
    <t xml:space="preserve">COMPRA MATERIAIS PARA UFVs  (     PATROCINIO 2    )  NF 26112    EXPONECIAL RDA INTERNO  </t>
  </si>
  <si>
    <t>000714</t>
  </si>
  <si>
    <t>COMPRA MATERIAIS PARA UFVs (PATROCINIO 2)   NF 50727</t>
  </si>
  <si>
    <t>[CCC03836]</t>
  </si>
  <si>
    <t>000749</t>
  </si>
  <si>
    <t>COMPRA MATERIAIS PARA UFVs (PATROCINIO 2)   NF 2310</t>
  </si>
  <si>
    <t>[CCC03858]</t>
  </si>
  <si>
    <t>000818</t>
  </si>
  <si>
    <t>COMPRA MATERIAIS PARA UFVs  (PATROCINIO 2)  NF  51276</t>
  </si>
  <si>
    <t>000839</t>
  </si>
  <si>
    <t>COMPRA MATERIAIS PARA UFVs  ( PATROCINIO 2 )  NF  1898</t>
  </si>
  <si>
    <t>000871</t>
  </si>
  <si>
    <t>COMPRA MATERIAIS PARA UFVs  ( PATROCINIO 2 )  NF  14429</t>
  </si>
  <si>
    <t>000862</t>
  </si>
  <si>
    <t>SERVIÇO DE LOCAÇÃO  UFVs  ( PATROCINIO 2 )  N 4450</t>
  </si>
  <si>
    <t>000863</t>
  </si>
  <si>
    <t xml:space="preserve">SERVIÇOS MÃO DE OBRA ESPECIALIZADA  UFVs  ( PATOS DE MINAS  1)  NF  5760( PATROCINIO 2 ) </t>
  </si>
  <si>
    <t>000953</t>
  </si>
  <si>
    <t>COMPRA MATERIAIS PARA UFVs  ( PATROCINIO 2)  NF  2343 ENGETELA</t>
  </si>
  <si>
    <t>[CCC04065]</t>
  </si>
  <si>
    <t>COMPRA MATERIAIS PARA UFVs  ( PATROCINIO 2)  NF  1951</t>
  </si>
  <si>
    <t>000977</t>
  </si>
  <si>
    <t>COMPRA MATERIAIS PARA UFVs  ( PATROCINIO 2)  NF  5780</t>
  </si>
  <si>
    <t>000978</t>
  </si>
  <si>
    <t>COMPRA MATERIAIS PARA UFVs  ( PATROCINIO 2)  NF 4463 2022</t>
  </si>
  <si>
    <t>001007</t>
  </si>
  <si>
    <t xml:space="preserve">COMPRA MATERIAIS PARA UFVs  ( PATROCINIO 2)  NF  100 </t>
  </si>
  <si>
    <t>001284</t>
  </si>
  <si>
    <t>COMPRA DE MATERIAIS UFVS (  PATROCINIO 2   ) EXPONENCIAL RDA INTERNO NF 26501</t>
  </si>
  <si>
    <t>001296</t>
  </si>
  <si>
    <t>PRESTAÇÃO DE SERVIÇOS UFVs  ( PATROCINIO 2) NF  4537  FADRE</t>
  </si>
  <si>
    <t>001297</t>
  </si>
  <si>
    <t>PRESTAÇÃO DE SERVIÇOS UFVs  ( PATROCINIO 2) NF  5908   FADRE</t>
  </si>
  <si>
    <t>001307</t>
  </si>
  <si>
    <t>PRESTAÇÃO DE SERVIÇOS UFVs  ( PATROCINIO 2 ) NF   373  RONDA PORTEIROS</t>
  </si>
  <si>
    <t>001320</t>
  </si>
  <si>
    <t>PRESTAÇÃO DE SERVIÇOS UFVs ( PATROCINIO 2 ) NF 79 SOUZA LIMA SEGURANÇA</t>
  </si>
  <si>
    <t>000897</t>
  </si>
  <si>
    <t>PRESTAÇÃO DE SERVIÇOS MEDIÇÃO 1 UFVs  ( PATROCINIO 2)  NF  187</t>
  </si>
  <si>
    <t>001174</t>
  </si>
  <si>
    <t>MEDIÇÃO ADITIVO DE TERRAPLANAGEM UFVs (PATROCINIO 2         )  NF 218</t>
  </si>
  <si>
    <t>001180</t>
  </si>
  <si>
    <t>MEDIÇÃO ADITIVO DE TERRAPLANAGEM UFVs ( PATROCINIO 2         )  NF 224</t>
  </si>
  <si>
    <t>001346</t>
  </si>
  <si>
    <t xml:space="preserve">COMPRA DE MATERIAIS UFVs ( PATROCINIO 2 )  NF 4197  DISK AREIA </t>
  </si>
  <si>
    <t xml:space="preserve">Pagamento de serviços, REFERENTE A COMPRA DE CASCALHO, necessário à construção da UFV em contrato EPC . </t>
  </si>
  <si>
    <t> [CCC04367]</t>
  </si>
  <si>
    <t>001308</t>
  </si>
  <si>
    <t>PRESTAÇÃO DE SERVIÇOS UFVs  ( PATROCINIO 1 ) NF   372  RONDA PORTEIROS</t>
  </si>
  <si>
    <t>001419</t>
  </si>
  <si>
    <t>PRESTAÇÃO DE SERVIÇOS UFVs ( PATROCINIO 2) NF 269</t>
  </si>
  <si>
    <t>Pagamento de medição referente a montagem do tracker ou estruturas fixas, em contrato EPC.  MEDIÇÃO 5</t>
  </si>
  <si>
    <t>001441</t>
  </si>
  <si>
    <t xml:space="preserve">COMPRA DE MATERIAIS UFVs (PATROCINIO 2)   NF 280912 LOJA ELETRICA </t>
  </si>
  <si>
    <t>Pagamento em faturamento direto referente  a  compra de materiais, em contrato EPC. NÃO DESCONTAR CONTRATO VIAPRUMO</t>
  </si>
  <si>
    <t> [CCC04532]</t>
  </si>
  <si>
    <t>001362</t>
  </si>
  <si>
    <t>PRESTAÇÃO SERVIÇOS UFVs ( PATROCINIO 2 ) NF  245</t>
  </si>
  <si>
    <t>Pagamento de medição , referente (REDE SUBTERRÂNEA (VALAS, DUTOS, CAIXAS DE PASSAGEM) - ABERTURA DE VALAS,REDESUBTERRÂNEA (VALAS, DUTOS, CAIXAS DE PASSAGEM) - LANCAMENTO DOS DUTOS E CAIXAS, REDE SUBTERRÂNEA (VALAS, DUTOS, CAIXAS DE PASSAGEM) - COMPACTAÇÃO em contrato EPC. 4°</t>
  </si>
  <si>
    <t>001476</t>
  </si>
  <si>
    <t>PRESTAÇÃO DE SERVIÇOS UFVs ( PATROCINIO 2 ) NF 285</t>
  </si>
  <si>
    <t xml:space="preserve">Pagamento de medição referente AO SERVIÇO BM06 MARCO DA MEDIÇÃO: (MONTAGEM DO TRACKER OU ESTRUTURAS FIXAS), em contrato EPC.  </t>
  </si>
  <si>
    <t>001511</t>
  </si>
  <si>
    <t>MEDIÇÃO  ( ENGELUZ)</t>
  </si>
  <si>
    <t>PRESTAÇÃO DE SERVIÇOS UFVs (PATROCINIO 2) NF 375      RDA</t>
  </si>
  <si>
    <t>Pagamento de medição referente a SERVIÇOS DE MÃO DE OBRA ESPECIALIZADA NA CONSTRUÇÃO RDR, necessário a construção . RDA INTERNA</t>
  </si>
  <si>
    <t> [CCC04658]</t>
  </si>
  <si>
    <t>001524</t>
  </si>
  <si>
    <t>PRESTAÇÃO  DE SERVIÇOS UFVs ( PATROCINIO )   NF 308    SOUZA LIMA</t>
  </si>
  <si>
    <t>001543</t>
  </si>
  <si>
    <t>PRESTAÇÃO  DE SERVIÇOS UFVs ( PATROCINIO  )   NF 514     SOUZA LIMA</t>
  </si>
  <si>
    <t>001544</t>
  </si>
  <si>
    <t>PRESTAÇÃO  DE SERVIÇOS UFVs ( PATROCINIO  )   NF 515     SOUZA LIMA</t>
  </si>
  <si>
    <t>001545</t>
  </si>
  <si>
    <t>PRESTAÇÃO  DE SERVIÇOS UFVs ( PATROCINIO  )   NF 516     SOUZA LIMA</t>
  </si>
  <si>
    <t>001563</t>
  </si>
  <si>
    <t>PRESTAÇÃO DE SERVIÇOS UFVs ( PATROCINIO 2 )  NF 305</t>
  </si>
  <si>
    <t>Pagamento de medição , referente a SERVIÇO GABARITAGEM DE OMEGA E INSTALAÇÃO DOS MÓDULOS FOTOVOLTAICOS, ABERTURA DE VALAS DE ATERRAMENTO, COMPACTAÇÃO DE VALAS DE ATERRAMENTO, necessário a construção da usina, em contrato EPC.</t>
  </si>
  <si>
    <t>001585</t>
  </si>
  <si>
    <t>Outros - Serviços à UFV-MT</t>
  </si>
  <si>
    <t>PRESTAÇÃO DE SERVIÇOS UFVs ( PATROCINIO 2 ) NF 30  CONCERT SERVIÇOS</t>
  </si>
  <si>
    <t>Pagamento referente a prestação de serviço de suporte tecnico em informatica, necessário à construção da UFV. ESCOPO COMERC</t>
  </si>
  <si>
    <t> [CCC04735]</t>
  </si>
  <si>
    <t>001586</t>
  </si>
  <si>
    <t>PRESTAÇÃO DE SERVIÇOS UFVs ( PATROCINIO 2 ) NF 32  CONCERT SERVIÇOS</t>
  </si>
  <si>
    <t>Pagamento referente a prestação de serviço de acompanhamento e fiscalização da execução de obras de engenharia, necessário à construção da UFV. ESCOPO COMERC</t>
  </si>
  <si>
    <t>PRESTAÇÃO DE SERVIÇOS UFVs (PATROCINIO 2)  NF  933  INOVAR LOCAÇÕES</t>
  </si>
  <si>
    <t>JX AMBIENTAL - Vistoria técnica para avaliação de necessidade de DAIA - 50% iniciais - (Patrocínio 3)</t>
  </si>
  <si>
    <t>Patrocínio 3 _Outros</t>
  </si>
  <si>
    <t>JX AMBIENTAL - Procedimento Administrativo - DAIA de implantação de rede rural - 50% iniciais - (Patrocínio 3)</t>
  </si>
  <si>
    <t>000020</t>
  </si>
  <si>
    <t>Execução de testes SPT - 10% iniciais - (Patrocínio 3)</t>
  </si>
  <si>
    <t>[CCC02492-10]</t>
  </si>
  <si>
    <t>JX AMBIENTAL - Vistoria técnica para avaliação de necessidade de DAIA - 40% intermediários - (Patrocínio 3)</t>
  </si>
  <si>
    <t>000046</t>
  </si>
  <si>
    <t>Execução de testes SPT - finaliação (Patrocínio 3)</t>
  </si>
  <si>
    <t>[CCC02590-04]</t>
  </si>
  <si>
    <t>Projetos AT - PROEL (Patrocínio 3)</t>
  </si>
  <si>
    <t>[CCC02595-01]</t>
  </si>
  <si>
    <t>Patrocínio 3_Obras AT_FD</t>
  </si>
  <si>
    <t>000057</t>
  </si>
  <si>
    <t>Medição 0 - Adiantamento (Patrocínio 3)</t>
  </si>
  <si>
    <t>[CCC02610-10]</t>
  </si>
  <si>
    <t>Patrocínio 3_Obras AT_MD</t>
  </si>
  <si>
    <t>JX AMBIENTAL - Vistoria técnica para avaliação de necessidade de DAIA - 10% finais - (Patrocínio 3)</t>
  </si>
  <si>
    <t>[CCC02760-02]</t>
  </si>
  <si>
    <t>000147</t>
  </si>
  <si>
    <t>Revisão de coordenadas de terreno - Soluç. Agrimensura (Patrocínio 3)</t>
  </si>
  <si>
    <t>[CCC02851-15]</t>
  </si>
  <si>
    <t>SCOMP-000013</t>
  </si>
  <si>
    <t>Reatores de aterramento ADELCO (Patrocínio 3)</t>
  </si>
  <si>
    <t>000167</t>
  </si>
  <si>
    <t>Projeto de cabine primária  - PROJETTI - 100% (Patrocínio 3)</t>
  </si>
  <si>
    <t>[CCC02893-06]</t>
  </si>
  <si>
    <t>Patrocínio 3_Projeto/Coordenograma</t>
  </si>
  <si>
    <t>000213</t>
  </si>
  <si>
    <t>Desenvolvimento de projetos Executivos - 20% iniciais (Patrocínio 3)</t>
  </si>
  <si>
    <t>[CCC02997-12]</t>
  </si>
  <si>
    <t>Patrocínio 3_Engenharia Executiva</t>
  </si>
  <si>
    <t>000244</t>
  </si>
  <si>
    <t>Medição 01 (Patrocínio 3)</t>
  </si>
  <si>
    <t>[CCC03090-06]</t>
  </si>
  <si>
    <t>Patrocínio 3 _Obras MT_MD</t>
  </si>
  <si>
    <t>000313</t>
  </si>
  <si>
    <t>PROJETO - Medição 01 (Patrocínio 3)</t>
  </si>
  <si>
    <t>[CCC03178-10]</t>
  </si>
  <si>
    <t>000287</t>
  </si>
  <si>
    <t>Archtech - Testes de PullOuT_Biotec - Adiantamento (Patrocínio 3)</t>
  </si>
  <si>
    <t>[CCC03145-12]</t>
  </si>
  <si>
    <t>000311</t>
  </si>
  <si>
    <t>[CCC03178-08]</t>
  </si>
  <si>
    <t>000354</t>
  </si>
  <si>
    <t>Archtech - Testes de PullOuT_Biotec - Finalização (Patrocínio 3)</t>
  </si>
  <si>
    <t>[CCC03265-12]</t>
  </si>
  <si>
    <t>000366</t>
  </si>
  <si>
    <t>Desenvolvimento de projetos Executivos - 20% intermediários - 1a entrega (Patrocínio 3)</t>
  </si>
  <si>
    <t>[CCC03290-02]</t>
  </si>
  <si>
    <t>000387</t>
  </si>
  <si>
    <t>Medição 02 (Patrocínio 3)</t>
  </si>
  <si>
    <t>[CCC03222-08]</t>
  </si>
  <si>
    <t>000401</t>
  </si>
  <si>
    <t>SUPERVISORIO - Ciclo 2 - Gateways e remota (Patrocínio 3) NF 1713</t>
  </si>
  <si>
    <t>[CCC03287-08]</t>
  </si>
  <si>
    <t>Patrocínio 3 _SGD</t>
  </si>
  <si>
    <t>SUPERVISORIO - Ciclo 2 - Baterias, desktops, switch e acessórios (Patrocínio 3) NF 1734</t>
  </si>
  <si>
    <t>[CCC03287-29]</t>
  </si>
  <si>
    <t>000451</t>
  </si>
  <si>
    <t>Projetos de fundações e drenagem - HALLITE (Patrocínio 3) 70%  -  Analise terraplanagem</t>
  </si>
  <si>
    <t>[CCC03309-07]</t>
  </si>
  <si>
    <t>000544</t>
  </si>
  <si>
    <t>Construção e Montagem Viaprumo - Medição 1 - Adiantamento (Patrocínio 3)</t>
  </si>
  <si>
    <t>[CCC03491]</t>
  </si>
  <si>
    <t>Patrocínio 3_EPC_MD</t>
  </si>
  <si>
    <t>000556</t>
  </si>
  <si>
    <t>Transformador Monofásico - Adiantamento (Patrocínio 3)</t>
  </si>
  <si>
    <t>[CCC03396-07]</t>
  </si>
  <si>
    <t>Patrocínio 3 _Obras MT_FD</t>
  </si>
  <si>
    <t>000590</t>
  </si>
  <si>
    <t xml:space="preserve">Estação solarimétrica – Hukseflux   Patrocínio 3
</t>
  </si>
  <si>
    <t>Patrocínio 3 _Estação solarimétrica</t>
  </si>
  <si>
    <t>001481</t>
  </si>
  <si>
    <t>MEDIÇÃO (EPC - VIAPRUMO)</t>
  </si>
  <si>
    <t>PRESTAÇÃO DE SERVIÇOS UFVs ( PATROCINIO 3) NF 290</t>
  </si>
  <si>
    <t>000917</t>
  </si>
  <si>
    <t>Estação solarimétrica – Hukseflux   UFVs (PATROCINIO 2)   VINCULO PEDIDO 000589 A201  NF4788</t>
  </si>
  <si>
    <t>000930</t>
  </si>
  <si>
    <t>Desenvolvimento de projetos Executivos  - ENERSOLAR -  20%  APROVADO -  (PATROCINIO 2)   NF  153</t>
  </si>
  <si>
    <t>000877</t>
  </si>
  <si>
    <t>COMPRA MATERIAIS PARA UFVs  ( PATROCINIO 3 )  NF   8171 ZETA POSTES  RDA INTERNA</t>
  </si>
  <si>
    <t>Patrocínio 3_RDA - Rede de Distribuição Aerea</t>
  </si>
  <si>
    <t>001283</t>
  </si>
  <si>
    <t>Fat. Direto ( ENGELUZ-MT)</t>
  </si>
  <si>
    <t>COMPRA DE MATERIAIS UFVS ( PATROCINIO 3   ) EXPONENCIAL RDA INTERNO NF 26500</t>
  </si>
  <si>
    <t>Escopo Comerc.</t>
  </si>
  <si>
    <t>000898</t>
  </si>
  <si>
    <t>PRESTAÇÃO DE SERVIÇOS  MEDIÇÃO 1 UFVs  ( PATROCINIO 3)  NF  188</t>
  </si>
  <si>
    <t>000916</t>
  </si>
  <si>
    <t>Estação solarimétrica – Hukseflux   UFVs (PATROCINIO 3 )   VINCULO PEDIDO 000590 A201  NF 4789</t>
  </si>
  <si>
    <t>000997</t>
  </si>
  <si>
    <t xml:space="preserve">COMPRA MATERIAIS PARA UFVs  (   PATROCINIO 3  )  NF 26113     EXPONECIAL RDA INTERNO  </t>
  </si>
  <si>
    <t>000952</t>
  </si>
  <si>
    <t>COMPRA MATERIAIS PARA UFVs  ( PATROCINIO 3)  NF  2344  ENGETELA</t>
  </si>
  <si>
    <t>Patrocínio 3_EPC_FD</t>
  </si>
  <si>
    <t>000959</t>
  </si>
  <si>
    <t xml:space="preserve">PRESTAÇÃO  DE SERVIÇOS UFVs  ( PATROCINIO 3)  NF  1959  PATROCON  </t>
  </si>
  <si>
    <t>Pagamento de preparação de entrega de 13m², em Faturamento Direto, em contrato de obras EPC da UFV.</t>
  </si>
  <si>
    <t>000945</t>
  </si>
  <si>
    <t xml:space="preserve">SERVIÇO DE LOCAÇÃO UFVs  ( IPatrocínio 03)  NF  54  </t>
  </si>
  <si>
    <t>Serviço de locação de equipamento,  em Faturamento Direto, em contrato de obras EPC da UFV.</t>
  </si>
  <si>
    <t>[CCC04031]</t>
  </si>
  <si>
    <t>001059</t>
  </si>
  <si>
    <t>PRESTAÇÃO DE SERVIÇOS  UFVs   (  PATROCINIO 3 )  NF  88</t>
  </si>
  <si>
    <t>001009</t>
  </si>
  <si>
    <t>PRESTAÇÃO DE SERVIÇOS  UFVs  (  PATROCINIO 3 )  NF  1972</t>
  </si>
  <si>
    <t xml:space="preserve">Pagamento de serviços, em Faturamento Direto,  em contrato de obras EPC da UFV. </t>
  </si>
  <si>
    <t>001099</t>
  </si>
  <si>
    <t xml:space="preserve">PRESTAÇÃO DE SERVIÇOS  UFVs  (  PATROCINIO 3 )  NF  931  </t>
  </si>
  <si>
    <t>001057</t>
  </si>
  <si>
    <t>PRESTAÇÃO DE SERVIÇOS  UFVs  (  PATROCINIO 3 )  NF  85</t>
  </si>
  <si>
    <t>001035</t>
  </si>
  <si>
    <t xml:space="preserve">COMPRA MATERIAIS PARA UFVs  (   PATROCINIO 3  )  NF  72947  LTB  RDA INTERNO  </t>
  </si>
  <si>
    <t>001026</t>
  </si>
  <si>
    <t>MEDIÇÃO PRESTAÇÃO DE SERVIÇOS   UFVs ( PATROCÍNIO 3 )  NF 197</t>
  </si>
  <si>
    <t>001086</t>
  </si>
  <si>
    <t>PRESTAÇÃO DE SERVIÇOS  UFVS ( PATROCÍNIO 3)   NF 1597</t>
  </si>
  <si>
    <t>001092</t>
  </si>
  <si>
    <t xml:space="preserve">PRESTAÇÃO DE SERVIÇOS  UFVS ( Patrocínio 03 )   NF  55   </t>
  </si>
  <si>
    <t>Pagamento de serviços DE LOCAÇÃO DE EQUIPAMENTOS, em  Faturamento Direto, em contrato de obras EPC da UFV.</t>
  </si>
  <si>
    <t> [CCC04131]</t>
  </si>
  <si>
    <t>001116</t>
  </si>
  <si>
    <t>PRESTAÇÃO DE SERVIÇOS  UFVS ( Patrocínio 03 )   NF  156</t>
  </si>
  <si>
    <t>001097</t>
  </si>
  <si>
    <t>PRESTAÇÃO DE SERVIÇOS  UFVS ( Patrocínio 03 )   NF  12</t>
  </si>
  <si>
    <t>001154</t>
  </si>
  <si>
    <t>PRESTAÇÃO SERVIÇO UFVs ( PATROCINIO 3  ) NF   1833</t>
  </si>
  <si>
    <t>001079</t>
  </si>
  <si>
    <t xml:space="preserve">COMPRA MATERIAIS PARA UFVS (  PATROCINIO 3)    NF  4151   </t>
  </si>
  <si>
    <t xml:space="preserve">Compra feita em Faturamento Direto, em contrato de obras EPC da UFV. </t>
  </si>
  <si>
    <t>[CCC04113]</t>
  </si>
  <si>
    <t>001199</t>
  </si>
  <si>
    <t>PRESTAÇÃO DE SERVIÇOS UFVs ( PATROCINIO 3) NF 1590  SOUZA LIMA SEGURANÇA</t>
  </si>
  <si>
    <t>001245</t>
  </si>
  <si>
    <t>PRESTAÇÃO DE SERVIÇOS UFVS ( PATROCINIO 3 )  NF  2038</t>
  </si>
  <si>
    <t>001244</t>
  </si>
  <si>
    <t>PRESTAÇÃO DE SERVIÇOS UFVS ( PATROCINIO 3 )  NF  2035</t>
  </si>
  <si>
    <t>001242</t>
  </si>
  <si>
    <t>PRESTAÇÃO DE SERVIÇOS UFVS ( PATROCINIO 3 )  NF  484</t>
  </si>
  <si>
    <t>000713</t>
  </si>
  <si>
    <t>COMPRA MATERIAIS PARA UFVs ( PATROCINIO 3)   NF 50729</t>
  </si>
  <si>
    <t>[CCC03835]</t>
  </si>
  <si>
    <t>000737</t>
  </si>
  <si>
    <t xml:space="preserve">COMPRA MATERIAIS PARA UFVs ( PATROCINIO 3)   NF 871  </t>
  </si>
  <si>
    <t>000748</t>
  </si>
  <si>
    <t xml:space="preserve">COMPRA MATERIAIS PARA UFVs (PATROCINIO 3)   NF 2309   </t>
  </si>
  <si>
    <t>000819</t>
  </si>
  <si>
    <t>COMPRA MATERIAIS PARA UFVs  (PATROCINIO 3)  NF  51277</t>
  </si>
  <si>
    <t>000870</t>
  </si>
  <si>
    <t>COMPRA MATERIAIS PARA UFVs  ( PATROCINIO 3 )  NF  14430</t>
  </si>
  <si>
    <t>000841</t>
  </si>
  <si>
    <t>COMPRA MATERIAIS PARA UFVs  ( PATROCINIO 3 )  NF  1899</t>
  </si>
  <si>
    <t>001230</t>
  </si>
  <si>
    <t>PRESTAÇÃO DE SERVIÇOS UFVS (PATROCINIO 3 ) NF 320</t>
  </si>
  <si>
    <t xml:space="preserve">COMPRA DE MATERIAIS UFVs (PATROCINIO 3  )   NF 280912 LOJA ELETRICA </t>
  </si>
  <si>
    <t>001442</t>
  </si>
  <si>
    <t xml:space="preserve">COMPRA DE MATERIAIS UFVs (PATROCINIO 3  )   NF 280913 LOJA ELETRICA </t>
  </si>
  <si>
    <t>Pagamento em faturamento direto referente  a  compra de materiais, em contrato EPC.NÃO DESCONTAR CONTRATO VIAPRUMO</t>
  </si>
  <si>
    <t>001323</t>
  </si>
  <si>
    <t>PRESTAÇÃO DE SERVIÇOS UFVs ( PATROCINIO 3 ) NF 76 SOUZA LIMA SEGURANÇA</t>
  </si>
  <si>
    <t>001169</t>
  </si>
  <si>
    <t>MEDIÇÃO ADITIVO DE TERRAPLANAGEM UFVs ( PATROCINIO 3       )  NF 213</t>
  </si>
  <si>
    <t>001175</t>
  </si>
  <si>
    <t>MEDIÇÃO ADITIVO DE TERRAPLANAGEM UFVs ( PATROCINIO 3         )  NF 219</t>
  </si>
  <si>
    <t>001182</t>
  </si>
  <si>
    <t>MEDIÇÃO ADITIVO DE TERRAPLANAGEM UFVs ( PATROCINIO 3 )  NF 225</t>
  </si>
  <si>
    <t>001512</t>
  </si>
  <si>
    <t>PRESTAÇÃO DE SERVIÇOS UFVs (PATROCINIO 3) NF 376   RDA</t>
  </si>
  <si>
    <t>001521</t>
  </si>
  <si>
    <t>PRESTAÇÃO  DE SERVIÇOS UFVs ( PATROCINIO 3 )   NF 305     SOUZA LIMA</t>
  </si>
  <si>
    <t>001534</t>
  </si>
  <si>
    <t>PRESTAÇÃO  DE SERVIÇOS UFVs ( PATROCINIO 3 )   NF 506     SOUZA LIMA</t>
  </si>
  <si>
    <t>001535</t>
  </si>
  <si>
    <t>PRESTAÇÃO  DE SERVIÇOS UFVs ( PATROCINIO 3 )   NF 507     SOUZA LIMA</t>
  </si>
  <si>
    <t>001546</t>
  </si>
  <si>
    <t>PRESTAÇÃO  DE SERVIÇOS UFVs ( PATROCINIO 3  )   NF 517     SOUZA LIMA</t>
  </si>
  <si>
    <t>001564</t>
  </si>
  <si>
    <t>PRESTAÇÃO DE SERVIÇOS UFVs ( PATROCINIO 3 )  NF 306</t>
  </si>
  <si>
    <t>Pagamento de medição , referente a SERVIÇO DE GABARITAGEM DE OMEGA E INSTALAÇÃO DOS MÓDULOS FOTOVOLTAICOS, necessário a construção da usina, em contrato EPC.</t>
  </si>
  <si>
    <t>A218 MORI GERACAO II PATROCINIO 3</t>
  </si>
  <si>
    <t>001570</t>
  </si>
  <si>
    <t>DAE - Dispensa  de Licenciamento ambiental UFVs( PATROCINIO 3)   N 4500026075440</t>
  </si>
  <si>
    <t>Taxa necessária à avaliação de intervenção ambiental para a UFV.  DISPENSA</t>
  </si>
  <si>
    <t>[CCC04707]</t>
  </si>
  <si>
    <t>001587</t>
  </si>
  <si>
    <t>PRESTAÇÃO DE SERVIÇOS UFVs ( PATROCINIO 3 ) NF 33  CONCERT SERVIÇOS</t>
  </si>
  <si>
    <t>001588</t>
  </si>
  <si>
    <t>PRESTAÇÃO DE SERVIÇOS UFVs ( PATROCINIO 3 ) NF 34  CONCERT SERVIÇOS</t>
  </si>
  <si>
    <t>2501-BD PARTICIPAÇÕES E ADMINISTRAÇÃO S.A</t>
  </si>
  <si>
    <t>000164</t>
  </si>
  <si>
    <t>DAM- DOCUMENTO DE ARRECADAÇÃO  MUNICIPAL   UFVs (PATROCÍNIO)  N 6179534</t>
  </si>
  <si>
    <t xml:space="preserve">Pagamento referente a taxa de processo prefeitura, concessão de credenciamento, necessário a construção da usina. </t>
  </si>
  <si>
    <t> [CCC04738]</t>
  </si>
  <si>
    <t>PRESTAÇÃO DE SERVIÇOS UFVs (PATROCINIO 3)  NF  934  INOVAR LOCAÇÕES</t>
  </si>
  <si>
    <t>000650</t>
  </si>
  <si>
    <t>MRO - Terraplanagem UFVs Full-EPC -   1° MEDIÇAO ( Varjão de Minas 1)   NF 368  VALOR A SER PAGO R$ 83.222,92</t>
  </si>
  <si>
    <t>[CCC03682]</t>
  </si>
  <si>
    <t>Varjão de Minas 1_Obras Terraplanagem</t>
  </si>
  <si>
    <t>000941</t>
  </si>
  <si>
    <t>Atividades para liberação de execução de POT nas UFVs( VARJÃO DE MINAS 4)  NF  432</t>
  </si>
  <si>
    <t>Varjão de Minas 1 _Outros</t>
  </si>
  <si>
    <t>A216-MORI GERACAO II - VARJÃO</t>
  </si>
  <si>
    <t>000609</t>
  </si>
  <si>
    <t>Construção e Montagem WEG - Medição 2 - Entrega de POs (Varjão 1)  VIROU A216   609</t>
  </si>
  <si>
    <t>[CCC03352-10]</t>
  </si>
  <si>
    <t>[CCC03352-10] Construção e Montagem WEG - Medição 2 - Entrega de POs (Varjão 1)  VIROU A216   609 -  - Pagamento de medição contratual, suportada pelo 1o marco de contrato FullEPC de construção da UFV</t>
  </si>
  <si>
    <t>Varjão de Minas 1_Full EPC - Turn Key</t>
  </si>
  <si>
    <t>001049</t>
  </si>
  <si>
    <t xml:space="preserve">DAE - Dispença de Licenciamento ambiental UFV  ( VARJÃO DE MINAS 04)  NF 919 </t>
  </si>
  <si>
    <t>A216</t>
  </si>
  <si>
    <t>000547</t>
  </si>
  <si>
    <t>Construção e Montagem WEG- (integrador - ONE ENERGY ) - Medição 2 -  ( Varjão 1)</t>
  </si>
  <si>
    <t>000765</t>
  </si>
  <si>
    <t>MRO - Terraplanagem UFVs Full-EPC -  MEDIÇÃO2  35% I FINAIS ( VARJÃO  MINAS 1  )  NF 397</t>
  </si>
  <si>
    <t>Pagamento  referente a 35%  finais dos serviços  necessário à construção da UFV.</t>
  </si>
  <si>
    <t>[CCC03885]</t>
  </si>
  <si>
    <t>A216 -MORI GERAÇÃO II - UFV VARJÃO DE MINAS 1</t>
  </si>
  <si>
    <t>000926</t>
  </si>
  <si>
    <t>MEDIÇÃO MENSAL OUT/2022 UFVs  ( Varjão de Minas 1  )   AFAPLAN   NF  7362</t>
  </si>
  <si>
    <t>Varjão de Minas 1_Engenharia de Proprietario</t>
  </si>
  <si>
    <t>A216-MORI GERACAO II -  UFV VARJAO DE MINAS 1</t>
  </si>
  <si>
    <t>001161</t>
  </si>
  <si>
    <t xml:space="preserve">WEG PRESTAÇÃO DE SERVIÇOS UFVs (  VARJÃO DE MINAS 1)   ADIANTAMENTO </t>
  </si>
  <si>
    <t>Pagamento MEDIÇÃO  REFERENTE AO SERVIÇO DE DRENAGEM , contrato FULL EPC .</t>
  </si>
  <si>
    <t> [CCC04192]</t>
  </si>
  <si>
    <t>0004Medição (Full-EPC)</t>
  </si>
  <si>
    <t>001159</t>
  </si>
  <si>
    <t xml:space="preserve">WEG PRESTAÇÃO DE SERVIÇOS UFVs ( VARJÃO DE MINAS 1)   ADIANTAMENTO </t>
  </si>
  <si>
    <t>Pagamento MEDIÇÃO  referente a serviço de mobilização de canteiro 10% , contrato FULL EPC WEG.  EVENTO 3</t>
  </si>
  <si>
    <t>0003Medição(Full-EPC)</t>
  </si>
  <si>
    <t>000467</t>
  </si>
  <si>
    <t>Construção e Montagem WEG - Medição 1 - Adiantamento (Varjão 1)</t>
  </si>
  <si>
    <t>[CCC03330-10]</t>
  </si>
  <si>
    <t>0001Adiantamento (Full-EPC)</t>
  </si>
  <si>
    <t>001144</t>
  </si>
  <si>
    <t>PRESTAÇÃO DE SERVIÇOS UFVs ( VARJAO DE MINAS 1  )    NF 958  VB AMBIENTAL</t>
  </si>
  <si>
    <t>001131</t>
  </si>
  <si>
    <t>DAE - Dispença de Licenciamento ambiental UFV   (VARJÃO DE MINAS 1)   964</t>
  </si>
  <si>
    <t> [CCC04171]</t>
  </si>
  <si>
    <t>001070</t>
  </si>
  <si>
    <t>PROJETOS CABINE PRIMÁRIA   UFVs (VARJAO 1 )   PROJETTI   NF 179</t>
  </si>
  <si>
    <t>Pagamento de serviço  referente a Segunda aprovação devido a realocação do posicionamento da cabine (primeira aprovação medido em 27/01, mudança de Trafo 08/09) , necessários a construção das UFVs .</t>
  </si>
  <si>
    <t>Varjão de Minas 1_Projeto/Coordenograma</t>
  </si>
  <si>
    <t>001107</t>
  </si>
  <si>
    <t>MEDIÇÃO MENSAL  NOV/2022 UFVs ( Varjão de Minas 1  )   AFAPLAN   NF  7526</t>
  </si>
  <si>
    <t>000079</t>
  </si>
  <si>
    <t>Postes de madeira (Varjão 1)</t>
  </si>
  <si>
    <t>Compra feita em Faturamento Direto, em contrato de obras da rede externa em Media Tensão, para a UFV Varjão 1.</t>
  </si>
  <si>
    <t>[CCC02651]</t>
  </si>
  <si>
    <t>2487A201-MORI GERACAO II ENERGIA SOLAR S.A</t>
  </si>
  <si>
    <t>Varjão de Minas 1 _Obras MT_FD</t>
  </si>
  <si>
    <t>000074</t>
  </si>
  <si>
    <t>Medição 0 - Adiantamento  (Varjão 1)</t>
  </si>
  <si>
    <t>Pagamento de adiantamento contratual, referente a 5% do valor total contratado para este projeto (Varjão 1)</t>
  </si>
  <si>
    <t>[CCC02663-08]</t>
  </si>
  <si>
    <t>Varjão de Minas 1 _Obras MT_MD</t>
  </si>
  <si>
    <t>000085</t>
  </si>
  <si>
    <t>Cruzetas e espaçadores (Varjão 1)</t>
  </si>
  <si>
    <t>[CCC02689-03]</t>
  </si>
  <si>
    <t>000093</t>
  </si>
  <si>
    <t>Cabos quadripolares (Varjão 1)</t>
  </si>
  <si>
    <t>[CCC02689-02]</t>
  </si>
  <si>
    <t>000092</t>
  </si>
  <si>
    <t>Ganchos, isoladores e cabo AL (Varjão 1)</t>
  </si>
  <si>
    <t>[CCC02689-01]</t>
  </si>
  <si>
    <t>000098</t>
  </si>
  <si>
    <t>Religador (Varjão 1)</t>
  </si>
  <si>
    <t>[CCC02721]</t>
  </si>
  <si>
    <t>000440</t>
  </si>
  <si>
    <t>Parafusos, cabo AL e conectores (Varjão 1) Manteve, apesar de CNPJ ERRADO</t>
  </si>
  <si>
    <t>[CCC02690-01]</t>
  </si>
  <si>
    <t>Suportes, mão francesa e luvas (Varjão 1) Manteve, apesar de CNPJ ERRADO</t>
  </si>
  <si>
    <t>[CCC02690-02]</t>
  </si>
  <si>
    <t>Fio AL, estribo e suportes (Varjão 1) Manteve, apesar de CNPJ ERRADO</t>
  </si>
  <si>
    <t>[CCC02690-03]</t>
  </si>
  <si>
    <t>Conectores, isoladores e parafusos (Varjão 1) Manteve, apesar de CNPJ ERRADO</t>
  </si>
  <si>
    <t>[CCC02690-04]</t>
  </si>
  <si>
    <t>000444</t>
  </si>
  <si>
    <t>Cabo AL, isoladores e conectores (Varjão 1) Manteve, apesar de CNPJ ERRADO</t>
  </si>
  <si>
    <t>[CCC02690-05]</t>
  </si>
  <si>
    <t>000445</t>
  </si>
  <si>
    <t>Cabo protegido, conectores e massa para calafetar (Varjão 1) Manteve, apesar de CNPJ ERRADO</t>
  </si>
  <si>
    <t>[CCC02690-06]</t>
  </si>
  <si>
    <t>Luvas, pinos e conectores (Varjão 1) Manteve, apesar de CNPJ ERRADO</t>
  </si>
  <si>
    <t>[CCC02690-07]</t>
  </si>
  <si>
    <t>Chapas, cintas e conectores (Varjão 1) Manteve, apesar de CNPJ ERRADO</t>
  </si>
  <si>
    <t>[CCC02690-08]</t>
  </si>
  <si>
    <t>Cintas, conectores e parafusos (Varjão 1) Manteve, apesar de CNPJ ERRADO</t>
  </si>
  <si>
    <t>[CCC02690-09]</t>
  </si>
  <si>
    <t>Fios, laços e chave fusível (Varjão 1) Manteve, apesar de CNPJ ERRADO</t>
  </si>
  <si>
    <t>[CCC02690-10]</t>
  </si>
  <si>
    <t>Aços, seccionadores de cerca e suportes (Varjão 1) Manteve, apesar de CNPJ ERRADO</t>
  </si>
  <si>
    <t>[CCC02690-11]</t>
  </si>
  <si>
    <t>Cartuchos, suportes e cintas (Varjão 1) Manteve, apesar de CNPJ ERRADO</t>
  </si>
  <si>
    <t>[CCC02690-12]</t>
  </si>
  <si>
    <t>000099</t>
  </si>
  <si>
    <t>Postes de concreto (Varjão 1)</t>
  </si>
  <si>
    <t>[CCC02742]</t>
  </si>
  <si>
    <t>000106</t>
  </si>
  <si>
    <t>Transformadores de Distribuição (Varjão 1)</t>
  </si>
  <si>
    <t>[CCC02780]</t>
  </si>
  <si>
    <t>000118</t>
  </si>
  <si>
    <t>Medição 01 (Varjão 1)</t>
  </si>
  <si>
    <t>Medição de avanço de serviço contratado para construção da rede MT da UFV VARJÃO DE MINAS 1.</t>
  </si>
  <si>
    <t>[CCC02807]</t>
  </si>
  <si>
    <t>000122</t>
  </si>
  <si>
    <t>Cabos, parafusos e coberturas (Varjão 1)</t>
  </si>
  <si>
    <t>[CCC02839-01]</t>
  </si>
  <si>
    <t>000123</t>
  </si>
  <si>
    <t>Alças, suportes e fusíveis (Varjão 1)</t>
  </si>
  <si>
    <t>[CCC02839-02]</t>
  </si>
  <si>
    <t>000124</t>
  </si>
  <si>
    <t>Abraçadeiras, suportes e cabo AL (Varjão 1)</t>
  </si>
  <si>
    <t>[CCC02839-03]</t>
  </si>
  <si>
    <t>000121</t>
  </si>
  <si>
    <t>Para-raios, terminações e conectores (Varjão 1)</t>
  </si>
  <si>
    <t>[CCC02839-04]</t>
  </si>
  <si>
    <t>000120</t>
  </si>
  <si>
    <t>Cabos, abraçadeiras e conectores (Varjão 1)</t>
  </si>
  <si>
    <t>[CCC02839-05]</t>
  </si>
  <si>
    <t>000119</t>
  </si>
  <si>
    <t>Cabo AL e Aço (Varjão 1)</t>
  </si>
  <si>
    <t>[CCC02839-06]</t>
  </si>
  <si>
    <t>Medição 02 (Varjão 1)</t>
  </si>
  <si>
    <t>[CCC02869]</t>
  </si>
  <si>
    <t>000211</t>
  </si>
  <si>
    <t>Medição 03 (Varjão 1)</t>
  </si>
  <si>
    <t>[CCC02989]</t>
  </si>
  <si>
    <t>000234</t>
  </si>
  <si>
    <t>Material de fixação (Varjão 1)</t>
  </si>
  <si>
    <t>[CCC03078-01]</t>
  </si>
  <si>
    <t>000235</t>
  </si>
  <si>
    <t>[CCC03078-02]</t>
  </si>
  <si>
    <t>000236</t>
  </si>
  <si>
    <t>[CCC03078-03]</t>
  </si>
  <si>
    <t>000238</t>
  </si>
  <si>
    <t>Medição 04 (Varjão 1)</t>
  </si>
  <si>
    <t>[CCC03037]</t>
  </si>
  <si>
    <t>000215</t>
  </si>
  <si>
    <t>Luvas, cabos e acessórios (Varjão 1)</t>
  </si>
  <si>
    <t>Compra feita em Faturamento Direto, em contrato de obras EPC internas à UFV.</t>
  </si>
  <si>
    <t>[CCC03038-01]</t>
  </si>
  <si>
    <t>000216</t>
  </si>
  <si>
    <t>Alça para conector (Varjão 1)</t>
  </si>
  <si>
    <t>[CCC03038-02]</t>
  </si>
  <si>
    <t>000217</t>
  </si>
  <si>
    <t>Fixadores (Varjão 1)</t>
  </si>
  <si>
    <t>[CCC03038-03]</t>
  </si>
  <si>
    <t>000303</t>
  </si>
  <si>
    <t>Medição 05 (Varjão 1)</t>
  </si>
  <si>
    <t>[CCC03179]</t>
  </si>
  <si>
    <t>000361</t>
  </si>
  <si>
    <t>Medição 06 (Varjão 1)</t>
  </si>
  <si>
    <t>[CCC03271]</t>
  </si>
  <si>
    <t>000681</t>
  </si>
  <si>
    <t xml:space="preserve">Construção e Montagem WEG - Medição 5 - Entrega dos módulos na obra (Varjão 1) </t>
  </si>
  <si>
    <t>[CCC03742]</t>
  </si>
  <si>
    <t>0005Medição(Full-EPC)</t>
  </si>
  <si>
    <t>A216 MORI GERACAO II UFV VARJAO DE MINAS 1</t>
  </si>
  <si>
    <t>001270</t>
  </si>
  <si>
    <t>WEG PRESTAÇÃO DE SERVIÇOS UFVs ( VARJÃO DE MINAS 1 )   ADIANTAMENTO   EVENTO 6  FINANCEIRO PEDIU CANCELAMENTO</t>
  </si>
  <si>
    <t> [CCC04262]</t>
  </si>
  <si>
    <t>0006Medição(Full-EPC)</t>
  </si>
  <si>
    <t>001290</t>
  </si>
  <si>
    <t xml:space="preserve">WEG PRESTAÇÃO DE SERVIÇOS UFVs ( VARJÃO DE MINAS 1 )   ADIANTAMENTO   EVENTO 6  </t>
  </si>
  <si>
    <t> [CCC04305]</t>
  </si>
  <si>
    <t>001318</t>
  </si>
  <si>
    <t>MEDIÇÃO MENSAL UFVs ( Varjão de Minas 1  )   AFAPLAN   NF  7882</t>
  </si>
  <si>
    <t>001400</t>
  </si>
  <si>
    <t xml:space="preserve">WEG PRESTAÇÃO DE SERVIÇOS UFVs ( VARJÃO DE MINAS 1 )   ADIANTAMENTO   EVENTO 7  </t>
  </si>
  <si>
    <t>Pagamento MEDIÇÃO conclusão das conexões CC e CA , contrato FULL EPC WEG. EVENTO 7</t>
  </si>
  <si>
    <t> [CCC04436]</t>
  </si>
  <si>
    <t>007Medição(Full-EPC)</t>
  </si>
  <si>
    <t>001425</t>
  </si>
  <si>
    <t>WEG PRESTAÇÃO DE SERVIÇOS UFVs (  VARJÃO DE MINAS 1)   ADIANTAMENTO   EVENTO 8</t>
  </si>
  <si>
    <t>Pagamento MEDIÇÃO referente, Conclusão dos testes de comissionamento a frio , contrato FULL EPC WEG. EVENTO 8</t>
  </si>
  <si>
    <t> [CCC04498]</t>
  </si>
  <si>
    <t>001440</t>
  </si>
  <si>
    <t>WEG PRESTAÇÃO DE SERVIÇOS UFVs ( VARJÃO DE MINAS 1 )  NF 483 INTEGRADOR  NF ENGENHARIA   EVENTO 8</t>
  </si>
  <si>
    <t>Pagamento de medição referente a Conclusão dos testes de comissionamento a frio, em contrato FullEPC de construção da UFV. Evento 8</t>
  </si>
  <si>
    <t> [CCC04522]</t>
  </si>
  <si>
    <t>001415</t>
  </si>
  <si>
    <t>MEDIÇÃO MENSAL UFVs ( Varjão de Minas 1  )   AFAPLAN   NF  8037</t>
  </si>
  <si>
    <t>001486</t>
  </si>
  <si>
    <t xml:space="preserve">WEG PRESTAÇÃO DE SERVIÇO  UFVs ( VARJÃO DE MINAS 1  )   ENGECON  NF </t>
  </si>
  <si>
    <t>Pagamento de medição,  referente aos serviços de drenagem,  necessário à construção da UFV.  Medição 100 % do serviço .</t>
  </si>
  <si>
    <t> [CCC04583]</t>
  </si>
  <si>
    <t xml:space="preserve"> Varjão de Minas 1_Obras Drenagem</t>
  </si>
  <si>
    <t>001467</t>
  </si>
  <si>
    <t xml:space="preserve">MEDIÇÃO MENSAL UFVs ( Varjão de Minas 1  )   AFAPLAN   NF  </t>
  </si>
  <si>
    <t>001574</t>
  </si>
  <si>
    <t>001593</t>
  </si>
  <si>
    <t>WEG PRESTAÇÃO DE SERVIÇO  UFVs (VARJÃO DE MINAS 1)  ADIANTAMENTO  EVENTO 9</t>
  </si>
  <si>
    <t>Pagamento medição, refrente a Conclusão dos Testes de comissionamento a quente, contrato FULL EPC WEG. EVENTO 9</t>
  </si>
  <si>
    <t> [CCC04770]</t>
  </si>
  <si>
    <t>001590</t>
  </si>
  <si>
    <t>COMPRA DE MATERIAIS UFvs ( VARJAO 1 ) NF 2025</t>
  </si>
  <si>
    <t> [CCC04746]</t>
  </si>
  <si>
    <t>Varjão de Minas 1 _SGD</t>
  </si>
  <si>
    <t xml:space="preserve">ATI </t>
  </si>
  <si>
    <t>001614</t>
  </si>
  <si>
    <t>PRESTAÇÃO DE SERVIÇOS UFVs (VARJÃO DE MINAS)  NF 578     RONDA PORTEIROS</t>
  </si>
  <si>
    <t>001616</t>
  </si>
  <si>
    <t>PRESTAÇÃO DE SERVIÇOS UFVs (VARJÃO DE MINAS)  NF 649     RONDA PORTEIROS</t>
  </si>
  <si>
    <t>001598</t>
  </si>
  <si>
    <t>PRESTAÇÃO DE SERVIÇOS UFVs (VARJÃO DE MINA 1) NF 120  ATI</t>
  </si>
  <si>
    <t>001608</t>
  </si>
  <si>
    <t>PRESTAÇÃO DE SERVIÇOS UFVs (VARJÃO DE MINAS 1)  NF 1054   NORTE CONEXÃO</t>
  </si>
  <si>
    <t>Pagamento em faturamento direto referente a serviço de lançamento de fibra óptica , necessário a construção da usinas.</t>
  </si>
  <si>
    <t> [CCC04802]</t>
  </si>
  <si>
    <t>0000052</t>
  </si>
  <si>
    <t>DAE - Dispença de Licenciamento ambiental UFV   ( VARJÃO DE MINAS 4 ) N 1500514083601</t>
  </si>
  <si>
    <t>[CCC03708]</t>
  </si>
  <si>
    <t>Varjão de Minas 4 _Outros</t>
  </si>
  <si>
    <t>000809</t>
  </si>
  <si>
    <t>DAE - Dispença de Licenciamento ambiental UFV   ( VARJÃO DE MINAS 4 )  4500022191267</t>
  </si>
  <si>
    <t>[CCC03935]</t>
  </si>
  <si>
    <t>000076</t>
  </si>
  <si>
    <t>DAE - Dispença de Licenciamento ambiental UFV   ( VARjÃO DE MINAS 4) 1500517347324</t>
  </si>
  <si>
    <t>[CCC03950]</t>
  </si>
  <si>
    <t>001162</t>
  </si>
  <si>
    <t xml:space="preserve"> Fat. Direto (ENGELUZ - MT)</t>
  </si>
  <si>
    <t xml:space="preserve">COMPRA MATERIAIS PARA UFVs  (  VARJÃO 4 )  NF 4384  CAMPO ALEGRE </t>
  </si>
  <si>
    <t> [CCC04196]</t>
  </si>
  <si>
    <t>Varjão de Minas 4 _Obras MT_FD</t>
  </si>
  <si>
    <t>001018</t>
  </si>
  <si>
    <t>Desenvolvimento de projetos Executivos  - ENERSOLAR -  20%  INTERMEDIÁRIO  ( VARJAO DE MINAS 4 )  NF 175</t>
  </si>
  <si>
    <t>Varjão de Minas 4_Engenharia Executiva - Detalhada</t>
  </si>
  <si>
    <t>001019</t>
  </si>
  <si>
    <t>Desenvolvimento de projetos Executivos  - ENERSOLAR -  20%  EMITIDOS ( VARJAO DE MINAS 4 )  NF 176</t>
  </si>
  <si>
    <t>001020</t>
  </si>
  <si>
    <t>Desenvolvimento de projetos Executivos  - ENERSOLAR -  20%  ANALISADO ( VARJAO DE MINAS 4 )  NF 177</t>
  </si>
  <si>
    <t>000067</t>
  </si>
  <si>
    <t>Medição 0 - Adiantamento  (Varjão 4)</t>
  </si>
  <si>
    <t>Pagamento de adiantamento contratual, referente a 5% do valor total contratado para este projeto (Varjão 4)</t>
  </si>
  <si>
    <t>[CCC02663-01]</t>
  </si>
  <si>
    <t>Varjão de Minas 4 _Obras MT_MD</t>
  </si>
  <si>
    <t>001222</t>
  </si>
  <si>
    <t>COMPRA MATERIAIS PARA UFVs  (  VARJÃO  4 )  LOJA ELETRICA    NF  428747</t>
  </si>
  <si>
    <t> [CCC04228]</t>
  </si>
  <si>
    <t>001226</t>
  </si>
  <si>
    <t>COMPRA MATERIAIS PARA UFVs  (  VARJÃO  4 )  LOJA ELETRICA    NF   428748</t>
  </si>
  <si>
    <t>001021</t>
  </si>
  <si>
    <t>Desenvolvimento de projetos Executivos  - ENERSOLAR -  Layout aprovado   ( VARJAO DE MINAS 4 )  NF 178</t>
  </si>
  <si>
    <t>000301</t>
  </si>
  <si>
    <t>Isoladores, ganchos e cabos (Varjão 4)</t>
  </si>
  <si>
    <t>[CCC03162-03]</t>
  </si>
  <si>
    <t>000297</t>
  </si>
  <si>
    <t>Cruzetas (Varjão 4)</t>
  </si>
  <si>
    <t>[CCC03161-03]</t>
  </si>
  <si>
    <t>001334</t>
  </si>
  <si>
    <t xml:space="preserve">MEDIÇÃO DE EXECUÇÃO  UFVs (VARJÃO 4 ) NF 340 </t>
  </si>
  <si>
    <t>000545</t>
  </si>
  <si>
    <t>Construção e Montagem Viaprumo - Medição 1  - Adiantamento (VARJÃO 4)</t>
  </si>
  <si>
    <t>[CCC03492]</t>
  </si>
  <si>
    <t>Varjão de Minas 4_EPC_MD</t>
  </si>
  <si>
    <t>PRESTAÇÃO DE SERVIÇOS UFVs( VARJÃO DE MINAS 4)  NF 6  SOS PAISAGISMO  CADASTRO</t>
  </si>
  <si>
    <t>Pagamento referente a poda e retirada de galhos, necessários para melhoria de acesso á obra .</t>
  </si>
  <si>
    <t> [CCC04574]</t>
  </si>
  <si>
    <t>001493</t>
  </si>
  <si>
    <t>PRESTAÇÃO DE SERVIÇOS UFVs (VARJÃO DE MINAS 4) NF 119 JOSE CARLOS</t>
  </si>
  <si>
    <t>Pagamento referente a prestação de serviços de terraplanagem. OBRA 4 - ESCOPO COMERC</t>
  </si>
  <si>
    <t> [CCC04596]</t>
  </si>
  <si>
    <t>001494</t>
  </si>
  <si>
    <t>PRESTAÇÃO DE SERVIÇOS UFVs (VARJÃO DE MINAS 4) NF 120 JOSE CARLOS</t>
  </si>
  <si>
    <t>Pagamento referente a prestação de serviços de motoniveladora, rolo compactador e pá carregadeira. OBRA 4 - ESCOPO COMERC</t>
  </si>
  <si>
    <t>001548</t>
  </si>
  <si>
    <t>PRESTAÇÃO  DE SERVIÇOS UFVs ( VARJÃO  )   NF 518   SOUZA LIMA</t>
  </si>
  <si>
    <t>Varjão de Minas 4_EPC_FD</t>
  </si>
  <si>
    <t>001559</t>
  </si>
  <si>
    <t>PRESTAÇÃO DE SERVIÇOS UFVs ( VARJÃO DE MINAS 4 ) NF 558  RONDA PORTEIROS</t>
  </si>
  <si>
    <t>Pagamento referente a serviço de vigilância desarmada atiditovs de vigia noturno, necessário para a construção das usinas. ESCOPO COMERC</t>
  </si>
  <si>
    <t> [CCC04696]</t>
  </si>
  <si>
    <t>001583</t>
  </si>
  <si>
    <t>PRESTAÇÃO DE SERVIÇOS UFVs (VARJÃO  DE MINAS 4 ) NF  380</t>
  </si>
  <si>
    <t>Pagamento de medição 1, referente a SERVIÇOS DE MÃO DE OBRA ESPECIALIZADA NA CONSTRUÇÃO RDR, em contrato MT.</t>
  </si>
  <si>
    <t>001609</t>
  </si>
  <si>
    <t>PRESTAÇÃO DE SERVIÇOS UFVs (PATOS DE MINAS 3 / VARJAO 4)  NF 53 DIEGO RODRIGUES</t>
  </si>
  <si>
    <t>Pagamento em faturamento direto, referente  a prestação de serviços de transporte, necessário a construção da usina  em contrato EPC.</t>
  </si>
  <si>
    <t> [CCC04810]</t>
  </si>
  <si>
    <t>001610</t>
  </si>
  <si>
    <t>PRESTAÇÃO DE SERVIÇOS UFVs ( VARJÃO DE MINAS 4) NF 623  RONDA PORTEIROS</t>
  </si>
  <si>
    <t>Pagamento em faturamento direto, referente  a prestação de serviços de VIGILANCIA DESARMADA, ADITIVOS DE VIGIA NOTURNOS necessário a construção da usina  em contrato EPC.</t>
  </si>
  <si>
    <t>001618</t>
  </si>
  <si>
    <t xml:space="preserve">PRESTAÇÃO DE SERVIÇOS UFVs (VARJÃO DE MINAS 4)  NF  76  AUGUSTO CESAR    </t>
  </si>
  <si>
    <t>Pagamento em faturamento direto referente ao serviço de topografia, necessário a construção da usinas, em contrato EPC.</t>
  </si>
  <si>
    <t> [CCC04831]</t>
  </si>
  <si>
    <t>001596</t>
  </si>
  <si>
    <t xml:space="preserve">COMPRA DE MATERIAIS UFvs (VARJÃO DE MINAS 4) NF 13798 CAMPO ALEGRE </t>
  </si>
  <si>
    <t>Pagamento de medição referente a compra de materiais, necessário a construção da usinas em contrato MT.</t>
  </si>
  <si>
    <t> [CCC04785]</t>
  </si>
  <si>
    <t>A501-ESTRELA DO NORTE HOLDING S.A</t>
  </si>
  <si>
    <t>SCOMP-000018</t>
  </si>
  <si>
    <t>Reatores de aterramento ADELCO (Buritizeiro 1)</t>
  </si>
  <si>
    <t>Modelos 34,5kv - Pot:500kW Xreator: 317,4Ω (RNA 841930-3); Pot:1000kW Xreator: 158,7Ω (RNA 420970-5); Pot:1000kW Xreator: 158,7Ω (RNA 420970-5)</t>
  </si>
  <si>
    <t>A605-ESTRELA DO NORTE BURITIZEIRO SPE</t>
  </si>
  <si>
    <t>JX AMBIENTAL - Taxa de Lenha (Buritizeiro 1)</t>
  </si>
  <si>
    <t>[CCC03035-01]</t>
  </si>
  <si>
    <t>Buritizeiro 1 _Outros</t>
  </si>
  <si>
    <t>000037</t>
  </si>
  <si>
    <t>JX AMBIENTAL - Taxa de Madeira (Buritizeiro 1)</t>
  </si>
  <si>
    <t>[CCC03035-02]</t>
  </si>
  <si>
    <t>000038</t>
  </si>
  <si>
    <t>JX AMBIENTAL - Taxa de Rep. Lenha (Buritizeiro 1)</t>
  </si>
  <si>
    <t>[CCC03035-03]</t>
  </si>
  <si>
    <t>000039</t>
  </si>
  <si>
    <t>JX AMBIENTAL - Taxa de Rep. Madeira (Buritizeiro 1)</t>
  </si>
  <si>
    <t>[CCC03035-04]</t>
  </si>
  <si>
    <t>Desenvolvimento de projetos Executivos - 20% iniciais (Buritizeiro 1)</t>
  </si>
  <si>
    <t>[CCC02997-04]</t>
  </si>
  <si>
    <t>Buritizeiro 1_Engenharia Executiva</t>
  </si>
  <si>
    <t>JX AMBIENTAL - Taxa de compensação - Pequi (Buritizeiro 1)</t>
  </si>
  <si>
    <t>[CCC03136-01]</t>
  </si>
  <si>
    <t>JX AMBIENTAL - Taxa de compensação - Ipê (Buritizeiro 1)</t>
  </si>
  <si>
    <t>[CCC03136-02]</t>
  </si>
  <si>
    <t>A601-ESTRELA DO NORTE GERAÇÃO DE ENERGIA SPE</t>
  </si>
  <si>
    <t>Consultoria em servidão - Parcela 02/02 (Buritizeiro 1) GEOVANY</t>
  </si>
  <si>
    <t>[CCC03142-01]</t>
  </si>
  <si>
    <t>Archtech - Testes de PullOuT_Biotec - Adiantamento (Buritizeiro 1)</t>
  </si>
  <si>
    <t>[CCC03145-53]</t>
  </si>
  <si>
    <t>000040</t>
  </si>
  <si>
    <t>Serviço de SPT - BIOTEC - 35% iniciais (Buritizeiro 1) - Campanha 4</t>
  </si>
  <si>
    <t>Serviço técnico em campo, providenciando medidas de solo para dimensionamento de equipamentos da UFV.</t>
  </si>
  <si>
    <t>[CCC02955-01]</t>
  </si>
  <si>
    <t>Limpeza de terreno - Ildefonso - 30% iniciais (Buritizeiro 1)</t>
  </si>
  <si>
    <t>Serviço de limpeza de terreno necessário às próximas atividades de implantação da UFV.</t>
  </si>
  <si>
    <t>[CCC03218-01]</t>
  </si>
  <si>
    <t>000182</t>
  </si>
  <si>
    <t>BIOFLOR Ambiental - DAIA - final (Buritizeiro 1)</t>
  </si>
  <si>
    <t>Pagamento de serviço de consultoria ambiental, necessário à avaliação de intervenção ambiental na UFV.</t>
  </si>
  <si>
    <t>[CCC03217]</t>
  </si>
  <si>
    <t>000178</t>
  </si>
  <si>
    <t>Projeto de cabine primária  - PROJETTI - 100% (Buritizeiro 1)</t>
  </si>
  <si>
    <t>[CCC03233-01]</t>
  </si>
  <si>
    <t>Buritizeiro 1_Projeto/Coordenograma</t>
  </si>
  <si>
    <t>Archtech - Testes de PullOuT_Biotec - Finalização (Buritizeiro 1)</t>
  </si>
  <si>
    <t>[CCC03265-53]</t>
  </si>
  <si>
    <t>Desenvolvimento de projetos Executivos - 20% intermediários - 1a entrega (Buritizeiro 1)</t>
  </si>
  <si>
    <t>[CCC03290-11]</t>
  </si>
  <si>
    <t>Projetos de fundações e drenagem - HALLITE (Buritizeiro 1) Analise terraplanagem - 70% iniciais</t>
  </si>
  <si>
    <t>[CCC03309-15]</t>
  </si>
  <si>
    <t>Revisão de coordenadas de terreno - Soluç. Agrimensura (Buritizeiro 1)</t>
  </si>
  <si>
    <t>[CCC03200]</t>
  </si>
  <si>
    <t>SUPERVISORIO - Ciclo 2 - Gateways e remota (Buritizeiro 1) NF 1799</t>
  </si>
  <si>
    <t>[CCC03235-01]</t>
  </si>
  <si>
    <t>Buritizeiro 1 _SGD</t>
  </si>
  <si>
    <t>SUPERVISORIO - Ciclo 2 - Baterias, desktops, switch e acessórios (Buritizeiro 1) NF 1818</t>
  </si>
  <si>
    <t>[CCC03235-20]</t>
  </si>
  <si>
    <t>Desenvolvimento de projetos Executivos - ENERSOLAR - 20% avançados - 2a entrega (Buritizeiro 1)</t>
  </si>
  <si>
    <t>[CCC03368-04]</t>
  </si>
  <si>
    <t>CANCELAR  -  Construção e Montagem IMPLANTAR - Adiantamento contratual (Buritizeiro 1)</t>
  </si>
  <si>
    <t>[CCC03380-03]</t>
  </si>
  <si>
    <t>Buritizeiro 1_EPC_MD</t>
  </si>
  <si>
    <t>Limpeza de terreno - Ildefonso - 20% intermediários (Buritizeiro 1)</t>
  </si>
  <si>
    <t>[CCC03377-01]</t>
  </si>
  <si>
    <t>Construção e Montagem IMPLANTAR - Adiantamento contratual (Buritizeiro 1)</t>
  </si>
  <si>
    <t>000496</t>
  </si>
  <si>
    <t xml:space="preserve"> Terraplanagem UFVs -  Medição 2   HALLITE  (Buritizeiro 1)  NF 46</t>
  </si>
  <si>
    <t>[CCC03514]</t>
  </si>
  <si>
    <t>Desenvolvimento de projetos Executivos  - ENERSOLAR -  20% ANALISADO (BURITIZEIRO 1)    NF99</t>
  </si>
  <si>
    <t>[CCC03522]</t>
  </si>
  <si>
    <t>000509</t>
  </si>
  <si>
    <t xml:space="preserve">Estação solarimétrica – Hukseflux  (Buritizeiro 1)
</t>
  </si>
  <si>
    <t>[CCC03539]</t>
  </si>
  <si>
    <t>Buritizeiro 1 _Estação solarimétrica</t>
  </si>
  <si>
    <t>000533</t>
  </si>
  <si>
    <t xml:space="preserve"> Supressão - Medição   (Buritizeiro 1)  NF   53  antiga 50</t>
  </si>
  <si>
    <t>Serviço de supressão contratado para desenvolvimento de projetos</t>
  </si>
  <si>
    <t>[CCC03575]</t>
  </si>
  <si>
    <t>Fat.Direito EPC ( IMPLANTAR)</t>
  </si>
  <si>
    <t>COMPRA MATERIAIS PARA UFVs (BURITIZEIRO 1)   NF 1524</t>
  </si>
  <si>
    <t>Compra feita em Faturamento Direto, em contrato de obras necessários  à UFV.</t>
  </si>
  <si>
    <t>[CCC03579]</t>
  </si>
  <si>
    <t>000570</t>
  </si>
  <si>
    <t xml:space="preserve">COMPRA MATERIAIS PARA UFVs (BURITIZEIRO 1)   NF 142  </t>
  </si>
  <si>
    <t>Buritizeiro 1_EPC_FD</t>
  </si>
  <si>
    <t>COMPRA MATERIAIS PARA UFVs (BURITIZEIRO 1)   NF 34584</t>
  </si>
  <si>
    <t>COMPRA MATERIAIS PARA UFVs (BURITIZEIRO 1)   NF 134/2022</t>
  </si>
  <si>
    <t xml:space="preserve">COMPRA MATERIAIS PARA UFVs (BURITIZEIRO 1)   NF 34617 </t>
  </si>
  <si>
    <t xml:space="preserve">COMPRA MATERIAIS PARA UFVs  (BURITIZEIRO 1)   NF 50479 </t>
  </si>
  <si>
    <t>000602</t>
  </si>
  <si>
    <t>COMPRA MATERIAIS PARA UFVs  (BURITIZEIRO 1 )   NF 1457</t>
  </si>
  <si>
    <t>[CCC03620]</t>
  </si>
  <si>
    <t>000603</t>
  </si>
  <si>
    <t>COMPRA MATERIAIS PARA UFVs  (BURITIZEIRO 1 )   NF 43239</t>
  </si>
  <si>
    <t>000604</t>
  </si>
  <si>
    <t>COMPRA MATERIAIS PARA UFVs  (BURITIZEIRO 1 )   NF 43238</t>
  </si>
  <si>
    <t>000698</t>
  </si>
  <si>
    <t>Desenvolvimento de projetos Executivos  - ENERSOLAR -  20%  APROVADO -  (BURITIZEIRO 1 )    NF 117</t>
  </si>
  <si>
    <t>[CCC03718]</t>
  </si>
  <si>
    <t>000747</t>
  </si>
  <si>
    <t>PRESTAÇÃO DE SERVIÇOS A UFVs  (BURITIZEIRO 1)    NF 133/2022</t>
  </si>
  <si>
    <t xml:space="preserve">PRESTAÇÃO DE SERVIÇO DE VIGILANCIA  Faturamento Direto, em contrato em contrato de EPC visando a implantação da UFV. </t>
  </si>
  <si>
    <t>[CCC03763]</t>
  </si>
  <si>
    <t>Serviço de levantamento topográfico para validação de terraplenagem (BURITIZEIRO 1)    NF 290</t>
  </si>
  <si>
    <t>Pagamento de serviço de agrimensura da UFV .</t>
  </si>
  <si>
    <t>[CCC03774]</t>
  </si>
  <si>
    <t>Buritizeiro 1_Obras Terraplanagem</t>
  </si>
  <si>
    <t xml:space="preserve">COMPRA MATERIAIS PARA UFVs ( BURITIZEIRO 1)   NF 635 </t>
  </si>
  <si>
    <t>[CCC03777]</t>
  </si>
  <si>
    <t>000849</t>
  </si>
  <si>
    <t xml:space="preserve">COMPRA MATERIAIS PARA UFVs ( BURITIZEIRO 1)   NF   034 </t>
  </si>
  <si>
    <t>[CCC03803]</t>
  </si>
  <si>
    <t>000788</t>
  </si>
  <si>
    <t>COMPRA MATERIAIS PARA UFVs ( BURITIZEIRO 1)   NF  24048</t>
  </si>
  <si>
    <t>[CCC03804]</t>
  </si>
  <si>
    <t>000857</t>
  </si>
  <si>
    <t>COMPRA MATERIAIS PARA UFVs ( BURITIZEIRO 1)   NF   014</t>
  </si>
  <si>
    <t>[CCC03805]</t>
  </si>
  <si>
    <t>Serviços de  levantamento topográfico  UFVs ( BURITIZEIRO 1)   NF 144/2022</t>
  </si>
  <si>
    <t>Pagamento de serviço em Faturamento Direto, em contrato de obras EPC da UFV.</t>
  </si>
  <si>
    <t>[CCC03891]</t>
  </si>
  <si>
    <t>000985</t>
  </si>
  <si>
    <t xml:space="preserve">Serviços de frete UFVs ( BURITIZEIRO 1)   NF  6017   </t>
  </si>
  <si>
    <t>[CCC03892]</t>
  </si>
  <si>
    <t>000986</t>
  </si>
  <si>
    <t xml:space="preserve">SERVIÇO DE TRANSPORTE UFVs  (BURITIZEIRO 1 )  NF 1/2022  </t>
  </si>
  <si>
    <t>Pagamento de serviço de transporte ,  feito em Faturamento Direto, em contrato de obras EPC da UFV.</t>
  </si>
  <si>
    <t>[CCC03901]</t>
  </si>
  <si>
    <t>SERVIÇOS DE TRANSPORTE  UFVs  (BURITIZEIRO 1 )  NF 2/2022</t>
  </si>
  <si>
    <t>Pagamento de serviços de transporte de natureza municipal em Faturamento Direto, em contrato de obras EPC da UFV.</t>
  </si>
  <si>
    <t>[CCC03994]</t>
  </si>
  <si>
    <t>COMPRA MATERIAIS PARA UFVs ( BURITIZEIRO 1)   NF 14286</t>
  </si>
  <si>
    <t>[CCC03856]</t>
  </si>
  <si>
    <t>000834</t>
  </si>
  <si>
    <t>COMPRA MATERIAIS PARA UFVs ( BURITIZEIRO 1)   NF 50</t>
  </si>
  <si>
    <t>000836</t>
  </si>
  <si>
    <t xml:space="preserve">CSERVIÇOS DE TRANSPORTE  UFVs ( BURITIZEIRO 1)   NF 16327 </t>
  </si>
  <si>
    <t>Pagamento de frete ,  feito em Faturamento Direto, em contrato de obras EPC da UFV.</t>
  </si>
  <si>
    <t>[CCC03857]</t>
  </si>
  <si>
    <t>000835</t>
  </si>
  <si>
    <t>COMPRA MATERIAIS PARA UFVs ( BURITIZEIRO 1)   NF 7577</t>
  </si>
  <si>
    <t>000837</t>
  </si>
  <si>
    <t>CSERVIÇOS DE TRANSPORTE  UFVs ( BURITIZEIRO 1)   NF 16326</t>
  </si>
  <si>
    <t xml:space="preserve">COMPRA MATERIAIS PARA UFVs ( SÃO SEBASTIÃO DO OESTE  )  NF 65721  TRAEL </t>
  </si>
  <si>
    <t>Pagamento de compras de  transformadores , necessário ao desenvolvimento da UFV.</t>
  </si>
  <si>
    <t>[CCC03900]</t>
  </si>
  <si>
    <t>São Sebastião 1 _Obras MT_FD</t>
  </si>
  <si>
    <t xml:space="preserve">COMPRA MATERIAIS PARA UFVs  ( BURITIZEIRO 1)  NF 754  </t>
  </si>
  <si>
    <t>000763</t>
  </si>
  <si>
    <t xml:space="preserve">SERVIÇO DE LOCAÇÃO  UFVs ( BURITIZEIRO 1)   NF  763  </t>
  </si>
  <si>
    <t>[CCC03945]</t>
  </si>
  <si>
    <t>SERVIÇO DE LOCAÇÃO UFVs  ( BURITIZEIRO 1)  NF  786</t>
  </si>
  <si>
    <t>[CCC04025]</t>
  </si>
  <si>
    <t>000989</t>
  </si>
  <si>
    <t xml:space="preserve">SERVIÇO DE LOCAÇÃO  UFVs ( BURITIZEIRO 1)   NF  97  </t>
  </si>
  <si>
    <t>Pagamento de serviço de locação,  feito em Faturamento Direto, em contrato de obras EPC da UFV</t>
  </si>
  <si>
    <t>000971</t>
  </si>
  <si>
    <t>Serviços de mão de obra  UFVs ( BURITIZEIRO 1)   NF    51503</t>
  </si>
  <si>
    <t>Pagamento de SERVIÇO DE VIGILÂNCIA DESARMADA,ADITIVO DE DOIS VIGIAS NOTURNOS em Faturamento Direto, em contrato de obras EPC da UFV.</t>
  </si>
  <si>
    <t>[CCC03960]</t>
  </si>
  <si>
    <t>000970</t>
  </si>
  <si>
    <t>Serviços de mão de obra  UFVs ( BURITIZEIRO 1)   NF    178/22</t>
  </si>
  <si>
    <t>PRESTAÇÃO DE SERVIÇOS UFVs  (BURITIZEIRO 1)  NF  242/2022</t>
  </si>
  <si>
    <t>Pagamento em Faturamento Direto, SERVIÇO DE VIGILÂNCIA, em contrato de obras EPC da UFV.</t>
  </si>
  <si>
    <t>[CCC04072]</t>
  </si>
  <si>
    <t>COMPRA MATERIAIS PARA UFVs  (BURITIZEIRO 1 )  NF 246037</t>
  </si>
  <si>
    <t>[CCC03978]</t>
  </si>
  <si>
    <t>001001</t>
  </si>
  <si>
    <t>COMPRA MATERIAIS PARA UFVs  (BURITIZEIRO 1 )  NF 51523</t>
  </si>
  <si>
    <t>SERVIÇO DE LOCAÇÃO UFVs ( (BURITIZEIRO 1 )  NF 30</t>
  </si>
  <si>
    <t>Pagamento de serviço de locação de equipamentos e transpote em Faturamento Direto, em contrato de obras EPC da UFV.</t>
  </si>
  <si>
    <t>COMPRA MATERIAIS PARA UFVs  (BURITIZEIRO 1 )  NF 1565</t>
  </si>
  <si>
    <t>COMPRA MATERIAIS PARA UFVs  ( BURITIZEIRO 1)  NF 1349</t>
  </si>
  <si>
    <t>001137</t>
  </si>
  <si>
    <t>COMPRA MATERIAIS PARA UFVs  ( BURITIZEIRO 1)  NF 6057</t>
  </si>
  <si>
    <t>[CCC04058]</t>
  </si>
  <si>
    <t>001165</t>
  </si>
  <si>
    <t>PRESTAÇÃO DE SERVIÇOS UFVs  ( BURITIZEIRO 1)  NF 5983</t>
  </si>
  <si>
    <t>Pagamento referente a prestação de serviços de mobilização e desmonilização, em contrato de obras EPC da UFV.</t>
  </si>
  <si>
    <t>COMPRA MATERIAIS PARA UFVs  ( BURITIZEIRO 1)</t>
  </si>
  <si>
    <t>CHAMIX CONCRETOS LTDA ME - CONCRETO</t>
  </si>
  <si>
    <t>Estação solarimétrica – Hukseflux   UFVs ( BURITIZEIRO 1)   VINCULO PEDIDO 000509 A605  NF 4793</t>
  </si>
  <si>
    <t>Medição (EPC - IMPLANTAR)</t>
  </si>
  <si>
    <t xml:space="preserve">PRESTAÇÃO DE SERVIÇOS MEDIÇÃO 2  UFVS ( BUTIRIZEIRO 1)    NF  </t>
  </si>
  <si>
    <t>Pagamento referente a medição  de supressão vegetal e regularização do terreno, necessário a construção da UFVs em contrato EPC. NAO DESCONTADO EM FATURAMENTO DIRETO</t>
  </si>
  <si>
    <t> [CCC04267]</t>
  </si>
  <si>
    <t>001149</t>
  </si>
  <si>
    <t>MEDIÇÃO 1 PRESTAÇÃO DE SERVIÇOS  UFVs ( BURITIZEIRO 1)    NF  662</t>
  </si>
  <si>
    <t>Pagamento referente A 1° MEDIÇÃO,  prestação de serviços de mobilização, supressão  e cercas, necessários a construção da UFVs.</t>
  </si>
  <si>
    <t>[CCC04070]</t>
  </si>
  <si>
    <t>Fat. Direto (DELTA-MT)</t>
  </si>
  <si>
    <t>PRESTAÇÃO DE SERVIÇOS  UFVs  ( BURITIZEIRO 1 )  NF  965  DELTA</t>
  </si>
  <si>
    <t> [CCC04138]</t>
  </si>
  <si>
    <t>Buritizeiro 1 _Obras MT_FD</t>
  </si>
  <si>
    <t>COMPRA MATERIAIS PARA UFVs  ( BURITIZEIRO 1 )  NF  5375   NOJA POWER  (ENTREGA FUTURA ATE  05/2023)</t>
  </si>
  <si>
    <t>[CCC04104]</t>
  </si>
  <si>
    <t>Escopo Comerc Nota do Religador  passa a ser escopo Comerc. E não descontado no contrato MT.</t>
  </si>
  <si>
    <t xml:space="preserve">COMPRA MATERIAIS PARA UFVs  ( BURITIZEIRO 1 )  NF  433 W.A.S COMERCIAL  </t>
  </si>
  <si>
    <t> [CCC04148]</t>
  </si>
  <si>
    <t xml:space="preserve">COMPRA MATERIAIS PARA UFVs   ( BURITIZEIRO 1 )  NF  26340  EXPONENCIAL </t>
  </si>
  <si>
    <t> [CCC04149]</t>
  </si>
  <si>
    <t>COMPRA MATERIAIS PARA UFVs   ( BURITIZEIRO 1 )  NF  55297  PREFAZ</t>
  </si>
  <si>
    <t> [CCC04150]</t>
  </si>
  <si>
    <t xml:space="preserve">COMPRA MATERIAIS PARA UFVs  ( BURITIZEIRO 1   )  NF 72940   LTB  RDA INTERNO  </t>
  </si>
  <si>
    <t>Buritizeiro 1_RDA - Rede de Distribuição Aerea</t>
  </si>
  <si>
    <t>PRESTAÇÃO DE SERVIÇOS UFVs ( BURITIZEIRO 1  )    NF  20   AGUIAR COMERCIO</t>
  </si>
  <si>
    <t>Pagamento de serviços Prestados de Contratação de equipamento Retroescavadeira  em  Faturamento Direto, em contrato de obras EPC da UFV.</t>
  </si>
  <si>
    <t> [CCC04145]</t>
  </si>
  <si>
    <t>001314</t>
  </si>
  <si>
    <t xml:space="preserve">COMPRA MATERIAIS PARA UFVs ( BURITIZEIRO 1  )    NF  3473  REDE SANTANA  </t>
  </si>
  <si>
    <t xml:space="preserve">COMPRA MATERIAIS PARA UFVs ( BURITIZEIRO 1)    NF  7742 MADEREIRA JAMAR </t>
  </si>
  <si>
    <t>Pagamento de compra de materiais,  feito em Faturamento Direto, em contrato  EPC .</t>
  </si>
  <si>
    <t> [CCC04162]</t>
  </si>
  <si>
    <t>MADEREIRA JAMAR</t>
  </si>
  <si>
    <t>COMPRA MATERIAIS PARA UFVs  (  BURITIZEIRO 1)  NF  26122  EXPONECIAL RDA INTERNO  PEDRO</t>
  </si>
  <si>
    <t>001408</t>
  </si>
  <si>
    <t>PRESTAÇÃO DE SERVIÇOS UFVS ( BURITIZEIRO 1)   NF 284</t>
  </si>
  <si>
    <t>Pagamento  EM FATURAMENTO DIRETO, referente a serviços de vigilância desarmada ,  necessário à construção da UFV  em contrato EPC .</t>
  </si>
  <si>
    <t> [CCC04215]</t>
  </si>
  <si>
    <t>0010434</t>
  </si>
  <si>
    <t xml:space="preserve">PRESTAÇÃO DE SERVIÇOS UFVS ( BURITIZEIRO 1)   NF 31   </t>
  </si>
  <si>
    <t>Pagamento  referente a serviços de TRANSPORTE ,  necessário à construção da UFV.  EM CONTRATO EPC .</t>
  </si>
  <si>
    <t>COMPRA DE MATERIUAIS UFVS (  BURITIZEIRO 1 ) NF  7852</t>
  </si>
  <si>
    <t>Pagamento  EM FATURAMENTO DIRETO,  COMPRAS DE MATERIAIS ,  necessário à construção da UFV  em contrato EPC .</t>
  </si>
  <si>
    <t> [CCC04238]</t>
  </si>
  <si>
    <t>COMPRA MATERIAIS PARA UFVs  ( BURITIZEIRO 1 )  NF   8173  ZETA POSTES  RDA INTERNA</t>
  </si>
  <si>
    <t>001471</t>
  </si>
  <si>
    <t>COMPRA DE MATERIUAIS UFVS (  BURITIZEIRO 1 ) NF  7851</t>
  </si>
  <si>
    <t>001565</t>
  </si>
  <si>
    <t>COMPRA DE MATERIAIS UFVS ( BURITIZEIRO 1 ) EXPONENCIAL RDA INTERNO NF  26495</t>
  </si>
  <si>
    <t>PRESTAÇÃO DE SERVIÇOS UFVs ( BURITIZEIRO 1) NF 3  AGUIAR COMERCIO</t>
  </si>
  <si>
    <t>Pagamento em Faturamento Direto,  referente a Contratação de equipamento Retroescavadeira, em contrato de obras EPC da UFV.</t>
  </si>
  <si>
    <t> [CCC04286]</t>
  </si>
  <si>
    <t>PRESTAÇÃO DE SERVIÇOS UFVs ( BURITIZEIRO 1) NF 52666 FERREIRA FERRAMENTAS</t>
  </si>
  <si>
    <t>Pagamento em Faturamento Direto,  referente a COMPRA DE MATERIAIS , em contrato de obras EPC da UFV.</t>
  </si>
  <si>
    <t> [CCC04289]</t>
  </si>
  <si>
    <t>PRESTAÇÃO DE SERVIÇOS UFVs (BURITIZEIRO 1) NF 45 ESTER FERRAREZ</t>
  </si>
  <si>
    <t>Pagamento em Faturamento Direto,  referente a REFEIÇÃO, em contrato de obras EPC da UFV.</t>
  </si>
  <si>
    <t> [CCC04291]</t>
  </si>
  <si>
    <t>Cabos e material de fixação (São Sebastião 1)</t>
  </si>
  <si>
    <t>[CCC03257]</t>
  </si>
  <si>
    <t xml:space="preserve">COMPRA DE MATERIAIS UFVS ( BURITIZEIRO 1 ) NF  7803 POSTO PIRAPORA   </t>
  </si>
  <si>
    <t>Compra de materiais  em faturamento direto,  em contrato EPC .</t>
  </si>
  <si>
    <t> [CCC04323]</t>
  </si>
  <si>
    <t>PRESTAÇÃO DE SERVIÇOS UFVs  ( BURITIZEIRO 1 ) NF  7 ELO LOCAÇÃO</t>
  </si>
  <si>
    <t>Pagamento em Faturamento Direto, SERVIÇO DE LOCAÇÃO, em contrato de obras EPC da UFV.</t>
  </si>
  <si>
    <t>001606</t>
  </si>
  <si>
    <t>PRESTAÇÃO DE SERVIÇOS UFVs ( BURITIZEIRO 1) NF 344 RONDA PORTEIROS</t>
  </si>
  <si>
    <t>Pagamento em faturamento direto, referente a prestação de serviço de vigilância desarmada, em contrato EPC.</t>
  </si>
  <si>
    <t> [CCC04333]</t>
  </si>
  <si>
    <t xml:space="preserve">PRESTAÇÃO DE SERVIÇOS UFVs ( BURITIZEIRO 1) NF 09 ELO LOCAÇÃO </t>
  </si>
  <si>
    <t xml:space="preserve">Pagamento de serviços, REFERENTE A PRESTAÇÃO DE SERVIÇO DE TRANSPORTE, necessário à construção da UFV em contrato EPC . </t>
  </si>
  <si>
    <t> [CCC04336]</t>
  </si>
  <si>
    <t>001633</t>
  </si>
  <si>
    <t>COMPRA DE MATERIAIS UFVs ( BURITIZEIRO 1)  NF 51  ESTER FERRAREZ</t>
  </si>
  <si>
    <t>Compra de REFEIÇÃO em faturamento direto, em contrato EPC.</t>
  </si>
  <si>
    <t> [CCC04346]</t>
  </si>
  <si>
    <t>001671</t>
  </si>
  <si>
    <t>PRESTAÇÃO DE SERVIÇOS UFVs ( BURITIZEIRO 1)  NF 12 DELZENY PEREIRA</t>
  </si>
  <si>
    <t>Pagamento em faturamento direto, referente ao aluguel de caminhão pipa ,necessário à construção da UFV em contrato EPC .</t>
  </si>
  <si>
    <t>001634</t>
  </si>
  <si>
    <t>PRESTAÇÃO DE SERVIÇOS UFVs ( BURITIZEIRO 1)  NF 1228 CHAMIX CONCRETO</t>
  </si>
  <si>
    <t>Pagamento em faturamento direto, referente AO SERVIÇO DE TRANSPORTE DE CAÇAMBA ,necessário à construção da UFV em contrato EPC .</t>
  </si>
  <si>
    <t>A606-ESTRELA DO NORTE DIVINOPOLIS I SPE</t>
  </si>
  <si>
    <t>000478</t>
  </si>
  <si>
    <t>COMPRA MATERIAIS  PARA AS UFVs (DIVINOPOLIS 2)   NF   404798</t>
  </si>
  <si>
    <t>[CCC03436]</t>
  </si>
  <si>
    <t>Divinópolis 2 _Obras MT_FD</t>
  </si>
  <si>
    <t>001639</t>
  </si>
  <si>
    <t xml:space="preserve">PRESTAÇÃO DE SERVIÇOS UFVs ( BURITIZEIRO 1)  NF 1307 LUIZ CARLOS   </t>
  </si>
  <si>
    <t>001635</t>
  </si>
  <si>
    <t xml:space="preserve">PRESTAÇÃO DE SERVIÇOS UFVs ( BURITIZEIRO 1)  NF 57  CRB TRANSPORTE </t>
  </si>
  <si>
    <t>Pagamento em faturamento direto, referente AO SERVIÇO DE TRANSPORTE ,necessário à construção da UFV em contrato EPC .</t>
  </si>
  <si>
    <t> [CCC04349]</t>
  </si>
  <si>
    <t>001643</t>
  </si>
  <si>
    <t>COMPRA DE MATERIAIS UFVs (BURITIZEIRO 1)  NF 2410 INSTRUM BRASIL</t>
  </si>
  <si>
    <t>Pagamento em faturamento direto, referente A COMPRA DE MATERIAIS, necessário à construção da UFV em contrato EPC .</t>
  </si>
  <si>
    <t> [CCC04356]</t>
  </si>
  <si>
    <t>001644</t>
  </si>
  <si>
    <t>PRESTAÇÃO DE SERVIÇOS UFVs ( BURITIZEIRO 1)  NF 1236  CHAMIX</t>
  </si>
  <si>
    <t>Pagamento em faturamento direto, referente A USINAGEM CONCRETO, necessário à construção da UFV em contrato EPC .</t>
  </si>
  <si>
    <t>001645</t>
  </si>
  <si>
    <t xml:space="preserve">PRESTAÇÃO DE SERVIÇOS UFVs ( BURITIZEIRO 1)  NF 974  USINORTE </t>
  </si>
  <si>
    <t>Pagamento em faturamento direto, referente A LOCAÇÃO MOBILIZAÇÃO/DESMOBILIZAÇÃO, necessário à construção da UFV em contrato EPC .</t>
  </si>
  <si>
    <t>001646</t>
  </si>
  <si>
    <t>COMPRA DE MATERIAIS UFVs (BURITIZEIRO 1)  NF  7807 POSTO PIRAPORA</t>
  </si>
  <si>
    <t>001657</t>
  </si>
  <si>
    <t xml:space="preserve">COMPRA DE MATERIAIS UFVs (BURUTIZEIRO 1) NF52836 FERREIRA FERRAMENTAS </t>
  </si>
  <si>
    <t>Pagamento em faturamento direto, referente A COMPRA DE MATERIAIS ,necessário à construção da UFV em contrato EPC.</t>
  </si>
  <si>
    <t> [CCC04363]</t>
  </si>
  <si>
    <t>A625-ESTRELA DO NORTE SPE- UFV BURITIZEIRO 2</t>
  </si>
  <si>
    <t>001699</t>
  </si>
  <si>
    <t>DAE - Dispença de Licenciamento ambiental UFVs( BURUTIZEIRO 2   )   N 4500024797952</t>
  </si>
  <si>
    <t> [CCC04394]</t>
  </si>
  <si>
    <t>001710</t>
  </si>
  <si>
    <t>COMPRA DE MATERIAIS  UFVs (BURITIZEIRO1) NF 225130  FRONTEC INDUSTRIA</t>
  </si>
  <si>
    <t>Pagamento em faturamento direto, REFERENTE A COMPRA DE MATERIAIS, necessário à construção da UFV em contrato EPC.</t>
  </si>
  <si>
    <t> [CCC04403]</t>
  </si>
  <si>
    <t>001725</t>
  </si>
  <si>
    <t xml:space="preserve">COMPRA DE MATERIAIS  UFVs (BURITIZEIRO1) NF 468 FELIPE VINICIUS    </t>
  </si>
  <si>
    <t>001712</t>
  </si>
  <si>
    <t>COMPRA DE MATERIAIS  UFVs (BURITIZEIRO 1) NF 93510 SELENA</t>
  </si>
  <si>
    <t>Pagamento em faturamento direto, REFERENTE A INSTALAÇÃO DE INTERNET necessário à construção da UFV em contrato EPC.</t>
  </si>
  <si>
    <t>001713</t>
  </si>
  <si>
    <t>COMPRA DE MATERIAIS  UFVs (BURITIZEIRO1) NF 52909 FERREIRA FERRAMENTAS</t>
  </si>
  <si>
    <t> [CCC04406]</t>
  </si>
  <si>
    <t>001908</t>
  </si>
  <si>
    <t xml:space="preserve">COMPRA DE MATERIAIS UFVs (BURITIZEIRO 1)   NF 1173 PREVINNE </t>
  </si>
  <si>
    <t>Pagamento em faturamento direto referente  a  compra de materiais, em contrato EPC.</t>
  </si>
  <si>
    <t> [CCC04559]</t>
  </si>
  <si>
    <t>001715</t>
  </si>
  <si>
    <t>COMPRA DE MATERIAIS  UFVs (BURITIZEIRO1) NF 132151 LOJA ELÉTRICA</t>
  </si>
  <si>
    <t>001734</t>
  </si>
  <si>
    <t>PRESTAÇÃO DE SERVIÇOS  UFVs ( BURITIZEIRO 1 ) NF 10 AGUIAR COMERCIO</t>
  </si>
  <si>
    <t>Pagamento em faturamento direto, REFERENTE A CONTRATAÇÃO DE EQUIPAMENTO  , necessário à construção da UFV em contrato EPC.</t>
  </si>
  <si>
    <t> [CCC04417]</t>
  </si>
  <si>
    <t>001740</t>
  </si>
  <si>
    <t xml:space="preserve">PRESTAÇÃO DE SERVIÇOS  UFVs ( BURITIZEIRO 1 ) NF 1938 MCTEC MANUTENÇÃO    </t>
  </si>
  <si>
    <t>001748</t>
  </si>
  <si>
    <t>PRESTAÇÃO DE SERVIÇOS UFVs (BURUTIZEIRO 1) NF 09 RODRIGUES MACHADO</t>
  </si>
  <si>
    <t>Pagamento referente a prestação de SERVIÇOS DE EXECUÇÃO, em contrato EPC.</t>
  </si>
  <si>
    <t> [CCC04432]</t>
  </si>
  <si>
    <t>001750</t>
  </si>
  <si>
    <t>PRESTAÇÃO DE SERVIÇOS UFVs (BURUTIZEIRO 1) NF 38822 NORTESUL</t>
  </si>
  <si>
    <t>Pagamento referente a prestação de COMPRA DE MATERIAIS , em contrato EPC.</t>
  </si>
  <si>
    <t>001758</t>
  </si>
  <si>
    <t>COMPRA DE MATERIAL UFVs (BURITIZEIRO 1) NF 7821 POSTO PIRAPORA</t>
  </si>
  <si>
    <t> [CCC04435]</t>
  </si>
  <si>
    <t>001761</t>
  </si>
  <si>
    <t>PRESTACAO DE SERVIÇOS UFVs (BURITIZEIRO 1) NF 54 ESTER FERRAREZ</t>
  </si>
  <si>
    <t>Pagamento referente a prestação de COMPRA DE REFEIÇÃO , em contrato EPC.</t>
  </si>
  <si>
    <t>001768</t>
  </si>
  <si>
    <t>COMPRA DE MATERIAL UFVs (BURITIZEIRO 1) NF 138239 LOJA ELÉTRICA</t>
  </si>
  <si>
    <t>Pagamento referente a  COMPRA DE MATERIAIS , em contrato EPC.</t>
  </si>
  <si>
    <t> [CCC04444]</t>
  </si>
  <si>
    <t>001769</t>
  </si>
  <si>
    <t>COMPRA DE MATERIAL UFVs (BURITIZEIRO 1) NF 138273 LOJA ELÉTRICA</t>
  </si>
  <si>
    <t>001783</t>
  </si>
  <si>
    <t xml:space="preserve">PRESTAÇÃO DE SERVIÇOS UFVS ( BURITIZEIRO 1) NF 101  RCS TRANSPORTE ROBSON   </t>
  </si>
  <si>
    <t>Pagamento referente a prestação de SERVIÇOS DE LOCAÇÃO , em contrato EPC.</t>
  </si>
  <si>
    <t>001778</t>
  </si>
  <si>
    <t xml:space="preserve">COMPRA DE MATERIAIS UFVs ( BURITIZEIRO 1) NF  21021  COMERCIAL SOUZA </t>
  </si>
  <si>
    <t>Pagamento em faturamento direto, referente A COMPRA DE MATERIAIS, em contrato EPC.</t>
  </si>
  <si>
    <t> [CCC04454]</t>
  </si>
  <si>
    <t>001779</t>
  </si>
  <si>
    <t xml:space="preserve">PRESTAÇÃO DE SERVIÇOS UFVs  (BURITIZEIRO 1)  NF 208  MANOEL AFONSO  </t>
  </si>
  <si>
    <t>Pagamento em faturamento direto, referente A HOSPEDAGEM, em contrato EPC.</t>
  </si>
  <si>
    <t>001787</t>
  </si>
  <si>
    <t xml:space="preserve">PRESTAÇÃO DE SERVIÇOS UFVs  (BURITIZEIRO 1)  NF 6   CARLOS RAMOS </t>
  </si>
  <si>
    <t>Pagamento em faturamento direto, referente TRAVESSIA DE COLABORADORES IDA E VOLTA -REFERENTE AO MÊS DE JANEIRO/2023 E FEVEREIRO/2023, em contrato EPC.</t>
  </si>
  <si>
    <t> [CCC04457]</t>
  </si>
  <si>
    <t>001781</t>
  </si>
  <si>
    <t xml:space="preserve">COMPRA DE MATERIAIS UFVs ( BURITIZEIRO 1) NF  21022  COMERCIAL SOUZA </t>
  </si>
  <si>
    <t>001788</t>
  </si>
  <si>
    <t xml:space="preserve">PRESTAÇÃO DE SERVIÇOS UFVs ( BURITIZEIRO 1)  N 5496A  MASKS MONTES CLAROS </t>
  </si>
  <si>
    <t>Pagamento em faturamento direto, referente a locação, em contrato EPC.</t>
  </si>
  <si>
    <t> [CCC04462]</t>
  </si>
  <si>
    <t>001786</t>
  </si>
  <si>
    <t>COMPRA DE MATERIAIS  UFVs ( BURITIZEIRO 1) NF 7984  MADEIREIRA JAMAR  FINALIZAR</t>
  </si>
  <si>
    <t> [CCC04464]</t>
  </si>
  <si>
    <t>001790</t>
  </si>
  <si>
    <t xml:space="preserve">PRESTAÇÃO DE SERVIÇOS UFVs( BURITIZEIRO ) N 401   LHBM </t>
  </si>
  <si>
    <t>Pagamento referente  AO SERVIÇO DE TRANSPORTE DE MATERIAL,  em contrato EPC.</t>
  </si>
  <si>
    <t> [CCC04465]</t>
  </si>
  <si>
    <t>001794</t>
  </si>
  <si>
    <t xml:space="preserve">PRESTAÇÃO DE SERVIÇOS UFVs ( BURITIZEIRO 2)  NF 13  DELZENY PEREIRA </t>
  </si>
  <si>
    <t>Pagamento em Faturamento Direto,  referente aos serviços de locação , em contrato de obras EPC.</t>
  </si>
  <si>
    <t> [CCC04467]</t>
  </si>
  <si>
    <t>Buritizeiro 2_EPC_FD</t>
  </si>
  <si>
    <t>001832</t>
  </si>
  <si>
    <t>PRESTAÇÃO DE SERVIÇOS UFVs (BURITIZERO 1) NF 1406  LUIZ CARLOS DE REZENDE</t>
  </si>
  <si>
    <t>Pagamento em faturamento direto, referente ao transporte de caçamba, necessário à construção da UFV em contrato EPC.</t>
  </si>
  <si>
    <t> [CCC04507]</t>
  </si>
  <si>
    <t>001833</t>
  </si>
  <si>
    <t>COMPRA DE MATERIAL UFVs ( BURITIZERO 1) NF 103865  RUBBERPLASTIC</t>
  </si>
  <si>
    <t>001901</t>
  </si>
  <si>
    <t>PRESTAÇÃO DE SERVIÇOS UFVs (BURITIZEIRO 1)   NF  13 AGUIAR COMERCIO</t>
  </si>
  <si>
    <t>Pagamento em faturamento direto, referente a serviço de contratação de equipamento restroescavadeira , em contrato EPC.</t>
  </si>
  <si>
    <t>COMPRA DE MATERIAIS UFVs (BURITIZEIRO 1)   NF 45336 BENDICASA   - CADASTRO</t>
  </si>
  <si>
    <t> [CCC04562]</t>
  </si>
  <si>
    <t>001836</t>
  </si>
  <si>
    <t>PRESTAÇÃO DE SERVIÇOS UFVs (BURITIZERO 1) NF 402 RONDA PORTEIROS LTDA</t>
  </si>
  <si>
    <t>Pagamento em faturamento direto, referente ao serviço de vigilância, necessário à construção da UFV em contrato EPC.</t>
  </si>
  <si>
    <t>001855</t>
  </si>
  <si>
    <t>COMPRA DE MATERIAL UFVs ( BURITIZERO 1) NF 126 MICHAEL BARCELOS GUIMARAES</t>
  </si>
  <si>
    <t> [CCC04514]</t>
  </si>
  <si>
    <t>001843</t>
  </si>
  <si>
    <t>COMPRA DE MATERIAL UFVs ( BURITIZERO 1) NF 58 ESTER FERRAREZ MOREIRA</t>
  </si>
  <si>
    <t>Pagamento em faturamento direto, REFERENTE A COMPRA DE REFEIÇÃO, necessário à construção da UFV em contrato EPC.</t>
  </si>
  <si>
    <t>001917</t>
  </si>
  <si>
    <t>MEDIÇÃO (EPC - IMPLANTAR)</t>
  </si>
  <si>
    <t>PRESTAÇÃO DE SERVIÇOS MEDIÇÃO 3  UFVS ( BUTIRIZEIRO 1)    NF  671</t>
  </si>
  <si>
    <t>Pagamento referente a medição  de serviços prestados, necessários a construção das  usinas, contrato EPC.</t>
  </si>
  <si>
    <t> [CCC04573]</t>
  </si>
  <si>
    <t>001916</t>
  </si>
  <si>
    <t>COMPRA DE MATERIAIS UFVs (BURITIZEIRO 1)   NF  8057 MADEIREIRA JAMAR</t>
  </si>
  <si>
    <t>Pagamento em faturamento direto, referente  a  compra de materiais, necessários a construção da USINA, em contrato EPC.</t>
  </si>
  <si>
    <t> [CCC04572]</t>
  </si>
  <si>
    <t>001918</t>
  </si>
  <si>
    <t xml:space="preserve">PRESTAÇÃO DE SERVIÇOS UFVs( BURITIZEIRO 1) NF 104 ROBSON CAMPOLINA </t>
  </si>
  <si>
    <t>Pagamento em faturamento direto, referente a locação do veículo, em contrato EPC.</t>
  </si>
  <si>
    <t> [CCC04575]</t>
  </si>
  <si>
    <t>001925</t>
  </si>
  <si>
    <t xml:space="preserve">COMPRA DE MATERIAIS UFVs( BURITIZEIRO 1)  NF 11235   CERÂMICA BURITIS  </t>
  </si>
  <si>
    <t>Pagamento em faturamento direto, referente a COMPRA DE MATERIAIS,  em contrato EPC.</t>
  </si>
  <si>
    <t>001919</t>
  </si>
  <si>
    <t>PRESTAÇÃO DE SERVIÇOS UFVs( BURITIZEIRO 1) NF 2002  MDTEC</t>
  </si>
  <si>
    <t>Pagamento em faturamento direto, referente a locação  de gerador de energia, em contrato EPC.</t>
  </si>
  <si>
    <t>001921</t>
  </si>
  <si>
    <t>COMPRA DE MATERIAIS UFVs (BURITIZEIRO 1)   NF  18415 COMFERROS</t>
  </si>
  <si>
    <t> [CCC04578]</t>
  </si>
  <si>
    <t>002046</t>
  </si>
  <si>
    <t>Outros - Serviços à UFV (IMPLANTAR))</t>
  </si>
  <si>
    <t xml:space="preserve">PRESTAÇÃO DE SERVIÇOS UFVs ( BURITIZEIRO 1 E 2 ) NF   R&amp;M SOLAR </t>
  </si>
  <si>
    <t>Pagamento referente a prestação de serviços de melhoria ao acesso das usinas. 50% FINAIS - ESCOPO COMERC</t>
  </si>
  <si>
    <t> [CCC04585]</t>
  </si>
  <si>
    <t>002112</t>
  </si>
  <si>
    <t>COMPRA DE MATERIAIS UFvs ( BURITIZEIRO 1) NF 6090  MAKS MONTES</t>
  </si>
  <si>
    <t>Pagamento em faturamento direto referente a compra de materiais, necessário a construção da usinas em contrato EPC.</t>
  </si>
  <si>
    <t> [CCC04766]</t>
  </si>
  <si>
    <t>001926</t>
  </si>
  <si>
    <t>PRESTAÇÃO DE SERVIÇOS UFVs ( BURITIZEIRO 1 )  NF  212 MANOEL AFONSO</t>
  </si>
  <si>
    <t>Pagamento em faturamento direto  referente a HOSPEDAGEM ,  necessários a construção da USINA, em contrato EPC.</t>
  </si>
  <si>
    <t> [CCC04582]</t>
  </si>
  <si>
    <t>001927</t>
  </si>
  <si>
    <t>COMPRA DE MATERIAIS UFVs (BURITIZEIRO 1)   NF  60 ESTER FERRAREZ</t>
  </si>
  <si>
    <t>Pagamento em faturamento direto, referente  a  compra de refeição, necessários a construção da USINA, em contrato EPC.</t>
  </si>
  <si>
    <t>001929</t>
  </si>
  <si>
    <t>PRESTAÇÃO DE SERVIÇOS UFVs ( BURITIZEIRO 1 )  NF  13 ELO LOCACAO</t>
  </si>
  <si>
    <t>Pagamento em faturamento direto, referente  a locação ,  necessário a construção das usinas em contrato EPC .</t>
  </si>
  <si>
    <t>001932</t>
  </si>
  <si>
    <t xml:space="preserve">PRESTAÇÃO DE SERVIÇOS UFVs ( BURITIZEIRO 1 E2 ) NF     R&amp;M SOLAR </t>
  </si>
  <si>
    <t>Pagamento referente a prestação de serviços de melhoria ao acesso das usinas. 50% INICIAIS - ESCOPO COMERC</t>
  </si>
  <si>
    <t>001937</t>
  </si>
  <si>
    <t>PRESTAÇÃO DE SERVIÇOS UFVs ( BURITIZEIRO 1) NF 8  CARLOS RAMOS</t>
  </si>
  <si>
    <t>Pagamento em faturamento direto  referente a posto de gasolina,  necessários a construção da USINA, em contrato EPC.</t>
  </si>
  <si>
    <t> [CCC04599]</t>
  </si>
  <si>
    <t>001964</t>
  </si>
  <si>
    <t>COMPRA DE MATERIAIS  UFVs( BURITIZEIRO 1) NF 39763     NORTE SUL</t>
  </si>
  <si>
    <t>Pagamento em faturamento direto  referente  A COMPRA DE MATERIAIS, necessários a construção da USINA, em contrato EPC.</t>
  </si>
  <si>
    <t> [CCC04629]</t>
  </si>
  <si>
    <t>001965</t>
  </si>
  <si>
    <t>COMPRA DE MATERIAIS  UFVs( BURITIZEIRO 1) NF 2984    JC SALES</t>
  </si>
  <si>
    <t> [CCC04630]</t>
  </si>
  <si>
    <t>001994</t>
  </si>
  <si>
    <t xml:space="preserve">PRESTAÇÃO DE SERVIÇOS  UFVs ( BURITIZEIRO 1)  NF 524 RONDA PORTEIROS </t>
  </si>
  <si>
    <t>Pagamento em faturamento direto referente a SERVIÇO DE VIGILANCIA  necessário a construção da usina, em contrato EPC.</t>
  </si>
  <si>
    <t> [CCC04652]</t>
  </si>
  <si>
    <t>002014</t>
  </si>
  <si>
    <t xml:space="preserve">PRESTAÇÃO DE SERVIÇOS  UFVs ( BURITIZEIRO 1)  NF 2980  LUCAS BERNABE </t>
  </si>
  <si>
    <t>Pagamento em faturamento direto referente a SERVIÇO DE CAMINHÃO MUNK  necessário a construção da usina, em contrato EPC.</t>
  </si>
  <si>
    <t> [CCC04653]</t>
  </si>
  <si>
    <t>002009</t>
  </si>
  <si>
    <t>PRESTAÇÃO DE SERVIÇOS  UFVs ( BURITIZEIRO 1)  NF 487 L.H.B.M TRANSPORTE</t>
  </si>
  <si>
    <t>Pagamento em faturamento direto referente a SERVIÇO DE TRANSPORTE, necessário a construção da usina, em contrato EPC.</t>
  </si>
  <si>
    <t> [CCC04660]</t>
  </si>
  <si>
    <t>001980</t>
  </si>
  <si>
    <t>DAE - Dispensa  de Licenciamento ambiental UFVs( BURITIZEIRO 1)   N 4500025784714</t>
  </si>
  <si>
    <t>Taxa necessária à avaliação de intervenção ambiental para a UFV.  MADEIRA</t>
  </si>
  <si>
    <t> [CCC04649]</t>
  </si>
  <si>
    <t>002075</t>
  </si>
  <si>
    <t>PRESTAÇÃO DE SERVIÇOS UFVs ( BURITIZEIRO 1 ) NF 626  JX AMBIENTAL</t>
  </si>
  <si>
    <t> [CCC04750]</t>
  </si>
  <si>
    <t>002091</t>
  </si>
  <si>
    <t>PRESTAÇÃO DE SERVIÇOS UFVs ( BURITIZEIRO 1) NF 2021  MDTEC</t>
  </si>
  <si>
    <t>Pagamento em faturamento direto, refrente a prestação de locação de gerador de energia , necessário à construção da UFV, em contrato EPC.</t>
  </si>
  <si>
    <t> [CCC04753]</t>
  </si>
  <si>
    <t>002092</t>
  </si>
  <si>
    <t>PRESTAÇÃO DE SERVIÇOS UFVs ( BURITIZEIRO 1) NF 15  ELO LOCAÇÃO</t>
  </si>
  <si>
    <t>Pagamento em faturamento direto, refrente a prestação de serviço de locação de veículo , necessário à construção da UFV, em contrato EPC.</t>
  </si>
  <si>
    <t>002093</t>
  </si>
  <si>
    <t>PRESTAÇÃO DE SERVIÇOS UFVs ( BURITIZEIRO 1) NF 587 RONDA PORTEIROS</t>
  </si>
  <si>
    <t>Pagamento em faturamento direto, refrente a prestação de serviço de vigilância desarmada , necessário à construção da UFV, em contrato EPC.</t>
  </si>
  <si>
    <t>RONDA</t>
  </si>
  <si>
    <t>002095</t>
  </si>
  <si>
    <t>COMPRA DE MATERIAIS UFvs ( BURITIZEIRO 1 ) NF 18776  COMFERROS</t>
  </si>
  <si>
    <t>Pagamento em faturamento direto, refrente a compra de materiais , necessário à construção da UFV, em contrato EPC.</t>
  </si>
  <si>
    <t>002179</t>
  </si>
  <si>
    <t>PRESTAÇÃO DE SERVIÇOS  UFVS ( BURITIZEIRO 1 )   NF13   SOLARIMPLANTA</t>
  </si>
  <si>
    <t>Pagamento em faturamento direto, referente aos serviços de mão de obra prestados, necessário a contrução da usina, em contrato EPC.</t>
  </si>
  <si>
    <t> [CCC04835]</t>
  </si>
  <si>
    <t>002141</t>
  </si>
  <si>
    <t>COMPRA DE MATERIAIS UFvs (BURITIZEIRO 1) NF  58124  PREFAZ</t>
  </si>
  <si>
    <t>Pagamento de medição referente a compra de materiais, necessário a construção da usinas em contrato MT. APENAS PARA ESCRITURAÇÃO FISCAL, NÃO GERA FINANCEIRO</t>
  </si>
  <si>
    <t> [CCC04790]</t>
  </si>
  <si>
    <t>** NOTAS NÃO GERAM FINANCEIRO, APENAS ESCRITURAR CFOP</t>
  </si>
  <si>
    <t>SCOMP-000019</t>
  </si>
  <si>
    <t>Reatores de aterramento ADELCO (Buritizeiro 2)</t>
  </si>
  <si>
    <t>Desenvolvimento de projetos Executivos - 20% iniciais (Buritizeiro 2)</t>
  </si>
  <si>
    <t>[CCC02997-05]</t>
  </si>
  <si>
    <t>Buritizeiro 2_Engenharia Executiva</t>
  </si>
  <si>
    <t>Consultoria em servidão - Parcela 02/02 (Buritizeiro 2) GEOVANY</t>
  </si>
  <si>
    <t>[CCC03142-02]</t>
  </si>
  <si>
    <t>Buritizeiro 2 _Outros</t>
  </si>
  <si>
    <t>Archtech - Testes de PullOuT_Biotec - Adiantamento (Buritizeiro 2)</t>
  </si>
  <si>
    <t>[CCC03145-54]</t>
  </si>
  <si>
    <t>Serviço de SPT - BIOTEC - 35% iniciais (Buritizeiro 2) - Campanha 4</t>
  </si>
  <si>
    <t>[CCC02955-02]</t>
  </si>
  <si>
    <t>Limpeza de terreno - Ildefonso - 30% iniciais (Buritizeiro 2)</t>
  </si>
  <si>
    <t>[CCC03218-02]</t>
  </si>
  <si>
    <t>000179</t>
  </si>
  <si>
    <t>Projeto de cabine primária  - PROJETTI - 100% (Buritizeiro 2)</t>
  </si>
  <si>
    <t>[CCC03233-02]</t>
  </si>
  <si>
    <t>Buritizeiro 2_Projeto/Coordenograma</t>
  </si>
  <si>
    <t>Archtech - Testes de PullOuT_Biotec - Finalização (Buritizeiro 2)</t>
  </si>
  <si>
    <t>[CCC03265-54]</t>
  </si>
  <si>
    <t>Desenvolvimento de projetos Executivos - 20% intermediários - 1a entrega (Buritizeiro 2)</t>
  </si>
  <si>
    <t>[CCC03290-12]</t>
  </si>
  <si>
    <t>SUPERVISORIO - Ciclo 2 - Gateways e remota (Buritizeiro 2) NF 1800</t>
  </si>
  <si>
    <t>[CCC03235-02]</t>
  </si>
  <si>
    <t>Buritizeiro 2 _SGD</t>
  </si>
  <si>
    <t>SUPERVISORIO - Ciclo 2 - Baterias, desktops, switch e acessórios (Buritizeiro 2) NF 1819</t>
  </si>
  <si>
    <t>[CCC03235-21]</t>
  </si>
  <si>
    <t>Projetos de fundações e drenagem - HALLITE (Buritizeiro 2) 70%  -  Analise terraplanagem</t>
  </si>
  <si>
    <t>[CCC03309-16]</t>
  </si>
  <si>
    <t>000395</t>
  </si>
  <si>
    <t>Desenvolvimento de projetos Executivos - ENERSOLAR - 20% avançados - 2a entrega (Buritizeiro 2)</t>
  </si>
  <si>
    <t>[CCC03368-05]</t>
  </si>
  <si>
    <t>Limpeza de terreno - Ildefonso - 20% intermediários (Buritizeiro 2)</t>
  </si>
  <si>
    <t>[CCC03377-02]</t>
  </si>
  <si>
    <t>Construção e Montagem IMPLANTAR - Adiantamento contratual (Buritizeiro 2)</t>
  </si>
  <si>
    <t>[CCC03380-04]</t>
  </si>
  <si>
    <t>Buritizeiro 2_EPC_MD</t>
  </si>
  <si>
    <t xml:space="preserve"> Terraplanagem UFVs -  Medição 2   HALLITE (Buritizeiro 2)  NF 47</t>
  </si>
  <si>
    <t>[CCC03515]</t>
  </si>
  <si>
    <t>000510</t>
  </si>
  <si>
    <t>Estação solarimétrica – Hukseflux  (Buritizeiro 2 )</t>
  </si>
  <si>
    <t>[CCC03540]</t>
  </si>
  <si>
    <t>Buritizeiro 2 _Estação solarimétrica</t>
  </si>
  <si>
    <t xml:space="preserve"> Supressão - Medição   (Buritizeiro 2)    NF 52 antiga  51</t>
  </si>
  <si>
    <t>Fat.Direito EPC (IMPLANTAR)</t>
  </si>
  <si>
    <t>COMPRA MATERIAIS PARA UFVs (BURITIZEIRO 2)   NF 34585</t>
  </si>
  <si>
    <t>[CCC03580]</t>
  </si>
  <si>
    <t>COMPRA MATERIAIS PARA UFVs (BURITIZEIRO 2)   NF 135/2022</t>
  </si>
  <si>
    <t xml:space="preserve">COMPRA MATERIAIS PARA UFVs (BURITIZEIRO 2)   NF 34618 </t>
  </si>
  <si>
    <t>COMPRA MATERIAIS PARA UFVs  (BURITIZEIRO 2)   NF 50477</t>
  </si>
  <si>
    <t>000605</t>
  </si>
  <si>
    <t>COMPRA MATERIAIS PARA UFVs  (BURITIZEIRO 2 )   NF 1758</t>
  </si>
  <si>
    <t>[CCC03621]</t>
  </si>
  <si>
    <t>000606</t>
  </si>
  <si>
    <t>COMPRA MATERIAIS PARA UFVs  (BURITIZEIRO 2 )   NF 43237</t>
  </si>
  <si>
    <t>000629</t>
  </si>
  <si>
    <t xml:space="preserve">COMPRA MATERIAIS PARA UFVs  (BURITIZEIRO 2 )   NF 1528  </t>
  </si>
  <si>
    <t>000607</t>
  </si>
  <si>
    <t>COMPRA MATERIAIS PARA UFVs  (BURITIZEIRO 2 )   NF 43236</t>
  </si>
  <si>
    <t>PRESTAÇÃO DE SERVIÇOS A UFVs  (BURITIZEIRO 2)    NF 134/2022</t>
  </si>
  <si>
    <t>[CCC03764]</t>
  </si>
  <si>
    <t>Serviço de levantamento topográfico para validação de terraplenagem (BURITIZEIRO 2)   NF   291</t>
  </si>
  <si>
    <t>COMPRA MATERIAIS PARA UFVs ( BURITIZEIRO 2)   NF 634</t>
  </si>
  <si>
    <t>[CCC03778]</t>
  </si>
  <si>
    <t>000676</t>
  </si>
  <si>
    <t xml:space="preserve">COMPRA MATERIAIS PARA UFVs  (BURITIZEIRO 2 )   NF  172 </t>
  </si>
  <si>
    <t>[CCC03695]</t>
  </si>
  <si>
    <t xml:space="preserve">COMPRA MATERIAIS PARA UFVs  (BURITIZEIRO 2 ) NF 1329 </t>
  </si>
  <si>
    <t xml:space="preserve">Compra feita em Faturamento Direto, em contrato em contrato de EPC visando a implantação da UFV. </t>
  </si>
  <si>
    <t>[CCC03726]</t>
  </si>
  <si>
    <t>COMPRA MATERIAIS PARA UFVs ( BURITIZEIRO 2)   NF   033</t>
  </si>
  <si>
    <t>[CCC03806]</t>
  </si>
  <si>
    <t>000789</t>
  </si>
  <si>
    <t>COMPRA MATERIAIS PARA UFVs ( BURITIZEIRO 2)   NF   24047</t>
  </si>
  <si>
    <t>[CCC03807]</t>
  </si>
  <si>
    <t>000799</t>
  </si>
  <si>
    <t>Desenvolvimento de projetos Executivos  - ENERSOLAR -  20%  ANALIADO -  (BURITIZEIRO 2 )    NF 128</t>
  </si>
  <si>
    <t>[CCC03819]</t>
  </si>
  <si>
    <t>000829</t>
  </si>
  <si>
    <t>COMPRA MATERIAIS PARA UFVs ( BURITIZEIRO 2)   NF 14289</t>
  </si>
  <si>
    <t>000833</t>
  </si>
  <si>
    <t>COMPRA MATERIAIS PARA UFVs ( BURITIZEIRO 2)   NF  49</t>
  </si>
  <si>
    <t>000900</t>
  </si>
  <si>
    <t>Serviços de  levantamento topográfico  UFVs ( BURITIZEIRO 2)   NF 143/2022</t>
  </si>
  <si>
    <t>000972</t>
  </si>
  <si>
    <t>Serviços de mão de obra  UFVs ( BURITIZEIRO 2)   NF  179/22</t>
  </si>
  <si>
    <t>COMPRA MATERIAIS PARA UFVs  (BURITIZEIRO 2)  NF 1343</t>
  </si>
  <si>
    <t>COMBUSTIVEL PARA ABASTECIMENTO</t>
  </si>
  <si>
    <t>COMPRA MATERIAIS PARA UFVs  (BURITIZEIRO 2)  NF 51524</t>
  </si>
  <si>
    <t>FERRAMENTAS</t>
  </si>
  <si>
    <t>COMPRA MATERIAIS PARA UFVs  (BURITIZEIRO 2 )  NF 150547</t>
  </si>
  <si>
    <t>CAMINHÃO PIPA</t>
  </si>
  <si>
    <t>COMPRA MATERIAIS PARA UFVs  ( BURITIZEIRO  2)  NF  29</t>
  </si>
  <si>
    <t>[CCC04051]</t>
  </si>
  <si>
    <t>REFEIÇÃO</t>
  </si>
  <si>
    <t>PRESTAÇÃO DE SERVIÇOS UFVs  (BURITIZEIRO 2)  NF  241/2022</t>
  </si>
  <si>
    <t>PRESTAÇÃO DE SERVIÇOS UFVs  (BURITIZEIRO 2)  NF  34</t>
  </si>
  <si>
    <t>000927</t>
  </si>
  <si>
    <t>Desenvolvimento de projetos Executivos  - ENERSOLAR -  20%  APROVADO  (BURITIZEIRO 2)    NF 140</t>
  </si>
  <si>
    <t>[CCC03922]</t>
  </si>
  <si>
    <t xml:space="preserve">COMPRA MATERIAIS PARA UFVs  ( BURITIZEIRO 2)  NF 1087  </t>
  </si>
  <si>
    <t>Estação solarimétrica – Hukseflux   UFVs ( BURITIZEIRO 2)   VINCULO PEDIDO 000510 A605   NF 4792</t>
  </si>
  <si>
    <t>001147</t>
  </si>
  <si>
    <t>MEDIÇÃO 1 PRESTAÇÃO DE SERVIÇOS  UFVs ( BURITIZEIRO 2)   NF  663</t>
  </si>
  <si>
    <t>PRESTAÇÃO DE SERVIÇOS UFVs  (BURITIZEIRO 2)  NF 150968</t>
  </si>
  <si>
    <t>Pagamento em Faturamento Direto, SERVIÇO DE TRANSPORTE, em contrato de obras EPC da UFV.</t>
  </si>
  <si>
    <t>001166</t>
  </si>
  <si>
    <t xml:space="preserve">PRESTAÇÃO DE SERVIÇOS UFVs  (BURITIZEIRO 2)  NF  5/2022 </t>
  </si>
  <si>
    <t>COMPRA MATERIAIS PARA UFVs  (BURITIZEIRO 2)  NF  1352</t>
  </si>
  <si>
    <t>PRESTAÇÃO DE SERVIÇOS UFVs  (BURITIZEIRO 2)  NF  825</t>
  </si>
  <si>
    <t xml:space="preserve">COMPRA MATERIAIS PARA UFVs   ( BURITIZEIRO 2 )  NF  434  W.A.S COMERCIAL </t>
  </si>
  <si>
    <t>Buritizeiro 2 _Obras MT_FD</t>
  </si>
  <si>
    <t xml:space="preserve">COMPRA MATERIAIS PARA UFVs  ( BURITIZEIRO 2 )  NF  26339  EXPONECIAL </t>
  </si>
  <si>
    <t>COMPRA MATERIAIS PARA UFVs  ( BURITIZEIRO 2 )  NF  52298  PREFAZ</t>
  </si>
  <si>
    <t>000777</t>
  </si>
  <si>
    <t xml:space="preserve">PRESTAÇÃO DE SERVIÇOS A UFVs  (BURITIZEIRO 2)    NF 015  </t>
  </si>
  <si>
    <t>COMPRA MATERIAIS PARA UFVs  ( BURITIZEIRO 2 )  NF  5376   NOJA POWER  (ENTREGA FUTURA ATE  05/2023)</t>
  </si>
  <si>
    <t>PRESTAÇÃO DE SERVIÇOS  UFVs  ( BURITIZEIRO 2 )  NF  966  DELTA</t>
  </si>
  <si>
    <t xml:space="preserve">COMPRA MATERIAIS PARA UFVs  ( BURITIZEIRO 2   )  NF 72941   LTB  RDA INTERNO  </t>
  </si>
  <si>
    <t>Buritizeiro 2_RDA - Rede de Distribuição Aerea</t>
  </si>
  <si>
    <t>PRESTAÇÃO DE SERVIÇOS UFVs ( BURITIZEIRO 2  )    NF  1194  CHAMIX  ###</t>
  </si>
  <si>
    <t>Pagamento de serviço de USINAGEM CONCRETO  em  Faturamento Direto, em contrato de obras EPC da UFV.</t>
  </si>
  <si>
    <t>PRESTAÇÃO DE SERVIÇOS UFVs ( BURITIZEIRO 2  )    NF  23   AGUIAR COMERCIO</t>
  </si>
  <si>
    <t>001064</t>
  </si>
  <si>
    <t>COMPRA MATERIAIS PARA UFVs  ( BURITIZEIRO 2)  NF   8174  ZETA POSTES  RDA INTERNA</t>
  </si>
  <si>
    <t>COMPRA MATERIAIS PARA UFVs  ( BURITIZEIRO 2 )  NF   26102   EXPONECIAL RDA INTERNO  PEDRO</t>
  </si>
  <si>
    <t>PRESTAÇÃO DE SERVIÇOS UFVS ( BURITIZEIRO 2)   NF 283</t>
  </si>
  <si>
    <t>COMPRA DE MATERIAIS UFVS (  BURITIZEIRO 2   ) EXPONENCIAL RDA INTERNO NF   26494</t>
  </si>
  <si>
    <t>PRESTAÇÃO DE SERVIÇOS UFVs  (BURITIZEIRO 2)  NF  39  JC LOCAÇÃO</t>
  </si>
  <si>
    <t> [CCC04271]</t>
  </si>
  <si>
    <t>001519</t>
  </si>
  <si>
    <t>COMPRA DE MATERIAIS  UFVs (BURITIZEIRO 2 )  NF 9022  PARAENG</t>
  </si>
  <si>
    <t xml:space="preserve">Pagamento de material SPDA, não entgra em faturamento direto, contrato EPC. </t>
  </si>
  <si>
    <t> [CCC04276]</t>
  </si>
  <si>
    <t>PRESTAÇÃO DE SERVIÇOS UFVs ( BURITIZEIRO 2) NF 4  AGUIAR COMERCIO</t>
  </si>
  <si>
    <t>PRESTAÇÃO DE SERVIÇOS UFVs ( BURITIZEIRO 2) NF 246627 EQUIPASEG COM FER E PROT LTDA</t>
  </si>
  <si>
    <t xml:space="preserve">PRESTAÇÃO DE SERVIÇOS UFVs ( BURITIZEIRO 2 NF 10 ELO LOCAÇÃO </t>
  </si>
  <si>
    <t>Pagamento em faturamento direto, referente ao Serviços de transporte de natureza municipal, em contrato EPC.</t>
  </si>
  <si>
    <t>001604</t>
  </si>
  <si>
    <t>PRESTAÇÃO DE SERVIÇOS UFVs ( BURITIZEIRO 2 NF 345 RONDA PORTEIROS</t>
  </si>
  <si>
    <t>COMPRA DE MATERIAIS UFVs ( BURITIZEIRO 2 NF 7805 POSTO PIRAPORA</t>
  </si>
  <si>
    <t>Compra de materiais em faturamento direto, em contrato EPC.</t>
  </si>
  <si>
    <t>001631</t>
  </si>
  <si>
    <t>COMPRA DE MATERIAIS UFVs ( BURITIZEIRO 2)  NF 1373 REDE SANTANA</t>
  </si>
  <si>
    <t>001632</t>
  </si>
  <si>
    <t>COMPRA DE MATERIAIS UFVs ( BURITIZEIRO 2)  NF 52  ESTER FERRAREZ</t>
  </si>
  <si>
    <t>001647</t>
  </si>
  <si>
    <t>COMPRA DE MATERIAIS UFVs (BURITIZEIRO 2)  NF 2409 INSTRUM BRASIL</t>
  </si>
  <si>
    <t>A609-ESTRELA DO NORTE INDAIABIRA SPE</t>
  </si>
  <si>
    <t xml:space="preserve">COMPRA DE MATERIAIS UFVs (INDAIABIRA 4 ) NF 102940 RUBBERPLASTIC </t>
  </si>
  <si>
    <t xml:space="preserve">Pagamento de serviços, REFERENTE A REFEIÇÃO, necessário à construção da UFV em contrato EPC . </t>
  </si>
  <si>
    <t> [CCC04358]</t>
  </si>
  <si>
    <t>PRESTAÇÃO DE SERVIÇOS UFVs (BURITIZEIRO 2) NF 8  RODRIGUES MACHADO</t>
  </si>
  <si>
    <t xml:space="preserve">Pagamento em faturamento direto,  REFERENTE A SERVIÇOS DE MANUTENÇÃO E INSTALAÇÃO ELETRICA , necessário à construção da UFV em contrato EPC . </t>
  </si>
  <si>
    <t> [CCC04370]</t>
  </si>
  <si>
    <t>PRESTAÇÃO DE SERVIÇOS UFVs (BURITIZEIRO 1) NF 44 ESTER FERRAREZ</t>
  </si>
  <si>
    <t xml:space="preserve">PRESTAÇÃO DE SERVIÇOS UFVs ( BURITIZEIRO 2)  NF 11 DELZENY PEREIRA   </t>
  </si>
  <si>
    <t>Fev.23</t>
  </si>
  <si>
    <t>001694</t>
  </si>
  <si>
    <t>PRESTAÇÃO DE SERVIÇOS MEDIÇÃO 2  UFVS ( BUTIRIZEIRO 2)    NF 670</t>
  </si>
  <si>
    <t> [CCC04395]</t>
  </si>
  <si>
    <t>001827</t>
  </si>
  <si>
    <t xml:space="preserve">DAE - Dispença de Licenciamento ambiental UFVs(  BURITIZEIRO 2)   NF 989   JULLIA MARIA </t>
  </si>
  <si>
    <t> [CCC04504]</t>
  </si>
  <si>
    <t>001708</t>
  </si>
  <si>
    <t>COMPRA DE MATERIAIS  UFVs (BURITIZEIRO 2) NF 93506 SELENA</t>
  </si>
  <si>
    <t>001709</t>
  </si>
  <si>
    <t>COMPRA DE MATERIAIS  UFVs (BURITIZEIRO 2) NF 225131 FRONTEC INDUSTRIA</t>
  </si>
  <si>
    <t>001726</t>
  </si>
  <si>
    <t xml:space="preserve">COMPRA DE MATERIAIS  UFVs (BURITIZEIRO 2) NF 35502 NEWTON ALVES   </t>
  </si>
  <si>
    <t>001724</t>
  </si>
  <si>
    <t xml:space="preserve">COMPRA DE MATERIAIS  UFVs (BURITIZEIRO 2) NF 125827 LOJA DOS PARAFUSOS   </t>
  </si>
  <si>
    <t>001749</t>
  </si>
  <si>
    <t xml:space="preserve">PRESTAÇÃO DE SERVIÇOS UFVs (BURUTIZEIRO 2) NF 06 AGUIAR </t>
  </si>
  <si>
    <t>Pagamento referente a prestação de serviço, em contrato EPC.</t>
  </si>
  <si>
    <t>001751</t>
  </si>
  <si>
    <t>PRESTAÇÃO DE SERVIÇOS UFVs (BURUTIZEIRO 2) NF 1379 REDE SANTANA</t>
  </si>
  <si>
    <t>001755</t>
  </si>
  <si>
    <t>COMPRA DE MATERIAL UFVs (BURITIZEIRO 2) NF 38823 NORTESUL</t>
  </si>
  <si>
    <t>001759</t>
  </si>
  <si>
    <t xml:space="preserve">COMPRA DE MATERIAL UFVs (BURITIZEIRO 2) NF 8 </t>
  </si>
  <si>
    <t>001760</t>
  </si>
  <si>
    <t>PRESTAÇÃO DE SERVIÇOS UFVs (BURUTIZEIRO 2) NF 11 ELO LOCAÇÃO</t>
  </si>
  <si>
    <t>001767</t>
  </si>
  <si>
    <t>COMPRA DE MATERIAL UFVs (BURITIZEIRO 2) NF 138248 LOJA ELÉTRICA</t>
  </si>
  <si>
    <t>001771</t>
  </si>
  <si>
    <t>COMPRA DE MATERIAL UFVs (BURITIZEIRO 2) NF 19128 LOJA ELÉTRICA</t>
  </si>
  <si>
    <t>001770</t>
  </si>
  <si>
    <t>COMPRA DE MATERIAIS UFVs (BURITIZEIRO 2) NF 53 ESTER FERRAZ</t>
  </si>
  <si>
    <t>Pagamento em faturamento direto, referente a REFEIÇÃO , em contrato EPC.</t>
  </si>
  <si>
    <t> [CCC04445]</t>
  </si>
  <si>
    <t>001775</t>
  </si>
  <si>
    <t xml:space="preserve">PRESTAÇÃO DE SERVIÇOS UFVS ( BURITIZEIRO 2 )  NF 481  R&amp;M PAULO DE OLIVEIRA  </t>
  </si>
  <si>
    <t>Pagamento em faturamento direto, referente a Assistência em exames ocupacionais conforme levantamento no período de 25-10-2022 a 14-12-2022, em contrato EPC.</t>
  </si>
  <si>
    <t>001834</t>
  </si>
  <si>
    <t>COMPRA DE MATERIAL UFVs ( BURITIZERO 2) NF 57  ESTER FERRAREZ MOREIRA</t>
  </si>
  <si>
    <t>001844</t>
  </si>
  <si>
    <t>PRESTAÇÃO DE SERVIÇOS UFVs (BURITIZERO 2) NF 14 RODRIGUES MACHADO SERVIÇOS</t>
  </si>
  <si>
    <t> [CCC04515]</t>
  </si>
  <si>
    <t>Acertado com Wendel trata-se de Buritizeiro 2.</t>
  </si>
  <si>
    <t>001835</t>
  </si>
  <si>
    <t>PRESTAÇÃO DE SERVIÇOS UFVs (BURITIZERO 1) NF 401 RONDA PORTEIROS LTDA</t>
  </si>
  <si>
    <t>001714</t>
  </si>
  <si>
    <t>COMPRA DE MATERIAIS  UFVs (BURITIZEIRO1) NF 132150 LOJA ELÉTRICA</t>
  </si>
  <si>
    <t>001902</t>
  </si>
  <si>
    <t>PRESTAÇÃO DE SERVIÇOS UFVs (BURITIZEIRO 2)   NF  12  ELO LOCAÇÃO</t>
  </si>
  <si>
    <t>Pagamento em faturamento direto, referente a serviço de locação, em contrato EPC.</t>
  </si>
  <si>
    <t>001903</t>
  </si>
  <si>
    <t>PRESTAÇÃO DE SERVIÇOS UFVs (BURITIZEIRO 2)   NF  16 AGUIAR COMERCIO</t>
  </si>
  <si>
    <t>001920</t>
  </si>
  <si>
    <t>PRESTAÇÃO DE SERVIÇOS MEDIÇÃO 3  UFVS ( BUTIRIZEIRO 2)    NF  672</t>
  </si>
  <si>
    <t> [CCC04576]</t>
  </si>
  <si>
    <t>001915</t>
  </si>
  <si>
    <t>COMPRA DE MATERIAIS UFVs (BURITIZEIRO 2)   NF  59 ESTER FERRAREZ</t>
  </si>
  <si>
    <t> [CCC04571]</t>
  </si>
  <si>
    <t>001936</t>
  </si>
  <si>
    <t xml:space="preserve">PRESTAÇÃO DE SERVIÇOS UFVs ( BURITIZEIRO 2) NF 14 DELZENY </t>
  </si>
  <si>
    <t>Pagamento em faturamento direto  referente  ao ALUGUEL DE CAMINHÃO PIPA DO DIA 22/02/2023 A 21/03/2023,  necessários a construção da USINA, em contrato EPC.</t>
  </si>
  <si>
    <t>001938</t>
  </si>
  <si>
    <t>COMPRA DE MATERIAIS UFVs( BURITIZEIRO 2) NF 7838 POSTO PIRAPORA</t>
  </si>
  <si>
    <t>Pagamento em faturamento direto  referente  ao serviço de transporte fluvial,  necessários a construção da USINA, em contrato EPC.</t>
  </si>
  <si>
    <t>001939</t>
  </si>
  <si>
    <t>COMPRA DE MATERIAIS UFVs( BURITIZEIRO 2) NF 8065 MADEREIRA JAMAR</t>
  </si>
  <si>
    <t>Pagamento em faturamento direto  referente  a compra de materiais,  necessários a construção da USINA, em contrato EPC.</t>
  </si>
  <si>
    <t> [CCC04600]</t>
  </si>
  <si>
    <t>001963</t>
  </si>
  <si>
    <t>COMPRA DE MATERIAIS  UFVs( BURITIZEIRO 2) NF 39766     NORTE SUL</t>
  </si>
  <si>
    <t>001996</t>
  </si>
  <si>
    <t>PRESTAÇÃO DE SERVIÇOS  UFVs ( BURITIZEIRO2)  NF 14 ELO LOCAÇÃO</t>
  </si>
  <si>
    <t>Pagamento em faturamento direto referente ao serviço de locação, necessário a construção da usina, em contrato EPC.</t>
  </si>
  <si>
    <t>001997</t>
  </si>
  <si>
    <t>COMPRA DE MATERIAIS  UFVs( BURITIZEIRO 2) NF 160048  LOJA ELETRICA</t>
  </si>
  <si>
    <t>Pagamento em faturamento direto referente a COMPRA DE MATERIAIS, necessário a construção da usina, em contrato EPC.</t>
  </si>
  <si>
    <t>001998</t>
  </si>
  <si>
    <t xml:space="preserve">PRESTAÇÃO DE SERVIÇOS  UFVs ( BURITIZEIRO 2)  NF 525 RONDA PORTEIROS </t>
  </si>
  <si>
    <t>001999</t>
  </si>
  <si>
    <t>PRESTAÇÃO DE SERVIÇOS  UFVs ( BURITIZEIRO 2)  NF 15  DELZENY PEREIRA</t>
  </si>
  <si>
    <t>Pagamento em faturamento direto referente a ALUGUEL DE CAMINHÃO PIPA  necessário a construção da usina, em contrato EPC.</t>
  </si>
  <si>
    <t> [CCC04655]</t>
  </si>
  <si>
    <t>002000</t>
  </si>
  <si>
    <t>COMPRA DE MATERIAIS  UFVs( BURITIZEIRO 2) NF 69  ESTER FERRAREZ</t>
  </si>
  <si>
    <t>Pagamento em faturamento direto referente a CAMPRA DE REFEIÇÃO, necessário a construção da usina, em contrato EPC.</t>
  </si>
  <si>
    <t>002001</t>
  </si>
  <si>
    <t>PRESTAÇÃO DE SERVIÇOS  UFVs ( BURITIZEIRO 2)  NF 17  AGUIAR COMERCIO</t>
  </si>
  <si>
    <t>Pagamento em faturamento direto referente a CONTRATAÇÃO DE EQUIPAMENTO RETROESCAVADEIRA  necessário a construção da usina, em contrato EPC.</t>
  </si>
  <si>
    <t xml:space="preserve"> AGUIAR COMERCIO</t>
  </si>
  <si>
    <t>002010</t>
  </si>
  <si>
    <t>PRESTAÇÃO DE SERVIÇOS  UFVs ( BURITIZEIRO 2)  NF 18  RODRIGUES MACHADO</t>
  </si>
  <si>
    <t>Pagamento em faturamento direto referente a SEVIÇO DE MÃO DE OBRA, necessário a construção da usina, em contrato EPC.</t>
  </si>
  <si>
    <t>002011</t>
  </si>
  <si>
    <t>COMPRA DE MATERIAIS  UFVs( BURITIZEIRO 2) NF 23  MARIZETE SOUZA</t>
  </si>
  <si>
    <t>Pagamento em faturamento direto referente a COMPRA DE MATERIAIS  necessário a construção da usina, em contrato EPC.</t>
  </si>
  <si>
    <t>002012</t>
  </si>
  <si>
    <t>PRESTAÇÃO DE SERVIÇOS  UFVs ( BURITIZEIRO 2)  NF 1 RODRIGO ANTONIO</t>
  </si>
  <si>
    <t>002013</t>
  </si>
  <si>
    <t>PRESTAÇÃO DE SERVIÇOS  UFVs ( BURITIZEIRO 2)  NF 12 SOLARIMPLANTA</t>
  </si>
  <si>
    <t>002023</t>
  </si>
  <si>
    <t>PRESTAÇÃO DE SERVIÇOS UFVs ( BURITIZEIRO 2) NF 11021998  LUCAS GERADORES</t>
  </si>
  <si>
    <t>Pagamento em faturmento direto referente a locação de gerador, em contrato EPC.</t>
  </si>
  <si>
    <t> [CCC04680]</t>
  </si>
  <si>
    <t>002096</t>
  </si>
  <si>
    <t>PRESTAÇÃO DE SERVIÇOS UFVs ( BURITIZEIRO 2)  NF  207   MG MANUTENÇÃO</t>
  </si>
  <si>
    <t>Pagamento em faturamento direto, refrente a prestação de serviço de locação de caminhão , necessário à construção da UFV, em contrato EPC.</t>
  </si>
  <si>
    <t> [CCC04758]</t>
  </si>
  <si>
    <t>002097</t>
  </si>
  <si>
    <t>PRESTAÇÃO DE SERVIÇOS UFVs ( BURITIZEIRO 2)  NF  71      ESTER FERRAREZ</t>
  </si>
  <si>
    <t>Pagamento em faturamento direto, refrente a compra de refeição , necessário à construção da UFV, em contrato EPC.</t>
  </si>
  <si>
    <t>002098</t>
  </si>
  <si>
    <t>PRESTAÇÃO DE SERVIÇOS UFVs ( BURITIZEIRO 2)  NF  8181 MADEREIRA JAMAR</t>
  </si>
  <si>
    <t>Pagamento em faturamento direto, refrente a compra materiais , necessário à construção da UFV, em contrato EPC.</t>
  </si>
  <si>
    <t>002115</t>
  </si>
  <si>
    <t>PRESTAÇÃO DE SERVIÇOS UFVs ( BURITIZEIRO 2) NF  4  PAULO DE OLIVEIRA  CADASTRO</t>
  </si>
  <si>
    <t>Pagamento em faturamento direto referente a prestação de serviço de assistência em exames ocupacionais  , necessário a construção da usinas em contrato EPC.</t>
  </si>
  <si>
    <t>002094</t>
  </si>
  <si>
    <t>PRESTAÇÃO DE SERVIÇOS UFVs ( BURITIZEIRO 2) NF 588 RONDA PORTEIROS</t>
  </si>
  <si>
    <t>002133</t>
  </si>
  <si>
    <t>PRESTAÇÃO DE SERVIÇOS UFVs (BURITIZEIRO 2) NF 20  RODRIGUES MACHADO</t>
  </si>
  <si>
    <t>Pagamento em faturamento direto referente a prestação de serviço de montagem de módulos fotovoltáicos , necessário a construção da usinas em contrato EPC.</t>
  </si>
  <si>
    <t> [CCC04784]</t>
  </si>
  <si>
    <t>002142</t>
  </si>
  <si>
    <t>COMPRA DE MATERIAIS UFvs (BURITIZEIRO 2) NF  58123  PREFAZ</t>
  </si>
  <si>
    <t>14367 - MT. APENAS PARA ESCRITURAÇÃO FISCAL, NÃO GERA FINANCEIRO</t>
  </si>
  <si>
    <t>A608-ESTRELA DO NORTE GUARDA-MOR SPE</t>
  </si>
  <si>
    <t>Revisão de coordenograma de proteção em função de alteração da potência dos transformadores  (UFV Guarda-mor )</t>
  </si>
  <si>
    <t>[CCC03446]</t>
  </si>
  <si>
    <t>Guarda mor 1_Projeto/Coordenograma</t>
  </si>
  <si>
    <t>Reatores de aterramento ADELCO (Guarda Mor 1)</t>
  </si>
  <si>
    <t>Modelos 13,8kv - Pot:500kW Xreator: 50,8Ω (RNA 134750-7); Pot:1000kW Xreator: 25,4Ω (RNA 67376-13); Pot:1000kW Xreator: 25,4Ω (RNA 67376-13)</t>
  </si>
  <si>
    <t>Guarda mor 1</t>
  </si>
  <si>
    <t>000003</t>
  </si>
  <si>
    <t>Projeto de cabine primária  - PROJETTI - 100% (Guarda mor 1)</t>
  </si>
  <si>
    <t>[CCC02893-08]</t>
  </si>
  <si>
    <t>JX AMBIENTAL - Taxa de Compensação (Guarda Mor 1)</t>
  </si>
  <si>
    <t>[CCC03073-01]</t>
  </si>
  <si>
    <t>Guarda mor 1 _Outros</t>
  </si>
  <si>
    <t>JX AMBIENTAL - Taxa de Reposição Florestal (Guarda Mor 1)</t>
  </si>
  <si>
    <t>[CCC03073-02]</t>
  </si>
  <si>
    <t>000180</t>
  </si>
  <si>
    <t>Transporte de Postes (Guarda mor 1)</t>
  </si>
  <si>
    <t>[CCC03225-01]</t>
  </si>
  <si>
    <t>GuardaMor 1 - CAPEX - Serviço MT - CCAP-C2-000059</t>
  </si>
  <si>
    <t>Guarda mor 1 _Obras MT_FD</t>
  </si>
  <si>
    <t>000181</t>
  </si>
  <si>
    <t>Postes de concreto (Guarda mor 1)</t>
  </si>
  <si>
    <t>[CCC03225-02]</t>
  </si>
  <si>
    <t>Execução de rede de distribuição (Guarda Mor 1)</t>
  </si>
  <si>
    <t>[CCC03313]</t>
  </si>
  <si>
    <t>Construção e Montagem WEG - Medição 1 - Adiantamento (Guarda Mor 1)</t>
  </si>
  <si>
    <t>[CCC03330-14]</t>
  </si>
  <si>
    <t>Guarda mor 1_Full EPC - Turn Key</t>
  </si>
  <si>
    <t>000383</t>
  </si>
  <si>
    <t>CANCELADO  -  Construção e Montagem WEG - Medição 2 - Entrega de POs (Guarda Mor 1)</t>
  </si>
  <si>
    <t>[CCC03352-14]</t>
  </si>
  <si>
    <t>ART Inst. elétricas - Distribuidoras CEMIG - Modificações Complexas (Guarda Mor 1)</t>
  </si>
  <si>
    <t>[CCC03395-02]</t>
  </si>
  <si>
    <t>Religadores (Guarda Mor 1)UFV. NF 329</t>
  </si>
  <si>
    <t>Compra feita em Faturamento Direto, em contrato de obras MT externas à UFV. NF 329</t>
  </si>
  <si>
    <t>[CCC03383]</t>
  </si>
  <si>
    <t>Serviços Concert (Guarda mor 1) NF 064</t>
  </si>
  <si>
    <t>[CCC03478]</t>
  </si>
  <si>
    <t>Serviços Concert (Guarda mor 1) NF 065</t>
  </si>
  <si>
    <t>000576</t>
  </si>
  <si>
    <t>DAE - Dispença de Licenciamento ambiental UFV  ( GUARDA MOR )    N 37955214000121</t>
  </si>
  <si>
    <t>[CCC03610]</t>
  </si>
  <si>
    <t>DAE - Dispença de Licenciamento ambiental UFV  ( GUARDA MOR     N1900018638431</t>
  </si>
  <si>
    <t>Construção e Montagem WEG - Medição 2 - Entrega de POs (Guarda Mor 1)</t>
  </si>
  <si>
    <t>0002Medição (Full-EPC)</t>
  </si>
  <si>
    <t>000454</t>
  </si>
  <si>
    <t>Construção e Montagem WEG- INTEGRADOR - ONE ENERGY ) - EVENTO 2 -  ( GUARDA MOR 1 ) NF 12</t>
  </si>
  <si>
    <t>Pagamento de medição contratual, suportada pelo 2o marco de contrato FullEPC de construção da UFV . EVENTO 2</t>
  </si>
  <si>
    <t>000664</t>
  </si>
  <si>
    <t>MRO - Terraplanagem UFVs Full-EPC -   1° MEDIÇAO ( Guarda Mor )   NF 364  VALOR A SER PG R$ 99.021,75</t>
  </si>
  <si>
    <t>[CCC03693]</t>
  </si>
  <si>
    <t>Guarda mor 1_Obras Terraplanagem</t>
  </si>
  <si>
    <t xml:space="preserve">Construção e Montagem WEG - Medição 5 - Entrega dos módulos na obra (Guarda Mor 1) </t>
  </si>
  <si>
    <t>[CCC03741]</t>
  </si>
  <si>
    <t>0005Medição (Full-EPC)</t>
  </si>
  <si>
    <t>001103</t>
  </si>
  <si>
    <t>MEDIÇÃO MENSAL OUT /2022 UFVs  ( Guarda Mor  )   AFAPLAN   NF  7363</t>
  </si>
  <si>
    <t>Guarda mor 1_Engenharia de Proprietario</t>
  </si>
  <si>
    <t xml:space="preserve">Mobilização  WEG -  EVENTO 3 -UFVs( GUARDA MOR )  </t>
  </si>
  <si>
    <t>Pagamento de medição contratual, mobilização dos canteiro de obras, Evento 3 de contrato FullEPC de construção da UFV . PROFORMA  EVENTO 3</t>
  </si>
  <si>
    <t>[CCC03963]</t>
  </si>
  <si>
    <t>0003Medição (Full-EPC)</t>
  </si>
  <si>
    <t>Transporte de equipamentos (Guarda Mor 1)</t>
  </si>
  <si>
    <t>[CCC03076]</t>
  </si>
  <si>
    <t>Guarda mor 1_Obras AT_FD</t>
  </si>
  <si>
    <t>[CCC03057]</t>
  </si>
  <si>
    <t>[CCC03058]</t>
  </si>
  <si>
    <t>000116</t>
  </si>
  <si>
    <t>Medição 01 (Guarda Mor 1)</t>
  </si>
  <si>
    <t>[CCC03188-01]</t>
  </si>
  <si>
    <t>Guarda mor 1_Obras AT_MD</t>
  </si>
  <si>
    <t>[CCC03188-03]</t>
  </si>
  <si>
    <t>Guarda mor 1 _Obras MT_MD</t>
  </si>
  <si>
    <t>Religadores (Guarda Mor 1) - NF 3697</t>
  </si>
  <si>
    <t>MEDIÇÃO MENSAL UFVs  ( Guarda Mor  )   AFAPLAN   NF  7883</t>
  </si>
  <si>
    <t>Medição 02 (Guarda Mor 1)</t>
  </si>
  <si>
    <t>[CCC03222-11]</t>
  </si>
  <si>
    <t>000998</t>
  </si>
  <si>
    <t xml:space="preserve"> WEG PRESTAÇÃO DE SERVIÇOS   UFVs (GUARDA MOR )  INTEGRADOR INNOVA ENERGY   NF  14 -  EVENTO 3  </t>
  </si>
  <si>
    <t>Pagamento de medição contratual, mobilização dos canteiro de obras, Evento 3 de contrato FullEPC de construção da UFV . EVENTO 3</t>
  </si>
  <si>
    <t>001702</t>
  </si>
  <si>
    <t>WEG PRESTAÇÃO DE SERVIÇOS UFVs ( GUARDA MOR )   ADIANTAMENTO   EVENTO 4</t>
  </si>
  <si>
    <t> [CCC04397]</t>
  </si>
  <si>
    <t>APOLO</t>
  </si>
  <si>
    <t>PROEL ESTRELA DO NORTE (Guarda Mor 1)</t>
  </si>
  <si>
    <t>PROEL ENGENHARIA LTDA</t>
  </si>
  <si>
    <t>[CCC02605]</t>
  </si>
  <si>
    <t>COOPER POWER SYSTEMS DO BRASIL LTDA</t>
  </si>
  <si>
    <t>BALTEAU PRODUTOS ELETRICOS LTDA</t>
  </si>
  <si>
    <t>001703</t>
  </si>
  <si>
    <t xml:space="preserve">WEG PRESTAÇÃO DE SERVIÇOS UFVs ( GUARDA MOR )   ADIANTAMENTO   EVENTO 6  </t>
  </si>
  <si>
    <t>Pagamento MEDIÇÃO MONTAGEM 100% DAS MESAS , contrato FULL EPC WEG. EVENTO 6</t>
  </si>
  <si>
    <t> [CCC04398]</t>
  </si>
  <si>
    <t>001736</t>
  </si>
  <si>
    <t>WEG PRESTAÇÃO DE SERVIÇOS UFVs ( GUARDA MOR)  NF 26877 INTEGRADOR  GTEL  EVENTO 6</t>
  </si>
  <si>
    <t>Pagamento de medição referente a montagem de 100% das mesas, em contrato FullEPC de construção da UFV.  EVENTO 6</t>
  </si>
  <si>
    <t> [CCC04419]</t>
  </si>
  <si>
    <t>001739</t>
  </si>
  <si>
    <t>PRESTAÇÃO DE SERVIÇOS UFVs( GUARDA MOR) NF 2503</t>
  </si>
  <si>
    <t> [CCC04425]</t>
  </si>
  <si>
    <t>001814</t>
  </si>
  <si>
    <t>PRESTAÇÃO DE SERVIÇOS UFVs ( GUARDA MOR) NF 2514</t>
  </si>
  <si>
    <t>Pagamento de medição referente a prestação de serviço de montagem e instalação elétrica de redes de distribuição de energia rural, em contrato MT.</t>
  </si>
  <si>
    <t> [CCC04490]</t>
  </si>
  <si>
    <t>001800</t>
  </si>
  <si>
    <t>MEDIÇÃO MENSAL UFVs  ( Guarda Mor  )   AFAPLAN   NF  8038</t>
  </si>
  <si>
    <t>001889</t>
  </si>
  <si>
    <t xml:space="preserve">MEDIÇÃO MENSAL UFVs  ( Guarda Mor  )   AFAPLAN   NF  </t>
  </si>
  <si>
    <t>001943</t>
  </si>
  <si>
    <t>WEG PRESTAÇÃO DE SERVIÇOS UFVs ( GUARDA MOR )   ADIANTAMENTO   EVENTO 7</t>
  </si>
  <si>
    <t>Pagamento medição, refrente a Conclusão das conexões CC e CA contrato FULL EPC WEG. EVENTO 7</t>
  </si>
  <si>
    <t> [CCC04613]</t>
  </si>
  <si>
    <t>001995</t>
  </si>
  <si>
    <t>DAE - Dispensa  de Licenciamento ambiental UFVs( GUARDA MOR)   N 4500025803867</t>
  </si>
  <si>
    <t>002021</t>
  </si>
  <si>
    <t>PRESTAÇÃO DE SERVIÇOS UFVs ( GUARDA MOR) NF 10  SRJ PROTEÇÃO</t>
  </si>
  <si>
    <t>Pagamento referente ao serviços de  Parametrização e testes nas 3 proteções Siemens 7SR5111, teste de comissionamento da proteção e medição de sequencia de fase, necessáriso a construção das usinas.</t>
  </si>
  <si>
    <t> [CCC04678]</t>
  </si>
  <si>
    <t>002035</t>
  </si>
  <si>
    <t>002074</t>
  </si>
  <si>
    <t>COMPRA DE MATERIAIS UFvs ( GUARDAMOR ) NF 2026</t>
  </si>
  <si>
    <t>Guarda mor 1 _SGD</t>
  </si>
  <si>
    <t>002085</t>
  </si>
  <si>
    <t>PRESTAÇÃO DE SERVIÇOS UFVs ( GUARDA MOR ) NF 636 JX AMBIENTAL</t>
  </si>
  <si>
    <t>002183</t>
  </si>
  <si>
    <t>WEG PRESTAÇÃO DE SERVIÇO  UFVs ( GUARDA MOR)   ENGECON  NF  360</t>
  </si>
  <si>
    <t>Pagamento de medição 1,  referente aos serviços de drenagem,  necessário à construção da UFV.  Medição 80%</t>
  </si>
  <si>
    <t> [CCC04816]</t>
  </si>
  <si>
    <t>002177</t>
  </si>
  <si>
    <t>PRESTAÇÃO DE SERVIÇOS UFVs (GUARDA-MOR)  NF 576     RONDA PORTEIROS</t>
  </si>
  <si>
    <t>002178</t>
  </si>
  <si>
    <t>PRESTAÇÃO DE SERVIÇOS UFVs (GUARDA-MOR)  NF 648     RONDA PORTEIROS</t>
  </si>
  <si>
    <t>002134</t>
  </si>
  <si>
    <t>PRESTAÇÃO DE SERVIÇOS UFVs (GUARDAMOR) NF 121   ATI</t>
  </si>
  <si>
    <t>002153</t>
  </si>
  <si>
    <t>PRESTAÇÃO DE SERVIÇOS UFVs (GUARDA MOR)  NF 1058   NORTE CONEXÃO</t>
  </si>
  <si>
    <t>Pagamento em faturamento direto referente a serviço de lançamento e fusão de fibra óptica , necessário a construção da usinas.</t>
  </si>
  <si>
    <t>SCOMP-000020</t>
  </si>
  <si>
    <t>Reatores de aterramento ADELCO (Indaiabira 1)</t>
  </si>
  <si>
    <t>Medição (MBA-  MT)</t>
  </si>
  <si>
    <t>MEDIÇÃO  PRESTAÇÃO DE SERVIÇOS ( INDAIABIRA 1 )    NF 2423</t>
  </si>
  <si>
    <t>Pagamento de serviço restação de serviço de extensão de rede de distribuição rural e urbana, para atender à UFV.</t>
  </si>
  <si>
    <t>Indaiabira 1 _Obras MT_MD</t>
  </si>
  <si>
    <t>000088</t>
  </si>
  <si>
    <t>Limpeza de terreno - Ildefonso - 30% iniciais (Indaiabira 1)</t>
  </si>
  <si>
    <t>[CCC03112-01]</t>
  </si>
  <si>
    <t>Indaiabira 1 _Outros</t>
  </si>
  <si>
    <t>000107</t>
  </si>
  <si>
    <t>Archtech - Testes de PullOuT_Biotec - Adiantamento (Indaiabira 1)</t>
  </si>
  <si>
    <t>[CCC03145-49]</t>
  </si>
  <si>
    <t>000042</t>
  </si>
  <si>
    <t>Serviço de SPT - BIOTEC - 35% iniciais (Indaiabira 1) - Campanha 4</t>
  </si>
  <si>
    <t>[CCC02955-03]</t>
  </si>
  <si>
    <t>Limpeza de terreno - Ildefonso - 30% intermediários (Indaiabira 1)</t>
  </si>
  <si>
    <t>[CCC03195]</t>
  </si>
  <si>
    <t>000171</t>
  </si>
  <si>
    <t>JX AMBIENTAL - Procedimento Administrativo - DAIA corretivo - 01de03 (Indaiabira 1)</t>
  </si>
  <si>
    <t>Parcela inicial de serviço de consultoria contratado cumprimento de legislação ambiental.</t>
  </si>
  <si>
    <t>[CCC03232-20]</t>
  </si>
  <si>
    <t>000170</t>
  </si>
  <si>
    <t>JX AMBIENTAL - Procedimento Administrativo - DAIA de implantação de UFV - 02de03 - (Indaiabira 1)</t>
  </si>
  <si>
    <t>[CCC03230-05]</t>
  </si>
  <si>
    <t>JX AMBIENTAL - DAIA corretivo - Taxa de análise (Indaiabira 1)</t>
  </si>
  <si>
    <t>Taxa necessária à avaliação de intervenção ambiental na UFV.</t>
  </si>
  <si>
    <t>[CCC03241-01]</t>
  </si>
  <si>
    <t>JX AMBIENTAL - DAIA corretivo - Taxa Florestal de lenha (Indaiabira 1)</t>
  </si>
  <si>
    <t>[CCC03241-02]</t>
  </si>
  <si>
    <t>JX AMBIENTAL - DAIA corretivo - Taxa Florestal de madeira (Indaiabira 1)</t>
  </si>
  <si>
    <t>[CCC03241-03]</t>
  </si>
  <si>
    <t>JX AMBIENTAL - DAIA corretivo - Taxa de reposição - Lenha (Indaiabira 1)</t>
  </si>
  <si>
    <t>[CCC03241-04]</t>
  </si>
  <si>
    <t>JX AMBIENTAL - DAIA corretivo - Taxa de reposição - Madeira (Indaiabira 1)</t>
  </si>
  <si>
    <t>[CCC03241-05]</t>
  </si>
  <si>
    <t>Archtech - Testes de PullOuT_Biotec - Finalização (Indaiabira 1)</t>
  </si>
  <si>
    <t>[CCC03265-49]</t>
  </si>
  <si>
    <t>SUPERVISORIO - Ciclo 2 - Gateways e remota (Indaiabira 1) NF 1801</t>
  </si>
  <si>
    <t>[CCC03235-03]</t>
  </si>
  <si>
    <t>Indaiabira 1 _SGD</t>
  </si>
  <si>
    <t>SUPERVISORIO - Ciclo 2 - Baterias, desktops, switch e acessórios (Indaiabira 1) NF 1820</t>
  </si>
  <si>
    <t>[CCC03235-22]</t>
  </si>
  <si>
    <t>Construção e Montagem WEG - Medição 1 - Adiantamento (Indaiabira 1)</t>
  </si>
  <si>
    <t>[CCC03330-15]</t>
  </si>
  <si>
    <t>Indaiabira 1_Full EPC - Turn Key</t>
  </si>
  <si>
    <t>000384</t>
  </si>
  <si>
    <t>CANCELADO  -  Construção e Montagem WEG - Medição 2 - Entrega de POs (Indaiabira 1)</t>
  </si>
  <si>
    <t>[CCC03352-15]</t>
  </si>
  <si>
    <t>000435</t>
  </si>
  <si>
    <t>Limpeza de terreno - Ildefonso - Medição FINAL - Descontando retenção (Indaiabira 1)  NF 48</t>
  </si>
  <si>
    <t>[CCC03426]</t>
  </si>
  <si>
    <t>000466</t>
  </si>
  <si>
    <t>MRO - Terraplanagem UFVs Full-EPC - Adiantamento contratual de 15% ( Guarda Mor, Indaiabira 1 e 2)</t>
  </si>
  <si>
    <t>[CCC03474]</t>
  </si>
  <si>
    <t>Indaiabira 1_Obras Terraplanagem</t>
  </si>
  <si>
    <t>MRO - Terraplanagem UFVs Full-EPC -  MEDIÇÃO FINAL  AVANÇO 35% FINAIS  (INDAIABIRA 1) NF  410</t>
  </si>
  <si>
    <t>Pagamento  referente a 35% FINAIS, dos serviços  necessário à construção da UFV.</t>
  </si>
  <si>
    <t>000608</t>
  </si>
  <si>
    <t>DAE - Dispença de Licenciamento ambiental UFV  ( INDAIABIRA 1-2-3-4) N 1900018632808</t>
  </si>
  <si>
    <t>[CCC03623]</t>
  </si>
  <si>
    <t>DAE - Dispença de Licenciamento ambiental UFV   ( INDAIABIRA 1-2-3-4)  1900018632727</t>
  </si>
  <si>
    <t>000663</t>
  </si>
  <si>
    <t>MRO - Terraplanagem UFVs Full-EPC -   1° MEDIÇAO ( Indaiabira 1 )    NF  363     VALOR A SER PG R$ 55.874,82</t>
  </si>
  <si>
    <t>[CCC03694]</t>
  </si>
  <si>
    <t>000573</t>
  </si>
  <si>
    <t>Compra módulos e inversores WEG( integrador GTEL ) - Medição 2  ( INDAIABIRA 1)    NF 25869</t>
  </si>
  <si>
    <t>Pagamento de medição contratual, de contrato FullEPC de construção da UFV</t>
  </si>
  <si>
    <t>[CCC03602]</t>
  </si>
  <si>
    <t>000628</t>
  </si>
  <si>
    <t>Levantamento planaltimétrico UFVs (INDAIABIRA 1- 2- 3 -4 )  ADIANTAMENTO</t>
  </si>
  <si>
    <t>Pagamento de adiantamento, referente  levantamento planaltimétrico  necessários a construção das UFVs</t>
  </si>
  <si>
    <t>[CCC03632]</t>
  </si>
  <si>
    <t>MEDIÇÃO MENSAL UFVs (  Indaiabira 1  )   AFAPLAN   NF  7884</t>
  </si>
  <si>
    <t>Indaiabira 1_Engenharia de Proprietario</t>
  </si>
  <si>
    <t xml:space="preserve">Mobilização  WEG - Medição 5 - UFVs (INDAIABIRA 1)  </t>
  </si>
  <si>
    <t>[CCC03927]</t>
  </si>
  <si>
    <t>Mobilização  WEG - Medição 5 - UFVs (INDAIABIRA 1) INTEGRADOR GETEL   NF  26265</t>
  </si>
  <si>
    <t xml:space="preserve"> WEG  PRESTAÇÃO DE SERVIÇOS  EVENTO 4  (INDAIABIRA 1)  NF 26266  INTEGRADOR GTEL </t>
  </si>
  <si>
    <t>[CCC04024]</t>
  </si>
  <si>
    <t>Revisão de coordenograma de proteção em função de alteração da potência dos transformadores (UFV Indaiabira 1 )</t>
  </si>
  <si>
    <t>[CCC03451]</t>
  </si>
  <si>
    <t>Indaiabira 1_Projeto/Coordenograma</t>
  </si>
  <si>
    <t>000797</t>
  </si>
  <si>
    <t xml:space="preserve">Construção e Montagem WEG - Medição 3 - Entrega dos módulos na obra ( INDAIABIRA 1) </t>
  </si>
  <si>
    <t>[CCC03813]</t>
  </si>
  <si>
    <t>000429</t>
  </si>
  <si>
    <t>Construção e Montagem WEG - Medição 2 - Entrega de POs (Indaiabira 1)</t>
  </si>
  <si>
    <t>000891</t>
  </si>
  <si>
    <t>MRO - Terraplanagem UFVs Full-EPC -  MEDIÇÃO 1  35% INTERMERDIÁRIOS (INDAIABIRA 1) NF  392</t>
  </si>
  <si>
    <t>Pagamento  referente a 35% intermediarios dos serviços  necessário à construção da UFV.</t>
  </si>
  <si>
    <t>000893</t>
  </si>
  <si>
    <t xml:space="preserve">Taxa de reposição florestal  UFVs ( INDAIABIRA 1 e 2)  NF   576 </t>
  </si>
  <si>
    <t>[CCC03886]</t>
  </si>
  <si>
    <t>MEDIÇÃO MENSAL OUT/2022 UFVs  (  Indaiabira 1  )   AFAPLAN   NF  7364</t>
  </si>
  <si>
    <t>001256</t>
  </si>
  <si>
    <t>PROJETOS CABINE PRIMÁRIA UFVs ( INDAIABIRA 1 )   PROJETTI  NF 167</t>
  </si>
  <si>
    <t>Pagamento de serviço  de Primeira aprovação do projeto de cabine (Mudança no transformador já foi medido em 08/09) , necessários a construção das UFVs .</t>
  </si>
  <si>
    <t>MEDIÇÃO MENSAL  NOV/2022 UFVs (  Indaiabira 1  )   AFAPLAN   NF  7528</t>
  </si>
  <si>
    <t>´001361</t>
  </si>
  <si>
    <t>PRESTAÇÃO DE SERVIÇOS UFVs ( INDAIABIRA  1 )    NF 972 VB AMBIENTAL</t>
  </si>
  <si>
    <t> [CCC04178]</t>
  </si>
  <si>
    <t>001630</t>
  </si>
  <si>
    <t>Fat. Direto ( MBA-MT)</t>
  </si>
  <si>
    <t>PRESTAÇÃO DE SERVIÇOS UFVs  ( INDAIABIRA 1) NF 7154</t>
  </si>
  <si>
    <t xml:space="preserve">Pagamento de serviços, REFERENTE A COMPRA DE MATERIAIS, necessário à construção da UFV em contrato MT . </t>
  </si>
  <si>
    <t> [CCC04345]</t>
  </si>
  <si>
    <t>Indaiabira 1 _Obras MT_FD</t>
  </si>
  <si>
    <t>001669</t>
  </si>
  <si>
    <t xml:space="preserve"> COMPRA DE MATERIAIS UFVs (INDAIABIRA 1)  NF 26645  EXPONENCIAL </t>
  </si>
  <si>
    <t> [CCC04369]</t>
  </si>
  <si>
    <t>001683</t>
  </si>
  <si>
    <t>COMPRA DE MATERIAIS  UFVs (INDAIABIRA 1)   NF 44959  INCOPRE</t>
  </si>
  <si>
    <t> [CCC04384]</t>
  </si>
  <si>
    <t>001753</t>
  </si>
  <si>
    <t>PRESTAÇÃO DE SERVIÇOS UFVs ( INDAIABIRA 1) NF  38   BR FLORESTAL</t>
  </si>
  <si>
    <t>Pagamento referente ao serviço de execução de acesso, necessários para a construção das usinas.</t>
  </si>
  <si>
    <t> [CCC04434]</t>
  </si>
  <si>
    <t>001799</t>
  </si>
  <si>
    <t>WEG PRESTAÇÃO DE SERVIÇOS UFVs ( INDAIABIRA 1 )   ADIANTAMENTO   EVENTO 6</t>
  </si>
  <si>
    <t> [CCC04477]</t>
  </si>
  <si>
    <t>001815</t>
  </si>
  <si>
    <t>WEG PRESTAÇÃO DE SERVIÇOS UFVs ( INDAIABIRA 1 )  NF 26890  INTEGRADOR GTEL</t>
  </si>
  <si>
    <t>Pagamento de medição referente a Montagem 100% das mesas, em contrato FullEPC de construção da UFV. Evento 6</t>
  </si>
  <si>
    <t> [CCC04491]</t>
  </si>
  <si>
    <t>001818</t>
  </si>
  <si>
    <t>WEG PRESTAÇÃO DE SERVIÇOS UFVs ( INDAIABIRA 1 )   ADIANTAMENTO   EVENTO 4</t>
  </si>
  <si>
    <t> [CCC04494]</t>
  </si>
  <si>
    <t>001850</t>
  </si>
  <si>
    <t>PRESTAÇÃO DE SERVIÇOS UFVs( INDAIABIRA 1) NF 443 MRO ADITIVOS</t>
  </si>
  <si>
    <t>Pagamento referente a aditivo MRO, escopo terraplanagem (volumes extras), necessários a constução das usinas em contrato FULL-EPC.</t>
  </si>
  <si>
    <t> [CCC04528]</t>
  </si>
  <si>
    <t>001801</t>
  </si>
  <si>
    <t>MEDIÇÃO MENSAL UFVs (  Indaiabira 1  )   AFAPLAN   NF  8039</t>
  </si>
  <si>
    <t>001881</t>
  </si>
  <si>
    <t>PRESTAÇÃO DE SERVIÇOS UFVs ( INDAIABIRA 1) NF  567      DAYSE PARREIRA</t>
  </si>
  <si>
    <t>Pagamento em faturamento direto, referente a serviço de transporte, em contrato MT.</t>
  </si>
  <si>
    <t> [CCC04547]</t>
  </si>
  <si>
    <t>001882</t>
  </si>
  <si>
    <t>PRESTAÇÃO DE SERVIÇOS UFVs (INDAIABIRA 1) NF 2534</t>
  </si>
  <si>
    <t>Pagamento de medição referente a, Prestação de serviço de extensão de rede de distribuição rural e urbana, no município de Indaiabira /MG UFV Indaiabira 1, em contrato MT.</t>
  </si>
  <si>
    <t> [CCC04549]</t>
  </si>
  <si>
    <t>001890</t>
  </si>
  <si>
    <t xml:space="preserve">MEDIÇÃO MENSAL UFVs (  Indaiabira 1  )   AFAPLAN   NF </t>
  </si>
  <si>
    <t>001910</t>
  </si>
  <si>
    <t>PRESTAÇÃO DE SERVIÇOS UFVs (INDAIABIRA 1) NF    ILDEFONSO PEREIRA</t>
  </si>
  <si>
    <t>Pagamento referente a medição de supressão ambiental, valor retido, em contrato FULL-EPC.</t>
  </si>
  <si>
    <t> [CCC04566]</t>
  </si>
  <si>
    <t>001923</t>
  </si>
  <si>
    <t>PRESTAÇÃO DE SERVIÇOS UFVs (INDAIABIRA 1 E 3 )  NF  151    GP SERVIÇOS</t>
  </si>
  <si>
    <t>Pagamento DE SERVIÇO REFERENTE A SERVIDÃO DE REDE, NECESSÁRIOS A CONSTRUÇÃO DAS USINAS.   MEDIÇÃO FINAL</t>
  </si>
  <si>
    <t>001933</t>
  </si>
  <si>
    <t>COMPRA DE MATERIAIS  UFVs( INDAIABIRA 1) NF 14597  PRYSMIAN</t>
  </si>
  <si>
    <t> [CCC04591]</t>
  </si>
  <si>
    <t>001983</t>
  </si>
  <si>
    <t>DAE - Dispensa  de Licenciamento ambiental UFVs( INDAIABIRA 1)   N 4500025786121_x000D_</t>
  </si>
  <si>
    <t>002040</t>
  </si>
  <si>
    <t>MEDIÇÃO   CALTER UFVS ( INDAIABIRA 1 )   NF  122</t>
  </si>
  <si>
    <t>Pagamento 1° medição , referente a serviços de drenagem, contrato FULL- EPC .  23,86%</t>
  </si>
  <si>
    <t>[CCC04712]</t>
  </si>
  <si>
    <t xml:space="preserve"> Indaiabira 1_Obras Drenagem</t>
  </si>
  <si>
    <t>002036</t>
  </si>
  <si>
    <t>002077</t>
  </si>
  <si>
    <t>PRESTAÇÃO DE SERVIÇOS UFVs ( INDAIABIRA 1) NF 2586</t>
  </si>
  <si>
    <t>Pagamento de medição, referente prestação de serviço de extensão de rede de distribuição rural e urbana, necessário a construção da usina em contrato MT.</t>
  </si>
  <si>
    <t> [CCC04751]</t>
  </si>
  <si>
    <t>002079</t>
  </si>
  <si>
    <t>PRESTAÇÃO DE SERVIÇOS UFVs ( INDAIABIRA 1 ) NF  628  JX AMBIENTAL</t>
  </si>
  <si>
    <t>002173</t>
  </si>
  <si>
    <t>PRESTAÇÃO DE SERVIÇOS UFVs ( INDAIABIRA 1 )   NF  130    CALTER</t>
  </si>
  <si>
    <t>Pagamento 3° medição , referente a serviços de drenagem, contrato FULL- EPC .  49,58 %</t>
  </si>
  <si>
    <t> [CCC04826]</t>
  </si>
  <si>
    <t>002180</t>
  </si>
  <si>
    <t>PRESTAÇÃO DE SERVIÇOS UFVs (INDAIABIRA 1 E 2)  NF 650     RONDA PORTEIROS</t>
  </si>
  <si>
    <t>002187</t>
  </si>
  <si>
    <t>COMPRA DE MATERIAIS  UFVS (INDAIABIRA 1)   NF 2044</t>
  </si>
  <si>
    <t>Pagamento em faturamento direto referente a compra de materiais, necessário a construção da usinas.</t>
  </si>
  <si>
    <t> [CCC04838]</t>
  </si>
  <si>
    <t>SCOMP-000021</t>
  </si>
  <si>
    <t>Reatores de aterramento ADELCO (Indaiabira 2)</t>
  </si>
  <si>
    <t>A626-ESTRELA DO NORTE - UFV INDAIABIRA 2</t>
  </si>
  <si>
    <t>001261</t>
  </si>
  <si>
    <t>MEDIÇÃO  PRESTAÇÃO DE SERVIÇOS ( INDAIABIRA 2 )    NF 2424  *</t>
  </si>
  <si>
    <t>Indaiabira 2 _Obras MT_MD</t>
  </si>
  <si>
    <t>000089</t>
  </si>
  <si>
    <t>Limpeza de terreno - Ildefonso - 30% iniciais (Indaiabira 2)</t>
  </si>
  <si>
    <t>[CCC03112-02]</t>
  </si>
  <si>
    <t>Indaiabira 2 _Outros</t>
  </si>
  <si>
    <t>Archtech - Testes de PullOuT_Biotec - Adiantamento (Indaiabira 2)</t>
  </si>
  <si>
    <t>[CCC03145-50]</t>
  </si>
  <si>
    <t>000043</t>
  </si>
  <si>
    <t>Serviço de SPT - BIOTEC - 35% iniciais (Indaiabira 2) - Campanha 4</t>
  </si>
  <si>
    <t>[CCC02955-04]</t>
  </si>
  <si>
    <t>Archtech - Testes de PullOuT_Biotec - Finalização (Indaiabira 2)</t>
  </si>
  <si>
    <t>[CCC03265-50]</t>
  </si>
  <si>
    <t>Limpeza de terreno - Ildefonso - 30% intermediários (Indaiabira 2)</t>
  </si>
  <si>
    <t>[CCC03310]</t>
  </si>
  <si>
    <t>SUPERVISORIO - Ciclo 2 - Gateways e remota (Indaiabira 2)</t>
  </si>
  <si>
    <t>[CCC03235-04]</t>
  </si>
  <si>
    <t>Indaiabira 2 _SGD</t>
  </si>
  <si>
    <t>SUPERVISORIO - Ciclo 2 - Baterias, desktops, switch e acessórios (Indaiabira 2)</t>
  </si>
  <si>
    <t>[CCC03235-23]</t>
  </si>
  <si>
    <t>COMPRA DE MATEIRIAS UFVs ( SANTO ANTONIO DO AMPARO)  NF   415738 LOJA ELETRICA</t>
  </si>
  <si>
    <t>[CCC03912]</t>
  </si>
  <si>
    <t>Indaiabira 2_Full EPC - Turn Key</t>
  </si>
  <si>
    <t xml:space="preserve"> WEG  MEDIÇÃO PRESTAÇÃO DE SERVIÇOS  EVENTO 4  (INDAIABIRA 2)  NF 26268  INTEGRADOR GTEL</t>
  </si>
  <si>
    <t>[CCC04049]</t>
  </si>
  <si>
    <t>000957</t>
  </si>
  <si>
    <t>Mobilização  WEG - Medição 3 - UFVs (INDAIABIRA 2) INTEGRADOR GETEL   NF  26267</t>
  </si>
  <si>
    <t>[CCC03928]</t>
  </si>
  <si>
    <t>000956</t>
  </si>
  <si>
    <t xml:space="preserve">Mobilização  WEG - Medição 3 - UFVs (INDAIABIRA 2) </t>
  </si>
  <si>
    <t>Construção e Montagem WEG - Medição 1 - Adiantamento (Indaiabira 2)</t>
  </si>
  <si>
    <t>[CCC03330-16]</t>
  </si>
  <si>
    <t>000430</t>
  </si>
  <si>
    <t>Construção e Montagem WEG - Medição 2 - Entrega de POs (Indaiabira 2)</t>
  </si>
  <si>
    <t>000436</t>
  </si>
  <si>
    <t>Limpeza de terreno - Ildefonso - Medição FINAL - Descontando retenção (Indaiabira 2)    NF 49</t>
  </si>
  <si>
    <t>000574</t>
  </si>
  <si>
    <t>Construção e Montagem WEG(integrador GTEL) - Medição 2 - ( INDAIABIRA 2)    NF25870</t>
  </si>
  <si>
    <t>[CCC03603]</t>
  </si>
  <si>
    <t>Revisão de coordenograma de proteção em função de alteração da potência dos transformadores (UFV Indaiabira 2)</t>
  </si>
  <si>
    <t>[CCC03452]</t>
  </si>
  <si>
    <t>Indaiabira 2_Projeto/Coordenograma</t>
  </si>
  <si>
    <t>000804</t>
  </si>
  <si>
    <t>MRO - Terraplanagem UFVs Full-EPC -   MEDIÇAO INTERMEDIÁRIO 35 %  (INDAIABIRA 2)    NF 381</t>
  </si>
  <si>
    <t>[CCC03824]</t>
  </si>
  <si>
    <t>Indaiabira 2_Obras Terraplanagem</t>
  </si>
  <si>
    <t>000665</t>
  </si>
  <si>
    <t>MRO - Terraplanagem UFVs Full-EPC -   1° MEDIÇAO ( Indaiabira  2 )   NF 365  VALOR A SER PAGO $ 108.471,74</t>
  </si>
  <si>
    <t>MEDIÇÃO MENSAL OUT/2022 UFVs  (  Indaiabira 2  )   AFAPLAN   NF   7366</t>
  </si>
  <si>
    <t>Indaiabira 2_Engenharia de Proprietario</t>
  </si>
  <si>
    <t>MRO - Terraplanagem UFVs Full-EPC -  MEDIÇÃO FINAL  AVANÇO  35%  ( INDAIABIRA 2) NF  415</t>
  </si>
  <si>
    <t>Pagamento  referente a AVANÇO  35% finais dos serviços,  necessário à construção da UFV.</t>
  </si>
  <si>
    <t>[CCC04075]</t>
  </si>
  <si>
    <t>001075</t>
  </si>
  <si>
    <t xml:space="preserve">WEG MEDIÇÃO 4  ENTREGADE MODULOS   -  EVENTO 5 -UFVs ( INDAIABIRA 2)  </t>
  </si>
  <si>
    <t>[CCC04007]</t>
  </si>
  <si>
    <t>001665</t>
  </si>
  <si>
    <t xml:space="preserve"> COMPRA DE MATERIAIS UFVs (INDAIABIRA 2)  NF 26644  EXPONENCIAL </t>
  </si>
  <si>
    <t>Indaiabira 2 _Obras MT_FD</t>
  </si>
  <si>
    <t>MEDIÇÃO MENSAL UFVs (  Indaiabira 2  )   AFAPLAN   NF  7885</t>
  </si>
  <si>
    <t>001756</t>
  </si>
  <si>
    <t xml:space="preserve">WEG PRESTAÇÃO DE SERVIÇOS UFVs ( INDAIABIRA 2 )   ADIANTAMENTO   EVENTO 6  </t>
  </si>
  <si>
    <t> [CCC04437]</t>
  </si>
  <si>
    <t>001754</t>
  </si>
  <si>
    <t>PRESTAÇÃO DE SERVIÇOS UFVs ( INDAIABIRA 2) NF 39 BR FLORESTAL</t>
  </si>
  <si>
    <t>001785</t>
  </si>
  <si>
    <t xml:space="preserve">WEG PRESTAÇÃO DE SERVIÇOS UFVs ( INDAIABIRA 2)  NF 26889 INTEGRADOR  GTEL </t>
  </si>
  <si>
    <t>Pagamento de medição referente a montagem de 100% das mesas, em contrato FullEPC de construção da UFV. Evento 6</t>
  </si>
  <si>
    <t> [CCC04452]</t>
  </si>
  <si>
    <t>001851</t>
  </si>
  <si>
    <t>PRESTAÇÃO DE SERVIÇOS UFVs( INDAIABIRA 2) NF 444   MRO ADITIVOS</t>
  </si>
  <si>
    <t>001802</t>
  </si>
  <si>
    <t>MEDIÇÃO MENSAL UFVs (  Indaiabira 2  )   AFAPLAN   NF  8040</t>
  </si>
  <si>
    <t>001883</t>
  </si>
  <si>
    <t>PRESTAÇÃO DE SERVIÇOS UFVs (INDAIABIRA 2) NF 2535</t>
  </si>
  <si>
    <t>Pagamento de medição referente a, Prestação de serviço de extensão de rede de distribuição rural e urbana, no município de Indaiabira /MG UFV Indaiabira 2, em contrato MT.</t>
  </si>
  <si>
    <t>001928</t>
  </si>
  <si>
    <t xml:space="preserve">WEG PRESTAÇÃO DE SERVIÇOS UFVs( INDAIABIRA 2)   NF 26961  GTEL  ADITIVO </t>
  </si>
  <si>
    <t>Pagamento referente a MEDIÇÃO DE ADITIVOS DE CONTRATO, POR MUDANÇAS DE DIMENSÕES NOS ESFORÇOS DOS BLOCOS DE CONCRETO, em contrato FULL-EPC.</t>
  </si>
  <si>
    <t> [CCC04581]</t>
  </si>
  <si>
    <t>001891</t>
  </si>
  <si>
    <t xml:space="preserve">MEDIÇÃO MENSAL UFVs (  Indaiabira 2  )   AFAPLAN   NF  </t>
  </si>
  <si>
    <t>001984</t>
  </si>
  <si>
    <t>DAE - Dispensa  de Licenciamento ambiental UFVs( INDAIABIRA 2)   N 4500025787292</t>
  </si>
  <si>
    <t>002041</t>
  </si>
  <si>
    <t>MEDIÇÃO   CALTER UFVS ( INDAIABIRA 2 )   NF  123</t>
  </si>
  <si>
    <t>Pagamento 1° medição , referente a serviços de drenagem, contrato FULL- EPC .  22,92%</t>
  </si>
  <si>
    <t>Indaiabira 2_Obras Drenagem</t>
  </si>
  <si>
    <t>002037</t>
  </si>
  <si>
    <t>002076</t>
  </si>
  <si>
    <t>PRESTAÇÃO DE SERVIÇOS UFVs ( INDAIABIRA 2 ) NF  629  JX AMBIENTAL</t>
  </si>
  <si>
    <t>002175</t>
  </si>
  <si>
    <t>PRESTAÇÃO DE SERVIÇOS UFVs ( INDAIABIRA 2 )   NF  131   CALTER</t>
  </si>
  <si>
    <t>Pagamento 3° medição , referente a serviços de drenagem, contrato FULL- EPC .  28,21 %</t>
  </si>
  <si>
    <t>002188</t>
  </si>
  <si>
    <t>COMPRA DE MATERIAIS  UFVS (INDAIABIRA 2)   NF 2045</t>
  </si>
  <si>
    <t>SCOMP-000022</t>
  </si>
  <si>
    <t>Reatores de aterramento ADELCO (Indaiabira 3)</t>
  </si>
  <si>
    <t>JX AMBIENTAL - Taxa de Análise Florestal (Indaiabira 3)</t>
  </si>
  <si>
    <t>Taxa necessária à avaliação de intervenção ambiental corretiva para a UFV.</t>
  </si>
  <si>
    <t>[CCC03081-01]</t>
  </si>
  <si>
    <t>Indaiabira 3 _Outros</t>
  </si>
  <si>
    <t>000032</t>
  </si>
  <si>
    <t>Desenvolvimento de projetos Executivos - 20% iniciais (Indaiabira 3)</t>
  </si>
  <si>
    <t>[CCC02997-08]</t>
  </si>
  <si>
    <t>Indaiabira 3_Engenharia Executiva</t>
  </si>
  <si>
    <t>000086</t>
  </si>
  <si>
    <t>Consultoria em servidão - Parcela 02/02 (Indaiabira 3) GEOVANY</t>
  </si>
  <si>
    <t>[CCC03142-03]</t>
  </si>
  <si>
    <t>000109</t>
  </si>
  <si>
    <t>Archtech - Testes de PullOuT_Biotec - Adiantamento (Indaiabira 3)</t>
  </si>
  <si>
    <t>[CCC03145-51]</t>
  </si>
  <si>
    <t>Serviço de SPT - BIOTEC - 35% iniciais (Indaiabira 3) - Campanha 4</t>
  </si>
  <si>
    <t>[CCC02955-05]</t>
  </si>
  <si>
    <t>JX AMBIENTAL - Taxa de reposição - Lenha (Indaiabira 3)</t>
  </si>
  <si>
    <t>[CCC03212-02]</t>
  </si>
  <si>
    <t>JX AMBIENTAL - Taxa de reposição - Madeira (Indaiabira 3)</t>
  </si>
  <si>
    <t>[CCC03212-03]</t>
  </si>
  <si>
    <t>JX AMBIENTAL - Taxa de compensação - Pequizeiros (Indaiabira 3)</t>
  </si>
  <si>
    <t>[CCC03213-01]</t>
  </si>
  <si>
    <t>000145</t>
  </si>
  <si>
    <t>JX AMBIENTAL - Taxa de reposição de lenha (Indaiabira 3)</t>
  </si>
  <si>
    <t>[CCC03213-02]</t>
  </si>
  <si>
    <t>JX AMBIENTAL - Taxa de reposição de madeira (Indaiabira 3)</t>
  </si>
  <si>
    <t>[CCC03213-03]</t>
  </si>
  <si>
    <t>Archtech - Testes de PullOuT_Biotec - Finalização (Indaiabira 3)</t>
  </si>
  <si>
    <t>[CCC03265-51]</t>
  </si>
  <si>
    <t>Desenvolvimento de projetos Executivos - 20% intermediários - 1a entrega (Indaiabira 3)</t>
  </si>
  <si>
    <t>[CCC03290-13]</t>
  </si>
  <si>
    <t>SUPERVISORIO - Ciclo 2 - Gateways e remota (Indaiabira 3)</t>
  </si>
  <si>
    <t>[CCC03235-05]</t>
  </si>
  <si>
    <t>Indaiabira 3 _SGD</t>
  </si>
  <si>
    <t>SUPERVISORIO - Ciclo 2 - Baterias, desktops, switch e acessórios (Indaiabira 3)</t>
  </si>
  <si>
    <t>[CCC03235-24]</t>
  </si>
  <si>
    <t>Projetos de fundações e drenagem - HALLITE (Indaiabira 3) 70%  -  Analise terraplanagem</t>
  </si>
  <si>
    <t>[CCC03309-13]</t>
  </si>
  <si>
    <t>Projeto de cabine primária  - PROJETTI - 100% (Indaiabira 3)</t>
  </si>
  <si>
    <t>[CCC03373-03]</t>
  </si>
  <si>
    <t>Indaiabira 3_Projeto/Coordenograma</t>
  </si>
  <si>
    <t>Construção e Montagem IMPLANTAR - Adiantamento contratual (Indaiabira 3)</t>
  </si>
  <si>
    <t>[CCC03380-05]</t>
  </si>
  <si>
    <t>Indaiabira 3_EPC_MD</t>
  </si>
  <si>
    <t>000462</t>
  </si>
  <si>
    <t>RODOSOUZA - Terraplanagem – Medição 1 de 40% (Indaiabira 3)  NF 13/2022</t>
  </si>
  <si>
    <t>[CCC03414]</t>
  </si>
  <si>
    <t>Indaiabira 3_Obras Terraplanagem</t>
  </si>
  <si>
    <t>Desenvolvimento de projetos Executivos  - ENERSOLAR -  20% EMITIDOS -  (INDAIABIRA 3)   NF 100</t>
  </si>
  <si>
    <t>[CCC03523]</t>
  </si>
  <si>
    <t>000514</t>
  </si>
  <si>
    <t xml:space="preserve">Estação solarimétrica – Hukseflux            Indaiabira 3
</t>
  </si>
  <si>
    <t>[CCC03545]</t>
  </si>
  <si>
    <t>Indaiabira 3 _Estação solarimétrica</t>
  </si>
  <si>
    <t xml:space="preserve">COMPRA MATERIAIS PARA UFVs (INDAIABIRA 3)   NF 34586 </t>
  </si>
  <si>
    <t>[CCC03581]</t>
  </si>
  <si>
    <t>Indaiabira 3_EPC_FD</t>
  </si>
  <si>
    <t xml:space="preserve">COMPRA MATERIAIS PARA UFVs (INDAIABIRA 3)   NF 34619 </t>
  </si>
  <si>
    <t>COMPRA MATERIAIS PARA UFVs   (INDAIABIRA 3)   NF 50480</t>
  </si>
  <si>
    <t>000640</t>
  </si>
  <si>
    <t>RODOSOUZA - Terraplanagem - Adiantamento contratual (Indaiabira 3)</t>
  </si>
  <si>
    <t>RODOSOUZA - Terraplanagem - PARCELA FINAL CONTRATO (Indaiabira 3)    30% RESTANTE  NF 17</t>
  </si>
  <si>
    <t>Pagamento de serviço de terraplanagem da ultima medição necessário à construção da UFV.</t>
  </si>
  <si>
    <t>000741</t>
  </si>
  <si>
    <t xml:space="preserve">COMPRA MATERIAIS PARA UFVs  (INDAIABIRA 3 )    NF 2355 </t>
  </si>
  <si>
    <t>[CCC03750]</t>
  </si>
  <si>
    <t>000838</t>
  </si>
  <si>
    <t xml:space="preserve">COMPRA MATERIAIS PARA UFVs  (INDAIABIRA 3 )    NF 975  </t>
  </si>
  <si>
    <t>000743</t>
  </si>
  <si>
    <t>PRESTAÇÃO DE SERVIÇOS A UFVs  (INDAIABIRA 3 )    NF 135/2022</t>
  </si>
  <si>
    <t>000755</t>
  </si>
  <si>
    <t>Serviço de levantamento topográfico para validação de terraplenagem (INDAIABIRA 3)  NF 292</t>
  </si>
  <si>
    <t>[CCC03775]</t>
  </si>
  <si>
    <t>000773</t>
  </si>
  <si>
    <t>COMPRA MATERIAIS PARA UFVs ( INDAIABIRA 3)   NF  633</t>
  </si>
  <si>
    <t>[CCC03782]</t>
  </si>
  <si>
    <t>000847</t>
  </si>
  <si>
    <t xml:space="preserve">COMPRA MATERIAIS PARA UFVs ( INDAIABIRA 3)   NF  029  </t>
  </si>
  <si>
    <t>[CCC03798]</t>
  </si>
  <si>
    <t>COMPRA MATERIAIS PARA UFVs ( INDAIABIRA 3)   NF  10186</t>
  </si>
  <si>
    <t>[CCC03800]</t>
  </si>
  <si>
    <t>001060</t>
  </si>
  <si>
    <t xml:space="preserve">SERVIÇOS DE LOCAÇÃO UFVs  (INDAIABIRA 3)  N   33470 </t>
  </si>
  <si>
    <t>Pagamento de serviço de locação de equipamentos em Faturamento Direto, em contrato de obras EPC da UFV.</t>
  </si>
  <si>
    <t>COMPRA MATERIAIS PARA UFVs  (INDAIABIRA 3)  NF 246036</t>
  </si>
  <si>
    <t>[CCC03993]</t>
  </si>
  <si>
    <t>PRESTAÇÃO DE SERVIÇOS UFVs ( INDAIABIRA 3) NF xxx RONDA PORTEIROS</t>
  </si>
  <si>
    <t>Verificar na Planilha04/04/23</t>
  </si>
  <si>
    <t>000846</t>
  </si>
  <si>
    <t xml:space="preserve">COMPRA MATERIAIS PARA UFVs  (INDAIABIRA 3 )    NF 4343  </t>
  </si>
  <si>
    <t>000856</t>
  </si>
  <si>
    <t>COMPRA MATERIAIS PARA UFVs ( INDAIABIRA 3)   NF  013</t>
  </si>
  <si>
    <t>[CCC03801]</t>
  </si>
  <si>
    <t>000843</t>
  </si>
  <si>
    <t>COMPRA MATERIAIS PARA UFVs ( INDAIABIRA 3)   NF  987</t>
  </si>
  <si>
    <t>[CCC03802]</t>
  </si>
  <si>
    <t>COMPRA MATERIAIS PARA UFVs  (INDAIABIRA 3)  NF 2388</t>
  </si>
  <si>
    <t>COMPRA MATERIAIS PARA UFVs  (INDAIABIRA 3)  NF 991</t>
  </si>
  <si>
    <t>000785</t>
  </si>
  <si>
    <t>COMPRA MATERIAIS PARA UFVs ( INDAIABIRA 3)   NF  24041</t>
  </si>
  <si>
    <t>[CCC03795]</t>
  </si>
  <si>
    <t>001077</t>
  </si>
  <si>
    <t xml:space="preserve">COMPRA MATERIAIS PARA UFVs ( INDAIABIRA  3)   NF  1661 </t>
  </si>
  <si>
    <t>[CCC03955]</t>
  </si>
  <si>
    <t xml:space="preserve">COMPRA MATERIAIS PARA UFVs ( INDAIABIRA  3)   NF  478  </t>
  </si>
  <si>
    <t>001124</t>
  </si>
  <si>
    <t xml:space="preserve">COMPRA MATERIAIS PARA UFVs ( INDAIABIRA  3)   NF  4315  </t>
  </si>
  <si>
    <t xml:space="preserve">COMPRA MATERIAIS PARA UFVs ( INDAIABIRA  3)   NF  236  </t>
  </si>
  <si>
    <t xml:space="preserve">COMPRA MATERIAIS PARA UFVs  (INDAIABIRA 3 )  NF 142 </t>
  </si>
  <si>
    <t>[CCC03940]</t>
  </si>
  <si>
    <t>001091</t>
  </si>
  <si>
    <t>COMPRA MATERIAIS PARA UFVs  ( INDAIABIRA 3)  NF 4376</t>
  </si>
  <si>
    <t>[CCC04029]</t>
  </si>
  <si>
    <t>000910</t>
  </si>
  <si>
    <t>COMPRA MATERIAIS PARA UFVs  (INDAIABIRA 3 )  NF 31446</t>
  </si>
  <si>
    <t>[CCC03902]</t>
  </si>
  <si>
    <t>001000</t>
  </si>
  <si>
    <t>COMPRA MATERIAIS PARA UFVs  (INDAIABIRA 3 )  DOC 1141</t>
  </si>
  <si>
    <t>[CCC03896]</t>
  </si>
  <si>
    <t>Serviços de mão de obra  UFVs (</t>
  </si>
  <si>
    <t>ALIMENTAÇÃO</t>
  </si>
  <si>
    <t xml:space="preserve">COMPRA MATERIAIS PARA UFVs ( INDAIABIRA  3)   NF 14288 </t>
  </si>
  <si>
    <t>Compra feita em Faturamento Direto, em contrato de obras EPC da UFV</t>
  </si>
  <si>
    <t>[CCC03851]</t>
  </si>
  <si>
    <t>LOJA ELÉTRICA - IMPLANTAR</t>
  </si>
  <si>
    <t>[CCC0000]</t>
  </si>
  <si>
    <t>MOBILIA</t>
  </si>
  <si>
    <t>NORTE PLANT</t>
  </si>
  <si>
    <t>CAIXA DE PASSAGEM</t>
  </si>
  <si>
    <t>Serviços de  levantamento topográfico  ( INDAIABIRA 3)  NF 266   SOLUÇÃO AGRIMENSURA EIRELI</t>
  </si>
  <si>
    <t>[CCC03871]</t>
  </si>
  <si>
    <t>Projetos de fundações e drenagem - HALLITE ( INDAIABIRA 3 ) Analise terraplanagem - 30% FINAIS   NF 60</t>
  </si>
  <si>
    <t>[CCC03876]</t>
  </si>
  <si>
    <t>000902</t>
  </si>
  <si>
    <t>MOBILIZAÇÃO -  MEDIÇÃO  UFVs (DIVINOPOLIS 3 , INDAIA 1-3-5, BURITIZEURI 1-2, INDAIABIRA 3-4) LMENG   NF   10594</t>
  </si>
  <si>
    <t>Indaiabira 3_Engenharia de Proprietario</t>
  </si>
  <si>
    <t>000903</t>
  </si>
  <si>
    <t>MOBILIZAÇÃO -  MEDIÇÃO  UFVs (DIVINOPOLIS 3 , INDAIA 1-3-5, BURITIZEURI 1-2, INDAIABIRA 3-4) LMENG    NF   10596</t>
  </si>
  <si>
    <t>SERVIÇO DE LOCAÇÃO  UFVs ( INDAIABIRA 3 )  NF 343 -</t>
  </si>
  <si>
    <t>[CCC03926]</t>
  </si>
  <si>
    <t>Não encontrado na planilha da Implantar.
MARLON ALVES PINHEIRO.</t>
  </si>
  <si>
    <t>000929</t>
  </si>
  <si>
    <t>COMPRA MATERIAIS PARA UFVs  (INDAIABIRA 3 )  NF 15</t>
  </si>
  <si>
    <t>Desenvolvimento de projetos Executivos - 20% iniciais (Indaiabira 1) TRANSFERIDO PARA INDAIABIRA 3</t>
  </si>
  <si>
    <t>[CCC02997-06]</t>
  </si>
  <si>
    <t>A624-ESTRELA DO NORTE SPE- UFV INDAIABIRA 3</t>
  </si>
  <si>
    <t>001271</t>
  </si>
  <si>
    <t xml:space="preserve">COMPRA MATERIAIS PARA UFVs  (  INDAIABIRA  3)  NF  26121   EXPONECIAL RDA INTERNO  </t>
  </si>
  <si>
    <t>Indaiabira 3_RDA - Rede de Distribuição Aerea</t>
  </si>
  <si>
    <t>COMPRA MATERIAIS PARA UFVs  (INDAIABIRA 3 )  NF 988</t>
  </si>
  <si>
    <t>001122</t>
  </si>
  <si>
    <t xml:space="preserve">COMPRA MATERIAIS PARA UFVs  ( INDAIABIRA 3)  NF 1795  </t>
  </si>
  <si>
    <t>[CCC04026]</t>
  </si>
  <si>
    <t>SERVIÇO DE LOCAÇÃO UFVs  ( INDAIABIRA 3)  NF  19</t>
  </si>
  <si>
    <t>SERVIÇO DE LOCAÇÃO UFVs  ( INDAIABIRA 3)  NF  21</t>
  </si>
  <si>
    <t xml:space="preserve">Pagamento referente a serviço retirada de galhos para liberação de acesso ao local, necessário a construção da UFVs. </t>
  </si>
  <si>
    <t>001090</t>
  </si>
  <si>
    <t>COMPRA MATERIAIS PARA UFVs  ( INDAIABIRA 3)  NF 2392</t>
  </si>
  <si>
    <t>Estação solarimétrica – Hukseflux   UFVs ( INDAIABIRA 3)  VINCULO PEDIDO 000514 A 609   NF 4791</t>
  </si>
  <si>
    <t>RODOSOUZA - Terraplanagem - MEDIÇÃO  50%   (Indaiabira 3)     NF   31</t>
  </si>
  <si>
    <t> [CCC04139]</t>
  </si>
  <si>
    <t>COMPRA MATERIAIS PARA UFVs  ( INDAIABIRA 3)  NF 4377</t>
  </si>
  <si>
    <t>Nota Fiscal posto de gasolina .POSTO MOCAMBO E BARBOSA LTDA</t>
  </si>
  <si>
    <t>001125</t>
  </si>
  <si>
    <t xml:space="preserve">PRESTAÇÃO DE SERVIÇOS UFVs  ( INDAIABIRA 3)  NF 108 </t>
  </si>
  <si>
    <t>Serviço de cravação de estacas  em Faturamento Direto, em contrato de obras EPC da UFV.</t>
  </si>
  <si>
    <t>[CCC04033]</t>
  </si>
  <si>
    <t>001101</t>
  </si>
  <si>
    <t>SERVIÇO DE LOCAÇÃO UFVs  ( INDAIABIRA 3)  NF 34404</t>
  </si>
  <si>
    <t>Desenvolvimento de projetos Executivos  - ENERSOLAR -  20%  EMITIDOS -  ( INDAIABIRA 3)   NF  156</t>
  </si>
  <si>
    <t>001108</t>
  </si>
  <si>
    <t>Desenvolvimento de projetos Executivos  - ENERSOLAR -  20%  APROVADO -  ( INDAIABIRA 3)   NF  157</t>
  </si>
  <si>
    <t>001146</t>
  </si>
  <si>
    <t xml:space="preserve">COMPRA MATERIAIS PARA UFVs  UFVs  ( INDAIABIRA 3)  NF 10279   K-MIG </t>
  </si>
  <si>
    <t>[CCC04066]</t>
  </si>
  <si>
    <t>PRESTAÇÃO DE SERVIÇOS UFVs  (INDAIABIRA 3)  NF  245/2022</t>
  </si>
  <si>
    <t>[CCC04073]</t>
  </si>
  <si>
    <t>PRESTAÇÃO DE SERVIÇOS UFVs  (INDAIABIRA 3)  NF  243/2022</t>
  </si>
  <si>
    <t>PRESTAÇÃO DE SERVIÇOS UFVs  (INDAIABIRA 3)  NF  385</t>
  </si>
  <si>
    <t>001138</t>
  </si>
  <si>
    <t>COMPRA MATERIAIS PARA UFVs  ( INDAIABIRA 3)  NF 481</t>
  </si>
  <si>
    <t>001139</t>
  </si>
  <si>
    <t>COMPRA MATERIAIS PARA UFVs  ( INDAIABIRA 3)  NF 6058</t>
  </si>
  <si>
    <t>000474</t>
  </si>
  <si>
    <t>COMPRA MATERIAIS PARA UFVs (DIVINOPOLIS 1)   NF   404797</t>
  </si>
  <si>
    <t>Divinópolis 1 _Obras MT_FD</t>
  </si>
  <si>
    <t>COMPRA MATERIAIS PARA UFVs  (  INDAIABIRA 3)  NF   145</t>
  </si>
  <si>
    <t>[CCC04099]</t>
  </si>
  <si>
    <t xml:space="preserve">COMPRA MATERIAIS PARA UFVs  ( INDAIABIRA 3   )  NF  72949  LTB  RDA INTERNO  </t>
  </si>
  <si>
    <t>001065</t>
  </si>
  <si>
    <t>COMPRA MATERIAIS PARA UFVs  ( INDAIABIRA  4)  NF   8175 ZETA POSTES   RDA INTERNA</t>
  </si>
  <si>
    <t>Nota estava Trocada</t>
  </si>
  <si>
    <t>COMPRA MATERIAIS PARA UFVs  (  INDAIABIRA 3)  NF   32229</t>
  </si>
  <si>
    <t>Foi Pago pela Comerc. Porque esta sendo considerado cancelado pela Implantar?</t>
  </si>
  <si>
    <t xml:space="preserve">COMPRA MATERIAIS PARA UFVs ( INDAIABIRA 3  )    NF  1003  COMERCIAL NEVES	</t>
  </si>
  <si>
    <t> [CCC04144]</t>
  </si>
  <si>
    <t>001289</t>
  </si>
  <si>
    <t>PRESTAÇÃO DE SERVIÇOS UFVs ( INDAIABIRA 3  )    NF  141 MINAS MIX</t>
  </si>
  <si>
    <t>Pagamento de serviços DE CONCRETO USINADO  em  Faturamento Direto, em contrato de obras EPC da UFV.</t>
  </si>
  <si>
    <t>PRESTAÇÃO DE SERVIÇOS UFVs ( INDAIABIRA 3  )    NF   22 AGUIAR COMERCIO</t>
  </si>
  <si>
    <t>PRESTAÇÃO DE SERVIÇOS UFVs ( INDAIABIRA 3  )    NF   24 AGUIAR COMERCIO</t>
  </si>
  <si>
    <t>COMPRA MATERIAIS PARA UFVs ( INDAIABIRA 3  )    NF  802</t>
  </si>
  <si>
    <t> [CCC04157]</t>
  </si>
  <si>
    <t xml:space="preserve">PAGAMENTO DE SERVIÇOS PARA UFVs ( INDAIABIRA 3  )    NF  6036  APL ENGENHARIA </t>
  </si>
  <si>
    <t>Pagamento de serviços de mobilização e desmobilização , feito em Faturamento Direto, em contrato  EPC .</t>
  </si>
  <si>
    <t>001312</t>
  </si>
  <si>
    <t>COMPRA MATERIAIS PARA UFVs ( INDAIABIRA 3  )    NF  483   CONSTRUIR COMERCIO</t>
  </si>
  <si>
    <t xml:space="preserve">COMPRA MATERIAIS PARA UFVs ( INDAIABIRA 3  )    NF  3539  CONSTRUCOSTA </t>
  </si>
  <si>
    <t>001313</t>
  </si>
  <si>
    <t>PAGAMENTO DE SERVIÇOS PARA UFVs  ( INDAIABIRA 3  )    NF  141  ATLANTA</t>
  </si>
  <si>
    <t>Pagamento de serviço de Locação de 02 sanitários químicos com limpezas semanais pelo período de 09/11/22 a 08/12/22, feito em Faturamento Direto, em contrato  EPC .</t>
  </si>
  <si>
    <t>MEDIÇÃO 1 PRESTAÇÃO DE SERVIÇOS  UFVs (  INDAIABIRA 3)   NF  665</t>
  </si>
  <si>
    <t>[CCC04068]</t>
  </si>
  <si>
    <t>´001420</t>
  </si>
  <si>
    <t>COMPRA DE MATERIAIS  UFVs    ( INDAIABIRA 3)  NF  106825</t>
  </si>
  <si>
    <t> [CCC04208]</t>
  </si>
  <si>
    <t>´001425</t>
  </si>
  <si>
    <t>COMPRA DE MATERIAIS  UFVs    ( INDAIABIRA 3)  NF  106826</t>
  </si>
  <si>
    <t>PRESTAÇÃO DE SERVIÇOS UFVS (  INDAIABIRA 3)   NF  285</t>
  </si>
  <si>
    <t> [CCC04218]</t>
  </si>
  <si>
    <t>001421</t>
  </si>
  <si>
    <t>PRESTAÇÃO DE SERVIÇOS UFVS (  INDAIABIRA 3)   NF  286</t>
  </si>
  <si>
    <t>001423</t>
  </si>
  <si>
    <t>PRESTAÇÃO DE SERVIÇOS UFVS (  INDAIABIRA 3)   NF  431</t>
  </si>
  <si>
    <t>001424</t>
  </si>
  <si>
    <t>COMPRA DE MATERIAIS UFVS ( INDAIABIRA 3)  NF  2420</t>
  </si>
  <si>
    <t>Pagamento  EM FATURAMENTO DIRETO, referente a COMPRA DE MATERIAIS  ,  necessário à construção da UFV  em contrato EPC .</t>
  </si>
  <si>
    <t>001426</t>
  </si>
  <si>
    <t>COMPRA DE MATERIAIS UFVS ( INDAIABIRA 3)  NF  28</t>
  </si>
  <si>
    <t>Pagamento  EM FATURAMENTO DIRETO, referente a locação de andaimes ,  necessário à construção da UFV  em contrato EPC .</t>
  </si>
  <si>
    <t xml:space="preserve">COMPRA DE MATERIAIS UFVS ( INDAIABIRA 3)  NF  600  </t>
  </si>
  <si>
    <t>Pagamento  EM FATURAMENTO DIRETO, referente a locação de caminhão ,  necessário à construção da UFV  em contrato EPC .</t>
  </si>
  <si>
    <t>001429</t>
  </si>
  <si>
    <t>COMPRA DE MATERIAIS UFVS ( INDAIABIRA 3)  NF  149</t>
  </si>
  <si>
    <t xml:space="preserve">COMPRA DE MATERIAIS UFVS ( INDAIABIRA 3)  NF  438  </t>
  </si>
  <si>
    <t>'001469</t>
  </si>
  <si>
    <t>PRESTAÇÃO DE SERVIÇOS UFVS (   INDAIABIRA 3  )  NF 36865</t>
  </si>
  <si>
    <t>Pagamento  EM FATURAMENTO DIRETO, SERVIÇOS DE TRANSPORTE,  necessário à construção da UFV  em contrato EPC .</t>
  </si>
  <si>
    <t> [CCC04233]</t>
  </si>
  <si>
    <t xml:space="preserve">COMPRA DE MATERIUAIS UFVS ( INDAIABIRA 3 ) NF 458   </t>
  </si>
  <si>
    <t>´001462</t>
  </si>
  <si>
    <t>COMPRA DE MATERIUAIS UFVS ( INDAIABIRA 3 ) NF 487</t>
  </si>
  <si>
    <t>´001460</t>
  </si>
  <si>
    <t>COMPRA DE MATERIUAIS UFVS ( INDAIABIRA 3 ) NF 52485</t>
  </si>
  <si>
    <t>´001468</t>
  </si>
  <si>
    <t>COMPRA DE MATERIUAIS UFVS ( INDAIABIRA 3 ) NF 805</t>
  </si>
  <si>
    <t>Pagamento  EM FATURAMENTO DIRETO, REFEIÇÃO  necessário à construção da UFV  em contrato EPC .</t>
  </si>
  <si>
    <t>'001475</t>
  </si>
  <si>
    <t xml:space="preserve">PRESTAÇÃO DE SERVIÇOS UFVS (   INDAIABIRA 3  )  NF 619 </t>
  </si>
  <si>
    <t>Pagamento  EM FATURAMENTO DIRETO, LOCAÇÃO DE EQUIPAMENTOS,  necessário à construção da UFV  em contrato EPC .</t>
  </si>
  <si>
    <t>Não encontrei esta Nota na Planilha da Implantar. Wilson Mendes de Oliveira</t>
  </si>
  <si>
    <t xml:space="preserve">PRESTAÇÃO DE SERVIÇOS MEDIÇÃO 2  UFVS ( INDAIABIRA 3 )    NF  </t>
  </si>
  <si>
    <t>Pagamento referente a medição  ,  prestação de supressão, cercas e bases civis  ,  necessário a construção da UFVs em contrato EPC.</t>
  </si>
  <si>
    <t> [CCC04256]</t>
  </si>
  <si>
    <t>A623-ESTRELA DO NORTE SPE- UFV INDAIABIRA 3</t>
  </si>
  <si>
    <t>COMPRA DE MATERIAIS UFVS (  INDAIABIRA 3) EXPONENCIAL RDA INTERNO NF  26493</t>
  </si>
  <si>
    <t>Outros - Serviços à UFV (IMPLANTAR)</t>
  </si>
  <si>
    <t>COMPRA DE MATERIAIS  UFVs (INDAIABIRA 3)  NF 9023  PARAENG</t>
  </si>
  <si>
    <t> [CCC04260]</t>
  </si>
  <si>
    <t>PRESTAÇÃO DE SERVIÇOS UFVs ( INDAIABIRA 3) NF 814 D GUST RESTAURANTE</t>
  </si>
  <si>
    <t> [CCC04287]</t>
  </si>
  <si>
    <t xml:space="preserve">PRESTAÇÃO DE SERVIÇOS UFVs ( INDAIABIRA 3) NF 10 UIBSO DIAS SOUSA </t>
  </si>
  <si>
    <t>Pagamento em Faturamento Direto,  referente a LOCACAO DE ONIBUS , em contrato de obras EPC da UFV.</t>
  </si>
  <si>
    <t xml:space="preserve">PRESTAÇÃO DE SERVIÇOS UFVs ( INDAIABIRA 3) NF 256 POWER SOLAR </t>
  </si>
  <si>
    <t>Pagamento em Faturamento Direto,  referente aos Serviços de Fundações - Cravações de Estacas, em contrato de obras EPC da UFV.</t>
  </si>
  <si>
    <t> [CCC04290]</t>
  </si>
  <si>
    <t>PRESTAÇÃO DE SERVIÇOS UFVs ( INDAIABIRA 3) NF 52674 FERREIRA FERRAMENTAS</t>
  </si>
  <si>
    <t>001577</t>
  </si>
  <si>
    <t>COMPRA DE MATERIAIS UFVS ( INDAIABIRA 3) NF  93096 SELENA SULAMERICANA</t>
  </si>
  <si>
    <t>Pagamento em Faturamento Direto,  compra de espuma ,  contrato de obras EPC da UFV.</t>
  </si>
  <si>
    <t> [CCC04307]</t>
  </si>
  <si>
    <t>001580</t>
  </si>
  <si>
    <t>COMPRA DE MATERIAIS UFVs ( INDAIABIRA 3) NF 353174    LOJA ELETRICA</t>
  </si>
  <si>
    <t>Pagamento em Faturamento Direto,  compra de cabos,  contrato de obras EPC da UFV.</t>
  </si>
  <si>
    <t> [CCC04308]</t>
  </si>
  <si>
    <t xml:space="preserve">Escopo Comerc </t>
  </si>
  <si>
    <t>001597</t>
  </si>
  <si>
    <t>COMPRA DE MATERIAIS UFVs ( INDAIABIRA 3) NF 157 ROSIANE</t>
  </si>
  <si>
    <t> [CCC04328]</t>
  </si>
  <si>
    <t>001601</t>
  </si>
  <si>
    <t>PRESTAÇÃO DE SERVIÇOS UFVs ( INDAIABIRA 3) NF 341 RONDA PORTEIROS</t>
  </si>
  <si>
    <t> [CCC04332]</t>
  </si>
  <si>
    <t>001602</t>
  </si>
  <si>
    <t>PRESTAÇÃO DE SERVIÇOS UFVs ( INDAIABIRA 3) NF 342 RONDA PORTEIROS</t>
  </si>
  <si>
    <t>Pagamento em faturamento direto, referente a prestação de serviço de vigilância desarmada,ADITIVO DE DOIS VIGIAS NOTURNOS, em contrato EPC.</t>
  </si>
  <si>
    <t>001707</t>
  </si>
  <si>
    <t>COMPRA DE MATERIAIS  UFVs (INDAIABIRA 3) NF LOJA ELÉTRICA 132149</t>
  </si>
  <si>
    <t> [CCC04402]</t>
  </si>
  <si>
    <t>001764</t>
  </si>
  <si>
    <t>PRESTAÇÃO DE SERVIÇOS  UFVs (INDAIABIRA 3) NF 14 UIBSON</t>
  </si>
  <si>
    <t> [CCC04440]</t>
  </si>
  <si>
    <t>001777</t>
  </si>
  <si>
    <t xml:space="preserve">PRESTAÇÃO DE SERVIÇOS UFVs( INDAIABIRA 3)  NF 11  FLAVIO TAVARES  </t>
  </si>
  <si>
    <t>Pagamento em faturamento direto, referente A LOCAÇÃO DE CAMINHA PIPA, em contrato EPC.</t>
  </si>
  <si>
    <t> [CCC04453]</t>
  </si>
  <si>
    <t>001822</t>
  </si>
  <si>
    <t>PRESTAÇÃO DE SERVIÇOS UFVs (INDAIABIRA 3) NF  37  GLEICIANE RAMOS</t>
  </si>
  <si>
    <t>Pagamento em faturamento direto,  A LOCAÇÃO DE ANDAIMES, necessário à construção da UFV em contrato EPC.</t>
  </si>
  <si>
    <t> [CCC04497]</t>
  </si>
  <si>
    <t>001839</t>
  </si>
  <si>
    <t>COMPRA DE MATERIAL UFVs (INDAIABIRA 3) NF 103864  RUBBERPLASTIC</t>
  </si>
  <si>
    <t> [CCC04509]</t>
  </si>
  <si>
    <t>001840</t>
  </si>
  <si>
    <t>COMPRA DE MATERIAL UFVs (INDAIABIRA 3) NF 828  D GUST RESTAURANTE</t>
  </si>
  <si>
    <t>001841</t>
  </si>
  <si>
    <t>PRESTAÇÃO DE SERVIÇOS UFVs (INDAIABIRA 3) NF 409  RONDA PORTEIROS</t>
  </si>
  <si>
    <t>001838</t>
  </si>
  <si>
    <t>COMPRA DE MATERIAL UFVs (INDAIABIRA 3) NF 161  ROSIANE ALVES DE OLIVEIRA</t>
  </si>
  <si>
    <t>001856</t>
  </si>
  <si>
    <t xml:space="preserve">PRESTAÇÃO DE SERVIÇOS UFVs ( INDAIABIRA 3 e 4) NF 47  GR ENGENHARIA </t>
  </si>
  <si>
    <t>Pagamento em faturamento direto, referente a regularização de pendência das obras em contrato EPC.</t>
  </si>
  <si>
    <t> [CCC04531]</t>
  </si>
  <si>
    <t>195.782,6R$  Valor total da nota. Este pagamento se refere a 15 % do valor dos contratos ID3 e ID4</t>
  </si>
  <si>
    <t>Indaiabira 3_Obras Drenagem</t>
  </si>
  <si>
    <t>001905</t>
  </si>
  <si>
    <t>PRESTAÇÃO DE SERVIÇOS UFVs (INDAIBIRA 3)   NF  15 AGUIAR COMERCIO</t>
  </si>
  <si>
    <t> [CCC04560]</t>
  </si>
  <si>
    <t>001906</t>
  </si>
  <si>
    <t>PRESTAÇÃO DE SERVIÇOS UFVs (INDAIBIRA 3)   NF  738 WILSON MENDES</t>
  </si>
  <si>
    <t>Pagamento em faturamento direto, referente a serviço de locação de veiculo, em contrato EPC.</t>
  </si>
  <si>
    <t>001935</t>
  </si>
  <si>
    <t xml:space="preserve">COMPRA DE MATERIAIS  UFVs(INDAIABIRA 3) NF 2521  POSTO PATATIVA </t>
  </si>
  <si>
    <t>Pagamento em faturamento direto  referente a compra de materiarias,  necessários a construção da USINA, em contrato EPC.</t>
  </si>
  <si>
    <t> [CCC04597]</t>
  </si>
  <si>
    <t>001952</t>
  </si>
  <si>
    <t xml:space="preserve">PRESTAÇÃO DE SERVIÇOS UFVs(  INDAIABIRA 3) NF 26   ATLANTA ESTRUTURAS </t>
  </si>
  <si>
    <t>Pagamento em faturamento direto  referente  A LOCAÇÃO DE SANITARIOS QUIMICOS COM LIMPEZA SEMANAL, necessários a construção da USINA, em contrato EPC.</t>
  </si>
  <si>
    <t> [CCC04620]</t>
  </si>
  <si>
    <t>001953</t>
  </si>
  <si>
    <t>COMPRA DE MATERIAIS  UFVs( INDAIABIRA 3) NF 39765     NORTE SUL</t>
  </si>
  <si>
    <t>001955</t>
  </si>
  <si>
    <t>PRESTAÇÃO DE SERVIÇOS UFVs( INDAIABIRA 3)  NF    ADITIVO</t>
  </si>
  <si>
    <t>Pagamento de medição referente ao aditivo de ESCAVAÇÃO E CONCRETAGEM DAS ESTACAS, necessários para a construção das usinas.  ADITIVO</t>
  </si>
  <si>
    <t> [CCC04621]</t>
  </si>
  <si>
    <t>COMPRA DE MATERIAIS  UFVs( INDAIABIRA 3) NF 2969 JC SALES</t>
  </si>
  <si>
    <t> [CCC04623]</t>
  </si>
  <si>
    <t>001969</t>
  </si>
  <si>
    <t>COMPRA DE MATERIAIS  UFVs( INDAIABIRA 3) NF 1867  PONTO ELETRICO</t>
  </si>
  <si>
    <t> [CCC04637]</t>
  </si>
  <si>
    <t>001975</t>
  </si>
  <si>
    <t>COMPRA DE MATERIAIS  UFVs( INDAIABIRA 3) NF 1032  COMERCIAL NEVES</t>
  </si>
  <si>
    <t> [CCC04644]</t>
  </si>
  <si>
    <t>001977</t>
  </si>
  <si>
    <t xml:space="preserve">PRESTAÇÃO DE SERVIÇOS  UFVs ( INDAIABIRA 3)  NF 520 RONDA PORTEIROS </t>
  </si>
  <si>
    <t> [CCC04646]</t>
  </si>
  <si>
    <t>001978</t>
  </si>
  <si>
    <t xml:space="preserve">PRESTAÇÃO DE SERVIÇOS  UFVs ( INDAIABIRA 3)  NF 523 RONDA PORTEIROS </t>
  </si>
  <si>
    <t>Pagamento referente ao serviço de vigilancia desarmada, aditivo de dois vigias noturnos, necessário a construção da usina. ESCOPO COMERC</t>
  </si>
  <si>
    <t> [CCC04647]</t>
  </si>
  <si>
    <t>001979</t>
  </si>
  <si>
    <t>COMPRA DE MATERIAIS  UFVs( INDAIABIRA 3) NF 4524  POSTO MOCAMBO</t>
  </si>
  <si>
    <t>Pagamento em fatuamento direto referente a COMPRA DE COMBUSTIVEL, necessários a construção da usina, em contrato EPC.</t>
  </si>
  <si>
    <t> [CCC04648]</t>
  </si>
  <si>
    <t>001990</t>
  </si>
  <si>
    <t>PRESTAÇÃO DE SERVIÇOS  UFVs ( INDAIABIRA 3)  NF 83  MARLON ALVES</t>
  </si>
  <si>
    <t>Pagamento em faturamento direto referente a locação e montagem de tendas, necessário a construção da usina, em contrato EPC.</t>
  </si>
  <si>
    <t> [CCC04651]</t>
  </si>
  <si>
    <t>002003</t>
  </si>
  <si>
    <t>PRESTAÇÃO DE SERVIÇOS  UFVs ( INDAIABIRA 3)  NF 16  UIBSON DIAS</t>
  </si>
  <si>
    <t>Pagamento em faturamento direto referente a LOCAÇÃO DE ÔNIBUS PARA TRANSPORTE DE PASSAGEIROS, necessário a construção da usina, em contrato EPC.</t>
  </si>
  <si>
    <t> [CCC04656]</t>
  </si>
  <si>
    <t>A624-ESTRELA DO NORTE SPE- UFV INDAIABIRA 4</t>
  </si>
  <si>
    <t>001985</t>
  </si>
  <si>
    <t>DAE - Dispensa  de Licenciamento ambiental UFVs( INDAIABIRA 3)   N 4500025796933_x000D_</t>
  </si>
  <si>
    <t>001924</t>
  </si>
  <si>
    <t>COMPRA DE MATERIAIS UFVs (BURITIZEIRO 1)   NF  494 CONSTRUIR COMERCIO</t>
  </si>
  <si>
    <t> [CCC04580]</t>
  </si>
  <si>
    <t>001192</t>
  </si>
  <si>
    <t>COMPRA MATERIAIS PARA UFVs  (  INDAIABIRA 3)  NF  4420</t>
  </si>
  <si>
    <t>[CCC04093]</t>
  </si>
  <si>
    <t xml:space="preserve">COMPRA MATERIAIS PARA UFVs  (  INDAIABIRA 3)  NF  794 </t>
  </si>
  <si>
    <t>002061</t>
  </si>
  <si>
    <t xml:space="preserve">PRESTAÇÃO DE SERVIÇOS UFVs ( INDAIABIRA 3 ) NF  53 GR ENGENHARIA </t>
  </si>
  <si>
    <t>Pagamento de medição 1, referente a execução de drenagem, necessário a construção da usina.</t>
  </si>
  <si>
    <t> [CCC04734]</t>
  </si>
  <si>
    <t>002071</t>
  </si>
  <si>
    <t>PRESTAÇÃO DE SERVIÇOS UFVs ( INDAIABIRA 3) NF  584 RONDA PORTEIROS</t>
  </si>
  <si>
    <t>Pagamento em faturamento direto, refrente a prestação de serviço de vigilância , necessário à construção da UFV.</t>
  </si>
  <si>
    <t> [CCC04743]</t>
  </si>
  <si>
    <t>002078</t>
  </si>
  <si>
    <t>PRESTAÇÃO DE SERVIÇOS UFVs ( INDAIABIRA 3 ) NF  630  JX AMBIENTAL</t>
  </si>
  <si>
    <t>002159</t>
  </si>
  <si>
    <t>PRESTAÇÃO DE SERVIÇOS UFVs (INDAIABIRA 3)  NF 18  UIBSON DIAS</t>
  </si>
  <si>
    <t>Pagamento em faturamento direto referente a serviço de locação de ônibus para transporte de passageiros, necessário a construção da usinas, em contrato EPC.</t>
  </si>
  <si>
    <t> [CCC04813]</t>
  </si>
  <si>
    <t>002186</t>
  </si>
  <si>
    <t xml:space="preserve">PRESTAÇÃO DE SERVIÇOS UFVs (INDAIABIRA 3 ) NF 67  SOUZA E COSTA    </t>
  </si>
  <si>
    <t>Pagamento em faturamento direto referente ao serviço de transporte de duas retroescavadeiras, necessário a construção da usinas, em contrato EPC.</t>
  </si>
  <si>
    <t> [CCC04817]</t>
  </si>
  <si>
    <t>002182</t>
  </si>
  <si>
    <t>PRESTAÇÃO DE SERVIÇOS UFVs (INDAIABIRA 3 ) NF 24 AGUIAR COMERCIO</t>
  </si>
  <si>
    <t>Pagamento em faturamento direto referente ao serviço de contratação de equipamento retroescavadeira, necessário a construção da usinas, em contrato EPC.</t>
  </si>
  <si>
    <t>002162</t>
  </si>
  <si>
    <t>PRESTAÇÃO DE SERVIÇOS UFVs (INDAIABIRA 3 ) NF 58  GLEICIANE RAMOS</t>
  </si>
  <si>
    <t>Pagamento em faturamento direto referente ao serviço de locação de andaimes e maquinas, necessário a construção da usinas, em contrato EPC.</t>
  </si>
  <si>
    <t>002163</t>
  </si>
  <si>
    <t>COMPRA DE MATERIAIS UFVs   (INDAIABIRA 3 ) NF 843  D GUST</t>
  </si>
  <si>
    <t>Pagamento em faturamento direto referente a compra de materiais, necessário a construção da usinas, em contrato EPC.</t>
  </si>
  <si>
    <t>002164</t>
  </si>
  <si>
    <t>COMPRA DE MATERIAIS UFVs   (INDAIABIRA 3 ) NF 2560 POSTO PATATIVA</t>
  </si>
  <si>
    <t>002160</t>
  </si>
  <si>
    <t>PRESTAÇÃO DE SERVIÇOS UFVs ( INDAIABIRA 3) NF 20  FLAVIO TAVARES</t>
  </si>
  <si>
    <t>Pagamento em faturamento direto, referente  a prestação de serviços de locação de caminhão pipa,  necessário a construção da usina  em contrato EPC.</t>
  </si>
  <si>
    <t> [CCC04815]</t>
  </si>
  <si>
    <t>002156</t>
  </si>
  <si>
    <t xml:space="preserve">PRESTAÇÃO DE SERVIÇOS UFVs (INDAIABIRA 3) NF 56  GR ENGENHARIA </t>
  </si>
  <si>
    <t>Pagamento de medição 2, referente a execução de drenagem, necessário a construção da usina.</t>
  </si>
  <si>
    <t> [CCC04805]</t>
  </si>
  <si>
    <t>SCOMP-000023</t>
  </si>
  <si>
    <t>Reatores de aterramento ADELCO (Indaiabira 4)</t>
  </si>
  <si>
    <t>JX AMBIENTAL - Taxa de Análise Florestal (Indaiabira 4)</t>
  </si>
  <si>
    <t>[CCC03081-02]</t>
  </si>
  <si>
    <t>Indaiabira 4 _Outros</t>
  </si>
  <si>
    <t>000033</t>
  </si>
  <si>
    <t>Desenvolvimento de projetos Executivos - 20% iniciais (Indaiabira 4)</t>
  </si>
  <si>
    <t>[CCC02997-09]</t>
  </si>
  <si>
    <t>Indaiabira 4_Engenharia Executiva</t>
  </si>
  <si>
    <t>000087</t>
  </si>
  <si>
    <t>Consultoria em servidão - Parcela 02/02 (Indaiabira 4) GEOVANY</t>
  </si>
  <si>
    <t>[CCC03142-04]</t>
  </si>
  <si>
    <t>Archtech - Testes de PullOuT_Biotec - Adiantamento (Indaiabira 4)</t>
  </si>
  <si>
    <t>[CCC03145-52]</t>
  </si>
  <si>
    <t>Serviço de SPT - BIOTEC - 35% iniciais (Indaiabira 4) - Campanha 4</t>
  </si>
  <si>
    <t>[CCC02955-06]</t>
  </si>
  <si>
    <t>Archtech - Testes de PullOuT_Biotec - Finalização (Indaiabira 4)</t>
  </si>
  <si>
    <t>[CCC03265-52]</t>
  </si>
  <si>
    <t>A623-ESTRELA DO NORTE SPE- UFV INDAIABIRA 4</t>
  </si>
  <si>
    <t>001265</t>
  </si>
  <si>
    <t>COMPRA MATERIAIS PARA UFVs  ( INDAIABIRA 4  )  NF   26106   EXPONECIAL RDA INTERNO  PEDRO</t>
  </si>
  <si>
    <t>Indaiabira 4 _RDA - Rede de Distribuição Aerea</t>
  </si>
  <si>
    <t>JX AMBIENTAL - Taxa de reposição - Lenha (Indaiabira 4)</t>
  </si>
  <si>
    <t>[CCC03317-01]</t>
  </si>
  <si>
    <t>JX AMBIENTAL - Taxa de reposição - Madeira (Indaiabira 4)</t>
  </si>
  <si>
    <t>[CCC03317-02]</t>
  </si>
  <si>
    <t>SUPERVISORIO - Ciclo 2 - Gateways e remota (Indaiabira 4)</t>
  </si>
  <si>
    <t>[CCC03235-06]</t>
  </si>
  <si>
    <t>Indaiabira 4 _SGD</t>
  </si>
  <si>
    <t>SUPERVISORIO - Ciclo 2 - Baterias, desktops, switch e acessórios (Indaiabira 4)</t>
  </si>
  <si>
    <t>[CCC03235-25]</t>
  </si>
  <si>
    <t>Projetos de fundações e drenagem - HALLITE (Indaiabira 4) 70%  -  Analise terraplanagem</t>
  </si>
  <si>
    <t>[CCC03309-14]</t>
  </si>
  <si>
    <t xml:space="preserve">Construção e Montagem IMPLANTAR - </t>
  </si>
  <si>
    <t>LOJA ELÉTRICA - IMPLANTAR - MATERIAL ELÉTRICO</t>
  </si>
  <si>
    <t>Indaiabira 4 _EPC_FD</t>
  </si>
  <si>
    <t>000410</t>
  </si>
  <si>
    <t>CANCELAR  -  Construção e Montagem IMPLANTAR - Adiantamento contratual (Indaiabira 4)</t>
  </si>
  <si>
    <t>[CCC03380-06]</t>
  </si>
  <si>
    <t>Indaiabira 4 _EPC_MD</t>
  </si>
  <si>
    <t>Projeto de cabine primária  - PROJETTI - 100% (Indaiabira 4)</t>
  </si>
  <si>
    <t>[CCC03373-04]</t>
  </si>
  <si>
    <t>Indaiabira 4 _Coordenograma</t>
  </si>
  <si>
    <t>Construção e Montagem IMPLANTAR - Adiantamento contratual (Indaiabira 4)</t>
  </si>
  <si>
    <t>RODOSOUZA - Terraplanagem – Medição 1 de 40% (Indaiabira 4)  NF  14/2022</t>
  </si>
  <si>
    <t>Indaiabira 4 _Obras Terraplanagem</t>
  </si>
  <si>
    <t>Desenvolvimento de projetos Executivos  - ENERSOLAR -  20% EMITIDOS -  (INDAIABIRA 4)    NF 101</t>
  </si>
  <si>
    <t>[CCC03524]</t>
  </si>
  <si>
    <t xml:space="preserve">Estação solarimétrica – Hukseflux   Indaiabira 4
</t>
  </si>
  <si>
    <t>Indaiabira 4 _Estação solarimétrica</t>
  </si>
  <si>
    <t>COMPRA MATERIAIS PARA UFVs (INDAIABIRA 4)   NF 34587</t>
  </si>
  <si>
    <t>COMPRA MATERIAIS PARA UFVs   (INDAIABIRA 4)   NF 50481</t>
  </si>
  <si>
    <t>000641</t>
  </si>
  <si>
    <t>RODOSOUZA - Terraplanagem - Adiantamento contratual (Indaiabira 4)</t>
  </si>
  <si>
    <t>RODOSOUZA - Terraplanagem -  PARCELA FINAL CONTRATO  (Indaiabira 4)    30% RESTANTE   NF 18</t>
  </si>
  <si>
    <t>000744</t>
  </si>
  <si>
    <t>PRESTAÇÃO DE SERVIÇOS A UFVs  (INDAIABIRA 4 )    NF 136/2022</t>
  </si>
  <si>
    <t>[CCC03751]</t>
  </si>
  <si>
    <t>000756</t>
  </si>
  <si>
    <t>Serviço de levantamento topográfico para validação de terraplenagem (INDAIABIRA 4)  NF 293</t>
  </si>
  <si>
    <t>000772</t>
  </si>
  <si>
    <t>COMPRA MATERIAIS PARA UFVs ( INDAIABIRA 4)   NF 632</t>
  </si>
  <si>
    <t>[CCC03781]</t>
  </si>
  <si>
    <t>000786</t>
  </si>
  <si>
    <t>COMPRA MATERIAIS PARA UFVs ( INDAIABIRA 4)   NF    24042</t>
  </si>
  <si>
    <t>[CCC03796]</t>
  </si>
  <si>
    <t>COMPRA MATERIAIS PARA UFVs ( INDAIABIRA 4)   NF  030</t>
  </si>
  <si>
    <t>[CCC03799]</t>
  </si>
  <si>
    <t>PRESTAÇÃO DE SERVIÇOS UFVS (  INDAIABIRA 4)   NF  XXX</t>
  </si>
  <si>
    <t>Verificar para fazer o acerto de contas.03/04/23</t>
  </si>
  <si>
    <t>000798</t>
  </si>
  <si>
    <t>Desenvolvimento de projetos Executivos  - ENERSOLAR -  20%  ANALISADO -  (INDAIABIRA 4 )    NF 127</t>
  </si>
  <si>
    <t>[CCC03818]</t>
  </si>
  <si>
    <t>41.738.810/0003-99</t>
  </si>
  <si>
    <t xml:space="preserve">PRESTAÇÃO DE SERVIÇOS A UFVs  (INDAIABIRA 4 )  </t>
  </si>
  <si>
    <t>. FERRO E AÇO NORTE SUL LTDA -FERRAGEM</t>
  </si>
  <si>
    <t xml:space="preserve">NORTE PLANT -TOPOGRAFIA </t>
  </si>
  <si>
    <t>FUPLASTIC COMERCIAL LTDA - CAIXA DE PASSAGEM</t>
  </si>
  <si>
    <t>MEDIÇÃO 1 PRESTAÇÃO DE SERVIÇOS  UFVs ( INDAIABIRA 4)    NF   664</t>
  </si>
  <si>
    <t>Serviços de  levantamento topográfico  ( INDAIABIRA 4)  NF 267   SOLUÇÃO AGRIMENSURA EIRELI</t>
  </si>
  <si>
    <t>Projetos de fundações e drenagem - HALLITE ( INDAIABIRA 4 ) Analise terraplanagem - 30% FINAIS   NF 61</t>
  </si>
  <si>
    <t>Desenvolvimento de projetos Executivos  - ENERSOLAR -  20%  APROVADO  (INDAIABIRA 4)   NF 137</t>
  </si>
  <si>
    <t>[CCC03921]</t>
  </si>
  <si>
    <t>000832</t>
  </si>
  <si>
    <t>COMPRA MATERIAIS PARA UFVs ( INDAIABIRA  4)   NF 14287</t>
  </si>
  <si>
    <t>000031</t>
  </si>
  <si>
    <t>Desenvolvimento de projetos Executivos - 20% iniciais (Indaiabira 2) TRANSFERIDO PARA INDAIABIRA 4</t>
  </si>
  <si>
    <t>[CCC02997-07]</t>
  </si>
  <si>
    <t>001163</t>
  </si>
  <si>
    <t>PRESTAÇÃO DE SERVIÇOS UFVs  (INDAIABIRA 4)  NF  246/2022</t>
  </si>
  <si>
    <t>PRESTAÇÃO DE SERVIÇOS UFVs  (INDAIABIRA 4)  NF  244/2022</t>
  </si>
  <si>
    <t>001100</t>
  </si>
  <si>
    <t>Estação solarimétrica – Hukseflux   UFVs ( INDAIABIRA 4)  VINCULO PEDIDO 000515 A 609  NF  4790</t>
  </si>
  <si>
    <t>001066</t>
  </si>
  <si>
    <t>COMPRA MATERIAIS PARA UFVs  (INDAIABIRA 3)  NF 8176  ZETA POSTES   RDA INTERNA</t>
  </si>
  <si>
    <t xml:space="preserve">COMPRA MATERIAIS PARA UFVs  ( INDAIABIRA 4   )  NF  72948   LTB  RDA INTERNO  </t>
  </si>
  <si>
    <t>PRESTAÇÃO DE SERVIÇOS UFVs ( INDAIABIRA 4  )    NF  142 MINAS MIX</t>
  </si>
  <si>
    <t>FERREIRA FERRAMENTAS COMERCIO LTDA ME - FERRAMENTAS</t>
  </si>
  <si>
    <t>001407</t>
  </si>
  <si>
    <t>PRESTAÇÃO DE SERVIÇOS UFVs    ( INDAIABIRA 4)  NF  151</t>
  </si>
  <si>
    <t>Pagamento em Faturamento Direto referente a SERVIÇOS DE TRANSPORTES, em contrato EPC.</t>
  </si>
  <si>
    <t>´001416</t>
  </si>
  <si>
    <t>COMPRA DE MATERIAIS  UFVs    ( INDAIABIRA 4)  NF  106830</t>
  </si>
  <si>
    <t>´001422</t>
  </si>
  <si>
    <t>COMPRA DE MATERIAIS  UFVs    ( INDAIABIRA 4)  NF  106827</t>
  </si>
  <si>
    <t>PRESTAÇÃO DE SERVIÇOS UFVS (  INDAIABIRA 4)   NF  287</t>
  </si>
  <si>
    <t>PRESTAÇÃO DE SERVIÇOS UFVS (  INDAIABIRA 4)   NF  288</t>
  </si>
  <si>
    <t>´001461</t>
  </si>
  <si>
    <t>COMPRA DE MATERIUAIS UFVS ( INDAIABIRA 4 ) NF 52487</t>
  </si>
  <si>
    <t xml:space="preserve">PRESTAÇÃO DE SERVIÇOS MEDIÇÃO 2  UFVS ( INDAIABIRA 4 )    NF  </t>
  </si>
  <si>
    <t>Pagamento referente a medição  de supressão vegetal e regularização do terreno, necessário a construção da UFVs em contrato EPC.</t>
  </si>
  <si>
    <t>COMPRA DE MATERIAIS UFVS ( INDAIABIRA 4 ) EXPONENCIAL RDA INTERNO NF   26492</t>
  </si>
  <si>
    <t>COMPRA DE MATERIAIS  UFVs (INDAIABIRA 4)  NF  9024 PARAENG</t>
  </si>
  <si>
    <t>001648</t>
  </si>
  <si>
    <t>COMPRA DE MATERIAIS UFVs (INDAIABIRA 4 ) NF 52837 FERREIRA FERRAMENTAS</t>
  </si>
  <si>
    <t xml:space="preserve">Pagamento de serviços, REFERENTE A COMPRA DE MATERIAIS, necessário à construção da UFV em contrato EPC . </t>
  </si>
  <si>
    <t> [CCC04357]</t>
  </si>
  <si>
    <t>001649</t>
  </si>
  <si>
    <t>COMPRA DE MATERIAIS UFVs (INDAIABIRA 4 ) NF 1835 PONTO ELÉTRICO</t>
  </si>
  <si>
    <t>001650</t>
  </si>
  <si>
    <t>COMPRA DE MATERIAIS UFVs (INDAIABIRA 4 ) NF 01 WILSON MENDES</t>
  </si>
  <si>
    <t xml:space="preserve">Pagamento de serviços, REFERENTE A LOCAÇÃO DE VEICULO, necessário à construção da UFV em contrato EPC . </t>
  </si>
  <si>
    <t>001651</t>
  </si>
  <si>
    <t>COMPRA DE MATERIAIS UFVs (INDAIABIRA 4 ) NF 817 D GUST RESTAURANTE</t>
  </si>
  <si>
    <t>001672</t>
  </si>
  <si>
    <t xml:space="preserve">COMPRA DE MATERIAIS UFVs (INDAIABIRA 4 ) NF 209019 MINAS FERRAMENTAS </t>
  </si>
  <si>
    <t>001655</t>
  </si>
  <si>
    <t>COMPRA DE MATERIAIS UFVs (INDAIABIRA 4 ) NF 9933 INSTRUM DO BRASIL</t>
  </si>
  <si>
    <t>001656</t>
  </si>
  <si>
    <t xml:space="preserve">COMPRA DE MATERIAIS UFVs (INDAIABIRA 4 ) NF 890 ANTONIO SIDINEI </t>
  </si>
  <si>
    <t>COMPRA DE MATERIAIS UFVs (INDAIABIRA 4 ) NF 102940 RUBBERPLASTIC  CADASTRO</t>
  </si>
  <si>
    <t>001664</t>
  </si>
  <si>
    <t xml:space="preserve">COMPRA DE MATERIAIS UFVs (INDAIABIRA 4) NF  13773  LOJAS RAMOS  </t>
  </si>
  <si>
    <t> [CCC04362]</t>
  </si>
  <si>
    <t>001658</t>
  </si>
  <si>
    <t xml:space="preserve">COMPRA DE MATERIAIS UFVs (INDAIABIRA 4) NF  11 MINAS MIX </t>
  </si>
  <si>
    <t>001659</t>
  </si>
  <si>
    <t xml:space="preserve">PRESTAÇÃO DE SERVIÇOS UFVs (INDAIABIRA 4) NF 8  MARLON ALVES </t>
  </si>
  <si>
    <t>Pagamento em faturamento direto, referente A LOCAÇÃO E MONTAGEM DE TENDA ,necessário à construção da UFV em contrato EPC.</t>
  </si>
  <si>
    <t>001660</t>
  </si>
  <si>
    <t>COMPRA DE MATERIAIS UFVs (INDAIABIRA 4 ) NF 2408 INSTRUM DO BRASIL</t>
  </si>
  <si>
    <t> [CCC04364]</t>
  </si>
  <si>
    <t>001661</t>
  </si>
  <si>
    <t>COMPRA DE MATERIAIS UFVs (INDAIABIRA 4 ) NF 2405 INSTRUM DO BRASIL</t>
  </si>
  <si>
    <t>001675</t>
  </si>
  <si>
    <t xml:space="preserve">COMPRA DE MATERIAIS UFVs (INDAIABIRA 4 ) NF 209018 MINAS FERRAMENTAS </t>
  </si>
  <si>
    <t>001662</t>
  </si>
  <si>
    <t>PRESTAÇÃO DE SERVIÇOS UFVs (INDAIABIRA 4 ) NF 8 FLAVIO TAVARES</t>
  </si>
  <si>
    <t xml:space="preserve">Pagamento de serviços, REFERENTE A LOCAÇÃO DE CAMINHÃO PIPA , necessário à construção da UFV em contrato EPC . </t>
  </si>
  <si>
    <t> [CCC04368]</t>
  </si>
  <si>
    <t>001627</t>
  </si>
  <si>
    <t xml:space="preserve">PRESTAÇÃO DE SERVIÇOS UFVs  ( INDAIABIRA 4) NF 136 SOLAR </t>
  </si>
  <si>
    <t>Prestação de serviços mediante a acesso de mão de obra, necessário à construção da UFV em contrato EPC .</t>
  </si>
  <si>
    <t> [CCC04344]</t>
  </si>
  <si>
    <t>PRESTAÇÃO DE SERVIÇOS UFVs ( INDAIABIRA 3) NF 2 AGUIAR COMERCIO</t>
  </si>
  <si>
    <t>001537</t>
  </si>
  <si>
    <t>PRESTAÇÃO DE SERVIÇOS UFVs ( INDAIABIRA 4) NF 1 AGUIAR COMERCIO</t>
  </si>
  <si>
    <t xml:space="preserve">PRESTAÇÃO DE SERVIÇOS UFVs ( INDAIABIRA 4) NF 257 POWER SOLAR  </t>
  </si>
  <si>
    <t>001704</t>
  </si>
  <si>
    <t>COMPRA DE MATERIAIS  UFVs (INDAIABIRA 4 ) NF 225127  FRONTEC INDUSTRIA</t>
  </si>
  <si>
    <t> [CCC04401]</t>
  </si>
  <si>
    <t>001576</t>
  </si>
  <si>
    <t>COMPRA DE MATERIAIS UFVS ( INDAIABIRA 4) NF  93095 SELENA SULAMERICANA</t>
  </si>
  <si>
    <t>PRESTAÇÃO DE SERVIÇOS UFVs ( INDAIABIRA 4) NF 38082  ARMAC LOCAÇÃO</t>
  </si>
  <si>
    <t>Pagamento em Faturamento Direto,  Locação de equipamentos sem mão de obra,  contrato de obras EPC da UFV.</t>
  </si>
  <si>
    <t>COMPRA DE MATERIAIS UFVs ( INDAIABIRA 4) NF 353173     LOJA ELETRICA</t>
  </si>
  <si>
    <t>COMPRA DE MATERIAIS UFVS ( INDAIABIRA 4 ) NF 1006 COMERCIAL NEVES</t>
  </si>
  <si>
    <t> [CCC04319]</t>
  </si>
  <si>
    <t>PRESTAÇÃO DE SERVIÇOS  ( INDAIABIRA 4 ) NF 2 ATLANTA</t>
  </si>
  <si>
    <t>Pagamento de serviços, REFERENTE a Locação de 02 sanitários químicos com limpezas semanais pelo período de 08/12/22 a 08/01/23, necessário à construção da UFV em contrato EPC .</t>
  </si>
  <si>
    <t>COMPRA DE MATERIAIS UFVS ( INDAIABIRA 4 ) NF  10384  K MIG</t>
  </si>
  <si>
    <t>COMPRA DE MATERIAIS UFVS ( INDAIABIRA 4 ) NF 1004 COMERCIAL NEVES</t>
  </si>
  <si>
    <t>PRESTAÇÃO DE SERVIÇOS UFVs (INDAIABIRA 4) NF 339 RONDA PORTEIROS</t>
  </si>
  <si>
    <t>PRESTAÇÃO DE SERVIÇOS UFVs ( INDAIABIRA 4) NF 340 RONDA PORTEIROS</t>
  </si>
  <si>
    <t>PRESTAÇÃO DE SERVIÇOS UFVs ( INDAIABIRA 4) NF  25452 POSTO PATATIVA</t>
  </si>
  <si>
    <t> [CCC04337]</t>
  </si>
  <si>
    <t>PRESTAÇÃO DE SERVIÇOS UFVs ( INDAIABIRA 4) NF  4480 POSTO MOCAMBO</t>
  </si>
  <si>
    <t> [CCC04338]</t>
  </si>
  <si>
    <t>PRESTAÇÃO DE SERVIÇOS UFVs ( INDAIABIRA 4) NF  4453 POSTO MOCAMBO</t>
  </si>
  <si>
    <t>001705</t>
  </si>
  <si>
    <t>COMPRA DE MATERIAIS  UFVs (INDAIABIRA 4 ) NF 225133   FRONTEC INDUSTRIA</t>
  </si>
  <si>
    <t>001706</t>
  </si>
  <si>
    <t xml:space="preserve">COMPRA DE MATERIAIS  UFVs (INDAIABIRA 4 ) NF 132148 LOJA ELÉTRICA </t>
  </si>
  <si>
    <t>001733</t>
  </si>
  <si>
    <t xml:space="preserve">COMPRA DE MATERIAIS  UFVs (INDAIABIRA 4) NF    35503 SUPERMERCADO PORTAS E JANELAS   </t>
  </si>
  <si>
    <t> [CCC04414]</t>
  </si>
  <si>
    <t>001727</t>
  </si>
  <si>
    <t>COMPRA DE MATERIAIS UFVs (INDAIABIRA 4) NF 669 WILSON MENDES</t>
  </si>
  <si>
    <t>Pagamento em faturamento direto, REFERENTE A LOCAÇÃO, necessário à construção da UFV em contrato EPC.</t>
  </si>
  <si>
    <t>001729</t>
  </si>
  <si>
    <t xml:space="preserve">PRESTAÇÃO DE SERVIÇOS  UFVs ( INDAIABIRA 4 ) NF 11 ATLANTA </t>
  </si>
  <si>
    <t>001730</t>
  </si>
  <si>
    <t>COMPRA DE MATERIAIS UFVs (INDAIABIRA 4) NF 4494 POSTO MOCAMBO</t>
  </si>
  <si>
    <t>001731</t>
  </si>
  <si>
    <t>PRESTAÇÃO DE SERVIÇOS  UFVs ( INDAIABIRA 4 ) NF 9 AGUIAR COMERCIO</t>
  </si>
  <si>
    <t>001732</t>
  </si>
  <si>
    <t>PRESTAÇÃO DE SERVIÇOS  UFVs ( INDAIABIRA 4 ) NF 7 AGUIAR COMERCIO</t>
  </si>
  <si>
    <t>001744</t>
  </si>
  <si>
    <t>PRESTAÇÃO DE SERVIÇOS UFVs(INDAIABIRA 4) NF 137 SOLAR</t>
  </si>
  <si>
    <t> [CCC04430]</t>
  </si>
  <si>
    <t>001746</t>
  </si>
  <si>
    <t>COMPRA DE MATERIAL UFVs (INDAIABIRA 4) NF 38824 NORTESUL</t>
  </si>
  <si>
    <t>001747</t>
  </si>
  <si>
    <t>COMPRA DE MATERIAL UFVs (INDAIABIRA 4) NF 38825 NORTESUL</t>
  </si>
  <si>
    <t>001757</t>
  </si>
  <si>
    <t>COMPRA DE MATERIAL UFVs (INDAIABIRA 4) NF 2478 POSTO PATATIVA</t>
  </si>
  <si>
    <t>001762</t>
  </si>
  <si>
    <t>COMPRA DE MATERIAL UFVs (INDAIABIRA 4) NF 821 D'GUST</t>
  </si>
  <si>
    <t>001763</t>
  </si>
  <si>
    <t>PRESTAÇÃO DE SERVIÇOS  UFVs (INDAIABIRA 4) NF 47 MARLON ALVES</t>
  </si>
  <si>
    <t>001765</t>
  </si>
  <si>
    <t>PRESTAÇÃO DE SERVIÇOS  UFVs (INDAIABIRA 4) NF 12 UIBSON</t>
  </si>
  <si>
    <t>001766</t>
  </si>
  <si>
    <t>COMPRA DE MATERIAL UFVs (INDAIABIRA 4) NF 1850 PONTO ELÉTRICO</t>
  </si>
  <si>
    <t>001784</t>
  </si>
  <si>
    <t xml:space="preserve">COMPRA DE MATERIAIS UFVs ( INDAIABIRA 4) NF  3665     CONSTRUCOSTA  </t>
  </si>
  <si>
    <t>001789</t>
  </si>
  <si>
    <t xml:space="preserve">PRESTAÇÃO DE SERVIÇOS UFVs( INDAIABIRA 4 ) N 402   LHBM </t>
  </si>
  <si>
    <t>001816</t>
  </si>
  <si>
    <t>COMPRA DE MATERIAL UFVs ( INDAIABIRA 4) NF 490  CONSTRUIR COMERCIO</t>
  </si>
  <si>
    <t> [CCC04492]</t>
  </si>
  <si>
    <t>001820</t>
  </si>
  <si>
    <t xml:space="preserve">PRESTAÇÃO DE SERVIÇOS UFVs (INDAIABIRA 4) NF 15  CARLOS TEIXEIRA  </t>
  </si>
  <si>
    <t>Pagamento em faturamento direto, referente ao transporte de uma Retroescavadeira, necessário à construção da UFV em contrato EPC.</t>
  </si>
  <si>
    <t>001821</t>
  </si>
  <si>
    <t>PRESTAÇÃO DE SERVIÇOS UFVs (INDAIABIRA 4) NF  44  GLEICIANE RAMOS</t>
  </si>
  <si>
    <t>001842</t>
  </si>
  <si>
    <t>PRESTAÇÃO DE SERVIÇOS UFVs (INDAIABIRA 4) NF 411  RONDA PORTEIROS</t>
  </si>
  <si>
    <t> [CCC04511]</t>
  </si>
  <si>
    <t>001854</t>
  </si>
  <si>
    <t xml:space="preserve">COMPRA DE MATERIAL UFVs (INDAIABIRA 4) NF 127 MICHAEL BARCELOS GUIMARAES </t>
  </si>
  <si>
    <t>001837</t>
  </si>
  <si>
    <t>PRESTAÇÃO DE SERVIÇOS UFVs (INDAIABIRA 4) NF 408</t>
  </si>
  <si>
    <t>Pagamento , REFERENTE A SERVIÇO DE VIGILANÇIA DESARMADA ,ADITIVO DE DOIS VIGIAS NOTURNOS, necessário à construção da UFV em contrato EPC.</t>
  </si>
  <si>
    <t> [CCC04510]</t>
  </si>
  <si>
    <t>Indaiabira 4 _Obras Drenagem</t>
  </si>
  <si>
    <t>001874</t>
  </si>
  <si>
    <t>PRESTAÇÃO DE SERVIÇOS UFVs (INDAIABIRA 4) NF 139  SOLAR IMPLANTAÇÕES</t>
  </si>
  <si>
    <t>Pagamento em faturamento direto, referente a serviços de mão de obra, em contrato EPC.</t>
  </si>
  <si>
    <t> [CCC04545]</t>
  </si>
  <si>
    <t>001904</t>
  </si>
  <si>
    <t>PRESTAÇÃO DE SERVIÇOS UFVs (INDAIBIRA 4)   NF  14 AGUIAR COMERCIO</t>
  </si>
  <si>
    <t>001907</t>
  </si>
  <si>
    <t>COMPRA DE MATERIAIS UFVs (INDAIABIRA 4)   NF 1031 COMERCIAL NEVES</t>
  </si>
  <si>
    <t>001911</t>
  </si>
  <si>
    <t>COMPRA DE MATERIAIS UFVs (INDAIABIRA 4)   NF 830 D GUST</t>
  </si>
  <si>
    <t>Pagamento em faturamento direto referente  a  compra de refeição, necessários a construção da USINA, em contrato EPC.</t>
  </si>
  <si>
    <t> [CCC04570]</t>
  </si>
  <si>
    <t>001954</t>
  </si>
  <si>
    <t>COMPRA DE MATERIAIS  UFVs( INDAIABIRA 4) NF 39764     NORTE SUL</t>
  </si>
  <si>
    <t>001957</t>
  </si>
  <si>
    <t>COMPRA DE MATERIAIS  UFVs( INDAIABIRA 4) NF 1866 PONTO ELETRICO MAT</t>
  </si>
  <si>
    <t> [CCC04626]</t>
  </si>
  <si>
    <t>001968</t>
  </si>
  <si>
    <t>PRESTAÇÃO DE SERVIÇOS UFVs ( INDAIABIRA 4) NF 14  FLAVIO TAVARES</t>
  </si>
  <si>
    <t>Pagamento em faturamento direto referente a locação de caminhão pipa, necessário a construção da usina, em contrato EPC.</t>
  </si>
  <si>
    <t> [CCC04636]</t>
  </si>
  <si>
    <t>001974</t>
  </si>
  <si>
    <t>COMPRA DE MATERIAIS  UFVs( INDAIABIRA 4) NF 160049  LOJA ELETRICA</t>
  </si>
  <si>
    <t> [CCC04643]</t>
  </si>
  <si>
    <t>001976</t>
  </si>
  <si>
    <t>PRESTAÇÃO DE SERVIÇOS UFVs( INDAIABIRA 4) NF 522   RONDA PORTEIROS</t>
  </si>
  <si>
    <t> [CCC04645]</t>
  </si>
  <si>
    <t>001988</t>
  </si>
  <si>
    <t xml:space="preserve">PRESTAÇÃO DE SERVIÇOS  UFVs ( INDAIABIRA 4)  NF 521 RONDA PORTEIROS </t>
  </si>
  <si>
    <t>001992</t>
  </si>
  <si>
    <t>PRESTAÇÃO DE SERVIÇOS  UFVs ( INDAIABIRA 4)  NF 40771  ARMAC</t>
  </si>
  <si>
    <t>Pagamento em faturamento direto referente a locação de retroescavadeira, necessário a construção da usina, em contrato EPC.</t>
  </si>
  <si>
    <t>002002</t>
  </si>
  <si>
    <t>COMPRA DE MATERIAIS  UFVs( INDAIABIRA 4) NF 831  D GUST</t>
  </si>
  <si>
    <t>Pagamento em faturamento direto referente a COMPRA DE REFEIÇÃO, necessário a construção da usina, em contrato EPC.</t>
  </si>
  <si>
    <t>002008</t>
  </si>
  <si>
    <t>COMPRA DE MATERIAIS  UFVs( INDAIABIRA 4) NF 169  ROSIANE ALVES</t>
  </si>
  <si>
    <t>002006</t>
  </si>
  <si>
    <t>PRESTAÇÃO DE SERVIÇOS  UFVs ( INDAIABIRA 4)  NF 51 GLEICIANE RAMOS</t>
  </si>
  <si>
    <t>Pagamento em faturamento direto referente a LOCAÇÃO DE ANDAIMES, necessário a construção da usina, em contrato EPC.</t>
  </si>
  <si>
    <t> [CCC04657]</t>
  </si>
  <si>
    <t>001986</t>
  </si>
  <si>
    <t xml:space="preserve">DAE - Dispensa  de Licenciamento ambiental UFVs( INDAIABIRA 4 )  N 4500025797433 </t>
  </si>
  <si>
    <t>002022</t>
  </si>
  <si>
    <t xml:space="preserve">COMPRA DE MATERIAIS UFVs( INDAIABIRA 4) NF 1051  COMERCIAL NEVES </t>
  </si>
  <si>
    <t>Pagamento em faturmento direto referente a compra de materiais, em contrato EPC.</t>
  </si>
  <si>
    <t> [CCC04679]</t>
  </si>
  <si>
    <t>001922</t>
  </si>
  <si>
    <t>COMPRA DE MATERIAIS UFVs (INDAIABIRA4)   NF  1030 COMERCIAL NEVES</t>
  </si>
  <si>
    <t>002099</t>
  </si>
  <si>
    <t xml:space="preserve">PRESTAÇÃO DE SERVIÇOS UFVs( INDAIABIRA 4) NF 674   ADITIVO IMPLANTAR </t>
  </si>
  <si>
    <t xml:space="preserve">Pagamento referente a diferença de faturamento direto e valores finais , necessários a construção da usina . ADITIVO </t>
  </si>
  <si>
    <t> [CCC04759]</t>
  </si>
  <si>
    <t>002101</t>
  </si>
  <si>
    <t>COMPRA DE MATERIAIS UFvs ( INDAIABIRA 4 ) NF 2539  POSTO PATATIVA</t>
  </si>
  <si>
    <t>Pagamento em faturamento direto, refrente a compra de combustivel , necessário à construção da UFV, em contrato EPC.</t>
  </si>
  <si>
    <t> [CCC04760]</t>
  </si>
  <si>
    <t>002103</t>
  </si>
  <si>
    <t>PRESTAÇÃO DE SERVIÇOS UFvs ( INDAIABIRA 4 ) NF 20  AGUIAR COMERCIO</t>
  </si>
  <si>
    <t>002104</t>
  </si>
  <si>
    <t>PRESTAÇÃO DE SERVIÇOS UFvs ( INDAIABIRA 4 ) NF 21  AGUIAR COMERCIO</t>
  </si>
  <si>
    <t>002105</t>
  </si>
  <si>
    <t>PRESTAÇÃO DE SERVIÇOS UFvs ( INDAIABIRA 4 ) NF 22  AGUIAR COMERCIO</t>
  </si>
  <si>
    <t>002100</t>
  </si>
  <si>
    <t>COMPRA DE MATERIAIS UFvs ( INDAIABIRA 4 ) NF 498  CONSTRUIR COMERCIO</t>
  </si>
  <si>
    <t>002102</t>
  </si>
  <si>
    <t>COMPRA DE MATERIAIS UFvs ( INDAIABIRA 4 ) NF 841  D GUST</t>
  </si>
  <si>
    <t>002108</t>
  </si>
  <si>
    <t>PRESTAÇÃO DE SERVIÇOS UFVs ( INDAIABIRA 3) NF  40  CARLUCIO DE OLIVEIRA</t>
  </si>
  <si>
    <t>Pagamento em faturamento direto, referente a prestação de serviço de cobertura metálica, necessário a construção da usinas em contrato EPC.</t>
  </si>
  <si>
    <t> [CCC04764]</t>
  </si>
  <si>
    <t>002109</t>
  </si>
  <si>
    <t>PRESTAÇÃO DE SERVIÇOS UFVs ( INDAIABIRA 4) NF  70  MANOEL SALVADOR</t>
  </si>
  <si>
    <t>Pagamento em faturamento direto, referente a fornecimento de refeição, necessário a construção da usinas em contrato EPC.</t>
  </si>
  <si>
    <t>002070</t>
  </si>
  <si>
    <t>PRESTAÇÃO DE SERVIÇOS UFVs ( INDAIABIRA 4) NF  40815  ARMAC</t>
  </si>
  <si>
    <t>Pagamento em faturamento direto, refrente a locação de equipamentos , necessário à construção da UFV.</t>
  </si>
  <si>
    <t>002072</t>
  </si>
  <si>
    <t>PRESTAÇÃO DE SERVIÇOS UFVs ( INDAIABIRA 4) NF  580 RONDA PORTEIROS</t>
  </si>
  <si>
    <t>002081</t>
  </si>
  <si>
    <t>PRESTAÇÃO DE SERVIÇOS UFVs ( INDAIABIRA 4 ) NF  631  JX AMBIENTAL</t>
  </si>
  <si>
    <t>002155</t>
  </si>
  <si>
    <t xml:space="preserve">PRESTAÇÃO DE SERVIÇOS UFVs (INDAIABIRA 4) NF 55  GR ENGENHARIA </t>
  </si>
  <si>
    <t> [CCC04804]</t>
  </si>
  <si>
    <t>Reatores de aterramento ADELCO (Jaboticatubas 1)</t>
  </si>
  <si>
    <t>Jaboticatubas 1</t>
  </si>
  <si>
    <t>A610-ESTRELA DO NORTE JABOTICATUBAS SPE</t>
  </si>
  <si>
    <t>Projetos de fundações e drenagem - HALLITE (Jaboticatubas 1) Analise terraplanagem</t>
  </si>
  <si>
    <t>Pagamento de serviço de desenvolvimento de projeto de drenagem, suportado por contrato específico.</t>
  </si>
  <si>
    <t>[CCC03050-01]</t>
  </si>
  <si>
    <t>Jaboticatubas 1 _Outros</t>
  </si>
  <si>
    <t>000091</t>
  </si>
  <si>
    <t>JX AMBIENTAL - Procedimento Administrativo - DAIA de implantação de rede rural - 01de03 - (Jaboticatubas 1)</t>
  </si>
  <si>
    <t>[CCC03092-09]</t>
  </si>
  <si>
    <t>000096</t>
  </si>
  <si>
    <t>JX AMBIENTAL - Procedimento Administrativo - DAIA de implantação de rede rural - 02de03 - (Jaboticatubas 1)</t>
  </si>
  <si>
    <t>[CCC03144-01]</t>
  </si>
  <si>
    <t>Archtech - Testes de PullOuT_Biotec - Adiantamento (Jaboticatubas 1)</t>
  </si>
  <si>
    <t>[CCC03145-45]</t>
  </si>
  <si>
    <t>000185</t>
  </si>
  <si>
    <t>ART Inst. elétricas - Distribuidoras - CEMIG (Jaboticatubas 1)</t>
  </si>
  <si>
    <t>Taxa necessária a análise de projeto destinado a execução.</t>
  </si>
  <si>
    <t>[CCC03168-03]</t>
  </si>
  <si>
    <t>JX AMBIENTAL - Taxa de análise - Corte (Jaboticatubas 1)</t>
  </si>
  <si>
    <t>[CCC03242-01]</t>
  </si>
  <si>
    <t>JX AMBIENTAL - Taxa de análise - Supressão (Jaboticatubas 1)</t>
  </si>
  <si>
    <t>[CCC03242-02]</t>
  </si>
  <si>
    <t>JX AMBIENTAL - Taxa Florestal - Lenha (Jaboticatubas 1)</t>
  </si>
  <si>
    <t>[CCC03242-03]</t>
  </si>
  <si>
    <t>JX AMBIENTAL - Taxa Florestal - Madeira (Jaboticatubas 1)</t>
  </si>
  <si>
    <t>[CCC03242-04]</t>
  </si>
  <si>
    <t>Archtech - Testes de PullOuT_Biotec - Finalização (Jaboticatubas 1)</t>
  </si>
  <si>
    <t>[CCC03265-45]</t>
  </si>
  <si>
    <t>000218</t>
  </si>
  <si>
    <t>Serviço de SPT - BIOTEC (Jaboticatubas 1) - 40% iniciais - Campanha 6</t>
  </si>
  <si>
    <t>[CCC03281-02]</t>
  </si>
  <si>
    <t>JX AMBIENTAL - Procedimento Administrativo - DAIA de implantação de UFV - 01de03 (Jaboticatubas 1)</t>
  </si>
  <si>
    <t>[CCC03275]</t>
  </si>
  <si>
    <t>000250</t>
  </si>
  <si>
    <t>JX AMBIENTAL - Procedimento Administrativo - DAIA de implantação de UFV - 02de03 (Jaboticatubas 1)</t>
  </si>
  <si>
    <t>Parcela intermediária de serviço de consultoria contratado cumprimento de legislação ambiental.</t>
  </si>
  <si>
    <t>[CCC03292-08]</t>
  </si>
  <si>
    <t>000253</t>
  </si>
  <si>
    <t>Serviço de SPT - BIOTEC (Jaboticatubas 1) - 60% finais - Campanha 6</t>
  </si>
  <si>
    <t>[CCC03295-01]</t>
  </si>
  <si>
    <t>SUPERVISORIO - Ciclo 2 - Gateways e remota (Jaboticatubas 1) NF 1817</t>
  </si>
  <si>
    <t>[CCC03235-19]</t>
  </si>
  <si>
    <t>Jaboticatubas 1 _SGD</t>
  </si>
  <si>
    <t>SUPERVISORIO - Ciclo 2 - Baterias, desktops, switch e acessórios (Jaboticatubas 1) NF 1836</t>
  </si>
  <si>
    <t>[CCC03235-38]</t>
  </si>
  <si>
    <t>JX AMBIENTAL - Procedimento Administrativo - DAIA de implantação de UFV - 03de03 (Jaboticatubas 1)</t>
  </si>
  <si>
    <t>[CCC03322-03]</t>
  </si>
  <si>
    <t>000343</t>
  </si>
  <si>
    <t>Eng. Executiva GLD - Entrega 01 - P01_05 (Jaboticatubas 1)</t>
  </si>
  <si>
    <t>[CCC03088-21]</t>
  </si>
  <si>
    <t>Jaboticatubas 1 _Engenharia Executiva - Basica</t>
  </si>
  <si>
    <t>Eng. Executiva GLD - Entrega 02 - P01_03 (Jaboticatubas 1)</t>
  </si>
  <si>
    <t>[CCC03088-26]</t>
  </si>
  <si>
    <t>000411</t>
  </si>
  <si>
    <t>CANCELAR  -  Construção e Montagem IMPLANTAR - Adiantamento contratual (Jaboticatubas 1)</t>
  </si>
  <si>
    <t>[CCC03380-07]</t>
  </si>
  <si>
    <t>Construção e Montagem IMPLANTAR - Adiantamento contratual (Jaboticatubas 1)</t>
  </si>
  <si>
    <t>Jaboticatubas 1_EPC_MD</t>
  </si>
  <si>
    <t>A602-ESTRELA DO NORTE PAINS SPE</t>
  </si>
  <si>
    <t>000517</t>
  </si>
  <si>
    <t xml:space="preserve">Estação solarimétrica – Hukseflux    PAINS 1
</t>
  </si>
  <si>
    <t>[CCC03550]</t>
  </si>
  <si>
    <t>Transferido Paracatu 4</t>
  </si>
  <si>
    <t>000591</t>
  </si>
  <si>
    <t>Estação solarimétrica – Hukseflux    VARJÃO 4  NF 7021 PC 3176</t>
  </si>
  <si>
    <t xml:space="preserve">[CCC03560] </t>
  </si>
  <si>
    <t>000516</t>
  </si>
  <si>
    <t xml:space="preserve">Estação solarimétrica – Hukseflux    Jaboticatubas
</t>
  </si>
  <si>
    <t>[CCC03546]</t>
  </si>
  <si>
    <t>Jaboticatubas 1 _Estação solarimétrica</t>
  </si>
  <si>
    <t>Desenvolvimento de   projetos  GLD  ( JABOTICATUBAS  )    NF  220</t>
  </si>
  <si>
    <t>[CCC03842]</t>
  </si>
  <si>
    <t>Jaboticatubas 1_Engenharia Executiva - Detalhada</t>
  </si>
  <si>
    <t>000811</t>
  </si>
  <si>
    <t>Taxa de reposição florestal  (JABOTICATUBAS 1) NF 571</t>
  </si>
  <si>
    <t>[CCC03832]</t>
  </si>
  <si>
    <t>Atividades para liberação de execução de POT nas UFVs ( JABOTICATUBAS)  NF  433</t>
  </si>
  <si>
    <t>Religadores (JABOTICATUBAS )   TAVRIDA    NF     575</t>
  </si>
  <si>
    <t>[CCC03909]</t>
  </si>
  <si>
    <t>Jaboticatubas 1 _Obras MT_FD</t>
  </si>
  <si>
    <t>001993</t>
  </si>
  <si>
    <t>DAE - Dispensa  de Licenciamento ambiental UFVs( JABOTICATUBAS)   N 4500025803522_x000D_</t>
  </si>
  <si>
    <t>Medição MT</t>
  </si>
  <si>
    <t>(JABOTICATUBAS )   NFSE 116</t>
  </si>
  <si>
    <t>Jaboticatubas 1 _Obras MT_MD</t>
  </si>
  <si>
    <t>002086</t>
  </si>
  <si>
    <t>PRESTAÇÃO DE SERVIÇOS UFVs ( JABOTICATUBAS ) NF 635 JX AMBIENTAL</t>
  </si>
  <si>
    <t>002087</t>
  </si>
  <si>
    <t>PRESTAÇÃO DE SERVIÇOS UFVs ( JABOTICATUBAS ) NF 642 JX AMBIENTAL</t>
  </si>
  <si>
    <t>002088</t>
  </si>
  <si>
    <t>PRESTAÇÃO DE SERVIÇOS UFVs ( JABOTICATUBAS ) NF 658 JX AMBIENTAL</t>
  </si>
  <si>
    <t>002135</t>
  </si>
  <si>
    <t>PRESTAÇÃO DE SERVIÇOS UFVs ( JABOTICATUBAS )  NF 166   GP SERVIÇOS</t>
  </si>
  <si>
    <t>Pagamento medição, referente a SERVIDÃO DE REDE, NECESSÁRIOS A CONSTRUÇÃO DAS USINAS.   50 % FINAIS</t>
  </si>
  <si>
    <t> [CCC04788]</t>
  </si>
  <si>
    <t>002167</t>
  </si>
  <si>
    <t>PRESTAÇÃO DE SERVIÇOS UFVs (JABOTICATUBAS) NF 663  JX AMBIENTAL</t>
  </si>
  <si>
    <t>Pagamento referente a taxa necessária à avaliação de intervenção ambiental, necessários a construção das usinas.</t>
  </si>
  <si>
    <t> [CCC04822]</t>
  </si>
  <si>
    <t>002169</t>
  </si>
  <si>
    <t>PRESTAÇÃO DE SERVIÇOS UFVs (JABOTICATUBAS) NF 664 JX AMBIENTAL</t>
  </si>
  <si>
    <t>A604-ESTRELA DO NORTE SAO SEB DO OESTE SPE</t>
  </si>
  <si>
    <t>Reatores de aterramento ADELCO (São Sebastião 0)</t>
  </si>
  <si>
    <t>000007</t>
  </si>
  <si>
    <t>Medição 0 - Adiantamento (São Sebastião 0) Contrato 0.1</t>
  </si>
  <si>
    <t>Pagamento de adiantamento contratual, referente a 3,5% do total contratual.</t>
  </si>
  <si>
    <t>[CCC02952-04]</t>
  </si>
  <si>
    <t>São Sebastião 0 - CAPEX - Serviço MT - CCAP-C2-000062</t>
  </si>
  <si>
    <t>São Sebastião 0 _Obras MT_MD</t>
  </si>
  <si>
    <t>Medição 0 - Adiantamento (São Sebastião 0) Contrato 0.2</t>
  </si>
  <si>
    <t>[CCC02952-05]</t>
  </si>
  <si>
    <t>000009</t>
  </si>
  <si>
    <t>Medição 0 - Adiantamento (São Sebastião 0) Contrato 0.3</t>
  </si>
  <si>
    <t>[CCC02952-06]</t>
  </si>
  <si>
    <t>000064</t>
  </si>
  <si>
    <t>JX AMBIENTAL - Procedimento Administrativo - DAIA de implantação de UFV - 03de03 - (São Sebastião 0)</t>
  </si>
  <si>
    <t>[CCC03055]</t>
  </si>
  <si>
    <t>São Sebastião 0 _Outros</t>
  </si>
  <si>
    <t>JX AMBIENTAL - Taxa de compensação - Ipê amarelo (São Sebastião 0)</t>
  </si>
  <si>
    <t>[CCC03170-01]</t>
  </si>
  <si>
    <t>000114</t>
  </si>
  <si>
    <t>JX AMBIENTAL - Taxa de compensação - Pequizeiro (São Sebastião 0)</t>
  </si>
  <si>
    <t>[CCC03170-02]</t>
  </si>
  <si>
    <t>JX AMBIENTAL - Taxa de compensação - Reposição florestal (São Sebastião 0)</t>
  </si>
  <si>
    <t>[CCC03170-03]</t>
  </si>
  <si>
    <t>Serviço de SPT - NOVO TEMPO (São Sebastião 0) - Campanha 3</t>
  </si>
  <si>
    <t>[CCC03077-05]</t>
  </si>
  <si>
    <t>JX AMBIENTAL - Taxa de análise - Realocação de reserva legal (São Sebastião 0)</t>
  </si>
  <si>
    <t>[CCC03244]</t>
  </si>
  <si>
    <t>000257</t>
  </si>
  <si>
    <t>Consultoria em servidão - 02de02 (São Sebastião 0) GEOVANY</t>
  </si>
  <si>
    <t>[CCC03221-02]</t>
  </si>
  <si>
    <t>000281</t>
  </si>
  <si>
    <t>SUPERVISORIO - Ciclo 2 - Gateways e remota (São Sebastião 0)</t>
  </si>
  <si>
    <t>[CCC03235-16]</t>
  </si>
  <si>
    <t>São Sebastião 0 _SGD</t>
  </si>
  <si>
    <t>000300</t>
  </si>
  <si>
    <t>SUPERVISORIO - Ciclo 2 - Baterias, desktops, switch e acessórios (São Sebastião 0)</t>
  </si>
  <si>
    <t>[CCC03235-35]</t>
  </si>
  <si>
    <t>000339</t>
  </si>
  <si>
    <t>Eng. Executiva GLD - Entrega 01 - P01_05 (São Sebastião 0)</t>
  </si>
  <si>
    <t>[CCC03088-01]</t>
  </si>
  <si>
    <t>São Sebastião 0_Engenharia Executiva - Detalhada</t>
  </si>
  <si>
    <t>000522</t>
  </si>
  <si>
    <t>Estação solarimétrica – Hukseflux   São Sebastião 0
NF 7015 PC003982</t>
  </si>
  <si>
    <t>[CCC03557]</t>
  </si>
  <si>
    <t>São Sebastião 0 _Estação solarimétrica</t>
  </si>
  <si>
    <t>Desenvolvimento de projetos Executivos  - ENERSOLAR -  20% iniciais - 01/05 (São Sebastião 0)  NF 80</t>
  </si>
  <si>
    <t>[CCC03326-36]</t>
  </si>
  <si>
    <t>São Sebastião 0 _Engenharia Executiva - Basica</t>
  </si>
  <si>
    <t>000643</t>
  </si>
  <si>
    <t>Fat.Direito EPC (ROSSETI)</t>
  </si>
  <si>
    <t>COMPRA MATERIAIS PARA UFVs (SÃO SEBASTIÃO 0 )   NF  29</t>
  </si>
  <si>
    <t>Compra feita em Faturamento Direto, em contrato de obras EPC externas à UFV.</t>
  </si>
  <si>
    <t>[CCC03642]</t>
  </si>
  <si>
    <t>São Sebastião 0_EPC_FD</t>
  </si>
  <si>
    <t>ROSSETI</t>
  </si>
  <si>
    <t>000689</t>
  </si>
  <si>
    <t>COMPRA MATERIAIS PARA UFVs (SÃO SEBASTIÃO 0 )   NF  40</t>
  </si>
  <si>
    <t>Religadores (SÃO SEBASTIÃO DO OESTE 0 )   TAVRIDA    NF  578</t>
  </si>
  <si>
    <t>[CCC03910]</t>
  </si>
  <si>
    <t>São Sebastião 0 _Obras MT_FD</t>
  </si>
  <si>
    <t>000921</t>
  </si>
  <si>
    <t>Religadores (SÃO SEBASTIÃO DO OESTE 0 )   TAVRIDA    NF   579</t>
  </si>
  <si>
    <t>000922</t>
  </si>
  <si>
    <t>Religadores (SÃO SEBASTIÃO DO OESTE 0 )   TAVRIDA    NF    580</t>
  </si>
  <si>
    <t>001666</t>
  </si>
  <si>
    <t>Desenvolvimento de projetos Executivos  - ENERSOLAR - 20% INTERMEDIÁRIO (SÃO SEBASTIÃO 0) NF  227</t>
  </si>
  <si>
    <t> [CCC04330]</t>
  </si>
  <si>
    <t>001667</t>
  </si>
  <si>
    <t>Desenvolvimento de projetos Executivos  - ENERSOLAR - 20% EMITIDO (SÃO SEBASTIÃO 0) NF  228</t>
  </si>
  <si>
    <t>001668</t>
  </si>
  <si>
    <t>Desenvolvimento de projetos Executivos  - ENERSOLAR - 20% ANALISADO (SÃO SEBASTIÃO 0) NF  229</t>
  </si>
  <si>
    <t xml:space="preserve">Desenvolvimento de projetos Executivos  - ENERSOLAR - ADITIVO  (SÃO SEBASTIÃO 0) NF  </t>
  </si>
  <si>
    <t>Serviço contratado de desenvolvimento de projetos executivos destinados à construção de instalações internas da UFV. ADITIVO</t>
  </si>
  <si>
    <t>001991</t>
  </si>
  <si>
    <t>DAE - Dispensa  de Licenciamento ambiental UFVs( SAO SEBASTIAO 0)   N 4500025803034</t>
  </si>
  <si>
    <t>002084</t>
  </si>
  <si>
    <t>PRESTAÇÃO DE SERVIÇOS UFVs ( SAO SEBASTIAO DO OESTE 0  ) NF 634  JX AMBIENTAL</t>
  </si>
  <si>
    <t>002090</t>
  </si>
  <si>
    <t>PRESTAÇÃO DE SERVIÇOS UFVs ( SAO SEBASTIAO DO OESTE 0  ) NF 660  JX AMBIENTAL</t>
  </si>
  <si>
    <t>Atividades para liberação de execução de POT nas UFVs ( DIVINOPOLIS 1)  NF  434</t>
  </si>
  <si>
    <t>Divinópolis 1 _Outros</t>
  </si>
  <si>
    <t>SPT - finalização (Divinópolis 1)</t>
  </si>
  <si>
    <t>[CCC02568-03]</t>
  </si>
  <si>
    <t>SPT - Adiantame+M:Pto (Divinópolis 1)</t>
  </si>
  <si>
    <t>SPT - Adiantamento (Divinópolis 1)</t>
  </si>
  <si>
    <t>[CCC02491-02]</t>
  </si>
  <si>
    <t>Reatores de aterramento ADELCO (Divinópolis 1)</t>
  </si>
  <si>
    <t>JX AMBIENTAL - Taxa de Analise (Divinópolis 1)</t>
  </si>
  <si>
    <t>[CCC02990-01]</t>
  </si>
  <si>
    <t>JX AMBIENTAL - Taxa Florestal - Lenha (Divinópolis 1)</t>
  </si>
  <si>
    <t>[CCC02990-02]</t>
  </si>
  <si>
    <t>JX AMBIENTAL - Taxa Florestal - Madeira (Divinópolis 1)</t>
  </si>
  <si>
    <t>[CCC02990-03]</t>
  </si>
  <si>
    <t>JX AMBIENTAL - Procedimento Administrativo - DAIA de implantação de rede rural - 01de03 - (Divinópolis 1)</t>
  </si>
  <si>
    <t>[CCC03027-02]</t>
  </si>
  <si>
    <t>JX AMBIENTAL - PTRF - Rede - 02de03 (Divinópolis 1)</t>
  </si>
  <si>
    <t>[CCC03029-02]</t>
  </si>
  <si>
    <t>JX AMBIENTAL - Procedimento Administrativo - DAIA de implantação de rede rural - 02de03 - (Divinópolis 1)</t>
  </si>
  <si>
    <t>[CCC03084-01]</t>
  </si>
  <si>
    <t>Chaves, cordoalha e cabos (Divinópolis 1) CCOBRASCONEX</t>
  </si>
  <si>
    <t>[CCC03162-04]</t>
  </si>
  <si>
    <t>Divinópolis 1 - CAPEX - Serviço MT - CCAP-C2-000062</t>
  </si>
  <si>
    <t>000104</t>
  </si>
  <si>
    <t>Archtech - Testes de PullOuT_Biotec - Adiantamento (Divinópolis 1)</t>
  </si>
  <si>
    <t>[CCC03145-43]</t>
  </si>
  <si>
    <t>Medição 01 (Divinópolis 1)</t>
  </si>
  <si>
    <t>[CCC03188-04]</t>
  </si>
  <si>
    <t>Divinópolis 1 - CAPEX - Serviço AT - CCAP-C2-000059</t>
  </si>
  <si>
    <t>Divinópolis 1_Obras AT_MD</t>
  </si>
  <si>
    <t>JX AMBIENTAL - Taxa de reposição florestal (Divinópolis 1)</t>
  </si>
  <si>
    <t>[CCC03197]</t>
  </si>
  <si>
    <t>Cabo de aço (Divinópolis 1)</t>
  </si>
  <si>
    <t>[CCC03208-01]</t>
  </si>
  <si>
    <t>JX AMBIENTAL - Taxa de compensação - Pequizeiros (Divinópolis 1)</t>
  </si>
  <si>
    <t>[CCC03238]</t>
  </si>
  <si>
    <t>000183</t>
  </si>
  <si>
    <t>ART Inst. elétricas - Distribuidoras - CEMIG (Divinópolis 1)</t>
  </si>
  <si>
    <t>[CCC03168-01]</t>
  </si>
  <si>
    <t>Archtech - Testes de PullOuT_Biotec - Finalização (Divinópolis 1)</t>
  </si>
  <si>
    <t>[CCC03265-43]</t>
  </si>
  <si>
    <t>000273</t>
  </si>
  <si>
    <t>SUPERVISORIO - Ciclo 2 - Gateways e remota (Divinópolis 1) NF 1805</t>
  </si>
  <si>
    <t>[CCC03235-07]</t>
  </si>
  <si>
    <t>Divinópolis 1 _SGD</t>
  </si>
  <si>
    <t>SUPERVISORIO - Ciclo 2 - Baterias, desktops, switch e acessórios (Divinópolis 1) NF 1824</t>
  </si>
  <si>
    <t>[CCC03235-26]</t>
  </si>
  <si>
    <t>000341</t>
  </si>
  <si>
    <t>Eng. Executiva GLD - Entrega 01 - P01_05 (Divinópolis 1)</t>
  </si>
  <si>
    <t>[CCC03088-11]</t>
  </si>
  <si>
    <t>Divinópolis 1 _Engenharia Executiva - Basica</t>
  </si>
  <si>
    <t>Projeto de cabine primária  - PROJETTI - 100% (Divinópolis 1)</t>
  </si>
  <si>
    <t>[CCC03373-01]</t>
  </si>
  <si>
    <t>Divinópolis 1_Projeto/Coordenograma</t>
  </si>
  <si>
    <t>000528</t>
  </si>
  <si>
    <t>SERVIÇOS PRESTADOS DE MÃO DE OBRA ESPECIALIZADA NA CONSTRUÇÃO DE RDR   NF254 (DIVINÓPOLIS 1)</t>
  </si>
  <si>
    <t>Pagamento mão de obra especializa</t>
  </si>
  <si>
    <t>[CCC03574]</t>
  </si>
  <si>
    <t>Divinópolis 1 _Obras MT_MD</t>
  </si>
  <si>
    <t>000511</t>
  </si>
  <si>
    <t xml:space="preserve">Estação solarimétrica – Hukseflux      Divinópolis 1  *
</t>
  </si>
  <si>
    <t>[CCC03543]</t>
  </si>
  <si>
    <t>Divinópolis 1 _Estação solarimétrica</t>
  </si>
  <si>
    <t>Desenvolvimento de projetos Executivos  - ENERSOLAR -  20% iniciais - 01/05 (Divinópolis 1)   NF 74</t>
  </si>
  <si>
    <t>[CCC03326-11]</t>
  </si>
  <si>
    <t>Divinópolis 1_Engenharia Executiva - Detalhada</t>
  </si>
  <si>
    <t>COMPRA DE MATERIAIS PARA AS UFVs (DIVINÓPOLIS 1 )  NF 10663</t>
  </si>
  <si>
    <t>Pagamento de compra de materiais necessárias para construção das UFVs  .</t>
  </si>
  <si>
    <t>[CCC03716]</t>
  </si>
  <si>
    <t>000730</t>
  </si>
  <si>
    <t>Construção e Montagem ROSSETI - Adiantamento contratual (UFV Divinópolis 1)</t>
  </si>
  <si>
    <t>Pagamento de adiantamento contratual de 10% do total de contrato EPC de construção da UFV</t>
  </si>
  <si>
    <t>[CCC03747]</t>
  </si>
  <si>
    <t>Divinópolis 1_EPC_MD</t>
  </si>
  <si>
    <t>000794</t>
  </si>
  <si>
    <t>SERVIÇOS PRESTADOS DE MÃO DE OBRA ESPECIALIZADA  1° MEDIÇÃO (DIVINÓPOLIS 1) NF 273</t>
  </si>
  <si>
    <t xml:space="preserve">Pagamento mão de obra especializa necessária para construção internas da UFVs. 1° MEDIÇÃO </t>
  </si>
  <si>
    <t>[CCC03808]</t>
  </si>
  <si>
    <t>Desenvolvimento de   projetos  GLD  (DIVINÓPOLIS 1)   NF 216</t>
  </si>
  <si>
    <t>[CCC03837]</t>
  </si>
  <si>
    <t>000458</t>
  </si>
  <si>
    <t>SERVIÇOS PRESTADOS DE MÃO DE OBRA ESPECIALIZADA NA CONSTRUÇÃO DE RDR   NF 248 (DIVINÓPOLIS I)</t>
  </si>
  <si>
    <t xml:space="preserve">Pagamento mão de obra especializa </t>
  </si>
  <si>
    <t>[CCC03424]</t>
  </si>
  <si>
    <t>A606000458</t>
  </si>
  <si>
    <t>001220</t>
  </si>
  <si>
    <t>Desenvolvimento de projetos Executivos  - ENERSOLAR - 20%  Layout aprovado -  (DIVINOPOLIS  1 )  NF 173</t>
  </si>
  <si>
    <t>Compras ENGELUZ para as UFVs  (DIVINOPOLIS 1)  NF  396076</t>
  </si>
  <si>
    <t>[CCC03427]</t>
  </si>
  <si>
    <t>'000144</t>
  </si>
  <si>
    <t>(DIVINOPOLIS 1)   N: A013986691   *</t>
  </si>
  <si>
    <t>Compra feita em Faturamento Direto, em contrato de obras MT externas à UFV. Não temos este faturamento. Explicação salva na pasta.CCC03436]</t>
  </si>
  <si>
    <t>'000145</t>
  </si>
  <si>
    <t>(DIVINOPOLIS 1)   N: A013986681   *</t>
  </si>
  <si>
    <t>A620-ESTRELA DO NORTE SPE -  UFV DIVINOPOLIS 1</t>
  </si>
  <si>
    <t>Religadores (DIVINOPOLIS 1)   TAVRIDA    NF     574</t>
  </si>
  <si>
    <t>[CCC03907]</t>
  </si>
  <si>
    <t xml:space="preserve">Desenvolvimento de projetos Executivos  - ENERSOLAR -  20%  APROVADO (DIVINOPOLIS 1) NF  </t>
  </si>
  <si>
    <t> [CCC04264]</t>
  </si>
  <si>
    <t>Medição 01 - INST/5428 - ESCOPO COLATIO - FINAL (Campo Belo 1)</t>
  </si>
  <si>
    <t>Medição final de serviços contratados e controlados pela SOLATIO, para construção em instalações AT, externas à UFV.</t>
  </si>
  <si>
    <t>[CCC02765-02]</t>
  </si>
  <si>
    <t>Nota fiscal serviço contempnando Tres usinas (Valor total: R$ 417.443,52)
Campo belo 1: R$ 150.000,00
Ouro Fino : R$ 252.279,67
 - ROMANEI
Cassia 1 : 15163,85</t>
  </si>
  <si>
    <t>001735</t>
  </si>
  <si>
    <t>Fat. Direto ( MBA-AT)</t>
  </si>
  <si>
    <t>PRESTAÇÃO DE SERVIÇOS (DIVINOPOLIS 1) NF 157  CONCERT NÃO DESCONTAR EM CONTRATO</t>
  </si>
  <si>
    <t> [CCC04421]</t>
  </si>
  <si>
    <t>001852</t>
  </si>
  <si>
    <t>PRESTAÇÃO DE SERVIÇOS UFVs( DIVINOPOLIS) NF 442  RONDA PORTEIROS</t>
  </si>
  <si>
    <t>Pagamento referente aos serviços de vigilância GALPÃO DIVINOPOLIS, em contrato EPC,  ROSSETI.</t>
  </si>
  <si>
    <t> [CCC04529]</t>
  </si>
  <si>
    <t>Divinópolis 1_EPC_FD</t>
  </si>
  <si>
    <t>001846</t>
  </si>
  <si>
    <t>PRESTAÇÃO DE SERVIÇOS UFVs ( DIVINOPOLIS 1) NF  4  RIMA</t>
  </si>
  <si>
    <t>Pagamento referente aos serviços de licenciamento ambiental .</t>
  </si>
  <si>
    <t> [CCC04518]</t>
  </si>
  <si>
    <t>001825</t>
  </si>
  <si>
    <t xml:space="preserve">DAE - Dispença de Licenciamento ambiental UFVs(  DIVINOPOLIS 1)   NF 987   JULLIA MARIA </t>
  </si>
  <si>
    <t>001893</t>
  </si>
  <si>
    <t>PRESTAÇÃO DE SERVIÇOS UFVs( DIVINOPOLIS 1) NF 10  CONSTRUTORA RESENDE JORGE</t>
  </si>
  <si>
    <t>Pagamento referente ao serviço de supressão vegetal - terraplenagem, necessários a construção das UFVs.</t>
  </si>
  <si>
    <t> [CCC04554]</t>
  </si>
  <si>
    <t>Divinópolis 1_Obras Terraplanagem</t>
  </si>
  <si>
    <t>002016</t>
  </si>
  <si>
    <t>PRESTAÇÃO  DE SERVIÇOS UFVs ( DIVINÓPOLIS 1)   NF  569 RONDA PORTEIROS</t>
  </si>
  <si>
    <t>Pagament referente ao SERVIÇO DE VIGILANCIA DESARMADA, necessário a construção da usina. ESCOPO COMERC  GALPÃO</t>
  </si>
  <si>
    <t> [CCC04670]</t>
  </si>
  <si>
    <t>SERVIÇOS NFSE 114 (DIVINÓPOLIS I)</t>
  </si>
  <si>
    <t>Email com Nota FiscalENC: Concluído: Estrela do Norte - RD MT - Divinópolis 01 e 02 e Jaboticatubas  - seg 27/03/2023 10:05</t>
  </si>
  <si>
    <t>002165</t>
  </si>
  <si>
    <t xml:space="preserve">PRESTAÇÃO DE SERVIÇOS UFVs ( DIVINOPOLIS 1)  NF 19 CONSTRUTORA RESENDE </t>
  </si>
  <si>
    <t>Pagamento  de medição referente a supressão e terraplenagem, necessário a construção da usina .</t>
  </si>
  <si>
    <t> [CCC04821]</t>
  </si>
  <si>
    <t>SPT - finalização (Divinópolis 2)</t>
  </si>
  <si>
    <t>Divinópolis 2 _Outros</t>
  </si>
  <si>
    <t>SPT - Adiantamento (Divinópolis 2)</t>
  </si>
  <si>
    <t>Reatores de aterramento ADELCO (Divinópolis 2)</t>
  </si>
  <si>
    <t>???</t>
  </si>
  <si>
    <t>JX AMBIENTAL - Taxa de Analise - Corte (Divinópolis 2)</t>
  </si>
  <si>
    <t>[CCC02990-04]</t>
  </si>
  <si>
    <t>JX AMBIENTAL - Taxa de Analise - Supressão (Divinópolis 2)</t>
  </si>
  <si>
    <t>[CCC02990-05]</t>
  </si>
  <si>
    <t>JX AMBIENTAL - Taxa Florestal - Lenha (Divinópolis 2)</t>
  </si>
  <si>
    <t>[CCC02990-06]</t>
  </si>
  <si>
    <t>JX AMBIENTAL - Taxa Florestal - Madeira (Divinópolis 2)</t>
  </si>
  <si>
    <t>[CCC02990-07]</t>
  </si>
  <si>
    <t>000047</t>
  </si>
  <si>
    <t>JX AMBIENTAL - Procedimento Administrativo - DAIA de implantação de rede rural - 01de03 - (Divinópolis 2)</t>
  </si>
  <si>
    <t>[CCC03027-03]</t>
  </si>
  <si>
    <t>JX AMBIENTAL - PTRF - Rede - 02de03 (Divinópolis 2)</t>
  </si>
  <si>
    <t>[CCC03029-03]</t>
  </si>
  <si>
    <t>000094</t>
  </si>
  <si>
    <t>JX AMBIENTAL - Procedimento Administrativo - DAIA de implantação de rede rural - 02de03 - (Divinópolis 2)</t>
  </si>
  <si>
    <t>[CCC03084-02]</t>
  </si>
  <si>
    <t>000105</t>
  </si>
  <si>
    <t>Archtech - Testes de PullOuT_Biotec - Adiantamento (Divinópolis 2)</t>
  </si>
  <si>
    <t>[CCC03145-44]</t>
  </si>
  <si>
    <r>
      <rPr>
        <strike/>
        <sz val="9"/>
        <color theme="1"/>
        <rFont val="Arial"/>
      </rPr>
      <t xml:space="preserve">Medição 01 (Divinópolis 2)
</t>
    </r>
    <r>
      <rPr>
        <sz val="9"/>
        <color theme="1"/>
        <rFont val="Arial"/>
      </rPr>
      <t>Realocada Divinopolis 1</t>
    </r>
  </si>
  <si>
    <t>[CCC03188-05]</t>
  </si>
  <si>
    <t>Realocada Divinopolis 1</t>
  </si>
  <si>
    <t>Divinópolis 2_Obras AT_MD</t>
  </si>
  <si>
    <t>Cabo de alumínio (Divinópolis 2) EXCLUIR</t>
  </si>
  <si>
    <t>[CCC03208-03]</t>
  </si>
  <si>
    <t>JX AMBIENTAL - Taxa de reposição florestal (Divinópolis 2)</t>
  </si>
  <si>
    <t>[CCC03220]</t>
  </si>
  <si>
    <t>000148</t>
  </si>
  <si>
    <t>Cabo de alumínio (Divinópolis 2)</t>
  </si>
  <si>
    <t>000184</t>
  </si>
  <si>
    <t>ART Inst. elétricas - Distribuidoras - CEMIG (Divinópolis 2)</t>
  </si>
  <si>
    <t>[CCC03168-02]</t>
  </si>
  <si>
    <t>JX AMBIENTAL - Taxa de compensação - Ipê amarelo (Divinópolis 2)</t>
  </si>
  <si>
    <t>[CCC03240-01]</t>
  </si>
  <si>
    <t>JX AMBIENTAL - Taxa de compensação - Pequizeiros (Divinópolis 2)</t>
  </si>
  <si>
    <t>[CCC03240-02]</t>
  </si>
  <si>
    <t>Archtech - Testes de PullOuT_Biotec - Finalização (Divinópolis 2)</t>
  </si>
  <si>
    <t>[CCC03265-44]</t>
  </si>
  <si>
    <t>SUPERVISORIO - Ciclo 2 - Gateways e remota (Divinópolis 2) NF 1825</t>
  </si>
  <si>
    <t>[CCC03235-08]</t>
  </si>
  <si>
    <t>Divinópolis 2 _SGD</t>
  </si>
  <si>
    <t>SUPERVISORIO - Ciclo 2 - Baterias, desktops, switch e acessórios (Divinópolis 2) NF 1806</t>
  </si>
  <si>
    <t>[CCC03235-27]</t>
  </si>
  <si>
    <t>Eng. Executiva GLD - Entrega 01 - P01_05 (Divinópolis 2)</t>
  </si>
  <si>
    <t>[CCC03088-16]</t>
  </si>
  <si>
    <t>Divinópolis 2 _Engenharia Executiva - Basica</t>
  </si>
  <si>
    <t>Projeto de cabine primária  - PROJETTI - 100% (Divinópolis 2)</t>
  </si>
  <si>
    <t>[CCC03373-02]</t>
  </si>
  <si>
    <t>Divinópolis 2_Projeto/Coordenograma</t>
  </si>
  <si>
    <r>
      <rPr>
        <strike/>
        <sz val="9"/>
        <color theme="1"/>
        <rFont val="Arial"/>
      </rPr>
      <t xml:space="preserve">Medição 02 (Divinópolis 2)
</t>
    </r>
    <r>
      <rPr>
        <sz val="9"/>
        <color theme="1"/>
        <rFont val="Arial"/>
      </rPr>
      <t>Realocada Divinopolis 1</t>
    </r>
  </si>
  <si>
    <t>[CCC03355-07]</t>
  </si>
  <si>
    <t>000526</t>
  </si>
  <si>
    <t>SERVIÇOS PRESTADOS DE MÃO DE OBRA ESPECIALIZADA NA CONSTRUÇÃO DE RDR   NF255 (DIVINÓPOLIS 2)</t>
  </si>
  <si>
    <t>[CCC03573]</t>
  </si>
  <si>
    <t>Divinópolis 2 _Obras MT_MD</t>
  </si>
  <si>
    <t>000512</t>
  </si>
  <si>
    <t xml:space="preserve">Estação solarimétrica – Hukseflux     Divinópolis 2
</t>
  </si>
  <si>
    <t>Divinópolis 2 _Estação solarimétrica</t>
  </si>
  <si>
    <t>Desenvolvimento de projetos Executivos  - ENERSOLAR -  20% iniciais - 01/05 (Divinópolis 2)   NF 76</t>
  </si>
  <si>
    <t>[CCC03326-16]</t>
  </si>
  <si>
    <t>Divinópolis 2_Engenharia Executiva - Detalhada</t>
  </si>
  <si>
    <t>000731</t>
  </si>
  <si>
    <t>Construção e Montagem ROSSETI - Adiantamento contratual (UFV Divinópolis 2)</t>
  </si>
  <si>
    <t>Divinópolis 2_EPC_MD</t>
  </si>
  <si>
    <t>000795</t>
  </si>
  <si>
    <t>SERVIÇOS PRESTADOS DE MÃO DE OBRA ESPECIALIZADA  1° MEDIÇÃO (DIVINÓPOLIS 2) NF 270</t>
  </si>
  <si>
    <t>[CCC03809]</t>
  </si>
  <si>
    <t>Desenvolvimento de   projetos  GLD  (DIVINÓPOLIS 2)   NF 217</t>
  </si>
  <si>
    <t>000459</t>
  </si>
  <si>
    <t>SERVIÇOS PRESTADOS DE MÃO DE OBRA ESPECIALIZADA NA CONSTRUÇÃO DE RDR  NF 249 (DIVINÓPOLIS II)</t>
  </si>
  <si>
    <t>Pagamento mão de obra especializada</t>
  </si>
  <si>
    <t>Atividades para liberação de execução de POT nas UFVs ( DIVINOPOLIS 2)  NF  435</t>
  </si>
  <si>
    <t>001218</t>
  </si>
  <si>
    <t>Desenvolvimento de projetos Executivos  - ENERSOLAR - 20% EMITIDOS  -  (DIVINOPOLIS  2 )  NF 171</t>
  </si>
  <si>
    <t>001219</t>
  </si>
  <si>
    <t>Desenvolvimento de projetos Executivos  - ENERSOLAR - 20%  ANALISADOS-  (DIVINOPOLIS  2 )  NF 172</t>
  </si>
  <si>
    <t>001221</t>
  </si>
  <si>
    <t>Desenvolvimento de projetos Executivos  - ENERSOLAR - 20%  Layout aprovado -  (DIVINOPOLIS  2 )  NF 174</t>
  </si>
  <si>
    <t>001110</t>
  </si>
  <si>
    <t>Desenvolvimento de projetos Executivos  - ENERSOLAR -  20%  DE 50 % EMITIDO ( DIVINOPOLIS 2 )   NF 161</t>
  </si>
  <si>
    <t>000471</t>
  </si>
  <si>
    <t xml:space="preserve">COMPRA MATERIAIS  PARA AS UFVs (DIVINOPOLIS 2)   N: 402766-1    </t>
  </si>
  <si>
    <t>Religadores (DIVINOPOLIS 2)   TAVRIDA    NF   560</t>
  </si>
  <si>
    <t xml:space="preserve">TAVRIDA  </t>
  </si>
  <si>
    <t xml:space="preserve">Desenvolvimento de projetos Executivos  - ENERSOLAR -  20%  APROVADO (DIVINOPOLIS 2) NF  </t>
  </si>
  <si>
    <t xml:space="preserve">ENERSOLAR </t>
  </si>
  <si>
    <t>001931</t>
  </si>
  <si>
    <t>PRESTAÇÃO DE SERVIÇOS UFVs( DIVINOPOLIS 2) NF 11  CONSTRUTORA RESENDE JORGE</t>
  </si>
  <si>
    <t> [CCC04584]</t>
  </si>
  <si>
    <t>Divinópolis 2_Obras Terraplanagem</t>
  </si>
  <si>
    <t>CONSTRUTORA RESENDE JORGE</t>
  </si>
  <si>
    <t>001982</t>
  </si>
  <si>
    <t>DAE - Dispensa  de Licenciamento ambiental UFVs( DIVINOPOLIS 2)  N 4500025785397</t>
  </si>
  <si>
    <t>DAE</t>
  </si>
  <si>
    <t>SERVIÇOS PRESTADOS DE MÃO DE OBRA E  NF 115 (DIVINÓPOLIS II)</t>
  </si>
  <si>
    <t>002080</t>
  </si>
  <si>
    <t>PRESTAÇÃO DE SERVIÇOS UFVs ( DIVINOPOLIS 2 ) NF 627  JX AMBIENTAL</t>
  </si>
  <si>
    <t>Consultoria em servidão - 50% iniciais (Divinópolis 3) GEOVANY</t>
  </si>
  <si>
    <t>[CCC02954-05]</t>
  </si>
  <si>
    <t>Divinópolis 3 _Outros</t>
  </si>
  <si>
    <t>000090</t>
  </si>
  <si>
    <t>Desenvolvimento de projetos Executivos - 20% iniciais (Divinópolis 3)</t>
  </si>
  <si>
    <t>[CCC03147-01]</t>
  </si>
  <si>
    <t>Divinópolis 3_Engenharia Executiva</t>
  </si>
  <si>
    <t>JX AMBIENTAL - Procedimento Administrativo - DAIA de implantação de rede rural - 01de03 - (Divinópolis 31)</t>
  </si>
  <si>
    <t>[CCC03092-04]</t>
  </si>
  <si>
    <t>JX AMBIENTAL - Procedimento Administrativo - DAIA de UFV - 01de03 - (Divinópolis 3)</t>
  </si>
  <si>
    <t>Primeira parcela de serviço de consultoria contratado cumprimento de legislação ambiental. PROPOSTA 91A/2022</t>
  </si>
  <si>
    <t>[CCC03154-01]</t>
  </si>
  <si>
    <t>JX AMBIENTAL - Comunicação de colheita de UFV - 01de03 - (Divinópolis 3)</t>
  </si>
  <si>
    <t>Serviço complementar em processo de consultoria ambiental</t>
  </si>
  <si>
    <t>[CCC03154-02]</t>
  </si>
  <si>
    <t>Consultoria em servidão - 50% finais (Divinópolis 3) GEOVANY</t>
  </si>
  <si>
    <t>[CCC03174]</t>
  </si>
  <si>
    <t>000021</t>
  </si>
  <si>
    <t>JX AMBIENTAL - Procedimento Administrativo - DAIA de implantação de rede rural - 02de03 - (Divinópolis 3)</t>
  </si>
  <si>
    <t>[CCC03144-09]</t>
  </si>
  <si>
    <t>Archtech - Testes de PullOuT_Biotec - Adiantamento (Divinópolis 3)</t>
  </si>
  <si>
    <t>[CCC03145-55]</t>
  </si>
  <si>
    <t>Medição 01 (Divinópolis 3)</t>
  </si>
  <si>
    <t>[CCC03188-02]</t>
  </si>
  <si>
    <t>Divinópolis 3 - CAPEX - Serviço AT - CCAP-C2-000047</t>
  </si>
  <si>
    <t>Divinópolis 3_Obras AT_MD</t>
  </si>
  <si>
    <t>000125</t>
  </si>
  <si>
    <t>Projetos AT - PROEL (Divinópolis 3)</t>
  </si>
  <si>
    <t>[CCC03209]</t>
  </si>
  <si>
    <t>Divinópolis 3_Obras AT_FD</t>
  </si>
  <si>
    <t>JX AMBIENTAL - Procedimento Administrativo - Comunicação de colheita na REDE - 01de03 (Divinópolis 31)</t>
  </si>
  <si>
    <t>Serviço de consultoria contratado cumprimento de legislação ambiental.</t>
  </si>
  <si>
    <t>[CCC03144-10]</t>
  </si>
  <si>
    <t>JX AMBIENTAL - Procedimento Administrativo - Comunicação de colheita na REDE - 02de03 (Divinópolis 31)</t>
  </si>
  <si>
    <t>[CCC03144-11]</t>
  </si>
  <si>
    <t>Serviço de SPT - NOVO TEMPO (Divinópolis 3) - Campanha 5</t>
  </si>
  <si>
    <t>[CCC03047-09]</t>
  </si>
  <si>
    <t>000176</t>
  </si>
  <si>
    <t>JX AMBIENTAL - Procedimento Administrativo - DAIA de UFV - 02de03 - (Divinópolis 3)</t>
  </si>
  <si>
    <t>Segunda parcela de serviço de consultoria contratado cumprimento de legislação ambiental. PROPOSTA 91A/2022</t>
  </si>
  <si>
    <t>[CCC03232-03]</t>
  </si>
  <si>
    <t>JX AMBIENTAL - Taxa de colheita - Eucaliptos (Divinópolis 3)</t>
  </si>
  <si>
    <t>[CCC03236]</t>
  </si>
  <si>
    <t>000177</t>
  </si>
  <si>
    <t>JX AMBIENTAL - Comunicação de colheita de UFV - 02de03 - (Divinópolis 3)</t>
  </si>
  <si>
    <t>[CCC03232-04]</t>
  </si>
  <si>
    <t>JX AMBIENTAL - Taxa de análise (Divinópolis 3)</t>
  </si>
  <si>
    <t>[CCC03243-01]</t>
  </si>
  <si>
    <t>000199</t>
  </si>
  <si>
    <t>JX AMBIENTAL - Taxa Florestal - Lenha (Divinópolis 3)</t>
  </si>
  <si>
    <t>[CCC03243-02]</t>
  </si>
  <si>
    <t>000200</t>
  </si>
  <si>
    <t>JX AMBIENTAL - Taxa Florestal - Madeira (Divinópolis 3)</t>
  </si>
  <si>
    <t>[CCC03243-03]</t>
  </si>
  <si>
    <t>Archtech - Testes de PullOuT_Biotec - Finalização (Divinópolis 3)</t>
  </si>
  <si>
    <t>[CCC03265-55]</t>
  </si>
  <si>
    <t>Desenvolvimento de projetos Executivos - 20% intermediários - 1a entrega (Divinópolis 3)</t>
  </si>
  <si>
    <t>[CCC03290-03]</t>
  </si>
  <si>
    <t>000249</t>
  </si>
  <si>
    <t>JX AMBIENTAL - Comunicação de colheita de UFV - 03de03 - (Divinópolis 3)</t>
  </si>
  <si>
    <t>[CCC03292-02]</t>
  </si>
  <si>
    <t>Projetos de fundações e drenagem - HALLITE (Divinópolis 3) Analise terraplanagem - 70% iniciais</t>
  </si>
  <si>
    <t>[CCC03309-17]</t>
  </si>
  <si>
    <t>SUPERVISORIO - Ciclo 2 - Gateways e remota (Divinópolis 3)</t>
  </si>
  <si>
    <t>[CCC03235-09]</t>
  </si>
  <si>
    <t>Divinópolis 3 _SGD</t>
  </si>
  <si>
    <t>SUPERVISORIO - Ciclo 2 - Baterias, desktops, switch e acessórios (Divinópolis 3)</t>
  </si>
  <si>
    <t>[CCC03235-28]</t>
  </si>
  <si>
    <t>Cabos e material de fixação (Divinópolis 3)</t>
  </si>
  <si>
    <t>[CCC03166]</t>
  </si>
  <si>
    <t>Divinópolis 3 _Obras MT_FD</t>
  </si>
  <si>
    <t>000364</t>
  </si>
  <si>
    <t>JX AMBIENTAL - Procedimento Administrativo - DAIA de UFV - 03de03 - (Divinópolis 3)</t>
  </si>
  <si>
    <t>[CCC03325-08]</t>
  </si>
  <si>
    <t>Medição de avanço de serviço contratado para construção da rede MT da UFV.</t>
  </si>
  <si>
    <t>[CCC03345]</t>
  </si>
  <si>
    <t>Divinópolis 3 _Obras MT_MD</t>
  </si>
  <si>
    <t xml:space="preserve">Cabos de MT (Divinópolis 3) - Lojs eletrica </t>
  </si>
  <si>
    <t>[CCC03406-01]</t>
  </si>
  <si>
    <t>N° 396076 001</t>
  </si>
  <si>
    <t>000525</t>
  </si>
  <si>
    <t>SERVIÇOS PRESTADOS DE MÃO DE OBRA ESPECIALIZADA NA CONSTRUÇÃO DE RDR   NF253 (DIVINÓPOLIS 3)</t>
  </si>
  <si>
    <t>[CCC03572]</t>
  </si>
  <si>
    <t>000513</t>
  </si>
  <si>
    <t xml:space="preserve">Estação solarimétrica – Hukseflux   Divinópolis 3
</t>
  </si>
  <si>
    <t>Divinópolis 3 _Estação solarimétrica</t>
  </si>
  <si>
    <t>000732</t>
  </si>
  <si>
    <t>Construção e Montagem ROSSETI - Adiantamento contratual (UFV Divinópolis 3)</t>
  </si>
  <si>
    <t>Divinópolis 3_EPC_MD</t>
  </si>
  <si>
    <t>A618-ESTRELA DO NORTE SPE -  UFV DIVINOPOLIS 3</t>
  </si>
  <si>
    <t xml:space="preserve">001078         </t>
  </si>
  <si>
    <t xml:space="preserve">Religador  UFVs  ( DIVINOPOLIS 3)  </t>
  </si>
  <si>
    <t>Compra feita em Faturamento Direto, em contrato de obras  AT.</t>
  </si>
  <si>
    <t>[CCC04008]</t>
  </si>
  <si>
    <t>001399</t>
  </si>
  <si>
    <t xml:space="preserve">COMPRA DE MATERIAIS  UFVs   ( DIVINOPOLIS 3)  NF 14895  </t>
  </si>
  <si>
    <t> [CCC04195]</t>
  </si>
  <si>
    <t>Divinópolis 3_EPC_FD</t>
  </si>
  <si>
    <t>001164</t>
  </si>
  <si>
    <t xml:space="preserve">COMPRA MATERIAIS PARA UFVs  ( DIVINOPOLIS 3)  NF   26104    EXPONECIAL RDA INTERNO  ROMANEI </t>
  </si>
  <si>
    <t>Divinópolis 3_RDA - Rede de Distribuição Aerea</t>
  </si>
  <si>
    <t>´001444</t>
  </si>
  <si>
    <t>COMPRA DE MATERIAIS UFVS ( DIVINOPOLIS 3) NF  2846</t>
  </si>
  <si>
    <t> [CCC04221]</t>
  </si>
  <si>
    <t> </t>
  </si>
  <si>
    <t>COMPRA DE MATERIAIS  UFVS ( DIVINOPOLIS 3 ) NF 3</t>
  </si>
  <si>
    <t>Pagamento  EM FATURAMENTO DIRETO,  COMPRA DE MATERIAIS ,  necessário à construção da UFV  em contrato EPC .</t>
  </si>
  <si>
    <t> [CCC04241]</t>
  </si>
  <si>
    <t>000456</t>
  </si>
  <si>
    <t>Compras ENGELUZ para as UFVs (DIVINOPOLIS 3)  N. 7.965</t>
  </si>
  <si>
    <t>A606000456</t>
  </si>
  <si>
    <t>000712</t>
  </si>
  <si>
    <t>Transformadores de corrente (Divinópolis 3) 50%  FINAIS     PROFORMA  VINCLUADO PC 000130</t>
  </si>
  <si>
    <t>[CCC03214]</t>
  </si>
  <si>
    <t>Foi Pago em 2x - Pagamos 50% em maio (comprovante do PC 130 em anexo). Falta os 50% restantes. Ver email na [CCC03214]</t>
  </si>
  <si>
    <t>SERVIÇO DE  TRANSPORTE PARA UFVs  ( DININOPOLIS 3)  NF 857    OLIVEIRA FILHO</t>
  </si>
  <si>
    <t>Pagamento serviço de frete, em Faturamento Direto, em contrato de obras EPC da UFV.</t>
  </si>
  <si>
    <t>[CCC04059]</t>
  </si>
  <si>
    <t>PRESTAÇÃO DE SERVIÇOS UFVs ( DIVINOPOLIS 3 ) NF  16861 UP BRASIL</t>
  </si>
  <si>
    <t>Pagamento em faturamento direto referente ao SERVIÇO DE LOCACAO DE EQUIPAMENTOS , ADITIVO DE DOIS VIGIAS NOTURNA , em contrato EPC.</t>
  </si>
  <si>
    <t> [CCC04268]</t>
  </si>
  <si>
    <t>001093</t>
  </si>
  <si>
    <t>Estação solarimétrica – Hukseflux   UFVs (DIVINOPOLIS 3)   VINCULO PEDIDO 000512  A606
  NF 4797</t>
  </si>
  <si>
    <t>A618-ESTRELA DO NORTE SPE - UFV DIVINOPOLIS 3</t>
  </si>
  <si>
    <t>001048</t>
  </si>
  <si>
    <t>COMPRA MATERIAIS PARA UFVs  ( DIVINOPOLIS 3)  NF  4090    CAMPO ALEGRE  RDA INTERNA</t>
  </si>
  <si>
    <t>[CCC04000]</t>
  </si>
  <si>
    <t>001236</t>
  </si>
  <si>
    <t xml:space="preserve">COMPRA MATERIAIS PARA UFVs  ( DIVINOPOLIS 3   )  NF    LTB   72958  RDA INTERNO  </t>
  </si>
  <si>
    <t>Projetos de fundações e drenagem - HALLITE (DIVINÓPOLIS 3) Analise terraplanagem - 30% FINAIS   NF 59</t>
  </si>
  <si>
    <t>[CCC03877]</t>
  </si>
  <si>
    <t>PROJETOS CABINE PRIMÁRIA   UFVs ( DIVINÓPOLIS 3 )   PROJETTI   NF  169</t>
  </si>
  <si>
    <t>Divinópolis 3_Projeto/Coordenograma</t>
  </si>
  <si>
    <t xml:space="preserve">PRESTAÇÃO DE SERVIÇOS UFVs ( DIVINOPOLIS  3 ) NF 31   WMBANELIO  </t>
  </si>
  <si>
    <t>Pagamento em Faturamento Direto,  referente Serviços de transporte de colaboradores no período de 16/12/2022 à 31/12/2022 , em contrato de obras EPC da UFV.</t>
  </si>
  <si>
    <t> [CCC04288]</t>
  </si>
  <si>
    <t>COMPRA MATERIAIS PARA UFVs  UFVs  ( DIVINÓPOLIS 3)  NF 1409  ROSSETI</t>
  </si>
  <si>
    <t>Compra de material  pagamento de responsabilidade COMERC , em contrato de obras EPC da UFV. SEM DESCONTO EM FATURAMENTO DIRETO .</t>
  </si>
  <si>
    <t> [CCC04124]</t>
  </si>
  <si>
    <t>Desenvolvimento de projetos Executivos  - ENERSOLAR -  20%  ANALISADO  ( DIVINOPOLIS 3 ) NF  185</t>
  </si>
  <si>
    <t> [CCC04172]</t>
  </si>
  <si>
    <t>COMPRA DE MATERIAIS UFVs ( DIVINOPOLIS 3)  NF434421  LOJA ELETRICA</t>
  </si>
  <si>
    <t> [CCC04339]</t>
  </si>
  <si>
    <t>COMPRA MATERIAIS PARA UFVs  ( DIVINOPOLIS 3)  NF  591</t>
  </si>
  <si>
    <t>[CCC04032]</t>
  </si>
  <si>
    <t>001209</t>
  </si>
  <si>
    <t>COMPRA MATERIAIS PARA UFVs  ( DIVINOPOLIS 3)  NF  4445</t>
  </si>
  <si>
    <t>[CCC04083]</t>
  </si>
  <si>
    <t>001213</t>
  </si>
  <si>
    <t>COMPRA MATERIAIS PARA UFVs  ( DIVINOPOLIS 3)  NF  1613</t>
  </si>
  <si>
    <t>[CCC04084]</t>
  </si>
  <si>
    <t>COMPRA MATERIAIS PARA UFVs ( DIVINIPOLIS 3 )  NF 65795</t>
  </si>
  <si>
    <t>[CCC03758]</t>
  </si>
  <si>
    <t>001264</t>
  </si>
  <si>
    <t>COMPRA MATERIAIS PARA UFVs  UFVs  (  DIVINOPOLIS 3)  NF 1339</t>
  </si>
  <si>
    <t> [CCC04123]</t>
  </si>
  <si>
    <t>COMPRA DE MATERIAIS  UFVs   ( DIVINOPOLIS 3)  NF 199</t>
  </si>
  <si>
    <t> [CCC04181]</t>
  </si>
  <si>
    <t>001379</t>
  </si>
  <si>
    <t>COMPRA DE MATERIAIS  UFVs   ( DIVINOPOLIS 3)  NF 1415</t>
  </si>
  <si>
    <t> [CCC04183]</t>
  </si>
  <si>
    <t>´001396</t>
  </si>
  <si>
    <t>COMPRA DE MATERIAIS  UFVs   ( DIVINOPOLIS 3)  NF 24073</t>
  </si>
  <si>
    <t> [CCC04190]</t>
  </si>
  <si>
    <t>001239</t>
  </si>
  <si>
    <t>COMPRA MATERIAIS PARA UFVsS (  DIVINÓPOLIS 3   )    NF  1391</t>
  </si>
  <si>
    <t>[CCC04114]</t>
  </si>
  <si>
    <t>001273</t>
  </si>
  <si>
    <t>PRESTAÇÃO DE SERVIÇOS  UFVs  (  DIVINOPOLIS 3)  NF  16845</t>
  </si>
  <si>
    <t xml:space="preserve">Pagamento de serviços de  locação de  MANIPULADOR TELESCOPIO ,  em Faturamento Direto,  em contrato de obras EPC da UFV. </t>
  </si>
  <si>
    <t>COMPRA MATERIAIS PARA UFVs  ( DIVINOPOLIS 3)  NF   164</t>
  </si>
  <si>
    <t> [CCC04174]</t>
  </si>
  <si>
    <t>COMPRA MATERIAIS PARA UFVs  ( DIVINOPOLIS 3)  NF  600</t>
  </si>
  <si>
    <t> [CCC04176]</t>
  </si>
  <si>
    <t>COMPRA DE MATERIAIS  UFVs   ( DIVINOPOLIS 3)  NF 51</t>
  </si>
  <si>
    <t>´001443</t>
  </si>
  <si>
    <t>COMPRA DE MATERIAIS UFVS (  DIVINOPOLIS  3 ) NF 1665</t>
  </si>
  <si>
    <t>COMPRA DE MATERIAIS UFVS ( PEDRA DO INDAIA 3 ) NF 1664</t>
  </si>
  <si>
    <t> [CCC04220]</t>
  </si>
  <si>
    <t>´001484</t>
  </si>
  <si>
    <t>COMPRA DE MATERIAIS  UFVS (DIVINOPOLIS 3  ) NF 12</t>
  </si>
  <si>
    <t>Pagamento  EM FATURAMENTO DIRETO,  TRANSPORTE ,  necessário à construção da UFV  em contrato EPC .</t>
  </si>
  <si>
    <t>´001483</t>
  </si>
  <si>
    <t>COMPRA DE MATERIAIS UFVS ( DIVINOPOLIS 3 ) NF 30</t>
  </si>
  <si>
    <t>Religadores (DIVINOPOLIS 3 )   TAVRIDA    NF    581</t>
  </si>
  <si>
    <t>A618-MORI GERACAO II ENERGIA SOLAR S.A DIVINOPOLIS 3</t>
  </si>
  <si>
    <t>001568</t>
  </si>
  <si>
    <t>COMPRA DE MATERIAIS UFVS (DIVINOPOLIS 3 ) EXPONENCIAL RDA INTERNO NF 26506</t>
  </si>
  <si>
    <t>COMPRA DE MATERIAIS UFVS ( DIVINOPOLIS 3) NF  389 JA SOLUÇÕES Divinopolis 3</t>
  </si>
  <si>
    <t>Compra feita em Faturamento Direto, DE RELIGADOR CEMIG, em contrato de obras MT .</t>
  </si>
  <si>
    <t> [CCC04285]</t>
  </si>
  <si>
    <t>COMPRA MATERIAIS PARA UFVs  ( DININOPOLIS 3)  NF 46155 BALTEAU cancelado nf já lançada  9C 130 /712</t>
  </si>
  <si>
    <t>001791</t>
  </si>
  <si>
    <t>PRESTAÇÃO DE SERVIÇOS UFVs( DIVINOPOLIS 3) NF 2508</t>
  </si>
  <si>
    <t>Pagamento de medição referente a ELABORAÇÃO DOS ESTUDOS DE PROTEÇÃO E PARAMETRIZAÇÃO DOS RELÉS, em contrato AT.</t>
  </si>
  <si>
    <t> [CCC04466]</t>
  </si>
  <si>
    <t>000532</t>
  </si>
  <si>
    <t>COMPRA MATERIAIS PARA UFVs (Divinópolios 3)   NF 16
PILLAR ESTRUTURAS PRE FABRICADAS</t>
  </si>
  <si>
    <t>[CCC03506]</t>
  </si>
  <si>
    <t>Esta Nota pertence a EPC Cluster Rosseti</t>
  </si>
  <si>
    <t>COMPRA DE MATERIAIS  UFVs   ( DIVINOPOLIS 3)  NF 036264628</t>
  </si>
  <si>
    <t xml:space="preserve">PRESTAÇÃO DE SERVIÇOS UFVs (DIVINÓPOLIS 3)  NF 4 ALTERNATIVA TERRAPLENAGEM  </t>
  </si>
  <si>
    <t>Pagamento de medição referente aos serviços de limpeza, supressão e terraplenagem, necessários a construção da UFVs, em contrato EPC. ROSSETI</t>
  </si>
  <si>
    <t> [CCC04321]</t>
  </si>
  <si>
    <t>Divinópolis 3_Obras Terraplanagem</t>
  </si>
  <si>
    <t xml:space="preserve">PRESTAÇÃO DE SERVIÇOS MEDIÇÃO    UFVS ( DIVINÓPOLIS 3)  NF   29 </t>
  </si>
  <si>
    <t>Pagamento referente a serviço de transporte , EM CONTRATO EPC.</t>
  </si>
  <si>
    <t> [CCC04239]</t>
  </si>
  <si>
    <t>001620</t>
  </si>
  <si>
    <t>PRESTAÇÃO DE SERVIÇOS  - HALLITE   UFVs ( DIVINOPÓLIS 3)    NF  1</t>
  </si>
  <si>
    <t>Pagamento medição, referente Projeto de Terraplenagem - revisão 2 em função de alteração de layout  , necessários a construção das UFVs .</t>
  </si>
  <si>
    <t> [CCC04340]</t>
  </si>
  <si>
    <t xml:space="preserve">COMPRA MATERIAIS PARA UFVs ( DIVINOPOLIS)  NF 25504    EXPONECIAL  </t>
  </si>
  <si>
    <t>[CCC03975]</t>
  </si>
  <si>
    <t>001772</t>
  </si>
  <si>
    <t>COMPRA DE MATERIAL UFVs (DIVINOPOLIS 3) NF   26509  EXPONENCIAL  ADITIVO</t>
  </si>
  <si>
    <t>Pagamento em faturamento direto, REFERENTE A COMPRA DE MATERIAIS, necessário à construção da UFV em contrato MT.  ADITIVO APÓS ROUBO</t>
  </si>
  <si>
    <t> [CCC04446]</t>
  </si>
  <si>
    <t>001795</t>
  </si>
  <si>
    <t>MEDIÇÃO (EPC -GLD)</t>
  </si>
  <si>
    <t>Construção e Montagem GLD - Medição 1 - Adiantamento 15%  UFVs ( DIVINOPOLIS 3)   NF  329</t>
  </si>
  <si>
    <t>Pagamento  referente a construção e montagem, adiantamento contratual 15%,  necessários a construção da UFVs em contrato EPC.  MEDIÇÃO 1  CLUSTER 2</t>
  </si>
  <si>
    <t> [CCC04472]</t>
  </si>
  <si>
    <t>Divinópolis 3_EPC_2_MD</t>
  </si>
  <si>
    <t>EPC - CLUSTER - 2 Contrato</t>
  </si>
  <si>
    <t>001793</t>
  </si>
  <si>
    <t xml:space="preserve">PRESTAÇÃO DE SERVIÇOS UFVs (DIVINÓPOLIS 3)  NF 5 ALTERNATIVA TERRAPLENAGEM  </t>
  </si>
  <si>
    <t>Pagamento de 2° medição referente aos serviços de limpeza, supressão e terraplenagem, necessários a construção da UFVs, em contrato EPC. ROSSETI</t>
  </si>
  <si>
    <t> [CCC04470]</t>
  </si>
  <si>
    <t>001826</t>
  </si>
  <si>
    <t xml:space="preserve">DAE - Dispença de Licenciamento ambiental UFVs(  DIVINOPOLIS 3)   NF 988   JULLIA MARIA </t>
  </si>
  <si>
    <t>001940</t>
  </si>
  <si>
    <t xml:space="preserve">PRESTAÇÃO DE SERVIÇOS UFVs (DIVINÓPOLIS 3)  NF 10 ALTERNATIVA TERRAPLENAGEM  </t>
  </si>
  <si>
    <t>Pagamento de 3° medição referente aos serviços de limpeza, supressão e terraplenagem, necessários a construção da UFVs, em contrato EPC. ROSSETI</t>
  </si>
  <si>
    <t> [CCC04604]</t>
  </si>
  <si>
    <t>001959</t>
  </si>
  <si>
    <t>PRESTAÇÃO DE SERVIÇOS UFVs( DIVINÓPOLIS 3) NF 2559</t>
  </si>
  <si>
    <t>Pagamento de medição final, referente a comissionamento e demosntagem, necessário a construção da usina, em contrato AT.</t>
  </si>
  <si>
    <t> [CCC04627]</t>
  </si>
  <si>
    <t>002062</t>
  </si>
  <si>
    <t>Outros - Serviços à UFV (ROSSETI)</t>
  </si>
  <si>
    <t>PRESTAÇÃO DE SERVIÇOS UFVs (DIVINOPOLIS 3 ) NF 32  WMBANELIO</t>
  </si>
  <si>
    <t>Pagamento referente a prestação de serviço de transporte , necessário à construção da UFV. ESCOPO COMERC</t>
  </si>
  <si>
    <t> [CCC04736]</t>
  </si>
  <si>
    <t>002157</t>
  </si>
  <si>
    <t xml:space="preserve">PRESTAÇÃO DE SERVIÇOS UFVs (DIVINOPOLIS 3) NF  393 </t>
  </si>
  <si>
    <t>Pagamento de medição referente a SERVIÇOS DE MÃO DE OBRA ESPECIALIZADA NA CONSTRUÇÃO RDR, em contrato MT.</t>
  </si>
  <si>
    <t> [CCC04803]</t>
  </si>
  <si>
    <t>002166</t>
  </si>
  <si>
    <t>PRESTAÇÃO DE SERVIÇOS UFVs ( DIVINOPOLIS 3)  NF 1275  EGF CONSTRUTORA</t>
  </si>
  <si>
    <t>Pagamento referente ao adiantamento de 15% da obra de DRENAGEM, necessário para a construção das usinas.</t>
  </si>
  <si>
    <t>Divinópolis 3 _Obras Drenagem</t>
  </si>
  <si>
    <t>002122</t>
  </si>
  <si>
    <t>Outros - Serviços à UFV (GLD)</t>
  </si>
  <si>
    <t>PRESTAÇÃO DE SERVIÇOS UFVs (DIVINOPOLIS) NF 614  RONDA PORTEIROS</t>
  </si>
  <si>
    <t>Pagamento em faturamento direto referente a prestação de serviço de vigilância desarmada, necessário a construção da usinas. ESCOPO COMERC</t>
  </si>
  <si>
    <t> [CCC04774]</t>
  </si>
  <si>
    <t>000457</t>
  </si>
  <si>
    <t>SERVIÇOS PRESTADOS DE MÃO DE OBRA ESPECIALIZADA NA CONSTRUÇÃO DE RDR  NF 250 (DIVINÓPOLIS INDENIZAÇÃO)</t>
  </si>
  <si>
    <t>A606000457</t>
  </si>
  <si>
    <t>Divinopolis  Indenização _Obras MT_MD</t>
  </si>
  <si>
    <t>Divinopolis Indenização</t>
  </si>
  <si>
    <t>000527</t>
  </si>
  <si>
    <t>SERVIÇOS PRESTADOS DE MÃO DE OBRA ESPECIALIZADA NA CONSTRUÇÃO DE RDR   NF256 (remoção de rede em caráter de indenização de servidão)</t>
  </si>
  <si>
    <t>002059</t>
  </si>
  <si>
    <t>PRESTAÇÃO DE SERVIÇOS UFVs (DIVINOPOLIS) NF  384  INDENIZAÇÃO</t>
  </si>
  <si>
    <t>Pagamento de medição 2, referente a SERVIÇOS DE MÃO DE OBRA ESPECIALIZADA NA CONSTRUÇÃO RDR, em contrato MT. INDENIZAÇÃO</t>
  </si>
  <si>
    <t> [CCC04732]</t>
  </si>
  <si>
    <t>000667</t>
  </si>
  <si>
    <t>COMPRA DE MATERIAIS PARA AS UFVs (DIVINÓPOLIS)  NF 25502  EXPONENCIAL anexar doc</t>
  </si>
  <si>
    <t>Pagamento de compra de materiais necessárias para construção das UFVs  (indenização)</t>
  </si>
  <si>
    <t>[CCC03706]</t>
  </si>
  <si>
    <t>Divinopolis 3 Indenização _Obras MT_FD</t>
  </si>
  <si>
    <t>COMPRA MATERIAIS PARA UFVs ( DIVINOPOLIS )   NF 25313  INDENIZAÇÃO</t>
  </si>
  <si>
    <t>[CCC03600]</t>
  </si>
  <si>
    <t xml:space="preserve">EXPONENCIAL  - </t>
  </si>
  <si>
    <t>000535</t>
  </si>
  <si>
    <t>COMPRA MATERIAIS PARA UFVs (DIVINOPOLIS INDENIZAÇÃO)   NF 3749</t>
  </si>
  <si>
    <t>Serviço de compra de materiais  necessários para atividades internas na  UFV.</t>
  </si>
  <si>
    <t>[CCC03576]</t>
  </si>
  <si>
    <t>CAMPO ALEGRE POSTES</t>
  </si>
  <si>
    <t>000666</t>
  </si>
  <si>
    <t>COMPRA DE MATERIAIS PARA AS UFVs (DIVINÓPOLIS)  NF 10665 INDENIZAÇÃO ELETRICA VULCANO</t>
  </si>
  <si>
    <t>[CCC03705]</t>
  </si>
  <si>
    <t>001674</t>
  </si>
  <si>
    <t xml:space="preserve">COMPRA DE MATERIAIS UFVs ( DIVINOPOLIS 3)  NF 26345           </t>
  </si>
  <si>
    <t xml:space="preserve">Pagamento em faturamento direto, REFERENTE A COMPRA DE MATERIAIS, necessário à construção da UFV em contrato MT .  INDENIZAÇÃO  </t>
  </si>
  <si>
    <t>Reatores de aterramento ADELCO (Pedra do Indaiá 1)</t>
  </si>
  <si>
    <t>A603-ESTRELA DO NORTE PEDRA DO INDAIA SPE</t>
  </si>
  <si>
    <t>000001</t>
  </si>
  <si>
    <t>Projeto de cabine primária  - PROJETTI - 100% (Pedra do Indaiá 1) Pedra 1_2</t>
  </si>
  <si>
    <t>[CCC02893-02]</t>
  </si>
  <si>
    <t>Pedra do Indaiá 1_Projeto/Coordenograma</t>
  </si>
  <si>
    <t>Desenvolvimento de projetos Executivos - 20% iniciais (Pedra do indaiá 1)</t>
  </si>
  <si>
    <t>[CCC02997-01]</t>
  </si>
  <si>
    <t>Pedra do Indaiá 1_Engenharia Executiva</t>
  </si>
  <si>
    <t>Consultoria em servidão (Pedra do Indaiá 1) GEOVANY</t>
  </si>
  <si>
    <t>[CCC03272-02]</t>
  </si>
  <si>
    <t>Pedra do Indaiá 1 _Outros</t>
  </si>
  <si>
    <t>000278</t>
  </si>
  <si>
    <t>SUPERVISORIO - Ciclo 2 - Gateways e remota (Pedra do Indaiá 1)</t>
  </si>
  <si>
    <t>[CCC03235-13]</t>
  </si>
  <si>
    <t>Pedra do Indaiá 1 _SGD</t>
  </si>
  <si>
    <t>SUPERVISORIO - Ciclo 2 - Baterias, desktops, switch e acessórios (Pedra do Indaiá 1)</t>
  </si>
  <si>
    <t>[CCC03235-32]</t>
  </si>
  <si>
    <t>Desenvolvimento de projetos Executivos - ENERSOLAR - 20% intermediários - 1a entrega (Pedra do Indaiá 1)</t>
  </si>
  <si>
    <t>[CCC03368-08]</t>
  </si>
  <si>
    <t>000529</t>
  </si>
  <si>
    <t>COMPRA MATERIAIS PARA UFVs (Pedra do Indaiá 1)   NF   13</t>
  </si>
  <si>
    <t>[CCC03503]</t>
  </si>
  <si>
    <t>Pedra do Indaiá 1_EPC_FD</t>
  </si>
  <si>
    <t>000520</t>
  </si>
  <si>
    <t xml:space="preserve">Estação solarimétrica – Hukseflux   Pedra do indaiá 1
</t>
  </si>
  <si>
    <t>[CCC03555]</t>
  </si>
  <si>
    <t>Pedra do Indaiá 1 _Estação solarimétrica</t>
  </si>
  <si>
    <t>000733</t>
  </si>
  <si>
    <t>Medição (EPC - ROSSETI)</t>
  </si>
  <si>
    <t>Construção e Montagem ROSSETI - Adiantamento contratual (UFV Pedra do indaiá 1)</t>
  </si>
  <si>
    <t>[CCC03749]</t>
  </si>
  <si>
    <t>Pedra do Indaiá 1_EPC_MD</t>
  </si>
  <si>
    <t>COMPRA MATERIAIS PARA UFVs  ( PEDRA DO INDAIA 1)  NF  24377</t>
  </si>
  <si>
    <t>[CCC04011]</t>
  </si>
  <si>
    <t xml:space="preserve">SERVIÇO LEVANTAMENTO TOPOGRAFICO    UFVs  (PEDRA DO INDAIA 1)   2022/1  </t>
  </si>
  <si>
    <t>Pagamento de serviço de elaboração do mapa, memorial e emissão de ART , necessários a construção da UFVs.</t>
  </si>
  <si>
    <t>[CCC04019]</t>
  </si>
  <si>
    <t>Estação solarimétrica – Hukseflux   UFVs (PEDRA DO INDAIA 1)   VINCULO PEDIDO 000520 A603  NF 4794</t>
  </si>
  <si>
    <t>COMPRA MATERIAIS PARA UFVs  ( PEDRA DO INDAIA 1  )  NF 26114    EXPONECIAL RDA INTERNO   PEDRO</t>
  </si>
  <si>
    <t>Pedra do Indaiá 1_RDA - Rede de Distribuição Aerea</t>
  </si>
  <si>
    <t>001206</t>
  </si>
  <si>
    <t xml:space="preserve">COMPRA MATERIAIS PARA UFVs  ( PEDRA DO INDAIA 1)  NF  4442 </t>
  </si>
  <si>
    <t>001212</t>
  </si>
  <si>
    <t>COMPRA MATERIAIS PARA UFVs  ( PEDRA DO INDAIA 1)  NF  1616</t>
  </si>
  <si>
    <t xml:space="preserve">COMPRA MATERIAIS PARA UFVs  ( PEDRA DO INDAIA 1)  NF  592  </t>
  </si>
  <si>
    <t>[CCC04050]</t>
  </si>
  <si>
    <t>000750</t>
  </si>
  <si>
    <t>COMPRA MATERIAIS PARA UFVs ( PEDRA DO INDAIA  1)   NF 24014</t>
  </si>
  <si>
    <t>[CCC03765]</t>
  </si>
  <si>
    <t>001309</t>
  </si>
  <si>
    <t>PRESTAÇÃO DE SERVIÇOS MEDIÇÃO 1 UFVS ( PEDRA DO INDAIA 1)    NF   73</t>
  </si>
  <si>
    <t xml:space="preserve">Pagamento referente a medição  ,  prestação de serviços mão de obra e materiais,  necessário a construção da UFVs. </t>
  </si>
  <si>
    <t> [CCC04153]</t>
  </si>
  <si>
    <t>001234</t>
  </si>
  <si>
    <t xml:space="preserve">COMPRA MATERIAIS PARA UFVs  (   PEDRA DO INDAIA 1 )  NF  72956  LTB  RDA INTERNO  </t>
  </si>
  <si>
    <t>001240</t>
  </si>
  <si>
    <t>COMPRA MATERIAIS PARA UFVsS (  PEDRA DO INDAIA 1  )    NF  1393</t>
  </si>
  <si>
    <t>PRESTAÇÃO DE SERVIÇOS  UFVs (  PEDRA DO INDAIA 1  )    NF 3416</t>
  </si>
  <si>
    <t>Pagamento de serviços de vigilância , em  Faturamento Direto, em contrato de obras EPC da UFV.</t>
  </si>
  <si>
    <t>[CCC04115]</t>
  </si>
  <si>
    <t>001274</t>
  </si>
  <si>
    <t>PRESTAÇÃO DE SERVIÇOS  UFVs  (  PEDRA DO INDAIA 1)  NF  16846</t>
  </si>
  <si>
    <t>COMPRA MATERIAIS PARA UFVs  ( PEDRA DO INDAIA 1)  NF  16</t>
  </si>
  <si>
    <t> [CCC04169]</t>
  </si>
  <si>
    <t xml:space="preserve">PRESTAÇÃ DE SERVIÇOS UFVs  ( PEDRA DO INDAIA 1)  NF  289  </t>
  </si>
  <si>
    <t>Pagamento de serviço TOPOGRAFICO E MOBILIZAÇÃO  , feito em Faturamento Direto, em contrato  EPC .</t>
  </si>
  <si>
    <t> [CCC04170]</t>
  </si>
  <si>
    <t>COMPRA MATERIAIS PARA UFVs  ( PEDRA DO INDAIA 1)  NF   63271</t>
  </si>
  <si>
    <t> [CCC04175]</t>
  </si>
  <si>
    <t>COMPRA MATERIAIS PARA UFVs  ( PEDRA DO INDAIA 1)  NF   599</t>
  </si>
  <si>
    <t>001340</t>
  </si>
  <si>
    <t>PRESTAÇÃO SERVIÇO UFVs ( PEDRA DO INDAIA 1) NF  16865</t>
  </si>
  <si>
    <t>Pagamento de serviço de  LOCAÇÃO DE MANIPULADOR TELESCÓPICO  , feito em Faturamento Direto, em contrato  EPC .</t>
  </si>
  <si>
    <t> [CCC04177]</t>
  </si>
  <si>
    <t>COMPRA DE MATERIAIS  UFVs    ( PEDRA DO INDAIA 1)  NF 196</t>
  </si>
  <si>
    <t>001372</t>
  </si>
  <si>
    <t>COMPRA DE MATERIAIS  UFVs   ( PEDRA DO INDAIA 1)  NF 162</t>
  </si>
  <si>
    <t> [CCC04182]</t>
  </si>
  <si>
    <t>001377</t>
  </si>
  <si>
    <t>COMPRA DE MATERIAIS  UFVs   ( PEDRA DO INDAIA 1)  NF 1432</t>
  </si>
  <si>
    <t>´001394</t>
  </si>
  <si>
    <t>COMPRA DE MATERIAIS  UFVs   ( PEDRA DO INDAIA 1)  NF 24074</t>
  </si>
  <si>
    <t>001386</t>
  </si>
  <si>
    <t>PRESTAÇÃO DE SERVIÇOS  UFVs (  PEDRA DO INDAIA 1 )    NF 12   TERRA FORTE</t>
  </si>
  <si>
    <t>Pagamento de serviços de transportes em  Faturamento Direto, em contrato de obras EPC da UFV.</t>
  </si>
  <si>
    <t> [CCC04194]</t>
  </si>
  <si>
    <t>001398</t>
  </si>
  <si>
    <t>COMPRA DE MATERIAIS  UFVs   ( PEDRA DO INDIAIA 1)  NF 7050</t>
  </si>
  <si>
    <t>001388</t>
  </si>
  <si>
    <t xml:space="preserve">PRESTAÇÃO DE SERVIÇOS  MEDIÇÃO (PEDRA DO INDAIA 1 )  NF 165 CONSTRUTORA RESENDE JORGE </t>
  </si>
  <si>
    <t xml:space="preserve">Pagamento referente a Prestação de serviços de supressão vegetal, corte de árvores, limpeza do terreno e expurgo de vegetação , necessários a construção da UFVs. </t>
  </si>
  <si>
    <t> [CCC04188]</t>
  </si>
  <si>
    <t>Pedra do Indaiá 1_Obras Terraplanagem</t>
  </si>
  <si>
    <t>001047</t>
  </si>
  <si>
    <t>COMPRA MATERIAIS PARA UFVs  ( PEDRA DO INDAIA 1)  NF  4085    CAMPO ALEGRE  RDA INTERNA</t>
  </si>
  <si>
    <t>001482</t>
  </si>
  <si>
    <t xml:space="preserve">PRESTAÇÃO DE SERVIÇOS UFVs ( PEDRA DO INDAIA 1 e 3) NF 11   </t>
  </si>
  <si>
    <t>Pagamento em Faturamento Direto referente a SERVIÇOS DE TOPOGRAFIA PARA MARCAÇÃO DE ESTACAS, em contrato EPC.</t>
  </si>
  <si>
    <t> [CCC04209]</t>
  </si>
  <si>
    <t>PRESTAÇÃO DE SERVIÇOS UFVS ( PEDRA DO INDAIA 1 ) NF 21</t>
  </si>
  <si>
    <t>Pagamento  EM FATURAMENTO DIRETO, referente LOCAÇÃO DE EQUIPAMENTO ,  necessário à construção da UFV  em contrato EPC .</t>
  </si>
  <si>
    <t> [CCC04219]</t>
  </si>
  <si>
    <t>´001437</t>
  </si>
  <si>
    <t xml:space="preserve">COMPRA DE MATERIAIS UFVS ( PEDRA DO INDAIA 1 ) NF 1663 </t>
  </si>
  <si>
    <t>´001445</t>
  </si>
  <si>
    <t>COMPRA DE MATERIAIS UFVS ( PEDRA DO INDAIA 1 ) NF  2847</t>
  </si>
  <si>
    <t>´001477</t>
  </si>
  <si>
    <t>CCOMPRA DE MATERIAIS  UFVS (  PEDRA DO INDAIA 1 ) NF 614</t>
  </si>
  <si>
    <t>´001479</t>
  </si>
  <si>
    <t>COMPRA DE MATERIAIS  UFVS ( PEDRA DO INDAIA 1 ) NF 7056</t>
  </si>
  <si>
    <t>´001492</t>
  </si>
  <si>
    <t xml:space="preserve">COMPRA DE MATERIAIS  UFVS ( PEDRA DO INDAIA 1 ) NF 7 </t>
  </si>
  <si>
    <t>Pagamento  EM FATURAMENTO DIRETO, REFERENTE A REFEIÇÃO ,  necessário à construção da UFV  em contrato EPC .</t>
  </si>
  <si>
    <t>COMPRA DE MATERIAIS UFVS (   PEDRA DO INDAIA 1 ) EXPONENCIAL RDA INTERNO NF  26499</t>
  </si>
  <si>
    <t>COMPRA DE MATERIAIS UFVS (PEDRA DO INDAIA ) NF  10399 NACIONAL EQUIPAMENTOS</t>
  </si>
  <si>
    <t>Compra feita em Faturamento Direto, DE MATERIAIS, em contrato de obras EPC.</t>
  </si>
  <si>
    <t> [CCC04280]</t>
  </si>
  <si>
    <t>COMPRA DE MATERIAIS UFVS (PEDRA DO INDAIA ) NF  10398 NACIONAL EQUIPAMENTOS</t>
  </si>
  <si>
    <t>PRESTAÇÃO DE SERVIÇOS UFVs ( PEDRA DO INDAIA 1) NF   304    V.DE JESUS LOPES</t>
  </si>
  <si>
    <t>Pagamento em Faturamento Direto,  Atendimento de serviços topográficos prestados na OBRA COMERC/MORI, em contrato de obras EPC da UFV.</t>
  </si>
  <si>
    <t> [CCC04283]</t>
  </si>
  <si>
    <t>PRESTAÇÃO DE SERVIÇO UFVs (PEDRA DO INDAIA 1)   NF  188 BATISTA NUNES</t>
  </si>
  <si>
    <t>Pagamento em faturamento direto referente  aos serviços de controle tecnologico , em contrato EPC.</t>
  </si>
  <si>
    <t> [CCC04293]</t>
  </si>
  <si>
    <t>PRESTAÇÃO DE SERVIÇO UFVs (PEDRA DO INDAIA 1) PREMIUM EVENTOS NF 573</t>
  </si>
  <si>
    <t>Pagamento em Faturamento Direto,  referente aos Serviços ALUGUEL DE ANDAIMES  em contrato de obras EPC da UFV.</t>
  </si>
  <si>
    <t> [CCC04301]</t>
  </si>
  <si>
    <t>PRESTAÇÃO DE SERVIÇO UFVs (PEDRA DO INDAIA 1) FUNDASUL 734</t>
  </si>
  <si>
    <t>Pagamento em Faturamento Direto,  referente aos Serviços EXECUÇAO DE FUNDAÇOES DE TRACKERS em contrato de obras EPC da UFV.</t>
  </si>
  <si>
    <t>001592</t>
  </si>
  <si>
    <t xml:space="preserve">COMPRAS DE MATERIAIS UFVs (PEDRA DO INDAIA 1) NF 427744 LOJA ELETRICA </t>
  </si>
  <si>
    <t>Compra de materiais ,  em contrato EPC necessários a construção da UFVs.</t>
  </si>
  <si>
    <t> [CCC04320]</t>
  </si>
  <si>
    <t>001653</t>
  </si>
  <si>
    <t>PRESTAÇÃO DE SERVIÇOS UFVs (PEDRA DO INDAIA1) NF 192 BATISTA NUNES</t>
  </si>
  <si>
    <t>Pagamento em faturamento direto, referente A SERVIÇO DE CONTROLE TECNOLOGICO, necessário à construção da UFV em contrato EPC .</t>
  </si>
  <si>
    <t> [CCC04360]</t>
  </si>
  <si>
    <t>001796</t>
  </si>
  <si>
    <t>Construção e Montagem GLD - Medição 1 - Adiantamento 15%   UFVs ( PEDRA DO INDAIA 1)   NF  331</t>
  </si>
  <si>
    <t>Pedra do Indaiá 1_EPC_2_MD</t>
  </si>
  <si>
    <t>001895</t>
  </si>
  <si>
    <t>PRESTAÇÃO DE SERVIÇOS  UFVs ( PEDRA DO INDAIÁ 1)  NF  342</t>
  </si>
  <si>
    <t>Pagamento referente a 1° medição de prestação de serviços e mão de obra,  necessários a construção da UFVs em contrato EPC.  65%</t>
  </si>
  <si>
    <t> [CCC04553]</t>
  </si>
  <si>
    <t>001896</t>
  </si>
  <si>
    <t>PRESTAÇÃO DE SERVIÇOS  UFVs ( PEDRA DO INDAIÁ 1 )  NF  343</t>
  </si>
  <si>
    <t>Pagamento referente a 1° medição de prestação de serviços e mão de obra,  necessários a construção da UFVs em contrato EPC.  35%</t>
  </si>
  <si>
    <t>001942</t>
  </si>
  <si>
    <t>COMPRA DE MATERIAIS  UFVs( PEDRA DO INDAA 1 E 3) NF  23 ROBERTO RIBEIRO</t>
  </si>
  <si>
    <t>Pagamento em faturamento direto  referente  A REFEIÇÃO, em contrato EPC.</t>
  </si>
  <si>
    <t> [CCC04611]</t>
  </si>
  <si>
    <t>COMPRA DE MATERIAIS  UFVs( PEDRA DO INDAIA 1) NF  906 AGRO INDAIA    CADASTRO</t>
  </si>
  <si>
    <t> [CCC04612]</t>
  </si>
  <si>
    <t>COMPRA DE MATERIAIS  UFVs( PEDRA DO INDAIA 1) NF  907 AGRO INDAIA    CADASTRO</t>
  </si>
  <si>
    <t>COMPRA DE MATERIAIS  UFVs( PEDRA DO INDAIA 1) NF  908 AGRO INDAIA    CADASTRO</t>
  </si>
  <si>
    <t>COMPRA DE MATERIAIS  UFVs( PEDRA DO INDAIA 1) NF  909 AGRO INDAIA    CADASTRO</t>
  </si>
  <si>
    <t>COMPRA DE MATERIAIS  UFVs( PEDRA DO INDAIA 1) NF  910 AGRO INDAIA    CADASTRO</t>
  </si>
  <si>
    <t>COMPRA DE MATERIAIS  UFVs( PEDRA DO INDAIA 1) NF  911 AGRO INDAIA    CADASTRO</t>
  </si>
  <si>
    <t>001989</t>
  </si>
  <si>
    <t>DAE - Dispensa  de Licenciamento ambiental UFVs( PEDRA DO INDAIA 1)   N 4500025800221</t>
  </si>
  <si>
    <t>002025</t>
  </si>
  <si>
    <t>MEDIÇÃO  GLD UFVS ( PEDRA DO INDAIÁ 1 )   NF 361</t>
  </si>
  <si>
    <t>Pagamento 2° medição , referente a elaboração de planos  , contrato EPC . 35%</t>
  </si>
  <si>
    <t> [CCC04685]</t>
  </si>
  <si>
    <t>002026</t>
  </si>
  <si>
    <t>MEDIÇÃO  GLD UFVS ( PEDRA DO INDAIÁ 1 )   NF 360</t>
  </si>
  <si>
    <t>Pagamento 2° medição , referente a prestação de serviço e mão de obra  , contrato EPC . 65%</t>
  </si>
  <si>
    <t>002033</t>
  </si>
  <si>
    <t xml:space="preserve">PRESTAÇÃO DE SERVIÇOS UFVs ( PEDRA DO INDAIA 1)  NF 278  IRACI CARDOSO </t>
  </si>
  <si>
    <t>Pagamento referente ao adiantamento de 15% da obra de drenagem, necessário para a construção das usinas.</t>
  </si>
  <si>
    <t> [CCC04698]</t>
  </si>
  <si>
    <t>Pedra do Indaiá 1_Obras Drenagem</t>
  </si>
  <si>
    <t>002114</t>
  </si>
  <si>
    <t>Fat.Direto EPC (GLD )</t>
  </si>
  <si>
    <t>PRESTAÇÃO DE SERVIÇOS UFVs (PEDRA DO INDAIA 1 ) NF 105    STEFANIO COUTINHO  PC CANCELADO</t>
  </si>
  <si>
    <t>Pagamento em faturamento direto referente a prestação de serviço de fabricação de portões, portas e janelas, necessário a construção da usinas em contrato EPC.</t>
  </si>
  <si>
    <t> [CCC04767]</t>
  </si>
  <si>
    <t>002054</t>
  </si>
  <si>
    <t>COMPRA DE MATERIAIS UFvs ( PEDRA DO INDAIA 1  ) NF 12  ROBERTO RIBEIRO</t>
  </si>
  <si>
    <t>Pagamento referente a COMPRA DE REFEIÇÃO, necessário à construção da UFV. ESCOPO COMERC</t>
  </si>
  <si>
    <t> [CCC04729]</t>
  </si>
  <si>
    <t>002055</t>
  </si>
  <si>
    <t>COMPRA DE MATERIAIS UFvs ( PEDRA DO INDAIA 1  ) NF 14  ROBERTO RIBEIRO</t>
  </si>
  <si>
    <t>002083</t>
  </si>
  <si>
    <t>PRESTAÇÃO DE SERVIÇOS UFVs ( PEDRA DO INDAIA 1 ) NF 633  JX AMBIENTAL</t>
  </si>
  <si>
    <t>002117</t>
  </si>
  <si>
    <t>PRESTAÇÃO DE SERVIÇOS UFVs(PEDRA DO INDAIA 1) NF 395</t>
  </si>
  <si>
    <t>Pagamento referente a 3° medição de prestação de serviços e mão de obra,  necessários a construção da UFVs em contrato EPC.  65%</t>
  </si>
  <si>
    <t> [CCC04772]</t>
  </si>
  <si>
    <t>002118</t>
  </si>
  <si>
    <t>PRESTAÇÃO DE SERVIÇOS UFVs(PEDRA DO INDAIA 1) NF 396</t>
  </si>
  <si>
    <t>Pagamento referente a 3° medição de prestação de serviços e mão de obra,  necessários a construção da UFVs em contrato EPC.  35%</t>
  </si>
  <si>
    <t>002121</t>
  </si>
  <si>
    <t>PRESTAÇÃO DE SERVIÇOS UFVs (PEDRA DO INDAIA) NF 612  RONDA PORTEIROS</t>
  </si>
  <si>
    <t>Pagamento em faturamento direto referente a prestação de serviço de vigilância desarmada, necessário a construção da usinas em contrato EPC. ADITIVO. ESCOPO COMERC</t>
  </si>
  <si>
    <t>002146</t>
  </si>
  <si>
    <t>COMPRA DE MATERIAIS UFVs (PEDRA DO INDAIA 1)  NF 628  SIFER</t>
  </si>
  <si>
    <t> [CCC04797]</t>
  </si>
  <si>
    <t>Pedra do Indaiá 1_EPC_2_FD</t>
  </si>
  <si>
    <t>002148</t>
  </si>
  <si>
    <t xml:space="preserve">COMPRA DE MATERIAIS UFVs (PEDRA DO INDAIA 5)  NF 5  STEFANIO COUTINHO  </t>
  </si>
  <si>
    <t> [CCC04799]</t>
  </si>
  <si>
    <t>002172</t>
  </si>
  <si>
    <t>COMPRA DE MATERIAIS UFVs  (PEDRA DO INADAIA 1) NF 16  STEFANIO COUTINHO</t>
  </si>
  <si>
    <t>Pagamento em faturamento direto referente a compra de materiais, necessário a construção da usinas, em contrato EPC. ESCOPO COMERC</t>
  </si>
  <si>
    <t> [CCC04825]</t>
  </si>
  <si>
    <t>Reatores de aterramento ADELCO (Pedra do Indaiá 3)</t>
  </si>
  <si>
    <t>A621 -ESTRELA DO NORTE SPE - UFV PEDRA DO INDAIA 3</t>
  </si>
  <si>
    <t>001266</t>
  </si>
  <si>
    <t xml:space="preserve">COMPRA MATERIAIS PARA UFVs  ( PEDRA DO INDA 3  )  NF   26115   EXPONECIAL RDA INTERNO  </t>
  </si>
  <si>
    <t>Pedra do Indaiá 3_RDA - Rede de Distribuição Aerea</t>
  </si>
  <si>
    <t>Projeto de cabine primária  - PROJETTI - 100% (Pedra do indaiá 3) Pedra 3_4</t>
  </si>
  <si>
    <t>[CCC02893-03]</t>
  </si>
  <si>
    <t>Pedra do Indaiá 3_Projeto/Coordenograma</t>
  </si>
  <si>
    <t>Desenvolvimento de projetos Executivos - 20% iniciais (Pedra do indaiá 3)</t>
  </si>
  <si>
    <t>[CCC02997-02]</t>
  </si>
  <si>
    <t>Pedra do Indaiá 3_Engenharia Executiva</t>
  </si>
  <si>
    <t>SUPERVISORIO - Ciclo 2 - Gateways e remota (Pedra do Indaiá 3)</t>
  </si>
  <si>
    <t>[CCC03235-14]</t>
  </si>
  <si>
    <t>Pedra do Indaiá 3 _SGD</t>
  </si>
  <si>
    <t>SUPERVISORIO - Ciclo 2 - Baterias, desktops, switch e acessórios (Pedra do Indaiá 3)</t>
  </si>
  <si>
    <t>[CCC03235-33]</t>
  </si>
  <si>
    <t>000530</t>
  </si>
  <si>
    <t>COMPRA MATERIAIS PARA UFVs (Pedra do Indaiá 3)   NF 14</t>
  </si>
  <si>
    <t>[CCC03502]</t>
  </si>
  <si>
    <t>Pedra do Indaiá 3_EPC_FD</t>
  </si>
  <si>
    <t>000521</t>
  </si>
  <si>
    <t xml:space="preserve">Estação solarimétrica – Hukseflux  Pedra do indaiá 3
</t>
  </si>
  <si>
    <t>Pedra do Indaiá 3 _Estação solarimétrica</t>
  </si>
  <si>
    <t>000734</t>
  </si>
  <si>
    <t>Construção e Montagem ROSSETI - Adiantamento contratual (UFV Pedra do indaiá 3)</t>
  </si>
  <si>
    <t>Pedra do Indaiá 3_EPC_MD</t>
  </si>
  <si>
    <t>Consultoria em servidão (Pedra do Indaiá 3) GEOVANY</t>
  </si>
  <si>
    <t>[CCC03272-03]</t>
  </si>
  <si>
    <t>Pedra do Indaiá 3 _Outros</t>
  </si>
  <si>
    <t>COMPRA MATERIAIS PARA UFVs  ( PEDRA DO INDAIA 3)  NF  24378</t>
  </si>
  <si>
    <t>001134</t>
  </si>
  <si>
    <t>SERVIÇO LEVANTAMENTO TOPOGRAFICO    UFVs  (PEDRA DO INDAIA 3)   2022/2</t>
  </si>
  <si>
    <t>Estação solarimétrica – Hukseflux   UFVs (PEDRA DO INDAIA 3)  VINCULO PEDIDO 000521 A603 NF 4795</t>
  </si>
  <si>
    <t>COMPRA MATERIAIS PARA UFVs  ( PEDRA DO INDAIA 3)  NF  590</t>
  </si>
  <si>
    <t>001109</t>
  </si>
  <si>
    <t>Desenvolvimento de projetos Executivos  - ENERSOLAR -  20%  APROVADO -  (PEDRA DO INDAIA 3)   NF  158</t>
  </si>
  <si>
    <t>001207</t>
  </si>
  <si>
    <t>COMPRA MATERIAIS PARA UFVs  ( PEDRA DO INDAIA 3)  NF  4443</t>
  </si>
  <si>
    <t>001210</t>
  </si>
  <si>
    <t>COMPRA MATERIAIS PARA UFVs  ( PEDRA DO INDAIA 3)  NF  1617</t>
  </si>
  <si>
    <t>PRESTAÇÃO DE SERVIÇOS MEDIÇÃO 1 UFVS ( PEDRA DO INDAIA 3)    NF   72</t>
  </si>
  <si>
    <t>001062</t>
  </si>
  <si>
    <t>COMPRA MATERIAIS PARA UFVs  ( PEDRA DO INDAIA 3)  NF  4091    CAMPO ALEGRE  RDA INTERNA</t>
  </si>
  <si>
    <t>001235</t>
  </si>
  <si>
    <t xml:space="preserve">COMPRA MATERIAIS PARA UFVs  (  PEDRA DO INDAIA 3  )  NF  72957  LTB  RDA INTERNO  </t>
  </si>
  <si>
    <t>001238</t>
  </si>
  <si>
    <t>COMPRA MATERIAIS PARA UFVsS (  PEDRA DO INDAIA 3  )    NF  1392</t>
  </si>
  <si>
    <t>PRESTAÇÃO DE SERVIÇOS  UFVs (  PEDRA DO INDAIA 3   )    NF  2022-13</t>
  </si>
  <si>
    <t>COMPRA MATERIAIS PARA UFVs  ( PEDRA DO INDAIA 3)  NF  17</t>
  </si>
  <si>
    <t>001347</t>
  </si>
  <si>
    <t>PRESTAÇÃ DE SERVIÇOS UFVs  ( PEDRA DO INDAIA 3)  NF 290</t>
  </si>
  <si>
    <t>001333</t>
  </si>
  <si>
    <t>COMPRA MATERIAIS PARA UFVs  ( PEDRA DO INDAIA 3)  NF   163</t>
  </si>
  <si>
    <t>COMPRA MATERIAIS PARA UFVs  ( PEDRA DO INDAIA 3)  NF   63273</t>
  </si>
  <si>
    <t>COMPRA MATERIAIS PARA UFVs  ( PEDRA DO INDAIA 3)  NF   598</t>
  </si>
  <si>
    <t>001351</t>
  </si>
  <si>
    <t>COMPRA DE MATERIAIS  UFVs   ( PEDRA DO INDAIA 3)  NF 197</t>
  </si>
  <si>
    <t>001378</t>
  </si>
  <si>
    <t>COMPRA DE MATERIAIS  UFVs   ( PEDRA DO INDAIA 3)  NF 1431</t>
  </si>
  <si>
    <t>´001395</t>
  </si>
  <si>
    <t xml:space="preserve">COMPRA DE MATERIAIS  UFVs   ( PEDRA DO INDAIA 3)  NF 24069    </t>
  </si>
  <si>
    <t>001397</t>
  </si>
  <si>
    <t>COMPRA DE MATERIAIS  UFVs   ( PEDRA DO INDIAIA 3)  NF 7049</t>
  </si>
  <si>
    <t>001390</t>
  </si>
  <si>
    <t>PRESTAÇÃO DE SERVIÇOS  MEDIÇÃO (PEDRA DO INDAIA 3)  NF 166 CONSTRUTORA RESENDE JORGE</t>
  </si>
  <si>
    <t>Pedra do Indaiá 3_Obras Terraplanagem</t>
  </si>
  <si>
    <t>COMPRA MATERIAIS PARA UFVs ( PEDRA DO INDAIA 3 )   NF 24016</t>
  </si>
  <si>
    <t>PRESTAÇÃO DE SERVIÇOS UFVS ( PEDRA DO INDAIA 3 ) NF 22</t>
  </si>
  <si>
    <t>´001442</t>
  </si>
  <si>
    <t>´001446</t>
  </si>
  <si>
    <t>COMPRA DE MATERIAIS UFVS ( PEDRA DO INDAIA 3  NF  2848</t>
  </si>
  <si>
    <t>´001491</t>
  </si>
  <si>
    <t>COMPRA DE MATERIAIS UFVS (PEDRA DO INDAIA 3   ) NF 8</t>
  </si>
  <si>
    <t>Pagamento  EM FATURAMENTO DIRETO,  REFERENTE A REFEIÇÃO,  necessário à construção da UFV  em contrato EPC .</t>
  </si>
  <si>
    <t>COMPRA DE MATERIAIS  UFVs   ( PEDRA DO INDIAIA 1 E 3)  NF 4</t>
  </si>
  <si>
    <t>Compra feita em Faturamento Direto, REFERENTE A REFEIÇÕES E LANCHES , em contrato  EPC .</t>
  </si>
  <si>
    <t> [CCC04245]</t>
  </si>
  <si>
    <t>COMPRA DE MATERIAIS  UFVs   ( PEDRA DO INDIAIA 1 E 3)  NF 5</t>
  </si>
  <si>
    <t>COMPRA DE MATERIAIS  UFVs   ( PEDRA DO INDIAIA 1 E 3)  NF 6</t>
  </si>
  <si>
    <t>001567</t>
  </si>
  <si>
    <t>COMPRA DE MATERIAIS UFVS (   PEDRA DO INDAIA 3  ) EXPONENCIAL RDA INTERNO NF  26498</t>
  </si>
  <si>
    <t>001509</t>
  </si>
  <si>
    <t>PRESTAÇÃO DE SERVIÇOS UFVs ( PEDRA DO INDAIA  1 e 3 ) CMP CONCRETO NF 4</t>
  </si>
  <si>
    <t>Pagamento em faturamento direto referente a serviços de MATERIAL EMPREGADO NA PREPARAÇÃO DE 39 M³ DE CONCRETO FCK 25 MPA e mão de obra , em contrato EPC.</t>
  </si>
  <si>
    <t> [CCC04259]</t>
  </si>
  <si>
    <t>A603- ESTRELA DO NORTE GERAÇAO DE ENERGIA SPE S/A PEDRA DO INDAIA</t>
  </si>
  <si>
    <t>PRESTAÇÃO DE SERVIÇOS UFVs (PEDRA O INDAIA 3 ) NF  3487 TRÍADE VIGILÂNCIA</t>
  </si>
  <si>
    <t>Pagamento em faturamento direto referente ao SERVIÇO DE VIGILANCIA , ADITIVO DE DOIS VIGIAS NOTURNA , em contrato EPC.</t>
  </si>
  <si>
    <t>PRESTAÇÃO DE SERVIÇOS UFVs ( PEDRA DO INDAIA 3) NF   305    V.DE JESUS LOPES</t>
  </si>
  <si>
    <t>PRESTAÇÃO DE SERVIÇO UFVs (PEDRA DO INDAIA 3)   NF  189 BATISTA NUNES</t>
  </si>
  <si>
    <t>Pagamento em faturamento direto referente ao SERVIÇO DE ENGENHARIA,serviço de controle tecnologico , em contrato EPC.</t>
  </si>
  <si>
    <t>PRESTAÇÃO DE SERVIÇO UFVs (PEDRA DO INDAIA 3) PREMIUM EVENTOS NF 574</t>
  </si>
  <si>
    <t>PRESTAÇÃO DE SERVIÇOS UFVs  ( PEDRA DO INDAIA 1-3-5  ) NF 308 V D JESUS BIAZZI</t>
  </si>
  <si>
    <t>Pagamento EM FATURAMENTO DIRETO, REFERENTE AO ATENDIMENTO DE SERVIÇOS TOPOGRÁFICOS, necessário à construção da UFV em contrato EPC .</t>
  </si>
  <si>
    <t> [CCC04313]</t>
  </si>
  <si>
    <t>001591</t>
  </si>
  <si>
    <t xml:space="preserve">COMPRAS DE MATERIAIS UFVs (PEDRA DO INDAIA 3) NF 427743  LOJA ELETRICA  </t>
  </si>
  <si>
    <t>001640</t>
  </si>
  <si>
    <t>PRESTAÇÃO DE SERVIÇOS UFVs ( PEDRA DO INDAIA 1 E 3)  NF 02 CONSTRUTORA RESENDE JORGE</t>
  </si>
  <si>
    <t xml:space="preserve">Pagamento de serviços,Execucao, por administracao,empreitada ou subempreitada de obras de construcao civil, necessário à construção da UFV em contrato EPC . </t>
  </si>
  <si>
    <t> [CCC04353]</t>
  </si>
  <si>
    <t>001641</t>
  </si>
  <si>
    <t>PRESTAÇÃO DE SERVIÇOS UFVs ( PEDRA DO INDAIA 1 E 3)  NF 03 CONSTRUTORA RESENDE JORGE</t>
  </si>
  <si>
    <t>001654</t>
  </si>
  <si>
    <t>PRESTAÇÃO DE SERVIÇOS UFVs (PEDRA DO INDAIA 3) NF 193  BATISTA NUNES</t>
  </si>
  <si>
    <t>001797</t>
  </si>
  <si>
    <t>Construção e Montagem GLD - Medição 1 - Adiantamento 15%   UFVs ( PEDRA DO INDAIA 3)   NF  332</t>
  </si>
  <si>
    <t>Pedra do Indaiá 3_EPC_2_MD</t>
  </si>
  <si>
    <t>001823</t>
  </si>
  <si>
    <t xml:space="preserve">DAE - Dispença de Licenciamento ambiental UFVs(  PEDRA DO INDAIA  3 )   NF 985   JULLIA MARIA </t>
  </si>
  <si>
    <t>001860</t>
  </si>
  <si>
    <t>Fat.Direito EPC(GLD )</t>
  </si>
  <si>
    <t xml:space="preserve">PRESTAÇÃO DE SERVIÇOS UFVs( PEDRA DO INDAIA 1 ) NF 461 RONDA PORTEIROS </t>
  </si>
  <si>
    <t>Pagamento em faturamento direto,  REFERENTE A VIGILANCIA necessário à construção da UFV em contrato EPC.</t>
  </si>
  <si>
    <t> [CCC04537]</t>
  </si>
  <si>
    <t>Pedra do Indaiá 3_EPC_2_FD</t>
  </si>
  <si>
    <t>001875</t>
  </si>
  <si>
    <t>PRESTAÇÃO DE SERVIÇOS UFVs ( PEDRA DO INDAIA 3 ) RONDA PORTEIROS NF 406</t>
  </si>
  <si>
    <t>Pagamento referente a prestação de serviço de vigilância, necessário a construção das usinas.</t>
  </si>
  <si>
    <t> [CCC04543]</t>
  </si>
  <si>
    <t>001876</t>
  </si>
  <si>
    <t>PRESTAÇÃO DE SERVIÇOS UFVs ( PEDRA DO INDAIA 3 ) RONDA PORTEIROS NF 427</t>
  </si>
  <si>
    <t>Pagamento referente a prestação de serviço de vigilância, necessário a construção das usinas. ADTIVO</t>
  </si>
  <si>
    <t>001897</t>
  </si>
  <si>
    <t>PRESTAÇÃO DE SERVIÇOS  UFVs ( PEDRA DO INDAIÁ 3 )  NF  344</t>
  </si>
  <si>
    <t xml:space="preserve"> 1° medição</t>
  </si>
  <si>
    <t>001898</t>
  </si>
  <si>
    <t>PRESTAÇÃO DE SERVIÇOS  UFVs ( PEDRA DO INDAIÁ 3 )  NF  345</t>
  </si>
  <si>
    <t>002017</t>
  </si>
  <si>
    <t>PRESTAÇÃO  DE SERVIÇOS UFVs ( PEDRA DO INDAIA 3)   NF  567  RONDA PORTEIROS</t>
  </si>
  <si>
    <t>Pagament referente ao SERVIÇO DE VIGILANCIA DESARMADA, necessário a construção da usina. ESCOPO COMERC - ADITIVO</t>
  </si>
  <si>
    <t>002020</t>
  </si>
  <si>
    <t>COMPRA DE MATERIAIS  UFVs( PEDRA DO INDAIA 3) NF 135859  DISTRIBUIDORA DE CIMENTO</t>
  </si>
  <si>
    <t> [CCC04676]</t>
  </si>
  <si>
    <t>002027</t>
  </si>
  <si>
    <t>MEDIÇÃO  GLD UFVS ( PEDRA DO INDAIÁ 3 )   NF 365</t>
  </si>
  <si>
    <t> [CCC04687]</t>
  </si>
  <si>
    <t>2° medição</t>
  </si>
  <si>
    <t>002028</t>
  </si>
  <si>
    <t>MEDIÇÃO  GLD UFVS ( PEDRA DO INDAIÁ 3 )   NF 364</t>
  </si>
  <si>
    <t>002113</t>
  </si>
  <si>
    <t>PRESTAÇÃO DE SERVIÇOS UFVs (PEDRA DO INDAIA 3 ) NF 104    STEFANIO COUTINHO  PC CANCELADO</t>
  </si>
  <si>
    <t>002056</t>
  </si>
  <si>
    <t>PRESTAÇÃO DE SERVIÇOS UFVs (PEDRA DO INDAIA 3 ) NF 1   LUCAS COSTA</t>
  </si>
  <si>
    <t>Pagamento referente a prestação de serviço de transporte, necessário à construção da UFV. ESCOPO COMERC</t>
  </si>
  <si>
    <t> [CCC04731]</t>
  </si>
  <si>
    <t>002057</t>
  </si>
  <si>
    <t>PRESTAÇÃO DE SERVIÇOS UFVs (PEDRA DO INDAIA 3 ) NF 2   LUCAS COSTA</t>
  </si>
  <si>
    <t>002065</t>
  </si>
  <si>
    <t>PRESTAÇÃO DE SERVIÇOS UFVs (PEDRA DO INDAIA 1)  NF 590  RONDA PORTEIROS</t>
  </si>
  <si>
    <t>Pagamento em faturamento direto, refrente a prestação de serviço de vigilancia , necessário à construção da UFV.</t>
  </si>
  <si>
    <t> [CCC04739]</t>
  </si>
  <si>
    <t>002119</t>
  </si>
  <si>
    <t>PRESTAÇÃO DE SERVIÇOS UFVs(PEDRA DO INDAIA 3) NF 397</t>
  </si>
  <si>
    <t xml:space="preserve">3° medição </t>
  </si>
  <si>
    <t>002120</t>
  </si>
  <si>
    <t>PRESTAÇÃO DE SERVIÇOS UFVs(PEDRA DO INDAIA 3) NF 398</t>
  </si>
  <si>
    <t>002144</t>
  </si>
  <si>
    <t xml:space="preserve">PRESTAÇÃO DE SERVIÇOS UFVs ( PEDRA DO INDAIA 3)  NF 280   IRACI CARDOSO </t>
  </si>
  <si>
    <t> [CCC04793]</t>
  </si>
  <si>
    <t>Pedra do Indaiá 3_Obras Drenagem</t>
  </si>
  <si>
    <t>002147</t>
  </si>
  <si>
    <t>COMPRA DE MATERIAIS UFVs (PEDRA DO INDAIA 3)  NF 629  SIFER</t>
  </si>
  <si>
    <t>002149</t>
  </si>
  <si>
    <t xml:space="preserve">COMPRA DE MATERIAIS UFVs (PEDRA DO INDAIA 3)  NF 6  STEFANIO COUTINHO  </t>
  </si>
  <si>
    <t>002171</t>
  </si>
  <si>
    <t>COMPRA DE MATERIAIS UFVs  (PEDRA DO INADAIA 3) NF 17  STEFANIO COUTINHO</t>
  </si>
  <si>
    <t>002184</t>
  </si>
  <si>
    <t>PRESTAÇÃO DE SERVIÇOS UFVs (PEDRA DO INDAIA 3)  NF 414</t>
  </si>
  <si>
    <t>Pagamento de 4° medição,  referente a prestação de serviços e mão de obra,   necessários a construção da UFVs em contrato EPC.  65%</t>
  </si>
  <si>
    <t> [CCC04837]</t>
  </si>
  <si>
    <t>4° medição</t>
  </si>
  <si>
    <t>002185</t>
  </si>
  <si>
    <t>PRESTAÇÃO DE SERVIÇOS UFVs (PEDRA DO INDAIA 3)  NF 415</t>
  </si>
  <si>
    <t>Pagamento de 4° medição,  referente a elaboração de planos,   necessários a construção da UFVs em contrato EPC.  35%</t>
  </si>
  <si>
    <t>SCOMP-000014</t>
  </si>
  <si>
    <t>Reatores de aterramento ADELCO (Pedra do Indaiá 5)</t>
  </si>
  <si>
    <t>JX AMBIENTAL - Taxa de Analise (Pedra do Indaiá 5)</t>
  </si>
  <si>
    <t>[CCC02946-01]</t>
  </si>
  <si>
    <t>Pedra do Indaiá 5 _Outros</t>
  </si>
  <si>
    <t>JX AMBIENTAL - Taxa de Lenha (Pedra do Indaiá 5)</t>
  </si>
  <si>
    <t>[CCC02946-02]</t>
  </si>
  <si>
    <t>JX AMBIENTAL - Taxa de Madeira (Pedra do Indaiá 5)</t>
  </si>
  <si>
    <t>[CCC02946-03]</t>
  </si>
  <si>
    <t>[CCC02950-01]</t>
  </si>
  <si>
    <t>[CCC02950-02]</t>
  </si>
  <si>
    <t>[CCC02950-03]</t>
  </si>
  <si>
    <t>Desenvolvimento de projetos Executivos - 20% iniciais (Pedra do indaiá 5)</t>
  </si>
  <si>
    <t>[CCC02997-03]</t>
  </si>
  <si>
    <t>Pedra do Indaiá 5_Engenharia Executiva</t>
  </si>
  <si>
    <t>A611-ESTRELA DO NORTE SPE II  S.A</t>
  </si>
  <si>
    <t>JX AMBIENTAL - Taxa de Reposição Florestal (Pedra do Indaiá 5)</t>
  </si>
  <si>
    <t>[CCC03191]</t>
  </si>
  <si>
    <t>000280</t>
  </si>
  <si>
    <t>SUPERVISORIO - Ciclo 2 - Gateways e remota (Pedra do Indaiá 5)</t>
  </si>
  <si>
    <t>[CCC03235-15]</t>
  </si>
  <si>
    <t>Pedra do Indaiá 5 _SGD</t>
  </si>
  <si>
    <t>SUPERVISORIO - Ciclo 2 - Baterias, desktops, switch e acessórios (Pedra do Indaiá 5)</t>
  </si>
  <si>
    <t>[CCC03235-34]</t>
  </si>
  <si>
    <t>Consultoria em servidão (Pedra do Indaiá 5) GEOVANY</t>
  </si>
  <si>
    <t>[CCC03333-02]</t>
  </si>
  <si>
    <t>Projeto de cabine primária  - PROJETTI - 100% (Pedra do Indaiá 5)</t>
  </si>
  <si>
    <t>[CCC03373-05]</t>
  </si>
  <si>
    <t>Pedra do Indaiá 5_Projeto/Coordenograma</t>
  </si>
  <si>
    <t>000531</t>
  </si>
  <si>
    <t>COMPRA MATERIAIS PARA UFVs (Pedra do Indaiá 5)  NF  15</t>
  </si>
  <si>
    <t>[CCC03504]</t>
  </si>
  <si>
    <t>Pedra do Indaiá 5_EPC_FD</t>
  </si>
  <si>
    <t>000524</t>
  </si>
  <si>
    <t xml:space="preserve">Estação solarimétrica – Hukseflux   Pedra do indaiá 5
</t>
  </si>
  <si>
    <t>Pedra do Indaiá 5 _Estação solarimétrica</t>
  </si>
  <si>
    <t>000655</t>
  </si>
  <si>
    <t>Serviços de  levantamento topográfico  (Pedra do Indaiá 5)  NF   275  ROSSETI</t>
  </si>
  <si>
    <t>[CCC03698]</t>
  </si>
  <si>
    <t>Trata-se de um faturamento direto de Topografia</t>
  </si>
  <si>
    <t>Pedra do Indaiá 5_EPC_MD</t>
  </si>
  <si>
    <t>000735</t>
  </si>
  <si>
    <t>Construção e Montagem ROSSETI - Adiantamento contratual (Pedra do indaiá 5)</t>
  </si>
  <si>
    <t>001208</t>
  </si>
  <si>
    <t>COMPRA MATERIAIS PARA UFVs  ( PEDRA DO INDAIA 5)  NF  4444</t>
  </si>
  <si>
    <t>001211</t>
  </si>
  <si>
    <t>COMPRA MATERIAIS PARA UFVs  ( PEDRA DO INDAIA 5)  NF  1618</t>
  </si>
  <si>
    <t>000746</t>
  </si>
  <si>
    <t>COMPRA MATERIAIS PARA UFVs ( PEDRA DO INDAIA 5)   NF 65799</t>
  </si>
  <si>
    <t>[CCC03759]</t>
  </si>
  <si>
    <t>Estação solarimétrica – Hukseflux   UFVs (PEDRA DO INDAIA 5) VINCULO PEDIDO 000524 A603  NF 4796</t>
  </si>
  <si>
    <t>A622 -ESTRELA DO NORTE SPE - UFV PEDRA DO INDAIA 5</t>
  </si>
  <si>
    <t xml:space="preserve">COMPRA MATERIAIS PARA UFVs  ( PEDRA DO INDAIA 5  )  NF  72950  LTB  RDA INTERNO  </t>
  </si>
  <si>
    <t>Pedra do Indaiá 5_RDA - Rede de Distribuição Aerea</t>
  </si>
  <si>
    <t>COMPRA DE MATERIAIS  UFVs   ( PEDRA DO INDIAIA 5)  NF 3</t>
  </si>
  <si>
    <t>001237</t>
  </si>
  <si>
    <t>COMPRA MATERIAIS PARA UFVsS (  PEDRA DO INDAIA 5   )    NF  1399</t>
  </si>
  <si>
    <t>001348</t>
  </si>
  <si>
    <t>PRESTAÇÃ DE SERVIÇOS UFVs   ( PEDRA DO INDAIA 5)  NF 291</t>
  </si>
  <si>
    <t>001356</t>
  </si>
  <si>
    <t>COMPRA DE MATERIAIS  UFVs   ( PEDRA DO INDAIA 5)  NF 198</t>
  </si>
  <si>
    <t>001371</t>
  </si>
  <si>
    <t>COMPRA DE MATERIAIS  UFVs   ( PEDRA DO INDAIA 5)  NF  168</t>
  </si>
  <si>
    <t>´001389</t>
  </si>
  <si>
    <t>COMPRA DE MATERIAIS  UFVs   ( PEDRA DO INDAIA 5)  NF 24075</t>
  </si>
  <si>
    <t>001329</t>
  </si>
  <si>
    <t>Desenvolvimento de projetos Executivos  - ENERSOLAR -  20% ANALISADO  ( PEDRA DO INDAIA 5 ) NF  186</t>
  </si>
  <si>
    <t>001330</t>
  </si>
  <si>
    <t>Desenvolvimento de projetos Executivos  - ENERSOLAR -  20% APROVADO  ( PEDRA DO INDAIA 5 ) NF   187</t>
  </si>
  <si>
    <t>001063</t>
  </si>
  <si>
    <t>COMPRA MATERIAIS PARA UFVs  ( PEDRA DO INDAIA 5)  NF  4092    CAMPO ALEGRE  RDA INTERNA</t>
  </si>
  <si>
    <t>COMPRA MATERIAIS PARA UFVs  (  PEDRA DO INDAIA 5)  NF  26116   EXPONECIAL RDA INTERNO  PEDRO</t>
  </si>
  <si>
    <t>´001447</t>
  </si>
  <si>
    <t>COMPRA DE MATERIAIS UFVS ( PEDRA DO INDAIA 5  NF  2849</t>
  </si>
  <si>
    <t>PRESTAÇÃO DE SERVIÇOS MEDIÇÃO 1 UFVS ( PEDRA DO INDAIA 5)    NF   83</t>
  </si>
  <si>
    <t> [CCC04236]</t>
  </si>
  <si>
    <t>Nota Fiscal Cancelada</t>
  </si>
  <si>
    <t xml:space="preserve">PRESTAÇÃO DE SERVIÇOS  MEDIÇÃO ( PEDRA DO INDAIA 5)   NF 58   ANTARES CARVALHO </t>
  </si>
  <si>
    <t xml:space="preserve">Pagamento referente a medição de serviços de 85 % de supressão vegetal e terraplanagem  necessários a construção da UFVs. </t>
  </si>
  <si>
    <t> [CCC04244]</t>
  </si>
  <si>
    <t>Pedra do Indaiá 5_Obras Terraplanagem_1</t>
  </si>
  <si>
    <t>COMPRA DE MATERIAIS UFVS (  PEDRA DO INDAIA 5  ) EXPONENCIAL RDA INTERNO NF  26497</t>
  </si>
  <si>
    <t>PRESTAÇÃO DE SERVIÇOS MEDIÇÃO 1 UFVS ( PEDRA DO INDAIA 5)    NF   84</t>
  </si>
  <si>
    <t>PRESTAÇÃO DE SERVIÇOS UFVs ( PEDRA DO INDAIA 5 ) NF   306   V.DE JESUS LOPES</t>
  </si>
  <si>
    <t>COMPRA DE MATERIAIS UFVS ( PEDRA DO INDAIA 5 ) NF 15</t>
  </si>
  <si>
    <t>Compra de REFEIÇÃO em faturamento direto,  em contrato EPC .</t>
  </si>
  <si>
    <t> [CCC04317]</t>
  </si>
  <si>
    <t>001638</t>
  </si>
  <si>
    <t>COMPRA DE MATERIAIS UFVs ( PEDRA DO INDAIA 5)  NF 435006 LOJA ELETRICA</t>
  </si>
  <si>
    <t> [CCC04350]</t>
  </si>
  <si>
    <t>001621</t>
  </si>
  <si>
    <t>PRESTAÇÃO DE SERVIÇOS  - HALLITE   UFVs (PEDRA DO INDAIA 5)    NF  3</t>
  </si>
  <si>
    <t>Pagamento medição, referente  Projeto de Fundação , necessários a construção das UFVs .</t>
  </si>
  <si>
    <t>001798</t>
  </si>
  <si>
    <t>Construção e Montagem GLD - Medição 1 - Adiantamento 15%   UFVs  ( PEDRA DO INDAIA 5)   NF 333</t>
  </si>
  <si>
    <t>Pedra do Indaiá 5_EPC_2_MD</t>
  </si>
  <si>
    <t>001824</t>
  </si>
  <si>
    <t xml:space="preserve">DAE - Dispença de Licenciamento ambiental UFVs(  PEDRA DO INDAIA  5)   NF 986   JULLIA MARIA </t>
  </si>
  <si>
    <t>002018</t>
  </si>
  <si>
    <t>PRESTAÇÃO DE SERVIÇOS  UFVs ( PEDRA DO INDAIA 5)  NF 9  ANTARES CARVALHO</t>
  </si>
  <si>
    <t>Pagamento  medição final referente AO SERVIÇOS DE SUPRESSÃO E LIMPEZA,  necessários a construção da UFVs . ESCOPO COMERC</t>
  </si>
  <si>
    <t> [CCC04671]</t>
  </si>
  <si>
    <t>ANTARES</t>
  </si>
  <si>
    <t>001118</t>
  </si>
  <si>
    <t>Atividades para liberação de execução de POT nas UFVs (PAINS 1)  NF  436</t>
  </si>
  <si>
    <t>Pains 1 _Outros</t>
  </si>
  <si>
    <t>SCOMP-000015</t>
  </si>
  <si>
    <t>Reatores de aterramento ADELCO (Pains 1)</t>
  </si>
  <si>
    <t>000004</t>
  </si>
  <si>
    <t>Medição 0 - Adiantamento (Pains 1)</t>
  </si>
  <si>
    <t>[CCC02952-01]</t>
  </si>
  <si>
    <t>Pains 1 - CAPEX - Serviço MT - CCAP-C2-000062</t>
  </si>
  <si>
    <t>Pains 1 _Obras MT_MD</t>
  </si>
  <si>
    <t>000010</t>
  </si>
  <si>
    <t>JX AMBIENTAL - Procedimento Administrativo - DAIA de implantação de rede rural - 01de03 - (Pains 1)</t>
  </si>
  <si>
    <t>[CCC03027-01]</t>
  </si>
  <si>
    <t>JX AMBIENTAL - PTRF - UFV - 02de03 (Pains 1)</t>
  </si>
  <si>
    <t>[CCC03029-01]</t>
  </si>
  <si>
    <t>JX AMBIENTAL - Taxa de Certidões (Pains 1)</t>
  </si>
  <si>
    <t>[CCC03118-01]</t>
  </si>
  <si>
    <t>JX AMBIENTAL - Taxa de Analise (Pains 1)</t>
  </si>
  <si>
    <t>[CCC03118-02]</t>
  </si>
  <si>
    <t>JX AMBIENTAL - Taxa Florestal - Lenha (Pains 1)</t>
  </si>
  <si>
    <t>[CCC03118-03]</t>
  </si>
  <si>
    <t>JX AMBIENTAL - Taxa Florestal - Madeira (Pains 1)</t>
  </si>
  <si>
    <t>[CCC03118-04]</t>
  </si>
  <si>
    <t>Projetos de fundações e drenagem - HALLITE (Pains 1) Analise terraplanagem</t>
  </si>
  <si>
    <t>[CCC03050-02]</t>
  </si>
  <si>
    <t>Archtech - Testes de PullOuT_Biotec - Adiantamento (Pains 1)</t>
  </si>
  <si>
    <t>[CCC03145-34]</t>
  </si>
  <si>
    <t>Serviço de SPT - NOVO TEMPO (Pains 1) - Campanha 3</t>
  </si>
  <si>
    <t>[CCC03077-06]</t>
  </si>
  <si>
    <t>000172</t>
  </si>
  <si>
    <t>JX AMBIENTAL - Procedimento Administrativo - DAIA de implantação de UFV - 03de03 - (Pains 1)</t>
  </si>
  <si>
    <t>[CCC03232-01]</t>
  </si>
  <si>
    <t>Archtech - Testes de PullOuT_Biotec - Finalização (Pains 1)</t>
  </si>
  <si>
    <t>[CCC03265-34]</t>
  </si>
  <si>
    <t>SUPERVISORIO - Ciclo 2 - Gateways e remota (Pains 1) NF 1808</t>
  </si>
  <si>
    <t>[CCC03235-10]</t>
  </si>
  <si>
    <t>Pains 1 _SGD</t>
  </si>
  <si>
    <t>SUPERVISORIO - Ciclo 2 - Baterias, desktops, switch e acessórios (Pains 1) NF 1827</t>
  </si>
  <si>
    <t>[CCC03235-29]</t>
  </si>
  <si>
    <t>Consultoria em servidão - 02de02 (Pains 1) GEOVANY</t>
  </si>
  <si>
    <t>[CCC02860-01]</t>
  </si>
  <si>
    <t>000348</t>
  </si>
  <si>
    <t>Eng. Executiva GLD - Entrega 01 - P01_05 (Pains 1)</t>
  </si>
  <si>
    <t>[CCC03088-29]</t>
  </si>
  <si>
    <t>Pains 1 _Engenharia Executiva - Basica</t>
  </si>
  <si>
    <t>Desenvolvimento de projetos Executivos  - ENERSOLAR -  20% iniciais - 01/05 (Pains 1)   NF 77</t>
  </si>
  <si>
    <t>[CCC03326-21]</t>
  </si>
  <si>
    <t>Pains 1_Engenharia Executiva - Detalhada</t>
  </si>
  <si>
    <t>000644</t>
  </si>
  <si>
    <t>COMPRA MATERIAIS PARA UFVs (PAINS 1 )   NF  26</t>
  </si>
  <si>
    <t>[CCC03643]</t>
  </si>
  <si>
    <t>Pains 1_EPC_FD</t>
  </si>
  <si>
    <t>000684</t>
  </si>
  <si>
    <t>COMPRA MATERIAIS PARA UFVs ( PAINS 1 )   NF  37</t>
  </si>
  <si>
    <t>000685</t>
  </si>
  <si>
    <t>COMPRA MATERIAIS PARA UFVs ( PAINS 2 )   NF  38</t>
  </si>
  <si>
    <t>[CCC03644]</t>
  </si>
  <si>
    <t>000686</t>
  </si>
  <si>
    <t>COMPRA MATERIAIS PARA UFVs ( PAINS 3 )   NF  39</t>
  </si>
  <si>
    <t>[CCC03645]</t>
  </si>
  <si>
    <t>000738</t>
  </si>
  <si>
    <t>Construção e Montagem ROSSETI - Adiantamento contratual (PAINS 1 )</t>
  </si>
  <si>
    <t>[CCC03757]</t>
  </si>
  <si>
    <t>Pains 1_EPC_MD</t>
  </si>
  <si>
    <t>000815</t>
  </si>
  <si>
    <t>Desenvolvimento de   projetos  GLD  (PAINS 1)   NF 221</t>
  </si>
  <si>
    <t>[CCC03838]</t>
  </si>
  <si>
    <t>Religadores (PAINS 1 )   TAVRIDA    NF    576</t>
  </si>
  <si>
    <t>[CCC03908]</t>
  </si>
  <si>
    <t>Transferido para Brasilandia 3 e 4 - CICLO 3</t>
  </si>
  <si>
    <t>Pains 1 _Obras MT_FD</t>
  </si>
  <si>
    <t xml:space="preserve">Desenvolvimento de projetos Executivos  - ENERSOLAR -  20%  APROVADO (PAINS 1) NF  </t>
  </si>
  <si>
    <t>001719</t>
  </si>
  <si>
    <t>Desenvolvimento de projetos Executivos  - ENERSOLAR -  20%  APROVADO (PAINS 1) NF  236</t>
  </si>
  <si>
    <t> [CCC04408]</t>
  </si>
  <si>
    <t>001987</t>
  </si>
  <si>
    <t>DAE - Dispensa  de Licenciamento ambiental UFVs( PAINS 1  )   N 4500025799258</t>
  </si>
  <si>
    <t>AE01 - CONSORCIO BURITIZEIRO DE ENERGIA</t>
  </si>
  <si>
    <t>DAE - Dispensa  de Licenciamento ambiental UFVs(PAINS 1 E 2)   N 2901266247970</t>
  </si>
  <si>
    <t>Taxa necessária à avaliação de intervenção ambiental para a UFV.  COMPLEMENTAR</t>
  </si>
  <si>
    <t> [CCC04742]</t>
  </si>
  <si>
    <t>SCOMP-000016</t>
  </si>
  <si>
    <t>Reatores de aterramento ADELCO (Pains 2)</t>
  </si>
  <si>
    <t>000005</t>
  </si>
  <si>
    <t>Medição 0 - Adiantamento (Pains 2)</t>
  </si>
  <si>
    <t>[CCC02952-02]</t>
  </si>
  <si>
    <t>Pains 2 - CAPEX - Serviço MT - CCAP-C2-000062</t>
  </si>
  <si>
    <t>Pains 2 _Obras MT_MD</t>
  </si>
  <si>
    <t>000100</t>
  </si>
  <si>
    <t>Archtech - Testes de PullOuT_Biotec - Adiantamento (Pains 2)</t>
  </si>
  <si>
    <t>[CCC03145-35]</t>
  </si>
  <si>
    <t>Pains 2 _Outros</t>
  </si>
  <si>
    <t>Serviço de SPT - NOVO TEMPO (Pains 2) - Campanha 3</t>
  </si>
  <si>
    <t>[CCC03077-07]</t>
  </si>
  <si>
    <t>000174</t>
  </si>
  <si>
    <t>JX AMBIENTAL - Procedimento Administrativo - DAIA de implantação de UFV - 03de03 - (Pains 2)</t>
  </si>
  <si>
    <t>[CCC03232-02]</t>
  </si>
  <si>
    <t>Archtech - Testes de PullOuT_Biotec - Finalização (Pains 2)</t>
  </si>
  <si>
    <t>[CCC03265-35]</t>
  </si>
  <si>
    <t>SUPERVISORIO - Ciclo 2 - Gateways e remota (Pains 2) NF 1809</t>
  </si>
  <si>
    <t>[CCC03235-11]</t>
  </si>
  <si>
    <t>Transferido Paracatu 5</t>
  </si>
  <si>
    <t>Pains 2 _SGD</t>
  </si>
  <si>
    <t>SUPERVISORIO - Ciclo 2 - Baterias, desktops, switch e acessórios (Pains 2) NF 1828</t>
  </si>
  <si>
    <t>[CCC03235-30]</t>
  </si>
  <si>
    <t>Consultoria em servidão - 02de02 (Pains 2) GEOVANY</t>
  </si>
  <si>
    <t>[CCC02860-02]</t>
  </si>
  <si>
    <t>Eng. Executiva GLD - Entrega 01 - P01_05 (Pains 2)</t>
  </si>
  <si>
    <t>[CCC03088-34]</t>
  </si>
  <si>
    <t>Pains 2_Engenharia Executiva - Detalhada</t>
  </si>
  <si>
    <t>000518</t>
  </si>
  <si>
    <t xml:space="preserve">Estação solarimétrica – Hukseflux   PAINS 2
</t>
  </si>
  <si>
    <t>Pains 2 _Estação solarimétrica</t>
  </si>
  <si>
    <t>Desenvolvimento de projetos Executivos  - ENERSOLAR -  20% iniciais - 01/05 (Pains 2)   NF 78</t>
  </si>
  <si>
    <t>[CCC03326-26]</t>
  </si>
  <si>
    <t>000645</t>
  </si>
  <si>
    <t>COMPRA MATERIAIS PARA UFVs (PAINS 2 )   NF  27</t>
  </si>
  <si>
    <t>Pains 2_EPC_FD</t>
  </si>
  <si>
    <t>000739</t>
  </si>
  <si>
    <t>Construção e Montagem ROSSETI - Adiantamento contratual (PAINS 2 )</t>
  </si>
  <si>
    <t>Pains 2_EPC_MD</t>
  </si>
  <si>
    <t>000816</t>
  </si>
  <si>
    <t>Desenvolvimento de   projetos  GLD  (PAINS 2)    NF  222</t>
  </si>
  <si>
    <t>Pains 2 _Engenharia Executiva - Basica</t>
  </si>
  <si>
    <t>001119</t>
  </si>
  <si>
    <t>Atividades para liberação de execução de POT nas UFVs (PAINS 2)  NF  437</t>
  </si>
  <si>
    <t>A619-ESTRELA DO NORTE SPE -  UFV PAINS 2</t>
  </si>
  <si>
    <t>Religadores (PAINS 2)   TAVRIDA    NF    577</t>
  </si>
  <si>
    <t>Transferido para Brasilandia 3 e 4</t>
  </si>
  <si>
    <t>Pains 2 _Obras MT_FD</t>
  </si>
  <si>
    <t>001551</t>
  </si>
  <si>
    <t>Desenvolvimento de projetos Executivos  - ENERSOLAR -  20%  EMITIDO (PAINS 2) NF  214</t>
  </si>
  <si>
    <t>001552</t>
  </si>
  <si>
    <t>Desenvolvimento de projetos Executivos  - ENERSOLAR -  20%  ANALISADO (PAINS 2) NF  215</t>
  </si>
  <si>
    <t xml:space="preserve">Desenvolvimento de projetos Executivos  - ENERSOLAR -  20%  APROVADO (PAINS 2) NF  </t>
  </si>
  <si>
    <t>001720</t>
  </si>
  <si>
    <t>Desenvolvimento de projetos Executivos  - ENERSOLAR -  20%  APROVADO (PAINS 2) NF  237</t>
  </si>
  <si>
    <t>001700</t>
  </si>
  <si>
    <t>DAE - Dispença de Licenciamento ambiental UFVs( PAINS 2 )   N 4500024798941</t>
  </si>
  <si>
    <t>001828</t>
  </si>
  <si>
    <t xml:space="preserve">DAE - Dispença de Licenciamento ambiental UFVs( PAINS 2)   NF 990 JULLIA MARIA </t>
  </si>
  <si>
    <t>002082</t>
  </si>
  <si>
    <t>PRESTAÇÃO DE SERVIÇOS UFVs ( PAIS 2  ) NF 632  JX AMBIENTAL</t>
  </si>
  <si>
    <t>A617-ESTRELA DO NORTE SPE -  UFV PAINS 3</t>
  </si>
  <si>
    <t>002089</t>
  </si>
  <si>
    <t>PRESTAÇÃO DE SERVIÇOS UFVs ( PAIS 2 ) NF 659  JX AMBIENTAL</t>
  </si>
  <si>
    <t>SCOMP-000017</t>
  </si>
  <si>
    <t>Reatores de aterramento ADELCO (Pains 3)</t>
  </si>
  <si>
    <t>000006</t>
  </si>
  <si>
    <t>Medição 0 - Adiantamento (Pains 3) NF 168</t>
  </si>
  <si>
    <t>[CCC02952-03]</t>
  </si>
  <si>
    <t>Pains 3 _Obras MT_MD</t>
  </si>
  <si>
    <t>JX AMBIENTAL - Taxa de Analise (Pains 3)</t>
  </si>
  <si>
    <t>[CCC02977-01]</t>
  </si>
  <si>
    <t>Pains 3 _Outros</t>
  </si>
  <si>
    <t>JX AMBIENTAL - Taxa Florestal - Lenha (Pains 3)</t>
  </si>
  <si>
    <t>[CCC02977-02]</t>
  </si>
  <si>
    <t>JX AMBIENTAL - Taxa Florestal - Madeira (Pains 3)</t>
  </si>
  <si>
    <t>[CCC02977-03]</t>
  </si>
  <si>
    <t>JX AMBIENTAL - Taxa de Reposição - Lenha (Pains 3)</t>
  </si>
  <si>
    <t>[CCC02977-04]</t>
  </si>
  <si>
    <t>JX AMBIENTAL - Taxa de Reposição - Madeira (Pains 3)</t>
  </si>
  <si>
    <t>[CCC02977-05]</t>
  </si>
  <si>
    <t>JX AMBIENTAL - Procedimento Administrativo - DAIA de implantação de UFV - 03de03 - (Pains 3)</t>
  </si>
  <si>
    <t>[CCC03117]</t>
  </si>
  <si>
    <t>000075</t>
  </si>
  <si>
    <t>Serviço de SPT - NOVO TEMPO (Pains 3) - Campanha 3</t>
  </si>
  <si>
    <t>[CCC03077-08]</t>
  </si>
  <si>
    <t>JX AMBIENTAL - Taxa de Certidões (Pains 3)</t>
  </si>
  <si>
    <t>[CCC03273]</t>
  </si>
  <si>
    <t>000256</t>
  </si>
  <si>
    <t>Consultoria em servidão - 02de02 (Pains 3) GEOVANY</t>
  </si>
  <si>
    <t>[CCC03221-01]</t>
  </si>
  <si>
    <t>SRJ PROTEÇÃO</t>
  </si>
  <si>
    <t>000277</t>
  </si>
  <si>
    <t>SUPERVISORIO - Ciclo 2 - Gateways e remota (Pains 3)</t>
  </si>
  <si>
    <t>[CCC03235-12]</t>
  </si>
  <si>
    <t>Pains 3 _SGD</t>
  </si>
  <si>
    <t>SUPERVISORIO - Ciclo 2 - Baterias, desktops, switch e acessórios (Pains 3)</t>
  </si>
  <si>
    <t>[CCC03235-31]</t>
  </si>
  <si>
    <t>Eng. Executiva GLD - Entrega 01 - P01_05 (Pains 3)</t>
  </si>
  <si>
    <t>[CCC03088-39]</t>
  </si>
  <si>
    <t>Pains 3 _Engenharia Executiva - Basica</t>
  </si>
  <si>
    <t>000465</t>
  </si>
  <si>
    <t>SERVIÇOS PRESTADOS DE MÃO DE OBRA ESPECIALIZADA NA CONSTRUÇÃO DE RDR  -  ENGELUZ NF 252  (Pains 3)</t>
  </si>
  <si>
    <t>Serviço contratado de obras MT externas à UFV.</t>
  </si>
  <si>
    <t>[CCC03493]</t>
  </si>
  <si>
    <t xml:space="preserve">COMPRA MATERIAIS PARA UFVs ( PAINS 3 )   NF   12661  CAMPO ALEGRE </t>
  </si>
  <si>
    <t>Compra feita em Faturamento Direto, em contrato de obras da UFV.</t>
  </si>
  <si>
    <t>[CCC03893]</t>
  </si>
  <si>
    <t>Pains 3 _Obras MT_FD</t>
  </si>
  <si>
    <t>Religadores (PAINS 3 )   TAVRIDA    NF     582</t>
  </si>
  <si>
    <t>TAVRIDA RELIGADOR  -Utilizado Duas Unidades a terceira a disposicão Mori(A ser Utilizado em Brasildandia)</t>
  </si>
  <si>
    <t>000519</t>
  </si>
  <si>
    <t xml:space="preserve">Estação solarimétrica – Hukseflux   Pains 3
</t>
  </si>
  <si>
    <t>Pains 3 _Estação solarimétrica</t>
  </si>
  <si>
    <t>Desenvolvimento de projetos Executivos  - ENERSOLAR -  20% iniciais - 01/05 (Pains 3)   NF 79</t>
  </si>
  <si>
    <t>[CCC03326-31]</t>
  </si>
  <si>
    <t>COMPRA MATERIAIS PARA UFVs (PAINS 3)   NF 3750</t>
  </si>
  <si>
    <t>[CCC03649]</t>
  </si>
  <si>
    <t>000646</t>
  </si>
  <si>
    <t>COMPRA MATERIAIS PARA UFVs (PAINS 3 )   NF  28</t>
  </si>
  <si>
    <t>Pains 3_EPC_FD</t>
  </si>
  <si>
    <t>000668</t>
  </si>
  <si>
    <t>COMPRA DE MATERIAIS PARA AS UFVs ( PAINS 3)  NF 10664 INDENIZAÇÃO ELETRICA VULCANO</t>
  </si>
  <si>
    <t>[CCC03707]</t>
  </si>
  <si>
    <t>ELETRICA VULCANO</t>
  </si>
  <si>
    <t>000740</t>
  </si>
  <si>
    <t>Construção e Montagem ROSSETI - Adiantamento contratual (PAINS 3 )</t>
  </si>
  <si>
    <t>Pains 3_EPC_MD</t>
  </si>
  <si>
    <t>000778</t>
  </si>
  <si>
    <t>Taxa de reposição florestal  UFVs (PAINS 3)  NF  846</t>
  </si>
  <si>
    <t>[CCC03787]</t>
  </si>
  <si>
    <t>000814</t>
  </si>
  <si>
    <t>Desenvolvimento de   projetos  GLD  (PAINS 3)   NF 218</t>
  </si>
  <si>
    <t>001829</t>
  </si>
  <si>
    <t xml:space="preserve">DAE - Dispença de Licenciamento ambiental UFVs( PAINS 3)   NF 991 JULLIA MARIA </t>
  </si>
  <si>
    <t>001328</t>
  </si>
  <si>
    <t>Desenvolvimento de projetos Executivos  - ENERSOLAR -  20%  EMITIDO  (  PAINS 3 ) NF    189</t>
  </si>
  <si>
    <t>Pains 3_Engenharia Executiva - Detalhada</t>
  </si>
  <si>
    <t>Desenvolvimento de projetos Executivos  - ENERSOLAR -  20%  DE 50 % EMITIDO  ( PAINS  3 )   NF  162</t>
  </si>
  <si>
    <t>COMPRA MATERIAIS PARA UFVs  ( PAINS 3)  NF  303</t>
  </si>
  <si>
    <t>3 Faturamento Direto</t>
  </si>
  <si>
    <t>Desenvolvimento de projetos Executivos  - ENERSOLAR -  20% ANALISADO -  (PAINS 3)  NF   179</t>
  </si>
  <si>
    <t>Desenvolvimento de projetos Executivos  - ENERSOLAR -   Layout aprovado-  (PAINS 3)  NF   180</t>
  </si>
  <si>
    <t xml:space="preserve">COMPRA MATERIAIS PARA UFVs (PAINS 3)    NF 25314  </t>
  </si>
  <si>
    <t>[CCC03597]</t>
  </si>
  <si>
    <t>000571</t>
  </si>
  <si>
    <t>SERVIÇOS PRESTADOS DE MÃO DE OBRA ESPECIALIZADA NA CONSTRUÇÃO UFVs - (Pains )  NF2302</t>
  </si>
  <si>
    <t xml:space="preserve">SERVIÇOS PRESTADOS DE MÃO DE OBRA ESPECIALIZADA NA CONSTRUÇÃO UFVs </t>
  </si>
  <si>
    <t>[CCC03604]</t>
  </si>
  <si>
    <t>Pains 3_Obras AT_MD</t>
  </si>
  <si>
    <t>001684</t>
  </si>
  <si>
    <t xml:space="preserve">COMPRA DE MATERIAIS  UFVs ( PAINS 3)  NF  26491 EXPONENCIAL </t>
  </si>
  <si>
    <t> [CCC04386]</t>
  </si>
  <si>
    <t>001701</t>
  </si>
  <si>
    <t>DAE - Dispença de Licenciamento ambiental UFVs( PAINS 3   )   N 4500024799441</t>
  </si>
  <si>
    <t>001718</t>
  </si>
  <si>
    <t>Desenvolvimento de projetos Executivos  - ENERSOLAR -  20%  APROVADO (PAINS 3) NF  234</t>
  </si>
  <si>
    <t>000736</t>
  </si>
  <si>
    <t>Construção e Montagem ROSSETI - Adiantamento contratual (São Sebastião 6 )</t>
  </si>
  <si>
    <t>[CCC03756]</t>
  </si>
  <si>
    <t>São Sebastião 6_EPC_FD</t>
  </si>
  <si>
    <t>DAE - Dispença de Licenciamento ambiental UFV   ( SÃO
SEBASTIÃO DO OESTE 06)   NF 580</t>
  </si>
  <si>
    <t>[CCC04071]</t>
  </si>
  <si>
    <t>São Sebastião 6 _Outros</t>
  </si>
  <si>
    <t>Atividades para liberação de execução de POT nas UFVs ( SÃ SEBASTIÃO  6)  NF  438</t>
  </si>
  <si>
    <t>001331</t>
  </si>
  <si>
    <t>Desenvolvimento de projetos Executivos  - ENERSOLAR -  20% INTERMEDIARIO  (  SÃO SEBASTIÃO 6 ) NF  190</t>
  </si>
  <si>
    <t>São Sebastião 6_Engenharia Executiva - Detalhada</t>
  </si>
  <si>
    <t>001332</t>
  </si>
  <si>
    <t>Desenvolvimento de projetos Executivos  - ENERSOLAR -  ADITIVO  (  SÃO SEBASTIÃO 6 ) NF  191</t>
  </si>
  <si>
    <t>001342</t>
  </si>
  <si>
    <t>Desenvolvimento de projetos Executivos  - ENERSOLAR -  20%  ANALISADO (  SÃO SEBASTIÃO 6 ) NF  193</t>
  </si>
  <si>
    <t xml:space="preserve">Desenvolvimento de projetos Executivos  - ENERSOLAR -  20%  APROVADO (SÃO SEBASTIÃO 6) NF  </t>
  </si>
  <si>
    <t>001830</t>
  </si>
  <si>
    <t xml:space="preserve">DAE - Dispença de Licenciamento ambiental UFVs( SÃO SEBASTIÃO DO OESTE 6)   NF 992 JULLIA MARIA </t>
  </si>
  <si>
    <t>PRESTAÇÃO DE SERVIÇOS UFVs ( SÃO SEBASTIÃO DO OESTE 6) NF  6 ORCI   CADASTRO</t>
  </si>
  <si>
    <t>Pagamento de medição 1, referente ao serviço de supressão e terraplenagem, necessário a construção da usina, em contrato EPC.</t>
  </si>
  <si>
    <t> [CCC04683]</t>
  </si>
  <si>
    <t>São Sebastião 6_Obras Terraplanagem</t>
  </si>
  <si>
    <t>000679</t>
  </si>
  <si>
    <t>COMPRA MATERIAIS PARA UFVs ( PEDRA DO INDAIA 5)   NF  33</t>
  </si>
  <si>
    <t>[CCC03652]</t>
  </si>
  <si>
    <t>PRESTAÇÃO DE SERVIÇOS UFVs ( SÃO SEBASTIÃO DO OESTE 6) NF  2 COSTER  CADASTRO</t>
  </si>
  <si>
    <t>Pagamento em faturamento direto, referente a locação de equipamentos, necessário a construção da usinas em contrato EPC.</t>
  </si>
  <si>
    <t>002106</t>
  </si>
  <si>
    <t xml:space="preserve">PRESTAÇÃO DE SERVIÇOS UFVs ( SÃO SEBASTIÃO DO OESTE 6) NF 10 ORCI   </t>
  </si>
  <si>
    <t>Pagamento de medição 2, referente ao serviço de supressão e terraplenagem, necessário a construção da usina, em contrato EPC.</t>
  </si>
  <si>
    <t> [CCC04763]</t>
  </si>
  <si>
    <t>002107</t>
  </si>
  <si>
    <t xml:space="preserve">PRESTAÇÃO DE SERVIÇOS UFVs ( SÃO SEBASTIÃO DO OESTE 6) NF 3 COSTER  </t>
  </si>
  <si>
    <t>PRESTAÇÃO DE SERVIÇOS UFVs ( SÃO SEBASTIÃO DO OESTE 6) NF  13 LOC CASTRO</t>
  </si>
  <si>
    <t>Histórico SOLATIO -Projetos - Linha de Distribuição - Geomattos LTDA ME (Muzambinho 1)NF 4 MT</t>
  </si>
  <si>
    <t>Reatores de aterramento ADELCO (Muzambinho 1)</t>
  </si>
  <si>
    <t xml:space="preserve">ADELCO </t>
  </si>
  <si>
    <t>Projetos de fundações e drenagem - HALLITE (Muzambinho 1) Analise terraplanagem</t>
  </si>
  <si>
    <t>[CCC03050-04]</t>
  </si>
  <si>
    <t>Muzambinho 1 _Outros</t>
  </si>
  <si>
    <t>Medição 01 (Muzambinho 1)
NF2162 - MBA</t>
  </si>
  <si>
    <t>[CCC03203-03]</t>
  </si>
  <si>
    <t>Muzambinho 1 _Obras AT_MD</t>
  </si>
  <si>
    <t>Histórico SOLATIO -Material Elétrico - PRYSMIAN CABOS (Muzambinho 1)
MBA MT NF 3731</t>
  </si>
  <si>
    <t>Apartir do Contrato MBA -  Distrato MBA</t>
  </si>
  <si>
    <t>Muzambinho 1 _Obras MT_MD</t>
  </si>
  <si>
    <t>000060</t>
  </si>
  <si>
    <t>Archtech - Testes de PullOuT_Biotec - Adiantamento (Muzambinho 1)</t>
  </si>
  <si>
    <t>[CCC03145-17]</t>
  </si>
  <si>
    <t>000678</t>
  </si>
  <si>
    <t xml:space="preserve">COMPRA MATERIAIS PARA UFVs ( PEDRA DO INDAIA 3)   NF  32  </t>
  </si>
  <si>
    <t>[CCC03651]</t>
  </si>
  <si>
    <t>Archtech - Testes de PullOuT_Biotec - Finalização (Muzambinho 1)</t>
  </si>
  <si>
    <t>[CCC03265-17]</t>
  </si>
  <si>
    <t>Serviço de SPT - BIOTEC (Muzambinho 1) - 40% iniciais - Campanha 6</t>
  </si>
  <si>
    <t>[CCC03281-11]</t>
  </si>
  <si>
    <t>SUPERVISORIO - Ciclo 2 - Gateways e remota (Muzambinho 1)</t>
  </si>
  <si>
    <t>[CCC03269-12]</t>
  </si>
  <si>
    <t>Muzambinho 1 _SGD</t>
  </si>
  <si>
    <t>SUPERVISORIO - Ciclo 2 - Baterias, desktops, switch e acessórios (Muzambinho 1)</t>
  </si>
  <si>
    <t>[CCC03269-20]</t>
  </si>
  <si>
    <t>Serviço de SPT - BIOTEC (Muzambinho 1) - 60% finais - Campanha 6</t>
  </si>
  <si>
    <t>[CCC03063-06]</t>
  </si>
  <si>
    <t>Eng. Executiva GLD - Entrega 01 - P01_05 (Muzambinho 1)</t>
  </si>
  <si>
    <t>[CCC03205-09]</t>
  </si>
  <si>
    <t>Muzambinho 1 _Engenharia Executiva - Basica</t>
  </si>
  <si>
    <t>000221</t>
  </si>
  <si>
    <t>Eng. Executiva GLD - Entrega 02 - P01_03 (Muzambinho 1)</t>
  </si>
  <si>
    <t>[CCC03205-14]</t>
  </si>
  <si>
    <t>Construção e Montagem GLD - Medição 1 - Adiantamento (Muzambinho 1)  NF 210</t>
  </si>
  <si>
    <t>Pagamento de adiantamento contratual de 9,75% do total de contrato FullEPC de construção da UFV</t>
  </si>
  <si>
    <t>[CCC03387-07]</t>
  </si>
  <si>
    <t>Muzambinho 1_EPC_MD</t>
  </si>
  <si>
    <t xml:space="preserve">Estação solarimétrica – Hukseflux    Muzambinho
</t>
  </si>
  <si>
    <t>[CCC03548]</t>
  </si>
  <si>
    <t>Muzambinho 1 _Estação solarimétrica</t>
  </si>
  <si>
    <t>00493</t>
  </si>
  <si>
    <t>Desenvolvimento de   projetos  GLD  (  MUZAMBINHO )    NF  233</t>
  </si>
  <si>
    <t>[CCC03848]</t>
  </si>
  <si>
    <t>Atividades para liberação de execução de POT nas UFVs (  MUZAMBINHO 1 )  NF  444</t>
  </si>
  <si>
    <t>PRESTAÇÃO DE SERVIÇOS UFVs( MUZAMBINHO)  NF  2561</t>
  </si>
  <si>
    <t>Apartir do Contrato MBA - Descontrar no Distrato MBA(Valor Pago desta R$ 952.000.)Apenas para acertar Distrato.</t>
  </si>
  <si>
    <t>COMPRA DE MATERIAIS UFVs (MUZAMBINHO ) NF   TAVRIDA   ADIANTAMENTO</t>
  </si>
  <si>
    <t xml:space="preserve">Pagamento referente a compra de religador trifásico, necessários a construção da usina. 50 % INICIAIS </t>
  </si>
  <si>
    <t> [CCC04699]</t>
  </si>
  <si>
    <t>Cobrado no Distrato MBA na Aba Diamantina 1</t>
  </si>
  <si>
    <t>Muzambinho 1 _Obras MT_FD</t>
  </si>
  <si>
    <t>COMPRA DE MATERIAIS UFvs ( MUZAMBINHO) NF 451352  LOJA ELETRICA</t>
  </si>
  <si>
    <t> [CCC04762]</t>
  </si>
  <si>
    <t>Apartir do Contrato Engeluz</t>
  </si>
  <si>
    <t>001495</t>
  </si>
  <si>
    <t>COMPRA DE MATERIAIS UFvs ( MUZAMBINHO ) NF 451669  LOJA ELETRICA</t>
  </si>
  <si>
    <t>Pagamento em faturamento direto referente a compra de materiais, necessário a construção da usinas em contrato MT.</t>
  </si>
  <si>
    <t> [CCC04771]</t>
  </si>
  <si>
    <t>S014</t>
  </si>
  <si>
    <t>Material Elétrico - PRYSMIAN CABOS (Alfenas 4)</t>
  </si>
  <si>
    <t>IMPORTAÇÃO DE REGISTROS SOLATIO</t>
  </si>
  <si>
    <t>[CCC02800]</t>
  </si>
  <si>
    <t>Alfenas 4 - CAPEX - Serviço MT - CCAP-C2_000021</t>
  </si>
  <si>
    <t>Alfenas 4 _Obras MT_FD</t>
  </si>
  <si>
    <t>S026</t>
  </si>
  <si>
    <t>Postes - CAMPO ALEGRE (Alfenas 4)</t>
  </si>
  <si>
    <r>
      <rPr>
        <strike/>
        <sz val="9"/>
        <color rgb="FFFF0000"/>
        <rFont val="Arial"/>
      </rPr>
      <t xml:space="preserve">Alfenas 4 - CAPEX - Serviço MT - CCAP-C2_000021
</t>
    </r>
    <r>
      <rPr>
        <sz val="9"/>
        <color rgb="FFFF0000"/>
        <rFont val="Arial"/>
      </rPr>
      <t>Cancelado, não tivemos este Pagamento.</t>
    </r>
  </si>
  <si>
    <t xml:space="preserve">CAMPO ALEGRE </t>
  </si>
  <si>
    <t>S146</t>
  </si>
  <si>
    <r>
      <t xml:space="preserve">Equipamentos - ARTECHE </t>
    </r>
    <r>
      <rPr>
        <strike/>
        <sz val="9"/>
        <color theme="1"/>
        <rFont val="Arial"/>
      </rPr>
      <t>(Alfenas 4)</t>
    </r>
  </si>
  <si>
    <t>Alfenas 4 - CAPEX - Serviço AT - CCAP-C2_000021Realocar para Bambui 1.2</t>
  </si>
  <si>
    <t>Alfenas 4_Obras AT_FD</t>
  </si>
  <si>
    <t>S147</t>
  </si>
  <si>
    <t>Transporte de materiais - MARCELO DE OLIVEIRA (Alfenas 4)</t>
  </si>
  <si>
    <t>Alfenas 4 - CAPEX - Serviço AT - CCAP-C2_000021</t>
  </si>
  <si>
    <t>S148</t>
  </si>
  <si>
    <r>
      <t xml:space="preserve">Equipamentos - SIEMENS </t>
    </r>
    <r>
      <rPr>
        <strike/>
        <sz val="9"/>
        <color theme="1"/>
        <rFont val="Arial"/>
      </rPr>
      <t>(Alfenas 4)</t>
    </r>
  </si>
  <si>
    <t>Alfenas 4 - CAPEX - Serviço AT - CCAP-C2_000021
Realocar para Bambui 1.2</t>
  </si>
  <si>
    <t>000127</t>
  </si>
  <si>
    <t>Projetos de fundações e drenagem - HALLITE (Alfenas 4) Analise terraplanagem</t>
  </si>
  <si>
    <t>[CCC02565-01]</t>
  </si>
  <si>
    <t>Alfenas 4 _Outros</t>
  </si>
  <si>
    <t>Reatores de aterramento ADELCO (Alfenas 4)</t>
  </si>
  <si>
    <t>Archtech - Testes de PullOuT_Biotec - Adiantamento (Alfenas 4)</t>
  </si>
  <si>
    <t>[CCC03145-19]</t>
  </si>
  <si>
    <t>Medição 01 (Alfenas 4)</t>
  </si>
  <si>
    <t>[CCC03203-02]</t>
  </si>
  <si>
    <t>Alfenas 4_Obras AT_MD</t>
  </si>
  <si>
    <t>JX AMBIENTAL - Procedimento Administrativo - DAIA de implantação de UFV - 01de02 (Alfenas 4)</t>
  </si>
  <si>
    <t>Vistoria em campo para verificação de inexistência de vegetação a reportar.</t>
  </si>
  <si>
    <t>[CCC03232-16]</t>
  </si>
  <si>
    <t>Fornecimento de doc. técnica para DUP - Laudo - GRANI (Alfenas 4)</t>
  </si>
  <si>
    <t>[CCC03263]</t>
  </si>
  <si>
    <t>Archtech - Testes de PullOuT_Biotec - Finalização (Alfenas 4)</t>
  </si>
  <si>
    <t>[CCC03265-19]</t>
  </si>
  <si>
    <t>Serviço de SPT - BIOTEC (Alfenas 4) - 40% iniciais - Campanha 6</t>
  </si>
  <si>
    <t>[CCC03281-16]</t>
  </si>
  <si>
    <t>JX AMBIENTAL - Procedimento Administrativo - DAIA de implantação de UFV - 02de02 (Alfenas 4)</t>
  </si>
  <si>
    <t>[CCC03292-06]</t>
  </si>
  <si>
    <t>SUPERVISORIO - Ciclo 2 - Gateways e remota (Alfenas 4) NF 1771</t>
  </si>
  <si>
    <t>[CCC03207-06]</t>
  </si>
  <si>
    <t>Alfenas 4 _SGD</t>
  </si>
  <si>
    <t>SUPERVISORIO - Ciclo 2 - Gateways e remota (Alfenas 4) NF 1784</t>
  </si>
  <si>
    <t>[CCC03207-19]</t>
  </si>
  <si>
    <t>JX AMBIENTAL - PTRF - Rede - 03de03 (Alfenas 4)</t>
  </si>
  <si>
    <t>[CCC03322-02]</t>
  </si>
  <si>
    <t>Serviço de SPT - BIOTEC (Alfenas 4) - 60% finais - Campanha 6</t>
  </si>
  <si>
    <t>[CCC03063-10]</t>
  </si>
  <si>
    <t>Eng. Executiva GLD - Entrega 01 - P01_05 (Alfenas 4)</t>
  </si>
  <si>
    <t>[CCC03206-01]</t>
  </si>
  <si>
    <t>Alfenas 4_Engenharia Executiva - Detalhada</t>
  </si>
  <si>
    <t>Eng. Executiva GLD - Entrega 02 - P01_03 (Alfenas 4)</t>
  </si>
  <si>
    <t>[CCC03206-06]</t>
  </si>
  <si>
    <t>000175</t>
  </si>
  <si>
    <t>Construção e Montagem GLD - Medição 1 - Adiantamento (Alfenas 4) NF 197</t>
  </si>
  <si>
    <t>Pagamento de adiantamento contratual de 15% do total de contrato FullEPC de construção da UFV</t>
  </si>
  <si>
    <t>[CCC03339-02]</t>
  </si>
  <si>
    <t>Alfenas 4_EPC_FD</t>
  </si>
  <si>
    <t>JX AMBIENTAL - Comunicação de colheita de UFV - 02de02 - (Alfenas 4)</t>
  </si>
  <si>
    <t>[CCC03353-01]</t>
  </si>
  <si>
    <t>"Estação solarimétrica – Hukseflux  (Alfenas 4)</t>
  </si>
  <si>
    <t>[CCC03537]</t>
  </si>
  <si>
    <t>Alfenas 4 _Estação solarimétrica</t>
  </si>
  <si>
    <t>000375</t>
  </si>
  <si>
    <t>Desenvolvimento de   projetos  GLD  (  ALFENAS 4  )    NF  228</t>
  </si>
  <si>
    <t>[CCC03845]</t>
  </si>
  <si>
    <t>Alfenas 4 _Engenharia Executiva - Basica</t>
  </si>
  <si>
    <t>COMPRA MATERIAIS PARA UFVs  ( ALFENAS 4)  NF 4247  TECFIBRAS</t>
  </si>
  <si>
    <t>[CCC04069]</t>
  </si>
  <si>
    <t>Atividades para liberação de execução de POT nas UFVs ( ALFENAS 4)  NF  439</t>
  </si>
  <si>
    <t>´000653</t>
  </si>
  <si>
    <t>COMPRA MATERIAIS PARA UFVs  ( ALFENAS 4  )  SULMINAS  NF  68223</t>
  </si>
  <si>
    <t> [CCC04142]</t>
  </si>
  <si>
    <t>Fat. Direto (MBA - MT )</t>
  </si>
  <si>
    <t>COMPRA MATERIAIS PARA UFVs  (Alfenas 4 )  NF   17525  FICAPOCOS</t>
  </si>
  <si>
    <t>[CCC04111]</t>
  </si>
  <si>
    <t>´000654</t>
  </si>
  <si>
    <t>COMPRA MATERIAIS PARA UFVs  ( ALFENAS 4  )  SULMINAS  NF  68225</t>
  </si>
  <si>
    <t>´000649</t>
  </si>
  <si>
    <t>COMPRA MATERIAIS PARA UFVs  (ALFENAS 4  )   FICACOPOS NF  17558</t>
  </si>
  <si>
    <t>000707</t>
  </si>
  <si>
    <t>COMPRA MATERIAIS PARA UFVs  ( ALFENAS 4 )  SULMINAS  NF 68405</t>
  </si>
  <si>
    <t> [CCC04201]</t>
  </si>
  <si>
    <t>COMPRA MATERIAIS PARA UFVs  ( ALFENAS 4 )  SULMINAS  NF 68409</t>
  </si>
  <si>
    <t>COMPRA MATERIAIS PARA UFVs  ( ALFENAS 4)  NF 67955  SULMINAS</t>
  </si>
  <si>
    <t>[CCC04064]</t>
  </si>
  <si>
    <t xml:space="preserve">COMPRA DE MATEIRIAS UFVs ( SANTO ANTONIO DO AMPARO)  NF   410814  </t>
  </si>
  <si>
    <t>[CCC03761]</t>
  </si>
  <si>
    <t xml:space="preserve">COMPRA DE MATEIRIAS UFVs ( SANTO ANTONIO DO AMPARO)  NF   410813   </t>
  </si>
  <si>
    <t>000800</t>
  </si>
  <si>
    <t>COMPRA DE MATERIAIS UFVs (ALFENAS 4)  NF 68870   SULMINAS</t>
  </si>
  <si>
    <t> [CCC04371]</t>
  </si>
  <si>
    <t>COMPRA DE MATERIAIS UFVs (ALFENAS 4)  NF 2655 TAPELETRO  cadastro</t>
  </si>
  <si>
    <t>Pagamento em faturamento direto referente a compra de materias, para construção das usinas em contrato MT.</t>
  </si>
  <si>
    <t> [CCC04423]</t>
  </si>
  <si>
    <t xml:space="preserve">COMPRA DE MATERIAIS  UFVs ( ALFENAS 4)   NF 67946  TRAEL </t>
  </si>
  <si>
    <t> [CCC04385]</t>
  </si>
  <si>
    <t>Nota de Simples Remessa</t>
  </si>
  <si>
    <t>000677</t>
  </si>
  <si>
    <t>COMPRA MATERIAIS PARA UFVs ( )    NF  67149  TRAEL  - Conforme Nota Alfenas</t>
  </si>
  <si>
    <t> [CCC04180]</t>
  </si>
  <si>
    <t>Fat.Direito EPC (GLD )</t>
  </si>
  <si>
    <t>COMPRA DE MATERIAIS  UFVs( ALFENAS 4) NF 442  ZANIN</t>
  </si>
  <si>
    <t> [CCC04631]</t>
  </si>
  <si>
    <t>PRESTAÇÃO DE SERVIÇOS UFVs ( ALFENAS 4)  NF  354</t>
  </si>
  <si>
    <t>Pagamento de 1° medição ,  referente a prestação de serviços e mão de obra,   necessários a construção da UFVs em contrato EPC.  65%</t>
  </si>
  <si>
    <t> [CCC04640]</t>
  </si>
  <si>
    <t>PRESTAÇÃO DE SERVIÇOS UFVs ( ALFENAS 4)  NF  355</t>
  </si>
  <si>
    <t>Pagamento de 1° medição,  referente a elaboração de planos,   necessários a construção da UFVs em contrato EPC.  35%</t>
  </si>
  <si>
    <t>A311-MORI MINAS NEWCO V -  ALFENAS 4</t>
  </si>
  <si>
    <t>PRESTAÇÃO DE SERVIÇOS UFVs ( ALFENAS 4 )  NF 484  OUROPAV</t>
  </si>
  <si>
    <t>Pagamwento de medição 1, referente a terraplanagem, necessário a construção da usina .</t>
  </si>
  <si>
    <t> [CCC04692]</t>
  </si>
  <si>
    <t>Alfenas 4_Obras Terraplanagem</t>
  </si>
  <si>
    <t>PRESTAÇÃO DE SERVIÇOS UFVs ( ALFENAS 4)  NF  382</t>
  </si>
  <si>
    <t>Pagamento de 2° medição,  referente a prestação de serviços e mão de obra,   necessários a construção da UFVs em contrato EPC.  65%</t>
  </si>
  <si>
    <t> [CCC04755]</t>
  </si>
  <si>
    <t>001043</t>
  </si>
  <si>
    <t>PRESTAÇÃO DE SERVIÇOS UFVs ( ALFENAS 4)  NF  383</t>
  </si>
  <si>
    <t>Pagamento de 2° medição,  referente a elaboração de planos,   necessários a construção da UFVs em contrato EPC.  35%</t>
  </si>
  <si>
    <t>001044</t>
  </si>
  <si>
    <t>PRESTAÇÃO DE SERVIÇOS UFVs ( ALFENAS 4)  NF  583 RONDA PORTEIROS</t>
  </si>
  <si>
    <t>Pagamento em faturamento direto, refrente a prestação de serviço de vigilância desarmada , necessário à construção da UFV, em contrato EPC. ADITIVO</t>
  </si>
  <si>
    <t> [CCC04757]</t>
  </si>
  <si>
    <t>001046</t>
  </si>
  <si>
    <t>PRESTAÇÃO DE SERVIÇOS UFVs ( ALFENAS 4)  NF  582 RONDA PORTEIROS</t>
  </si>
  <si>
    <t>COMPRA DE MATERIAIS UFvs ( ALFENAS 4 ) NF 136606  CIMENTOLANDIA</t>
  </si>
  <si>
    <t> [CCC04728]</t>
  </si>
  <si>
    <t>COMPRA DE MATERIAIS UFvs ( ALFENAS 4 ) NF 22865   LIDER</t>
  </si>
  <si>
    <t> [CCC04741]</t>
  </si>
  <si>
    <t>PRESTAÇÃO DE SERVIÇOS UFVs (ALFENAS 4) NF 608  RONDA PORTEIROS</t>
  </si>
  <si>
    <t>Pagamento em faturamento direto, referente a prestação de serviço de vigilância desarmada, necessário a construção da usinas em contrato EPC. ADITIVO</t>
  </si>
  <si>
    <t> [CCC04779]</t>
  </si>
  <si>
    <t>PRESTAÇÃO DE SERVIÇOS UFVs (ALFENAS 4) NF 487   OUROPAV</t>
  </si>
  <si>
    <t>Pagamento de medição 2, referente ao serviço de terraplanagem, necessário a construção das usinas. MEDIÇÃO 2</t>
  </si>
  <si>
    <t> [CCC04782]</t>
  </si>
  <si>
    <t>001072</t>
  </si>
  <si>
    <t>COMPRA DE MATERIAIS UFVs ( ALFENAS 4)  NF 626  SIFER</t>
  </si>
  <si>
    <t> [CCC04795]</t>
  </si>
  <si>
    <t>001078</t>
  </si>
  <si>
    <t>PRESTAÇÃO DE SERVIÇOS UFVs ( ALFENAS 4)  NF  404</t>
  </si>
  <si>
    <t>Pagamento de 3° medição,  referente a prestação de serviços e mão de obra,   necessários a construção da UFVs em contrato EPC.  65%</t>
  </si>
  <si>
    <t> [CCC04807]</t>
  </si>
  <si>
    <t>Alfenas 4_EPC_MD</t>
  </si>
  <si>
    <t>PRESTAÇÃO DE SERVIÇOS UFVs ( ALFENAS 4)  NF  405</t>
  </si>
  <si>
    <t>Pagamento de 3° medição,  referente a elaboração de planos,   necessários a construção da UFVs em contrato EPC.  35%</t>
  </si>
  <si>
    <t>COMPRA DE MATERIAIS  UFVS (ALFENAS 4)   NF 20  STEFANIO COUTINHO</t>
  </si>
  <si>
    <t>Pagamento em faturamento direto, referente a compra de materiais, necessário a contrução da usina, em contrato EPC.</t>
  </si>
  <si>
    <t> [CCC04836]</t>
  </si>
  <si>
    <t>SPT - finalização (Arcos 7)</t>
  </si>
  <si>
    <t>[CCC02568-01]</t>
  </si>
  <si>
    <t>Arcos 7 _Outros</t>
  </si>
  <si>
    <t>SPT - SPT - Adiantamento (Arcos 7)</t>
  </si>
  <si>
    <t>[CCC02491-01]</t>
  </si>
  <si>
    <t>SPT - Adiantamento (Arcos 7)</t>
  </si>
  <si>
    <t>[CCC02492-01]</t>
  </si>
  <si>
    <t>Comissionamento de instalações - Pagamento em duplicidade (Arcos 7)</t>
  </si>
  <si>
    <t>[CCC02716-01]</t>
  </si>
  <si>
    <t>Arcos 7_Obras AT_FD</t>
  </si>
  <si>
    <t>S001</t>
  </si>
  <si>
    <t>Material Elétrico - PRYSMIAN CABOS (Arcos 7)</t>
  </si>
  <si>
    <t>Arcos 7 _Obras MT_FD</t>
  </si>
  <si>
    <t>S045</t>
  </si>
  <si>
    <t>Material elétrico - CABELAUTO (Arcos 7)</t>
  </si>
  <si>
    <t>S050</t>
  </si>
  <si>
    <t>Serviços - CONCERT (Arcos 7)</t>
  </si>
  <si>
    <t>Escopo Solatio</t>
  </si>
  <si>
    <t>S064</t>
  </si>
  <si>
    <t>Serviços - New Energy (Arcos 7)</t>
  </si>
  <si>
    <t>S077</t>
  </si>
  <si>
    <t>Equipamentos - SIEMENS (Arcos 7)</t>
  </si>
  <si>
    <t>S088</t>
  </si>
  <si>
    <r>
      <t>Medição 01 (</t>
    </r>
    <r>
      <rPr>
        <strike/>
        <sz val="9"/>
        <color theme="1"/>
        <rFont val="Arial"/>
      </rPr>
      <t>Arcos 7)</t>
    </r>
  </si>
  <si>
    <t>Nota de serviços realizados 2 usinas: (Valor Total da Nota: 300522,97)
Arcos 7 : R$ 100.522,97 Paraguaçu : R$ 200.000,00</t>
  </si>
  <si>
    <t>Arcos 7_Obras AT_MD</t>
  </si>
  <si>
    <t>Alças, conectores e material de fixação (Arcos 7) - EXPONENCIAL NF 23189_x000D_</t>
  </si>
  <si>
    <t>[CCC02881-02]</t>
  </si>
  <si>
    <t>Cabos de aço e AL (Arcos 7) - EXPONENCIAL  NF 23187</t>
  </si>
  <si>
    <t>[CCC02881-01]</t>
  </si>
  <si>
    <t>Reatores de aterramento ADELCO (Arcos 7)</t>
  </si>
  <si>
    <t>000034</t>
  </si>
  <si>
    <t>Desenvolvimento de projetos Executivos - 20% iniciais (Arcos 7)</t>
  </si>
  <si>
    <t>[CCC02997-10]</t>
  </si>
  <si>
    <t>Arcos 7_Engenharia Executiva</t>
  </si>
  <si>
    <t>Histórico SOLATIO -Medição MBA_SOLATIO (Arcos 7)</t>
  </si>
  <si>
    <t>Medição (EPC- ROSSETI )</t>
  </si>
  <si>
    <t>PRESTAÇÃO DE SERVIÇOS MEDIÇÃO 1 UFVS ( ARCOS 7)    NF   74</t>
  </si>
  <si>
    <t>Arcos 7_EPC_MD</t>
  </si>
  <si>
    <t>Linha Duplicada.</t>
  </si>
  <si>
    <t>Arcos 7 _Obras MT_MD</t>
  </si>
  <si>
    <t>Archtech - Testes de PullOuT_Biotec - Adiantamento (Arcos 7)</t>
  </si>
  <si>
    <t>[CCC03145-36]</t>
  </si>
  <si>
    <t>Medição 01 (Arcos 7)</t>
  </si>
  <si>
    <t>[CCC03204-01]</t>
  </si>
  <si>
    <t>Archtech - Testes de PullOuT_Biotec - Finalização (Arcos 7)</t>
  </si>
  <si>
    <t>[CCC03265-36]</t>
  </si>
  <si>
    <t>Desenvolvimento de projetos Executivos - 20% intermediários - 1a entrega (Arcos 7)</t>
  </si>
  <si>
    <t>[CCC03290-06]</t>
  </si>
  <si>
    <t>Projetos de fundações e drenagem - HALLITE (Arcos 7) Analise terraplanagem - 70% iniciais</t>
  </si>
  <si>
    <t>[CCC03309-12]</t>
  </si>
  <si>
    <t>000173</t>
  </si>
  <si>
    <t>SUPERVISORIO - Ciclo 2 - Gateways e remota (Arcos 7)</t>
  </si>
  <si>
    <t>[CCC03269-08]</t>
  </si>
  <si>
    <t>Arcos 7 _SGD</t>
  </si>
  <si>
    <t>SUPERVISORIO - Ciclo 2 - Baterias, desktops, switch e acessórios (Arcos 7)</t>
  </si>
  <si>
    <t>[CCC03269-19]</t>
  </si>
  <si>
    <t>Desenvolvimento de projetos Executivos - ENERSOLAR - 20% avançados - 2a entrega (Arcos 7)</t>
  </si>
  <si>
    <t>[CCC03368-03]</t>
  </si>
  <si>
    <t>Medição 02 (Arcos 7)</t>
  </si>
  <si>
    <t>[CCC03356-01]</t>
  </si>
  <si>
    <t xml:space="preserve"> Terraplanagem UFVs -  Medição 2   HALLITE (Arcos 7)   NF 45</t>
  </si>
  <si>
    <t>[CCC03513]</t>
  </si>
  <si>
    <t>COMPRA MATERIAIS PARA UFVs (ARCOS 7)   NF  18</t>
  </si>
  <si>
    <t>[CCC03501]</t>
  </si>
  <si>
    <t>Arcos 7_EPC_FD</t>
  </si>
  <si>
    <t xml:space="preserve">Estação solarimétrica – Hukseflux  (Arcos 7  *
</t>
  </si>
  <si>
    <t>[CCC03538]</t>
  </si>
  <si>
    <t>Arcos 7 _Estação solarimétrica</t>
  </si>
  <si>
    <t>COMPRA MATERIAIS PARA UFVs ( ARCOS 7 )   NF  44</t>
  </si>
  <si>
    <t>[CCC03655]</t>
  </si>
  <si>
    <t xml:space="preserve">SERVIÇO DE LOCAÇÃO PARA AS UFVs  (ARCOS 7)    NF  9951  </t>
  </si>
  <si>
    <t>Locação feita em Faturamento Direto, em contrato de EPC visando a implantação da UFV.</t>
  </si>
  <si>
    <t>[CCC03534]</t>
  </si>
  <si>
    <t>Serviços de  levantamento topográfico  ( ARCOS 7 )  NF   273   ROSSETI</t>
  </si>
  <si>
    <t>[CCC03696]</t>
  </si>
  <si>
    <t>SERVIÇO DE LOCAÇÃO UFVs (ARCOS 7)          NF 506</t>
  </si>
  <si>
    <t>Locação feita em Faturamento Direto, em contrato de EPC visando a implantação da UFV .</t>
  </si>
  <si>
    <t>[CCC03711]</t>
  </si>
  <si>
    <t>Desenvolvimento de projetos Executivos  - ENERSOLAR -   20%  ANALISADO -  (UFV Arcos 7)      NF 118</t>
  </si>
  <si>
    <t>[CCC03719]</t>
  </si>
  <si>
    <t xml:space="preserve">Construção e Montagem ROSSETI - Adiantamento contratual (UFV Arcos 7)  </t>
  </si>
  <si>
    <t>[CCC03746]</t>
  </si>
  <si>
    <t>COMPRA MATERIAIS PARA UFVs ( ARCOS 7 )   NF 24004</t>
  </si>
  <si>
    <t>[CCC03767]</t>
  </si>
  <si>
    <t>Taxa de reposição florestal    (ARCOS 7)   NF 839</t>
  </si>
  <si>
    <t>[CCC03783]</t>
  </si>
  <si>
    <t>Desenvolvimento de projetos Executivos  - ENERSOLAR -  20%  APROVADO -  (ARCOS 7)     NF 126</t>
  </si>
  <si>
    <t>[CCC03817]</t>
  </si>
  <si>
    <t>COMPRA MATERIAIS PARA UFVs  ( ARCOS 7)  NF  3803</t>
  </si>
  <si>
    <t>000674</t>
  </si>
  <si>
    <t>Estação solarimétrica – Hukseflux   UFVs (ARCOS 7)   VINCULO PEDIDO 000348 A401   NF 4801</t>
  </si>
  <si>
    <t>000692</t>
  </si>
  <si>
    <t>COMPRA MATERIAIS PARA UFVs  ( ARCOS 7)  NF  588</t>
  </si>
  <si>
    <t>000700</t>
  </si>
  <si>
    <t xml:space="preserve">COMPRA MATERIAIS PARA UFVs  (  ARCOS 7 )  NF  26099   EXPONECIAL RDA INTERNO    </t>
  </si>
  <si>
    <t>Arcos 7_RDA - Rede de Distribuição Aerea</t>
  </si>
  <si>
    <t>COMPRA MATERIAIS PARA UFVs  ( ARCOS 7)  NF  4446</t>
  </si>
  <si>
    <t>000779</t>
  </si>
  <si>
    <t>COMPRA MATERIAIS PARA UFVs  ( ARCOS 7)  NF  1614</t>
  </si>
  <si>
    <t>COMPRA MATERIAIS PARA UFVs ( ARCOS 7 )   NF 65798</t>
  </si>
  <si>
    <t>[CCC03754]</t>
  </si>
  <si>
    <t>COMPRA MATERIAIS PARA UFVs  ( ARCOS 7)  NF  4084    CAMPO ALEGRE  RDA INTERNA</t>
  </si>
  <si>
    <t>COMPRA MATERIAIS PARA UFVs  ( ARCOS 7)  NF  65895</t>
  </si>
  <si>
    <t>[CCC03992]</t>
  </si>
  <si>
    <t>COMPRA MATERIAIS PARA UFVs (ARCOS 7 )   NF 63259</t>
  </si>
  <si>
    <t>[CCC03833]</t>
  </si>
  <si>
    <t>Taxa de reposição florestal  UFVs (ARCOS 7)  NF   869</t>
  </si>
  <si>
    <t>MOBILIZAÇÃO -   MEDIÇÃO  UFVs ( CAMPO BELO 5, VARGINHA 1-5, ARCOS 7  )      LMENG    NF   10595</t>
  </si>
  <si>
    <t>Arcos 7_Engenharia de Proprietario</t>
  </si>
  <si>
    <t>Medição (ANTARES CARVALHO E MELO EMPREENDIMENTOS LTDA )</t>
  </si>
  <si>
    <t xml:space="preserve">MEDIÇÃO PRESTAÇÃO DE SERVIÇOS   UFVs ( ARCOS 7 )  NF 55  </t>
  </si>
  <si>
    <t>Pagamento de medição referente A 75%  DA OBRA, necessários a construção das UFVs.Terraplanagem</t>
  </si>
  <si>
    <t>[CCC04109]</t>
  </si>
  <si>
    <t xml:space="preserve">COMPRA MATERIAIS PARA UFVs  (   ARCOS 7  )  NF  72953  LTB  RDA INTERNO  </t>
  </si>
  <si>
    <t>000801</t>
  </si>
  <si>
    <t>COMPRA MATERIAIS PARA UFVsS (   ARCOS 7 )    NF  1394</t>
  </si>
  <si>
    <t>000802</t>
  </si>
  <si>
    <t>PRESTAÇÃO DE SERVIÇOS  (   ARCOS 7 )    NF  2022-11</t>
  </si>
  <si>
    <t>000803</t>
  </si>
  <si>
    <t>PRESTAÇÃO DE SERVIÇOS  UFVs (  ARCOS 7 )    NF  3419</t>
  </si>
  <si>
    <t>PRESTAÇÃO DE SERVIÇOS  UFVs  (  ARCOS 7)  NF  5813</t>
  </si>
  <si>
    <t xml:space="preserve">Pagamento de serviços de  MÃO DE OBRA NA OPERAÇÃO DE MANIPULADOR TELESCOPIO ,  em Faturamento Direto,  em contrato de obras EPC da UFV. </t>
  </si>
  <si>
    <t>PRESTAÇÃO DE SERVIÇOS  UFVs  (  ARCOS 7)  NF 4478</t>
  </si>
  <si>
    <t>PRESTAÇÃO DE SERVIÇOS  UFVs  (  ARCOS 7)  NF  1338</t>
  </si>
  <si>
    <t>COMPRA MATERIAIS PARA UFVs  ( ARCOS 7)  NF  15</t>
  </si>
  <si>
    <t>COMPRA MATERIAIS PARA UFVs  ( ARCOS 7)  NF  160</t>
  </si>
  <si>
    <t>COMPRA MATERIAIS PARA UFVs  ( ARCOS 7)  NF  63270</t>
  </si>
  <si>
    <t>COMPRA MATERIAIS PARA UFVs  ( ARCOS 7)  NF  601</t>
  </si>
  <si>
    <t>PRESTAÇÃO SERVIÇO UFVs ( ARCOS 7) NF   5841</t>
  </si>
  <si>
    <t>Pagamento de serviço de  MÃO DE OBA NA  OEPRAÇÃO DE MANIPULADOR TELESCOPIO  , feito em Faturamento Direto, em contrato  EPC .</t>
  </si>
  <si>
    <t>PRESTAÇÃO SERVIÇO UFVs ( ARCOS 7) NF   4501</t>
  </si>
  <si>
    <t>COMPRA DE MATERIAIS  UFVs   (  ARCOS 7  )  NF 202</t>
  </si>
  <si>
    <t>COMPRA DE MATERIAIS  UFVs   ( ARCOS 7)  NF 1430</t>
  </si>
  <si>
    <t>´000922</t>
  </si>
  <si>
    <t>COMPRA DE MATERIAIS  UFVs   ( ARCOS 7)  NF  24070</t>
  </si>
  <si>
    <t xml:space="preserve">PRESTAÇÃO DE SERVIÇOS  MEDIÇÃO (ARCOS 7)   NF 56   ANTARES CARVALHO </t>
  </si>
  <si>
    <t>Pagamento referente a medição de serviços de supressão e terraplanagem  necessários a construção da UFVs. 15 %</t>
  </si>
  <si>
    <t>Arcos 7_Obras Terraplanagem</t>
  </si>
  <si>
    <t>MOBILIZAÇÃO -   MEDIÇÃO  UFVs ( CAMPO BELO 5, VARGINHA 1-5, ARCOS 7  )     LMENG    NF   10599</t>
  </si>
  <si>
    <t>000958</t>
  </si>
  <si>
    <t>COMPRA DE MATERIAIS  UFVs   ( ARCOS 7)  NF 37</t>
  </si>
  <si>
    <t> [CCC04207]</t>
  </si>
  <si>
    <t>PRESTAÇÃO DE SERVIÇOS UFVS ( ARCOS 7 ) NF 4501</t>
  </si>
  <si>
    <t>´000977</t>
  </si>
  <si>
    <t>COMPRA DE MATERIAIS UFVS ( ARCOS 7) NF  2844  CADASTRO</t>
  </si>
  <si>
    <t>PRESTAÇÃO DE SERVIÇOS MEDIÇÃO 1 UFVS ( ARCOS 7 )    NF   82</t>
  </si>
  <si>
    <t xml:space="preserve">COMPRA DE MATERIAIS  UFVs   ( ARCOS 7)  NF 67  </t>
  </si>
  <si>
    <t> [CCC04246]</t>
  </si>
  <si>
    <t>COMPRA DE MATERIAIS UFVS (  ARCOS 7   ) EXPONENCIAL RDA INTERNO NF 26508</t>
  </si>
  <si>
    <t>PRESTAÇÃO DE SERVIÇOS UFVs ( ARCOS 7 ) NF  3489 TRÍADE VIGILÂNCIA</t>
  </si>
  <si>
    <t>COMPRA DE MATERIAIS UFVS (ARCOS 7  ) NF  10396 NACIONAL EQUIPAMENTOS</t>
  </si>
  <si>
    <t xml:space="preserve">PRESTAÇÃO DE SERVIÇOS UFVs ( ARCOS 7)  NF  5174  CONVEN  </t>
  </si>
  <si>
    <t>Pagamento em Faturamento Direto,  MOVIMENTO DE CARGAS, EQUIPAMENTO E MÃO DE OBRA, em contrato de obras EPC da UFV.</t>
  </si>
  <si>
    <t> [CCC04281]</t>
  </si>
  <si>
    <t>PRESTAÇÃO DE SERVIÇO UFVs (ARCOS 7)   NF  191 BATISTA NUNES</t>
  </si>
  <si>
    <t>001052</t>
  </si>
  <si>
    <t>PRESTAÇÃO DE SERVIÇO UFVs (ARCOS 7) PREMIUM EVENTOS NF 575</t>
  </si>
  <si>
    <t>COMPRA DE MATERIAIS UFVs ( ARCOS 7)  NF 434420 LOJA ELETRICA</t>
  </si>
  <si>
    <t>Construção e Montagem GLD - Medição 1 - Adiantamento 15%  UFVs ( ARCOS 7)   NF  328</t>
  </si>
  <si>
    <t>Arcos 7_EPC_2_FD</t>
  </si>
  <si>
    <t xml:space="preserve">PRESTAÇÃO DE SERVIÇOS UFVs( ARCOS 7 ) NF 462 RONDA PORTEIROS </t>
  </si>
  <si>
    <t>PRESTAÇÃO DE SERVIÇOS UFVs ( ARCOS 7) RONDA PORTEIROS NF 410</t>
  </si>
  <si>
    <t>PRESTAÇÃO DE SERVIÇOS UFVs ( ARCOS 7 ) RONDA PORTEIROS NF 421</t>
  </si>
  <si>
    <t>Pagamento referente a prestação de serviço de vigilância, necessário a construção das usinas. ADITIVO</t>
  </si>
  <si>
    <t>PRESTAÇÃO DE SERVIÇOS  UFVs ( ARCOS 7 )  NF  346</t>
  </si>
  <si>
    <t>001341</t>
  </si>
  <si>
    <t>PRESTAÇÃO DE SERVIÇOS  UFVs ( ARCOS 7 )  NF  347</t>
  </si>
  <si>
    <t>001343</t>
  </si>
  <si>
    <t>PRESTAÇÃO DE SERVIÇOS  UFVs ( ARCOS 7 )  NF  5 ANTARES CARVALHO</t>
  </si>
  <si>
    <t xml:space="preserve">Pagamento  medição final referente aos 10 % restantes na obra de ARCOS,  necessários a construção da UFVs em contrato EPC.  </t>
  </si>
  <si>
    <t> [CCC04556]</t>
  </si>
  <si>
    <t>001369</t>
  </si>
  <si>
    <t>COMPRA DE MATERIAIS  UFVs( ARCOS 7) NF22837 FABRICA DE POSTES</t>
  </si>
  <si>
    <t>Pagamento em faturamento direto,  REFERENTE A COMRPA DE MATERIAIS, necessário à construção da UFV em contrato EPC.</t>
  </si>
  <si>
    <t> [CCC04590]</t>
  </si>
  <si>
    <t>COMPRA DE MATERIAIS  UFVs( ARCOS 7) NF 432 ZANIN SOLUÇÕES</t>
  </si>
  <si>
    <t> [CCC04598]</t>
  </si>
  <si>
    <t>PRESTAÇÃO  DE SERVIÇOS UFVs ( ARCOS 7)   NF  568 RONDA PORTEIROS</t>
  </si>
  <si>
    <t>001396</t>
  </si>
  <si>
    <t>COMPRA DE MATERIAIS  UFVs( ARCOS 7) NF 135861  DISTRIBUIDORA DE CIMENTO</t>
  </si>
  <si>
    <t>MEDIÇÃO  GLD UFVS ( ARCOS 7 )   NF 363</t>
  </si>
  <si>
    <t> [CCC04686]</t>
  </si>
  <si>
    <t>Arcos 7_EPC_2_MD</t>
  </si>
  <si>
    <t>MEDIÇÃO  GLD UFVS ( ARCOS 7 )   NF 362</t>
  </si>
  <si>
    <t>COMPRA DE MATERIAIS UFVs (ARCOS 7 ) NF   TAVRIDA  ADIANTAMENTO</t>
  </si>
  <si>
    <t>A415 -MORI MINAS NEWCO IV- VARGINHA 1</t>
  </si>
  <si>
    <t>DAE - Dispensa  de Licenciamento ambiental UFVs( ARCOS 7)   N 4500025464787</t>
  </si>
  <si>
    <t xml:space="preserve">Taxa necessária à avaliação de intervenção ambiental para a UFV.  </t>
  </si>
  <si>
    <t>[CCC04705]</t>
  </si>
  <si>
    <t>PRESTAÇÃO DE SERVIÇOS UFVs (ARCOS 7 ) NF 108   STEFANIO COUTINHO   PC CANCELADO</t>
  </si>
  <si>
    <t>001457</t>
  </si>
  <si>
    <t xml:space="preserve">PRESTAÇÃO DE SERVIÇOS UFVs( ARCOS 7)  NF 113 FAZBETOM   </t>
  </si>
  <si>
    <t>Pagamento em faturamento direto, refrente a USINAGEM DE CONCRETO DE 200 M² , necessário à construção da UFV.</t>
  </si>
  <si>
    <t> [CCC04724]</t>
  </si>
  <si>
    <t>PRESTAÇÃO DE SERVIÇOS UFVs (ARCOS 7) NF 591  RONDA PORTEIROS</t>
  </si>
  <si>
    <t>COMPRA DE MATERIAIS UFVs ( ARCOS 7)  NF 46286  INCOPRE</t>
  </si>
  <si>
    <t>Pagamento em faturamento direto referente a compra de materiais, necessário a construção da usinas, em contrato MT.</t>
  </si>
  <si>
    <t> [CCC04794]</t>
  </si>
  <si>
    <t>PRESTAÇÃO DE SERVIÇOS UFVs (ARCOS 7)  NF 515  RICARDO ALBERTO</t>
  </si>
  <si>
    <t>Pagamento em faturamento direto referente ao serviço de frete, necessário a construção da usinas, em contrato EPC.</t>
  </si>
  <si>
    <t> [CCC04827]</t>
  </si>
  <si>
    <t>001496</t>
  </si>
  <si>
    <t>PRESTAÇÃO DE SERVIÇOS UFVs (ARCOS) NF 611  RONDA PORTEIROS</t>
  </si>
  <si>
    <t>COMPRA DE MATERIAIS UFVs (ARCOS 7)  NF 631  SIFER</t>
  </si>
  <si>
    <t xml:space="preserve">COMPRA DE MATERIAIS UFVs (ARCOS 7)  NF 3  STEFANIO COUTINHO  </t>
  </si>
  <si>
    <t xml:space="preserve">PRESTAÇÃO DE SERVIÇOS UFVs (ARCOS 7)  JOAQUIM GONTIJO  ADIANTAMENTO  </t>
  </si>
  <si>
    <t> [CCC04823]</t>
  </si>
  <si>
    <t xml:space="preserve">PRESTAÇÃO DE SERVIÇOS UFVs (ARCOS 7) JOSE DELUZ ADIANTAMENTO  </t>
  </si>
  <si>
    <t xml:space="preserve">PRESTAÇÃO DE SERVIÇOS UFVs (ARCOS 7) DICO PARTICIPAÇÕES ADIANTAMENTO  </t>
  </si>
  <si>
    <t>Pagamento referente a indenização do contrato de constituição de servidão perpétua , necessário a construção das usinas. 50 FINAIS</t>
  </si>
  <si>
    <t>COMPRA DE MATERIAIS UFVs  (ARCOS 7) NF 18  STEFANIO COUTINHO</t>
  </si>
  <si>
    <t>001553</t>
  </si>
  <si>
    <t>PRESTAÇÃO DE SERVIÇOS UFVs ( ARCOS 7)  NF 412</t>
  </si>
  <si>
    <t>001555</t>
  </si>
  <si>
    <t>PRESTAÇÃO DE SERVIÇOS UFVs ( ARCOS 7)  NF 413</t>
  </si>
  <si>
    <t>MRO - Terraplanagem UFVs Full-EPC - Adiantamento contratual de 15% (Bambuí 1.1, Campo Belo 3, Cássia 1 e São Sebastião 1 )</t>
  </si>
  <si>
    <t>[CCC03476]</t>
  </si>
  <si>
    <t>Bambuí 1.1_Obras Terraplanagem</t>
  </si>
  <si>
    <t>MRO - Terraplanagem UFVs Full-EPC -  MEDIÇÃO FINAL  AVANÇO 10%  ( BAMBUI 1.1) NF  407</t>
  </si>
  <si>
    <t>Pagamento  referente a AVANÇO 10% dos serviços,  necessário à construção da UFV.</t>
  </si>
  <si>
    <t>MRO - Terraplanagem UFVs Full-EPC -   1° MEDIÇAO (Bambuí 1.1)  NF  370  VALOR A SER PAGO R$ 275.055,99</t>
  </si>
  <si>
    <t>[CCC03683]</t>
  </si>
  <si>
    <t>A402 -  MORI MINAS NEWCO IV - UFV BAMBUI 1.1</t>
  </si>
  <si>
    <t>000455</t>
  </si>
  <si>
    <t xml:space="preserve">Construção e Montagem WEG - Medição 5 - Contra entrega dos módulos na obra (Bambuí 1.1)  </t>
  </si>
  <si>
    <t>Pagamento de medição contratual, suportada pelo 5o marco de contrato Full-EPC de construção da UFV. EVENTO 5 PROFORMA</t>
  </si>
  <si>
    <t>[CCC03744]</t>
  </si>
  <si>
    <t>Bambuí 1.1_Full EPC - Turn Key</t>
  </si>
  <si>
    <t>Construção e Montagem WEG - Medição 1 - Adiantamento (Bambuí 1)</t>
  </si>
  <si>
    <t>Pagamento de adiantamento contratual de 25% do total de contrato FullEPC de construção da UFV-  PROFORMA EVENTO 1</t>
  </si>
  <si>
    <t>[CCC03330-01]</t>
  </si>
  <si>
    <t>A406 - UFV BAMBUI 1.1</t>
  </si>
  <si>
    <t>Construção e Montagem WEG - Medição 2 - Entrega de POs (Bambuí 1)</t>
  </si>
  <si>
    <t>[CCC03352-01]</t>
  </si>
  <si>
    <t>A402 MORI GERACAO II BAMBUI  1.1</t>
  </si>
  <si>
    <t>Construção e Montagem WEG- (integrador - PROJESOL SOLUCOES ) - Medição 2 -   (Bambuí 1.1)  NF 239</t>
  </si>
  <si>
    <t>Pagamento de medição contratual, suportada pelo 2o marco de contrato FullEPC de construção da UFV. EVENTO 2 INTEGRADOR</t>
  </si>
  <si>
    <t>MEDIÇÃO MENSAL  OUT /2022 UFVs  ( Bambuí 1.1  )   AFAPLAN   NF   7367</t>
  </si>
  <si>
    <t>Bambuí 1.1_Engenharia de Proprietario</t>
  </si>
  <si>
    <t>000942</t>
  </si>
  <si>
    <t xml:space="preserve"> PRESTAÇÃO DE SERVIÇOS UFVs  ( BAMBUI 1.1)  NF  335    ENGECON  </t>
  </si>
  <si>
    <t>Drenagem</t>
  </si>
  <si>
    <t> [CCC04193]</t>
  </si>
  <si>
    <t>000682</t>
  </si>
  <si>
    <t xml:space="preserve"> WEG  MEDIÇÃO PRESTAÇÃO DE SERVIÇOS  EVENTO 4  (BAMBUI 1.1)  NF   19 INTEGRADOR PROJESOL </t>
  </si>
  <si>
    <t>[CCC04041]</t>
  </si>
  <si>
    <t xml:space="preserve">COMPRA DE MATERIAIS UFVs (BAMBUI  1.1)     NF 38371 Gomes Materiais de Construção LTDA </t>
  </si>
  <si>
    <t>Compra  de materiais necessários a construçãos das UFVs.</t>
  </si>
  <si>
    <t>Bambuí 1.1 _Outros</t>
  </si>
  <si>
    <r>
      <t xml:space="preserve">Pagamento de medição contratual, suportada pelo 5o marco contrato Full-EPC de construção da UFV  </t>
    </r>
    <r>
      <rPr>
        <b/>
        <u/>
        <sz val="9"/>
        <color theme="1"/>
        <rFont val="Arial"/>
      </rPr>
      <t>(PAGO EVENTO 5 PROFORMA EM DUPLICIDADE )</t>
    </r>
  </si>
  <si>
    <t>0003Medição (Full-EPC)- Acertamos junto com Rodrigo em trabalho de pagamentos Weg</t>
  </si>
  <si>
    <t>S089</t>
  </si>
  <si>
    <r>
      <t>Medição 01</t>
    </r>
    <r>
      <rPr>
        <strike/>
        <sz val="9"/>
        <color theme="1"/>
        <rFont val="Arial"/>
      </rPr>
      <t xml:space="preserve"> (Bambuí 1)</t>
    </r>
  </si>
  <si>
    <t>Bambuí 2 - CAPEX - Serviço AT - CCAP-C2_000021= Nota fiscal entre duas usinas.(Valor total da Nota : 186864,82)Bambui 1.1 -  150.000 R$
Tres corações : R$ R$36.864,82</t>
  </si>
  <si>
    <t>Bambuí 1.1_Obras AT_MD</t>
  </si>
  <si>
    <t>Histórico SOLATIO -Medição MBA_SOLATIO (Bambuí 1) 
NF 001870  - MBA AT</t>
  </si>
  <si>
    <t>Mesma linha2692. duplicada</t>
  </si>
  <si>
    <t>WEG PRESTAÇÃO DE SERVIÇOS UFVs (BAMBUI 1.1 )   ADIANTAMENTO   EVENTO 6</t>
  </si>
  <si>
    <t>Pagamento MEDIÇÃO MONTAGEM 100% DAS MESAS  , contrato FULL EPC WEG. EVENTO 6 PROFORMA</t>
  </si>
  <si>
    <t> [CCC04274]</t>
  </si>
  <si>
    <t xml:space="preserve"> WEG  MEDIÇÃO PRESTAÇÃO DE SERVIÇOS  EVENTO 6  (BAMBUI 1.1)  NF 41   PROJESOL  </t>
  </si>
  <si>
    <t>Pagamento de medição contratual, MONTAGEM 100 % DAS MESAS , Evento 6 de contrato FullEPC de construção da UFV .</t>
  </si>
  <si>
    <t> [CCC04302]</t>
  </si>
  <si>
    <t>PRESTAÇÃO DE SERVIÇOS UFVs (BAMBUI 1.1) NF 2500</t>
  </si>
  <si>
    <t>PAGAMENTO DE MEDIÇÃO REFERENTE a prestação de serviço de extensão de rede de distribuição rural,  necessários a construção das usinas em contratro MT.</t>
  </si>
  <si>
    <t> [CCC04420]</t>
  </si>
  <si>
    <t>WEG PRESTAÇÃO DE SERVIÇOS UFVs ( BAMBUI 1.1 )  NF 59 INTEGRADOR  PROJESOL</t>
  </si>
  <si>
    <t>Pagamento de medição referente a Conclusão das conexões CC e CA, em contrato FullEPC de construção da UFV. Evento 7</t>
  </si>
  <si>
    <t> [CCC04476]</t>
  </si>
  <si>
    <t>MEDIÇÃO MENSAL UFVs   ( Bambuí 1.1  )   AFAPLAN   NF   8041</t>
  </si>
  <si>
    <t>A402-MORI MINAS NEWCO IV -UFV BAMBUI 1.1</t>
  </si>
  <si>
    <t xml:space="preserve">WEG PRESTAÇÃO DE SERVIÇOS UFVs (BAMBUI 1.1 )   ADIANTAMENTO   EVENTO 4  </t>
  </si>
  <si>
    <t>Pagamento MEDIÇÃO MONTAGEM 100% DAS  ESTACAS , contrato FULL EPC WEG. EVENTO 4  PROFORMA</t>
  </si>
  <si>
    <t> [CCC04568]</t>
  </si>
  <si>
    <t>PRESTAÇÃO DE SERVIÇOS  UFVs ( BAMBUI 1.1 )  NF  8 SRJ PROTEÇÃO</t>
  </si>
  <si>
    <t>PAGAMENTO REFERENTE A PAPARAMETRIZAÇÃO E TESTES NOS RELÉS DE PROTEÇÃO; TESTES DE COMISSIONAMENTO E START-UP DA UFV.</t>
  </si>
  <si>
    <t> [CCC04557]</t>
  </si>
  <si>
    <t xml:space="preserve">MEDIÇÃO MENSAL UFVs   ( Bambuí 1.1  )   AFAPLAN   NF   </t>
  </si>
  <si>
    <t>WEG PRESTAÇÃO DE SERVIÇOS UFVs (BAMBUI 1.1 ) NF 76  INTEGRADOR PROJESOL   EVENTO 8</t>
  </si>
  <si>
    <t>Pagamento de medição, referente a conclusão dos testes de comissionamento a frio , em contrato FullEPC de construção da UFV. Evento 8</t>
  </si>
  <si>
    <t> [CCC04776]</t>
  </si>
  <si>
    <t>MRO - Terraplanagem UFVs Full-EPC -  MEDIÇÃO FINAL  AVANÇO 10%  ( BAMBUI 1.2) NF  408</t>
  </si>
  <si>
    <t>Bambuí 1.2_Obras Terraplanagem</t>
  </si>
  <si>
    <t>MRO - Terraplanagem UFVs Full-EPC - Adiantamento contratual de 15% (Bambuí 1.2, Campo Belo 4, Cássia 2, São Sebastião 3 e São Sebastião 5)</t>
  </si>
  <si>
    <t>[CCC03477]</t>
  </si>
  <si>
    <t>000321</t>
  </si>
  <si>
    <t>MRO - Terraplanagem UFVs Full-EPC -   1° MEDIÇAO (Bambuí 1.2)  NF 374  VALOR A SER PAGO    225.171,25</t>
  </si>
  <si>
    <t>[CCC03687]</t>
  </si>
  <si>
    <t>Revisão de coordenograma de proteção em função de alteração da potência dos transformadores  (UFV Bambuí 1.2)</t>
  </si>
  <si>
    <t>[CCC03440]</t>
  </si>
  <si>
    <t>Bambuí 1.2_Projeto/Coordenograma</t>
  </si>
  <si>
    <t>A302 -MORI MINAS NEWCO V - UFV BAMBUI 1.2</t>
  </si>
  <si>
    <t>Construção e Montagem WEG - Medição 5 - Contra entrega dos módulos na obra (Bambuí 1.2)  N 4</t>
  </si>
  <si>
    <t>Pagamento de medição contratual, suportada pelo 5o marco de contrato Full-EPC de construção da UFV</t>
  </si>
  <si>
    <t>[CCC03745]</t>
  </si>
  <si>
    <t>0003Medição (Full-EPC)- Acertamos junto com Rodrigo/Gabi em trabalho de pagamentos Weg</t>
  </si>
  <si>
    <t>Bambuí 1.2_Full EPC - Turn Key</t>
  </si>
  <si>
    <t xml:space="preserve">Construção e Montagem WEG - Medição 5 - Contra entrega dos módulos na obra (Bambuí 2) </t>
  </si>
  <si>
    <t>MEDIÇÃO MENSAL SET /2022 UFVs  ( Bambuí 1.2 )   AFAPLAN   NF   7243</t>
  </si>
  <si>
    <t>[CCC03964]</t>
  </si>
  <si>
    <t>Bambuí 1.2_Engenharia de Proprietario</t>
  </si>
  <si>
    <t>Construção e Montagem WEG - Medição 1 - Adiantamento (Bambuí 2)</t>
  </si>
  <si>
    <t>[CCC03330-05]</t>
  </si>
  <si>
    <t>Construção e Montagem WEG - Medição 2 - Entrega de POs (Bambuí 2)</t>
  </si>
  <si>
    <t>[CCC03352-05]</t>
  </si>
  <si>
    <t>Construção e Montagem WEG- (integrador - PROJESOL SOLUCOES ) - Medição 2 -   (Bambuí 2)</t>
  </si>
  <si>
    <t>MEDIÇÃO MENSAL  OUT /2022 UFVs  ( Bambuí 1.2 )   AFAPLAN   NF   7371</t>
  </si>
  <si>
    <t xml:space="preserve"> PRESTAÇÃO DE SERVIÇOS UFVs  ( BAMBUI 1.2)   NF     ENGECON </t>
  </si>
  <si>
    <t xml:space="preserve"> WEG  MEDIÇÃO PRESTAÇÃO DE SERVIÇOS  EVENTO 4  (BAMBUI 1.2)  NF   20  INTEGRADOR PROJESOL </t>
  </si>
  <si>
    <t>000694</t>
  </si>
  <si>
    <t>COMPRA DE MATERIAIS UFVs (BAMBUI  1.2)   NF  38372       Gomes Materiais de Construção LTDA</t>
  </si>
  <si>
    <t>Bambuí 1.2 _Outros</t>
  </si>
  <si>
    <t>Fat.Direito da MBA (obras MT )</t>
  </si>
  <si>
    <t>COMPRA MATERIAIS  PARA AS UFV  ( Santo Antônio do Amparo)   NF 042586</t>
  </si>
  <si>
    <t>[CCC03499]</t>
  </si>
  <si>
    <t>SERVIÇOS PRESTADOS DE MÃO DE OBRA ESPECIALIZADA NA CONSTRUÇÃO UFVs - (Bambuí ) MEDIÇÃO  NF 2306</t>
  </si>
  <si>
    <t>[CCC03615]</t>
  </si>
  <si>
    <t>Bambuí 1.2 _Obras MT_FD</t>
  </si>
  <si>
    <t>Comissionamento de instalações -  (Bambuí 2)</t>
  </si>
  <si>
    <t>[CCC02716-03]</t>
  </si>
  <si>
    <t>Bambuí 2 - CAPEX - Serviço AT - CCAP-C2_000021</t>
  </si>
  <si>
    <t>Bambuí 1.2_Obras AT_FD</t>
  </si>
  <si>
    <t>S051</t>
  </si>
  <si>
    <t>Serviços - CONCERT (Bambuí 2)</t>
  </si>
  <si>
    <t>S137</t>
  </si>
  <si>
    <t>Serviços - New Energy (Bambuí 2)</t>
  </si>
  <si>
    <t>S060</t>
  </si>
  <si>
    <t>Equipamentos - MARLICE EQUIPAMENTOS(BamBui1.2)</t>
  </si>
  <si>
    <t>Esta conforme Planilha de acerto MBA</t>
  </si>
  <si>
    <t>S138</t>
  </si>
  <si>
    <t>Material elétrico - CABELAUTO (Bambuí 2)</t>
  </si>
  <si>
    <t>S139</t>
  </si>
  <si>
    <t>S140</t>
  </si>
  <si>
    <t>Transporte de materiais - MARCELO DE OLIVEIRA (Bambuí 2)</t>
  </si>
  <si>
    <t>S141</t>
  </si>
  <si>
    <t>Medição 01 (Bambuí 2)</t>
  </si>
  <si>
    <t>Bambuí 1.2_Obras AT_MD</t>
  </si>
  <si>
    <t>S142</t>
  </si>
  <si>
    <t>Equipamentos - SIEMENS (Bambuí 2)</t>
  </si>
  <si>
    <t>S143</t>
  </si>
  <si>
    <t>Serviços - STD (Bambuí 2)</t>
  </si>
  <si>
    <t>S144</t>
  </si>
  <si>
    <t>Equipamentos - UNIAR (Bambuí 2)</t>
  </si>
  <si>
    <t>S145</t>
  </si>
  <si>
    <t>Equipamentos - USICROM (Bambuí 2)</t>
  </si>
  <si>
    <t>Histórico SOLATIO -Medição MBA_SOLATIO (Bambuí 2) 
NF 001871  - MBA AT</t>
  </si>
  <si>
    <t>Histórico SOLATIO -Medição MBA_SOLATIO (Bambuí 2)
MBA AT NF 4169</t>
  </si>
  <si>
    <t>Histórico SOLATIO -Medição MBA_SOLATIO (Bambuí 2)
PARCELA 2 NF 107981 MBA AT</t>
  </si>
  <si>
    <t>[CCC03204-03]</t>
  </si>
  <si>
    <t>Bambuí 2 - CAPEX - Serviço MT - CCAP-C2_000021</t>
  </si>
  <si>
    <t>Bambuí 1.2 _Obras MT_MD</t>
  </si>
  <si>
    <t>Postes de concreto (Bambuí 2)</t>
  </si>
  <si>
    <t>[CCC03266-01]</t>
  </si>
  <si>
    <t>[CCC03266-02]</t>
  </si>
  <si>
    <t>Medição 02 (Bambuí 2)</t>
  </si>
  <si>
    <t>[CCC03356-02]</t>
  </si>
  <si>
    <t xml:space="preserve"> A302 AMORI GERACAO II BAMBUI 1.2</t>
  </si>
  <si>
    <t>000760</t>
  </si>
  <si>
    <t>WEG PRESTAÇÃO DE SERVIÇOS UFVs (BAMBUI 1.2 )   ADIANTAMENTO   EVENTO 6</t>
  </si>
  <si>
    <t> [CCC04273]</t>
  </si>
  <si>
    <t xml:space="preserve"> WEG  MEDIÇÃO PRESTAÇÃO DE SERVIÇOS  EVENTO 6  (BAMBUI 1.2)  NF 42   PROJESOL </t>
  </si>
  <si>
    <t>MEDIÇÃO MENSAL UFVs  ( Bambuí 1.2 )   AFAPLAN   NF  7890</t>
  </si>
  <si>
    <t>PRESTAÇÃO DE SERVIÇOS UFVs ( BAMBUI 1.2) NF 2498</t>
  </si>
  <si>
    <t>PAGAMENTO DE MEDIÇÃO REFERENTE A Prestação de serviço de extensão de rede de distribuição rural e urbana,  necessários a cosntrução das usinas em contratro MT.</t>
  </si>
  <si>
    <t> [CCC04399]</t>
  </si>
  <si>
    <t>MEDIÇÃO MENSAL UFVs  ( Bambuí 1.2 )   AFAPLAN   NF  8045</t>
  </si>
  <si>
    <t xml:space="preserve">WEG PRESTAÇÃO DE SERVIÇOS UFVs (BAMBUI 1.2 )   ADIANTAMENTO   EVENTO 4  </t>
  </si>
  <si>
    <t>Pagamento MEDIÇÃO MONTAGEM 100% DAS  ESTACAS , contrato FULL EPC WEG. EVENTO 4</t>
  </si>
  <si>
    <t>000928</t>
  </si>
  <si>
    <t xml:space="preserve">WEG PRESTAÇÃO DE SERVIÇOS UFVs( BAMBUI 1.2)   NF  63 PROJESOL ADITIVO </t>
  </si>
  <si>
    <t>000912</t>
  </si>
  <si>
    <t xml:space="preserve">MEDIÇÃO MENSAL UFVs  ( Bambuí 1.2 )   AFAPLAN   NF  </t>
  </si>
  <si>
    <t>PRESTAÇÃO DE SERVIÇOS UFVs (BAMBUI 1.2) NF 12  SRJ PROTEÇÃO</t>
  </si>
  <si>
    <t> [CCC04752]</t>
  </si>
  <si>
    <t>001055</t>
  </si>
  <si>
    <t>WEG PRESTAÇÃO DE SERVIÇOS UFVs (BAMBUI 1.2 ) NF 78    INTEGRADOR PROJESOL     EVENTO 7</t>
  </si>
  <si>
    <t>Pagamento de medição, referente a conclusão conexões CC e CA , em contrato FullEPC de construção da UFV. Evento 7</t>
  </si>
  <si>
    <t>Projetos de fundações e drenagem - HALLITE (Campo Belo 1) Analise terraplanagem</t>
  </si>
  <si>
    <t>[CCC02477-01]</t>
  </si>
  <si>
    <t>Campo Belo 1 _Outros</t>
  </si>
  <si>
    <t>Campo Belo 1_Obras AT_MD</t>
  </si>
  <si>
    <t>Reatores de aterramento ADELCO (Campo Belo 1)</t>
  </si>
  <si>
    <t>Archtech - Testes de PullOuT_Biotec - Adiantamento (Campo Belo 1)</t>
  </si>
  <si>
    <t>[CCC03145-27]</t>
  </si>
  <si>
    <t>JX AMBIENTAL - Procedimento Administrativo - DAIA de implantação de UFV - 01de02 (Campo Belo 1)</t>
  </si>
  <si>
    <t>[CCC03232-06]</t>
  </si>
  <si>
    <t xml:space="preserve">Projeto de cabine primária  - PROJETTI - 100% (Campo Belo 1) </t>
  </si>
  <si>
    <t>[CCC03233-09]</t>
  </si>
  <si>
    <t>Campo Belo 1_Projeto/Coordenograma</t>
  </si>
  <si>
    <t>Archtech - Testes de PullOuT_Biotec - Finalização (Campo Belo 1)</t>
  </si>
  <si>
    <t>[CCC03265-27]</t>
  </si>
  <si>
    <t>Serviço de SPT - BIOTEC (Campo Belo 1) - 40% iniciais - Campanha 6</t>
  </si>
  <si>
    <t>[CCC03281-10]</t>
  </si>
  <si>
    <t>Serviço de SPT - BIOTEC (Campo Belo 1) - 60% finais - Campanha 6</t>
  </si>
  <si>
    <t>[CCC03295-05]</t>
  </si>
  <si>
    <t>Medição 01 (Campo Belo 1) NF 2214</t>
  </si>
  <si>
    <t>[CCC03251-03]</t>
  </si>
  <si>
    <t>Campo Belo 1 _Obras MT_MD</t>
  </si>
  <si>
    <t>SUPERVISORIO - Ciclo 2 - Gateways e remota (Campo Belo 1) NF 1741</t>
  </si>
  <si>
    <t>[CCC03269-06]</t>
  </si>
  <si>
    <t>Campo Belo 1 _SGD</t>
  </si>
  <si>
    <t>SUPERVISORIO - Ciclo 2 - Baterias, desktops, switch e acessórios (Campo Belo 1) NF 1760</t>
  </si>
  <si>
    <t>[CCC03269-25]</t>
  </si>
  <si>
    <t>Cabos e material de fixação (Campo Belo 1)
Exponencial NF 24681</t>
  </si>
  <si>
    <t>[CCC03261]</t>
  </si>
  <si>
    <t>Campo Belo 1 _Obras MT_FD</t>
  </si>
  <si>
    <t>Postes de concreto (Campo Belo 1) NF 41393</t>
  </si>
  <si>
    <t>[CCC02786-04]</t>
  </si>
  <si>
    <t>Eng. Executiva GLD - Entrega 01 - P01_05 (Campo Belo 1)</t>
  </si>
  <si>
    <t>[CCC03205-01]</t>
  </si>
  <si>
    <t>Campo Belo 1_Engenharia Executiva - Detalhada</t>
  </si>
  <si>
    <t>000220</t>
  </si>
  <si>
    <t>Eng. Executiva GLD - Entrega 02 - P01_03 (Campo Belo 1)</t>
  </si>
  <si>
    <t>[CCC03205-06]</t>
  </si>
  <si>
    <t>000229</t>
  </si>
  <si>
    <t>JX AMBIENTAL - Procedimento Administrativo - DAIA de implantação de UFV - 02de02 (Campo Belo 1)</t>
  </si>
  <si>
    <t>[CCC03325-05]</t>
  </si>
  <si>
    <t>Cabos de aço aluminizado (Campo Belo 1)(000531352)Intelli</t>
  </si>
  <si>
    <t>[CCC03334-05]</t>
  </si>
  <si>
    <t>Medição (EPC - GLD)</t>
  </si>
  <si>
    <t>Construção e Montagem GLD - Medição 1 - Adiantamento (Campo Belo 1)  NF 206</t>
  </si>
  <si>
    <t>[CCC03387-03]</t>
  </si>
  <si>
    <t>Campo Belo 1_EPC_MD</t>
  </si>
  <si>
    <t>Compra de cruzetas MBA (Campo Belo 1)N° 00003880</t>
  </si>
  <si>
    <t>[CCC03382-06]</t>
  </si>
  <si>
    <t>Terminais e material de conexão (Campo belo 1)    NF  398668  - Loja Eletrica</t>
  </si>
  <si>
    <t>[CCC03389-09]</t>
  </si>
  <si>
    <t>Terminais e material de conexão (Campo belo 1)   NF   398669 - Loja Eletrica</t>
  </si>
  <si>
    <t>[CCC03389-10]</t>
  </si>
  <si>
    <t xml:space="preserve">Estação solarimétrica – Hukseflux   (Campo Belo 1)
</t>
  </si>
  <si>
    <t>[CCC03541]</t>
  </si>
  <si>
    <t>Campo Belo 1 _Estação solarimétrica</t>
  </si>
  <si>
    <t xml:space="preserve">COMPRA MATERIAIS PARA UFVs (CAMPO BELO 1)   NF 000537035    </t>
  </si>
  <si>
    <t>[CCC03565]</t>
  </si>
  <si>
    <t>Revisão de coordenograma de proteção em função de alteração do modelo do relé de proteção (UFV Campo Belo 1) NF 145</t>
  </si>
  <si>
    <t>[CCC03464]</t>
  </si>
  <si>
    <t>Desenvolvimento de   projetos  GLD  (CAMPO BELO 1  )    NF  231</t>
  </si>
  <si>
    <t>[CCC03841]</t>
  </si>
  <si>
    <t>Campo Belo 1 _Engenharia Executiva - Basica</t>
  </si>
  <si>
    <t>PRESTAÇÃO DE SERVIÇOS MEDIÇÃO 1 UFVS ( CAMPO BELO  1)    NF   273</t>
  </si>
  <si>
    <t>Pagamento referente a medição  ,  prestação de serviços mão de obra e equipamentos,  necessário a construção da UFVs.  65%</t>
  </si>
  <si>
    <t> [CCC04154]</t>
  </si>
  <si>
    <t>PRESTAÇÃO DE SERVIÇOS MEDIÇÃO 1 UFVS ( CAMPO BELO 1)    NF  276</t>
  </si>
  <si>
    <t>Pagamento referente a elaboração de planos , necessário a construção da UFVs. 35%</t>
  </si>
  <si>
    <t>000578</t>
  </si>
  <si>
    <t>COMPRA MATERIAIS PARA UFVs (CAMPO BELO 1 )  NF 4100  TECFIBRAS</t>
  </si>
  <si>
    <t>[CCC03884]</t>
  </si>
  <si>
    <t>000562</t>
  </si>
  <si>
    <t>COMPRA MATERIAIS PARA UFVs ( CAMPO BELO 1  )  NF 65727  TRAEL</t>
  </si>
  <si>
    <t>000434</t>
  </si>
  <si>
    <t>COMPRA DE MATEIRIAS UFVs ( CAMPO BELO 1)  NF   410016</t>
  </si>
  <si>
    <t>[CCC03730</t>
  </si>
  <si>
    <t>COMPRA DE MATEIRIAS UFVs ( CAMPO BELO 1)  NF   410017</t>
  </si>
  <si>
    <t>000854</t>
  </si>
  <si>
    <t>BALDONI / MCD BALDONI  - Terraplanagem - Medição 2  (CAMPO BELO 1)  20%        NF     152</t>
  </si>
  <si>
    <t>Pagamento de serviço de terraplanagem necessário à construção da UFV.  MEDIÇÃO 2</t>
  </si>
  <si>
    <t> [CCC04152]</t>
  </si>
  <si>
    <t>Campo Belo 1_Obras Terraplanagem</t>
  </si>
  <si>
    <t>000855</t>
  </si>
  <si>
    <t>BALDONI / Baldoni Engenharia    - Terraplanagem - Medição  2  (CAMPO BELO 1)  80%        N  321</t>
  </si>
  <si>
    <t xml:space="preserve">Religadores (CAMPO BELO 1)   TAVRIDA    NF    714     </t>
  </si>
  <si>
    <t>000845</t>
  </si>
  <si>
    <t>Fat. Direto (EPC - GLD)</t>
  </si>
  <si>
    <t>COMPRA MATERIAIS PARA UFVs ( CAMPO BELO 1  )    NF 131529  CIMENTO VARGINHA</t>
  </si>
  <si>
    <t>Compra feita emm  Faturamento Direto, em contrato de obras EPC da UFV.</t>
  </si>
  <si>
    <t> [CCC04141]</t>
  </si>
  <si>
    <t>Campo Belo 1_EPC_FD</t>
  </si>
  <si>
    <t>COMPRA MATERIAIS PARA UFVs ( SANTO ANTONIO DO AMPARO)  NF  65615  TRAEL</t>
  </si>
  <si>
    <t>[CCC03897]</t>
  </si>
  <si>
    <t>DAE - Dispença de Licenciamento ambiental UFV  ( CAMPO BELO 1)  NF  950</t>
  </si>
  <si>
    <t>[CCC04079]</t>
  </si>
  <si>
    <t>BALDONI / MCD BALDONI  - Terraplanagem - Medição 3  (CAMPO BELO 1)  20%        NF    158</t>
  </si>
  <si>
    <t> [CCC04205]</t>
  </si>
  <si>
    <t>000946</t>
  </si>
  <si>
    <t>BALDONI / Baldoni Engenharia    - Terraplanagem - Medição  3 (CAMPO BELO 1)  80%        N  327</t>
  </si>
  <si>
    <t>BALDONI / MCD BALDONI  - Terraplanagem - Medição 4 (CAMPO BELO 1)  20%        NF   165</t>
  </si>
  <si>
    <t>Pagamento de serviço de terraplanagem necessário à construção da UFV.  MEDIÇÃO 4</t>
  </si>
  <si>
    <t> [CCC04277]</t>
  </si>
  <si>
    <t>BALDONI / Baldoni Engenharia    - Terraplanagem - Medição 4 (CAMPO BELO  1)  80%        N  331</t>
  </si>
  <si>
    <t>PRESTAÇÃO DE SERVIÇO UFVs (CAMPO BELO 1)   NF 431778 LOJA ELÉTRICA</t>
  </si>
  <si>
    <t>Pagamento em faturamento direto referente a COMPRA DE MATERIAIS  , em contrato  MT.</t>
  </si>
  <si>
    <t> [CCC04295]</t>
  </si>
  <si>
    <t>DAE - Dispença de Licenciamento ambiental UFVS   (CAMPO BELO 1)  NF 972  JULLIA MARIA</t>
  </si>
  <si>
    <t> [CCC04296]</t>
  </si>
  <si>
    <t>COMPRA DE MATERIAIS UFVS ( CAMPO BELO 1) NF 86  STEFANIO COUTINHO</t>
  </si>
  <si>
    <t>Pagamento em Faturamento Direto,  REFERENTE CARPINTARIA A SERRALHERIA,  contrato de obras EPC da UFV.</t>
  </si>
  <si>
    <t> [CCC04306]</t>
  </si>
  <si>
    <t>COMPRA DE MATERIAIS UFVS ( CAMPO BELO 1 ) NF 431689 LOJA ELETRICA</t>
  </si>
  <si>
    <t> [CCC04310]</t>
  </si>
  <si>
    <t>COMPRA DE MATERIAIS UFVS ( CAMPO BELO 1 ) NF 432714  LOJA ELETRICA</t>
  </si>
  <si>
    <t xml:space="preserve">Compra de materiais em faturamento direto, em contrato MT. </t>
  </si>
  <si>
    <t> [CCC04324]</t>
  </si>
  <si>
    <t xml:space="preserve">PRESTAÇÃO DE SERVIÇOS  UFVs ( CAMPO BELO 1 )  NF 293   </t>
  </si>
  <si>
    <t>Pagamento referente a 2° medição de prestação de serviços e mão de obra,  necessários a construção da UFVs em contrato EPC.  65%</t>
  </si>
  <si>
    <t> [CCC04355]</t>
  </si>
  <si>
    <t>PRESTAÇÃO DE SERVIÇOS  UFVs ( CAMPO BELO 1 )  NF 294</t>
  </si>
  <si>
    <t>Pagamento referente a 2° medição,  referente a elaboração de planos,   necessários a construção da UFVs em contrato EPC.  35%</t>
  </si>
  <si>
    <t>BALDONI / MCD BALDONI  - Terraplanagem - Medição 5 (CAMPO BELO 1)  20%        NF   166</t>
  </si>
  <si>
    <t>Pagamento de serviço de terraplanagem necessário à construção da UFV.  MEDIÇÃO 5</t>
  </si>
  <si>
    <t> [CCC04366]</t>
  </si>
  <si>
    <t>BALDONI / Baldoni Engenharia    - Terraplanagem - Medição 5 (CAMPO BELO  1)  80%        N  332</t>
  </si>
  <si>
    <t xml:space="preserve">COMPRA DE MATERIAIS  UFVs ( CAMPO BELO 1)   NF 67937  TRAEL </t>
  </si>
  <si>
    <t> [CCC04373]</t>
  </si>
  <si>
    <t>MEDIÇÃO ADITIVOS UFVs ( CAMPO BELO 1)  NF 309</t>
  </si>
  <si>
    <t>Pagament de medição de 5° aditivo, referente a prestação de serviços e mão de obra,  necessários a construção da UFVs em contrato EPC.  65%</t>
  </si>
  <si>
    <t> [CCC04374]</t>
  </si>
  <si>
    <t>MEDIÇÃO ADITIVOS UFVs ( CAMPO BELO 1)  NF 310</t>
  </si>
  <si>
    <t>Pagamento de medição de 5° aditivo,  referente a elaboração de planos,   necessários a construção da UFVs em contrato EPC.  35%</t>
  </si>
  <si>
    <t>COMPRA DE MATERIAL UFVs (CAMPO BELO 1) NF 438175 LOJA ELETRICA</t>
  </si>
  <si>
    <t> [CCC04426]</t>
  </si>
  <si>
    <t>COMPRA DE MATERIAIS  UFVs (CAMPO BELO 1) NF 45237    INCOPRE</t>
  </si>
  <si>
    <t xml:space="preserve">Pagamento em faturamento direto, REFERENTE A COMPRA DE POSTES, necessário à construção da UFV em contrato MT. </t>
  </si>
  <si>
    <t> [CCC04448]</t>
  </si>
  <si>
    <t>COMPRA DE MATERIAIS UFVs ( CAMPO BELO 1) NF 419 ZANIN</t>
  </si>
  <si>
    <t> [CCC04390]</t>
  </si>
  <si>
    <t>PRESTAÇÃO DE SERVIÇOS  UFVs ( CAMPO BELO 1 )  NF 313</t>
  </si>
  <si>
    <t>Pagamento referente a  3° medição de prestação de serviços e mão de obra,  necessários a construção da UFVs em contrato EPC.  65%</t>
  </si>
  <si>
    <t> [CCC04413]</t>
  </si>
  <si>
    <t>BALDONI / MCD BALDONI - Terraplanagem - Medição (CAMPO BELO 1) 20% NF  185</t>
  </si>
  <si>
    <t>Pagamento de serviço de terraplanagem necessário à construção da UFV. MEDIÇÃO 7</t>
  </si>
  <si>
    <t> [CCC04756]</t>
  </si>
  <si>
    <t>BALDONI / Baldoni Engenharia -Terraplanagem - Medição  (CAMPO BELO  1)  80%  N 349</t>
  </si>
  <si>
    <t>Pagamento de serviço de terraplanagem necessário à construção da UFV.  MEDIÇÃO 7</t>
  </si>
  <si>
    <t>001203</t>
  </si>
  <si>
    <t>BALDONI / MCD BALDONI  - Terraplanagem - Medição  (CAMPO BELO 1)  20%        NF   173</t>
  </si>
  <si>
    <t>Pagamento de serviço de terraplanagem necessário à construção da UFV.  MEDIÇÃO 6</t>
  </si>
  <si>
    <t> [CCC04451]</t>
  </si>
  <si>
    <t>001204</t>
  </si>
  <si>
    <t>BALDONI / Baldoni Engenharia    - Terraplanagem - Medição  (CAMPO BELO  1)  80%        N  339</t>
  </si>
  <si>
    <t>COMPRA DE MATERIAIS UFVs (CAMPO BELO 1) NF  45243 INCOPRE</t>
  </si>
  <si>
    <t>Pagamento em faturamento direto, referente a compra de materiais, em contrato MT.</t>
  </si>
  <si>
    <t> [CCC04461]</t>
  </si>
  <si>
    <t>COMPRA DE MATERIAIS UFVs (CAMPO BELO 1) NF  45221 INCOPRE</t>
  </si>
  <si>
    <t>COMPRA DE MATERIAIS UFVs (CAMPO BELO 1) NF  45220 INCOPRE</t>
  </si>
  <si>
    <t xml:space="preserve"> PRESTAÇÃO DE SERVIÇOS UFVs (CAMPO BELO 1 )   NF   593  DAYSE PEREIRA      </t>
  </si>
  <si>
    <t> [CCC04471]</t>
  </si>
  <si>
    <t xml:space="preserve"> PRESTAÇÃO DE SERVIÇOS UFVs (CAMPO BELO 1 )   NF   594  DAYSE PEREIRA</t>
  </si>
  <si>
    <t xml:space="preserve"> PRESTAÇÃO DE SERVIÇOS UFVs (CAMPO BELO 1 )   NF   597  DAYSE PEREIRA</t>
  </si>
  <si>
    <t xml:space="preserve"> PRESTAÇÃO DE SERVIÇOS UFVs (CAMPO BELO 1 )   NF   608  DAYSE PEREIRA</t>
  </si>
  <si>
    <t>PRESTAÇÃO DE SERVIÇOS UFVs ( CAMPO BELO 1)  NF  586 RONDA PORTEIROS</t>
  </si>
  <si>
    <t xml:space="preserve"> PRESTAÇÃO DE SERVIÇOS UFVs (CAMPO BELO 3)   NF   598 DAYSE PEREIRA</t>
  </si>
  <si>
    <t>PRESTAÇÃO DE SERVIÇOS  UFVs ( CAMPO BELO 1 )  NF 314</t>
  </si>
  <si>
    <t>Pagamento referente a 3° medição,  referente a elaboração de planos,   necessários a construção da UFVs em contrato EPC.  35%</t>
  </si>
  <si>
    <t>001246</t>
  </si>
  <si>
    <t xml:space="preserve"> PRESTAÇÃO DE SERVIÇOS UFVs (CAMPO BELO 1 )   NF  615   DAYSE PEREIRA      </t>
  </si>
  <si>
    <t> [CCC04482]</t>
  </si>
  <si>
    <t xml:space="preserve"> PRESTAÇÃO DE SERVIÇOS UFVs (CAMPO BELO 1 )   NF  620   DAYSE PEREIRA      </t>
  </si>
  <si>
    <t>001248</t>
  </si>
  <si>
    <t xml:space="preserve"> PRESTAÇÃO DE SERVIÇOS UFVs (CAMPO BELO 1 )   NF 621   DAYSE PEREIRA      </t>
  </si>
  <si>
    <t xml:space="preserve"> PRESTAÇÃO DE SERVIÇOS UFVs (CAMPO BELO 1 )   NF 622    DAYSE PEREIRA      </t>
  </si>
  <si>
    <t xml:space="preserve"> PRESTAÇÃO DE SERVIÇOS UFVs (CAMPO BELO 1 )   NF  625  DAYSE PEREIRA      </t>
  </si>
  <si>
    <t>001251</t>
  </si>
  <si>
    <t xml:space="preserve"> PRESTAÇÃO DE SERVIÇOS UFVs (CAMPO BELO 1 )   NF  627  DAYSE PEREIRA      </t>
  </si>
  <si>
    <t xml:space="preserve"> PRESTAÇÃO DE SERVIÇOS UFVs (CAMPO BELO 1 )   NF  632  DAYSE PEREIRA      </t>
  </si>
  <si>
    <t> [CCC04502]</t>
  </si>
  <si>
    <t xml:space="preserve"> PRESTAÇÃO DE SERVIÇOS UFVs (CAMPO BELO 1 )   NF  637   DAYSE PEREIRA      </t>
  </si>
  <si>
    <t> [CCC04508]</t>
  </si>
  <si>
    <t xml:space="preserve"> PRESTAÇÃO DE SERVIÇOS UFVs (CAMPO BELO 1 )   NF  638  DAYSE PEREIRA      </t>
  </si>
  <si>
    <t xml:space="preserve">PRESTAÇÃO DE SERVIÇOS UFVs ( CAMPO BELO 1 ) NF 151          TABEBUIA </t>
  </si>
  <si>
    <t>Pagamento de medição 1,  referente a elaboração de projetos  em contrato EPC . SEM DESCONTO EM CONTRATO GLD EPC</t>
  </si>
  <si>
    <t> [CCC04546]</t>
  </si>
  <si>
    <t xml:space="preserve">COMPRA DE MATERIAIS UFVs(CAMPO BELO 1 ) NF 8302  SANTA EDWIGES </t>
  </si>
  <si>
    <t> [CCC04681]</t>
  </si>
  <si>
    <t xml:space="preserve">SANTA EDWIGES </t>
  </si>
  <si>
    <t>PRESTAÇÃO DE SERVIÇOS UFVs ( CAMPO BELO 1)  NF  585 RONDA PORTEIROS</t>
  </si>
  <si>
    <t>COMPRA DE MATERIAIS UFvs (CAMPO BELO 1 ) NF 331  METALIZE</t>
  </si>
  <si>
    <t>PRESTAÇÃO DE SERVIÇOS UFVs (CAMPO BELO 1) NF   406</t>
  </si>
  <si>
    <t> [CCC04806]</t>
  </si>
  <si>
    <t>PRESTAÇÃO DE SERVIÇOS UFVs (CAMPO BELO 1) NF   407</t>
  </si>
  <si>
    <t>BALDONI / MCD BALDONI - Terraplanagem - Medição (CAMPO BELO 1) 20% NF 187</t>
  </si>
  <si>
    <t>Pagamento de serviço de terraplanagem necessário à construção da UFV. MEDIÇÃO 8</t>
  </si>
  <si>
    <t> [CCC04809]</t>
  </si>
  <si>
    <t>BALDONI / Baldoni Engenharia -Terraplanagem - Medição  (CAMPO BELO  1)  80%  N 352</t>
  </si>
  <si>
    <t>Pagamento de serviço de terraplanagem necessário à construção da UFV.  MEDIÇÃO 9</t>
  </si>
  <si>
    <t>COMPRA DE MATERIAIS UFVs   (CAMPO BELO 1) NF 14  STEFANIO COUTINHO</t>
  </si>
  <si>
    <t> [CCC04820]</t>
  </si>
  <si>
    <t>COMPRA MATERIAIS PARA UFVs  ( Campo Belo 2 )  NF   17532 FICAPOCOS</t>
  </si>
  <si>
    <t>Campo Belo 2 _Obras MT_FD</t>
  </si>
  <si>
    <t>Projetos de fundações e drenagem - HALLITE (Campo Belo 2) Analise terraplanagem -  40%</t>
  </si>
  <si>
    <t>[CCC02477-02]</t>
  </si>
  <si>
    <t>Campo Belo 2 _Outros</t>
  </si>
  <si>
    <t>Comissionamento de instalações (Campo Belo 2)</t>
  </si>
  <si>
    <t>[CCC02679-01]</t>
  </si>
  <si>
    <t>Campo Belo 2 - CAPEX - Serviço AT - CCAP-C2_000021</t>
  </si>
  <si>
    <t>Campo Belo 2_Obras AT_FD</t>
  </si>
  <si>
    <t>[CCC02679-02]</t>
  </si>
  <si>
    <t>000967</t>
  </si>
  <si>
    <t xml:space="preserve">BALDONI / MCD BALDONI -Terraplanagem   ( CAMPO BELO 2)  20%   NF </t>
  </si>
  <si>
    <t> [CCC04663]</t>
  </si>
  <si>
    <t>Campo Belo 2_Obras Terraplanagem</t>
  </si>
  <si>
    <r>
      <t xml:space="preserve">Medição 01 - INST/5417 - ESCOPO COLATIO - FINAL </t>
    </r>
    <r>
      <rPr>
        <strike/>
        <sz val="9"/>
        <color theme="1"/>
        <rFont val="Arial"/>
      </rPr>
      <t>(Campo Belo 2)</t>
    </r>
  </si>
  <si>
    <t>[CCC02765-03]</t>
  </si>
  <si>
    <t xml:space="preserve">Campo Belo 2 - CAPEX - Serviço AT - CCAP-C2_000021
Nota Dividida em duas Usinas. Valor Total da nota: 402193,52.
Campo Belo 2 : R$ 134750
Varginha 2 :R$ 267443,52
</t>
  </si>
  <si>
    <t>Campo Belo 2_Obras AT_MD</t>
  </si>
  <si>
    <t>Reatores de aterramento ADELCO (Campo Belo 2)</t>
  </si>
  <si>
    <t xml:space="preserve"> Campo Belo 2 </t>
  </si>
  <si>
    <t>Archtech - Testes de PullOuT_Biotec - Adiantamento (Campo Belo 2)</t>
  </si>
  <si>
    <t>[CCC03145-28]</t>
  </si>
  <si>
    <t>JX AMBIENTAL - Procedimento Administrativo - DAIA de implantação de UFV - 01de02 (Campo Belo 2)</t>
  </si>
  <si>
    <t>[CCC03232-07]</t>
  </si>
  <si>
    <t>Archtech - Testes de PullOuT_Biotec - Finalização (Campo Belo 2)</t>
  </si>
  <si>
    <t>[CCC03265-28]</t>
  </si>
  <si>
    <t>Serviço de SPT - BIOTEC (Campo Belo 2) - 40% iniciais - Campanha 6</t>
  </si>
  <si>
    <t>[CCC03281-17]</t>
  </si>
  <si>
    <t>Serviço de SPT - BIOTEC (Campo Belo 2) - 60% finais - Campanha 6</t>
  </si>
  <si>
    <t>[CCC03295-07]</t>
  </si>
  <si>
    <t>SUPERVISORIO - Ciclo 2 - Gateways e remota (Campo Belo 2)</t>
  </si>
  <si>
    <t>[CCC03207-08]</t>
  </si>
  <si>
    <t>Campo Belo 2 _SGD</t>
  </si>
  <si>
    <t>000142</t>
  </si>
  <si>
    <t>[CCC03207-16]</t>
  </si>
  <si>
    <t>000165</t>
  </si>
  <si>
    <t>Eng. Executiva GLD - Entrega 01 - P01_05 (Campo Belo 2)</t>
  </si>
  <si>
    <t>[CCC03206-09]</t>
  </si>
  <si>
    <t>Campo Belo 2_Engenharia Executiva - Detalhada</t>
  </si>
  <si>
    <t>Eng. Executiva GLD - Entrega 02 - P01_03 (Campo Belo 2)</t>
  </si>
  <si>
    <t>[CCC03206-14]</t>
  </si>
  <si>
    <t>JX AMBIENTAL - Procedimento Administrativo - DAIA de implantação de UFV - 02de02 (Campo Belo 2)</t>
  </si>
  <si>
    <t>[CCC03325-04]</t>
  </si>
  <si>
    <t>Construção e Montagem GLD - Medição 1 - Adiantamento (Campo Belo 2)  NF198</t>
  </si>
  <si>
    <t>[CCC03339-03]</t>
  </si>
  <si>
    <t>Campo Belo 2_EPC_MD</t>
  </si>
  <si>
    <t>Projeto de cabine primária  - PROJETTI - 100% (Campo Belo 2)</t>
  </si>
  <si>
    <t>[CCC03373-12]</t>
  </si>
  <si>
    <t>Campo Belo 2_Projeto/Coordenograma</t>
  </si>
  <si>
    <t>Estação solarimétrica – Hukseflux     Campo Belo 2</t>
  </si>
  <si>
    <t>Campo Belo 2 _Estação solarimétrica</t>
  </si>
  <si>
    <t>Revisão de coordenograma de proteção em função de alteração do modelo do relé de proteção (UFV Campo Belo 2)</t>
  </si>
  <si>
    <t>[CCC03465]</t>
  </si>
  <si>
    <t>000374</t>
  </si>
  <si>
    <t>Desenvolvimento de   projetos  GLD  (CAMPO BELO 2  )    NF  229</t>
  </si>
  <si>
    <t>Campo Belo 2 _Engenharia Executiva - Basica</t>
  </si>
  <si>
    <t xml:space="preserve">COMPRA MATERIAIS PARA UFVs  ( CAMPO BELO 2)  NF 67956  SULMINAS </t>
  </si>
  <si>
    <t>COMPRA MATERIAIS PARA UFVs  ( CAMPO BELO 2)  NF  4248 TECFIBRAS</t>
  </si>
  <si>
    <t>000579</t>
  </si>
  <si>
    <t>Medição (MBA- MT)</t>
  </si>
  <si>
    <t>MEDIÇÃO  PRESTAÇÃO DE SERVIÇOS (CAMPO BELO 2 )    NF  2436</t>
  </si>
  <si>
    <t>Pagamento de serviçoPrestação de serviço de montagem e instalação elétrica de redes de distribuição de energia rural e urbana. para atender a UFVs.</t>
  </si>
  <si>
    <t>Campo Belo 2 _Obras MT_MD</t>
  </si>
  <si>
    <t>BALDONI / MCD BALDONI  - Terraplanagem - Medição  1 (CAMPO BELO 2)  20%        NF       146</t>
  </si>
  <si>
    <t xml:space="preserve">Pagamento de serviço de medição de terraplanagem necessário à construção da UFV. </t>
  </si>
  <si>
    <t>[CCC04086}</t>
  </si>
  <si>
    <t>000575</t>
  </si>
  <si>
    <t>BALDONI / Baldoni Engenharia    - Terraplanagem - Medição 1 (CAMPO BELO 2)  80%        N    316</t>
  </si>
  <si>
    <t>COMPRA MATERIAIS PARA UFVs  (  CAMPO BELO)  SULMINAS  NF  68045</t>
  </si>
  <si>
    <t>[CCC04097]</t>
  </si>
  <si>
    <t>´000651</t>
  </si>
  <si>
    <t>COMPRA MATERIAIS PARA UFVs  (CAMPO BELO  2 )  SULMINAS  NF  68222  *</t>
  </si>
  <si>
    <t>PRESTAÇÃO DE SERVIÇOS MEDIÇÃO 1 UFVS ( CAMPO BELO  2)    NF    278</t>
  </si>
  <si>
    <t>PRESTAÇÃO DE SERVIÇOS MEDIÇÃO 1 UFVS ( CAMPO BELO 2)    NF    279</t>
  </si>
  <si>
    <t>BALDONI / MCD BALDONI  - Terraplanagem - Medição 2 (CAMPO BELO 2)  20%        NF   153</t>
  </si>
  <si>
    <t>000662</t>
  </si>
  <si>
    <t>BALDONI / Baldoni Engenharia    - Terraplanagem - Medição 2 (CAMPO BELO  2)  80%        N   322</t>
  </si>
  <si>
    <t>COMPRA MATERIAIS PARA UFVs ( CAMPO BELO 2  )    NF  4338 TECFIBRAS</t>
  </si>
  <si>
    <t>Compra feita em Faturamento Direto, em contrato  MT.</t>
  </si>
  <si>
    <t> [CCC04136]</t>
  </si>
  <si>
    <t>´000652</t>
  </si>
  <si>
    <t xml:space="preserve">COMPRA MATERIAIS PARA UFVs  ( CAMPO BELO 2 )  SULMINAS  NF 68221 </t>
  </si>
  <si>
    <t>COMPRA MATERIAIS PARA UFVs  (  CAMPO BELO  2)  SULMINAS  NF  68049</t>
  </si>
  <si>
    <t>COMPRA MATERIAIS PARA UFVs ( CAMPO BELO 2)    NF  67150  TRAEL</t>
  </si>
  <si>
    <t>Fat.Direito EPC (GLD)</t>
  </si>
  <si>
    <t xml:space="preserve">COMPRA MATERIAIS PARA UFVs ( CAMPO BELO 2  )  </t>
  </si>
  <si>
    <t>Campo Belo 2_EPC_FD</t>
  </si>
  <si>
    <t>PRESTAÇÃO DE SERVIÇO UFVs (CAMPO BELO 2)   NF 318  RONDA PORTEIROS</t>
  </si>
  <si>
    <t>Pagamento em faturamento direto referente ao SERVIÇO DE VIGILANCIA DESARMADA, ADITIVO DE DOIS VIGIAS NOTURNA  , em contrato EPC.</t>
  </si>
  <si>
    <t> [CCC04261]</t>
  </si>
  <si>
    <t>BALDONI / MCD BALDONI  - Terraplanagem - Medição 3 (CAMPO BELO 2)  20%        NF   157</t>
  </si>
  <si>
    <t>000711</t>
  </si>
  <si>
    <t>BALDONI / Baldoni Engenharia    - Terraplanagem - Medição 3 (CAMPO BELO  2)  80%        N   326</t>
  </si>
  <si>
    <t>PRESTÇÃO DE SERVIÇOS UFVS ( CAMPO BELO 2 )  NF  317</t>
  </si>
  <si>
    <t>000758</t>
  </si>
  <si>
    <t>BALDONI / MCD BALDONI  - Terraplanagem - Medição 4 (CAMPO BELO 2)  20%        NF   162</t>
  </si>
  <si>
    <t> [CCC04270]</t>
  </si>
  <si>
    <t>000759</t>
  </si>
  <si>
    <t>BALDONI / Baldoni Engenharia    - Terraplanagem - Medição 4 (CAMPO BELO  2)  80%        N   330</t>
  </si>
  <si>
    <t>COMPRA DE MATERIAIS UFVS ( CAMPO BELO 2) NF 89  STEFANIO COUTINHO</t>
  </si>
  <si>
    <t>000793</t>
  </si>
  <si>
    <t xml:space="preserve">PRESTAÇÃO DE SERVIÇOS  UFVs ( CAMPO BELO 2 )  NF 295   </t>
  </si>
  <si>
    <t>PRESTAÇÃO DE SERVIÇOS  UFVs ( CAMPO BELO 2 )  NF 296</t>
  </si>
  <si>
    <t>COMPRA DE MATERIAIS UFVs (CAMPO BELO 2) NF 22802 LIDER FABRICA DE POSTES</t>
  </si>
  <si>
    <t> [CCC04361]</t>
  </si>
  <si>
    <t>BALDONI / MCD BALDONI  - Terraplanagem - Medição 5 (CAMPO BELO 2)  20%        NF   167</t>
  </si>
  <si>
    <t>BALDONI / Baldoni Engenharia    - Terraplanagem - Medição 5 (CAMPO BELO  2)  80%        N   333</t>
  </si>
  <si>
    <t>COMPRA DE MATERIAIS  UFVs( CAMPO BELO 2)   NF 68871  SULMINAS</t>
  </si>
  <si>
    <t>Verificado e realmente pertence a Campo Belo 2.</t>
  </si>
  <si>
    <t>MEDIÇÃO ADITIVOS UFVs ( CAMPO BELO 2)  NF 301</t>
  </si>
  <si>
    <t>Pagamento de medição de 5° aditivo,  referente a prestação de serviços e mão de obra,   necessários a construção da UFVs em contrato EPC.  65%</t>
  </si>
  <si>
    <t> [CCC04375]</t>
  </si>
  <si>
    <t>000805</t>
  </si>
  <si>
    <t>MEDIÇÃO ADITIVOS UFVs ( CAMPO BELO 2)  NF 302</t>
  </si>
  <si>
    <t xml:space="preserve">COMPRA DE MATERIAIS  UFVs ( CAMPO BELO 2)   NF 67945  TRAEL </t>
  </si>
  <si>
    <t>Pagamento em faturamento direto, REFERENTE A COMPRA DE MATERIAIS, necessário à construção da UFV em contrato MT . Feito devolução do dinheiro conforme email Gabriela -ter 01/08/2023 08:17 - Medição 08/2023 - UFV Campo Belo 2 - NS 1157691774</t>
  </si>
  <si>
    <t>000828</t>
  </si>
  <si>
    <t>COMPRA DE MATERIAIS  UFVs ( CAMPO BELO 2)   NF 418 ZANIN</t>
  </si>
  <si>
    <t xml:space="preserve">PRESTAÇÃO DE SERVIÇOS UFVs  ( CAMPO BELO 2 ) NF 365 RONDA PORTEIROS </t>
  </si>
  <si>
    <t> [CCC04393]</t>
  </si>
  <si>
    <t>Pagamento em faturamento direto referente ao SERVIÇO DE VIGILANCIA DESARMADA, em contrato EPC.</t>
  </si>
  <si>
    <t>PRESTAÇÃO DE SERVIÇOS  UFVs ( CAMPO BELO 2 )  NF  315</t>
  </si>
  <si>
    <t>PRESTAÇÃO DE SERVIÇOS  UFVs ( CAMPO BELO 2 )  NF 316</t>
  </si>
  <si>
    <t>BALDONI / MCD BALDONI  - Terraplanagem - Medição  (CAMPO BELO 2)  20%        NF   172</t>
  </si>
  <si>
    <t>BALDONI / Baldoni Engenharia    - Terraplanagem - Medição  (CAMPO BELO  2)  80%        N   338</t>
  </si>
  <si>
    <t>000869</t>
  </si>
  <si>
    <t>BALDONI / MCD BALDONI  - Terraplanagem - Medição  (CAMPO BELO 2)  20%        NF  175</t>
  </si>
  <si>
    <t> [CCC04503]</t>
  </si>
  <si>
    <t>BALDONI / Baldoni Engenharia    - Terraplanagem - Medição  (CAMPO BELO  2)  80%        N  340</t>
  </si>
  <si>
    <t>PRESTAÇÃO DE SERVIÇOS  UFVs ( CAMPO BELO 2 )  NF  340</t>
  </si>
  <si>
    <t>Pagamento 4° medição, referente a prestação de serviços e mão de obra,  necessários a construção da UFVs em contrato EPC.  65%</t>
  </si>
  <si>
    <t> [CCC04500]</t>
  </si>
  <si>
    <t>000868</t>
  </si>
  <si>
    <t>PRESTAÇÃO DE SERVIÇOS  UFVs ( CAMPO BELO 2 )  NF  341</t>
  </si>
  <si>
    <t>Pagamento  4° medição,  referente a elaboração de planos,   necessários a construção da UFVs em contrato EPC.  35%</t>
  </si>
  <si>
    <t>A301-MORI MINAS NEWCO V ENERGIA SOLAR S.A</t>
  </si>
  <si>
    <t xml:space="preserve">PRESTAÇÃO DE SERVIÇOS UFVs( CAMPO BELO  2 ) NF 455 RONDA PORTEIROS </t>
  </si>
  <si>
    <t>Pagamento em faturamento direto,  REFERENTE A VIGILANCIA necessário à construção da UFV em contrato EPC.  ADITIVO</t>
  </si>
  <si>
    <t> [CCC04535]</t>
  </si>
  <si>
    <t>000892</t>
  </si>
  <si>
    <t xml:space="preserve">PRESTAÇÃO DE SERVIÇOS UFVs( CAMPO BELO  2 ) NF 449 RONDA PORTEIROS </t>
  </si>
  <si>
    <t xml:space="preserve">BALDONI / MCD BALDONI -Terraplanagem   ( CAMPO BELO 2)  20%   NF  </t>
  </si>
  <si>
    <t>Pagamento de serviço de terraplanagem necessário à construção da UFV.  MEDIÇÃO 8</t>
  </si>
  <si>
    <t> [CCC04564]</t>
  </si>
  <si>
    <t xml:space="preserve">BALDONI / BALDONI ENGENHEIRO -Terraplanagem  ( CAMPO BELO 2)  80%   NF   </t>
  </si>
  <si>
    <t>000943</t>
  </si>
  <si>
    <t>COMPRA DE MATERIAIS UFvs ( CAMPO BELO 2) NF 204724 BLOJAF</t>
  </si>
  <si>
    <t> [CCC04603]</t>
  </si>
  <si>
    <t>COMPRA MATERIAIS PARA UFVs  ( CAMPO BELO 4 )  SULMINAS  NF 68410</t>
  </si>
  <si>
    <t xml:space="preserve"> </t>
  </si>
  <si>
    <t>Cancelar pois esta repetida na linha 3036</t>
  </si>
  <si>
    <t xml:space="preserve">COMPRA MATERIAIS PARA UFVs  ( CAMPO BELO 4)  SULMINAS  NF 68404  </t>
  </si>
  <si>
    <t>000968</t>
  </si>
  <si>
    <t xml:space="preserve">BALDONI / BALDONI ENGENHEIRO -Terraplanagem  ( CAMPO BELO 2)  80%   NF </t>
  </si>
  <si>
    <t xml:space="preserve">COMPRA DE MATERIAIS UFVs(CAMPO BELO 2) NF 8300  SANTA EDWIGES </t>
  </si>
  <si>
    <t>PRESTAÇÃO DE SERVIÇOS UFVs ( CAMPO BELO 2) NF 555  RONDA PORTEIROS</t>
  </si>
  <si>
    <t>Pagamento em faturamento direto, referente a serviço de vigilância, necessário a construção da usinas em contrato EPC. ADITIVO</t>
  </si>
  <si>
    <t> [CCC04691]</t>
  </si>
  <si>
    <t>PRESTAÇÃO DE SERVIÇOS UFVs ( CAMPO BELO 2)  NF  378</t>
  </si>
  <si>
    <t>Pagamento de 5° medição,  referente a prestação de serviços e mão de obra,   necessários a construção da UFVs em contrato EPC.  65%</t>
  </si>
  <si>
    <t> [CCC04754]</t>
  </si>
  <si>
    <t>PRESTAÇÃO DE SERVIÇOS UFVs ( CAMPO BELO 2)  NF  379</t>
  </si>
  <si>
    <t>Pagamento de 5° medição,  referente a elaboração de planos,   necessários a construção da UFVs em contrato EPC.  35%</t>
  </si>
  <si>
    <t>001045</t>
  </si>
  <si>
    <t>PRESTAÇÃO DE SERVIÇOS UFVs ( CAMPO BELO 2)  NF  595 RONDA PORTEIROS</t>
  </si>
  <si>
    <t>PRESTAÇÃO DE SERVIÇOS UFVs (CAMBO BELO 2) NF 2591</t>
  </si>
  <si>
    <t>COMPRA DE MATERIAIS UFvs (CAMPO BELO 2 ) NF 333  METALIZE</t>
  </si>
  <si>
    <t>PRESTAÇÃO DE SERVIÇOS UFVs (CAMPO BELO 2) NF 597  RONDA PORTEIROS</t>
  </si>
  <si>
    <t>Pagamento em faturamento direto referente a prestação de serviço de vigilância desarmada necessário a construção da usinas em contrato EPC. ADITIVO</t>
  </si>
  <si>
    <t>MEDIÇÃO (EPC-GLD)</t>
  </si>
  <si>
    <t>BALDONI / MCD BALDONI - Terraplanagem - Medição (CAMPO BELO 2) 20%  NF 186</t>
  </si>
  <si>
    <t>Pagamento de serviço de terraplanagem necessário à construção da UFV. MEDIÇÃO 10</t>
  </si>
  <si>
    <t> [CCC04781]</t>
  </si>
  <si>
    <t>BALDONI / Baldoni Engenharia -Terraplanagem - Medição  (CAMPO BELO  2)  80%  NF 351</t>
  </si>
  <si>
    <t>Pagamento de serviço de terraplanagem necessário à construção da UFV.  MEDIÇÃO 10</t>
  </si>
  <si>
    <t>PRESTAÇÃO DE SERVIÇOS UFVs ( CAMPO BELO 2)  NF  402</t>
  </si>
  <si>
    <t>Pagamento de 6° medição,  referente a prestação de serviços e mão de obra,   necessários a construção da UFVs em contrato EPC.  65%</t>
  </si>
  <si>
    <t>PRESTAÇÃO DE SERVIÇOS UFVs ( CAMPO BELO 2)  NF  403</t>
  </si>
  <si>
    <t>Pagamento de 6° medição,  referente a elaboração de planos,   necessários a construção da UFVs em contrato EPC.  35%</t>
  </si>
  <si>
    <t>MEDIÇÃO (EPC)</t>
  </si>
  <si>
    <t>BALDONI / MCD BALDONI - Terraplanagem - Medição (CAMPO BELO 2) 20%  NF 188</t>
  </si>
  <si>
    <t>Pagamento de serviço de terraplanagem necessário à construção da UFV. MEDIÇÃO 11</t>
  </si>
  <si>
    <t> [CCC04812]</t>
  </si>
  <si>
    <t>BALDONI / Baldoni Engenharia -Terraplanagem - Medição  (CAMPO BELO  2)  80%  N 353</t>
  </si>
  <si>
    <t>Pagamento de serviço de terraplanagem necessário à construção da UFV.  MEDIÇÃO 11</t>
  </si>
  <si>
    <t>COMPRA DE MATERIAIS UFVs   (CAMPO BELO 2) NF 11  STEFANIO COUTINHO</t>
  </si>
  <si>
    <t>Projetos de fundações e drenagem - HALLITE (Campo Belo 3) Analise terraplanagem</t>
  </si>
  <si>
    <t>[CCC02507-02]</t>
  </si>
  <si>
    <t>Campo Belo 3 _Outros</t>
  </si>
  <si>
    <t>COMPRA DE MATERIAIS UFVs (CAMPO BELO 3) NF  45244 INCOPRE</t>
  </si>
  <si>
    <t>Campo Belo 3 _Obras MT_FD</t>
  </si>
  <si>
    <t>MEDIÇÃO  PRESTAÇÃO DE SERVIÇOS ( CAMPO BELO 3 )    NF   2430</t>
  </si>
  <si>
    <t>Nota Fiscal com Informação de Campo Belo 3 Confirmado. Informado pela MBA que se trata-se de contrato MT.</t>
  </si>
  <si>
    <t>Campo Belo 3 _Obras MT_MD</t>
  </si>
  <si>
    <t>Comissionamento de instalações (Campo Belo 3)</t>
  </si>
  <si>
    <t>[CCC02679-05]</t>
  </si>
  <si>
    <t>Campo Belo 3 - CAPEX - Serviço AT - CCAP-C2_000021</t>
  </si>
  <si>
    <t>Campo Belo 3_Obras AT_FD</t>
  </si>
  <si>
    <t>[CCC02679-06]</t>
  </si>
  <si>
    <t>S033</t>
  </si>
  <si>
    <t>Equipamentos - ABS SISTEMAS (Campo Belo 3)</t>
  </si>
  <si>
    <t>S037</t>
  </si>
  <si>
    <t>Equipamentos - ARTECHE (Campo Belo 3)</t>
  </si>
  <si>
    <t>S041</t>
  </si>
  <si>
    <t>Equipamentos - BALTEAU (Campo Belo 3)</t>
  </si>
  <si>
    <t>S046</t>
  </si>
  <si>
    <r>
      <t>Material elétrico - CABELAUTO (</t>
    </r>
    <r>
      <rPr>
        <strike/>
        <sz val="9"/>
        <color theme="1"/>
        <rFont val="Arial"/>
      </rPr>
      <t>Campo Belo 3)</t>
    </r>
  </si>
  <si>
    <t>Campo Belo 3 - CAPEX - Serviço AT - CCAP-C2_000021 - Esta Nota esta realocada R$ 20.000  Tres corações</t>
  </si>
  <si>
    <t>S053</t>
  </si>
  <si>
    <t>Equipamentos - ELETROTASK (Campo Belo 3)</t>
  </si>
  <si>
    <t>S056</t>
  </si>
  <si>
    <t>Transporte de materiais - MARCELO DE OLIVEIRA (Campo Belo 3)</t>
  </si>
  <si>
    <t>Equipamentos - MARLICE EQUIPAMENTOS(Campo Belo 3)</t>
  </si>
  <si>
    <t>S068</t>
  </si>
  <si>
    <t>Equipamentos - RITZ (Campo Belo 3)</t>
  </si>
  <si>
    <t>S073</t>
  </si>
  <si>
    <t>Transporte de equipamentos - RODONAVES (Campo Belo 3)</t>
  </si>
  <si>
    <t>S084</t>
  </si>
  <si>
    <t>Equipamentos - USICROM (Campo Belo 3)</t>
  </si>
  <si>
    <t>Medição 01 - INST/5413 - ESCOPO COLATIO - FINAL (Campo Belo 3)</t>
  </si>
  <si>
    <t>[CCC02765-01]</t>
  </si>
  <si>
    <t>Campo Belo 3_Obras AT_MD</t>
  </si>
  <si>
    <t>Reatores de aterramento ADELCO (Campo Belo 3)</t>
  </si>
  <si>
    <t>Histórico SOLATIO -Medição MBA_SOLATIO (Campo Belo 3)</t>
  </si>
  <si>
    <t>Archtech - Testes de PullOuT_Biotec - Adiantamento (Campo Belo 3)</t>
  </si>
  <si>
    <t>[CCC03145-29]</t>
  </si>
  <si>
    <t>Medição 01 (Campo Belo 3)</t>
  </si>
  <si>
    <t>[CCC03204-02]</t>
  </si>
  <si>
    <t>Campo Belo 3 - CAPEX - Serviço MT - CCAP-C2_000021</t>
  </si>
  <si>
    <t>000095</t>
  </si>
  <si>
    <t>Serviço de SPT - NOVO TEMPO (Campo Belo 3) - Campanha 5</t>
  </si>
  <si>
    <t>[CCC03047-04]</t>
  </si>
  <si>
    <t>Projeto de cabine primária  - PROJETTI - 100% (Campo Belo 3)</t>
  </si>
  <si>
    <t>[CCC03233-08]</t>
  </si>
  <si>
    <t>Campo Belo 3_Projeto/Coordenograma</t>
  </si>
  <si>
    <t>Archtech - Testes de PullOuT_Biotec - Finalização (Campo Belo 3)</t>
  </si>
  <si>
    <t>[CCC03265-29]</t>
  </si>
  <si>
    <t>SUPERVISORIO - Ciclo 2 - Gateways e remota (Campo Belo 3) NF 1745</t>
  </si>
  <si>
    <t>[CCC03269-10]</t>
  </si>
  <si>
    <t>Campo Belo 3 _SGD</t>
  </si>
  <si>
    <t>SUPERVISORIO - Ciclo 2 - Baterias, desktops, switch e acessórios (Campo Belo 3) NF 1761</t>
  </si>
  <si>
    <t>[CCC03269-26]</t>
  </si>
  <si>
    <t>Construção e Montagem WEG - Medição 1 - Adiantamento (Campo belo 3)</t>
  </si>
  <si>
    <t>Pagamento de adiantamento contratual de 25% do total de contrato FullEPC de construção da UFV- EVENTO 1 PROFORMA</t>
  </si>
  <si>
    <t>[CCC03330-03]</t>
  </si>
  <si>
    <t>Campo Belo 3_Full EPC - Turn Key</t>
  </si>
  <si>
    <t>CANCELADO  -  Construção e Montagem WEG - Medição 2 - Entrega de POs (Campo Belo 3)</t>
  </si>
  <si>
    <t>[CCC03352-03]</t>
  </si>
  <si>
    <t>A404</t>
  </si>
  <si>
    <t>Construção e Montagem WEG - Medição 2 - Entrega de POs (Campo Belo 3) (antigo 000295)</t>
  </si>
  <si>
    <t>Pagamento de medição contratual, suportada pelo 1o marco de contrato FullEPC de construção da UFV- EVENTO 2 PROFORMA</t>
  </si>
  <si>
    <t>A404 -MORI MINAS NEWCO IV - UFV CAMPO BELO 3</t>
  </si>
  <si>
    <t>MEDIÇÃO MENSAL  OUT/2022 UFVs  ( Campo Belo 3  )   AFAPLAN   NF  7368</t>
  </si>
  <si>
    <t>Campo Belo 3_Engenharia de Proprietario</t>
  </si>
  <si>
    <t>Construção e Montagem WEG- (integrador ATC ASSISTENCIA  ) Medição 2  UFVs (CAMPO BELO 3) NF 03623</t>
  </si>
  <si>
    <t>Pagamento de serviço de instalação e montagem , inversores e Estruturas  necessário à construção da UFV. EVENTO 2 INTEGRADOR</t>
  </si>
  <si>
    <t>[CCC03736]</t>
  </si>
  <si>
    <t>MRO - Terraplanagem UFVs Full-EPC -   1° MEDIÇAO (  Campo Belo 3)   NF 371  VALOR A SER PAGO R$ 91.558,72</t>
  </si>
  <si>
    <t>[CCC03684]</t>
  </si>
  <si>
    <t>Campo Belo 3_Obras Terraplanagem</t>
  </si>
  <si>
    <t>Revisão de coordenograma de proteção em função de alteração da potência dos transformadores  (UFV Campo Belo 3)</t>
  </si>
  <si>
    <t>[CCC03437]</t>
  </si>
  <si>
    <t>Revisão de coordenograma de proteção em função de alteração do modelo do relé de proteção (UFV Campo Belo 3)</t>
  </si>
  <si>
    <t>[CCC03454]</t>
  </si>
  <si>
    <t>MRO - Terraplanagem UFVs Full-EPC -  MEDIÇÃO 1  35% INTERMERDIÁRIOS (  CAMPO BELO 3)  NF393</t>
  </si>
  <si>
    <t xml:space="preserve"> WEG  MEDIÇÃO PRESTAÇÃO DE SERVIÇOS   ( CAMPO BELO 3 )  NF 3638  INTEGRADOR   ATC</t>
  </si>
  <si>
    <t xml:space="preserve">Pagamento de medição contratual, MOBILIZAÇÃO DE CANTEIRO , contrato FullEPC de construção da UFV . EVENTO 3 INTEGRADOR </t>
  </si>
  <si>
    <t>[CCC04096]</t>
  </si>
  <si>
    <t xml:space="preserve">WEG PRESTAÇÃO DE SERVIÇOS UFVs ( CAMPO BELO 3)   ADIANTAMENTO </t>
  </si>
  <si>
    <t>Pagamento MEDIÇÃO  referente a serviço de mobilização de canteiro , contrato FULL EPC WEG. EVENTO 3  PROFORMA</t>
  </si>
  <si>
    <t>[CCC04100]</t>
  </si>
  <si>
    <t>DAE - Dispença de Licenciamento ambiental UFV  ( CAMPO BELO 3)  NF  951</t>
  </si>
  <si>
    <t xml:space="preserve">WEG MEDIÇÃO  ENTREGADE MODULOS   -  EVENTO 5 -UFVs ( CAMPO BELO 3)  </t>
  </si>
  <si>
    <t>Pagamento de medição contratual, CONTRA ENTREGA DE MODULOS, Evento 5 de contrato FullEPC de construção da UFV . EVENTO 5 PROFORMA</t>
  </si>
  <si>
    <t>A304 - MORI MINAS NEWCO V - UFV CAMPO BELO 4</t>
  </si>
  <si>
    <t xml:space="preserve"> WEG  MEDIÇÃO PRESTAÇÃO DE SERVIÇOS   ( CAMPO BELO 4 )  NF 174  INTEGRADOR  INOVVA</t>
  </si>
  <si>
    <t>Pagamento de medição contratual, MOBILIZAÇÃO DE CANTEIRO , contrato FullEPC de construção da UFV .</t>
  </si>
  <si>
    <t> [CCC04211]</t>
  </si>
  <si>
    <t>COMPRA DE MATERIAIS UFVS (CAMPO BELO 3  ) NF  431836   LOJA ELETRICA</t>
  </si>
  <si>
    <t>Compra feita em Faturamento Direto, DE MATERIAIS, em contrato de obras MT .</t>
  </si>
  <si>
    <t> [CCC04279]</t>
  </si>
  <si>
    <t>001067</t>
  </si>
  <si>
    <t>COMPRA DE MATERIAIS UFVS ( Muzambinho ) NF 432577  LOJA ELETRICA</t>
  </si>
  <si>
    <t> [CCC04325]</t>
  </si>
  <si>
    <t>001073</t>
  </si>
  <si>
    <t>COMPRA DE MATERIAIS UFVs (CAMPO BELO 3) NF 432674 LOJA ELÉTRICA</t>
  </si>
  <si>
    <t> [CCC04329]</t>
  </si>
  <si>
    <t>MEDIÇÃO MENSAL UFVs  ( Campo Belo 3  )   AFAPLAN   NF  7887</t>
  </si>
  <si>
    <t xml:space="preserve">COMPRA DE MATERIAIS  UFVs ( CAMPO BELO 3)   NF 67936  TRAEL </t>
  </si>
  <si>
    <t>COMPRA DE MATERIAL UFVs (CAMPO BELO 3) NF 438176 LOJA ELETRICA</t>
  </si>
  <si>
    <t>COMPRA DE MATERIAL UFVs (CAMPO BELO 3) NF 438132 LOJA ELETRICA</t>
  </si>
  <si>
    <t xml:space="preserve">Pagamento em faturamento direto, REFERENTE A COMPRA DE MATERIAIS, necessário à construção da UFV em contrato EPC.   REMOÇÃO </t>
  </si>
  <si>
    <t>001200</t>
  </si>
  <si>
    <t>COMPRA DE MATERIAIS  UFVs (CAMPO BELO 3) NF 45238  INCOPRE</t>
  </si>
  <si>
    <t>001252</t>
  </si>
  <si>
    <t xml:space="preserve"> PRESTAÇÃO DE SERVIÇOS UFVs (CAMPO BELO 3 )   NF 624    DAYSE PEREIRA      </t>
  </si>
  <si>
    <t> [CCC04483]</t>
  </si>
  <si>
    <t>001253</t>
  </si>
  <si>
    <t xml:space="preserve"> PRESTAÇÃO DE SERVIÇOS UFVs (CAMPO BELO 3 )   NF 629    DAYSE PEREIRA      </t>
  </si>
  <si>
    <t>001258</t>
  </si>
  <si>
    <t xml:space="preserve"> PRESTAÇÃO DE SERVIÇOS UFVs (CAMPO BELO 3 )   NF 614    DAYSE PEREIRA      </t>
  </si>
  <si>
    <t> [CCC04485]</t>
  </si>
  <si>
    <t xml:space="preserve"> PRESTAÇÃO DE SERVIÇOS UFVs (CAMPO BELO 3 )   NF  630   DAYSE PEREIRA      </t>
  </si>
  <si>
    <t xml:space="preserve"> PRESTAÇÃO DE SERVIÇOS UFVs (CAMPO BELO 3 )   NF  631   DAYSE PEREIRA      </t>
  </si>
  <si>
    <t xml:space="preserve"> PRESTAÇÃO DE SERVIÇOS UFVs (CAMPO BELO 3 )   NF  633  DAYSE PEREIRA      </t>
  </si>
  <si>
    <t xml:space="preserve"> PRESTAÇÃO DE SERVIÇOS UFVs (CAMPO BELO 3 )   NF  639   DAYSE PEREIRA      </t>
  </si>
  <si>
    <t>001291</t>
  </si>
  <si>
    <t xml:space="preserve"> PRESTAÇÃO DE SERVIÇOS UFVs (CAMPO BELO 3 )   NF  644   DAYSE PEREIRA      </t>
  </si>
  <si>
    <t> [CCC04517]</t>
  </si>
  <si>
    <t>MEDIÇÃO MENSAL UFVs  ( Campo Belo 3  )   AFAPLAN   NF 8042</t>
  </si>
  <si>
    <t xml:space="preserve">MEDIÇÃO MENSAL UFVs  ( Campo Belo 3  )   AFAPLAN   NF </t>
  </si>
  <si>
    <t>001395</t>
  </si>
  <si>
    <t>WEG PRESTAÇÃO DE SERVIÇO  UFVs ( CAMPO BELO 3  )   ENGECON  NF  347</t>
  </si>
  <si>
    <t>Pagamento de medição 1,  referente aos serviços de drenagem,  necessário à construção da UFV.  63,96%</t>
  </si>
  <si>
    <t> [CCC04677]</t>
  </si>
  <si>
    <t>001432</t>
  </si>
  <si>
    <t>WEG PRESTAÇÃO DE SERVIÇOS UFVs ( CAMPO BELO 3)   ADIANTAMENTO   EVENTO 4</t>
  </si>
  <si>
    <t xml:space="preserve">Pagamento MEDIÇÃO MONTAGEM 100% DAS ESTACAS , contrato FULL EPC WEG. EVENTO 4 PROFORMA </t>
  </si>
  <si>
    <t>[CCC04714]</t>
  </si>
  <si>
    <t>PRESTAÇÃO DE SERVIÇOS UFVs (CAMBO BELO 3) NF 2587</t>
  </si>
  <si>
    <t>Pagamento de medição, referente a montagem e instalação elétrica de redes de distribuição de energia rural e urbana, necessário a construção da usina em contrato MT.</t>
  </si>
  <si>
    <t>Projetos de fundações e drenagem - HALLITE (Campo Belo 4) Analise terraplanagem</t>
  </si>
  <si>
    <t>[CCC02477-04]</t>
  </si>
  <si>
    <t>Campo Belo 4 _Outros</t>
  </si>
  <si>
    <t>Comissionamento de instalações (Campo Belo 4) repassada a SOLATIO</t>
  </si>
  <si>
    <t>[CCC02679-07]</t>
  </si>
  <si>
    <t>Campo Belo 4 - CAPEX - Serviço AT - CCAP-C2_000021</t>
  </si>
  <si>
    <t>Campo Belo 4_Obras AT_FD</t>
  </si>
  <si>
    <t>[CCC02679-08]</t>
  </si>
  <si>
    <t>S103</t>
  </si>
  <si>
    <t>Equipamentos - ABS SISTEMAS (Campo Belo 4)</t>
  </si>
  <si>
    <t>S104</t>
  </si>
  <si>
    <t>Equipamentos - ARTECHE (Campo Belo 4)</t>
  </si>
  <si>
    <t>S105</t>
  </si>
  <si>
    <t>Equipamentos - BALTEAU (Campo Belo 4)</t>
  </si>
  <si>
    <t>S106</t>
  </si>
  <si>
    <t>Material elétrico - CABELAUTO (Campo Belo 4)</t>
  </si>
  <si>
    <t>S107</t>
  </si>
  <si>
    <t>Serviços - New Energy (Campo Belo 4)</t>
  </si>
  <si>
    <t>S108</t>
  </si>
  <si>
    <t>Equipamentos - ELETROTASK (Campo Belo 4)</t>
  </si>
  <si>
    <t>S109</t>
  </si>
  <si>
    <t>Transporte de materiais - MARCELO DE OLIVEIRA (Campo Belo 4)</t>
  </si>
  <si>
    <t>S110</t>
  </si>
  <si>
    <t>Equipamentos - MARLICE EQUIPAMENTOS(Campo Belo 4)</t>
  </si>
  <si>
    <t>S111</t>
  </si>
  <si>
    <t>Equipamentos - RITZ (Campo Belo 4)</t>
  </si>
  <si>
    <t>S112</t>
  </si>
  <si>
    <t>Transporte de equipamentos - RODONAVES (Campo Belo 4)</t>
  </si>
  <si>
    <t>S113</t>
  </si>
  <si>
    <t>Equipamentos - USICROM (Campo Belo 4)</t>
  </si>
  <si>
    <t>S114</t>
  </si>
  <si>
    <t>Transporte de materiais - RMF ARANHA (Campo Belo 4)</t>
  </si>
  <si>
    <t>S115</t>
  </si>
  <si>
    <t>Equipamentos - SIEMENS (Campo Belo 4)</t>
  </si>
  <si>
    <t>S116</t>
  </si>
  <si>
    <t>Equipamentos - UNIAR (Campo Belo 4)</t>
  </si>
  <si>
    <t>Medição 01 - INST/54124 - ESCOPO COLATIO - FINAL (Campo Belo 4)</t>
  </si>
  <si>
    <t>[CCC02765-04]</t>
  </si>
  <si>
    <t>Campo Belo 4_Obras AT_MD</t>
  </si>
  <si>
    <t>Reatores de aterramento ADELCO (Campo Belo 4)</t>
  </si>
  <si>
    <t>Histórico SOLATIO -Medição REMO_SOLATIO (Campo Belo 4)</t>
  </si>
  <si>
    <t>Campo Belo 4 - CAPEX - Serviço MT - CCAP-C2_000021</t>
  </si>
  <si>
    <t>Campo Belo 4 _Obras MT_MD</t>
  </si>
  <si>
    <t>Histórico SOLATIO -Medição MBA_SOLATIO (Campo Belo 4)</t>
  </si>
  <si>
    <t xml:space="preserve">Medição 01 (Campo Belo 4) 02p/SOLATIO </t>
  </si>
  <si>
    <t>Primeira Medição MORI de avanço de serviço contratado para construção da rede MT da UFV CAMPO BELO 4, sendo a segunda considerando a medição SOLATIO.</t>
  </si>
  <si>
    <t>[CCC03173]</t>
  </si>
  <si>
    <t>Archtech - Testes de PullOuT_Biotec - Adiantamento (Campo Belo 4)</t>
  </si>
  <si>
    <t>[CCC03145-30]</t>
  </si>
  <si>
    <t>Serviço de SPT - NOVO TEMPO (Campo Belo 4) - Campanha 5</t>
  </si>
  <si>
    <t>[CCC03047-05]</t>
  </si>
  <si>
    <t>Projeto de cabine primária  - PROJETTI - 100% (Campo Belo 4)</t>
  </si>
  <si>
    <t>[CCC03233-07]</t>
  </si>
  <si>
    <t>Campo Belo 4_Projeto/Coordenograma</t>
  </si>
  <si>
    <t>Archtech - Testes de PullOuT_Biotec - Finalização (Campo Belo 4)</t>
  </si>
  <si>
    <t>[CCC03265-30]</t>
  </si>
  <si>
    <t xml:space="preserve">Medição 02 (Campo Belo 4) 03p/SOLATIO </t>
  </si>
  <si>
    <t>Segunda Medição MORI de avanço de serviço contratado para construção da rede MT da UFV CAMPO BELO 4, sendo a terceira considerando a medição SOLATIO.</t>
  </si>
  <si>
    <t>[CCC03254]</t>
  </si>
  <si>
    <t>SUPERVISORIO - Ciclo 2 - Gateways e remota (Campo Belo 4)</t>
  </si>
  <si>
    <t>[CCC03207-05]</t>
  </si>
  <si>
    <t>Campo Belo 4 _SGD</t>
  </si>
  <si>
    <t>[CCC03207-14]</t>
  </si>
  <si>
    <t>Construção e Montagem WEG - Medição 1 - Adiantamento (Campo Belo 4)</t>
  </si>
  <si>
    <t>[CCC03330-08]</t>
  </si>
  <si>
    <t>Campo Belo 4_Full EPC - Turn Key</t>
  </si>
  <si>
    <t xml:space="preserve">Medição 03 (Campo Belo 4) 04p/SOLATIO </t>
  </si>
  <si>
    <t>Terceira Medição MORI de avanço de serviço contratado para construção da rede MT da UFV CAMPO BELO 4, sendo a quarta considerando a medição SOLATIO.</t>
  </si>
  <si>
    <t>[CCC03347]</t>
  </si>
  <si>
    <t>COMPRA MATERIAIS PARA UFVs  ( CAMPO BELO 2)  SULMINAS  NF 68404  FALTA BOLETO</t>
  </si>
  <si>
    <t>Cancelar estava duplicada na celula 2911</t>
  </si>
  <si>
    <t>S149</t>
  </si>
  <si>
    <t>CANCELADO  -  Construção e Montagem WEG - Medição 2 - Entrega de POs (Campo Belo 4)</t>
  </si>
  <si>
    <t>[CCC03352-08]</t>
  </si>
  <si>
    <t>000703</t>
  </si>
  <si>
    <t xml:space="preserve">WEG PRESTAÇÃO DE SERVIÇOS UFVs ( CAMPO BELO 4)   ADIANTAMENTO  </t>
  </si>
  <si>
    <t>Pagamento MEDIÇÃO MOBILIZAÇÃO CANTEIRO DE OBRAS  , contrato FULL EPC WEG. EVENTO 3</t>
  </si>
  <si>
    <t> [CCC04198]</t>
  </si>
  <si>
    <t>000232</t>
  </si>
  <si>
    <t>Construção e Montagem WEG - Medição 2 - Entrega de POs (Campo Belo 4) (antigo 000229)</t>
  </si>
  <si>
    <t>MRO - Terraplanagem UFVs Full-EPC -   1° MEDIÇAO  (Campo Belo 4)  NF 375  VALOR A SER PAGO   124.085,10</t>
  </si>
  <si>
    <t>[CCC03688]</t>
  </si>
  <si>
    <t>Campo Belo 4_Obras Terraplanagem</t>
  </si>
  <si>
    <t>MEDIÇÃO MENSAL OUT/2022 UFVs  (  Campo Belo 4  )   AFAPLAN   NF   7372</t>
  </si>
  <si>
    <t>Campo Belo 4_Engenharia de Proprietario</t>
  </si>
  <si>
    <t>Construção e Montagem WEG- (INTEGRADOR INNOVA ENERGY ) Medição 2  UFVs (CAMPO BELO 4)   NF 124</t>
  </si>
  <si>
    <t>Pagamento de serviço de instalação e montagem , inversores e Estruturas  necessário à construção da UFV.</t>
  </si>
  <si>
    <t>[CCC03752]</t>
  </si>
  <si>
    <t>Revisão de coordenograma de proteção em função de alteração da potência dos transformadores (UFV Campo Belo 4)</t>
  </si>
  <si>
    <t>[CCC03438]</t>
  </si>
  <si>
    <t>000255</t>
  </si>
  <si>
    <t>Revisão de coordenograma de proteção em função de alteração do modelo do relé de proteção (UFV Campo Belo 4)</t>
  </si>
  <si>
    <t>[CCC03455]</t>
  </si>
  <si>
    <t>MRO - Terraplanagem UFVs Full-EPC -  MEDIÇÃO 1  35% INTERMERDIÁRIOS ( CAMPO BELO 4 )  NF 396</t>
  </si>
  <si>
    <t>A304 - MORI MINAS NEWCO V -  CAMPO BELO  4</t>
  </si>
  <si>
    <t xml:space="preserve">Construção e Montagem WEG - Medição - Entrega dos módulos na obra UFVs UFVs ( CAMPO BELO 4) </t>
  </si>
  <si>
    <t>Pagamento de medição contratual, Evento  5 ,  ENTREGA DE MODULOS referente ao contrato FullEPC de construção da UFV.</t>
  </si>
  <si>
    <t>[CCC03944]</t>
  </si>
  <si>
    <t>000767</t>
  </si>
  <si>
    <t>BALDONI / MCD BALDONI  - Terraplanagem - Medição 1 (CAMPO BELO 1)  20%        NF   148</t>
  </si>
  <si>
    <t>[CCC04095]</t>
  </si>
  <si>
    <t>BALDONI</t>
  </si>
  <si>
    <t>000991</t>
  </si>
  <si>
    <t xml:space="preserve">MEDIÇÃO MENSAL UFVs  (  Campo Belo 4  )   AFAPLAN   NF  </t>
  </si>
  <si>
    <t>COMPRA MATERIAIS PARA UFVs  ( CAMPO BELO 2)  SULMINAS  NF 68410</t>
  </si>
  <si>
    <t>MRO - Terraplanagem UFVs Full-EPC -  MEDIÇÃO AVANÇO   ( CAMPO BELO 4 ) NF  434</t>
  </si>
  <si>
    <t xml:space="preserve">.MRO - Terraplanagem </t>
  </si>
  <si>
    <t> [CCC04212]</t>
  </si>
  <si>
    <t>COMPRA MATERIAIS PARA UFVs  ( CAMPO BELO 4 )  NF  4385 TECFIBRAS</t>
  </si>
  <si>
    <t> [CCC04249]</t>
  </si>
  <si>
    <t>000787</t>
  </si>
  <si>
    <t>MEDIÇÃO MENSAL UFVs  (  Campo Belo 4  )   AFAPLAN   NF  7891</t>
  </si>
  <si>
    <t>000858</t>
  </si>
  <si>
    <t>MEDIÇÃO MENSAL UFVs  (  Campo Belo 4  )   AFAPLAN   NF  8047</t>
  </si>
  <si>
    <t>Supressão vegetal de Rede MT (Varginha 5)</t>
  </si>
  <si>
    <t>Serviço de supressão de vegetação para implantação de rede de distribuição para conexão da UFV.</t>
  </si>
  <si>
    <t>[CCC03307]</t>
  </si>
  <si>
    <t>Desvio para Campo Belo 4</t>
  </si>
  <si>
    <t>Campo Belo 4 _Obras MT_FD</t>
  </si>
  <si>
    <t>PRESTAÇÃO DE SERVIÇOS UFVs (VARGINHA 5) NF 523</t>
  </si>
  <si>
    <t>Pagamento  de 4° MEDIÇÃO SOLATIO, REFERENTE AOS MARCOS CONTRATUAIS DE APROVAÇÃO DE PROJETO CEMIG, necessários a construção da usinas em contrato MT .</t>
  </si>
  <si>
    <t> [CCC04380]</t>
  </si>
  <si>
    <t>000913</t>
  </si>
  <si>
    <t xml:space="preserve">WEG PRESTAÇÃO DE SERVIÇO  UFVs ( CAMPO BELO 4  )   ENGECON  NF </t>
  </si>
  <si>
    <t>Pagamento de medição,  referente aos serviços de drenagem,  necessário à construção da UFV.  Medição 80%</t>
  </si>
  <si>
    <t> [CCC04588]</t>
  </si>
  <si>
    <t>Campo Belo 4_Obras Drenagem</t>
  </si>
  <si>
    <t>000964</t>
  </si>
  <si>
    <t>Outros - Serviços à UFV ( WEG)</t>
  </si>
  <si>
    <t>BALDONI / MCD BALDONI  - Terraplanagem -  (CAMPO BELO 4)         NF 180</t>
  </si>
  <si>
    <t>Pagamento referente ao serviço de recuperação de acesso , necessário à construção da UFV.  ESCOPO COMERC</t>
  </si>
  <si>
    <t> [CCC04650]</t>
  </si>
  <si>
    <t>000965</t>
  </si>
  <si>
    <t>BALDONI / Baldoni Engenharia    - Terraplanagem - (CAMPO BELO  4)        N  345</t>
  </si>
  <si>
    <t>Pagamento referente a locação de equipamentos, necessários  à construção da UFV.  ESCOPO COMERC</t>
  </si>
  <si>
    <t>WEG PRESTAÇÃO DE SERVIÇOS UFVs ( CAMPO BELO  4) NF  70   INTEGRADOR  INNOVA ENERGY  EVENTO 4</t>
  </si>
  <si>
    <t> [CCC04748]</t>
  </si>
  <si>
    <t xml:space="preserve"> PRESTAÇÃO DE SERVIÇOS  UFVs ( CAMPO BELO 4  )   ENGECON  NF  362</t>
  </si>
  <si>
    <t>Pagamento de medição,  referente aos serviços de drenagem,  necessário à construção da UFV.  Medição 20 %</t>
  </si>
  <si>
    <t> [CCC04834]</t>
  </si>
  <si>
    <t>000011</t>
  </si>
  <si>
    <t>Projetos de fundações e drenagem - HALLITE (Campo Belo 5)  Analise terraplanagem - 40%</t>
  </si>
  <si>
    <t>[CCC02507-03]</t>
  </si>
  <si>
    <t>Campo Belo 5 _Outros</t>
  </si>
  <si>
    <r>
      <t xml:space="preserve">Comissionamento de instalações </t>
    </r>
    <r>
      <rPr>
        <strike/>
        <sz val="9"/>
        <color theme="1"/>
        <rFont val="Arial"/>
      </rPr>
      <t>(Campo Belo 5)</t>
    </r>
  </si>
  <si>
    <t>[CCC02679-09]</t>
  </si>
  <si>
    <t>Campo Belo 5 - CAPEX - Serviço AT - CCAP-C2_000021- Realocado para Varginha 1</t>
  </si>
  <si>
    <t>Campo Belo 5_Obras AT_FD</t>
  </si>
  <si>
    <r>
      <t xml:space="preserve">Comissionamento de instalações </t>
    </r>
    <r>
      <rPr>
        <strike/>
        <sz val="9"/>
        <color theme="1"/>
        <rFont val="Arial"/>
      </rPr>
      <t>(Campo Belo 5</t>
    </r>
    <r>
      <rPr>
        <sz val="9"/>
        <color theme="1"/>
        <rFont val="Arial"/>
      </rPr>
      <t>)</t>
    </r>
  </si>
  <si>
    <t>[CCC02679-10]</t>
  </si>
  <si>
    <t>Campo Belo 5 - CAPEX - Serviço AT - CCAP-C2_000021Realocado para Varginha 1</t>
  </si>
  <si>
    <r>
      <t xml:space="preserve">Medição 01 - INST/5125 - ESCOPO COLATIO - FINAL </t>
    </r>
    <r>
      <rPr>
        <strike/>
        <sz val="9"/>
        <color theme="1"/>
        <rFont val="Arial"/>
      </rPr>
      <t>(Campo Belo 5)</t>
    </r>
  </si>
  <si>
    <t>[CCC02765-05]</t>
  </si>
  <si>
    <t>Campo Belo 5 - CAPEX - Serviço AT - CCAP-C2_000021 Realocado para Varginha 1</t>
  </si>
  <si>
    <t>Campo Belo 5_Obras AT_MD</t>
  </si>
  <si>
    <t>Reatores de aterramento ADELCO (Campo Belo 5)</t>
  </si>
  <si>
    <t>Desenvolvimento de projetos Executivos - 20% iniciais (Campo Belo 5)</t>
  </si>
  <si>
    <t>[CCC02997-14]</t>
  </si>
  <si>
    <t>Campo Belo 5_Engenharia Executiva</t>
  </si>
  <si>
    <t>Serviço de SPT - BIOTEC - 35% iniciais (Campo Belo 5) - Campanha 4</t>
  </si>
  <si>
    <t>[CCC02955-07]</t>
  </si>
  <si>
    <t>Serviço de desenvolvimento complementar de layout  - PVCASE (Campo Belo 5)</t>
  </si>
  <si>
    <t>Serviço complementar para adequação do projeto a topografia acidentada.</t>
  </si>
  <si>
    <t>[CCC03318]</t>
  </si>
  <si>
    <t>SUPERVISORIO - Ciclo 2 - Gateways e remota (Campo Belo 5)</t>
  </si>
  <si>
    <t>[CCC03269-03]</t>
  </si>
  <si>
    <t>Campo Belo 5 _SGD</t>
  </si>
  <si>
    <t>SUPERVISORIO - Ciclo 2 - Baterias, desktops, switch e acessórios (Campo Belo 5)</t>
  </si>
  <si>
    <t>[CCC03269-21]</t>
  </si>
  <si>
    <t>OURO VERDE - Adequação de acesso - Adiantamento - 20% (Campo Belo 5)</t>
  </si>
  <si>
    <t>Adiantamento contratual suportando contrato de terraplanagem, em intervenção destinada a reforma do acesso à futura UFV.</t>
  </si>
  <si>
    <t>[CCC03379]</t>
  </si>
  <si>
    <t>Projeto de cabine primária  - PROJETTI - 100% (Campo Belo 5)</t>
  </si>
  <si>
    <t>[CCC03373-08]</t>
  </si>
  <si>
    <t>Campo Belo 5_Projeto/Coordenograma</t>
  </si>
  <si>
    <t>Medição 01 (Campo Belo 5)</t>
  </si>
  <si>
    <t>[CCC03356-03]</t>
  </si>
  <si>
    <t>Campo Belo 5 - CAPEX - Serviço MT - CCAP-C2_000021</t>
  </si>
  <si>
    <t>Campo Belo 5 _Obras MT_MD</t>
  </si>
  <si>
    <t>Construção e Montagem GLD - Medição 1 - Adiantamento (Campo Belo 5) NF 207</t>
  </si>
  <si>
    <t>[CCC03387-04]</t>
  </si>
  <si>
    <t>Campo Belo 5_EPC_MD</t>
  </si>
  <si>
    <t>000318</t>
  </si>
  <si>
    <t>OURO VERDE - Adequação de acesso – Medição FINAL (Campo Belo 5)  NF   23</t>
  </si>
  <si>
    <t>000350</t>
  </si>
  <si>
    <t xml:space="preserve">Estação solarimétrica – Hukseflux             Campo Belo 5
</t>
  </si>
  <si>
    <t>Campo Belo 5 _Estação solarimétrica</t>
  </si>
  <si>
    <t>000327</t>
  </si>
  <si>
    <t>Revisão de coordenograma de proteção em função de alteração do modelo do relé de proteção (UFV Campo Belo 5)</t>
  </si>
  <si>
    <t>[CCC03462]</t>
  </si>
  <si>
    <t>Serviços de  levantamento topográfico  ( CAMPO BELO 5 )  NF 265   SOLUÇÃO AGRIMENSURA EIRELI</t>
  </si>
  <si>
    <t>Projetos de fundações e drenagem - HALLITE (CAMPO BELO 5) Analise terraplanagem - 30% FINAIS    NF 65</t>
  </si>
  <si>
    <t>[CCC03878]</t>
  </si>
  <si>
    <t>000567</t>
  </si>
  <si>
    <t>Desenvolvimento de projetos Executivos  - ENERSOLAR -  20%  INTERMEDIARIOS (CAMPO BELO 5)   NF 143</t>
  </si>
  <si>
    <t>[CCC03924]</t>
  </si>
  <si>
    <t>000568</t>
  </si>
  <si>
    <t>Desenvolvimento de projetos Executivos  - ENERSOLAR -  20%  EMITIDOS  (CAMPO BELO 5)   NF 145</t>
  </si>
  <si>
    <t xml:space="preserve">COMPRA MATERIAIS PARA UFVs  (  CAMPO BELO 5  )  NF  26103     EXPONECIAL RDA INTERNO  </t>
  </si>
  <si>
    <t>Campo Belo 5_RDA - Rede de Distribuição Aerea</t>
  </si>
  <si>
    <t>000673</t>
  </si>
  <si>
    <t>Estação solarimétrica – Hukseflux   UFVs (CAMPO BELO 5)   VINCULO PEDIDO 000350 A401    NF 4802</t>
  </si>
  <si>
    <t>BALDONI / MCD BALDONI  - Terraplanagem - Medição 1  (CAMPO BELO 5)  20%        NF     142</t>
  </si>
  <si>
    <t xml:space="preserve">Pagamento de serviço de terraplanagem necessário à construção da UFV. </t>
  </si>
  <si>
    <t>[CCC04062]</t>
  </si>
  <si>
    <t>Campo Belo 5_Obras Terraplanagem</t>
  </si>
  <si>
    <t>BALDONI / Baldoni Engenharia    - Terraplanagem - Medição 1 (CAMPO BELO 5)  80%        N    314</t>
  </si>
  <si>
    <t>BALDONI / MCD BALDONI  - Terraplanagem - Medição  2 (CAMPO BELO 5)  20%        NF   145</t>
  </si>
  <si>
    <t>BALDONI / Baldoni Engenharia    - Terraplanagem - Medição 2 (CAMPO BELO 5)  80%        N    315</t>
  </si>
  <si>
    <t>DAE - Dispença de Licenciamento ambiental UFV  ( CAMPO BELO 5 NF  952</t>
  </si>
  <si>
    <t>PRESTAÇÃO DE SERVIÇOS MEDIÇÃO 1 UFVS ( CAMPO BELO 5)    NF     275</t>
  </si>
  <si>
    <t xml:space="preserve">MEDIÇÃO 1 </t>
  </si>
  <si>
    <t>PRESTAÇÃO DE SERVIÇOS MEDIÇÃO 1 UFVS ( CAMPO BELO 5)    NF    277</t>
  </si>
  <si>
    <t>BALDONI / MCD BALDONI  - Terraplanagem - Medição 3 (CAMPO BELO 5)  20%        NF   155</t>
  </si>
  <si>
    <t>Pagamento de serviço de terraplanagem necessário à construção da UFV.  MEDIÇÃO 3</t>
  </si>
  <si>
    <t>000859</t>
  </si>
  <si>
    <t>BALDONI / Baldoni Engenharia    - Terraplanagem - Medição 3  (CAMPO BELO 5)  80%        N  324</t>
  </si>
  <si>
    <t>000656</t>
  </si>
  <si>
    <t>COMPRA MATERIAIS PARA UFVs  ( CAMPO BELO 5)  NF  4088    CAMPO ALEGRE  RDA INTERNA</t>
  </si>
  <si>
    <t xml:space="preserve">COMPRA MATERIAIS PARA UFVs  (   CAMPO BELO 5  )  NF  72952  LTB  RDA INTERNO  </t>
  </si>
  <si>
    <t>Fat. Direto (GLD-EPC)</t>
  </si>
  <si>
    <t>PRESTAÇÃO DE SERVIÇOS UFVs  (  CAMPO BELO 5 )  NF  261</t>
  </si>
  <si>
    <t xml:space="preserve">Pagamento de PRESTAÇÃO DO SERVIÇO DE VIGILÂNCIA DESARMADA NA UFV ,  em Faturamento Direto,  em contrato de obras EPC da UFV. </t>
  </si>
  <si>
    <t> [CCC04130]</t>
  </si>
  <si>
    <t>Campo Belo 5_EPC_FD</t>
  </si>
  <si>
    <t>COMPRA MATERIAIS PARA UFVs ( CAMPO BELO 5  )    NF  131584</t>
  </si>
  <si>
    <t> [CCC04160]</t>
  </si>
  <si>
    <t>COMPRA MATERIAIS PARA UFVs ( Varginha 2  )    NF  990</t>
  </si>
  <si>
    <t> [CCC04179]</t>
  </si>
  <si>
    <t>000690</t>
  </si>
  <si>
    <t>COMPRA MATERIAIS PARA UFVs ( VARGINHA2  )    NF   992</t>
  </si>
  <si>
    <t>Varginha 2_EPC_FD</t>
  </si>
  <si>
    <t>000908</t>
  </si>
  <si>
    <t>COMPRA DE MATERIAIS  UFVs   ( CAMPO BELO 5)  NF 407</t>
  </si>
  <si>
    <t> [CCC04186]</t>
  </si>
  <si>
    <t>BALDONI / MCD BALDONI  - Terraplanagem - Medição 4 (CAMPO BELO 5)  20%        NF   159</t>
  </si>
  <si>
    <t>BALDONI / Baldoni Engenharia    - Terraplanagem - Medição 4  (CAMPO BELO 5)  80%        N  328</t>
  </si>
  <si>
    <t>COMPRA DE MATERIAIS UFVS (CAMPO BELO  5 ) EXPONENCIAL RDA INTERNO NF 26507</t>
  </si>
  <si>
    <t>PRESTAÇÃO DE SERVIÇO UFVs (CAMPO BELO 5)   NF 319  RONDA PORTEIROS</t>
  </si>
  <si>
    <t>BALDONI / MCD BALDONI  - Terraplanagem - Medição 5 (CAMPO BELO 5)  20%        NF   164</t>
  </si>
  <si>
    <t> [CCC04269]</t>
  </si>
  <si>
    <t>BALDONI / Baldoni Engenharia    - Terraplanagem - Medição 5  (CAMPO BELO 5)  80%        N  329</t>
  </si>
  <si>
    <t>PRESTAÇÃO DE SERVIÇOS UFVs (CAMPO BELO 5 ) NF  22794 FABRICA DE POSTES LIDER LTDA</t>
  </si>
  <si>
    <t>Pagamento em Faturamento Direto, COMPRA DE MATERIAIS , em contrato de obras EPC .</t>
  </si>
  <si>
    <t> [CCC04272]</t>
  </si>
  <si>
    <t>COMPRAS DE MATERIAIS UFVs (CAMPO BELO 5)   NF  22799  LIDER FABRICA DE POSTES</t>
  </si>
  <si>
    <t>Pagamento em faturamento direto referente,  acompra de materiais , em contrato EPC.</t>
  </si>
  <si>
    <t> [CCC04292]</t>
  </si>
  <si>
    <t>001053</t>
  </si>
  <si>
    <t>PRESTAÇÃO DE SERVIÇO UFVs (CAMPO BELO 5)   NF 432998 LOJA ELETRICA</t>
  </si>
  <si>
    <t> [CCC04303]</t>
  </si>
  <si>
    <t>Campo Belo 5 _Obras MT_FD</t>
  </si>
  <si>
    <t>COMPRA DE MATERIAIS UFVS ( CAMPO BELO 5) NF 87  STEFANIO COUTINHO</t>
  </si>
  <si>
    <t xml:space="preserve">PRESTAÇÃO DE SERVIÇOS  UFVs ( CAMPO BELO 5 )  NF 297   </t>
  </si>
  <si>
    <t>MEDIÇÃO 2</t>
  </si>
  <si>
    <t>PRESTAÇÃO DE SERVIÇOS  UFVs ( CAMPO BELO 5 )  NF 298</t>
  </si>
  <si>
    <t>BALDONI / MCD BALDONI  - Terraplanagem - Medição 6 (CAMPO BELO 5)  20%        NF   168</t>
  </si>
  <si>
    <t> [CCC04372]</t>
  </si>
  <si>
    <t>BALDONI / Baldoni Engenharia    - Terraplanagem - Medição 6  (CAMPO BELO 5)  80%        N  334</t>
  </si>
  <si>
    <t xml:space="preserve">COMPRA DE MATERIAIS  UFVs ( CAMPO BELO 5)   NF 67935  TRAEL </t>
  </si>
  <si>
    <t>MEDIÇÃO ADITIVOS UFVs ( CAMPO BELO 5)  NF 307</t>
  </si>
  <si>
    <t>Aditivo WP</t>
  </si>
  <si>
    <t>MEDIÇÃO ADITIVOS UFVs ( CAMPO BELO 5)  NF 308</t>
  </si>
  <si>
    <t>Desenvolvimento de projetos Executivos  - ENERSOLAR - 20% APROVADO (CAMPO BELO 5) NF  230</t>
  </si>
  <si>
    <t xml:space="preserve">Serviço contratado de desenvolvimento de projetos executivos destinados à construção de instalações internas da UFV. </t>
  </si>
  <si>
    <t>COMPRA DE MATERIAL UFVs (CAMPO BELO 5) NF 438177 LOJA ELETRICA</t>
  </si>
  <si>
    <t>001202</t>
  </si>
  <si>
    <t>COMPRA DE MATERIAIS  UFVs (CAMPO BELO 5) NF 45239  INCOPRE</t>
  </si>
  <si>
    <t>MEDIÇÃO  PRESTAÇÃO DE SERVIÇOS ( CAMPO BELO 3)    NF   2431 Campo Belo 5</t>
  </si>
  <si>
    <t>Nota Fiscal com Informação de Campo Belo 5 Confirmado. Conforme email da HBA tratase de de Obras MT esta Nota.</t>
  </si>
  <si>
    <t xml:space="preserve">PRESTAÇÃO DE SERVIÇOS UFVs  ( CAMPO BELO 5 ) NF 361 RONDA PORTEIROS </t>
  </si>
  <si>
    <t xml:space="preserve">PRESTAÇÃO DE SERVIÇOS UFVs  ( CAMPO BELO 5 ) NF 360 RONDA PORTEIROS </t>
  </si>
  <si>
    <t>PRESTAÇÃO DE SERVIÇOS  UFVs ( CAMPO BELO 5)  NF 324</t>
  </si>
  <si>
    <t>Pagamento 3°  medição, referente a prestação de serviços e mão de obra,  necessários a construção da UFVs em contrato EPC.  65%</t>
  </si>
  <si>
    <t> [CCC04416]</t>
  </si>
  <si>
    <t>MEDIÇÃO 3</t>
  </si>
  <si>
    <t>PRESTAÇÃO DE SERVIÇOS  UFVs ( CAMPO BELO 5)  NF 325</t>
  </si>
  <si>
    <t>Pagamento de 3° medição, referente a elaboração de planos,   necessários a construção da UFVs em contrato EPC.  35%</t>
  </si>
  <si>
    <t>Duplicado - Cancelado</t>
  </si>
  <si>
    <t>COMPRA DE MATERIAIS UFVs (CAMPO BELO 5) NF  45242 INCOPRE</t>
  </si>
  <si>
    <t>BALDONI / MCD BALDONI  - Terraplanagem - Medição  (CAMPO BELO 5)  20%        NF   171</t>
  </si>
  <si>
    <t>BALDONI / Baldoni Engenharia    - Terraplanagem - Medição (CAMPO BELO 5)  80%        N  337</t>
  </si>
  <si>
    <t xml:space="preserve"> PRESTAÇÃO DE SERVIÇOS UFVs (CAMPO BELO 5 )   NF 619   DAYSE PEREIRA      </t>
  </si>
  <si>
    <t> [CCC04484]</t>
  </si>
  <si>
    <t xml:space="preserve"> PRESTAÇÃO DE SERVIÇOS UFVs (CAMPO BELO 5 )   NF 623   DAYSE PEREIRA      </t>
  </si>
  <si>
    <t xml:space="preserve"> PRESTAÇÃO DE SERVIÇOS UFVs (CAMPO BELO 5 )   NF  626   DAYSE PEREIRA      </t>
  </si>
  <si>
    <t>001257</t>
  </si>
  <si>
    <t xml:space="preserve"> PRESTAÇÃO DE SERVIÇOS UFVs (CAMPO BELO 5 )   NF   628  DAYSE PEREIRA      </t>
  </si>
  <si>
    <t>000766</t>
  </si>
  <si>
    <t>BALDONI / Baldoni Engenharia    - Terraplanagem - Medição 1 (CAMPO BELO 1)  80%        N    318</t>
  </si>
  <si>
    <t xml:space="preserve"> PRESTAÇÃO DE SERVIÇOS UFVs (CAMPO BELO 5 )   NF  645   DAYSE PEREIRA      </t>
  </si>
  <si>
    <t>001275</t>
  </si>
  <si>
    <t>BALDONI / MCD BALDONI  - Terraplanagem - Medição 5 (CAMPO BELO 5)  20%        NF   174</t>
  </si>
  <si>
    <t>001280</t>
  </si>
  <si>
    <t>BALDONI / Baldoni Engenharia    - Terraplanagem - Medição 5  (CAMPO BELO 5)  80%        N  340</t>
  </si>
  <si>
    <t xml:space="preserve">PRESTAÇÃO DE SERVIÇOS UFVs( CAMPO BELO  5 ) NF 453 RONDA PORTEIROS </t>
  </si>
  <si>
    <t xml:space="preserve">PRESTAÇÃO DE SERVIÇOS UFVs( CAMPO BELO  5 ) NF 451 RONDA PORTEIROS </t>
  </si>
  <si>
    <t>001355</t>
  </si>
  <si>
    <t xml:space="preserve">BALDONI / MCD BALDONI  - Terraplanagem - Medição  (CAMPO BELO 5)  20%        NF 181  </t>
  </si>
  <si>
    <t> [CCC04577]</t>
  </si>
  <si>
    <t>BALDONI / Baldoni Engenharia    - Terraplanagem - Medição (CAMPO BELO 5)  80%        NF 436</t>
  </si>
  <si>
    <t>001374</t>
  </si>
  <si>
    <t>COMPRA DE MATERIAIS UFvs ( CAMPO BELO 5) NF 204723  BLOJAF</t>
  </si>
  <si>
    <t> [CCC04602]</t>
  </si>
  <si>
    <t xml:space="preserve">COMPRA DE MATERIAIS UFVs(CAMPO BELO 5) NF 8301  SANTA EDWIGES </t>
  </si>
  <si>
    <t>PRESTAÇÃO DE SERVIÇOS UFVs ( CAMPO BELO 5) NF 553  RONDA PORTEIROS</t>
  </si>
  <si>
    <t>MEDIÇÃO  GLD UFVS ( CAMPO BELO 5)   NF             ADITIVO</t>
  </si>
  <si>
    <t>Pagamento de medição , referente a prestação de serviço, contrato EPC . 35% - ADITIVO</t>
  </si>
  <si>
    <t> [CCC04719]</t>
  </si>
  <si>
    <t>Aditivo Atrasso obra</t>
  </si>
  <si>
    <t>Pagamento de medição , referente a prestação de serviço, contrato EPC . 65% - ADITIVO</t>
  </si>
  <si>
    <t>PRESTAÇÃO DE SERVIÇOS UFVs ( CAMPO BELO 5)  NF  600 RONDA PORTEIROS</t>
  </si>
  <si>
    <t xml:space="preserve">PRESTAÇÃO DE SERVIÇOS UFVs (CAMPO BELO 5) NF </t>
  </si>
  <si>
    <t> [CCC04761]</t>
  </si>
  <si>
    <t>MEDIÇÃO 4</t>
  </si>
  <si>
    <t>Pagamento de 4° medição ,  referente a elaboração de planos,   necessários a construção da UFVs em contrato EPC.  35%</t>
  </si>
  <si>
    <t>001444</t>
  </si>
  <si>
    <t>COMPRA DE MATERIAIS UFvs ( CAMPO BELO 5 ) NF 136607  CIMENTOLANDIA</t>
  </si>
  <si>
    <t> [CCC04725]</t>
  </si>
  <si>
    <t>001468</t>
  </si>
  <si>
    <t>COMPRA DE MATERIAIS UFvs (CAMPO BELO 5 ) NF 332  METALIZE</t>
  </si>
  <si>
    <t>PRESTAÇÃO DE SERVIÇOS UFVs (CAMPO BELO 5) NF 601  RONDA PORTEIROS</t>
  </si>
  <si>
    <t> A401-MORI MINAS NEWCO IV ENERGIA SOLAR S.A</t>
  </si>
  <si>
    <t xml:space="preserve"> HALLITE PRESTAÇÃO DE SERVIÇOS UFVs ( CAMPO BELO 5)    NF  11</t>
  </si>
  <si>
    <t>Pagamento  referente  a revisão  do Projeto executivo de terraplanagem , necessários a construção das UFVs .</t>
  </si>
  <si>
    <t> [CCC04786]</t>
  </si>
  <si>
    <t xml:space="preserve"> HALLITE PRESTAÇÃO DE SERVIÇOS UFVs ( CAMPO BELO 5)    NF  12</t>
  </si>
  <si>
    <t>Pagamento  referente a revisão do Projeto executivo de fundação das hastes, necessários a construção das UFVs .</t>
  </si>
  <si>
    <t>PRESTAÇÃO DE SERVIÇOS UFVs (CAMPO BELO 5) NF   408</t>
  </si>
  <si>
    <t>MEDIÇÃO 5</t>
  </si>
  <si>
    <t>PRESTAÇÃO DE SERVIÇOS UFVs (CAMPO BELO 5) NF   409</t>
  </si>
  <si>
    <t>BALDONI / MCD BALDONI  - Terraplanagem - Medição  (CAMPO BELO 5)  20%  NF 190</t>
  </si>
  <si>
    <t> [CCC04819]</t>
  </si>
  <si>
    <t>BALDONI / Baldoni Engenharia    - Terraplanagem - Medição (CAMPO BELO 5)  80%  N 355</t>
  </si>
  <si>
    <t xml:space="preserve">BALDONI / MCD BALDONI  - Terraplanagem - Medição  (CAMPO BELO 5)  20%   NF </t>
  </si>
  <si>
    <t>BALDONI / Baldoni Engenharia    - Terraplanagem - Medição (CAMPO BELO 5)  80%  N</t>
  </si>
  <si>
    <t>COMPRA DE MATERIAIS UFVs   (CAMPO BELO 5) NF 15  STEFANIO COUTINHO</t>
  </si>
  <si>
    <t>SPT - finalização (Cássia 1)</t>
  </si>
  <si>
    <t>Cássia 1 _Outros</t>
  </si>
  <si>
    <t>SPT - Adiantamento (Cássia 1)</t>
  </si>
  <si>
    <t xml:space="preserve">Comissionamento de instalações - </t>
  </si>
  <si>
    <t>Mesmo lançamento Serviços - CONCERT (Cássia 1)</t>
  </si>
  <si>
    <t>[CCC02716-04]</t>
  </si>
  <si>
    <t>Cássia 1_Obras AT_FD</t>
  </si>
  <si>
    <t>S002</t>
  </si>
  <si>
    <t>Material Elétrico - PRYSMIAN CABOS (Cássia 1)</t>
  </si>
  <si>
    <t>Cássia 1 - CAPEX - Serviço MT - CCAP-C2_000021</t>
  </si>
  <si>
    <t>Cássia 1 _Obras MT_FD</t>
  </si>
  <si>
    <t>S008</t>
  </si>
  <si>
    <t>Equipamentos Elétricos - ITB (Cássia 1)</t>
  </si>
  <si>
    <t>S009</t>
  </si>
  <si>
    <t>Postes - CAMPO ALEGRE (Cássia 1)</t>
  </si>
  <si>
    <t>S010</t>
  </si>
  <si>
    <t>S011</t>
  </si>
  <si>
    <t>Materiais Elétricos - CMR VITORIA (Cássia 1)</t>
  </si>
  <si>
    <t>S012</t>
  </si>
  <si>
    <t>Materiais Elétricos - LOJAELETRICA (Cássia 1)</t>
  </si>
  <si>
    <t>S013</t>
  </si>
  <si>
    <t>Medição 01 (Cássia 1)NF 001885 - MBA M</t>
  </si>
  <si>
    <t>Cássia 1 _Obras MT_MD</t>
  </si>
  <si>
    <t>S034</t>
  </si>
  <si>
    <t>Equipamentos - ABS SISTEMAS (Cássia 1)</t>
  </si>
  <si>
    <t>Cássia 1 - CAPEX - Serviço AT - CCAP-C2_000021</t>
  </si>
  <si>
    <t>S038</t>
  </si>
  <si>
    <t>Equipamentos - ARTECHE (Cássia 1)</t>
  </si>
  <si>
    <t>S042</t>
  </si>
  <si>
    <t>Equipamentos - BALTEAU (Cássia 1)</t>
  </si>
  <si>
    <t>S047</t>
  </si>
  <si>
    <t>Material elétrico - CABELAUTO (Cássia 1)</t>
  </si>
  <si>
    <t>S052</t>
  </si>
  <si>
    <t>Serviços - CONCERT (Cássia 1)</t>
  </si>
  <si>
    <t>S054</t>
  </si>
  <si>
    <t>Equipamentos - ELETROTASK (Cássia 1)</t>
  </si>
  <si>
    <t>S057</t>
  </si>
  <si>
    <t>Transporte de materiais - MARCELO DE OLIVEIRA (Cássia 1)</t>
  </si>
  <si>
    <t>S061</t>
  </si>
  <si>
    <t>Equipamentos - MARLICE EQUIPAMENTOS(Cássia 1)</t>
  </si>
  <si>
    <t>S065</t>
  </si>
  <si>
    <t>Serviços - New Energy (Cássia 1)</t>
  </si>
  <si>
    <t>S069</t>
  </si>
  <si>
    <t>Equipamentos - RITZ (Cássia 1)</t>
  </si>
  <si>
    <t>S074</t>
  </si>
  <si>
    <t>Transporte de equipamentos - RODONAVES (Cássia 1)</t>
  </si>
  <si>
    <t>S078</t>
  </si>
  <si>
    <t>Equipamentos - SIEMENS (Cássia 1)</t>
  </si>
  <si>
    <t>S081</t>
  </si>
  <si>
    <t>Equipamentos - UNIAR (Cássia 1)</t>
  </si>
  <si>
    <t>Cássia 1_Obras AT_MD</t>
  </si>
  <si>
    <t>S085</t>
  </si>
  <si>
    <t>Equipamentos - USICROM (Cássia 1)</t>
  </si>
  <si>
    <t>S090</t>
  </si>
  <si>
    <t>Medição 01 (Cássia 1)NF 001867  - MBA AT</t>
  </si>
  <si>
    <t>Reatores de aterramento ADELCO (Cássia 1)</t>
  </si>
  <si>
    <t>Histórico SOLATIO -Medição MBA_SOLATIO (Cássia 1)NF 001859 - MBA MT</t>
  </si>
  <si>
    <t>Outros - Impostos e Retenções</t>
  </si>
  <si>
    <t>Histórico SOLATIO -Projetos - Servidão (Cássia 1)</t>
  </si>
  <si>
    <t>4366</t>
  </si>
  <si>
    <t>Histórico SOLATIO -Medição MBA_SOLATIO (Cássia 1)NF 001867  - MBA AT</t>
  </si>
  <si>
    <t xml:space="preserve">Mesmo lançamento </t>
  </si>
  <si>
    <t>Histórico SOLATIO -Projetos - Linha de Distribuição (Cássia 1)
Dif de imposto iss NF 1859</t>
  </si>
  <si>
    <t>Histórico SOLATIO -Projetos - Arrendamento de Terrenos (Cássia 1)</t>
  </si>
  <si>
    <t>Histórico SOLATIO -Medição MBA_SOLATIO (Cássia 1)</t>
  </si>
  <si>
    <t>A406-MORI MINAS NEWCO IV - UFV CASSIA 1</t>
  </si>
  <si>
    <t>MEDIÇÃO MENSAL UFVs   Cássia 1 )   AFAPLAN   NF   7888</t>
  </si>
  <si>
    <t>Cássia 1_Engenharia de Proprietario</t>
  </si>
  <si>
    <t>000059</t>
  </si>
  <si>
    <t>Archtech - Testes de PullOuT_Biotec - Adiantamento (Cássia 1)</t>
  </si>
  <si>
    <t>[CCC03145-14]</t>
  </si>
  <si>
    <t>Medição 01 (Cássia 1)</t>
  </si>
  <si>
    <t>[CCC03204-04]</t>
  </si>
  <si>
    <t>Archtech - Testes de PullOuT_Biotec - Finalização (Cássia 1)</t>
  </si>
  <si>
    <t>[CCC03265-14]</t>
  </si>
  <si>
    <t>SUPERVISORIO - Ciclo 2 - Gateways e remota (Cássia 1) NF1742</t>
  </si>
  <si>
    <t>[CCC03269-07]</t>
  </si>
  <si>
    <t>Cássia 1 _SGD</t>
  </si>
  <si>
    <t>000186</t>
  </si>
  <si>
    <t>SUPERVISORIO - Ciclo 2 - Baterias, desktops, switch e acessórios (Cássia 1) NF1757</t>
  </si>
  <si>
    <t>[CCC03269-22]</t>
  </si>
  <si>
    <t>Construção e Montagem WEG - Medição 1 - Adiantamento (Cássia 1)</t>
  </si>
  <si>
    <t>Pagamento de adiantamento contratual de 25% do total de contrato FullEPC de construção da UFV - EVENTO 1 PROFORMA</t>
  </si>
  <si>
    <t>[CCC03330-04]</t>
  </si>
  <si>
    <t>Cássia 1_Full EPC - Turn Key</t>
  </si>
  <si>
    <t>000264</t>
  </si>
  <si>
    <t>Projeto de cabine primária  - PROJETTI - 100% (Cássia 1)</t>
  </si>
  <si>
    <t>[CCC03373-09]</t>
  </si>
  <si>
    <t>Cássia 1_Projeto/Coordenograma</t>
  </si>
  <si>
    <t>Medição 02 (Cássia 1)</t>
  </si>
  <si>
    <t>[CCC03356-04]</t>
  </si>
  <si>
    <t>CANCELADO  -  Construção e Montagem WEG - Medição 2 - Entrega de POs (Cássia 1)</t>
  </si>
  <si>
    <t xml:space="preserve">Pagamento de medição contratual, suportada pelo 1o marco de contrato FullEPC de construção da UFV. EVENTO 2 </t>
  </si>
  <si>
    <t>[CCC03352-04]</t>
  </si>
  <si>
    <t>A406</t>
  </si>
  <si>
    <t>000302</t>
  </si>
  <si>
    <t>Construção e Montagem WEG - Medição 2 - Entrega de POs (Cássia 1) (antigo 000296 A401)  EVENTO 2</t>
  </si>
  <si>
    <t>Pagamento de medição contratual, suportada pelo 1o marco de contrato FullEPC de construção da UFV - EVENTO 2 PROFORMA</t>
  </si>
  <si>
    <t>PAGO EM FILIAL DE BAMBUI 1.1</t>
  </si>
  <si>
    <t>MRO - Terraplanagem UFVs Full-EPC -   1° MEDIÇAO ( Cássia 1)   NF 372  VALOR A SER PAGO R$ 58.950,40</t>
  </si>
  <si>
    <t>[CCC03685]</t>
  </si>
  <si>
    <t>Cássia 1_Obras Terraplanagem</t>
  </si>
  <si>
    <t>MRO - Terraplanagem UFVs Full-EPC -  MEDIÇÃO FINAL  AVANÇO 35%  ( CASSIA 1) NF  413</t>
  </si>
  <si>
    <t>Revisão de coordenograma de proteção em função de alteração da potência dos transformadores  (UFV Cássia 1)</t>
  </si>
  <si>
    <t>[CCC03441]</t>
  </si>
  <si>
    <t>Mobilização  WEG  - EVENTO 3  - UFVs(CASSIA 1) 004    INTEGRADOR INNOVA ENERGY   NF   149</t>
  </si>
  <si>
    <t>Pagamento de medição contratual, mobilização dos canteiro de obras, Evento 3 de contrato FullEPC de construção da UFV . EVENTO 3 INTEGRADOR</t>
  </si>
  <si>
    <t>[CCC03914]</t>
  </si>
  <si>
    <t xml:space="preserve">Mobilização  WEG -  EVENTO 3 -UFVs(CASSIA 1) 004  </t>
  </si>
  <si>
    <t>Pagamento de medição contratual, mobilização dos canteiro de obras, Evento 3 de contrato FullEPC de construção da UFV . EVENTO 3 PROFORMA</t>
  </si>
  <si>
    <t>Construção e Montagem WEG - Medição 5 - Entrega dos módulos na obra   UFVs(CASSIA 1) 003</t>
  </si>
  <si>
    <t>Pagamento de medição contratual, Evento  5 , referente ao contrato FullEPC de construção da UFV. EVENTO 5 PROFORMA</t>
  </si>
  <si>
    <t>Construção e Montagem WEG- (integrador - INNOVA ENERGY ) - Medição 2 -  ( CÁSSIA I)</t>
  </si>
  <si>
    <t xml:space="preserve">Pagamento de medição contratual, suportada pelo 2o marco de contrato FullEPC de construção da UFV EVENTO 2 INTEGRFADOR </t>
  </si>
  <si>
    <t>[CCC03352-09]</t>
  </si>
  <si>
    <t>000697</t>
  </si>
  <si>
    <t xml:space="preserve"> WEG  MEDIÇÃO PRESTAÇÃO DE SERVIÇOS  EVENTO 4  ( CASSIA 1 )  NF 156  INTEGRADOR INNOVA ENERGY</t>
  </si>
  <si>
    <t>Pagamento de medição contratual, MONTAGEM 100 % DAS ESTACAS , Evento 4 de contrato FullEPC de construção da UFV . EVENTO 4 INTEGRADOR</t>
  </si>
  <si>
    <t xml:space="preserve">[CCC04055] </t>
  </si>
  <si>
    <t>MEDIÇÃO  PRESTAÇÃO DE SERVIÇOS ( CASSIA 1)    NF  2432</t>
  </si>
  <si>
    <t>000680</t>
  </si>
  <si>
    <t>MEDIÇÃO MENSAL OUT /2022 UFVs  (  Cássia 1 )   AFAPLAN   NF    7369</t>
  </si>
  <si>
    <t>MRO - Terraplanagem UFVs Full-EPC -  MEDIÇÃO 1  35% INTERMERDIÁRIOS ( CÁSSIA 1)  NF 394</t>
  </si>
  <si>
    <t>S022</t>
  </si>
  <si>
    <t>Equipamentos Elétricos - TAVRIDA (Cássia 1) NF 3333</t>
  </si>
  <si>
    <t>Cássia 1- CAPEX - Serviço MT - CCAP-C2_000021</t>
  </si>
  <si>
    <t>PRESTAÇÃO DE SERVIÇOS  FITO UFVs (CASSIA 1 )   NF  114</t>
  </si>
  <si>
    <t>PAGAMENTO DE 1° MEDIÇÃO REFERENTE A PRESTAÇÃO DE SERVIÇOS DE DRENAGEM, EM CONTRATO FULL EPC.  35 %</t>
  </si>
  <si>
    <t> [CCC04415]</t>
  </si>
  <si>
    <t>Cássia 1_Obras Drenagem</t>
  </si>
  <si>
    <t>001281</t>
  </si>
  <si>
    <t>WEG PRESTAÇÃO DE SERVIÇOS UFVs ( CASSIA 1)   ADIANTAMENTO   EVENTO 6</t>
  </si>
  <si>
    <t>Pagamento MEDIÇÃO referente, MONTAGEM 100% DAS MESAS, contrato FULL EPC WEG. EVENTO 6  PROFORMA</t>
  </si>
  <si>
    <t> [CCC04506]</t>
  </si>
  <si>
    <t>WEG PRESTAÇÃO DE SERVIÇOS UFVs ( CASSIA 1 )  NF 44   INTEGRADOR INNOVA   EVENTO 6</t>
  </si>
  <si>
    <t>Pagamento de medição referente a Montagem 100% das mesas, em contrato FullEPC de construção da UFV. Evento 6 INTEGRADOR</t>
  </si>
  <si>
    <t> [CCC04513]</t>
  </si>
  <si>
    <t>WEG PRESTAÇÃO DE SERVIÇOS UFVs ( CASSIA 1 )  NF 45  INTEGRADOR INNOVA   EVENTO 7</t>
  </si>
  <si>
    <t>Pagamento de medição referente a Conclusão das Conexões CC e CA,  em contrato FullEPC de construção da UFV. Evento 7 INTEGRADOR</t>
  </si>
  <si>
    <t xml:space="preserve">PRESTAÇÃO DE SERVIÇOS  UFVs ( CASSIA 1) NF  39  INTEGRADOR INNOVA </t>
  </si>
  <si>
    <t>Pagamento de serviços extras, referente a execução de regime de empreitada global com forncecimento de materiais, compreendendo todos os serviços necessários para execução adequada e conclusão da obra por completo.</t>
  </si>
  <si>
    <t> [CCC04519]</t>
  </si>
  <si>
    <t>******</t>
  </si>
  <si>
    <t>INNOVA</t>
  </si>
  <si>
    <t>MEDIÇÃO MENSAL UFVs   Cássia 1 )   AFAPLAN   NF  8043</t>
  </si>
  <si>
    <t xml:space="preserve">WEG PRESTAÇÃO DE SERVIÇOS UFVs( CASSIA 1)   NF 59  INNOVA  ADITIVO </t>
  </si>
  <si>
    <t xml:space="preserve">MEDIÇÃO MENSAL UFVs   Cássia 1 )   AFAPLAN   NF  </t>
  </si>
  <si>
    <t xml:space="preserve"> AFAPLAN  </t>
  </si>
  <si>
    <t xml:space="preserve">MEDIÇÃO MENSAL UFVs  ( Cássia 1 )   AFAPLAN   NF  </t>
  </si>
  <si>
    <t>SPT - finalização (Cássia 2)</t>
  </si>
  <si>
    <t>[CCC02568-02]</t>
  </si>
  <si>
    <t>Cássia 2 _Outros</t>
  </si>
  <si>
    <t>SPT - Adiantamento (Cássia 2)</t>
  </si>
  <si>
    <t>Comissionamento de instalações - Pagamento em  (Cássia 2)</t>
  </si>
  <si>
    <t>[CCC02716-05]</t>
  </si>
  <si>
    <t>Cássia 2 - CAPEX - Serviço AT - CCAP-C2_000021</t>
  </si>
  <si>
    <t>Cássia 2_Obras AT_FD</t>
  </si>
  <si>
    <t>S015</t>
  </si>
  <si>
    <t>Material Elétrico - PRYSMIAN CABOS (Cássia 2)</t>
  </si>
  <si>
    <t>Cássia 2 - CAPEX - Serviço MT - CCAP-C2_000021</t>
  </si>
  <si>
    <t>Cássia 2 _Obras MT_FD</t>
  </si>
  <si>
    <t>S021</t>
  </si>
  <si>
    <t>Equipamentos Elétricos - ITB (Cássia 2)</t>
  </si>
  <si>
    <t>Equipamentos Elétricos - TAVRIDA (Cássia 2) NF3332</t>
  </si>
  <si>
    <t>S023</t>
  </si>
  <si>
    <t>Materiais Elétricos - CMR VITORIA (Cássia 2)</t>
  </si>
  <si>
    <t>S024</t>
  </si>
  <si>
    <t>Materiais Elétricos - LOJAELETRICA (Cássia 2)</t>
  </si>
  <si>
    <t>S025</t>
  </si>
  <si>
    <t>Histórico SOLATIO -Medição MBA_SOLATIO (Cássia 2) NF 001858  - MBA MT</t>
  </si>
  <si>
    <t>Cássia 2 _Obras MT_MD</t>
  </si>
  <si>
    <t>S091</t>
  </si>
  <si>
    <t>Equipamentos - ABS SISTEMAS (Cássia 2)</t>
  </si>
  <si>
    <t>S092</t>
  </si>
  <si>
    <t>Equipamentos - ARTECHE (Cássia 2)</t>
  </si>
  <si>
    <t>S093</t>
  </si>
  <si>
    <t>Equipamentos - BALTEAU (Cássia 2)</t>
  </si>
  <si>
    <t>S094</t>
  </si>
  <si>
    <t>Material elétrico - CABELAUTO (Cássia 2)</t>
  </si>
  <si>
    <t>S095</t>
  </si>
  <si>
    <t>Serviços - CONCERT (Cássia 2)</t>
  </si>
  <si>
    <t>Cássia 2 - CAPEX - Serviço AT - CCAP-C2_000021 - eSCOPO comerc solatio</t>
  </si>
  <si>
    <t>S096</t>
  </si>
  <si>
    <t>Equipamentos - ELETROTASK (Cássia 2)</t>
  </si>
  <si>
    <t>S097</t>
  </si>
  <si>
    <t>Transporte de materiais - MARCELO DE OLIVEIRA (Cássia 2)</t>
  </si>
  <si>
    <t>S098</t>
  </si>
  <si>
    <t>Equipamentos - MARLICE EQUIPAMENTOS(Cássia 2)</t>
  </si>
  <si>
    <t>S099</t>
  </si>
  <si>
    <t>Equipamentos - RITZ (Cássia 2)</t>
  </si>
  <si>
    <t>S100</t>
  </si>
  <si>
    <t>Transporte de equipamentos - RODONAVES (Cássia 2)</t>
  </si>
  <si>
    <t>S101</t>
  </si>
  <si>
    <t>Equipamentos - USICROM (Cássia 2)</t>
  </si>
  <si>
    <t>S102</t>
  </si>
  <si>
    <t>Medição 01 (Cássia 2)</t>
  </si>
  <si>
    <t>Cássia 2_Obras AT_MD</t>
  </si>
  <si>
    <t>Reatores de aterramento ADELCO (Cássia 2)</t>
  </si>
  <si>
    <t>S00</t>
  </si>
  <si>
    <t>A301-MORI MINAS NEWCO IV ENERGIA SOLAR S.A</t>
  </si>
  <si>
    <t>Postes - CAMPO ALEGRE (Cássia 2)</t>
  </si>
  <si>
    <t>[CCC03262]</t>
  </si>
  <si>
    <t>Histórico SOLATIO -Medição MBA_SOLATIO (Cássia 2)NF 001868 - MBA AT</t>
  </si>
  <si>
    <t>Histórico SOLATIO -Projetos - Arrendamento de Terrenos (Cássia 2)</t>
  </si>
  <si>
    <t>Histórico SOLATIO -Medição MBA_SOLATIO (Cássia 2)</t>
  </si>
  <si>
    <t>Archtech - Testes de PullOuT_Biotec - Adiantamento (Cássia 2)</t>
  </si>
  <si>
    <t>[CCC03145-15]</t>
  </si>
  <si>
    <t>[CCC03204-05]</t>
  </si>
  <si>
    <t>Projeto de cabine primária  - PROJETTI - 100% (Cássia 2)</t>
  </si>
  <si>
    <t>[CCC03233-06]</t>
  </si>
  <si>
    <t>Cássia 2_Projeto/Coordenograma</t>
  </si>
  <si>
    <t>Archtech - Testes de PullOuT_Biotec - Finalização (Cássia 2)</t>
  </si>
  <si>
    <t>[CCC03265-15]</t>
  </si>
  <si>
    <t>000149</t>
  </si>
  <si>
    <t>SUPERVISORIO - Ciclo 2 - Gateways e remota (Cássia 2)</t>
  </si>
  <si>
    <t>[CCC03207-02]</t>
  </si>
  <si>
    <t>Cássia 2 _SGD</t>
  </si>
  <si>
    <t>[CCC03207-20]</t>
  </si>
  <si>
    <t>Construção e Montagem WEG - Medição 1 - Adiantamento (Cássia 2)</t>
  </si>
  <si>
    <t>[CCC03330-09]</t>
  </si>
  <si>
    <t>Cássia 2_Full EPC - Turn Key</t>
  </si>
  <si>
    <t>Medição 02 (Cássia 2)</t>
  </si>
  <si>
    <t>[CCC03356-05]</t>
  </si>
  <si>
    <t>CANCELADO  -  Construção e Montagem WEG - Medição 2 - Entrega de POs (Cássia 2)</t>
  </si>
  <si>
    <t>Serviços em Linha viva (UFV Cássia 2)</t>
  </si>
  <si>
    <t xml:space="preserve">Pagamento de serviços </t>
  </si>
  <si>
    <t>[CCC03422]</t>
  </si>
  <si>
    <t>A305</t>
  </si>
  <si>
    <t>Construção e Montagem WEG - Medição 2 - Entrega de POs (Cássia 2)</t>
  </si>
  <si>
    <t>000251</t>
  </si>
  <si>
    <t>Revisão de coordenograma de proteção em função de alteração da potência dos transformadores(UFV Cássia 2)</t>
  </si>
  <si>
    <t>[CCC03442]</t>
  </si>
  <si>
    <t>MRO - Terraplanagem UFVs Full-EPC -   1° MEDIÇAO (  Cassia 2)  NF 376  VALOR A SER PAGO  R$ 37.325,61</t>
  </si>
  <si>
    <t>[CCC03689]</t>
  </si>
  <si>
    <t>Cássia 2_Obras Terraplanagem</t>
  </si>
  <si>
    <t>MRO - Terraplanagem UFVs Full-EPC -  MEDIÇÃO FINAL  AVANÇO 10%  ( CASSIA 2) NF  414</t>
  </si>
  <si>
    <t>Pagamento  referente a AVANÇO  10% finais dos serviços,  necessário à construção da UFV. EVENTO 5</t>
  </si>
  <si>
    <t>000577</t>
  </si>
  <si>
    <t>MEDIÇÃO  PRESTAÇÃO DE SERVIÇOS ( CASSIA 2)    NF  2433</t>
  </si>
  <si>
    <t>A305 - MORI MINAS NEWCO V UF CASSIA 2</t>
  </si>
  <si>
    <t>000439</t>
  </si>
  <si>
    <t>Mobilização  WEG - EVENTO 3 - UFVs (CASSIA 2) 004</t>
  </si>
  <si>
    <t>[CCC03915]</t>
  </si>
  <si>
    <t>Mobilização  WEG  - EVENTO 3 - UFVs (CASSIA 2) 004  INTEGRADOR INNOVA ENERGY  NF 150</t>
  </si>
  <si>
    <t>Construção e Montagem WEG- (integrador - INNOVA ENERGY ) - Medição 2 -  ( CÁSSIA 2)  NF 108  antigo pc 000281 A301</t>
  </si>
  <si>
    <t>MEDIÇÃO MENSAL  OUT /2022 UFVs  ( Cássia 2  )   AFAPLAN   NF    7373</t>
  </si>
  <si>
    <t>Cássia 2_Engenharia de Proprietario</t>
  </si>
  <si>
    <t>AFAPLAN</t>
  </si>
  <si>
    <t xml:space="preserve"> WEG  MEDIÇÃO PRESTAÇÃO DE SERVIÇOS  EVENTO 4  ( CASSIA 2)  NF 155  INTEGRADOR INNOVA ENERGY</t>
  </si>
  <si>
    <t xml:space="preserve">Construção e Montagem WEG - Medição 5 - Entrega dos módulos na obra (Cássia 2)  </t>
  </si>
  <si>
    <t>[CCC03743]</t>
  </si>
  <si>
    <t xml:space="preserve">WEG PRESTAÇÃO DE SERVIÇOS UFVs ( CASSIA 2 )   ADIANTAMENTO   EVENTO 6  </t>
  </si>
  <si>
    <t> [CCC04396]</t>
  </si>
  <si>
    <t>MEDIÇÃO MENSAL UFVs ( Cássia 2  )   AFAPLAN   NF     7893</t>
  </si>
  <si>
    <t>Construção e Montagem WEG INTEGRADOR INOVVA ENERGY  ( CÁSSIA 2)  NF 36</t>
  </si>
  <si>
    <t>Pagamento de mediçãO REFERENTE A Execução em regime de empreitada global com fornecimento de materiais (sistema Turn Key) compreendendo todos os serviços necessários à execuçãoadequada e conclusão da obra para o completo funcionamento, em contrato FullEPC de construção da UFV.</t>
  </si>
  <si>
    <t> [CCC04400]</t>
  </si>
  <si>
    <t>A305 - MORI MINAS NEWCO V - UFV CASSIA 2</t>
  </si>
  <si>
    <t>PRESTAÇÃO DE SERVIÇOS  FITO UFVs (CASSIA 2 )   NF  113</t>
  </si>
  <si>
    <t>PAGAMENTO DE 1° MEDIÇÃO REFERENTE A PRESTAÇÃO DE SERVIÇOS DE DRENAGEM, EM CONTRATO FULL EPC.  40%</t>
  </si>
  <si>
    <t>Cássia 2_Obras Drenagem</t>
  </si>
  <si>
    <t>WEG PRESTAÇÃO DE SERVIÇOS UFVs ( CASSIA 2 )  NF 46  INTEGRADOR INNOVA   EVENTO 7</t>
  </si>
  <si>
    <t>Pagamento de medição referente a Conclusão das Conexões CC e CA,  em contrato FullEPC de construção da UFV. Evento 7</t>
  </si>
  <si>
    <t xml:space="preserve">PRESTAÇÃO DE SERVIÇOS  UFVs ( CASSIA 2) NF  40 INTEGRADOR INNOVA </t>
  </si>
  <si>
    <t>Aditivo de contrato Valor esta fora da proforma da Weg.</t>
  </si>
  <si>
    <t>MEDIÇÃO MENSAL UFVs ( Cássia 2  )   AFAPLAN   NF  8048</t>
  </si>
  <si>
    <t xml:space="preserve">WEG PRESTAÇÃO DE SERVIÇOS UFVs( CASSIA 2)   NF 60 INNOVA  ADITIVO </t>
  </si>
  <si>
    <t xml:space="preserve">INNOVA  </t>
  </si>
  <si>
    <t xml:space="preserve">MEDIÇÃO MENSAL UFVs ( Cássia 2  )   AFAPLAN   NF  </t>
  </si>
  <si>
    <t>PRESTAÇÃO DE SERVIÇOS  FITO UFVs (CASSIA 2)   NF 121</t>
  </si>
  <si>
    <t>PAGAMENTO DE 2° MEDIÇÃO REFERENTE A PRESTAÇÃO DE SERVIÇOS DE DRENAGEM, EM CONTRATO FULL EPC.  80 %</t>
  </si>
  <si>
    <t>[CCC04711]</t>
  </si>
  <si>
    <t>000992</t>
  </si>
  <si>
    <t>SPT - finalização (Formiga 6)</t>
  </si>
  <si>
    <t>Formiga 6 _Outros</t>
  </si>
  <si>
    <t>000464</t>
  </si>
  <si>
    <t>Cabos de aço aluminizado (536997)</t>
  </si>
  <si>
    <t>[CCC03334-01]</t>
  </si>
  <si>
    <t>Formiga 6 _Obras MT_FD</t>
  </si>
  <si>
    <t>SPT - Adiantamento (Formiga 6)</t>
  </si>
  <si>
    <t>Projetos de fundações e drenagem - HALLITE (Formiga 6) Analise terraplanagem</t>
  </si>
  <si>
    <t>[CCC02715-02]</t>
  </si>
  <si>
    <t>S016</t>
  </si>
  <si>
    <t>Material Elétrico - PRYSMIAN CABOS (Formiga 6)</t>
  </si>
  <si>
    <t>Reatores de aterramento ADELCO (Formiga 6)</t>
  </si>
  <si>
    <t>Histórico SOLATIO -Projetos - Arrendamento de Terrenos (Formiga 6)</t>
  </si>
  <si>
    <t>Desenvolvimento de projetos Executivos - 20% iniciais (Formiga 6)</t>
  </si>
  <si>
    <t>[CCC03147-05]</t>
  </si>
  <si>
    <t>Formiga 6_Engenharia Executiva</t>
  </si>
  <si>
    <t>Archtech - Testes de PullOuT_Biotec - Adiantamento (Formiga 6)</t>
  </si>
  <si>
    <t>[CCC03145-33]</t>
  </si>
  <si>
    <t>Projeto de cabine primária  - PROJETTI - 100% (Formiga 6)</t>
  </si>
  <si>
    <t>[CCC03233-05]</t>
  </si>
  <si>
    <t>Formiga 6_Projeto/Coordenograma</t>
  </si>
  <si>
    <t>Archtech - Testes de PullOuT_Biotec - Finalização (Formiga 6)</t>
  </si>
  <si>
    <t>[CCC03265-33]</t>
  </si>
  <si>
    <t>Medição 01 (Formiga 6)</t>
  </si>
  <si>
    <t>Medição de serviços contratados para execução de projeto de rede MT, externos à UFV.  Sem descontos por adiantamento</t>
  </si>
  <si>
    <t>[CCC03268-02]</t>
  </si>
  <si>
    <t>Formiga 6 _Obras MT_MD</t>
  </si>
  <si>
    <t>Desenvolvimento de projetos Executivos - 20% intermediários - 1a entrega (Formiga 6)</t>
  </si>
  <si>
    <t>[CCC03290-05]</t>
  </si>
  <si>
    <t>Projetos de fundações e drenagem - HALLITE (Formiga 6) Analise terraplanagem - 70% iniciais</t>
  </si>
  <si>
    <t>[CCC03309-11]</t>
  </si>
  <si>
    <t>SUPERVISORIO - Ciclo 2 - Gateways e remota (Formiga 6) NF 1774</t>
  </si>
  <si>
    <t>[CCC03207-09]</t>
  </si>
  <si>
    <t>Formiga 6 _SGD</t>
  </si>
  <si>
    <t>SUPERVISORIO - Ciclo 2 - Gateways e remota (Formiga 6) NF 1780</t>
  </si>
  <si>
    <t>[CCC03207-15]</t>
  </si>
  <si>
    <t>000150</t>
  </si>
  <si>
    <t>Postes de concreto (Formiga 6)</t>
  </si>
  <si>
    <t>[CCC02786-01]</t>
  </si>
  <si>
    <t>Parafusos, cabos e material de fixação (Formiga 6)</t>
  </si>
  <si>
    <t>[CCC02911-03]</t>
  </si>
  <si>
    <t>Cabos de aço aluminizado (Formiga 6)</t>
  </si>
  <si>
    <t>[CCC03334-03]</t>
  </si>
  <si>
    <t>Desenvolvimento de projetos Executivos - ENERSOLAR - 20% avançados - 2a entrega (Formiga 6)</t>
  </si>
  <si>
    <t>[CCC03368-02]</t>
  </si>
  <si>
    <t>000230</t>
  </si>
  <si>
    <t>Compra de cruzetas MBA (Formiga 6)</t>
  </si>
  <si>
    <t>[CCC03382-03]</t>
  </si>
  <si>
    <t>A802-UFV RAJADA ENERGIA  - FILIAL</t>
  </si>
  <si>
    <t>Terminais e material de conexão (Formiga 6) Loja Eletrica NF397981</t>
  </si>
  <si>
    <t>[CCC03389-07]</t>
  </si>
  <si>
    <t>000219</t>
  </si>
  <si>
    <t>Terminais e material de conexão (Formiga 6) loja Eletrica NF397993</t>
  </si>
  <si>
    <t>[CCC03389-08]</t>
  </si>
  <si>
    <t xml:space="preserve">Estação solarimétrica – Hukseflux      Formiga 6
</t>
  </si>
  <si>
    <t>[CCC03544]</t>
  </si>
  <si>
    <t>Formiga 6 _Estação solarimétrica</t>
  </si>
  <si>
    <t xml:space="preserve">COMPRA MATERIAIS PARA UFVs ( FORMIGA 6 )   NF  45  </t>
  </si>
  <si>
    <t>[CCC03654]</t>
  </si>
  <si>
    <t>Formiga 6_EPC_FD</t>
  </si>
  <si>
    <t>A306  - MORI MINAS  NEWCO V  - UFV FORMIGA 6</t>
  </si>
  <si>
    <t>SERVIÇO DE LOCAÇÃO PARA AS UFVs  (FORMIGA 6)  NF  9952</t>
  </si>
  <si>
    <t>[CCC03531]</t>
  </si>
  <si>
    <t>Serviços de  levantamento topográfico  ( FORMIGA 6 )  NF   274   ROSSETI</t>
  </si>
  <si>
    <t>[CCC03697]</t>
  </si>
  <si>
    <t xml:space="preserve">SERVIÇO DE LOCAÇÃO UFVs (FORMIGA 6)          NF 507  </t>
  </si>
  <si>
    <t>[CCC03710]</t>
  </si>
  <si>
    <t>Construção e Montagem ROSSETI - Adiantamento contratual (UFV Formiga 6)</t>
  </si>
  <si>
    <t>[CCC03748]</t>
  </si>
  <si>
    <t>Formiga 6_EPC_MD</t>
  </si>
  <si>
    <t>074854</t>
  </si>
  <si>
    <t>COMPRA MATERIAIS PARA UFVs ( FORMIGA 6 )   NF 24009</t>
  </si>
  <si>
    <t>[CCC03766]</t>
  </si>
  <si>
    <t>Desenvolvimento de projetos Executivos  - ENERSOLAR -  20%  ANALISADO-  (FORMIGA 6 )   NF 125</t>
  </si>
  <si>
    <t>[CCC03816]</t>
  </si>
  <si>
    <t>Repetido</t>
  </si>
  <si>
    <t xml:space="preserve">COMPRA MATERIAIS PARA UFVs ( FORMIGA 6 )   NF 57 </t>
  </si>
  <si>
    <t>[CCC03852]</t>
  </si>
  <si>
    <t>000223</t>
  </si>
  <si>
    <t>Terminais e material de conexão (Formiga 6)</t>
  </si>
  <si>
    <t>[CCC03386-04]</t>
  </si>
  <si>
    <t>COMPRA MATERIAIS PARA UFVs  ( FORMIGA 6)  NF  24376</t>
  </si>
  <si>
    <t>COMPRA MATERIAIS PARA UFVs  ( FORMIGA 6)  NF  589</t>
  </si>
  <si>
    <t xml:space="preserve">COMPRA MATERIAIS PARA UFVs  (  FORMIGA 6  )  NF  26105    EXPONECIAL RDA INTERNO  </t>
  </si>
  <si>
    <t>Formiga 6_RDA - Rede de Distribuição Aerea</t>
  </si>
  <si>
    <t>000596</t>
  </si>
  <si>
    <t>COMPRA MATERIAIS PARA UFVs  ( FORMIGA 6)  NF  4447</t>
  </si>
  <si>
    <t>000597</t>
  </si>
  <si>
    <t>COMPRA MATERIAIS PARA UFVs  ( FORMIGA 6)  NF  1615</t>
  </si>
  <si>
    <t>PEDIDO DUPLICADO</t>
  </si>
  <si>
    <t>Projetos de fundações e drenagem - HALLITE (FORMIGA 6) Analise terraplanagem - 30% FINAIS   NF 52</t>
  </si>
  <si>
    <t>[CCC03875]</t>
  </si>
  <si>
    <t xml:space="preserve">COMPRA MATERIAIS PARA UFVs  (   FORMIGA 6  )  NF  72951 LTB  RDA INTERNO  </t>
  </si>
  <si>
    <t>COMPRA MATERIAIS PARA UFVs  ( FORMIGA 6)  NF  4093    CAMPO ALEGRE  RDA INTERNA</t>
  </si>
  <si>
    <t>COMPRA DE MATERIAIS UFVS (  FORMIGA 6   ) EXPONENCIAL RDA INTERNO NF 26505</t>
  </si>
  <si>
    <t>000642</t>
  </si>
  <si>
    <t>Religadores ( FORMIGA 6)   TAVRIDA    NF     715</t>
  </si>
  <si>
    <t>000340</t>
  </si>
  <si>
    <t>COMPRA DE MATEIRIAS UFVs ( FORMIGA)  NF   410369   Loja Eletrica</t>
  </si>
  <si>
    <t>[CCC03739]</t>
  </si>
  <si>
    <t>Estação solarimétrica – Hukseflux   UFVs (FORMIGA 6)   VINCULO PEDIDO 000269 A 301  NF  4799</t>
  </si>
  <si>
    <t>000623</t>
  </si>
  <si>
    <t>Medição (Antares Carvalho e Melo Empreendimentos Ltda )</t>
  </si>
  <si>
    <t>MEDIÇÃO PRESTAÇÃO DE SERVIÇOS   UFVs ( FORMIGA 6)  NF 53</t>
  </si>
  <si>
    <t>Pagamento de medição referente A 75%  DA OBRA, necessários a construção das UFVs. - (Terraplanagem)</t>
  </si>
  <si>
    <t>PRESTAÇÃO DE SERVIÇOS MEDIÇÃO 1 UFVS ( FORMIGA 6)    NF   75</t>
  </si>
  <si>
    <t>COMPRA MATERIAIS PARA UFVsS (  FORMIGA 6  )    NF   2888</t>
  </si>
  <si>
    <t>000619</t>
  </si>
  <si>
    <t>COMPRA MATERIAIS PARA UFVsS ( FORMIGA 6 )    NF 1400</t>
  </si>
  <si>
    <t>000620</t>
  </si>
  <si>
    <t>PRESTAÇÃO DE SERVIÇOS  UFVs(  FORMIGA 6  )    NF 3418</t>
  </si>
  <si>
    <t>000630</t>
  </si>
  <si>
    <t>PRESTAÇÃO DE SERVIÇOS  UFVs  (  FORMIGA 6)  NF  5812</t>
  </si>
  <si>
    <t>000631</t>
  </si>
  <si>
    <t>PRESTAÇÃO DE SERVIÇOS  UFVs  (  FORMIGA 6)  NF  4477</t>
  </si>
  <si>
    <t>COMPRA MATERIAIS PARA UFVs  ( FORMIGA 6)  NF  18</t>
  </si>
  <si>
    <t>PRESTAÇÃ DE SERVIÇOS UFVs   ( FORMIGA 6)  NF  288</t>
  </si>
  <si>
    <t>000675</t>
  </si>
  <si>
    <t>COMPRA MATERIAIS PARA UFVs  ( FORMIGA 6)  NF  63269</t>
  </si>
  <si>
    <t>COMPRA DE MATERIAIS  UFVs   (  FORMIGA 6  )  NF  203</t>
  </si>
  <si>
    <t>COMPRA DE MATERIAIS  UFVs   ( FORMIGA 6)  NF 161</t>
  </si>
  <si>
    <t>COMPRA DE MATERIAIS  UFVs   ( FORMIGA 6 ) NF 1433</t>
  </si>
  <si>
    <t>´000693</t>
  </si>
  <si>
    <t>COMPRA DE MATERIAIS  UFVs   ( FORMIGA 6)  NF 24071</t>
  </si>
  <si>
    <t>000687</t>
  </si>
  <si>
    <t>COMPRA DE MATERIAIS  UFVs   ( FORMIGA 6)  NF 761</t>
  </si>
  <si>
    <t> [CCC04191]</t>
  </si>
  <si>
    <t>COMPRA DE MATERIAIS  UFVs   ( FORMIGA 6)  NF 2945</t>
  </si>
  <si>
    <t>A306-MORI MINAS NEWCO V - FORMIGA  6</t>
  </si>
  <si>
    <t xml:space="preserve">PRESTAÇÃO DE SERVIÇOS  MEDIÇÃO (FORMIGA 6)   NF 57  ANTARES CARVALHO </t>
  </si>
  <si>
    <t>Formiga 6_Obras Terraplanagem</t>
  </si>
  <si>
    <t>000431</t>
  </si>
  <si>
    <t>Desenvolvimento de projetos Executivos  - ENERSOLAR -  20%  APROVADO  (FORMIGA 6)    NF 138</t>
  </si>
  <si>
    <t>[CCC03920]</t>
  </si>
  <si>
    <t>000722</t>
  </si>
  <si>
    <t>PRESTAÇÃO DE SERVIÇOS UFVS ( FORMIGA 6 ) NF 4512</t>
  </si>
  <si>
    <t>000723</t>
  </si>
  <si>
    <t>PRESTAÇÃO DE SERVIÇOS UFVS ( FORMIGA 6 ) NF 5862</t>
  </si>
  <si>
    <t>Pagamento  EM FATURAMENTO DIRETO,  referente a mão de obra ,  necessário à construção da UFV  em contrato EPC .</t>
  </si>
  <si>
    <t>000724</t>
  </si>
  <si>
    <t>PRESTAÇÃO DE SERVIÇOS UFVS ( FORMIGA 6 ) NF 23</t>
  </si>
  <si>
    <t>000725</t>
  </si>
  <si>
    <t>PRESTAÇÃO DE SERVIÇOS UFVS ( FORMIGA 6)  NF 3488</t>
  </si>
  <si>
    <t>Pagamento  EM FATURAMENTO DIRETO,  referente a SERVÇO DE VIGILANCIA E SEGURANÇA ,  necessário à construção da UFV  em contrato EPC .</t>
  </si>
  <si>
    <t>´000732</t>
  </si>
  <si>
    <t>COMPRA DE MATERIAIS UFVS ( FORMIGA 6 ) NF  2845</t>
  </si>
  <si>
    <t>´000613</t>
  </si>
  <si>
    <t>DAE - Dispensa de Licenciamento ambiental UFV  ( FORMIGA 06)  NF  934</t>
  </si>
  <si>
    <t>PRESTAÇÃO DE SERVIÇOS UFVs (FORMIGA 6 ) NF 107    STEFANIO COUTINHO  PC CANCELADO</t>
  </si>
  <si>
    <t>Formiga 6_EPC_2_FD</t>
  </si>
  <si>
    <t>COMPRA MATERIAIS PARA UFVs ()  NF 65727  TRAEL - Formiga 6</t>
  </si>
  <si>
    <t>PRESTAÇÃO DE SERVIÇOS UFVs ( FORMIGA 6) CMP CONCRETO NF 3</t>
  </si>
  <si>
    <t>A306  - MORI MINAS  NEWCO V  - UFV FORMIGA 6</t>
  </si>
  <si>
    <t>PRESTAÇÃO DE SERVIÇOS UFVs (FORMIGA 6  ) NF  3488 TRÍADE VIGILÂNCIA  duplo pedido excluido</t>
  </si>
  <si>
    <t>000764</t>
  </si>
  <si>
    <t>COMPRA DE MATERIAIS UFVS (FORMIGA 6  ) NF  10397 NACIONAL EQUIPAMENTOS</t>
  </si>
  <si>
    <t xml:space="preserve">PRESTAÇÃO DE SERVIÇOS UFVs ( FORMIGA 6)  NF  5175  CONVEN  </t>
  </si>
  <si>
    <t>PRESTAÇÃO DE SERVIÇOS UFVs ( FORMIGA 6) NF   303   V.DE JESUS LOPES</t>
  </si>
  <si>
    <t>000769</t>
  </si>
  <si>
    <t>PRESTAÇÃO DE SERVIÇOS UFVs ( FORMIGA 6) NF 4530  FADRE</t>
  </si>
  <si>
    <t>Pagamento em Faturamento Direto,  referente a manipulação de telescopio , em contrato de obras EPC da UFV.</t>
  </si>
  <si>
    <t>PRESTAÇÃO DE SERVIÇOS UFVs ( FORMIGA 6) NF 5892  FADRE</t>
  </si>
  <si>
    <t>Pagamento em Faturamento Direto,  referente a mão de obra  ma operação de manipulador  de telescopio , em contrato de obras EPC da UFV.</t>
  </si>
  <si>
    <t>PRESTAÇÃO DE SERVIÇO UFVs (FORMIGA 6)   NF  190 BATISTA NUNES</t>
  </si>
  <si>
    <t>A611-ESTRELA DO NORTE SPE I</t>
  </si>
  <si>
    <t xml:space="preserve">DAE - Dispensa de Licenciamento ambiental UFVS   (FORMIGA 2)  NF 587  JX </t>
  </si>
  <si>
    <t>000776</t>
  </si>
  <si>
    <t>PRESTAÇÃO DE SERVIÇO UFVs (Formiga 6) PREMIUM EVENTOS NF 576</t>
  </si>
  <si>
    <t>PRESTAÇÃO DE SERVIÇOS UFVs  ( FORMIGA 6  ) NF 307 V D JESUS BIAZZI</t>
  </si>
  <si>
    <t>000780</t>
  </si>
  <si>
    <t xml:space="preserve">COMPRAS DE MATERIAIS UFVs (FORMIGA 6) NF 427745  LOJA ELETRICA  </t>
  </si>
  <si>
    <t>PRESTAÇÃO DE SERVIÇOS UFVs ( FORMIGA 6) NF 194  BATISTA NUNES</t>
  </si>
  <si>
    <t>Construção e Montagem GLD - Medição 1 - Adiantamento 15%  UFVs ( FORMIGA 6)   NF  330</t>
  </si>
  <si>
    <t>Formiga 6_EPC_2_MD</t>
  </si>
  <si>
    <t>PRESTAÇÃO DE SERVIÇOS UFVs  (FORMIGA 6)  NF 736  FUNDASUL</t>
  </si>
  <si>
    <t>Pagamento em faturamento direto referente ao SERVIÇO DE  EXECUÇÃO DE TRACKERS,em contrato EPC.</t>
  </si>
  <si>
    <t> [CCC04391]</t>
  </si>
  <si>
    <t xml:space="preserve">PRESTAÇÃO DE SERVIÇOS UFVs ( FORMIGA 6) NF 3  RIMA </t>
  </si>
  <si>
    <t>PRESTAÇÃO DE SERVIÇOS UFVs ( FORMIGA 6) TATIANA  ADIANTAMENTO  cadastro</t>
  </si>
  <si>
    <t> [CCC04540]</t>
  </si>
  <si>
    <t xml:space="preserve">PRESTAÇÃO DE SERVIÇOS UFVs( FORMIGA 6 ) NF 460 RONDA PORTEIROS </t>
  </si>
  <si>
    <t>PRESTAÇÃO DE SERVIÇOS UFVs ( FORMIGA 6) RONDA PORTEIROS NF 407</t>
  </si>
  <si>
    <t>PRESTAÇÃO DE SERVIÇOS UFVs ( FORMIGA 6) RONDA PORTEIROS NF 428</t>
  </si>
  <si>
    <t>PRESTAÇÃO DE SERVIÇOS  UFVs ( FORMIGA 6 )  NF  348</t>
  </si>
  <si>
    <t>PRESTAÇÃO DE SERVIÇOS  UFVs ( FORMIGA 6 )  NF  349</t>
  </si>
  <si>
    <t>COMPRA DE MATERIAIS  UFVs( FORMIGA 6) NF 431 ZANIN SOLUÇÕES</t>
  </si>
  <si>
    <t>COMPRA DE MATERIAIS  UFVs( FORMIGA 6) NF 22838 LIDER</t>
  </si>
  <si>
    <t>PRESTAÇÃO  DE SERVIÇOS UFVs ( FORMIGA 6)   NF  566 RONDA PORTEIROS</t>
  </si>
  <si>
    <t>COMPRA DE MATERIAIS  UFVs( FORMIGA 6) NF 135860  DISTRIBUIDORA DE CIMENTO</t>
  </si>
  <si>
    <t>MEDIÇÃO  GLD UFVS ( FORMIGA 6 )   NF 367</t>
  </si>
  <si>
    <t> [CCC04688]</t>
  </si>
  <si>
    <t>MEDIÇÃO  GLD UFVS ( FORMIGA 6 )   NF 366</t>
  </si>
  <si>
    <t>PRESTAÇÃO DE SERVIÇOS UFVs ( FORMIGA 6) NF 2588</t>
  </si>
  <si>
    <t>COMPRA DE MATERIAIS UFvs (FORMIGA 6 ) NF 765  SALBRASA</t>
  </si>
  <si>
    <t>COMPRA DE MATERIAIS UFvs (FORMIGA 6 ) NF 3004  POSTO SÃO RAFAEL</t>
  </si>
  <si>
    <t>Pagamento referente a COMPRA DE COMBUSTIVEL, necessário à construção da UFV. ESCOPO COMERC</t>
  </si>
  <si>
    <t>COMPRA DE MATERIAIS UFvs (FORMIGA 6 ) NF 2978  POSTO SÃO RAFAEL</t>
  </si>
  <si>
    <t>PRESTAÇÃO DE SERVIÇOS UFVs (FORMIGA 6)  NF 589  RONDA PORTEIROS</t>
  </si>
  <si>
    <t>PRESTAÇÃO DE SERVIÇOS UFVs (FORMIGA 6) NF 399</t>
  </si>
  <si>
    <t> [CCC04773]</t>
  </si>
  <si>
    <t>PRESTAÇÃO DE SERVIÇOS UFVs (FORMIGA 6) NF 400</t>
  </si>
  <si>
    <t>PRESTAÇÃO DE SERVIÇOS UFVs (FORMIGA) NF 613  RONDA PORTEIROS</t>
  </si>
  <si>
    <t>COMPRA DE MATERIAIS UFVs (FORMIGA 6)  NF 630  SIFER</t>
  </si>
  <si>
    <t>001074</t>
  </si>
  <si>
    <t xml:space="preserve">COMPRA DE MATERIAIS UFVs (FORMIGA 6)  NF 4  STEFANIO COUTINHO  </t>
  </si>
  <si>
    <t>COMPRA DE MATERIAIS UFVs  (FORMIGA 6) NF 19  STEFANIO COUTINHO</t>
  </si>
  <si>
    <t>SPT - finalização (Passos 4)</t>
  </si>
  <si>
    <t>Passos 4 _Outros</t>
  </si>
  <si>
    <t>SPT - Adiantamento (Passos 4)</t>
  </si>
  <si>
    <t>S017</t>
  </si>
  <si>
    <t>Material Elétrico - PRYSMIAN CABOS (Passos 4)</t>
  </si>
  <si>
    <t>Passos 4 - CAPEX - Serviço MT - CCAP-C2_000021
Cancelada e Duplicada</t>
  </si>
  <si>
    <t>Passos 4 _Obras MT_FD</t>
  </si>
  <si>
    <t>S117</t>
  </si>
  <si>
    <t>Equipamentos - ABS SISTEMAS (Passos 4)</t>
  </si>
  <si>
    <t>Passos 4 - CAPEX - Serviço AT - CCAP-C2_000021</t>
  </si>
  <si>
    <t>Passos 4_Obras AT_FD</t>
  </si>
  <si>
    <t>S118</t>
  </si>
  <si>
    <t>Equipamentos - ARTECHE (Passos 4)</t>
  </si>
  <si>
    <t>S119</t>
  </si>
  <si>
    <t>Equipamentos - BALTEAU (Passos 4)</t>
  </si>
  <si>
    <t>S120</t>
  </si>
  <si>
    <t>Material elétrico - CABELAUTO (Passos 4)</t>
  </si>
  <si>
    <t>S121</t>
  </si>
  <si>
    <t>Equipamentos - ELETROTASK (Passos 4)</t>
  </si>
  <si>
    <t>S122</t>
  </si>
  <si>
    <t>Transporte de materiais - MARCELO DE OLIVEIRA (Passos 4)</t>
  </si>
  <si>
    <t>S123</t>
  </si>
  <si>
    <t>Equipamentos - MARLICE EQUIPAMENTOS(Passos 4)</t>
  </si>
  <si>
    <t>S124</t>
  </si>
  <si>
    <t>Equipamentos - RITZ (Passos 4)</t>
  </si>
  <si>
    <t>S125</t>
  </si>
  <si>
    <t>Transporte de equipamentos - RODONAVES (Passos 4)</t>
  </si>
  <si>
    <t>S126</t>
  </si>
  <si>
    <t>Equipamentos - USICROM (Passos 4)</t>
  </si>
  <si>
    <t>Reatores de aterramento ADELCO (Passos 4)</t>
  </si>
  <si>
    <t>Histórico SOLATIO -Medição MBA_SOLATIO (Passos 4)Material Elétrico - PRYSMIAN CABOS (Passos 4)</t>
  </si>
  <si>
    <t>Passos 4 - CAPEX - Serviço MT - CCAP-C2_000021</t>
  </si>
  <si>
    <t>Passos 4 _Obras MT_MD</t>
  </si>
  <si>
    <t>Histórico SOLATIO -Projetos - Linha de Distribuição - Geomattos LTDA ME (Passos 4)</t>
  </si>
  <si>
    <t>Archtech - Testes de PullOuT_Biotec - Adiantamento (Passos 4)</t>
  </si>
  <si>
    <t>[CCC03145-16]</t>
  </si>
  <si>
    <t>Archtech - Testes de PullOuT_Biotec - Finalização (Passos 4)</t>
  </si>
  <si>
    <t>[CCC03265-16]</t>
  </si>
  <si>
    <t>Medição 01 (Passos 4) FINAL</t>
  </si>
  <si>
    <t>Medição de serviços, suportando desenvolvimento de serviços em obras no contrato MT.  Sem descontos por adiantamento</t>
  </si>
  <si>
    <t>[CCC03270]</t>
  </si>
  <si>
    <t>SUPERVISORIO - Ciclo 2 - Gateways e remota (Passos 4)NF 1768</t>
  </si>
  <si>
    <t>[CCC03207-03]</t>
  </si>
  <si>
    <t>Passos 4 _SGD</t>
  </si>
  <si>
    <t>SUPERVISORIO - Ciclo 2 - Gateways e remota (Passos 4) NF 1778</t>
  </si>
  <si>
    <t>[CCC03207-13]</t>
  </si>
  <si>
    <t>Eng. Executiva GLD - Entrega 01 - P01_05 (Passos 4)</t>
  </si>
  <si>
    <t>[CCC03206-17]</t>
  </si>
  <si>
    <t>Passos 4 _Engenharia Executiva - Basica</t>
  </si>
  <si>
    <t>SERVICOS DE AGRONOMIA E DE CONSULTORIA AS 
ATIVIDADES AGRICOLAS E PECUARIAS) (Passos 4)</t>
  </si>
  <si>
    <t>[CCC03420]</t>
  </si>
  <si>
    <t>Estação solarimétrica – Hukseflux  Passos 4
NF 7020 PC 002121</t>
  </si>
  <si>
    <t>[CCC03552]</t>
  </si>
  <si>
    <t>Passos 4 _Estação solarimétrica</t>
  </si>
  <si>
    <t>Desenvolvimento de projetos Executivos  - ENERSOLAR -  20% iniciais - 01/05 (Passos 4)   NF   71  ANT PC 000169</t>
  </si>
  <si>
    <t>[CCC03326-06]</t>
  </si>
  <si>
    <t>Passos 4_Engenharia Executiva - Detalhada</t>
  </si>
  <si>
    <t>COMPRA MATERIAIS PARA UFVs ( PASSOS 4 )   NF  23</t>
  </si>
  <si>
    <t>[CCC03648]</t>
  </si>
  <si>
    <t>Passos 4_EPC_FD</t>
  </si>
  <si>
    <t>COMPRA MATERIAIS PARA UFVs ( PASSOS 4 )   NF  43</t>
  </si>
  <si>
    <t>A307-MORI MINAS NEWCO V - UFV PASSOS 4</t>
  </si>
  <si>
    <t>Construção e Montagem ROSSETI - Adiantamento contratual (Passos 4 )</t>
  </si>
  <si>
    <t>[CCC03755]</t>
  </si>
  <si>
    <t>Passos 4_EPC_MD</t>
  </si>
  <si>
    <t>Atividades para liberação de execução de POT nas UFVs ( PASSOS 4)  NF  440</t>
  </si>
  <si>
    <t>000580</t>
  </si>
  <si>
    <t>PRESTAÇÃO DE SERVIÇOS UFVs  (PASSOS 4)   NF 2022 /05</t>
  </si>
  <si>
    <t xml:space="preserve">Pagamento referente a  PRESTAÇÃO DE SERVIÇOS DE TOPOGRAFIA , necessário a construção da UFVs. </t>
  </si>
  <si>
    <t>[CCC04089]</t>
  </si>
  <si>
    <t>Desenvolvimento de projetos Executivos  - ENERSOLAR -  20%  INTERMEDIARIO  (PASSOS 4 ) NF 216</t>
  </si>
  <si>
    <t>Desenvolvimento de projetos Executivos  - ENERSOLAR -  20%  EMITIDOS (PASSOS 4 ) NF 217</t>
  </si>
  <si>
    <t>Desenvolvimento de projetos Executivos  - ENERSOLAR -  20%  ANALISADO (PASSOS 4 ) NF 218</t>
  </si>
  <si>
    <t xml:space="preserve">Desenvolvimento de projetos Executivos  - ENERSOLAR -  20%  APROVADO (PASSOS 4 ) NF </t>
  </si>
  <si>
    <t>COMPRA DE MATERIAIS UFVs (PASSOS 4 ) NF   TAVRIDA   ADIANTAMENTO</t>
  </si>
  <si>
    <t>FALTA 50% FINAL + NF</t>
  </si>
  <si>
    <t>Módulos para Religador (Paraguaçu 1)</t>
  </si>
  <si>
    <t>[CCC02543]</t>
  </si>
  <si>
    <t>Paraguaçu 1 - CAPEX - Serviço AT - CCAP-C2_000021</t>
  </si>
  <si>
    <t>Paraguaçu 1_Obras AT_FD</t>
  </si>
  <si>
    <t>SPT - finalização (Paraguaçu 1)</t>
  </si>
  <si>
    <t>Paraguaçu 1 _Outros</t>
  </si>
  <si>
    <t>SPT - Adiantamento (Paraguaçu 1)</t>
  </si>
  <si>
    <t>S003</t>
  </si>
  <si>
    <t>Material Elétrico - PRYSMIAN CABOS (Paraguaçu 1)</t>
  </si>
  <si>
    <t>Paraguaçu 1 - CAPEX - Serviço MT - CCAP-C2_000021 (Material sera transferido)</t>
  </si>
  <si>
    <t>Paraguaçu 1 _Obras MT_FD</t>
  </si>
  <si>
    <t>S035</t>
  </si>
  <si>
    <t>Equipamentos - ABS SISTEMAS (Paraguaçu 1)</t>
  </si>
  <si>
    <t>S039</t>
  </si>
  <si>
    <t>Equipamentos - ARTECHE (Paraguaçu 1)</t>
  </si>
  <si>
    <t>S043</t>
  </si>
  <si>
    <t>Equipamentos - BALTEAU (Paraguaçu 1)</t>
  </si>
  <si>
    <t>S048</t>
  </si>
  <si>
    <t>Material elétrico - CABELAUTO (Paraguaçu 1)</t>
  </si>
  <si>
    <t>S058</t>
  </si>
  <si>
    <t>Transporte de materiais - MARCELO DE OLIVEIRA (Paraguaçu 1)</t>
  </si>
  <si>
    <t>S062</t>
  </si>
  <si>
    <t>Equipamentos - MARLICE EQUIPAMENTOS(Paraguaçu 1)</t>
  </si>
  <si>
    <t>S066</t>
  </si>
  <si>
    <t>Serviços - New Energy (Paraguaçu 1)</t>
  </si>
  <si>
    <t>S071</t>
  </si>
  <si>
    <t>Transporte de materiais - RMF ARANHA (Paraguaçu 1)</t>
  </si>
  <si>
    <t>S075</t>
  </si>
  <si>
    <t>Transporte de equipamentos - RODONAVES (Paraguaçu 1)</t>
  </si>
  <si>
    <t>S079</t>
  </si>
  <si>
    <t>Equipamentos - SIEMENS (Paraguaçu 1)</t>
  </si>
  <si>
    <t>S082</t>
  </si>
  <si>
    <t>Equipamentos - UNIAR (Paraguaçu 1)</t>
  </si>
  <si>
    <t>S086</t>
  </si>
  <si>
    <t>Equipamentos - USICROM (Paraguaçu 1)</t>
  </si>
  <si>
    <t>Reatores de aterramento ADELCO (Paraguaçu 1)</t>
  </si>
  <si>
    <t>Archtech - Testes de PullOuT_Biotec - Adiantamento (Paraguaçu 1)</t>
  </si>
  <si>
    <t>[CCC03145-20]</t>
  </si>
  <si>
    <t>Medição 01 (Paraguaçu 1)</t>
  </si>
  <si>
    <t>[CCC03203-01]</t>
  </si>
  <si>
    <t>Paraguaçu 1_Obras AT_MD</t>
  </si>
  <si>
    <t>JX AMBIENTAL - Procedimento Administrativo - DAIA de implantação de UFV - 01de02 (Paraguaçu 1)</t>
  </si>
  <si>
    <t>[CCC03232-14]</t>
  </si>
  <si>
    <t>Archtech - Testes de PullOuT_Biotec - Finalização (Paraguaçu 1)</t>
  </si>
  <si>
    <t>[CCC03265-20]</t>
  </si>
  <si>
    <t>JX AMBIENTAL - Procedimento Administrativo - DAIA de implantação de UFV - 02de02 (Paraguaçu 1)</t>
  </si>
  <si>
    <t>[CCC03292-04]</t>
  </si>
  <si>
    <t>SUPERVISORIO - Ciclo 2 - Gateways e remota (Paraguaçu 1)</t>
  </si>
  <si>
    <t>[CCC03269-11]</t>
  </si>
  <si>
    <t>Paraguaçu 1 _SGD</t>
  </si>
  <si>
    <t>SUPERVISORIO - Ciclo 2 - Baterias, desktops, switch e acessórios (Paraguaçu 1)</t>
  </si>
  <si>
    <t>[CCC03269-18]</t>
  </si>
  <si>
    <t>Eng. Executiva GLD - Entrega 01 - P01_05 (Paraguaçu 1)</t>
  </si>
  <si>
    <t>[CCC03205-25]</t>
  </si>
  <si>
    <t>Paraguaçu 1_Engenharia Executiva - Detalhada</t>
  </si>
  <si>
    <t>Eng. Executiva GLD - Entrega 02 - P01_03 (Paraguaçu 1)</t>
  </si>
  <si>
    <t>[CCC03205-30]</t>
  </si>
  <si>
    <t>Construção e Montagem GLD - Medição 1 - Adiantamento (Paraguaçu 1)  NF 211</t>
  </si>
  <si>
    <t>[CCC03387-08]</t>
  </si>
  <si>
    <t>Paraguaçu 1_EPC_FD</t>
  </si>
  <si>
    <t>SERVICOS DE AGRONOMIA E DE CONSULTORIA AS 
ATIVIDADES AGRICOLAS E PECUARIAS) PARAGUAÇU 1</t>
  </si>
  <si>
    <t>Estação solarimétrica – Hukseflux   Paraguaçu 1
NF 7017 PC 003364</t>
  </si>
  <si>
    <t>[CCC03551]</t>
  </si>
  <si>
    <t>Paraguaçu 1 _Estação solarimétrica</t>
  </si>
  <si>
    <t>000583</t>
  </si>
  <si>
    <t>Taxa de reposição florestal  UFVs  (PARAGUAÇU 1)  NF   867</t>
  </si>
  <si>
    <t>Atividades para liberação de execução de POT nas UFVs ( PARAGUAÇU)  NF  441</t>
  </si>
  <si>
    <t>Transporte de materiais - MARCELO DE OLIVEIRA (Paraguaçu 1) NF21</t>
  </si>
  <si>
    <t>COMPRA RELE   UFVs Serviços - New Energy (Varginha 2)  ADIANTAMENTO    N 628   SIEMENS</t>
  </si>
  <si>
    <t>Compra em faturamento em faturamento direto, referente Pagamento de 100% do valor da oferta comercial, em contrato AT .</t>
  </si>
  <si>
    <t> [CCC04354]</t>
  </si>
  <si>
    <t>Varginha 2_Obras AT_FD</t>
  </si>
  <si>
    <t xml:space="preserve">COMPRA RELE   UFVs ( Santo Antonio Ap)  ADIANTAMENTO    N 627  SIEMENS - NF 19927 </t>
  </si>
  <si>
    <t>Santo Antônio 1_Obras AT_FD</t>
  </si>
  <si>
    <t>PRESTAÇÃO DE SERVIÇOS UFVs( PARAGUAÇU 1) NF 2509</t>
  </si>
  <si>
    <t>A408-MORI MINAS NEWCO IV- UFV PARAGUAÇU 1</t>
  </si>
  <si>
    <t>PRESTAÇÃO DE SERVIÇOS UFVs (PARAGUAÇU 1 )  NF  152  GP SERVIÇOS</t>
  </si>
  <si>
    <t xml:space="preserve">Pagamento DE SERVIÇO REFERENTE A SERVIDÃO DE REDE, NECESSÁRIOS A CONSTRUÇÃO DAS USINAS.   50% INICIAIS </t>
  </si>
  <si>
    <t>PRESTAÇÃO DE SERVIÇOS UFVs ( PARAGUAÇU 1 )  NF   156   GP SERVIÇOS</t>
  </si>
  <si>
    <t>Pagamento DE SERVIÇO REFERENTE A SERVIDÃO DE REDE, NECESSÁRIOS A CONSTRUÇÃO DAS USINAS.   50 % FINAIS</t>
  </si>
  <si>
    <t> [CCC04654]</t>
  </si>
  <si>
    <t>COMPRA DE MATERIAIS UFVs (PARAGUAÇU 1 ) NF   TAVRIDA ADIANTAMENTO</t>
  </si>
  <si>
    <t>Apartir do Contrato MBA - Utilizado na Transferencia para Diamantina 2pelo Contrato da Engeluz no Distrato com a MBA</t>
  </si>
  <si>
    <t>PRESTAÇÃO DE SERVIÇOS UFVs ( PARAGUAÇU) NF 639  JX AMBIENTAL</t>
  </si>
  <si>
    <t> [CCC04747]</t>
  </si>
  <si>
    <t>PRESTAÇÃO DE SERVIÇOS UFVs (PARAGUAÇU) NF 296  JX AMBIENTAL</t>
  </si>
  <si>
    <t>PRESTAÇÃO DE SERVIÇOS UFVs (PARAGUAÇU 1) NF 999 JX AMBIENTAL</t>
  </si>
  <si>
    <t>Projetos de fundações e drenagem - HALLITE (Santo Antônio 1) Analise terraplanagem</t>
  </si>
  <si>
    <t>[CCC02715-01]</t>
  </si>
  <si>
    <t>Santo Antônio 1 _Outros</t>
  </si>
  <si>
    <t>S006</t>
  </si>
  <si>
    <t>Material Elétrico - PRYSMIAN CABOS (Santo Antônio 1)</t>
  </si>
  <si>
    <t>Cancelada Duplicada</t>
  </si>
  <si>
    <t>Santo Antônio 1 _Obras MT_FD</t>
  </si>
  <si>
    <t>S036</t>
  </si>
  <si>
    <t>Equipamentos - ABS SISTEMAS (Santo Antônio 1)</t>
  </si>
  <si>
    <t>Santo Antônio 1 - CAPEX - Serviço AT - CCAP-C2_000021</t>
  </si>
  <si>
    <t>S040</t>
  </si>
  <si>
    <t>Equipamentos - ARTECHE (Santo Antônio 1) 39704+38583</t>
  </si>
  <si>
    <t>S044</t>
  </si>
  <si>
    <t>Equipamentos - BALTEAU (Santo Antônio 1) - 40331 + 42254</t>
  </si>
  <si>
    <t>S049</t>
  </si>
  <si>
    <t>Material elétrico - CABELAUTO (Santo Antônio 1)PARCELA 2 NF 107981 MBA AT</t>
  </si>
  <si>
    <t>S055</t>
  </si>
  <si>
    <t>Equipamentos - ELETROTASK (Santo Antônio 1)</t>
  </si>
  <si>
    <t>S059</t>
  </si>
  <si>
    <t>Transporte de materiais - MARCELO DE OLIVEIRA (Santo Antônio 1)</t>
  </si>
  <si>
    <t>S063</t>
  </si>
  <si>
    <t>Equipamentos - MARLICE EQUIPAMENTOS(Santo Antônio 1)</t>
  </si>
  <si>
    <t>S067</t>
  </si>
  <si>
    <t>Serviços - New Energy (Santo Antônio 1)</t>
  </si>
  <si>
    <t>S070</t>
  </si>
  <si>
    <t>Equipamentos - RITZ (Santo Antônio 1)</t>
  </si>
  <si>
    <t>S072</t>
  </si>
  <si>
    <t>Transporte de materiais - RMF ARANHA (Santo Antônio 1)MBA AT CTE 18</t>
  </si>
  <si>
    <t>S076</t>
  </si>
  <si>
    <t>Transporte de equipamentos - RODONAVES (Santo Antônio 1)</t>
  </si>
  <si>
    <t>S080</t>
  </si>
  <si>
    <t>Equipamentos - SIEMENS (Santo Antônio 1)</t>
  </si>
  <si>
    <t>S083</t>
  </si>
  <si>
    <t>Equipamentos - UNIAR (Santo Antônio 1)</t>
  </si>
  <si>
    <t>S087</t>
  </si>
  <si>
    <t>Equipamentos - USICROM (Santo Antônio 1)</t>
  </si>
  <si>
    <t>Reatores de aterramento ADELCO (Santo Antônio 1)</t>
  </si>
  <si>
    <t>Medição 01 (Santo Antônio 1)</t>
  </si>
  <si>
    <t>Medição de serviços contratados para execução de projeto de rede AT, internos à instalação da distribuidora.</t>
  </si>
  <si>
    <t>[CCC03090-07]</t>
  </si>
  <si>
    <t>Santo Antônio 1_Obras AT_MD</t>
  </si>
  <si>
    <t>Histórico SOLATIO -Projetos - Obras de Conexão - Proel Engenharia LTDA (Santo Antônio 1)</t>
  </si>
  <si>
    <t>Histórico SOLATIO -Medição MBA_SOLATIO (Santo Antônio 1)</t>
  </si>
  <si>
    <t>Histórico SOLATIO -Medição MBA_SOLATIO (Santo Antônio 1)Material Elétrico - PRYSMIAN CABOS (Santo Antônio 1)</t>
  </si>
  <si>
    <t>Santo Antônio 1 - CAPEX - Serviço MT - CCAP-C2_000021</t>
  </si>
  <si>
    <t>Santo Antônio 1 _Obras MT_MD</t>
  </si>
  <si>
    <t>Transporte de materiais (Santo Antônio 1)</t>
  </si>
  <si>
    <t>[CCC03121-03]</t>
  </si>
  <si>
    <t>Cabos de Alumínio Isolado (Santo Antônio 1)</t>
  </si>
  <si>
    <t>[CCC03121-01]</t>
  </si>
  <si>
    <t>[CCC03121-02]</t>
  </si>
  <si>
    <t>Archtech - Testes de PullOuT_Biotec - Adiantamento (Santo Antônio 1)</t>
  </si>
  <si>
    <t>[CCC03145-26]</t>
  </si>
  <si>
    <t>Archtech - Testes de PullOuT_Biotec - Finalização (Santo Antônio 1)</t>
  </si>
  <si>
    <t>[CCC03265-26]</t>
  </si>
  <si>
    <t>Serviço de SPT - BIOTEC (Santo Antônio 1) - 40% iniciais - Campanha 6</t>
  </si>
  <si>
    <t>[CCC03281-13]</t>
  </si>
  <si>
    <t>Medição 02 (Santo Antônio 1)</t>
  </si>
  <si>
    <t>[CCC03222-10]</t>
  </si>
  <si>
    <t>Medição 01 (Santo Antônio 1) - 02 SOLATIO</t>
  </si>
  <si>
    <t>[CCC03251-01]</t>
  </si>
  <si>
    <t>SUPERVISORIO - Ciclo 2 - Gateways e remota (Santo Antônio 1) NF 1740</t>
  </si>
  <si>
    <t>[CCC03269-05]</t>
  </si>
  <si>
    <t>Santo Antônio 1 _SGD</t>
  </si>
  <si>
    <t>SUPERVISORIO - Ciclo 2 - Baterias, desktops, switch e acessórios (Santo Antônio 1) NF 1752</t>
  </si>
  <si>
    <t>[CCC03269-17]</t>
  </si>
  <si>
    <t>Serviço de SPT - BIOTEC (Santo Antônio 1) - 60% finais - Campanha 6</t>
  </si>
  <si>
    <t>[CCC03063-08]</t>
  </si>
  <si>
    <t>Eng. Executiva GLD - Entrega 01 - P01_05 (Santo Antônio 1)</t>
  </si>
  <si>
    <t>[CCC03205-33]</t>
  </si>
  <si>
    <t>Santo Antônio 1_Engenharia Executiva - Detalhada</t>
  </si>
  <si>
    <t>Eng. Executiva GLD - Entrega 02 - P01_03 (Santo Antônio 1)</t>
  </si>
  <si>
    <t>[CCC03205-38]</t>
  </si>
  <si>
    <t>Transporte de material (Santo Antônio 1)</t>
  </si>
  <si>
    <t>[CCC03324]</t>
  </si>
  <si>
    <t>000228</t>
  </si>
  <si>
    <t>Cabo de Alumínio isolado (Santo Antônio 1)</t>
  </si>
  <si>
    <t>[CCC03326]</t>
  </si>
  <si>
    <t>JX AMBIENTAL - Procedimento Administrativo - Comunicação de colheita na REDE - 02de02 (Santo Antônio 1)</t>
  </si>
  <si>
    <t>Segunda parcela de serviço de consultoria contratado cumprimento de legislação ambiental. Proposta 168B/2021</t>
  </si>
  <si>
    <t>[CCC03325-02]</t>
  </si>
  <si>
    <t>Medição 03 (Santo Antônio 1)</t>
  </si>
  <si>
    <t>[CCC03356-09]</t>
  </si>
  <si>
    <t xml:space="preserve">Nfe 354 refere-se ao projeto fechado e tratado diretamente entre Solatio x Proel, não consta no escopo, visto que a Solatio forneceu todos projetos para execução. </t>
  </si>
  <si>
    <t>Santo Antônio 1_Obras MT_MD</t>
  </si>
  <si>
    <t>Construção e Montagem GLD - Medição 1 - Adiantamento (Santo Antônio 1)  NF 209</t>
  </si>
  <si>
    <t>[CCC03387-06]</t>
  </si>
  <si>
    <t>Santo Antônio 1_EPC_MD</t>
  </si>
  <si>
    <t xml:space="preserve">Estação solarimétrica – Hukseflux   Santo Antônio 1
</t>
  </si>
  <si>
    <t>[CCC03556]</t>
  </si>
  <si>
    <t>Santo Antônio 1 _Estação solarimétrica</t>
  </si>
  <si>
    <t>COMPRA MATERIAIS PARA UFVs  ( SANTO ANTONIO DO AMPARO)  LOJA ELETRICA    NF 429409</t>
  </si>
  <si>
    <t> [CCC04214]</t>
  </si>
  <si>
    <t>COMPRA MATERIAIS PARA UFVs  (SANTO ANTONIO DO AMPARO) NF 429409 LOJA ELETRICA  PC EXCLUIDO  DUPLO</t>
  </si>
  <si>
    <t> [CCC04266]</t>
  </si>
  <si>
    <t xml:space="preserve"> PC EXCLUIDO  DUPLO</t>
  </si>
  <si>
    <t>COMPRA MATERIAIS PARA UFVs  ( SANTO ANTONIO DO AMPARO ) NF  429683 LOJA ELETRICA</t>
  </si>
  <si>
    <t>COMPRA DE MATERIAIS UFVS (SANTO ANTONIO DO AMPARO ) NF  786   TAVRIDA</t>
  </si>
  <si>
    <t> [CCC04284]</t>
  </si>
  <si>
    <t>002051</t>
  </si>
  <si>
    <t>COMPRA DE MATERIAIS UFvs ( PEDRA DO INDAIA 3 ) NF 8406      SANTA EDWIGES</t>
  </si>
  <si>
    <t>Pagamento referente a COMPRA DE MATERIAIS, necessário à construção da UFV. ESCOPO COMERC</t>
  </si>
  <si>
    <t> [CCC04722]</t>
  </si>
  <si>
    <t xml:space="preserve"> ESCOPO COMERC</t>
  </si>
  <si>
    <t>BALDONI / MCD BALDONI -Terraplanagem - Medição  ( SANTO ANTONIO DO AMPARO 1)  20%   NF   169</t>
  </si>
  <si>
    <t>Pagamento de serviço de terraplanagem necessário à construção da UFV.  MEDIÇÃO 1</t>
  </si>
  <si>
    <t> [CCC04379]</t>
  </si>
  <si>
    <t>Santo Antônio 1_Obras Terraplanagem</t>
  </si>
  <si>
    <t xml:space="preserve">BALDONI / Baldoni Engenharia -Terraplanagem - Medição ( SANTRO ANTONIO DO AMPARO 1)  80%  N  </t>
  </si>
  <si>
    <t>A409- MORI MINAS NEWCO IV -  UFV SANT ANTONIO  1</t>
  </si>
  <si>
    <t>BALDONI / MCD BALDONI -Terraplanagem - Medição  ( SANTO ANTONIO DO AMPARO 1)  20%   NF   170</t>
  </si>
  <si>
    <t> [CCC04447]</t>
  </si>
  <si>
    <t>BALDONI / Baldoni Engenharia -Terraplanagem - Medição ( SANTRO ANTONIO DO AMPARO 1)  80%  N  336</t>
  </si>
  <si>
    <t>001269</t>
  </si>
  <si>
    <t>BALDONI / MCD BALDONI -Terraplanagem - Medição  ( SANTO ANTONIO DO AMPARO 1)  20%   NF   176</t>
  </si>
  <si>
    <t> [CCC04501]</t>
  </si>
  <si>
    <t>BALDONI / Baldoni Engenharia -Terraplanagem - Medição ( SANTRO ANTONIO DO AMPARO 1)  80%  N 341</t>
  </si>
  <si>
    <t>001277</t>
  </si>
  <si>
    <t>PRESTAÇÃO DE SERVIÇOS UFVs ( SANTO ANTONIO DO AMPARO 1)  NF  334</t>
  </si>
  <si>
    <t> [CCC04496]</t>
  </si>
  <si>
    <t> R$      181.084,47</t>
  </si>
  <si>
    <t>001279</t>
  </si>
  <si>
    <t>PRESTAÇÃO DE SERVIÇOS UFVs ( SANTO ANTONIO DO AMPARO 1)  NF  335</t>
  </si>
  <si>
    <t> R$         97.507,03</t>
  </si>
  <si>
    <t>001319</t>
  </si>
  <si>
    <t xml:space="preserve">PRESTAÇÃO DE SERVIÇOS UFVs( SANTO ANTONIO DO AMPARO 1 ) NF 465 RONDA PORTEIROS </t>
  </si>
  <si>
    <t> [CCC04536]</t>
  </si>
  <si>
    <t>Santo Antônio 1_EPC_FD</t>
  </si>
  <si>
    <t xml:space="preserve">PRESTAÇÃO DE SERVIÇOS UFVs( SANTO ANTONIO DO AMPARO 1 ) NF 468 RONDA PORTEIROS </t>
  </si>
  <si>
    <t>BALDONI / MCD BALDONI -Terraplanagem   ( SANTO ANTONIO DO AMPARO 1)  20%   NF  177</t>
  </si>
  <si>
    <t> [CCC04563]</t>
  </si>
  <si>
    <t>BALDONI / BALDONI ENGENHEIRO -Terraplanagem  ( SANTO ANTONIO DO AMPARO 1)  80%   NF   343</t>
  </si>
  <si>
    <t>COMPRA DE MATERIAIS  UFVs( SANTO ANTONIO DO AMPARO 1 ) NF 441 ZANIN</t>
  </si>
  <si>
    <t> [CCC04632]</t>
  </si>
  <si>
    <t xml:space="preserve">BALDONI / MCD BALDONI -Terraplanagem ( SANTO ANTONIO DO AMPARO 1)  20%   NF </t>
  </si>
  <si>
    <t> [CCC04664]</t>
  </si>
  <si>
    <t xml:space="preserve">BALDONI / BALDONI ENGENHEIRO -Terraplanagem ( SANTO ANTONIO DO AMPARO 1)  80%   NF </t>
  </si>
  <si>
    <t>PRESTAÇÃO DE SERVIÇOS UFVs ( SANTO ANTONIO DO AMPARO 1)  NF  352</t>
  </si>
  <si>
    <t>Pagamento de 2° medição ,  referente a prestação de serviços e mão de obra,   necessários a construção da UFVs em contrato EPC.  65%</t>
  </si>
  <si>
    <t> [CCC04639]</t>
  </si>
  <si>
    <t>001384</t>
  </si>
  <si>
    <t>PRESTAÇÃO DE SERVIÇOS UFVs ( SANTO ANTONIO DO AMPARO 1)  NF  353</t>
  </si>
  <si>
    <t>PRESTAÇÃO DE SERVIÇOS UFVs ( SANTO ANTONIO DO AMPARO 1)  NF  380</t>
  </si>
  <si>
    <t>001479</t>
  </si>
  <si>
    <t>PRESTAÇÃO DE SERVIÇOS UFVs ( SANTO ANTONIO DO AMPARO 1)  NF  381</t>
  </si>
  <si>
    <t>000648</t>
  </si>
  <si>
    <t>COMPRA MATERIAIS PARA UFVs ( DIVINOPOLIS 1 )   NF  24</t>
  </si>
  <si>
    <t>[CCC03647]</t>
  </si>
  <si>
    <t>COMPRA MATERIAIS PARA UFVs ( DIVINOPOLIS 1)   NF  35</t>
  </si>
  <si>
    <t>PRESTAÇÃO DE SERVIÇOS UFVs ( SANTO ANTONIO DO AMPARO 1)  NF  592 RONDA PORTEIROS</t>
  </si>
  <si>
    <t>PRESTAÇÃO DE SERVIÇOS UFVs (SANTO ANTONIO DO AMPARO ) NF 2592</t>
  </si>
  <si>
    <t>Pagamento de medição, referente a Extensão de rede de distribuição rural para atender à UFV, necessário a construção da usina em contrato MT.</t>
  </si>
  <si>
    <t>COMPRA DE MATERIAIS UFvs ( SANTO ANTONIO DO AMPARO 1 ) NF 136605  CIMENTOLANDIA</t>
  </si>
  <si>
    <t> [CCC04727]</t>
  </si>
  <si>
    <t>002446</t>
  </si>
  <si>
    <t>PRESTAÇÃO DE SERVIÇOS UFVs (PEDRA DO INDAIA 3 ) NF 759   RONDA PORTEIROS         ADITIVO</t>
  </si>
  <si>
    <t>Pagamento referente a prestação de serviço de segurança desarmada, necessário à construção da UFVs.</t>
  </si>
  <si>
    <t>[CCC05042]</t>
  </si>
  <si>
    <t>a</t>
  </si>
  <si>
    <t>BALDONI / MCD BALDONI -Terraplanagem  (SANTO ANTONIO DO AMPARO 1)  20%   NF  184</t>
  </si>
  <si>
    <t>BALDONI / BALDONI ENGENHEIRO -Terraplanagem (SANTO ANTONIO DO AMPARO 1) 80%  N 350</t>
  </si>
  <si>
    <t>duplo</t>
  </si>
  <si>
    <t xml:space="preserve">COMPRA DE MATERIAIS UFVs ( SANTO ANTONIO DO AMPARO)  NF 627  SIFER        </t>
  </si>
  <si>
    <t>PRESTAÇÃO DE SERVIÇOS UFVs ( SANTO ANTONIO DO AMPARO 1)  NF  410</t>
  </si>
  <si>
    <t>PRESTAÇÃO DE SERVIÇOS UFVs ( SANTO ANTONIO DO AMPARO 1)  NF  411</t>
  </si>
  <si>
    <t>BALDONI / MCD BALDONI -Terraplanagem  (SANTO ANTONIO DO AMPARO 1)  20%  NF 189</t>
  </si>
  <si>
    <t> [CCC04811]</t>
  </si>
  <si>
    <t>BALDONI / BALDONI ENGENHEIRO -Terraplanagem (SANTO ANTONIO DO AMPARO 1) 80%  N 354</t>
  </si>
  <si>
    <t>COMPRA DE MATERIAIS UFVs   (SANTO ANTONIO DO AMPARO 1) NF 13  STEFANIO COUTINHO</t>
  </si>
  <si>
    <t>SPT - Adiantamento (São Sebastião 1)</t>
  </si>
  <si>
    <t>São Sebastião 1 _Outros</t>
  </si>
  <si>
    <t>S004</t>
  </si>
  <si>
    <t>Material Elétrico - PRYSMIAN CABOS (São Sebastião 1)</t>
  </si>
  <si>
    <t>[CCC02882-01]</t>
  </si>
  <si>
    <t>São Sebastião 1 - CAPEX - Serviço MT - CCAP-C2_000021</t>
  </si>
  <si>
    <t>Reatores de aterramento ADELCO (São Sebastião 1)</t>
  </si>
  <si>
    <t>Histórico SOLATIO -Medição MBA_SOLATIO (São Sebastião 1)</t>
  </si>
  <si>
    <t>São Sebastião 1 _Obras MT_MD</t>
  </si>
  <si>
    <t>JX AMBIENTAL - Realocação de reserva legal - 01de03 (São Sebastião 1)</t>
  </si>
  <si>
    <t>Serviço complementar em processo de consultoria ambiental, em contratação específica para realocação de reserva legal da UFV. Proposta 95A_2022</t>
  </si>
  <si>
    <t>[CCC03154-03]</t>
  </si>
  <si>
    <t>Archtech - Testes de PullOuT_Biotec - Adiantamento (São Sebastião 1)</t>
  </si>
  <si>
    <t>[CCC03145-39]</t>
  </si>
  <si>
    <t>Medição 01 (São Sebastião 1)</t>
  </si>
  <si>
    <t>[CCC03204-06]</t>
  </si>
  <si>
    <t>Serviço de SPT - NOVO TEMPO (São Sebastião 1) - Campanha 5</t>
  </si>
  <si>
    <t>[CCC03047-06]</t>
  </si>
  <si>
    <t>JX AMBIENTAL - Realocação de reserva legal - 02de03 (São Sebastião 1)</t>
  </si>
  <si>
    <t>[CCC03232-05]</t>
  </si>
  <si>
    <t>JX AMBIENTAL - Realocação de reserva legal - 02de03 (São Sebastião 1) RELANÇADO</t>
  </si>
  <si>
    <t>Projeto de cabine primária  - PROJETTI - 100% (cassia 1)</t>
  </si>
  <si>
    <t>[CCC03233-04]</t>
  </si>
  <si>
    <t>São Sebastião 1_Projeto/Coordenograma</t>
  </si>
  <si>
    <t>Archtech - Testes de PullOuT_Biotec - Finalização (São Sebastião 1)</t>
  </si>
  <si>
    <t>[CCC03265-39]</t>
  </si>
  <si>
    <t>JX AMBIENTAL - Realocação de reserva legal - 03de03 (São Sebastião 1)</t>
  </si>
  <si>
    <t>[CCC03293]</t>
  </si>
  <si>
    <t>SUPERVISORIO - Ciclo 2 - Gateways e remota (São Sebastião 1)</t>
  </si>
  <si>
    <t>[CCC03269-13]</t>
  </si>
  <si>
    <t>São Sebastião 1 _SGD</t>
  </si>
  <si>
    <t>SUPERVISORIO - Ciclo 2 - Baterias, desktops, switch e acessórios (São Sebastião 1)</t>
  </si>
  <si>
    <t>[CCC03269-29]</t>
  </si>
  <si>
    <t>Postes de concreto (São Sebastião 1)</t>
  </si>
  <si>
    <t>[CCC02786-05]</t>
  </si>
  <si>
    <t>Cabos de aço aluminizado (São Sebastião 1)</t>
  </si>
  <si>
    <t>[CCC03334-07]</t>
  </si>
  <si>
    <t>Construção e Montagem WEG - Medição 1 - Adiantamento (São Sebastião 1)</t>
  </si>
  <si>
    <t>[CCC03330-02]</t>
  </si>
  <si>
    <t>São Sebastião 1_Full EPC - Turn Key</t>
  </si>
  <si>
    <t>CANCELADO  -  Construção e Montagem WEG - Medição 2 - Entrega de POs (São Sebastião 1)</t>
  </si>
  <si>
    <t>[CCC03352-02]</t>
  </si>
  <si>
    <t>Compra de cruzetas MBA (São Sebastião 1)</t>
  </si>
  <si>
    <t>[CCC03382-02]</t>
  </si>
  <si>
    <t>A801-UFV RAJADA ENERGIA  ALUGUEL - MATRIZ</t>
  </si>
  <si>
    <t>Terminais e material de conexão (São Sebastião 1)</t>
  </si>
  <si>
    <t>[CCC03389-03]</t>
  </si>
  <si>
    <t>A410-MORI MINAS NEWCO IV - UFV SÃO SEBASTIÃO 1</t>
  </si>
  <si>
    <t>Construção e Montagem WEG - Medição 2 - Entrega de POs (São Sebastião 1) (antigo 000294)</t>
  </si>
  <si>
    <t>MRO - Terraplanagem UFVs Full-EPC -   1° MEDIÇAO ( São Sebastião 1)   NF 373 VALOR A SER PAGO  218.931,01</t>
  </si>
  <si>
    <t>[CCC03686]</t>
  </si>
  <si>
    <t>São Sebastião 1_Obras Terraplanagem</t>
  </si>
  <si>
    <t>000317</t>
  </si>
  <si>
    <t>Construção e Montagem WEG- (integrador BN SERVICOS  ) Medição 2  (UFV  SÃO SEBASTIÃO 1 )  N 2</t>
  </si>
  <si>
    <t>Pagamento de serviço Comprovação de compra de módulos, inversores e Estruturas  necessário à construção da UFV.</t>
  </si>
  <si>
    <t>[CCC03482]</t>
  </si>
  <si>
    <t>MRO - Terraplanagem UFVs Full-EPC -  MEDIÇÃO 1  35% INTERMERDIÁRIOS ( SÃO SEBASTIÃO  1)  NF  395</t>
  </si>
  <si>
    <t>Revisão de coordenograma de proteção em função de alteração da potência dos transformadores (UFV São Sebastião 1)</t>
  </si>
  <si>
    <t>[CCC03443]</t>
  </si>
  <si>
    <t xml:space="preserve">WEG MEDIÇÃO 3  ENTREGADE MODULOS  -  EVENTO 5 -UFVs ( SÃO SEBASTIÃO 1)  </t>
  </si>
  <si>
    <t>Pagamento de medição contratual, mobilização dos canteiro de obras, Evento 5 de contrato FullEPC de construção da UFV .</t>
  </si>
  <si>
    <t>[CCC04014]</t>
  </si>
  <si>
    <t>000826</t>
  </si>
  <si>
    <t xml:space="preserve">WEG PROJETOS DE DRENAGEM  ADIANTAMENTO  ( SÃO SEBASTIÃO DO OESTE 1)  CALTER    </t>
  </si>
  <si>
    <t>São Sebastião 1_Obras Drenagem</t>
  </si>
  <si>
    <t>Religadores ( SÃO SEBASTIÃO DO OESTE 1)   TAVRIDA    NF     712</t>
  </si>
  <si>
    <t>MEDIÇÃO MENSAL  OUT /2022 UFVs  (  São Sebastião 1  )   AFAPLAN   NF   7370</t>
  </si>
  <si>
    <t>São Sebastião 1_Engenharia de Proprietario</t>
  </si>
  <si>
    <t>MEDIÇÃO 1  CALTERT UFVS ( SÃO SEBASTIÃO 1)   NF   83</t>
  </si>
  <si>
    <t>PRESTAÇÃO DE SERVIÇOS UFVs  ( SÃO SEBASTIÃO DO OESTE 1 )  RICARDO TAVARES NF 429</t>
  </si>
  <si>
    <t>Pagamento em Faturamento Direto referente a serviços de transporte, em contrato de obras MT .</t>
  </si>
  <si>
    <t> [CCC04342]</t>
  </si>
  <si>
    <t>MEDIÇÃO 2  CALTER UFVS ( SÃO SEBASTIÃO 1)   NF   92</t>
  </si>
  <si>
    <t> [CCC04297]</t>
  </si>
  <si>
    <t>MEDIÇÃO MENSAL UFVs  (  São Sebastião 1  )   AFAPLAN   NF  7889</t>
  </si>
  <si>
    <t>MEDIÇÃO 1  CALTERT UFVS ( SÃO SEBASTIÃO 1 )   NF   106</t>
  </si>
  <si>
    <t> [CCC04422]</t>
  </si>
  <si>
    <t>WEG PRESTAÇÃO DE SERVIÇOS UFVs (  SÃO SEBASTIÃO 1)   ADIANTAMENTO   EVENTO 3</t>
  </si>
  <si>
    <t>Pagamento MEDIÇÃO MOBILIZAÇÃO DO CANTEIRO DE OBRAS, contrato FULL EPC WEG. EVENTO 3</t>
  </si>
  <si>
    <t> [CCC04479]</t>
  </si>
  <si>
    <t>MEDIÇÃO   CALTERT UFVS ( SÃO SEBASTIÃO 1 )   NF   112</t>
  </si>
  <si>
    <t>Pagamento 4° medição , referente a serviços de drenagem, contrato FULL- EPC .</t>
  </si>
  <si>
    <t> [CCC04516]</t>
  </si>
  <si>
    <t>WEG PRESTAÇÃO DE SERVIÇOS UFVs ( SÃO SEBASTIÃO DO OESTE 1)  NF 179    INTEGRADOR BN SERVIÇOS  EVENTO 5</t>
  </si>
  <si>
    <t>Pagamento de medição referente a Contra entrega dos módulos na obra, em contrato FullEPC de construção da UFV. Evento 5</t>
  </si>
  <si>
    <t> [CCC04523]</t>
  </si>
  <si>
    <t>WEG PRESTAÇÃO DE SERVIÇOS UFVs ( SÃO SEBASTIÃO DO OESTE 1)  NF 180   INTEGRADOR BN SERVIÇOS  EVENTO 4</t>
  </si>
  <si>
    <t>PRESTAÇÃO DE SERVIÇOS UFVs( SÃO SEBASTIÃO DO OESTE 1) NF 445  MRO ADITIVOS</t>
  </si>
  <si>
    <t>Supressão Vegetal</t>
  </si>
  <si>
    <t xml:space="preserve">PRESTAÇÃO DE SERVIÇOS UFVs ( SÃO SEBASTIÃO DO OESTE 1) NF 5  RIMA </t>
  </si>
  <si>
    <t>São Sebastião 1_Obras Terraplanagem_Rima</t>
  </si>
  <si>
    <t>MEDIÇÃO MENSAL UFVs  (  São Sebastião 1  )   AFAPLAN   NF 8844</t>
  </si>
  <si>
    <t xml:space="preserve">WEG PRESTAÇÃO DE SERVIÇOS UFVs ( SÃO SEBASTIÃO 1 )   ADIANTAMENTO   EVENTO 4  </t>
  </si>
  <si>
    <t> [CCC04569]</t>
  </si>
  <si>
    <t>Verificar Valor</t>
  </si>
  <si>
    <t xml:space="preserve">MEDIÇÃO MENSAL UFVs  (  São Sebastião 1  )   AFAPLAN   NF </t>
  </si>
  <si>
    <t>001376</t>
  </si>
  <si>
    <t>MEDIÇÃO   CALTERT UFVS ( SÃO SEBASTIÃO 1 )   NF  117</t>
  </si>
  <si>
    <t>Pagamento 5° medição , referente a serviços de drenagem, contrato FULL- EPC .</t>
  </si>
  <si>
    <t> [CCC04606]</t>
  </si>
  <si>
    <t>MEDIÇÃO   CALTERT UFVS ( SÃO SEBASTIÃO 1 )   NF 121</t>
  </si>
  <si>
    <t>Pagamento 6° medição , referente a serviços de drenagem, contrato FULL- EPC .</t>
  </si>
  <si>
    <t> [CCC04674]</t>
  </si>
  <si>
    <t>MEDIÇÃO   CALTER UFVS ( SÃO SEBASTIÃO 1 )   NF  126</t>
  </si>
  <si>
    <t>Pagamento 7° medição , referente a serviços de drenagem, contrato FULL- EPC .  100%</t>
  </si>
  <si>
    <t>[CCC04713]</t>
  </si>
  <si>
    <t>PRESTAÇÃO DE SERVIÇOS UFVs (SÃO SEBASTIÃO DO OESTE 1) NF 2585</t>
  </si>
  <si>
    <t>Projetos de fundações e drenagem - HALLITE (São Sebastião 3) Analise terraplanagem</t>
  </si>
  <si>
    <t>[CCC02477-03]</t>
  </si>
  <si>
    <t>São Sebastião 3 _Outros</t>
  </si>
  <si>
    <t>S018</t>
  </si>
  <si>
    <t>Material Elétrico - PRYSMIAN CABOS (São Sebastião 3)</t>
  </si>
  <si>
    <t>São Sebastião 3 - CAPEX - Serviço MT - CCAP-C2_000021</t>
  </si>
  <si>
    <t>São Sebastião 3 _Obras MT_FD</t>
  </si>
  <si>
    <t>S027</t>
  </si>
  <si>
    <t>Equipamentos Elétricos - TAVRIDA  (São Sebastião 3) NF3126</t>
  </si>
  <si>
    <t>Reatores de aterramento ADELCO (São Sebastião 3)</t>
  </si>
  <si>
    <t>Projeto de cabine primária  - PROJETTI - 100% (São Sebastião 3)</t>
  </si>
  <si>
    <t>[CCC02893-07]</t>
  </si>
  <si>
    <t>São Sebastião 3_Projeto/Coordenograma</t>
  </si>
  <si>
    <t>Archtech - Testes de PullOuT_Biotec - Adiantamento (São Sebastião 3)</t>
  </si>
  <si>
    <t>[CCC03145-40]</t>
  </si>
  <si>
    <t>Medição 01 (São Sebastião 3) NF2158</t>
  </si>
  <si>
    <t>[CCC03204-07]</t>
  </si>
  <si>
    <t>São Sebastião 3 _Obras MT_MD</t>
  </si>
  <si>
    <t>Serviço de SPT - NOVO TEMPO (São Sebastião 3) - Campanha 5</t>
  </si>
  <si>
    <t>[CCC03047-07]</t>
  </si>
  <si>
    <t>JX AMBIENTAL - Procedimento Administrativo - DAIA de implantação de UFV - 01de02 (São Sebastião 3)</t>
  </si>
  <si>
    <t>[CCC03232-15]</t>
  </si>
  <si>
    <t>Archtech - Testes de PullOuT_Biotec - Finalização (São Sebastião 3)</t>
  </si>
  <si>
    <t>[CCC03265-40]</t>
  </si>
  <si>
    <t>Medição 02 (São Sebastião 3) NF 2190</t>
  </si>
  <si>
    <t>[CCC03268-03]</t>
  </si>
  <si>
    <t>JX AMBIENTAL - Procedimento Administrativo - DAIA de implantação de UFV - 02de02 (São Sebastião 3)</t>
  </si>
  <si>
    <t>[CCC03292-05]</t>
  </si>
  <si>
    <t>SUPERVISORIO - Ciclo 2 - Gateways e remota (São Sebastião 3) NF 1772</t>
  </si>
  <si>
    <t>[CCC03207-07]</t>
  </si>
  <si>
    <t>São Sebastião 3 _SGD</t>
  </si>
  <si>
    <t>SUPERVISORIO - Ciclo 2 - Gateways e remota (São Sebastião 3) NF 1782</t>
  </si>
  <si>
    <t>[CCC03207-17]</t>
  </si>
  <si>
    <t>Construção e Montagem WEG - Medição 1 - Adiantamento (São Sebastião 3)</t>
  </si>
  <si>
    <t>[CCC03330-06]</t>
  </si>
  <si>
    <t>São Sebastião 3_Full EPC - Turn Key</t>
  </si>
  <si>
    <t>CANCELADO  -  Construção e Montagem WEG - Medição 2 - Entrega de POs (São Sebastião 3)</t>
  </si>
  <si>
    <t>[CCC03352-06]</t>
  </si>
  <si>
    <t>DAE - Dispensa de Licenciamento ambiental (São Sebastião 3)</t>
  </si>
  <si>
    <t>[CCC03385-03]</t>
  </si>
  <si>
    <t>A308</t>
  </si>
  <si>
    <t>Construção e Montagem WEG - Medição 2 - Entrega de POs (São Sebastião 3)</t>
  </si>
  <si>
    <t>A301000215 0002Medição (Full-EPC)</t>
  </si>
  <si>
    <t>MRO - Terraplanagem UFVs Full-EPC -   1° MEDIÇAO (São Sebastião 3 )   NF 377 VALOR A SER PAGO   $ 357.645,49</t>
  </si>
  <si>
    <t>[CCC03690]</t>
  </si>
  <si>
    <t>São Sebastião 3_Obras Terraplanagem</t>
  </si>
  <si>
    <t>Construção e Montagem WEG- (integrador BN SERVICOS  ) Medição 2  ( SÃO SEBASTIÃO 3 )  N 3</t>
  </si>
  <si>
    <t>[CCC03481]</t>
  </si>
  <si>
    <t>A613-ESTRELA DO NORTE GER DE ENERGIA SPE III
INTEGRADOR</t>
  </si>
  <si>
    <t>MRO - Terraplanagem UFVs Full-EPC -  MEDIÇÃO FINAL  AVANÇO 35%  ( SÃO SEBASTIÃO DO OESTE1) NF  411</t>
  </si>
  <si>
    <t>Revisão de coordenograma de proteção em função de alteração da potência dos transformadores (UFVSão Sebastião 3)</t>
  </si>
  <si>
    <t>[CCC03444]</t>
  </si>
  <si>
    <t>Revisão de coordenograma de proteção em função de alteração do modelo do relé de proteção (UFV São Sebastião 3)</t>
  </si>
  <si>
    <t>[CCC03457]</t>
  </si>
  <si>
    <t>A308 - MORI MINAS NEWCO V - SÃO SEB DO OESTE 3</t>
  </si>
  <si>
    <t xml:space="preserve">WEG  Full-EPC -  MEDIÇÃO 3- 4 -5    ( SÃO SEBASTIÃO DO OESTE 3) NF 83    INTEGRADORA BN SERVIÇOS </t>
  </si>
  <si>
    <t>Pagamento  referente a montagem dee 100% DAS ESTACAS,  necessário à construção da UFV. EVENTO 3- 4- 5</t>
  </si>
  <si>
    <t>[CCC04094]</t>
  </si>
  <si>
    <t>INTEGRADOR</t>
  </si>
  <si>
    <t>A308-MORI MINAS NEWCO V - SÃO SEB DO OESTE 3</t>
  </si>
  <si>
    <t>000481</t>
  </si>
  <si>
    <t xml:space="preserve">Mobilização  WEG MEDIÇÃO 4  -  EVENTO -UFVs ( SÃO SEBASTIÃO 3)  </t>
  </si>
  <si>
    <t>Pagamento de medição contratual, mobilização dos canteiro de obras, Evento  de contrato FullEPC de construção da UFV .</t>
  </si>
  <si>
    <t>[CCC03972]</t>
  </si>
  <si>
    <t>MEDIÇÃO MENSAL OUT/2022 UFVs  (  São Sebastião do oeste  3  )   AFAPLAN   NF  7374</t>
  </si>
  <si>
    <t>São Sebastião 3_Engenharia de Proprietario</t>
  </si>
  <si>
    <t>000632</t>
  </si>
  <si>
    <t xml:space="preserve">WEG PROJETOS DE DRENAGEM  ADIANTAMENTO  ( SÃO SEBASTIÃO DO OESTE 3)  CALTER </t>
  </si>
  <si>
    <t>São Sebastião 3_Obras Drenagem</t>
  </si>
  <si>
    <t xml:space="preserve">Construção e Montagem  WEG - Medição 3 - UFVs (São Sebastião 3) </t>
  </si>
  <si>
    <t xml:space="preserve">Pagamento de medição  referente adicional para alteração de LAYOUT  . </t>
  </si>
  <si>
    <t>[CCC03936]</t>
  </si>
  <si>
    <t>000728</t>
  </si>
  <si>
    <t xml:space="preserve">MEDIÇÃO 1  CALTERT UFVS ( SÃO SEBASTIÃO 3 )   NF   84 </t>
  </si>
  <si>
    <t>000774</t>
  </si>
  <si>
    <t>MEDIÇÃO 2  CALTER UFVS ( SÃO SEBASTIÃO 3 )   NF   91</t>
  </si>
  <si>
    <t>MEDIÇÃO MENSAL UFVs (  São Sebastião do oeste  3  )   AFAPLAN   NF  7894</t>
  </si>
  <si>
    <t>MEDIÇÃO  CALTER UFVS ( SÃO SEBASTIÃO 3 )   NF   108</t>
  </si>
  <si>
    <t> [CCC04433]</t>
  </si>
  <si>
    <t>WEG PRESTAÇÃO DE SERVIÇOS UFVs (  SÃO SEBASTIÃO 3)   ADIANTAMENTO   EVENTO 4</t>
  </si>
  <si>
    <t> [CCC04478]</t>
  </si>
  <si>
    <t>MEDIÇÃO  CALTER UFVS ( SÃO SEBASTIÃO 3 )   NF  111</t>
  </si>
  <si>
    <t> [CCC04505]</t>
  </si>
  <si>
    <t>WEG PRESTAÇÃO DE SERVIÇOS UFVs ( SÃO SEBASTIÃO DO OESTE 3)  NF 181  INTEGRADOR BN SERVIÇOS  EVENTO 6</t>
  </si>
  <si>
    <t xml:space="preserve">Pagamento de medição referente a Montagem de 100% das mesas  , em contrato FullEPC de construção da UFV. Evento 6 </t>
  </si>
  <si>
    <t> [CCC04526]</t>
  </si>
  <si>
    <t>MEDIÇÃO MENSAL UFVs (  São Sebastião do oeste  3  )   AFAPLAN   NF  8049</t>
  </si>
  <si>
    <t xml:space="preserve">MEDIÇÃO MENSAL UFVs (  São Sebastião do oeste  3  )   AFAPLAN   NF  </t>
  </si>
  <si>
    <t>WEG PRESTAÇÃO DE SERVIÇOS UFVs (SÃO SEBASTIÃO DO OESTE 3)   ADIANTAMENTO   EVENTO 7</t>
  </si>
  <si>
    <t>WEG PRESTAÇÃO DE SERVIÇOS UFVs (SÃO SEBASTIÃO DO OESTE 3)   ADIANTAMENTO   EVENTO 6</t>
  </si>
  <si>
    <t>Pagamento medição, refrente a Montagem 100% das mesas , contrato FULL EPC WEG. EVENTO 6</t>
  </si>
  <si>
    <t> [CCC04608]</t>
  </si>
  <si>
    <t>MEDIÇÃO   CALTERT UFVS ( SÃO SEBASTIÃO 3 )   NF  118</t>
  </si>
  <si>
    <t> [CCC04610]</t>
  </si>
  <si>
    <t>PRESTAÇÃO DE SERVIÇOS UFVs ( SÃO SEBASTIÃO DO OESTE 3) NF 11  SRJ PROTEÇÃO</t>
  </si>
  <si>
    <t>MEDIÇÃO   CALTERT UFVS ( SÃO SEBASTIÃO 3 )   NF 119</t>
  </si>
  <si>
    <t> [CCC04672]</t>
  </si>
  <si>
    <t>WEG PRESTAÇÃO DE SERVIÇOS UFVs (SÃO SEBASTIÃO DO OESTE 3)  NF 208 BN SERVIÇOS EVENTO 7</t>
  </si>
  <si>
    <t> [CCC04700]</t>
  </si>
  <si>
    <t>000996</t>
  </si>
  <si>
    <t>MEDIÇÃO   CALTER UFVS ( SÃO SEBASTIÃO 3 )   NF  125</t>
  </si>
  <si>
    <t>[CCC04710]</t>
  </si>
  <si>
    <t>COMPRA DE MATERIAIS UFvs ( SÃO SEBASTIÃO 3 ) NF 2029</t>
  </si>
  <si>
    <t>Pagamento em faturamento direto referente a compra de materiais, portas e janelas, necessário a construção da usinas em contrato EPC.</t>
  </si>
  <si>
    <t> [CCC04769]</t>
  </si>
  <si>
    <t xml:space="preserve"> ATI</t>
  </si>
  <si>
    <t>PRESTAÇÃO DE SERVIÇOS  UFVS ( SÃO SEBASTIÃO DO OESTE 3 )   NF 132   MEDIÇÃO CALTER</t>
  </si>
  <si>
    <t>Pagamento  medição, referente ao aditivo do serviços de drenagem, contrato FULL- EPC.</t>
  </si>
  <si>
    <t> [CCC04832]</t>
  </si>
  <si>
    <t>Pedido consta acima</t>
  </si>
  <si>
    <t>PRESTAÇÃO DE SERVIÇOS UFVs (SÃO SEBASTIÃO DO OESTE 3) NF 128  ATI</t>
  </si>
  <si>
    <t>MEDIÇÃO MENSAL UFVs ( São Sebastião do Oeste 3 )   AFAPLAN   NF 8501</t>
  </si>
  <si>
    <t>Pagamento de medição, serviço contratuais de Engenharia do proprietário,  necessário à construção da UFV. ABR/2023</t>
  </si>
  <si>
    <t> [CCC04873]</t>
  </si>
  <si>
    <t>S005</t>
  </si>
  <si>
    <t>Material Elétrico - PRYSMIAN CABOS (São Sebastião 4)</t>
  </si>
  <si>
    <t>São Sebastião 4 - CAPEX - Serviço MT - CCAP-C2_000021</t>
  </si>
  <si>
    <t>São Sebastião 4 _Obras MT_FD</t>
  </si>
  <si>
    <t>S007</t>
  </si>
  <si>
    <t>Equipamentos Elétricos - ITB (São Sebastião 3)</t>
  </si>
  <si>
    <t>000128</t>
  </si>
  <si>
    <t>Projetos de fundações e drenagem - HALLITE (São Sebastião 4) Analise terraplanagem</t>
  </si>
  <si>
    <t>[CCC02565-03]</t>
  </si>
  <si>
    <t>São Sebastião 4 _Outros</t>
  </si>
  <si>
    <t>Reatores de aterramento ADELCO (São Sebastião 4)</t>
  </si>
  <si>
    <t>Consultoria em servidão - Obtenção de PTRF - GEOVANY - (São Sebastião 4)</t>
  </si>
  <si>
    <t>[CCC02986]</t>
  </si>
  <si>
    <t>GEOVANY</t>
  </si>
  <si>
    <t>Quitação de Indenização - PTRF - Rafael Adirson \ Maria Angela Moura (São Sebastião 4)</t>
  </si>
  <si>
    <t>Pagamento orientado pelo termo de anuência e quitação, suportando a implantação do PTRF do projeto de São Sebbastião 4.</t>
  </si>
  <si>
    <t>[CCC03094]</t>
  </si>
  <si>
    <t>MEDIÇÃO SERVIÇO DE EXTENSÃO DE REDE  (SÃO SEBASTIÃO DO OESTE 4)   NF 2386</t>
  </si>
  <si>
    <t>Pagamento de prestação de serviço de extensão de rede de distribuição rural e urbana , necessário a construção da UFV.</t>
  </si>
  <si>
    <t>[CCC03979]</t>
  </si>
  <si>
    <t>São Sebastião 4 _Obras MT_MD</t>
  </si>
  <si>
    <t>Archtech - Testes de PullOuT_Biotec - Adiantamento (São Sebastião 4)</t>
  </si>
  <si>
    <t>[CCC03145-41]</t>
  </si>
  <si>
    <t>Archtech - Testes de PullOuT_Biotec - Finalização (São Sebastião 4)</t>
  </si>
  <si>
    <t>[CCC03265-41]</t>
  </si>
  <si>
    <t>Serviço de SPT - BIOTEC (São Sebastião 4) - 40% iniciais - Campanha 6</t>
  </si>
  <si>
    <t>[CCC03281-14]</t>
  </si>
  <si>
    <t>Serviço de SPT - BIOTEC (São Sebastião 4) - 60% finais - Campanha 6</t>
  </si>
  <si>
    <t>[CCC03295-06]</t>
  </si>
  <si>
    <t>SUPERVISORIO - Ciclo 2 - Gateways e remota (São Sebastião 4) NF 1739</t>
  </si>
  <si>
    <t>[CCC03269-04]</t>
  </si>
  <si>
    <t>São Sebastião 4 _SGD</t>
  </si>
  <si>
    <t>SUPERVISORIO - Ciclo 2 - Baterias, desktops, switch e acessórios (São Sebastião 4) NF 1758</t>
  </si>
  <si>
    <t>[CCC03269-23]</t>
  </si>
  <si>
    <t>JX AMBIENTAL - PTRF - Rede - 03de03 (São Sebastião 4)</t>
  </si>
  <si>
    <t>[CCC03322-01]</t>
  </si>
  <si>
    <t>Eng. Executiva GLD - Entrega 01 - P01_05 (São Sebastião 4)</t>
  </si>
  <si>
    <t>[CCC03205-49]</t>
  </si>
  <si>
    <t>São Sebastião 4_Engenharia Executiva - Basica</t>
  </si>
  <si>
    <t>Estação solarimétrica – Hukseflux   São Sebastião 4
NF 7018 PC 003363</t>
  </si>
  <si>
    <t>São Sebastião 4 _Estação solarimétrica</t>
  </si>
  <si>
    <t>Desenvolvimento de projetos Executivos  - ENERSOLAR -  20% iniciais - 01/05 (São Sebastião 4)       NF  70</t>
  </si>
  <si>
    <t>[CCC03326-01]</t>
  </si>
  <si>
    <t>São Sebastião 4_Engenharia Executiva - Detalhada</t>
  </si>
  <si>
    <t xml:space="preserve"> ENERSOLAR</t>
  </si>
  <si>
    <t>COMPRA MATERIAIS PARA UFVs (SÃO SEBASTIÃO 4)   NF   22</t>
  </si>
  <si>
    <t>[CCC03640]</t>
  </si>
  <si>
    <t>São Sebastião 4_EPC_FD</t>
  </si>
  <si>
    <t>COMPRA MATERIAIS PARA UFVs (SÃO SEBASTIÃO 4)   NF   42</t>
  </si>
  <si>
    <t>A411-MORI MINAS NEWCO IV - UFV  SÃO SEBASTIÃO 4</t>
  </si>
  <si>
    <t>Construção e Montagem ROSSETI - Adiantamento contratual (São Sebastião 4 )</t>
  </si>
  <si>
    <t>São Sebastião 4_EPC_MD</t>
  </si>
  <si>
    <t>PRESTAÇÃO DE SERVIÇOS UFVs  (SÃO SEBASTIÃO DO OESTE  4)   NF 2022/03</t>
  </si>
  <si>
    <t>PRESTAÇÃO DE SERVIÇO UFVs (SÃO SEBASTIÃO DO OESTE 4)   NF 26535  EXPONENCIAL</t>
  </si>
  <si>
    <t> [CCC04298]</t>
  </si>
  <si>
    <t xml:space="preserve">COMPRA DE MATERIAIS  UFVs ( SÃO SEBASTIÃO DO OESTE 4)   NF 67934  TRAEL </t>
  </si>
  <si>
    <t>Desenvolvimento de projetos Executivos  - ENERSOLAR -  20%  INTERMEDIARIO (SÃO SEBASTIÃO 4) NF  219</t>
  </si>
  <si>
    <t>Desenvolvimento de projetos Executivos  - ENERSOLAR -  20%  EMITIDOS (SÃO SEBASTIÃO 4) NF  220</t>
  </si>
  <si>
    <t>Desenvolvimento de projetos Executivos  - ENERSOLAR - ADITIVO  (SÃO SEBASTIÃO 4) NF  221</t>
  </si>
  <si>
    <t>Desenvolvimento de projetos Executivos  - ENERSOLAR -  20% ANALISADO (SÃO SEBASTIÃO 4) NF  226</t>
  </si>
  <si>
    <t>S019</t>
  </si>
  <si>
    <t>Material Elétrico - PRYSMIAN CABOS (São Sebastião 5)</t>
  </si>
  <si>
    <t>São Sebastião 5 - CAPEX - Serviço MT - CCAP-C2_000021</t>
  </si>
  <si>
    <t>São Sebastião 5 _Obras MT_FD</t>
  </si>
  <si>
    <t>Cabos e material de fixação (São Sebastião 5)</t>
  </si>
  <si>
    <t>[CCC02882-02]</t>
  </si>
  <si>
    <t>Reatores de aterramento ADELCO (São Sebastião 5)</t>
  </si>
  <si>
    <t>Histórico SOLATIO -Medição MBA_SOLATIO (São Sebastião 5)</t>
  </si>
  <si>
    <t>São Sebastião 5 _Obras MT_MD</t>
  </si>
  <si>
    <t>Archtech - Testes de PullOuT_Biotec - Adiantamento (São Sebastião 5)</t>
  </si>
  <si>
    <t>[CCC03145-42]</t>
  </si>
  <si>
    <t>São Sebastião 5 _Outros</t>
  </si>
  <si>
    <t>Medição 01 (São Sebastião 5)</t>
  </si>
  <si>
    <t>[CCC03204-08]</t>
  </si>
  <si>
    <t>Serviço de SPT - NOVO TEMPO (São Sebastião 5) - Campanha 5</t>
  </si>
  <si>
    <t>[CCC03047-08]</t>
  </si>
  <si>
    <t>Projeto de cabine primária  - PROJETTI - 100% (São Sebastião 5)</t>
  </si>
  <si>
    <t>[CCC03233-03]</t>
  </si>
  <si>
    <t>São Sebastião 5_Projeto/Coordenograma</t>
  </si>
  <si>
    <t>Archtech - Testes de PullOuT_Biotec - Finalização (São Sebastião 5)</t>
  </si>
  <si>
    <t>[CCC03265-42]</t>
  </si>
  <si>
    <t>000130</t>
  </si>
  <si>
    <t>SUPERVISORIO - Ciclo 2 - Gateways e remota (São Sebastião 5) Nf 1766</t>
  </si>
  <si>
    <t>[CCC03207-01]</t>
  </si>
  <si>
    <t>São Sebastião 5 _SGD</t>
  </si>
  <si>
    <t>SUPERVISORIO - Ciclo 2 - Gateways e remota (São Sebastião 5)Nf 1766</t>
  </si>
  <si>
    <t>[CCC03207-11]</t>
  </si>
  <si>
    <t>Postes de concreto (São Sebastião 5)</t>
  </si>
  <si>
    <t>[CCC02786-03]</t>
  </si>
  <si>
    <t>Parafusos, cabos e material de fixação (São Sebastião 5)</t>
  </si>
  <si>
    <t>[CCC02911-04]</t>
  </si>
  <si>
    <t>Cabos de aço aluminizado (São Sebastião 5)</t>
  </si>
  <si>
    <t>[CCC03334-08]</t>
  </si>
  <si>
    <t>Construção e Montagem WEG - Medição 1 - Adiantamento (São Sebastião 5)</t>
  </si>
  <si>
    <t>[CCC03330-07]</t>
  </si>
  <si>
    <t>São Sebastião 5_Full EPC - Turn Key</t>
  </si>
  <si>
    <t>CANCELADO  -  Construção e Montagem WEG - Medição 2 - Entrega de POs (São Sebastião 5)</t>
  </si>
  <si>
    <t>[CCC03352-07]</t>
  </si>
  <si>
    <t xml:space="preserve">Compra de cruzetas MBA (São Sebastião 5)
N° 00003874 - TECFIBRAS </t>
  </si>
  <si>
    <t>[CCC03382-05]</t>
  </si>
  <si>
    <t>A309-MORI MINAS NEWCO V - SÃO SEB DO OESTE 5</t>
  </si>
  <si>
    <t>000231</t>
  </si>
  <si>
    <t>Construção e Montagem WEG - Medição 2 - Entrega de POs (São Sebastião 5) (antigo 000228)</t>
  </si>
  <si>
    <t>MRO - Terraplanagem UFVs Full-EPC -   1° MEDIÇAO ( (São Sebastião 5 )  NF 378  VALOR A SER PAGO  R$ 79.551,74</t>
  </si>
  <si>
    <t>[CCC03691]</t>
  </si>
  <si>
    <t>São Sebastião 5_Obras Terraplanagem</t>
  </si>
  <si>
    <t>Construção e Montagem WEG- (integrador BN SERVICOS  ) Medição 2 ( SÃO SEBASTIÃO 5)  N 4</t>
  </si>
  <si>
    <t>[CCC03480]</t>
  </si>
  <si>
    <t>A612-ESTRELA DO NORTE SPE III S.A</t>
  </si>
  <si>
    <t>000633</t>
  </si>
  <si>
    <t xml:space="preserve">WEG PROJETOS DE DRENAGEM  ADIANTAMENTO  ( SÃO SEBASTIÃO DO OESTE 5)  CALTER </t>
  </si>
  <si>
    <t>São Sebastião 5_Obras Drenagem</t>
  </si>
  <si>
    <t>Revisão de coordenograma de proteção em função de alteração da potência dos transformadores . (UFV São Sebastião 5)</t>
  </si>
  <si>
    <t>[CCC03445]</t>
  </si>
  <si>
    <t>MRO - Terraplanagem UFVs Full-EPC -   MEDIÇAO INTERMEDIÁRIO 35 %  (SÃO SEBASTIÃO 5)  NF 386</t>
  </si>
  <si>
    <t>[CCC03827]</t>
  </si>
  <si>
    <t>COMPRA DE MATEIRIAS UFVs ( SÃO SEBASTIÃO DO OESTE 5)  NF   409999  - Loja Eletrica</t>
  </si>
  <si>
    <t>[CCC03727]</t>
  </si>
  <si>
    <t>COMPRA DE MATEIRIAS UFVs ( SÃO SEBASTIÃO DO OESTE )  NF   410000 -Loja Eletrica</t>
  </si>
  <si>
    <t>[CCC03728]</t>
  </si>
  <si>
    <t>NS8322</t>
  </si>
  <si>
    <t>COMPRA DE MATEIRIAS UFVs ( SÃO SEBASTIÃO DO OESTE  5)  NF   410367 - Loja Eletrica</t>
  </si>
  <si>
    <t>[CCC03738]</t>
  </si>
  <si>
    <t>COMPRA DE MATEIRIAS UFVs ( SÃO SEBASTIÃO DO OESTE  5)  NF   410368  Loja Eletrica</t>
  </si>
  <si>
    <t>MEDIÇÃO   CALTERT UFVS ( SÃO SEBASTIÃO 5 )   NF  120</t>
  </si>
  <si>
    <t> [CCC04675]</t>
  </si>
  <si>
    <t>Terminais e material de conexão (São Sebastião 5) Loja Eletrica - NF 399112</t>
  </si>
  <si>
    <t>[CCC03386-02]</t>
  </si>
  <si>
    <t>MEDIÇÃO MENSAL  OUT /2022 UFVs  (  São Sebastião do oeste 5 )   AFAPLAN   NF  7375</t>
  </si>
  <si>
    <t>São Sebastião 5_Engenharia de Proprietario</t>
  </si>
  <si>
    <t>Religadores ( SÃO SEBASTIÃO DO OESTE 5)   TAVRIDA    NF     713</t>
  </si>
  <si>
    <t>COMPRA MATERIAIS PARA UFVs ( São Sebastião do Oeste 5   )    NF 44452   INCOPRE</t>
  </si>
  <si>
    <t> [CCC04189]</t>
  </si>
  <si>
    <t>Romanei conformem informei pelo Teams, seguem valores que serão ressarcidos pela MBA, para atualizar seu fluxo.devolução pg indevido  Email Gabiela PAGAMENTOS QUE SERÃO RESSARCIDO ( PAGOS INDEVIDAMENTE ) - ter 27/12/2022 11:18</t>
  </si>
  <si>
    <t xml:space="preserve">WEG  Full-EPC -  MEDIÇÃO 3- 4 -5    ( SÃO SEBASTIÃO DO OESTE 5) NF 84    INTEGRADORA BN SERVIÇOS </t>
  </si>
  <si>
    <t>000502</t>
  </si>
  <si>
    <t xml:space="preserve">Mobilização  WEG MEDIÇÃO 4  -  EVENTO 3 -UFVs ( SÃO SEBASTIÃO 5)  </t>
  </si>
  <si>
    <t>[CCC04004]</t>
  </si>
  <si>
    <t xml:space="preserve"> WEG MEDIÇÃO 3 ENTREGADE MODULOS   -  EVENTO 5 -UFVs ( SÃO SEBASTIÃO 5)  </t>
  </si>
  <si>
    <t>COMPRA MATERIAIS PARA UFVs  ( SÃO SEBASTIÃO DO OESTE 5 )  INCONPRE  NF  44471</t>
  </si>
  <si>
    <t> [CCC04206]</t>
  </si>
  <si>
    <t>COMPRA MATERIAIS PARA UFVs  ( SÃO SEBASTIÃO DO OESTE 5 )  INCONPRE  NF  44468</t>
  </si>
  <si>
    <t>COMPRA MATERIAIS PARA UFVs  ( SÃO SEBASTIÃO DO OESTE 5 )  INCONPRE  NF  44472</t>
  </si>
  <si>
    <t>COMPRA MATERIAIS PARA UFVs  ( SÃO SEBASTIÃO DO OESTE 5 )  INCONPRE  NF  44493</t>
  </si>
  <si>
    <t>PRESTAÇÃO DE SERVIÇOS UFVs  ( SÃO SEBASTIÃO DO OESTE 5 )  RICARDO TAVARES NF 410</t>
  </si>
  <si>
    <t>PRESTAÇÃO DE SERVIÇOS UFVs  ( SÃO SEBASTIÃO DO OESTE 5 )  RICARDO TAVARES NF 409</t>
  </si>
  <si>
    <t>PRESTAÇÃO DE SERVIÇOS UFVs ( SÃO SEBASTIÃO DO OESTE  5 ) NF  327 TERRAKACAMBA</t>
  </si>
  <si>
    <t xml:space="preserve">Pagamento referente a execução de drenagem paliativa necessária a construção da UFVs, em contrato  FULL-EPC . </t>
  </si>
  <si>
    <t> [CCC04263]</t>
  </si>
  <si>
    <t>000790</t>
  </si>
  <si>
    <t>MEDIÇÃO MENSAL UFVs (  São Sebastião do oeste 5 )   AFAPLAN   NF   7895</t>
  </si>
  <si>
    <t>000842</t>
  </si>
  <si>
    <t>MEDIÇÃO 1  CALTERT UFVS ( SÃO SEBASTIÃO  5 )   NF   107</t>
  </si>
  <si>
    <t>MEDIÇÃO   CALTERT UFVS ( SÃO SEBASTIÃO  5 )   NF   114</t>
  </si>
  <si>
    <t>000881</t>
  </si>
  <si>
    <t>WEG PRESTAÇÃO DE SERVIÇOS UFVs ( SÃO SEBASTIÃO DO OESTE 5)  NF 182   INTEGRADOR BN SERVIÇOS  EVENTO 6</t>
  </si>
  <si>
    <t> [CCC04525]</t>
  </si>
  <si>
    <t xml:space="preserve">PRESTAÇÃO DE SERVIÇOS UFVs ( SÃO SEBASTIÃO DO OESTE 5) NF 6  RIMA </t>
  </si>
  <si>
    <t>São Sebastião 5_Obras Terraplanagem_Rima</t>
  </si>
  <si>
    <t>MEDIÇÃO MENSAL UFVs (  São Sebastião do oeste 5 )   AFAPLAN   NF   8050</t>
  </si>
  <si>
    <t xml:space="preserve">WEG PRESTAÇÃO DE SERVIÇOS UFVs ( SÃO SEBASTIÃO 5 )   ADIANTAMENTO   EVENTO 4  </t>
  </si>
  <si>
    <t xml:space="preserve">MEDIÇÃO MENSAL UFVs (  São Sebastião do oeste 5 )   AFAPLAN   NF   </t>
  </si>
  <si>
    <t>MEDIÇÃO   CALTERT UFVS ( SÃO SEBASTIÃO 5 )   NF  116</t>
  </si>
  <si>
    <t> [CCC04607]</t>
  </si>
  <si>
    <t>000948</t>
  </si>
  <si>
    <t>WEG PRESTAÇÃO DE SERVIÇOS UFVs (SÃO SEBASTIÃO DO OESTE 5 )   ADIANTAMENTO   EVENTO 6</t>
  </si>
  <si>
    <t> [CCC04609]</t>
  </si>
  <si>
    <t>000966</t>
  </si>
  <si>
    <t>PRESTAÇÃO DE SERVIÇOS UFVs (SÃO SEBASTIÃO 5 )  NF  157    GP SERVIÇOS</t>
  </si>
  <si>
    <t>Pagamento DE SERVIÇO REFERENTE A SERVIDÃO DE REDE, NECESSÁRIOS A CONSTRUÇÃO DAS USINAS.  50% INICIAIS</t>
  </si>
  <si>
    <t>000969</t>
  </si>
  <si>
    <t>PRESTAÇÃO  DE SERVIÇOS UFVs ( SÃO SEBASTIÃO  5 )   NF  23</t>
  </si>
  <si>
    <t>Pagamento de medição, serviço contratuais de supressão de indivíduos isolados,  necessário à construção da UFV. 60%</t>
  </si>
  <si>
    <t> [CCC04666]</t>
  </si>
  <si>
    <t>PRESTAÇÃO DE SERVIÇOS UFVs (SÃO SEBASTIÃO DO OESTE 5) NF 2590</t>
  </si>
  <si>
    <t>WEG PRESTAÇÃO DE SERVIÇOS UFVs (SÃO SEBASTIÃO DO OESTE 5)   ADIANTAMENTO   EVENTO 7</t>
  </si>
  <si>
    <t> [CCC04808]</t>
  </si>
  <si>
    <t>WEG PRESTAÇÃO DE SERVIÇOS UFVs (SÃO SEBASTIÃO DO OESTE 5) NF 224    INTEGRADOR  BN     EVENTO 7</t>
  </si>
  <si>
    <t> [CCC04828]</t>
  </si>
  <si>
    <t xml:space="preserve">COMPRA DE MATERIAIS  UFVS (SÃO SEBASTIÃO DO OESTE 5)   NF 2043 </t>
  </si>
  <si>
    <t>PRESTAÇÃO DE SERVIÇOS UFVs (SÃO DEBASTIÃO DO OESTE 5 )  NF 164   GP SERVIÇOS</t>
  </si>
  <si>
    <t>Pagamento medição, referente a SERVIDÃO DE REDE, NECESSÁRIOS A CONSTRUÇÃO DAS USINAS.   50 % INICIAIS</t>
  </si>
  <si>
    <t>S031</t>
  </si>
  <si>
    <t>Material Elétrico - PRYSMIAN CABOS (Varginha 1)</t>
  </si>
  <si>
    <t>Varginha 1 - CAPEX - Serviço MT - CCAP-C2_000021</t>
  </si>
  <si>
    <t>Varginha 1 _Obras MT_FD</t>
  </si>
  <si>
    <t>MEDIÇÃO  PRESTAÇÃO DE SERVIÇOS ( VARGINHA 1 )    NF   2434  *</t>
  </si>
  <si>
    <t>Esta classificada errada no sistema.. Trata-se de uma obra MT e não AT como no sistema.</t>
  </si>
  <si>
    <t>Varginha 1 _Obras MT_MD</t>
  </si>
  <si>
    <t>S129</t>
  </si>
  <si>
    <t>Equipamentos - BALTEAU (Varginha 1)</t>
  </si>
  <si>
    <t>Varginha 1 - CAPEX - Serviço AT - CCAP-C2_000021</t>
  </si>
  <si>
    <t>Varginha 1_Obras AT_FD</t>
  </si>
  <si>
    <t>S163</t>
  </si>
  <si>
    <t>Materiais - CABELAUTO (Varginha 1)107981</t>
  </si>
  <si>
    <t>S164</t>
  </si>
  <si>
    <t>Transporte de materiais - MARCELO DE OLIVEIRA (Varginha 1)</t>
  </si>
  <si>
    <t>S136</t>
  </si>
  <si>
    <t>Equipamentos - SIEMENS (Varginha 2)
Varginha1</t>
  </si>
  <si>
    <t>Esta classificada errada no sistema.</t>
  </si>
  <si>
    <t>000129</t>
  </si>
  <si>
    <t>Projetos de fundações e drenagem - HALLITE (Varginha 1) Analise terraplanagem</t>
  </si>
  <si>
    <t>[CCC02565-02]</t>
  </si>
  <si>
    <t>Varginha 1 _Outros</t>
  </si>
  <si>
    <t>Reatores de aterramento ADELCO (Varginha 1)</t>
  </si>
  <si>
    <t>ADELCO</t>
  </si>
  <si>
    <t>Desenvolvimento de projetos Executivos - 20% iniciais (Varginha 1)</t>
  </si>
  <si>
    <t>[CCC02997-17]</t>
  </si>
  <si>
    <t>Varginha 1_Engenharia Executiva</t>
  </si>
  <si>
    <t>Histórico SOLATIO -Medição MBA_SOLATIO (Varginha 1)107981</t>
  </si>
  <si>
    <t>Varginha 1 - CAPEX - Serviço AT - CCAP-C2_000021 - Mesmo pagamento S163</t>
  </si>
  <si>
    <t>Varginha 1_Obras AT_MD</t>
  </si>
  <si>
    <t>000063</t>
  </si>
  <si>
    <t>Archtech - Testes de PullOuT_Biotec - Adiantamento (Varginha 1)</t>
  </si>
  <si>
    <t>[CCC03145-21]</t>
  </si>
  <si>
    <t>Serviço de SPT - BIOTEC - 35% iniciais (Varginha 1) - Campanha 4</t>
  </si>
  <si>
    <t>[CCC02955-08]</t>
  </si>
  <si>
    <t>Archtech - Testes de PullOuT_Biotec - Finalização (Varginha 1)</t>
  </si>
  <si>
    <t>[CCC03265-21]</t>
  </si>
  <si>
    <t>000132</t>
  </si>
  <si>
    <t>Medição 01 (Varginha 1)</t>
  </si>
  <si>
    <t>[CCC03268-04]</t>
  </si>
  <si>
    <t>Desenvolvimento de projetos Executivos - 20% intermediários - 1a entrega (Varginha 1)</t>
  </si>
  <si>
    <t>[CCC03290-15]</t>
  </si>
  <si>
    <t>Projetos de fundações e drenagem - HALLITE (Varginha 1) Analise terraplanagem - 70% iniciais</t>
  </si>
  <si>
    <t>[CCC03309-08]</t>
  </si>
  <si>
    <t>SUPERVISORIO - Ciclo 2 - Gateways e remota (Varginha 1)</t>
  </si>
  <si>
    <t>[CCC03269-02]</t>
  </si>
  <si>
    <t>Varginha 1 _SGD</t>
  </si>
  <si>
    <t>SUPERVISORIO - Ciclo 2 - Baterias, desktops, switch e acessórios (Varginha 1)</t>
  </si>
  <si>
    <t>[CCC03269-24]</t>
  </si>
  <si>
    <t>Cabos e material de fixação (Varginha 1)</t>
  </si>
  <si>
    <t>[CCC03160]</t>
  </si>
  <si>
    <t>Postes de concreto (Varginha 1)</t>
  </si>
  <si>
    <t>[CCC02786-07]</t>
  </si>
  <si>
    <t>Cabos de aço aluminizado (Varginha 1) ((000531353)</t>
  </si>
  <si>
    <t>[CCC03334-06]</t>
  </si>
  <si>
    <t>000261</t>
  </si>
  <si>
    <t>BALDONI /MCD BALDONI 01/02 - Terraplanagem - Medição 2 (Varginha 1)</t>
  </si>
  <si>
    <t>[CCC03375-01]</t>
  </si>
  <si>
    <t>Medição 2</t>
  </si>
  <si>
    <t>Varginha 1_Obras Terraplanagem</t>
  </si>
  <si>
    <t>BALDONI /BALDONI 02/02 - Terraplanagem - Medição 2 (Varginha 1)</t>
  </si>
  <si>
    <t>[CCC03375-02]</t>
  </si>
  <si>
    <t>Desenvolvimento de projetos Executivos - ENERSOLAR - 20% avançados - 2a entrega (Varginha 1)</t>
  </si>
  <si>
    <t>[CCC03368-06]</t>
  </si>
  <si>
    <t>Projeto de cabine primária  - PROJETTI - 100% (Varginha 1)</t>
  </si>
  <si>
    <t>[CCC03373-10]</t>
  </si>
  <si>
    <t>Varginha 1_Projeto/Coordenograma</t>
  </si>
  <si>
    <t>Medição 02 (Varginha 1)</t>
  </si>
  <si>
    <t>[CCC03356-06]</t>
  </si>
  <si>
    <t>000282</t>
  </si>
  <si>
    <t>Serviço empreitado - TENAZ (Varginha 1)</t>
  </si>
  <si>
    <t>[CCC03402-01]</t>
  </si>
  <si>
    <t>Construção e Montagem GLD - Medição 1 - Adiantamento (Varginha 1) NF 204</t>
  </si>
  <si>
    <t>[CCC03387-01]</t>
  </si>
  <si>
    <t>Varginha 1_EPC_MD</t>
  </si>
  <si>
    <t>Compra de cruzetas MBA (Varginha 1)</t>
  </si>
  <si>
    <t>[CCC03382-04]</t>
  </si>
  <si>
    <t xml:space="preserve"> Terraplanagem UFVs -  Medição 2   HALLITE (Varginha 1)    NF 42</t>
  </si>
  <si>
    <t>[CCC03510]</t>
  </si>
  <si>
    <t>PRESTAÇÃO DE SERVIÇO DE TRANSPORTE PARA EXECUÇÃO DE SERVIÇOS  NF 336 (Varginha 1)</t>
  </si>
  <si>
    <t>Serviço contratado de transporte da UFV.</t>
  </si>
  <si>
    <t>[CCC03421]</t>
  </si>
  <si>
    <t>Terminais e material de conexão (Varginha 1)</t>
  </si>
  <si>
    <t>[CCC03389-05]</t>
  </si>
  <si>
    <t>Loja Eletrica</t>
  </si>
  <si>
    <t>[CCC03389-06]</t>
  </si>
  <si>
    <t xml:space="preserve">Estação solarimétrica – Hukseflux  Varginha 1
</t>
  </si>
  <si>
    <t>[CCC03559]</t>
  </si>
  <si>
    <t>Varginha 1 _Estação solarimétrica</t>
  </si>
  <si>
    <t>COMPRA MATERIAIS PARA UFVs (VARGINHA 1)   NF 000537039</t>
  </si>
  <si>
    <t>[CCC03569]</t>
  </si>
  <si>
    <t>Religadores ( VARGINHA 1)   TAVRIDA    NF     722</t>
  </si>
  <si>
    <t>Desenvolvimento de projetos Executivos  - ENERSOLAR -  20% ANALISADO  (VARGINHA 1)      NF 119</t>
  </si>
  <si>
    <t>[CCC03720]</t>
  </si>
  <si>
    <t>MCD BALDONI 01/02 - Terraplanagem - Medição 2 (Varginha 1)  20%     NF 133</t>
  </si>
  <si>
    <t>[CCC03733]</t>
  </si>
  <si>
    <t>BALDONI ENGENHARIA   - Terraplanagem - Medição 2 (Varginha 1)  80%     N303</t>
  </si>
  <si>
    <t>BALDONI / MCD BALDONI  - Terraplanagem - Medição 3 (Varginha 1)  20%       NF 134</t>
  </si>
  <si>
    <t>[CCC03810]</t>
  </si>
  <si>
    <t>Medição 3</t>
  </si>
  <si>
    <t>BALDONI / Baldoni Engenharia    - Terraplanagem - Medição 3 (Varginha 1 )  80%       N304</t>
  </si>
  <si>
    <t>Desenvolvimento de projetos Executivos  - ENERSOLAR -  20%  APROVADO -  (VARGINHA 1 )    NF 124</t>
  </si>
  <si>
    <t>[CCC03815]</t>
  </si>
  <si>
    <t xml:space="preserve">COMPRA MATERIAIS PARA UFVs ( VARGINHA 1 )   NF 383   </t>
  </si>
  <si>
    <t xml:space="preserve">Compra feita em Faturamento Direto, em contrato de EPC visando a implantação da UFV. </t>
  </si>
  <si>
    <t>[CCC03831]</t>
  </si>
  <si>
    <t>Varginha 1_EPC_FD</t>
  </si>
  <si>
    <t>COMPRA MATERIAIS PARA UFVsS ( VARGINHA 1)    NF  80</t>
  </si>
  <si>
    <t>[CCC04082]</t>
  </si>
  <si>
    <t>000782</t>
  </si>
  <si>
    <t>COMPRA MATERIAIS PARA UFVsS ( VARGINHA  1)    NF 7537</t>
  </si>
  <si>
    <t>SERVIÇOS PRESTADOS DE MÃO DE OBRA ESPECIALIZADA NA CONSTRUÇÃO UFVs - (Varginha 1 ) MEDIÇÃO  NF 2305</t>
  </si>
  <si>
    <t>[CCC03614]</t>
  </si>
  <si>
    <t>Serviços de  levantamento topográfico  ( VARGINHA 1)  NF 294   SOLUÇÃO AGRIMENSURA EIRELI</t>
  </si>
  <si>
    <t>COMPRA DE MATEIRIAS UFVs ( VARGINHA 1)  NF   410812</t>
  </si>
  <si>
    <t>[CCC03760]</t>
  </si>
  <si>
    <t>PRESTAÇÃO DE SERVIÇÕS UFVs  ( VARGINHA 1)  NF  948</t>
  </si>
  <si>
    <t>Pagamento referente ao serviço de execução de instalações civis em Faturamento Direto, em contrato de obras EPC da UFV.</t>
  </si>
  <si>
    <t>[CCC04020]</t>
  </si>
  <si>
    <t>000671</t>
  </si>
  <si>
    <t>Estação solarimétrica – Hukseflux   UFVs (VARGINHA 1)   VINCULO PEDIDO 000357 A401 NF 4803</t>
  </si>
  <si>
    <t>000433</t>
  </si>
  <si>
    <t>COMPRA MATERIAIS PARA UFVs ( VARGINHA 2)  NF 65723      TRAEL</t>
  </si>
  <si>
    <t>[CCC03925]</t>
  </si>
  <si>
    <t>Varginha 2 _Obras MT_FD</t>
  </si>
  <si>
    <t xml:space="preserve">COMPRA MATERIAIS PARA UFVs ( VARGINHA 1 )  NF  12822 CAMPO ALEGRE </t>
  </si>
  <si>
    <t>[CCC04035]</t>
  </si>
  <si>
    <t>BeneficiárioBeneficiárioCAMPO ALEGRE MADEIRAS LTDAANTONIO - Postes</t>
  </si>
  <si>
    <t xml:space="preserve">COMPRA MATERIAIS PARA UFVs ( VARGINHA 1 )  NF  12823 CAMPO ALEGRE </t>
  </si>
  <si>
    <t>[CCC04038]</t>
  </si>
  <si>
    <t>Fat. Direto (ENGELUZ)-RDA</t>
  </si>
  <si>
    <t xml:space="preserve">COMPRA MATERIAIS PARA UFVs  (  VARGINHA 1 )  NF  26100   EXPONECIAL RDA INTERNO    </t>
  </si>
  <si>
    <t>Varginha 1_RDA - Rede de Distribuição Aerea</t>
  </si>
  <si>
    <t>000719</t>
  </si>
  <si>
    <t xml:space="preserve">COMPRA MATERIAIS PARA UFVs  (  VARGINHA 1  )  NF 26117     EXPONECIAL RDA INTERNO  </t>
  </si>
  <si>
    <t>PRESTAÇÃO DE SERVIÇOS MEDIÇÃO 2  UFVS ( VARGINHA 1)    NF 252</t>
  </si>
  <si>
    <t xml:space="preserve">Pagamento referente a serviço prestação de serviços e mão de obra ,referente a 65% do valor medido necessário a construção da UFVs. </t>
  </si>
  <si>
    <t>[CCC04056]</t>
  </si>
  <si>
    <t>000699</t>
  </si>
  <si>
    <t>PRESTAÇÃO DE SERVIÇOS MEDIÇÃO 2  UFVS ( VARGINHA 1)    NF  253</t>
  </si>
  <si>
    <t xml:space="preserve">Pagamento referente a elaboração de planos ,referente a 35% do valor medido necessário a construção da UFVs. </t>
  </si>
  <si>
    <t>000701</t>
  </si>
  <si>
    <t>BALDONI / MCD BALDONI  - Terraplanagem - Medição 6  (Varginha 1)  20%        NF   144</t>
  </si>
  <si>
    <t>[CCC04061]</t>
  </si>
  <si>
    <t>Medição 6</t>
  </si>
  <si>
    <t>000702</t>
  </si>
  <si>
    <t>BALDONI / Baldoni Engenharia    - Terraplanagem - Medição  6 (Varginha 1)  80%        N  312</t>
  </si>
  <si>
    <t>PRESTAÇÃO DE SEVIÇOS UFVsS ( VARGINHA 1)    NF 240/2022 RONDA PORTEIROS</t>
  </si>
  <si>
    <t xml:space="preserve">Pagamento de serviços de vigilância,  em Faturamento Direto,  em contrato de obras EPC da UFV. SEM DESCONTO EM CONTRATO </t>
  </si>
  <si>
    <t>[CCC04076]</t>
  </si>
  <si>
    <t xml:space="preserve">PRESTAÇÃO DE SEVIÇOS UFVsS ( VARGINHA 1)    NF 227/2022 RONDA PORTEIROS  </t>
  </si>
  <si>
    <t xml:space="preserve">Pagamento de serviços de vigilância,  em Faturamento Direto,  em contrato de obras EPC da UFV. DESCONTO EM CONTRATO </t>
  </si>
  <si>
    <t xml:space="preserve">COMPRA DE MATERIAL UFVs (VARGINHA 1)   CABELAUTO   ADIANTAMENTO </t>
  </si>
  <si>
    <t>Pagamento em faturamento direto referente a compra de materias, para construção das usinas em contrato AT.  ADIANTAMENTO</t>
  </si>
  <si>
    <t> [CCC04424]</t>
  </si>
  <si>
    <t xml:space="preserve">COMPRA MATERIAIS PARA UFVs  ( VARGINHA 1)  NF  200266  </t>
  </si>
  <si>
    <t>[CCC04052]</t>
  </si>
  <si>
    <t>PRESTAÇÃO DE SERVIÇOS  MEDIÇÃO 1 UFVs (VARGINHA 1)  GLD    NF  251</t>
  </si>
  <si>
    <t>Pagamento 1° medição , referente a prestação de serviços e elaboração de planos diretores, necessários a construção das UFVs .</t>
  </si>
  <si>
    <t>[CCC03980]</t>
  </si>
  <si>
    <t>PRESTAÇÃO DE SERVIÇOS  MEDIÇÃO 1 UFVs (VARGINHA 1)  GLD   NF 247</t>
  </si>
  <si>
    <t>COMPRA MATERIAIS PARA UFVsS ( VARGINHA 1)    NF 252 METALIZE ESTRUTURAS</t>
  </si>
  <si>
    <t>[CCC04067]</t>
  </si>
  <si>
    <t>BALDONI / MCD BALDONI  - Terraplanagem - Medição 8 (VARGINHA 1)  20%        NF   154</t>
  </si>
  <si>
    <t>Pagamento de serviço  de terraplanagem necessário à construção da UFV.  ÚLTIMA MEDIÇÃO</t>
  </si>
  <si>
    <t xml:space="preserve"> Medição 8</t>
  </si>
  <si>
    <t>BALDONI / Baldoni Engenharia    - Terraplanagem - Medição 8 (VARGINHA 1)  80%        N   323</t>
  </si>
  <si>
    <t>BALDONI / MCD BALDONI  - Terraplanagem -  ADITIVO  (VARGINHA 1)  20%        NF   156</t>
  </si>
  <si>
    <t>Pagamento de serviço de terraplanagem necessário à construção da UFV.  ADITIVO</t>
  </si>
  <si>
    <t> [CCC04156]</t>
  </si>
  <si>
    <t xml:space="preserve">ADITIVO  </t>
  </si>
  <si>
    <t>BALDONI / Baldoni Engenharia    - Terraplanagem - ADITIVO (VARGINHA 1)  80%        N   325</t>
  </si>
  <si>
    <t xml:space="preserve">COMPRA MATERIAIS PARA UFVs  (   VARGINHA 1  )  NF  72954  LTB  RDA INTERNO  </t>
  </si>
  <si>
    <t>MEDIÇÃO  ( ENGELUZ-MT)-RDA</t>
  </si>
  <si>
    <t>MEDIÇÃO DE EXECUÇÃO RDA INTERNO   UFVs ( VARGINHA 1)  NF 322</t>
  </si>
  <si>
    <t xml:space="preserve">GLD PRESTAÇÃO DE SERVIÇOS MEDIÇÃO 3  UFVS ( VARGINHA 1)    NF   267   </t>
  </si>
  <si>
    <t xml:space="preserve">Pagamento referente a medição 3 ,  prestação de seviços mão de obra e equipamentos,  necessário a construção da UFVs. </t>
  </si>
  <si>
    <t> [CCC04129]</t>
  </si>
  <si>
    <t>GLD  PRESTAÇÃO DE SERVIÇOS MEDIÇÃO 3  UFVS ( VARGINHA 1)    NF   265</t>
  </si>
  <si>
    <t>COMPRA MATERIAIS PARA UFVs (  VARGINHA 1 )    NF  989</t>
  </si>
  <si>
    <t>COMPRA MATERIAIS PARA UFVs ( VARGINHA 1 )    NF   991</t>
  </si>
  <si>
    <t>COMPRA DE MATEIRIAS UFVs ( VARGINHA 1)  NF   409998</t>
  </si>
  <si>
    <t>[CCC03731]</t>
  </si>
  <si>
    <t>000825</t>
  </si>
  <si>
    <t>MOBILIZAÇÃO -  1° MEDIÇÃO  UFVs (VARGINHA )      LMENG    NF 10551</t>
  </si>
  <si>
    <t>Pagamento  1° medição , serviço de mobilização necessário à construção da UFV.</t>
  </si>
  <si>
    <t>[CCC03717]</t>
  </si>
  <si>
    <t>Varginha 1_Engenharia de Proprietario</t>
  </si>
  <si>
    <t>MOBILIZAÇÃO -  1° MEDIÇÃO  UFVs (VARGINHA )      LMENG    NF 10545</t>
  </si>
  <si>
    <t>GLD  PRESTAÇÃO DE SERVIÇOS MEDIÇÃO 4 UFVS ( VARGINHA  1)    NF   282</t>
  </si>
  <si>
    <t>Pagamento referente a mediçao de prestação de serviços e mão de obra,   necessários a construção da UFVs.  65 %</t>
  </si>
  <si>
    <t>000949</t>
  </si>
  <si>
    <t>GLD  PRESTAÇÃO DE SERVIÇOS MEDIÇÃO 4  UFVS ( VARGINHA  1)    NF   283</t>
  </si>
  <si>
    <t>Pagamento referente a mediçao  de elaboração de planos,  necessários a construção da UFVs.     35%</t>
  </si>
  <si>
    <t>GLD  MEDIÇÃO DE ADITIVOS   UFVS ( VARGINHA  1)    NF    286</t>
  </si>
  <si>
    <t>Pagamento referente a mediçao de ADITIVOS DE CONCRETAGEM   necessários a construção da UFVs.  65 %</t>
  </si>
  <si>
    <t>GLD  MEDIÇÃO DE ADITIVOS   UFVS ( VARGINHA  1)    NF   287</t>
  </si>
  <si>
    <t>Pagamento referente a mediçao de ADITIVOS DE CONCRETAGEM   necessários a construção da UFVs. 35 %</t>
  </si>
  <si>
    <t>PRESTÇÃO DE SERVIÇOS UFVS ( VARGINHA 1)  NF  84</t>
  </si>
  <si>
    <t>Pagamento  EM FATURAMENTO DIRETO,  REFERENTE A serviço de CARPINTARIA A SERRALHERIA ,  necessário à construção da UFV  em contrato EPC .</t>
  </si>
  <si>
    <t>000974</t>
  </si>
  <si>
    <t>PRESTÇÃO DE SERVIÇOS UFVS ( VARGINHA 1)  NF  294</t>
  </si>
  <si>
    <t>000654</t>
  </si>
  <si>
    <t xml:space="preserve">COMPRA MATERIAIS PARA UFVs  ( VARGINHA 1)  NF  4083     CAMPO ALEGRE  </t>
  </si>
  <si>
    <t>PRESTAÇÃO DE SERVIÇO UFVs (VARGINHA 1 )   NF 295 RONDA PORTEIROS</t>
  </si>
  <si>
    <t xml:space="preserve">COMPRA DE MATERIAIS UFVS ( VARGINHA 1 ) NF 348363  KANAFLEZ  SEM DESCONTO EM CONTRATO </t>
  </si>
  <si>
    <t>Compra de materiais em faturamento direto, em contrato de obras EPC da UFV.  SEM DESCONTO EM CONTRATO</t>
  </si>
  <si>
    <t> [CCC04304]</t>
  </si>
  <si>
    <t>MEDIÇÃO ADITIVO UFVs ( VARGINHA 1)  NF 289</t>
  </si>
  <si>
    <t>Pagamento de medição referente ao 4 ° termos de aditivo de drenagem, em contrato de obras EPC da UFV.  55%</t>
  </si>
  <si>
    <t> [CCC04309]</t>
  </si>
  <si>
    <t>MEDIÇÃO ADITIVO UFVs ( VARGINHA 1)  NF  290</t>
  </si>
  <si>
    <t>Pagamento de medição referente ao 4 ° termos de aditivo de drenagem, em contrato de obras EPC da UFV.  45%</t>
  </si>
  <si>
    <t>PRESTAÇÃO DE SERVIÇOS UFVs ( VARGINHA 1) NF 353 RONDA PORTEIROS</t>
  </si>
  <si>
    <t>Pagamento em faturamento direto, referente a pretação de serviço de vigilância desarmada ,necessário à construção da UFV em contrato EPC .</t>
  </si>
  <si>
    <t> [CCC04347]</t>
  </si>
  <si>
    <t>MEDIÇÃO ADITIVOS UFVs ( VARGINHA 1 )  NF 305</t>
  </si>
  <si>
    <t>MEDIÇÃO ADITIVOS UFVs ( VARGINHA 1 )  NF 306</t>
  </si>
  <si>
    <t>PRESTAÇÃO DE SERVIÇOS UFVs( VARGINHA  1) NF 2510</t>
  </si>
  <si>
    <t xml:space="preserve">PRESTAÇÃO DE SERVIÇOS UFVs  (VARGINHA 1) NF 355 RONDA PORTEIROS </t>
  </si>
  <si>
    <t> [CCC04392]</t>
  </si>
  <si>
    <t>COMPRA DE MATERIAIS  UFVs (VARGINHA 1) NF 440262 MINERACAO SANTO ANTONIO</t>
  </si>
  <si>
    <t> [CCC04409]</t>
  </si>
  <si>
    <t xml:space="preserve">COMPRA DE MATERIAIS  UFVs (VARGINHA 1) NF 167 RAFAEL CARVALHO DE SALES              </t>
  </si>
  <si>
    <t>Pagamento  EM FATURAMENTO DIRETO,  PRESTAÇÃO DE SERVIÇO DE MAO DE OBRA ,  necessário à construção da UFV  em contrato EPC .</t>
  </si>
  <si>
    <t> [CCC04410]</t>
  </si>
  <si>
    <t xml:space="preserve">PRESTAÇÃO DE SERVIÇOS UFVs ( VARGINHA 1)  NF 319 </t>
  </si>
  <si>
    <t>Pagamento 5°  medição, referente a prestação de serviços e mão de obra,  necessários a construção da UFVs em contrato EPC.  65%</t>
  </si>
  <si>
    <t>PRESTAÇÃO DE SERVIÇOS  UFVs ( VARGINHA 1)  NF 320</t>
  </si>
  <si>
    <t>Pagamento de  5° medição, referente a elaboração de planos,   necessários a construção da UFVs em contrato EPC.  35%</t>
  </si>
  <si>
    <t>MEDIÇÃO ADITIVO UFVs ( VARGINHA 1)  NF 322</t>
  </si>
  <si>
    <t>Pagamento 2° e ultima  medição de aditivos de concretagem, referente a prestação de serviços e mão de obra,  necessários a construção da UFVs em contrato EPC.  65%</t>
  </si>
  <si>
    <t>001181</t>
  </si>
  <si>
    <t>MEDIÇÃO ADITIVO UFVs ( VARGINHA 1)  NF  323</t>
  </si>
  <si>
    <t>Pagamento 2° e ultima  medição de aditivos de concretagem, referente a elaboração de planos,   necessários a construção da UFVs em contrato EPC.  35%</t>
  </si>
  <si>
    <t>COMPRA DE MATERIAIS UFVs ( VARGINHA 1) NF 95  A. AGROZOOM</t>
  </si>
  <si>
    <t>Pagamento referente a COMPRA DE MATERIAIS , em contrato EPC.</t>
  </si>
  <si>
    <t> [CCC04442]</t>
  </si>
  <si>
    <t xml:space="preserve">COMPRA DE MATERIAL UFVs (VARGINHA 1) NF   134071  DISTRIBUIDORA DE CIMENTO VARGINHA </t>
  </si>
  <si>
    <t> [CCC04449]</t>
  </si>
  <si>
    <t xml:space="preserve">PRESTAÇÃO DE SERVIÇOS FVs ( VARGINHA 1) NF  037136985  GABRIEL REIS  </t>
  </si>
  <si>
    <t>Pagamento em faturamento direto referente a  a trasnporte, em contrato EPC.</t>
  </si>
  <si>
    <t> [CCC04468]</t>
  </si>
  <si>
    <t>001267</t>
  </si>
  <si>
    <t>PRESTAÇÃO DE SERVIÇOS UFVs ( VARGINHA 1)  NF 338   *</t>
  </si>
  <si>
    <t>Pagamento 6°  medição, referente a prestação de serviços e mão de obra,  necessários a construção da UFVs em contrato EPC.  65%</t>
  </si>
  <si>
    <t> [CCC04499]</t>
  </si>
  <si>
    <t> R$            193.249,19</t>
  </si>
  <si>
    <t>001268</t>
  </si>
  <si>
    <t>PRESTAÇÃO DE SERVIÇOS  UFVs ( VARGINHA 1)  NF  339</t>
  </si>
  <si>
    <t>Pagamento de  6° medição, referente a elaboração de planos,   necessários a construção da UFVs em contrato EPC.  35%</t>
  </si>
  <si>
    <t>R$             104.057,25</t>
  </si>
  <si>
    <t xml:space="preserve">PRESTAÇÃO DE SERVIÇOS UFVs(VARGINHA 1 ) NF 450 RONDA PORTEIROS </t>
  </si>
  <si>
    <t> [CCC04534]</t>
  </si>
  <si>
    <t xml:space="preserve">PRESTAÇÃO DE SERVIÇOS UFVs(VARGINHA 1 ) NF 456 RONDA PORTEIROS </t>
  </si>
  <si>
    <t>001349</t>
  </si>
  <si>
    <t>COMPRA DE MATERIAIS UFVs (VARGINHA 1)   NF 1998 ATI AUTOMAÇÃO</t>
  </si>
  <si>
    <t>001345</t>
  </si>
  <si>
    <t xml:space="preserve">PRESTAÇÃO DE SERVIÇOS UFVs( VARGINHA 1 ) NF 360    RDA INTERNA </t>
  </si>
  <si>
    <t>001370</t>
  </si>
  <si>
    <t>PRESTAÇÃO DE SERVIÇOS UFVs (VARGINHA 1) ANA PAULA ADIANTAMENTO</t>
  </si>
  <si>
    <t>Pagamento referente a indenização do contrato de constituição de servidão perpétua , necessário a construção das usinas. 1° PARCELA</t>
  </si>
  <si>
    <t> [CCC04595]</t>
  </si>
  <si>
    <t>001385</t>
  </si>
  <si>
    <t>PRESTAÇÃO DE SERVIÇOS UFVs ( VARGINHA 1)  NF  356</t>
  </si>
  <si>
    <t>Pagamento de 7° medição ,  referente a prestação de serviços e mão de obra,   necessários a construção da UFVs em contrato EPC.  65%</t>
  </si>
  <si>
    <t> [CCC04641]</t>
  </si>
  <si>
    <t>PRESTAÇÃO DE SERVIÇOS UFVs ( VARGINHA 1)  NF  357</t>
  </si>
  <si>
    <t>Pagamento de 7° medição ,  referente a prestação de serviços e mão de obra,   necessários a construção da UFVs em contrato EPC.  35%</t>
  </si>
  <si>
    <t>001403</t>
  </si>
  <si>
    <t>PRESTAÇÃO DE SERVIÇOS UFVs ( VARGINHA 1) NF 550  RONDA PORTEIROS</t>
  </si>
  <si>
    <t>Pagamento em faturamento direto, referente a serviço de vigilância, necessário a construção da usinas em contrato EPC.</t>
  </si>
  <si>
    <t> [CCC04689]</t>
  </si>
  <si>
    <t>001404</t>
  </si>
  <si>
    <t>PRESTAÇÃO DE SERVIÇOS UFVs ( VARGINHA 1) NF 552  RONDA PORTEIROS</t>
  </si>
  <si>
    <t>001422</t>
  </si>
  <si>
    <t>DAE - Dispensa  de Licenciamento ambiental UFVs( VARGINHA 1)   N 4500025464868_x000D_</t>
  </si>
  <si>
    <t>PRESTAÇÃO DE SERVIÇOS UFVs (VARGINHA 1) NF 995  NORTE CONEXÃO FERRAZ E MEIRA</t>
  </si>
  <si>
    <t>Pagamento em faturamento direto, refrente ao serviços de lançamento de fibra óptica nas usina.</t>
  </si>
  <si>
    <t> [CCC04717]</t>
  </si>
  <si>
    <t xml:space="preserve">COMPRA DE MATERIAIS UFvs ( VARGINHA 1) NF 12868  MARKOLUKA      </t>
  </si>
  <si>
    <t> [CCC04718]</t>
  </si>
  <si>
    <t>MEDIÇÃO  GLD UFVS ( VARGINHA 1)   NF           ADITIVO</t>
  </si>
  <si>
    <t>PRESTAÇÃO DE SERVIÇOS UFVs ( VARGINHA 1)  NF  384</t>
  </si>
  <si>
    <t>Pagamento de 1° medição DRENAGEM,  referente a prestação de serviços e mão de obra,   necessários a construção da UFVs em contrato EPC.  65%</t>
  </si>
  <si>
    <t>PRESTAÇÃO DE SERVIÇOS UFVs ( VARGINHA 1)  NF  385</t>
  </si>
  <si>
    <t>Pagamento de 1° medição DRENAGEM,  referente a elaboração de planos,   necessários a construção da UFVs em contrato EPC.  35%</t>
  </si>
  <si>
    <t>PRESTAÇÃO DE SERVIÇOS UFVs ( VARGINHA 1) NF 604 RONDA PORTEIROS</t>
  </si>
  <si>
    <t> [CCC04749]</t>
  </si>
  <si>
    <t>A415 -MORI MINAS NEWCO IV - VARGINHA 1</t>
  </si>
  <si>
    <t>PRESTAÇÃO DE SERVIÇOS UFVs ( VARGINHA 1)  NF 594 MEDIÇÃO ATENAS CONSTRUTORA</t>
  </si>
  <si>
    <t>Pagamento de medição referente ao serviço de faixa, supressão de arvorés e bambuzal, necessários a construção da usina.</t>
  </si>
  <si>
    <t> [CCC04798]</t>
  </si>
  <si>
    <t>ATENAS CONSTRUTORA</t>
  </si>
  <si>
    <t>Projetos de fundações e drenagem - HALLITE (Varginha 2) Analise terraplanagem</t>
  </si>
  <si>
    <t>[CCC02569-01]</t>
  </si>
  <si>
    <t>Varginha 2 _Outros</t>
  </si>
  <si>
    <t>S020</t>
  </si>
  <si>
    <t>Material Elétrico - PRYSMIAN CABOS (Varginha 2)</t>
  </si>
  <si>
    <t>Varginha 2 - CAPEX - Serviço MT - CCAP-C2_000021</t>
  </si>
  <si>
    <t>S127</t>
  </si>
  <si>
    <t>Equipamentos - ABS SISTEMAS (Varginha 2)</t>
  </si>
  <si>
    <t>Varginha 2 - CAPEX - Serviço AT - CCAP-C2_000021</t>
  </si>
  <si>
    <t>S128</t>
  </si>
  <si>
    <t>Equipamentos - ARTECHE (Varginha 2)</t>
  </si>
  <si>
    <t>S162</t>
  </si>
  <si>
    <t>Equipamentos - BALTEAU (Varginha 2)</t>
  </si>
  <si>
    <t>S130</t>
  </si>
  <si>
    <t>Equipamentos - ELETROTASK (Varginha 2)</t>
  </si>
  <si>
    <t>S131</t>
  </si>
  <si>
    <t>Transporte de materiais - MARCELO DE OLIVEIRA (Varginha 2)</t>
  </si>
  <si>
    <t>S132</t>
  </si>
  <si>
    <t>Equipamentos - MARLICE EQUIPAMENTOS(Varginha 2)</t>
  </si>
  <si>
    <t>S133</t>
  </si>
  <si>
    <t>Equipamentos - RITZ (Varginha 2)</t>
  </si>
  <si>
    <t>S134</t>
  </si>
  <si>
    <t>Transporte de equipamentos - RODONAVES (Varginha 2)</t>
  </si>
  <si>
    <t>S135</t>
  </si>
  <si>
    <t>Equipamentos - USICROM (Varginha 2)</t>
  </si>
  <si>
    <t>MARCELO ALVES DE OLIVEIRA 20177559829</t>
  </si>
  <si>
    <t>Um transportes 400 cada</t>
  </si>
  <si>
    <t>Varginha 2 - CAPEX - Serviço AT - CCAP-C2_000022</t>
  </si>
  <si>
    <t>Reatores de aterramento ADELCO (Varginha 2)</t>
  </si>
  <si>
    <t>Desenvolvimento de projetos Executivos - 20% iniciais (Varginha 2)</t>
  </si>
  <si>
    <t>[CCC02997-18]</t>
  </si>
  <si>
    <t>Varginha 2_Engenharia Executiva</t>
  </si>
  <si>
    <t>Archtech - Testes de PullOuT_Biotec - Adiantamento (Varginha 2)</t>
  </si>
  <si>
    <t>[CCC03145-22]</t>
  </si>
  <si>
    <t>Serviço de SPT - BIOTEC - 35% iniciais (Varginha 2) - Campanha 4</t>
  </si>
  <si>
    <t>[CCC02955-10]</t>
  </si>
  <si>
    <t>Archtech - Testes de PullOuT_Biotec - Finalização (Varginha 2)</t>
  </si>
  <si>
    <t>[CCC03265-22]</t>
  </si>
  <si>
    <t>Medição 01 (Varginha 2)</t>
  </si>
  <si>
    <t>[CCC03268-05]</t>
  </si>
  <si>
    <t>Varginha 2 _Obras MT_MD</t>
  </si>
  <si>
    <t>Desenvolvimento de projetos Executivos - 20% intermediários - 1a entrega (Varginha 2)</t>
  </si>
  <si>
    <t>[CCC03290-16]</t>
  </si>
  <si>
    <t>Projetos de fundações e drenagem - HALLITE (Varginha 2) Analise terraplanagem - 70% iniciais</t>
  </si>
  <si>
    <t>[CCC03309-09]</t>
  </si>
  <si>
    <t>SUPERVISORIO - Ciclo 2 - Gateways e remota (Varginha 2)</t>
  </si>
  <si>
    <t>[CCC03207-10]</t>
  </si>
  <si>
    <t>Varginha 2 _SGD</t>
  </si>
  <si>
    <t>[CCC03207-12]</t>
  </si>
  <si>
    <t>Limpeza do acesso ao terreno  (Varginha 2)</t>
  </si>
  <si>
    <t>Serviço de limpeza de terreno necessário às realização de testes na área da UFV.</t>
  </si>
  <si>
    <t>[CCC03165]</t>
  </si>
  <si>
    <t>Postes de concreto (Varginha 2)</t>
  </si>
  <si>
    <t>[CCC02786-02]</t>
  </si>
  <si>
    <t>Parafusos, cabos e material de fixação (Varginha 2)</t>
  </si>
  <si>
    <t>[CCC02911-05]</t>
  </si>
  <si>
    <t>Medição (EPC) GLD</t>
  </si>
  <si>
    <t>Construção e Montagem GLD - Medição 1 - Adiantamento (Varginha 2)  NF 196</t>
  </si>
  <si>
    <t>[CCC03339-01]</t>
  </si>
  <si>
    <t>Varginha 2_EPC_MD</t>
  </si>
  <si>
    <t xml:space="preserve">Cabos de aço aluminizado (Varginha 2)NF 531351 </t>
  </si>
  <si>
    <t>[CCC03334-04]</t>
  </si>
  <si>
    <t>Varginha 2 - CAPEX - Serviço MT - CCAP-C2_000021 -Inteli</t>
  </si>
  <si>
    <t>Desenvolvimento de projetos Executivos - ENERSOLAR - 20% avançados - 2a entrega (Varginha 2)</t>
  </si>
  <si>
    <t>[CCC03368-07]</t>
  </si>
  <si>
    <t>Projeto de cabine primária  - PROJETTI - 100% (Varginha 2)</t>
  </si>
  <si>
    <t>[CCC03373-13]</t>
  </si>
  <si>
    <t>Varginha 2_Projeto/Coordenograma</t>
  </si>
  <si>
    <t>Medição 02 (Varginha 2)</t>
  </si>
  <si>
    <t>[CCC03356-07]</t>
  </si>
  <si>
    <t>Serviço empreitado - TENAZ (Varginha 2)</t>
  </si>
  <si>
    <t>Compra de cruzetas MBA (Varginha 2)</t>
  </si>
  <si>
    <t>[CCC03382-07]</t>
  </si>
  <si>
    <t xml:space="preserve"> Terraplanagem UFVs -  Medição 2   HALLITE (Varginha 2)   NF 43</t>
  </si>
  <si>
    <t>[CCC03511]</t>
  </si>
  <si>
    <t>Varginha 2_Obras Terraplanagem</t>
  </si>
  <si>
    <t>HALLITE</t>
  </si>
  <si>
    <t>Desenvolvimento de projetos Executivos  - ENERSOLAR -  20% ANALISADO (VARGINHA 2)     NF 102</t>
  </si>
  <si>
    <t>[CCC03525]</t>
  </si>
  <si>
    <t xml:space="preserve">COMPRA MATERIAIS PARA UFVs (VARGINHA 2)  Nº 22507 </t>
  </si>
  <si>
    <t>[CCC03583]</t>
  </si>
  <si>
    <t>000599</t>
  </si>
  <si>
    <t>COMPRA MATERIAIS PARA UFVsS ( VARGINHA 2)    NF 7536</t>
  </si>
  <si>
    <t>Escopo Comerc Caixa Agua.</t>
  </si>
  <si>
    <t>COMPRA MATERIAIS PARA UFVs (VARGINHA 2)  Nº 22506</t>
  </si>
  <si>
    <t>PRESTAÇÃO DE SERVIÇO DE TRANSPORTE PARA EXECUÇÃO DE SERVIÇOS  NF 341 (Varginha 2)</t>
  </si>
  <si>
    <t>PRESTAÇÃO DE SERVIÇO DE TRANSPORTE PARA EXECUÇÃO DE SERVIÇOS  NF 342 (Varginha 2)</t>
  </si>
  <si>
    <t>BALDONI / MCD BALDONI 01/02 - Terraplanagem - Medição 1 (Varginha 2)  80%</t>
  </si>
  <si>
    <t>[CCC03434]</t>
  </si>
  <si>
    <t>BALDONI / MCD BALDONI 01/02 - Terraplanagem - Medição 1 (Varginha 2)  20%</t>
  </si>
  <si>
    <t>[CCC03435]</t>
  </si>
  <si>
    <t xml:space="preserve">Estação solarimétrica – Hukseflux  Varginha 2
</t>
  </si>
  <si>
    <t>Varginha 2 _Estação solarimétrica</t>
  </si>
  <si>
    <t>COMPRA MATERIAIS PARA UFVs (VARGINHA 2)   NF 000537040</t>
  </si>
  <si>
    <t>[CCC03570]</t>
  </si>
  <si>
    <t>Inteli Nota de remessa - 000537040 -NS:1147338322 (VARGINHA 2)
REMESSA DE ENTREGA FUTURA REFERENTE NOSSA NF DE VENDA
531351 DE 01/07/2022
CONTATO LOCAL ENTREGA: MATEUS 034 99655 1533 - 9890,5</t>
  </si>
  <si>
    <t xml:space="preserve">COMPRA MATERIAIS PARA UFVs (VARGINHA 2)  Nº 863  </t>
  </si>
  <si>
    <t>Escopo Comerc Cabo de Cobre Nu.</t>
  </si>
  <si>
    <t>BALDONI / MCD BALDONI 01/02 - Terraplanagem - Medição 2 (Varginha 2)  20%    NF129</t>
  </si>
  <si>
    <t>[CCC03585]</t>
  </si>
  <si>
    <t>SERVIÇOS PRESTADOS DE MÃO DE OBRA ESPECIALIZADA NA CONSTRUÇÃO UFVs - (Varginha 2 ) MEDIÇÃO  NF 2307</t>
  </si>
  <si>
    <t>[CCC03613]</t>
  </si>
  <si>
    <t>Desenvolvimento de projetos Executivos  - ENERSOLAR - 20 % APROVADO -  (VARGINHA 2)    NF 121</t>
  </si>
  <si>
    <t>[CCC03721]</t>
  </si>
  <si>
    <t>000337</t>
  </si>
  <si>
    <t>MCD BALDONI 01/02 - Terraplanagem - Medição 3 (Varginha 2)  20%       NF 131</t>
  </si>
  <si>
    <t>[CCC03734]</t>
  </si>
  <si>
    <t>BALDONI ENGENHARIA   - Terraplanagem - Medição 3 (Varginha 2)  80%       N 301</t>
  </si>
  <si>
    <t>000598</t>
  </si>
  <si>
    <t xml:space="preserve">COMPRA MATERIAIS PARA UFVsS ( VARGINHA 2)    NF 79  </t>
  </si>
  <si>
    <t>BALDONI / MCD BALDONI  - Terraplanagem - Medição 4 (Varginha 2)  20%        NF 135</t>
  </si>
  <si>
    <t>[CCC03811]</t>
  </si>
  <si>
    <t>BALDONI / Baldoni Engenharia    - Terraplanagem - Medição 4 (Varginha 2)  80%        N  305</t>
  </si>
  <si>
    <t>Revisão de coordenograma de proteção em função de alteração do modelo do relé de proteção (UFV Varginha 2)</t>
  </si>
  <si>
    <t>[CCC03460]</t>
  </si>
  <si>
    <t>PRESTAÇÃO DE SERVIÇÕS UFVs  ( VARGINHA 2)  NF  949</t>
  </si>
  <si>
    <t>[CCC04021]</t>
  </si>
  <si>
    <t xml:space="preserve">COMPRA DE MATERIAIS UFVs  ( VARGINHA 2)  NF  200093  </t>
  </si>
  <si>
    <t>Pagamento referente a compra de mteriais em Faturamento Direto, em contrato de obras EPC da UFV.</t>
  </si>
  <si>
    <t>[CCC04023]</t>
  </si>
  <si>
    <t>Estação solarimétrica – Hukseflux   UFVs (VARGINHA 2) VINCULO PEDIDO 000268 A301  NF 4800</t>
  </si>
  <si>
    <t>000647</t>
  </si>
  <si>
    <t>COMPRA MATERIAIS PARA UFVs ( DIVINOPOLIS 2) 25</t>
  </si>
  <si>
    <t>[CCC03646]</t>
  </si>
  <si>
    <t>Divinópolis 2_EPC_FD</t>
  </si>
  <si>
    <t xml:space="preserve">COMPRA MATERIAIS PARA UFVs  ( VARGINHA 2 )  NF 26118    EXPONECIAL RDA INTERNO  </t>
  </si>
  <si>
    <t>Varginha 2_RDA - Rede de Distribuição Aerea</t>
  </si>
  <si>
    <t xml:space="preserve">COMPRA MATERIAIS PARA UFVs  ( VARGINHA 2  )  NF  26120    EXPONECIAL RDA INTERNO  </t>
  </si>
  <si>
    <t>000536</t>
  </si>
  <si>
    <t>GLD PRESTAÇÃO DE SERVIÇOS MEDIÇÃO 3  UFVS ( VARGINHA 2)    NF   257</t>
  </si>
  <si>
    <t>Pagamento referente prestação de seviços mão de obra e equipamentos,  necessário a construção da UFVs.   65%</t>
  </si>
  <si>
    <t>GLD  PRESTAÇÃO DE SERVIÇOS MEDIÇÃO 3  UFVS ( VARGINHA 2)    NF   258</t>
  </si>
  <si>
    <t>PRESTAÇÃO DE SEVIÇOS UFVsS ( VARGINHA 2)    NF 238/2022 RONDA PORTEIROS</t>
  </si>
  <si>
    <t xml:space="preserve">PRESTAÇÃO DE SEVIÇOS UFVsS ( VARGINHA 2)    NF 239/2022 RONDA PORTEIROS  </t>
  </si>
  <si>
    <t xml:space="preserve">Pagamento de serviços de vigilância,  em Faturamento Direto,  em contrato de obras EPC da UFV. COM DESCONTO EM CONTRATO </t>
  </si>
  <si>
    <t>GLD PRESTAÇÃO DE SERVIÇOS MEDIÇÃO 3  UFVS ( VARGINHA 2)    NF    260</t>
  </si>
  <si>
    <t>Pagamento referente prestação de seviços mão de obra e equipamentos,  necessário a construção da UFVs.   35%</t>
  </si>
  <si>
    <t>[CCC04077]</t>
  </si>
  <si>
    <t>Medição 1 Aditivo de concretagem.</t>
  </si>
  <si>
    <t>GLD  PRESTAÇÃO DE SERVIÇOS MEDIÇÃO 3  UFVS ( VARGINHA 2)    NF   261</t>
  </si>
  <si>
    <t>PRESTAÇÃO DE SERVIÇOS UFVs (VARGINHA 2) NF 2589</t>
  </si>
  <si>
    <t>Olhar se e obras de MT</t>
  </si>
  <si>
    <t xml:space="preserve">COMPRA MATERIAIS PARA UFVs  ( VARGINHA 2)  NF  130497   </t>
  </si>
  <si>
    <t xml:space="preserve">COMPRA MATERIAIS PARA UFVs  (   VARGINHA 2  )  NF  72959  LTB  RDA INTERNO  </t>
  </si>
  <si>
    <t>MEDIÇÃO DE EXECUÇÃO RDA INTERNO   UFVs ( VARGINHA 2)  NF 323</t>
  </si>
  <si>
    <t>BALDONI / MCD BALDONI  - Terraplanagem - Medição 7  (Varginha 2)  20%        NF   143</t>
  </si>
  <si>
    <t>Pagamento de serviço de terraplanagem necessário à construção da UFV.  MEDIÇÃO FINAL</t>
  </si>
  <si>
    <t>[CCC04060]</t>
  </si>
  <si>
    <t>BALDONI / Baldoni Engenharia    - Terraplanagem - Medição 7 (Varginha 2)  80%        N   313</t>
  </si>
  <si>
    <t>PRESTAÇÃO DE SERVIÇOS  MEDIÇÃO 2 UFVs (VARGINHA 2)  GLD       NF  250</t>
  </si>
  <si>
    <t>Pagamento 2° medição , referente a prestação de serviços e elaboração de planos diretores, necessários a construção das UFVs .</t>
  </si>
  <si>
    <t>PRESTAÇÃO DE SERVIÇOS  MEDIÇÃO 2 UFVs (VARGINHA 2)  GLD     NF 245</t>
  </si>
  <si>
    <t xml:space="preserve">COMPRA MATERIAIS PARA UFVsS ( VARGINHA 2)    NF 0432583  PEDREIRA SANTO ANTONIO </t>
  </si>
  <si>
    <t>COMPRA MATERIAIS PARA UFVsS ( VARGINHA 2)    NF 254 METALIZE ESTRUTURAS</t>
  </si>
  <si>
    <t>COMPRA MATERIAIS PARA UFVs ( varginha 2 )   NF 382</t>
  </si>
  <si>
    <t>Construção e Montagem  GLD   (VARGINHA 2)  1° MEDIÇÃO   NF 215</t>
  </si>
  <si>
    <t>Pagamento referente a 1° medição  de serviços necessário a construção da UFV .</t>
  </si>
  <si>
    <t>[CCC03791]</t>
  </si>
  <si>
    <t>000222</t>
  </si>
  <si>
    <t>Terminais e material de conexão (Varginha 2)</t>
  </si>
  <si>
    <t>[CCC03386-03]</t>
  </si>
  <si>
    <t>[CCC03405]</t>
  </si>
  <si>
    <t>Serviços de  levantamento topográfico  ( VARGINHA 2)  NF 295  SOLUÇÃO AGRIMENSURA EIRELI</t>
  </si>
  <si>
    <t xml:space="preserve">MOBILIZAÇÃO -  MEDIÇÃO  UFVs ( VARGINHA 2, FOMIGA 6  )      LMENG    NF   10592 </t>
  </si>
  <si>
    <t>Varginha 2_Engenharia de Proprietario</t>
  </si>
  <si>
    <t>Religadores ( VARGINHA 2)   TAVRIDA    NF     723</t>
  </si>
  <si>
    <t>MOBILIZAÇÃO -  1° MEDIÇÃO  UFVs (VARGINHA )      LMENG    NF 10552</t>
  </si>
  <si>
    <t>MOBILIZAÇÃO -  1° MEDIÇÃO  UFVs       LMENG    NF 10547</t>
  </si>
  <si>
    <t>000618</t>
  </si>
  <si>
    <t>COMPRA MATERIAIS PARA UFVS ( VARGINHA 2)    NF 130988</t>
  </si>
  <si>
    <t>[CCC04112]</t>
  </si>
  <si>
    <t>000634</t>
  </si>
  <si>
    <t>BALDONI / MCD BALDONI  - Terraplanagem - Medição FINAL  (Varginha 2)  20%        NF   151</t>
  </si>
  <si>
    <t>Pagamento de serviço de ADITIVO de terraplanagem necessário à construção da UFV.  ÚLTIMA MEDIÇÃO</t>
  </si>
  <si>
    <t> [CCC04127]</t>
  </si>
  <si>
    <t>BALDONI / Baldoni Engenharia    - Terraplanagem - Medição  FINAL (Varginha  2)  80%        N  320</t>
  </si>
  <si>
    <t>000636</t>
  </si>
  <si>
    <t>GLD PRESTAÇÃO DE SERVIÇOS MEDIÇÃO 2 UFVS ( VARGINHA 2)    NF    268</t>
  </si>
  <si>
    <t xml:space="preserve">Pagamento referente a mediçao de aditivos de concretagem,  necessários a construção da UFVs.  </t>
  </si>
  <si>
    <t>000637</t>
  </si>
  <si>
    <t>GLD  PRESTAÇÃO DE SERVIÇOS MEDIÇÃO 2  UFVS ( VARGINHA 2)    NF   266</t>
  </si>
  <si>
    <t>Pagamento referente a mediçao de aditivos de concretagem,  necessários a construção da UFVs.     35%</t>
  </si>
  <si>
    <t>GLD PRESTAÇÃO DE SERVIÇOS MEDIÇÃO 4 UFVS ( VARGINHA 2)    NF   271</t>
  </si>
  <si>
    <t xml:space="preserve">Pagamento referente a medição  ,  prestação de serviços mão de obra e equipamentos,  necessário a construção da UFVs. </t>
  </si>
  <si>
    <t> [CCC04135]</t>
  </si>
  <si>
    <t>GLD  PRESTAÇÃO DE SERVIÇOS MEDIÇÃO 4  UFVS ( VARGINHA 2)    NF   272</t>
  </si>
  <si>
    <t>COMPRA MATERIAIS PARA UFVs (  VARGINHA 2  )    NF 131531  CIMENTO VARGINHA</t>
  </si>
  <si>
    <t>CIMENTO VARGINHA</t>
  </si>
  <si>
    <t>COMPRA MATERIAIS PARA UFVs (  VARGINHA 2)    NF  130716</t>
  </si>
  <si>
    <t>MOBILIZAÇÃO -  MEDIÇÃO  UFVs ( VARGINHA 2, FOMIGA 6  )  NF   10598</t>
  </si>
  <si>
    <t>000683</t>
  </si>
  <si>
    <t>COMPRA MATERIAIS PARA UFVs ( DIVINOPOLIS 2 )   NF  36</t>
  </si>
  <si>
    <t>GLD PRESTAÇÃO DE SERVIÇOS MEDIÇÃO 5 UFVS ( VARGINHA 2)    NF    280</t>
  </si>
  <si>
    <t>GLD  PRESTAÇÃO DE SERVIÇOS MEDIÇÃO 5  UFVS ( VARGINHA  2)    NF    281</t>
  </si>
  <si>
    <t>PRESTÇÃO DE SERVIÇOS UFVS ( VARGINHA 2)  NF  83</t>
  </si>
  <si>
    <t>COMPRA MATERIAIS PARA UFVs  ( VARGINHA 2)  NF  4087   CAMPO ALEGRE  RDA INTERNA</t>
  </si>
  <si>
    <t>S161</t>
  </si>
  <si>
    <t>Estava em Varginha 1 feito a troca Varginha 2.</t>
  </si>
  <si>
    <t>PRESTÇÃO DE SERVIÇOS UFVS ( VARGINHA 2)  NF  304</t>
  </si>
  <si>
    <t>S165</t>
  </si>
  <si>
    <t>Serviços - New Energy (Varginha 2)</t>
  </si>
  <si>
    <t>MEDIÇÃO  PRESTAÇÃO DE SERVIÇOS ( VARGINHA 2 )    NF  2435</t>
  </si>
  <si>
    <t>Estava trocada no sistema como AT. Feita a correção para MT</t>
  </si>
  <si>
    <t>PRESTAÇÃO DE SERVIÇO UFVs (VARGINHA 2 )   NF 305  RONDA PORTEIROS</t>
  </si>
  <si>
    <t>000783</t>
  </si>
  <si>
    <t>PRESTAÇÃO DE SERVIÇOS UFVs ( VARGINHA 2) NF 362 RONDA PORTEIROS</t>
  </si>
  <si>
    <t> [CCC04326]</t>
  </si>
  <si>
    <t>MEDIÇÃO ADITIVOS UFVs ( VARGINHA 2)  NF  299</t>
  </si>
  <si>
    <t>MEDIÇÃO ADITIVOS UFVs ( VARGINHA 2)  NF 300</t>
  </si>
  <si>
    <t xml:space="preserve">PRESTAÇÃO DE SERVIÇOS UFVs  (VARGINHA2) NF 363 RONDA PORTEIROS </t>
  </si>
  <si>
    <t>000840</t>
  </si>
  <si>
    <t>PRESTAÇÃO DE SERVIÇOS UFVs ( VARGINHA 2)  NF 326</t>
  </si>
  <si>
    <t>PRESTAÇÃO DE SERVIÇOS  UFVs ( VARGINHA 2)  NF 327</t>
  </si>
  <si>
    <t>Pagamento de 6° medição, referente a elaboração de planos,   necessários a construção da UFVs em contrato EPC.  35%</t>
  </si>
  <si>
    <t>PRESTAÇÃO DE SERVIÇOS UFVs ( VARGINHA 2) NF 170  RAFAEL CARVALHO</t>
  </si>
  <si>
    <t>Pagamento referente a prestação de serviços de carpintaria e serralheria, necessários as usinas em contrato EPC.</t>
  </si>
  <si>
    <t> [CCC04443]</t>
  </si>
  <si>
    <t>PRESTAÇÃO DE SERVIÇOS UFVs ( VARGINHA 2)  NF  336</t>
  </si>
  <si>
    <t>R$         59.033,81</t>
  </si>
  <si>
    <t>PRESTAÇÃO DE SERVIÇOS UFVs ( VARGINHA 2)  NF   337</t>
  </si>
  <si>
    <t>Pagamento de 7° medição,  referente a elaboração de planos,   necessários a construção da UFVs em contrato EPC.  35%</t>
  </si>
  <si>
    <t> R$         31.787,44</t>
  </si>
  <si>
    <t xml:space="preserve">PRESTAÇÃO DE SERVIÇOS UFVs(VARGINHA 2 ) NF 458 RONDA PORTEIROS </t>
  </si>
  <si>
    <t>000894</t>
  </si>
  <si>
    <t xml:space="preserve">PRESTAÇÃO DE SERVIÇOS UFVs(VARGINHA 2 ) NF 452 RONDA PORTEIROS </t>
  </si>
  <si>
    <t>COMPRA DE MATERIAIS UFVs (VARGINHA 2)   NF 2000 ATI AUTOMAÇÃO</t>
  </si>
  <si>
    <t xml:space="preserve">PRESTAÇÃO DE SERVIÇOS UFVs( VARGINHA 2 ) NF 361    RDA INTERNA </t>
  </si>
  <si>
    <t xml:space="preserve">PRESTAÇÃO DE SERVIÇOS UFVs ( VARGINHA 2)   ADITIVO  NF    </t>
  </si>
  <si>
    <t>Pagamento de medição, referente a elaboração de planos,   necessários a construção da UFVs em contrato EPC.  55%  DRENAGEM</t>
  </si>
  <si>
    <t> [CCC04615]</t>
  </si>
  <si>
    <t>adiantamento Adiditvo de Drenagem</t>
  </si>
  <si>
    <t xml:space="preserve">PRESTAÇÃO DE SERVIÇOS UFVs ( VARGINHA 2)   ADITIVO  NF </t>
  </si>
  <si>
    <t>Pagamento de medição, referente a engenharia,  necessários a construção da UFVs em contrato EPC.  45% DRENAGEM</t>
  </si>
  <si>
    <t>A312 - MORI MINAS NEWCO V - UFV VARGINHA 2</t>
  </si>
  <si>
    <t>PRESTAÇÃO DE SERVIÇOS UFVs (VARGINHA 2 )  NF 155      GP SERVIÇOS</t>
  </si>
  <si>
    <t>Pagamento referente ao serviço de SERVIDÃO DE REDE, NECESSÁRIOS A CONSTRUÇÃO DAS USINAS.   50%  FINAIS</t>
  </si>
  <si>
    <t> [CCC04617]</t>
  </si>
  <si>
    <t>000961</t>
  </si>
  <si>
    <t>PRESTAÇÃO DE SERVIÇOS UFVs ( VARGINHA 2)  NF  358</t>
  </si>
  <si>
    <t>Pagamento de 8° medição ,  referente a prestação de serviços e mão de obra,   necessários a construção da UFVs em contrato EPC.  65%</t>
  </si>
  <si>
    <t> [CCC04642]</t>
  </si>
  <si>
    <t>PRESTAÇÃO DE SERVIÇOS  UFVs ( VARGINHA 2)  NF  359</t>
  </si>
  <si>
    <t>Pagamento de 8° medição ,  referente a prestação de serviços e mão de obra,   necessários a construção da UFVs em contrato EPC.  35%</t>
  </si>
  <si>
    <t>PRESTAÇÃO DE SERVIÇOS UFVs ( VARGINHA 2) NF 554  RONDA PORTEIROS</t>
  </si>
  <si>
    <t>PRESTAÇÃO DE SERVIÇOS UFVs ( VARGINHA 2) NF 556  RONDA PORTEIROS</t>
  </si>
  <si>
    <t>PRESTAÇÃO DE SERVIÇOS UFVs (VARGINHA 2) NF 997  NORTE CONEXÃO FERRAZ E MEIRA</t>
  </si>
  <si>
    <t>001003</t>
  </si>
  <si>
    <t xml:space="preserve">COMPRA DE MATERIAIS UFvs ( VARGINHA 2) NF 12867  MARKOLUKA    </t>
  </si>
  <si>
    <t>MEDIÇÃO  GLD UFVS ( VARGINHA 2)   NF             ADITIVO</t>
  </si>
  <si>
    <t>Pagamento de medição , referente a prestação de serviço, contrato EPC . 45% - ADITIVO</t>
  </si>
  <si>
    <t>001002</t>
  </si>
  <si>
    <t>COMPRA DE MATERIAIS UFvs (VARGIHA 2  ) NF 155  INOVAGEO</t>
  </si>
  <si>
    <t>COMPRA DE MATERIAIS UFvs ( VARGINHA 2 ) NF 448199  MINERAÇÃO SANTO ANTONIO</t>
  </si>
  <si>
    <t>Pagamento em faturamento direto, refrente a COMPRA DE MATERIAIS, necessário à construção da UFV, em contrato EPC.</t>
  </si>
  <si>
    <t> [CCC04744]</t>
  </si>
  <si>
    <t>PRESTAÇÃO DE SERVIÇOS UFVs ( VARGINHA 2) NF 599 RONDA PORTEIROS</t>
  </si>
  <si>
    <t>Projetos de fundações e drenagem - HALLITE (Varginha 5) Analise terraplanagem</t>
  </si>
  <si>
    <t>[CCC02571-02]</t>
  </si>
  <si>
    <t>Varginha 5 _Outros</t>
  </si>
  <si>
    <t>Reatores de aterramento ADELCO (Varginha 5)</t>
  </si>
  <si>
    <t>000035</t>
  </si>
  <si>
    <t>Desenvolvimento de projetos Executivos - 20% iniciais (Varginha 5)</t>
  </si>
  <si>
    <t>[CCC02997-13]</t>
  </si>
  <si>
    <t>Varginha 5_Engenharia Executiva</t>
  </si>
  <si>
    <t>Archtech - Testes de PullOuT_Biotec - Adiantamento (Varginha 5)</t>
  </si>
  <si>
    <t>[CCC03145-23]</t>
  </si>
  <si>
    <t>Serviço de SPT - BIOTEC - 35% iniciais (Varginha 5) - Campanha 4</t>
  </si>
  <si>
    <t>[CCC02955-09]</t>
  </si>
  <si>
    <t>Archtech - Testes de PullOuT_Biotec - Finalização (Varginha 5)</t>
  </si>
  <si>
    <t>[CCC03265-23]</t>
  </si>
  <si>
    <t>Desenvolvimento de projetos Executivos - 20% intermediários - 1a entrega (Varginha 5)</t>
  </si>
  <si>
    <t>[CCC03290-17]</t>
  </si>
  <si>
    <t>Projetos de fundações e drenagem - HALLITE (Varginha 5) Analise terraplanagem - 70% iniciais</t>
  </si>
  <si>
    <t>[CCC03309-10]</t>
  </si>
  <si>
    <t>Fat. Direto (REMO-MT)</t>
  </si>
  <si>
    <t>Cabos e material de fixação (Varginha 5)</t>
  </si>
  <si>
    <t>[CCC03296]</t>
  </si>
  <si>
    <t>Varginha 5 - CAPEX - Serviço MT - CCAP-C2_000021</t>
  </si>
  <si>
    <t>Varginha 5 _Obras MT_FD</t>
  </si>
  <si>
    <t>SUPERVISORIO - Ciclo 2 - Gateways e remota (Varginha 5)</t>
  </si>
  <si>
    <t>[CCC03269-15]</t>
  </si>
  <si>
    <t>Varginha 5 _SGD</t>
  </si>
  <si>
    <t>SUPERVISORIO - Ciclo 2 - Baterias, desktops, switch e acessórios (Varginha 5)</t>
  </si>
  <si>
    <t>[CCC03269-27]</t>
  </si>
  <si>
    <t>A413 MORI GERACAO II VARGINHA 5</t>
  </si>
  <si>
    <t>PRESTAÇÃO DE SERVIÇOS UFVs ( VARGINHA 5) NF 2023/9  SRJ PROTEÇÃO</t>
  </si>
  <si>
    <t>Pagamento referente ao serviços de  Parametrização e testes nas 3 proteções Siemens 7SR5111, teste de comissionamento da proteção e meição de sequencia de fase, necessáriso a construção das usinas.</t>
  </si>
  <si>
    <t> [CCC04618]</t>
  </si>
  <si>
    <t>BALDONI / MCD BALDONI 01/02 - Terraplanagem - Medição 1 (Varginha 5)</t>
  </si>
  <si>
    <t>[CCC03341-01]</t>
  </si>
  <si>
    <t>Varginha 5_Obras Terraplanagem</t>
  </si>
  <si>
    <t>BALDONI /BALDONI 02/02 - Terraplanagem - Medição 1 (Varginha 5)</t>
  </si>
  <si>
    <t>[CCC03341-02]</t>
  </si>
  <si>
    <t>Projeto de cabine primária  - PROJETTI - 100% (Varginha 5)</t>
  </si>
  <si>
    <t>[CCC03373-11]</t>
  </si>
  <si>
    <t>Varginha 5_Projeto/Coordenograma</t>
  </si>
  <si>
    <t>Medição (EPC) (GLD)</t>
  </si>
  <si>
    <t>Construção e Montagem GLD - Medição 1 - Adiantamento (Varginha 5) NF 205</t>
  </si>
  <si>
    <t>[CCC03387-02]</t>
  </si>
  <si>
    <t>Varginha 5_EPC_MD</t>
  </si>
  <si>
    <t>BALDONI / Baldoni Engenharia    - Terraplanagem - Medição 1 da Revisão 2  LOCAÇÃO (Varginha 5) 80%   FATURA 292</t>
  </si>
  <si>
    <t>[CCC03470]</t>
  </si>
  <si>
    <t>BALDONI / MCD Baldoni Prestação de Serviços  - Terraplanagem - Medição 1 da Revisão 2  (Varginha 5)   20%   NF 123</t>
  </si>
  <si>
    <t xml:space="preserve"> Terraplanagem UFVs -  Medição 2   HALLITE (Varginha 5)  NF 44</t>
  </si>
  <si>
    <t>[CCC03512]</t>
  </si>
  <si>
    <t>Desenvolvimento de projetos Executivos  - ENERSOLAR -  20% EMITIDOS -  (VARGINHA 5)  NF103</t>
  </si>
  <si>
    <t>[CCC03526]</t>
  </si>
  <si>
    <t>Desenvolvimento de projetos Executivos  - ENERSOLAR -  20% ANALISADO (VARGINHA 5)    NF 104</t>
  </si>
  <si>
    <t>Fat. Direto (REMO-MT) - Nº 000.000.457</t>
  </si>
  <si>
    <t>Religador (Varginha 5) 90%  Finais</t>
  </si>
  <si>
    <t>[CCC03285]</t>
  </si>
  <si>
    <t xml:space="preserve">Estação solarimétrica – Hukseflux  Varginha 5
</t>
  </si>
  <si>
    <t>Varginha 5 _Estação solarimétrica</t>
  </si>
  <si>
    <t>000397</t>
  </si>
  <si>
    <t xml:space="preserve">COMPRA MATERIAIS PARA UFVs (VARGINHA 5)  Nº 862  </t>
  </si>
  <si>
    <t>[CCC03584]</t>
  </si>
  <si>
    <t xml:space="preserve">COMPRA MATERIAIS PARA UFVs (VARGINHA 5)  Nº 864  </t>
  </si>
  <si>
    <t>Ok</t>
  </si>
  <si>
    <t>Varginha 5_EPC_FD</t>
  </si>
  <si>
    <t>000391</t>
  </si>
  <si>
    <t>BALDONI / Baldoni Engenharia    - Terraplanagem - Medição 3 (Varginha 5)  N300</t>
  </si>
  <si>
    <t>BALDONI / MCD BALDONI 01/02 - Terraplanagem - Medição 3 (Varginha 5)  20%     NF130</t>
  </si>
  <si>
    <t>Taxa de reposição florestal UFVs (VARGINHA 5)   NF  833</t>
  </si>
  <si>
    <t>[CCC03639]</t>
  </si>
  <si>
    <t>Taxa de reposição florestal UFVs (VARGINHA 5)   NF  834</t>
  </si>
  <si>
    <t>000432</t>
  </si>
  <si>
    <t>Desenvolvimento de projetos Executivos  - ENERSOLAR -  20 % APROVADO -  (VARGINHA 5)     NF 120</t>
  </si>
  <si>
    <t>[CCC03722]</t>
  </si>
  <si>
    <t>MCD BALDONI 01/02 - Terraplanagem - Medição 4 (Varginha 5)  20%       NF 132</t>
  </si>
  <si>
    <t>[CCC03732]</t>
  </si>
  <si>
    <t>BALDONI ENGENHARIA   - Terraplanagem - Medição 4 (Varginha 5)  80%      N 302</t>
  </si>
  <si>
    <t>000477</t>
  </si>
  <si>
    <t>Construção e Montagem  GLD   (VARGINHA 5)  1° MEDIÇÃO   NF214</t>
  </si>
  <si>
    <t>[CCC03792]</t>
  </si>
  <si>
    <t>Medição 1</t>
  </si>
  <si>
    <t>GLD  PRESTAÇÃO DE SERVIÇOS MEDIÇÃO 4  UFVS ( VARGINHA  5)    NF   270</t>
  </si>
  <si>
    <t>Medição 4</t>
  </si>
  <si>
    <t>GLD PRESTAÇÃO DE SERVIÇOS MEDIÇÃO 4 UFVS ( VARGINHA 5)    NF    269</t>
  </si>
  <si>
    <t xml:space="preserve">Pagamento referente a mediçao de prestação de serviços e mão de obra,   necessários a construção da UFVs.  </t>
  </si>
  <si>
    <t>Revisão de coordenograma de proteção em função de alteração do modelo do relé de proteção (UFV Varginha 5)</t>
  </si>
  <si>
    <t>[CCC03459]</t>
  </si>
  <si>
    <t>RDA - Rede de Distribuição Aerea FD</t>
  </si>
  <si>
    <t xml:space="preserve">COMPRA MATERIAIS PARA UFVs  ( VARGINHA 5)  NF    26101 EXPONECIAL RDA INTERNO  </t>
  </si>
  <si>
    <t>Varginha 5_RDA - Rede de Distribuição Aerea</t>
  </si>
  <si>
    <t>000721</t>
  </si>
  <si>
    <t xml:space="preserve">COMPRA MATERIAIS PARA UFVs  (VARGINHA 5)  NF 26119    EXPONECIAL RDA INTERNO  </t>
  </si>
  <si>
    <t>000672</t>
  </si>
  <si>
    <t>Estação solarimétrica – Hukseflux   UFVs (VARGINHA 5)   VINCULO PEDIDO 000358 A401  NF 4798</t>
  </si>
  <si>
    <t>MOBILIZAÇÃO -  1° MEDIÇÃO  UFVs (VARGINHA )      LMENG    NF 10553</t>
  </si>
  <si>
    <t>Varginha 5_Engenharia de Proprietario</t>
  </si>
  <si>
    <t>GLD ADITIVO DE CONCRETAGEM  - Medição 2  (Varginha 5)      NF  254</t>
  </si>
  <si>
    <t>Pagamento de aditivos necessário à construção da UFV.  MEDIÇÃO FINAL</t>
  </si>
  <si>
    <t>Medição 2 - Aditivo</t>
  </si>
  <si>
    <t>GLD  ADITIVO DE CONCRETAGEM - Medição 2 (Varginha 5)       NF 255</t>
  </si>
  <si>
    <t>PRESTAÇÃO DE SEVIÇOS UFVsS ( VARGINHA 5)    NF 223/2022 RONDA PORTEIROS  ADICIONAL NOTURNO</t>
  </si>
  <si>
    <t>000781</t>
  </si>
  <si>
    <t>COMPRA MATERIAIS PARA UFVsS ( VARGINHA 5)    NF 7535</t>
  </si>
  <si>
    <t xml:space="preserve">PRESTAÇÃO DE SEVIÇOS UFVsS ( VARGINHA 5)    NF 224/2022 RONDA PORTEIROS  </t>
  </si>
  <si>
    <t xml:space="preserve">Pagamento de serviços de vigilância,  em Faturamento Direto,  em contrato de obras EPC da UFV.  COM DESCONTO EM CONTRATO </t>
  </si>
  <si>
    <t>GLD PRESTAÇÃO DE SERVIÇOS MEDIÇÃO 3  UFVS ( VARGINHA 5)    NF   256</t>
  </si>
  <si>
    <t>[CCC04063]</t>
  </si>
  <si>
    <t>GLD  PRESTAÇÃO DE SERVIÇOS MEDIÇÃO 3  UFVS ( VARGINHA 5)    NF 259</t>
  </si>
  <si>
    <t>MOBILIZAÇÃO -  1° MEDIÇÃO  UFVs (VARGINHA )      LMENG    NF 10540</t>
  </si>
  <si>
    <t>MOBILIZAÇÃO -  1° MEDIÇÃO  UFVs (VARGINHA )      LMENG    NF 10542</t>
  </si>
  <si>
    <t>000657</t>
  </si>
  <si>
    <t>COMPRA MATERIAIS PARA UFVs  ( VARGINHA 5)  NF  4089  CAMPO ALEGRE  RDA INTERNA</t>
  </si>
  <si>
    <t xml:space="preserve">COMPRA MATERIAIS PARA UFVs  (   VARGINHA 5  )  NF  72955  LTB  RDA INTERNO  </t>
  </si>
  <si>
    <t xml:space="preserve">COMPRA MATERIAIS PARA UFVs  (  Varginha 5 )  NF 423899   RDA INTERNA </t>
  </si>
  <si>
    <t xml:space="preserve">Compra feita em Faturamento Direto, em contrato de obra RDA.  </t>
  </si>
  <si>
    <t> [CCC04119]</t>
  </si>
  <si>
    <t>RDA - Rede de Distribuição Aerea MD</t>
  </si>
  <si>
    <t>MEDIÇÃO DE EXECUÇÃO RDA INTERNO   UFVs ( VARGINHA 5)  NF 324</t>
  </si>
  <si>
    <t>Pagamento  de medição  de serviços DE MÃO DE OBRA ESPECIALIZADA NA CONSTRUÇÃO RDA, necessário a construção da UFV.</t>
  </si>
  <si>
    <t>COMPRA MATERIAIS PARA UFVs ( VARGINHA  5  )    NF  988</t>
  </si>
  <si>
    <t>MOBILIZAÇÃO -  1° MEDIÇÃO  UFVs (VARGINHA )      LMENG    NF 10550</t>
  </si>
  <si>
    <t>GLD PRESTAÇÃO DE SERVIÇOS MEDIÇÃO 5 UFVS ( VARGINHA 5)    NF    284</t>
  </si>
  <si>
    <t>5 Medição</t>
  </si>
  <si>
    <t>GLD  PRESTAÇÃO DE SERVIÇOS MEDIÇÃO 5  UFVS ( VARGINHA  5)    NF   285</t>
  </si>
  <si>
    <t>PRESTÇÃO DE SERVIÇOS UFVS ( VARGINHA 5)  NF  296</t>
  </si>
  <si>
    <t>PRESTAÇÃO DE SERVIÇOS MEDIÇÃO    UFVS ( VARGINHA 5)  NF   13213</t>
  </si>
  <si>
    <t>Pagamento referente a serviço A 3 MNEDIÇÃO SOLATIO , REFERENTRE AOS MARCOS CONTRATUAIS DE APROVAÇÃO DE PROJETO, EM CONTRATO MT .</t>
  </si>
  <si>
    <t> [CCC04235]</t>
  </si>
  <si>
    <t>Varginha 5 _Obras MT_MD</t>
  </si>
  <si>
    <t>000761</t>
  </si>
  <si>
    <t>PRESTAÇÃO DE SERVIÇÕS UFVs  ( VARGINHA 2)  NF  953  - Este e Varginha 5</t>
  </si>
  <si>
    <t>[CCC04034]</t>
  </si>
  <si>
    <t xml:space="preserve"> GLD   MEDIÇÃO 1 ADITIVOS   ( VARGINHA 5)    NF   239</t>
  </si>
  <si>
    <t>Pagamento  1° medição , ADITIVO PERFURAÇÃO E CONCRETAGEM 100% DAS HASTES,  contrato FullEPC de construção da UFV .</t>
  </si>
  <si>
    <t>[CCC03956]</t>
  </si>
  <si>
    <t>PRESTAÇÃO DE SERVIÇOS  MEDIÇÃO 2 UFVs (VARGINHA 5)  GLD     NF 248</t>
  </si>
  <si>
    <t xml:space="preserve">Medição 2 </t>
  </si>
  <si>
    <t>PRESTAÇÃO DE SERVIÇOS  MEDIÇÃO 2 UFVs (VARGINHA 5)  GLD      NF 249</t>
  </si>
  <si>
    <t>00784</t>
  </si>
  <si>
    <t>COMPRA MATERIAIS PARA UFVs  ( PATOS  7 )  NF  4271  CAMPO ALEGRE Varginha 5</t>
  </si>
  <si>
    <t>[CCC04103]</t>
  </si>
  <si>
    <t>Estava com erro de classificação da Usina.</t>
  </si>
  <si>
    <t>001008</t>
  </si>
  <si>
    <t>PRESTAÇÃO DE SERVIÇO UFVs (VARGINHA 5 )   NF 303  RONDA PORTEIROS</t>
  </si>
  <si>
    <t xml:space="preserve">Escopo Comerc 
</t>
  </si>
  <si>
    <t>MEDIÇÃO ADITIVO UFVs ( VARGINHA 5)  NF  291</t>
  </si>
  <si>
    <t>Adiantamento de Drenagem.</t>
  </si>
  <si>
    <t>001061</t>
  </si>
  <si>
    <t>MEDIÇÃO ADITIVO UFVs ( VARGINHA 5)  NF 292</t>
  </si>
  <si>
    <t>001071</t>
  </si>
  <si>
    <t>PRESTAÇÃO DE SERVIÇOS UFVs ( VARGINHA 5) NF 357 RONDA PORTEIROS</t>
  </si>
  <si>
    <t>COMPRA DE MATERIAIS UFVs ( VARGINHA 5)  NF 434196  LOJA ELETRICA</t>
  </si>
  <si>
    <t>Compra de materiai necessários a construção em contrato EPC.</t>
  </si>
  <si>
    <t> [CCC04331]</t>
  </si>
  <si>
    <t>PRESTAÇÃO DE SERVIÇOS  - HALLITE   UFVs ( VARGINHA 5)    NF 2</t>
  </si>
  <si>
    <t>COMPRA DE MATERIAIS UFVs (VARGINHA5) NF 434366  LOJA ELETRICA RDA INTERNO</t>
  </si>
  <si>
    <t>MEDIÇÃO ADITIVOS UFVs ( VARGINHA 5 )  NF 303</t>
  </si>
  <si>
    <t xml:space="preserve">Aditivo de contrato WP  </t>
  </si>
  <si>
    <t>MEDIÇÃO ADITIVOS UFVs (VARGINHA 5 )  NF 304</t>
  </si>
  <si>
    <t>PRESTAÇÃO DE SERVIÇOS UFVs (VARGINHA 5 )  NF 311</t>
  </si>
  <si>
    <t>Pagamento referente a 6° medição , prestação de serviços e mão de obra,,   necessários a construção da UFVs em contrato EPC.  65%</t>
  </si>
  <si>
    <t> [CCC04376]</t>
  </si>
  <si>
    <t>6 Medição</t>
  </si>
  <si>
    <t>PRESTAÇÃO DE SERVIÇOS UFVs (VARGINHA 5 )  NF 312</t>
  </si>
  <si>
    <t>Pagamento referente a 6° medição, elaboração de planos,   necessários a construção da UFVs em contrato EPC.  35%</t>
  </si>
  <si>
    <t>PRESTAÇÃO DE SERVIÇOS UFVs ( VARGINHA 5)  NF  377</t>
  </si>
  <si>
    <t>Pagamento de 2° medição DRENAGEM,  referente a elaboração de planos,   necessários a construção da UFVs em contrato EPC.  35%</t>
  </si>
  <si>
    <t>Medição 2 Drenagem</t>
  </si>
  <si>
    <t>Remoção Material Dentro UV.</t>
  </si>
  <si>
    <t>PRESTAÇÃO DE SERVIÇOS UFVs ( VARGINHA 5) NF 2501</t>
  </si>
  <si>
    <t>Verificar com Rafael</t>
  </si>
  <si>
    <t>Varginha 5 _Obras MT_MBA_FD</t>
  </si>
  <si>
    <t xml:space="preserve">PRESTAÇÃO DE SERVIÇOS UFVs  (VARGINHA 5) NF 358 RONDA PORTEIROS </t>
  </si>
  <si>
    <t>COMPRA DE MATERIAIS  UFVs (VARGINHA 5) NF 440268 MINERACAO SANTO ANTONIO</t>
  </si>
  <si>
    <t xml:space="preserve">COMPRA DE MATERIAIS  UFVs (VARGINHA 5) NF 169 RAFAEL CARVALHO DE SALES             </t>
  </si>
  <si>
    <t>PRESTAÇÃO DE SERVIÇOS UFVs ( VARGINHA 5 )  NF 317</t>
  </si>
  <si>
    <t>Pagamento 7°  medição, referente a prestação de serviços e mão de obra,  necessários a construção da UFVs em contrato EPC.  65%</t>
  </si>
  <si>
    <t>7 Medição</t>
  </si>
  <si>
    <t>PRESTAÇÃO DE SERVIÇOS UFVs (VARGINHA 5 )  NF 318</t>
  </si>
  <si>
    <t>Pagamento de  7° medição, referente a elaboração de planos,   necessários a construção da UFVs em contrato EPC.  35%</t>
  </si>
  <si>
    <t xml:space="preserve">COMPRA DE MATERIAIS UFVs ( VARGINHA 5) NF 96  A. AGROZOOM   </t>
  </si>
  <si>
    <t>COMPRA DE MATERIAIS UFVs ( VARGINHA 5) NF 037137289   GABRIEL REIS</t>
  </si>
  <si>
    <t xml:space="preserve">PRESTAÇÃO DE SERVIÇOS UFVs(VARGINHA 5 ) NF 454 RONDA PORTEIROS </t>
  </si>
  <si>
    <t xml:space="preserve">PRESTAÇÃO DE SERVIÇOS UFVs(VARGINHA 5 ) NF 459 RONDA PORTEIROS </t>
  </si>
  <si>
    <t>001350</t>
  </si>
  <si>
    <t>COMPRA DE MATERIAIS UFVs (VARGINHA 5)   NF 1999 ATI AUTOMAÇÃO</t>
  </si>
  <si>
    <t xml:space="preserve">PRESTAÇÃO DE SERVIÇOS UFVs( VARGINHA 5) NF 362    RDA INTERNA </t>
  </si>
  <si>
    <t>001405</t>
  </si>
  <si>
    <t>PRESTAÇÃO DE SERVIÇOS UFVs ( VARGINHA 5) NF 551  RONDA PORTEIROS</t>
  </si>
  <si>
    <t> [CCC04690]</t>
  </si>
  <si>
    <t>001406</t>
  </si>
  <si>
    <t>PRESTAÇÃO DE SERVIÇOS UFVs ( VARGINHA 5) NF 549  RONDA PORTEIROS</t>
  </si>
  <si>
    <t>A413 - MORI MINAS NEWCO IV - VARGINHA 5</t>
  </si>
  <si>
    <t>001434</t>
  </si>
  <si>
    <t>PRESTAÇÃO DE SERVIÇOS UFVs (VARGINHA 5) NF 996  NORTE CONEXÃO FERRAZ E MEIRA</t>
  </si>
  <si>
    <t xml:space="preserve">COMPRA DE MATERIAIS UFvs ( VARGINHA 5) NF 12866  MARKOLUKA      </t>
  </si>
  <si>
    <t>MEDIÇÃO  GLD UFVS ( VARGINHA 5)   NF            ADITIVO</t>
  </si>
  <si>
    <t>Aditivo de atraso contrato</t>
  </si>
  <si>
    <t>PRESTAÇÃO DE SERVIÇOS UFVs ( VARGINHA 5)  NF  376</t>
  </si>
  <si>
    <t>Pagamento de 2° medição DRENAGEM,  referente a prestação de serviços e mão de obra,   necessários a construção da UFVs em contrato EPC.  65%</t>
  </si>
  <si>
    <t>001469</t>
  </si>
  <si>
    <t>COMPRA DE MATERIAIS UFvs ( VARGINHA 5 ) NF 448248  MINERAÇÃO SANTO ANTONIO</t>
  </si>
  <si>
    <t>PRESTAÇÃO DE SERVIÇOS UFVs ( VARGINHA 5) NF 603 RONDA PORTEIROS</t>
  </si>
  <si>
    <t>001508</t>
  </si>
  <si>
    <t>PRESTAÇÃO DE SERVIÇOS UFVs (VARGINHA 5) NF 122   ATI</t>
  </si>
  <si>
    <t>Comissionamento de instalações (Três Corações 3)</t>
  </si>
  <si>
    <t>[CCC02732-01]</t>
  </si>
  <si>
    <t>Três Corações 3 - CAPEX - Serviço AT - CCAP-C2_000021</t>
  </si>
  <si>
    <t>Três Corações 3_Obras AT_FD</t>
  </si>
  <si>
    <t>[CCC02732-02]</t>
  </si>
  <si>
    <t>S030</t>
  </si>
  <si>
    <t>Material Elétrico - PRYSMIAN CABOS (Três Corações 3)</t>
  </si>
  <si>
    <t>Repeddido na Linha 4137</t>
  </si>
  <si>
    <t>Três Corações 3 _Obras MT_FD</t>
  </si>
  <si>
    <t>S032</t>
  </si>
  <si>
    <t>Equipamentos Elétricos - TAVRIDA  (Três Corações 3)</t>
  </si>
  <si>
    <t>Três Corações 3 - CAPEX - Serviço MT - CCAP-C2_000021 - Não tem Rastreabilidade  na Solatio</t>
  </si>
  <si>
    <t>S150</t>
  </si>
  <si>
    <t>Equipamentos - ABS SISTEMAS (Três Corações 3)</t>
  </si>
  <si>
    <t>S151</t>
  </si>
  <si>
    <t>Equipamentos - ARTECHE (Três Corações 3)</t>
  </si>
  <si>
    <t>S152</t>
  </si>
  <si>
    <t>Equipamentos - BALTEAU (Três Corações 3)</t>
  </si>
  <si>
    <t>S153</t>
  </si>
  <si>
    <t>Materiais - CABELAUTO (Três Corações 3)</t>
  </si>
  <si>
    <t>S154</t>
  </si>
  <si>
    <t>Equipamentos - ELETROTASK (Três Corações 3)</t>
  </si>
  <si>
    <t>S155</t>
  </si>
  <si>
    <t>Transporte de materiais - MARCELO DE OLIVEIRA (Três Corações 3)</t>
  </si>
  <si>
    <t>S156</t>
  </si>
  <si>
    <t>Equipamentos - MARLICE EQUIPAMENTOS(Três Corações 3)</t>
  </si>
  <si>
    <t>S157</t>
  </si>
  <si>
    <t>Equipamentos - RITZ (Três Corações 3)</t>
  </si>
  <si>
    <t>S158</t>
  </si>
  <si>
    <t>Transporte de equipamentos - RODONAVES (Três Corações 3)</t>
  </si>
  <si>
    <t>S159</t>
  </si>
  <si>
    <t>Equipamentos - USICROM (Três Corações 3)</t>
  </si>
  <si>
    <t>S160</t>
  </si>
  <si>
    <t>Serviços - New Energy (Três Corações 3)</t>
  </si>
  <si>
    <t>Reatores de aterramento ADELCO (Três Corações 3)</t>
  </si>
  <si>
    <t>Projetos de fundações e drenagem - HALLITE (Três Corações 3) Analise terraplanagem</t>
  </si>
  <si>
    <t>[CCC02929-01]</t>
  </si>
  <si>
    <t>Três Corações 3 _Outros</t>
  </si>
  <si>
    <t>Medição 01 - FINAL (Três Corações 3)</t>
  </si>
  <si>
    <t>Medição final de serviços contratados para execução de projeto de rede AT, internos à instalação da distribuidora.</t>
  </si>
  <si>
    <t>[CCC03090-08]</t>
  </si>
  <si>
    <t>Três Corações 3_Obras AT_MD</t>
  </si>
  <si>
    <t>Transporte de equipamentos (Tres Corações)</t>
  </si>
  <si>
    <t>Histórico SOLATIO -Medição MBA_SOLATIO (Três Corações 3)</t>
  </si>
  <si>
    <t>Três Corações 3 - CAPEX - Serviço MT - CCAP-C2_000021</t>
  </si>
  <si>
    <t>Três Corações 3 _Obras MT_MD</t>
  </si>
  <si>
    <t>Archtech - Testes de PullOuT_Biotec - Adiantamento (Três Corações 3)</t>
  </si>
  <si>
    <t>[CCC03145-25]</t>
  </si>
  <si>
    <t>Archtech - Testes de PullOuT_Biotec - Finalização (Três Corações 3)</t>
  </si>
  <si>
    <t>[CCC03265-25]</t>
  </si>
  <si>
    <t>Serviço de SPT - BIOTEC (Três Corações 3) - 40% iniciais - Campanha 6</t>
  </si>
  <si>
    <t>[CCC03281-15]</t>
  </si>
  <si>
    <t>SUPERVISORIO - Ciclo 2 - Gateways e remota (Três Corações 3)</t>
  </si>
  <si>
    <t>[CCC03269-14]</t>
  </si>
  <si>
    <t>Três Corações 3 _SGD</t>
  </si>
  <si>
    <t>SUPERVISORIO - Ciclo 2 - Baterias, desktops, switch e acessórios (Três Corações 3)</t>
  </si>
  <si>
    <t>[CCC03269-28]</t>
  </si>
  <si>
    <t>Serviço de SPT - BIOTEC (Três Corações 3) - 60% finais - Campanha 6</t>
  </si>
  <si>
    <t>[CCC03063-09]</t>
  </si>
  <si>
    <t>Eng. Executiva GLD - Entrega 01 - P01_05 (Três Corações 3)</t>
  </si>
  <si>
    <t>[CCC03205-41]</t>
  </si>
  <si>
    <t>Três Corações 3_Engenharia Executiva - Detalhada</t>
  </si>
  <si>
    <t>Eng. Executiva GLD - Entrega 02 - P01_03 (Três Corações 3)</t>
  </si>
  <si>
    <t>[CCC03205-46]</t>
  </si>
  <si>
    <t>MEDIÇÃO ( GLD)</t>
  </si>
  <si>
    <t>Construção e Montagem GLD - Medição 1 - Adiantamento (Três Corações 3)  NF 212</t>
  </si>
  <si>
    <t>[CCC03387-09]</t>
  </si>
  <si>
    <t>Três Corações 3_EPC_MD</t>
  </si>
  <si>
    <t xml:space="preserve">Estação solarimétrica – Hukseflux   Três corações 3
NF 7019 PC 003365
</t>
  </si>
  <si>
    <t>[CCC03558]</t>
  </si>
  <si>
    <t>Três Corações 3 _Estação solarimétrica</t>
  </si>
  <si>
    <t>Atividades para liberação de execução de POT nas UFVs ( TRÊS CORAÇÕES 3)  NF  442</t>
  </si>
  <si>
    <t>001410</t>
  </si>
  <si>
    <t>COMPRA DE MATERIAIS UFVs (TRÊS CORAÇÕES 3 ) NF   TAVRIDA  ADIANTAMENTO</t>
  </si>
  <si>
    <t>S029</t>
  </si>
  <si>
    <t>Material Elétrico - PRYSMIAN CABOS (Ouro Fino 2)</t>
  </si>
  <si>
    <t>Ouro Fino 2 - CAPEX - Serviço MT - CCAP-C2_000021</t>
  </si>
  <si>
    <t>Ouro Fino 2 _Obras MT_FD</t>
  </si>
  <si>
    <t>S166</t>
  </si>
  <si>
    <t>Materiais - CABELAUTO (Ouro Fino 2)</t>
  </si>
  <si>
    <t>Ouro Fino 2_Obras AT_FD</t>
  </si>
  <si>
    <t>S167</t>
  </si>
  <si>
    <t>Serviços - CONCERT (Ouro Fino 2)</t>
  </si>
  <si>
    <t>S168</t>
  </si>
  <si>
    <t>Equipamentos - SIEMENS (Ouro Fino 2)</t>
  </si>
  <si>
    <t>S169</t>
  </si>
  <si>
    <t>Equipamentos - UNIAR (Ouro Fino 2)</t>
  </si>
  <si>
    <t>S170</t>
  </si>
  <si>
    <t>Serviços - New Energy (Ouro Fino 2)</t>
  </si>
  <si>
    <t>Reatores de aterramento ADELCO (Ouro Fino 2)</t>
  </si>
  <si>
    <t>Projetos de fundações e drenagem - HALLITE (Ouro Fino 2) Analise terraplanagem</t>
  </si>
  <si>
    <t>[CCC03050-03]</t>
  </si>
  <si>
    <t>Ouro Fino 2 _Outros</t>
  </si>
  <si>
    <t>Histórico SOLATIO -Medição MBA_SOLATIO (Ouro Fino 2)</t>
  </si>
  <si>
    <t>000061</t>
  </si>
  <si>
    <t>Archtech - Testes de PullOuT_Biotec - Adiantamento (Ouro Fino 2)</t>
  </si>
  <si>
    <t>[CCC03145-18]</t>
  </si>
  <si>
    <t>JX AMBIENTAL - Procedimento Administrativo - DAIA de implantação de UFV - 01de02 (Ouro Fino 2)</t>
  </si>
  <si>
    <t>[CCC03232-12]</t>
  </si>
  <si>
    <t>Archtech - Testes de PullOuT_Biotec - Finalização (Ouro Fino 2)</t>
  </si>
  <si>
    <t>[CCC03265-18]</t>
  </si>
  <si>
    <t>Serviço de SPT - BIOTEC (Ouro Fino 2) - 40% iniciais - Campanha 6</t>
  </si>
  <si>
    <t>[CCC03281-12]</t>
  </si>
  <si>
    <t>JX AMBIENTAL - Procedimento Administrativo - DAIA de implantação de UFV - 02de02 (Ouro Fino 2)</t>
  </si>
  <si>
    <t>[CCC03292-03]</t>
  </si>
  <si>
    <t>Medição 01 (Ouro Fino 2) 02 SOLATIO</t>
  </si>
  <si>
    <t>[CCC03222-09]</t>
  </si>
  <si>
    <t>Ouro Fino 2_Obras AT_MD</t>
  </si>
  <si>
    <t>Medição 01 (Ouro Fino 2)</t>
  </si>
  <si>
    <t>[CCC03251-02]</t>
  </si>
  <si>
    <t>Ouro Fino 2 _Obras MT_MD</t>
  </si>
  <si>
    <t>SUPERVISORIO - Ciclo 2 - Gateways e remota (Ouro Fino 2)</t>
  </si>
  <si>
    <t>[CCC03269-01]</t>
  </si>
  <si>
    <t>Ouro Fino 2 _SGD</t>
  </si>
  <si>
    <t>SUPERVISORIO - Ciclo 2 - Baterias, desktops, switch e acessórios (Ouro Fino 2)</t>
  </si>
  <si>
    <t>[CCC03269-16]</t>
  </si>
  <si>
    <t>000660</t>
  </si>
  <si>
    <t>Desenvolvimento de   projetos  GLD  (  OURO FINO 2 )    NF  234</t>
  </si>
  <si>
    <t>[CCC04006]</t>
  </si>
  <si>
    <t>Ouro Fino 2_Engenharia Executiva - Detalhada</t>
  </si>
  <si>
    <t>000688</t>
  </si>
  <si>
    <t>Atividades para liberação de execução de POT nas UFVs ( OURO FINO 2)  NF  443</t>
  </si>
  <si>
    <t>MEDIÇÃO (EPC - GLD)</t>
  </si>
  <si>
    <t>Construção e Montagem GLD - Medição 1 - Adiantamento (Ouro Fino 2)  NF208</t>
  </si>
  <si>
    <t>[CCC03387-05]</t>
  </si>
  <si>
    <t>Ouro Fino 2_EPC_MD</t>
  </si>
  <si>
    <t>Estação solarimétrica – Hukseflux   Ouro Fino 2
NF 7016 PC 003362</t>
  </si>
  <si>
    <t>[CCC03549]</t>
  </si>
  <si>
    <t>Ouro Fino 2 _Estação solarimétrica</t>
  </si>
  <si>
    <t>001411</t>
  </si>
  <si>
    <t>COMPRA DE MATERIAIS UFVs (OURO FINO 2 ) NF   TAVRIDA  ADIANTAMENTO</t>
  </si>
  <si>
    <t>002189</t>
  </si>
  <si>
    <t>MEDIÇÃO (EPC )</t>
  </si>
  <si>
    <t>PRESTAÇÃO DE SERVIÇOS UFVs ( SÃO SEBASTIÃO DO OESTE 6) NF 5  COSTERR</t>
  </si>
  <si>
    <t>Pagamento de medição, referente ao serviço de supressão e terraplenagem, necessário a construção da usina.</t>
  </si>
  <si>
    <t> [CCC04840]</t>
  </si>
  <si>
    <t>002190</t>
  </si>
  <si>
    <t xml:space="preserve">PRESTAÇÃO DE SERVIÇOS UFVs ( SÃO SEBASTIÃO DO OESTE 6) NF 14  ORCI   </t>
  </si>
  <si>
    <t>COMPRA DE MATERIAIS  UFVS (ARCOS 7)   NF 6402  ARTECAMP</t>
  </si>
  <si>
    <t> [CCC04841]</t>
  </si>
  <si>
    <t>002217</t>
  </si>
  <si>
    <t>COMPRA DE MATERIAIS  UFVS (PEDRA INDAIA 3)   NF 6403  ARTECAMP</t>
  </si>
  <si>
    <t> [CCC04842]</t>
  </si>
  <si>
    <t>WEG PRESTAÇÃO DE SERVIÇOS UFVs ( NOVA PONTE 1)   ADIANTAMENTO   EVENTO 6</t>
  </si>
  <si>
    <t> [CCC04856]</t>
  </si>
  <si>
    <t>002245</t>
  </si>
  <si>
    <t xml:space="preserve">COMPRA DE MATERIAIS UFVs (BURITIZEIRO 1) NF 54694  CORDEIRO CABOS </t>
  </si>
  <si>
    <t>Pagamento em faturamento direto referente a compra de materiais, necessário a construção das usinas, em contrato MT.</t>
  </si>
  <si>
    <t> [CCC04857]</t>
  </si>
  <si>
    <t>002251</t>
  </si>
  <si>
    <t>COMPRA DE MATERIAIS UFVs (BURITIZEIRO 2)   NF 54695    CORDEIRO CABOS</t>
  </si>
  <si>
    <t>002244</t>
  </si>
  <si>
    <t xml:space="preserve">PRESTAÇÃO DE SERVIÇOS UFVs ( PEDRA DO INDAIA 5) NF 12  ORCI   </t>
  </si>
  <si>
    <t> [CCC04859]</t>
  </si>
  <si>
    <t>002248</t>
  </si>
  <si>
    <t>PRESTAÇÃO DE SERVIÇOS UFVs ( PEDRA DO INDAIA 5) NF   HALLITE</t>
  </si>
  <si>
    <t> [CCC04862]</t>
  </si>
  <si>
    <t>002250</t>
  </si>
  <si>
    <t>002252</t>
  </si>
  <si>
    <t>WEG PRESTAÇÃO DE SERVIÇOS UFVs ( GUARDA MOR ) INTEGRADOR  GTEL  NF 26996  EVENTO 7</t>
  </si>
  <si>
    <t> [CCC04864]</t>
  </si>
  <si>
    <t>PRESTAÇÃO DE SERVIÇO PARA AS UFVs  NF 388</t>
  </si>
  <si>
    <t xml:space="preserve">Pagamento referente a prestação de serviços de projeto de terraplenagem, necessários a construção da usina . 4° MEDIÇÃO </t>
  </si>
  <si>
    <t> [CCC04765]</t>
  </si>
  <si>
    <t>Medição Nota  R$21000 Dividir entre as Usinas</t>
  </si>
  <si>
    <t>PRESTAÇÃO DE SERVIÇO PARA AS UFVs  NF 389</t>
  </si>
  <si>
    <t>Medição Nota  R$49000 Dividir entre as Usinas</t>
  </si>
  <si>
    <t>PRESTAÇÃO DE SERVIÇO PARA AS UFVs  NF 390</t>
  </si>
  <si>
    <t>002111</t>
  </si>
  <si>
    <t>PRESTAÇÃO DE SERVIÇO PARA AS UFVs  NF 392</t>
  </si>
  <si>
    <t>002123</t>
  </si>
  <si>
    <t>MEDIÇÃO (EPC -GTEL)</t>
  </si>
  <si>
    <t>Construção e Montagem GTEL - Medição 1 - Adiantamento 15%  UFVs (DIVINOPOLIS 1)  NF 28533</t>
  </si>
  <si>
    <t xml:space="preserve">Pagamento  referente a construção e montagem, adiantamento contratual 15%,  necessários a construção da UFVs em contrato EPC.  MEDIÇÃO 1  </t>
  </si>
  <si>
    <t> [CCC04775]</t>
  </si>
  <si>
    <t>Divinópolis 1_EPC_2_MD</t>
  </si>
  <si>
    <t>GTEL</t>
  </si>
  <si>
    <t xml:space="preserve">A606 -ESTRELA DO NORTE - UFV DIVINOPOLIS 2 </t>
  </si>
  <si>
    <t>002127</t>
  </si>
  <si>
    <t>Construção e Montagem GTEL - Medição 1 - Adiantamento 15%  UFVs (DIVINOPOLIS 2)  NF 28534</t>
  </si>
  <si>
    <t>Divinópolis 2_EPC_2_MD</t>
  </si>
  <si>
    <t>A627-ESTRELA DO NORTE  -  UFV SAO SEBASTIAO 6</t>
  </si>
  <si>
    <t>002125</t>
  </si>
  <si>
    <t>Construção e Montagem GTEL - Medição 1 - Adiantamento 15%  UFVs (SÃO SEBASTIÃO DO OESTE 6)  NF 28535</t>
  </si>
  <si>
    <t>Pagamento  referente a construção e montagem, adiantamento contratual 15%,  necessários a construção da UFVs em contrato EPC.  MEDIÇÃO 3</t>
  </si>
  <si>
    <t>São Sebastião 6_EPC_2_MD</t>
  </si>
  <si>
    <t>001498</t>
  </si>
  <si>
    <t>Construção e Montagem GTEL - Medição 1 - Adiantamento 15%  UFVs (SÃO SEBASTIÃO DO OESTE 4)   NF 28557</t>
  </si>
  <si>
    <t>Pagamento  referente a construção e montagem, adiantamento contratual 15%,  necessários a construção da UFVs em contrato EPC.  MEDIÇÃO 4</t>
  </si>
  <si>
    <t>São Sebastião 4_EPC_2_MD</t>
  </si>
  <si>
    <t>A604 - ESTRELA DO NORTE SPE- SAO SEB DO OESTE 0</t>
  </si>
  <si>
    <t>002128</t>
  </si>
  <si>
    <t>Construção e Montagem GTEL - Medição 1 - Adiantamento 15%  UFVs (SÃO SEBASTIÃO DO OESTE 0)   NF 28556</t>
  </si>
  <si>
    <t>Pagamento  referente a construção e montagem, adiantamento contratual 15%,  necessários a construção da UFVs em contrato EPC.  MEDIÇÃO 5</t>
  </si>
  <si>
    <t>São Sebastião 0_EPC_2_MD</t>
  </si>
  <si>
    <t>Construção e Montagem GTEL - Medição 1 - Adiantamento 15%  UFVs (PASSOS 4)  NF 28541</t>
  </si>
  <si>
    <t>Pagamento  referente a construção e montagem, adiantamento contratual 15%,  necessários a construção da UFVs em contrato EPC.  MEDIÇÃO 6</t>
  </si>
  <si>
    <t>OK</t>
  </si>
  <si>
    <t>Passos 4_EPC_2_MD</t>
  </si>
  <si>
    <t>002126</t>
  </si>
  <si>
    <t>Construção e Montagem GTEL - Medição 1 - Adiantamento 15%  UFVs (PAINS 3)  NF 28537</t>
  </si>
  <si>
    <t>Pagamento  referente a construção e montagem, adiantamento contratual 15%,  necessários a construção da UFVs em contrato EPC.  MEDIÇÃO 7</t>
  </si>
  <si>
    <t>Pains 3_EPC_2_MD</t>
  </si>
  <si>
    <t>A628 - ESTRELA DO NORTE  - PARACATU 4</t>
  </si>
  <si>
    <t>002136</t>
  </si>
  <si>
    <t>Construção e Montagem GTEL - Medição 1 - Adiantamento 15%  UFVs (PARACATU 4)  NF 28538</t>
  </si>
  <si>
    <t>Pagamento  referente a construção e montagem, adiantamento contratual 15%,  necessários a construção da UFVs em contrato EPC.  MEDIÇÃO 8</t>
  </si>
  <si>
    <t>Paracatu 4_EPC_2_MD</t>
  </si>
  <si>
    <t>A629 - ESTRELA DO NORTE  - PARACATU 5</t>
  </si>
  <si>
    <t>002137</t>
  </si>
  <si>
    <t>Construção e Montagem GTEL - Medição 1 - Adiantamento 15%  UFVs (PARACATU 5)  NF 28539</t>
  </si>
  <si>
    <t>Pagamento  referente a construção e montagem, adiantamento contratual 15%,  necessários a construção da UFVs em contrato EPC.  MEDIÇÃO 9</t>
  </si>
  <si>
    <t>Paracatu 5_EPC_2_MD</t>
  </si>
  <si>
    <t>Outros - Serviços à UFV GLD)</t>
  </si>
  <si>
    <t xml:space="preserve">PRESTAÇÃO DE SERVIÇOS  UFVS ( CAMPO BELO 5)  NF 2  TRANSPORTADORA J. FERNANDES </t>
  </si>
  <si>
    <t>Pagamento referente ao serviço de movimentação de módulos, necessários a construção da usina. ESCOPO COMERC.</t>
  </si>
  <si>
    <t> [CCC04843]</t>
  </si>
  <si>
    <t>. ESCOPO COMERC</t>
  </si>
  <si>
    <t>COMPRA DE MATERIAIS UFVs (CAMPO BELO 5) NF 1171  TAVRIDA   ADIANTAMENTO</t>
  </si>
  <si>
    <t>Pagamento referente a compra de religador trifásico, necessários a construção da usina.  100%</t>
  </si>
  <si>
    <t> [CCC04844]</t>
  </si>
  <si>
    <t>ENVIO NOTA FUTURA</t>
  </si>
  <si>
    <t>COMPRA DE MATERIAIS UFVs (CAMPO BELO 3) NF 1173   TAVRIDA   ADIANTAMENTO</t>
  </si>
  <si>
    <t>COMPRA DE MATERIAIS UFVs (SÃO SEBASTIÃO DO OESTE 4) NF   TAVRIDA   ADIANTAMENTO1172</t>
  </si>
  <si>
    <t>COMPRA DE MATERIAIS UFVs (ALFENAS 4) NF1174   TAVRIDA   ADIANTAMENTO</t>
  </si>
  <si>
    <t>COMPRA DE MATERIAIS UFVs (CAMPO BELO 2) NF1175   TAVRIDA   ADIANTAMENTO</t>
  </si>
  <si>
    <t>002230</t>
  </si>
  <si>
    <t>COMPRA DE MATERIAIS  UFVs (BURITIZEIRO 2)   NF 58272   PREFAZ</t>
  </si>
  <si>
    <t>Pagamento em faturamento direto referente a compra de materiais, necessário a construção das usinas. ** NOTAS NÃO GERAM FINANCEIRO, APENAS ESCRITURAR CFOP 5116 - 5117 **</t>
  </si>
  <si>
    <t> [CCC04845]</t>
  </si>
  <si>
    <t>002231</t>
  </si>
  <si>
    <t>Outros - Serviços à UFV (MBA)</t>
  </si>
  <si>
    <t>COMPRA DE MATERIAIS  UFVs (INDAIABIRA 1)   NF  45448    INCOPRE</t>
  </si>
  <si>
    <t> [CCC04846]</t>
  </si>
  <si>
    <t>002234</t>
  </si>
  <si>
    <t>COMPRA DE MATERIAIS  UFVs (INDAIABIRA 1)   NF  45417    INCOPRE</t>
  </si>
  <si>
    <t>002235</t>
  </si>
  <si>
    <t>COMPRA DE MATERIAIS  UFVs (INDAIABIRA 1)   NF  45416    INCOPRE</t>
  </si>
  <si>
    <t>002236</t>
  </si>
  <si>
    <t>COMPRA DE MATERIAIS  UFVS (INDAIABIRA 1)   NF  45447    INCOPRE</t>
  </si>
  <si>
    <t>Outros - Serviços à UFV (ATI)</t>
  </si>
  <si>
    <t xml:space="preserve">COMPRA DE MATERIAIS  UFVs (FREI INOCENCIO)   NF 1987    </t>
  </si>
  <si>
    <t> [CCC04847]</t>
  </si>
  <si>
    <t xml:space="preserve">COMPRA DE MATERIAIS  UFVs (FREI INOCENCIO)   NF 1988     </t>
  </si>
  <si>
    <t xml:space="preserve">COMPRA DE MATERIAIS  UFVs (VARGINHA 1)   NF 1992     </t>
  </si>
  <si>
    <t>COMPRA DE MATERIAIS  UFVs (VARGINHA 1)   NF 1993</t>
  </si>
  <si>
    <t>COMPRA DE MATERIAIS  UFVs (VARGINHA 5)   NF 1994</t>
  </si>
  <si>
    <t>COMPRA DE MATERIAIS  UFVs (VARGINHA 5)   NF 1995</t>
  </si>
  <si>
    <t>COMPRA DE MATERIAIS  UFVs (VARGINHA 2)   NF 1996</t>
  </si>
  <si>
    <t>COMPRA DE MATERIAIS  UFVs (CAMPO BELO 3) NF 45253  INCOPRE</t>
  </si>
  <si>
    <t> [CCC04848]</t>
  </si>
  <si>
    <t>COMPRA DE MATERIAIS  UFVs (CAMPO BELO 3) NF 45301  INCOPRE</t>
  </si>
  <si>
    <t>COMPRA DE MATERIAIS  UFVs (CAMPO BELO 3) NF 45323  INCOPRE</t>
  </si>
  <si>
    <t>COMPRA DE MATERIAIS  UFVs (CAMPO BELO 1) NF  45252 INCOPRE</t>
  </si>
  <si>
    <t> [CCC04849]</t>
  </si>
  <si>
    <t>COMPRA DE MATERIAIS  UFVs (CAMPO BELO 1) NF 45294  INCOPRE</t>
  </si>
  <si>
    <t>001575</t>
  </si>
  <si>
    <t>COMPRA DE MATERIAIS  UFVs (CAMPO BELO 1) NF 43281  INCOPRE</t>
  </si>
  <si>
    <t>COMPRA DE MATERIAIS  UFVs (CAMPO BELO 1) NF 45298  INCOPRE</t>
  </si>
  <si>
    <t>COMPRA DE MATERIAIS  UFVs (CAMPO BELO 1) NF 45299  INCOPRE</t>
  </si>
  <si>
    <t>COMPRA DE MATERIAIS  UFVs (CAMPO BELO 5) NF 45295  INCOPRE</t>
  </si>
  <si>
    <t> [CCC04850]</t>
  </si>
  <si>
    <t>COMPRA DE MATERIAIS  UFVs (CAMPO BELO 5) NF 45300  INCOPRE</t>
  </si>
  <si>
    <t>COMPRA DE MATERIAIS  UFVs (CAMPO BELO 1) NF 45351  INCOPRE</t>
  </si>
  <si>
    <t> [CCC04851]</t>
  </si>
  <si>
    <t>001581</t>
  </si>
  <si>
    <t>COMPRA DE MATERIAIS  UFVs (CAMPO BELO 1) NF 45355  INCOPRE</t>
  </si>
  <si>
    <t>001582</t>
  </si>
  <si>
    <t>COMPRA DE MATERIAIS  UFVs (CAMPO BELO 1) NF 45326  INCOPRE</t>
  </si>
  <si>
    <t>COMPRA DE MATERIAIS  UFVs (CAMPO BELO 5) NF 45352  INCOPRE</t>
  </si>
  <si>
    <t>COMPRA DE MATERIAIS  UFVs (CAMPO BELO 3) NF 45405  INCOPRE</t>
  </si>
  <si>
    <t> [CCC04852]</t>
  </si>
  <si>
    <t>COMPRA DE MATERIAIS  UFVs (CAMPO BELO 3) NF 45368  INCOPRE</t>
  </si>
  <si>
    <t>COMPRA DE MATERIAIS  UFVs (CAMPO BELO 3) NF 45372  INCOPRE</t>
  </si>
  <si>
    <t xml:space="preserve">COMPRA DE MATERIAIS  UFVs (VARGINHA 2) NF 1997  </t>
  </si>
  <si>
    <t> [CCC04853]</t>
  </si>
  <si>
    <t>COMPRA DE MATERIAIS  UFVs (SÃO SEBASTIÃO DO OESTE 5) NF 2037</t>
  </si>
  <si>
    <t>COMPRA DE MATERIAIS  UFVs (SÃO SEBASTIÃO DO OESTE 5) NF 2038</t>
  </si>
  <si>
    <t>002237</t>
  </si>
  <si>
    <t>COMPRA DE MATERIAIS  UFVs (INDAIABIRA 1) NF 2039</t>
  </si>
  <si>
    <t>002238</t>
  </si>
  <si>
    <t>COMPRA DE MATERIAIS  UFVs (INDAIABIRA 1) NF 2040</t>
  </si>
  <si>
    <t>002239</t>
  </si>
  <si>
    <t>COMPRA DE MATERIAIS  UFVs (INDAIABIRA 2) NF 2041</t>
  </si>
  <si>
    <t>002240</t>
  </si>
  <si>
    <t>COMPRA DE MATERIAIS  UFVs (INDAIABIRA 2) NF 2042</t>
  </si>
  <si>
    <t>PRESTAÇÃO DE SERVIÇOS UFVs (PATOS DE MINAS 4) NF 35 KDP KING PILE</t>
  </si>
  <si>
    <t>Pagamento em faturamento direto referente a compra de materiais, necessário a construção das usinas.</t>
  </si>
  <si>
    <t> [CCC04854]</t>
  </si>
  <si>
    <t>KDP KING PILE</t>
  </si>
  <si>
    <t>COMPRA DE MATERIAIS  UFVs (VARJÃO DE MINA 1) NF 2018</t>
  </si>
  <si>
    <t> [CCC04855]</t>
  </si>
  <si>
    <t>COMPRA DE MATERIAIS  UFVs (VARJÃO DE MINA 1) NF 2019</t>
  </si>
  <si>
    <t>002241</t>
  </si>
  <si>
    <t>COMPRA DE MATERIAIS  UFVs (GUARDAMOR) NF 2023</t>
  </si>
  <si>
    <t>002242</t>
  </si>
  <si>
    <t>COMPRA DE MATERIAIS  UFVs (GUARDAMOR) NF 2024</t>
  </si>
  <si>
    <t>PRESTAÇÃO DE SERVIÇOS UFVs (SÃO SEBASTIÃO DO OESTE 3)  NF 268  SEVEN ENGENHARIA</t>
  </si>
  <si>
    <t xml:space="preserve">Pagamento referente a medição de ELABORAÇÃO DE PROJETO CONTRA INCÊNDIO 1º PARCELA  . 50% </t>
  </si>
  <si>
    <t>[CCC04929]</t>
  </si>
  <si>
    <t>COMPRAS DE MATERIAIS UFVs (SÃO SEBASTIÃO DO OESTE 3)  NF 2083  ATI</t>
  </si>
  <si>
    <t>Pagamento em faturamento direto, referente a compra de materiais, necessáriosa construção da usina.</t>
  </si>
  <si>
    <t>[CCC04935]</t>
  </si>
  <si>
    <t>COMPRA DE MATERIAIS  UFVs (ARCOS 7) NF 46311  INCOPRE</t>
  </si>
  <si>
    <t> [CCC04860]</t>
  </si>
  <si>
    <t>COMPRA DE MATERIAIS  UFVs (ARCOS 7) NF 46312  INCOPRE</t>
  </si>
  <si>
    <t>002247</t>
  </si>
  <si>
    <t>COMPRA DE MATERIAIS  UFVs (BURITIZEIRO 1)   NF 58338   PREFAZ</t>
  </si>
  <si>
    <t>Pagamento em faturamento direto referente a compra de materiais, necessário a construção das usinas, em contrato EPC.</t>
  </si>
  <si>
    <t> [CCC04861]</t>
  </si>
  <si>
    <t>COMPRA DE MATERIAIS UFVs ( SANTO ANTONIO DO AMPARO 1) NF 22892 LIDER FABRICA DE POSTES</t>
  </si>
  <si>
    <t> [CCC04863]</t>
  </si>
  <si>
    <t>002256</t>
  </si>
  <si>
    <t>PRESTAÇÃO DE SERVIÇOS UFVs ( INDAIABIRA 1) NR        MRO   ADITIVO</t>
  </si>
  <si>
    <t>Pagamento referente a aditivo MRO, escopo terraplanagem (volumes extras), necessários a construção das usinas em contrato FULL-EPC.</t>
  </si>
  <si>
    <t> [CCC04867]</t>
  </si>
  <si>
    <t>002255</t>
  </si>
  <si>
    <t>PRESTAÇÃO DE SERVIÇOS UFVs ( INDAIABIRA 2) NR        MRO   ADITIVO</t>
  </si>
  <si>
    <t>PRESTAÇÃO DE SERVIÇOS UFVs ( SÃO SEBASTIÃO DO OESTE 1) NR        MRO   ADITIVO</t>
  </si>
  <si>
    <t>001594</t>
  </si>
  <si>
    <t>COMPRA DE MATERIAIS  UFVs (SANTO ANTONIO DO AMPARO 1)  NF 22  STEFANIO COUTINHO</t>
  </si>
  <si>
    <t> [CCC04868]</t>
  </si>
  <si>
    <t>Fat.Direto EPC (GLD)</t>
  </si>
  <si>
    <t>COMPRA DE MATERIAIS  UFVs (ALFENAS 4)  NF 24  STEFANIO COUTINHO</t>
  </si>
  <si>
    <t>001803</t>
  </si>
  <si>
    <t>Fat. Direto ( ENGELUZ - MT)</t>
  </si>
  <si>
    <t xml:space="preserve">COMPRA DE MATERIAL UFVs ( PARACATU 4) NF   8361  ZETA POSTES </t>
  </si>
  <si>
    <t xml:space="preserve">Pagamento em faturamento direto, REFERENTE A COMPRA DE MATERIAIS, necessário à construção da UFV em contrato MT.  </t>
  </si>
  <si>
    <t> [CCC04486]</t>
  </si>
  <si>
    <t>Paracatu 4_Obras MT_FD</t>
  </si>
  <si>
    <t>001804</t>
  </si>
  <si>
    <t>COMPRA DE MATERIAL UFVs ( PARACATU 4) NF   578 WAS COMERCIAL</t>
  </si>
  <si>
    <t>COMPRA DE MATERIAL UFVs ( PARACATU 4) NF  26859  EXPONENCIAL</t>
  </si>
  <si>
    <t>001811</t>
  </si>
  <si>
    <t>MEDIÇÃO  ( ENGELUZ-MT)</t>
  </si>
  <si>
    <t>PRESTAÇÃO DE SERVIÇOS UFVs ( PARACATU 4) NF 354</t>
  </si>
  <si>
    <t>Pagamento de medição referente aos serviços de mão de obra especializada  na construção de RDR, em contrato MT.</t>
  </si>
  <si>
    <t> [CCC04488]</t>
  </si>
  <si>
    <t>Paracatu 4_Obras MT_MD</t>
  </si>
  <si>
    <t>001967</t>
  </si>
  <si>
    <t>PRESTAÇÃO DE SERVIÇOS UFVs( PARACATU 4 E 5) NF 550     BIOTEC</t>
  </si>
  <si>
    <t xml:space="preserve">Pagamento referente a parcela inicial relativa a PULL OUT TEST (POT). 40 % </t>
  </si>
  <si>
    <t> [CCC04634]</t>
  </si>
  <si>
    <t>Paracatu 4_Outros</t>
  </si>
  <si>
    <t>002064</t>
  </si>
  <si>
    <t>PRESTAÇÃO DE SERVIÇOS UFVs (PARACATU 4) NF  387</t>
  </si>
  <si>
    <t xml:space="preserve"> ENGELUZ-MT</t>
  </si>
  <si>
    <t>002254</t>
  </si>
  <si>
    <t>PRESTAÇÃO DE SERVIÇOS UFVs (PARACATU 4 E 5) NF 583   BIOTEC SOLAR</t>
  </si>
  <si>
    <t>Pagamento  referente  a serviço de engenharia , necessários a construção das UFVs .</t>
  </si>
  <si>
    <t> [CCC04866]</t>
  </si>
  <si>
    <t>Dividido Valores para Paracatu 4/5 - 59096,45</t>
  </si>
  <si>
    <t>001806</t>
  </si>
  <si>
    <t xml:space="preserve">COMPRA DE MATERIAL UFVs ( PARACATU 5) NF   8362  ZETA POSTES </t>
  </si>
  <si>
    <t> [CCC04487]</t>
  </si>
  <si>
    <t>Paracatu 5_Obras MT_FD</t>
  </si>
  <si>
    <t>001807</t>
  </si>
  <si>
    <t>COMPRA DE MATERIAL UFVs ( PARACATU 5) NF   577 WAS COMERCIAL</t>
  </si>
  <si>
    <t>001809</t>
  </si>
  <si>
    <t>COMPRA DE MATERIAL UFVs ( PARACATU 5) NF  26857  EXPONENCIAL</t>
  </si>
  <si>
    <t>001813</t>
  </si>
  <si>
    <t>PRESTAÇÃO DE SERVIÇOS UFVs ( PARACATU 5) NF 355</t>
  </si>
  <si>
    <t>Paracatu 5_Obras MT_MD</t>
  </si>
  <si>
    <t>Paracatu 5_Outros</t>
  </si>
  <si>
    <t>002063</t>
  </si>
  <si>
    <t>PRESTAÇÃO DE SERVIÇOS UFVs (PARACATU 5) NF  386</t>
  </si>
  <si>
    <t>002258</t>
  </si>
  <si>
    <t xml:space="preserve">PRESTAÇÃO DE SERVIÇOS UFVs (DIVINÓPOLIS 3) NF 14 ALTERNATIVA TERRAPLENAGEM  </t>
  </si>
  <si>
    <t>Pagamento de medição final, referente aos serviços de limpeza, supressão e terraplenagem, necessários a construção da UFVs, em contrato EPC. 4° MEDIÇÃO</t>
  </si>
  <si>
    <t> [CCC04869]</t>
  </si>
  <si>
    <t>002261</t>
  </si>
  <si>
    <t>COMPRA DE MATERIAIS  UFVs (CANDEIAS)  NF 58409  PREFAZ</t>
  </si>
  <si>
    <t> [CCC04870]</t>
  </si>
  <si>
    <t>Não controlado</t>
  </si>
  <si>
    <t>PREFAZ</t>
  </si>
  <si>
    <t>002266</t>
  </si>
  <si>
    <t>REGRHAN  PRESTAÇÃO DE SERVIÇOS  ESTRELA DO NORTE HOLDING  NF  1393</t>
  </si>
  <si>
    <t>Pagamento referente aos serviços de assessoria , gestão e controle documental de terceiros, realizados pelo REGRHAN, necessários a construção das UFVs.</t>
  </si>
  <si>
    <t> [CCC04871]</t>
  </si>
  <si>
    <t>REGRHAN</t>
  </si>
  <si>
    <t>REGRHAN  PRESTAÇÃO DE SERVIÇOS  MORI GERAÇÃO II  NF 1394</t>
  </si>
  <si>
    <t>REGRHAN  PRESTAÇÃO DE SERVIÇOS  MORI MINAS NEWCO IV  NF  1395</t>
  </si>
  <si>
    <t>REGRHAN  PRESTAÇÃO DE SERVIÇOS  MORI MINAS NEWCO V  NF 1396</t>
  </si>
  <si>
    <t>002267</t>
  </si>
  <si>
    <t>PRESTAÇÃO DE SERVIÇOS UFVs (SÃO SEBASTIÃO DO OESTE 0) NF 681 JX AMBIENTAL</t>
  </si>
  <si>
    <t> [CCC04872]</t>
  </si>
  <si>
    <t>PRESTAÇÃO DE SERVIÇOS UFVs (PATROCINIO 3) NF 1002  JULLIA XAVIER</t>
  </si>
  <si>
    <t>PRESTAÇÃO DE SERVIÇOS UFVs (ARCOS 7) NF 1003  JULLIA XAVIER</t>
  </si>
  <si>
    <t>PRESTAÇÃO DE SERVIÇOS UFVs (VARGINHA 1) NF 1004  JULLIA XAVIER</t>
  </si>
  <si>
    <t>MEDIÇÃO MENSAL UFVs ( Paracatu 8 )   AFAPLAN   NF  8495</t>
  </si>
  <si>
    <t>MEDIÇÃO MENSAL UFVs ( Paracatu 8 )   AFAPLAN   NF  8496</t>
  </si>
  <si>
    <t>002268</t>
  </si>
  <si>
    <t>MEDIÇÃO MENSAL UFVs ( Indaiabira 1 )   AFAPLAN   NF 8496</t>
  </si>
  <si>
    <t>002269</t>
  </si>
  <si>
    <t>MEDIÇÃO MENSAL UFVs ( Indaiabira 2 )   AFAPLAN   NF 8497</t>
  </si>
  <si>
    <t>MEDIÇÃO MENSAL UFVs  ( Campo Belo 3 )   AFAPLAN   NF 8498</t>
  </si>
  <si>
    <t>MEDIÇÃO MENSAL UFVs  (  São Sebastião do Oeste 1 )   AFAPLAN   NF 8499</t>
  </si>
  <si>
    <t>MEDIÇÃO MENSAL UFVs  (  Campo Belo 4 )   AFAPLAN   NF 8500</t>
  </si>
  <si>
    <t>MEDIÇÃO MENSAL UFVs (  São Sebastião do oeste  3  )   AFAPLAN   NF  8901</t>
  </si>
  <si>
    <t>Pagamento de medição, serviço contratuais de Engenharia do proprietário,  necessário à construção da UFV. MAIO/2023</t>
  </si>
  <si>
    <t>[CCC05055]</t>
  </si>
  <si>
    <t>MEDIÇÃO MENSAL UFVs ( São Sebastião do oeste 5 )   AFAPLAN   NF  8502</t>
  </si>
  <si>
    <t>PPRESTAÇÃO DE SERVIÇOS UFVs(DIAMANTINA 1) NF   41  CONCERT</t>
  </si>
  <si>
    <t>Pagamento referente ao suporte tecnico em informatica, instalação, configuração e manutenção, necessário a construção da usina. ESCOPO COMERC</t>
  </si>
  <si>
    <t> [CCC04874]</t>
  </si>
  <si>
    <t>002270</t>
  </si>
  <si>
    <t>WEG PPRESTAÇÃO DE SERVIÇOS UFVs (INDAIABIRA 1)   NF  134   CALTER</t>
  </si>
  <si>
    <t>Pagamento medição, referente a 4º medição dos serviços de drenagem, contrato FULL- EPC.</t>
  </si>
  <si>
    <t> [CCC04875]</t>
  </si>
  <si>
    <t>002271</t>
  </si>
  <si>
    <t>WEG PPRESTAÇÃO DE SERVIÇOS UFVs (INDAIABIRA 2)   NF   135  CALTER</t>
  </si>
  <si>
    <t>COMPRA DE MATERIAIS  UFVs (CAMPO BELO 1)  NF 6434   ARTECAMP</t>
  </si>
  <si>
    <t> [CCC04876]</t>
  </si>
  <si>
    <t>002276</t>
  </si>
  <si>
    <t>MEDIÇÃO (ENGELUZ-MT)</t>
  </si>
  <si>
    <t xml:space="preserve">PRESTAÇÃO DE SERVIÇOS UFVs (PAINS 3) NF 398  </t>
  </si>
  <si>
    <t>Pagamento de medição  referente aos SERVIÇOS DE MÃO DE OBRA ESPECIALIZADA NA CONSTRUÇÃO RDR, necessário a construção das usinas, em contrato MT.</t>
  </si>
  <si>
    <t> [CCC04877]</t>
  </si>
  <si>
    <t>002278</t>
  </si>
  <si>
    <t>MEDIÇÃO (ENGELUZ-  RDA)</t>
  </si>
  <si>
    <t>PRESTAÇÃO DE SERVIÇOS UFVs (BURITIZEIRO 1) NF 399</t>
  </si>
  <si>
    <t>Pagamento de medição  referente aos SERVIÇOS DE MÃO DE OBRA ESPECIALIZADA NA CONSTRUÇÃO RDR, necessário a construção das usinas. RDA INTERNO</t>
  </si>
  <si>
    <t>[CCC04878]</t>
  </si>
  <si>
    <t>002277</t>
  </si>
  <si>
    <t xml:space="preserve">PRESTAÇÃO DE SERVIÇOS UFVs (BURITIZEIRO 2) NF 400  </t>
  </si>
  <si>
    <t>A209-MORI GERAÇÃO II - UFV PATROCINIO 2</t>
  </si>
  <si>
    <t>MEDIÇÃO (ENGELUZ-  RDA)</t>
  </si>
  <si>
    <t xml:space="preserve">PRESTAÇÃO DE SERVIÇOS UFVs (PATROCINIO 2) NF 401  </t>
  </si>
  <si>
    <t>[CCC04879]</t>
  </si>
  <si>
    <t>PRESTAÇÃO DE SERVIÇOS UFVs (PATROCINIO 3) NF 402</t>
  </si>
  <si>
    <t>001133</t>
  </si>
  <si>
    <t>Outros - Serviços à UFV ( GLD)</t>
  </si>
  <si>
    <t>PRESTAÇÃO DE SERVIÇOS UFVs (ALFENAS 4) NF 652  RONDA PORTEIROS  ADITIVO</t>
  </si>
  <si>
    <t>Pagamento referente a prestação de serviço de vigilância desarmada, ADITIVO DE DOIS VIGIAS NOTURNO, necessário a construção da usinas em contrato EPC. ESCOPO COMERC</t>
  </si>
  <si>
    <t>[CCC04880]</t>
  </si>
  <si>
    <t>PRESTAÇÃO DE SERVIÇOS UFVs (CAMPO BELO 1 ) NF 664  RONDA PORTEIROS  ADITIVO</t>
  </si>
  <si>
    <t>PRESTAÇÃO DE SERVIÇOS UFVs (CAMPO BELO 2 ) NF 668  RONDA PORTEIROS  ADITIVO</t>
  </si>
  <si>
    <t>[CCC04881]</t>
  </si>
  <si>
    <t>PRESTAÇÃO DE SERVIÇOS UFVs (CAMPO BELO 5 ) NF 663  RONDA PORTEIROS  ADITIVO</t>
  </si>
  <si>
    <t>PRESTAÇÃO DE SERVIÇOS UFVs (SANTO ANTONIO DO AMPARO ) NF 627  RONDA PORTEIROS  ADITIVO</t>
  </si>
  <si>
    <t>Outros – Serviço à UFV (DELTA-MT)</t>
  </si>
  <si>
    <t>COMPRA DE MATERIAIS  UFVs (BURITIZEIRO 1)  NF 58442   PREFAZ</t>
  </si>
  <si>
    <t>Pagamento referente a compra de materiais, necessário a construção da usinas em contrato MT.  **NOTA DE REMESSA NÃO GERA FINANCEIRO, APENAS ESCRITURAR**</t>
  </si>
  <si>
    <t>[CCC04882]</t>
  </si>
  <si>
    <t>COMPRA DE MATERIAIS  UFVs (BURITIZEIRO 1)  NF 58443   PREFAZ</t>
  </si>
  <si>
    <t>PRESTAÇÃO DE SERVIÇOS UFVs (SÃO SEBASTIÃO DO OESTE 3)       NF 241    ATI</t>
  </si>
  <si>
    <t>Pagamento em faturamento direto referente ao serviço de comissionamento remoto, necessário à construção da UFVs.</t>
  </si>
  <si>
    <t>[CCC05067]</t>
  </si>
  <si>
    <t>PRESTAÇÃO DE SERVIÇOS UFVs (SÃO SEBASTIÃO DO OESTE 5)  NF 688   RONDA PORTEIROS</t>
  </si>
  <si>
    <t>[CCC04883]</t>
  </si>
  <si>
    <t>001619</t>
  </si>
  <si>
    <t>PRESTAÇÃO DE SERVIÇOS UFVs (BAMBUI 1.1)  NF 680   RONDA PORTEIROS</t>
  </si>
  <si>
    <t>002282</t>
  </si>
  <si>
    <t>PRESTAÇÃO DE SERVIÇOS UFVs (INDAIABIRA 1)  NF 656   RONDA PORTEIROS</t>
  </si>
  <si>
    <t>002284</t>
  </si>
  <si>
    <t>PRESTAÇÃO DE SERVIÇOS UFVs (GUARDA MOR)  NF 653   RONDA PORTEIROS</t>
  </si>
  <si>
    <t>PRESTAÇÃO DE SERVIÇOS UFVs (VARJÃO DE MINAS)  NF 654   RONDA PORTEIROS</t>
  </si>
  <si>
    <t>PRESTAÇÃO DE SERVIÇOS UFVs ( FREI INOCENCIO)  NF 655    RONDA PORTEIROS</t>
  </si>
  <si>
    <t>PRESTAÇÃO DE SERVIÇOS UFVs (VARGINHA 5)  NF 662     RONDA PORTEIROS</t>
  </si>
  <si>
    <t>[CCC04884]</t>
  </si>
  <si>
    <t>WEG PRESTAÇÃO DE SERVIÇOS UFVs ( CASSIA 1)   ADIANTAMENTO   EVENTO 4</t>
  </si>
  <si>
    <t>Pagamento MEDIÇÃO MONTAGEM 100% DAS ESTACAS  , contrato FULL EPC WEG. EVENTO 4 PROFORMA</t>
  </si>
  <si>
    <t>[CCC04885]</t>
  </si>
  <si>
    <t>001136</t>
  </si>
  <si>
    <t>WEG PRESTAÇÃO DE SERVIÇOS UFVs ( CASSIA 2)   ADIANTAMENTO   EVENTO 4</t>
  </si>
  <si>
    <t>WEG PRESTAÇÃO DE SERVIÇOS UFVs (BAMBUI 1.2)   ADIANTAMENTO   EVENTO 7</t>
  </si>
  <si>
    <t>[CCC04886]</t>
  </si>
  <si>
    <t>WEG PRESTAÇÃO DE SERVIÇOS UFVs (BAMBUI 1.1)   ADIANTAMENTO   EVENTO 7</t>
  </si>
  <si>
    <t>Pagamento medição, refrente a Conclusão das conexões CC e CA , contrato FULL EPC WEG. EVENTO 7 PROFORMA</t>
  </si>
  <si>
    <t>WEG PRESTAÇÃO DE SERVIÇOS UFVs (BAMBUI 1.1)   ADIANTAMENTO   EVENTO 8</t>
  </si>
  <si>
    <t>Pagamento de medição referente a Conclusão dos testes de comissionamento a frio, em contrato FullEPC de construção da UFV. EVENTO 8 PROFORMA</t>
  </si>
  <si>
    <t>[CCC04887]</t>
  </si>
  <si>
    <t>WEG PRESTAÇÃO DE SERVIÇOS UFVs ( CASSIA 1)   ADIANTAMENTO   EVENTO 7</t>
  </si>
  <si>
    <t xml:space="preserve">Pagamento medição, refrente a Conclusão das conexões CC e CA , contrato FULL EPC WEG. EVENTO 7 PROFORMA </t>
  </si>
  <si>
    <t>[CCC04888]</t>
  </si>
  <si>
    <t>001140</t>
  </si>
  <si>
    <t>WEG PRESTAÇÃO DE SERVIÇOS UFVs ( CASSIA 2)   ADIANTAMENTO   EVENTO 7</t>
  </si>
  <si>
    <t>WEG PRESTAÇÃO DE SERVIÇOS UFVs (SÃO SEBASTIÃO DO OESTE 1)   ADIANTAMENTO   EVENTO 6</t>
  </si>
  <si>
    <t>[CCC04889]</t>
  </si>
  <si>
    <t>001622</t>
  </si>
  <si>
    <t>WEG PRESTAÇÃO DE SERVIÇOS UFVs (SÃO SEBASTIÃO DO OESTE 1)   ADIANTAMENTO   EVENTO 7</t>
  </si>
  <si>
    <t>001623</t>
  </si>
  <si>
    <t>BALDONI / MCD BALDONI -Terraplanagem  (SANTO ANTONIO DO AMPARO 1)  20%  NF 193</t>
  </si>
  <si>
    <t>[CCC04890]</t>
  </si>
  <si>
    <t>001624</t>
  </si>
  <si>
    <t>BALDONI / BALDONI ENGENHEIRO -Terraplanagem (SANTO ANTONIO DO AMPARO 1) 80%  N 357</t>
  </si>
  <si>
    <t>001625</t>
  </si>
  <si>
    <t>BALDONI / MCD BALDONI - Terraplanagem - Medição (CAMPO BELO 1) 20% NF 192</t>
  </si>
  <si>
    <t>Pagamento de serviço de terraplanagem necessário à construção da UFV. MEDIÇÃO 9</t>
  </si>
  <si>
    <t>[CCC04891]</t>
  </si>
  <si>
    <t>001626</t>
  </si>
  <si>
    <t>BALDONI / Baldoni Engenharia -Terraplanagem - Medição  (CAMPO BELO  1)  80%  N 358</t>
  </si>
  <si>
    <t>BALDONI / MCD BALDONI - Terraplanagem - Medição (CAMPO BELO 2) 20%  NF 194</t>
  </si>
  <si>
    <t>Pagamento de serviço de terraplanagem necessário à construção da UFV. MEDIÇÃO 12</t>
  </si>
  <si>
    <t>[CCC04892]</t>
  </si>
  <si>
    <t>BALDONI / Baldoni Engenharia -Terraplanagem - Medição  (CAMPO BELO  2)  80%  N 359</t>
  </si>
  <si>
    <t>Pagamento de serviço de terraplanagem necessário à construção da UFV.  MEDIÇÃO 12</t>
  </si>
  <si>
    <t>002288</t>
  </si>
  <si>
    <t>WEG PRESTAÇÃO DE SERVIÇO  UFVs ( GUARDA MOR)   ENGECON  NF  364</t>
  </si>
  <si>
    <t>Pagamento de medição 2,  referente aos serviços de drenagem,  necessário à construção da UFV.  Medição 80%</t>
  </si>
  <si>
    <t>[CCC04893]</t>
  </si>
  <si>
    <t>Guarda mor 1_Obras Drenagem</t>
  </si>
  <si>
    <t>BALDONI / MCD BALDONI  - Terraplanagem - Medição  (CAMPO BELO 5)  20%   NF 195</t>
  </si>
  <si>
    <t>[CCC04894]</t>
  </si>
  <si>
    <t>001628</t>
  </si>
  <si>
    <t>BALDONI / Baldoni Engenharia    - Terraplanagem - Medição (CAMPO BELO 5)  80%  N 360</t>
  </si>
  <si>
    <t>A303-MORI MINAS NEWCO V - UFV CAMPO BELO 2</t>
  </si>
  <si>
    <t>PRESTAÇÃO DE SERVIÇOS UFVs ( CAMPO BELO 2)  NF 2606</t>
  </si>
  <si>
    <t>Pagamento de medição, referente a extensão de rede de distribuição rural para atender à UFV, necessário a construção da usina em contrato MT.</t>
  </si>
  <si>
    <t>[CCC04895]</t>
  </si>
  <si>
    <t>A404-MORI MINAS NEWCO IV - UFV CAMPO BELO 3</t>
  </si>
  <si>
    <t>001629</t>
  </si>
  <si>
    <t>PRESTAÇÃO DE SERVIÇOS UFVs ( CAMPO BELO 3)  NF 2607</t>
  </si>
  <si>
    <t>A312-MORI MINAS NEWCO V - UFV VARGINHA 2</t>
  </si>
  <si>
    <t>PRESTAÇÃO DE SERVIÇOS UFVs ( VARGINHA 2)  NF 2608</t>
  </si>
  <si>
    <t>[CCC04896]</t>
  </si>
  <si>
    <t>A416-MORI MINAS NEWCO IV - UFV ARCOS 7</t>
  </si>
  <si>
    <t>PRESTAÇÃO DE SERVIÇOS UFVs (ARCOS 7)  NF 2623</t>
  </si>
  <si>
    <t>Pagamento de medição, referente prestação de serviço de projeto e extensão de rede de distribuição rural, necessário a construção da usina em contrato MT.</t>
  </si>
  <si>
    <t>001145</t>
  </si>
  <si>
    <t>PRESTAÇÃO DE SERVIÇOS UFVs (SÃO SEBASTIÃO DO OESTE 5)  NF 165</t>
  </si>
  <si>
    <t>Pagamento em faturamento direto referente ao servico de instalacao de sistema de supervisao, necessário à construção da UFV.</t>
  </si>
  <si>
    <t>[CCC04897]</t>
  </si>
  <si>
    <t>MEDIÇÃO  ( MBA-MT)</t>
  </si>
  <si>
    <t>PRESTAÇÃO DE SERVIÇOS UFVs ( PARAGUAÇU 1)  NF 2610</t>
  </si>
  <si>
    <t>Pagamento de medição, referente ao serviço de projeto e extensão de rede de distribuição rural para atender à UFV, necessário a construção da usina em contrato MT.</t>
  </si>
  <si>
    <t>[CCC04898]</t>
  </si>
  <si>
    <t>Paraguaçu 1 _Obras MT_MD</t>
  </si>
  <si>
    <t>PRESTAÇÃO DE SERVIÇOS UFVs ( FORMIGA 6)  NF 2611</t>
  </si>
  <si>
    <t>Pagamento de medição, referente a prestação de serviço de montagem e instalação elétrica de redes de distribuição de energia rural e urbana, necessário a construção da usina em contrato MT.</t>
  </si>
  <si>
    <t>0102-MORI ENERGIA HOLDING S.A - FILIAL MG</t>
  </si>
  <si>
    <t>004716</t>
  </si>
  <si>
    <t>PRESTAÇÃO DE SERVIÇOS UFVs  NF 141</t>
  </si>
  <si>
    <t>Pagamento referente ao serviço servico de hospedagem e suporte dos servidores do sistema SGD, necessário à construção da UFV.</t>
  </si>
  <si>
    <t>[CCC04899]</t>
  </si>
  <si>
    <t>COMPRA DE MATERIAS UFVs (VARGINHA 1)  NF 50920  ARTECHE</t>
  </si>
  <si>
    <t>Pagamento em faturamento direto referente a compra de materiais, necessário à construção da UFV, em contrato AT.</t>
  </si>
  <si>
    <t>[CCC04900]</t>
  </si>
  <si>
    <t>PRESTAÇÃO DE SERVIÇOS UFVs ( SÃO SEBASTIÃO DO OESTE  4)  NF 2612</t>
  </si>
  <si>
    <t>[CCC04901]</t>
  </si>
  <si>
    <t>PRESTAÇÃO DE SERVIÇOS UFVs ( PARAGUAÇU 1)  NF 2615</t>
  </si>
  <si>
    <t>002293</t>
  </si>
  <si>
    <t>PRESTAÇÃO DE SERVIÇOS UFVs (BURITIZEIRO 1)  NF 29  AGUIAR COMERCIO</t>
  </si>
  <si>
    <t>Pagamento em faturamento direto referente ao serviço de contratação de equipamento retroescavadeira, necessário à construção da UFV, em contrato EPC.</t>
  </si>
  <si>
    <t>[CCC04902]</t>
  </si>
  <si>
    <t>002294</t>
  </si>
  <si>
    <t>PRESTAÇÃO DE SERVIÇOS UFVs (BURITIZEIRO 1)  NF 17  ELO LOCAÇÃO</t>
  </si>
  <si>
    <t>Pagamento em faturamento direto referente ao serviço de locação de veículo, necessário à construção da UFV, em contrato EPC.</t>
  </si>
  <si>
    <t>002295</t>
  </si>
  <si>
    <t>COMPRA DE MATERIAIS UFVs   (BURITIZEIRO 1)  NF 75   ESTER FERRAREZ</t>
  </si>
  <si>
    <t>Pagamento em faturamento direto referente a compra de materiais, necessário à construção da UFV, em contrato EPC.</t>
  </si>
  <si>
    <t>PRESTAÇÃO DE SERVIÇOS UFVs (  CASSIA 1)  NF 2613</t>
  </si>
  <si>
    <t>Pagamento de medição, referente de serviço de montagem e instalação elétrica de redes de distribuição de energia rural e urbana, necessário a construção da usina em contrato MT.</t>
  </si>
  <si>
    <t>[CCC04903]</t>
  </si>
  <si>
    <t>PRESTAÇÃO DE SERVIÇOS UFVs (  CASSIA 2)  NF 2614</t>
  </si>
  <si>
    <t>Pagamento de medição, referente de serviço de extensão de rede de distribuição rural para atender à UFV, necessário a construção da usina em contrato MT.</t>
  </si>
  <si>
    <t>002296</t>
  </si>
  <si>
    <t>PRESTAÇÃO DE SERVIÇOS UFVs (BURITIZEIRO 2)  NF 2088  MDTEC</t>
  </si>
  <si>
    <t>Pagamento em faturamento direto referente ao serviço de locação de gerador de energia, necessário à construção da UFV, em contrato EPC.</t>
  </si>
  <si>
    <t>[CCC04904]</t>
  </si>
  <si>
    <t>002297</t>
  </si>
  <si>
    <t>PRESTAÇÃO DE SERVIÇOS UFVs (BURITIZEIRO 2)  NF 660    RONDA PORTEIROS</t>
  </si>
  <si>
    <t>Pagamento em faturamento direto referente ao serviço de vigilancia desarmada, necessário à construção da UFV, em contrato EPC.</t>
  </si>
  <si>
    <t>002298</t>
  </si>
  <si>
    <t>PRESTAÇÃO DE SERVIÇOS UFVs (BURITIZEIRO 1)  NF 659      RONDA PORTEIROS</t>
  </si>
  <si>
    <t>[CCC04905]</t>
  </si>
  <si>
    <t>002299</t>
  </si>
  <si>
    <t>COMPRA DE MATERIAIS UFVs (BURITIZEIRO 1)  NF 19131  COMFERROS</t>
  </si>
  <si>
    <t>002300</t>
  </si>
  <si>
    <t>PRESTAÇÃO DE SERVIÇOS UFVs (PEDRA DO INDAIA 5)  NF 8  TERRA FORTE</t>
  </si>
  <si>
    <t>Pagamento em faturamento direto referente ao serviço de transporte, necessário à construção da UFV, em contrato EPC.</t>
  </si>
  <si>
    <t>[CCC04906]</t>
  </si>
  <si>
    <t>PRESTAÇÃO DE SERVIÇOS UFVs (FORMIGA)  NF 673      RONDA PORTEIROS      ADITIVO</t>
  </si>
  <si>
    <t>Pagamento em faturamento direto referente ao serviço de vigilancia desarmada, necessário à construção da UFV, em contrato EPC.  ESCOPO COMERC</t>
  </si>
  <si>
    <t>[CCC04907]</t>
  </si>
  <si>
    <t>002301</t>
  </si>
  <si>
    <t>PRESTAÇÃO DE SERVIÇOS UFVs (PEDRA DO INDAIA)  NF 675      RONDA PORTEIROS   ADITIVO</t>
  </si>
  <si>
    <t>PRESTAÇÃO DE SERVIÇOS UFVs ( PATROCÍNIO 2)  NF 2621</t>
  </si>
  <si>
    <t>Pagamento em faturamento direto referente ao serviço de montagem e instalação elétrica de redes de distribuição de energia rural e urbana,, em contrato MT.</t>
  </si>
  <si>
    <t>[CCC04908]</t>
  </si>
  <si>
    <t>PRESTAÇÃO DE SERVIÇOS UFVs ( PATROCÍNIO 3)  NF 2622</t>
  </si>
  <si>
    <t>001636</t>
  </si>
  <si>
    <t>COMPRA DE MATERIAIS UFVs   (SÃO SEBASTIÃO DO OESTE 1)  NF 2056</t>
  </si>
  <si>
    <t>Pagamento referente a compra de materiais, necessário a construção da usinas.  **NOTA DE REMESSA NÃO GERA FINANCEIRO, APENAS ESCRITURAR**</t>
  </si>
  <si>
    <t>[CCC04909]</t>
  </si>
  <si>
    <t>COMPRA DE MATERIAIS UFVs   (SÃO SEBASTIÃO DO OESTE 1)  NF 2057</t>
  </si>
  <si>
    <t>PRESTAÇÃO DE SERVIÇOS UFVs (ARCOS)  NF 677      RONDA PORTEIROS      ADITIVO</t>
  </si>
  <si>
    <t>[CCC04910]</t>
  </si>
  <si>
    <t>COMPRA DE MATERIAIS UFVs (CAMPO BELO 1)  NF 1121  WM SOLUÇÕES</t>
  </si>
  <si>
    <t>[CCC04911]</t>
  </si>
  <si>
    <t>COMPRA DE MATERIAIS UFVs (CAMPO BELO 5)  NF 1122  WM SOLUÇÕES</t>
  </si>
  <si>
    <t>[CCC04912]</t>
  </si>
  <si>
    <t>COMPRA DE MATERIAIS UFVs (CAMPO BELO 2)  NF 1120  WM SOLUÇÕES</t>
  </si>
  <si>
    <t>[CCC04913]</t>
  </si>
  <si>
    <t>002302</t>
  </si>
  <si>
    <t>Outros - Serviços à UFV (DELTA)</t>
  </si>
  <si>
    <t>COMPRA DE MATERIAIS UFVs (BURITIZEIRO 1)  NF 58504  PREFAZ</t>
  </si>
  <si>
    <t>[CCC04914]</t>
  </si>
  <si>
    <t>002303</t>
  </si>
  <si>
    <t>COMPRA DE MATERIAIS UFVs (BURITIZEIRO 2)  NF 58505  PREFAZ</t>
  </si>
  <si>
    <t>PRESTAÇÃO DE SERVIÇOS UFVs (VARJÃO DE MINAS 4)  NF 139  JOSE CARLOS</t>
  </si>
  <si>
    <t>Pagamento em faturamento direto referente ao serviço de Terraplanagem limpeza superficial do terreno, necessário à construção da UFV, em contrato EPC.</t>
  </si>
  <si>
    <t>[CCC04915]</t>
  </si>
  <si>
    <t>PRESTAÇÃO DE SERVIÇOS UFVs (VARJÃO DE MINAS 4)  NF 140  JOSE CARLOS</t>
  </si>
  <si>
    <t>Pagamento em faturamento direto referente ao serviço Ensaio Compactação Solode , laboratorio e compaquitação do solo, necessário à construção da UFV, em contrato EPC.</t>
  </si>
  <si>
    <t>004724</t>
  </si>
  <si>
    <t>PRESTAÇÃO DE SERVIÇOS  IMPLANTAÇÃO  NF 338  PERFIL  MAIO/23</t>
  </si>
  <si>
    <t>PAGAMENTO REFERENTE A  FORNECIMENTO MÃO DE OBRA TEMPORÁRIA (PLANEJAMENTO/SUPRIMENTOS ) , NECESSÁRIOS A CONSTRUÇÃO DAS UFVS .</t>
  </si>
  <si>
    <t>[CCC04916]</t>
  </si>
  <si>
    <t>PRESTAÇÃO DE SERVIÇOS UFVs (PATROCINIO 2)  NF 690   RONDA PORTEIROS</t>
  </si>
  <si>
    <t>[CCC04917]</t>
  </si>
  <si>
    <t>A218-MORI GERACAO II PATROCINIO 3</t>
  </si>
  <si>
    <t>001670</t>
  </si>
  <si>
    <t>PRESTAÇÃO DE SERVIÇOS UFVs (PATROCINIO 3)  NF 692   RONDA PORTEIROS</t>
  </si>
  <si>
    <t>PRESTAÇÃO DE SERVIÇOS UFVs (PATOS DE MINAS 1)  NF 698  RONDA PORTEIROS</t>
  </si>
  <si>
    <t>PRESTAÇÃO DE SERVIÇOS UFVs (PATOS DE MINAS 3)  NF 699   RONDA PORTEIROS</t>
  </si>
  <si>
    <t>A204-MORI GERACAO II PATOS DE MINAS 4</t>
  </si>
  <si>
    <t>001673</t>
  </si>
  <si>
    <t>PRESTAÇÃO DE SERVIÇOS UFVs (PATOS DE MINAS 4)  NF 701  RONDA PORTEIROS</t>
  </si>
  <si>
    <t>A206-MORI GERACAO II PATOS DE MINAS 7</t>
  </si>
  <si>
    <t>PRESTAÇÃO DE SERVIÇOS UFVs (PATOS DE MINAS 7)  NF 704   RONDA PORTEIROS</t>
  </si>
  <si>
    <t>A207-MORI GERAÇÃO II - UFV PATOS DE MINAS 8</t>
  </si>
  <si>
    <t>001676</t>
  </si>
  <si>
    <t>PRESTAÇÃO DE SERVIÇOS UFVs (PATOS DE MINAS 8)  NF 705 RONDA PORTEIROS</t>
  </si>
  <si>
    <t>A217-MORI GERACAO II -  UFV  VARJAO DE MINAS 4</t>
  </si>
  <si>
    <t>001677</t>
  </si>
  <si>
    <t>PRESTAÇÃO DE SERVIÇOS UFVs (VARJÃO DE MINAS 4)  NF 707  RONDA PORTEIROS</t>
  </si>
  <si>
    <t>A213-MORI GERAÇÃO II-UFV LAGOA FORMOSA</t>
  </si>
  <si>
    <t>001678</t>
  </si>
  <si>
    <t>PRESTAÇÃO DE SERVIÇOS UFVs (LAGOA FORMOSA)  NF 708  RONDA PORTEIROS</t>
  </si>
  <si>
    <t>001679</t>
  </si>
  <si>
    <t>PRESTAÇÃO DE SERVIÇOS UFVs (PATOS DE MINAS 3)  NF 665      RONDA PORTEIROS      ADITIVO</t>
  </si>
  <si>
    <t>[CCC04918]</t>
  </si>
  <si>
    <t>001680</t>
  </si>
  <si>
    <t>PRESTAÇÃO DE SERVIÇOS UFVs (PATOS DE MINAS 4)  NF 666      RONDA PORTEIROS      ADITIVO</t>
  </si>
  <si>
    <t>001681</t>
  </si>
  <si>
    <t>PRESTAÇÃO DE SERVIÇOS UFVs (VARJÃO DE MINAS 4)  NF 669      RONDA PORTEIROS      ADITIVO</t>
  </si>
  <si>
    <t>WEG PRESTAÇÃO DE SERVIÇOS UFVs (SÃO SEBASTIÃO DO OESTE 1) INTEGRADOR BN SERVIÇOS  NF 242 EVENTO 7</t>
  </si>
  <si>
    <t>[CCC04919]</t>
  </si>
  <si>
    <t>004727</t>
  </si>
  <si>
    <t xml:space="preserve">COMPRA DE MATERIAIS PARA AS USINAS    NF 629  SOMAR UNIFORMES </t>
  </si>
  <si>
    <t>Pagamento referente a compra de uniformes para equipe escritório e campo, necessários a construção da usina.</t>
  </si>
  <si>
    <t>[CCC04920]</t>
  </si>
  <si>
    <t>WEG PRESTAÇÃO DE SERVIÇOS UFVs (SÃO SEBASTIÃO DO OESTE 1) INTEGRADOR BN SERVIÇOS  NF 241 EVENTO 6</t>
  </si>
  <si>
    <t>[CCC04921]</t>
  </si>
  <si>
    <t>PRESTAÇÃO DE SERVIÇOS UFVs (DIAMANTINA 2) NF 299 JX AMBIENTAL</t>
  </si>
  <si>
    <t>[CCC04922]</t>
  </si>
  <si>
    <t>PRESTAÇÃO DE SERVIÇOS UFVs (DIAMANTINA 2) NF 689 JX AMBIENTAL</t>
  </si>
  <si>
    <t>001685</t>
  </si>
  <si>
    <t>PRESTAÇÃO DE SERVIÇOS UFVs (DIAMANTINA 2) NF 690 JX AMBIENTAL</t>
  </si>
  <si>
    <t>PRESTAÇÃO DE SERVIÇOS UFVs (PARAGUAÇU) NF 693 JX AMBIENTAL</t>
  </si>
  <si>
    <t>002306</t>
  </si>
  <si>
    <t>PRESTAÇÃO DE SERVIÇOS UFVs (BRASILÂNDIA DE MINAS 3) NF 694 JX AMBIENTAL</t>
  </si>
  <si>
    <t>CICLO 3</t>
  </si>
  <si>
    <t>Serviços de  levantamento topográfico  ( VARGINHA 1)  NF 358   SOLUÇÃO AGRIMENSURA EIRELI</t>
  </si>
  <si>
    <t>[CCC04923]</t>
  </si>
  <si>
    <t>002305</t>
  </si>
  <si>
    <r>
      <t>COMPRA DE MATERIAIS UFVs (</t>
    </r>
    <r>
      <rPr>
        <strike/>
        <sz val="9"/>
        <color theme="1"/>
        <rFont val="Arial"/>
      </rPr>
      <t>CAMPO BELO 4</t>
    </r>
    <r>
      <rPr>
        <sz val="9"/>
        <color theme="1"/>
        <rFont val="Arial"/>
      </rPr>
      <t>) NF    CONCRETON_DIVINOPOLIS 3</t>
    </r>
  </si>
  <si>
    <t>Pagamento em faturamento direto, referente a compra de materiais necessários a construção da usina . Drenagem</t>
  </si>
  <si>
    <t>[CCC04924]</t>
  </si>
  <si>
    <t>Conversado com Augustoem 27/06 pelo teans e acertado a Usina.</t>
  </si>
  <si>
    <t>002307</t>
  </si>
  <si>
    <t>PRESTAÇÃO DE SERVIÇOS UFVs (DIVINOPOLIS 3) NF 418</t>
  </si>
  <si>
    <t>Pagamento de 1° medição,  referente a prestação de serviços e mão de obra,   necessários a construção da UFVs em contrato EPC.  65%.</t>
  </si>
  <si>
    <t>[CCC04925]</t>
  </si>
  <si>
    <t>002308</t>
  </si>
  <si>
    <t>PRESTAÇÃO DE SERVIÇOS UFVs (DIVINOPOLIS 3) NF 419</t>
  </si>
  <si>
    <t>002309</t>
  </si>
  <si>
    <t>PRESTAÇÃO DE SERVIÇOS UFVs (PEDRA DO INDAIA 1) NF 420</t>
  </si>
  <si>
    <t>Pagamento de 4° medição,  referente a prestação de serviços e mão de obra,   necessários a construção da UFVs em contrato EPC.  65%.</t>
  </si>
  <si>
    <t>002310</t>
  </si>
  <si>
    <t>PRESTAÇÃO DE SERVIÇOS UFVs (PEDRA DO INDAIA 1) NF 421</t>
  </si>
  <si>
    <t>PRESTAÇÃO DE SERVIÇOS UFVs (ARCOS 7) NF 422</t>
  </si>
  <si>
    <t>PRESTAÇÃO DE SERVIÇOS UFVs (ARCOS 7) NF 423</t>
  </si>
  <si>
    <t>001686</t>
  </si>
  <si>
    <t>PRESTAÇÃO DE SERVIÇOS UFVs ( VARJÃO DE MINAS 1)  NF 272  SEVEN ENGENHARIA</t>
  </si>
  <si>
    <t>[CCC04926]</t>
  </si>
  <si>
    <t>PRESTAÇÃO DE SERVIÇOS UFVs ( CASSIA 2)  NF 275 SEVEN ENGENHARIA</t>
  </si>
  <si>
    <t>PRESTAÇÃO DE SERVIÇOS UFVs ( VARGINHA 5)  NF 262  SEVEN ENGENHARIA</t>
  </si>
  <si>
    <t>002311</t>
  </si>
  <si>
    <t>PRESTAÇÃO DE SERVIÇOS UFVs (SÃO SEBASTIÃO DO OESTE 0 )  NF 260   SEVEN ENGENHARIA</t>
  </si>
  <si>
    <t>[CCC04927]</t>
  </si>
  <si>
    <t>001652</t>
  </si>
  <si>
    <t>PRESTAÇÃO DE SERVIÇOS UFVs (VARGINHA 1 )  NF 261   SEVEN ENGENHARIA</t>
  </si>
  <si>
    <t>PRESTAÇÃO DE SERVIÇOS UFVs (VARGINHA 2 )  NF 265  SEVEN ENGENHARIA</t>
  </si>
  <si>
    <t>PRESTAÇÃO DE SERVIÇOS UFVs (BAMBUÍ 1.1 )  NF 263  SEVEN ENGENHARIA</t>
  </si>
  <si>
    <t>PRESTAÇÃO DE SERVIÇOS UFVs (BAMBUÍ 1.2 )  NF 267  SEVEN ENGENHARIA</t>
  </si>
  <si>
    <t>PRESTAÇÃO DE SERVIÇOS UFVs (CAMPO BELO 4 )  NF 266  SEVEN ENGENHARIA</t>
  </si>
  <si>
    <t>PRESTAÇÃO DE SERVIÇOS UFVs (CASSIA 1)  NF 264  SEVEN ENGENHARIA</t>
  </si>
  <si>
    <t>[CCC04928]</t>
  </si>
  <si>
    <t>002312</t>
  </si>
  <si>
    <t>PRESTAÇÃO DE SERVIÇOS UFVs (INDAIABIRA 1)  NF 256  SEVEN ENGENHARIA</t>
  </si>
  <si>
    <t>PRESTAÇÃO DE SERVIÇOS UFVs (INDAIABIRA 3)  NF 259  SEVEN ENGENHARIA</t>
  </si>
  <si>
    <t>001689</t>
  </si>
  <si>
    <t>PRESTAÇÃO DE SERVIÇOS UFVs (FREI INOCENCIO)  NF 273  SEVEN ENGENHARIA</t>
  </si>
  <si>
    <t>002313</t>
  </si>
  <si>
    <t>PRESTAÇÃO DE SERVIÇOS UFVs (INDAIABIRA 2)  NF 257  SEVEN ENGENHARIA</t>
  </si>
  <si>
    <t>002314</t>
  </si>
  <si>
    <t>PRESTAÇÃO DE SERVIÇOS UFVs (INDAIABIRA 4)  NF 258  SEVEN ENGENHARIA</t>
  </si>
  <si>
    <t>COMPRA MATERIAIS  PARA AS UFVs  (DIVINOPOLIS 1)   N: 402765 -1</t>
  </si>
  <si>
    <t>001691</t>
  </si>
  <si>
    <t>PRESTAÇÃO DE SERVIÇOS UFVs (LAGOA FORMOSA)  NF 270   SEVEN ENGENHARIA</t>
  </si>
  <si>
    <t>001692</t>
  </si>
  <si>
    <t>PRESTAÇÃO DE SERVIÇOS UFVs (NOVA PONTE 1)  NF 271  SEVEN ENGENHARIA</t>
  </si>
  <si>
    <t>001693</t>
  </si>
  <si>
    <t>PRESTAÇÃO DE SERVIÇOS UFVs (PARACATU 8)  NF 274  SEVEN ENGENHARIA</t>
  </si>
  <si>
    <t>PRESTAÇÃO DE SERVIÇOS UFVs (SÃO SEBASTIÃO DO OESTE 3)       NF 242    ATI</t>
  </si>
  <si>
    <t>Pagamento em faturamento direto referente ao licenca SGD, necessário à construção da UFVs.</t>
  </si>
  <si>
    <t>PRESTAÇÃO DE SERVIÇOS UFVs (SÃO SEBASTIÃO DO OESTE 5)  NF 269  SEVEN ENGENHARIA</t>
  </si>
  <si>
    <t>002317</t>
  </si>
  <si>
    <t>PRESTAÇÃO DE SERVIÇOS UFVs (BURITIZEIRO 1)  NF 253  SEVEN ENGENHARIA</t>
  </si>
  <si>
    <t>002319</t>
  </si>
  <si>
    <t>PRESTAÇÃO DE SERVIÇOS UFVs (BURITIZEIRO 2)  NF 254  SEVEN ENGENHARIA</t>
  </si>
  <si>
    <t>002320</t>
  </si>
  <si>
    <t>PRESTAÇÃO DE SERVIÇOS UFVs (GUARDA MOR)  NF 255 SEVEN ENGENHARIA</t>
  </si>
  <si>
    <t>PRESTAÇÃO DE SERVIÇOS UFVs ( VARGINHA 1) NF 424</t>
  </si>
  <si>
    <t>Pagamento de 8° medição,  referente a prestação de serviços e mão de obra,   necessários a construção da UFVs em contrato EPC.  65%.</t>
  </si>
  <si>
    <t>[CCC04930]</t>
  </si>
  <si>
    <t>PRESTAÇÃO DE SERVIÇOS UFVs ( VARGINHA 1) NF 425</t>
  </si>
  <si>
    <t>Pagamento de 8° medição,  referente a elaboração de planos,   necessários a construção da UFVs em contrato EPC.  35%</t>
  </si>
  <si>
    <t>PRESTAÇAO DE SERVIÇOS UFVs ( SÃO SEBASTIÃO DO OESTE 4) NF 32  RM SOLUÇÕES   RIMA</t>
  </si>
  <si>
    <t>Pagamento referente a supressão Vegetal Rede, necessário a construção das usinas . RIMA</t>
  </si>
  <si>
    <t>[CCC04931</t>
  </si>
  <si>
    <t>São Sebastião 4_Obras Terraplanagem_Rima</t>
  </si>
  <si>
    <t>RM SOLUCOES AMBIENTAIS LTDA</t>
  </si>
  <si>
    <t>PRESTAÇAO DE SERVIÇOS UFVs ( SÃO SEBASTIÃO DO OESTE 5) NF 33  RM SOLUÇÕES RIMA</t>
  </si>
  <si>
    <t>Pagamento referente ao licenciamento ambiental elaboração DAIA único, necessário a construção das usinas. RIMA</t>
  </si>
  <si>
    <t>002321</t>
  </si>
  <si>
    <t>PRESTAÇÃO DE SERVIÇOS UFVs (BRASILANDIA DE MINAS 3) NF 301 JX AMBIENTAL</t>
  </si>
  <si>
    <t>[CCC04932]</t>
  </si>
  <si>
    <t>Ciclo 3</t>
  </si>
  <si>
    <t>002322</t>
  </si>
  <si>
    <t>PRESTAÇÃO DE SERVIÇOS UFVs (SÃO SEBASTIÃO DO OESTE 0) NF 696  JX AMBIENTAL</t>
  </si>
  <si>
    <t>2301-MORI MINAS NEWCO III ENERGIA SOLAR S.A</t>
  </si>
  <si>
    <t>PRESTAÇÃO DE SERVIÇOS UFVs (PARACATU 2) NF 697 JX AMBIENTAL</t>
  </si>
  <si>
    <t>000827</t>
  </si>
  <si>
    <t>PRESTAÇÃO DE SERVIÇOS UFVs (PARACATU 2) NF 698 JX AMBIENTAL</t>
  </si>
  <si>
    <t>002325</t>
  </si>
  <si>
    <t>PRESTAÇÃO DE SERVIÇOS UFVs (INDAIABIRA 1)  NF 1125   NORTE CONEXÃO</t>
  </si>
  <si>
    <t>[CCC04933]</t>
  </si>
  <si>
    <t>PRESTAÇÃO DE SERVIÇOS UFVs (CASSIA 2)  NF 1126   NORTE CONEXÃO</t>
  </si>
  <si>
    <t>002324</t>
  </si>
  <si>
    <t>PRESTAÇÃO DE SERVIÇOS UFVs (INDAIABIRA 2)  NF 1127   NORTE CONEXÃO</t>
  </si>
  <si>
    <t>PRESTAÇÃO DE SERVIÇOS UFVs (CASSIA 1)  NF 1128   NORTE CONEXÃO</t>
  </si>
  <si>
    <t>002326</t>
  </si>
  <si>
    <t>PRESTAÇÃO DE SERVIÇOS UFVs (INDAIABIRA 1)  NF 178  ATI</t>
  </si>
  <si>
    <t>Pagamento em faturamento direto, referente ao serviço de instalação de sistema de supervisão, necessáriosa construção da usina.</t>
  </si>
  <si>
    <t>[CCC04934]</t>
  </si>
  <si>
    <t>002327</t>
  </si>
  <si>
    <t>PRESTAÇÃO DE SERVIÇOS UFVs (INDAIABIRA 2)  NF 179   ATI</t>
  </si>
  <si>
    <t>COMPRAS DE MATERIAIS UFVs (CAMPO BELO 4)  NF 2081  ATI</t>
  </si>
  <si>
    <t>COMPRAS DE MATERIAIS UFVs (CAMPO BELO 4)  NF 2082  ATI</t>
  </si>
  <si>
    <t>PRESTAÇÃO DE SERVIÇOS UFVs (SÃO SEBASTIÃO DO OESTE 3)  NF 1063   NORTE CONEXÃO</t>
  </si>
  <si>
    <t>COMPRAS DE MATERIAIS UFVs (SÃO SEBASTIÃO DO OESTE 5)  NF 2084  ATI</t>
  </si>
  <si>
    <t>PRESTAÇÃO DE SERVIÇOS UFVs ( VARGINHA 2) NF 426</t>
  </si>
  <si>
    <t>[CCC04936]</t>
  </si>
  <si>
    <t>1 medição de drenagem</t>
  </si>
  <si>
    <t>PRESTAÇÃO DE SERVIÇOS UFVs ( VARGINHA 2) NF 427</t>
  </si>
  <si>
    <t xml:space="preserve">SERVIÇOS PRESTADOS DE CONSULTORIA EM CONTRATOS -  DELOITTE     NF </t>
  </si>
  <si>
    <t>Pagamento referente a medição mão de obra contrato DELOITTE ,  necessário à construção da UFV em contrato EPC . MEDIÇÃO 9 ABRIL - 32%</t>
  </si>
  <si>
    <t>[CCC04937]</t>
  </si>
  <si>
    <t>DELOITTE</t>
  </si>
  <si>
    <t>Pagamento referente a medição mão de obra contrato DELOITTE ,  necessário à construção da UFV em contrato EPC . MEDIÇÃO 9 ABRIL - 25%</t>
  </si>
  <si>
    <t>Pagamento referente a medição mão de obra contrato DELOITTE ,  necessário à construção da UFV em contrato EPC . MEDIÇÃO 9 ABRIL - 18%</t>
  </si>
  <si>
    <t>001695</t>
  </si>
  <si>
    <t>PRESTAÇÃO DE SERVIÇOS PARA AS UFVs  NF 2023  RANDER MOTA</t>
  </si>
  <si>
    <t>Pagamento em faturamento direto referente a serviço de locação de tenda , necessário a construção da usinas.</t>
  </si>
  <si>
    <t>[CCC04938]</t>
  </si>
  <si>
    <t>Descontar contrato Via Prumo.. Entender qual Usinas com Gilson</t>
  </si>
  <si>
    <t>RANDER MOTA</t>
  </si>
  <si>
    <t>002328</t>
  </si>
  <si>
    <t xml:space="preserve">IMPLANTAR PRESTAÇÃO DE SERVIÇOS UFVs (INDAIABIRA 3) NF 58  GR ENGENHARIA </t>
  </si>
  <si>
    <t>[CCC04939]</t>
  </si>
  <si>
    <t>01696</t>
  </si>
  <si>
    <t>PRESTAÇÃO DE SERVIÇOS UFVs (LAGOA FORMOSA) NF 65  GIANFRANCO</t>
  </si>
  <si>
    <t>[CCC04940]</t>
  </si>
  <si>
    <t>002332</t>
  </si>
  <si>
    <t>WEG PPRESTAÇÃO DE SERVIÇOS UFVs (INDAIABIRA 2)   NF 138  CALTER</t>
  </si>
  <si>
    <t>Pagamento medição, referente a 5º medição dos serviços de drenagem, contrato FULL- EPC.</t>
  </si>
  <si>
    <t>[CCC04941]</t>
  </si>
  <si>
    <t>001698</t>
  </si>
  <si>
    <t>Outros - Serviços à UFV -OBRAS AT</t>
  </si>
  <si>
    <t>PRESTAÇÃO DE SERVIÇOS UFVs ( PARACATU 8) NF 200       A.R. ARQUITETURA</t>
  </si>
  <si>
    <t>Pagamento referente a requerimento de licença de objeto projetado no espaço aereo  , necessário a construção das usinas. OBRAS AT  PARCELA FINAL</t>
  </si>
  <si>
    <t>[CCC04942]</t>
  </si>
  <si>
    <t xml:space="preserve">BALDONI / MCD BALDONI - Terraplanagem - Medição (CAMPO BELO 1) 20% NF </t>
  </si>
  <si>
    <t>[CCC04943]</t>
  </si>
  <si>
    <t>BALDONI / Baldoni Engenharia -Terraplanagem - Medição  (CAMPO BELO  1)  80%  N</t>
  </si>
  <si>
    <t xml:space="preserve">BALDONI / MCD BALDONI -Terraplanagem  (SANTO ANTONIO DO AMPARO 1)  20%  NF </t>
  </si>
  <si>
    <t>[CCC04944]</t>
  </si>
  <si>
    <t xml:space="preserve">BALDONI / BALDONI ENGENHEIRO -Terraplanagem (SANTO ANTONIO DO AMPARO 1) 80%  N </t>
  </si>
  <si>
    <t xml:space="preserve">BALDONI / MCD BALDONI -Terraplanagem  (TRÊS CORAÇÕES 3)  20%  NF </t>
  </si>
  <si>
    <t>[CCC04945]</t>
  </si>
  <si>
    <t>Três Corações 3 _Obras de Terraplanagem</t>
  </si>
  <si>
    <t>Obras de Terraplanagem</t>
  </si>
  <si>
    <t>BALDONi</t>
  </si>
  <si>
    <t>BALDONI / MCD BALDONI -Terraplanagem  (TRÊS CORAÇÕES 3)  80%  N</t>
  </si>
  <si>
    <t xml:space="preserve">PRESTAÇÃO DE SERVIÇOS UFVs ( ALFENAS 4)  NF  </t>
  </si>
  <si>
    <t>[CCC04946]</t>
  </si>
  <si>
    <t xml:space="preserve">PRESTAÇÃO DE SERVIÇOS UFVs ( VARGINHA 1) NF </t>
  </si>
  <si>
    <t>Pagamento de 9° medição,  referente a prestação de serviços e mão de obra,   necessários a construção da UFVs em contrato EPC.  65%.</t>
  </si>
  <si>
    <t>[CCC04947]</t>
  </si>
  <si>
    <t>Pagamento de 9° medição,  referente a elaboração de planos,   necessários a construção da UFVs em contrato EPC.  35%</t>
  </si>
  <si>
    <t xml:space="preserve">PRESTAÇÃO DE SERVIÇOS UFVs ( CAMPO BELO 2)  NF  </t>
  </si>
  <si>
    <t>Pagamento de 7° medição,  referente a prestação de serviços e mão de obra,   necessários a construção da UFVs em contrato EPC.  65%</t>
  </si>
  <si>
    <t>[CCC04948]</t>
  </si>
  <si>
    <t>PRESTAÇÃO DE SERVIÇOS UFVs ( CAMPO BELO 2)  NF</t>
  </si>
  <si>
    <t xml:space="preserve">PRESTAÇÃO DE SERVIÇOS UFVs (CAMPO BELO 1) NF   </t>
  </si>
  <si>
    <t>[CCC04949]</t>
  </si>
  <si>
    <t>002341</t>
  </si>
  <si>
    <t xml:space="preserve">Fat.Direito EPC </t>
  </si>
  <si>
    <t>PRESTAÇÃO DE SERVIÇOS UFVs ( SÃO SEBASTIÃO DO OESTE 6) NF  28 LOC CASTRO</t>
  </si>
  <si>
    <t>Pagamento em faturamento direto, referente a locação de equipamentos, necessário a construção da usinas.</t>
  </si>
  <si>
    <t>[CCC04950]</t>
  </si>
  <si>
    <t>002342</t>
  </si>
  <si>
    <t xml:space="preserve">PRESTAÇÃO DE SERVIÇOS UFVs (SÃO SEBASTIÃO DO OESTE 6) NF 19  ORCI   </t>
  </si>
  <si>
    <t xml:space="preserve">Pagamento de medição final, referente ao serviço de supressão e terraplenagem, necessário a construção da usina. </t>
  </si>
  <si>
    <t>002343</t>
  </si>
  <si>
    <t xml:space="preserve">PRESTAÇÃO DE SERVIÇOS UFVs ( DIVINOPOLIS 2)  NF 20 CONSTRUTORA RESENDE </t>
  </si>
  <si>
    <t>[CCC04951]</t>
  </si>
  <si>
    <t xml:space="preserve">CONSTRUTORA RESENDE </t>
  </si>
  <si>
    <t>002344</t>
  </si>
  <si>
    <t xml:space="preserve">PRESTAÇÃO DE SERVIÇOS UFVs (JABOTICATUBAS) NF 19  ORCI   </t>
  </si>
  <si>
    <t xml:space="preserve">Pagamento de 1° medição, referente ao serviço de supressão e terraplenagem, necessário a construção da usina. </t>
  </si>
  <si>
    <t>[CCC04952]</t>
  </si>
  <si>
    <t>Jaboticatubas 1 _Obras Terraplanagem</t>
  </si>
  <si>
    <t>02345</t>
  </si>
  <si>
    <t>COMPRA DE MATERIAIS UFVs (JABOTICATUBAS)  NF 84679 DIVIPETROL</t>
  </si>
  <si>
    <t>Pagamento em faturamento direto, referente a fornecimento de combustíveis para equipamentos em serviços de supressão e terraplenagem, necessário a construção da usinas, CONTRATO ORCI .</t>
  </si>
  <si>
    <t>[CCC04953]</t>
  </si>
  <si>
    <t>002347</t>
  </si>
  <si>
    <t>PRESTAÇÃO DE SERVIÇOS UFVs (JABOTICATUBAS)  NF 10 COSTERR</t>
  </si>
  <si>
    <t>Pagamento em faturamento direto, referente a locação de equipamentos (Costerr), referente aos serviços de supressão e terraplenagem  , necessário a construção da usinas, CONTRATO ORCI .</t>
  </si>
  <si>
    <t>[CCC04954]</t>
  </si>
  <si>
    <t xml:space="preserve">ART Inst. elétricas - Distribuidora CEMIG – Solicitação de acesso UFVs   </t>
  </si>
  <si>
    <t>Taxa necessária para solicitação de acesso na CEMIG.  BOLETO CREA</t>
  </si>
  <si>
    <t>[CCC04955]</t>
  </si>
  <si>
    <t>MEDIÇÃO ( ENGECON )</t>
  </si>
  <si>
    <t>PRESTAÇÃO DE SERVIÇOS UFVs ( ARCOS 7) NF 367 ANDRADE PINHEIRO ENGECON</t>
  </si>
  <si>
    <t>Pagamento 1° medição referente ao serviço de EXCECUÇÃO DO PROJETO DE DRENAGEM SUPERFICIAL, necessário a construção da usina.</t>
  </si>
  <si>
    <t>[CCC04956]</t>
  </si>
  <si>
    <t>Arcos 7_Obras Drenagem</t>
  </si>
  <si>
    <t>002348</t>
  </si>
  <si>
    <t>COMPRA DE MATERIAIS UFVs (DIVINÓPOLIS 3)  NF 22904  LIDER</t>
  </si>
  <si>
    <t>Pagamento em faturamento direto, referente a compra de materiais, necessário a construção da usinas, em contrato EPC.</t>
  </si>
  <si>
    <t>[CCC04957]</t>
  </si>
  <si>
    <t>Divinópolis 3_EPC_2_FD</t>
  </si>
  <si>
    <t>002349</t>
  </si>
  <si>
    <t>COMPRA DE MATERIAIS UFVs (DIVINÓPOLIS 3)  NF 458      ZANIN</t>
  </si>
  <si>
    <t>COMPRA DE MATERIAIS UFVs (CAMPO BELO 4)  NF 4195   CAMPO BELO INDUSTRIA</t>
  </si>
  <si>
    <t>Pagamento em faturamento direto, referente a compra de materiais, necessário a construção da usinas. ESCOPO COMERC</t>
  </si>
  <si>
    <t>[CCC04958]</t>
  </si>
  <si>
    <t>BELO INDUSTRIA</t>
  </si>
  <si>
    <t>GEOVANY  UFVs  MAIO/2023 NF  167</t>
  </si>
  <si>
    <t>Pagamento de Prospecções Externas suporte à implantação de UFV e sua rede .</t>
  </si>
  <si>
    <t>[CCC04959]</t>
  </si>
  <si>
    <t xml:space="preserve">GEOVANY  </t>
  </si>
  <si>
    <t>002350</t>
  </si>
  <si>
    <t>PRESTAÇÃO DE SERVIÇOS UFVs (DIVINOPOLIS 3)  NF 10   TERRA FORTE</t>
  </si>
  <si>
    <t>Pagamento em faturamento direto, referente a serviço de transporte, necessário a construção da usinas, em contrato EPC</t>
  </si>
  <si>
    <t>[CCC04960]</t>
  </si>
  <si>
    <t>PRESTAÇÃO DE SERVIÇOS UFVs (PATOS DE MINAS 3) NF 147  JOSE CARLOS</t>
  </si>
  <si>
    <t>Pagamento em faturamento direto, referente a adequação do offset dos taludes, necessário a construção da usinas, em contrato EPC</t>
  </si>
  <si>
    <t>[CCC04961]</t>
  </si>
  <si>
    <t>PRESTAÇÃO DE SERVIÇOS UFVs (VARJÃO DE MINAS 4) NF 148  JOSE CARLOS</t>
  </si>
  <si>
    <t>1001-UFV CARMO DO PARANAÍBA</t>
  </si>
  <si>
    <t>MEDIÇÃO (RIMA )</t>
  </si>
  <si>
    <t>PRESTAÇÃO DE SERVIÇOS UFVs (COROMANDEL) NF 34 RM SOLUÇÕES</t>
  </si>
  <si>
    <t>Pagamento de medição refente a serviço de supressão vegetal em UFV do ciclo 1. 100% CONTRATO</t>
  </si>
  <si>
    <t>[CCC04962]</t>
  </si>
  <si>
    <t>RM SOLUÇÕES</t>
  </si>
  <si>
    <t>002351</t>
  </si>
  <si>
    <t xml:space="preserve">PRESTAÇÃO DE SERVIÇOS UFVs (INDAIABIRA 1 - 2- 3 -4 ) NF 10 ARATOPO AGRIMENSURA </t>
  </si>
  <si>
    <t>Pagamento de medição referente ao serviço fundiario descontinuado com a entrada da empresa META.</t>
  </si>
  <si>
    <t>[CCC04963]</t>
  </si>
  <si>
    <t xml:space="preserve">ARATOPO AGRIMENSURA </t>
  </si>
  <si>
    <t>002352</t>
  </si>
  <si>
    <t>PRESTAÇÃO DE SERVIÇOS UFVs (DIVINOPOLIS 3 )  NF  436</t>
  </si>
  <si>
    <t>Pagamento de 2° medição,  referente a prestação de serviços e mão de obra,   necessários a construção da UFVs em contrato EPC.  65%.</t>
  </si>
  <si>
    <t>[CCC04964]</t>
  </si>
  <si>
    <t>002354</t>
  </si>
  <si>
    <t>PRESTAÇÃO DE SERVIÇOS UFVs (DIVINOPOLIS 3 )  NF  437</t>
  </si>
  <si>
    <t>002355</t>
  </si>
  <si>
    <t>PRESTAÇÃO DE SERVIÇOS UFVs (PEDRA DO INDAIA 3 )  NF  438</t>
  </si>
  <si>
    <t>Pagamento de 5° medição,  referente a prestação de serviços e mão de obra,   necessários a construção da UFVs em contrato EPC.  65%.</t>
  </si>
  <si>
    <t>5° medição</t>
  </si>
  <si>
    <t>002356</t>
  </si>
  <si>
    <t>PRESTAÇÃO DE SERVIÇOS UFVs (PEDRA DO INDAIA 3 )  NF  439</t>
  </si>
  <si>
    <t>002357</t>
  </si>
  <si>
    <t>PRESTAÇÃO DE SERVIÇOS UFVs (PEDRA DO INDAIA 1 )  NF  440</t>
  </si>
  <si>
    <t>002358</t>
  </si>
  <si>
    <t>PRESTAÇÃO DE SERVIÇOS UFVs (PEDRA DO INDAIA 1 )  NF  441</t>
  </si>
  <si>
    <t>PRESTAÇÃO DE SERVIÇOS UFVs (FORMIGA 6 )  NF  442</t>
  </si>
  <si>
    <t>PRESTAÇÃO DE SERVIÇOS UFVs (FORMIGA 6 )  NF  443</t>
  </si>
  <si>
    <t>PRESTAÇÃO DE SERVIÇOS UFVs (ARCOS 7 )  NF  445</t>
  </si>
  <si>
    <t>PRESTAÇÃO DE SERVIÇOS UFVs (ARCOS 7 )  NF  446</t>
  </si>
  <si>
    <t>002359</t>
  </si>
  <si>
    <t>MEDIÇÃO   CALTER UFVS ( INDAIABIRA 1 )   NF  139</t>
  </si>
  <si>
    <t>Pagamento 5° medição , referente a serviços de drenagem, contrato FULL- EPC . MEDIÇÃO FINAL</t>
  </si>
  <si>
    <t>[CCC04965]</t>
  </si>
  <si>
    <t>002360</t>
  </si>
  <si>
    <t>MEDIÇÃO (DELTA-MT)</t>
  </si>
  <si>
    <t xml:space="preserve">PRESTAÇÃO DE SERVIÇOS UFVs (BURITIZEIRO 2)  NF 1010  </t>
  </si>
  <si>
    <t>Pagamento de medição referente a serviços de construções de rede eletrica, necessário à construção da UFVs.</t>
  </si>
  <si>
    <t>[CCC04966]</t>
  </si>
  <si>
    <t>002361</t>
  </si>
  <si>
    <t xml:space="preserve">PRESTAÇÃO DE SERVIÇOS UFVs (BURITIZEIRO 1)  NF 1009  </t>
  </si>
  <si>
    <t>COMPRA DE MATERIAIS  UFVs (SÃO SEBASTIÃO DO OESTE 3) NF 2027</t>
  </si>
  <si>
    <t>(MEDIÇÃO - OUROPAV)</t>
  </si>
  <si>
    <t>PRESTAÇÃO DE SERVIÇOS UFVs ( ALFENAS 4 )  NF 499  OUROPAV</t>
  </si>
  <si>
    <t>Pagamento de medição 3, referente a terraplanagem, necessário a construção da usina .</t>
  </si>
  <si>
    <t>[CCC04968]</t>
  </si>
  <si>
    <t>002366</t>
  </si>
  <si>
    <t>Fat.Direto EPC (GTEL)</t>
  </si>
  <si>
    <t>PRESTAÇÃO DE SERVIÇOS UFVs ( DIVINOPOLIS 2 )  NF 706    ENGETELA</t>
  </si>
  <si>
    <t>Pagamento em faturamento direto, referente ao serviço de instalação de alambrado e portões, necessário a construção da usinas, em contrato EPC.</t>
  </si>
  <si>
    <t>[CCC04969]</t>
  </si>
  <si>
    <t>Divinópolis 1_EPC_2_FD</t>
  </si>
  <si>
    <t>002367</t>
  </si>
  <si>
    <t>PRESTAÇÃO DE SERVIÇOS UFVs ( SÃO SEBASTIÃO DO OESTE 6 )  NF 705   ENGETELA</t>
  </si>
  <si>
    <t>São Sebastião 6_EPC_2_FD</t>
  </si>
  <si>
    <t>002368</t>
  </si>
  <si>
    <t>PRESTAÇÃO DE SERVIÇOS UFVs ( DIVINOPOLIS 1 )  NF 704  ENGETELA</t>
  </si>
  <si>
    <t>Divinópolis 2_EPC_2_FD</t>
  </si>
  <si>
    <t>Medição (EPC) - Rosseti</t>
  </si>
  <si>
    <t>Construção e Montagem ROSSETI - Adiantamento contratual (São Sebastião )</t>
  </si>
  <si>
    <t>São Sebastião 0 _Obras EPC_MD</t>
  </si>
  <si>
    <t>PRESTAÇÃO DE SERVIÇOS UFVs CLUSTER 3   NF 46726   ATIVA LOCAÇÃO</t>
  </si>
  <si>
    <t>Pagamento em faturamento direto, referente ao serviço de locação de containers, necessário a construção da usinas. ESCOPO EPCISTA</t>
  </si>
  <si>
    <t>[CCC04970]</t>
  </si>
  <si>
    <t>ATIVA LOCAÇÃO</t>
  </si>
  <si>
    <t>001711</t>
  </si>
  <si>
    <t>PRESTAÇÃO DE SERVIÇOS UFVs ( LAGOA FORMOSA )  NF 67  GIANFRANCO</t>
  </si>
  <si>
    <t>[CCC04971]</t>
  </si>
  <si>
    <t>COMPRA DE MATERIAIS UFVs ( ALFENAS 4 )  NF 24489  CRABI INDUSTRIA           CADASTRO</t>
  </si>
  <si>
    <t>[CCC04972]</t>
  </si>
  <si>
    <t>COMPRA DE MATERIAIS UFVs ( PEDRA DO INDAIA 1 )  NF 24488  CRABI INDUSTRIA           CADASTRO</t>
  </si>
  <si>
    <t>002369</t>
  </si>
  <si>
    <t>COMPRA DE MATERIAIS UFVs ( DIVINOPOLIS 3 )  NF 6469  ARTECAMP</t>
  </si>
  <si>
    <t xml:space="preserve"> Pagamento em faturamento direto, referente a compra de materiais, necessário a construção da usinas, em contrato EPC. </t>
  </si>
  <si>
    <t>[CCC04973]</t>
  </si>
  <si>
    <t>BALDONI / MCD BALDONI -Terraplanagem  (PASSOS 4)  20%  NF 196</t>
  </si>
  <si>
    <t>[CCC04974]</t>
  </si>
  <si>
    <t>Passos 4_Obras terraplanagem</t>
  </si>
  <si>
    <t>Obras terraplanagem</t>
  </si>
  <si>
    <t>BALDONI / MCD BALDONI -Terraplanagem  (PASSOS 4)  80%  N 361</t>
  </si>
  <si>
    <t xml:space="preserve">WEG PRESTAÇÃO DE SERVIÇOS UFVs (SÃO SEBASTIÃO DO OESTE 1)   EVENTO 7 PC ELIMINADO </t>
  </si>
  <si>
    <t>[CCC04975]</t>
  </si>
  <si>
    <t xml:space="preserve"> PRESTAÇÃO DE SERVIÇOS  UFVs ( CAMPO BELO 4  )   ENGECON  NF  </t>
  </si>
  <si>
    <t>Pagamento de medição referente a aditivo 1, serviços de drenagem,  necessário à construção da UFV.  ADITIVO ALTERAÇÃO DE QUANTITATIVOS</t>
  </si>
  <si>
    <t>[CCC04976]</t>
  </si>
  <si>
    <t>A001 - MINASOL SERVICOS DE DESENHO TECNICO S.A</t>
  </si>
  <si>
    <t>Solicitação de acesso UFVs  (MINASOL)   ANUIDADE CREA</t>
  </si>
  <si>
    <t xml:space="preserve">Taxa necessária para solicitação de acesso na CEMIG.  BOLETO CREA - COBRANÇA ANUIDADE </t>
  </si>
  <si>
    <t>[CCC04977]</t>
  </si>
  <si>
    <t>CREA</t>
  </si>
  <si>
    <t>WEG PRESTAÇÃO DE SERVIÇOS UFVs (SÃO SEBASTIÃO DO OESTE 1)  EVENTO 8 ADIANTAMENTO</t>
  </si>
  <si>
    <t>[CCC04978]</t>
  </si>
  <si>
    <t>002370</t>
  </si>
  <si>
    <t>WEG PRESTAÇÃO DE SERVIÇOS UFVs (GUARDA MOR)  EVENTO 8 ADIANTAMENTO</t>
  </si>
  <si>
    <t>[CCC04979]</t>
  </si>
  <si>
    <t xml:space="preserve"> WEG PRESTAÇÃO DE SERVIÇOS  UFVs ( PARCATU 8 )   ENGECON  NF  </t>
  </si>
  <si>
    <t xml:space="preserve">Pagamento de medição 2,  referente aos serviços de drenagem,  necessário à construção da UFV. </t>
  </si>
  <si>
    <t>[CCC04980]</t>
  </si>
  <si>
    <t>COMPRA DE MATERIAIS UFVs ( CAMPO BELO 4) NF 60958 D VACA PRODUTOS</t>
  </si>
  <si>
    <t>Pagamento de produtos utilizados no cercamento da usina, valores embutidos a mão de obra do Sr, Eduardo.  ESCORPO COMERC</t>
  </si>
  <si>
    <t>[CCC04981]</t>
  </si>
  <si>
    <t>COMPRA DE MATERIAIS UFVs ( CAMPO BELO 4) NF 8376 ATACADO EPI</t>
  </si>
  <si>
    <t>Pagamento de produtos utilizados no cercamento da usina, valores embutidos a mão de obra do Sr, Eduardo.  EPIS  ESCOPO COMERC</t>
  </si>
  <si>
    <t>[CCC04982]</t>
  </si>
  <si>
    <t>PRESTAÇÃO DE SERVIÇOS UFVs (CASSIA 1)    NF 948  VB AMBIENTAL</t>
  </si>
  <si>
    <t>[CCC04983]</t>
  </si>
  <si>
    <t>002372</t>
  </si>
  <si>
    <t>PRESTAÇÃO DE SERVIÇOS UFVs (BURITIZEIRO 2)    NF 971  VB AMBIENTAL</t>
  </si>
  <si>
    <t>002373</t>
  </si>
  <si>
    <t>PRESTAÇÃO DE SERVIÇOS UFVs (PAINS 1)    NF 976  VB AMBIENTAL</t>
  </si>
  <si>
    <t>002374</t>
  </si>
  <si>
    <t>PRESTAÇÃO DE SERVIÇOS UFVs (SÃO SEBASTIÃO DO OESTE 6)    NF 980  VB AMBIENTAL</t>
  </si>
  <si>
    <t>0301-UFV JANAUBA</t>
  </si>
  <si>
    <t>PRESTAÇÃO DE SERVIÇOS UFVs (JANAUBA)    NF 984  VB AMBIENTAL</t>
  </si>
  <si>
    <t>VB AMBIENTAL</t>
  </si>
  <si>
    <t>1401-UFV LAGOA GRANDE</t>
  </si>
  <si>
    <t>PRESTAÇÃO DE SERVIÇOS UFVs (LAGOA GRANDE)    NF 993  VB AMBIENTAL</t>
  </si>
  <si>
    <t>0501-UFV MIRABELA</t>
  </si>
  <si>
    <t>PRESTAÇÃO DE SERVIÇOS UFVs (MIRABELA)    NF 1008  VB AMBIENTAL</t>
  </si>
  <si>
    <t>[CCC04984]</t>
  </si>
  <si>
    <t>Fat.Direito EPC ( GLD)</t>
  </si>
  <si>
    <t>COMPRA MATERIAIS PARA UFVs ( VARGINHA 1)   NF  22711</t>
  </si>
  <si>
    <t>[CCC03953]</t>
  </si>
  <si>
    <t>001682</t>
  </si>
  <si>
    <t>PRESTAÇÃO DE SERVIÇOS UFVs (CAMPO BELO 1)   </t>
  </si>
  <si>
    <t>Pagamento referente a multa ambiental, necessário à construção da UFV.</t>
  </si>
  <si>
    <t>[CCC04985]</t>
  </si>
  <si>
    <t>002376</t>
  </si>
  <si>
    <t>COMPRA DE MATERIAIS UFVs (BURITIZEIRO 2)  NF 58953  PREFAZ</t>
  </si>
  <si>
    <t>[CCC04986]</t>
  </si>
  <si>
    <t xml:space="preserve">PRESTAÇÃO DE SERVIÇOS UFVs (CAMPO BELO 5 )  NF  </t>
  </si>
  <si>
    <t>Pagamento de 2º medição,  referente a prestação de serviços e mão de obra,   necessários a construção da UFVs em contrato EPC.  65%.  5º ADITIVO</t>
  </si>
  <si>
    <t>[CCC04987]</t>
  </si>
  <si>
    <t>Pagamento de 2° medição,  referente a elaboração de planos,   necessários a construção da UFVs em contrato EPC.  35% . 5º ADITIVO</t>
  </si>
  <si>
    <t xml:space="preserve">PRESTAÇÃO DE SERVIÇOS UFVs (CAMPO BELO 1 )  NF  </t>
  </si>
  <si>
    <t>001687</t>
  </si>
  <si>
    <t xml:space="preserve">PRESTAÇÃO DE SERVIÇOS UFVs (SANTO ANTONIO DO AMPARO 1 )  NF  </t>
  </si>
  <si>
    <t>001688</t>
  </si>
  <si>
    <t xml:space="preserve">PRESTAÇÃO DE SERVIÇOS UFVs (CAMPO BELO 2 )  NF  </t>
  </si>
  <si>
    <t>[CCC04988]</t>
  </si>
  <si>
    <t xml:space="preserve">PRESTAÇÃO DE SERVIÇOS UFVs (ALFENAS 4 )  NF  </t>
  </si>
  <si>
    <t xml:space="preserve">MEDIÇÃO MENSAL ABRIL/2023  UFVs  LMENG  NF </t>
  </si>
  <si>
    <t>Pagamento de medição, referente a elaboração de projetos e consultoria. Serviço contratuais de Engenharia Executiva,  necessário à construção da UFV. 25%</t>
  </si>
  <si>
    <t>[CCC04989]</t>
  </si>
  <si>
    <t>Verificar como dividir</t>
  </si>
  <si>
    <t>002377</t>
  </si>
  <si>
    <t>Pagamento de medição, referente a elaboração de projetos e consultoria. Serviço contratuais de Engenharia Executiva,  necessário à construção da UFV. 32%</t>
  </si>
  <si>
    <t>Pagamento de medição, referente a elaboração de projetos e consultoria. Serviço contratuais de Engenharia Executiva,  necessário à construção da UFV. 18%</t>
  </si>
  <si>
    <t>Pagamento de medição, serviço de mobilização,  necessário à construção da UFV. 25%</t>
  </si>
  <si>
    <t>002378</t>
  </si>
  <si>
    <t>Pagamento de medição, serviço de mobilização,  necessário à construção da UFV.  32%</t>
  </si>
  <si>
    <t>001690</t>
  </si>
  <si>
    <t>Pagamento de medição, serviço de mobilização,  necessário à construção da UFV. 18%</t>
  </si>
  <si>
    <t>001716</t>
  </si>
  <si>
    <t>Pagamento de medição, referente a elaboração de projetos e consultoria. Serviço contratuais de Engenharia Executiva,  necessário à construção da UFV. 25% SUPRIMENTOS</t>
  </si>
  <si>
    <t>[CCC04990]</t>
  </si>
  <si>
    <t>002379</t>
  </si>
  <si>
    <t>Pagamento de medição, referente a elaboração de projetos e consultoria. Serviço contratuais de Engenharia Executiva,  necessário à construção da UFV. 32%  SUPRIMENTOS</t>
  </si>
  <si>
    <t>Pagamento de medição, referente a elaboração de projetos e consultoria. Serviço contratuais de Engenharia Executiva,  necessário à construção da UFV. 25%  SUPRIMENTOS</t>
  </si>
  <si>
    <t>Pagamento de medição, referente a elaboração de projetos e consultoria. Serviço contratuais de Engenharia Executiva,  necessário à construção da UFV. 18%  SUPRIMENTOS</t>
  </si>
  <si>
    <t>COMPRA DE MATERIAIS UFVs (CASSIA 1)  NF   TRATAMENTO DE MADEIRAS</t>
  </si>
  <si>
    <t>Pagamento referente a compra de madeira para cercamento, necessário a construção da UFVs. ESCOPO COMERC</t>
  </si>
  <si>
    <t>[CCC04991]</t>
  </si>
  <si>
    <t>COMPRA DE MATERIAIS UFVs( INDAIABIRA 1) NF 5677   NOJA POWER 9072 -Orcamento</t>
  </si>
  <si>
    <t>Pagamento em faturamento direto, referente a compra de religadores necessários a construção das usinas. 100% PAGAMENTO</t>
  </si>
  <si>
    <t>[CCC04992]</t>
  </si>
  <si>
    <t>COMPRA DE MATERIAIS UFVs( INDAIABIRA 2) NF 5677  NOJA POWER 9073</t>
  </si>
  <si>
    <t>7001-CONSORCIO MORI GERAÇÃO III</t>
  </si>
  <si>
    <t>PRESTAÇÃO DE SERVIÇOS UFVs  NF      DBA SOLUÇÕES</t>
  </si>
  <si>
    <t>PAGAMENTO REFERENTE A PRESTAÇÃO DE SERVIÇOS PARA DESENVOLVIMENTO DE PROJETOS, NECESSÁRIOS A CONSTRUÇÃO DAS UFVs.  JUNHO/23.  70%</t>
  </si>
  <si>
    <t>[CCC04993]</t>
  </si>
  <si>
    <t>PRESTAÇÃO DE SERVIÇOS UFVs ( INDAIABIRA 1) NF  IDELFONSO  PEREIRA</t>
  </si>
  <si>
    <t>Pagamento referente a supressão ambiental, necessária a construção da usina .  VALOR RETIDO</t>
  </si>
  <si>
    <t>[CCC04994]</t>
  </si>
  <si>
    <t>IDELFONSO  PEREIRA</t>
  </si>
  <si>
    <t>COMPRA MATERIAIS PARA UFVs ( VARGINHA1 )  NF 65722 TRAEL</t>
  </si>
  <si>
    <t>PRESTAÇÃO DE SERVIÇOS UFVs ( CASSIA 1 ) NF 2652</t>
  </si>
  <si>
    <t>Pagamento de medição, referente a prestação de serviço de montagem e instalação elétrica de redes de distribuição de energia rural e urbana .</t>
  </si>
  <si>
    <t>[CCC04995]</t>
  </si>
  <si>
    <t>COMPRAS DE MATERIAIS UFVs (PATROCINIO 2)  NF 47127   INCOPRE</t>
  </si>
  <si>
    <t xml:space="preserve">Pagamento em faturamento direto, referente a compra de materiais, necessários a construção das usinas. </t>
  </si>
  <si>
    <t>[CCC04996]</t>
  </si>
  <si>
    <t>001194</t>
  </si>
  <si>
    <t>MEDIÇÃO (MBA-MT)</t>
  </si>
  <si>
    <t>PRESTAÇÃO DE SERVIÇOS UFVs ( CASSIA 2) NF 2653</t>
  </si>
  <si>
    <t>Pagamento de medição, referente a extensão de rede de distribuição rural, necessário a construção da UFV.</t>
  </si>
  <si>
    <t>[CCC04997]</t>
  </si>
  <si>
    <t>CONSTRUMANAGER -    05/2023   NF  296853</t>
  </si>
  <si>
    <t>Serviço necessário à disponibilização de internet, necessário a construção das UFVs .</t>
  </si>
  <si>
    <t>[CCC04998]</t>
  </si>
  <si>
    <t>004801</t>
  </si>
  <si>
    <t xml:space="preserve">COMPRA DE MATERIAIS PARA AS USINAS    NF 642  SOMAR UNIFORMES </t>
  </si>
  <si>
    <t>Pagamento referente a compra de uniformes para equipe escritório e campo, necessários a construção da usina.  ESCOPO COMERC</t>
  </si>
  <si>
    <t>[CCC04999]</t>
  </si>
  <si>
    <t>001697</t>
  </si>
  <si>
    <t>PRESTAÇÃO DE SERVIÇOS UFVs (VARGINHA 5)  NF  468  DRENAGEM</t>
  </si>
  <si>
    <t>Pagamento de 1º medição,  referente a prestação de serviços e mão de obra,   necessários a construção da UFVs em contrato EPC.  65%.   DRENAGEM</t>
  </si>
  <si>
    <t>[CCC05000]</t>
  </si>
  <si>
    <t>PRESTAÇÃO DE SERVIÇOS UFVs (VARGINHA 5)  NF  469  DRENAGEM</t>
  </si>
  <si>
    <t>Pagamento de 1° medição,  referente a elaboração de planos,   necessários a construção da UFVs em contrato EPC.  35% . DRENAGEM</t>
  </si>
  <si>
    <t>COMPRA DE MATERIAIS UFVs (CAMPO BELO 2) NF  6484  ARTECAMP</t>
  </si>
  <si>
    <t xml:space="preserve">Pagamento referente a compra de materiais, necessários a construção da usina. </t>
  </si>
  <si>
    <t>[CCC05001]</t>
  </si>
  <si>
    <t>002393</t>
  </si>
  <si>
    <t>Outros - Serviços à UFV - MBA</t>
  </si>
  <si>
    <t>PRESTAÇÃO DE SERVIÇOS UFVs( DIVINOPOLIS 1) NF 45 CONCERT</t>
  </si>
  <si>
    <t xml:space="preserve">Pagamento referente a prestação de serviço de acompanhamento e fiscalização da execução de obras.  NÃO DESCONTAR CONTRATO AT. </t>
  </si>
  <si>
    <t>[CCC05002]</t>
  </si>
  <si>
    <t>COMPRA DE MATERIAIS UFVs (CAMPO BELO 2) NF 1152   WM SOLUCOES</t>
  </si>
  <si>
    <t>[CCC05003]</t>
  </si>
  <si>
    <t>002394</t>
  </si>
  <si>
    <t>Fat.Direto EPC (IMPLANTAR)</t>
  </si>
  <si>
    <t>PRESTAÇÃO DE SERVIÇOS UFVs (JABOTICATUBAS)  NF  51  MG SERRALHERIA</t>
  </si>
  <si>
    <t xml:space="preserve">Pagamento referente ao serviço de confecção e frete de portão de acesso e veículos, necessários a construção da usina. </t>
  </si>
  <si>
    <t>[CCC05004]</t>
  </si>
  <si>
    <t>Jaboticatubas 1_EPC_FD</t>
  </si>
  <si>
    <t>002395</t>
  </si>
  <si>
    <t>COMPRA DE MATERIAIS UFVs (JABOTICATUBAS) NF 13   JOSE CARLINDO</t>
  </si>
  <si>
    <t>002396</t>
  </si>
  <si>
    <t>COMPRA DE MATERIAIS UFVs (JABOTICATUBAS) NF 594 PREMOLDEC</t>
  </si>
  <si>
    <t>002397</t>
  </si>
  <si>
    <t>COMPRA DE MATERIAIS UFVs (JABOTICATUBAS) NF 34781 INSTITUTO RAMACRISNA</t>
  </si>
  <si>
    <t>002398</t>
  </si>
  <si>
    <t>PRESTAÇÃO DE SERVIÇOS UFVs (DIVINOPOLIS 3)  NF 460</t>
  </si>
  <si>
    <t>Pagamento de 3° medição,  referente a prestação de serviços e mão de obra,   necessários a construção da UFVs em contrato EPC.  65%.</t>
  </si>
  <si>
    <t>[CCC05005]</t>
  </si>
  <si>
    <t>002399</t>
  </si>
  <si>
    <t>PRESTAÇÃO DE SERVIÇOS UFVs (DIVINOPOLIS 3)  NF 461</t>
  </si>
  <si>
    <t>002400</t>
  </si>
  <si>
    <t>PRESTAÇÃO DE SERVIÇOS UFVs (PEDRA DO INDAIA 3)  NF 462</t>
  </si>
  <si>
    <t>Pagamento de 6° medição,  referente a prestação de serviços e mão de obra,   necessários a construção da UFVs em contrato EPC.  65%.</t>
  </si>
  <si>
    <t>6° medição</t>
  </si>
  <si>
    <t>002423</t>
  </si>
  <si>
    <t>PRESTAÇÃO DE SERVIÇOS UFVs (PEDRA DO INDAIA 3)  NF 463</t>
  </si>
  <si>
    <t>PRESTAÇÃO DE SERVIÇOS UFVs (ARCOS 7)  NF 464</t>
  </si>
  <si>
    <t>PRESTAÇÃO DE SERVIÇOS UFVs (ARCOS 7)  NF 465</t>
  </si>
  <si>
    <t>PRESTAÇÃO DE SERVIÇOS UFVs (ARCOS 7)  NF 466</t>
  </si>
  <si>
    <t>Pagamento de 7° medição,  referente a prestação de serviços e mão de obra,   necessários a construção da UFVs em contrato EPC.  65%.</t>
  </si>
  <si>
    <t>PRESTAÇÃO DE SERVIÇOS UFVs (ARCOS 7)  NF 467</t>
  </si>
  <si>
    <t>002401</t>
  </si>
  <si>
    <t>MEDIÇÃO (ORCI )</t>
  </si>
  <si>
    <t>PRESTAÇÃO DE SERVIÇOS UFVs (JABOTICATUBAS) NF 26 ORCI   TERRAPLENAGEM</t>
  </si>
  <si>
    <t xml:space="preserve">Pagamento de 2° medição, referente ao serviço de supressão e terraplenagem, necessário a construção da usina. </t>
  </si>
  <si>
    <t>[CCC05006]</t>
  </si>
  <si>
    <t>002403</t>
  </si>
  <si>
    <t>COMPRA DE MATERIAIS UFVs (DIVINOPOLIS 3) NF 139132  CIMENTOLANDIA</t>
  </si>
  <si>
    <t>Pagamento em faturamento direto, referente a compra de materiais, necessário a construçãos da UFVs.</t>
  </si>
  <si>
    <t>[CCC05007]</t>
  </si>
  <si>
    <t>002404</t>
  </si>
  <si>
    <t>COMPRA DE MATERIAIS UFVs (PEDRA DO INDAIA 5) NF 634 SIFER</t>
  </si>
  <si>
    <t>002405</t>
  </si>
  <si>
    <t>COMPRA DE MATERIAIS UFVs (DIVINOPOLIS 3) NF 635 SIFER</t>
  </si>
  <si>
    <t>PRESTAÇÃO DE SERVIÇOS UFVs (ARCOS 7)  NF 198  FAZBETOM</t>
  </si>
  <si>
    <t>Pagamento em faturamento direto, referente ao serviço de usinagem de concreto, necessário a construçãos da UFVs.</t>
  </si>
  <si>
    <t>002407</t>
  </si>
  <si>
    <t>PRESTAÇÃO DE SERVIÇOS UFVs (BURITIZEIRO 1) NF 728 RONDA PORTEIROS</t>
  </si>
  <si>
    <t>Pagamento referente aos serviços de vigilância desarmada. ESCOPO COMERC</t>
  </si>
  <si>
    <t>[CCC05008]</t>
  </si>
  <si>
    <t>002408</t>
  </si>
  <si>
    <t>PRESTAÇÃO DE SERVIÇOS UFVs (BURITIZEIRO 2) NF 729  RONDA PORTEIROS</t>
  </si>
  <si>
    <t>002409</t>
  </si>
  <si>
    <t>PRESTAÇÃO DE SERVIÇOS UFVs (INDAIABIRA 3) NF 727 RONDA PORTEIROS</t>
  </si>
  <si>
    <t>[CCC05009]</t>
  </si>
  <si>
    <t>002410</t>
  </si>
  <si>
    <t>PRESTAÇÃO DE SERVIÇOS UFVs ( INDAIABIRA 4) NF 726 RONDA PORTEIROS</t>
  </si>
  <si>
    <t>002411</t>
  </si>
  <si>
    <t>REGRHAN  PRESTAÇÃO DE SERVIÇOS  ESTRELA DO NORTE HOLDING  NF  1532</t>
  </si>
  <si>
    <t>[CCC05010]</t>
  </si>
  <si>
    <t>REGRHAN  PRESTAÇÃO DE SERVIÇOS  MORI GERAÇÃO II  NF 1533</t>
  </si>
  <si>
    <t>REGRHAN  PRESTAÇÃO DE SERVIÇOS  MORI MINAS NEWCO IV  NF  1534</t>
  </si>
  <si>
    <t>REGRHAN  PRESTAÇÃO DE SERVIÇOS  MORI MINAS NEWCO V  NF 1535</t>
  </si>
  <si>
    <t>A405 - MORI MINAS NEWCO IV -UFV CAMPO BELO 5</t>
  </si>
  <si>
    <t xml:space="preserve">PRESTAÇÃO DE SERVIÇOS UFVs( CAMPO BELO 5) NF 2654 </t>
  </si>
  <si>
    <t>Pagamento de medição, referente a prestação de serviço de projeto e extensão de rede de distribuição rural para atender à UFV.</t>
  </si>
  <si>
    <t>[CCC05011]</t>
  </si>
  <si>
    <t>002413</t>
  </si>
  <si>
    <t>PRESTAÇÃO DE SERVIÇOS UFVs ( INDAIABIRA 1) NF 2655</t>
  </si>
  <si>
    <t>002414</t>
  </si>
  <si>
    <t>PRESTAÇÃO DE SERVIÇOS UFVs ( INDAIABIRA 2) NF 2656</t>
  </si>
  <si>
    <t>PRESTAÇÃO DE SERVIÇOS UFVs ( SÃO SEBASTIÃO DO OESTE 5) NF 2658</t>
  </si>
  <si>
    <t>PRESTAÇÃO DE SERVIÇOS UFVs ( SÃO SEBASTIÃO DO OESTE 1) NF 2659</t>
  </si>
  <si>
    <t>002415</t>
  </si>
  <si>
    <t>COMPRA DE MATERIAIS UFVs (PEDRA DO INDAIA 5) NF 467  ZANIN</t>
  </si>
  <si>
    <t>[CCC05012]</t>
  </si>
  <si>
    <t>002417</t>
  </si>
  <si>
    <t>COMPRA DE MATERIAIS UFVs (PEDRA DO INDAIA 5) NF 22930  LIDER</t>
  </si>
  <si>
    <t>001721</t>
  </si>
  <si>
    <t>PRESTAÇÃO DE SERVIÇOS UFVs ( VARJÃO DE MINAS 4) NF 412</t>
  </si>
  <si>
    <t>Pagamento 2° medição, referente aos serviços de SERVIÇOS DE MÃO DE OBRA ESPECIALIZADA NA CONSTRUÇÃO RDR, necessário a construção da usina.</t>
  </si>
  <si>
    <t>[CCC05013]</t>
  </si>
  <si>
    <t>001722</t>
  </si>
  <si>
    <t>PRESTAÇÃO DE SERVIÇOS UFVs (PATOS DE MINAS 3) NF 411</t>
  </si>
  <si>
    <t>Pagamento 1° medição, referente aos serviços de SERVIÇOS DE MÃO DE OBRA ESPECIALIZADA NA CONSTRUÇÃO RDR, necessário a construção da usina.</t>
  </si>
  <si>
    <t>BALDONI / MCD BALDONI - Terraplanagem  UFVs(PASSOS 4)  20%  NF 201</t>
  </si>
  <si>
    <t>[CCC05014]</t>
  </si>
  <si>
    <t>BALDONI / Baldoni Engenharia -Terraplanagem  UFVs (PASSOS 4)  80%  N 365</t>
  </si>
  <si>
    <t>002418</t>
  </si>
  <si>
    <t>PRESTAÇÃO DE SERVIÇOS UFVs( INDAIAIRA 3) NF 675</t>
  </si>
  <si>
    <t>Pagamento de medição referente a 90 % do saldo residual dos projetos incluindo CAP.</t>
  </si>
  <si>
    <t>[CCC05015]</t>
  </si>
  <si>
    <t>002419</t>
  </si>
  <si>
    <t>PRESTAÇÃO DE SERVIÇOS UFVs( INDAIAIRA 4) NF 676</t>
  </si>
  <si>
    <t>COMPRA DE MATERIAIS UFVs (VARGINHA 1) NF 457419  PEDREIRA SANTO ANTONIO</t>
  </si>
  <si>
    <t>[CCC05016]</t>
  </si>
  <si>
    <t>COMPRA DE MATERIAIS UFVs (VARGINHA 2) NF 457400  PEDREIRA SANTO ANTONIO</t>
  </si>
  <si>
    <t>COMPRA DE MATERIAIS UFVs (CAMPO BELO 5) NF 139308  CIMENTOLANDIA</t>
  </si>
  <si>
    <t>COMPRA DE MATERIAIS UFVs (FORMIGA 6) NF 6493_x000D_  ARTCAMP</t>
  </si>
  <si>
    <t>002420</t>
  </si>
  <si>
    <t>PRESTAÇÃO DE SERVIÇOS UFVs ( BURITIZEIRO 1) NF 677</t>
  </si>
  <si>
    <t>[CCC05017]</t>
  </si>
  <si>
    <t>002421</t>
  </si>
  <si>
    <t>PRESTAÇÃO DE SERVIÇOS UFVs ( BURITIZEIRO 2) NF 678</t>
  </si>
  <si>
    <t>BALDONI / MCD BALDONI - Terraplanagem  UFVs (PARAGUAÇU 1)  20%  NF 205</t>
  </si>
  <si>
    <t>[CCC05018]</t>
  </si>
  <si>
    <t>Paraguaçu 1 _Obras Terraplanagem</t>
  </si>
  <si>
    <t>001723</t>
  </si>
  <si>
    <t>BALDONI / Baldoni Engenharia -Terraplanagem  UFVs (PARAGUAÇU 1)  80%  N369</t>
  </si>
  <si>
    <t>PRESTAÇÃO DE SERVIÇOS UFVs ( PATROCINIO 2) NF 2666</t>
  </si>
  <si>
    <t>Pagamento de medição, referente ao serviço de montagem e instalação elétrica de redes de distribuição de energia rural e urban, necessário a construção da usina .</t>
  </si>
  <si>
    <t>[CCC05019]</t>
  </si>
  <si>
    <t>PRESTAÇÃO DE SERVIÇOS UFVs ( PATROCINIO 3) NF 2667</t>
  </si>
  <si>
    <t>A412 -MORI MINAS NEWCO IV - UFV TRES CORAÇÕES 3</t>
  </si>
  <si>
    <t>BALDONI / MCD BALDONI - Terraplanagem  UFVs (TRES CORAÇÕES 3)  20%  NF 208</t>
  </si>
  <si>
    <t>[CCC05020]</t>
  </si>
  <si>
    <t>BALDONI / Baldoni Engenharia -Terraplanagem  UFVs (TRES CORAÇÕES 3)  80%  NF 370</t>
  </si>
  <si>
    <t>002422</t>
  </si>
  <si>
    <t xml:space="preserve">PRESTAÇÃO DE SERVIÇOS UFVs (INDAIABIRA 4) NF 62 GR ENGENHARIA </t>
  </si>
  <si>
    <t>Pagamento de medição 2, referente a execução de drenagem, necessário a construção da usina.    IMPLANTAR</t>
  </si>
  <si>
    <t>[CCC05021]</t>
  </si>
  <si>
    <t>BALDONI / MCD BALDONI - Terraplanagem  UFVs (MUZAMBINHO 1)  20%  NF 207</t>
  </si>
  <si>
    <t>[CCC05022]</t>
  </si>
  <si>
    <t>Muzambinho 1 _Obras Terraplanagem</t>
  </si>
  <si>
    <t>BALDONI / Baldoni Engenharia -Terraplanagem  UFVs (MUZABINHO 1)  80%  N 369</t>
  </si>
  <si>
    <t>BALDONI / MCD BALDONI - Terraplanagem  UFVs (CAMPO BELO 5)  20%    NF 203</t>
  </si>
  <si>
    <t>Pagamento de serviço de terraplanagem necessário à construção da UFV.  MEDIÇÃO 13</t>
  </si>
  <si>
    <t>[CCC05023]</t>
  </si>
  <si>
    <t>BALDONI / Baldoni Engenharia -Terraplanagem  UFVs (CAMPO BELO 5)  80%   N 367</t>
  </si>
  <si>
    <t>001728</t>
  </si>
  <si>
    <t>BALDONI / MCD BALDONI - Terraplanagem  UFVs (CAMPO BELO 1)  20%  NF 202</t>
  </si>
  <si>
    <t>[CCC05024]</t>
  </si>
  <si>
    <t>BALDONI / Baldoni Engenharia -Terraplanagem  UFVs (CAMPO BELO 1)  80%  N 366</t>
  </si>
  <si>
    <t>002424</t>
  </si>
  <si>
    <t>PRESTAÇÃO DE SERVIÇOS UFVs (GUARDA-MOR) NF  721   RONDA PORTEIROS</t>
  </si>
  <si>
    <t>Pagamento referente a prestação de serviço de vigilância desarmada, necessário a construção da UFVs.</t>
  </si>
  <si>
    <t>[CCC05025]</t>
  </si>
  <si>
    <t>PRESTAÇÃO DE SERVIÇOS UFVs (FREI INOCENCIO) NF  723   RONDA PORTEIROS</t>
  </si>
  <si>
    <t>PRESTAÇÃO DE SERVIÇOS UFVs (VARJÃO DE MINAS 1) NF  722   RONDA PORTEIROS</t>
  </si>
  <si>
    <t>COMPRA DE MATERIAIS  UFVs (SÃO SEBASTIÃO DO OESTE 3) NF 2028</t>
  </si>
  <si>
    <t>PRESTAÇÃO DE SERVIÇOS UFVs (SÃO SEBASTIÃO DO OESTE 5) NF 764     RONDA PORTEIROS</t>
  </si>
  <si>
    <t>Outros - Serviços à UFV – O&amp;M</t>
  </si>
  <si>
    <t>COMPRA DE MATERIAIS UFVs (VARGINHA) NF 7017  ALFA LIMPEZA</t>
  </si>
  <si>
    <t>Pagamento referente a compra de materiais, necessário a construção da UFVs.</t>
  </si>
  <si>
    <t>[CCC05026]</t>
  </si>
  <si>
    <t>PRESTAÇÃO DE SERVIÇOS UFVs (ARCOS 7) NF 1009  JULLIA XAVIER</t>
  </si>
  <si>
    <t>[CCC05027]</t>
  </si>
  <si>
    <t>PRESTAÇÃO DE SERVIÇOS UFVs (ARCOS 7) NF 1010 JULLIA XAVIER</t>
  </si>
  <si>
    <t>BALDONI / MCD BALDONI - Terraplanagem  UFVs (CAMPO BELO 2)  20%  NF 209</t>
  </si>
  <si>
    <t>[CCC05028]</t>
  </si>
  <si>
    <t>BALDONI / Baldoni Engenharia -Terraplanagem  UFVs (CAMPO BELO 2)  80%  N 371</t>
  </si>
  <si>
    <t>BALDONI / MCD BALDONI - Terraplanagem  UFVs (SANTO ANTONIO DO AMPARO 1)  20%  NF 210</t>
  </si>
  <si>
    <t>[CCC05029]</t>
  </si>
  <si>
    <t>001737</t>
  </si>
  <si>
    <t>BALDONI / Baldoni Engenharia -Terraplanagem  UFVs (SANTO ANTONIO DO AMPARO 1)  80%  N 372</t>
  </si>
  <si>
    <t>PRESTAÇÃO DE SERVIÇOS UFVs (BAMBUI 1 e 2) NF 801   RONDA PORTEIROS</t>
  </si>
  <si>
    <t>[CCC05030]</t>
  </si>
  <si>
    <t>001738</t>
  </si>
  <si>
    <t>PRESTAÇÃO DE SERVIÇOS UFVs (SÃO SEBASTIÃO DO OESTE 1) NF 802   RONDA PORTEIROS</t>
  </si>
  <si>
    <t>002425</t>
  </si>
  <si>
    <t>PRESTAÇÃO DE SERVIÇOS UFVs (INDAIABIRA 1 e 2) NF 803   RONDA PORTEIROS</t>
  </si>
  <si>
    <t>001741</t>
  </si>
  <si>
    <t>WEG PRESTAÇÃO DE SERVIÇOS  FITO UFVs (CASSIA 1)   NF 129</t>
  </si>
  <si>
    <t>[CCC05031]</t>
  </si>
  <si>
    <t>001742</t>
  </si>
  <si>
    <t>Outros - Serviços - MBA AT</t>
  </si>
  <si>
    <t>PRESTAÇÃO DE SERVIÇOS UFVs ( SANTO ANTONIO DO AMPARO 1 ) NF 51  CONCERT</t>
  </si>
  <si>
    <t xml:space="preserve">Pagamento referente ao acompanhamento e fiscalização da execução das obras, necessários a construção das obras. ESCOPO COMERC </t>
  </si>
  <si>
    <t>[CCC05032]</t>
  </si>
  <si>
    <t>001743</t>
  </si>
  <si>
    <t>PRESTAÇÃO DE SERVIÇOS UFVs ( SANTO ANTONIO DO AMPARO 1 ) NF 521  CONCERT</t>
  </si>
  <si>
    <t>002426</t>
  </si>
  <si>
    <t>WEG PRESTAÇÃO DE SERVIÇOS UFVs ( INDAIABIRA 2 )   NF 148   CALTER</t>
  </si>
  <si>
    <t>Pagamento 5° medição , referente a serviços de drenagem, contrato FULL- EPC . 100%</t>
  </si>
  <si>
    <t>[CCC05033]</t>
  </si>
  <si>
    <t>002427</t>
  </si>
  <si>
    <t>PRESTAÇÃO DE SERVIÇOS UFVs (PEDRA DO INDAIÁ 5 ) NF 3  FERNANDO JUNIOR</t>
  </si>
  <si>
    <t>Pagamento de medição referente ao serviço fundiário descontinuado com a entrada da empresa META.</t>
  </si>
  <si>
    <t>[CCC05034]</t>
  </si>
  <si>
    <t>002429</t>
  </si>
  <si>
    <t>PRESTAÇÃO DE SERVIÇOS UFVs (DIVINOPOLIS 3 ) NF 4 FERNANDO JUNIOR</t>
  </si>
  <si>
    <t>002431</t>
  </si>
  <si>
    <t>PRESTAÇÃO DE SERVIÇOS UFVs (PAINS 3 ) NF 5 FERNANDO JUNIOR</t>
  </si>
  <si>
    <t>PRESTAÇÃO DE SERVIÇOS  UFVs (PATROCINIO 3) NF 768 DAYSE PEREIRA</t>
  </si>
  <si>
    <t>Pagamento em faturamento direto referente ao serviço de transporte, necessário a construção da usina, em contrato MT.</t>
  </si>
  <si>
    <t>[CCC05035]</t>
  </si>
  <si>
    <t>002441</t>
  </si>
  <si>
    <t>Outros - Serviços à UFV- MT</t>
  </si>
  <si>
    <t>PRESTAÇÃO DE SERVIÇOS UFVs (INDAIABIRA 2 ) NF  1    ADRIANA CRISTINA</t>
  </si>
  <si>
    <t>Prestação de serviços referentes a vistoria de redes de média tensão CEMIG.</t>
  </si>
  <si>
    <t>[CCC05036]</t>
  </si>
  <si>
    <t>PRESTAÇÃO DE SERVIÇOS UFVs (SÃO SEBASTIÃO DO OESTE 1 ) NF  2    ADRIANA CRISTINA</t>
  </si>
  <si>
    <t>002442</t>
  </si>
  <si>
    <t>PRESTAÇÃO DE SERVIÇOS UFVs (INDAIABIRA 1) NF 3     ADRIANA CRISTINA</t>
  </si>
  <si>
    <t>PRESTAÇÃO DE SERVIÇOS UFVs (DIAMANTINA) NF 208      A.R. ARQUITETURA</t>
  </si>
  <si>
    <t>[CCC05037]</t>
  </si>
  <si>
    <t>PRESTAÇÃO DE SERVIÇOS UFVs (CAMPO BELO 5) NF 734   RONDA PORTEIROS</t>
  </si>
  <si>
    <t>Pagamento em faturamento direto referente a prestação de serviço de segurança desarmada, necessário à construção da UFVs.</t>
  </si>
  <si>
    <t>[CCC05038]</t>
  </si>
  <si>
    <t>PRESTAÇÃO DE SERVIÇOS UFVs (CAMPO BELO 2) NF 739   RONDA PORTEIROS</t>
  </si>
  <si>
    <t>PRESTAÇÃO DE SERVIÇOS UFVs (ALFENAS 4)          NF 740   RONDA PORTEIROS</t>
  </si>
  <si>
    <t>PRESTAÇÃO DE SERVIÇOS UFVs (VARGINHA 2) NF 667   RONDA PORTEIROS</t>
  </si>
  <si>
    <t>Pagamento em faturamento direto referente a prestação de serviço de segurança desarmada, necessário à construção da UFVs. ADITIVO</t>
  </si>
  <si>
    <t>[CCC05039]</t>
  </si>
  <si>
    <t>Desconto em contrato GLD Rafael em 23/01/2024</t>
  </si>
  <si>
    <t>PRESTAÇÃO DE SERVIÇOS UFVs (VARGINHA 1) NF 661   RONDA PORTEIROS</t>
  </si>
  <si>
    <t>PRESTAÇÃO DE SERVIÇOS UFVs (CAMPO BELO 1) NF 736   RONDA PORTEIROS</t>
  </si>
  <si>
    <t>001752</t>
  </si>
  <si>
    <t>PRESTAÇÃO DE SERVIÇOS UFVs (CAMPO BELO 1) NF  800  RONDA PORTEIROS</t>
  </si>
  <si>
    <t>002443</t>
  </si>
  <si>
    <t>COMPRA DE MATERIAIS UFV (JABOTICATUBAS)  NF 208464  LOJA ELETRICA</t>
  </si>
  <si>
    <t>Pagamento referente a compra de materias, necessário à construção da UFVs. ESCOPO COMERC</t>
  </si>
  <si>
    <t>[CCC05040]</t>
  </si>
  <si>
    <t>002445</t>
  </si>
  <si>
    <t>WEG PRESTAÇÃO DE SERVIÇOS UFVs ( GUARDA MOR ) INTEGRADOR  GTEL  NF 27387  EVENTO 8</t>
  </si>
  <si>
    <t>Pagamento medição, refrente a Conclusão dos testes de comissionamento a frio, em contrato FULL EPC WEG. EVENTO 8</t>
  </si>
  <si>
    <t>[CCC05041]</t>
  </si>
  <si>
    <t>PRESTAÇÃO DE SERVIÇOS UFVs (ARCOS 7) NF 760   RONDA PORTEIROS                              ADITIVO</t>
  </si>
  <si>
    <t>Pagamento referente a prestação de serviço de segurança desarmada, necessário à construção da UFVs. ESCOPO COMERC</t>
  </si>
  <si>
    <t>PRESTAÇÃO DE SERVIÇOS UFVs (FORMIGA 6) NF 757   RONDA PORTEIROS                         ADITIVO</t>
  </si>
  <si>
    <t>Pagamento  referente a prestação de serviço de segurança desarmada, necessário à construção da UFVs. ESCOPO COMERC</t>
  </si>
  <si>
    <t xml:space="preserve">PRESTAÇÃO DE SERVIÇOS UFVs (VARGINHA 5) NF 732   RONDA PORTEIROS       </t>
  </si>
  <si>
    <t>[CCC05043]</t>
  </si>
  <si>
    <t xml:space="preserve">PRESTAÇÃO DE SERVIÇOS UFVs (FORMIGA 6) NF 758   RONDA PORTEIROS       </t>
  </si>
  <si>
    <t>[CCC05044]</t>
  </si>
  <si>
    <t>002447</t>
  </si>
  <si>
    <t xml:space="preserve">PRESTAÇÃO DE SERVIÇOS UFVs (PEDRA DO INDAIA 3) NF 769   RONDA PORTEIROS       </t>
  </si>
  <si>
    <t>002448</t>
  </si>
  <si>
    <t>COMPRA DE MATERIAIS UFV (INDAIABIRA 3 RE 4)  NF 46640  PLANEL</t>
  </si>
  <si>
    <t xml:space="preserve"> Pagamento referente a compra de materiais, necessário à construção da UFVs. ESCOPO COMERC </t>
  </si>
  <si>
    <t>[CCC05045]</t>
  </si>
  <si>
    <t>004852</t>
  </si>
  <si>
    <t xml:space="preserve">PRESTAÇÃO DE SERVIÇOS UFVs  NF 187     05/2023  </t>
  </si>
  <si>
    <t>Pagamento referente ao serviço servico de hospedagem e suporte dos servidores do sistema SGD, necessário à construção da UFV.   MENSALIDADE FINAL - ESCOPO COMERC</t>
  </si>
  <si>
    <t>[CCC05046]</t>
  </si>
  <si>
    <t>002451</t>
  </si>
  <si>
    <t>COMPRA DE MATERIAIS UFV (JABOTICATUBAS)  NF 38971862     ADRIANA ALCANTARA</t>
  </si>
  <si>
    <t xml:space="preserve"> Pagamento referente a compra de refeição, necessário à construção da UFVs. </t>
  </si>
  <si>
    <t>[CCC05047]</t>
  </si>
  <si>
    <t>002452</t>
  </si>
  <si>
    <t xml:space="preserve">PRESTAÇÃO DE SERVIÇOS UFVs (PEDRA DO INDAIA 5) NF 770   RONDA PORTEIROS       </t>
  </si>
  <si>
    <t>[CCC05048]</t>
  </si>
  <si>
    <t>002454</t>
  </si>
  <si>
    <t xml:space="preserve">PRESTAÇÃO DE SERVIÇOS UFVs (DIVINOPOLIS 3) NF 805  RONDA PORTEIROS       </t>
  </si>
  <si>
    <t xml:space="preserve">PRESTAÇÃO DE SERVIÇOS UFVs ( PATOS DE MINAS 3 ) NF   743 RONDA PORTEIROS  ADITIVO </t>
  </si>
  <si>
    <t>Pagamento referente a prestação de serviços de vigilancia desarmada, aditivo de dois vigias noturnos, necessários a construção da usina.  ESCOPO COMERC</t>
  </si>
  <si>
    <t>[CCC05049]</t>
  </si>
  <si>
    <t xml:space="preserve">PRESTAÇÃO DE SERVIÇOS UFVs ( PATOS DE MINAS 4 ) NF   745  RONDA PORTEIROS  ADITIVO </t>
  </si>
  <si>
    <t xml:space="preserve">PRESTAÇÃO DE SERVIÇOS UFVs ( VARJÃO DE MINAS 4 ) NF   751 RONDA PORTEIROS  ADITIVO </t>
  </si>
  <si>
    <t xml:space="preserve">PRESTAÇÃO DE SERVIÇOS UFVs (PATOS DE MINAS 3 ) NF  742  RONDA PORTEIROS  </t>
  </si>
  <si>
    <t xml:space="preserve">Pagamento referente a prestação de serviços de vigilancia desarmada, necessários a construção da usina.  ESCOPO COMERC ATÉ  EMPRESA CONTRATADA ASSUMIR </t>
  </si>
  <si>
    <t>[CCC05050]</t>
  </si>
  <si>
    <t xml:space="preserve">PRESTAÇÃO DE SERVIÇOS UFVs (PATOS DE MINAS 4 ) NF  744   RONDA PORTEIROS  </t>
  </si>
  <si>
    <t xml:space="preserve">PRESTAÇÃO DE SERVIÇOS UFVs (PATOS DE MINAS 1 ) NF  746  RONDA PORTEIROS  </t>
  </si>
  <si>
    <t xml:space="preserve">PRESTAÇÃO DE SERVIÇOS UFVs (PATOS DE MINAS 7 ) NF  747  RONDA PORTEIROS  </t>
  </si>
  <si>
    <t xml:space="preserve">PRESTAÇÃO DE SERVIÇOS UFVs (PATOS DE MINAS 8 ) NF  748  RONDA PORTEIROS  </t>
  </si>
  <si>
    <t xml:space="preserve">PRESTAÇÃO DE SERVIÇOS UFVs (LAGOA FORMOSA ) NF   749   RONDA PORTEIROS  </t>
  </si>
  <si>
    <t xml:space="preserve">PRESTAÇÃO DE SERVIÇOS UFVs (VARJÃO DE MINAS 4 ) NF  750  RONDA PORTEIROS  </t>
  </si>
  <si>
    <t xml:space="preserve">PRESTAÇÃO DE SERVIÇOS UFVs (PATROCINIO 2 ) NF 766   RONDA PORTEIROS  </t>
  </si>
  <si>
    <t xml:space="preserve">PRESTAÇÃO DE SERVIÇOS UFVs (PATROCINIO 3 ) NF 767   RONDA PORTEIROS  </t>
  </si>
  <si>
    <t xml:space="preserve">PRESTAÇÃO DE SERVIÇOS A UFVs NF 768   RONDA PORTEIROS  </t>
  </si>
  <si>
    <t xml:space="preserve">Pagamento referente a banheiros quimicos, necessários a construção da usina.  ESCOPO COMERC ATÉ  EMPRESA CONTRATADA ASSUMIR </t>
  </si>
  <si>
    <t>[CCC05051]</t>
  </si>
  <si>
    <t>001745</t>
  </si>
  <si>
    <t xml:space="preserve">PRESTAÇÃO DE SERVIÇOS A UFVs CLUSTER 3   NF 46866 ATIVA LOCAÇÃO  </t>
  </si>
  <si>
    <t xml:space="preserve">Pagamento referente ao serviço de aluguel de containers, necessários a construção da usina.  ESCOPO COMERC ATÉ  EMPRESA CONTRATADA ASSUMIR </t>
  </si>
  <si>
    <t>[CCC05052]</t>
  </si>
  <si>
    <t xml:space="preserve">PRESTAÇÃO DE SERVIÇOS UFVs (CAMPO BELO 4)  NF 1187 NORTE CONEXÃO </t>
  </si>
  <si>
    <t>Pagamento em faturamento direto, referente ao serviço de lançamento de fibra óptica, necessários  a construção da usina.</t>
  </si>
  <si>
    <t>[CCC05053]</t>
  </si>
  <si>
    <t>002455</t>
  </si>
  <si>
    <t>[CCC05054]</t>
  </si>
  <si>
    <t xml:space="preserve">SERVIÇOS PRESTADOS DE CONSULTORIA EM CONTRATOS -  DELOITTE     NF  </t>
  </si>
  <si>
    <t>MEDIÇÃO MENSAL UFVs ( Paracatu 8  )   AFAPLAN   NF   8893</t>
  </si>
  <si>
    <t>002458</t>
  </si>
  <si>
    <t>MEDIÇÃO MENSAL UFVs (  Indaiabira 1  )   AFAPLAN   NF 8894</t>
  </si>
  <si>
    <t>002459</t>
  </si>
  <si>
    <t>MEDIÇÃO MENSAL UFVs (  Indaiabira 2  )   AFAPLAN   NF  8895</t>
  </si>
  <si>
    <t>MEDIÇÃO MENSAL UFVs  ( Campo Belo 3  )   AFAPLAN   NF 8896</t>
  </si>
  <si>
    <t>MEDIÇÃO MENSAL UFVs  ( Cássia 1 )   AFAPLAN   NF  8897</t>
  </si>
  <si>
    <t>MEDIÇÃO MENSAL UFVs  (  São Sebastião 1  )   AFAPLAN   NF 8898</t>
  </si>
  <si>
    <t>MEDIÇÃO MENSAL UFVs  (  Campo Belo 4  )   AFAPLAN   NF  8899</t>
  </si>
  <si>
    <t>MEDIÇÃO MENSAL UFVs ( Cássia 2  )   AFAPLAN   NF  8900</t>
  </si>
  <si>
    <t>PRESTAÇÃO DE SERVIÇOS UFVs (SÃO SEBASTIÃO DO OESTE 3)  NF 686   RONDA PORTEIROS</t>
  </si>
  <si>
    <t>MEDIÇÃO MENSAL UFVs (  São Sebastião do oeste 5 )   AFAPLAN   NF   8902</t>
  </si>
  <si>
    <t>COMPRA DE MATERIAIS UFVs (CAMPO BELO 5) NF 139683   CIMENTOLANDIA</t>
  </si>
  <si>
    <t>Pagamento em faturamento direto, referente a compra de materiais, necessários  a construção da UFVs.</t>
  </si>
  <si>
    <t>[CCC05056]</t>
  </si>
  <si>
    <t>002456</t>
  </si>
  <si>
    <t>Medição (ENERSOLAR)</t>
  </si>
  <si>
    <t xml:space="preserve">PRESTAÇÃO DE SERVIÇOS UFVs( PARACATU 4)  ENERSOLAR NF </t>
  </si>
  <si>
    <t>Pagamento de adiantamento de contrato, referente a prestação de serviços relativos a elaboração de projetos executivos das usinas. 20 %</t>
  </si>
  <si>
    <t>[CCC05057]</t>
  </si>
  <si>
    <t>Paracatu 4_Engenharia Executiva</t>
  </si>
  <si>
    <t>002457</t>
  </si>
  <si>
    <t xml:space="preserve">PRESTAÇÃO DE SERVIÇOS UFVs( PARACATU 5)  ENERSOLAR NF </t>
  </si>
  <si>
    <t>Paracatu 5_Engenharia Executiva</t>
  </si>
  <si>
    <t>PRESTAÇÃO DE SERVIÇOS UFVs (PATROCINIO 3)           NF 1334     INOVAR LOCAÇÕES</t>
  </si>
  <si>
    <t>Pagamento referente a locação de módulo metálico, necessária à construção da UFVs.  ESCOPO COMERC ATÉ  EMPRESA CONTRATADA ASSUMIR  CONTAINERS</t>
  </si>
  <si>
    <t>[CCC05058]</t>
  </si>
  <si>
    <t>PRESTAÇÃO DE SERVIÇOS UFVs (LAGOA FAMOSA)       NF 1336     INOVAR LOCAÇÕES</t>
  </si>
  <si>
    <t>ESCOPO COMERC -  Pago depois abandono da  Via Prumo</t>
  </si>
  <si>
    <t>PRESTAÇÃO DE SERVIÇOS UFVs (PATOS DE MINAS 1 )  NF 1337     INOVAR LOCAÇÕES</t>
  </si>
  <si>
    <t>PRESTAÇÃO DE SERVIÇOS UFVs (PATOS DE MINAS 4 )  NF 1338     INOVAR LOCAÇÕES</t>
  </si>
  <si>
    <t>PRESTAÇÃO DE SERVIÇOS UFVs (PATOS DE MINAS 7)   NF 1339     INOVAR LOCAÇÕES</t>
  </si>
  <si>
    <t>PRESTAÇÃO DE SERVIÇOS UFVs (PATOS DE MINAS 8)   NF 1340     INOVAR LOCAÇÕES</t>
  </si>
  <si>
    <t>COMPRA DE MATERIAIS UFVs (PATROCINIO 2 E 3) NF 9  ALEXANDRE JOSE</t>
  </si>
  <si>
    <t>Pagamento em faturamento direto, referente a compra de materiais, necessários  a construção da UFVs.  VIAPRUMO NÃO REALIZOU O PAGAMENTO ESCOPO COMERC</t>
  </si>
  <si>
    <t>[CCC05059]</t>
  </si>
  <si>
    <t>COMPRA DE MATERIAIS UFVs (LAGOA FORMOSA) NF 8  ALEXANDRE JOSE</t>
  </si>
  <si>
    <t>Pagamento em faturamento direto, referente a compra de materiais, necessários  a construção da UFVs. FD NÃO PAGO POR VIAPRUMO, ESCOPO COMERC</t>
  </si>
  <si>
    <t>[CCC05060]</t>
  </si>
  <si>
    <t>COMPRA DE MATERIAIS UFVs (PATROCINIO 2) NF 9343    POSTO SERRA NEGRA            CADASTRO</t>
  </si>
  <si>
    <t>Pagamento referente a compra de materiais, necessários a construção da usina. ESCOPO EPCISTA NÃO PAGO POR VIAPRUMO, ESCOPO COMERC</t>
  </si>
  <si>
    <t>[CCC05061]</t>
  </si>
  <si>
    <t>COMPRA DE MATERIAIS UFVs (PATROCINIO 2) NF 9164    POSTO SERRA NEGRA            CADASTRO</t>
  </si>
  <si>
    <t>COMPRA DE MATERIAIS UFVs (PARACATU 8 ) NF 1256  TAVRIDA  ADIANTAMENTO</t>
  </si>
  <si>
    <t>Pagamento em faturamento direto, referente a compra de religadores, necessário a construção da usina em contrato MT.</t>
  </si>
  <si>
    <t>[CCC05062]</t>
  </si>
  <si>
    <t>SERÁ ENVIADO NOTA</t>
  </si>
  <si>
    <t xml:space="preserve">PRESTAÇÃO DE SERVIÇOS UFVs (PATOS DE MINAS)  NF 155106   ALTAMIRO                   </t>
  </si>
  <si>
    <t>Pagamento referente a prestação de serviço de fornecimento de energia, necessário a construção da UFVs. ESCOPO EPCISTA NÃO PAGO POR VIAPRUMO, ESCOPO COMERC</t>
  </si>
  <si>
    <t>[CCC05063]</t>
  </si>
  <si>
    <t xml:space="preserve">PRESTAÇÃO DE SERVIÇOS UFVs (PATOS DE MINAS)  NF 155107   ALTAMIRO                   </t>
  </si>
  <si>
    <t>PRESTAÇÃO DE SERVIÇOS UFVs (PATOS DE MINAS 7)  NF 155172    MAURO QUEIROZ</t>
  </si>
  <si>
    <t>Pagamento referente a prestação de serviço de aluguel + fornecimento de energia, necessário a construção da UFVs. ESCOPO EPCISTA NÃO PAGO POR VIAPRUMO, ESCOPO COMERC</t>
  </si>
  <si>
    <t>[CCC05064]</t>
  </si>
  <si>
    <t>COMPRA DE MATERIAIS UFVs (ALFENAS 4) NF 47391_x000D_   INCOPRE</t>
  </si>
  <si>
    <t>Pagamento em faturamento direto referente a compra de materiais, necessário à construção da UFVs.</t>
  </si>
  <si>
    <t>[CCC05065]</t>
  </si>
  <si>
    <t>COMPRA DE MATERIAIS UFVs (BAMBUI 1.2) NF 2123    ATI</t>
  </si>
  <si>
    <t>[CCC05066]</t>
  </si>
  <si>
    <t>Bambuí 1.2_SGD</t>
  </si>
  <si>
    <t>COMPRA DE MATERIAIS UFVs (CASSIA 2) NF 2124   ATI</t>
  </si>
  <si>
    <t>COMPRA DE MATERIAIS UFVs (BAMBUI 1.1) NF 2125   ATI</t>
  </si>
  <si>
    <t>Bambuí 1.1 _SGD</t>
  </si>
  <si>
    <t>COMPRA DE MATERIAIS UFVs (CASSIA 1) NF 2126   ATI</t>
  </si>
  <si>
    <t>COMPRA DE MATERIAIS UFVs (GUARDAMOR) NF 2128    ATI</t>
  </si>
  <si>
    <t>002469</t>
  </si>
  <si>
    <t>PRESTAÇÃO DE SERVIÇOS UFVs (GUARDAMOR)       NF 235    ATI</t>
  </si>
  <si>
    <t>002470</t>
  </si>
  <si>
    <t>PRESTAÇÃO DE SERVIÇOS UFVs (GUARDAMOR)       NF 236    ATI</t>
  </si>
  <si>
    <t>PRESTAÇÃO DE SERVIÇOS UFVs (VARJAO DE MINAS 1)       NF 237    ATI</t>
  </si>
  <si>
    <t>PRESTAÇÃO DE SERVIÇOS UFVs (VARJAO DE MINAS 1)       NF 238    ATI</t>
  </si>
  <si>
    <t>PRESTAÇÃO DE SERVIÇOS UFVs (VARGINHA 5)       NF 239    ATI</t>
  </si>
  <si>
    <t>PRESTAÇÃO DE SERVIÇOS UFVs (VARGINHA 5)       NF 240    ATI</t>
  </si>
  <si>
    <t>PRESTAÇÃO DE SERVIÇOS UFVs (SÃO SEBASTIÃO DO OESTE 3)  NF 22   AZUOS</t>
  </si>
  <si>
    <t>Pagamento referente ao serviço de de cercamento das
placas solares na usina de ernergia, necessário a construção da UFVs. ESCOPO COMERC</t>
  </si>
  <si>
    <t>[CCC04967]</t>
  </si>
  <si>
    <t>PRESTAÇÃO DE SERVIÇOS UFVs (SÃO SEBASTIÃO DO OESTE 3) NF 804    RONDA PORTEIROS</t>
  </si>
  <si>
    <t>PRESTAÇÃO DE SERVIÇOS UFVs (PATROCINIO 2)  NF 99   RPA        CADASTRO</t>
  </si>
  <si>
    <t>Pagamento referente a serviço e taxa de instalação de internet, necessário a construção da UFVs.</t>
  </si>
  <si>
    <t>[CCC05068]</t>
  </si>
  <si>
    <t xml:space="preserve">PRESTAÇÃO DE SERVIÇOS UFVs (PATROCINIO 2)  NF 99   RPA        </t>
  </si>
  <si>
    <t>002471</t>
  </si>
  <si>
    <t>PRESTAÇÃO DE SERVIÇOS UFVs (DIVINOPOLIS 1)     NF 27491</t>
  </si>
  <si>
    <t xml:space="preserve">Pagamento de medição referente a fornecimento de material e mão de obra especializada para serviços de instalação eletromecanicas e civil, necessário à cosntrução da UFVs. </t>
  </si>
  <si>
    <t>[CCC05069]</t>
  </si>
  <si>
    <t>002472</t>
  </si>
  <si>
    <t>PRESTAÇÃO DE SERVIÇOS UFVs (DIVINOPOLIS 2)     NF 27492</t>
  </si>
  <si>
    <t>002473</t>
  </si>
  <si>
    <t>PRESTAÇÃO DE SERVIÇOS UFVs (SÃO SEBASTIÃO DO OESTE 6)     NF 27494</t>
  </si>
  <si>
    <t>PRESTAÇÃO DE SERVIÇOS UFVs (SANTO ANTONIO DO AMPARO 1)   NF 806    RONDA PORTEIROS              ADITIVO</t>
  </si>
  <si>
    <t>Pagamento em faturamento direto, referente ao aditivo de 2 vigias noturnos, necessários  a construção da UFVs.</t>
  </si>
  <si>
    <t>[CCC05070]</t>
  </si>
  <si>
    <t>002474</t>
  </si>
  <si>
    <t>PRESTAÇÃO DE SERVIÇOS UFVs (JABOTICATUBAS)  NF 35 LOC CASTRO</t>
  </si>
  <si>
    <t>Pagamento em faturamento direto, referente a locação de equipamentos, referente aos serviços de supressão e terraplenagem, necessário a construção da usinas, CONTRATO ORCI .</t>
  </si>
  <si>
    <t>[CCC05071]</t>
  </si>
  <si>
    <t>002475</t>
  </si>
  <si>
    <t>COMPRA DE MATERIAIS UFVs (PEDRA DO INDAIÁ 5) NF 139641    CIMENTOLANDIA</t>
  </si>
  <si>
    <t xml:space="preserve"> Pagamento em faturamento direto referente a compra de materiais, necessário a construção da usinas. </t>
  </si>
  <si>
    <t>[CCC05072]</t>
  </si>
  <si>
    <t>002514</t>
  </si>
  <si>
    <t>PRESTAÇÃO DE SERVIÇOS UFVs (JABOTICATUBAS)  NF 14 COSTERR</t>
  </si>
  <si>
    <t>Pagamento em faturamento direto, referente a locação de equipamentos, referente aos serviços de supressão e terraplenagem, necessário a construção da usinas, CONTRATO ORCI . Obras rodoviárias, civis e infraestrutura</t>
  </si>
  <si>
    <t>[CCC05073]</t>
  </si>
  <si>
    <t>004868</t>
  </si>
  <si>
    <t>PRESTAÇÃO DE SERVIÇOS  IMPLANTAÇÃO  NF 430  PERFIL  MAIO/23</t>
  </si>
  <si>
    <t>Pagamento referente ao fornecimento de mão de obra temporária (planejamento/suprimentos/compras), necessários a construção das usinas.</t>
  </si>
  <si>
    <t>[CCC05074]</t>
  </si>
  <si>
    <t xml:space="preserve">MEDIÇÃO (EPC – GLD) </t>
  </si>
  <si>
    <t>PRESTAÇÃO DE SERVIÇOS UFVs (ALFENAS 4)  NF 471</t>
  </si>
  <si>
    <t>Pagamento de 5º medição referente a prestação de serviço de mão de obra, necessário à construção da UFVs. 65%</t>
  </si>
  <si>
    <t>[CCC05075]</t>
  </si>
  <si>
    <t>PRESTAÇÃO DE SERVIÇOS UFVs (ALFENAS 4)  NF 472</t>
  </si>
  <si>
    <t>Pagamento de 5º medição referente a elaboração de planos, necessário à construção da UFVs. 35%</t>
  </si>
  <si>
    <t>PRESTAÇÃO DE SERVIÇOS UFVs (CAMPO BELO 1)  NF 473</t>
  </si>
  <si>
    <t>Pagamento de 6º medição referente a prestação de serviço de mão de obra, necessário à construção da UFVs. 65%</t>
  </si>
  <si>
    <t>[CCC05076]</t>
  </si>
  <si>
    <t>PRESTAÇÃO DE SERVIÇOS UFVs (CAMPO BELO 1)  NF 475</t>
  </si>
  <si>
    <t>Pagamento de 6º medição referente a elaboração de planos, necessário à construção da UFVs. 35%</t>
  </si>
  <si>
    <t>PRESTAÇÃO DE SERVIÇOS UFVs (CAMPO BELO 2)  NF 476</t>
  </si>
  <si>
    <t>Pagamento de 8º medição referente a prestação de serviço de mão de obra, necessário à construção da UFVs. 65%</t>
  </si>
  <si>
    <t>[CCC05077]</t>
  </si>
  <si>
    <t>PRESTAÇÃO DE SERVIÇOS UFVs (CAMPO BELO 2)  NF 477</t>
  </si>
  <si>
    <t>Pagamento de 8º medição referente a elaboração de planos, necessário à construção da UFVs. 35%</t>
  </si>
  <si>
    <t>COMPRA DE MATERIAIS UFVs (PARAGUAÇU) NF 19927 SIEMENS excluido já havia pedido gerado</t>
  </si>
  <si>
    <t>Pagamento em faturamento direto, referente a compra de rele de proteção, necessário a construção das usinas, em contrato AT.</t>
  </si>
  <si>
    <t>[CCC05078]</t>
  </si>
  <si>
    <t>COMPRA DE MATERIAIS UFVs (VARGINHA 2) NF 19928 SIEMENS excluido já havia pedido gerado</t>
  </si>
  <si>
    <t>Pagamento em faturamento direto, referente a compra de rele de proteção, necessário a construção das usinas em contrato AT.</t>
  </si>
  <si>
    <t>[CCC05079]</t>
  </si>
  <si>
    <t>A403 - MORI MINAS NEWCO IV - UFV CAMPO BELO 1</t>
  </si>
  <si>
    <t>001774</t>
  </si>
  <si>
    <t>PRESTAÇÃO DE SERVIÇOS UFVs ( CAMPO BELO 1) NF 120   META PLANEJAMENTO</t>
  </si>
  <si>
    <t>Pagamento referente a adequação fundiária, necessário a construção das usinas . ESCOPO COMERC</t>
  </si>
  <si>
    <t>[CCC05080]</t>
  </si>
  <si>
    <t xml:space="preserve">  META PLANEJAMENTO</t>
  </si>
  <si>
    <t>002481</t>
  </si>
  <si>
    <t>PRESTAÇÃO DE SERVIÇOS UFVs (JABOTICATUBAS) NF 28    ORCI   TERRAPLENAGEM</t>
  </si>
  <si>
    <t>Pagamento de 3° medição, referente ao serviço de supressão e terraplenagem, necessário a construção da usina. IMPLANTAR</t>
  </si>
  <si>
    <t>[CCC05081]</t>
  </si>
  <si>
    <t>BALDONI / MCD BALDONI - Terraplanagem  UFVs (PARAGUAÇU 1)  20%  NF 211</t>
  </si>
  <si>
    <t>[CCC05082]</t>
  </si>
  <si>
    <t>001776</t>
  </si>
  <si>
    <t>BALDONI / Baldoni Engenharia -Terraplanagem  UFVs (PARAGUAÇU 1)  80%  N 373</t>
  </si>
  <si>
    <t>BALDONI / MCD BALDONI - Terraplanagem  UFVs (TRES CORAÇÕES 3)  20%  NF 213</t>
  </si>
  <si>
    <t>[CCC05083]</t>
  </si>
  <si>
    <t>BALDONI / Baldoni Engenharia -Terraplanagem  UFVs (TRES CORAÇÕES 3)  80%  NF 375</t>
  </si>
  <si>
    <t>BALDONI / MCD BALDONI - Terraplanagem  UFVs (MUZAMBINHO 1)  20%  NF 212</t>
  </si>
  <si>
    <t>[CCC05084]</t>
  </si>
  <si>
    <t>001780</t>
  </si>
  <si>
    <t>BALDONI / Baldoni Engenharia -Terraplanagem  UFVs (MUZABINHO 1)  80%  N 374</t>
  </si>
  <si>
    <t>PRESTAÇÃO DE SERVIÇOS UFVs ( CAMPO BELO 3 ) NF  4    ADRIANA CRISTINA</t>
  </si>
  <si>
    <t>[CCC05085]</t>
  </si>
  <si>
    <t>WEG PRESTAÇÃO DE SERVIÇOS UFVs (CASSIA 2)  EVENTO 8 ADIANTAMENTO</t>
  </si>
  <si>
    <t>[CCC05086]</t>
  </si>
  <si>
    <t>A407 - MORI MINAS NEWCO IV - UFV OURO FINO 2</t>
  </si>
  <si>
    <t>001782</t>
  </si>
  <si>
    <t>PRESTAÇÃO DE SERVIÇOS UFVs (OURO FINO 2 )  NF 511   OUROPAV</t>
  </si>
  <si>
    <t>Pagamento de medição 1, referente a terraplanagem, necessário a construção da usina . CONTRATO OUROPAV</t>
  </si>
  <si>
    <t>[CCC05087]</t>
  </si>
  <si>
    <t>Ouro Fino 2 _Obras Terraplanagem</t>
  </si>
  <si>
    <t>002484</t>
  </si>
  <si>
    <t xml:space="preserve">PRESTAÇÃO DE SERVIÇOS UFVs (DIVINOPOLIS 2) NF  25  CONSTRUTORA RESENDE </t>
  </si>
  <si>
    <t>Pagamento de medição referente ao serviço de terraplanagem, necessário a construção da usina. CONTRATO  CONSTRUTORA RESENDE</t>
  </si>
  <si>
    <t>[CCC05088]</t>
  </si>
  <si>
    <t>CONSTRUTORA RESENDE</t>
  </si>
  <si>
    <t>COMPRA DE MATERIAIS UFVs (CAMPO BELO 4) NF 335 CB PARAFUSOS</t>
  </si>
  <si>
    <t>Pagamento referente a compra de materiais, necessário à construção da UFV.</t>
  </si>
  <si>
    <t>[CCC05089]</t>
  </si>
  <si>
    <t>002485</t>
  </si>
  <si>
    <t xml:space="preserve">PRESTAÇÃO DE SERVIÇOS UFVs (DIVINOPOLIS 1) NF  26  CONSTRUTORA RESENDE </t>
  </si>
  <si>
    <t>[CCC05090]</t>
  </si>
  <si>
    <t>BALDONI / MCD BALDONI - Terraplanagem  UFVs (PASSOS 4)  20%  NF 214</t>
  </si>
  <si>
    <t>[CCC05091]</t>
  </si>
  <si>
    <t>BALDONI / Baldoni Engenharia -Terraplanagem  UFVs (PASSOS 4)  80%  N 376</t>
  </si>
  <si>
    <t>002486</t>
  </si>
  <si>
    <t>COMPRA DE MATERIAIS UFVs (JABOTICATUBAS) NF 214574   LOJA ELETRICA</t>
  </si>
  <si>
    <t>Pagamento em faturamento direto, referente a compra de materiais, necessários  a construção da UFVs, em contrato EPC.</t>
  </si>
  <si>
    <t>[CCC05092]</t>
  </si>
  <si>
    <t>002488</t>
  </si>
  <si>
    <t>COMPRA DE MATERIAIS UFVs (INDAIABIRA 4) NF 789   CONSTRUOLIVEIRA</t>
  </si>
  <si>
    <t>Pagamento referente a compra de materiais faltantes para o projeto de drenagem, necessário à construção da UFVs. ESCOPO COMERC</t>
  </si>
  <si>
    <t>[CCC05093]</t>
  </si>
  <si>
    <t>PRESTAÇÃO DE SERVIÇOS UFVs (ALFENAS 4) NF  271   PIRES TOPOGRAFIA</t>
  </si>
  <si>
    <t>Pagamento referente ao levantamento topografico, necessário à construção da UFVs. ESCOPO COMERC</t>
  </si>
  <si>
    <t>[CCC05094]</t>
  </si>
  <si>
    <t>PRESTAÇÃO DE SERVIÇOS UFVs ( BAMBUI 1.2)  NF 287  SEVEN ENGENHARIA</t>
  </si>
  <si>
    <t>Pagamento referente a medição de ELABORAÇÃO DE PROJETO CONTRA INCÊNDIO 2ª PARCELA</t>
  </si>
  <si>
    <t>[CCC05095]</t>
  </si>
  <si>
    <t>PRESTAÇÃO DE SERVIÇOS UFVs ( BAMBUI 1.1)  NF  291  SEVEN ENGENHARIA</t>
  </si>
  <si>
    <t>002490</t>
  </si>
  <si>
    <t>PRESTAÇÃO DE SERVIÇOS UFVs (BURITIZEIRO 1 )  NF 301  SEVEN ENGENHARIA</t>
  </si>
  <si>
    <t>002489</t>
  </si>
  <si>
    <t>COMPRA DE MATERIAIS UFVs (JABOTICATUBAS) NF 27369  PAULO CESAR</t>
  </si>
  <si>
    <t>Pagamento em faturamento direto referente a compra de materiais, necessário à construção da UFVS.</t>
  </si>
  <si>
    <t>[CCC05096]</t>
  </si>
  <si>
    <t xml:space="preserve">PRESTAÇÃO DE SERVIÇOS  UFVs ( CASSIA 1) NF 63  IMPACTO ENGENHARIA   </t>
  </si>
  <si>
    <t>Pagamento referente prestação de serviço para execução do cercamento interno dividindo as UGs . OBRIGAÇÕES CEMIG  ESCOPO COMERC</t>
  </si>
  <si>
    <t>[CCC05097]</t>
  </si>
  <si>
    <t>001278</t>
  </si>
  <si>
    <t xml:space="preserve">PRESTAÇÃO DE SERVIÇOS  UFVs ( CASSIA 2) NF 62  IMPACTO ENGENHARIA </t>
  </si>
  <si>
    <t>PRESTAÇÃO DE SERVIÇOS UFVs (PARACATU 8)  SEVEN ENGENHARIA NF 279</t>
  </si>
  <si>
    <t>[CCC05098]</t>
  </si>
  <si>
    <t>PRESTAÇÃO DE SERVIÇOS UFVs (CASSIA 2)  SEVEN ENGENHARIA NF 280</t>
  </si>
  <si>
    <t>ENVIADO AO FISCAL</t>
  </si>
  <si>
    <t>PRESTAÇÃO DE SERVIÇOS UFVs (FREI INOCENCIO)  SEVEN ENGENHARIA NF 281</t>
  </si>
  <si>
    <t>PRESTAÇÃO DE SERVIÇOS UFVs (VARJÃO DE MINAS 1)  SEVEN ENGENHARIA NF 282</t>
  </si>
  <si>
    <t>PRESTAÇÃO DE SERVIÇOS UFVs (NOVA PONTE 1)  SEVEN ENGENHARIA NF 283</t>
  </si>
  <si>
    <t>001773</t>
  </si>
  <si>
    <t>PRESTAÇÃO DE SERVIÇOS UFVs (LAGOA FORMOSA)  SEVEN ENGENHARIA NF 284</t>
  </si>
  <si>
    <t>001259</t>
  </si>
  <si>
    <t>PRESTAÇÃO DE SERVIÇOS UFVs (SÃO SEBASTIÃO DO OESTE 5)  SEVEN ENGENHARIA NF 285</t>
  </si>
  <si>
    <t>001260</t>
  </si>
  <si>
    <t>PRESTAÇÃO DE SERVIÇOS UFVs (SÃO SEBASTIÃO DO OESTE 3)  SEVEN ENGENHARIA NF 286</t>
  </si>
  <si>
    <t>PRESTAÇÃO DE SERVIÇOS UFVs (CAMPO BELO 4)  SEVEN ENGENHARIA NF 288</t>
  </si>
  <si>
    <t>001262</t>
  </si>
  <si>
    <t>PRESTAÇÃO DE SERVIÇOS UFVs (VARGINHA 2)  SEVEN ENGENHARIA NF 289</t>
  </si>
  <si>
    <t>PRESTAÇÃO DE SERVIÇOS UFVs (CASSIA 1)  SEVEN ENGENHARIA NF 290</t>
  </si>
  <si>
    <t>PRESTAÇÃO DE SERVIÇOS UFVs (VARGINHA 5)  SEVEN ENGENHARIA NF 292</t>
  </si>
  <si>
    <t>PRESTAÇÃO DE SERVIÇOS UFVs (VARGINHA 1)  SEVEN ENGENHARIA NF 293</t>
  </si>
  <si>
    <t>002492</t>
  </si>
  <si>
    <t>PRESTAÇÃO DE SERVIÇOS UFVs (SÃO SEBASTIÃO DO OESTE 0)  SEVEN ENGENHARIA NF 294</t>
  </si>
  <si>
    <t>002493</t>
  </si>
  <si>
    <t>PRESTAÇÃO DE SERVIÇOS UFVs (INDAIABIRA 4)  SEVEN ENGENHARIA NF 295</t>
  </si>
  <si>
    <t>002494</t>
  </si>
  <si>
    <t>PRESTAÇÃO DE SERVIÇOS UFVs (INDAIABIRA 3)  SEVEN ENGENHARIA NF 296</t>
  </si>
  <si>
    <t>002495</t>
  </si>
  <si>
    <t>PRESTAÇÃO DE SERVIÇOS UFVs (INDAIABIRA 2)  SEVEN ENGENHARIA NF 297</t>
  </si>
  <si>
    <t>002496</t>
  </si>
  <si>
    <t>PRESTAÇÃO DE SERVIÇOS UFVs (INDAIABIRA 1)  SEVEN ENGENHARIA NF 298</t>
  </si>
  <si>
    <t>002497</t>
  </si>
  <si>
    <t>PRESTAÇÃO DE SERVIÇOS UFVs (GUARDA MOR)  SEVEN ENGENHARIA NF 299</t>
  </si>
  <si>
    <t>002498</t>
  </si>
  <si>
    <t>PRESTAÇÃO DE SERVIÇOS UFVs (BURITIZEIRO 2)  SEVEN ENGENHARIA NF 300</t>
  </si>
  <si>
    <t>PRESTAÇÃO DE SERVIÇOS UFVs ( CASSIA 1) NF 15  SRJ PROTEÇÃO</t>
  </si>
  <si>
    <t>[CCC05099]</t>
  </si>
  <si>
    <t>001263</t>
  </si>
  <si>
    <t>PRESTAÇÃO DE SERVIÇOS UFVs (CASSIA 2) NF 14  SRJ PROTEÇÃO</t>
  </si>
  <si>
    <t>PRESTAÇÃO DE SERVIÇOS UFVs (CAMPO BELO 4) NF 16  SRJ PROTEÇÃO</t>
  </si>
  <si>
    <t>002491</t>
  </si>
  <si>
    <t>PRESTAÇÃO DE SERVIÇOS UFVs ( DIVINOPOLIS 3)   NF 1307 EGF CONSTRUTORA</t>
  </si>
  <si>
    <t>Pagamento medição 3, referente a obra de drenagem, necessária a construção da usina.   48 % CONTRATO EGF CONSTRUTORA</t>
  </si>
  <si>
    <t>[CCC05100]</t>
  </si>
  <si>
    <t>WEG PRESTAÇÃO DE SERVIÇO UFVs (SÃO SEBASTIÃO DO OESTE 1) NF 282 INTEGRADOR BN SERVIÇOS</t>
  </si>
  <si>
    <t>Pagamento medição, referente a Conclusão dos Testes de comissionamento a quente, contrato FULL EPC WEG. EVENTO 9</t>
  </si>
  <si>
    <t>[CCC05101]</t>
  </si>
  <si>
    <t>WEG PRESTAÇÃO DE SERVIÇO UFVs (CASSIA 2)  NF 148  INTEGRADOR INNOVA ENERGY</t>
  </si>
  <si>
    <t xml:space="preserve">WEG PRESTAÇÃO DE SERVIÇO UFVs (NOVA PONTE 1)  NF 92  INTEGRADOR APOGEU </t>
  </si>
  <si>
    <t>002499</t>
  </si>
  <si>
    <t>PRESTAÇÃO DE SERVIÇOS UFVs (PEDRA DO INDAIA 1) NF 478</t>
  </si>
  <si>
    <t>[CCC05102]</t>
  </si>
  <si>
    <t>002500</t>
  </si>
  <si>
    <t>PRESTAÇÃO DE SERVIÇOS UFVs (PEDRA DO INDAIA 1) NF 479</t>
  </si>
  <si>
    <t>002501</t>
  </si>
  <si>
    <t>PRESTAÇÃO DE SERVIÇOS UFVs (DIVINOPOLIS 3) NF 480</t>
  </si>
  <si>
    <t>002502</t>
  </si>
  <si>
    <t>PRESTAÇÃO DE SERVIÇOS UFVs (DIVINOPOLIS 3) NF 481</t>
  </si>
  <si>
    <t>PRESTAÇÃO DE SERVIÇOS UFVs (FORMIGA 6) NF 482</t>
  </si>
  <si>
    <t>PRESTAÇÃO DE SERVIÇOS UFVs (FORMIGA 6) NF 483</t>
  </si>
  <si>
    <t>PRESTAÇÃO DE SERVIÇOS UFVs (ARCOS 7) NF 484</t>
  </si>
  <si>
    <t>001792</t>
  </si>
  <si>
    <t>PRESTAÇÃO DE SERVIÇOS UFVs (ARCOS 7) NF 485</t>
  </si>
  <si>
    <t>COMPRA DE MATERIAIS UFVs (OURO FINO 2 ) NF 1218   TAVRIDA  VINCULADO  AO PEDIDO 001411 A401</t>
  </si>
  <si>
    <t>Pagamento referente a compra de religador trifásico, necessários a construção da usina. 50 %  FINAIS</t>
  </si>
  <si>
    <t>COMPRA DE MATERIAIS UFVs (PARAGUAÇU 1 ) NF  1219 TAVRIDA VINCULADO AO PEDIDO 001415 A401</t>
  </si>
  <si>
    <t>COMPRA DE MATERIAIS UFVs (VARGINHA 5) NF 2135</t>
  </si>
  <si>
    <t>[CCC05103]</t>
  </si>
  <si>
    <t>COMPRA DE MATERIAIS UFVs (VARJÃO DE MINAS 1) NF 2136</t>
  </si>
  <si>
    <t>COMPRA DE MATERIAIS UFVs (BAMBUI 1.1) NF 2137</t>
  </si>
  <si>
    <t>COMPRA DE MATERIAIS UFVs (BAMBUI 1.2) NF 2138</t>
  </si>
  <si>
    <t>002503</t>
  </si>
  <si>
    <t>PRESTAÇÃO DE SERVIÇOS UFVs (GUARDAMOR) NF 245</t>
  </si>
  <si>
    <t>Pagamento em faturamento direto referente ao projeto de instalacao (as-built) incluindo vistoria , necessário à construção da UFVs.</t>
  </si>
  <si>
    <t>[CCC05104]</t>
  </si>
  <si>
    <t>PRESTAÇÃO DE SERVIÇOS UFVs (VARJÃO DE MINAS 1) NF 246</t>
  </si>
  <si>
    <t>PRESTAÇÃO DE SERVIÇOS UFVs (SÃO SEBASTIÃO DO OESTE 3) NF 247</t>
  </si>
  <si>
    <t>0201-UFV CORINTO</t>
  </si>
  <si>
    <t>PRESTAÇÃO DE SERVIÇOS UFVs ( CORINTO) NF 169  SVA TECNOLOGIA</t>
  </si>
  <si>
    <t>Pagamento referente ao retrofit do sistema de CFTV da usina de Corinto. IMPLANTAÇÃO</t>
  </si>
  <si>
    <t>[CCC05105]</t>
  </si>
  <si>
    <t>SVA TECNOLOGIA</t>
  </si>
  <si>
    <t xml:space="preserve">COMPRA DE MATERIAIS UFVs( CORINTO ) NF 732  SVA TECNOLOGIA </t>
  </si>
  <si>
    <t xml:space="preserve">Estação solarimétrica - Hukseflux UFVs (CAMPO BELO 2) VINCULO PEDIDO 000266 A301 NF </t>
  </si>
  <si>
    <t>Pagamento referente a compra de equipamentos adicional de monitoração de condições atmosféricas, 70% FINAIS.</t>
  </si>
  <si>
    <t>[CCC05106]</t>
  </si>
  <si>
    <t xml:space="preserve">Estação solarimétrica - Hukseflux UFVs (ALFENAS 4 ) VINCULO PEDIDO 000270  A301 NF </t>
  </si>
  <si>
    <t xml:space="preserve">Pagamento refrente a compra de equipamentos adicional de monitoração de condições atmosféricas, 70% FINAIS. </t>
  </si>
  <si>
    <t xml:space="preserve">Estação solarimétrica - Hukseflux UFVs (CAMPO BELO 1) VINCULO PEDIDO 000349 A401 NF </t>
  </si>
  <si>
    <t xml:space="preserve">Estação solarimétrica - Hukseflux UFVs (SANTO ANTONIO DO AMPARO 1) VINCULO PEDIDO 000354 A401 NF </t>
  </si>
  <si>
    <t>002511</t>
  </si>
  <si>
    <t xml:space="preserve">Estação solarimétrica - Hukseflux UFVs (DIVINOPOLIS 1) VINCULO PEDIDO 000511 A606 NF </t>
  </si>
  <si>
    <t>002512</t>
  </si>
  <si>
    <t xml:space="preserve">Estação solarimétrica - Hukseflux UFVs (DIVINOPOLIS 2) VINCULO PEDIDO 000513 A606 NF </t>
  </si>
  <si>
    <t xml:space="preserve"> Hukseflux</t>
  </si>
  <si>
    <t>002513</t>
  </si>
  <si>
    <t xml:space="preserve">Estação solarimétrica - Hukseflux UFVs (SÃO SEBASTIÃO DO OESTE 6 ) VINCULO PEDIDO 000523 A604 NF </t>
  </si>
  <si>
    <t>São Sebastião 6 _Estação solarimétrica</t>
  </si>
  <si>
    <t>002504</t>
  </si>
  <si>
    <t>COMPRA DE MATERIAIS UFVs (JABOTICATUBAS) NF 8673  ZETA POSTES</t>
  </si>
  <si>
    <t>Pagamento em faturamento direto referente a compra de materiais, necessário à construção da UFVs, em contrato MT.</t>
  </si>
  <si>
    <t>[CCC05107]</t>
  </si>
  <si>
    <t>002505</t>
  </si>
  <si>
    <t>COMPRA DE MATERIAIS UFVs (JABOTICATUBAS) NF 5108  TEC FIBRAS</t>
  </si>
  <si>
    <t>AS01- MORI 3 PARTICIPAÇÕES LTDA</t>
  </si>
  <si>
    <t>0000009</t>
  </si>
  <si>
    <t>PRESTAÇÃO DE SERVIÇOS  MG/BA  NF 171  GEOVANY</t>
  </si>
  <si>
    <t>Parcela de pagamento restante de levantamento planialtimétrico de 20 áreas de UFV na BA e MG. IMPLANTAÇÃO CICLO 3</t>
  </si>
  <si>
    <t>[CCC05108]</t>
  </si>
  <si>
    <t>0000010</t>
  </si>
  <si>
    <t>PRESTAÇÃO DE SERVIÇOS  MG/BA  NF 172  GEOVANY</t>
  </si>
  <si>
    <t>Parcela de adiantamento relativa ao levantamento planialtimétrico de 6 áreas de UFV na BA e MS. IMPLANTAÇÃO  CICLO 3 50%</t>
  </si>
  <si>
    <t>COMPRAS DE MATERIAIS UFVs (BAMBUI 1.1)  ATI  NF 2139</t>
  </si>
  <si>
    <t>Pagamento referente a compra de materiais, necessário a construção das usinas.  **NOTA DE REMESSA NÃO GERA FINANCEIRO, APENAS ESCRITURAR**</t>
  </si>
  <si>
    <t>[CCC05109]</t>
  </si>
  <si>
    <t>COMPRAS DE MATERIAIS UFVs (BAMBUI 1.1)  ATI  NF 2140</t>
  </si>
  <si>
    <t>COMPRAS DE MATERIAIS UFVs (BAMBUI 1.2)  ATI  NF 2141</t>
  </si>
  <si>
    <t>COMPRAS DE MATERIAIS UFVs (BAMBUI 1.2)  ATI  NF 2142</t>
  </si>
  <si>
    <t>COMPRAS DE MATERIAIS UFVs (CASSIA 1)  ATI  NF 2143</t>
  </si>
  <si>
    <t>COMPRAS DE MATERIAIS UFVs (CASSIA 1)  ATI  NF 2144</t>
  </si>
  <si>
    <t>001276</t>
  </si>
  <si>
    <t>COMPRAS DE MATERIAIS UFVs (CASSIA 2)  ATI  NF 2145</t>
  </si>
  <si>
    <t>COMPRAS DE MATERIAIS UFVs (CASSIA 2)  ATI  NF 2146</t>
  </si>
  <si>
    <t>PRESTAÇÃO DE SERVIÇOS UFVs CLUSTER 3  NF 1335  INOVAR</t>
  </si>
  <si>
    <t>Pagamento referente ao aluguel de containers, necessário a construção das usinas. ESCOPO COMERC ATÉ NOVA EPCISTA ASSUMIR.</t>
  </si>
  <si>
    <t>[CCC05110]</t>
  </si>
  <si>
    <t>PRESTAÇÃO DE SERVIÇOS UFVs (PATROCINIO 2) NF 41  CRITICAL PV</t>
  </si>
  <si>
    <t>Pagamento de medição referente a serviços eletromecânicos , necessário a construção das usinas. CONTRATO CRITICAL PV ASSUMIR.</t>
  </si>
  <si>
    <t>[CCC05111]</t>
  </si>
  <si>
    <t>CRITICAL PV</t>
  </si>
  <si>
    <t>PRESTAÇÃO DE SERVIÇOS UFVs (PATROCINIO 3) NF 42  CRITICAL PV</t>
  </si>
  <si>
    <t>002506</t>
  </si>
  <si>
    <t>COMPRA DE MATERIAIS UFVs (JABOTICATUBAS) NF 27866  EXPONENCIAL</t>
  </si>
  <si>
    <t>[CCC05112]</t>
  </si>
  <si>
    <t>PRESTAÇÃO DE SERVIÇOS UFVs CLUSTER 3  NF 4  RANDER MOTA</t>
  </si>
  <si>
    <t xml:space="preserve">Pagamento referente a locação de tenda piramidal, necessário à construção das usinas. ESCOPO COMERC ATÉ EMPRESA CONTRATADA ASSUMIR  </t>
  </si>
  <si>
    <t>[CCC05113]</t>
  </si>
  <si>
    <t>PRESTAÇÃO DE SERVIÇOS UFVs ( PATOS DE MINAS ) NF 695  SOUZA LIMA</t>
  </si>
  <si>
    <t>Pagamento referente a vigiliancia, necessária para construção da usina. ** NOTAS SINALIZADAS CONFORME SOLICITADO **</t>
  </si>
  <si>
    <t>[CCC05114]</t>
  </si>
  <si>
    <t>PRESTAÇÃO DE SERVIÇOS UFVs ( VARJÃO DE MINAS 1 ) NF 696 SOUZA LIMA</t>
  </si>
  <si>
    <t>PRESTAÇÃO DE SERVIÇOS UFVs ( PATOS DE MINAS  ) NF  700 SOUZA LIMA</t>
  </si>
  <si>
    <t>PRESTAÇÃO DE SERVIÇOS UFVs ( PATOS DE MINAS ) NF 701 SOUZA LIMA</t>
  </si>
  <si>
    <t>PRESTAÇÃO DE SERVIÇOS UFVs   ( PATOS DE MINAS ) NF 702 SOUZA LIMA</t>
  </si>
  <si>
    <t>PRESTAÇÃO DE SERVIÇOS UFVs ( PATROCINIO 2 ) NF 703  SOUZA LIMA</t>
  </si>
  <si>
    <t>PRESTAÇÃO DE SERVIÇOS UFVs   ( PATOS DE MINAS ) NF 704 SOUZA LIMA</t>
  </si>
  <si>
    <t>PRESTAÇÃO DE SERVIÇOS UFVs ( LAGOA FORMOSA ) NF 705  SOUZA LIMA</t>
  </si>
  <si>
    <t>PRESTAÇÃO DE SERVIÇOS UFVs ( PATROCINIO 3) NF 706  SOUZA LIMA</t>
  </si>
  <si>
    <t>PRESTAÇÃO DE SERVIÇOS UFVs ( PATOS DE MINAS ) NF 707  SOUZA LIMA</t>
  </si>
  <si>
    <t>PRESTAÇÃO DE SERVIÇOS UFVs ( VARJÃO DE MINAS 1) NF 708  SOUZA LIMA</t>
  </si>
  <si>
    <t>PRESTAÇÃO DE SERVIÇOS UFVs (PATOS DE MINAS )  SOUZA LIMA NF 880</t>
  </si>
  <si>
    <t>[CCC05115]</t>
  </si>
  <si>
    <t>PRESTAÇÃO DE SERVIÇOS UFVs (PATOS DE MINAS )  SOUZA LIMA NF 881</t>
  </si>
  <si>
    <t>PRESTAÇÃO DE SERVIÇOS UFVs (PATOS DE MINAS )  SOUZA LIMA NF 882</t>
  </si>
  <si>
    <t>PRESTAÇÃO DE SERVIÇOS UFVs (PATOS DE MINAS )  SOUZA LIMA NF 883</t>
  </si>
  <si>
    <t>PRESTAÇÃO DE SERVIÇOS UFVs (PATOS DE MINAS )  SOUZA LIMA NF 884</t>
  </si>
  <si>
    <t>PRESTAÇÃO DE SERVIÇOS UFVs (PATROCINIO )  SOUZA LIMA NF 885</t>
  </si>
  <si>
    <t>PRESTAÇÃO DE SERVIÇOS UFVs (VARJAO DE MINAS )  SOUZA LIMA NF 886</t>
  </si>
  <si>
    <t>PRESTAÇÃO DE SERVIÇOS UFVs (PATOS DE MINAS )  SOUZA LIMA NF 887</t>
  </si>
  <si>
    <t>PRESTAÇÃO DE SERVIÇOS UFVs (LAGOA FORMOSA )  SOUZA LIMA NF 888</t>
  </si>
  <si>
    <t>PRESTAÇÃO DE SERVIÇOS UFVs (PATROCINIO )  SOUZA LIMA NF 889</t>
  </si>
  <si>
    <t>COMPRA MATERIAIS  PARA AS UFVs (DIVINOPOLIS 1)   N: 4027641 -1</t>
  </si>
  <si>
    <t>A606000464</t>
  </si>
  <si>
    <t>COMPRA MATERIAIS PARA UFVs (DIVINOPOLIS 1 )   NF 3735</t>
  </si>
  <si>
    <t>postes de DIVINOPOLIS 1</t>
  </si>
  <si>
    <t>[CCC03578]</t>
  </si>
  <si>
    <t>7001-CONSORCIO UFV CORINTO II.V</t>
  </si>
  <si>
    <t>PRESTAÇÃO DE SERVIÇOS UFVs (POUSO ALEGRE 1 )  F 160619015  CEMIG</t>
  </si>
  <si>
    <t>Pagamento referente a 1ª parcela da PFC do parecer de acesso de Pouso Alegre I – 2,5MW. ESCOPO COMERC 1/6</t>
  </si>
  <si>
    <t>[CCC05116]</t>
  </si>
  <si>
    <t>GEOVANY  UFVs  JUNHO/2023 NF  175</t>
  </si>
  <si>
    <t>[CCC05117]</t>
  </si>
  <si>
    <t>GEOVANY  UFVs  JULHO/2023 NF  176</t>
  </si>
  <si>
    <t>002524</t>
  </si>
  <si>
    <t>PRESTAÇÃO DE SERVIÇOS UFVs (PEDRA DO INDAIA 5) NF 486</t>
  </si>
  <si>
    <t>[CCC05118]</t>
  </si>
  <si>
    <t>002525</t>
  </si>
  <si>
    <t>PRESTAÇÃO DE SERVIÇOS UFVs (PEDRA DO INDAIA 5) NF 487</t>
  </si>
  <si>
    <t>002526</t>
  </si>
  <si>
    <t>PRESTAÇÃO DE SERVIÇOS UFVs (DIVINOPOLIS 3) NF 488</t>
  </si>
  <si>
    <t>002527</t>
  </si>
  <si>
    <t>PRESTAÇÃO DE SERVIÇOS UFVs (DIVINOPOLIS 3) NF 489</t>
  </si>
  <si>
    <t>002528</t>
  </si>
  <si>
    <t>PRESTAÇÃO DE SERVIÇOS UFVs (DIVINOPOLIS 3) NF 490</t>
  </si>
  <si>
    <t>002529</t>
  </si>
  <si>
    <t>PRESTAÇÃO DE SERVIÇOS UFVs (DIVINOPOLIS 3) NF 491</t>
  </si>
  <si>
    <t>PRESTAÇÃO DE SERVIÇOS UFVs (ARCOS 7) NF 492</t>
  </si>
  <si>
    <t>PRESTAÇÃO DE SERVIÇOS UFVs (ARCOS 7) NF 493</t>
  </si>
  <si>
    <t>PRESTAÇÃO DE SERVIÇOS UFVs (VARGINHA 5) NF 495</t>
  </si>
  <si>
    <t>[CCC05119]</t>
  </si>
  <si>
    <t>PRESTAÇÃO DE SERVIÇOS UFVs (VARGINHA 5) NF 496</t>
  </si>
  <si>
    <t>PRESTAÇÃO DE SERVIÇOS UFVs (VARGINHA 2) NF 497</t>
  </si>
  <si>
    <t>PRESTAÇÃO DE SERVIÇOS UFVs (VARGINHA 2) NF 498</t>
  </si>
  <si>
    <t>001831</t>
  </si>
  <si>
    <t>PRESTAÇÃO DE SERVIÇOS UFVs (SANTO ANTONIO DO AMPARO 1) NF 499</t>
  </si>
  <si>
    <t>PRESTAÇÃO DE SERVIÇOS UFVs (SANTO ANTONIO DO AMPARO 1) NF 500</t>
  </si>
  <si>
    <t>PRESTAÇÃO DE SERVIÇOS UFVs (CAMPO BELO 5) NF 501</t>
  </si>
  <si>
    <t>MEDIÇÃO 6</t>
  </si>
  <si>
    <t>PRESTAÇÃO DE SERVIÇOS UFVs (CAMPO BELO 5) NF 502</t>
  </si>
  <si>
    <t>PRESTAÇÃO DE SERVIÇOS UFVs (CAMPO BELO 2) NF 503</t>
  </si>
  <si>
    <t>PRESTAÇÃO DE SERVIÇOS UFVs (CAMPO BELO 2) NF 504</t>
  </si>
  <si>
    <t xml:space="preserve">
Outros - Serviços à UFV
</t>
  </si>
  <si>
    <t>COMPRA DE MATERIAIS  UFVs (BAMBUÍ) NF 64343  BAMBUI COMERCIAL</t>
  </si>
  <si>
    <t>Pagamento referente a compra de materiais, necessários a construção da UFVs.</t>
  </si>
  <si>
    <t>[CCC05120]</t>
  </si>
  <si>
    <t>002531</t>
  </si>
  <si>
    <t>PRESTAÇÃO DE SERVIÇOS UFVs (PEDRA DO INDAIA 5) NF 31  CONSTRUTORA RESENDE  JORGE</t>
  </si>
  <si>
    <t>Pagamento de medição referente ao serviço de terraplanagem, necessário a construção da usina. CONTRATO  CONSTRUTORA RESENDE MEDIÇÃO UNICA</t>
  </si>
  <si>
    <t>[CCC05121]</t>
  </si>
  <si>
    <t xml:space="preserve">Conforme contato com Augusto , foi  informado que tivemos dois ciclos neste processo. </t>
  </si>
  <si>
    <t>Pedra do Indaiá 5_Obras Terraplanagem_2</t>
  </si>
  <si>
    <t>002533</t>
  </si>
  <si>
    <t>REGRHAN  PRESTAÇÃO DE SERVIÇOS  ESTRELA DO NORTE HOLDING  NF  1654</t>
  </si>
  <si>
    <t>[CCC05122]</t>
  </si>
  <si>
    <t>REGRHAN  PRESTAÇÃO DE SERVIÇOS  MORI GERAÇÃO II  NF 1655</t>
  </si>
  <si>
    <t>REGRHAN  PRESTAÇÃO DE SERVIÇOS  MORI MINAS NEWCO IV  NF  1656</t>
  </si>
  <si>
    <t>REGRHAN  PRESTAÇÃO DE SERVIÇOS  MORI MINAS NEWCO V  NF 1657</t>
  </si>
  <si>
    <t>002532</t>
  </si>
  <si>
    <t xml:space="preserve">PRESTAÇÃO DE SERVIÇOS UFVs (PEDRA DO INDAIA 1) NF 294 MIPE CONSTRUTORA </t>
  </si>
  <si>
    <t>Pagamento de medição 1, referente ao serviço de  DRENAGEM, necessário a construção da usina. CONTRATO MIPE CONSTRUTORA</t>
  </si>
  <si>
    <t>[CCC05123]</t>
  </si>
  <si>
    <t>MIPE CONSTRUTORA</t>
  </si>
  <si>
    <t>001810</t>
  </si>
  <si>
    <t>CONSTRUMANAGER -    06/2023   NF  298851</t>
  </si>
  <si>
    <t>[CCC05124]</t>
  </si>
  <si>
    <t>PRESTAÇÃO DE SERVIÇOS UFVs (ALFENAS 4 )  NF 526  OUROPAV</t>
  </si>
  <si>
    <t>Pagamento de medição 4, referente a terraplanagem, necessário a construção da usina . CONTRATO OUROPAV</t>
  </si>
  <si>
    <t>[CCC05125]</t>
  </si>
  <si>
    <t>Outros - Serviços à UFV (MBA -AT)</t>
  </si>
  <si>
    <t>PRESTAÇÃO DE SERVIÇOS UFVs (VARGINHA 1)  NF 57  CONCERT</t>
  </si>
  <si>
    <t>Pagamento referente ao suporte tecnico em informatica, necessário à construção da UFVs. ESCOPO COMECRC</t>
  </si>
  <si>
    <t>[CCC05126]</t>
  </si>
  <si>
    <t>002535</t>
  </si>
  <si>
    <t>COMPRA DE MATERIAIS  UFVs (DIVINOPOLIS 3) NF 8931 SANTA EDWIGES</t>
  </si>
  <si>
    <t>Pagamento em faturamento direto referente a compra de caixa dágua, necessário à construção da UFVs. FATURAMENTO DIRETO SEM DESCONTO EM CONTRATO. ESCOPO COMERC</t>
  </si>
  <si>
    <t>[CCC05127]</t>
  </si>
  <si>
    <t>002536</t>
  </si>
  <si>
    <t>COMPRA DE MATERIAIS  UFVs (PEDRA DO INDAIA 5) NF 8932 SANTA EDWIGES</t>
  </si>
  <si>
    <t>002538</t>
  </si>
  <si>
    <t>PRESTAÇÃO DE SERVIÇOS UFVs (PEDRA DO INDAIA 5)  NF 19  TERRA FORTE</t>
  </si>
  <si>
    <t>Pagamento em faturamento direto referente a serviço de transporte , necessário à construção da UFVs.</t>
  </si>
  <si>
    <t>[CCC05128]</t>
  </si>
  <si>
    <t>002539</t>
  </si>
  <si>
    <t>COMPRA DE MATERIAIS  UFVs (PEDRA DO INDAIA 5) NF 6578 ARTECAMP</t>
  </si>
  <si>
    <t>002537</t>
  </si>
  <si>
    <t>COMPRA DE MATERIAIS UFVs (JABOTICATUBAS)  NF 85364 DIVIPETROL</t>
  </si>
  <si>
    <t>[CCC05129]</t>
  </si>
  <si>
    <t>002540</t>
  </si>
  <si>
    <t>Fat.Direito EPC</t>
  </si>
  <si>
    <t>COMPRA DE MATERIAIS UFVs (JABOTICATUBAS)  NF 85367 DIVIPETROL</t>
  </si>
  <si>
    <t>004930</t>
  </si>
  <si>
    <t>PRESTAÇÃO DE SERVIÇOS  IMPLANTAÇÃO  NF 430  PERFIL  JUNHO/23</t>
  </si>
  <si>
    <t>[CCC05130]</t>
  </si>
  <si>
    <t>COMPRA DE MATERIAIS  UFVs (ALFENAS 4) NF 9021 SANTA EDWIGES</t>
  </si>
  <si>
    <t xml:space="preserve">Pagamento em faturamento direto referente a compra de materiais, necessário à construção da UFVs. ESCOPO COMERC
ESCOPO COMERC
</t>
  </si>
  <si>
    <t>[CCC05131]</t>
  </si>
  <si>
    <t>COMPRA DE MATERIAIS  UFVs (SANTO ANTONIO DO AMPARO 1) NF 9022 SANTA EDWIGES</t>
  </si>
  <si>
    <t>Fat.Direito  (MBA-MT)</t>
  </si>
  <si>
    <t>COMPRA DE MATERIAIS  UFVs (PATROCINIO 2) NF 70733  SULMINAS</t>
  </si>
  <si>
    <t>[CCC05132]</t>
  </si>
  <si>
    <t>002543</t>
  </si>
  <si>
    <t>PRESTAÇÃO DE SERVIÇOS  UFVs ( PEDRA DO INDAIA 1) NF  HALLITE</t>
  </si>
  <si>
    <t>Pagamento  referente a revisão do projeto executivo de fundação, necessários a construção das UFVs .</t>
  </si>
  <si>
    <t>[CCC05133]</t>
  </si>
  <si>
    <t>002546</t>
  </si>
  <si>
    <t xml:space="preserve">PRESTAÇÃO DE SERVIÇOS  UFVs ( PEDRA DO INDAIA 3) NF   HALLITE </t>
  </si>
  <si>
    <t xml:space="preserve">PRESTAÇÃO DE SERVIÇOS  UFVs ( FORMIGA 6) NF   HALITTE </t>
  </si>
  <si>
    <t>Pagamento  referente a revisão do projeto de locação de hastes, necessários a construção das UFVs .</t>
  </si>
  <si>
    <t>PRESTAÇÃO  DE SERVIÇOS UFVs ( SÃO SEBASTIÃO DO OESTE 1) NF 2681</t>
  </si>
  <si>
    <t>Pagamento de medição referente ao serviço de montagem e instalação elétrica de redes de distribuição de energia rural e urbana, necessários a construção da usina. CONTRATO MT</t>
  </si>
  <si>
    <t>[CCC05134]</t>
  </si>
  <si>
    <t>PRESTAÇÃO  DE SERVIÇOS UFVs ( BRADILANDIA DE MINAS) NF 2682</t>
  </si>
  <si>
    <t>Pagamento de medição referente ao serviço de a serviço de extensão de rede de distribuição, necessários a construção da usina. CONTRATO MT</t>
  </si>
  <si>
    <t>001812</t>
  </si>
  <si>
    <t>Pagamento de medição, serviço contratuais de Engenharia do proprietário,  necessário à construção da UFV. JUNHO/2023</t>
  </si>
  <si>
    <t>[CCC05135]</t>
  </si>
  <si>
    <t>002554</t>
  </si>
  <si>
    <t>002555</t>
  </si>
  <si>
    <t>001845</t>
  </si>
  <si>
    <t xml:space="preserve">MEDIÇÃO MENSAL UFVs  ( Cássia 1 )   AFAPLAN   NF </t>
  </si>
  <si>
    <t>001847</t>
  </si>
  <si>
    <t>MEDIÇÃO MENSAL UFVs  (  São Sebastião 1  )   AFAPLAN   NF</t>
  </si>
  <si>
    <t xml:space="preserve">MEDIÇÃO MENSAL UFVs (  São Sebastião do Oeste  3  )   AFAPLAN   NF  </t>
  </si>
  <si>
    <t xml:space="preserve">MEDIÇÃO MENSAL UFVs (  São Sebastião do Oeste 5 )   AFAPLAN   NF   </t>
  </si>
  <si>
    <t>002557</t>
  </si>
  <si>
    <t>MEDIÇÃO (ENGELUZ- RDA)</t>
  </si>
  <si>
    <t>PRESTAÇÃO DE SERVIÇOS UFVs (BURITIZEITO 1) NF 428</t>
  </si>
  <si>
    <t>[CCC05136]</t>
  </si>
  <si>
    <t>002558</t>
  </si>
  <si>
    <t>PRESTAÇÃO DE SERVIÇOS UFVs (BUTIRIZEIRO 2) NF 429</t>
  </si>
  <si>
    <t>PRESTAÇÃO DE SERVIÇOS UFVs ( PATOS DE MINAS 3) NF 832 RONDA PORTEIROS</t>
  </si>
  <si>
    <t>Pagamento referente ao serviço de vigilância desarmada, aditivo de dois vigias noturnos, necessário a construção da usina. ESCOPO COMERC</t>
  </si>
  <si>
    <t>[CCC05137]</t>
  </si>
  <si>
    <t>PRESTAÇÃO DE SERVIÇOS UFVs (VARJÃO DE MINAS) NF 840 RONDA PORTEIROS</t>
  </si>
  <si>
    <t>COMPRA DE MATERIAIS  UFVs (PATROCINIO 3) NF 470622 LOJA ELETRICA</t>
  </si>
  <si>
    <t>Pagamento referente a compra de materiais, necessários a construção das usinas. ESCOPO COMERC CLUSTER 3</t>
  </si>
  <si>
    <t>[CCC05138]</t>
  </si>
  <si>
    <t>002559</t>
  </si>
  <si>
    <t>PRESTAÇÃO DE SERVIÇOS UFVs ( DIVINOPOLIS 3) NF 430</t>
  </si>
  <si>
    <t>[CCC05139]</t>
  </si>
  <si>
    <t>002562</t>
  </si>
  <si>
    <t>MEDIÇÃO (ENGELUZ- MT)</t>
  </si>
  <si>
    <t>PRESTAÇÃO DE SERVIÇOS UFVs (JABOTICATUBAS ) NF 431</t>
  </si>
  <si>
    <t>Pagamento de medição  referente aos SERVIÇOS DE MÃO DE OBRA ESPECIALIZADA NA CONSTRUÇÃO RDR, necessário a construção das usinas.</t>
  </si>
  <si>
    <t>[CCC05140]</t>
  </si>
  <si>
    <t xml:space="preserve">PRESTAÇÃO DE SERVIÇOS UFVs (PASSOS 4 )  ADIANTAMENTO </t>
  </si>
  <si>
    <t>Adiantamento compensatório visando a manutenção do fluxo de caixa da GTEL em função de dificuldade de caixa da EDN. Acordo entre Marcio e Boanada.</t>
  </si>
  <si>
    <t>[CCC05141]</t>
  </si>
  <si>
    <t xml:space="preserve"> NF FUTURAMENTE - Vinculado ao pedido de compras - '0001343</t>
  </si>
  <si>
    <t>001853</t>
  </si>
  <si>
    <t xml:space="preserve">PRESTAÇÃO DE SERVIÇOS UFVs (SÃO SEBASTIÃO DO OESTE 4 )  ADIANTAMENTO </t>
  </si>
  <si>
    <t xml:space="preserve"> NF FUTURAMENTE</t>
  </si>
  <si>
    <t>PRESTAÇÃO DE SERVIÇOS UFVs (ARCOS 7) NF 1020  JULLIA XAVIER</t>
  </si>
  <si>
    <t>Pagamento referente a RIA adicional rede Arcos 7, necessários a construção das usinas.</t>
  </si>
  <si>
    <t>[CCC05142]</t>
  </si>
  <si>
    <t>002563</t>
  </si>
  <si>
    <t>PRESTAÇÃO DE SERVIÇOS UFVs (JABOTICATUBAS) NF 1022 JULLIA XAVIER</t>
  </si>
  <si>
    <t>Pagamento referente a PROCESSO ADMINISTRATIVO DE AIA ESTRADA ACESSO UFV JABOTICATUBASl, necessários a construção das usinas.</t>
  </si>
  <si>
    <t>A620 -ESTRELA DO NORTE SPE - UFV DIVINOPOLIS 1</t>
  </si>
  <si>
    <t>002564</t>
  </si>
  <si>
    <t>PRESTAÇÃO DE SERVIÇOS UFVs ( DIVINOPOLIS 1) NF 432</t>
  </si>
  <si>
    <t>[CCC05143]</t>
  </si>
  <si>
    <t>002565</t>
  </si>
  <si>
    <t>PRESTAÇÃO DE SERVIÇOS UFVs ( DIVINOPOLIS 2) NF 433</t>
  </si>
  <si>
    <t>002566</t>
  </si>
  <si>
    <t xml:space="preserve">PRESTAÇÃO DE SERVIÇOS UFVs ( DIVINOPOLIS ) NF 434  INDENIZAÇÃO </t>
  </si>
  <si>
    <t>Pagamento de medição  referente aos SERVIÇOS DE MÃO DE OBRA ESPECIALIZADA NA CONSTRUÇÃO RDR, necessário a construção das usinas. INDENIZAÇÃO</t>
  </si>
  <si>
    <t>002567</t>
  </si>
  <si>
    <t>PRESTAÇÃO DE SERVIÇOS UFVs ( BURITIZEIRO 1) NF 819 RONDA PORTEIROS</t>
  </si>
  <si>
    <t>Pagamento referente a PRESTAÇÃO DE SERVIÇO DE VIGILANCIA DESARMADA NA UFV BURITIZEIRO I, necessário a construção da usina. ESCOPO COMERC</t>
  </si>
  <si>
    <t>[CCC05144]</t>
  </si>
  <si>
    <t>002568</t>
  </si>
  <si>
    <t>PRESTAÇÃO DE SERVIÇOS UFVs ( BURITIZEIRO 2) NF 820 RONDA PORTEIROS</t>
  </si>
  <si>
    <t>Pagamento referente a PRESTAÇÃO DE SERVIÇO DE VIGILANCIA DESARMADA NA UFV BURITIZEIRO II, necessário a construção da usina. ESCOPO COMERC</t>
  </si>
  <si>
    <t>PRESTAÇÃO DE SERVIÇOS UFVs ( CAMPO BELO 5 ) NF 2683</t>
  </si>
  <si>
    <t>Pagamento de medição referente ao serviço de projeto e extensão de rede de distribuição rural para atender à UFV, necessários a construção da usina. CONTRATO MT</t>
  </si>
  <si>
    <t>[CCC05145]</t>
  </si>
  <si>
    <t>PRESTAÇÃO DE SERVIÇOS UFVs (SÃO SEBASTIÃO DO OESTE 5 ) NF 2684 ADITIVO</t>
  </si>
  <si>
    <t>Pagamento de medição referente ao serviço de montagem e instalação elétrica de redes de distribuição de energia rural e urbana, necessários a construção da usina. CONTRATO MT - ADITIVO</t>
  </si>
  <si>
    <t>002569</t>
  </si>
  <si>
    <t>PRESTAÇÃO DE SERVIÇOS UFVs (INDAIABIRA 4) NF 817 RONDA PORTEIROS</t>
  </si>
  <si>
    <t>Pagamento referente a PRESTAÇÃO DE SERVIÇO DE VIGILANCIA DESARMADA , necessário a construção da usina. ESCOPO COMERC</t>
  </si>
  <si>
    <t>[CCC05146]</t>
  </si>
  <si>
    <t>002570</t>
  </si>
  <si>
    <t>PRESTAÇÃO DE SERVIÇOS UFVs (INDAIABIRA 3) NF 818 RONDA PORTEIROS</t>
  </si>
  <si>
    <t>Pagamento referente a PRESTAÇÃO DE SERVIÇO DE VIGILANCIA DESARMADA NA UFV, necessário a construção da usina. ESCOPO COMERC</t>
  </si>
  <si>
    <t>002582</t>
  </si>
  <si>
    <t>PRESTAÇÃO DE SERVIÇOS UFVs ( PEDRA DO INDAIA 1) NF 435</t>
  </si>
  <si>
    <t>[CCC05147]</t>
  </si>
  <si>
    <t>002571</t>
  </si>
  <si>
    <t>PRESTAÇÃO DE SERVIÇOS UFVs ( PEDRA DO INDAIA 3) NF 436</t>
  </si>
  <si>
    <t>002572</t>
  </si>
  <si>
    <t>PRESTAÇÃO DE SERVIÇOS UFVs ( PEDRA DO INDAIA 5) NF 437</t>
  </si>
  <si>
    <t>001817</t>
  </si>
  <si>
    <t>PRESTAÇÃO DE SERVIÇOS UFVs  (NOVA PONTO 1) NF 1245 NORTE CONEXÃO</t>
  </si>
  <si>
    <t>[CCC05148]</t>
  </si>
  <si>
    <t>001858</t>
  </si>
  <si>
    <t>PRESTAÇÃO DE SERVIÇOS UFVs  (BAMBUI 1.1) NF 1246  NORTE CONEXÃO</t>
  </si>
  <si>
    <t>PRESTAÇÃO DE SERVIÇOS UFVs  (BAMBUI 1.2) NF 1247 NORTE CONEXÃO</t>
  </si>
  <si>
    <t>PRESTAÇÃO DE SERVIÇOS UFVs  (SÃO SEBASTIÃO DO OESTE 5) NF 1250  NORTE CONEXÃO</t>
  </si>
  <si>
    <t>001859</t>
  </si>
  <si>
    <t>PRESTAÇÃO DE SERVIÇOS UFVs  (CAMPO BELO 3) NF 1251  NORTE CONEXÃO</t>
  </si>
  <si>
    <t>002573</t>
  </si>
  <si>
    <t xml:space="preserve">PRESTAÇÃO DE SERVIÇOS UFVs (INDAIABIRA 4) NF 63 GR ENGENHARIA </t>
  </si>
  <si>
    <t>Pagamento de medição 3, referente a execução de drenagem, necessário a construção da usina.    IMPLANTAR</t>
  </si>
  <si>
    <t>[CCC05149]</t>
  </si>
  <si>
    <t>001865</t>
  </si>
  <si>
    <t xml:space="preserve">BALDONI / MCD BALDONI - Terraplanagem  UFVs (PARAGUAÇU 1)  20%  NF </t>
  </si>
  <si>
    <t>[CCC05150]</t>
  </si>
  <si>
    <t>001866</t>
  </si>
  <si>
    <t xml:space="preserve">BALDONI / Baldoni Engenharia -Terraplanagem  UFVs (PARAGUAÇU 1)  80% </t>
  </si>
  <si>
    <t>001868</t>
  </si>
  <si>
    <t xml:space="preserve">BALDONI / MCD BALDONI - Terraplanagem  UFVs (TRES CORAÇÕES 3)  20%  NF </t>
  </si>
  <si>
    <t>[CCC05151]</t>
  </si>
  <si>
    <t>001870</t>
  </si>
  <si>
    <t>BALDONI / Baldoni Engenharia -Terraplanagem  UFVs (TRES CORAÇÕES 3)  80%  NF</t>
  </si>
  <si>
    <t>001872</t>
  </si>
  <si>
    <t>[CCC05152]</t>
  </si>
  <si>
    <t>001873</t>
  </si>
  <si>
    <t>PRESTAÇÃO DE SERVIÇOS UFVs (PATOS DE MINAS 7) NF 1321 EGF CONSTRUTORA</t>
  </si>
  <si>
    <t>Pagamento de medição marco contratual referente ao adiantamento de 15% contrato.  CONTRATO EGF</t>
  </si>
  <si>
    <t>[CCC05153]</t>
  </si>
  <si>
    <t>Patos de Minas 7_Obras Drenagem</t>
  </si>
  <si>
    <t>MEDIÇÃO EXECUÇÃO SERVIÇO  NF 2299   (DIVINOPOLIS 2 )   OBRAS AT</t>
  </si>
  <si>
    <t>[CCC03596]</t>
  </si>
  <si>
    <t>PRESTAÇÃO DE SERVIÇOS UFVs ( ARCOS 7) NF 437</t>
  </si>
  <si>
    <t>[CCC05154]</t>
  </si>
  <si>
    <t>001819</t>
  </si>
  <si>
    <t>PRESTAÇÃO DE SERVIÇOS UFVs (PATOS DE MINAS 1) NF 425</t>
  </si>
  <si>
    <t>[CCC05155]</t>
  </si>
  <si>
    <t>PRESTAÇÃO DE SERVIÇOS UFVs (PATOS DE MINAS 4) NF 426</t>
  </si>
  <si>
    <t>COMPRA DE MATERIAIS  UFVS (CAMPO BELO 4)   NF 2166</t>
  </si>
  <si>
    <t>[CCC05156]</t>
  </si>
  <si>
    <t>COMPRA DE MATERIAIS  UFVS (CAMPO BELO 3)   NF 2167</t>
  </si>
  <si>
    <t>COMPRA DE MATERIAIS  UFVS (NOVA PONTE)   NF 2168</t>
  </si>
  <si>
    <t>COMPRA DE MATERIAIS  UFVS (CAMPO BELO 5)   NF 6579  ARTECAMP</t>
  </si>
  <si>
    <t>[CCC05157]</t>
  </si>
  <si>
    <t>PRESTAÇÃO DE SERVIÇOS UFVs (PATOS DE MINAS 3) NF 427</t>
  </si>
  <si>
    <t>[CCC05158]</t>
  </si>
  <si>
    <t>001877</t>
  </si>
  <si>
    <t>MEDIÇÃO MENSAL MAIO/2023  UFVs  LMENG  NF 11634</t>
  </si>
  <si>
    <t>[CCC05159]</t>
  </si>
  <si>
    <t>MEDIÇÃO MENSAL MAIO/2023  UFVs  LMENG  NF 11635</t>
  </si>
  <si>
    <t>002575</t>
  </si>
  <si>
    <t>MEDIÇÃO MENSAL MAIO/2023  UFVs  LMENG  NF 11636</t>
  </si>
  <si>
    <t>MEDIÇÃO MENSAL MAIO/2023  UFVs  LMENG  NF 11637</t>
  </si>
  <si>
    <t>MEDIÇÃO MENSAL MAIO/2023  UFVs  LMENG  NF 11638</t>
  </si>
  <si>
    <t>001878</t>
  </si>
  <si>
    <t>MEDIÇÃO MENSAL MAIO/2023  UFVs  LMENG  NF 11639</t>
  </si>
  <si>
    <t>MEDIÇÃO MENSAL MAIO/2023  UFVs  LMENG  NF 11640</t>
  </si>
  <si>
    <t>002576</t>
  </si>
  <si>
    <t>MEDIÇÃO MENSAL MAIO/2023  UFVs  LMENG  NF 11641</t>
  </si>
  <si>
    <t>PRESTAÇÃO DE SERVIÇOS UFVs (DIAMANTINA 1)  NF 565 GERALDO ALVES</t>
  </si>
  <si>
    <t>Pagamento em faturamento direto referente a ELABORAÇÃO DE PROJETO DE REDE DE DISTRIBUIÇÃO 13,8KV, necessários a construção das usinas.</t>
  </si>
  <si>
    <t>[CCC05160]</t>
  </si>
  <si>
    <t>001879</t>
  </si>
  <si>
    <t>PRESTAÇÃO DE SERVIÇOS UFVs (SANTO ANTONIO DO AMPARO) NF 566 GERALDO ALVES</t>
  </si>
  <si>
    <t>MEDIÇÃO MENSAL MAIO/2023  UFVs  LMENG  NF 11630</t>
  </si>
  <si>
    <t>[CCC05161]</t>
  </si>
  <si>
    <t>001880</t>
  </si>
  <si>
    <t>MEDIÇÃO MENSAL MAIO/2023  UFVs  LMENG  NF 11631</t>
  </si>
  <si>
    <t>MEDIÇÃO MENSAL MAIO/2023  UFVs  LMENG  NF 11632</t>
  </si>
  <si>
    <t>002577</t>
  </si>
  <si>
    <t>MEDIÇÃO MENSAL MAIO/2023  UFVs  LMENG  NF 11633</t>
  </si>
  <si>
    <t>COMPRA DE MATERIAIS  UFVs (PATROCINIO 2) NF 471361 LOJA ELETRICA</t>
  </si>
  <si>
    <t>[CCC05162]</t>
  </si>
  <si>
    <t>PRESTAÇÃO DE SERVIÇOS UFVs (ALFENAS 4) NF 9 AGP TRANSPORTE</t>
  </si>
  <si>
    <t xml:space="preserve">Pagamento em faturamento direto referente ao serviço de transporte, necessário a construção da uisna. </t>
  </si>
  <si>
    <t>[CCC05163]</t>
  </si>
  <si>
    <t>A614-  CONSORCIO BURITIZEIRO DE ENERGIA</t>
  </si>
  <si>
    <t>002578</t>
  </si>
  <si>
    <t>DAE - Dispensa  de Licenciamento ambiental UFVs (PAINS 3)   N 1501290465981</t>
  </si>
  <si>
    <t>Taxa necessária à avaliação de intervenção ambiental para a UFV.  IPÊ AMARELO</t>
  </si>
  <si>
    <t>[CCC05164]</t>
  </si>
  <si>
    <t xml:space="preserve">Fat.Direito EPC (GLD) </t>
  </si>
  <si>
    <t>COMPRA DE MATERIAIS  UFVS (VARJÃO DE MINAS 4)   NF 5927 NOVA MORADA  CADASTRO</t>
  </si>
  <si>
    <t>Pagamento em faturamento direto,referente a compra de materiais, necessário a construção da usinas.</t>
  </si>
  <si>
    <t>[CCC05165]</t>
  </si>
  <si>
    <t>Varjão de Minas 4_EPC2_FD</t>
  </si>
  <si>
    <t>COMPRA DE MATERIAIS  UFVS (VARJÃO DE MINAS 4)   NF 4329  NOGUEIRA   CADASTRO</t>
  </si>
  <si>
    <t>Pagamento em faturamento direto, referente a compra de materiais, necessário a construção da usinas.</t>
  </si>
  <si>
    <t>PRESTAÇÃO DE SERVIÇOS UFVs (ALFENAS 4 )  NF  505</t>
  </si>
  <si>
    <t>Pagamento aditivo, referente a concretagem de  50 % das estacas,  necessários a construção da UFVs em contrato EPC.  65%. 1º ADITIVO</t>
  </si>
  <si>
    <t>[CCC05166]</t>
  </si>
  <si>
    <t>PRESTAÇÃO DE SERVIÇOS UFVs (ALFENAS 4 )  NF  506</t>
  </si>
  <si>
    <t>Pagamento aditivo, referente a concretagem de 50% das estacas,  necessários a construção da UFVs em contrato EPC.  35% . 1º ADITIVO</t>
  </si>
  <si>
    <t>PRESTAÇÃO DE SERVIÇOS UFVs ( CAMPO BELO 2 )  NF  507</t>
  </si>
  <si>
    <t>Pagamento aditivo, referente a concretagem de  100 % das estacas,  necessários a construção da UFVs em contrato EPC.  65%. 1º ADITIVO</t>
  </si>
  <si>
    <t>[CCC05167]</t>
  </si>
  <si>
    <t>PRESTAÇÃO DE SERVIÇOS UFVs ( CAMPO BELO 2 )  NF   508</t>
  </si>
  <si>
    <t>Pagamento aditivo, referente a concretagem de 100% das estacas,  necessários a construção da UFVs em contrato EPC.  35% . 1º ADITIVO</t>
  </si>
  <si>
    <t>PRESTAÇÃO DE SERVIÇOS UFVs ( VARGINHA 5)  NF  509</t>
  </si>
  <si>
    <t xml:space="preserve">Pagamento  medição 8, referente as gestões de terraplanagem e drenagem e ao aceite da obra, necessários a construção da UFVs em contrato EPC.  35%.  </t>
  </si>
  <si>
    <t>[CCC05168]</t>
  </si>
  <si>
    <t>PRESTAÇÃO DE SERVIÇOS UFVs ( VARGINHA 5)  NF   510</t>
  </si>
  <si>
    <t xml:space="preserve">Pagamento  medição 8, referente as gestões de terraplanagem e drenagem e ao aceite da obra, necessários a construção da UFVs em contrato EPC.  65%.  </t>
  </si>
  <si>
    <t>002579</t>
  </si>
  <si>
    <t>PRESTAÇÃO DE SERVIÇOS UFVs (JABOTICATUBAS) NF 816  RONDA PORTEIROS</t>
  </si>
  <si>
    <t>Pagamento em faturamento direto referente ao serviço de vigilancia desarmada, necessario à  construção da UFVs.</t>
  </si>
  <si>
    <t>[CCC05169]</t>
  </si>
  <si>
    <t>002580</t>
  </si>
  <si>
    <t>PRESTAÇÃO DE SERVIÇOS UFVs (JABOTICATUBAS) NF 38  AGUIAR COMERCIO</t>
  </si>
  <si>
    <t>Pagamento em faturamento direto referente ao serviço de mobilização e contratação de equipamento retroescavadeira , necessario à  construção da UFVs.</t>
  </si>
  <si>
    <t>002595</t>
  </si>
  <si>
    <t>PRESTAÇÃO DE SERVIÇOS UFVs (JABOTICATUBAS) NF 46  KPD</t>
  </si>
  <si>
    <t>Pagamento em faturamento direto referente ao serviço de cravação direta, necessario à  construção da UFVs.</t>
  </si>
  <si>
    <t>PRESTAÇÃO DE SERVIÇOS UFVs (JABOTICATUBAS) NF 275 TRANSPORTES DAVI   CADASTRO</t>
  </si>
  <si>
    <t>Pagamento em faturamento direto referente a locação de ônibus, necessario à  construção da UFVs.</t>
  </si>
  <si>
    <t>PRESTAÇÃO DE SERVIÇOS UFVs (JABOTICATUBAS) NF 4370  LIMP-COLETA            CADASTRO</t>
  </si>
  <si>
    <t>Pagamento em faturamento direto referente a locação e limpeza de banheiro portatil e limpeza de fossa , necessario à  construção da UFVs.</t>
  </si>
  <si>
    <t>PRESTAÇÃO DE SERVIÇOS UFVs (VARJÃO DE MINAS 4) NF 17624  CONCRETEIRA PATOS        CADASTRO</t>
  </si>
  <si>
    <t>Pagamento em faturamento direto referente ao fornecimento de concreto para concretagem das hastes e radiers , necessario à  construção da UFVs.</t>
  </si>
  <si>
    <t>[CCC05170]</t>
  </si>
  <si>
    <t>PRESTAÇÃO DE SERVIÇOS UFVs (PATROCINIO 2) NF 2687</t>
  </si>
  <si>
    <t>Pagamento de medição referente ao serviço de montagem e instalação elétrica de redes de distribuição de energia rural e urbana , necessario à  construção da UFVs.</t>
  </si>
  <si>
    <t>[CCC05171]</t>
  </si>
  <si>
    <t>PRESTAÇÃO DE SERVIÇOS UFVs (PATROCINIO 3) NF 2688</t>
  </si>
  <si>
    <t>001885</t>
  </si>
  <si>
    <t>PRESTAÇÃO DE SERVIÇOS UFVs (VARGINHA 1) NF 731 RONDA PORTEIROS</t>
  </si>
  <si>
    <t>Pagamento referente ao serviço de vigilancia desarmada, necessario à  construção da UFVs. ESCOPO COMERC</t>
  </si>
  <si>
    <t>[CCC05172]</t>
  </si>
  <si>
    <t>PRESTAÇÃO DE SERVIÇOS UFVs (VARGINHA 2) NF 737 RONDA PORTEIROS</t>
  </si>
  <si>
    <t>FAT. DIRETO (MBA-MT)</t>
  </si>
  <si>
    <t>COMPRA DE MATERIAIS  UFVS (SANTO ANTONIO DO AMPARO)  NF 6014  CAMPO ALEGRE</t>
  </si>
  <si>
    <t xml:space="preserve">Pagamento em faturamento direto referente a compra de materiais, necessario à  construção da UFVs. </t>
  </si>
  <si>
    <t>[CCC05173]</t>
  </si>
  <si>
    <t>002583</t>
  </si>
  <si>
    <t xml:space="preserve">PRESTAÇÃO DE SERVIÇOS UFVs (PAINS 3)   </t>
  </si>
  <si>
    <t>Pagamento referentes a taxas ambientais, relativas a PAINS 3.</t>
  </si>
  <si>
    <t>[CCC05174]</t>
  </si>
  <si>
    <t>002584</t>
  </si>
  <si>
    <t>002585</t>
  </si>
  <si>
    <t>PRESTAÇÃO DE SERVIÇOS UFVs (CAMPO BELO 2)   NF 738    RONDA PORTEIROS</t>
  </si>
  <si>
    <t>Pagamento referente ao serviço de vigilancia desarmada, necessario à  construção da UFVs.</t>
  </si>
  <si>
    <t>[CCC05175]</t>
  </si>
  <si>
    <t>001886</t>
  </si>
  <si>
    <t>PRESTAÇÃO DE SERVIÇOS UFVs (CAMPO BELO 5)   NF 733   RONDA PORTEIROS</t>
  </si>
  <si>
    <t>001887</t>
  </si>
  <si>
    <t>PRESTAÇÃO DE SERVIÇOS UFVs (SANTO ANTONIO DO AMPARO 1)   NF 761    RONDA PORTEIROS</t>
  </si>
  <si>
    <t>002586</t>
  </si>
  <si>
    <t xml:space="preserve">PRESTAÇÃO DE SERVIÇOS UFVs ( PARACATU 4) NF 379       SOLUÇÃO AGRIMENSURA </t>
  </si>
  <si>
    <t>Pagamento referente ao serviço levantamento planialtimétrico, necessários a construção da usina.</t>
  </si>
  <si>
    <t>[CCC05176]</t>
  </si>
  <si>
    <t>002587</t>
  </si>
  <si>
    <t xml:space="preserve">PRESTAÇÃO DE SERVIÇOS UFVs ( PARACATU 5) NF 380       SOLUÇÃO AGRIMENSURA </t>
  </si>
  <si>
    <t>001327</t>
  </si>
  <si>
    <t>PRESTAÇÃO DE SERVIÇOS UFVs (VARGINHA 2) NF  511</t>
  </si>
  <si>
    <t>Pagamento de 9° medição,  referente a prestação de serviços e mão de obra, necessários a construção da UFVs em contrato EPC.  65%.</t>
  </si>
  <si>
    <t>[CCC05177]</t>
  </si>
  <si>
    <t>PRESTAÇÃO DE SERVIÇOS UFVs (VARGINHA 2) NF  512</t>
  </si>
  <si>
    <t>PRESTAÇÃO DE SERVIÇOS UFVs (FREI INOCENCIO) NF 17  SRJ PROTEÇÃO</t>
  </si>
  <si>
    <t>Pagamento referente ao serviços de parametrização e testes nas 3 proteções Siemens 7SR5111, teste de comissionamento da proteção e medição de sequencia de fase, necessáriso a construção das usinas.</t>
  </si>
  <si>
    <t>[CCC05178]</t>
  </si>
  <si>
    <t>PRESTAÇÃO DE SERVIÇOS UFVs (NOVA PONTE) NF 18  SRJ PROTEÇÃO</t>
  </si>
  <si>
    <t>Equipamentos Curva A - Outros</t>
  </si>
  <si>
    <t>002589</t>
  </si>
  <si>
    <t>PRESTAÇÃO DE SERVIÇOS UFVs (SÃO SEBASTIÃO DO OESTE 0) NF 34  CONSTRUTORA RESENDE  JORGE</t>
  </si>
  <si>
    <t>Pagamento 1° medição, referente ao serviço de supressão e terraplanagem, necessário a construção da usina. CONTRATO  CONSTRUTORA RESENDE</t>
  </si>
  <si>
    <t>[CCC05179]</t>
  </si>
  <si>
    <t>São Sebastião 0 _Obras Terraplanagem</t>
  </si>
  <si>
    <t>COMPRA DE MATERIAIS UFVs (JABOTICATUBAS) NF 813  AXF MATERIAIS     CADASTRO</t>
  </si>
  <si>
    <t>Pagamento em faturamento direto referente a compra de materias, necessário a construção da UFVs.</t>
  </si>
  <si>
    <t>[CCC05180]</t>
  </si>
  <si>
    <t>COMPRA DE MATERIAIS UFVs (JABOTICATUBAS) NF 4698   PETRO SERRA    CADASTRO</t>
  </si>
  <si>
    <t>Pagamento em faturamento direto referente a compra de combustivel, necessário a construção da UFVs.</t>
  </si>
  <si>
    <t>[CCC05181]</t>
  </si>
  <si>
    <t>0601-UFV PORTEIRINHA</t>
  </si>
  <si>
    <t>PRESTAÇÃO DE SERVIÇOS UFVs (PORTEIRINHA) NF 305 JX AMBIENTAL</t>
  </si>
  <si>
    <t>[CCC05182]</t>
  </si>
  <si>
    <t>002591</t>
  </si>
  <si>
    <t>PRESTAÇÃO DE SERVIÇOS UFVs (BURITIS 1) NF 306  JX AMBIENTAL</t>
  </si>
  <si>
    <t>002592</t>
  </si>
  <si>
    <t>PRESTAÇÃO DE SERVIÇOS UFVs (UNAÍ 1) NF 307 JX AMBIENTAL</t>
  </si>
  <si>
    <t>002593</t>
  </si>
  <si>
    <t>PRESTAÇÃO DE SERVIÇOS UFVs (UNAÍ 2) NF 308 JX AMBIENTAL</t>
  </si>
  <si>
    <t>002594</t>
  </si>
  <si>
    <t>PRESTAÇÃO DE SERVIÇOS UFVs (SÃO SEBASTIÃO DO OESTE 0) NF 309 JX AMBIENTAL</t>
  </si>
  <si>
    <t>001888</t>
  </si>
  <si>
    <t>MEDIÇÃO (MBA-AT)</t>
  </si>
  <si>
    <t>PRESTAÇÃO DE SERVIÇOS UFVs (SANTO ANTONIO DO AMPARO) NF 2691</t>
  </si>
  <si>
    <t>Pagamento de medição referente a comissionamento, necessáro a construção da UFVs.</t>
  </si>
  <si>
    <t>[CCC05183]</t>
  </si>
  <si>
    <t>Equipamentos Curva A - Outros (Somente Transformadores)</t>
  </si>
  <si>
    <t>Transformadores  Romagnoli</t>
  </si>
  <si>
    <t>Buritizeiro 1_Transformadores</t>
  </si>
  <si>
    <t>Buritizeiro 2_Transformadores</t>
  </si>
  <si>
    <t>Indaiabira 3_Transformadores</t>
  </si>
  <si>
    <t>Indaiabira 4_Transformadores</t>
  </si>
  <si>
    <t>Jaboticatubas_Transformadores</t>
  </si>
  <si>
    <t>São Sebastião 0_Transformadores</t>
  </si>
  <si>
    <t>Divinópolis 1_Transformadores</t>
  </si>
  <si>
    <t>Divinópolis 2_Transformadores</t>
  </si>
  <si>
    <t>ROMAGNOLE</t>
  </si>
  <si>
    <t>Divinópolis 3_Transformadores</t>
  </si>
  <si>
    <t>Pedra do Indaiá 1_Transformadores</t>
  </si>
  <si>
    <t>Pedra do Indaiá 3_Transformadores</t>
  </si>
  <si>
    <t>Pedra do Indaiá 5_Transformadores</t>
  </si>
  <si>
    <t>000233</t>
  </si>
  <si>
    <t>Pains 1_Transformadores</t>
  </si>
  <si>
    <t>Pains 2_Transformadores</t>
  </si>
  <si>
    <t>Pains 3_Transformadores</t>
  </si>
  <si>
    <t xml:space="preserve">São Sebastião 6 </t>
  </si>
  <si>
    <t>São Sebastião 6 _Transformadores</t>
  </si>
  <si>
    <t>Cabine + Skid  - Setta</t>
  </si>
  <si>
    <t>Buritizeiro 1_Setta</t>
  </si>
  <si>
    <t>Buritizeiro 2_Setta</t>
  </si>
  <si>
    <t>Guarda mor 1 _Setta</t>
  </si>
  <si>
    <t>Indaiabira 1_Setta</t>
  </si>
  <si>
    <t>000888</t>
  </si>
  <si>
    <t>Indaiabira 2_Setta</t>
  </si>
  <si>
    <t>Indaiabira 3_Setta</t>
  </si>
  <si>
    <t>Indaiabira 4_Setta</t>
  </si>
  <si>
    <t>Jaboticatubas_Setta</t>
  </si>
  <si>
    <t>São Sebastião 0_Setta</t>
  </si>
  <si>
    <t>Divinópolis 1_Setta</t>
  </si>
  <si>
    <t>Divinópolis 2_Setta</t>
  </si>
  <si>
    <t>SETTA</t>
  </si>
  <si>
    <t>Divinópolis 3_Setta</t>
  </si>
  <si>
    <t>Pedra do Indaiá 1_Setta</t>
  </si>
  <si>
    <t>Pedra do Indaiá 3_Setta</t>
  </si>
  <si>
    <t>Pedra do Indaiá 5_Setta</t>
  </si>
  <si>
    <t>Pains 1_Setta</t>
  </si>
  <si>
    <t>Pains 2_Setta</t>
  </si>
  <si>
    <t>Pains 3_Setta</t>
  </si>
  <si>
    <t>São Sebastião 6 _Setta</t>
  </si>
  <si>
    <t>000432+000388</t>
  </si>
  <si>
    <t>Equipamentos Curva A - Outros - Somente Romagnole</t>
  </si>
  <si>
    <t>Cabine + Skid + transformador(Somente Romagnole)</t>
  </si>
  <si>
    <t>Diamantina 1_Romagnole</t>
  </si>
  <si>
    <t>Diamantina 2_Romagnole</t>
  </si>
  <si>
    <t>Frei Inocêncio</t>
  </si>
  <si>
    <t>Frei Inocêncio_Romagnole</t>
  </si>
  <si>
    <t>Lagoa Formosa</t>
  </si>
  <si>
    <t>000257+000256</t>
  </si>
  <si>
    <t>Lagoa Formosa_Romagnole</t>
  </si>
  <si>
    <t>Nova Ponte</t>
  </si>
  <si>
    <t>Nova Ponte_Romagnole</t>
  </si>
  <si>
    <t>Paracatu 8_Romagnole</t>
  </si>
  <si>
    <t>Patos de Minas 1_Romagnole</t>
  </si>
  <si>
    <t>000389+000388</t>
  </si>
  <si>
    <t>Patos de Minas 3_Romagnole</t>
  </si>
  <si>
    <t>Patos de Minas 4_Romagnole</t>
  </si>
  <si>
    <t>Patos de Minas 7_Romagnole</t>
  </si>
  <si>
    <t>Patos de Minas 8_Romagnole</t>
  </si>
  <si>
    <t>Patrocínio 2_Romagnole</t>
  </si>
  <si>
    <t>Patrocínio 3_Romagnole</t>
  </si>
  <si>
    <t>Varjão de Minas 1_Romagnole</t>
  </si>
  <si>
    <t>Varjão de Minas 4_Romagnole</t>
  </si>
  <si>
    <t>Muzambinho</t>
  </si>
  <si>
    <t>000163+000162</t>
  </si>
  <si>
    <t>Muzambinho_Romagnole</t>
  </si>
  <si>
    <t>000127+000126</t>
  </si>
  <si>
    <t>Alfenas 4_Romagnole</t>
  </si>
  <si>
    <t>000057+000056</t>
  </si>
  <si>
    <t>Arcos 7_Romagnole</t>
  </si>
  <si>
    <t>Bambuí 1.1_Romagnole</t>
  </si>
  <si>
    <t>Bambuí 1.2_Romagnole</t>
  </si>
  <si>
    <t>Campo Belo 1_Romagnole</t>
  </si>
  <si>
    <t>Campo Belo 2_Romagnole</t>
  </si>
  <si>
    <t>Campo Belo 3_Romagnole</t>
  </si>
  <si>
    <t>Campo Belo 4_Romagnole</t>
  </si>
  <si>
    <t>000233+000056</t>
  </si>
  <si>
    <t>Campo Belo 5_Romagnole</t>
  </si>
  <si>
    <t>Cássia 1_Romagnole</t>
  </si>
  <si>
    <t>Cássia 2_Romagnole</t>
  </si>
  <si>
    <t>000042+000041</t>
  </si>
  <si>
    <t>Formiga 6_Romagnole</t>
  </si>
  <si>
    <t>Passos 4_Romagnole</t>
  </si>
  <si>
    <t>Paraguaçu 1_Romagnole</t>
  </si>
  <si>
    <t>Santo Antônio 1_Romagnole</t>
  </si>
  <si>
    <t>São Sebastião 1_Romagnole</t>
  </si>
  <si>
    <t>São Sebastião 3_Romagnole</t>
  </si>
  <si>
    <t>São Sebastião 4_Romagnole</t>
  </si>
  <si>
    <t>São Sebastião 5_Romagnole</t>
  </si>
  <si>
    <t>000098+000165</t>
  </si>
  <si>
    <t>Varginha 1_Romagnole</t>
  </si>
  <si>
    <t>Varginha 2_Romagnole</t>
  </si>
  <si>
    <t>Varginha 5_Romagnole</t>
  </si>
  <si>
    <t>Três Corações 3_Romagnole</t>
  </si>
  <si>
    <t>Ouro Fino 2_Romagnole</t>
  </si>
  <si>
    <t>COMPRA DE MATERIAIS UFVs (PATOS DE MINAS 3) NF 28030  EXPONENCIAL</t>
  </si>
  <si>
    <t>Pagamento em faturamento direto referente a compra de materiais, necessário a construção da UFVs.</t>
  </si>
  <si>
    <t>[CCC05184]</t>
  </si>
  <si>
    <t xml:space="preserve">PRESTAÇÃO DE SERVIÇOS UFVs ( NOVA PONTE 1 ) NF 66  IMPACTO ENGENHARIA </t>
  </si>
  <si>
    <t xml:space="preserve">Pagamento referente a Prestação de serviço e fornecimento de material para execução do cercamento interno dividindo as UGs, necessários a construção da usina . ESCOPO COMER </t>
  </si>
  <si>
    <t>[CCC05185]</t>
  </si>
  <si>
    <t xml:space="preserve">PRESTAÇÃO DE SERVIÇOS UFVs ( FREI INOCENCIO) NF 67   IMPACTO ENGENHARIA </t>
  </si>
  <si>
    <t xml:space="preserve"> IMPACTO ENGENHARIA </t>
  </si>
  <si>
    <t>COMPRA DE MATERIAIS UFVs (CASSIA) NF 2960  MERCADO MINEIRAO</t>
  </si>
  <si>
    <t>Pagamento referente a compra de itens de limpeza cluster CASSIA, necessário a construção da UFVs.</t>
  </si>
  <si>
    <t>[CCC05186]</t>
  </si>
  <si>
    <t>COMPRA DE MATERIAIS UFVs ( OURO FINO 2) NF 2692</t>
  </si>
  <si>
    <t>Pagamento em faturamento direto referente a compra de materiais, necessário a construção da UFVs. MEDIÇÃO FINAL</t>
  </si>
  <si>
    <t>[CCC05187]</t>
  </si>
  <si>
    <t>A206 - MORI GERACAO II - PATOS DE MINAS 7</t>
  </si>
  <si>
    <t>COMPRA DE MATERIAIS  UFVS (PATOS DE MINAS 7)  NF 80  CANTINHO DA GULA</t>
  </si>
  <si>
    <t>Pagamento em faturamento direto referente a despesa com aliementação , necessário a construção da UFV.</t>
  </si>
  <si>
    <t>[CCC05188]</t>
  </si>
  <si>
    <t>Patos de Minas 7_EPC2_FD</t>
  </si>
  <si>
    <t xml:space="preserve">PRESTAÇÃO DE SERVIÇOS UFVs (PATOS DE MINAS 7) NF 7  INOVACO             </t>
  </si>
  <si>
    <t>Pagamento em faturamento direto referente ao serviço de mão de obra civil, necessário a construção da UFV.</t>
  </si>
  <si>
    <t>[CCC05189]</t>
  </si>
  <si>
    <t>PRESTAÇÃO DE SERVIÇOS UFVs (PATOS DE MINAS 8) NF 17619  CONCRETEIRA</t>
  </si>
  <si>
    <t>Pagamento em faturamento direto referente ao fornecimento de estrutura metálica, necessário a construção da UFV.</t>
  </si>
  <si>
    <t>[CCC05190]</t>
  </si>
  <si>
    <t>Patos de Minas 8_EPC2_FD</t>
  </si>
  <si>
    <t>PRESTAÇÃO DE SERVIÇOS UFVs (PATOS DE MINAS 1) NF 17620  CONCRETEIRA</t>
  </si>
  <si>
    <t>Patos de Minas 1_EPC2_FD</t>
  </si>
  <si>
    <t>PRESTAÇÃO DE SERVIÇOS UFVs (POUSO ALEGRE 1 )   N 160619016 CEMIG</t>
  </si>
  <si>
    <t>Pagamento referente a 2ª parcela da PFC do parecer de acesso de Pouso Alegre I – 2,5MW. ESCOPO COMERC 2/6</t>
  </si>
  <si>
    <t>[CCC05191]</t>
  </si>
  <si>
    <t>002602</t>
  </si>
  <si>
    <t>PRESTAÇÃO DE SERVIÇOS UFVs (JABOTICATUBAS)  NF 44 LOC CASTRO</t>
  </si>
  <si>
    <t>[CCC05192]</t>
  </si>
  <si>
    <t>002603</t>
  </si>
  <si>
    <t>PRESTAÇÃO DE SERVIÇOS UFVs (JABOTICATUBAS)  NF 15 COSTERR</t>
  </si>
  <si>
    <t>1101-UFV FRANSCISO SÁ</t>
  </si>
  <si>
    <t>COMPRA DE MATERIAIS  UFVS (FRANCISCO DE SÁ)  NF 764    SVA TECNOLOGIA</t>
  </si>
  <si>
    <t xml:space="preserve">Pagamento referente a compra de materiais, necessário a construção da UFV.  NOTA ENVIADA POR RENATO FREITAS O&amp;M - CAPEX </t>
  </si>
  <si>
    <t>[CCC05193]</t>
  </si>
  <si>
    <t>PRESTAÇÃO DE SERVIÇOS UFVs (FRANCISCO DE SÁ)  NF 193   SVA TECNOLOGIA</t>
  </si>
  <si>
    <t xml:space="preserve">Pagamento referente ao licenciamento ou cessao de direito de uso de programas de computacao_x000D_ , necessário a construção da UFV.  NOTA ENVIADA POR RENATO FREITAS O&amp;M - CAPEX </t>
  </si>
  <si>
    <t>REEMBOLSO DE DESPESAS UFVs (FRANCISCO DE SÁ) ND 12    SVA TECNOLOGIA</t>
  </si>
  <si>
    <t>Pagamento referente a rembolso de despesas, necessário a construção da UFV. NOTA DE DEBITO -  NOTA ENVIADA POR RENATO FREITAS O&amp;M - CAPEX</t>
  </si>
  <si>
    <t>COMPRA DE MATERIAIS  UFVS (JANAUBA)  NF 763    SVA TECNOLOGIA  PEDIDO ELIMINADO</t>
  </si>
  <si>
    <t>[CCC05194]</t>
  </si>
  <si>
    <t>PRESTAÇÃO DE SERVIÇOS UFVs (JANAUBA)  NF 194   SVA TECNOLOGIA PEDIDO ELIMINADO</t>
  </si>
  <si>
    <t>REEMBOLSO DE DESPESAS UFVs (JANAUBA) ND 13    SVA TECNOLOGIA    PEDIDO ELIMINADO</t>
  </si>
  <si>
    <t>COMPRA DE MATERIAIS  UFVS (PORTEIRINHA)  NF 762     SVA TECNOLOGIA</t>
  </si>
  <si>
    <t>[CCC05195]</t>
  </si>
  <si>
    <t>PRESTAÇÃO DE SERVIÇOS UFVs (PORTEIRINHA)  NF 195    SVA TECNOLOGIA</t>
  </si>
  <si>
    <t>REEMBOLSO DE DESPESAS UFVs (PORTEIRINHA) ND 14      SVA TECNOLOGIA</t>
  </si>
  <si>
    <t>0701-UFV PORTEIRINHA II</t>
  </si>
  <si>
    <t>COMPRA DE MATERIAIS  UFVS (PORTEIRINHA 2)  NF 761    SVA TECNOLOGIA</t>
  </si>
  <si>
    <t>[CCC05196]</t>
  </si>
  <si>
    <t>PRESTAÇÃO DE SERVIÇOS UFVs (PORTEIRINHA 2) NF 196    SVA TECNOLOGIA</t>
  </si>
  <si>
    <t>REEMBOLSO DE DESPESAS UFVs (PORTEIRINHA 2) ND 15    SVA TECNOLOGIA</t>
  </si>
  <si>
    <t>1601-UFV MATO VERDE</t>
  </si>
  <si>
    <t>COMPRA DE MATERIAIS  UFVS (MATO VERDE)  NF 759    SVA TECNOLOGIA</t>
  </si>
  <si>
    <t>[CCC05197]</t>
  </si>
  <si>
    <t>PRESTAÇÃO DE SERVIÇOS UFVs (MATO VERDE)  NF 197   SVA TECNOLOGIA</t>
  </si>
  <si>
    <t>REEMBOLSO DE DESPESAS UFVs (MATO VERDE) ND 16    SVA TECNOLOGIA</t>
  </si>
  <si>
    <t>002607</t>
  </si>
  <si>
    <t>COMPRA DE MATERIAIS  UFVS (DIVINOPOLIS 1)  NF 1517  DIEGO SOUZA</t>
  </si>
  <si>
    <t>Pagamento referente a compra de materiais, necessário a construção da UFV. ESCOPO COMERC - ENVIADA POR SM AUGUSTO XAVIER</t>
  </si>
  <si>
    <t>[CCC05198]</t>
  </si>
  <si>
    <t>002608</t>
  </si>
  <si>
    <t>COMPRA DE MATERIAIS  UFVS (DIVINOPOLIS 2)  NF 1518  DIEGO SOUZA</t>
  </si>
  <si>
    <t xml:space="preserve"> DIEGO SOUZA</t>
  </si>
  <si>
    <t>PRESTAÇÃO DE SERVIÇOS UFVs ( CARMO DO PARAIBA) NF 2693</t>
  </si>
  <si>
    <t>Pagamento de medição, referente a comissionamento, necessário a construção das usinas.</t>
  </si>
  <si>
    <t>[CCC05199]</t>
  </si>
  <si>
    <t>002609</t>
  </si>
  <si>
    <t>PRESTAÇÃO DE SERVIÇOS UFVs  (INADIABIRA 1) NF 1259  NORTE CONEXÃO - Inclusão da Internet</t>
  </si>
  <si>
    <t xml:space="preserve">Pagamento em faturamento direto, referente ao serviço de lançamento de fibra óptica, necessários  a construção da usina. NOTAS ENVIADAS POR MARCIO ELI </t>
  </si>
  <si>
    <t>[CCC05200]</t>
  </si>
  <si>
    <t>002610</t>
  </si>
  <si>
    <t>PRESTAÇÃO DE SERVIÇOS UFVs  (INADIABIRA 2) NF 1260  NORTE CONEXÃO - Inclusão da Internet</t>
  </si>
  <si>
    <t>PRESTAÇÃO DE SERVIÇOS UFVs  (CASSIA 1) NF 1261  NORTE CONEXÃO</t>
  </si>
  <si>
    <t xml:space="preserve">Cobrança referente a taxa de adesão da UFV Cássia 1 </t>
  </si>
  <si>
    <t>PRESTAÇÃO DE SERVIÇOS UFVs  (SÃO SEBASTIÃO DO OESTE 5) NF 1262  NORTE CONEXÃO</t>
  </si>
  <si>
    <t>Tratar-se da implantação da internet na UFV São Sebastião 5, contrato que foi fechado diretamente entre a Mori/Comerc e a Norte Conexão.</t>
  </si>
  <si>
    <t>PRESTAÇÃO DE SERVIÇOS UFVs  (CAMPO BELO 3) NF 1263 NORTE CONEXÃO</t>
  </si>
  <si>
    <t>001899</t>
  </si>
  <si>
    <t>PRESTAÇÃO DE SERVIÇOS UFVs  (CAMPO BELO 5) NF 1264 NORTE CONEXÃO</t>
  </si>
  <si>
    <t>002611</t>
  </si>
  <si>
    <t>WEG PRESTAÇÃO DE SERVIÇOS UFVs ( INDAIABIRA 1)   ADIANTAMENTO   EVENTO 7</t>
  </si>
  <si>
    <t>Pagamento medição, referente a Conclusão das conexões CC e CA contrato FULL EPC WEG. EVENTO 7</t>
  </si>
  <si>
    <t>[CCC05201]</t>
  </si>
  <si>
    <t>002612</t>
  </si>
  <si>
    <t>WEG PRESTAÇÃO DE SERVIÇOS UFVs ( INDAIABIRA 2)   ADIANTAMENTO   EVENTO 7</t>
  </si>
  <si>
    <t>[CCC05202]</t>
  </si>
  <si>
    <t>002613</t>
  </si>
  <si>
    <t>WEG PRESTAÇÃO DE SERVIÇOS UFVs ( INDAIABIRA 1)   ADIANTAMENTO   EVENTO 8</t>
  </si>
  <si>
    <t>[CCC05203]</t>
  </si>
  <si>
    <t>002614</t>
  </si>
  <si>
    <t>WEG PRESTAÇÃO DE SERVIÇOS UFVs ( INDAIABIRA 2)   ADIANTAMENTO   EVENTO 8</t>
  </si>
  <si>
    <t>[CCC05204]</t>
  </si>
  <si>
    <t>001849</t>
  </si>
  <si>
    <t>PRESTAÇÃO DE SERVIÇOS UFVs  (PATROCINIO 2) NF 100  RPA</t>
  </si>
  <si>
    <t>Pagamento referente ao serviço de comunicação multimidia scm, necessário à construção da UFVs.  ESCOPO COMERC - ENVIADO POR SM GILSON AUGUSTO</t>
  </si>
  <si>
    <t>[CCC05205]</t>
  </si>
  <si>
    <t>PRESTAÇÃO DE SERVIÇOS UFVs  (PATOS DE MINAS 3) NF 831    RONDA PORTEIROS</t>
  </si>
  <si>
    <t>Pagamento referente ao serviço de vigilancia desarmada, necessário à construção da UFVs. ESCOPO COMERC - ENVIADO POR SM GILSON AUGUSTO</t>
  </si>
  <si>
    <t>[CCC05206]</t>
  </si>
  <si>
    <t>PRESTAÇÃO DE SERVIÇOS UFVs  (PATOS DE MINAS 4) NF 833    RONDA PORTEIROS</t>
  </si>
  <si>
    <t>PRESTAÇÃO DE SERVIÇOS UFVs  (PATOS DE MINAS 1) NF 835    RONDA PORTEIROS</t>
  </si>
  <si>
    <t>PRESTAÇÃO DE SERVIÇOS UFVs  (PATOS DE MINAS 7) NF 836    RONDA PORTEIROS</t>
  </si>
  <si>
    <t>PRESTAÇÃO DE SERVIÇOS UFVs  (PATOS DE MINAS 8) NF 837    RONDA PORTEIROS</t>
  </si>
  <si>
    <t>PRESTAÇÃO DE SERVIÇOS UFVs  (LAGOA FORMOSA)  NF  838    RONDA PORTEIROS</t>
  </si>
  <si>
    <t>PRESTAÇÃO DE SERVIÇOS UFVs  (VARJÃO DE MINAS 4) NF 839     RONDA PORTEIROS</t>
  </si>
  <si>
    <t>001857</t>
  </si>
  <si>
    <t>PRESTAÇÃO DE SERVIÇOS UFVs  (PATROCINIO 2) NF 854    RONDA PORTEIROS</t>
  </si>
  <si>
    <t>PRESTAÇÃO DE SERVIÇOS UFVs  (PATROCINIO 3) NF 855    RONDA PORTEIROS</t>
  </si>
  <si>
    <t>PRESTAÇÃO DE SERVIÇOS UFVs Cluster 03  NF 857    RONDA PORTEIROS</t>
  </si>
  <si>
    <t>Pagamento referente ao fornecimento e limpeza de banheiros químicos, necessário à construção da UFVs. ESCOPO COMERC - ENVIADO POR SM GILSON AUGUSTO</t>
  </si>
  <si>
    <t>[CCC05207]</t>
  </si>
  <si>
    <t>PRESTAÇÃO DE SERVIÇOS UFVs  (PATROCINIO 3) NF 1509   INOVAR</t>
  </si>
  <si>
    <t>Pagamento referente a locação de módula metálico, necessário à construção da UFVs.   ESCOPO COMERC - ENVIADO POR SM GILSON AUGUSTO</t>
  </si>
  <si>
    <t>[CCC05208]</t>
  </si>
  <si>
    <t>001861</t>
  </si>
  <si>
    <t>PRESTAÇÃO DE SERVIÇOS UFVs  (PATROCINIO 2) NF 1510   INOVAR</t>
  </si>
  <si>
    <t>001862</t>
  </si>
  <si>
    <t>PRESTAÇÃO DE SERVIÇOS UFVs  (LAGOA FORMOSA) NF 1511    INOVAR</t>
  </si>
  <si>
    <t xml:space="preserve"> ESCOPO COMERC -  Pago depois abandono da  Via Prumo</t>
  </si>
  <si>
    <t>001863</t>
  </si>
  <si>
    <t>PRESTAÇÃO DE SERVIÇOS UFVs  (PATOS DE MINAS 1) NF 1512   INOVAR</t>
  </si>
  <si>
    <t>[CCC05209]</t>
  </si>
  <si>
    <t>001864</t>
  </si>
  <si>
    <t>PRESTAÇÃO DE SERVIÇOS UFVs  (PATOS DE MINAS 4) NF 1513   INOVAR</t>
  </si>
  <si>
    <t>PRESTAÇÃO DE SERVIÇOS UFVs  (PATOS DE MINAS 7) NF 1514   INOVAR</t>
  </si>
  <si>
    <t>PRESTAÇÃO DE SERVIÇOS UFVs  (PATOS DE MINAS 8) NF 1642   INOVAR</t>
  </si>
  <si>
    <t>004968</t>
  </si>
  <si>
    <t xml:space="preserve">COMPRA DE MATERIAIS PARA AS USINAS    NF 669  RAMOS UNIFORMES </t>
  </si>
  <si>
    <t>Pagamento referente a compra de uniformes. **NOTAS DE REMESSA NÃO GERAR FINANCEIRO**</t>
  </si>
  <si>
    <t>[CCC05210]</t>
  </si>
  <si>
    <t>004969</t>
  </si>
  <si>
    <t xml:space="preserve">COMPRA DE MATERIAIS PARA AS USINAS    NF 670  RAMOS UNIFORMES </t>
  </si>
  <si>
    <t>001867</t>
  </si>
  <si>
    <t>PRESTAÇÃO DE SERVIÇOS UFVs CLUSTER 3   NF 6 RANDER MOTA</t>
  </si>
  <si>
    <t>Pagamento referente ao serviço de locação de tendas, necessário à construção da UFVs. ESCOPO COMERC - ENVIADO POR SM GILSON AUGUSTO</t>
  </si>
  <si>
    <t>[CCC05211]</t>
  </si>
  <si>
    <t>PRESTAÇÃO DE SERVIÇOS UFVs (PATOS DE MINAS 1 E 8)   NF 155915  ALTAMIRO</t>
  </si>
  <si>
    <t>Pagamento referente ao serviço de fornecimento de energia elétrica ao canteiro de obras, necessário à construção da UFVs. ESCOPO COMERC - ENVIADO POR SM GILSON AUGUSTO</t>
  </si>
  <si>
    <t>[CCC05212]</t>
  </si>
  <si>
    <t>PRESTAÇÃO DE SERVIÇOS UFVs (PATOS DE MINAS 7)   NF 155968  MAURO QUEIROZ</t>
  </si>
  <si>
    <t>[CCC05213]</t>
  </si>
  <si>
    <t>002616</t>
  </si>
  <si>
    <t>PRESTAÇÃO DE SERVIÇOS UFVs (JABOTICATUBAS)   NF 679</t>
  </si>
  <si>
    <t xml:space="preserve">Pagamento de 1º medição referente a mobilização, supressão vegetal, regularização do terreno e marcação topográfica, necessário à construção da UFVs. SOLICITDO POR SM WENDEL TORRES </t>
  </si>
  <si>
    <t>[CCC05214]</t>
  </si>
  <si>
    <t>002617</t>
  </si>
  <si>
    <t>PRESTAÇÃO DE SERVIÇOS UFVs (JABOTICATUBAS)   NF 30    ORCI</t>
  </si>
  <si>
    <t xml:space="preserve">Pagamento de 4° medição, referente ao serviço de supressão e terraplenagem, necessário a construção da usina. CONTRATO ORCI - Solicitado por SM WENDEL TORRES </t>
  </si>
  <si>
    <t>[CCC05215]</t>
  </si>
  <si>
    <t>WEG PRESTAÇÃO DE SERVIÇOS UFVs ( NOVA PONTE 1)   ADIANTAMENTO   EVENTO 7</t>
  </si>
  <si>
    <t>[CCC05216]</t>
  </si>
  <si>
    <t>WEG PRESTAÇÃO DE SERVIÇOS UFVs (CASSIA 1)   ADIANTAMENTO   EVENTO 8</t>
  </si>
  <si>
    <t>Pagamento de medição referente a Conclusão dos testes de comissionamento a frio, em contrato FullEPC de construção da UFV. Evento 8 PROFORMA</t>
  </si>
  <si>
    <t>[CCC05217]</t>
  </si>
  <si>
    <t>COMPRA DE MATERIAIS UFVs (CAMPO BELO 5) NF 6598  ARTECAMP</t>
  </si>
  <si>
    <t>Pagamento referente a compra de materiais, necessário a consrução da UFVs. **NOTAS DE REMESSA NÃO GERAR FINANCEIRO**</t>
  </si>
  <si>
    <t>[CCC05218]</t>
  </si>
  <si>
    <t>COMPRA DE MATERIAIS UFVs (CAMPO BELO 5) NF 6602  ARTECAMP</t>
  </si>
  <si>
    <t>COMPRA DE MATERIAIS UFVs (ARCOS 7) NF 6610  ARTECAMP</t>
  </si>
  <si>
    <t>PRESTAÇÃO DE SERVIÇOS UFVs  (PATOS DE MINAS 1) ADIANTAMENTO</t>
  </si>
  <si>
    <t>Pagamento 1° medição, refere-se ao adiantamento de 15 % do contrato. CONTRATO IMPLANTAR</t>
  </si>
  <si>
    <t>[CCC05219]</t>
  </si>
  <si>
    <t>Patos de Minas 1_EPC2_MD</t>
  </si>
  <si>
    <t>PRESTAÇÃO DE SERVIÇOS UFVs  (PATOS DE MINAS 3) ADIANTAMENTO</t>
  </si>
  <si>
    <t>Patos de Minas 3_EPC2_MD</t>
  </si>
  <si>
    <t>PRESTAÇÃO DE SERVIÇOS UFVs  (PATOS DE MINAS 4) ADIANTAMENTO</t>
  </si>
  <si>
    <t>Patos de Minas 4_EPC2_MD</t>
  </si>
  <si>
    <t>PRESTAÇÃO DE SERVIÇOS UFVs  (PATOS DE MINAS 7) ADIANTAMENTO</t>
  </si>
  <si>
    <t>Patos de Minas 7_EPC2_MD</t>
  </si>
  <si>
    <t>PRESTAÇÃO DE SERVIÇOS UFVs  (PATOS DE MINAS 8) ADIANTAMENTO</t>
  </si>
  <si>
    <t>Patos de Minas 8_EPC2_MD</t>
  </si>
  <si>
    <t>COMPRA DE MATERIAIS UFVs (PATOS DE MINAS 7) NF 61867  POSTO RODOMILHO</t>
  </si>
  <si>
    <t>Pagamento em faturamento direto, referente a compra de combustivel, necessário a construção da UFVs.  CONTRATO EPC</t>
  </si>
  <si>
    <t>[CCC05220]</t>
  </si>
  <si>
    <t>COMPRA DE MATERIAIS UFVs (CAMPO BELO 1) NF 6616  ARTECAMP</t>
  </si>
  <si>
    <t>[CCC05221]</t>
  </si>
  <si>
    <t>PRESTAÇÃO DE SERVIÇOS UFVs ( OURO FINO ) NF 165 CONCERT</t>
  </si>
  <si>
    <t xml:space="preserve">Pagamento referente ao ACOMPANHAMENTO E FISCALIZACAO DA EXECUCAO DE OBRAS DE ENGENHARIA, necessário a construção da usina. NÃO DESCONTA EM CONTRATO MBA . </t>
  </si>
  <si>
    <t>[CCC05222]</t>
  </si>
  <si>
    <t>002625</t>
  </si>
  <si>
    <t>DAE - UFVs ( SÃO SEBASTIÃO DO OESTE 0)   N 5400028414551 GERALDO TEIXEIRA</t>
  </si>
  <si>
    <t>Taxa necessária à avaliação de intervenção ambiental para a UFV.  TAXA FLORESTAL</t>
  </si>
  <si>
    <t>[CCC05223]</t>
  </si>
  <si>
    <t>PRESTAÇÃO DE SERVIÇOS UFVs  (PATOS DE MINAS 1) NF 887  RONDA PORTEIROS</t>
  </si>
  <si>
    <t>Pagamento em faturamento direto, referente ao serviço de vigilancia desarmada, necessário a construção da UFVs. CONTRATO EPC - SOLICITADO POR SM GILSON AUGUSTO</t>
  </si>
  <si>
    <t>[CCC05224]</t>
  </si>
  <si>
    <t>PRESTAÇÃO DE SERVIÇOS UFVs  (PATOS DE MINAS 3) NF 888  RONDA PORTEIROS</t>
  </si>
  <si>
    <t>Patos de Minas 3_EPC2_FD</t>
  </si>
  <si>
    <t>001884</t>
  </si>
  <si>
    <t>PRESTAÇÃO DE SERVIÇOS UFVs  (PATOS DE MINAS 4) NF 889  RONDA PORTEIROS</t>
  </si>
  <si>
    <t>Patos de Minas 4_EPC2_FD</t>
  </si>
  <si>
    <t>PRESTAÇÃO DE SERVIÇOS UFVs  (PATOS DE MINAS 7) NF 891  RONDA PORTEIROS</t>
  </si>
  <si>
    <t>PRESTAÇÃO DE SERVIÇOS UFVs  (PATOS DE MINAS 8) NF 892  RONDA PORTEIROS</t>
  </si>
  <si>
    <t xml:space="preserve">COMPRA DE MATERIAIS UFVs (PATOS DE MINAS 1) NF 861  EMPA     </t>
  </si>
  <si>
    <t>Pagamento em faturamento direto, referente ao fornecimento estruturas de fixação das combiner boxes, necessário a construção da UFVs. CONTRATO EPC - SOLICITADO POR SM GILSON AUGUSTO</t>
  </si>
  <si>
    <t>[CCC05225]</t>
  </si>
  <si>
    <t>COMPRA DE MATERIAIS UFVs (PATOS DE MINAS 4) NF 862  EMPA</t>
  </si>
  <si>
    <t>COMPRA DE MATERIAIS UFVs (PATOS DE MINAS 3) NF 863  EMPA</t>
  </si>
  <si>
    <t>001892</t>
  </si>
  <si>
    <t xml:space="preserve">COMPRA DE MATERIAIS UFVs (PATOS DE MINAS 3) NF 49995  AÇO SANTA CLARA  </t>
  </si>
  <si>
    <t>Pagamento em faturamento direto, referente ao fornecimento de ferragens, necessário a construção da UFVs. CONTRATO EPC - SOLICITADO POR SM GILSON AUGUSTO</t>
  </si>
  <si>
    <t>[CCC05226]</t>
  </si>
  <si>
    <t>COMPRA DE MATERIAIS UFVs (PATOS DE MINAS 4) NF 50011  AÇO SANTA CLARA</t>
  </si>
  <si>
    <t>002627</t>
  </si>
  <si>
    <t xml:space="preserve">COMPRA DE  MATERIAIS  UFVs (DIVINOPOLIS 3) NF1193 VW SOLUÇÕES </t>
  </si>
  <si>
    <t xml:space="preserve">Pagamento referente a compra de materiais, necessário a consrtução da UFVs. ESCOPO COMERC  SOLICITATO SM AUGUSTO XAVIER </t>
  </si>
  <si>
    <t>[CCC05227]</t>
  </si>
  <si>
    <t>002629</t>
  </si>
  <si>
    <t>COMPRA DE  MATERIAIS  UFVs (PEDRA DO INDAIA 5)  NF 29  STEFANIO</t>
  </si>
  <si>
    <t xml:space="preserve">Pagamento referente a compra de materiais, necessário a construção da UFVs. ESCOPO COMERC  SOLICITATO SM AUGUSTO XAVIER </t>
  </si>
  <si>
    <t>[CCC05228]</t>
  </si>
  <si>
    <t>COMPRA DE  MATERIAIS  UFVs (CAMPO BELO 1)  NF 6620  ARTECAMP</t>
  </si>
  <si>
    <t>Pagamento em faturamento direto, referente a compra de materiais, necessário a construção da UFVs. CONTRATO EPC - SOLICITADO SM RAFAEL OLIVEIRA</t>
  </si>
  <si>
    <t>[CCC05229]</t>
  </si>
  <si>
    <t>001909</t>
  </si>
  <si>
    <t>COMPRA DE  MATERIAIS  UFVs (SANTO ANTONIO DO AMPARO 1)  NF 6621  ARTECAMP</t>
  </si>
  <si>
    <t>002630</t>
  </si>
  <si>
    <t>COMPRA DE  MATERIAIS  UFVs ( DIVINOPOLIS 3)  NF 30 STEFANIO</t>
  </si>
  <si>
    <t>[CCC05230]</t>
  </si>
  <si>
    <t>COMPRA DE  MATERIAIS  UFVs ( TRES CORAÇÕES 3)  NF 9072  SANTA EDWIGES</t>
  </si>
  <si>
    <t>Pagamento referente a compra de materiais, necessário a construção da UFVs. ESCOPO COMERC  SOLICITATO SM RAFAEL OLIVEIRA</t>
  </si>
  <si>
    <t>[CCC05231]</t>
  </si>
  <si>
    <t>PRESTAÇÃO DE SERVIÇOS UFVs (OURO FINO 2 )  NF 534   OUROPAV</t>
  </si>
  <si>
    <t>Pagamento de medição 2, referente a terraplanagem, necessário a construção da usina . CONTRATO OUROPAV</t>
  </si>
  <si>
    <t>[CCC05232]</t>
  </si>
  <si>
    <t>002631</t>
  </si>
  <si>
    <t>PRESTAÇÃO DE SERVIÇOS UFVs (PEDRA DO INDAIA 1)  NF  513</t>
  </si>
  <si>
    <t xml:space="preserve">Pagamento medição de aditivos de concretagem e refazimento, referente a prestação de serviço de mão de obra, necessário à construção da UFVs. 65% - ENVIADO POR SM  AUGUSTO XAVIER </t>
  </si>
  <si>
    <t>[CCC05233]</t>
  </si>
  <si>
    <t>002632</t>
  </si>
  <si>
    <t>PRESTAÇÃO DE SERVIÇOS UFVs (PEDRA DO INDAIA 1)  NF  514</t>
  </si>
  <si>
    <t xml:space="preserve">Pagamento medição de aditivos de concretagem e refazimento, referente a elaboração de planos, necessário à construção da UFVs. 35% - ENVIADO POR SM  AUGUSTO XAVIER </t>
  </si>
  <si>
    <t>002633</t>
  </si>
  <si>
    <t>PRESTAÇÃO DE SERVIÇOS UFVs (PEDRA DO INDAIA 3)  NF  515</t>
  </si>
  <si>
    <t>Arracamento, perfuração e concretagem. R$ 421000,00 - Aditivo</t>
  </si>
  <si>
    <t>002634</t>
  </si>
  <si>
    <t>PRESTAÇÃO DE SERVIÇOS UFVs (PEDRA DO INDAIA 3)  NF  516</t>
  </si>
  <si>
    <t>PRESTAÇÃO DE SERVIÇOS UFVs (FORMIGA 6)  NF  517</t>
  </si>
  <si>
    <t>PRESTAÇÃO DE SERVIÇOS UFVs (FORMIGA 6)  NF  518</t>
  </si>
  <si>
    <t>A217-MORI GERACAO II - UFV VARJAO DE MINAS 4</t>
  </si>
  <si>
    <t xml:space="preserve">PRESTAÇÃO DE SERVIÇOS UFVs( VARJÃO DE MINAS 4) NF 519 </t>
  </si>
  <si>
    <t>Pagamento medição adiantamento 15% do contrato , referente a prestação de serviço de mão de obra, necessário à construção da UFVs. 55% ENVIADO POR SM GILSON AUGUSTO</t>
  </si>
  <si>
    <t>[CCC05234]</t>
  </si>
  <si>
    <t>Varjão de Minas 4_EPC2_MD</t>
  </si>
  <si>
    <t>PRESTAÇÃO DE SERVIÇOS UFVs( VARJÃO DE MINAS 4) NF 520</t>
  </si>
  <si>
    <t>Pagamento medição adiantamento 15 % do contrato, referente a elaboração de planos, necessário à construção da UFVs. 45% ENVIADO POR SM GILSON AUGUSTO</t>
  </si>
  <si>
    <t>001912</t>
  </si>
  <si>
    <t>COMPRA DE  MATERIAIS  UFVs (CAMPO BELO 5)  NF 6623  ARTECAMP</t>
  </si>
  <si>
    <t>[CCC05235]</t>
  </si>
  <si>
    <t>COMPRA DE  MATERIAIS  UFVs (PATOS DE MINAS 8)  NF 227988     LOJA ELETRICA</t>
  </si>
  <si>
    <t>Pagamento em faturamento direto referente a compra de materiais, necessário a construção da UFV. ENVIADO POR SM GILSON AUGUSTO</t>
  </si>
  <si>
    <t>[CCC05236]</t>
  </si>
  <si>
    <t>COMPRA DE  MATERIAIS  UFVs (VARJÃO DE MINAS 4)  NF 1194  WM SOLUÇÕES</t>
  </si>
  <si>
    <t>[CCC05237]</t>
  </si>
  <si>
    <t>001894</t>
  </si>
  <si>
    <t>Medição ( MRO)</t>
  </si>
  <si>
    <t>MRO PRESTAÇÃO DE SERVIÇOS ( FREI INOCENCIO 1) eliminado gerado em outra filial</t>
  </si>
  <si>
    <t>Pagamento de 1º medição referente ao serviço de drenagem, necessário à construção da UFVs. SOLICITDO POR SM ARODRIGO ALVARENGA ( antigo pedido 001894 da A201 que foi preciso ser alterado)</t>
  </si>
  <si>
    <t>[CCC05238]</t>
  </si>
  <si>
    <t>MEDIÇÃO (EPC - CRITICAL)</t>
  </si>
  <si>
    <t>PRESTAÇÃO DE SERVIÇOS UFVs (PATROCINIO 2) NF 56</t>
  </si>
  <si>
    <t xml:space="preserve">Pagamento de 2º medição referente a serviços eletromecânicos, necessário à construção da UFVs. SOLICITADO POR SM GILSON </t>
  </si>
  <si>
    <t>[CCC05239]</t>
  </si>
  <si>
    <t>PRESTAÇÃO DE SERVIÇOS UFVs (PATROCINIO 3) NF 57</t>
  </si>
  <si>
    <t>005005</t>
  </si>
  <si>
    <t>COMPRA DE MATERIAIS PARA AS UFVs  NF 117276  PIONEIRA EQUIPAMENTOS</t>
  </si>
  <si>
    <t>Pagamento referente a compra de EPIs para as UFVs em geral.</t>
  </si>
  <si>
    <t>[CCC05240]</t>
  </si>
  <si>
    <t xml:space="preserve">COMPRA DE  MATERIAIS  UFVs (PATROCINIO 2)  NF 70887  SULMINAS </t>
  </si>
  <si>
    <t xml:space="preserve">Pagamento em faturamento direto referente a compra de materiais, necessário a construção da UFV.NF ENVIADA POR MBA </t>
  </si>
  <si>
    <t>[CCC05241]</t>
  </si>
  <si>
    <t>001913</t>
  </si>
  <si>
    <t>BALDONI / MCD BALDONI - Terraplanagem  UFVs (MUZAMBINHO 1)  20%  NF 218</t>
  </si>
  <si>
    <t>[CCC05242]</t>
  </si>
  <si>
    <t>001914</t>
  </si>
  <si>
    <t>BALDONI / Baldoni Engenharia -Terraplanagem  UFVs (MUZABINHO 1)  80%  N 381</t>
  </si>
  <si>
    <t>BALDONI / MCD BALDONI - Terraplanagem  UFVs ( PARAGUAÇU 1)  20%  NF 219</t>
  </si>
  <si>
    <t>[CCC05243]</t>
  </si>
  <si>
    <t>BALDONI / Baldoni Engenharia -Terraplanagem  UFVs (PARAGUAÇU 1)  80%   N 380</t>
  </si>
  <si>
    <t>BALDONI / MCD BALDONI - Terraplanagem  UFVs (TRES CORAÇÕES 3)  20%  NF 220</t>
  </si>
  <si>
    <t>[CCC05244]</t>
  </si>
  <si>
    <t>BALDONI / Baldoni Engenharia -Terraplanagem  UFVs (TRES CORAÇÕES 3)  80%  N 382</t>
  </si>
  <si>
    <t>Outros - Serviços à UFV (MBA- AT)</t>
  </si>
  <si>
    <t>PRESTAÇÃO DE SERVIÇOS UFVs( DIAMANTINA 1) NF 59 CONCERT</t>
  </si>
  <si>
    <t>[CCC05245]</t>
  </si>
  <si>
    <t>PRESTAÇÃO DE SERVIÇOS UFVs (CASSIA 1)  NF 1  RL VIGILANCIA      CADASTRO</t>
  </si>
  <si>
    <t>Pagamento referente ao serviço de vigilância, necessário a construção da UFVs. ENVIADO POR SM RODRIGO ALVARENGA</t>
  </si>
  <si>
    <t>[CCC05246]</t>
  </si>
  <si>
    <t>PRESTAÇÃO DE SERVIÇOS UFVs (CASSIA 1)  NF 1  RL VIGILANCIA</t>
  </si>
  <si>
    <t>002636</t>
  </si>
  <si>
    <t>COMPRA DE  MATERIAIS  UFVs (JABOTICATUBAS)  NF 471992      HELLERMANNTYTON</t>
  </si>
  <si>
    <t>Pagamento em faturamento direto referente a compra de materiais, necessário a construção da UFV. ENVIADO POR SM MANOEL LIMA</t>
  </si>
  <si>
    <t>[CCC05247]</t>
  </si>
  <si>
    <t>002637</t>
  </si>
  <si>
    <t>PRESTAÇÃO DE SERVIÇOS UFVs (INDAIABIRA 1 E 2) NF 40    BR FLORESTAL</t>
  </si>
  <si>
    <t>Pagamento referente ao serviço de cercamento interno, necessário a construção da usina.  ESCOPO COMERC-  ENVIADO SM MONEL LIMA</t>
  </si>
  <si>
    <t>[CCC05248]</t>
  </si>
  <si>
    <t>WEG PRESTAÇÃO DE SERVIÇOS  FITO UFVs (CASSIA 1)   NF 132</t>
  </si>
  <si>
    <t>Pagamento de 3° medição referente ao serviço de drenagem, necessário a construção da UFV . EM CONTRATO FULL-EPC  100 % - ENVIADO POR SM RODRIGO ALVARENGA</t>
  </si>
  <si>
    <t>[CCC05249]</t>
  </si>
  <si>
    <t>002639</t>
  </si>
  <si>
    <t>PRESTAÇÃO DE SERVIÇOS UFVs (JABOTICATUBAS) NF 50   KPD</t>
  </si>
  <si>
    <t>Pagamento em faturamento direto referente ao serviço de bate estaca, necessário a construção da UFVs  - ENVIADO POR SM MANOEL LIMA</t>
  </si>
  <si>
    <t>[CCC05250]</t>
  </si>
  <si>
    <t>PRESTAÇÃO DE SERVIÇOS UFVs (JABOTICATUBAS) NF 3465  CONCRETAR    CADASTRO</t>
  </si>
  <si>
    <t>[CCC05251]</t>
  </si>
  <si>
    <t>002640</t>
  </si>
  <si>
    <t>PRESTAÇÃO DE SERVIÇOS UFVs (JABOTICATUBAS) NF 88  PORTAL DOS POCOS</t>
  </si>
  <si>
    <t>Pagamento em faturamento direto referente ao fornecimento de perfuratriz , necessário a construção da UFVs  - ENVIADO POR SM MANOEL LIMA</t>
  </si>
  <si>
    <t>[CCC05252]</t>
  </si>
  <si>
    <t>002641</t>
  </si>
  <si>
    <t>COMPRA DE MATERIAIS UFVs (JABOTICATUBAS)  NF 248110 EQUIPASEG</t>
  </si>
  <si>
    <t>Pagamento em faturamento direto referente a compra de materiais , necessário a construção da UFVs  - ENVIADO POR SM MANOEL LIMA</t>
  </si>
  <si>
    <t>[CCC05253]</t>
  </si>
  <si>
    <t>001900</t>
  </si>
  <si>
    <t>MRO PRESTAÇÃO DE SERVIÇOS ( FREI INOCENCIO 1)  NF 492  NOTA SUBSTITUIU NOTA 488</t>
  </si>
  <si>
    <t>Antigo pedido 001894  que foi eliminado pois precisamos alterar a filial</t>
  </si>
  <si>
    <t>Frei Inocêncio 1 _Obras Drenagem</t>
  </si>
  <si>
    <t xml:space="preserve">PRESTAÇÃO DE SERVIÇOS UFVs (PATOS DE MINAS 7)  NF </t>
  </si>
  <si>
    <t>Pagamento de 1º medição referente ao serviço de mobilização, instalação dos módulos fotovoltaicos, instalação dos skids, instalação da cabine, instalação reator, montagem combiner box e Instalação datalogger, necessário a construção da UFVs. - ENVIADO POR SM GILSON QUEIROZ</t>
  </si>
  <si>
    <t>[CCC05254]</t>
  </si>
  <si>
    <t>COMPRA DE MATERIAIS UFVs (SÃO SEBASTIÃO DO OESTE 1)  NF 3425  VAREJO  BARATAO  CADASTRO</t>
  </si>
  <si>
    <t>Pagamento referente a compra de produtos de limpeza, necessário à construção da UFVs.  ESCOPO COMERC - ENVIADO POR RENATO FREITAS</t>
  </si>
  <si>
    <t>[CCC05255]</t>
  </si>
  <si>
    <t>SERVIÇOS PRESTADOS DE CONSULTORIA EM CONTRATOS -  DELOITTE     NF  197</t>
  </si>
  <si>
    <t>Pagamento referente a medição mão de obra contrato DELOITTE ,  necessário à construção da UFV em contrato EPC . MEDIÇÃO 11 JUNHO/2023 - ENVIADO POR DELOITTE</t>
  </si>
  <si>
    <t>[CCC05256]</t>
  </si>
  <si>
    <t>SERVIÇOS PRESTADOS DE CONSULTORIA EM CONTRATOS -  DELOITTE     NF  198</t>
  </si>
  <si>
    <t>SERVIÇOS PRESTADOS DE CONSULTORIA EM CONTRATOS -  DELOITTE     NF  199</t>
  </si>
  <si>
    <t>002642</t>
  </si>
  <si>
    <t>SERVIÇOS PRESTADOS DE CONSULTORIA EM CONTRATOS -  DELOITTE     NF  200</t>
  </si>
  <si>
    <t>WEG PRESTAÇÃO DE SERVIÇOS UFVs (FREI INOCENCIO 1 )   ADIANTAMENTO   EVENTO 8</t>
  </si>
  <si>
    <t>[CCC05257]</t>
  </si>
  <si>
    <t>PRESTAÇÃO DE SERVIÇOS UFVs ( ARCOS 7) NF 390 ANDRADE PINHEIRO ENGECON</t>
  </si>
  <si>
    <t>Pagamento 2° medição referente ao serviço de EXCECUÇÃO DO PROJETO DE DRENAGEM SUPERFICIAL, necessário a construção da usina. ENVIADO POR SM AUGUSTO SIQUEIRA</t>
  </si>
  <si>
    <t>[CCC05258]</t>
  </si>
  <si>
    <t>Arcos 7 - Drenagem</t>
  </si>
  <si>
    <t>DAE - Dispensa  de Licenciamento ambiental UFVs (ARCOS 7)   N 5400028602811  JOSE DE LUZ</t>
  </si>
  <si>
    <t>Taxa necessária à avaliação de intervenção ambiental para a UFV.  COLHEITA EUCALIPTO</t>
  </si>
  <si>
    <t>[CCC05259]</t>
  </si>
  <si>
    <t>002645</t>
  </si>
  <si>
    <t>PRESTAÇÃO DE SERVIÇOS UFVs (SÃO SEBASTIÃO DO OESTE 6)  NF 27666</t>
  </si>
  <si>
    <t>Pagamento de medição referente ao fornecimento de material e mão de obra especializada para instalações eletromecanicas e civil, necessári a construção da UFVs. ENVIADO POR SM AUGUSTO XAVIER</t>
  </si>
  <si>
    <t>[CCC05260]</t>
  </si>
  <si>
    <t>002646</t>
  </si>
  <si>
    <t>PRESTAÇÃO DE SERVIÇOS UFVs (SÃO SEBASTIÃO DO OESTE 0)  NF 27667</t>
  </si>
  <si>
    <t>PRESTAÇÃO DE SERVIÇOS UFVs (PASSOS 4)  NF 27668</t>
  </si>
  <si>
    <t xml:space="preserve">Pagamento de medição referente ao fornecimento de material e mão de obra especializada para instalações eletromecanicas e civil, necessári a construção da UFVs. (DEVERÁ SER DESCONTADO O VALOR DE R$500.000,00 DO ADIANTAMENTO REALIZADO ) - ENVIADO POR SM AUGUSTO XAVIER </t>
  </si>
  <si>
    <t>Vinculado ao pedido de compras - '001303</t>
  </si>
  <si>
    <t>002647</t>
  </si>
  <si>
    <t>PRESTAÇÃO DE SERVIÇOS UFVs (DIVINOPOLIS 1)  NF 27669</t>
  </si>
  <si>
    <t>002648</t>
  </si>
  <si>
    <t>PRESTAÇÃO DE SERVIÇOS UFVs (DIVINOPOLIS 2)  NF 27670</t>
  </si>
  <si>
    <t>WEG PRESTAÇÃO DE SERVIÇOS UFVs (SÃO SEBASTIÃO DO OESTE 5) NF 294 INTEGRADOR BN  EVENTO 9</t>
  </si>
  <si>
    <t>[CCC05261]</t>
  </si>
  <si>
    <t>PRESTAÇÃO DE SERVIÇOS UFVs ( SÃO SEBASTIÃO DO OESTE 1)  NF 35 AZUOS ENGENHARIA</t>
  </si>
  <si>
    <t>Pagamento referente ao serviço de cercamento interno das suinas. ESCOPO COMERC - SOLICITADO SM RODRIGO ALVARENGA</t>
  </si>
  <si>
    <t>[CCC05262]</t>
  </si>
  <si>
    <t xml:space="preserve">ESCOPO COMERC </t>
  </si>
  <si>
    <t>PRESTAÇÃO DE SERVIÇOS UFVs ( SÃO SEBASTIÃO DO OESTE 5)  NF 36  AZUOS ENGENHARIA</t>
  </si>
  <si>
    <t>Outros - Serviços à UFV (MBA -MT)</t>
  </si>
  <si>
    <t>COMPRA DE  MATERIAIS  UFVs (SANTO ANTONIO DO AMPARO)  NF 6248  CAMPO ALEGRE</t>
  </si>
  <si>
    <t>Pagamento referente a compra de materiais, necessário a construção da UFVS. **NOTA DE REMESSA NÃO GERA FINANCEIRO ** - ENVIADO POR MBA</t>
  </si>
  <si>
    <t>[CCC05263]</t>
  </si>
  <si>
    <t>002649</t>
  </si>
  <si>
    <t>PRESTAÇÃO DE SERVIÇOS UFVs (PEDRA DO INDAIA 1) NF 501  CMP CONCRETO</t>
  </si>
  <si>
    <t>Pagamento em faturamento direto referente a concretagem das estacas,  necessário a construção da UFVs  - ENVIADO POR SM AUGUSTO XAVIER</t>
  </si>
  <si>
    <t>[CCC05264]</t>
  </si>
  <si>
    <t>002650</t>
  </si>
  <si>
    <t>PRESTAÇÃO DE SERVIÇOS UFVs (DIVINOPOLIS 3)  NF  521</t>
  </si>
  <si>
    <t xml:space="preserve">Pagamento medição referente a prestação de serviço de mão de obra, necessário à construção da UFVs. 65% - ENVIADO POR SM  AUGUSTO XAVIER </t>
  </si>
  <si>
    <t>[CCC05265]</t>
  </si>
  <si>
    <t>002651</t>
  </si>
  <si>
    <t>PRESTAÇÃO DE SERVIÇOS UFVs (DIVINOPOLIS 3)  NF  522</t>
  </si>
  <si>
    <t xml:space="preserve">Pagamento medição referente a elaboração de planos, necessário à construção da UFVs. 35% - ENVIADO POR SM  AUGUSTO XAVIER </t>
  </si>
  <si>
    <t>002652</t>
  </si>
  <si>
    <t>PRESTAÇÃO DE SERVIÇOS UFVs (DIVINOPOLIS 3)  NF  523</t>
  </si>
  <si>
    <t>002653</t>
  </si>
  <si>
    <t>PRESTAÇÃO DE SERVIÇOS UFVs (DIVINOPOLIS 3)  NF  524</t>
  </si>
  <si>
    <t>002654</t>
  </si>
  <si>
    <t>COMPRA DE  MATERIAIS  UFVs (JABOTICATUBAS)  NF 4717  PETRO SERRA</t>
  </si>
  <si>
    <t>[CCC05266]</t>
  </si>
  <si>
    <t>002655</t>
  </si>
  <si>
    <t>PRESTAÇÃO DE SERVIÇOS UFVs (PEDRA DO INDAIA 3) NF 502  CMP CONCRETO</t>
  </si>
  <si>
    <t>[CCC05267]</t>
  </si>
  <si>
    <t>COMPRA DE MATERIAIS  UFVS (BAMBUI 1.1)   NF 290</t>
  </si>
  <si>
    <t xml:space="preserve">Pagamento em faturamento direto referente a compra de materiais, necessário a construção da usinas.  INSTALAÇÃO </t>
  </si>
  <si>
    <t>[CCC05268]</t>
  </si>
  <si>
    <t>PRESTAÇÃO DE SERVIÇOS UFVs (CASSIA 1)   NF 291    ATI AUTOMOÇÃO</t>
  </si>
  <si>
    <t>Pagamento em faturamento direto referente ao serviço de instalação de sistema de supervisão, necessário à construção da UFV. INSTALAÇÃO ENVIAO POR WILLIAN ATI</t>
  </si>
  <si>
    <t>PRESTAÇÃO DE SERVIÇOS UFVs  (VARGINHA 1)   NF 292     ATI AUTOMOÇÃO</t>
  </si>
  <si>
    <t>PRESTAÇÃO DE SERVIÇOS UFVs  (NOVA PONTE)   NF 289     ATI AUTOMOÇÃO</t>
  </si>
  <si>
    <t>PRESTAÇÃO DE SERVIÇOS UFVs  (BAMBUI 1.2)   NF 296     ATI AUTOMOÇÃO</t>
  </si>
  <si>
    <t>PRESTAÇÃO DE SERVIÇOS UFVs  (VARGINHA 2)   NF 297    ATI AUTOMOÇÃO</t>
  </si>
  <si>
    <t>PRESTAÇÃO DE SERVIÇOS UFVs  (CASSIA 2)   NF 298    ATI AUTOMOÇÃO</t>
  </si>
  <si>
    <t>PRESTAÇÃO DE SERVIÇOS UFVs (TRES CORAÇÕES) NF 525</t>
  </si>
  <si>
    <t>Pagamento medição 1º  referente a prestação de serviço de mão de obra, necessário à construção da UFVs. 65% - ENVIADO POR SM RAFAEL OLIVEIRA</t>
  </si>
  <si>
    <t>[CCC05269]</t>
  </si>
  <si>
    <t>PRESTAÇÃO DE SERVIÇOS UFVs (TRES CORAÇÕES) NF 526</t>
  </si>
  <si>
    <t>Pagamento de 1º medição referente a elaboração de planos, necessário à construção da UFVs. 35% - ENVIADO POR SM RAFAEL OLIVEIRA</t>
  </si>
  <si>
    <t>PRESTAÇÃO DE SERVIÇOS UFVs (OURO FINO 2) NF 527</t>
  </si>
  <si>
    <t>PRESTAÇÃO DE SERVIÇOS UFVs (OURO FINO 2) NF 528</t>
  </si>
  <si>
    <t>PRESTAÇÃO DE SERVIÇOS UFVs (PARAGUAÇU 1) NF 529</t>
  </si>
  <si>
    <t>Paraguaçu 1_EPC_MD</t>
  </si>
  <si>
    <t>PRESTAÇÃO DE SERVIÇOS UFVs (PARAGUAÇU 1) NF 530</t>
  </si>
  <si>
    <t>PRESTAÇÃO DE SERVIÇOS UFVs (MUZAMBINHO 1) NF 531</t>
  </si>
  <si>
    <t>PRESTAÇÃO DE SERVIÇOS UFVs (MUZAMBINHO 1) NF 532</t>
  </si>
  <si>
    <t>PRESTAÇÃO DE SERVIÇOS UFVs (TRÊS CORAÇÕES 3) NF 533</t>
  </si>
  <si>
    <t>Pagamento medição 3º medição do 5° aditivo de reajuste de WATT PICO, referente a prestação de serviço de mão de obra, necessário à construção da UFVs. 65% - ENVIADO POR SM RAFAEL OLIVEIRA</t>
  </si>
  <si>
    <t>[CCC05270]</t>
  </si>
  <si>
    <t>PRESTAÇÃO DE SERVIÇOS UFVs (TRÊS CORAÇÕES 3) NF 534</t>
  </si>
  <si>
    <t>Pagamento de 3º medição  medição do 5° aditivo de reajuste de WATT PICO , referente a elaboração de planos, necessário à construção da UFVs. 35% - ENVIADO POR SM RAFAEL OLIVEIRA</t>
  </si>
  <si>
    <t>PRESTAÇÃO DE SERVIÇOS UFVs (OURO FINO 2) NF 535</t>
  </si>
  <si>
    <t>PRESTAÇÃO DE SERVIÇOS UFVs (OURO FINO 2) NF 536</t>
  </si>
  <si>
    <t>PRESTAÇÃO DE SERVIÇOS UFVs (PARAGUAÇU 1) NF 538</t>
  </si>
  <si>
    <t>PRESTAÇÃO DE SERVIÇOS UFVs (PARAGUAÇU 1) NF 539</t>
  </si>
  <si>
    <t>PRESTAÇÃO DE SERVIÇOS UFVs (MUZAMBINHO 1) NF 540</t>
  </si>
  <si>
    <t>PRESTAÇÃO DE SERVIÇOS UFVs (MUZAMBINHO 1) NF 541</t>
  </si>
  <si>
    <t>PRESTAÇÃO DE SERVIÇOS UFVs  (VARGINHA 5)   NF 293    ATI AUTOMOÇÃO</t>
  </si>
  <si>
    <t>Pagamento em faturamento direto referente ao serviço de instalação de sistema de supervisão, necessário à construção da UFV. PROJETO - ENVIAO POR WILLIAN ATI</t>
  </si>
  <si>
    <t>[CCC05271]</t>
  </si>
  <si>
    <t>PRESTAÇÃO DE SERVIÇOS UFVs  (CASSIA 1)   NF 294    ATI AUTOMOÇÃO</t>
  </si>
  <si>
    <t>PRESTAÇÃO DE SERVIÇOS UFVs  (CASSIA 1)   NF 295    ATI AUTOMOÇÃO</t>
  </si>
  <si>
    <t>Pagamento em faturamento direto referente ao serviço de instalação de sistema de supervisão, necessário à construção da UFV. LICENÇA-  ENVIAO POR WILLIAN ATI</t>
  </si>
  <si>
    <t>[CCC05272]</t>
  </si>
  <si>
    <t>PRESTAÇÃO DE SERVIÇOS UFVs  (CASSIA 2)   NF 299    ATI AUTOMOÇÃO</t>
  </si>
  <si>
    <t>PRESTAÇÃO DE SERVIÇOS UFVs ( MUZAMBINHO ) NF 6251 CAMPO ALEGRE</t>
  </si>
  <si>
    <t>Pagamento em faturamento direto, referente a compra de postes, necessário a construção das usinas. CONTRATO MBA  ENVIADO POR MBA</t>
  </si>
  <si>
    <t>[CCC05273]</t>
  </si>
  <si>
    <t>PRESTAÇÃO DE SERVIÇOSUFVs( PATOS DE MINAS 3)  NF 716  RONDA PORTEIROS</t>
  </si>
  <si>
    <t>Pagamento referente ao serviço de fornecimento de banheiros químicos e limpeza para as UFVs . ESCOPO COMERC  ENVIADO POR SM GILSON AUGUSTO</t>
  </si>
  <si>
    <t>[CCC05274]</t>
  </si>
  <si>
    <t>001951</t>
  </si>
  <si>
    <t>COMPRA DE MATERIAIS UFVs (TRÊS CORAÇÕES 3)  NF 507  ZANIN</t>
  </si>
  <si>
    <t>Pagamento em faturamento direto referente a compra de materiais, necessário à construção da UFV.  ENVIAO POR  SM RAFAEL OLIVEIRA</t>
  </si>
  <si>
    <t>[CCC05275]</t>
  </si>
  <si>
    <t>Três Corações 3_EPC_FD</t>
  </si>
  <si>
    <t>COMPRA DE MATERIAIS UFVs (TRÊS CORAÇÕES 3)  NF 36  STEFANIO</t>
  </si>
  <si>
    <t>COMPRA DE MATERIAIS UFVs (TRÊS CORAÇÕES 3)  NF 648 SIFER</t>
  </si>
  <si>
    <t>COMPRA DE MATERIAIS UFVs (TRÊS CORAÇÕES 3)  NF 22977  LIDER</t>
  </si>
  <si>
    <t>001956</t>
  </si>
  <si>
    <t>COMPRA DE MATERIAIS UFVs (TRÊS CORAÇÕES 3)  NF 6633  ARTECAMP</t>
  </si>
  <si>
    <t>COMPRA DE MATERIAIS UFVs (OURO FINO 2)  NF 6632 ARTECAMP</t>
  </si>
  <si>
    <t>[CCC05276]</t>
  </si>
  <si>
    <t>Ouro Fino 2_EPC_FD</t>
  </si>
  <si>
    <t>001958</t>
  </si>
  <si>
    <t>COMPRA DE MATERIAIS UFVs (OURO FINO 2)  NF 38 STEFANIO</t>
  </si>
  <si>
    <t>COMPRA DE MATERIAIS UFVs (OURO FINO 2)  NF 506 ZANIN</t>
  </si>
  <si>
    <t>001960</t>
  </si>
  <si>
    <t>COMPRA DE MATERIAIS UFVs (OURO FINO 2)  NF 646 SIFER</t>
  </si>
  <si>
    <t>001961</t>
  </si>
  <si>
    <t>COMPRA DE MATERIAIS UFVs (OURO FINO 2)  NF 22976  LIDER</t>
  </si>
  <si>
    <t>PEDIDO ELIMINADO</t>
  </si>
  <si>
    <t>001962</t>
  </si>
  <si>
    <t>COMPRA DE MATERIAIS UFVs (MUZAMBINHO 1)  NF 35   STEFANIO</t>
  </si>
  <si>
    <t>[CCC05277]</t>
  </si>
  <si>
    <t>Muzambinho 1_EPC_FD</t>
  </si>
  <si>
    <t>COMPRA DE MATERIAIS UFVs (MUZAMBINHO 1)  NF 508 ZANIN</t>
  </si>
  <si>
    <t>COMPRA DE MATERIAIS UFVs (PARAGUAÇU 1)  NF 37  STEFANIO</t>
  </si>
  <si>
    <t>[CCC05278]</t>
  </si>
  <si>
    <t>COMPRA DE MATERIAIS UFVs (PARAGUAÇU 1)  NF 509  ZANIN</t>
  </si>
  <si>
    <t>PRESTAÇÃO DE SERVIÇOS UFVs  (PATOS DE MINAS 3)   NF 53   KDP</t>
  </si>
  <si>
    <t>Pagamento em faturamento direto referente so serviço de cravação de estacas, necessário à construção da UFV.  ENVIAO POR  SM GILSON AUGUSTO</t>
  </si>
  <si>
    <t>[CCC05279]</t>
  </si>
  <si>
    <t>001966</t>
  </si>
  <si>
    <t>COMPRA DE MATERIAIS UFVs (CAMPO BELO 5) NF 6635 ARTECAMP</t>
  </si>
  <si>
    <t>[CCC05280]</t>
  </si>
  <si>
    <t>COMPRA DE MATERIAIS UFVs (MUZAMBINHO)  NF 1209  WM SOLUÇÕES</t>
  </si>
  <si>
    <t>Pagamento referente a compra de materiais para aterramento, necessários a construção da USINA. ESCOPO COMERC ENVIADO SM RAFAEL OLIVEIRA</t>
  </si>
  <si>
    <t>[CCC05281]</t>
  </si>
  <si>
    <t>WM SOLUÇÕES</t>
  </si>
  <si>
    <t>COMPRA DE MATERIAIS UFV ( PARAGUAÇU 1)  NF 1208  WM SOLUÇÕES</t>
  </si>
  <si>
    <t>COMPRA DE MATERIAIS UFVs (OURO FINO 2)  NF 1207  WM SOLUÇÕES</t>
  </si>
  <si>
    <t>001970</t>
  </si>
  <si>
    <t>COMPRA DE MATERIAIS UFVs (TRES CORAÇÕES 3)  NF 1206  WM SOLUÇÕES</t>
  </si>
  <si>
    <t>001971</t>
  </si>
  <si>
    <t>COMPRA DE MATERIAIS UFVs (SANTO ANTONIO DO AMPARO) NF 1205  WM SOLUÇÕES</t>
  </si>
  <si>
    <t>001972</t>
  </si>
  <si>
    <t>COMPRA DE MATERIAIS UFVs (CAMPO BELO 1)  NF 1204 WM SOLUÇÕES</t>
  </si>
  <si>
    <t>COMPRA DE MATERIAIS UFVs (ALFENAS 4)  NF 1203  WM SOLUÇÕES</t>
  </si>
  <si>
    <t>COMPRA DE MATERIAIS UFVs (CAMPO BELO 2)  NF 1202 WM SOLUÇÕES</t>
  </si>
  <si>
    <t>001973</t>
  </si>
  <si>
    <t>COMPRA DE MATERIAIS UFVs (CAMPO BELO 5)  NF 1201 WM SOLUÇÕES</t>
  </si>
  <si>
    <t>COMPRA DE MATERIAIS UFVs (MUZAMBINHO)  NF  649 SIFER</t>
  </si>
  <si>
    <t>[CCC05282]</t>
  </si>
  <si>
    <t>COMPRA DE MATERIAIS UFV ( PARAGUAÇU 1)  NF 647 SIFER</t>
  </si>
  <si>
    <t>COMPRA MATERIAIS  UFVs ( PATOS DEMINAS )  NF 206195 ROMAGNOLE</t>
  </si>
  <si>
    <t>[CCC05283]</t>
  </si>
  <si>
    <t>BALDONI / MCD BALDONI - Terraplanagem  UFVs (TRES CORAÇÕES 3)  20%  NF 221 ADITIVO</t>
  </si>
  <si>
    <t>Pagamento de serviço de terraplanagem necessário à construção da UFV.   ADITIVO MEDIÇÃO 5 SM RAFAEL OLIVEIRA</t>
  </si>
  <si>
    <t>[CCC05284]</t>
  </si>
  <si>
    <t>BALDONI / Baldoni Engenharia -Terraplanagem  UFVs (TRES CORAÇÕES 3)  80%  N 383  ADITIVO</t>
  </si>
  <si>
    <t>Pagamento de serviço de terraplanagem necessário à construção da UFV.  ADITIVO MEDIÇÃO 5 SM RAFAEL OLIVEIRA</t>
  </si>
  <si>
    <t>A704 - MORI PERNAMBUCO 1 ENERGIA SOLAR S/A</t>
  </si>
  <si>
    <t xml:space="preserve">PRESTAÇÃO DE SERVIÇOS (RIACHO DAS ALMAS ) NF  102 PRESERVE ENGENHARIA </t>
  </si>
  <si>
    <t xml:space="preserve">Pagamento referente a autorização de supressão vegetal  necessário a construção da usina. ENVIADO POR JOAO LESSA </t>
  </si>
  <si>
    <t>[CCC05285]</t>
  </si>
  <si>
    <t xml:space="preserve">PRESTAÇÃO DE SERVIÇOS (SERTÂNIA ) NF  99  PRESERVE ENGENHARIA </t>
  </si>
  <si>
    <t xml:space="preserve">PRESTAÇÃO DE SERVIÇOS (CUPIRA ) NF  101 PRESERVE ENGENHARIA </t>
  </si>
  <si>
    <t xml:space="preserve">PRESTAÇÃO DE SERVIÇOS (CAMOCIM ) NF  100 PRESERVE ENGENHARIA </t>
  </si>
  <si>
    <t>002658</t>
  </si>
  <si>
    <t>COMPRA DE MATERIAIS UFV (PEDRA DO INDAIA 1)  NF 6633 COUROMIRO</t>
  </si>
  <si>
    <t>Pagamento em faturamento direto referente a compra  materiais para concretagem, necessário à construção da UFV.  ENVIAO POR  SM AUGUSTO XAVIER</t>
  </si>
  <si>
    <t>[CCC05286]</t>
  </si>
  <si>
    <t>002659</t>
  </si>
  <si>
    <t>PRESTAÇÃO DE SERVIÇOS UFVs  (PEDRA DO INDAIA 3)   NF 49   KDP</t>
  </si>
  <si>
    <t>Pagamento em faturamento direto referente ao ALUGUEL DE EQUIPAMENTOS, necessário à construção da UFV.  ENVIAO POR  SM AUGUSTO XAVIER</t>
  </si>
  <si>
    <t>PRESTAÇÃO DE SERVIÇOS UFVs  (PEDRA DO INDAIA 3)   NF 52   KDP  FORNECEDOR CANCELOU NOTA</t>
  </si>
  <si>
    <t>Pagamento em faturamento direto referente  a cravação de estacas,  necessário à construção da UFV.  ENVIAO POR  SM AUGUSTO XAVIER</t>
  </si>
  <si>
    <t>002661</t>
  </si>
  <si>
    <t>PRESTAÇÃO DE SERVIÇOS UFVs  (PEDRA DO INDAIA 1)   NF 48   KDP</t>
  </si>
  <si>
    <t>PRESTAÇÃO DE SERVIÇOS UFVs  (PEDRA DO INDAIA 1)   NF 51  KDP  FORNECEDOR CANCELOU NOTA</t>
  </si>
  <si>
    <t>WEG PRESTAÇÃO DE SERVIÇOS UFVs (CAMPO BELO 4)   NF 172 INTEGRADOR INNOVA  EVENTO 6</t>
  </si>
  <si>
    <t>[CCC05287]</t>
  </si>
  <si>
    <t>COMPRA DE MATERIAIS UFVs ( PATOS DE MINAS 8) NF  233954  LOJA ELETRICA</t>
  </si>
  <si>
    <t>Pagamento em faturamento direto, referente a compra de manteriais necessários a construção civil. ENVIADO POR SM GILSON</t>
  </si>
  <si>
    <t>[CCC05288]</t>
  </si>
  <si>
    <t>REEMBOLSO DE DESPESAS UFVs (CORINTO) ND 10  SVA TECNOLOGIA</t>
  </si>
  <si>
    <t>[CCC05289]</t>
  </si>
  <si>
    <t>PRESTAÇÃO DE SERVIÇOS UFVs  (PEDRA DO INDAIA 5)   NF 708  BIOTEC SOLAR</t>
  </si>
  <si>
    <t>[CCC05290]</t>
  </si>
  <si>
    <t>PRESTAÇÃO DE SERVIÇOS UFVs  (PEDRA DO INDAIA 3)   NF 709    BIOTEC SOLAR</t>
  </si>
  <si>
    <t>MEDIÇÃO SERVIÇO DE EXTENSÃO DE REDE  (ALFENAS 4)   NF 2374</t>
  </si>
  <si>
    <t>[CCC03929]</t>
  </si>
  <si>
    <t>Alfenas 4 _Obras MT_MD</t>
  </si>
  <si>
    <t>COMPRA MATERIAIS PARA UFVs  ( ALFENAS )  SULMINAS  NF  68046</t>
  </si>
  <si>
    <t>COMPRA MATERIAIS PARA UFVs  ( ALFENAS )  SULMINAS  NF  68044</t>
  </si>
  <si>
    <t>COMPRA MATERIAIS PARA UFVs  ( CAMPO BELO 2 )  NF  4385 TECFIBRAS</t>
  </si>
  <si>
    <t>Repetiu a linha 3038.. retirar dos custos e cancelar a linha.</t>
  </si>
  <si>
    <t>COMPRA MATERIAIS PARA UFVs ( PARACATU 8)  NF 65719     TRAEL</t>
  </si>
  <si>
    <t>COMPRA MATERIAIS PARA UFVs  ( PARACATU 8)  NF  418277   UFV CORRETA PATOS DE MINAS 3</t>
  </si>
  <si>
    <t>Compra feita  Em  Faturamento Direto, em contrato de obras MT da UFV.</t>
  </si>
  <si>
    <t>COMPRA RELE UFVs (SANTO ANTONIO DO AMPARO) N 637 SIEMENS  NF 20447  REFERENTE A UFV PARAGUAÇU</t>
  </si>
  <si>
    <t>AJ01 -UFV MORI PERNAMBUCO 1 ENERGIA SOLAR S/A</t>
  </si>
  <si>
    <t xml:space="preserve">PRESTAÇÃO DE SERVIÇOS (CAMOCIM ) NF  100 PRESERVE ENGENHARIA  </t>
  </si>
  <si>
    <t>002667</t>
  </si>
  <si>
    <t>WEG PPRESTAÇÃO DE SERVIÇOS UFVs (INDAIABIRA 1)   NF 165  CALTER</t>
  </si>
  <si>
    <t>Pagamento medição, referente ao serviço de ADITIVO NO AUMENTO QUANTITATIVO DE CANALETAS, contrato FULL- EPC.</t>
  </si>
  <si>
    <t>[CCC05291]</t>
  </si>
  <si>
    <t>002668</t>
  </si>
  <si>
    <t>WEG PPRESTAÇÃO DE SERVIÇOS UFVs (INDAIABIRA 2)   NF   164 CALTER</t>
  </si>
  <si>
    <t>002669</t>
  </si>
  <si>
    <t>PRESTAÇÃO DE SERVIÇOS UFVs (JABOTICATUBAS) Nº 2901295934378  INSTITUTO ESTADUAL DE FLORESTAS - IEF</t>
  </si>
  <si>
    <t>[CCC05292]</t>
  </si>
  <si>
    <t>INSTITUTO ESTADUAL DE FLORESTAS - IEF</t>
  </si>
  <si>
    <t>002670</t>
  </si>
  <si>
    <t>PRESTAÇÃO DE SERVIÇOS UFVs (JABOTICATUBAS) Nº 2901295936842  INSTITUTO ESTADUAL DE FLORESTAS - IEF</t>
  </si>
  <si>
    <t>002671</t>
  </si>
  <si>
    <t>PRESTAÇÃO DE SERVIÇOS UFVs (JABOTICATUBAS) Nº 1401295933276  INSTITUTO ESTADUAL DE FLORESTAS - IEF</t>
  </si>
  <si>
    <t>001353</t>
  </si>
  <si>
    <t>COMPRA DE MATERIAIS UFVs (PASSOS 4 ) NF 1376  TAVRIDA   ADIANTAMENTO</t>
  </si>
  <si>
    <t>Pagamento referente a compra de religador trifásico, necessários a construção da usina. 50 % FINAIS .  VINCULADO AO PC A301 000988</t>
  </si>
  <si>
    <t>[CCC05293]</t>
  </si>
  <si>
    <t>TAVRIDA</t>
  </si>
  <si>
    <t>COMPRA DE MATERIAIS UFVs (TRÊS CORAÇÕES 3 ) NF 1357   TAVRIDA  ADIANTAMENTO</t>
  </si>
  <si>
    <t>Pagamento referente a compra de religador trifásico, necessários a construção da usina. 50 % FINAIS . VINCULADO AO PC A401 001410</t>
  </si>
  <si>
    <t>Nota Final</t>
  </si>
  <si>
    <t>001981</t>
  </si>
  <si>
    <t>COMPRA DE MATERIAIS UFVs (ARCOS 7 ) NF  1377 TAVRIDA  ADIANTAMENTO</t>
  </si>
  <si>
    <t>Pagamento referente a compra de religador trifásico, necessários a construção da usina. 50 % FINAIS . VINCULADO AO PC A401 001412</t>
  </si>
  <si>
    <t>COMPRA DE MATERIAIS UFVs (MUZAMBINHO ) NF 1358   TAVRIDA   ADIANTAMENTO</t>
  </si>
  <si>
    <t>Pagamento referente a compra de religador trifásico, necessários a construção da usina. 50 % FINAIS .  VINCULADO AO PC A401  001418</t>
  </si>
  <si>
    <t>Apartir do Contrato MBA - Utilizado na Transferencia para Diamantina 1 pelo Contrato da Engeluz no Distrato com a MBA</t>
  </si>
  <si>
    <t>005048</t>
  </si>
  <si>
    <t>COMPRA DE MATERIAIS PARA AS UFVs( BOCAIUVAS 1 E 2) NF 117543  PIONEIRA</t>
  </si>
  <si>
    <t>Pagamento referente a compra de materias, necessário à construção das UFvs. enviaro por RENATO FREITAS</t>
  </si>
  <si>
    <t>[CCC05294]</t>
  </si>
  <si>
    <t>PRESTAÇÃO DE SERVIÇOS UFVs( SÃO SEBASTIÃO DO OESTE 1)  NF  2709</t>
  </si>
  <si>
    <t>Pagamento  de medição referente a prestação de serviço de montagem e instalação elétrica de redes de distribuição de energia rural e urbana, necessários a construção da usina.  ENVIADO POR MBA</t>
  </si>
  <si>
    <t>[CCC05295]</t>
  </si>
  <si>
    <t>PRESTAÇÃO DE SERVIÇOS UFVs( VARGINHA 1) NF 2711</t>
  </si>
  <si>
    <t>Pagamento  de medição referente a prestação de serviço de extensão de rede de distribuição rural para atender à UFV, necessários a construção da usina.  ENVIADO POR MBA</t>
  </si>
  <si>
    <t>[CCC05296]</t>
  </si>
  <si>
    <t>PRESTAÇÃO DE SERVIÇOS UFVs(SÃO SEBASTIÃO DO OESTE 4)  NF 43 CONSTRUTORA RESENDE</t>
  </si>
  <si>
    <t>Pagamento de medição referente ao serviço de supressão e terraplenagem, necessário à construção da usina. ENVIADO POR SM AUGUSTO XAVIER</t>
  </si>
  <si>
    <t>[CCC05297]</t>
  </si>
  <si>
    <t>RESENDE</t>
  </si>
  <si>
    <t>CONSTRUMANAGER -    07/2023   NF  300925</t>
  </si>
  <si>
    <t>Serviço necessário à disponibilização de internet, necessário a construção das UFVs . ENVIADO POR CONSTRUMARKET</t>
  </si>
  <si>
    <t>[CCC05298]</t>
  </si>
  <si>
    <t>002673</t>
  </si>
  <si>
    <t>PRESTAÇÃO DE SERVIÇOS UFVs (PEDRA DO INDAIA 1) NF 296  MIPE CONSTRUTORA</t>
  </si>
  <si>
    <t>Pagamento de medição referente ao serviço de drenagem, necessário à construção da usina. ENVIADO POR SM AUGUSTO XAVIER</t>
  </si>
  <si>
    <t>[CCC05299]</t>
  </si>
  <si>
    <t xml:space="preserve">MRO PRESTAÇÃO DE SERVIÇOS ( FREI INOCENCIO 1)  NF 494  </t>
  </si>
  <si>
    <t xml:space="preserve">Pagamento de 2º medição referente ao serviço de drenagem, necessário à construção da UFVs.  MEDIÇÃO FINAL SOLICITADO POR SM RODRIGO ALVARENGA </t>
  </si>
  <si>
    <t>[CCC05300]</t>
  </si>
  <si>
    <t>005050</t>
  </si>
  <si>
    <t>PRESTAÇÃO DE SERVIÇOS  IMPLANTAÇÃO  NF 569  PERFIL  JULHO/23</t>
  </si>
  <si>
    <t>[CCC05301]</t>
  </si>
  <si>
    <t>PRESTAÇÃO DE SERVIÇOS UFVs( PARAGUAÇU 1) NF 61 CONCERT</t>
  </si>
  <si>
    <t>Pagamento referente ao ACOMPANHAMENTO E FISCALIZACAO DA EXECUCAO DE OBRAS DE ENGENHARIA, necessário a construção da usina. NÃO DESCONTA EM CONTRATO MBA . ESCOPO COMERC</t>
  </si>
  <si>
    <t>[CCC05302]</t>
  </si>
  <si>
    <t>CONCERT</t>
  </si>
  <si>
    <t>COMPRA DE MATERIAIS UFVs (PATROCINIO 3)  NF 28241 EXPONENCIAL</t>
  </si>
  <si>
    <t>Pagamento em faturamento direto referente a compra de materiais, necessário a construção da usina. ENVIADO POR MBA</t>
  </si>
  <si>
    <t>[CCC05303]</t>
  </si>
  <si>
    <t>EXPONENCIAL</t>
  </si>
  <si>
    <t>7001- CONSORCIO MORI GERACAO III</t>
  </si>
  <si>
    <t>DAE - Dispensa  de Licenciamento ambiental UFVs (PARA DE MINAS 1)   N 2901296984344</t>
  </si>
  <si>
    <t>Taxa necessária à avaliação de intervenção ambiental para a UFV.  LENHA</t>
  </si>
  <si>
    <t>[CCC05304]</t>
  </si>
  <si>
    <t>DAE - Dispensa  de Licenciamento ambiental UFVs (PARA DE MINAS 1)   N 1401296982335</t>
  </si>
  <si>
    <t>Taxa necessária à avaliação de intervenção ambiental para a UFV. AMBIENTAL</t>
  </si>
  <si>
    <t xml:space="preserve">DAE - Dispensa  de Licenciamento ambiental UFVs (PARA DE MINAS 1)   N 2901296984832 </t>
  </si>
  <si>
    <t>Taxa necessária à avaliação de intervenção ambiental para a UFV. MADEIRA</t>
  </si>
  <si>
    <t>DAE - Dispensa  de Licenciamento ambiental UFVs ( ELOI MENDES)   N 1501297004831</t>
  </si>
  <si>
    <t>[CCC05305]</t>
  </si>
  <si>
    <t>DAE - Dispensa  de Licenciamento ambiental UFVs ( ELOI MENDES)   N 2901297002481</t>
  </si>
  <si>
    <t>DAE - Dispensa  de Licenciamento ambiental UFVs ( ELOI MENDES)   N 1401297003284</t>
  </si>
  <si>
    <t>DAE - Dispensa  de Licenciamento ambiental UFVs ( ELOI MENDES)   N 1501297003924</t>
  </si>
  <si>
    <t>Taxa necessária à avaliação de intervenção ambiental para a UFV. LENHA</t>
  </si>
  <si>
    <t>DAE - Dispensa  de Licenciamento ambiental UFVs ( ELOI MENDES)   N 2901297001808</t>
  </si>
  <si>
    <t>COMPRA DE MATERIAIS UFVs (PATROCINIO 2)  NF 28242 EXPONENCIAL</t>
  </si>
  <si>
    <t>[CCC05306]</t>
  </si>
  <si>
    <t xml:space="preserve">PRESTAÇÃO DE SERVIÇOS UFVs ( CAMPO BELO 4)  NF 5  RL VIGILANCIA  </t>
  </si>
  <si>
    <t>[CCC05307]</t>
  </si>
  <si>
    <t>RL VIGILÂNCIA</t>
  </si>
  <si>
    <t xml:space="preserve">PRESTAÇÃO DE SERVIÇOS UFVs (CASSIA 1)  NF 3  RL VIGILANCIA  </t>
  </si>
  <si>
    <t xml:space="preserve">PRESTAÇÃO DE SERVIÇOS UFVs (CASSIA 2)  NF 4  RL VIGILANCIA  </t>
  </si>
  <si>
    <t>MEDIÇÃO MENSAL UFVs ( NOVA PONTE 1 )   AFAPLAN   NF   9137</t>
  </si>
  <si>
    <t xml:space="preserve">Pagamento de medição, serviço contratuais de Engenharia do proprietário,  necessário à construção da UFV. JULHO/2023. ENVIADO POR SM RODRIGO ALVARENGA </t>
  </si>
  <si>
    <t>[CCC05308]</t>
  </si>
  <si>
    <t>002675</t>
  </si>
  <si>
    <t>MEDIÇÃO MENSAL UFVs ( INDAIABIRA 1 )   AFAPLAN   NF   9138</t>
  </si>
  <si>
    <t>002676</t>
  </si>
  <si>
    <t>MEDIÇÃO MENSAL UFVs ( INDAIABIRA 2 )   AFAPLAN   NF   9139</t>
  </si>
  <si>
    <t>MEDIÇÃO MENSAL UFVs ( CAMPO BELO 3 )   AFAPLAN   NF   9140</t>
  </si>
  <si>
    <t>MEDIÇÃO MENSAL UFVs ( CASSIA 1 )   AFAPLAN   NF   9141</t>
  </si>
  <si>
    <t>MEDIÇÃO MENSAL UFVs ( SÃO SEBASTIÃO DO OESTE 1 )   AFAPLAN   NF   9142</t>
  </si>
  <si>
    <t>MEDIÇÃO MENSAL UFVs ( CAMPO BELO 4 )   AFAPLAN   NF   9143</t>
  </si>
  <si>
    <t>MEDIÇÃO MENSAL UFVs ( CASSIA 2 )   AFAPLAN   NF   9145</t>
  </si>
  <si>
    <t>MEDIÇÃO MENSAL UFVs ( SÃO SEBASTIÃO DO OESTE 3 )   AFAPLAN   NF   9146</t>
  </si>
  <si>
    <t>MEDIÇÃO MENSAL UFVs ( SÃO SEBASTIÃO DO OESTE 5 )   AFAPLAN   NF   9147</t>
  </si>
  <si>
    <t>PRESTAÇÃO DE SERVIÇOS UFVs( PATROCINIO 2) NF 2714</t>
  </si>
  <si>
    <t>[CCC05309]</t>
  </si>
  <si>
    <t>PRESTAÇÃO DE SERVIÇOS UFVs( PATROCINIO 3) NF 2715</t>
  </si>
  <si>
    <t>002677</t>
  </si>
  <si>
    <t xml:space="preserve">PRESTAÇÃO DE SERVIÇOS UFVs (INDAIABIRA 4) NF 66  GR ENGENHARIA </t>
  </si>
  <si>
    <t>Pagamento de medição, referente a finalização do serviço de execução de drenagem, necessário a construção da usina.    IMPLANTAR</t>
  </si>
  <si>
    <t>[CCC05310]</t>
  </si>
  <si>
    <t xml:space="preserve"> GR ENGENHARIA </t>
  </si>
  <si>
    <t>PRESTAÇÃO DE SERVIÇOS UFVs (PORTEIRINHA) NF 316 JX AMBIENTAL</t>
  </si>
  <si>
    <t>Pagamento referente a taxa necessária à avaliação de intervenção ambiental, necessários a construção das usinas. PARCELA 2/3  ENVIADO POR GUILHERME KUSEL</t>
  </si>
  <si>
    <t>[CCC05311]</t>
  </si>
  <si>
    <t>AB01-ESTRELA DO NORTE SPE II S.A</t>
  </si>
  <si>
    <t>PRESTAÇÃO DE SERVIÇOS UFVs (UNAÍ 1) NF 318 JX AMBIENTAL</t>
  </si>
  <si>
    <t>PRESTAÇÃO DE SERVIÇOS UFVs (BURITIS 1) NF 317 JX AMBIENTAL</t>
  </si>
  <si>
    <t>PRESTAÇÃO DE SERVIÇOS UFVs (UNAÍ 2) NF 321 JX AMBIENTAL</t>
  </si>
  <si>
    <t>Pagamento referente a taxa necessária à avaliação de intervenção ambiental, necessários a construção das usinas. PARCELA 1/2 ENVIADO POR GUILHERME KUSEL</t>
  </si>
  <si>
    <t>PRESTAÇÃO DE SERVIÇOS UFVs (UNAÍ 2) NF 322 JX AMBIENTAL</t>
  </si>
  <si>
    <t>PRESTAÇÃO DE SERVIÇOS UFVs (UNAÍ 2) NF 319 JX AMBIENTAL</t>
  </si>
  <si>
    <t>'000002</t>
  </si>
  <si>
    <t>PRESTAÇÃO DE SERVIÇOS UFVs (BRASILANDIA DE MINAS 3) NF 735 JX AMBIENTAL</t>
  </si>
  <si>
    <t>Pagamento referente a taxa necessária à avaliação de intervenção ambiental, necessários a construção das usinas. PARCELA 2/2 ENVIADO POR GUILHERME KUSEL</t>
  </si>
  <si>
    <t>002762</t>
  </si>
  <si>
    <t>PRESTAÇÃO DE SERVIÇOS UFVs (JABOTICATUBAS) NF 1038 JX AMBIENTAL</t>
  </si>
  <si>
    <t>Pagamento referente a taxa necessária à avaliação de intervenção ambiental, necessários a construção das usinas. PARCELA 2/03ENVIADO POR GUILHERME KUSEL</t>
  </si>
  <si>
    <t>002686</t>
  </si>
  <si>
    <t>PRESTAÇÃO DE SERVIÇOS UFVs (JABOTICATUBAS) NF 323 JX AMBIENTAL</t>
  </si>
  <si>
    <t>PRESTAÇÃO DE SERVIÇOS UFVs (BRASILANDIA DE MINAS 3) NF 329 JX AMBIENTAL</t>
  </si>
  <si>
    <t>Pagamento referente a taxa necessária à avaliação de intervenção ambiental, necessários a construção das usinas. ENVIADO POR GUILHERME KUSEL</t>
  </si>
  <si>
    <t>PRESTAÇÃO DE SERVIÇOS (ARES 2) NF 39345 ARCADIS</t>
  </si>
  <si>
    <t>Pagamento de medição 3, referente ao serviço de engenharia independente para portifólio solar ARES 2.  FINANCEIRO</t>
  </si>
  <si>
    <t>[CCC05312]</t>
  </si>
  <si>
    <t>PRESTAÇÃO DE SERVIÇOS (ARES 2) NF 39346 ARCADIS</t>
  </si>
  <si>
    <t>PRESTAÇÃO DE SERVIÇOS (ARES 2) NF 39347 ARCADIS</t>
  </si>
  <si>
    <t>PRESTAÇÃO DE SERVIÇOS ARES 2 NF 39348 ARCADIS</t>
  </si>
  <si>
    <t>PRESTAÇÃO DE SERVIÇOS UFVs (CAMPO BELO 5) NF 550</t>
  </si>
  <si>
    <t>Pagamento de 7° medição,  referente a prestação de serviços e mão de obra,   necessários a construção da UFVs em contrato EPC.  65%. ENVIADO POR SM RAFAEL</t>
  </si>
  <si>
    <t>[CCC05313]</t>
  </si>
  <si>
    <t>MEDIÇÃO 7</t>
  </si>
  <si>
    <t>PRESTAÇÃO DE SERVIÇOS UFVs (CAMPO BELO 5) NF 551</t>
  </si>
  <si>
    <t>Pagamento de 7° medição,  referente a elaboração de planos,   necessários a construção da UFVs em contrato EPC. 35% . ENVIADO POR SM RAFAEL</t>
  </si>
  <si>
    <t>PRESTAÇÃO DE SERVIÇOS UFVs (CAMPO BELO 2) NF 548</t>
  </si>
  <si>
    <t>Pagamento de 10° medição,  referente a prestação de serviços e mão de obra,   necessários a construção da UFVs em contrato EPC.  65%. ENVIADO POR SM RAFAEL</t>
  </si>
  <si>
    <t>PRESTAÇÃO DE SERVIÇOS UFVs (CAMPO BELO 2) NF  549</t>
  </si>
  <si>
    <t>Pagamento de 10° medição,  referente a elaboração de planos,   necessários a construção da UFVs em contrato EPC.  35% ENVIADO POR SM RAFAEL</t>
  </si>
  <si>
    <t>BALDONI / MCD BALDONI - Terraplanagem  UFVs (TRES CORAÇÕES 3)  20%  NF 224</t>
  </si>
  <si>
    <t>Pagamento de serviço de terraplanagem necessário à construção da UFV.   ADITIVO MEDIÇÃO 6 . ENVIADO POR SM RAFAEL</t>
  </si>
  <si>
    <t>[CCC05314]</t>
  </si>
  <si>
    <t>BALDONI / Baldoni Engenharia -Terraplanagem  UFVs (TRES CORAÇÕES 3)  80%  N 386</t>
  </si>
  <si>
    <t>Pagamento de serviço de terraplanagem necessário à construção da UFV.  MEDIÇÃO 6. ENVIADO POR SM RAFAEL</t>
  </si>
  <si>
    <t>BALDONI / MCD BALDONI - Terraplanagem  UFVs ( PARAGUAÇU 1)  20%  NF 223</t>
  </si>
  <si>
    <t>Pagamento de serviço de terraplanagem necessário à construção da UFV.  MEDIÇÃO  5 . ENVIADO POR SM RAFAEL</t>
  </si>
  <si>
    <t>BALDONI / Baldoni Engenharia -Terraplanagem  UFVs (PARAGUAÇU 1)  80%   N 385</t>
  </si>
  <si>
    <t>Pagamento de serviço de terraplanagem necessário à construção da UFV.  MEDIÇÃO 5. ENVIADO POR SM RAFAEL</t>
  </si>
  <si>
    <t>BALDONI / MCD BALDONI - Terraplanagem  UFVs (MUZAMBINHO 1)  20%  NF 222</t>
  </si>
  <si>
    <t>Pagamento de serviço de terraplanagem necessário à construção da UFV. MEDIÇÃO 5. ENVIADO POR SM RAFAEL</t>
  </si>
  <si>
    <t>BALDONI / Baldoni Engenharia -Terraplanagem  UFVs (MUZABINHO 1)  80%  N 384</t>
  </si>
  <si>
    <t>002687</t>
  </si>
  <si>
    <t>PRESTAÇÃO DE SERVIÇO UFVs (SÃO SEBASTIÃO DO OESTE 0)  NF 41  CONSTRUTORA RESENDE</t>
  </si>
  <si>
    <t>Pagamento de medição referente ao serviço de supressão e terraplenagem, necessário à construção da usina.  ENVIADO POR SM AUGUSTO SIQUEIRA</t>
  </si>
  <si>
    <t>[CCC05315]</t>
  </si>
  <si>
    <t>002688</t>
  </si>
  <si>
    <t>PRESTAÇÃO DE SERVIÇO UFVs (DIVINOPOLIS 2)  NF 42  CONSTRUTORA RESENDE</t>
  </si>
  <si>
    <t>[CCC05316]</t>
  </si>
  <si>
    <t>002689</t>
  </si>
  <si>
    <t>PRESTAÇÃO DE SERVIÇO UFVs (PEDRA DO INDAIA 5)  NF 542</t>
  </si>
  <si>
    <t>Pagamento medição 2º  referente a prestação de serviço de mão de obra, necessário à construção da UFVs. 65% - ENVIADO POR SM AUGUSTO XAVIER</t>
  </si>
  <si>
    <t>[CCC05317]</t>
  </si>
  <si>
    <t>002690</t>
  </si>
  <si>
    <t>PRESTAÇÃO DE SERVIÇO UFVs (PEDRA DO INDAIA 5)  NF 543</t>
  </si>
  <si>
    <t>Pagamento de 2º medição referente a elaboração de planos, necessário à construção da UFVs. 35% - ENVIADO POR SM AUGUSTO XAVIER</t>
  </si>
  <si>
    <t>002691</t>
  </si>
  <si>
    <t>PRESTAÇÃO DE SERVIÇO UFVs (DIVINOPOLIS 3)  NF 544</t>
  </si>
  <si>
    <t>Pagamento medição 9º  referente a prestação de serviço de mão de obra, necessário à construção da UFVs. 65% - ENVIADO POR SM AUGUSTO XAVIER</t>
  </si>
  <si>
    <t>002692</t>
  </si>
  <si>
    <t>PRESTAÇÃO DE SERVIÇO UFVs (DIVINOPOLIS 3)  NF 545</t>
  </si>
  <si>
    <t>Pagamento de 9º medição referente a elaboração de planos, necessário à construção da UFVs. 35% - ENVIADO POR SM AUGUSTO XAVIER</t>
  </si>
  <si>
    <t>PRESTAÇÃO DE SERVIÇO UFVs (ARCOS 7)  NF 546</t>
  </si>
  <si>
    <t>Pagamento medição 10º  referente a prestação de serviço de mão de obra, necessário à construção da UFVs. 65% - ENVIADO POR SM AUGUSTO XAVIER</t>
  </si>
  <si>
    <t>PRESTAÇÃO DE SERVIÇO UFVs (ARCOS 7)  NF 547</t>
  </si>
  <si>
    <t>Pagamento de 10º medição referente a elaboração de planos, necessário à construção da UFVs. 35% - ENVIADO POR SM AUGUSTO XAVIER</t>
  </si>
  <si>
    <t>002693</t>
  </si>
  <si>
    <t>MEDIÇÃO (RM SOLAR )</t>
  </si>
  <si>
    <t xml:space="preserve">PRESTAÇÃO DE SERVIÇOS UFVs ( BURITIZEIRO 1) NF 30   RM SOLAR </t>
  </si>
  <si>
    <t>Pagamento de medição referente ao adiantamento de 15%  do serviço de DRENAGEM, necessário a construção da usina . ENVIADO POR SM MANOEL JACINTO</t>
  </si>
  <si>
    <t>[CCC05318]</t>
  </si>
  <si>
    <t xml:space="preserve"> RM SOLAR </t>
  </si>
  <si>
    <t>002694</t>
  </si>
  <si>
    <t xml:space="preserve">PRESTAÇÃO DE SERVIÇOS UFVs ( BURITIZEIRO 2) NF 29   RM SOLAR </t>
  </si>
  <si>
    <t>G&amp;M</t>
  </si>
  <si>
    <t>PRESTAÇÃO DE SERVIÇOS UFVs ( PATROCINIO 2) NF 104 RPA TELECOMUNICAÇÕES</t>
  </si>
  <si>
    <t>Pagamento de serviço de internet, referente a comunicação de multimídia SCM. ESCOPO COMERC ENVIADO POR SM GILSON AUGUSTO</t>
  </si>
  <si>
    <t>[CCC05319]</t>
  </si>
  <si>
    <t>001930</t>
  </si>
  <si>
    <t>COMPRA DE MATERIAIS UFVs (VARJÃO DE MINAS 4)  NF 4599  NOGUEIRA SOLUCOES</t>
  </si>
  <si>
    <t>Pagamento em faturamento direto referente a compra de materiais, necessário à construção da usina. 50% Restantes - ENVIADO POR SM GILSON QUEIROZ</t>
  </si>
  <si>
    <t>[CCC05320]</t>
  </si>
  <si>
    <t>001363</t>
  </si>
  <si>
    <t>PRESTAÇÃO DE SERVIÇO UFVs (CAMPO BELO 2 ) NF 2716</t>
  </si>
  <si>
    <t>Pagamento  de medição, referente a prestação de serviço extensão de rede de distribuição rural para atender à UFV, necessários a construção da usina.  ENVIADO POR MBA</t>
  </si>
  <si>
    <t>[CCC05321]</t>
  </si>
  <si>
    <t>002695</t>
  </si>
  <si>
    <t>REGRHAN  PRESTAÇÃO DE SERVIÇOS  ESTRELA DO NORTE HOLDING  NF  1744</t>
  </si>
  <si>
    <t>Pagamento referente aos serviços de assessoria , gestão e controle documental de terceiros, realizados pelo REGRHAN, necessários a construção das UFVs. ENVIADO POR REGRHAN</t>
  </si>
  <si>
    <t>[CCC05322]</t>
  </si>
  <si>
    <t>REGRHAN  PRESTAÇÃO DE SERVIÇOS  MORI GERAÇÃO II  NF 1745</t>
  </si>
  <si>
    <t>002004</t>
  </si>
  <si>
    <t>REGRHAN  PRESTAÇÃO DE SERVIÇOS  MORI MINAS NEWCO IV  NF  1746</t>
  </si>
  <si>
    <t>001364</t>
  </si>
  <si>
    <t>REGRHAN  PRESTAÇÃO DE SERVIÇOS  MORI MINAS NEWCO V  NF 1747</t>
  </si>
  <si>
    <t xml:space="preserve">WEG PRESTAÇÃO DE SERVIÇOS UFVs ( PARACATU 8) NF 96 INTEGRADOR  APOGEU </t>
  </si>
  <si>
    <t>Pagamento medição, referente a Montagem 100% das mesas , contrato FULL EPC WEG. EVENTO 6 ENVIADO POR SM RODRIGO ALVARENGA</t>
  </si>
  <si>
    <t>[CCC05323]</t>
  </si>
  <si>
    <t>APOGEU</t>
  </si>
  <si>
    <t>002696</t>
  </si>
  <si>
    <t>PRESTAÇÃO DE SERVIÇO UFVs (JABOTICATUBAS) NF 1   ADRIANA ALCANTARA</t>
  </si>
  <si>
    <t>Pagamento em faturamento referente  ao fornecimento de marmitex, necessário à construção da usina.  ENVIADO POR MANOEL LIMA</t>
  </si>
  <si>
    <t>[CCC05324]</t>
  </si>
  <si>
    <t>PRESTAÇÃO DE SERVIÇO UFVs (PATOS DE MINAS 3) NF  447</t>
  </si>
  <si>
    <t>Pagamento de medição  referente aos SERVIÇOS DE MÃO DE OBRA ESPECIALIZADA NA CONSTRUÇÃO RDR, necessário a construção das usinas. ENVIADO POR ENGELUZ</t>
  </si>
  <si>
    <t>[CCC05325]</t>
  </si>
  <si>
    <t>002697</t>
  </si>
  <si>
    <t>MEDIÇÃO (ENGELUZ- RDA)</t>
  </si>
  <si>
    <t>PRESTAÇÃO DE SERVIÇO UFVs (INDAIABIRA 4) NF  448</t>
  </si>
  <si>
    <t>Pagamento de medição  referente aos SERVIÇOS DE MÃO DE OBRA ESPECIALIZADA NA CONSTRUÇÃO RDR, necessário a construção das usinas. RDA INTERNO - ENVIADO POR ENGELUZ</t>
  </si>
  <si>
    <t>[CCC05326]</t>
  </si>
  <si>
    <t>002698</t>
  </si>
  <si>
    <t>PRESTAÇÃO DE SERVIÇO UFVs (INDAIABIRA 3) NF  449</t>
  </si>
  <si>
    <t>002700</t>
  </si>
  <si>
    <t>PRESTAÇÃO DE SERVIÇO UFVs ( INDAIABIRA 1) NF 38066  ESEC EMPRESA</t>
  </si>
  <si>
    <t xml:space="preserve">Pagamento referente ao serviço de linha viva para travessia de condutores, necessário a cosntrução das usinas . ENVIADO POR GUILHERME KURSEL ESCOPO COMER </t>
  </si>
  <si>
    <t>[CCC05327]</t>
  </si>
  <si>
    <t xml:space="preserve">ESCOPO COMER </t>
  </si>
  <si>
    <t>ESEC EMPRESA</t>
  </si>
  <si>
    <t>1501-UFV LONTRA GERAÇÃO DE ENERGIA ELÉTRICA D</t>
  </si>
  <si>
    <t>COMPRA DE MATERIAIS  UFVS (LONTRA)  NF 786     SVA TECNOLOGIA</t>
  </si>
  <si>
    <t xml:space="preserve">Pagamento referente a compra de materiais, necessário a construção da UFV.  NOTA ENVIADA POR SVA - CAPEX </t>
  </si>
  <si>
    <t>[CCC05328]</t>
  </si>
  <si>
    <t>PRESTAÇÃO DE SERVIÇOS UFVs (LONTRA) NF 249    SVA TECNOLOGIA</t>
  </si>
  <si>
    <t>REEMBOLSO DE DESPESAS UFVs (LONTRA) ND 11    SVA TECNOLOGIA</t>
  </si>
  <si>
    <t>002701</t>
  </si>
  <si>
    <t>PRESTAÇÃO DE SERVIÇOS UFVs ( JABOTICATUBAS) NF 11     JC LOCAÇÕES</t>
  </si>
  <si>
    <t>Pagamento em faturamento, referente ao serviço de locação de equipamento, necessário à construção da usina.  ENVIADO POR MANOEL LIMA</t>
  </si>
  <si>
    <t>[CCC05329]</t>
  </si>
  <si>
    <t>002702</t>
  </si>
  <si>
    <t>PRESTAÇÃO DE SERVIÇOS UFVs ( JABOTICATUBAS) NF 3542 CONCRETAR</t>
  </si>
  <si>
    <t>Pagamento em faturamento, referente ao serviço de fornecimentro de concreto, necessário à construção da usina.  ENVIADO POR MANOEL LIMA</t>
  </si>
  <si>
    <t>[CCC05330]</t>
  </si>
  <si>
    <t>1201-UFV JANUARIA I</t>
  </si>
  <si>
    <t>COMPRA DE MATERIAIS  UFVS (JANUARIA)  NF 787    SVA TECNOLOGIA</t>
  </si>
  <si>
    <t>[CCC05331]</t>
  </si>
  <si>
    <t>COMPRA DE MATERIAIS  UFVS (JANUARIA)  NF 250     SVA TECNOLOGIA</t>
  </si>
  <si>
    <t>COMPRA DE MATERIAIS  UFVS (JANUARIA)  NF 12    SVA TECNOLOGIA</t>
  </si>
  <si>
    <t>PRESTAÇÃO DE SERVIÇO UFVs ( SÃO SEBASTIÃO DO OESTE 5)  NF 2718</t>
  </si>
  <si>
    <t>Pagamento  de medição, referente prestação de serviço de montagem e instalação elétrica de redes de distribuição de energia rural e urbana, necessários a construção da usina.  ENVIADO POR MBA</t>
  </si>
  <si>
    <t>[CCC05332]</t>
  </si>
  <si>
    <t xml:space="preserve"> MBA</t>
  </si>
  <si>
    <t>PRESTAÇÃO DE SERVIÇO UFVs ( PARACATU 8) NF 2719</t>
  </si>
  <si>
    <t>Pagamento  de medição, referente ao serviço de montagem e instalação elétrica de redes de distribuição de energia rural e urbana, necessários a construção da usina.  ENVIADO POR MBA</t>
  </si>
  <si>
    <t>0401-UFV MANGA</t>
  </si>
  <si>
    <t>COMPRA DE MATERIAIS  UFVS (MANGA)  NF  788   SVA TECNOLOGIA</t>
  </si>
  <si>
    <t>[CCC05333]</t>
  </si>
  <si>
    <t>COMPRA DE MATERIAIS  UFVS (MANGA)  NF 251    SVA TECNOLOGIA</t>
  </si>
  <si>
    <t>COMPRA DE MATERIAIS  UFVS (MANGA)  NF  13   SVA TECNOLOGIA</t>
  </si>
  <si>
    <t>A206 -MORI GERACAO II - UFV PATOS DE MINAS 7</t>
  </si>
  <si>
    <t>001934</t>
  </si>
  <si>
    <t>PRESTAÇÃO DE SERVIÇOS UFVs (PATOS DE MINAS 7)  NF   682</t>
  </si>
  <si>
    <t>Pagamento de 2º medição, referente a prestação de serviço de mão de obra, necessário a construção da UFVs. - ENVIADO POR SM GILSON QUEIROZ</t>
  </si>
  <si>
    <t>[CCC05334]</t>
  </si>
  <si>
    <t>PRESTAÇÃO DE SERVIÇOS UFVs (PATOS DE MINAS 8)  NF   681</t>
  </si>
  <si>
    <t>Pagamento de 1º medição, referente a prestação de serviço de mão de obra, necessário a construção da UFVs. - ENVIADO POR SM GILSON QUEIROZ</t>
  </si>
  <si>
    <t>001375</t>
  </si>
  <si>
    <t>PRESTAÇÃO DE SERVIÇO UFVs (CAMPO BELO 4)  NF 332</t>
  </si>
  <si>
    <t>Pagamento em faturamento direto referente ao servico de instalacao de sistema de supervisao, necessário à cosntrução da usina. ENVIADO POR ATI</t>
  </si>
  <si>
    <t>[CCC05335]</t>
  </si>
  <si>
    <t>PRESTAÇÃO DE SERVIÇO UFVs (CAMPO BELO 4)  NF 333</t>
  </si>
  <si>
    <t>PRESTAÇÃO DE SERVIÇO UFVs ( BAMBUI 1.2)  NF 343</t>
  </si>
  <si>
    <t>PRESTAÇÃO DE SERVIÇO UFVs (CASSIA 2)  NF 335</t>
  </si>
  <si>
    <t>PRESTAÇÃO DE SERVIÇO UFVs (CASSIA 2)  NF 336</t>
  </si>
  <si>
    <t>A210 - MORI GERAÇÃO II - UFV DIAMANTINA 1</t>
  </si>
  <si>
    <t>MEDIÇÃO  (MRO )</t>
  </si>
  <si>
    <t>PRESTAÇÃO DE SERVIÇO UFVs ( DIAMANTINA 1) NF 496    MRO</t>
  </si>
  <si>
    <t xml:space="preserve">Pagamento de  1° medição referente ao serviço de terraplanagem, necessário para construção da usina. ENVIADO POR SM MANOEL JACINTO  </t>
  </si>
  <si>
    <t>[CCC05336]</t>
  </si>
  <si>
    <t>PRESTAÇÃO DE SERVIÇO UFVs ( ALFENAS 4) NF 2720</t>
  </si>
  <si>
    <t>Pagamento  de medição, referente a prestação de serviço de extensão de rede de distribuição rural e urbana no Município, necessários a construção da usina.  ENVIADO POR MBA</t>
  </si>
  <si>
    <t>[CCC05337]</t>
  </si>
  <si>
    <t>002707</t>
  </si>
  <si>
    <t xml:space="preserve"> Fat. Direto( G&amp;M SOLAR)</t>
  </si>
  <si>
    <t>PRESTAÇÃO DE SERVIÇO UFVs ( BURITIZEIRO 1)  NF 8596 MADEIREIRA JAMAR</t>
  </si>
  <si>
    <t xml:space="preserve">Pagamento em faturamento direto, referente ao serviços administrativos e assessoria com acompanhamento de obra, necessário a construção da usina. ENVIADO POR SM MANOEL JACINTO. CONTRATO G&amp;M SOLAR </t>
  </si>
  <si>
    <t>[CCC05338]</t>
  </si>
  <si>
    <t>G&amp;M SOLAR</t>
  </si>
  <si>
    <t>002705</t>
  </si>
  <si>
    <t xml:space="preserve">COMPRA DE MATERIAIS UFVs (JABOTICATUBAS)  NF 9007 MUNDO HIDRAULICO </t>
  </si>
  <si>
    <t>Pagamento em faturamento direto referente a compra de materiais, necessário a construção da usina. ENVIADO POR SM MANOEL LIMA</t>
  </si>
  <si>
    <t>[CCC05339]</t>
  </si>
  <si>
    <t>Esscopo Comerc</t>
  </si>
  <si>
    <t>002706</t>
  </si>
  <si>
    <t>MEDIÇÃO( G&amp;M SOLAR)</t>
  </si>
  <si>
    <t>PRESTAÇÃO DE SERVIÇO UFVs ( BURITIZEIRO 1) NF 170 FRANCO  ASSESSORIA</t>
  </si>
  <si>
    <t>Pagamento em faturamento direto, referente ao serviços administrativos e assessoria com acompanhamento de obra, necessário a construção da usina. ENVIADO POR SM MANOEL JACINTO.  CONTRATO G&amp;EM SOLAR</t>
  </si>
  <si>
    <t>[CCC05340]</t>
  </si>
  <si>
    <t>COMPRA DE MATERIAIS UFVs ( PATOS DE MINAS 8) NF  228027  LOJA ELETRICA</t>
  </si>
  <si>
    <t>Pagamento em faturamento direto, referente a compra de materiais necessários a construção civil. ENVIADO POR SM GILSON</t>
  </si>
  <si>
    <t>[CCC05341]</t>
  </si>
  <si>
    <t>GEOVANY  UFVs  AGOSTO/2023 NF  181</t>
  </si>
  <si>
    <t>[CCC05342]</t>
  </si>
  <si>
    <t>002709</t>
  </si>
  <si>
    <t>PRESTAÇÃO DE SERVIÇOS UFVs ( BURITIZEIRO 1) NF 904 RONDA PORTEIROS</t>
  </si>
  <si>
    <t>Pagamento referente a PRESTAÇÃO DE SERVIÇO DE VIGILANCIA DESARMADA NA UFV, necessário a construção da usina. ESCOPO COMERC  ENVIADO POR MANOEL JACINTO</t>
  </si>
  <si>
    <t>[CCC05343]</t>
  </si>
  <si>
    <t>002710</t>
  </si>
  <si>
    <t>PRESTAÇÃO DE SERVIÇOS UFVs ( BURITIZEIRO 2) NF 905 RONDA PORTEIROS</t>
  </si>
  <si>
    <t>002711</t>
  </si>
  <si>
    <t>PRESTAÇÃO DE SERVIÇOS UFVs ( INDAIABIRA 3) NF 903 RONDA PORTEIROS</t>
  </si>
  <si>
    <t>002712</t>
  </si>
  <si>
    <t>PRESTAÇÃO DE SERVIÇOS UFVs ( INDAIABIRA 4) NF 902 RONDA PORTEIROS</t>
  </si>
  <si>
    <t>002713</t>
  </si>
  <si>
    <t>Fat.Direito EPC (RM SOLAR)</t>
  </si>
  <si>
    <t>PRESTAÇÃO DE SERVIÇO UFVs ( BURITIZEIRO2)  NF 8596 MADEIREIRA JAMAR</t>
  </si>
  <si>
    <t xml:space="preserve">Pagamento em faturamento direto, referente ao serviços administrativos e assessoria com acompanhamento de obra, necessário a construção da usina. ENVIADO POR SM MANOEL JACINTO. ESCOPO RM SOLAR </t>
  </si>
  <si>
    <t>[CCC05344]</t>
  </si>
  <si>
    <t>CANCELADO</t>
  </si>
  <si>
    <t>002714</t>
  </si>
  <si>
    <t xml:space="preserve">PRESTAÇÃO DE SERVIÇOS UFVs (JABOTICATUBAS) NF 3561  CONCRETAR   </t>
  </si>
  <si>
    <t>Pagamento em faturamento direto, referente ao serviço de concretagem necessário a construção da usina.  ENVIADO POR SM MANOEL LIMA</t>
  </si>
  <si>
    <t>[CCC05345]</t>
  </si>
  <si>
    <t>001947</t>
  </si>
  <si>
    <t xml:space="preserve">WEG PRESTAÇÃO DE SERVIÇOS UFVs ( PARACATU 8) ADIANTAMENTO EVENTO 6 </t>
  </si>
  <si>
    <t>[CCC05346]</t>
  </si>
  <si>
    <t>ADIANTAMENTO</t>
  </si>
  <si>
    <t>A606 -ESTRELA DO NORTE DIVINOPOLIS I SPE</t>
  </si>
  <si>
    <t>002721</t>
  </si>
  <si>
    <t>PRESTAÇÃO DE SERVIÇO UFVs ( DIVINÓPOLIS 2) NF 498 MRO</t>
  </si>
  <si>
    <t>Pagamento de  1° medição referente ao serviço de drenagem, necessário para construção da usina. ENVIADO POR SM WENDEL TORRES</t>
  </si>
  <si>
    <t>[CCC05347]</t>
  </si>
  <si>
    <t>002715</t>
  </si>
  <si>
    <t>PRESTAÇÃO DE SERVIÇOS UFVs (GUARDA-MOR) NF 895   RONDA PORTEIROS</t>
  </si>
  <si>
    <t>Pagamento referente a prestação de serviço de vigilância desarmada, necessário a construção da UFVs. ESCOPO COMERC ENVIADO POR RODRIGO ALVARENGA</t>
  </si>
  <si>
    <t>[CCC05348]</t>
  </si>
  <si>
    <t>001949</t>
  </si>
  <si>
    <t>PRESTAÇÃO DE SERVIÇOS UFVs (VARJÃO DE MINAS 1) NF 896   RONDA PORTEIROS</t>
  </si>
  <si>
    <t>001950</t>
  </si>
  <si>
    <t>PRESTAÇÃO DE SERVIÇOS UFVs ( FREI INOCENCIO ) NF 897  RONDA PORTEIROS</t>
  </si>
  <si>
    <t>002731</t>
  </si>
  <si>
    <t>PRESTAÇÃO DE SERVIÇOS UFVs ( INDAIABIRA 2) NF 898   RONDA PORTEIROS</t>
  </si>
  <si>
    <t>002716</t>
  </si>
  <si>
    <t>PRESTAÇÃO DE SERVIÇOS UFVs ( INDAIABIRA 1) NF 899  RONDA PORTEIROS</t>
  </si>
  <si>
    <t>001382</t>
  </si>
  <si>
    <t>PRESTAÇÃO DE SERVIÇOS UFVs ( BAMBUI 1.2) NF 944 RONDA PORTEIROS</t>
  </si>
  <si>
    <t>PRESTAÇÃO DE SERVIÇOS UFVs ( BAMBUI 1.1) NF 945 RONDA PORTEIROS</t>
  </si>
  <si>
    <t>002019</t>
  </si>
  <si>
    <t>PRESTAÇÃO DE SERVIÇOS UFVs ( SÃO SEBASTIÃO DO OESTE 1) NF 948   RONDA PORTEIROS</t>
  </si>
  <si>
    <t>PRESTAÇÃO DE SERVIÇOS UFVs ( SÃO SEBASTIÃO DO OESTE 3) NF 946   RONDA PORTEIROS</t>
  </si>
  <si>
    <t>PRESTAÇÃO DE SERVIÇOS UFVs ( SÃO SEBASTIÃO DO OESTE 5) NF 947   RONDA PORTEIROS</t>
  </si>
  <si>
    <t>PRESTAÇÃO DE SERVIÇOS PARA AS USINAS NF 54885  UPDATE DIGITAL</t>
  </si>
  <si>
    <t>Pagamento refrente a prestação de serviços de suporte tecnico, manutenção. RDO ENVIADO POR  PLANEJAMENTO</t>
  </si>
  <si>
    <t>[CCC05349]</t>
  </si>
  <si>
    <t>UPDATE</t>
  </si>
  <si>
    <t>BALDONI / MCD BALDONI  - Terraplanagem -  ADITIVO  (VARGINHA 1)  20%        NF   225</t>
  </si>
  <si>
    <t>[CCC05350]</t>
  </si>
  <si>
    <t>ADITIVO  2</t>
  </si>
  <si>
    <t>BALDONI / Baldoni Engenharia    - Terraplanagem - ADITIVO (VARGINHA 1)  80%        N   387</t>
  </si>
  <si>
    <t>PRESTAÇÃO DE SERVIÇO UFVs (PATOS DE MINAS 7) NF 9   RANDER MOTA</t>
  </si>
  <si>
    <t>Pagamento em faturamento direto refente ao serviço de locação de tenda, necessário à construção da usina. ENVIADO POR SM GILSON QUEIROZ</t>
  </si>
  <si>
    <t>[CCC05351]</t>
  </si>
  <si>
    <t>PRESTAÇÃO DE SERVIÇO UFVs (PATOS DE MINAS 7) NF 26   MGS</t>
  </si>
  <si>
    <t>Pagamento em faturamento direto refente ao serviço de locação de retroescavadeira, necessário à construção da usina. ENVIADO POR SM GILSON QUEIROZ</t>
  </si>
  <si>
    <t>COMPRA DE MATERIAIS UFVs (PATOS DE MINAS 1) NF 92  CANTINHO DA GULA</t>
  </si>
  <si>
    <t>Pagamento em faturamento direto refente a despesa com alimentação, necessário à construção da usina. ENVIADO POR SM GILSON QUEIROZ</t>
  </si>
  <si>
    <t>PC ELIMINADO</t>
  </si>
  <si>
    <t>COMPRA DE MATERIAIS UFVs (PATOS DE MINAS 8) NF 91  CANTINHO DA GULA</t>
  </si>
  <si>
    <t>COMPRA DE MATERIAIS UFVs (PATOS DE MINAS 3) NF 636  PREMOLDEC</t>
  </si>
  <si>
    <t>Pagamento em faturamento direto refente a compra de materiais, necessário à construção da usina. ENVIADO POR SM GILSON QUEIROZ</t>
  </si>
  <si>
    <t>002718</t>
  </si>
  <si>
    <t>PRESTAÇÃO DE SERVIÇO UFVs (INDAIABIRA 1) NF 2721</t>
  </si>
  <si>
    <t>[CCC05352]</t>
  </si>
  <si>
    <t>002719</t>
  </si>
  <si>
    <t>PRESTAÇÃO DE SERVIÇO UFVs ( INDAIABIRA 2) NF 2722</t>
  </si>
  <si>
    <t>PRESTAÇÃO DE SERVIÇOS UFVs ( LAGOA FORMOSA) NF 924 RONDA PORTEIROS</t>
  </si>
  <si>
    <t>Pagamento referente a prestação de serviços de vigilância desarmada. ENVIADO POR SM GILSON QUEIROS - ESCOPO COMERC</t>
  </si>
  <si>
    <t>[CCC05353]</t>
  </si>
  <si>
    <t>PRESTAÇÃO DE SERVIÇOS UFVs ( PATOS DE MINAS 3 ) NF 923  RONDA PORTEIROS  ADITIVO</t>
  </si>
  <si>
    <t>Pagamento referente a prestação de serviços de vigilância desarmada, ADITIVO DE 2 VIGIAS. ENVIADO POR SM GILSON QUEIROS - ESCOPO COMERC</t>
  </si>
  <si>
    <t>PRESTAÇÃO DE SERVIÇOS UFVs (PATROCINIO 2) NF 955  RONDA PORTEIROS</t>
  </si>
  <si>
    <t>PRESTAÇÃO DE SERVIÇOS UFVs (PATROCINIO 3) NF 956 RONDA PORTEIROS</t>
  </si>
  <si>
    <t>PRESTAÇÃO DE SERVIÇOS UFVs ( VARJÃO DE MINAS 4 ) NF 926  RONDA PORTEIROS  ADITIVO</t>
  </si>
  <si>
    <t xml:space="preserve">PRESTAÇÃO DE SERVIÇOS UFVs ( VARJÃO DE MINAS 4 ) NF 925 RONDA PORTEIROS  </t>
  </si>
  <si>
    <t>Pagamento referente a prestação de serviços de vigilãncia desarmada. ENVIADO POR SM GILSON QUEIROS - ESCOPO COMERC</t>
  </si>
  <si>
    <t>Fat.Direito EPC (GTEL)</t>
  </si>
  <si>
    <t>COMPRA DE MATERIAIS UFVs (PASSOS 4) NF 2840  ENGETELA</t>
  </si>
  <si>
    <t>Pagamento em faturamento direto referente a compra de materiais, necessário à construção da usina. ENVIADO POR SM WENDEL TORRES</t>
  </si>
  <si>
    <t>[CCC05354]</t>
  </si>
  <si>
    <t>Outros - Serviços à UFV (REMESSA)</t>
  </si>
  <si>
    <t>COMPRA DE MATERIAIS UFVs   NF 208308  ROMAGNOLE</t>
  </si>
  <si>
    <t>Pagamento referente a compra de materiais, necessário a construção da UFVs. **NOTAS DE REMESSA NÃO GERAR FINANCEIRO**</t>
  </si>
  <si>
    <t>[CCC05355]</t>
  </si>
  <si>
    <t>COMPRA DE MATERIAIS UFVs   NF 7508 SUNGROW</t>
  </si>
  <si>
    <t>[CCC05356]</t>
  </si>
  <si>
    <t>SUNGROW</t>
  </si>
  <si>
    <t xml:space="preserve">PRESTAÇÃO DE SERVIÇOS UFVs ( LAGOA FORMOSA ) NF 1769  INOVAR </t>
  </si>
  <si>
    <t>Pagamento referente ao serviço de aluguel de containers, necessários a construção das usinas. ENVIADO POR SMS GILSON - ESCOPO COMERC</t>
  </si>
  <si>
    <t>[CCC05357]</t>
  </si>
  <si>
    <t xml:space="preserve">PRESTAÇÃO DE SERVIÇOS UFVs ( PATROCINIO 2) NF 1768  INOVAR </t>
  </si>
  <si>
    <t xml:space="preserve">PRESTAÇÃO DE SERVIÇOS UFVs ( PATROCINIO 3) NF 1767  INOVAR </t>
  </si>
  <si>
    <t>A414- MORI MINAS NEWCO IV -  UFV MUZAMBINHO</t>
  </si>
  <si>
    <t>002024</t>
  </si>
  <si>
    <t>PRESTAÇÃO DE SERVIÇOS UFVs (MUZAMBINHO)  PROJETTI  NF 53</t>
  </si>
  <si>
    <t>Pagamento referente ao projeto de entrada de energia, necessáario à construção da UFV. ENVIADO POR SM GUILHERME KUSEL</t>
  </si>
  <si>
    <t>[CCC05358]</t>
  </si>
  <si>
    <t>PRESTAÇÃO DE SERVIÇOS UFVs (ALFENAS 4)  PROJETTI  NF 54</t>
  </si>
  <si>
    <t>002720</t>
  </si>
  <si>
    <t>PRESTAÇÃO DE SERVIÇOS UFVs (PAINS 3)  PROJETTI  NF 55</t>
  </si>
  <si>
    <t>PRESTAÇÃO DE SERVIÇOS UFVs (VARJÃO DE MINAS 4)  PROJETTI  NF 56</t>
  </si>
  <si>
    <t>PRESTAÇÃO DE SERVIÇOS UFVs (PATOS DE MINAS 4)  PROJETTI  NF 57</t>
  </si>
  <si>
    <t>PRESTAÇÃO DE SERVIÇOS UFVs (SÃO SEBASTIÃO DO ESTE 4)  PROJETTI  NF 58</t>
  </si>
  <si>
    <t>001389</t>
  </si>
  <si>
    <t>PRESTAÇÃO DE SERVIÇOS UFVs (PASSOS 4)  PROJETTI  NF 59</t>
  </si>
  <si>
    <t>002722</t>
  </si>
  <si>
    <t>PRESTAÇÃO DE SERVIÇOS UFVs (JABOTICATUBAS)  PROJETTI  NF 60</t>
  </si>
  <si>
    <t>PRESTAÇÃO DE SERVIÇOS UFVs (TRÊS CORAÇÕES 3)  PROJETTI  NF 61</t>
  </si>
  <si>
    <t>002723</t>
  </si>
  <si>
    <t>PRESTAÇÃO DE SERVIÇOS UFVs (SÃO SEBASTIÃO DO OESTE 1)  PROJETTI  NF 62</t>
  </si>
  <si>
    <t>002724</t>
  </si>
  <si>
    <t>PRESTAÇÃO DE SERVIÇOS UFVs (SÃO SEBASTIÃO DO OESTE 2)  PROJETTI  NF 63</t>
  </si>
  <si>
    <t>002725</t>
  </si>
  <si>
    <t>PRESTAÇÃO DE SERVIÇOS UFVs (SÃO SEBASTIÃO DO OESTE 3)  PROJETTI  NF 64</t>
  </si>
  <si>
    <t>PRESTAÇÃO DE SERVIÇOS UFVs (OURO FINO 2)  PROJETTI  NF 65</t>
  </si>
  <si>
    <t>002048</t>
  </si>
  <si>
    <t>PRESTAÇÃO DE SERVIÇOS UFVs (PARAGUAÇU 1)  PROJETTI  NF 66</t>
  </si>
  <si>
    <t>PRESTAÇÃO DE SERVIÇOS UFVs (PATOS DE MINAS 7 ) NF 156463 ALTAMIRO ALVES</t>
  </si>
  <si>
    <t>Pagamento referente ao serviço de cercamento, necessário a construção das usinas. ENVIADO POR GILSON - ESCOPO COMERC</t>
  </si>
  <si>
    <t>[CCC05359]</t>
  </si>
  <si>
    <t>ALTAMIRO</t>
  </si>
  <si>
    <t>PRESTAÇÃO DE SERVIÇOS UFVs (ALFENAS 4 )  NF  552</t>
  </si>
  <si>
    <t>Pagamento  medição 2° aditivo, mão de obra referente a concretagem das estacas,  necessários a construção da UFVs em contrato EPC.  65%. 2º ADITIVO - ENVIADO POR SM RAFAEL</t>
  </si>
  <si>
    <t>[CCC05360]</t>
  </si>
  <si>
    <t>PRESTAÇÃO DE SERVIÇOS UFVs (ALFENAS 4 )  NF  553</t>
  </si>
  <si>
    <t>Pagamento  medição 2° aditivo, elaboraçaõ de planos referente a concretagem das estacas,  necessários a construção da UFVs em contrato EPC.  35%. 2º ADITIVO ENVIADO POR SM RAFAEL</t>
  </si>
  <si>
    <t>PRESTAÇÃO DE SERVIÇOS UFVs (PARACATU 8 )  NF  5810  ELETRO PEDRO</t>
  </si>
  <si>
    <t>Pagamento de faturamento direto referente aos serviços de fornecimento de mão de obra para extensão de RDR, em postes e cabos, necessários a construção das usinas. ENVIADO POR MBA</t>
  </si>
  <si>
    <t>[CCC05361]</t>
  </si>
  <si>
    <t>002726</t>
  </si>
  <si>
    <t>PRESTAÇÃO DE SERVIÇOS UFVs (PEDRA DO INDAIA 3)  NF  554</t>
  </si>
  <si>
    <t>Pagamento medição 7, referente aos serviços de implantação da usina. ENVIADO POR SM WENDEL</t>
  </si>
  <si>
    <t>[CCC05362]</t>
  </si>
  <si>
    <t xml:space="preserve"> medição 7</t>
  </si>
  <si>
    <t>Fat.Direto EPC (EGF)</t>
  </si>
  <si>
    <t>COMPRA DE MATERIAIS UFVs ( PATOS DE MINAS 7) NF 21541  CONCRETON</t>
  </si>
  <si>
    <t>Pagamento em faturamento direto, referente a mão de obra - MANILHAS.   CONTRATO EGF ENVIADO POR SM GILSON  - DRENAGEM</t>
  </si>
  <si>
    <t>[CCC05363]</t>
  </si>
  <si>
    <t>MEDIÇÃO MENSAL JUNHO/2023  UFVs  LMENG  NF 11762</t>
  </si>
  <si>
    <t>Pagamento de medição, referente a elaboração de projetos e consultoria. Serviço contratuais de Engenharia Executiva,  necessário à construção da UFV. ENVIADO POR LMENG</t>
  </si>
  <si>
    <t>[CCC05364]</t>
  </si>
  <si>
    <t>MEDIÇÃO MENSAL JUNHO/2023  UFVs  LMENG  NF 11763</t>
  </si>
  <si>
    <t>MEDIÇÃO MENSAL JUNHO/2023  UFVs  LMENG  NF 11764</t>
  </si>
  <si>
    <t>002727</t>
  </si>
  <si>
    <t>MEDIÇÃO MENSAL JUNHO/2023  UFVs  LMENG  NF 11765</t>
  </si>
  <si>
    <t>002728</t>
  </si>
  <si>
    <t>MEDIÇÃO MENSAL JUNHO/2023  UFVs  LMENG  NF 11766</t>
  </si>
  <si>
    <t>MEDIÇÃO MENSAL JUNHO/2023  UFVs  LMENG  NF 11767</t>
  </si>
  <si>
    <t>MEDIÇÃO MENSAL JUNHO/2023  UFVs  LMENG  NF 11768</t>
  </si>
  <si>
    <t>MEDIÇÃO MENSAL JUNHO/2023  UFVs  LMENG  NF 11769</t>
  </si>
  <si>
    <t>002030</t>
  </si>
  <si>
    <t>PRESTAÇÃO DE SERVIÇOS UFVs (CAMPO BELO 5 )  NF 558 ADITIVO</t>
  </si>
  <si>
    <t>Pagamento de 1ª medição de aditivo,  referente a prestação de serviços e mão de obra CONCRETAGEM DE ESTACAS,   necessários a construção da UFVs em contrato EPC.  65%.  1º ADITIVO - ENVIADO POR RAFAEL</t>
  </si>
  <si>
    <t>[CCC05365]</t>
  </si>
  <si>
    <t>Aditivo de Concretagem</t>
  </si>
  <si>
    <t>002031</t>
  </si>
  <si>
    <t>PRESTAÇÃO DE SERVIÇOS UFVs (CAMPO BELO 5 )  NF 559 ADITIVO</t>
  </si>
  <si>
    <t>Pagamento de 1° medição de aditivo,  referente a elaboração de planos CONCRETAGEM DE ESTACAS, necessários a construção da UFVs em contrato EPC.  35% . 1º ADITIVO - ENVIADO POR RAFAEL</t>
  </si>
  <si>
    <t>002032</t>
  </si>
  <si>
    <t>PRESTAÇÃO DE SERVIÇOS UFVs ( VARGINHA 1) NF 555</t>
  </si>
  <si>
    <t>Pagamento de 10° medição,  referente a prestação de serviços e mão de obra,   necessários a construção da UFVs em contrato EPC.  65%. ENVIADO POR RAFAEL</t>
  </si>
  <si>
    <t>[CCC05366]</t>
  </si>
  <si>
    <t>PRESTAÇÃO DE SERVIÇOS UFVs ( VARGINHA 1) NF 556</t>
  </si>
  <si>
    <t>Pagamento de 10° medição,  referente a elaboração de planos,   necessários a construção da UFVs em contrato EPC.  35%  ENVIADO POR RAFAEL</t>
  </si>
  <si>
    <t>002034</t>
  </si>
  <si>
    <t>MEDIÇÃO (OUROPAV)</t>
  </si>
  <si>
    <t>PRESTAÇÃO DE SERVIÇOS UFVs (OURO FINO 2 )  NF 552   OUROPAV</t>
  </si>
  <si>
    <t>Pagamento de medição 3, referente a terraplanagem, necessário a construção da usina . CONTRATO OUROPAV ENVIADO POR RAFAEL</t>
  </si>
  <si>
    <t>[CCC05367]</t>
  </si>
  <si>
    <t>PRESTAÇÃO DE SERVIÇOS UFVs (PATOS DE MINAS 7) NF 47820  ATIVA LOCAÇÃO</t>
  </si>
  <si>
    <t>Pagamento em faturamento direto, referente a locação de containers, necessários a construção da usina . ENVIADO POR GILSON</t>
  </si>
  <si>
    <t>[CCC05368]</t>
  </si>
  <si>
    <t>COMPRA DE MATERIAIS UFVs (PATOS DE MINAS 3) NF 2977  DIMATELAS</t>
  </si>
  <si>
    <t>Pagamento em faturamento direto, referente ao fornecimento de combustível, necessário a construção da suina. ENVADO POR SM GILSON</t>
  </si>
  <si>
    <t>A204-MORI GERACAO II - PATOS DE MINAS 4</t>
  </si>
  <si>
    <t>PRESTAÇÃO DE SERVIÇOS UFVs (PATOS DE MINAS 4) NF 1771 INOVAR LOCAÇÕES</t>
  </si>
  <si>
    <t xml:space="preserve">COMPRA DE MATERIAIS UFVs (PATOS DE MINAS 1) NF 62673  POSTO RODOMILHO </t>
  </si>
  <si>
    <t>Pagamento em faturamento direto, referente ao fornecimento alambrado, necessário a construção da suina. ENVADO POR SM GILSON</t>
  </si>
  <si>
    <t>MEDIÇÃO MENSAL  JUNHO/2023  UFVs  LMENG  NF 11770</t>
  </si>
  <si>
    <t>[CCC05369]</t>
  </si>
  <si>
    <t>MEDIÇÃO MENSAL  JUNHO/2023  UFVs  LMENG  NF 11771</t>
  </si>
  <si>
    <t>002729</t>
  </si>
  <si>
    <t>MEDIÇÃO MENSAL  JUNHO/2023  UFVs  LMENG  NF 11772</t>
  </si>
  <si>
    <t>001394</t>
  </si>
  <si>
    <t>MEDIÇÃO MENSAL  JUNHO/2023  UFVs  LMENG  NF 11773</t>
  </si>
  <si>
    <t>002730</t>
  </si>
  <si>
    <t>COMPRA DE MATERIAIS UFVs (JABOTICATUBAS)  NF 864  AXF MATERIAIS</t>
  </si>
  <si>
    <t>Pagamentos em faturamento direto referente a compra de materiais, necessário à construção da usina. ENVIADO POR SM MANOEL FILHO</t>
  </si>
  <si>
    <t>[CCC05370]</t>
  </si>
  <si>
    <t>PRESTAÇÃO DE SERVIÇO UFVs (ALFENAS 4) NF 868 RONDA PORTEIROS</t>
  </si>
  <si>
    <t>Pagamento em faturamento direto referente ao serviço de vigilância desarmada, necessário à construção da usina. ENVIADO POR SM RAFAEL OLIVEIRA</t>
  </si>
  <si>
    <t>[CCC05371]</t>
  </si>
  <si>
    <t>PRESTAÇÃO DE SERVIÇOS UFVs (DIAMANTINA 1) NF 353 JX AMBIENTAL</t>
  </si>
  <si>
    <t>Taxa necessária à avaliação de intervenção ambiental para a UFV. ENVIADO POR GUIILHERME</t>
  </si>
  <si>
    <t>[CCC05372]</t>
  </si>
  <si>
    <t>AB01 - ESTRELA DO NORTE SPE II S.A</t>
  </si>
  <si>
    <t>PRESTAÇÃO DE SERVIÇOS UFVs (BRASILANDIA DE MINAS 3) NF 354 JX AMBIENTAL</t>
  </si>
  <si>
    <t>[CCC05373]</t>
  </si>
  <si>
    <t>COMPRA DE MATERIAIS UFVs ( CAMPO BELO 5 ) NF 21439 ENMAC</t>
  </si>
  <si>
    <t>Pagagamento em faturamento direto referente a compra de materiais, necessários a construção da usina. ENVIADO POR MBA</t>
  </si>
  <si>
    <t>[CCC05374]</t>
  </si>
  <si>
    <t>002039</t>
  </si>
  <si>
    <t>PRESTAÇÃO DE SERVIÇOS UFVs (SANTO ANTONIO DO AMPARO) NF 936  RONDA PORTEIROS   ADITIVO</t>
  </si>
  <si>
    <t>Pagagamento referente ao serviço de vigilância desarmada, necessários a construção da usina.  ENVIADO POR SM RAFAEL OLIVEIRA</t>
  </si>
  <si>
    <t>[CCC05375]</t>
  </si>
  <si>
    <t xml:space="preserve">PRESTAÇÃO DE SERVIÇOS UFVs (VARGINHA 1) NF 907  RONDA PORTEIROS </t>
  </si>
  <si>
    <t>Pagagamento referente ao serviço de vigilância desarmada, necessários a construção da usina. ENVIADO POR SM RAFAEL OLIVEIRA</t>
  </si>
  <si>
    <t xml:space="preserve">PRESTAÇÃO DE SERVIÇOS UFVs (VARGINHA 5) NF 913 RONDA PORTEIROS </t>
  </si>
  <si>
    <t xml:space="preserve">PRESTAÇÃO DE SERVIÇOS UFVs (VARGINHA 2) NF 908 RONDA PORTEIROS </t>
  </si>
  <si>
    <t>PRESTAÇÃO DE SERVIÇOS UFVs (ALFENAS 4) NF 916  RONDA PORTEIROS  ADITIVO</t>
  </si>
  <si>
    <t>002042</t>
  </si>
  <si>
    <t>PRESTAÇÃO DE SERVIÇOS UFVs (CAMPO BELO 5) NF 910 RONDA PORTEIROS  ADITIVO</t>
  </si>
  <si>
    <t>002043</t>
  </si>
  <si>
    <t>PRESTAÇÃO DE SERVIÇOS UFVs (CAMPO BELO 1) NF 912 RONDA PORTEIROS   ADITIVO</t>
  </si>
  <si>
    <t>PRESTAÇÃO DE SERVIÇOS UFVs (CAMPO BELO 2) NF 915 RONDA PORTEIROS    ADITIVO</t>
  </si>
  <si>
    <t>RAFAEL OLIVEIRA SOLICITOU EXCLUSÃO ELIMINAÇÃO DO PC</t>
  </si>
  <si>
    <t>PRESTAÇÃO DE SERVIÇO  UFVs (NOVA PONTE) NF 344</t>
  </si>
  <si>
    <t>Pagamento em faturamento direto referente ao serviço de licenciamento, necessário à cosntrução da usina. ENVIADO POR ATI</t>
  </si>
  <si>
    <t>[CCC05376]</t>
  </si>
  <si>
    <t>PRESTAÇÃO DE SERVIÇO  UFVs (FREI INOCENCIO) NF 345</t>
  </si>
  <si>
    <t>002045</t>
  </si>
  <si>
    <t>PRESTAÇÃO DE SERVIÇO  UFVs (VARGINHA 5) NF 346</t>
  </si>
  <si>
    <t>Pagamento em faturamento direto referente ao serviço de comissionamento remoto, necessário à cosntrução da usina. ENVIADO POR ATI</t>
  </si>
  <si>
    <t>COMPRA DE MATERIAIS UFVs (NOVA PONTE) NF 2266</t>
  </si>
  <si>
    <t>Pagamento em faturamento direto referente a compra de materiais de instalação, necessário à cosntrução da usina. ENVIADO POR ATI</t>
  </si>
  <si>
    <t>COMPRA DE MATERIAIS UFVs (FREI INOCENCIO) NF 2267</t>
  </si>
  <si>
    <t>COMPRA DE MATERIAIS UFVs (CASSIA 1) NF 2268</t>
  </si>
  <si>
    <t>002047</t>
  </si>
  <si>
    <t>COMPRA DE MATERIAIS UFVs (VARGINHA 1) NF 2269</t>
  </si>
  <si>
    <t>PRESTAÇÃO DE SERVIÇOS UFVs ( VARGINHA 2 ) NF 5    ADRIANA CRISTINA</t>
  </si>
  <si>
    <t>Prestação de serviços referentes a vistoria de redes de média tensão CEMIG. ENVIADO POR GUILHERME</t>
  </si>
  <si>
    <t>[CCC05377]</t>
  </si>
  <si>
    <t>ADRIANA CRISTINA</t>
  </si>
  <si>
    <t>002044</t>
  </si>
  <si>
    <t>PRESTAÇÃO DE SERVIÇOS UFVs ( VARGINHA 1) NF 6    ADRIANA CRISTINA</t>
  </si>
  <si>
    <t>2007</t>
  </si>
  <si>
    <t>PRESTAÇÃO DE SERVIÇOS UFVs (PATOS DE MINAS 1)  NF 7 TRANSPORTADORA ABREU</t>
  </si>
  <si>
    <t>Pagamento em faturamento direto referente ao serviço de locação de retroescavadeira, necessário à cosntrução da usina. ENVIADO POR GILSON</t>
  </si>
  <si>
    <t>[CCC05378]</t>
  </si>
  <si>
    <t>PRESTAÇÃO DE SERVIÇOS UFVs (PATOS DE MINAS 3) NF 23539  MAX PERFURAÇÕES</t>
  </si>
  <si>
    <t>Pagamento em faturamento direto referente ao serviço de perfuração do solo, necessário à construção da usina. ENVIADO POR GILSON</t>
  </si>
  <si>
    <t xml:space="preserve">PRESTAÇÃO DE SERVIÇOS UFVs (PATOS DE MINAS 7) NF 2 LUDMILLA </t>
  </si>
  <si>
    <t>Pagamento em faturamento direto referente ao serviço de locação de containers, necessário à construção da usina. ENVIADO POR GILSON</t>
  </si>
  <si>
    <t>PRESTAÇÃO DE SERVIÇOS UFVs (PATOS DE MINAS 7) NF 6 LUIZ CARLOS</t>
  </si>
  <si>
    <t>Pagamento em faturamento direto, referente ao serviço de fornecimento da estrutura metalica, necessário à construção da usina. ENVIADO POR GILSON</t>
  </si>
  <si>
    <t>[CCC05379]</t>
  </si>
  <si>
    <t>PRESTAÇÃO DE SERVIÇOS UFVs (PATOS DE MINAS 8) NF 5 LUIZ CARLOS</t>
  </si>
  <si>
    <t>PRESTAÇÃO DE SERVIÇOS UFVs (PATOS DE MINAS 1) NF 186 ROSELI</t>
  </si>
  <si>
    <t>Pagamento em faturamento direto, referente ao fornecimento de alojamento para os colaboradores, necessário à construção da usina. ENVIADO POR GILSON</t>
  </si>
  <si>
    <t>[CCC05380]</t>
  </si>
  <si>
    <t>PRESTAÇÃO DE SERVIÇOS UFVs (PATOS DE MINAS 8) NF 185 ROSELI</t>
  </si>
  <si>
    <t>COMPRA DE MATERIAIS UFVs (SANTO ANTONIO DO AMPARO) NF 6246 CAMPO ALEGRE</t>
  </si>
  <si>
    <t xml:space="preserve">PAagamento referente a compra de materiais, necessário à construção da unisa. * ENVIADO POR MBA
** NOTAS NÃO GERAM FINANCEIRO, APENAS ESCRITURAR CFOP** 
</t>
  </si>
  <si>
    <t>[CCC05381]</t>
  </si>
  <si>
    <t>COMPRA DE MATERIAIS UFVs (SANTO ANTONIO DO AMPARO) NF 6248 CAMPO ALEGRE</t>
  </si>
  <si>
    <t xml:space="preserve">Pagamento referente a compra de materiais, necessário à construção da unisa. * ENVIADO POR MBA
** NOTAS NÃO GERAM FINANCEIRO, APENAS ESCRITURAR CFOP** 
</t>
  </si>
  <si>
    <t>WEG PRESTAÇÃO DE SERVIÇOS UFVs ( BAMBUI 1.2 )   ADIANTAMENTO   EVENTO 8</t>
  </si>
  <si>
    <t>[CCC05382]</t>
  </si>
  <si>
    <t>002734</t>
  </si>
  <si>
    <t>PRESTAÇÃO DE SERVIÇOS UFVs ( INDAIABIRA 2) NF 8    ADRIANA CRISTINA</t>
  </si>
  <si>
    <t>Prestação de serviços referentes a vistoria de redes de média tensão CEMIG. ENVIADO POR GUILHERME **NOTA JÁ PAGA POR PA, APENAS  PARA FINANCEIRO DAR BAIXA EM PA **</t>
  </si>
  <si>
    <t>[CCC05383]</t>
  </si>
  <si>
    <t>PRESTAÇÃO DE SERVIÇOS BA  NF 182  GP SERVIÇOS</t>
  </si>
  <si>
    <t>Parcela de medição final relativa ao levantamento planialtimétrico de 3 áreas de UFV na BA, implantação ciclo 3. ENVIADO POR JOAO LESSA</t>
  </si>
  <si>
    <t>[CCC05384]</t>
  </si>
  <si>
    <t>GP SERVIÇOS</t>
  </si>
  <si>
    <t>PRESTAÇÃO DE SERVIÇOS UFVs  NF  447  DBA SOLUÇÕES</t>
  </si>
  <si>
    <t>PAGAMENTO REFERENTE A PRESTAÇÃO DE SERVIÇOS PARA DESENVOLVIMENTO DE PROJETOS, NECESSÁRIOS A CONSTRUÇÃO DAS UFVs.  SET/23. 100%</t>
  </si>
  <si>
    <t>[CCC05385]</t>
  </si>
  <si>
    <t>NÃO CONTROLADO</t>
  </si>
  <si>
    <t>DBA SOLUÇÕES</t>
  </si>
  <si>
    <t>PRESTAÇÃO DE SERVIÇOS UFVs  NF  448  DBA SOLUÇÕES</t>
  </si>
  <si>
    <t>002735</t>
  </si>
  <si>
    <t>PRESTAÇÃO DE SERVIÇOS UFVs( INDAIAIRA 3) NF 685</t>
  </si>
  <si>
    <t>Pagamento de medição referente a 10 % do saldo residual dos projetos incluindo CAP. MEDIÇÃO FINAL  ENVIADO POR MANOEL JACINTO</t>
  </si>
  <si>
    <t>[CCC05386]</t>
  </si>
  <si>
    <t>002736</t>
  </si>
  <si>
    <t>PRESTAÇÃO DE SERVIÇOS UFVs( INDAIAIRA 4) NF 686</t>
  </si>
  <si>
    <t>002049</t>
  </si>
  <si>
    <t>PRESTAÇÃO DE SERVIÇOS UFVs (VARGINHA 5)  NF  560</t>
  </si>
  <si>
    <t>Pagamento de 4° medição, referente ao serviço de drenagem prestação de mão de obra,   necessários a construção da UFVs em contrato EPC.  65% - ENVIADO POR SM RAFAEL OLIVEIRA  DRENAGEM</t>
  </si>
  <si>
    <t>[CCC05387]</t>
  </si>
  <si>
    <t>002050</t>
  </si>
  <si>
    <t>PRESTAÇÃO DE SERVIÇOS UFVs (VARGINHA 5)  NF 561</t>
  </si>
  <si>
    <t>Pagamento de 4° medição, referente ao serviço de drenagem elaboração de planos, necessários a construção da UFVs em contrato EPC.  35% - ENVIADO POR SM RAFAEL OLIVEIRA  DRENAGEM</t>
  </si>
  <si>
    <t>PRESTAÇÃO DE SERVIÇOS UFVs (CAMPO BELO 5)  NF  562</t>
  </si>
  <si>
    <t xml:space="preserve">Pagamento de 2° medição, referente ao serviço de concretagem prestação de mão de obra,   necessários a construção da UFVs em contrato EPC.  65% - ENVIADO POR SM RAFAEL OLIVEIRA </t>
  </si>
  <si>
    <t>[CCC05388]</t>
  </si>
  <si>
    <t>002052</t>
  </si>
  <si>
    <t>PRESTAÇÃO DE SERVIÇOS UFVs (CAMPO BELO 5)  NF  563</t>
  </si>
  <si>
    <t xml:space="preserve">Pagamento de 2° medição, referente ao serviço de concretagem elaboração de planos, necessários a construção da UFVs em contrato EPC.  35% - ENVIADO POR SM RAFAEL OLIVEIRA </t>
  </si>
  <si>
    <t>002737</t>
  </si>
  <si>
    <t>PRESTAÇÃO DE SERVIÇOS UFVs (JABOTICATUBAS)   NF 683</t>
  </si>
  <si>
    <t>Pagamento de 2º medição referente a mobilização, supressão vegetal, regularização do terreno e marcação topográfica, necessário à construção da UFVs. SOLICITDO POR SM MANOEL JACINTO</t>
  </si>
  <si>
    <t>[CCC05389]</t>
  </si>
  <si>
    <t>002053</t>
  </si>
  <si>
    <t>PRESTAÇÃO DE SERVIÇOS UFVs (TRÊS CORAÇÕES 3)  NF  564</t>
  </si>
  <si>
    <t xml:space="preserve">Pagamento de 2° medição, referente a prestação de mão de obra,   necessários a construção da UFVs em contrato EPC.  65% - ENVIADO POR SM RAFAEL OLIVEIRA </t>
  </si>
  <si>
    <t>[CCC05390]</t>
  </si>
  <si>
    <t>PRESTAÇÃO DE SERVIÇOS UFVs (TRÊS CORAÇÕES 3)  NF  565</t>
  </si>
  <si>
    <t xml:space="preserve">Pagamento de 2° medição, referente a elaboração de planos, necessários a construção da UFVs em contrato EPC.  35% - ENVIADO POR SM RAFAEL OLIVEIRA </t>
  </si>
  <si>
    <t>PRESTAÇÃO DE SERVIÇOS UFVs (CAMPO BELO 5)  NF  287</t>
  </si>
  <si>
    <t>Pagamento referente a revisão dos projetos executivos destinados à construção de instalações internas da UFV. ENVIADO RAFAEL RACCIATTO</t>
  </si>
  <si>
    <t>[CCC05391]</t>
  </si>
  <si>
    <t>002738</t>
  </si>
  <si>
    <t>PRESTAÇÃO DE SERVIÇOS UFVs (PARACATU 4)  NF  285</t>
  </si>
  <si>
    <t>Pagamento referente a emissão de 50 % do projeto - referente a prestação de serviços relativos a elaboração de projetos executivos das usinas. 20 % do contrato  R$ 14.200 + ( visita técnica realizada no local  R$ 3.000 ADITIVO ). ENVIADO POR RAFAEL RACCIATTO</t>
  </si>
  <si>
    <t>[CCC05392]</t>
  </si>
  <si>
    <t>002739</t>
  </si>
  <si>
    <t>PRESTAÇÃO DE SERVIÇOS UFVs (PARACATU 5)  NF 286</t>
  </si>
  <si>
    <t>001402</t>
  </si>
  <si>
    <t>PRESTAÇÃO DE SERVIÇOS UFVs (ALFENAS 4)  NF  566</t>
  </si>
  <si>
    <t xml:space="preserve">Pagamento de 6° medição, referente a prestação de mão de obra,  necessários a construção da UFVs em contrato EPC.  65% - ENVIADO POR SM RAFAEL OLIVEIRA </t>
  </si>
  <si>
    <t>[CCC05393]</t>
  </si>
  <si>
    <t>PRESTAÇÃO DE SERVIÇOS UFVs (ALFENAS 4)  NF  567</t>
  </si>
  <si>
    <t xml:space="preserve">Pagamento de 6° medição, referente a elaboração de planos, necessários a construção da UFVs em contrato EPC.  35% - ENVIADO POR SM RAFAEL OLIVEIRA </t>
  </si>
  <si>
    <t>PRESTAÇÃO DE SERVIÇOS UFVs (CAMPO BELO 5)  NF  571</t>
  </si>
  <si>
    <t xml:space="preserve">Pagamento de 8° medição, referente a prestação de mão de obra,  necessários a construção da UFVs em contrato EPC.  65% - ENVIADO POR SM RAFAEL OLIVEIRA </t>
  </si>
  <si>
    <t>[CCC05394]</t>
  </si>
  <si>
    <t>MEDIÇÃO 8</t>
  </si>
  <si>
    <t>PRESTAÇÃO DE SERVIÇOS UFVs (CAMPO BELO 5)  NF  572</t>
  </si>
  <si>
    <t xml:space="preserve">Pagamento de 8° medição, referente a elaboração de planos, necessários a construção da UFVs em contrato EPC.  35% - ENVIADO POR SM RAFAEL OLIVEIRA </t>
  </si>
  <si>
    <t>PRESTAÇÃO DE SERVIÇOS UFVs (CAMPO BELO 2)  NF  569</t>
  </si>
  <si>
    <t xml:space="preserve">Pagamento de 11° medição, referente a prestação de mão de obra,  necessários a construção da UFVs em contrato EPC.  65% - ENVIADO POR SM RAFAEL OLIVEIRA </t>
  </si>
  <si>
    <t>[CCC05395]</t>
  </si>
  <si>
    <t>002058</t>
  </si>
  <si>
    <t>PRESTAÇÃO DE SERVIÇOS UFVs (CAMPO BELO 2)  NF  570</t>
  </si>
  <si>
    <t xml:space="preserve">Pagamento de 11° medição, referente a elaboração de planos, necessários a construção da UFVs em contrato EPC.  35% - ENVIADO POR SM RAFAEL OLIVEIRA </t>
  </si>
  <si>
    <t>COMPRA DE MATERIAIS UFV (VARGINHA 1) NF 653953 UNIAR COMERCIO</t>
  </si>
  <si>
    <t>Pagamento referente a compra de materiais, necessário à construção da usina. ESCOPO COMERC - ENVIADO POR SM RAFAEL OLIVEIRA</t>
  </si>
  <si>
    <t>[CCC05396]</t>
  </si>
  <si>
    <t>UNIAR</t>
  </si>
  <si>
    <t>002060</t>
  </si>
  <si>
    <t>COMPRA DE MATERIAIS UFV (VARGINHA 5) NF 653951  UNIAR COMERCIO</t>
  </si>
  <si>
    <t>COMPRA DE MATERIAIS UFV (VARGINHA 2) NF 653952   UNIAR COMERCIO</t>
  </si>
  <si>
    <t>002741</t>
  </si>
  <si>
    <t>COMPRA DE MATERIAIS UFVS (JABOTICATUBAS) NF 9650  PARAENG</t>
  </si>
  <si>
    <t>Pagamento referente a compra de materiais, necessário à construção da UFVs. ESCOPO COMERC - ENVIADO POR SM MANOEL LIMA</t>
  </si>
  <si>
    <t>PARAENG</t>
  </si>
  <si>
    <t>002742</t>
  </si>
  <si>
    <t>COMPRA DE MATERIAIS UFV (PEDRA DO INDAIA 1)  NF 2249</t>
  </si>
  <si>
    <t>Pagamento referente a compra de materiais, necessário à construção da UFVs. *NOTA DE REMESSA, NÃO GERAR FINANCEIRO*  - ENVIADO POR ATI</t>
  </si>
  <si>
    <t>[CCC05397]</t>
  </si>
  <si>
    <t>002743</t>
  </si>
  <si>
    <t>COMPRA DE MATERIAIS UFV (PEDRA DO INDAIA 1)  NF 2250</t>
  </si>
  <si>
    <t>002744</t>
  </si>
  <si>
    <t>COMPRA DE MATERIAIS UFV (PEDRA DO INDAIA 3)  NF 2251</t>
  </si>
  <si>
    <t>002745</t>
  </si>
  <si>
    <t>COMPRA DE MATERIAIS UFV (PEDRA DO INDAIA 3)  NF 2252</t>
  </si>
  <si>
    <t>002746</t>
  </si>
  <si>
    <t>COMPRA DE MATERIAIS UFV (DIVINOPOLIS 1)  NF 2253</t>
  </si>
  <si>
    <t>002747</t>
  </si>
  <si>
    <t>COMPRA DE MATERIAIS UFV (DIVINOPOLIS 1)  NF 2254</t>
  </si>
  <si>
    <t>002748</t>
  </si>
  <si>
    <t>COMPRA DE MATERIAIS UFV (DIVINOPOLIS 2)  NF 2255</t>
  </si>
  <si>
    <t>002749</t>
  </si>
  <si>
    <t>COMPRA DE MATERIAIS UFV (DIVINOPOLIS 2)  NF 2256</t>
  </si>
  <si>
    <t>002750</t>
  </si>
  <si>
    <t>COMPRA DE MATERIAIS UFV (ALFENAS 4)  NF 2257</t>
  </si>
  <si>
    <t>002751</t>
  </si>
  <si>
    <t>COMPRA DE MATERIAIS UFV (ALFENAS 4)  NF 2258</t>
  </si>
  <si>
    <t>002752</t>
  </si>
  <si>
    <t>COMPRA DE MATERIAIS UFV (SÃO SEBASTIÃO DO OESTE 6)  NF 2259</t>
  </si>
  <si>
    <t>002753</t>
  </si>
  <si>
    <t>COMPRA DE MATERIAIS UFV (SÃO SEBASTIÃO DO OESTE 6)  NF 2260</t>
  </si>
  <si>
    <t>002754</t>
  </si>
  <si>
    <t>COMPRA DE MATERIAIS UFV (CAMPO BELO 1)  NF 2262</t>
  </si>
  <si>
    <t>COMPRA DE MATERIAIS UFV (CAMPO BELO 1)  NF 2263</t>
  </si>
  <si>
    <t>COMPRA DE MATERIAIS UFV (SANTO ANTONIO DO AMPARO 1)  NF 2264</t>
  </si>
  <si>
    <t>COMPRA DE MATERIAIS UFV (SANTO ANTONIO DO AMPARO 1)  NF 2265</t>
  </si>
  <si>
    <t>COMPRA DE MATERIAIS UFV (CASSIA 1 E CASSIA 2) NF 3016 MERCADO MINEIRÃO</t>
  </si>
  <si>
    <t xml:space="preserve">Pagamento referente aos itens de limpeza da usina. ENVIADO POR RENATO FREITAS </t>
  </si>
  <si>
    <t>[CCC05398]</t>
  </si>
  <si>
    <t>MERCADO MINEIRÃO</t>
  </si>
  <si>
    <t>002073</t>
  </si>
  <si>
    <t>COMPRA DE MATERIAIS UFV (CAMPO BELO 1)  NF 6689</t>
  </si>
  <si>
    <t>[CCC05399]</t>
  </si>
  <si>
    <t>ARTCAMP</t>
  </si>
  <si>
    <t>COMPRA DE MATERIAIS UFV (CAMPO BELO 5)  NF 6688</t>
  </si>
  <si>
    <t>COMPRA DE MATERIAIS UFV (CAMPO BELO 1)  NF 6692</t>
  </si>
  <si>
    <t>002066</t>
  </si>
  <si>
    <t>PRESTAÇÃO DE SERVIÇO UFV (CAMPO BELO 1)  NF 573</t>
  </si>
  <si>
    <t xml:space="preserve">Pagamento de 5° aditivo, referente ao reajuste de WATT PICO, prestação de mão de obra,  necessários a construção da UFVs em contrato EPC.  65% - ENVIADO POR SM RAFAEL OLIVEIRA </t>
  </si>
  <si>
    <t>[CCC05400]</t>
  </si>
  <si>
    <t>002067</t>
  </si>
  <si>
    <t>PRESTAÇÃO DE SERVIÇO UFV (CAMPO BELO 1)  NF 574</t>
  </si>
  <si>
    <t xml:space="preserve">Pagamento de 5° aditivo, referente ao reajuste de WATT PICO, elaboração de planos,  necessários a construção da UFVs em contrato EPC.  35% - ENVIADO POR SM RAFAEL OLIVEIRA </t>
  </si>
  <si>
    <t>002068</t>
  </si>
  <si>
    <t>PRESTAÇÃO DE SERVIÇO UFV (MUZAMBINHO 1)  NF 575</t>
  </si>
  <si>
    <t>002069</t>
  </si>
  <si>
    <t>PRESTAÇÃO DE SERVIÇO UFV (MUZAMBINHO 1)  NF 576</t>
  </si>
  <si>
    <t>PRESTAÇÃO DE SERVIÇO UFV (PARAGUAÇU 1)  NF 578</t>
  </si>
  <si>
    <t>PRESTAÇÃO DE SERVIÇO UFV (PARAGUAÇU 1)  NF 579</t>
  </si>
  <si>
    <t>002755</t>
  </si>
  <si>
    <t>COMPRA DE MATERIAIS UFV ( PEDRA DO INDAIA 3) NF 14018 CIMENTOLANDIA</t>
  </si>
  <si>
    <t>Pagamento em faturamento direto, referente a compra de ferragens de office e estacas. ENVIADO POR AUGUTO XAVIER</t>
  </si>
  <si>
    <t>[CCC05401]</t>
  </si>
  <si>
    <t>002756</t>
  </si>
  <si>
    <t>COMPRA DE MATERIAIS UFV (DIVINOPOLIS 3) NF 34 STEFANIO COUTINHO</t>
  </si>
  <si>
    <t>Pagamento em faturamento direto, referente a compra de janelas e portões. ENVIADO POR AUGUTO XAVIER</t>
  </si>
  <si>
    <t>002757</t>
  </si>
  <si>
    <t>COMPRA DE MATERIAIS UFV (PEDRA DO INDAIA 5) NF 32 STEFANIO COUTINHO</t>
  </si>
  <si>
    <t>002758</t>
  </si>
  <si>
    <t>COMPRA DE MATERIAIS UFV ( PEDRA DO INDAIA 1) NF 14065 CIMENTOLANDIA</t>
  </si>
  <si>
    <t>PRESTAÇÃO DE SERVIÇOS UFVs (NOVA PONTE 1) NF974  RONDA PORTEIROS  JULHO-AGOSTO</t>
  </si>
  <si>
    <t>[CCC05408]</t>
  </si>
  <si>
    <t>Religadores (Diamantina 2)  NF 373  TAVRIDA</t>
  </si>
  <si>
    <t>[CCC03327-02]</t>
  </si>
  <si>
    <t>Descontado Distrato MBA - Descontar no contrato Engeluz</t>
  </si>
  <si>
    <t>PRESTAÇÃO DE SERVIÇO UFV (ALFENAS 4) NF 580</t>
  </si>
  <si>
    <t xml:space="preserve">Pagamento de medição, referente a correção IPCA + mão de obra , necessários a construção da UFVs, em contrato EPC.  65% - ENVIADO POR SM RAFAEL OLIVEIRA </t>
  </si>
  <si>
    <t>[CCC05402]</t>
  </si>
  <si>
    <t>PRESTAÇÃO DE SERVIÇO UFV (ALFENAS 4) NF 581</t>
  </si>
  <si>
    <t xml:space="preserve">Pagamento de medição, referente a correção IPCA + elaboração de planos,  necessários a construção da UFVs, em contrato EPC.  35% - ENVIADO POR SM RAFAEL OLIVEIRA </t>
  </si>
  <si>
    <t>PRESTAÇÃO DE SERVIÇO UFV (CAMPO BELO 1) NF 582</t>
  </si>
  <si>
    <t>PRESTAÇÃO DE SERVIÇO UFV (CAMPO BELO 1) NF 583</t>
  </si>
  <si>
    <t>PRESTAÇÃO DE SERVIÇO UFV (CAMPO BELO 2) NF 584</t>
  </si>
  <si>
    <t>[CCC05403]</t>
  </si>
  <si>
    <t>PRESTAÇÃO DE SERVIÇO UFV (CAMPO BELO 2) NF 585</t>
  </si>
  <si>
    <t>PRESTAÇÃO DE SERVIÇO UFV (CAMPO BELO 5) NF 586</t>
  </si>
  <si>
    <t>IPCA + mão de obra</t>
  </si>
  <si>
    <t>PRESTAÇÃO DE SERVIÇO UFV (CAMPO BELO 5) NF 616</t>
  </si>
  <si>
    <t>PRESTAÇÃO DE SERVIÇO UFV (MUZAMBINHO 1) NF 588</t>
  </si>
  <si>
    <t>[CCC05404]</t>
  </si>
  <si>
    <t>PRESTAÇÃO DE SERVIÇO UFV (MUZAMBINHO 1) NF 589</t>
  </si>
  <si>
    <t>PRESTAÇÃO DE SERVIÇO UFV (OURO FINO 2) NF590</t>
  </si>
  <si>
    <t>PRESTAÇÃO DE SERVIÇO UFV (OURO FINO 2) NF591</t>
  </si>
  <si>
    <t>PRESTAÇÃO DE SERVIÇO UFV (PARAGUAÇU 1) NF 592</t>
  </si>
  <si>
    <t>[CCC05405]</t>
  </si>
  <si>
    <t>PRESTAÇÃO DE SERVIÇO UFV (PARAGUAÇU 1) NF 593</t>
  </si>
  <si>
    <t>PRESTAÇÃO DE SERVIÇO UFV (SANTO ANTONIO DO AMPARO 1) NF 594</t>
  </si>
  <si>
    <t>PRESTAÇÃO DE SERVIÇO UFV (SANTO ANTONIO DO AMPARO 1) NF 595</t>
  </si>
  <si>
    <t>PRESTAÇÃO DE SERVIÇO UFV (TRES CORAÇÕES 3) NF 596</t>
  </si>
  <si>
    <t>[CCC05406]</t>
  </si>
  <si>
    <t>PRESTAÇÃO DE SERVIÇO UFV (TRES CORAÇÕES 3) NF 597</t>
  </si>
  <si>
    <t>PRESTAÇÃO DE SERVIÇO UFV (VARGINHA 1) NF 598</t>
  </si>
  <si>
    <t>PRESTAÇÃO DE SERVIÇO UFV (VARGINHA 1) NF 599</t>
  </si>
  <si>
    <t>PRESTAÇÃO DE SERVIÇO UFV (VARGINHA 2) NF 600</t>
  </si>
  <si>
    <t>[CCC05407]</t>
  </si>
  <si>
    <t>PRESTAÇÃO DE SERVIÇO UFV (VARGINHA 2) NF 601</t>
  </si>
  <si>
    <t>PRESTAÇÃO DE SERVIÇO UFV (VARGINHA 5) NF 602</t>
  </si>
  <si>
    <t>PRESTAÇÃO DE SERVIÇO UFV (VARGINHA 5) NF 603</t>
  </si>
  <si>
    <t>Medição (APENGECON)</t>
  </si>
  <si>
    <t>PRESTAÇÃO DE SERVIÇO UFV (BAMBUI 1.1) NF 395</t>
  </si>
  <si>
    <t>Pagamento de 2° medição, referente ao serviço de DRENAGEM, necessário a construção das usinas. ENVIADO POR RODRIGO ALVARENGA</t>
  </si>
  <si>
    <t>[CCC05409]</t>
  </si>
  <si>
    <t>APENGECON</t>
  </si>
  <si>
    <t>PRESTAÇÃO DE SERVIÇO UFV (BAMBUI 1.2) NF 396</t>
  </si>
  <si>
    <t>COMPRA DE MATERIAIS UFVs (PARAGUAÇU 1) NF 9174 SANTA EDWIGES</t>
  </si>
  <si>
    <t xml:space="preserve">Pagamento referente a compra de tanque , necessário a compra da usina.  ENVIADO POR RAFAEL OLIVEIRA </t>
  </si>
  <si>
    <t>[CCC05410]</t>
  </si>
  <si>
    <t>SANTA EDWIGES</t>
  </si>
  <si>
    <t>COMPRA DE MATERIAIS UFVs ( OURO FINO 2) NF 9175 SANTA EDWIGES</t>
  </si>
  <si>
    <t>PRESTAÇÃO DE SERVIÇO UFVs (CAMPO BELO 2)  NF 914 RONDA PORTEIROS</t>
  </si>
  <si>
    <t>Pagamento em faturamento direto referente a prestação de serviço de vigilancia desarmada, necessári à construção da usina. ENVIADO POR SM RAFAEL OLIVEIRA</t>
  </si>
  <si>
    <t>[CCC05411]</t>
  </si>
  <si>
    <t>PRESTAÇÃO DE SERVIÇO UFVs (CAMPO BELO 1)  NF 911 RONDA PORTEIROS</t>
  </si>
  <si>
    <t>PRESTAÇÃO DE SERVIÇO UFVs (CAMPO BELO 5)  NF 909 RONDA PORTEIROS</t>
  </si>
  <si>
    <t>PRESTAÇÃO DE SERVIÇO UFVs (SANTO ANTÔNIO DO AMPARO)  NF 935 RONDA PORTEIROS</t>
  </si>
  <si>
    <t>0000164</t>
  </si>
  <si>
    <t>PRESTAÇÃO DE SERVIÇOS UFVs (POUSO ALEGRE 1 )   N 160619017  CEMIG</t>
  </si>
  <si>
    <t>Pagamento referente a 3ª parcela da PFC do parecer de acesso de Pouso Alegre I – 2,5MW. ESCOPO COMERC 3/6</t>
  </si>
  <si>
    <t>[CCC05412]</t>
  </si>
  <si>
    <t>PRESTAÇÃO DE SERVIÇOS UFVs ( PATOS DE MINAS 4)   NF 833 ENGETELA</t>
  </si>
  <si>
    <t>Pagamento em faturamento direto referente a instalação de alambrado e portões.  FD VIA PRUMO ENVIADO POR GILSON AUGUSTO</t>
  </si>
  <si>
    <t>[CCC05413]</t>
  </si>
  <si>
    <t>ENGETELA</t>
  </si>
  <si>
    <t>002759</t>
  </si>
  <si>
    <t xml:space="preserve">Fat.Direito (G&amp;M) </t>
  </si>
  <si>
    <t xml:space="preserve">PRESTAÇÃO DE SERVIÇOS UFVs (BURITIZEIRO 1) NF 13 JC LOCAÇÃO </t>
  </si>
  <si>
    <t>Pagamento em faturamento direto referente ao serviço de drenagem.  DESCONTAR CONTRATO G&amp;M, ENVIADO POR MANOEL JACINTO</t>
  </si>
  <si>
    <t>[CCC05414]</t>
  </si>
  <si>
    <t>002760</t>
  </si>
  <si>
    <t>COMPRA DE MATERIAIS UFVs (SÃO SEBASTIÃO DO OESTE 4) NF 2857  ENGETELA</t>
  </si>
  <si>
    <t>Compra em faturamento direto referente a compra de materiais, necessário à construção da UFV. ENVIADO POR SM AUGUSTO SIQUEIRA</t>
  </si>
  <si>
    <t>[CCC05415]</t>
  </si>
  <si>
    <t xml:space="preserve"> PRESTAÇÃO DE SERVIÇOS UFVs (CAMPO BELO 5 )   NF  636   DAYSE PEREIRA      </t>
  </si>
  <si>
    <t>DAYSE</t>
  </si>
  <si>
    <t>002761</t>
  </si>
  <si>
    <t>PRESTAÇÃO DE SERVIÇOS UFVs (INDAIABIRA 3 e 4) NF 42    BR FLORESTAL</t>
  </si>
  <si>
    <t>Pagamento referente ao serviço de cercamento interno, necessário a construção da usina.  ESCOPO COMERC-  ENVIADO SM MANOEL LIMA</t>
  </si>
  <si>
    <t>[CCC05417]</t>
  </si>
  <si>
    <t>BALDONI / MCD BALDONI - Terraplanagem  UFVs (TRES CORAÇÕES 3)  20%  NF 228</t>
  </si>
  <si>
    <t>Pagamento de serviço de terraplanagem necessário à construção da UFV.   MEDIÇÃO 7 . ENVIADO POR SM RAFAEL OLIVEIRA</t>
  </si>
  <si>
    <t>[CCC05418]</t>
  </si>
  <si>
    <t>BALDONI / Baldoni Engenharia -Terraplanagem  UFVs (TRES CORAÇÕES 3)  80%  N 390</t>
  </si>
  <si>
    <t>Pagamento de serviço de terraplanagem necessário à construção da UFV.  MEDIÇÃO 7. ENVIADO POR SM RAFAEL OLIVEIRA</t>
  </si>
  <si>
    <t>002110</t>
  </si>
  <si>
    <t>BALDONI / MCD BALDONI - Terraplanagem  UFVs ( PARAGUAÇU 1)  20%  NF 227</t>
  </si>
  <si>
    <t>Pagamento de serviço de terraplanagem necessário à construção da UFV.  MEDIÇÃO 6. ENVIADO POR SM RAFAEL OLIVEIRA</t>
  </si>
  <si>
    <t>[CCC05419]</t>
  </si>
  <si>
    <t>BALDONI / Baldoni Engenharia -Terraplanagem  UFVs (PARAGUAÇU 1)  80%   N 389</t>
  </si>
  <si>
    <t>BALDONI / MCD BALDONI - Terraplanagem  UFVs (CAMPO BELO 1)  20%  NF 226</t>
  </si>
  <si>
    <t>Pagamento de serviço de terraplanagem necessário à construção da UFV.  MEDIÇÃO 12 - ENVIADO POR SM RAFAEL OLIVEIRA</t>
  </si>
  <si>
    <t>[CCC05420]</t>
  </si>
  <si>
    <t>BALDONI / Baldoni Engenharia -Terraplanagem  UFVs (CAMPO BELO 1)  80%  N 388</t>
  </si>
  <si>
    <t>PRESTAÇÃO DE SERVIÇO UFV (VARJÃO DE MINAS 4) NF  617</t>
  </si>
  <si>
    <t>Pagamento de 1° medição, referente a prestação de mão de obra,   necessários a construção da UFVs em contrato EPC.  65% - ENVIADO POR SM GILSON</t>
  </si>
  <si>
    <t>[CCC05421]</t>
  </si>
  <si>
    <t>PRESTAÇÃO DE SERVIÇO UFV (VARJÃO DE MINAS 4) NF  618</t>
  </si>
  <si>
    <t>Pagamento de 1° medição, referente a elaboração de planos, necessários a construção da UFVs em contrato EPC.  35% - ENVIADO POR SM GILSON</t>
  </si>
  <si>
    <t>WEG PRESTAÇÃO DE SERVIÇOS  FITO UFVs (CASSIA 2)   NF 139</t>
  </si>
  <si>
    <t>Pagamento de 3° medição, referente aos serviços de drenagem .  100% MEDIÇÃO FINAL</t>
  </si>
  <si>
    <t>[CCC05422]</t>
  </si>
  <si>
    <t>002763</t>
  </si>
  <si>
    <t>PRESTAÇÃO DE SERVIÇOS UFVs (PEDRA DO INDAIA 1)  NF  610</t>
  </si>
  <si>
    <t xml:space="preserve">Pagamento medição 7, referente a prestação de serviço de mão de obra, necessário à construção da UFVs. 65% - ENVIADO POR SM  AUGUSTO XAVIER </t>
  </si>
  <si>
    <t>[CCC05423]</t>
  </si>
  <si>
    <t>002764</t>
  </si>
  <si>
    <t>PRESTAÇÃO DE SERVIÇOS UFVs (PEDRA DO INDAIA 1)  NF  611</t>
  </si>
  <si>
    <t xml:space="preserve">Pagamento medição 7 , referente a elaboração de planos, necessário à construção da UFVs. 35% - ENVIADO POR SM  AUGUSTO XAVIER </t>
  </si>
  <si>
    <t>002765</t>
  </si>
  <si>
    <t>PRESTAÇÃO DE SERVIÇOS UFVs (PEDRA DO INDAIA 1)  NF  612</t>
  </si>
  <si>
    <t xml:space="preserve">Pagamento medição 8, referente a prestação de serviço de mão de obra, necessário à construção da UFVs. 65% - ENVIADO POR SM  AUGUSTO XAVIER </t>
  </si>
  <si>
    <t>002766</t>
  </si>
  <si>
    <t>PRESTAÇÃO DE SERVIÇOS UFVs (PEDRA DO INDAIA 1)  NF  613</t>
  </si>
  <si>
    <t xml:space="preserve">Pagamento medição 8 , referente a elaboração de planos, necessário à construção da UFVs. 35% - ENVIADO POR SM  AUGUSTO XAVIER </t>
  </si>
  <si>
    <t>002768</t>
  </si>
  <si>
    <t>PRESTAÇÃO DE SERVIÇOS UFVs (PEDRA DO INDAIA 3)  NF  604</t>
  </si>
  <si>
    <t>[CCC05424]</t>
  </si>
  <si>
    <t xml:space="preserve"> medição 8</t>
  </si>
  <si>
    <t>002769</t>
  </si>
  <si>
    <t>PRESTAÇÃO DE SERVIÇOS UFVs (PEDRA DO INDAIA 3)  NF  605</t>
  </si>
  <si>
    <t>002770</t>
  </si>
  <si>
    <t>PRESTAÇÃO DE SERVIÇOS UFVs (PEDRA DO INDAIA 3)  NF  606</t>
  </si>
  <si>
    <t xml:space="preserve">Pagamento medição 9, referente a prestação de serviço de mão de obra, necessário à construção da UFVs. 65% - ENVIADO POR SM  AUGUSTO XAVIER </t>
  </si>
  <si>
    <t>Perfuração e concretagem Aditivo 2 - 50% 342.665,42</t>
  </si>
  <si>
    <t>002771</t>
  </si>
  <si>
    <t>PRESTAÇÃO DE SERVIÇOS UFVs (PEDRA DO INDAIA 3)  NF  607</t>
  </si>
  <si>
    <t xml:space="preserve">Pagamento medição 9, referente a elaboração de planos, necessário à construção da UFVs. 35% - ENVIADO POR SM  AUGUSTO XAVIER </t>
  </si>
  <si>
    <t>002772</t>
  </si>
  <si>
    <t>PRESTAÇÃO DE SERVIÇOS UFVs (PEDRA DO INDAIA 5)  NF  614</t>
  </si>
  <si>
    <t xml:space="preserve">Pagamento medição 3, referente a prestação de serviço de mão de obra, necessário à construção da UFVs. 65% - ENVIADO POR SM  AUGUSTO XAVIER </t>
  </si>
  <si>
    <t>[CCC05425]</t>
  </si>
  <si>
    <t>002773</t>
  </si>
  <si>
    <t>PRESTAÇÃO DE SERVIÇOS UFVs (PEDRA DO INDAIA 5)  NF  615</t>
  </si>
  <si>
    <t xml:space="preserve">Pagamento medição 3, referente a elaboração de planos, necessário à construção da UFVs. 35% - ENVIADO POR SM  AUGUSTO XAVIER </t>
  </si>
  <si>
    <t>002116</t>
  </si>
  <si>
    <t>PRESTAÇÃO DE SERVIÇOS UFVs (ARCOS 7)  NF  608</t>
  </si>
  <si>
    <t xml:space="preserve">Pagamento medição 11, referente a prestação de serviço de mão de obra, necessário à construção da UFVs. 65% - ENVIADO POR SM  AUGUSTO XAVIER </t>
  </si>
  <si>
    <t>[CCC05426]</t>
  </si>
  <si>
    <t>PRESTAÇÃO DE SERVIÇOS UFVs (ARCOS 7)  NF  609</t>
  </si>
  <si>
    <t xml:space="preserve">Pagamento medição 11, referente a elaboração de planos, necessário à construção da UFVs. 35% - ENVIADO POR SM  AUGUSTO XAVIER </t>
  </si>
  <si>
    <t>MEDIÇÃO MENSAL  JULHO/2023  UFVs  LMENG  NF 11809</t>
  </si>
  <si>
    <t>Pagamento de medição, referente aos serviços de engenharia consultiva para projeto fotovotaico,  necessário à construção da UFV. ENVIADO POR LMENG</t>
  </si>
  <si>
    <t>[CCC05427]</t>
  </si>
  <si>
    <t>MEDIÇÃO MENSAL  JULHO/2023  UFVs  LMENG  NF 11810</t>
  </si>
  <si>
    <t>002767</t>
  </si>
  <si>
    <t>MEDIÇÃO MENSAL  JULHO/2023  UFVs  LMENG  NF 11812</t>
  </si>
  <si>
    <t>MEDIÇÃO MENSAL  JULHO/2023  UFVs  LMENG  NF 11811</t>
  </si>
  <si>
    <t>MEDIÇÃO MENSAL JULHO/2023  UFVs  LMENG  NF 11813</t>
  </si>
  <si>
    <t>[CCC05428]</t>
  </si>
  <si>
    <t>MEDIÇÃO MENSAL JULHO/2023  UFVs  LMENG  NF 11814</t>
  </si>
  <si>
    <t>MEDIÇÃO MENSAL JULHO/2023  UFVs  LMENG  NF 11815</t>
  </si>
  <si>
    <t>002774</t>
  </si>
  <si>
    <t>MEDIÇÃO MENSAL JULHO/2023  UFVs  LMENG  NF 11816</t>
  </si>
  <si>
    <t>002775</t>
  </si>
  <si>
    <t>MEDIÇÃO MENSAL JULHO/2023  UFVs  LMENG  NF 11820</t>
  </si>
  <si>
    <t>MEDIÇÃO MENSAL JULHO/2023  UFVs  LMENG  NF 11817</t>
  </si>
  <si>
    <t>MEDIÇÃO MENSAL JULHO/2023  UFVs  LMENG  NF 11818</t>
  </si>
  <si>
    <t>MEDIÇÃO MENSAL JULHO/2023  UFVs  LMENG  NF 11819</t>
  </si>
  <si>
    <t>Fat. Direto ( ATENAS CONSTRUTORA - MT)</t>
  </si>
  <si>
    <t>PRESTAÇÃO DE SERVIÇOS UFVs (ARCOS 7)  NF 624  MEDIÇÃO ATENAS CONSTRUTORA</t>
  </si>
  <si>
    <t>Pagamento de faturamento direto, referente ao serviço de supressão, necessários a construção da usina. ENVIADO POR GUILHERME   70%   CONTRATO MT</t>
  </si>
  <si>
    <t>[CCC05429]</t>
  </si>
  <si>
    <t>COMPRA DE MATERIAIS UFV (TRES CORAÇÕES 3) NF 45  STEFANIO</t>
  </si>
  <si>
    <t>Pagamento em faturamento direto referente a compra de materiais, necessário à construção da usina. ENVIADO POR SM RAFAEL OLIVEIRA</t>
  </si>
  <si>
    <t>[CCC05430]</t>
  </si>
  <si>
    <t>COMPRA DE MATERIAIS UFV (PARAGUAÇU 1) NF 46  STEFANIO</t>
  </si>
  <si>
    <t>COMPRA DE MATERIAIS UFV (MUZAMBINHO 1) NF 48  STEFANIO</t>
  </si>
  <si>
    <t>PRESTAÇÃO DE SERVIÇOS UFVs( PATOS DE MINAS 8) NF  692</t>
  </si>
  <si>
    <t xml:space="preserve">Pagamento de medição 2, referente a mão de obra, necessária a construção da usina.  ENVIADO POR GILSON </t>
  </si>
  <si>
    <t>[CCC05431]</t>
  </si>
  <si>
    <t>000012</t>
  </si>
  <si>
    <t>PRESTAÇÃO DE SERVIÇOS  UFVs ( RIACHO DAS  ALMAS) NF 109   GO VERDE</t>
  </si>
  <si>
    <t xml:space="preserve">Pagamento referente a renovação de licença de instalação,  necessário a construção das usinas. ENVIADO POR JOAO LESSA </t>
  </si>
  <si>
    <t>[CCC05432]</t>
  </si>
  <si>
    <t>002777</t>
  </si>
  <si>
    <t xml:space="preserve">PRESTAÇÃO DE SERVIÇOS  UFVs ( SÃO SEBASTIÃO DO OESTE 6) NF 22 TERRA FORTE  </t>
  </si>
  <si>
    <t>Pagamento referente ao serviço de frente, necessário a construção da usina. Enviado por Augusto Xavier. ESCOPO COMERC</t>
  </si>
  <si>
    <t>[CCC05433]</t>
  </si>
  <si>
    <t>TERRA FORTE</t>
  </si>
  <si>
    <t>COMPRA DE MATERIAIS UFVs (OURO FINO 2) NF 23011  LIDER</t>
  </si>
  <si>
    <t>Pagamento em faturamento direto, referente a compra de materiais, necessário à construção da usina. ENVIDAO POR SM RAFAEL OLIVEIRA</t>
  </si>
  <si>
    <t>[CCC05434]</t>
  </si>
  <si>
    <t>002124</t>
  </si>
  <si>
    <t>COMPRA DE MATERIAIS UFVs (MUZAMBINHO 1) NF 26181  CRABI</t>
  </si>
  <si>
    <t>COMPRA DE MATERIAIS UFVs (PARAGUAÇU 1) NF 26182  CRABI</t>
  </si>
  <si>
    <t xml:space="preserve">COMPRA DE MATERIAIS UFVs (OURO FINO 2) NF 47  STEFANIO </t>
  </si>
  <si>
    <t>002778</t>
  </si>
  <si>
    <t xml:space="preserve">PRESTAÇÃO DE SERVIÇOS UFVs (SÃO SEBASTIÃO DO OESTE 6) NF 39 ORCI   </t>
  </si>
  <si>
    <t>Pagamento de medição 1, referente ao serviço de supressão e terraplenagem, necessário a construção da usina. AUGUSTO XAVIER</t>
  </si>
  <si>
    <t>[CCC05435]</t>
  </si>
  <si>
    <t>002779</t>
  </si>
  <si>
    <t>PRESTAÇÃO DE SERVIÇOS UFVs (PAINS 3) NF 40 ORCI</t>
  </si>
  <si>
    <t>[CCC05436]</t>
  </si>
  <si>
    <t>002780</t>
  </si>
  <si>
    <t>Fat.Direito - ORCI</t>
  </si>
  <si>
    <t>PRESTAÇÃO DE SERVIÇOS UFVs (PAINS 3) NF 24 COSTERR</t>
  </si>
  <si>
    <t>Pagamento em faturamento direto, referente a locação de equipamentos para aos serviços de supressão e terraplenagem, necessário a construção da usinas, CONTRATO ORCI .AUGUSTO XAVIER</t>
  </si>
  <si>
    <t>002005</t>
  </si>
  <si>
    <t>Outros - Serviços</t>
  </si>
  <si>
    <t>PRESTAÇÃO DE SERVIÇOS UFVs (PATOS DE MINAS 8) NF 20  SJR PROTEÇÃO</t>
  </si>
  <si>
    <t>agamento referente ao serviços de Parametrização e testes nas 3 proteções Siemens 7SR5111, teste de comissionamento da proteção e medição de sequencia de fase, necessáriso a construção das usinas.  ENVIAD POR SANDRO JOSE</t>
  </si>
  <si>
    <t>[CCC05437]</t>
  </si>
  <si>
    <t>002781</t>
  </si>
  <si>
    <t>MEDIÇÃO (EGF )</t>
  </si>
  <si>
    <t>PRESTAÇÃO DE SERVIÇOS UFVs (DIVINOPOLIS 3) NF 1338 EGF</t>
  </si>
  <si>
    <t>Pagamento de medição final referente aos serviços de drenagem, necessário a construção das usinas. ENVIADO POR AUGUSTO XAVIER MEDIÇÃO FINAL</t>
  </si>
  <si>
    <t>[CCC05438]</t>
  </si>
  <si>
    <t>002782</t>
  </si>
  <si>
    <t>PRESTAÇÃO DE SERVIÇOS UFVs (DIVINOPOLIS 3) NF 1339 EGF</t>
  </si>
  <si>
    <t>Pagamento de medição  de aditivo, referente aos serviços de drenagem, necessário a construção das usinas. ENVIADO POR AUGUSTO XAVIER ADITIVO</t>
  </si>
  <si>
    <t>002038</t>
  </si>
  <si>
    <t>COMPRA DE MATERIAIS UFVs (DIAMANTINA 1) NF 209084  REAL D'AVILA</t>
  </si>
  <si>
    <t>Pagamento em faturamento direto, referente a compra de materiais, necessário à construção da usina.  ENVIADO POR SM MANOEL LIMA</t>
  </si>
  <si>
    <t>[CCC05439]</t>
  </si>
  <si>
    <t>002834</t>
  </si>
  <si>
    <t>COMPRA DE MATERIAIS UFVs (JABOTICATUBAS) NF 1773  REICON</t>
  </si>
  <si>
    <t>002793</t>
  </si>
  <si>
    <t>COMPRA DE MATERIAIS UFVs (JABOTICATUBAS) NF 55594 FERREIRA FERRAMENTAS</t>
  </si>
  <si>
    <t>002786</t>
  </si>
  <si>
    <t>PRESTAÇÃO DE SERVIÇOS UFVs (BURITIZEIRO 2)  NF 1034</t>
  </si>
  <si>
    <t>Pagamento de medição referente aos serviços de construções de rede eletrica, necessário à construção da UFVs. ENVIADO POR DELTA</t>
  </si>
  <si>
    <t>[CCC05440]</t>
  </si>
  <si>
    <t>002794</t>
  </si>
  <si>
    <t>PRESTAÇÃO DE SERVIÇOS UFVs (BURITIZEIRO 1)  NF 1035</t>
  </si>
  <si>
    <t>PRESTAÇÃO DE SERVIÇOS UFVs (ALFENAS 4)  NF 625 ATENAS CONSTRUTORA</t>
  </si>
  <si>
    <t>Pagamento de faturamento direto, referente a instalação de postes. ENVIADO POR MBA</t>
  </si>
  <si>
    <t>[CCC05441]</t>
  </si>
  <si>
    <t>PRESTAÇÃO DE SERVIÇOS UFVs (FORMIGA 6)  NF 626 ATENAS CONSTRUTORA</t>
  </si>
  <si>
    <t>COMPRA DE MATERIAIS UFVs (PATOS DE MINAS 8)  NF 104  SILVA E SANTOS RESTAURANTE</t>
  </si>
  <si>
    <t>Pagamento em faturamento direto referente a preparações alimenticias, necessário à construção da usina. ENVIADO POR SM GILSON QUEIROZ</t>
  </si>
  <si>
    <t>[CCC05442]</t>
  </si>
  <si>
    <t>COMPRA DE MATERIAIS UFVs (PATOS DE MINAS 1)  NF 105  SILVA E SANTOS RESTAURANTE</t>
  </si>
  <si>
    <t>BALDONI / MCD BALDONI - Terraplanagem  UFVs ( FOMIGA 6)  20%  NF 230</t>
  </si>
  <si>
    <t>Pagamento de serviço de terraplanagem necessário à construção da UFV.  MEDIÇÃO 1. ENVIADO POR SM AUGUSTO XAVIER</t>
  </si>
  <si>
    <t>[CCC05443]</t>
  </si>
  <si>
    <t>BALDONI / Engenharia -Terraplanagem  UFVs (FORMIGA 6)  80%  N 392</t>
  </si>
  <si>
    <t>BALDONI / MCD BALDONI - Terraplanagem  UFVs ( PASSOS 4)  20%  NF 231 ADITIVO</t>
  </si>
  <si>
    <t>Pagamento de serviço de terraplanagem necessário à construção da UFV.  ADITIVO . ENVIADO POR AUGUSTO XAVIER</t>
  </si>
  <si>
    <t>[CCC05444]</t>
  </si>
  <si>
    <t>BALDONI / Engenharia -Terraplanagem  UFVs (PASSOS 4)  80%  N 391 ADITIVO</t>
  </si>
  <si>
    <t>Pagamento de serviço de terraplanagem necessário à construção da UFV. ADITIVO. ENVIADO POR SM AUGUSTO XAVIER</t>
  </si>
  <si>
    <t>002130</t>
  </si>
  <si>
    <t>PRESTAÇÃO DE SERVIÇO UFVs (VARGINHA 5)  NF 162  NEW CLIMA</t>
  </si>
  <si>
    <t>Pagamento referente a instalação de ar-condicionado, necessário à construção da usina. ENVIADO POR SM RAFAEL OLIVEIRA - ESCOPO COMERC</t>
  </si>
  <si>
    <t>[CCC05445]</t>
  </si>
  <si>
    <t>NEW CLIMA</t>
  </si>
  <si>
    <t>002131</t>
  </si>
  <si>
    <t>PRESTAÇÃO DE SERVIÇO UFVs (VARGINHA 1)  NF 163  NEW CLIMA</t>
  </si>
  <si>
    <t>PRESTAÇÃO DE SERVIÇO UFVs (VARGINHA 2)  NF 164  NEW CLIMA</t>
  </si>
  <si>
    <t>002150</t>
  </si>
  <si>
    <t>SERVIÇOS PRESTADOS DE CONSULTORIA EM CONTRATOS -  DELOITTE     NF  221</t>
  </si>
  <si>
    <t>Pagamento referente a medição mão de obra contrato DELOITTE ,  necessário à construção da UFV em contrato EPC . MEDIÇÃO 12 JULHO/2023 - ENVIADO POR DELOITTE</t>
  </si>
  <si>
    <t>[CCC05446]</t>
  </si>
  <si>
    <t>002830</t>
  </si>
  <si>
    <t>SERVIÇOS PRESTADOS DE CONSULTORIA EM CONTRATOS -  DELOITTE     NF  222</t>
  </si>
  <si>
    <t>SERVIÇOS PRESTADOS DE CONSULTORIA EM CONTRATOS -  DELOITTE     NF  223</t>
  </si>
  <si>
    <t>SERVIÇOS PRESTADOS DE CONSULTORIA EM CONTRATOS -  DELOITTE     NF  224</t>
  </si>
  <si>
    <t>002787</t>
  </si>
  <si>
    <t>PRESTAÇÃO DE SERVIÇOS UFVs (PEDRA DO INDAIA 3)  NF  619</t>
  </si>
  <si>
    <t xml:space="preserve">Pagamento medição 10, referente a prestação de serviço de mão de obra, necessário à construção da UFVs. 65% - ENVIADO POR SM  AUGUSTO XAVIER </t>
  </si>
  <si>
    <t>[CCC05447]</t>
  </si>
  <si>
    <t>medição 10</t>
  </si>
  <si>
    <t>002788</t>
  </si>
  <si>
    <t>PRESTAÇÃO DE SERVIÇOS UFVs (PEDRA DO INDAIA 3)  NF  620</t>
  </si>
  <si>
    <t xml:space="preserve">Pagamento medição 10 , referente a elaboração de planos, necessário à construção da UFVs. 35% - ENVIADO POR SM  AUGUSTO XAVIER </t>
  </si>
  <si>
    <t>PRESTAÇÃO DE SERVIÇOS UFVs (DIAMANTINA 1) NF 289     A.R. ARQUITETURA</t>
  </si>
  <si>
    <t>Pagamento referente a requerimento de licença de objeto projetado no espaço aereo  , necessário a construção das usinas. OBRAS AT  ENVIADO POR GUILHERME</t>
  </si>
  <si>
    <t>[CCC05448]</t>
  </si>
  <si>
    <t>A.R ARQUITETURA</t>
  </si>
  <si>
    <t>COMPRA DE MATERIAIS UFVs (CAMPO BELO 4) NF 2278</t>
  </si>
  <si>
    <t>Pagamento em faturamento direto referente a compra de materais de instalação, necessário à construção da usina. ENVIADO POR ATI</t>
  </si>
  <si>
    <t>[CCC05449]</t>
  </si>
  <si>
    <t>COMPRA DE MATERIAIS UFVs (CASSIA 2) NF 2279</t>
  </si>
  <si>
    <t>PRESTAÇÃO DE SERVIÇO UFVs(BAMBUÍ 1.1) NF 349</t>
  </si>
  <si>
    <t>Pagamento em faturamento direto referente ao serviço de licença, necessário à construção da usina. ENVIADO POR ATI</t>
  </si>
  <si>
    <t>COMPRA DE MATERIAIS UFVS (ALFENAS 4) ATI NF 2272</t>
  </si>
  <si>
    <t>Pagamento referente a compra de materiais, necessário a construção da usina. ENVIADO POR ATI - ** NOTA DE REMESSA, NÃO GERA FINANCEIRO**</t>
  </si>
  <si>
    <t>[CCC05450]</t>
  </si>
  <si>
    <t>COMPRA DE MATERIAIS UFVS (ALFENAS 4) ATI NF 2273</t>
  </si>
  <si>
    <t>002790</t>
  </si>
  <si>
    <t>COMPRA DE MATERIAIS UFVS (JABOTICATUBAS) ATI NF 2274</t>
  </si>
  <si>
    <t>002791</t>
  </si>
  <si>
    <t>COMPRA DE MATERIAIS UFVS (JABOTICATUBAS) ATI NF 2275</t>
  </si>
  <si>
    <t>MEDIÇÃO (ELTROCAMP- RDA)</t>
  </si>
  <si>
    <t xml:space="preserve">PRESTAÇÃO DE SERVIÇOS UFVs ( DIAMANTINA 1) NF 12561 </t>
  </si>
  <si>
    <t>Pagamento de medição, referente ao serviço de construção de rede eletrica, necessário a construção das usinas. RDA INTERNO / PARCELA 1</t>
  </si>
  <si>
    <t>[CCC05451]</t>
  </si>
  <si>
    <t>ELETROCAMP</t>
  </si>
  <si>
    <t>PRESTAÇÃO DE SERVIÇOS UFVs ( PASSOS 4) NF 12562</t>
  </si>
  <si>
    <t>Pagamento de medição, referente ao serviço de construção de rede eletrica, necessário a construção das usinas. RDA INTERNO .</t>
  </si>
  <si>
    <t>002795</t>
  </si>
  <si>
    <t>PRESTAÇÃO DE SERVIÇOS UFVs ( SÃO SEBASTIÃO DO OESTE 0) NF 12563</t>
  </si>
  <si>
    <t>PRESTAÇÃO DE SERVIÇOS UFVs ( SÃO SEBASTIÃO DO OESTE 4) NF 12564</t>
  </si>
  <si>
    <t>PRESTAÇÃO DE SERVIÇOS UFVs ( TRES CORAÇÕES 3) NF 12565</t>
  </si>
  <si>
    <t>PRESTAÇÃO DE SERVIÇOS UFVs ( OURO FINO 2) NF 12566</t>
  </si>
  <si>
    <t>PRESTAÇÃO DE SERVIÇOS UFVs (SÃO SEBASTIÃO DO OESTE 5) NF 49  RM SOLUÇÕES</t>
  </si>
  <si>
    <t>Pagamento de medição,refente a serviço de supressão vegetal rede. ENVIADO POR GUILHERME</t>
  </si>
  <si>
    <t>[CCC05452]</t>
  </si>
  <si>
    <t>PRESTAÇÃO DE SERVIÇOS UFVs (CAMPO BELO 2) NF 65  RM SOLUÇÕES</t>
  </si>
  <si>
    <t>PRESTAÇÃO DE SERVIÇOS UFVs (CAMPO BELO 3) NF 66  RM SOLUÇÕES</t>
  </si>
  <si>
    <t>002138</t>
  </si>
  <si>
    <t>PRESTAÇÃO DE SERVIÇOS UFVs (CAMPO BELO 5) NF 67 RM SOLUÇÕES</t>
  </si>
  <si>
    <t>PRESTAÇÃO DE SERVIÇOS UFVs (SÃO SEBASTIÃO DO OESTE 5) NF 69  RM SOLUÇÕES - ADITIVO</t>
  </si>
  <si>
    <t>Pagamento de medição,refente a serviço de supressão vegetal rede. ENVIADO POR GUILHERME  ADITIVO</t>
  </si>
  <si>
    <t>PRESTAÇÃO DE SERVIÇOS UFVs (CAMPO BELO 5) NF 70  RM SOLUÇÕES</t>
  </si>
  <si>
    <t>Pagamento de medição, refente a licença ambiental - DAIA UNICO. ENVIADO POR GUILHERME</t>
  </si>
  <si>
    <t>002798</t>
  </si>
  <si>
    <t xml:space="preserve">
Fat. Direto (ENGELUZ- RDA INTERNO)
</t>
  </si>
  <si>
    <t xml:space="preserve">COMPRA DE MATERIAIS  UFVs (JABOTICATUBAS)  NF 6678  CAMPO ALEGRE </t>
  </si>
  <si>
    <t>Pagamento em faturamento direto referente a compra de materiais, necessário à construção da usina. ENVIADO POR ENGELUZ RDA INTERNO</t>
  </si>
  <si>
    <t>[CCC05453]</t>
  </si>
  <si>
    <t>002139</t>
  </si>
  <si>
    <t xml:space="preserve">COMPRA DE MATERIAIS  UFVs (PARAGUAÇU)  NF 6679  CAMPO ALEGRE  </t>
  </si>
  <si>
    <t>002140</t>
  </si>
  <si>
    <t xml:space="preserve">COMPRA DE MATERIAIS  UFVs (MUZAMBINHO)  NF 6676  CAMPO ALEGRE </t>
  </si>
  <si>
    <t>002800</t>
  </si>
  <si>
    <t>COMPRA DE MATERIAIS  UFVs (PAINS 3)  ZETA POSTES  NF 8832</t>
  </si>
  <si>
    <t>[CCC05454]</t>
  </si>
  <si>
    <t>002803</t>
  </si>
  <si>
    <t>COMPRA DE MATERIAIS  UFVs (PARACATU 4)  ZETA POSTES  NF 8833</t>
  </si>
  <si>
    <t>002806</t>
  </si>
  <si>
    <t>COMPRA DE MATERIAIS  UFVs (PARACATU 5)  ZETA POSTES  NF 8834</t>
  </si>
  <si>
    <t>COMPRA DE MATERIAIS  UFVs (PATOS DE MINAS 3)  ZETA POSTES  NF 8835</t>
  </si>
  <si>
    <t>002015</t>
  </si>
  <si>
    <t>COMPRA DE MATERIAIS  UFVs (VARJÃO DE MINAS 4)  ZETA POSTES  NF 8836</t>
  </si>
  <si>
    <t>PRESTAÇÃO DE SERVIÇOS UFVs (FORMIGA 6) NF 927 RONDA PORTEIROS   ADITIVO</t>
  </si>
  <si>
    <t>Pagagamento referente ao serviço de vigilância desarmada, necessários a construção da usina. ENVIADO POR SM AUGUSTO XAVIER</t>
  </si>
  <si>
    <t>[CCC05455]</t>
  </si>
  <si>
    <t>002801</t>
  </si>
  <si>
    <t>MEDIÇÃO (MIPE )</t>
  </si>
  <si>
    <t xml:space="preserve">PRESTAÇÃO DE SERVIÇOS UFVs (PEDRA DO INDAIA 3) NF 297 MIPE CONSTRUTORA </t>
  </si>
  <si>
    <t>Pagamento de medição 1, referente ao serviço de CONSTRUÇÃO OBRA DE  DRENAGEM, necessário a construção da usina. CONTRATO MIPE CONSTRUTORA AUGUSTO XAVIER</t>
  </si>
  <si>
    <t>[CCC05456]</t>
  </si>
  <si>
    <t>002802</t>
  </si>
  <si>
    <t xml:space="preserve">PRESTAÇÃO DE SERVIÇOS UFVs (PEDRA DO INDAIA 3) NF 300 MIPE CONSTRUTORA </t>
  </si>
  <si>
    <t>Pagamento de medição 2, referente ao serviço de  CONSTRUÇÃO OBRA DE  DRENAGEM, necessário a construção da usina. CONTRATO MIPE CONSTRUTORA AUGUSTO XAVIER</t>
  </si>
  <si>
    <t>002804</t>
  </si>
  <si>
    <t xml:space="preserve">PRESTAÇÃO DE SERVIÇOS UFVs (PEDRA DO INDAIA 1) NF 301 MIPE CONSTRUTORA </t>
  </si>
  <si>
    <t>Pagamento de medição , referente ao serviço de CONSTRUÇÃO DE SISTEMA DE  DRENAGEM, necessário a construção da usina. CONTRATO MIPE CONSTRUTORA</t>
  </si>
  <si>
    <t>PRESTAÇÃO DE SERVIÇOS UFVs (lLAGOA FORMOSA) NF 10 RANDER MOTA</t>
  </si>
  <si>
    <t>[CCC05457]</t>
  </si>
  <si>
    <t>002807</t>
  </si>
  <si>
    <t>COMPRA DE MATERIAIS  UFVs (JABOTICATUBAS)  EXPONENCIAL   NF 28448</t>
  </si>
  <si>
    <t>[CCC05458]</t>
  </si>
  <si>
    <t>COMPRA DE MATERIAIS  UFVs (MUZAMBINHO)  EXPONENCIAL   NF 28449</t>
  </si>
  <si>
    <t>002808</t>
  </si>
  <si>
    <t>COMPRA DE MATERIAIS  UFVs (PAINS 3)  EXPONENCIAL   NF 28450</t>
  </si>
  <si>
    <t>002809</t>
  </si>
  <si>
    <t>COMPRA DE MATERIAIS  UFVs (PARACATU 4)  EXPONENCIAL   NF 28451</t>
  </si>
  <si>
    <t>002810</t>
  </si>
  <si>
    <t>COMPRA DE MATERIAIS  UFVs (PARACATU 5)  EXPONENCIAL   NF 28452</t>
  </si>
  <si>
    <t>COMPRA DE MATERIAIS  UFVs (PARAGUAÇU 1)  EXPONENCIAL   NF 28453</t>
  </si>
  <si>
    <t>COMPRA DE MATERIAIS  UFVs (PATOS DE MINAS 3)  EXPONENCIAL   NF 28454</t>
  </si>
  <si>
    <t>002815</t>
  </si>
  <si>
    <t>COMPRA DE MATERIAIS  UFVs (SÃO SEBASTIÃO DO OESTE 6)  EXPONENCIAL   NF 28455</t>
  </si>
  <si>
    <t>COMPRA DE MATERIAIS  UFVs (VARJÃO DE MINAS 4)  EXPONENCIAL   NF 28456</t>
  </si>
  <si>
    <t>002816</t>
  </si>
  <si>
    <t>COMPRA DE MATERIAIS  UFVs (DIVINOPOLIS 1)  EXPONENCIAL   NF 28459</t>
  </si>
  <si>
    <t>002828</t>
  </si>
  <si>
    <t>COMPRA DE MATERIAIS  UFVs (DIVINOPOLIS 2)  EXPONENCIAL   NF 28471</t>
  </si>
  <si>
    <t>PRESTAÇÃO DE SERVIÇOS UFVs (lLAGOA FORMOSA, PATROCINIO 2, PATROCINIO 3, VARJÃO DE MINAS 4) NF 48027 ATIVA LOCAÇÃO</t>
  </si>
  <si>
    <t>Pagamento referente ao serviço aluguel de containers, necessário à construção da UFVs. ESCOPO COMERC - ENVIADO POR SM GILSON AUGUSTO</t>
  </si>
  <si>
    <t>[CCC05459]</t>
  </si>
  <si>
    <t>002143</t>
  </si>
  <si>
    <t>PRESTAÇÃO DE SERVIÇOS UFVs (SÃO SEBASTIÃO DO OESTE 4)  NF 27938 VINCULO AO ADT  A401 001853</t>
  </si>
  <si>
    <t xml:space="preserve">Pagamento de medição referente ao fornecimento de material e mão de obra especializada para instalações eletromecanicas e civil, necessário a construção da UFVs. ( DESCONTADO O VALOR DE R$500.000,00 DO ADIANTAMENTO REALIZADO ) - ENVIADO POR SM AUGUSTO XAVIER </t>
  </si>
  <si>
    <t>[CCC05460]</t>
  </si>
  <si>
    <t>002811</t>
  </si>
  <si>
    <t>PRESTAÇÃO DE SERVIÇOS UFVs (SÃO SEBASTIÃO DO OESTE 0)  NF 27939</t>
  </si>
  <si>
    <t xml:space="preserve">Pagamento de medição referente ao fornecimento de material e mão de obra especializada para instalações eletromecanicas e civil, necessário a construção da UFVs - ENVIADO POR SM AUGUSTO XAVIER </t>
  </si>
  <si>
    <t>002812</t>
  </si>
  <si>
    <t>PRESTAÇÃO DE SERVIÇOS UFVs (SÃO SEBASTIÃO DO OESTE 6)  NF 27937</t>
  </si>
  <si>
    <t>002813</t>
  </si>
  <si>
    <t>PRESTAÇÃO DE SERVIÇOS UFVs (DIVINOPOLIS 1)  NF 27935</t>
  </si>
  <si>
    <t>002814</t>
  </si>
  <si>
    <t>PRESTAÇÃO DE SERVIÇOS UFVs (DIVINOPOLIS 2)  NF 27936</t>
  </si>
  <si>
    <t>PRESTAÇÃO DE SERVIÇOS UFVs ( PASSOS 4)  NF 27940</t>
  </si>
  <si>
    <t>PRESTAÇÃO DE SERVIÇOS UFVs ( PATOS DE MINAS 4)  NF 199 ROSELI</t>
  </si>
  <si>
    <t>Pagamento em faturamento direto referente ao fornecimento de alojamentos para colaboradores, necessário à construção da usina. ENVIADO POR GILSON</t>
  </si>
  <si>
    <t>[CCC05461]</t>
  </si>
  <si>
    <t>WEG PRESTAÇÃO DE SERVIÇOS UFVs ( PARACATU 8)   ADIANTAMENTO   EVENTO 7</t>
  </si>
  <si>
    <t>[CCC05462]</t>
  </si>
  <si>
    <t>A405- MORI MINAS NEWCO IV - UFV CAMPO BELO 5</t>
  </si>
  <si>
    <t>002145</t>
  </si>
  <si>
    <t>COMPRA DE MATERIAIS UFVs (CAMPO BELO 5) EXPONENCIAL NF 28435</t>
  </si>
  <si>
    <t>Pagamento em faturamento direto refeente a compra de materiais, necessáro à construção da usina. ENVIADO POR ENGELUZ RDA INTERNO</t>
  </si>
  <si>
    <t>[CCC05463]</t>
  </si>
  <si>
    <t>002817</t>
  </si>
  <si>
    <t>COMPRA DE MATERIAIS UFVs (DIVINOPOLIS 2) EXPONENCIAL NF 28437</t>
  </si>
  <si>
    <t>002818</t>
  </si>
  <si>
    <t>COMPRA DE MATERIAIS UFVs (JABOTICATUBAS) EXPONENCIAL NF 28438</t>
  </si>
  <si>
    <t>A414- MORI MINAS NEWCO IV -  UFV MUZAMBIMHO</t>
  </si>
  <si>
    <t>COMPRA DE MATERIAIS UFVs (MUZAMBINHO) EXPONENCIAL NF 28439</t>
  </si>
  <si>
    <t>002819</t>
  </si>
  <si>
    <t>COMPRA DE MATERIAIS UFVs (PAINS 3) EXPONENCIAL NF 28440</t>
  </si>
  <si>
    <t>002820</t>
  </si>
  <si>
    <t>COMPRA DE MATERIAIS UFVs (PARACATU 4) EXPONENCIAL NF 28441</t>
  </si>
  <si>
    <t>COMPRA DE MATERIAIS UFVs (PARAGUAÇU 1) EXPONENCIAL NF 28443</t>
  </si>
  <si>
    <t>A203-MORI GERACAO II -  UFV PATOS DE MINAS 3</t>
  </si>
  <si>
    <t>COMPRA DE MATERIAIS UFVs (PATOS DE MINAS 3) EXPONENCIAL NF 28444</t>
  </si>
  <si>
    <t>002822</t>
  </si>
  <si>
    <t>COMPRA DE MATERIAIS UFVs (SÃO SEBASTIÃO DO OESTE 6) EXPONENCIAL NF 28445</t>
  </si>
  <si>
    <t>002029</t>
  </si>
  <si>
    <t>COMPRA DE MATERIAIS UFVs (VARJÃO DE MINAS 4) EXPONENCIAL NF 28446</t>
  </si>
  <si>
    <t>002823</t>
  </si>
  <si>
    <t>COMPRA DE MATERIAIS UFVs (DIVINOPOLIS 1) EXPONENCIAL NF 28457</t>
  </si>
  <si>
    <t>002824</t>
  </si>
  <si>
    <t>COMPRA DE MATERIAIS UFVs (PARACATU 5) EXPONENCIAL NF 28458</t>
  </si>
  <si>
    <t>PRESTAÇÃO DE SERVIÇOS UFVs ( PATOS DE MINAS 4)  NF 476  ENERSOLAR</t>
  </si>
  <si>
    <t xml:space="preserve">Pagamento em faturamento direto referente ao serviço de PULL OUT TEST,  necessário à construção da usina. ENVIADO POR GILSON   SEM DESCONTO EM CONTRATO </t>
  </si>
  <si>
    <t>[CCC05464]</t>
  </si>
  <si>
    <t>PRESTAÇÃO DE SERVIÇOS UFVs ( PATOS DE MINAS 1) NF  208444   ROMAGNOLE</t>
  </si>
  <si>
    <t>[CCC05465]</t>
  </si>
  <si>
    <t>COMPRA RELE UFVs ( DIAMANTINA 1)    SIEMENS  NF 18662</t>
  </si>
  <si>
    <t>[CCC05466]</t>
  </si>
  <si>
    <t>COMPRA DE MATERIAIS UFVs ( PATOS DE MINAS 7) NF 17 ALEXANDRE JOSE</t>
  </si>
  <si>
    <t>Pagamento em faturamento direto refeente a compra de materiais, necessáro à construção da usina. ENVIADO POR  GILSON</t>
  </si>
  <si>
    <t>[CCC05467]</t>
  </si>
  <si>
    <t>COMPRA DE MATERIAIS UFVs ( PATOS DE MINAS 8) NF 18 ALEXANDRE JOSE</t>
  </si>
  <si>
    <t>COMPRA DE MATERIAIS UFVs ( SANTO ANTONIO DO AMPARO 1) NF 6697 CAMPO ALEGRE</t>
  </si>
  <si>
    <t>[CCC05468]</t>
  </si>
  <si>
    <t>COMPRA DE MATERIAIS UFVs ( SANTO ANTONIO DO AMPARO 1) NF 6720 CAMPO ALEGRE</t>
  </si>
  <si>
    <t>PRESTAÇÃO DE SERVIÇOS UFVs (  FORMIGA 6) NF 928 RONDA PORTEIROS</t>
  </si>
  <si>
    <t xml:space="preserve">Pagamento em faturamento direto, referente ao serviço de vigilancia, necessário a construção da usina. ENVIADO POR AUGUSTO </t>
  </si>
  <si>
    <t>[CCC05469]</t>
  </si>
  <si>
    <t>002825</t>
  </si>
  <si>
    <t>PRESTAÇÃO DE SERVIÇOS UFVs ( PEDRA DO INDAIA 3) NF 930 RONDA PORTEIROS</t>
  </si>
  <si>
    <t>002826</t>
  </si>
  <si>
    <t>PRESTAÇÃO DE SERVIÇOS UFVs ( PEDRA DO INDAIA 5) NF 931  RONDA PORTEIROS</t>
  </si>
  <si>
    <t>002827</t>
  </si>
  <si>
    <t>COMPRA DE MATERIAIS UFVs (  DIVINOPOLIS 3) NF 932 RONDA PORTEIROS</t>
  </si>
  <si>
    <t>COMPRA DE MATERIAIS UFVs ( ARCOS 7) NF 934 RONDA PORTEIROS</t>
  </si>
  <si>
    <t>COMPRA DE MATERIAIS UFVs (PATOS DE MINAS 1) NF 246486  LOJA ELETRICA</t>
  </si>
  <si>
    <t>Pagamento em faturamento direto, referente acompra de materiais, necessário a construção da usina. ENVIADO POR GILSON QUEIROZ</t>
  </si>
  <si>
    <t>[CCC05470]</t>
  </si>
  <si>
    <t>COMPRA DE MATERIAIS UFVs (PATOS DE MINAS 3) NF 249744  LOJA ELETRICA</t>
  </si>
  <si>
    <t>[CCC05471]</t>
  </si>
  <si>
    <t>PRESTAÇÃO DE SERVIÇO UFVs (PATOS DE MINAS 1) NF 586  DAFNIS</t>
  </si>
  <si>
    <t>Pagamento em faturamento direto referente a prestação de serviço de treinamento em desenvolvimento profissional e gerencial. ENVIADO POR GILSON QUEIROZ</t>
  </si>
  <si>
    <t>[CCC05472]</t>
  </si>
  <si>
    <t>PRESTAÇÃO DE SERVIÇO UFVs (PATOS DE MINAS 4) NF 587  DAFNIS</t>
  </si>
  <si>
    <t>000624</t>
  </si>
  <si>
    <r>
      <t xml:space="preserve">Religadores </t>
    </r>
    <r>
      <rPr>
        <strike/>
        <sz val="9"/>
        <color theme="1"/>
        <rFont val="Arial"/>
      </rPr>
      <t>( PATROCINIO 2)</t>
    </r>
    <r>
      <rPr>
        <sz val="9"/>
        <color theme="1"/>
        <rFont val="Arial"/>
      </rPr>
      <t xml:space="preserve">   TAVRIDA  NF 525</t>
    </r>
  </si>
  <si>
    <t>[CCC03608]</t>
  </si>
  <si>
    <t>INSERIDO TRAVRIDA -Segundo MBA utilizado em Patrocinio3 email 19/01 Matheus.</t>
  </si>
  <si>
    <t>000625</t>
  </si>
  <si>
    <t>Religadores ( PATROCINIO 3 )    TAVRIDA NF 526</t>
  </si>
  <si>
    <t>[CCC03609]</t>
  </si>
  <si>
    <t xml:space="preserve">INSERIDO TRAVRIDA </t>
  </si>
  <si>
    <t>COMPRA DE MATERIAIS UFVs (PATOS DE MINAS 7) NF 1372  HYDRO TECH</t>
  </si>
  <si>
    <t>Pagamento referente ao fornecimento de insumos, necessário à constução da usina. ESCOPO COMERC - ENVIADO POR GILSON QUEIROZ</t>
  </si>
  <si>
    <t>[CCC05473]</t>
  </si>
  <si>
    <t>HYDRO THEC</t>
  </si>
  <si>
    <t>COMPRA DE MATERIAIS UFVs (PATOS DE MINAS 8) NF 1373  HYDRO TECH</t>
  </si>
  <si>
    <t>Religadores (FRE INOCENCIO )   TAVRIDA  PAGO COMO PARACATU 8 NF 474 *</t>
  </si>
  <si>
    <t>[CCC03607]</t>
  </si>
  <si>
    <t>INSERIDO TRAVRIDA - Cobrar da MBA Valor</t>
  </si>
  <si>
    <t>002887</t>
  </si>
  <si>
    <t>COMPRA DE MATERIAIS UFVs ( São Sebastião do Oeste 6) NF 33511 DEPOSITO JOTAERRE</t>
  </si>
  <si>
    <t xml:space="preserve">Pagamento referente a compra de tanque, necessário a construção das usinas. ENVIADO POR AUGUSTO </t>
  </si>
  <si>
    <t>[CCC05474]</t>
  </si>
  <si>
    <t>JOTAERRE</t>
  </si>
  <si>
    <t>002888</t>
  </si>
  <si>
    <t>COMPRA DE MATERIAIS UFVs ( São Sebastião do Oeste 0) NF 33512 DEPOSITO JOTAERRE</t>
  </si>
  <si>
    <t>002192</t>
  </si>
  <si>
    <t>COMPRA DE MATERIAIS UFVs ( São Sebastião do Oeste 4) NF 33514 DEPOSITO JOTAERRE</t>
  </si>
  <si>
    <t>COMPRA DE MATERIAIS UFVs(SANTO ANTONIO DO AMPARO 1) NF 6747  CAMPO ALEGRE</t>
  </si>
  <si>
    <t>Pagamento referente a compra de materais, necessário à construção da usina.  **NOTAS NÃO GERAM FINANCEIRO, APENAS ESCRITURAR** - ENVIADO POR MBA</t>
  </si>
  <si>
    <t>[CCC05475]</t>
  </si>
  <si>
    <t>PRESTAÇÃO DE SERVIÇOS BA  NF  185  GP SERVIÇOS</t>
  </si>
  <si>
    <t>Parcela de medição final relativa ao levantamento planialtimétrico de 3 áreas de UFV na BA, implantação ciclo 3.  ENVIADO POR JOÃO LESSA</t>
  </si>
  <si>
    <t>[CCC05476]</t>
  </si>
  <si>
    <t>COMPRA DE MATERIAIS UFVS (SANTO ANTONIO DO AMAPARO 1) NF 6208  CAMPO ALEGRE</t>
  </si>
  <si>
    <t>[CCC05477]</t>
  </si>
  <si>
    <t>COMPRA DE MATERIAIS UFVS (SANTO ANTONIO DO AMAPRO 1) NF 6821  CAMPO ALEGRE</t>
  </si>
  <si>
    <t>[CCC05478]</t>
  </si>
  <si>
    <t>002152</t>
  </si>
  <si>
    <t>BALDONI / MCD BALDONI - Terraplanagem  UFVs (MUZAMBINHO 1)  20%  NF 233</t>
  </si>
  <si>
    <t>Pagamento de serviço de terraplanagem necessário à construção da UFV. MEDIÇÃO 6. ENVIADO POR SM RAFAEL</t>
  </si>
  <si>
    <t>[CCC05479]</t>
  </si>
  <si>
    <t>BALDONI / Baldoni Engenharia -Terraplanagem  UFVs (MUZABINHO 1)  80%  N 394</t>
  </si>
  <si>
    <t>002154</t>
  </si>
  <si>
    <t xml:space="preserve">MEDIÇÃO (ELETROCAMP- RDA INTERNO)
</t>
  </si>
  <si>
    <t xml:space="preserve">PRESTAÇÃO DE SERVIÇOS UFVs (SANTO ANTONIO DO AMPARO 1) NF 12594 </t>
  </si>
  <si>
    <t>Pagamento de medição, referente ao serviço de construção de rede eletrica, necessário a construção das usinas. RDA INTERNO . CONTRATO ELETROCAMP ENVIADO POR MARCIO 1° PARCELA</t>
  </si>
  <si>
    <t>[CCC05480]</t>
  </si>
  <si>
    <t>PRESTAÇÃO DE SERVIÇOS UFVs (ALFENAS 4) NF 12593</t>
  </si>
  <si>
    <t>COMPRA DE MATERIAIS UFVs (SANTO ANTONIO DO AMPARO 1) NF 6875  CAMPO ALEGRE</t>
  </si>
  <si>
    <t>Pagamento em faturamento direto referente a compra de materiais, necessário a construção da UFV . ENVIADO POR MBA</t>
  </si>
  <si>
    <t>[CCC05481]</t>
  </si>
  <si>
    <t>CONSTRUMANAGER -    08/2023   NF  302951</t>
  </si>
  <si>
    <t>[CCC05482]</t>
  </si>
  <si>
    <t>PRESTAÇÃO DE SERVIÇOS UFVs (LAGOA FORMOSA) NF 1199  ESCOAR SERVIÇOS</t>
  </si>
  <si>
    <t>Pagamento referente ao serviço de roçada  de 4,06 hectares com cessão de mão de obra. ENVIADO POR GILSON</t>
  </si>
  <si>
    <t>[CCC05483]</t>
  </si>
  <si>
    <t>ECOAR SERVIÇOS</t>
  </si>
  <si>
    <t>002832</t>
  </si>
  <si>
    <t>MEDIÇÃO (G&amp;M SOLAR )</t>
  </si>
  <si>
    <t>PRESTAÇÃO DE SERVIÇOS UFVs ( BURITIZEIRO 1) NF 120  ESTER FERRAREZ</t>
  </si>
  <si>
    <t>Pagamento referente a alimentação, necessário para construção da usina. ENVIADO POR MANOEL - CONTRATO G&amp;M</t>
  </si>
  <si>
    <t>[CCC05484]</t>
  </si>
  <si>
    <t>002833</t>
  </si>
  <si>
    <t>COMPRA DE MATERIAIS UFVs ( BURITIZEIRO 1) NF 8718 MADEIREIRA JAMAR</t>
  </si>
  <si>
    <t>Pagamento referente a compra de cimento, necessário para construção da usina. ENVIADO POR MANOEL - CONTRATO G&amp;M</t>
  </si>
  <si>
    <t>[CCC05485]</t>
  </si>
  <si>
    <t>PRESTAÇÃO DE SERVIÇO UFVs ( DIAMANTINA 1) NF 512  MRO</t>
  </si>
  <si>
    <t xml:space="preserve">Pagamento de  2° medição referente ao serviço de terraplanagem, necessário para construção da usina. ENVIADO POR SM MANOEL JACINTO  </t>
  </si>
  <si>
    <t>[CCC05486]</t>
  </si>
  <si>
    <t>COMPRA DE MATERIAIS UFVs (PATOS DE MINAS 1) NF 62673 POSTO RODOMILHO</t>
  </si>
  <si>
    <t>Pagamento em faturamento direto referente a compra de combustivel, necessário à construção da usina. ENVIADO POR GILSON QUEIROZ</t>
  </si>
  <si>
    <t>[CCC05487]</t>
  </si>
  <si>
    <t>002835</t>
  </si>
  <si>
    <t>PRESTAÇÃO DE SERVIÇOS UFVs (GUARDA-MOR) NF 975   RONDA PORTEIROS</t>
  </si>
  <si>
    <t>[CCC05488]</t>
  </si>
  <si>
    <t>PRESTAÇÃO DE SERVIÇOS UFVs (VARJÃO DE MINAS 1) NF 976   RONDA PORTEIROS</t>
  </si>
  <si>
    <t>PRESTAÇÃO DE SERVIÇOS UFVs ( FREI INOCENCIO ) NF 977 RONDA PORTEIROS</t>
  </si>
  <si>
    <t>002836</t>
  </si>
  <si>
    <t>PRESTAÇÃO DE SERVIÇOS UFVs ( INDAIABIRA 2) NF 979   RONDA PORTEIROS</t>
  </si>
  <si>
    <t>002838</t>
  </si>
  <si>
    <t>PRESTAÇÃO DE SERVIÇOS UFVs ( INDAIABIRA 1) NF 978 RONDA PORTEIROS</t>
  </si>
  <si>
    <t>001446</t>
  </si>
  <si>
    <t>PRESTAÇÃO DE SERVIÇOS UFVs ( BAMBUI 1.2) NF 1011 RONDA PORTEIROS</t>
  </si>
  <si>
    <t>PRESTAÇÃO DE SERVIÇOS UFVs ( BAMBUI 1.1) NF  1012 RONDA PORTEIROS</t>
  </si>
  <si>
    <t>PRESTAÇÃO DE SERVIÇOS UFVs ( SÃO SEBASTIÃO DO OESTE 1) NF 1015   RONDA PORTEIROS</t>
  </si>
  <si>
    <t>001447</t>
  </si>
  <si>
    <t>PRESTAÇÃO DE SERVIÇOS UFVs ( SÃO SEBASTIÃO DO OESTE 3) NF1013   RONDA PORTEIROS</t>
  </si>
  <si>
    <t>001448</t>
  </si>
  <si>
    <t>PRESTAÇÃO DE SERVIÇOS UFVs ( SÃO SEBASTIÃO DO OESTE 5) NF 1014  RONDA PORTEIROS</t>
  </si>
  <si>
    <t>002837</t>
  </si>
  <si>
    <t>PRESTAÇÃO DE SERVIÇO UFVs (JABOTICARUBAS) NF 45  AGUIAR COMERCIO</t>
  </si>
  <si>
    <t>Pagamento em faturamento direto referente ao serviço de mobilização e contratação de equipamento retroescavadeira, necessário à construção da usina. ENVIADO POR MANOEL LIMA</t>
  </si>
  <si>
    <t>[CCC05489]</t>
  </si>
  <si>
    <t>COMPRA DE MATERAIS UFVs (BAMBUÍ 1.1) NF 65416 BAMBUI COMERCIAL</t>
  </si>
  <si>
    <t>Pagamento referente as compras de utensílios de limpeza, necessário a contrução da usina. ENVIADO POR RENATO FREITAS</t>
  </si>
  <si>
    <t>[CCC05490]</t>
  </si>
  <si>
    <t>BAMBUI COMERCIAL</t>
  </si>
  <si>
    <t>MEDIÇÃO (EGF CONSTRUTORA)</t>
  </si>
  <si>
    <t>PRESTAÇÃO DE SERVIÇOS UFVs (PATOS DE MINAS 7) NF  1346</t>
  </si>
  <si>
    <t xml:space="preserve">Pagamento referente a 1° medição do serviço de drenagem, necessários a construção da usina . ENVIADO POR GILSON </t>
  </si>
  <si>
    <t>[CCC05491]</t>
  </si>
  <si>
    <t>EGF CONSTRUTORA</t>
  </si>
  <si>
    <t>A204 MORI GERACAO II PATOS DE MINAS 4</t>
  </si>
  <si>
    <t>COMPRA DE MATERIAIS UFVs (PATOS DE MINAS 4) NF 1922  FAMACON</t>
  </si>
  <si>
    <t>Pagamento em faturamento direto referente ao fornecimento de insumos parte civil, necessário à construção da usina. ENVIADO POR GILSON QUEIROZ.</t>
  </si>
  <si>
    <t>[CCC05492]</t>
  </si>
  <si>
    <t>002839</t>
  </si>
  <si>
    <t xml:space="preserve">PRESTAÇÃO DE SERVIÇOS UFVs ( BURITIZEIRO 1) NF 984  RONDA PORTEIROS </t>
  </si>
  <si>
    <t>Pagamento referente a prestação de serviço de vigilância desarmada, necessário a construção da UFVs. ESCOPO COMERC ENVIADO POR  MANOEL</t>
  </si>
  <si>
    <t>[CCC05493]</t>
  </si>
  <si>
    <t>002840</t>
  </si>
  <si>
    <t xml:space="preserve">PRESTAÇÃO DE SERVIÇOS UFVs ( BURITIZEIRO 2) NF 985  RONDA PORTEIROS </t>
  </si>
  <si>
    <t>002841</t>
  </si>
  <si>
    <t xml:space="preserve">PRESTAÇÃO DE SERVIÇOS UFVs ( INDAIABIRA 3) NF 983  RONDA PORTEIROS </t>
  </si>
  <si>
    <t>002842</t>
  </si>
  <si>
    <t xml:space="preserve">PRESTAÇÃO DE SERVIÇOS UFVs ( INDAIABIRA 4) NF 982  RONDA PORTEIROS </t>
  </si>
  <si>
    <t>002846</t>
  </si>
  <si>
    <t>PRESTAÇÃO DE SERVIÇOS UFVs ( BURITIZEIRO 2) NF 7918 POSTO PIRAPORA</t>
  </si>
  <si>
    <t>Pagamento referente a combustivel, necessário para construção da usina. ENVIADO POR MANOEL - CONTRATO G&amp;M</t>
  </si>
  <si>
    <t>[CCC05494]</t>
  </si>
  <si>
    <t>002843</t>
  </si>
  <si>
    <t>REGRHAN  PRESTAÇÃO DE SERVIÇOS  ESTRELA DO NORTE HOLDING  NF  1811</t>
  </si>
  <si>
    <t>[CCC05495]</t>
  </si>
  <si>
    <t>REGRHAN  PRESTAÇÃO DE SERVIÇOS  MORI GERAÇÃO II  NF 1812</t>
  </si>
  <si>
    <t>002161</t>
  </si>
  <si>
    <t>REGRHAN  PRESTAÇÃO DE SERVIÇOS  MORI MINAS NEWCO IV  NF  1813</t>
  </si>
  <si>
    <t>REGRHAN  PRESTAÇÃO DE SERVIÇOS  MORI MINAS NEWCO V  NF 1814</t>
  </si>
  <si>
    <t>002844</t>
  </si>
  <si>
    <t>COMPRA DE MATERIAIS UFVs ( BURITIZEIRO 1) NF 46045 NORTESUL</t>
  </si>
  <si>
    <t>Pagamento referente a compra  de aço, necessário para construção da usina. ENVIADO POR MANOEL - CONTRATO G&amp;M</t>
  </si>
  <si>
    <t>[CCC05496]</t>
  </si>
  <si>
    <t>002845</t>
  </si>
  <si>
    <t>MEDIÇÃO (MRO)</t>
  </si>
  <si>
    <t>PRESTAÇÃO DE SERVIÇOS UFVs (  DIVINOPOLIS 2 ) NF 513</t>
  </si>
  <si>
    <t>Pagamento de  2° medição referente ao serviço de drenagem, necessário para construção da usina. ENVIADO POR SM AUGUSTO</t>
  </si>
  <si>
    <t>[CCC05497]</t>
  </si>
  <si>
    <t xml:space="preserve">MRO </t>
  </si>
  <si>
    <t>PRESTAÇÃO DE SERVIÇOS UFVs (PATOS DE MINAS 8) NF 21  SJR PROTEÇÃO</t>
  </si>
  <si>
    <t>[CCC05498]</t>
  </si>
  <si>
    <t>002847</t>
  </si>
  <si>
    <t>PRESTAÇÃO DE SERVIÇOS UFVs ( INDAIABIRA 1) NF 22  SJR PROTEÇÃO</t>
  </si>
  <si>
    <t>002848</t>
  </si>
  <si>
    <t>PRESTAÇÃO DE SERVIÇOS UFVs ( INDAIABIRA 2) NF 23 SJR PROTEÇÃO</t>
  </si>
  <si>
    <t>002849</t>
  </si>
  <si>
    <t>PRESTAÇÃO DE SERVIÇOS UFVs ( BURITIZEIRO 1) NF 695</t>
  </si>
  <si>
    <t>Pagamento de medição referente aos 10 % finais  do saldo residual dos projetos incluindo CAP.  ENVIADO POR MANOEL</t>
  </si>
  <si>
    <t>[CCC05499]</t>
  </si>
  <si>
    <t xml:space="preserve">IMPLANTAR </t>
  </si>
  <si>
    <t>002850</t>
  </si>
  <si>
    <t>PRESTAÇÃO DE SERVIÇOS UFVs ( BURITIZEIRO 2) NF 694</t>
  </si>
  <si>
    <t>BALDONI / MCD BALDONI - Terraplanagem  UFVs ( PARAGUAÇU 1)  20%  NF 234</t>
  </si>
  <si>
    <t>[CCC05500]</t>
  </si>
  <si>
    <t>BALDONI / Baldoni Engenharia -Terraplanagem  UFVs (PARAGUAÇU 1)  80%   N 395</t>
  </si>
  <si>
    <t xml:space="preserve">PRESTAÇÃO DE SERVIÇOS UFVs ( CAMPO BELO 4)  NF 97  RL VIGILANCIA  </t>
  </si>
  <si>
    <t>[CCC05501]</t>
  </si>
  <si>
    <t xml:space="preserve">PRESTAÇÃO DE SERVIÇOS UFVs (CASSIA 1)  NF 7  RL VIGILANCIA  </t>
  </si>
  <si>
    <t>001452</t>
  </si>
  <si>
    <t xml:space="preserve">PRESTAÇÃO DE SERVIÇOS UFVs (CASSIA 2)  NF 8  RL VIGILANCIA  </t>
  </si>
  <si>
    <t>COMPRA DE MATERIAIS UFVs (DIAMANTINA 1) NF 660  PREMOLDEC</t>
  </si>
  <si>
    <t>Pagamento em faturamento direto referente a compra de materiais, necessário a construção da usina. ENVIADO POR MANOEL FILHO</t>
  </si>
  <si>
    <t>[CCC05502]</t>
  </si>
  <si>
    <t>A605-ESTRELA DO NORTE- UFV  BURITIZEIRO 1</t>
  </si>
  <si>
    <t>002995</t>
  </si>
  <si>
    <t>COMPRA DE MATERIAIS UFVs ( BURITIZEIRO 1) NF 1 RENAN LUIZ</t>
  </si>
  <si>
    <t>Pagamento referente a compra ao aluguel de veiculo, necessário para construção da usina. ENVIADO POR MANOEL - CONTRATO G&amp;M</t>
  </si>
  <si>
    <t>[CCC05503]</t>
  </si>
  <si>
    <t>LANÇADO COMO BTZ1</t>
  </si>
  <si>
    <t xml:space="preserve">A215-MORI GERACAO II - UFV PARACATU 8	</t>
  </si>
  <si>
    <t>WEG PRESTAÇÃO DE SERVIÇOS UFVs (PARACATU 8)   ADIANTAMENTO   EVENTO 8</t>
  </si>
  <si>
    <t xml:space="preserve">Pagamento de medição referente a Conclusão dos testes de comissionamento a frio, em contrato FullEPC de construção da UFV. Evento 8	</t>
  </si>
  <si>
    <t>[CCC05504]</t>
  </si>
  <si>
    <t>002852</t>
  </si>
  <si>
    <t>PRESTAÇÃO DE SERVIÇO UFVs(JABOTICATUBAS) NF 7   LUIZ CARLOS</t>
  </si>
  <si>
    <t>Pagamento em faturamento direto referente ao fornecimento de estruturas metalicas, necessário a construção da usina. ENVIADO POR MANOEL LIMA</t>
  </si>
  <si>
    <t>[CCC05505]</t>
  </si>
  <si>
    <t>COMPRA DE MATERIAIS UFVs (DIAMANTINA 1) NF 860  LOPES SANTOS UNIFORMES</t>
  </si>
  <si>
    <t>Pagamento em faturamento direto referente a compra de uniformes, necessário a construção da usina. ENVIADO POR MANOEL LIMA</t>
  </si>
  <si>
    <t>[CCC05506]</t>
  </si>
  <si>
    <t>002853</t>
  </si>
  <si>
    <t>Fat.Direito EPC ( ORCI)</t>
  </si>
  <si>
    <t>COMPRA DE MATERIAIS UFVs ( PAINS 3) NF 86372  DIVIPRETOL</t>
  </si>
  <si>
    <t>Pagamento em faturamento direto, referente a compra de combustível. CONTRATO ORCI - ENVIADO POR AUGUSTO</t>
  </si>
  <si>
    <t>[CCC05507]</t>
  </si>
  <si>
    <t>COMPRA DE MATERIAIS UFVs (VARGINHA 5) NF 31562  PAJEU</t>
  </si>
  <si>
    <t>Pagamento referente a compra de materiais, necessário a construção da usina. ENVIADO POR RENATO FREITAS - ESCOPO COMERC</t>
  </si>
  <si>
    <t>[CCC05508]</t>
  </si>
  <si>
    <t>PAJEU</t>
  </si>
  <si>
    <t>PRESTAÇÃO DE SERVIÇOS UFVs ( NOVA PONTE 1)  NF1013   RONDA PORTEIROS</t>
  </si>
  <si>
    <t>[CCC05509]</t>
  </si>
  <si>
    <t>PRESTAÇÃO DE SERVIÇOS UFVs (PATOS DE MINAS 3)  NF 29  MGS ESCAVAÇÕES</t>
  </si>
  <si>
    <t>Pagamento em faturamento direto referente ao serviço de locação retroescavadeira, necessári a construção da usina. ENVIADO POR GILSON QUEIROZ</t>
  </si>
  <si>
    <t>[CCC05510]</t>
  </si>
  <si>
    <t>002854</t>
  </si>
  <si>
    <t>PRESTAÇÃO DE SERVIÇOS UFVs (JABOTICATUBAS)   NF 696</t>
  </si>
  <si>
    <t>Pagamento de 3º medição referente a mobilização, supressão vegetal, regularização do terreno e marcação topográfica, necessário à construção da UFVs. SOLICITDO POR SM MANOEL JACINTO</t>
  </si>
  <si>
    <t>[CCC05511]</t>
  </si>
  <si>
    <t>001453</t>
  </si>
  <si>
    <t>PRESTAÇÃO DE SERVIÇO UFV (ALFENAS 4) NF 627</t>
  </si>
  <si>
    <t>Pagamento de medição, referente a mão de obra , necessários a construção da UFVs, em contrato EPC.  65% - ENVIADO POR SM RAFAEL OLIVEIRA - MEDIÇÃO 7</t>
  </si>
  <si>
    <t>[CCC05512]</t>
  </si>
  <si>
    <t>001454</t>
  </si>
  <si>
    <t>PRESTAÇÃO DE SERVIÇO UFV (ALFENAS 4) NF 628</t>
  </si>
  <si>
    <t>Pagamento de medição, referente a elaboração de planos,  necessários a construção da UFVs, em contrato EPC.  35% - ENVIADO POR SM RAFAEL OLIVEIRA – MEDIÇÃO 7</t>
  </si>
  <si>
    <t>PRESTAÇÃO DE SERVIÇO UFV (PATOS DE MINAS 1) NF 248  PREMOLAGO</t>
  </si>
  <si>
    <t>Pagamento em faturammento direto referente a ao fornecimento de concreto, necessário a construção da usina. ENVIADO POR GILSON QUEIROZ</t>
  </si>
  <si>
    <t>[CCC05513]</t>
  </si>
  <si>
    <t>PRESTAÇÃO DE SERVIÇO UFV (CAMPO BELO 5)  NF 625</t>
  </si>
  <si>
    <t>Pagamento de medição, referente a correção mão de obra , necessários a construção da UFVs, em contrato EPC.  65% - ENVIADO POR SM RAFAEL OLIVEIRA  MEDIÇÃO 9</t>
  </si>
  <si>
    <t>[CCC05514]</t>
  </si>
  <si>
    <t>MEDIÇÃO 9</t>
  </si>
  <si>
    <t>PRESTAÇÃO DE SERVIÇO UFV (CAMPO BELO 5)  NF 626</t>
  </si>
  <si>
    <t>Pagamento de medição, referente a elaboração de planos,  necessários a construção da UFVs, em contrato EPC.  35% - ENVIADO POR SM RAFAEL OLIVEIRA - MEDIÇÃO 9</t>
  </si>
  <si>
    <t>COMPRA DE MATERIAIS UFVs (DIAMANTINA 1) NF 3127  DIMATELAS</t>
  </si>
  <si>
    <t>Pagamento em faturamento direto referente a compra de materiais, necessário à construção da usina. ENVIADO POR MANOEL LIMA</t>
  </si>
  <si>
    <t>001462</t>
  </si>
  <si>
    <t>PRESTAÇÃO DE SERVIÇOS UFVs ( PASSOS 4)  NF 2740</t>
  </si>
  <si>
    <t xml:space="preserve">Prestação de serviço de montagem e instalação elétrica de redes de distribuição de energia rural e urbana, necessário a construção da usina. ENVIADO POR MBA </t>
  </si>
  <si>
    <t>[CCC05515]</t>
  </si>
  <si>
    <t>001463</t>
  </si>
  <si>
    <t>PRESTAÇÃO DE SERVIÇOS UFVs ( PASSOS 4)  NF 2741</t>
  </si>
  <si>
    <t>002176</t>
  </si>
  <si>
    <t>PRESTAÇÃO DE SERVIÇOS UFVs ( SÃO SEBASTIÃO 1)  NF 2742</t>
  </si>
  <si>
    <t>[CCC05516]</t>
  </si>
  <si>
    <t>PRESTAÇÃO DE SERVIÇOS UFVs ( SÃO SEBASTIÃO 5)  NF 2743</t>
  </si>
  <si>
    <t>PRESTAÇÃO DE SERVIÇOS UFVs (CAMPO BELO 1)  NF 2746</t>
  </si>
  <si>
    <t>[CCC05517]</t>
  </si>
  <si>
    <t>PRESTAÇÃO DE SERVIÇOS UFVs (CAMPO BELO 5)  NF 2747</t>
  </si>
  <si>
    <t xml:space="preserve">Prestação de serviço de projeto e extensão de rede de distribuição rural, necessário a construção da usina. ENVIADO POR MBA </t>
  </si>
  <si>
    <t>[CCC05518]</t>
  </si>
  <si>
    <t>MEDIÇÃO MENSAL UFVs ( Paracatu 8)   AFAPLAN   NF   9329</t>
  </si>
  <si>
    <t>Pagamento de medição, serviço contratuais de Engenharia do proprietário,  necessário à construção da UFV. AGOSTO/2023 - ENVIADO POR AFAPLAN</t>
  </si>
  <si>
    <t>[CCC05519]</t>
  </si>
  <si>
    <t>002857</t>
  </si>
  <si>
    <t>MEDIÇÃO MENSAL UFVs ( INDAIABIRA 1)   AFAPLAN   NF 9330</t>
  </si>
  <si>
    <t>002885</t>
  </si>
  <si>
    <t>MEDIÇÃO MENSAL UFVs ( INDAIABIRA 2)   AFAPLAN   NF 9331</t>
  </si>
  <si>
    <t>PRESTAÇÃO DE SERVIÇOS UFVs  (SÃO SEBASTIÃO DO OESTE 1) NF 1393 NORTE CONEXÃO</t>
  </si>
  <si>
    <t>Pagamento em faturamento direto, referente ao serviço de lançamento de fibra óptica, necessários  a construção da usina. NOTAS ENVIADAS POR MARCELO ATI</t>
  </si>
  <si>
    <t>[CCC05520]</t>
  </si>
  <si>
    <t>COMPRA DE MATERIAIS UFV (PATOS DE MINAS 3) NF 62810  R&amp;S COMERCIO</t>
  </si>
  <si>
    <t>Pagamento referente a compra de materiais, necessário à construção da usina.  ENVIADO POR GILSON QUEIROZ - ESCOPO COMERC</t>
  </si>
  <si>
    <t>[CCC05521]</t>
  </si>
  <si>
    <t>R&amp;S COMERCIO</t>
  </si>
  <si>
    <t>COMPRA DE MATERIAIS UFV (PATOS DE MINAS 1) NF 62811  R&amp;S COMERCIO</t>
  </si>
  <si>
    <t>COMPRA DE MATERIAIS UFV (PATOS DE MINAS 4) NF 62812  R&amp;S COMERCIO</t>
  </si>
  <si>
    <t>PRESTAÇÃO DE SERVIÇOS UFVs (DIAMANTINA 2) NF 12596</t>
  </si>
  <si>
    <t>[CCC05522]</t>
  </si>
  <si>
    <t>PRESTAÇÃO DE SERVIÇOS UFVs ( SÃO ANTONIO DO AMAPARO 1)  NF 2212</t>
  </si>
  <si>
    <t xml:space="preserve">PRESTAÇÃO DE SERVIÇO DE PROJETO E EXTENSÃO DE REDE DE DISTRIBUIÇÃO RURAL, necessário a construção da usina. ENVIADO POR MBA </t>
  </si>
  <si>
    <t>[CCC05523]</t>
  </si>
  <si>
    <t>Medição (Engeluz-MT)</t>
  </si>
  <si>
    <t>PRESTAÇÃO DE SERVIÇOS UFVs ( PARACATU 4)  NF 475</t>
  </si>
  <si>
    <t>Pagamento de medição referente ao serviço de mão de obra especializada na construção de RDR. ENVIADO POR MBA</t>
  </si>
  <si>
    <t>[CCC05524]</t>
  </si>
  <si>
    <t>ANTIGO 2859  A611</t>
  </si>
  <si>
    <t>002861</t>
  </si>
  <si>
    <t>MEDIÇÃO (ENGELUZ- RDA INTERNO)</t>
  </si>
  <si>
    <t>PRESTAÇÃO DE SERVIÇOS UFVs (DIVINOPOLIS 1) NF 463</t>
  </si>
  <si>
    <t>Pagamento de medição referente ao serviço de mão de obra especializada na cosntrução de RDR. ENVIADO POR ENGELUZ - RDA INTERNO</t>
  </si>
  <si>
    <t>[CCC05525]</t>
  </si>
  <si>
    <t>002862</t>
  </si>
  <si>
    <t>PRESTAÇÃO DE SERVIÇOS UFVs (DIVINOPOLIS 2) NF 464</t>
  </si>
  <si>
    <t>002863</t>
  </si>
  <si>
    <t>PRESTAÇÃO DE SERVIÇOS UFVs (JABOTICATUBAS) NF 465</t>
  </si>
  <si>
    <t>002864</t>
  </si>
  <si>
    <t>PRESTAÇÃO DE SERVIÇOS UFVs (PAINS 3) NF 467</t>
  </si>
  <si>
    <t>002865</t>
  </si>
  <si>
    <t>PRESTAÇÃO DE SERVIÇOS UFVs (PARACATU 4) NF 468</t>
  </si>
  <si>
    <t>002867</t>
  </si>
  <si>
    <t>PRESTAÇÃO DE SERVIÇOS UFVs (PARACATU 5) NF 469</t>
  </si>
  <si>
    <t>002868</t>
  </si>
  <si>
    <t>PRESTAÇÃO DE SERVIÇOS UFVs (SÃO SEBASTIÃO 6) NF 471</t>
  </si>
  <si>
    <t>PRESTAÇÃO DE SERVIÇOS UFVs (MUZAMBINHO) NF 466</t>
  </si>
  <si>
    <t>PRESTAÇÃO DE SERVIÇOS UFVs (PARAGUAÇU) NF 473</t>
  </si>
  <si>
    <t>PRESTAÇÃO DE SERVIÇOS UFVs (PATOS DE MINAS 3) NF 470</t>
  </si>
  <si>
    <t>PRESTAÇÃO DE SERVIÇOS UFVs (VARJÃO DE MINAS 4) NF 472</t>
  </si>
  <si>
    <t>A204 MORI GERACAO II - PATOS DE MINAS 4</t>
  </si>
  <si>
    <t xml:space="preserve">PRESTAÇÃO DE SERVIÇOS UFVs (PATOS MINAS 4) NF 697  </t>
  </si>
  <si>
    <t>Pagamento  referente aos serviços de mão de obra, necessária a construção da usina.  ENVIADO POR GILSON</t>
  </si>
  <si>
    <t>[CCC05526]</t>
  </si>
  <si>
    <t>002860</t>
  </si>
  <si>
    <t>MEDIÇÃO ( R&amp;M SOLR)</t>
  </si>
  <si>
    <t>PRESTAÇÃO DE SERVIÇOS UFVs ( BURITIZEIRO 2) NF 34</t>
  </si>
  <si>
    <t>Pagamento referente ao serviço de mão de obra de drenagem. Necessário para construção da usina . ENVIADO POR MANOEL</t>
  </si>
  <si>
    <t>[CCC05527]</t>
  </si>
  <si>
    <t xml:space="preserve">PRESTAÇÃO DE SERVIÇOS UFVs (PATOS MINAS 8) NF 699  </t>
  </si>
  <si>
    <t>[CCC05528]</t>
  </si>
  <si>
    <t>PRESTAÇÃO DE SERVIÇOS UFVs ( FORMIGA 6)  NF 2748</t>
  </si>
  <si>
    <t>[CCC05529]</t>
  </si>
  <si>
    <t>002181</t>
  </si>
  <si>
    <t>PRESTAÇÃO DE SERVIÇOS UFVs ( SANTO ANTONIO DO AMAPARO 1) NF 2749</t>
  </si>
  <si>
    <t xml:space="preserve">Prestação de serviço de projeto e extensão de rede de distribuição rural para atender à UFV, necessário a construção da usina. ENVIADO POR MBA </t>
  </si>
  <si>
    <t>PRESTAÇÃO DE SERVIÇOS UFVs ( VARJÃO DE MINAS 4) NF 1</t>
  </si>
  <si>
    <t xml:space="preserve">Pagamento referente a prestação de serviços de transporte. ENVIADO POR GILSON </t>
  </si>
  <si>
    <t>[CCC05530]</t>
  </si>
  <si>
    <t>KANAFLEX</t>
  </si>
  <si>
    <t xml:space="preserve">A203A203- MORI GERAÇÃO II - UFV PATOS DE MINAS 3 </t>
  </si>
  <si>
    <t>PRESTAÇÃO DE SERVIÇOS UFVs ( PATOS DE MINAS 3) NF 2</t>
  </si>
  <si>
    <t>002872</t>
  </si>
  <si>
    <t>PRESTAÇÃO DE SERVIÇOS UFVs ( DIVINOPOLIS 3) NF 43</t>
  </si>
  <si>
    <t xml:space="preserve">Pagamento referente a prestação de serviços de transporte . ENVIADO POR AUGUSTO </t>
  </si>
  <si>
    <t>[CCC05531]</t>
  </si>
  <si>
    <t>AZUOS</t>
  </si>
  <si>
    <t>002873</t>
  </si>
  <si>
    <t>PRESTAÇÃO DE SERVIÇOS UFVs ( PEDRA DO INDAIA 5) NF 1009  RONDA</t>
  </si>
  <si>
    <t xml:space="preserve">Pagamento referente a prestação de serviço de vigilância desarmada. ADITIVO ( ACUMULO 4 MESES)  - ENVIADO POR AUGUSTO </t>
  </si>
  <si>
    <t>[CCC05532]</t>
  </si>
  <si>
    <t>PRESTAÇÃO DE SERVIÇOS UFVs ( FORMIGA 6) NF 1008</t>
  </si>
  <si>
    <t xml:space="preserve">Pagamento referente a prestação de serviço de vigilância desarmada. ADITIVO  - ENVIADO POR AUGUSTO </t>
  </si>
  <si>
    <t>002874</t>
  </si>
  <si>
    <t>PRESTAÇÃO DE SERVIÇOS UFVs (PAINS 3) NF 45</t>
  </si>
  <si>
    <t>Pagamento de medição 2, referente ao serviço de supressão e terraplenagem, necessário a construção da usina. AUGUSTO XAVIER</t>
  </si>
  <si>
    <t>[CCC05533]</t>
  </si>
  <si>
    <t xml:space="preserve">ORCI </t>
  </si>
  <si>
    <t>002875</t>
  </si>
  <si>
    <t>PRESTAÇÃO DE SERVIÇOS UFVs (PAINS 3) NF 30 COSTERR</t>
  </si>
  <si>
    <t>002876</t>
  </si>
  <si>
    <t>PRESTAÇÃO DE SERVIÇOS UFVs (PEDRA DO INDAIA 1) NF 477</t>
  </si>
  <si>
    <t>[CCC05534]</t>
  </si>
  <si>
    <t>002877</t>
  </si>
  <si>
    <t>PRESTAÇÃO DE SERVIÇOS UFVs (PEDRA DO INDAIA 3) NF 478</t>
  </si>
  <si>
    <t>PRESTAÇÃO DE SERVIÇOS UFVs ( CAMPO BELO 2)  NF 2750</t>
  </si>
  <si>
    <t xml:space="preserve">Prestação de serviço de extensão de rede de distribuição rural para atender à UFV necessário a construção da usina. ENVIADO POR MBA </t>
  </si>
  <si>
    <t>[CCC05535]</t>
  </si>
  <si>
    <t>PRESTAÇÃO DE SERVIÇOS UFVs (ALFENAS 4) NF 2751</t>
  </si>
  <si>
    <t>BALDONI / MCD BALDONI - Terraplanagem  UFVs ( FOMIGA 6)  20%  NF 232</t>
  </si>
  <si>
    <t>Pagamento de serviço de terraplanagem necessário à construção da UFV.  MEDIÇÃO 2. ENVIADO POR SM AUGUSTO XAVIER</t>
  </si>
  <si>
    <t>[CCC05536]</t>
  </si>
  <si>
    <t>BALDONI / Engenharia -Terraplanagem  UFVs (FORMIGA 6)  80%  N 393</t>
  </si>
  <si>
    <t>A604-ESTRELA DO NORTE - UFV SAO SEB DO OESTE SPE</t>
  </si>
  <si>
    <t>002878</t>
  </si>
  <si>
    <t>PRESTAÇÃO DE SERVIÇOS UFVs (SÃO SEBASTIÃO DO OESTE 0) NF 394 JX AMBIENTAL</t>
  </si>
  <si>
    <t>Taxa necessária à avaliação de intervenção ambiental para a UFV.  ENVIADO POR GUILHERME</t>
  </si>
  <si>
    <t>[CCC05537]</t>
  </si>
  <si>
    <t>002880</t>
  </si>
  <si>
    <t>PRESTAÇÃO DE SERVIÇOS UFVs ( PAINS 3) NF 393 JX AMBIENTAL</t>
  </si>
  <si>
    <t>A201-MORI GERACAO II - ENERGIA SOLAR S.A</t>
  </si>
  <si>
    <t>PRESTAÇÃO DE SERVIÇOS UFVs (PATROCINIO 3) NF 1970  INOVAR LOCAÇOES</t>
  </si>
  <si>
    <t>Pagamento referente aluguel de containers, necessário à construção da usina. ENVIADO POR GILSON QUEIROZ  - ESCOPO COMERC</t>
  </si>
  <si>
    <t>[CCC05538]</t>
  </si>
  <si>
    <t>INOVAR</t>
  </si>
  <si>
    <t>PRESTAÇÃO DE SERVIÇOS UFVs (LAGOA FORMOSA) NF 1972  INOVAR LOCAÇOES</t>
  </si>
  <si>
    <t>PRESTAÇÃO DE SERVIÇOS UFVs (PATROCINIO 2) NF 1973  INOVAR LOCAÇOES</t>
  </si>
  <si>
    <t>A206-MORI GERACAO II - UFV  PATOS DE MINAS 7</t>
  </si>
  <si>
    <t>MEDIÇÃO (EGF)</t>
  </si>
  <si>
    <t xml:space="preserve">PRESTAÇÃO DE SERVIÇOS UFVs (1346) </t>
  </si>
  <si>
    <t>Pagamento de medição 1, referente ao serviço de drenagem, necessário a construção da usina. ENVIADO POR GILSON</t>
  </si>
  <si>
    <t>[CCC05539]</t>
  </si>
  <si>
    <t>PRESTAÇÃO DE SERVIÇOS UFVs (PATOS DE MINAS 1) NF 1350</t>
  </si>
  <si>
    <t>[CCC05540]</t>
  </si>
  <si>
    <t>PRESTAÇÃO DE SERVIÇOS UFVs (PATOS DE MINAS 3 ) NF 1348</t>
  </si>
  <si>
    <t xml:space="preserve">PRESTAÇÃO DE SERVIÇOS UFVs (PARACATU 5) NF 474 </t>
  </si>
  <si>
    <t>Pagamento de medição referente ao serviço de mao de obra especializada na construção de RDR. ENVIADO POR ENGELUZ</t>
  </si>
  <si>
    <t>[CCC05541]</t>
  </si>
  <si>
    <t xml:space="preserve">PRESTAÇÃO DE SERVIÇOS UFVs (PATROCINIO 2) NF 108 RPA TELECOMUNICAÇÕES </t>
  </si>
  <si>
    <t xml:space="preserve">Pagamento referente  ao serviço de comunicação multimidia. ENVIADO POR GILSON </t>
  </si>
  <si>
    <t>[CCC05542]</t>
  </si>
  <si>
    <t>RPA</t>
  </si>
  <si>
    <t>PRESTAÇÃO DE SERVIÇOS UFVs (PATOS DE MINAS 1) NF 479</t>
  </si>
  <si>
    <t>[CCC05543]</t>
  </si>
  <si>
    <t>PRESTAÇÃO DE SERVIÇOS UFVs (PATOS DE MINAS 4) NF 480</t>
  </si>
  <si>
    <t>002901</t>
  </si>
  <si>
    <t>PRESTAÇÃO DE SERVIÇOS UFVs (DIVINOPOLIS 1) NF 481</t>
  </si>
  <si>
    <t>Pagamento de medição referente ao serviço de mao de obra especializada na construção de RDR. ENVIADO POR ENGELUZ - RDA INTERNO</t>
  </si>
  <si>
    <t>[CCC05544]</t>
  </si>
  <si>
    <t>RDA INTERNO</t>
  </si>
  <si>
    <t>002883</t>
  </si>
  <si>
    <t>PRESTAÇÃO DE SERVIÇOS UFVs (DIVINOPOLIS 2) NF 482</t>
  </si>
  <si>
    <t>002884</t>
  </si>
  <si>
    <t>PRESTAÇÃO DE SERVIÇOS UFVs (SÃO SEBASTIÕ DO OESTE 6) NF 483</t>
  </si>
  <si>
    <t>Outros - Serviços à UFV (MBA - MT)</t>
  </si>
  <si>
    <t>PRESTAÇÃO DE SERVIÇO UFVs (CAMPO BELO 4) NF  2525   CORTE REAL</t>
  </si>
  <si>
    <t>[CCC05545]</t>
  </si>
  <si>
    <t>PRESTAÇÃO DE SERVIÇO UFVs (PATOS DE MINAS 4) NF 23043 MAX PERFURAÇÕES</t>
  </si>
  <si>
    <t>Pagamento em faturamenro direto referente a locação de equipamentos, necessário a construção da usina. ENVIADO POR GILSON QUEIROZ</t>
  </si>
  <si>
    <t>[CCC05546]</t>
  </si>
  <si>
    <t>PRESTAÇÃO DE SERVIÇO UFVs (PATOS DE MINAS 1) NF 698</t>
  </si>
  <si>
    <t>Pagamento referente aos serviços de mão de obra, necessária a construção da usina.  ENVIADO POR GILSON</t>
  </si>
  <si>
    <t>[CCC05547]</t>
  </si>
  <si>
    <t>PRESTAÇÃO DE SERVIÇO UFVs (DIAMANTINA 1) NF 615  DAFNIS</t>
  </si>
  <si>
    <t>Pagamento em faturamento direto referente a serviços de consultoria, necessário à construção da usina. ENVIADO POR MANOEL LIMA</t>
  </si>
  <si>
    <t>[CCC05548]</t>
  </si>
  <si>
    <t>002896</t>
  </si>
  <si>
    <t>MEDIÇÃO R&amp;M SOLAR</t>
  </si>
  <si>
    <t>PRESTAÇÃO DE SERVIÇO UFVs (BURITIZEIRO 2) NF 90   IVONEIDE SILVEIRA</t>
  </si>
  <si>
    <t>Pagamento referente ao serviço de locação de CAÇAMBA, necessário para obra de drenagem. ENVIADO POR MANOEL</t>
  </si>
  <si>
    <t>[CCC05549]</t>
  </si>
  <si>
    <t>002886</t>
  </si>
  <si>
    <t>PRESTAÇÃO DE SERVIÇO UFVs (JABOTICATUBAS ) NF 4 MESS ENGENHARIA</t>
  </si>
  <si>
    <t>Pagamento em faturamento direto referente a prestação de serviços de gerenciamento de projetos, necessário à construção da usina. ENVIADO POR MANOEL LIMA</t>
  </si>
  <si>
    <t>[CCC05550]</t>
  </si>
  <si>
    <t>COMPRA DE MATERIAIS UFVs (PATOS DE MINAS 4) NF 259701  LOJA ELETRICA</t>
  </si>
  <si>
    <t>Pagamento em faturamento direto referente a compr a de materiais, necessário à construção da usina. ENVIADO POR GILSON QUEIROZ</t>
  </si>
  <si>
    <t>[CCC05551]</t>
  </si>
  <si>
    <t>002191</t>
  </si>
  <si>
    <t>COMPRA DE MATERIAIS UFVs (ARCOS 7) NF 28591 EXPONENCIAL</t>
  </si>
  <si>
    <t>Pagamento em faturamento direto referente a compr a de materiais, necessário à construção da usina. ENVIADO POR MBA</t>
  </si>
  <si>
    <t>[CCC05552]</t>
  </si>
  <si>
    <t>ARCOS 7</t>
  </si>
  <si>
    <t>COMPRA DE MATERIAIS UFVs (CAMPO BELO 2) NF 28587  EXPONENCIAL</t>
  </si>
  <si>
    <t>[CCC05553]</t>
  </si>
  <si>
    <t>COMPRA DE MATERIAIS UFVs (PATROCINIO 3) NF 484787  LOJA ELETRICA</t>
  </si>
  <si>
    <t>[CCC05554]</t>
  </si>
  <si>
    <t>COMPRA DE MATERIAIS UFVs (PATROCINIO 2) NF 484788  LOJA ELETRICA</t>
  </si>
  <si>
    <t>Banco de regulador</t>
  </si>
  <si>
    <t xml:space="preserve">PRESTAÇÃO DE SERVIÇOS  UFVs ( RIACHO DAS  ALMAS) NF 121   PRESERVE ENGENHARIA </t>
  </si>
  <si>
    <t>[CCC05555]</t>
  </si>
  <si>
    <t xml:space="preserve">PRESTAÇÃO DE SERVIÇOS  UFVs (CUPIRA) NF 118  PRESERVE ENGENHARIA </t>
  </si>
  <si>
    <t xml:space="preserve">PRESTAÇÃO DE SERVIÇOS  UFVs (SERTANIA) NF 126  PRESERVE ENGENHARIA </t>
  </si>
  <si>
    <t xml:space="preserve">PRESTAÇÃO DE SERVIÇOS  UFVs (CAMOCIM DE SÃO FELIX) NF 117 PRESERVE ENGENHARIA </t>
  </si>
  <si>
    <t>002195</t>
  </si>
  <si>
    <t>PRESTAÇÃO DE SERVIÇOS UFVs (VARGINHA 1) RONDA PORTEIROS NF 987</t>
  </si>
  <si>
    <t>Pagamento referenete so serviço de vigilância desarmada, necessário à construção da usina. ENVIADO POR WENDEL TORRES</t>
  </si>
  <si>
    <t>[CCC05556]</t>
  </si>
  <si>
    <t>002196</t>
  </si>
  <si>
    <t>PRESTAÇÃO DE SERVIÇOS UFVs (VARGINHA 5) RONDA PORTEIROS NF 988</t>
  </si>
  <si>
    <t>002197</t>
  </si>
  <si>
    <t>PRESTAÇÃO DE SERVIÇOS UFVs (CAMPO BELO 5) RONDA PORTEIROS NF 989</t>
  </si>
  <si>
    <t xml:space="preserve">Pagamento referenete so serviço de vigilância desarmada, necessário à construção da usina. ADITIVO - ENVIADO POR WENDEL TORRES </t>
  </si>
  <si>
    <t>002198</t>
  </si>
  <si>
    <t>PRESTAÇÃO DE SERVIÇOS UFVs (CAMPO BELO 1) RONDA PORTEIROS NF 990</t>
  </si>
  <si>
    <t>PRESTAÇÃO DE SERVIÇOS UFVs (VARGINHA 2) RONDA PORTEIROS NF 991</t>
  </si>
  <si>
    <t>PRESTAÇÃO DE SERVIÇOS UFVs (ALFENAS 4) RONDA PORTEIROS NF 993</t>
  </si>
  <si>
    <t>002199</t>
  </si>
  <si>
    <t>PRESTAÇÃO DE SERVIÇOS UFVs (SANTO ANTONIO DO AMPARO) RONDA PORTEIROS NF 1010</t>
  </si>
  <si>
    <t>002890</t>
  </si>
  <si>
    <t>PRESTAÇÃO DE SERVIÇOS UFVs (PEDRA DO INDAIA 1) NF 629</t>
  </si>
  <si>
    <t>Pagamento medição 9, referente a prestação de serviço de mão de obra, necessário à construção da UFVs. 65% - ENVIADO POR SM  AUGUSTO SIQUEIRA</t>
  </si>
  <si>
    <t>[CCC05557]</t>
  </si>
  <si>
    <t>002891</t>
  </si>
  <si>
    <t>PRESTAÇÃO DE SERVIÇOS UFVs (PEDRA DO INDAIA 1) NF 630</t>
  </si>
  <si>
    <t>Pagamento medição 9, referente a elaboração de planos, necessário à construção da UFVs. 35% - ENVIADO POR AUGUSTO SIQUEIRA</t>
  </si>
  <si>
    <t>002892</t>
  </si>
  <si>
    <t>PRESTAÇÃO DE SERVIÇOS UFVs (PEDRA DO INDAIA 3) NF 631</t>
  </si>
  <si>
    <t>Pagamento medição 11, referente a prestação de serviço de mão de obra, necessário à construção da UFVs. 65% - ENVIADO POR SM  AUGUSTO SIQUEIRA</t>
  </si>
  <si>
    <t>medição 11</t>
  </si>
  <si>
    <t>002893</t>
  </si>
  <si>
    <t>PRESTAÇÃO DE SERVIÇOS UFVs (PEDRA DO INDAIA 3) NF 632</t>
  </si>
  <si>
    <t>Pagamento medição 11, referente a elaboração de planos, necessário à construção da UFVs. 35% - ENVIADO POR AUGUSTO SIQUEIRA</t>
  </si>
  <si>
    <t>002894</t>
  </si>
  <si>
    <t>PRESTAÇÃO DE SERVIÇOS UFVs (DIVINOPOLIS 3) NF 633</t>
  </si>
  <si>
    <t>Pagamento medição 10, referente a prestação de serviço de mão de obra, necessário à construção da UFVs. 65% - ENVIADO POR SM  AUGUSTO SIQUEIRA</t>
  </si>
  <si>
    <t>002895</t>
  </si>
  <si>
    <t>PRESTAÇÃO DE SERVIÇOS UFVs (DIVINOPOLIS 3) NF 634</t>
  </si>
  <si>
    <t>Pagamento medição 10, referente a elaboração de planos, necessário à construção da UFVs. 35% - ENVIADO POR AUGUSTO SIQUEIRA</t>
  </si>
  <si>
    <t xml:space="preserve">COMPRA DE MATERIAIS UFVs (PATOS DE MINAS 3) NF 8 SIRLENE </t>
  </si>
  <si>
    <t>Pagamento em faturamento direto referente ao fornecimento de alimentação, necessário a construção da usina.  ENVIADO POR GILSON QUEIROZ</t>
  </si>
  <si>
    <t>[CCC05558]</t>
  </si>
  <si>
    <t xml:space="preserve">COMPRA DE MATERIAIS UFVs (PATOS DE MINAS 4) NF 9 SIRLENE </t>
  </si>
  <si>
    <t>002194</t>
  </si>
  <si>
    <t>WEG PRESTAÇÃO DE SERVIÇO UFVs (CASSIA 1)  NF202  INTEGRADOR INNOVA ENERGY</t>
  </si>
  <si>
    <t>Pagamento de medição referente a Conclusão dos testes de comissionamento a frio, em contrato FullEPC de construção da UFV. Evento 8 INTEGRADOR</t>
  </si>
  <si>
    <t>[CCC05559]</t>
  </si>
  <si>
    <t>002900</t>
  </si>
  <si>
    <t>PRESTAÇÃO DE SERVIÇOS UFVs (JABOTICATUBAS) NF 4 LUIZ CARLOS</t>
  </si>
  <si>
    <t>Pagamento em faturamento direto referente a mão de obra e fornecimento de estruturas combainers.  ENVIADO POR MANOEL JACINTO</t>
  </si>
  <si>
    <t>[CCC05560]</t>
  </si>
  <si>
    <t>PRESTAÇÃO DE SERVIÇOS UFVs (POUSO ALEGRE 1 )   N 160619018  CEMIG</t>
  </si>
  <si>
    <t>Pagamento referente a 4ª parcela da PFC do parecer de acesso de Pouso Alegre I – 2,5MW. ESCOPO COMERC 4/6</t>
  </si>
  <si>
    <t>[CCC05561]</t>
  </si>
  <si>
    <t>002203</t>
  </si>
  <si>
    <t>COMPRA DE MATERIAS UFV (ARCOS 7) NF 785723 LOJA ELETRICA</t>
  </si>
  <si>
    <t>Pagamento em faturamento direto referente a compra de materiais, necessário à compra de materiais. ENVIADO POR MBA</t>
  </si>
  <si>
    <t>[CCC05562]</t>
  </si>
  <si>
    <t>005203</t>
  </si>
  <si>
    <t>PRESTAÇÃO DE SERVIÇOS  IMPLANTAÇÃO  NF 667  PERFIL  AGOSTO/23</t>
  </si>
  <si>
    <t>[CCC05563]</t>
  </si>
  <si>
    <t>PERFIL</t>
  </si>
  <si>
    <t>PRESTAÇÃO DE SERVIÇOS UFVs (VARJÃO DE MINAS 4) NF 636</t>
  </si>
  <si>
    <t>Pagamento medição 2, referente a prestação de serviço de mão de obra, necessário à construção da UFVs. - ENVIADO POR GILSON QUEIROZ</t>
  </si>
  <si>
    <t>[CCC05564]</t>
  </si>
  <si>
    <t>PRESTAÇÃO DE SERVIÇOS UFVs (VARJÃO DE MINAS 4) NF 637</t>
  </si>
  <si>
    <t>Pagamento medição 2, referente a elaboração de planos, necessário à construção da UFVs. - ENVIADO POR GILSON QUEIROZ</t>
  </si>
  <si>
    <t>PRESTAÇÃO DE SERVIÇOS UFVs (PATOS DE MINAS 3) RONDA PORTEIROS NF 995</t>
  </si>
  <si>
    <t>Pagamento em faturamento direto referente ao serviço de vigilancia desarmada, necessário à construção da usina. ENVIADO POR GILSON QUEIROZ</t>
  </si>
  <si>
    <t>[CCC05565]</t>
  </si>
  <si>
    <t>PRESTAÇÃO DE SERVIÇOS UFVs (PATOS DE MINAS 4) RONDA PORTEIROS NF 997</t>
  </si>
  <si>
    <t>PRESTAÇÃO DE SERVIÇOS UFVs (PATOS DE MINAS 1) RONDA PORTEIROS NF 998</t>
  </si>
  <si>
    <t>PRESTAÇÃO DE SERVIÇOS UFVs (PATOS DE MINAS 7) RONDA PORTEIROS NF 999</t>
  </si>
  <si>
    <t>PRESTAÇÃO DE SERVIÇOS UFVs (PATOS DE MINAS 8) RONDA PORTEIROS NF 1000</t>
  </si>
  <si>
    <t>PRESTAÇÃO DE SERVIÇOS UFVs (PATOS DE MINAS 1)  NF 2744  MBA</t>
  </si>
  <si>
    <t>Pagamento em faturamento direto referente ao serviço de execução civil, necessário à construção da usina. ENVIADO POR GILSON QUEIROZ</t>
  </si>
  <si>
    <t>[CCC05566]</t>
  </si>
  <si>
    <t>PRESTAÇÃO DE SERVIÇOS UFVs (PATOS DE MINAS 4)  NF 2745  MBA</t>
  </si>
  <si>
    <t>PRESTAÇÃO DE SERVIÇOS UFVs (PATOS DE MINAS 7)  NF 2 D´PAULON CONSTRUCOES</t>
  </si>
  <si>
    <t>Pagamento em faturamento direto referente a prestação de serviços civis, necessário à construção da usina. ENVIADO POR GILSON QUEIROZ</t>
  </si>
  <si>
    <t>[CCC05567]</t>
  </si>
  <si>
    <t>PRESTAÇÃO DE SERVIÇOS UFVs (PATOS DE MINAS 8)  NF 3 D´PAULON CONSTRUCOES</t>
  </si>
  <si>
    <t>PRESTAÇÃO DE SERVIÇOS UFVs (PATOS DE MINAS 1) NF 193 TRANSPORTADORA ABREU</t>
  </si>
  <si>
    <t>Pagamento em faturamento direto referente ao serviço de transporte, necessário à construção da usina. ENVIADO POR GILSON QUEIROZ</t>
  </si>
  <si>
    <t>[CCC05568]</t>
  </si>
  <si>
    <t>COMPRA DE MATERIAIS UFVs (PATOS DE MINAS 3) NF 3110  DIMATELAS</t>
  </si>
  <si>
    <t>Pagamento em faturamento direto referente ao fornecimento alambrado, necessário à construção da usina. ENVIADO POR GILSON QUEIROZ</t>
  </si>
  <si>
    <t>[CCC05569]</t>
  </si>
  <si>
    <t>PRESTAÇÃO DE SERVIÇOS UFVs (PATOS DE MINAS 1) NF 6  MESS ENGENHARIA</t>
  </si>
  <si>
    <t>Pagamento em faturamento direto referente a prestação de serviço de gerenciamento de projetos, necessário à construção da usina. ENVIADO POR GILSON QUEIROZ</t>
  </si>
  <si>
    <t>[CCC05570]</t>
  </si>
  <si>
    <t xml:space="preserve">COMPRA DE MATERIAIS UFVs (PATOS DE MINAS 3) NF 51054  COFER FERRO </t>
  </si>
  <si>
    <t>Pagamento em faturamento direto referente ao fornecimento de ferro e aço, necessário à construção da usina. ENVIADO POR GILSON QUEIROZ</t>
  </si>
  <si>
    <t>[CCC05571]</t>
  </si>
  <si>
    <t>COMPRA DE MATERIAIS UFVs (PATOS DE MINAS 8) NF 48376 ATIVA</t>
  </si>
  <si>
    <t>[CCC05572]</t>
  </si>
  <si>
    <t>002907</t>
  </si>
  <si>
    <t xml:space="preserve">ART Inst. elétricas - Distribuidora CEMIG – Solicitação de acesso UFVs  ( PARACATU 5)  </t>
  </si>
  <si>
    <t>Taxa necessária para solicitação de acesso na CEMIG.</t>
  </si>
  <si>
    <t>[CCC05573]</t>
  </si>
  <si>
    <t>002911</t>
  </si>
  <si>
    <t xml:space="preserve">ART Inst. elétricas - Distribuidora CEMIG – Solicitação de acesso UFVs  (JABOTICATUBAS)  </t>
  </si>
  <si>
    <t>002912</t>
  </si>
  <si>
    <t xml:space="preserve">ART Inst. elétricas - Distribuidora CEMIG – Solicitação de acesso UFVs  (PEDRA DO INDAIA 5)  </t>
  </si>
  <si>
    <t>002913</t>
  </si>
  <si>
    <t xml:space="preserve">ART Inst. elétricas - Distribuidora CEMIG – Solicitação de acesso UFVs  (PEDRA DO INDAIA 3)  </t>
  </si>
  <si>
    <t>002914</t>
  </si>
  <si>
    <t xml:space="preserve">ART Inst. elétricas - Distribuidora CEMIG – Solicitação de acesso UFVs  (PEDRA DO INDAIA 1)  </t>
  </si>
  <si>
    <t>002915</t>
  </si>
  <si>
    <t xml:space="preserve">ART Inst. elétricas - Distribuidora CEMIG – Solicitação de acesso UFVs  (SÃO SEBASTIÃO DO OESTE 6)  </t>
  </si>
  <si>
    <t>A620-ESTRELA DO NORTE SPE -  UFV DIVINOPOLIS I</t>
  </si>
  <si>
    <t>002916</t>
  </si>
  <si>
    <t xml:space="preserve">ART Inst. elétricas - Distribuidora CEMIG – Solicitação de acesso UFVs  (DIVINOPOLIS 1)  </t>
  </si>
  <si>
    <t>A607-ESTRELA DO NORTE SPE -  UFV DIVINOPOLIS II</t>
  </si>
  <si>
    <t>002917</t>
  </si>
  <si>
    <t xml:space="preserve">ART Inst. elétricas - Distribuidora CEMIG – Solicitação de acesso UFVs  (DIVINOPOLIS 2)  </t>
  </si>
  <si>
    <t>002910</t>
  </si>
  <si>
    <t xml:space="preserve">ART Inst. elétricas - Distribuidora CEMIG – Solicitação de acesso UFVs  (SÃO SEBASTIÃO DO OESTE 0)  </t>
  </si>
  <si>
    <t>002918</t>
  </si>
  <si>
    <t>002919</t>
  </si>
  <si>
    <t>002908</t>
  </si>
  <si>
    <t xml:space="preserve">ART Inst. elétricas - Distribuidora CEMIG – Solicitação de acesso UFVs  (PAINS 3)  </t>
  </si>
  <si>
    <t>002909</t>
  </si>
  <si>
    <t xml:space="preserve">ART Inst. elétricas - Distribuidora CEMIG – Solicitação de acesso UFVs  (PARACATU 4)  </t>
  </si>
  <si>
    <t>PRESTAÇÃO DE SERVIÇOS UFVS (PATOS DE MINAS 4) NF 35 PORAL DOS POCOS</t>
  </si>
  <si>
    <t>Pagamento em faturamento direto referente a locação para Perfuratriz de Rocha, necessário à construção da usina.  ENVIADO POR GILSON QUEIROZ</t>
  </si>
  <si>
    <t>[CCC05574]</t>
  </si>
  <si>
    <t>COMPRA DE MATERIAIS UFVs (PARACATU 8)  NF 28594  EXPONENCIAL</t>
  </si>
  <si>
    <t>Pagamento em faturamento direto referente a compra de materiais, necessáiro à construçõa da usina. ENVIADO POR MBA</t>
  </si>
  <si>
    <t>[CCC05575]</t>
  </si>
  <si>
    <t>MEDIÇÃO MENSAL AGOSTO/2023  UFVs  LMENG  NF 11902</t>
  </si>
  <si>
    <t>Pagamento de medição referente aos serviços de engenharia executiva - projetos, necessário à construção da usina. ENVIADO POR LMENG</t>
  </si>
  <si>
    <t>[CCC05576]</t>
  </si>
  <si>
    <t>002201</t>
  </si>
  <si>
    <t>MEDIÇÃO MENSAL AGOSTO/2023  UFVs  LMENG  NF 11903</t>
  </si>
  <si>
    <t>MEDIÇÃO MENSAL AGOSTO/2023  UFVs  LMENG  NF 11904</t>
  </si>
  <si>
    <t>002920</t>
  </si>
  <si>
    <t>MEDIÇÃO MENSAL AGOSTO/2023  UFVs  LMENG  NF 11905</t>
  </si>
  <si>
    <t>MEDIÇÃO MENSAL AGOSTO/2023  UFVs  LMENG  NF 11906</t>
  </si>
  <si>
    <t>Pagamento de medição referente aos serviços de mobilização, necessário à construção da usina. ENVIADO POR LMENG</t>
  </si>
  <si>
    <t>002202</t>
  </si>
  <si>
    <t>MEDIÇÃO MENSAL AGOSTO/2023  UFVs  LMENG  NF 11907</t>
  </si>
  <si>
    <t>MEDIÇÃO MENSAL AGOSTO/2023  UFVs  LMENG  NF 11908</t>
  </si>
  <si>
    <t>002921</t>
  </si>
  <si>
    <t>MEDIÇÃO MENSAL AGOSTO/2023  UFVs  LMENG  NF 11909</t>
  </si>
  <si>
    <t>MEDIÇÃO MENSAL AGOSTO/2023  UFVs  LMENG  NF 11898</t>
  </si>
  <si>
    <t>Pagamento de medição referente ao contrato de suprimentos, necessário à construção da usina. ENVIADO POR LMENG</t>
  </si>
  <si>
    <t>[CCC05577]</t>
  </si>
  <si>
    <t>002204</t>
  </si>
  <si>
    <t>MEDIÇÃO MENSAL AGOSTO/2023  UFVs  LMENG  NF 11899</t>
  </si>
  <si>
    <t>MEDIÇÃO MENSAL AGOSTO/2023  UFVs  LMENG  NF 11900</t>
  </si>
  <si>
    <t>002923</t>
  </si>
  <si>
    <t>MEDIÇÃO MENSAL AGOSTO/2023  UFVs  LMENG  NF 11901</t>
  </si>
  <si>
    <t>002924</t>
  </si>
  <si>
    <t>PRESTAÇÃO DE SERVIÇOS UFVS PARACATU 4 E 5) NF1346  MG GUINDASTE</t>
  </si>
  <si>
    <t>Pagamento referente ao aluguel de caminhão guindaste, necessário a construção da usina. ENVIADO POR AUGUSTO</t>
  </si>
  <si>
    <t>[CCC05578]</t>
  </si>
  <si>
    <t>MG GUINDASTE</t>
  </si>
  <si>
    <t>002925</t>
  </si>
  <si>
    <t>PRESTAÇÃO DE SERVIÇOS UFVs ( INDAIABIRA 3) NF 2368</t>
  </si>
  <si>
    <t>Pagamento em faturamento direto, referente ao serviço de lançamento de fibra óptica, necessários  a construção da usina. NOTAS ENVIADAS POR WILLIAN - MATERIAL INSTALAÇÃO</t>
  </si>
  <si>
    <t>[CCC05579]</t>
  </si>
  <si>
    <t>002926</t>
  </si>
  <si>
    <t>PRESTAÇÃO DE SERVIÇOS UFVs ( INDAIABIRA 4) NF 2369</t>
  </si>
  <si>
    <t>Pagamento em faturamento direto, referente ao serviço de lançamento de fibra óptica, necessários  a construção da usina. NOTAS ENVIADAS POR WILLIAN  - MATERIAL INSTALAÇÃO</t>
  </si>
  <si>
    <t>002208</t>
  </si>
  <si>
    <t>PRESTAÇÃO DE SERVIÇOS UFVs ( CASSIA 1) NF 389</t>
  </si>
  <si>
    <t>Pagamento em faturamento direto, referente ao serviço de lançamento de fibra óptica, necessários  a construção da usina. NOTAS ENVIADAS POR WILLIAN - COMISSIONAMENTO</t>
  </si>
  <si>
    <t>002209</t>
  </si>
  <si>
    <t>PRESTAÇÃO DE SERVIÇOS UFVs (CAMPO BELO 5) NF 60 KPD</t>
  </si>
  <si>
    <t>Pagamento em faturamento direto referente a cravação de estacas, necessário à construção da usina. ENVIADO POR WENDEL TORRES</t>
  </si>
  <si>
    <t>[CCC05580]</t>
  </si>
  <si>
    <t>PRESTAÇÃO DE SERVIÇOS UFVs (CAMPO BELO 5) NF 723 KPD</t>
  </si>
  <si>
    <t>002928</t>
  </si>
  <si>
    <t>PRESTAÇÃO DE SERVIÇOS UFVs (JABOTICATUBAS) NF 1  ADRIANA ALCANTARA</t>
  </si>
  <si>
    <t>Pagamento em faturamento direto referente ao fornecimento de marmitex, necessário à construção da usina. ENVIADO POR MANOEL LIMA</t>
  </si>
  <si>
    <t>[CCC05581]</t>
  </si>
  <si>
    <t>MEDIÇÃO (R&amp;M SOLAR)</t>
  </si>
  <si>
    <t>PRESTAÇÃO DE SERVIÇOS UFVs (VARJÃO DE MINAS 4) NF 35</t>
  </si>
  <si>
    <t>Pagamento de medição refeferente a 15% de adiantamento do contrato de DRENAGEM. Enviado por Gilson.</t>
  </si>
  <si>
    <t>[CCC05582]</t>
  </si>
  <si>
    <t>PRESTAÇÃO DE SERVIÇOS UFVs (PATOS DE MINAS 3) NF 177 FELIPPETUR</t>
  </si>
  <si>
    <t>Pagamento em faturamento direto referente a locação de ônibus, necessário à construção da usina. ENVIADO POR GILSON QUEIROZ</t>
  </si>
  <si>
    <t>[CCC05583]</t>
  </si>
  <si>
    <t>PRESTAÇÃO DE SERVIÇOS UFVs ( LAGOA FORMOSA) NF 1 GIANFRANCO</t>
  </si>
  <si>
    <t>Pagamento referente ao fornecimento de energia elétrica de 3 meses na usina. Enviado por Gilson.</t>
  </si>
  <si>
    <t>[CCC05584]</t>
  </si>
  <si>
    <t>GIANFRANCO</t>
  </si>
  <si>
    <t>PRESTAÇÃO DE SERVIÇOS UFVs (PATOS DE MINAS 4) NF 250 PREMOLAGO</t>
  </si>
  <si>
    <t>Pagamento em faturamento direto referente ao fornecimento concreto, necessário à construção da usina. ENVIADO POR GILSON QUEIROZ</t>
  </si>
  <si>
    <t>[CCC05585]</t>
  </si>
  <si>
    <t>PRESTAÇÃO DE SERVIÇOS UFVs (PATOS DE MINAS 4) NF 19   SOLARIMPLANTA</t>
  </si>
  <si>
    <t>Pagamento em faturamento direto referente a prestação serviços de engenharia, necessário à construção da usina. ENVIADO POR GILSON QUEIROZ</t>
  </si>
  <si>
    <t>[CCC05586]</t>
  </si>
  <si>
    <t>002927</t>
  </si>
  <si>
    <t>Fat.Direito EPC ( GTEL)</t>
  </si>
  <si>
    <t>COMPRA DE MATERIAIS  UFVs (SÃO SEBASTIÃO DO OESTE 0  ) NF 2865 ENGETELA</t>
  </si>
  <si>
    <t>[CCC05587]</t>
  </si>
  <si>
    <t>002151</t>
  </si>
  <si>
    <t>PRESTAÇÃO DE SERVIÇOS UFVs (PATOS DE MINAS 3) NF 1 EMPREENDIMENTOS IMPERIAL</t>
  </si>
  <si>
    <t>Compra em faturamento direto referente a alojamento colaboradores, necessário à construção da usina. ENVIADO POR GILSON QUEIROZ</t>
  </si>
  <si>
    <t>[CCC05588]</t>
  </si>
  <si>
    <t>COMPRA DE MATERIAIS UFVs (VARJÃO DE MINAS 4) NF 6015  NOVA MORADA</t>
  </si>
  <si>
    <t xml:space="preserve">Pagamento em faturamento direto referente ao fornecimento de  materiais e serviço de instalação de cercamento, necessário à construção da usina. ENVIAO POR GILSON QUEIROZ </t>
  </si>
  <si>
    <t>[CCC05589]</t>
  </si>
  <si>
    <t>COMPRA DE MATERIAIS UFVs (DIAMANNTINA 1) NF 1196  SC ORGANIZACAO</t>
  </si>
  <si>
    <t>Pagamento em faturamento direto referente ao fornecimento de concreto , necessário à construção da usina. ENVIAO POR MANOEL FILHO</t>
  </si>
  <si>
    <t>[CCC05590]</t>
  </si>
  <si>
    <t>PRESTAÇÃO DE SERVIÇOS UFVs (PATO DE MINAS 4) NF 4 JOAO RICARDO</t>
  </si>
  <si>
    <t>Pagamento referente ao serviço de transporte de módulos. Enviado por Gilson.</t>
  </si>
  <si>
    <t>[CCC05591]</t>
  </si>
  <si>
    <t>JOAO RICARDO</t>
  </si>
  <si>
    <t>002129</t>
  </si>
  <si>
    <t>COMPRA DE MATERIAIS UFVs (PATROCINIO 2 E 3) NF 10118 POSTO SERRA</t>
  </si>
  <si>
    <t>Pagamento referente a compra de disel. ENVIADO POR GILSON</t>
  </si>
  <si>
    <t>POSTO SERRA</t>
  </si>
  <si>
    <t xml:space="preserve">PRESTRAÇÃO DE SERVIÇOS UFVs ( LAGOA FORMOSA) NF 2 RANDER </t>
  </si>
  <si>
    <t>Pagamento referente ao aluguel de tendas na obra. ENVIADO POR GILSON</t>
  </si>
  <si>
    <t>002132</t>
  </si>
  <si>
    <t>COMPRA DE MATERIAIS UFVs ( VARJÃO DE MINAS 4 ) NF 879 EMPA</t>
  </si>
  <si>
    <t>Pagamento referente ao fornecimento das estruturas de fixação das combiners. ENVIADO POR GILSON</t>
  </si>
  <si>
    <t>EMPA</t>
  </si>
  <si>
    <t>PRESTAÇÃO DE SERVIÇOS UFVs (PATOS DE MINAS 3) NF 996 RONDA PORTEIROS</t>
  </si>
  <si>
    <t>Pagamento referente ao serviço de vigilância desarmada, necessário à construção da usina. ENVIADO POR GILSON</t>
  </si>
  <si>
    <t>[CCC05592]</t>
  </si>
  <si>
    <t>PRESTAÇÃO DE SERVIÇOS UFVs (LAGOA FORMOSA) NF 1001 RONDA PORTEIROS</t>
  </si>
  <si>
    <t>PRESTAÇÃO DE SERVIÇOS UFVs (VARJÃO DE MINAS 4) NF 1002 RONDA PORTEIROS</t>
  </si>
  <si>
    <t>A209 MORI GERACAO II PATROCINIO 2</t>
  </si>
  <si>
    <t>PRESTAÇÃO DE SERVIÇOS UFVs (PATROCINIO 2) NF 1017 RONDA PORTEIROS</t>
  </si>
  <si>
    <t>PRESTAÇÃO DE SERVIÇOS UFVs (PATROCINIO 3) NF 1018 RONDA PORTEIROS</t>
  </si>
  <si>
    <t>PRESTAÇÃO DE SERVIÇOS UFVs (PATOS MINAS 8) NF 700</t>
  </si>
  <si>
    <t>Pagamento de medição 3, referente aos serviços de mão de obra, necessários a construção da usina.  ENVIADO POR GILSON</t>
  </si>
  <si>
    <t>[CCC05593]</t>
  </si>
  <si>
    <t>PRESTAÇÃO DE SERVIÇOS UFVs (PATOS DE MINAS 4) NF 313  CRAVIN LOCACOES</t>
  </si>
  <si>
    <t>Pagamento em faturmaenro direto referente a locação de retroescavadeira, necessário à construção da usina. ENVIADO POR GILSON QUEIROZ</t>
  </si>
  <si>
    <t>[CCC05594]</t>
  </si>
  <si>
    <t>PRESTAÇÃO DE SERVIÇOS UFVs (PATOS DE MINAS 4) NF 17998  CONCRETEIRA PATOS</t>
  </si>
  <si>
    <t>Pagamento em faturmaenro direto referente ao fornecimento concreto , necessário à construção da usina. ENVIADO POR GILSON QUEIROZ</t>
  </si>
  <si>
    <t>[CCC05595]</t>
  </si>
  <si>
    <t>PRESTAÇÃO DE SERVIÇOS UFVs (PATOS DE MINAS 3) NF 382  PATOS FUNDACOES</t>
  </si>
  <si>
    <t>Pagamento em faturmaenro direto referente a locação de perfuratriz, necessário à construção da usina. ENVIADO POR GILSON QUEIROZ</t>
  </si>
  <si>
    <t>[CCC05596]</t>
  </si>
  <si>
    <t>PRESTAÇÃO DE SERVIÇOS UFVs (PATOS DE MINAS 1) NF 2 DL VANDA REIS</t>
  </si>
  <si>
    <t>[CCC05597]</t>
  </si>
  <si>
    <r>
      <t xml:space="preserve">*** DIFERENÇA DE PEDIDO PAGO PRO FINANCEIRO </t>
    </r>
    <r>
      <rPr>
        <b/>
        <sz val="9"/>
        <color theme="1"/>
        <rFont val="Arial"/>
      </rPr>
      <t>(6.568,00)</t>
    </r>
    <r>
      <rPr>
        <sz val="9"/>
        <color theme="1"/>
        <rFont val="Arial"/>
      </rPr>
      <t xml:space="preserve"> ***</t>
    </r>
  </si>
  <si>
    <t>COMPRA DE MATERIAIS UFVS (VARJÃO DE MINAS 4) NF 877  EMPA</t>
  </si>
  <si>
    <t>Pagamento em faturmaenro direto referente ao fornecimento da estrutura metalica e telhado, necessário à construção da usina. ENVIADO POR GILSON QUEIROZ</t>
  </si>
  <si>
    <t>[CCC05598]</t>
  </si>
  <si>
    <t>COMPRA DE MATERIAIS UFVS (NOVA PONTE) ATI NF 2355</t>
  </si>
  <si>
    <t>[CCC05599]</t>
  </si>
  <si>
    <t>COMPRA DE MATERIAIS UFVS (NOVA PONTE) ATI NF 2356</t>
  </si>
  <si>
    <t>002930</t>
  </si>
  <si>
    <t>COMPRA DE MATERIAIS UFVS (INDAIABIRA 4) ATI NF 2359</t>
  </si>
  <si>
    <t>002931</t>
  </si>
  <si>
    <t>COMPRA DE MATERIAIS UFVS (INDAIABIRA 4) ATI NF 2360</t>
  </si>
  <si>
    <t>002932</t>
  </si>
  <si>
    <t>COMPRA DE MATERIAIS UFVS (INDAIABIRA 3) ATI NF 2361</t>
  </si>
  <si>
    <t>002933</t>
  </si>
  <si>
    <t>COMPRA DE MATERIAIS UFVS (INDAIABIRA 3) ATI NF 2362</t>
  </si>
  <si>
    <t>002929</t>
  </si>
  <si>
    <t>MEDIÇÃO (CONSTRUTORA RESENDE)</t>
  </si>
  <si>
    <t xml:space="preserve">PRESTAÇÃO DE SERVIÇOS UFVs ( SÃO SEBASTIÃO DO OESTE 0) NF 52 </t>
  </si>
  <si>
    <t>Pagamento referente a medição final do contrato de terraplenagem. Enviado por Augusto .</t>
  </si>
  <si>
    <t>[CCC05600]</t>
  </si>
  <si>
    <t>PRESTAÇÃO DE SERVIÇOS UFVs (PATOS MINAS 1) NF 701</t>
  </si>
  <si>
    <t>Pagamento de medição 2, referente aos serviços de mão de obra, necessários a construção da usina.  ENVIADO POR GILSON</t>
  </si>
  <si>
    <t>[CCC05601]</t>
  </si>
  <si>
    <t>002934</t>
  </si>
  <si>
    <t>PRESTAÇÃO DE SERVIÇOS UFVs ( PEDRA DO INDAIA 1) NF 660 CPM CONTRETO</t>
  </si>
  <si>
    <t xml:space="preserve">Pagamento em faturamento direto referente ao concreto usinado. ENVIADO POR AUGUSTO </t>
  </si>
  <si>
    <t>[CCC05602]</t>
  </si>
  <si>
    <t>002935</t>
  </si>
  <si>
    <t>PRESTAÇÃO DE SERVIÇOS UFVs ( PEDRA DO INDAIA 5) NF 661 CPM CONTRETO</t>
  </si>
  <si>
    <t>002936</t>
  </si>
  <si>
    <t>PRESTAÇÃO DE SERVIÇOS UFVs (DIVINOPOLIS 3) NF 638</t>
  </si>
  <si>
    <t>Pagamento de medição adicional, referente a prestação de serviço de mão de obra, necessário à construção da UFVs. 65 % - ENVIADO POR AUGUSTO XAVIER</t>
  </si>
  <si>
    <t>[CCC05603]</t>
  </si>
  <si>
    <t>002937</t>
  </si>
  <si>
    <t>PRESTAÇÃO DE SERVIÇOS UFVs (DIVINOPOLIS 3) NF 639</t>
  </si>
  <si>
    <t>Pagamento de medição medição adicional, referente a elaboração de planos, necessário à construção da UFVs. 35%  - ENVIADO POR AUGUSTO XAVIER</t>
  </si>
  <si>
    <t>002938</t>
  </si>
  <si>
    <t>PRESTAÇÃO DE SERVIÇOS UFVs (PEDRA DO INDAIA 1) NF 640</t>
  </si>
  <si>
    <t>002939</t>
  </si>
  <si>
    <t>PRESTAÇÃO DE SERVIÇOS UFVs (PEDRA DO INDAIA 1) NF 641</t>
  </si>
  <si>
    <t>002940</t>
  </si>
  <si>
    <t>PRESTAÇÃO DE SERVIÇOS UFVs (PEDRA DO INDAIA 3) NF 642</t>
  </si>
  <si>
    <t>ELIMINADO</t>
  </si>
  <si>
    <t>002964</t>
  </si>
  <si>
    <t>PRESTAÇÃO DE SERVIÇOS UFVs (PEDRA DO INDAIA 3) NF 643</t>
  </si>
  <si>
    <t>002943</t>
  </si>
  <si>
    <t>COMPRA DE MATERIAIS UFVs (PAINS 3) NF 2908 ENGETELA</t>
  </si>
  <si>
    <t>Pagamento em faturamento direto referente a compra de material, necessário à construção da usina. ENVIADO POR AUGUSTO XAVIER</t>
  </si>
  <si>
    <t>[CCC05604]</t>
  </si>
  <si>
    <t>COMPRA DE MATERIAIS UFVs (PATOS DE MINAS 3) NF 1945 FAMACON</t>
  </si>
  <si>
    <t>Pagamento em faturamento direto referente ao fornecimento de ferragens, necessário à construção da usina. ENVIADO POR GILSON</t>
  </si>
  <si>
    <t>[CCC05605]</t>
  </si>
  <si>
    <t>PRESTAÇÃO DE SERVIÇOS UFVs ( PATOS DE MINAS 3) NF 252 PREMOLAGO</t>
  </si>
  <si>
    <t>Pagamento em faturamento direto referente  ao fornecimento de contreto, necessário à construção da usina. ENVIADO POR GILSON</t>
  </si>
  <si>
    <t>[CCC05606]</t>
  </si>
  <si>
    <t xml:space="preserve">PRESTAÇÃO DE SERVIÇOS UFVs ( PATOS DE MINAS 3) NF 2 LEANDRO DIAS </t>
  </si>
  <si>
    <t>Pagamento em faturamento direto referente alojamento de colaboradores, necessário à construção da usina. ENVIADO POR GILSON</t>
  </si>
  <si>
    <t>002221</t>
  </si>
  <si>
    <t>BALDONI / Engenharia -Terraplanagem  UFVs (CAMPO BELO 1)  NF 397</t>
  </si>
  <si>
    <t>Pagamento de 14° medição referente ao serviço de terraplanagem, necessário à construção da usina. 80% - ENVIADO POR WENDEL TORRES</t>
  </si>
  <si>
    <t>[CCC05607]</t>
  </si>
  <si>
    <t>002219</t>
  </si>
  <si>
    <t>BALDONI / Engenharia -Terraplanagem  UFVs (CAMPO BELO 1)  NF 236</t>
  </si>
  <si>
    <t>Pagamento de 14° medição referente ao serviço de terraplanagem, necessário à construção da usina. 20% - ENVIADO POR WENDEL TORRES</t>
  </si>
  <si>
    <t>002220</t>
  </si>
  <si>
    <t>BALDONI / Engenharia -Terraplanagem  UFVs (CAMPO BELO 5)  NF 398</t>
  </si>
  <si>
    <t>[CCC05608]</t>
  </si>
  <si>
    <t>002222</t>
  </si>
  <si>
    <t>BALDONI / Engenharia -Terraplanagem  UFVs (CAMPO BELO 5)  NF 237</t>
  </si>
  <si>
    <t>002944</t>
  </si>
  <si>
    <t>COMPRA DE MATERIAIS UFVs ( PEDRA DO INDAIA 1 ) NF 6718 COUROMIRO</t>
  </si>
  <si>
    <t>Pagamento em faturamento direto referente a compra de formas de concretagem de estacas. ENVIADO POR AUGUSTO</t>
  </si>
  <si>
    <t>[CCC05609]</t>
  </si>
  <si>
    <t>002946</t>
  </si>
  <si>
    <t xml:space="preserve">PRESTSAÇÃO DE SERVIÇOS UFVs (SÃO SEBASTIÃO DO OESTE 6) NF 48 AZUOS </t>
  </si>
  <si>
    <t>Pagamento referente ao serviço de cercamento rural, necessário à construção da usina. ESCOPO COMERC -  ENVIADO POR AUGUSTO SIQUEIRA</t>
  </si>
  <si>
    <t>[CCC05610]</t>
  </si>
  <si>
    <t>002945</t>
  </si>
  <si>
    <t>PRESTAÇÃO DE SERVIÇOS UFVs (PAINS 3)   Nº2901308264389</t>
  </si>
  <si>
    <t>Pagamento referentes a taxas ambientais, relativas a PAINS 3. ENVIADO POR GUILHERME</t>
  </si>
  <si>
    <t>[CCC05611]</t>
  </si>
  <si>
    <t>002947</t>
  </si>
  <si>
    <t>PRESTAÇÃO DE SERVIÇOS UFVs (PAINS 3)   N° 2901308265032</t>
  </si>
  <si>
    <t xml:space="preserve">GEOVANY  UFVs  SETEMBRO/2023 NF  198  </t>
  </si>
  <si>
    <t>[CCC05612]</t>
  </si>
  <si>
    <t>002948</t>
  </si>
  <si>
    <t>PRESTAÇÃO DE SERVIÇOS (BURITIZEIRO 2) NF 303</t>
  </si>
  <si>
    <t>Pagamento referente a medição de ELABORAÇÃO DE PROJETO CONTRA INCÊNDIO 1° PARCELA.PROJETOS AVCB ENVIADO POR GUILHERME</t>
  </si>
  <si>
    <t>[CCC05613]</t>
  </si>
  <si>
    <t>SEVEN ENGENHARIA</t>
  </si>
  <si>
    <t>002949</t>
  </si>
  <si>
    <t>PRESTAÇÃO DE SERVIÇOS (BURITIZEIRO 1) NF 304</t>
  </si>
  <si>
    <t>002950</t>
  </si>
  <si>
    <t>PRESTAÇÃO DE SERVIÇOS (GUARDA MOR) NF 305</t>
  </si>
  <si>
    <t>002951</t>
  </si>
  <si>
    <t>PRESTAÇÃO DE SERVIÇOS (INDAIABIRA 1) NF 306</t>
  </si>
  <si>
    <t>002952</t>
  </si>
  <si>
    <t>PRESTAÇÃO DE SERVIÇOS (INDAIABIRA 2) NF 307</t>
  </si>
  <si>
    <t>002953</t>
  </si>
  <si>
    <t>PRESTAÇÃO DE SERVIÇOS (INDAIABIRA 3) NF 308</t>
  </si>
  <si>
    <t>002954</t>
  </si>
  <si>
    <t>PRESTAÇÃO DE SERVIÇOS (INDAIABIRA 4) NF 309</t>
  </si>
  <si>
    <t>PRESTAÇÃO DE SERVIÇOS (FREI INOCENCIO 1) NF 312</t>
  </si>
  <si>
    <t>002212</t>
  </si>
  <si>
    <t>PRESTAÇÃO DE SERVIÇOS (CASSIA 1) NF 316</t>
  </si>
  <si>
    <t>002213</t>
  </si>
  <si>
    <t>PRESTAÇÃO DE SERVIÇOS (BAMBUÍ 1.1) NF 317</t>
  </si>
  <si>
    <t>PRESTAÇÃO DE SERVIÇOS (CASSIA 2) NF 318</t>
  </si>
  <si>
    <t>PRESTAÇÃO DE SERVIÇOS (BAMBUÍ 1.2) NF 319</t>
  </si>
  <si>
    <t>001499</t>
  </si>
  <si>
    <t>PRESTAÇÃO DE SERVIÇOS (CAMPO BELO 4) NF 322</t>
  </si>
  <si>
    <t>PRESTAÇÃO DE SERVIÇOS UFVs (CAMPO BELO 2) NF 96 RIMA CONSULTORIA</t>
  </si>
  <si>
    <t>[CCC05614]</t>
  </si>
  <si>
    <t>002214</t>
  </si>
  <si>
    <t>PRESTAÇÃO DE SERVIÇOS (SÃO SEBASTIÃO DO OESTE 1) NF 310</t>
  </si>
  <si>
    <t>[CCC05615]</t>
  </si>
  <si>
    <t>PRESTAÇÃO DE SERVIÇOS (VARJÃO DE MINAS 1) NF 311</t>
  </si>
  <si>
    <t>PRESTAÇÃO DE SERVIÇOS (LAGOA FORMOSA) NF 313</t>
  </si>
  <si>
    <t>002158</t>
  </si>
  <si>
    <t>PRESTAÇÃO DE SERVIÇOS (NOVA PONTE 1) NF 314</t>
  </si>
  <si>
    <t>PRESTAÇÃO DE SERVIÇOS (PARACATU 8) NF 315</t>
  </si>
  <si>
    <t>002215</t>
  </si>
  <si>
    <t>PRESTAÇÃO DE SERVIÇOS (VARGINHA 1) NF 320</t>
  </si>
  <si>
    <t>002216</t>
  </si>
  <si>
    <t>PRESTAÇÃO DE SERVIÇOS (VARGINHA 5) NF 321</t>
  </si>
  <si>
    <t>PRESTAÇÃO DE SERVIÇOS (SÃO SEBASTIÃO DO OESTE 3) NF 323</t>
  </si>
  <si>
    <t>PRESTAÇÃO DE SERVIÇOS (SÃO SEBASTIÃO DO OESTE 5) NF 324</t>
  </si>
  <si>
    <t>PRESTAÇÃO DE SERVIÇOS (VARGINHA 2) NF 325</t>
  </si>
  <si>
    <t xml:space="preserve">	BALDONI / Engenharia -Terraplanagem  UFVs (CAMPO BELO 1)  NF 396</t>
  </si>
  <si>
    <t>Pagamento de 13° medição referente ao serviço de terraplanagem, necessário à construção da usina. -  80%  ENVIADO POR WENDEL TORRES</t>
  </si>
  <si>
    <t>[CCC05616]</t>
  </si>
  <si>
    <t>002218</t>
  </si>
  <si>
    <t xml:space="preserve">	BALDONI / Engenharia -Terraplanagem  UFVs (CAMPO BELO 1)  NF 235</t>
  </si>
  <si>
    <t>Pagamento de 13° medição referente ao serviço de terraplanagem, necessário à construção da usina. -  20%  ENVIADO POR WENDEL TORRES</t>
  </si>
  <si>
    <t>002955</t>
  </si>
  <si>
    <t>PRESTAÇÃO DE SERVIÇOS UFVs  (INDAIABIRA 3) NF 1405  NORTE CONEXÃO</t>
  </si>
  <si>
    <t>[CCC05617]</t>
  </si>
  <si>
    <t>002956</t>
  </si>
  <si>
    <t>PRESTAÇÃO DE SERVIÇOS UFVs  (INDAIABIRA 4) NF 1406  NORTE CONEXÃO</t>
  </si>
  <si>
    <t>PRESTAÇÃO DE SERVIÇOS UFVs  (PATOS DE MINAS 1) NF 702</t>
  </si>
  <si>
    <t>Pagamento referente a medição do aditivo de concretagem das hastes . ENVIADO POR GILSON</t>
  </si>
  <si>
    <t>[CCC05618]</t>
  </si>
  <si>
    <t>PRESTAÇÃO DE SERVIÇOS UFVs  (PATOS DE MINAS 8) NF 703</t>
  </si>
  <si>
    <t>[CCC05619]</t>
  </si>
  <si>
    <t>002223</t>
  </si>
  <si>
    <t>PRESTAÇÃO DE SERVIÇOS UFVs (VARGINHA 1) NF 646</t>
  </si>
  <si>
    <t>Pagamento medição 11, referente a prestação de serviço de mão de obra, necessário à construção da UFVs. 65% - ENVIADO POR SM  WENDEL TORRES</t>
  </si>
  <si>
    <t>[CCC05620]</t>
  </si>
  <si>
    <t>002224</t>
  </si>
  <si>
    <t>PRESTAÇÃO DE SERVIÇOS UFVs (VARGINHA 1) NF 647</t>
  </si>
  <si>
    <t>Pagamento medição 11, referente a elaboração de planos, necessário à construção da UFVs. 35% - ENVIADO POR WENDEL TORRES</t>
  </si>
  <si>
    <t>002225</t>
  </si>
  <si>
    <t>PRESTAÇÃO DE SERVIÇOS UFVs (MUZAMBINHO 1) NF 644</t>
  </si>
  <si>
    <t>Pagamento medição 2, referente a prestação de serviço de mão de obra, necessário à construção da UFVs. 65% - ENVIADO POR  WENDEL TORRES</t>
  </si>
  <si>
    <t>[CCC05621]</t>
  </si>
  <si>
    <t>002226</t>
  </si>
  <si>
    <t>PRESTAÇÃO DE SERVIÇOS UFVs (MUZAMBINHO 1) NF 645</t>
  </si>
  <si>
    <t>Pagamento medição 2, referente a elaboração de planos, necessário à construção da UFVs. 35% - ENVIADO POR WENDEL TORRES</t>
  </si>
  <si>
    <t>002227</t>
  </si>
  <si>
    <t>PRESTAÇÃO DE SERVIÇO UFV (OURO FINO 2) NF 648</t>
  </si>
  <si>
    <t>Pagamento medição 2, referente a prestação de serviço de mão de obra, necessário à construção da UFVs. 65% - ENVIADO POR WENDEL TORRES</t>
  </si>
  <si>
    <t>[CCC05622]</t>
  </si>
  <si>
    <t>002228</t>
  </si>
  <si>
    <t>PRESTAÇÃO DE SERVIÇO UFV (OURO FINO 2) NF 649</t>
  </si>
  <si>
    <t>002229</t>
  </si>
  <si>
    <t>PRESTAÇÃO DE SERVIÇO UFV (TRES CORAÇÕES 3) NF 664</t>
  </si>
  <si>
    <t>Pagamento medição 2, referente a prestação de serviço de mão de obra, necessário à construção da UFVs. 65% - ENVIADO POR SM  WENDEL TORRES</t>
  </si>
  <si>
    <t>[CCC05623]</t>
  </si>
  <si>
    <t>PRESTAÇÃO DE SERVIÇO UFV (TRES CORAÇÕES 3) NF 665</t>
  </si>
  <si>
    <t>Pagamento medição 3, referente a elaboração de planos, necessário à construção da UFVs. 35% - ENVIADO POR WENDEL TORRES</t>
  </si>
  <si>
    <t>PRESTAÇÃO DE SERVIÇO UFV (ALFENAS 4) NF 650</t>
  </si>
  <si>
    <t>Pagamento medição 8, referente a prestação de serviço de mão de obra, necessário à construção da UFVs. 65% - ENVIADO POR  WENDEL TORRES</t>
  </si>
  <si>
    <t>[CCC05624]</t>
  </si>
  <si>
    <t>002232</t>
  </si>
  <si>
    <t>PRESTAÇÃO DE SERVIÇO UFV (ALFENAS 4) NF 651</t>
  </si>
  <si>
    <t>Pagamento medição 8, referente a elaboração de planos, necessário à construção da UFVs. 35% - ENVIADO POR WENDEL TORRES</t>
  </si>
  <si>
    <t>002233</t>
  </si>
  <si>
    <t>PRESTAÇÃO DE SERVIÇO UFV (CAMPO BELO 5) NF 652</t>
  </si>
  <si>
    <t>Pagamento medição 10, referente a prestação de serviço de mão de obra, necessário à construção da UFVs. 65% - ENVIADO POR  WENDEL TORRES</t>
  </si>
  <si>
    <t>[CCC05625]</t>
  </si>
  <si>
    <t>PRESTAÇÃO DE SERVIÇO UFV (CAMPO BELO 5) NF 653</t>
  </si>
  <si>
    <t>Pagamento medição 10, referente a elaboração de planos, necessário à construção da UFVs. 35% - ENVIADO POR WENDEL TORRES</t>
  </si>
  <si>
    <t>PRESTAÇÃO DE SERVIÇO UFV (PARAGUAÇU) NF 654</t>
  </si>
  <si>
    <t>[CCC05626]</t>
  </si>
  <si>
    <t>PRESTAÇÃO DE SERVIÇO UFV (PARAGUAÇU) NF 655</t>
  </si>
  <si>
    <t>002957</t>
  </si>
  <si>
    <t>PRESTAÇÃO DE SERVIÇO UFV (INDAIABIRA 3) NF 704</t>
  </si>
  <si>
    <t xml:space="preserve">PAGAMENTO REFERENTE A MEDIÇÃO DE ADITIVO 2,  MÃO DE OBRA . ENVIADO POR MANOEL </t>
  </si>
  <si>
    <t>[CCC05627]</t>
  </si>
  <si>
    <t>002958</t>
  </si>
  <si>
    <t>PRESTAÇÃO DE SERVIÇO UFV (INDAIABIRA 4) NF 705</t>
  </si>
  <si>
    <t>002959</t>
  </si>
  <si>
    <t>PRESTAÇÃO DE SERVIÇO UFV (BURITIZEIRO 1) NF 706</t>
  </si>
  <si>
    <t>[CCC05628]</t>
  </si>
  <si>
    <t>002960</t>
  </si>
  <si>
    <t>PRESTAÇÃO DE SERVIÇO UFV (BURITIZEIRO 2) NF 707</t>
  </si>
  <si>
    <t>PRESTAÇÃO DE SERVIÇO UFVs (VARGINHA 1 e 2 - CAMPO BELO 1 e 2) NF 656</t>
  </si>
  <si>
    <t>Pagamento medição 1, referente a prestação de serviço de mão de obra, necessário à construção da UFVs. 65% -  ADITIVO  - ENVIADO POR  WENDEL TORRES</t>
  </si>
  <si>
    <t>[CCC05629]</t>
  </si>
  <si>
    <t>PRESTAÇÃO DE SERVIÇO UFVs (VARGINHA 1 e 2 - CAMPO BELO 1 e 2) NF 657</t>
  </si>
  <si>
    <t>Pagamento medição 1, referente a elaboração de planos, necessário à construção da UFVs. 35% - ADITIVO - ENVIADO POR WENDEL TORRES</t>
  </si>
  <si>
    <t>COMPRA DE MATERIAIS UFVs (SANTO ANTONIO DO AMPARO) NF 14868  CAMPO ALEGRE</t>
  </si>
  <si>
    <t>Pagamento em faturamento direto referente a compra de materiais, necessário à construção da usina. ENVIADO POR MBA</t>
  </si>
  <si>
    <t>[CCC05630]</t>
  </si>
  <si>
    <t>PRESTAÇÃO DE SERVIÇOS UFVs (SANTO ANTONIO DO AMPARO) NF 250  CAMPO ALEGRE</t>
  </si>
  <si>
    <t>Pagamento em faturamento direto referente a prestação de serviço de frete, necessário à construção da usina. ENVIADO POR MBA</t>
  </si>
  <si>
    <t>COMPRA DE MATERIAIS UFVs (PARAGUAÇU 1) NF  23040 LIDER</t>
  </si>
  <si>
    <t>Pagamento em faturamento direto referente a compra de materiais, necessário à construção da usina. ENVIADO POR WENDEL TORRES</t>
  </si>
  <si>
    <t>[CCC05631]</t>
  </si>
  <si>
    <t>WEG PRESTAÇÃO DE SERVIÇOS UFVs ( CASSIA 1 ) NF 208 INNOVA</t>
  </si>
  <si>
    <t>Pagamento medição, refrente a Conclusão dos Testes de comissionamento a quente, contrato FULL EPC WEG. EVENTO 9 INTEGRADOR</t>
  </si>
  <si>
    <t>[CCC05632]</t>
  </si>
  <si>
    <t>002961</t>
  </si>
  <si>
    <t>COMPRA DE MATERIAIS UFVs ( DIVINOPOLIS 1) NF 2841 ENGETELA</t>
  </si>
  <si>
    <t>Pagamento em faturamento direto referente a compra do material de cercamento. ENVIADO POR AUGUSTO</t>
  </si>
  <si>
    <t>[CCC05633]</t>
  </si>
  <si>
    <t>002962</t>
  </si>
  <si>
    <t>COMPRA DE MATERIAIS UFVs ( DIVINOPOLIS 2) NF 2855 ENGETELA</t>
  </si>
  <si>
    <t>002168</t>
  </si>
  <si>
    <t>PRESTAÇÃO DE SERVIÇOS UFVs ( PATOS DE MINAS 7) NF 1359</t>
  </si>
  <si>
    <t xml:space="preserve">Pagamento medição 2, referente aos serviços de drenagem . ENVIADO POR GILSON </t>
  </si>
  <si>
    <t>[CCC05634]</t>
  </si>
  <si>
    <t xml:space="preserve">EGF </t>
  </si>
  <si>
    <t>PRESTAÇÃO DE SERVIÇOS UFVs (SEBASTIÃO DO OESTE 4) NF 199 GP SERVIÇOS</t>
  </si>
  <si>
    <t xml:space="preserve">Pagamento referente  a assessoria fundiairia em coleta de servidões . ENVIADA POR GUILHERME </t>
  </si>
  <si>
    <t>[CCC05635]</t>
  </si>
  <si>
    <t>PRESTAÇÃO DE SERVIÇOS UFVs (ARCOS 7) NF 200 GP SERVIÇOS</t>
  </si>
  <si>
    <t xml:space="preserve">Pagamento referente  a assessoria fundiaria em coleta de servidões . ENVIADA POR GUILHERME </t>
  </si>
  <si>
    <t>002963</t>
  </si>
  <si>
    <t>PRESTAÇÃO DE SERVIÇOS UFVs ( BURITIZEIRO 1) NF 201 GP SERVIÇOS</t>
  </si>
  <si>
    <t xml:space="preserve">Pagamento referente  a assessoria fundiairia em coleta de servidões . ENVIADA POR GUILHGERME </t>
  </si>
  <si>
    <t>001491</t>
  </si>
  <si>
    <t>PRESTAÇÃO DE SERVIÇOS UFVs (ALFENAS 4) NF 202 GP SERVIÇOS</t>
  </si>
  <si>
    <t>02243</t>
  </si>
  <si>
    <t>PRESTAÇÃO DE SERVIÇOS UFVs (SEBASTIÃO DO OESTE 4) NF 203 GP SERVIÇOS</t>
  </si>
  <si>
    <t>002170</t>
  </si>
  <si>
    <t>COMPRA DE MATERIAIS UFVs ( DIAMANTINA 1) NF 13068  PREMOLDADOS DIAMANTE</t>
  </si>
  <si>
    <t xml:space="preserve">Pagamento em faturamento direto referente a compra de materiais. ENVIADO POR MANOEL </t>
  </si>
  <si>
    <t>[CCC05636]</t>
  </si>
  <si>
    <t>002965</t>
  </si>
  <si>
    <t>MEDIÇÃO ( ORCI)</t>
  </si>
  <si>
    <t>PRESTAÇÃO DE SERVIÇOS UFVs (PAINS 3) NF 50 ORCI</t>
  </si>
  <si>
    <t>Pagamento refente a prestação de serviços de terraplenagem. ENVIADO POR AUGUSTO</t>
  </si>
  <si>
    <t>[CCC05637]</t>
  </si>
  <si>
    <t>002966</t>
  </si>
  <si>
    <t>PRESTAÇÃO DE SERVIÇOS UFVs (PAINS 3) NF 34 COSTERR</t>
  </si>
  <si>
    <t>Pagamento refente a prestação de serviços de terraplenagem,, aluguel equipamentos. ENVIADO POR AUGUSTO</t>
  </si>
  <si>
    <t>002967</t>
  </si>
  <si>
    <t xml:space="preserve">COMPRA DE MATERIAIS UFVs ( PAINS 3) NF 86548 DIVIPETROL </t>
  </si>
  <si>
    <t>COMPRA DE COMBISTIVEL NECESSÁRIO PARA REALIZAÇÃO DOS SERVIÇOS DE TERRAPLENAGEM. ENVIADO POR AUGUSTO</t>
  </si>
  <si>
    <t>002968</t>
  </si>
  <si>
    <t xml:space="preserve">MEDIÇÃO( CONSTRUTORA RESENDE ) </t>
  </si>
  <si>
    <t xml:space="preserve">PRESTAÇÃO DE SERVIÇOS UFVs ( DIVINOPOLIS 3 ) NF 54 </t>
  </si>
  <si>
    <t>Pagamento de medição refente a prestação de serviços de terraplenagem. ENVIADO POR AUGUSTO</t>
  </si>
  <si>
    <t>[CCC05638]</t>
  </si>
  <si>
    <t>* NATUREZA INCLUSA COMO SUPRESSÃO / ROMANEI *</t>
  </si>
  <si>
    <t>PRESTAÇÃO DE SERVIÇOS UFVs ( SÃO SEBASTIÃO DO OESTE 4) NF 53</t>
  </si>
  <si>
    <t>[CCC05639]</t>
  </si>
  <si>
    <t>002970</t>
  </si>
  <si>
    <t>SERVIÇOS PRESTADOS DE CONSULTORIA EM CONTRATOS -  DELOITTE     NF  258</t>
  </si>
  <si>
    <t>Pagamento referente a medição mão de obra contrato DELOITTE ,  necessário à construção da UFV em contrato EPC . MEDIÇÃO 13 AGOSTO /2023 - ENVIADO POR DELOITTE</t>
  </si>
  <si>
    <t>[CCC05640]</t>
  </si>
  <si>
    <t>SERVIÇOS PRESTADOS DE CONSULTORIA EM CONTRATOS -  DELOITTE     NF  259</t>
  </si>
  <si>
    <t>SERVIÇOS PRESTADOS DE CONSULTORIA EM CONTRATOS -  DELOITTE     NF  260</t>
  </si>
  <si>
    <t>002249</t>
  </si>
  <si>
    <t>SERVIÇOS PRESTADOS DE CONSULTORIA EM CONTRATOS -  DELOITTE     NF  264</t>
  </si>
  <si>
    <t>DAE - Dispensa  de Licenciamento ambiental UFVs ( DIAMANTINA 2) N1501308658042</t>
  </si>
  <si>
    <t xml:space="preserve">Pagamento referente a taxa  final de reposição florestal ao processo de intervenção ambiental. ENVIADO POR GUILHERME </t>
  </si>
  <si>
    <t>[CCC05641]</t>
  </si>
  <si>
    <t>SECRETARIA DO ESTADO</t>
  </si>
  <si>
    <t>MEDIÇÃO (ELETROCAMP - RDA INTERNO)</t>
  </si>
  <si>
    <t>PRESTAÇÃO DE SERVIÇOS UFVs (CAMPO BELO 1) NF 12758</t>
  </si>
  <si>
    <t>Pagamento de medição referente a parcela 1 da construção de rede eletrica. ENVIADO POR MARCIO</t>
  </si>
  <si>
    <t>[CCC05642]</t>
  </si>
  <si>
    <t>PRESTAÇÃO DE SERVIÇOS UFVs (CAMPO BELO 2) NF 12759</t>
  </si>
  <si>
    <t>002972</t>
  </si>
  <si>
    <t>PRESTAÇÃO DOS SERVIÇOS UFVs (PEDRA INDAIA 3) NF 658</t>
  </si>
  <si>
    <t>Pagamento medição 12, referente a prestação de serviço de mão de obra, necessário à construção da UFVs. 65% -  ADITIVO  - ENVIADO POR  AUGUSTO XAVIER</t>
  </si>
  <si>
    <t>[CCC05643]</t>
  </si>
  <si>
    <t>002973</t>
  </si>
  <si>
    <t>PRESTAÇÃO DOS SERVIÇOS UFVs (PEDRA INDAIA 3) NF 659</t>
  </si>
  <si>
    <t>Pagamento medição 12, referente a elaboração de planos, necessário à construção da UFVs. 35% - ADITIVO - ENVIADO POR AUGUSTO XAVIER</t>
  </si>
  <si>
    <t>002974</t>
  </si>
  <si>
    <t>PRESTAÇÃO DOS SERVIÇOS UFVs (PEDRA INDAIA 1) NF 660</t>
  </si>
  <si>
    <t>Pagamento medição 10, referente a prestação de serviço de mão de obra, necessário à construção da UFVs. 65% -  ADITIVO  - ENVIADO POR  AUGUSTO XAVIER</t>
  </si>
  <si>
    <t>Medição 10</t>
  </si>
  <si>
    <t>002975</t>
  </si>
  <si>
    <t>PRESTAÇÃO DOS SERVIÇOS UFVs (PEDRA INDAIA 1) NF 661</t>
  </si>
  <si>
    <t>Pagamento medição 10, referente a elaboração de planos, necessário à construção da UFVs. 35% - ADITIVO - ENVIADO POR AUGUSTO XAVIER</t>
  </si>
  <si>
    <t>002976</t>
  </si>
  <si>
    <t>PRESTAÇÃO DOS SERVIÇOS UFVs (PEDRA INDAIA 1) NF 662</t>
  </si>
  <si>
    <t>Pagamento medição 11, referente a prestação de serviço de mão de obra, necessário à construção da UFVs. 65% -  ADITIVO  - ENVIADO POR  AUGUSTO XAVIER</t>
  </si>
  <si>
    <t>Medição 11</t>
  </si>
  <si>
    <t>002977</t>
  </si>
  <si>
    <t>PRESTAÇÃO DOS SERVIÇOS UFVs (PEDRA INDAIA 1) NF 663</t>
  </si>
  <si>
    <t>Pagamento medição 11, referente a elaboração de planos, necessário à construção da UFVs. 35% - ADITIVO - ENVIADO POR AUGUSTO XAVIER</t>
  </si>
  <si>
    <t>002992</t>
  </si>
  <si>
    <t>PRESTAÇÃO DOS SERVIÇOS UFVs (SÃO SEBASTIÃO DO OESTE 0) NF 10653 CIMENTÃO</t>
  </si>
  <si>
    <t xml:space="preserve">Pagamento em faturamento referente ao serviço de concretagem, necessário à construção da usina. ENVIADO POR AUGUSTO XAVIER </t>
  </si>
  <si>
    <t>[CCC05644]</t>
  </si>
  <si>
    <t>DAE - Dispensa  de Licenciamento ambiental UFVs (ELOI MENDES) n 501308910400</t>
  </si>
  <si>
    <t>Pagamento referente a taxa de reposição florestal ao processo de intervenção ambiental. ENVIADO POR GUILHERME TAXA REPOSIÇÃO LENHA</t>
  </si>
  <si>
    <t>[CCC05645]</t>
  </si>
  <si>
    <t>DAE - Dispensa  de Licenciamento ambiental UFVs (ELOI MENDES) N 1401308906056</t>
  </si>
  <si>
    <t>Pagamento referente a taxa de reposição florestal ao processo de intervenção ambiental. ENVIADO POR GUILHERME TAXA AMBIENTAL</t>
  </si>
  <si>
    <t>DAE - Dispensa  de Licenciamento ambiental UFVs (ELOI MENDES) N 1501308913395</t>
  </si>
  <si>
    <t>Pagamento referente a taxa de reposição florestal ao processo de intervenção ambiental. ENVIADO POR GUILHERME TAXA REPOSIÇÃO MADEIRA</t>
  </si>
  <si>
    <t>DAE - Dispensa  de Licenciamento ambiental UFVs (ELOI MENDES) N 2901308908146</t>
  </si>
  <si>
    <t>Pagamento referente a taxa de reposição florestal ao processo de intervenção ambiental. ENVIADO POR GUILHERME TAXA FLORESTAL MADEIRA</t>
  </si>
  <si>
    <t>002979</t>
  </si>
  <si>
    <t>PRESTAÇÃO DE SERVIÇOS UFVs (DIVINOPOLIS 3) NF 24  SRJ PROTEÇÃO</t>
  </si>
  <si>
    <t>[CCC05646]</t>
  </si>
  <si>
    <t>DAE - Dispensa  de Licenciamento ambiental UFVs (ELOI MENDES) N 2901308907492</t>
  </si>
  <si>
    <t>Pagamento referente a taxa de reposição florestal ao processo de intervenção ambiental. ENVIADO POR GUILHERME TAXA FLORESTAL LENHA</t>
  </si>
  <si>
    <t>002980</t>
  </si>
  <si>
    <t>COMPRA DE MATERIAIS UFVs (JABOTICATUBAS) NF 266414  LOJA ELETRICA</t>
  </si>
  <si>
    <t>Pagamento referente a compra de materiais, necessário à construção da usina. ENVIADO POR MANOEL LIMA</t>
  </si>
  <si>
    <t>[CCC05647]</t>
  </si>
  <si>
    <t>002981</t>
  </si>
  <si>
    <t>Medição (EPC - GTEL)</t>
  </si>
  <si>
    <t>PRESTAÇÃO DE SERVIÇOS UFVs (DIVINOPOLIS 1) NF 28120</t>
  </si>
  <si>
    <t>Pagamento de medição referente ao serviço de intsalação eletromecanicas e civil, necessário à construção da usina. ENVIADO POR  AUGUSTO SIQUEIRA</t>
  </si>
  <si>
    <t>[CCC05648]</t>
  </si>
  <si>
    <t>002982</t>
  </si>
  <si>
    <t>PRESTAÇÃO DE SERVIÇOS UFVs (DIVINOPOLIS 2) NF 28121</t>
  </si>
  <si>
    <t>002983</t>
  </si>
  <si>
    <t>PRESTAÇÃO DE SERVIÇOS UFVs (SÃO SEBASTIÃO DO OESTE 6) NF 28122</t>
  </si>
  <si>
    <t>002984</t>
  </si>
  <si>
    <t>PRESTAÇÃO DE SERVIÇOS UFVs (SÃO SEBASTIÃO DO OESTE 0) NF 28123</t>
  </si>
  <si>
    <t>PRESTAÇÃO DE SERVIÇOS UFVs (SÃO SEBASTIÃO DO OESTE 4) NF 28125</t>
  </si>
  <si>
    <t>002985</t>
  </si>
  <si>
    <t>PRESTAÇÃO DE SERVIÇOS UFVs (PAINS 3) NF 28132</t>
  </si>
  <si>
    <t>PRESTAÇÃO DE SERVIÇOS UFVs (PASSO 4) NF 28133</t>
  </si>
  <si>
    <t>PRESTAÇÃO DE SSERVIÇOS UFVs (DIAMANTINA 1) NF 1093  CONSERVADORA CAMPOS</t>
  </si>
  <si>
    <t>Pagamento em faturamento direto referente ao serviço de vigilancia, necessário à construção da usina. ENVIADO POR MANOEL LMA</t>
  </si>
  <si>
    <t>[CCC05649]</t>
  </si>
  <si>
    <t>IMPLANTAÇÃO</t>
  </si>
  <si>
    <t>002986</t>
  </si>
  <si>
    <t>COMPRA DE MATERIAIS UFVs (SÃO SEBASTIÃO DO ESTE 6) NF  2920  ENGETELA</t>
  </si>
  <si>
    <t>Pagamento em faturamento direto referente a compra de materiais, necessário à construção da usina. ENVIADO POR AUHUSTO XAVIER</t>
  </si>
  <si>
    <t>[CCC05650]</t>
  </si>
  <si>
    <t>002987</t>
  </si>
  <si>
    <t>PRESTAÇÃO DE SERVIÇOS UFVs (INDAIABIRA 4) NF 398</t>
  </si>
  <si>
    <t>Pagamento em faturamento direto referente ao serviço de instalação de sistema de ,monitoramento, necessário à construção da usina. ENVIADO POR ATI</t>
  </si>
  <si>
    <t>[CCC05651]</t>
  </si>
  <si>
    <t>002988</t>
  </si>
  <si>
    <t>PRESTAÇÃO DE SERVIÇOS UFVs (INDAIABIRA 3) NF 399</t>
  </si>
  <si>
    <t>Fat.Direito ( MBA)</t>
  </si>
  <si>
    <t>PRESTAÇÃO DE SERVIÇOS UFVs (PATROCINIO 2) NF 29246  JXC TRANSPORTES</t>
  </si>
  <si>
    <t>Pagamento em faturamento direto referente ao serviço de frete, necessário à construção da usina. ENVIADO POR MBA</t>
  </si>
  <si>
    <t>[CCC05652]</t>
  </si>
  <si>
    <t>JXC TRANSPORTES</t>
  </si>
  <si>
    <t>PRESTAÇÃO DE SERVIÇOS UVFs ( CICLO 3) NF 114  NOGUEIRA TOPOGRAFIA</t>
  </si>
  <si>
    <t>Pagamento referente  ao levantamento planialtimétrico cadastral georreferenciado e fornecimento de plantas topógraficas. ENVAIDO PO CAROLINE CORRERA/SERGIO</t>
  </si>
  <si>
    <t>[CCC05653]</t>
  </si>
  <si>
    <t>NOGUEIRA TOPOGRAFIA</t>
  </si>
  <si>
    <t>PRESTAÇÃO DE SERVIÇOS UFVs (PATOS DE MINAS 1 ) NF 3 VANDA REIS</t>
  </si>
  <si>
    <t>Pagamento em faturamento direto, referente á locação de retroescavadeira . ENVIADO POR GILSON</t>
  </si>
  <si>
    <t>[CCC05654]</t>
  </si>
  <si>
    <t>PRESTAÇÃO DE SERVIÇOS UFVs (PATOS DE MINAS 4) NF 4 VANDA REIS</t>
  </si>
  <si>
    <t>PRESTAÇÃO DE SERVIÇOS UFVs (PATOS DE MINAS 4) NF 597  TRAMEL</t>
  </si>
  <si>
    <t>Pagamento referente ao serviço de  munk para mudança de skid, necessário a construção da  usina. ENVIADO POR GILSON</t>
  </si>
  <si>
    <t>[CCC05655]</t>
  </si>
  <si>
    <t>Escopo comerc</t>
  </si>
  <si>
    <t>TRAMEL</t>
  </si>
  <si>
    <t>COMPRA DE MATERIAIS UFVs (PATOS DE MINAS 4) NF 63738  POSTO RODOMILHO</t>
  </si>
  <si>
    <t xml:space="preserve"> Pagamento em faturamento direto, referente a compra de combustivel. ENVIADO POR GILSON</t>
  </si>
  <si>
    <t>[CCC05656]</t>
  </si>
  <si>
    <t>PRESTAÇÃO DE SERVIÇOS UFVs(PATROCINIO 3) N 191396601 TSEA</t>
  </si>
  <si>
    <t>Pagamento referente aos ensaios para revalidação do laudo regulador de tensão . ENVIADO POR MBA FATURA PROFORMA</t>
  </si>
  <si>
    <t>[CCC05657]</t>
  </si>
  <si>
    <t>COMPRA DE MATERIAIS UFVs (VARGINHA 2) NF 2351</t>
  </si>
  <si>
    <t>Pagamento em faturamento direto referente a compra de materiais, necessário à construção da usina. ENVIADO POR ATI</t>
  </si>
  <si>
    <t>[CCC05658]</t>
  </si>
  <si>
    <t>COMPRA DE MATERIAIS UFVs (PATOS DE MINAS 4) NF 63180 POSTO RODOMILHO</t>
  </si>
  <si>
    <t>Pagamento em faturamento direto referente a compra de combustivel, necessário à construção da usina. ENVIADO POR IMPLANTAR</t>
  </si>
  <si>
    <t>[CCC05659]</t>
  </si>
  <si>
    <t>PRESTAÇÃO DE SERVIÇOS UFVs (ARCOS 7) NF 196 GP SERVIÇOS</t>
  </si>
  <si>
    <t>Pagamento referente ao serviço de assessoria, necessário à construção da usina. ENVIADO POR BEATRIZ FAGUNDES</t>
  </si>
  <si>
    <t>[CCC05660]</t>
  </si>
  <si>
    <t>Compra feita em Faturamento Direto, em contrato de obras MT externas à UFV. Adiantamento já pago em pc A201 00625, pedido gerado apenas para escrituração,orientação por parte TI e  FISCAL.</t>
  </si>
  <si>
    <t>NÃO GERA FINANCEIRO - VALOR PAGO EM ADT 000625 A201 - POREM CNPJ VEIO DIFERENTE E FOI ESCRITURADO NESSE PEDIDO CONFORME ORIENTAÇÃO DE FISCAL NA EPOCA</t>
  </si>
  <si>
    <t>PRESTAÇÃO DE SERVIÇOS UVFs ( CICLO 3) NF 13 3FS AGROCONSULTING</t>
  </si>
  <si>
    <t>Pagamento referente a prestação de serviços mensais sobre questões técnicas de geoprocessamento e sensoriamento remoto, fundiárias, registrais e ambientais que versam sobre os imóveis de titularidade da
Contratante.. ENVIADO POR FUNDIARIO</t>
  </si>
  <si>
    <t>[CCC05661]</t>
  </si>
  <si>
    <t>AGROCONSULTING</t>
  </si>
  <si>
    <t>PRESTAÇÃO DE SERVIÇOS UVFs ( CICLO 3) NOTA DE DEBITO 3FS AGROCONSULTING</t>
  </si>
  <si>
    <t>NOTA DE DEBITO, REBIDO, REEMBOLSO DE DESPESAS. ENVIADO POR FUNDIARIO</t>
  </si>
  <si>
    <t>COMPRA DE MATERIAIS UFVs (CAMPO BELO 2) NF  71715 SULMINAS</t>
  </si>
  <si>
    <t>NOTA DE REMESSA NÃO GERA FINANCEIRO ( LANÇAMENTO PARA EMISSÃO DE NOTA DEVOLUÇÃO)</t>
  </si>
  <si>
    <t>[CCC05662]</t>
  </si>
  <si>
    <t>001500</t>
  </si>
  <si>
    <t xml:space="preserve">	BALDONI / Engenharia -Terraplanagem  UFVs (FORMIGA 6)  NF 238</t>
  </si>
  <si>
    <t>Pagamento de 3° e 4° medição referente ao serviço de terraplanagem, necessário à construção da usina. -  20%  ENVIADO POR AUGUSTO SIQUEIRA</t>
  </si>
  <si>
    <t>[CCC05663]</t>
  </si>
  <si>
    <t xml:space="preserve">	BALDONI / Engenharia -Terraplanagem  UFVs (FORMIGA 6)  NF 399</t>
  </si>
  <si>
    <t>Pagamento de 3° e 4° medição referente ao serviço de terraplanagem, necessário à construção da usina. -  80%  ENVIADO POR AUGUSTO SIQUEIRA</t>
  </si>
  <si>
    <t>MEDIÇÃO (PORTAL DOS POÇOS)</t>
  </si>
  <si>
    <t>PRESTAÇÃO DE SERVIÇOS UFVs ( CAMPO BELO 2) NF 92</t>
  </si>
  <si>
    <t>Pagamento de medição contratual referente a 30% do contrato, serviço LOCAÇÃO DE EQUIPAMENTO . ENVIADO POR RAFAEL - ESCOPO COMERC</t>
  </si>
  <si>
    <t>[CCC05664]</t>
  </si>
  <si>
    <t>PORTAL DO POÇOS</t>
  </si>
  <si>
    <t>CONSTRUMANAGER -    09/2023   NF  305010</t>
  </si>
  <si>
    <t>[CCC05665]</t>
  </si>
  <si>
    <t>CONSTRUMANAGER</t>
  </si>
  <si>
    <t>PRESTAÇÃO DE SERVIÇO UFVs ( DIAMANTINA 1) NF   525</t>
  </si>
  <si>
    <t xml:space="preserve">Pagamento de  3° medição referente ao serviço de terraplanagem, necessário para construção da usina. ENVIADO POR SM MANOEL JACINTO  </t>
  </si>
  <si>
    <t>[CCC05666]</t>
  </si>
  <si>
    <t>002259</t>
  </si>
  <si>
    <t xml:space="preserve">	BALDONI / Engenharia -Terraplanagem  UFVs (CAMPO BELO 1)  NF 239</t>
  </si>
  <si>
    <t>Pagamento de 15° medição referente ao serviço de terraplanagem, necessário à construção da usina. -  20%  ENVIADO POR RAFAEL</t>
  </si>
  <si>
    <t>[CCC05667]</t>
  </si>
  <si>
    <t>002260</t>
  </si>
  <si>
    <t xml:space="preserve">	BALDONI / Engenharia -Terraplanagem  UFVs (CAMPO BELO 1) N 400</t>
  </si>
  <si>
    <t>Pagamento de 15°  medição referente ao serviço de terraplanagem, necessário à construção da usina. -  80%  ENVIADO POR RAFEL</t>
  </si>
  <si>
    <t>A606-ESTRELA DO NORTE DIVINOPOLIS 2 SPE</t>
  </si>
  <si>
    <t>003057</t>
  </si>
  <si>
    <t>PRESTAÇÃO DE SERVIÇO UFV (DIVINOPOLIS 2) NF 524</t>
  </si>
  <si>
    <t>Pagamento de 3° medição referente ao serviço de drenagem, necessário à construção da usina. ENVIADO POR AUGUSTO XAVIER</t>
  </si>
  <si>
    <t>[CCC05668]</t>
  </si>
  <si>
    <r>
      <t xml:space="preserve">MEDIÇÃO EXECUÇÃO SERVIÇO  NF 1972   </t>
    </r>
    <r>
      <rPr>
        <strike/>
        <sz val="9"/>
        <color theme="1"/>
        <rFont val="Arial"/>
      </rPr>
      <t>(DIVINOPOLIS 2 )</t>
    </r>
    <r>
      <rPr>
        <sz val="9"/>
        <color theme="1"/>
        <rFont val="Arial"/>
      </rPr>
      <t xml:space="preserve">   OBRAS AT-Realocada Divinopolis 1</t>
    </r>
  </si>
  <si>
    <t>Veio Portifolio Apolo - ROMANEI</t>
  </si>
  <si>
    <t xml:space="preserve"> (MBA-AT)PROEL ENGENHARIA LTDA2021/437</t>
  </si>
  <si>
    <t>MEDIÇÃO EXECUÇÃO SERVIÇO   (DIVINOPOLIS 2 )   OBRAS AT</t>
  </si>
  <si>
    <t>ROEL ENGENHARIA</t>
  </si>
  <si>
    <r>
      <t xml:space="preserve">MEDIÇÃO EXECUÇÃO SERVIÇO  NF 1970  </t>
    </r>
    <r>
      <rPr>
        <strike/>
        <sz val="9"/>
        <color theme="1"/>
        <rFont val="Arial"/>
      </rPr>
      <t>(aboticatubas)</t>
    </r>
    <r>
      <rPr>
        <sz val="9"/>
        <color theme="1"/>
        <rFont val="Arial"/>
      </rPr>
      <t xml:space="preserve">   OBRAS AT</t>
    </r>
  </si>
  <si>
    <t>Veio Portifolio Apolo - ROMANEI
AT-Realocada Divinopolis 1</t>
  </si>
  <si>
    <t>MEDIÇÃO EXECUÇÃO SERVIÇO  NF 1972   (DIVINOPOLIS 2 )   OBRAS AT</t>
  </si>
  <si>
    <t>002997</t>
  </si>
  <si>
    <t>PRESTAÇÃO DE SERVIÇOS UFVs (JABOTICATUBAS)   NF 708</t>
  </si>
  <si>
    <t>Pagamento de 4º medição referente a mobilização, supressão vegetal, regularização do terreno e marcação topográfica, necessário à construção da UFVs. SOLICITDO POR SM MANOEL JACINTO</t>
  </si>
  <si>
    <t>[CCC05669]</t>
  </si>
  <si>
    <t>COMPRA DE MATEIRIAIS UFVs (MUZAMBINHO) NF 9298  SANTA EDWIGES</t>
  </si>
  <si>
    <t>COMPRA DE  TANQUE - ESCOPO COMERC. ENVIADO POR RAFAEL</t>
  </si>
  <si>
    <t>[CCC05670]</t>
  </si>
  <si>
    <t>EDWIGES</t>
  </si>
  <si>
    <t>MEDIÇÃO EXECUÇÃO SERVIÇO  NF 2301   (PATROCINIO 3 )  OBRAS AT</t>
  </si>
  <si>
    <t>[CCC03593]</t>
  </si>
  <si>
    <t xml:space="preserve">ROMANEI </t>
  </si>
  <si>
    <t>Religador (Patrocínio 2) Adiantamento</t>
  </si>
  <si>
    <t>[CCC02747]</t>
  </si>
  <si>
    <t xml:space="preserve">A201000150- ROMANEI </t>
  </si>
  <si>
    <t>[CCC02747] Fat. Direto (MBA-AT) - Religador (Patrocínio 2) Adiantamento - Faturamento direto de compra para contrato de serviços em instalações AT para a UFV.</t>
  </si>
  <si>
    <t>MEDIÇÃO EXECUÇÃO SERVIÇO  NF 2300   (PATROCINIO 2 )  OBRAS AT</t>
  </si>
  <si>
    <t>[CCC03594]</t>
  </si>
  <si>
    <t>Fat. Direto - UNIAR COMERCIO DE ELETRO-ELETRONICOS E SERVICOS LTDA - NF.456337</t>
  </si>
  <si>
    <t>Ar Condicionado</t>
  </si>
  <si>
    <t>SOLATIO GD VII</t>
  </si>
  <si>
    <t>ROMANEI _ Pagamento feito pela SOLATIO GD VII</t>
  </si>
  <si>
    <t>PRESTAÇÃO DE SERVIÇOS UFVs (ALFENAS 4) NF 993  RONDA PORTEIROS</t>
  </si>
  <si>
    <t>Pagamento referente ao serviço de vigilância desarmada. ENVIADO POR RAFAEL- ESCOPO COMERC</t>
  </si>
  <si>
    <t>[CCC05671]</t>
  </si>
  <si>
    <t>PRESTAÇÃO DE SERVIÇOS UFVs (CAMPO BELO 5) NF 989 RONDA PORTEIROS</t>
  </si>
  <si>
    <t>CANCELADO DUPLO</t>
  </si>
  <si>
    <t>PRESTAÇÃO DE SERVIÇOS UFVs (CAMPO BELO 1) NF 990 RONDA PORTEIROS</t>
  </si>
  <si>
    <t>002272</t>
  </si>
  <si>
    <t>PRESTAÇÃO DE SERVIÇOS UFVs (SANTO ANTONIO DO AMPARO 1) NF 1010  RONDA PORTEIROS</t>
  </si>
  <si>
    <t>002273</t>
  </si>
  <si>
    <t>PRESTAÇÃO DE SERVIÇOS UFVs (VARGINHA 1) NF 987  RONDA PORTEIROS</t>
  </si>
  <si>
    <t>PRESTAÇÃO DE SERVIÇOS UFVs (VARGINHA 2) NF 991  RONDA PORTEIROS</t>
  </si>
  <si>
    <t>002274</t>
  </si>
  <si>
    <t>PRESTAÇÃO DE SERVIÇOS UFVs (VARGINHA 5) NF 988  RONDA PORTEIROS</t>
  </si>
  <si>
    <t>Equipamentos - SIEMENS (TRES CORAÇÕES) - NF-7175</t>
  </si>
  <si>
    <t>003055</t>
  </si>
  <si>
    <t>PRESTAÇÃO DE SERVIÇO UFV (DIVINOPOLIS 1) NF 523</t>
  </si>
  <si>
    <t>Pagamento de 1° medição referente ao serviço de drenagem, necessário à construção da usina. ENVIADO POR AUGUSTO XAVIER</t>
  </si>
  <si>
    <t>[CCC05672]</t>
  </si>
  <si>
    <t>002998</t>
  </si>
  <si>
    <t>REGRHAN  PRESTAÇÃO DE SERVIÇOS  ESTRELA DO NORTE HOLDING  NF  1981</t>
  </si>
  <si>
    <t>[CCC05673]</t>
  </si>
  <si>
    <t>REGRHAN  PRESTAÇÃO DE SERVIÇOS  MORI GERAÇÃO II  NF 1982</t>
  </si>
  <si>
    <t>002262</t>
  </si>
  <si>
    <t>REGRHAN  PRESTAÇÃO DE SERVIÇOS  MORI MINAS NEWCO IV  NF  1983 </t>
  </si>
  <si>
    <t>REGRHAN  PRESTAÇÃO DE SERVIÇOS  MORI MINAS NEWCO V  NF 1984</t>
  </si>
  <si>
    <t>Medição (CFTV)</t>
  </si>
  <si>
    <t>PRESTAÇÃO DE SERVIÇO UFV (PARACATU 8) R&amp;C ELETRONICA NF 511</t>
  </si>
  <si>
    <t>Pagamento de medição referente a de fornecimento e implantação de sistemas de circuito fechado de TV CGTV para segurança patrimonial. ENVIADO POR MAX VISION</t>
  </si>
  <si>
    <t>[CCC05674]</t>
  </si>
  <si>
    <t>R&amp;C ELETRONICA</t>
  </si>
  <si>
    <t>PRESTAÇÃO DE SERVIÇO UFV (VARJÃO DE MINAS 1) R&amp;C ELETRONICA NF 512</t>
  </si>
  <si>
    <t>PRESTAÇÃO DE SERVIÇO UFV (LAGOA FORMOSA) R&amp;C ELETRONICA NF 513</t>
  </si>
  <si>
    <t>PRESTAÇÃO DE SERVIÇO UFV (NOVA PONTE 1) R&amp;C ELETRONICA NF 514</t>
  </si>
  <si>
    <t>003028</t>
  </si>
  <si>
    <t>PRESTAÇÃO DE SERVIÇO UFV (INDAIABIRA 1) R&amp;C ELETRONICA NF 515</t>
  </si>
  <si>
    <t>003029</t>
  </si>
  <si>
    <t>PRESTAÇÃO DE SERVIÇO UFV (INDAIABIRA 2) R&amp;C ELETRONICA NF 516</t>
  </si>
  <si>
    <t>PRESTAÇÃO DE SERVIÇO UFV (CASSIA 2) R&amp;C ELETRONICA NF 517</t>
  </si>
  <si>
    <t>A218 MORI GERACAO II- UFV PATROCINIO 3</t>
  </si>
  <si>
    <t>PRESTAÇÃO DE SERVIÇO UFV (PATROCINIO 3) R&amp;C ELETRONICA NF 518</t>
  </si>
  <si>
    <t>003031</t>
  </si>
  <si>
    <t>PRESTAÇÃO DE SERVIÇO UFV (BURITIZEIRO 2) R&amp;C ELETRONICA NF 519</t>
  </si>
  <si>
    <t>PRESTAÇÃO DE SERVIÇO UFV (PATROCINIO 2) R&amp;C ELETRONICA NF 520</t>
  </si>
  <si>
    <t>PRESTAÇÃO DE SERVIÇO UFV (BAMBUÍ 1.1) R&amp;C ELETRONICA NF 521</t>
  </si>
  <si>
    <t>PRESTAÇÃO DE SERVIÇO UFV (SÃO SEBASTIÃO DO OESTE 5) R&amp;C ELETRONICA NF 522</t>
  </si>
  <si>
    <t>002283</t>
  </si>
  <si>
    <t>PRESTAÇÃO DE SERVIÇO UFV (ARCOS 7) R&amp;C ELETRONICA NF 523</t>
  </si>
  <si>
    <t>PRESTAÇÃO DE SERVIÇO UFV (BAMBUÍ 1.2) R&amp;C ELETRONICA NF 524</t>
  </si>
  <si>
    <t>003032</t>
  </si>
  <si>
    <t>PRESTAÇÃO DE SERVIÇO UFV (INDAIABIRA 4) R&amp;C ELETRONICA NF 525</t>
  </si>
  <si>
    <t>003033</t>
  </si>
  <si>
    <t>PRESTAÇÃO DE SERVIÇO UFV (BURITIZEIRO 1) R&amp;C ELETRONICA NF 526</t>
  </si>
  <si>
    <t>002285</t>
  </si>
  <si>
    <t>PRESTAÇÃO DE SERVIÇO UFV (VARGINHA 1) R&amp;C ELETRONICA NF 527</t>
  </si>
  <si>
    <t>002286</t>
  </si>
  <si>
    <t>PRESTAÇÃO DE SERVIÇO UFV (SÃO SEBASTIÃO DO OESTE 1) R&amp;C ELETRONICA NF 528</t>
  </si>
  <si>
    <t>PRESTAÇÃO DE SERVIÇO UFV (VARGINHA 2) R&amp;C ELETRONICA NF 529</t>
  </si>
  <si>
    <t>PRESTAÇÃO DE SERVIÇO UFV (FREI INOCENCIO) R&amp;C ELETRONICA NF 530</t>
  </si>
  <si>
    <t>001518</t>
  </si>
  <si>
    <t>PRESTAÇÃO DE SERVIÇO UFV (CAMPO BELO 4) R&amp;C ELETRONICA NF 531</t>
  </si>
  <si>
    <t>003037</t>
  </si>
  <si>
    <t>PRESTAÇÃO DE SERVIÇO UFV (INDAIABIRA 3) R&amp;C ELETRONICA NF 532</t>
  </si>
  <si>
    <t>PRESTAÇÃO DE SERVIÇO UFV (SÃO SEBASTIÃO DO OESTE 3) R&amp;C ELETRONICA NF 533</t>
  </si>
  <si>
    <t>002289</t>
  </si>
  <si>
    <t>PRESTAÇÃO DE SERVIÇO UFV (CAMPO BELO 3) R&amp;C ELETRONICA NF 534</t>
  </si>
  <si>
    <t>002290</t>
  </si>
  <si>
    <t>PRESTAÇÃO DE SERVIÇO UFV (VARGINHA 5) R&amp;C ELETRONICA NF 535</t>
  </si>
  <si>
    <t>PRESTAÇÃO DE SERVIÇO UFV (CASSIA 1) R&amp;C ELETRONICA NF 536</t>
  </si>
  <si>
    <t>PRESTAÇÃO DE SERVIÇOS UFVs (LAGOA FORMOSA)  ENERSOLAR NF 309</t>
  </si>
  <si>
    <t>Pagamento de medição referente a revisão de projetos executivos de drenagem, necessário à construção da usina. ENVIADO POR RAFAEL RACCIATTO</t>
  </si>
  <si>
    <t>[CCC05675]</t>
  </si>
  <si>
    <t>PRESTAÇÃO DE SERVIÇOS UFVs (PATOS DE MINAS 1)  ENERSOLAR NF 313</t>
  </si>
  <si>
    <t>002205</t>
  </si>
  <si>
    <t>PRESTAÇÃO DE SERVIÇOS UFVs (PATOS DE MINAS 4)  ENERSOLAR NF 316</t>
  </si>
  <si>
    <t>002206</t>
  </si>
  <si>
    <t>PRESTAÇÃO DE SERVIÇOS UFVs (PATOS DE MINAS 8)  ENERSOLAR NF 317</t>
  </si>
  <si>
    <t xml:space="preserve">Outros - Serviços à UFV (MBA) </t>
  </si>
  <si>
    <t>PRESTAÇÃO DE SERVIÇOS UFVs ( VARGINHA1) NF 86</t>
  </si>
  <si>
    <t xml:space="preserve">Pagament referente ao acompanhamento e fiscalização da execução de obras. ENVIADO POR MBA - NÃO DESCONTAR MBA </t>
  </si>
  <si>
    <t>[CCC05676]</t>
  </si>
  <si>
    <t>MEDIÇÃO EXECUÇÃO SERVIÇO  NF 2298 (DIVINOPOLIS 1 )   OBRAS AT</t>
  </si>
  <si>
    <t>Pagamento mão de obra especializada. ENVIADO POR MBA.</t>
  </si>
  <si>
    <t>[CCC03595]</t>
  </si>
  <si>
    <t>003000</t>
  </si>
  <si>
    <t xml:space="preserve"> ( R&amp;M SOLAR)</t>
  </si>
  <si>
    <t>PRESTAÇÃO DE SERVIÇOS UFVs ( BURITIZEIRO 1) NF 42 RODRIGO MACHADO</t>
  </si>
  <si>
    <t>Pagamento referente ao cercamento das UGs. ENVIADO POR MANOEL - ESCOPO COMERC</t>
  </si>
  <si>
    <t>[CCC05677]</t>
  </si>
  <si>
    <t>003001</t>
  </si>
  <si>
    <t>PRESTAÇÃO DE SERVIÇOS UFVs ( BURITIZEIRO 2) NF  41  RODRIGO MACHADO</t>
  </si>
  <si>
    <t>Fat. Direto (GLD)</t>
  </si>
  <si>
    <t>COMPRA DE MATERIAIS UFV (MUZAMBINHO 1) NF 143611</t>
  </si>
  <si>
    <t>Pagamento em faturamento direto referente a compra de ferragens para bases e edificação, necessário à construção da usina.  ENVIADO POR RAFAEL OLIVEIRA</t>
  </si>
  <si>
    <t>[CCC05678]</t>
  </si>
  <si>
    <t>Estação solarimétrica - Hukseflux UFVs (MUZAMBINHO 1) VÍNCULO PEDIDO 000351 A401 NF6123</t>
  </si>
  <si>
    <t>[CCC05679]</t>
  </si>
  <si>
    <t>003006</t>
  </si>
  <si>
    <t>Estação solarimétrica - Hukseflux UFVs ( JABOTICATUBAS)  NF 6122 VÍNCULO PEDIDO 00516 A610</t>
  </si>
  <si>
    <t>PRESTAÇÃO DE SERVIÇO UFV ( SANTO ANTONIO DO AMPARO 1) NF 1388 STG CONSTRUTORA</t>
  </si>
  <si>
    <t>Pagamento em faturamento direto referente ao serviço de concretagem, necessário à construção da usina. ENVIADO POR RAFAEL</t>
  </si>
  <si>
    <t>[CCC05680]</t>
  </si>
  <si>
    <t>003007</t>
  </si>
  <si>
    <t>Fat. Direto ( IMPLANTAR)</t>
  </si>
  <si>
    <t>PRESTAÇÃO DE SERVIÇOS UFVs (JABOTICATUBAS) NF 315 TRANSPORTES DAVI</t>
  </si>
  <si>
    <t>Pagamento em faturamento direto referente ao serviço de locação de ônibus, necessário à construção da usina. ENVIADO POR MANOEL LIMA</t>
  </si>
  <si>
    <t>[CCC05681]</t>
  </si>
  <si>
    <t>002210</t>
  </si>
  <si>
    <t>PRESTAÇÃO DE SERVIÇO DE UFVs (DIAMANTINA 1) NF 202313  RENTAL SOLAR</t>
  </si>
  <si>
    <t>Pagamento em faturamento direto referente ao serviço de locação de equipamento bate estaca, necessário à construção da usina. ENVIADO POR MANOEL LIMA</t>
  </si>
  <si>
    <t>[CCC05682]</t>
  </si>
  <si>
    <t>003008</t>
  </si>
  <si>
    <t>Fat. Direto (GTEL)</t>
  </si>
  <si>
    <t>PRESTAÇÃO DE SERVIÇOS UFVs (SÃO SEBASTIÃO DO OESTE 0) NF 10706  CIMENTÃO</t>
  </si>
  <si>
    <t>Pagamento em faturamento direto referente ao serviço de concretagem, necessário à construção da usina. ENVIADO POR AUGUSTO SIQUEIRA</t>
  </si>
  <si>
    <t>[CCC05683]</t>
  </si>
  <si>
    <t>002275</t>
  </si>
  <si>
    <t>PRESTAÇÃO DE SERVIÇOS UFVs (ARCOS 7) NF 771 RONDA PORTEIROS</t>
  </si>
  <si>
    <t>Pagamento em faturamento direto referente ao serviço de vigilância desarmada, necessário à construção da usina. ENVIADO POR AUGUSTO SIQUEIRA</t>
  </si>
  <si>
    <t>[CCC05684]</t>
  </si>
  <si>
    <t>003009</t>
  </si>
  <si>
    <t>Fat. Direto (ENGELUZ -MT)</t>
  </si>
  <si>
    <t>COMPRA DE SERVIÇOS UFVs(PARACATU 4) NF 1518  TAVRIDA</t>
  </si>
  <si>
    <t>Pagamento referente a compra de religador . ENVIADO POR ENGELUZ</t>
  </si>
  <si>
    <t>[CCC05685]</t>
  </si>
  <si>
    <t>003010</t>
  </si>
  <si>
    <t>COMPRA DE SERVIÇOS UFVs(PARACATU 5) NF 1519  TAVRIDA</t>
  </si>
  <si>
    <t>003011</t>
  </si>
  <si>
    <t>PRESTAÇÃO DE SERVIÇOS UFVs ( PEDRA DO INDAIA 5) NF 1096 RONDA PORTEIROS</t>
  </si>
  <si>
    <t>Pagamento referente ao serviço de vigilância desarmada. ENVIADO POR AUGUSTO - ESCOPO COMERC</t>
  </si>
  <si>
    <t>[CCC05686]</t>
  </si>
  <si>
    <t>'001510</t>
  </si>
  <si>
    <t>PRESTAÇÃO DE SERVIÇOS UFVs (FORMIGA 6) NF 1094 RONDA PORTEIROS</t>
  </si>
  <si>
    <t>PRESTAÇÃO DE SERVIÇOS UFVs (FORMIGA 6)  ENERSOLAR NF 308</t>
  </si>
  <si>
    <t>Pagamento de medição referente a revisão de projetos executivos, necessário à construção da usina. ENVIADO POR RAFAEL RACCIATTO</t>
  </si>
  <si>
    <t>[CCC05687]</t>
  </si>
  <si>
    <t>002207</t>
  </si>
  <si>
    <t>PRESTAÇÃO DE SERVIÇOS UFVs (PATOS MINAS 1) NF  709</t>
  </si>
  <si>
    <t>[CCC05688]</t>
  </si>
  <si>
    <t>PRESTAÇÃO DE SERVIÇOS UFVs (VARJÃO DE MINAS 4) NF669</t>
  </si>
  <si>
    <t>Pagamento medição 3, referente a elaboração de planos, necessário à construção da UFVs. - ENVIADO POR GILSON QUEIROZ</t>
  </si>
  <si>
    <t>[CCC05689]</t>
  </si>
  <si>
    <t>PRESTAÇÃO DE SERVIÇOS UFVs (VARJÃO DE MINAS 4) NF667</t>
  </si>
  <si>
    <t>Pagamento medição 3, referente a mão de obra, necessário à construção da UFVs. - ENVIADO POR GILSON QUEIROZ</t>
  </si>
  <si>
    <t>MEDIÇÃO (GLD - EPC)</t>
  </si>
  <si>
    <t>MEDIÇÃO UFVs ( CAMPO BELO 1/ SANTO ANTONIO 1/ OURO FINO 2/ PARAGUAÇU 1/ TRES CORAÇÕES 3/ SÃO SEBASTIÃO 4) NF 673</t>
  </si>
  <si>
    <t xml:space="preserve">Pagamento referente a medição 5 de projetos de drenagem. enviado por MATHEUS VILELA </t>
  </si>
  <si>
    <t>[CCC05697]</t>
  </si>
  <si>
    <t xml:space="preserve">( CAMPO BELO 1/ SANTO ANTONIO 1/ OURO FINO 2/ PARAGUAÇU 1/ TRES CORAÇÕES 3/ SÃO SEBASTIÃO 4) NF 673 - R$ 295,888,6 </t>
  </si>
  <si>
    <t>Duplicado</t>
  </si>
  <si>
    <t>003026</t>
  </si>
  <si>
    <t>PRESTAÇÃO DE SERVIÇO UFVs (JABOTICATUBAS) NF 492</t>
  </si>
  <si>
    <t>Pagamento de medição referente a serviço de mão de obra especializada na construção de RDR, necessário à construção da usina.  ENVIADO POR ENGELUZ</t>
  </si>
  <si>
    <t>[CCC05691]</t>
  </si>
  <si>
    <t>PRESTAÇÃO DE SERVIÇO UFVs (PATOS DE MINAS 3) NF 491</t>
  </si>
  <si>
    <t>PRESTAÇÃO DE SERVIÇO UFVs (VARJÃO DE MINAS 4) NF 490</t>
  </si>
  <si>
    <t>PRESTAÇÃO DE SERVIÇOS UFVs( PARAGUAÇU 1) NF 494</t>
  </si>
  <si>
    <t>[CCC05692]</t>
  </si>
  <si>
    <t>002279</t>
  </si>
  <si>
    <t>PRESTAÇÃO DE SERVIÇOS UFVs ( MUZAMBINHO) NF 493</t>
  </si>
  <si>
    <t>DAE - Dispensa  de Licenciamento ambiental UFVs ( SANTO ANTONIO DO AMAPARO 2) N 1401312462868</t>
  </si>
  <si>
    <t>Pagamento referente a taxa de reposição florestal ao processo de intervenção ambiental. TAXA DE REPOSIÇÃO  ENVIADO POR LUIZ</t>
  </si>
  <si>
    <t>[CCC05693]</t>
  </si>
  <si>
    <t>SEGUIDO POR O&amp;M OPEX</t>
  </si>
  <si>
    <t>DAE - Dispensa  de Licenciamento ambiental UFVs ( SANTO ANTONIO DO AMAPRAO 2) N 1401312462868</t>
  </si>
  <si>
    <t>Pagamento referente a taxa de reposição florestal ao processo de intervenção ambiental. TAXA DE ANALISE ENVIADO POR LUIZ</t>
  </si>
  <si>
    <t>003027</t>
  </si>
  <si>
    <t>PRESTAÇÃO DE SERVIÇOS UFVs ( PEDRA DO INDAIA 3) NF 27 TERRA FORTE</t>
  </si>
  <si>
    <t>Pagamento referente ao cercamento das UG's. ENVIADO POR AUGUSTO ESCOPO COMERC</t>
  </si>
  <si>
    <t>Faturamento Direto MBA NF2022/22</t>
  </si>
  <si>
    <t xml:space="preserve">PRESTAÇÃO DE SERVIÇOS UFVs ( </t>
  </si>
  <si>
    <t>Obras Solatio x MBA  - ROMANEI</t>
  </si>
  <si>
    <t>Medição (MBA-AT)NF1971</t>
  </si>
  <si>
    <t>MBA Construtora LTDA</t>
  </si>
  <si>
    <t>Obras Solatio x MBA - ROMANEI</t>
  </si>
  <si>
    <t>PRESTAÇÃO DE SERVIÇOS UFVs ( PATOS DE MINAS 4) NF 710</t>
  </si>
  <si>
    <t>[CCC05694]</t>
  </si>
  <si>
    <t>MEDIÇÃO (ENGELUZ-RDA INTERNO)</t>
  </si>
  <si>
    <t>PRESTAÇÃO DE SERVIÇO UFVs (PATOS DE MINAS 1) NF 498</t>
  </si>
  <si>
    <t>Pagamento de medição referente a serviço de mão de obra especializada na construção de RDR, RDA INTERNO- necessário à construção da usina.  ENVIAO POR ENGELUZ</t>
  </si>
  <si>
    <t>[CCC05695]</t>
  </si>
  <si>
    <t>PRESTAÇÃO DE SERVIÇO UFVs (PATOS DE MINAS 4) NF 499</t>
  </si>
  <si>
    <t>003039</t>
  </si>
  <si>
    <t xml:space="preserve">PRESTAÇÃO DE SERVIÇOS UFVs ( BURITIZEIRO 1) NF 1073 RONDA PORTEIROS </t>
  </si>
  <si>
    <t>Pagamento referente a prestação de serviços de vigilancia. ENVIADOS POR MANOEL - ESCOPO COMERC</t>
  </si>
  <si>
    <t>[CCC05696]</t>
  </si>
  <si>
    <t>003040</t>
  </si>
  <si>
    <t xml:space="preserve">PRESTAÇÃO DE SERVIÇOS UFVs ( BURITIZEIRO2) NF 1131 RONDA PORTEIROS </t>
  </si>
  <si>
    <t>003042</t>
  </si>
  <si>
    <t xml:space="preserve">PRESTAÇÃO DE SERVIÇOS UFVs ( INDAIABIRA 3) NF 1129 RONDA PORTEIROS </t>
  </si>
  <si>
    <t>003041</t>
  </si>
  <si>
    <t xml:space="preserve">PRESTAÇÃO DE SERVIÇOS UFVs ( INDAIABIRA 4) NF 1130 RONDA PORTEIROS </t>
  </si>
  <si>
    <t>003038</t>
  </si>
  <si>
    <t>MEDIÇÃO UFVs ( DIVINOPOLIS 1.2 / PAINS 3/ SÃO SEBASTIÃO 0,6 /JABOTICATUBAS/ PAINS 1,2) NF 682</t>
  </si>
  <si>
    <t>MEDIÇÃO UFVs ( DIVINOPOLIS 1.2 / PAINS 3/ SÃO SEBASTIÃO 0,6 /JABOTICATUBAS/ PAINS 1,2) NF 68 R$ 97148,1</t>
  </si>
  <si>
    <t>MEDIÇÃO UFVs ( PATOS DE MINAS 3 / VARJÃO 4 / DIAMANTINA1,2) NF 683</t>
  </si>
  <si>
    <t>s ( PATOS DE MINAS 3 / VARJÃO 4 / DIAMANTINA1,2) NF 683 R$110296,2</t>
  </si>
  <si>
    <t xml:space="preserve"> ( CAMPO BELO 1/ SANTO ANTONIO 1/ OURO FINO 2/ PARAGUAÇU 1/ TRES CORAÇÕES 3/ SÃO SEBASTIÃO 4) NF 673
R$ 295,888,6 </t>
  </si>
  <si>
    <t>MEDIÇÃO UFVs ( ALFENAS 4/ CAMPO BELO 2 / PASSOS 4) NF 672</t>
  </si>
  <si>
    <t>( ALFENAS 4/ CAMPO BELO 2 / PASSOS 4) NF 672  _R$103296,2</t>
  </si>
  <si>
    <t xml:space="preserve">PRESTAÇÃO DE SERVIÇOS UFVs ( CAMPO BELO 4) NF 105 RL VIGILANCIA </t>
  </si>
  <si>
    <t>Pagamento referente a prestação de serviços de vigilancia. ENVIADOS POR RODRIGO- ESCOPO COMERC</t>
  </si>
  <si>
    <t>[CCC05698]</t>
  </si>
  <si>
    <t xml:space="preserve">PRESTAÇÃO DE SERVIÇOS UFVs ( CASSIA 1) NF 10 RL VIGILANCIA </t>
  </si>
  <si>
    <t xml:space="preserve">PRESTAÇÃO DE SERVIÇOS UFVs ( CASSIA 2) NF 11RL VIGILANCIA </t>
  </si>
  <si>
    <t xml:space="preserve">PRESTAÇÃO DE SERVIÇOS UFVs ( BAMBUI 1.2) NF 1132 RONDA PORTEIROS </t>
  </si>
  <si>
    <t>[CCC05699]</t>
  </si>
  <si>
    <t xml:space="preserve">PRESTAÇÃO DE SERVIÇOS UFVs ( BAMBUI 1.1) NF 1133 RONDA PORTEIROS </t>
  </si>
  <si>
    <t xml:space="preserve">PRESTAÇÃO DE SERVIÇOS UFVs ( FREI INOCENCIO) NF 1069  RONDA PORTEIROS </t>
  </si>
  <si>
    <t xml:space="preserve">PRESTAÇÃO DE SERVIÇOS UFVs ( SÃO SEBASTIÃO 3) NF 1134  RONDA PORTEIROS </t>
  </si>
  <si>
    <t xml:space="preserve">PRESTAÇÃO DE SERVIÇOS UFVs ( SÃO SEBASTIÃO 5) NF 1135 RONDA PORTEIROS </t>
  </si>
  <si>
    <t>003043</t>
  </si>
  <si>
    <t xml:space="preserve">PRESTAÇÃO DE SERVIÇOS UFVs (GUARDA MOR) NF 1066 RONDA PORTEIROS </t>
  </si>
  <si>
    <t>A216-MORI GERACAO II - VARJÃO DE MINAS 1</t>
  </si>
  <si>
    <t xml:space="preserve">PRESTAÇÃO DE SERVIÇOS UFVs (VARJÃO DE MINAS 1) NF 1067 RONDA PORTEIROS </t>
  </si>
  <si>
    <t xml:space="preserve">PRESTAÇÃO DE SERVIÇOS UFVs ( NOVA  PONTE 1) NF 1074 RONDA PORTEIROS </t>
  </si>
  <si>
    <t xml:space="preserve">PRESTAÇÃO DE SERVIÇOS UFVs ( SÃO SEBASTIÃO DO OESTE  1) NF 1136 RONDA PORTEIROS </t>
  </si>
  <si>
    <t>Fat. Direto (R&amp;M SOLAR)</t>
  </si>
  <si>
    <t>PRESTAÇÃO DE SERVIÇOS UFVs ( VARJÃO DE MINAS 4) NF 0101  IVONEIDE</t>
  </si>
  <si>
    <t>Pagamento referente ao serviço de locação de retroescavadeira, obras de drenagem. ENVIADO POR GILSON</t>
  </si>
  <si>
    <t>[CCC05700]</t>
  </si>
  <si>
    <t>003044</t>
  </si>
  <si>
    <t xml:space="preserve">PRESTAÇÃO DE SERVIÇOS UFVs (PEDRA DO INDAIÁ 5) NF 71 KPD </t>
  </si>
  <si>
    <t>Pagamento em fauramento direto referente ao serviço de cravação de estaca, necessário à construção da usina. ENVIADO POR AUGUSTO XAVIER</t>
  </si>
  <si>
    <t>[CCC05701]</t>
  </si>
  <si>
    <t>PRESTAÇÃO DE SERVIÇOS UFVs ( VARJÃO DE MINAS 4) NF5 LUIZ MACHADO</t>
  </si>
  <si>
    <t>Pagamento referente ao serviço de locação de caminhão, obras de drenagem. ENVIADO POR GILSON</t>
  </si>
  <si>
    <t>003045</t>
  </si>
  <si>
    <t>PRESTAÇÃO DE SERVIÇO UFVs (JABOTICATUBAS) NF 500</t>
  </si>
  <si>
    <t>Pagamento de medição referente a serviço de mão de obra especializada na construção de RDR, necessário à construção da usina.  ENVIAO POR ENGELUZ</t>
  </si>
  <si>
    <t>[CCC05702]</t>
  </si>
  <si>
    <t>PRESTAÇÃO DE SERVIÇO UFVs ( VARJÃO DE MINAS 4) NF 501</t>
  </si>
  <si>
    <t>A627-ESTRELA DO NORTE - UFV SAO SEBASTIAO 6</t>
  </si>
  <si>
    <t>003048</t>
  </si>
  <si>
    <t>PRESTAÇÃO DE SERVIÇO UFVs (SÃO SEBASTIÃO DO OESTE 6) NF 497</t>
  </si>
  <si>
    <t>003051</t>
  </si>
  <si>
    <t>PRESTAÇÃO DE SERVIÇO UFVs (DIVINOPOLIS 1) NF 495</t>
  </si>
  <si>
    <t>MEDIÇÃO MENSAL UFVs ( Paracatu 8)   AFAPLAN   NF   9552</t>
  </si>
  <si>
    <t>Pagamento de medição, serviço contratuais de Engenharia do proprietário,  necessário à construção da UFV. SET/2023 - ENVIADO POR AFAPLAN</t>
  </si>
  <si>
    <t>[CCC05703]</t>
  </si>
  <si>
    <t>A609- ESTRELA DO NORTE - UFV INDAIABIRA 1</t>
  </si>
  <si>
    <t>003058</t>
  </si>
  <si>
    <t>MEDIÇÃO MENSAL UFVs ( INDAIABIRA 1)   AFAPLAN   NF 9553</t>
  </si>
  <si>
    <t>003059</t>
  </si>
  <si>
    <t>MEDIÇÃO MENSAL UFVs ( INDAIABIRA 2)   AFAPLAN   NF 9554</t>
  </si>
  <si>
    <t>PRESTAÇÃO DE SERVIÇOS UFVs ( PATOS DE MINAS 7) NF 1365</t>
  </si>
  <si>
    <t xml:space="preserve">Pagamento ultima medição , referente aos serviços de drenagem . ENVIADO POR GILSON </t>
  </si>
  <si>
    <t>[CCC05704]</t>
  </si>
  <si>
    <t>PRESTAÇÃO DE SERVIÇOS UFVs ( PATOS DE MINAS 7) NF 1366</t>
  </si>
  <si>
    <t xml:space="preserve">Pagamento medição de aditivo, referente aos serviços de drenagem . ENVIADO POR GILSON </t>
  </si>
  <si>
    <t>PRESTAÇÃO DE SERVIÇOS (PATOS DE MINAS 4) SEVEN NF 330</t>
  </si>
  <si>
    <t>Pagamento referente a medição de ELABORAÇÃO DE PROJETO CONTRA INCÊNDIO. 50% INICIAIS - ENVIADO POR GUILHERME KUSEL</t>
  </si>
  <si>
    <t>[CCC05705]</t>
  </si>
  <si>
    <t>PRESTAÇÃO DE SERVIÇOS (PATOS DE MINAS 7) SEVEN NF 331</t>
  </si>
  <si>
    <t>PRESTAÇÃO DE SERVIÇOS (PATOS DE MINAS 8) SEVEN NF 332</t>
  </si>
  <si>
    <t>PRESTAÇÃO DE SERVIÇOS (PATROCINIO 2) SEVEN NF 333</t>
  </si>
  <si>
    <t>PRESTAÇÃO DE SERVIÇOS (PATROCINIO 3) SEVEN NF 334</t>
  </si>
  <si>
    <t>003063</t>
  </si>
  <si>
    <t>PRESTAÇÃO DE SERVIÇOS (PEDRA DO INDAIÁ 1) SEVEN NF 353</t>
  </si>
  <si>
    <t>003064</t>
  </si>
  <si>
    <t>PRESTAÇÃO DE SERVIÇOS (PEDRA DO INDAIÁ 5) SEVEN NF 354</t>
  </si>
  <si>
    <t>003065</t>
  </si>
  <si>
    <t>PRESTAÇÃO DE SERVIÇOS (PEDRA DO INDAIÁ 3) SEVEN NF 355</t>
  </si>
  <si>
    <t>003066</t>
  </si>
  <si>
    <t>PRESTAÇÃO DE SERVIÇOS (SANTO ANTONIO DO AMPARO 1) SEVEN NF 343</t>
  </si>
  <si>
    <t>003067</t>
  </si>
  <si>
    <t>PRESTAÇÃO DE SERVIÇOS (SÃO SEBASTIÃO DO OESTE 1) SEVEN NF 357</t>
  </si>
  <si>
    <t>PRESTAÇÃO DE SERVIÇOS (SÃO SEBASTIÃO DO OESTE 4) SEVEN NF 341</t>
  </si>
  <si>
    <t>003068</t>
  </si>
  <si>
    <t>PRESTAÇÃO DE SERVIÇOS (SÃO SEBASTIÃO DO OESTE 6) SEVEN NF 358</t>
  </si>
  <si>
    <t>PRESTAÇÃO DE SERVIÇOS (TRÊS CORAÇÕES 3) SEVEN NF 345</t>
  </si>
  <si>
    <t>PRESTAÇÃO DE SERVIÇOS (VARJÃO DE MINAS 4) SEVEN NF 335</t>
  </si>
  <si>
    <t>PRESTAÇÃO DE SERVIÇOS (PARAGUAÇU 1) SEVEN NF 340</t>
  </si>
  <si>
    <t>PRESTAÇÃO DE SERVIÇOS (PASSOS 4) SEVEN NF 349</t>
  </si>
  <si>
    <t>002263</t>
  </si>
  <si>
    <t>PRESTAÇÃO DE SERVIÇOS (PATOS DE MINAS 1) SEVEN NF 328</t>
  </si>
  <si>
    <t>PRESTAÇÃO DE SERVIÇOS (PATOS DE MINAS 3) SEVEN NF 329</t>
  </si>
  <si>
    <t xml:space="preserve">PRESTAÇÃO DE SERVIÇOS UFVs ( PATROCINIO 2 E 3) NF 48846 ATIVA LOCAÇÃO </t>
  </si>
  <si>
    <t>PAGAMENTO REFERENTE AO ALUGUEL DE CONTAINERS. ENVIADO POR GILSON</t>
  </si>
  <si>
    <t>[CCC05706]</t>
  </si>
  <si>
    <t>PRESTAÇÃO DE SERVIÇOS UFVs ( LAGOA FORMOSA) NF 2214 INOVAR LOCAÇÕES</t>
  </si>
  <si>
    <t>[CCC05707]</t>
  </si>
  <si>
    <t>PRESTAÇÃO DE SERVIÇOS UFVs (PATROCINIO 2) NF 2213 INOVAR LOCAÇÕES</t>
  </si>
  <si>
    <t>PRESTAÇÃO DE SERVIÇOS UFVs (PATROCINIO 3) NF 2212 INOVAR LOCAÇÕES</t>
  </si>
  <si>
    <t xml:space="preserve">PRESTAÇÃO DE SERVIÇOS UFVs ( PATROCINIO 2) NF 111 RPA </t>
  </si>
  <si>
    <t>PAGAMENTO REFERENTE AO FORNECIMENTO DE INTERNET. ENVIADO POR GILSON</t>
  </si>
  <si>
    <t>[CCC05708]</t>
  </si>
  <si>
    <t>PRESTAÇÃO DE SERVIÇOS UFVs (LAGOA FORMOSA 1) NF 1087 RONDA PORTEIROS</t>
  </si>
  <si>
    <t>Pagamento referente a prestação de serviços de vigilancia. ENVIADOS POR GILSON  ESCOPO COMERC</t>
  </si>
  <si>
    <t>[CCC05709]</t>
  </si>
  <si>
    <t>A209 MORI GERACAO II- UFV PATROCINIO 2</t>
  </si>
  <si>
    <t>PRESTAÇÃO DE SERVIÇOS UFVs ( PATROCINIO 2) NF 1104 RONDA PORTEIROS</t>
  </si>
  <si>
    <t>PRESTAÇÃO DE SERVIÇOS UFVs ( PATROCINIO 3 ) NF 1105 RONDA PORTEIROS</t>
  </si>
  <si>
    <t>PRESTAÇÃO DE SERVIÇOS UFVs ( PATOS DE MINAS 3 ) NF 1085 RONDA PORTEIROS</t>
  </si>
  <si>
    <t xml:space="preserve">Pagamento referente a prestação de serviços de vigilancia. ENVIADOS POR GILSON  ESCOPO COMERC-  ADICIONAL  </t>
  </si>
  <si>
    <t>002243</t>
  </si>
  <si>
    <t>PRESTAÇÃO DE SERVIÇOS UFVs (VARJÃO DE MINAS 4) NF 1088 RONDA PORTEIROS</t>
  </si>
  <si>
    <t xml:space="preserve">Pagamento referente a prestação de serviços de vigilancia. ENVIADOS POR GILSON  ESCOPO COMERC - ADICIONAL </t>
  </si>
  <si>
    <t>PRESTAÇÃO DE SERVIÇOS UFVs (VARJÃO DE MINAS 4) NF 180 JOSE CARLOS</t>
  </si>
  <si>
    <t>Pagamento referente  ao serviço de terraplenagem, SERIA UM SERVIÇO VIA PRUMO mas estamos seguindo como ESCOPO COMERC.  ENVIADO POR GILSON</t>
  </si>
  <si>
    <t>[CCC05710]</t>
  </si>
  <si>
    <t>JOSE CARLOS</t>
  </si>
  <si>
    <t xml:space="preserve">MEDIÇÃO ( MBA - MT) </t>
  </si>
  <si>
    <t>PRESTAÇÃO DE SERVIÇOS UFVs (VARGINHA 1)  NF 2768</t>
  </si>
  <si>
    <t>Pagamento de medição referente ao serviço de remoção de rede de distribuição rural para atender à UFV, no município de Varginha. ENVIADO POR MBA</t>
  </si>
  <si>
    <t>[CCC05711]</t>
  </si>
  <si>
    <t>PRESTAÇÃO DE SERVIÇOS UFVs (CAMPO BELO 3)  NF 2767</t>
  </si>
  <si>
    <t>Pagamento de medição final referente ao serviço de montagem e instalação elétrica de redes de distribuição de energia rural e urbana, no município de Campo Belo – MG. ENVIADO POR MBA</t>
  </si>
  <si>
    <t>COMPRA DE MATERIAIS UFVs (DIAMANTINA 2) NF 7360 CAMPO ALEGRE</t>
  </si>
  <si>
    <t>COMPRA DE POSTES NECESSÁRIOS A CONSTRUÇÃO DA USINA. ENVIADO POR ENGELUZ</t>
  </si>
  <si>
    <t>[CCC05712]</t>
  </si>
  <si>
    <t>002246</t>
  </si>
  <si>
    <t>COMPRA DE MATERIAIS UFVs (DIAMANTINA 2) NF 5658 TECFIBRAS</t>
  </si>
  <si>
    <t>COMPRA DE CRUZETAS NECESSÁRIOS A CONSTRUÇÃO DA USINA. ENVIADO POR ENGELUZ</t>
  </si>
  <si>
    <t>COMPRA DE MATERIAIS UFVs (DIAMANTINA 2) NF 1072  WAS COMERCIAL</t>
  </si>
  <si>
    <t>COMPRA DE MATERIAIS NECESSÁRIOS A CONSTRUÇÃO DA USINA. ENVIADO POR ENGELUZ</t>
  </si>
  <si>
    <t xml:space="preserve">COMPRA DE MATERIAIS UFVs (PARAGUAÇU 1) NF 807 CAMARGOS </t>
  </si>
  <si>
    <t>[CCC05713]</t>
  </si>
  <si>
    <t xml:space="preserve">COMPRA DE MATERIAIS UFVs (PARAGUAÇU 1) NF 7363 CAMPO ALEGRE </t>
  </si>
  <si>
    <t xml:space="preserve">COMPRA DE MATERIAIS UFVs (PARAGUAÇU 1) NF 14967 CAMPO ALEGRE </t>
  </si>
  <si>
    <t>COMPRA DE MATERIAIS UFVs (PARAGUAÇU 1) NF 71839  SULMINAS</t>
  </si>
  <si>
    <t>002253</t>
  </si>
  <si>
    <t xml:space="preserve">COMPRA DE MATERIAIS UFVs (DIAMANTINA 1 ) NF 7358 CAMPO ALEGRE </t>
  </si>
  <si>
    <t xml:space="preserve">COMPRA DE MATERIAIS UFVs (DIAMANTINA 1 ) NF 14964 CAMPO ALEGRE </t>
  </si>
  <si>
    <t>002257</t>
  </si>
  <si>
    <t xml:space="preserve">COMPRA DE MATERIAIS UFVs (MUZAMBINHO) NF 7362  CAMPO ALEGRE </t>
  </si>
  <si>
    <t>002345</t>
  </si>
  <si>
    <t xml:space="preserve">COMPRA DE MATERIAIS UFVs (MUZAMBINHO) NF 808 CAMARGOS </t>
  </si>
  <si>
    <t>003069</t>
  </si>
  <si>
    <t xml:space="preserve">PRESTAÇÃO DE SERVIÇOS UFVs (PEDRA DO INDAIA 3) NF 306 MIPE CONSTRUTORA </t>
  </si>
  <si>
    <t>Pagamento de medição , referente ao serviço de CONSTRUÇÃO DE SISTEMA DE  DRENAGEM, necessário a construção da usina. CONTRATO MIPE CONSTRUTORA.  ENVIADO POR AUGUSTO</t>
  </si>
  <si>
    <t>[CCC05714]</t>
  </si>
  <si>
    <t>COMPRA DE MATERIAIS UFVs (SÃO SEBASTIÃO DO OESTE 0) NF 6400 UNIVERSO DA ELETRICA</t>
  </si>
  <si>
    <t>COMPRA DE MATERIAIS NECESSÁRIOS A CONSTRUÇÃO DA USINA. ENVIADO POR AUGUSO</t>
  </si>
  <si>
    <t>[CCC05715]</t>
  </si>
  <si>
    <t>COMPRA DE MATERIAIS UFVs (SÃO SEBASTIÃO DO OESTE 5) NF 6401 UNIVERSO DA ELETRICA</t>
  </si>
  <si>
    <t>PRESTAÇÃO DE SERVIÇOS UVs ( OURO FINO 2) NF 576  GERALDO ALVES</t>
  </si>
  <si>
    <t>Pagamento referente ao serviço de elaboração de projeto de rede de distribuição. ENVIADO POR MBA</t>
  </si>
  <si>
    <t>[CCC05716]</t>
  </si>
  <si>
    <t>PRESTAÇÃO DE SERVIÇOS UVs ( PASSOS 4) NF 575  GERALDO ALVES</t>
  </si>
  <si>
    <t>002315</t>
  </si>
  <si>
    <t xml:space="preserve">PRESTAÇÃO DE SERVIÇOS UFVs (VARGINHA 1) NF 822 RONDA PORTEIROS </t>
  </si>
  <si>
    <t>Pagamento referente a prestação de serviços de vigilancia. ENVIADOS POR RAFAEL- ESCOPO COMERC</t>
  </si>
  <si>
    <t>[CCC05717]</t>
  </si>
  <si>
    <t xml:space="preserve">PRESTAÇÃO DE SERVIÇOS UFVs (VARGINHA 2) NF 826 RONDA PORTEIROS </t>
  </si>
  <si>
    <t>002316</t>
  </si>
  <si>
    <t>PRESTAÇÃO DE SERVIÇOS UFVs (MUZAMBINHO 1) NF 674</t>
  </si>
  <si>
    <t>Pagamento medição 3, referente a prestação de serviço de mão de obra, necessário à construção da UFVs. 65% - ENVIADO POR RAFAEL</t>
  </si>
  <si>
    <t>[CCC05718]</t>
  </si>
  <si>
    <t>PRESTAÇÃO DE SERVIÇOS UFVs (MUZAMBINHO 1) NF 675</t>
  </si>
  <si>
    <t>Pagamento medição 3, referente a elaboração de planos, necessário à construção da UFVs. 35% - ENVIADO POR RAFAEL</t>
  </si>
  <si>
    <t>002318</t>
  </si>
  <si>
    <t>PRESTAÇÃO DE SERVIÇOS UFVs ( PARAGUAÇU 1) NF 676</t>
  </si>
  <si>
    <t>PRESTAÇÃO DE SERVIÇOS UFVs ( PARAGUAÇU 1) NF 677</t>
  </si>
  <si>
    <t>002265</t>
  </si>
  <si>
    <t>PRESTAÇÃO DE SERVIÇOS (DIAMANTINA 1) SEVEN NF 326</t>
  </si>
  <si>
    <t>[CCC05719]</t>
  </si>
  <si>
    <t>PRESTAÇÃO DE SERVIÇOS (DIAMANTINA 2) SEVEN NF 327</t>
  </si>
  <si>
    <t>PRESTAÇÃO DE SERVIÇOS (ARCOS 7) SEVEN NF 336</t>
  </si>
  <si>
    <t>PRESTAÇÃO DE SERVIÇOS (CAMPO BELO 1) SEVEN NF 337</t>
  </si>
  <si>
    <t>002323</t>
  </si>
  <si>
    <t>PRESTAÇÃO DE SERVIÇOS (CAMPO BELO 3) SEVEN NF 338</t>
  </si>
  <si>
    <t>PRESTAÇÃO DE SERVIÇOS (CAMPO BELO 5) SEVEN NF 339</t>
  </si>
  <si>
    <t>PRESTAÇÃO DE SERVIÇOS (MUZAMBINHO) SEVEN NF 342</t>
  </si>
  <si>
    <t>PRESTAÇÃO DE SERVIÇOS (OURO FINO 2) SEVEN NF 344</t>
  </si>
  <si>
    <t>PRESTAÇÃO DE SERVIÇOS (ALFENAS 4) SEVEN NF 346</t>
  </si>
  <si>
    <t>PRESTAÇÃO DE SERVIÇOS (CAMPO BELO 2) SEVEN NF 347</t>
  </si>
  <si>
    <t>PRESTAÇÃO DE SERVIÇOS (FORMIGA 6) SEVEN NF 348</t>
  </si>
  <si>
    <t>003070</t>
  </si>
  <si>
    <t>PRESTAÇÃO DE SERVIÇOS (DIVINOPOLIS 1) SEVEN NF 350</t>
  </si>
  <si>
    <t>003071</t>
  </si>
  <si>
    <t>PRESTAÇÃO DE SERVIÇOS (DIVINOPOLIS 2) SEVEN NF 351</t>
  </si>
  <si>
    <t>003072</t>
  </si>
  <si>
    <t>PRESTAÇÃO DE SERVIÇOS (DIVINOPOLIS 3) SEVEN NF 352</t>
  </si>
  <si>
    <t>003073</t>
  </si>
  <si>
    <t>PRESTAÇÃO DE SERVIÇOS (PAINS 3) SEVEN NF 356</t>
  </si>
  <si>
    <t>003074</t>
  </si>
  <si>
    <t>PRESTAÇÃO DE SERVIÇOS (JABOTICATUBAS) SEVEN NF 359</t>
  </si>
  <si>
    <t>003075</t>
  </si>
  <si>
    <t>PRESTAÇÃO DE SERVIÇOS (PARACATU 4) SEVEN NF 360</t>
  </si>
  <si>
    <t>003081</t>
  </si>
  <si>
    <t>PRESTAÇÃO DE SERVIÇOS (PARACATU 5) SEVEN NF 361</t>
  </si>
  <si>
    <t>PRESTAÇÃO DE SERVIÇOS ( CAMPO BELO 3) NF 2777</t>
  </si>
  <si>
    <t>Pagamento referente ao medição final do serviço de montagem e instalação elétrica de redes de distribuição de energia rural e urbana. ENVIADO POR MBA</t>
  </si>
  <si>
    <t>[CCC05720]</t>
  </si>
  <si>
    <t>Medição 01 - INST/5417 - ESCOPO COLATIO - FINAL (Campo Belo 2)</t>
  </si>
  <si>
    <t>002331</t>
  </si>
  <si>
    <t>PRESTAÇÃO DE SERVIÇO UFV (SANTO ANTONIO DO AMPARO 1) NF 678</t>
  </si>
  <si>
    <t xml:space="preserve">Pagamento de medição 6, referente a mão de obra , necessários a construção da UFVs, em contrato EPC.  65% - ENVIADO POR SM RAFAEL OLIVEIRA </t>
  </si>
  <si>
    <t>[CCC05721]</t>
  </si>
  <si>
    <t>PRESTAÇÃO DE SERVIÇO UFV (SANTO ANTONIO DO AMPARO 1) NF 679</t>
  </si>
  <si>
    <t xml:space="preserve">Pagamento de medição 6, referente elaboração de planos,  necessários a construção da UFVs, em contrato EPC.  35% - ENVIADO POR SM RAFAEL OLIVEIRA </t>
  </si>
  <si>
    <t>002333</t>
  </si>
  <si>
    <t>PRESTAÇÃO DE SERVIÇO UFV (SANTO ANTONIO DO AMPARO 1) NF 680</t>
  </si>
  <si>
    <t xml:space="preserve">Pagamento de medição 1° ADITIVO , referente a mão de obra , necessários a construção da UFVs, em contrato EPC.  65% - ENVIADO POR SM RAFAEL OLIVEIRA </t>
  </si>
  <si>
    <t>002334</t>
  </si>
  <si>
    <t>PRESTAÇÃO DE SERVIÇO UFV (SANTO ANTONIO DO AMPARO 1) NF 681</t>
  </si>
  <si>
    <t xml:space="preserve">Pagamento de medição 1° ADITIVO, referente elaboração de planos,  necessários a construção da UFVs, em contrato EPC.  35% - ENVIADO POR SM RAFAEL OLIVEIRA </t>
  </si>
  <si>
    <t>Fat. Direto (IMPLANTAR -EPC)</t>
  </si>
  <si>
    <t>PRESTAÇÃO DE SERVIÇO UFV (PATOS DE MINAS 1) NF 22  SIRLENE</t>
  </si>
  <si>
    <t>Pagamento em faturamento direto referente ao fornecimento de alimentação. ENVIADO POR GILSON</t>
  </si>
  <si>
    <t>[CCC05722]</t>
  </si>
  <si>
    <t>COMPRA DE MATERIAIS UFVs (PATOS DE MINAS 7) NF 9821 PARAENG</t>
  </si>
  <si>
    <t>Pagamento referente a compra de materiais, necessário à construção da usina. ESCOPO COMERC - ENVIADO POR GILSON QUEIROZ</t>
  </si>
  <si>
    <t>[CCC05723]</t>
  </si>
  <si>
    <t>COMPRA DE MATERIAIS UFVs (PATOS DE MINAS 8) NF 9822 PARAENG</t>
  </si>
  <si>
    <t>PRESTAÇÃO DE SERVIÇOS UFVs (POUSO ALEGRE 1 )   N 160619019  CEMIG</t>
  </si>
  <si>
    <t>Pagamento referente a 5ª parcela da PFC do parecer de acesso de Pouso Alegre I – 2,5MW. ESCOPO COMERC 4/6</t>
  </si>
  <si>
    <t>[CCC05724]</t>
  </si>
  <si>
    <t>PRESTAÇÃO DE SERVIÇO UFVs (PATOS DE MINAS 1) NF 2 DL</t>
  </si>
  <si>
    <t>Pagamento erm faturamento direto, referente a locação de retroescavadeira, necessário à construção da usina. ENVIADO POR GILSON QUEIROZ</t>
  </si>
  <si>
    <t>[CCC05725]</t>
  </si>
  <si>
    <t>CANCELADO DUPLICADA</t>
  </si>
  <si>
    <t>PRESTAÇÃO DE SERVIÇO UFVs (PATOS DE MINAS 4) NF 21 SIRLENE</t>
  </si>
  <si>
    <t>Pagamento erm faturamento direto, referente ao fornecimento de alimentação, necessário à construção da usina. ENVIADO POR GILSON QUEIROZ</t>
  </si>
  <si>
    <t>[CCC05726]</t>
  </si>
  <si>
    <t>PRESTAÇÃO DE SERVIÇO UFVs (PATOS DE MINAS 4) NF 38 PORTAL DOS POÇOS</t>
  </si>
  <si>
    <t>Pagamento erm faturamento direto, referente a locação de equipamento de prerfuração, necessário à construção da usina. ENVIADO POR GILSON QUEIROZ</t>
  </si>
  <si>
    <t>002280</t>
  </si>
  <si>
    <t>COMPRA DE MATERIAIS UFVs (PATOS DE MINAS 3) NF 64109  POSTO RODOMILHO</t>
  </si>
  <si>
    <t>Pagamento em faturamento direto, referente a compra de combustivel, necessário à construção da usina.  ENVIADO POR GILSON QUEIROZ</t>
  </si>
  <si>
    <t>[CCC05727]</t>
  </si>
  <si>
    <t>002291</t>
  </si>
  <si>
    <t xml:space="preserve">PRESTAÇÃO DE SERVIÇO UFVs (DIAMANTINA 1) NF 8 LUIZ CARLOS  </t>
  </si>
  <si>
    <t>Pagamento em faturamento direto, referente a fabricação de estruturas metalicas, necessário à construção da usina.  ENVIADO POR MANOEL</t>
  </si>
  <si>
    <t>[CCC05728]</t>
  </si>
  <si>
    <t>002381</t>
  </si>
  <si>
    <t>PRESTAÇÃO DE SERVIÇO UFVs (PATOS DE MINAS 3) NF 2337 INOVAR</t>
  </si>
  <si>
    <t>Pagamento em faturamento direto, referente a locação de containers, necessário à construção da usina. ENVIADO POR GILSON QUEIROZ</t>
  </si>
  <si>
    <t>[CCC05729]</t>
  </si>
  <si>
    <t>PRESTAÇÃO DE SERVIÇO UFVs (PATOS DE MINAS 3) NF 202314 RENTAL SOLAR</t>
  </si>
  <si>
    <t>Pagamento em faturamento direto, referente a locação de equipamento bate estaca, necessário à construção da usina. ENVIADO POR GILSON QUEIROZ</t>
  </si>
  <si>
    <t>[CCC05730]</t>
  </si>
  <si>
    <t>002281</t>
  </si>
  <si>
    <t>PRESTAÇÃO DE SERVIÇO UFVs (PATOS DE MINAS 8) NF 4 D'PAULON</t>
  </si>
  <si>
    <t>Pagamento em faturamento direto, referente a prestação de serviço de mão de obra civil, necessário à construção da usina. ENVIADO POR GILSON QUEIROZ</t>
  </si>
  <si>
    <t>[CCC05731]</t>
  </si>
  <si>
    <t>PRESTAÇÃO DE SERVIÇO UFVs (PATOS DE MINAS 1) NF 6 D'PAULON</t>
  </si>
  <si>
    <t>COMPRA DE MATERIAIS UFVS (PATOS DE MINAS 4) NF 63180  POSTO RODOMILHO</t>
  </si>
  <si>
    <t>Pagamento em faturamento direto referente a compra de combustível, necessário à construção da usina. ENVIADO POR GILSON QUEIROZ</t>
  </si>
  <si>
    <t>[CCC05732]</t>
  </si>
  <si>
    <t>Fat. Direto (GLD -EPC)</t>
  </si>
  <si>
    <t>PRESTAÇÃO DE SERVIÇO UFVs ( PARAGUAÇU 1) NF 1115 RONDA PORTEIRO</t>
  </si>
  <si>
    <t>Pagamento refrente a prestação de serviços de vigilancia desarmada . ENVIADO POR RAFAEL</t>
  </si>
  <si>
    <t>[CCC05733]</t>
  </si>
  <si>
    <t>PRESTAÇÃO DE SERVIÇO UFVs (OURO FINO 2) NF 1115 RONDA PORTEIRO</t>
  </si>
  <si>
    <t>PRESTAÇÃO DE SERVIÇO UFVs (PATOS DE MINAS 3) NF 8 MESS ENGENHARIA</t>
  </si>
  <si>
    <t>[CCC05734]</t>
  </si>
  <si>
    <t>PRESTAÇÃO DE SERVIÇO UFVs (PATOS DE MINAS 3) NF 2765 MBA</t>
  </si>
  <si>
    <t>Pagamento em faturamento direto referente a prestação de serviço de obra civil, necessário à construção da usina. ENVIADO POR GILSON QUEIROZ</t>
  </si>
  <si>
    <t>[CCC05735]</t>
  </si>
  <si>
    <t>PRESTAÇÃO DE SERVIÇO UFVs (PATOS DE MINAS 4) NF 2766 MBA</t>
  </si>
  <si>
    <t>[CCC05736]</t>
  </si>
  <si>
    <t>003079</t>
  </si>
  <si>
    <t>PRESTAÇÃO DE SERVIÇO UFVs (PEDRA DO INDAIA 1) RONDA PORTEIROS NF 1125</t>
  </si>
  <si>
    <t>Pagamento em faturamento direto referente ao serviço de vigilancia desarmada, necessário à construção da usina. ENVIADO POR AUGUSTO XAVIER</t>
  </si>
  <si>
    <t>[CCC05737]</t>
  </si>
  <si>
    <t>003080</t>
  </si>
  <si>
    <t>PRESTAÇÃO DE SERVIÇO UFVs (PEDRA DO INDAIA 5) RONDA PORTEIROS NF 1126</t>
  </si>
  <si>
    <t>002353</t>
  </si>
  <si>
    <t>PRESTAÇÃO DE SERVIÇO UFVs (ARCOS 7) RONDA PORTEIROS NF 1127</t>
  </si>
  <si>
    <t>PRESTAÇÃO DE SERVIÇO UFVs (FORMIGA 6) RONDA PORTEIROS NF 1128</t>
  </si>
  <si>
    <t>PRESTAÇÃO DE SERVIÇO UFVs (PATOS DE MINAS 4) NF 54 ORCI</t>
  </si>
  <si>
    <t>Pagamento em faturamento direto referente ao serviço de terraplanagem, necessário à construção da usina. ENVIADO POR GILSON QUEIROZ</t>
  </si>
  <si>
    <t>[CCC05738]</t>
  </si>
  <si>
    <t>PRESTAÇÃO DE SERVIÇO UFVs (PATOS DE MINAS 1) NF 3 EMPREENDIMENTOS IMPERIAL</t>
  </si>
  <si>
    <t>Pagamento em faturamento direto referente ao alojamento dos colaboradores, necessário à construção da usina. ENVIADO POR GILSON QUEIROZ</t>
  </si>
  <si>
    <t>[CCC05739]</t>
  </si>
  <si>
    <t>PRESTAÇÃO DE SERVIÇO UFVs (PATOS DE MINAS 8) NF 223 LIDER RESIDUOS</t>
  </si>
  <si>
    <t>Pagamento em faturamento direto referente a remoção de resíduos, necessário à construção da usina. ENVIADO POR GILSON QUEIROZ</t>
  </si>
  <si>
    <t>[CCC05740]</t>
  </si>
  <si>
    <t>002292</t>
  </si>
  <si>
    <t>COMPRA DE MATERIAIS UFVs (PATOS DE MINAS 3) NF 1967 FAMACON</t>
  </si>
  <si>
    <t>Pagamento em faturamento direto referente a compra de materiais, necessário à construção da usina. ENVIADO POR GILSON QUEIROZ</t>
  </si>
  <si>
    <t>[CCC05741]</t>
  </si>
  <si>
    <t>003083</t>
  </si>
  <si>
    <t>PRESTAÇÃO DE SERVIÇOS UFVs ( PAINS 3) NF 408 JX AMBIENTAL</t>
  </si>
  <si>
    <t>[CCC05742]</t>
  </si>
  <si>
    <t>PRESTAÇÃO DE SERVIÇOS UFVs (VARGINHA 1) NF 1075  RONDA PORTEIROS</t>
  </si>
  <si>
    <t xml:space="preserve">Pagamento referente a prestação de serviços de vigilância desarmada. ENVIADO POR  RAFAEL </t>
  </si>
  <si>
    <t>[CCC05743]</t>
  </si>
  <si>
    <t>PRESTAÇÃO DE SERVIÇOS UFVs (VARGINHA 2) NF 1288 RONDA PORTEIROS</t>
  </si>
  <si>
    <t>ANTIGA NOTA 1083</t>
  </si>
  <si>
    <t>PRESTAÇÃO DE SERVIÇOS UFVs (CAMPO BELO 1) NF 1082 RONDA PORTEIROS</t>
  </si>
  <si>
    <t>Pagamento referente a prestação de serviços de vigilância desarmada. ENVIADO POR  RAFAEL  - ADITIVO</t>
  </si>
  <si>
    <t>PRESTAÇÃO DE SERVIÇOS UFVs (CAMPO BELO 5) NF 1080 RONDA PORTEIROS</t>
  </si>
  <si>
    <t>Pagamento referente a prestação de serviços de vigilância desarmada. ENVIADO POR  RAFAEL - ADITIVO</t>
  </si>
  <si>
    <t>PRESTAÇÃO DE SERVIÇOS UFVs ( SANTO ANTONIO DO AMPARO) NF 1098 RONDA PORTEIROS</t>
  </si>
  <si>
    <t>COMPRA DE MATERIAIS UFVs (MUZAMBINHO) NF 492117  LOJA ELETRICA</t>
  </si>
  <si>
    <t>Pagamento em faturamento direto referente a compra de materiais, necessário à construção da usina. ENVIADO POR ENGELUZZ</t>
  </si>
  <si>
    <t>[CCC05744]</t>
  </si>
  <si>
    <t>COMPRA DE MATERIAIS UFVs (PARAGUAÇU 1) NF 492118 LOJA ELETRICA</t>
  </si>
  <si>
    <t>[CCC05745]</t>
  </si>
  <si>
    <t>002362</t>
  </si>
  <si>
    <t>COMPRA DE MATERIAIS UFVs (PARAGUAÇU 1) NF 492119 LOJA ELETRICA</t>
  </si>
  <si>
    <t>COMPRA DE MATERIAIS UFVs (PARAGUAÇU 1) NF 492097 LOJA ELETRICA</t>
  </si>
  <si>
    <t>003082</t>
  </si>
  <si>
    <t>PRESTAÇÃO DE SERVIÇOS UFVs ( PEDRA DO INDAIA 3) NF 25  SJR PROTEÇÃO</t>
  </si>
  <si>
    <t>Pagamento referente ao serviços de Parametrização e testes nas 3 proteções Siemens 7SR5111, teste de comissionamento da proteção e medição de sequencia de fase, necessáriso a construção das usinas.  ENVIADO POR SANDRO JOSE</t>
  </si>
  <si>
    <t>[CCC05746]</t>
  </si>
  <si>
    <t>SJR PROTEÇÃO</t>
  </si>
  <si>
    <t>002365</t>
  </si>
  <si>
    <t>PRESTAÇÃO DE SERVIÇOS UFVs (SÃO SEBASTIÃO DO OESTE 1) NF 26  SJR PROTEÇÃO</t>
  </si>
  <si>
    <t>PRESTAÇÃO DE SERVIÇOS UFVs (SÃO SEBASTIÃO DO OESTE 5) NF 27  SJR PROTEÇÃO</t>
  </si>
  <si>
    <t>COMPRA DE MATERIAIS UFVs (DIAMANTINA 2) NF 492096 LOJA ELETRICA</t>
  </si>
  <si>
    <t>[CCC05747]</t>
  </si>
  <si>
    <t>002371</t>
  </si>
  <si>
    <t xml:space="preserve">COMPRA DE MATERIAIS UFVS (SÃO SEBASTIÃO DO OESTE 1) NF 2390 </t>
  </si>
  <si>
    <t>[CCC05748]</t>
  </si>
  <si>
    <t>COMPRA DE MATERIAIS UFVS (SÃO SEBASTIÃO DO OESTE 1) NF 2391</t>
  </si>
  <si>
    <t>002375</t>
  </si>
  <si>
    <t>MEDIÇÃO ( ATI)</t>
  </si>
  <si>
    <t>COMPRA DE MATERIAIS UFVS (SÃO SEBASTIÃO DO OESTE 1) NF 2392</t>
  </si>
  <si>
    <t xml:space="preserve">MEDIÇÃO ( EGF) </t>
  </si>
  <si>
    <t>PRESTAÇÃO DE SERVIÇOS UFVs (PATOS DE MINAS 3) NF 1371</t>
  </si>
  <si>
    <t>Pagamento referente a 1° medição serviços de drenagem, contrato EGF. ENVIADO POR GILSON.</t>
  </si>
  <si>
    <t>[CCC05749]</t>
  </si>
  <si>
    <t>MEDIÇÃO ( MBA- AT)</t>
  </si>
  <si>
    <t>PRESTAÇÃO DE SERVIÇOS UFVs ( CAMPO BELO 3 ) NF 2770</t>
  </si>
  <si>
    <t>Pagamento de medição referente ao serviço de comissionamento de obras AT. ENVIADO POR MBA</t>
  </si>
  <si>
    <t>[CCC05750]</t>
  </si>
  <si>
    <t>PRESTAÇÃO DE SERVIÇOS UFVs (CASSIA 1 ) NF 2771</t>
  </si>
  <si>
    <t>PRESTAÇÃO DE SERVIÇOS UFVs ( SANTO ANTONIO DO AMAPARO 1) NF 2772</t>
  </si>
  <si>
    <t>PRESTAÇÃO DE SERVIÇOS UFVs (MUZAMBINHO ) NF 2773</t>
  </si>
  <si>
    <t>002380</t>
  </si>
  <si>
    <t>PRESTAÇÃO DE SERVIÇOS UFVs ( TRES CORAÇÕES 3) NF 2774</t>
  </si>
  <si>
    <t>PRESTAÇÃO DE SERVIÇOS UFVs ( PARAGUAÇU 1) NF 2775</t>
  </si>
  <si>
    <t>002382</t>
  </si>
  <si>
    <t>PRESTAÇÃO DE SERVIÇOS UFVs ( VARGINHA 1 ) NF 2776</t>
  </si>
  <si>
    <t>002383</t>
  </si>
  <si>
    <t>MEDIÇÃO ( MBA- MT)</t>
  </si>
  <si>
    <t>PRESTAÇÃO DE SERVIÇOS UFVs ( OURO FINO 2) NF 2780</t>
  </si>
  <si>
    <t>PAGAMENTO REFERENTE A MEDIÇÃO DE SERVIÇO DE EXTENSÃO E MODIFICAÇÃO DE REDE DE DISTRIBUIÇÃO RURAL E URBANA PARA ENVI ATENDER À UFV, ENVIADO MBA</t>
  </si>
  <si>
    <t>[CCC05751]</t>
  </si>
  <si>
    <t>002384</t>
  </si>
  <si>
    <t>PRESTAÇÃO DE SERVIÇOS UFVs ( OURO FINO 2) NF 2781</t>
  </si>
  <si>
    <t>Escopo Comerc - UFV OURO FINO REMOÇÂO</t>
  </si>
  <si>
    <t>005333</t>
  </si>
  <si>
    <t>PRESTAÇÃO DE SERVIÇOS  IMPLANTAÇÃO  NF  743 PERFIL SETEMBRO/23</t>
  </si>
  <si>
    <t>[CCC05752]</t>
  </si>
  <si>
    <t>003084</t>
  </si>
  <si>
    <t>COMPRA DE MATERIAIS ( SÃO SEBASTIÃO DO OESTE 0 ) NF 6400 UNIVERSO ELETRICA</t>
  </si>
  <si>
    <t>PAGAMENTO REFERENTE A COMPRA DE MATERIAIS. ENVIADO POR AUGUSTO - ESCOPO COMERC</t>
  </si>
  <si>
    <t>[CCC05753]</t>
  </si>
  <si>
    <t>002385</t>
  </si>
  <si>
    <t>COMPRA DE MATERIAIS ( SÃO SEBASTIÃO DO OESTE 4 ) NF 6401 UNIVERSO ELETRICA</t>
  </si>
  <si>
    <t>PRESTAÇÃO DE SERVIÇOS UFVs ( PATOS DE MINAS 7) NF 5 D'PAULON</t>
  </si>
  <si>
    <t>Pagamento faturamento direto referente a prestação de serviços civis. ENVIADO POR GILSON</t>
  </si>
  <si>
    <t>[CCC05754]</t>
  </si>
  <si>
    <t>PRESTAÇÃO DE SERVIÇOS UFVs ( PATOS DE MINAS 1) NF 9 RANDER MOTA</t>
  </si>
  <si>
    <t>Pagamento faturamento direto referente a locação de tendas. ENVIADO POR GILSONPagamento faturamento direto referente a locação de tendas. ENVIADO POR GILSON</t>
  </si>
  <si>
    <t>002304</t>
  </si>
  <si>
    <t>PRESTAÇÃO DE SERVIÇOS UFVs ( PATOS DE MINAS 1) NF 9 LUIZ CARLOS</t>
  </si>
  <si>
    <t>Pagamento faturamento direto referente a mão de obra de estrutura metálica do office. ENVIADO POR GILSON</t>
  </si>
  <si>
    <t>PRESTAÇÃO DE SERVIÇOS UFVs ( PATOS DE MINAS 1) NF 48896 ATIVA LOCAÇÕES</t>
  </si>
  <si>
    <t>Pagamento faturamento direto referente a locação de containers. ENVIADO POR GILSON</t>
  </si>
  <si>
    <t>[CCC05755]</t>
  </si>
  <si>
    <t xml:space="preserve">Fat. Direto (ENGELUZ-MT)
</t>
  </si>
  <si>
    <t>COMPRA DE MATERIAIS UFVs (DIAMANTINA 2) NF 492098  LOJA ELETRICA</t>
  </si>
  <si>
    <t>Pagamento faturamento direto referente a compra de materiais. ENVIADO POR ENGELUZ</t>
  </si>
  <si>
    <t>[CCC05756]</t>
  </si>
  <si>
    <t>COMPRA DE MATERIAIS UFVs (DIAMANTINA 1) NF 11186  LOJA ELETRICA</t>
  </si>
  <si>
    <t>[CCC05757]</t>
  </si>
  <si>
    <t>COMPRA DE MATERIAIS UFVs (DIAMANTINA 1) NF 491896  LOJA ELETRICA</t>
  </si>
  <si>
    <t>COMPRA DE MATERIAIS UFVs (DIAMANTINA 1) NF 491899  LOJA ELETRICA</t>
  </si>
  <si>
    <t>002390</t>
  </si>
  <si>
    <t>PRESTAÇÃO DE SERVIÇOS UFVs ( PATOS DE MINAS 1) NF 194 TRANSPORTADORA ABREU</t>
  </si>
  <si>
    <t>Pagamento faturamento direto referente ao transporte coletivo. ENVIADO POR GILSON</t>
  </si>
  <si>
    <t>[CCC05758]</t>
  </si>
  <si>
    <t>A204-MORI GERACAO II-PATOS DE MINAS 4</t>
  </si>
  <si>
    <t>PRESTAÇÃO DE SERVIÇOS UFVs ( PATOS DE MINAS 4) NF 318 TRANSPORTES DAVI</t>
  </si>
  <si>
    <t>Pagamento faturamento direto referente ao transporte  de colocaboradores ENVIADO POR GILSON</t>
  </si>
  <si>
    <t>[CCC05759]</t>
  </si>
  <si>
    <t>PRESTAÇÃO DE SERVIÇOS UFVs (  TRÊS CORAÇÕES 3) NF 318 TRANSPORTES DAVI</t>
  </si>
  <si>
    <t>Pagamento referente a compra de maquinários para perfuração de estacas. ENVIADO POR RAFAEL</t>
  </si>
  <si>
    <t>[CCC05760]</t>
  </si>
  <si>
    <t>002329</t>
  </si>
  <si>
    <t>PRESTAÇÃO DE SERVIÇOS UFVs ( PATOS DE MINAS 4) NF  10 LUIZ CARLOS</t>
  </si>
  <si>
    <t>Pagamento faturamento direto referente  a mão de obra e estrutura metálica do office. ENVIADO POR GILSON</t>
  </si>
  <si>
    <t>[CCC05761]</t>
  </si>
  <si>
    <t>002330</t>
  </si>
  <si>
    <t>COMPRA DE MATERIAIS UFVs (PATOS DE MINAS 3) PARAENG NF 9830</t>
  </si>
  <si>
    <t>Pagamento referente a compra de materiais, necessário à construção da usina. ENVIADO POR GILSON</t>
  </si>
  <si>
    <t>[CCC05762]</t>
  </si>
  <si>
    <t>COMPRA DE MATERIAIS UFVs (PATOS DE MINAS 4) PARAENG NF 9831</t>
  </si>
  <si>
    <t>COMPRA DE MATERIAIS UFVs (PATOS DE MINAS 1) PARAENG NF 9832</t>
  </si>
  <si>
    <t>003097</t>
  </si>
  <si>
    <t>PRESTAÇÃO DE SERVIÇOS UFVs  (JABOTICATUBAS) NF 1530  NORTE CONEXÃO</t>
  </si>
  <si>
    <t>[CCC05763]</t>
  </si>
  <si>
    <t>003112</t>
  </si>
  <si>
    <t>PRESTAÇÃO DE SERVIÇOS UFVs (PEDRA DO INDAIA 5)  ENERSOLAR NF 325</t>
  </si>
  <si>
    <t>[CCC05764]</t>
  </si>
  <si>
    <t>003100</t>
  </si>
  <si>
    <t>PRESTAÇÃO DE SERVIÇOS UFVs ( JABOTICATUBAS) NF 56</t>
  </si>
  <si>
    <t>Pagamento aditivo 2, referente a prestação de serviços de terraplenagem e supressão vegetal. ENVIADO POR WENDEL</t>
  </si>
  <si>
    <t>[CCC05765]</t>
  </si>
  <si>
    <t>Arquivado na pasta o valor de devolução do Contrato de R1.250,00 que tinha passado no valor total do contrato.</t>
  </si>
  <si>
    <t xml:space="preserve">Fat. Direto (MBA -MT)
</t>
  </si>
  <si>
    <t>PRESTAÇÃO DE SERVIÇOS UFVs ( CAMPO BELO 2) NF 62554 PREFAZ</t>
  </si>
  <si>
    <t xml:space="preserve">Compras de postes, necessário a   contrução da usina. ENVIADO POR MBA </t>
  </si>
  <si>
    <t>[CCC05766]</t>
  </si>
  <si>
    <t>MEDIÇÃO (ATI)</t>
  </si>
  <si>
    <t>PRESTAÇÃO DE SERVIÇO UFVs (BAMBUÍ 1.2) NF 451</t>
  </si>
  <si>
    <t>Pagamento de medição referente ao projeto de instalação (as-buit) incluindo vistoria de UFV. ENVIADO POR ATI</t>
  </si>
  <si>
    <t>[CCC05767]</t>
  </si>
  <si>
    <t>PRESTAÇÃO DE SERVIÇO UFVs (CAMPO BELO 4) NF 452</t>
  </si>
  <si>
    <t>PRESTAÇÃO DE SERVIÇO UFVs (CAMPO BELO 4) NF 453</t>
  </si>
  <si>
    <t>PRESTAÇÃO DE SERVIÇO UFVs (BAMBUÍ 1.1) NF 454</t>
  </si>
  <si>
    <t>PRESTAÇÃO DE SERVIÇO UFVs (BAMBUÍ 1.1) NF 455</t>
  </si>
  <si>
    <t>002336</t>
  </si>
  <si>
    <t>PRESTAÇÃO DE SERVIÇO UFVs (FREI INOCENCIO) NF 456</t>
  </si>
  <si>
    <t>002337</t>
  </si>
  <si>
    <t>PRESTAÇÃO DE SERVIÇO UFVs (NOVA PONTE) NF 457</t>
  </si>
  <si>
    <t>002338</t>
  </si>
  <si>
    <t>PRESTAÇÃO DE SERVIÇO UFVs (FREI INOCENCIO) NF 458</t>
  </si>
  <si>
    <t>002339</t>
  </si>
  <si>
    <t>PRESTAÇÃO DE SERVIÇO UFVs (NOVA PONTE) NF 459</t>
  </si>
  <si>
    <t>002402</t>
  </si>
  <si>
    <t>PRESTAÇÃO DE SERVIÇO UFVs (BAMBUÍ 1.1) NF 460</t>
  </si>
  <si>
    <t>Pagamento de medição referente a instalacoes nas cabines de medicao e passagem de fibra otic . ENVIADO POR ATI</t>
  </si>
  <si>
    <t>[CCC05768]</t>
  </si>
  <si>
    <t>Conforme email do marcio dentro da pasta referente a engenharia [CCC05768] Trata-se de remobilização  - Escorpo Comerc</t>
  </si>
  <si>
    <t>PRESTAÇÃO DE SERVIÇO UFVs (BAMBUÍ 1.2) NF 461</t>
  </si>
  <si>
    <t>PRESTAÇÃO DE SERVIÇO UFV (ALFENAS 4) R&amp;C ELETRONICA NF 542</t>
  </si>
  <si>
    <t>Pagamento de medição referente a de fornecimento e implantação de sistemas de circuito fechado de TV CFTV para segurança patrimonial. ENVIADO POR MAX VISION</t>
  </si>
  <si>
    <t>[CCC05769]</t>
  </si>
  <si>
    <t>002406</t>
  </si>
  <si>
    <t>PRESTAÇÃO DE SERVIÇO UFV (CAMPO BELO 1) R&amp;C ELETRONICA NF 543</t>
  </si>
  <si>
    <t>PRESTAÇÃO DE SERVIÇO UFV (DIAMANTINA 1) R&amp;C ELETRONICA NF 544</t>
  </si>
  <si>
    <t>PRESTAÇÃO DE SERVIÇO UFV (DIAMANTINA 2) R&amp;C ELETRONICA NF 545</t>
  </si>
  <si>
    <t>003104</t>
  </si>
  <si>
    <t>PRESTAÇÃO DE SERVIÇO UFV (DIVINOPOLIS 1) R&amp;C ELETRONICA NF 546</t>
  </si>
  <si>
    <t>A606 -ESTRELA DO NORTE DIVINOPOLIS 2 SPE</t>
  </si>
  <si>
    <t>003105</t>
  </si>
  <si>
    <t>PRESTAÇÃO DE SERVIÇO UFV (DIVINOPOLIS 2) R&amp;C ELETRONICA NF 547</t>
  </si>
  <si>
    <t>003106</t>
  </si>
  <si>
    <t>PRESTAÇÃO DE SERVIÇO UFV (DIVINOPOLIS 3) R&amp;C ELETRONICA NF 548</t>
  </si>
  <si>
    <t>PRESTAÇÃO DE SERVIÇO UFV (FORMIGA 6) R&amp;C ELETRONICA NF 549</t>
  </si>
  <si>
    <t>PRESTAÇÃO DE SERVIÇO UFV (PATOS DE MINAS 1) R&amp;C ELETRONICA NF 551</t>
  </si>
  <si>
    <t>002346</t>
  </si>
  <si>
    <t>PRESTAÇÃO DE SERVIÇO UFV (PATOS DE MINAS 3) R&amp;C ELETRONICA NF 552</t>
  </si>
  <si>
    <t>PRESTAÇÃO DE SERVIÇO UFV (PATOS DE MINAS 4) R&amp;C ELETRONICA NF 553</t>
  </si>
  <si>
    <t>PRESTAÇÃO DE SERVIÇO UFV (PATOS DE MINAS 7) R&amp;C ELETRONICA NF 554</t>
  </si>
  <si>
    <t>PRESTAÇÃO DE SERVIÇO UFV (PATO DE MINAS 8) R&amp;C ELETRONICA NF 555</t>
  </si>
  <si>
    <t>003107</t>
  </si>
  <si>
    <t>PRESTAÇÃO DE SERVIÇO UFV (PEDRA DO INDAIA 1) R&amp;C ELETRONICA NF 556</t>
  </si>
  <si>
    <t>003109</t>
  </si>
  <si>
    <t>PRESTAÇÃO DE SERVIÇO UFV (PEDRA DO INDAIA 3) R&amp;C ELETRONICA NF 557</t>
  </si>
  <si>
    <t>003110</t>
  </si>
  <si>
    <t>PRESTAÇÃO DE SERVIÇO UFV (PEDRA DO INDAIA 5) R&amp;C ELETRONICA NF 558</t>
  </si>
  <si>
    <t>PRESTAÇÃO DE SERVIÇO UFV (VARJÃO DE MINAS 4) R&amp;C ELETRONICA NF 559</t>
  </si>
  <si>
    <t>PRESTAÇÃO DE SERVIÇO UFV (PARAGUAÇU 1) R&amp;C ELETRONICA NF 560</t>
  </si>
  <si>
    <t>PRESTAÇÃO DE SERVIÇO UFV (OURO FINO 2) R&amp;C ELETRONICA NF 561</t>
  </si>
  <si>
    <t>PRESTAÇÃO DE SERVIÇO UFV (MUZAMBINHO) R&amp;C ELETRONICA NF 562</t>
  </si>
  <si>
    <t>PRESTAÇÃO DE SERVIÇO UFV (SANTO ANTÔNIO DO AMPARO 1) R&amp;C ELETRONICA NF 563</t>
  </si>
  <si>
    <t>MEDIÇÃO ( MOSAICO)</t>
  </si>
  <si>
    <t>PRESTAÇÃO DE SERVIÇOS UFVs ( CAMPO BELO 1)  ADT   NF11</t>
  </si>
  <si>
    <t xml:space="preserve">Pagamento referente ao adiantamento do contrato, referente ao serviço de drenagem, NOTA SERA EMITIDA EM FINALIZAÇÃO DO SERVIÇO. ENVIADO POR RAFAEL OLIVEIRA </t>
  </si>
  <si>
    <t>[CCC05770]</t>
  </si>
  <si>
    <t>MOSAICO</t>
  </si>
  <si>
    <t>PRESTAÇÃO DE SERVIÇOS UFVs ( CAMPO BELO 2)  ADT 12</t>
  </si>
  <si>
    <t xml:space="preserve">Pagamento de adiantamento do serviço de drenagem, NOTA SERA EMITIDA EM FINALIZAÇÃO DO SERVIÇO. ENVIADO POR RAFAEL OLIVEIRA </t>
  </si>
  <si>
    <t>003108</t>
  </si>
  <si>
    <t>MEDIÇÃO (R&amp;M)</t>
  </si>
  <si>
    <t xml:space="preserve">PRESTAÇÃO DE SERVIÇOS UFVs (SÃO SEBASTIÃO DO OESTE 6) NF 45 </t>
  </si>
  <si>
    <t>Pagamento refrente ao adiantamento de 15% do serviço de sistema de drenagem . ENVIADO POR AUGUSTO</t>
  </si>
  <si>
    <t>[CCC05771]</t>
  </si>
  <si>
    <t>MEDIÇÃO ( BALDONI)</t>
  </si>
  <si>
    <t>PRESTAÇÃO SERVIÇOS UFVs( CAMPO BELO 3) NF 242</t>
  </si>
  <si>
    <t>Pagamento de medição refrente ao limpeza das bacias de contenção e seccionamento do cercamento . ENVIADO POR RODRIGO ALVARENGA</t>
  </si>
  <si>
    <t>[CCC05772]</t>
  </si>
  <si>
    <t>002412</t>
  </si>
  <si>
    <t>PRESTAÇÃO SERVIÇOS UFVs( CAMPO BELO 3) NF 402</t>
  </si>
  <si>
    <t>COMPRA DE MATERIAIS UFVs (OURO FINO 2) NF 28927  EXPONENCIAL</t>
  </si>
  <si>
    <t>Pagamento em faturamento direto referente a compra de materiasi, necessário à construção da usina. ENVIADO POR MBA</t>
  </si>
  <si>
    <t>[CCC05773]</t>
  </si>
  <si>
    <t>COMPRA DE MATERIAIS UFVs(  PATOS DE MINAS 3) NF 1947 FAMACON</t>
  </si>
  <si>
    <t>Pagamento em faturamento direto referente a compra de materiais . ENVIADO POR GILSON .</t>
  </si>
  <si>
    <t>[CCC05774]</t>
  </si>
  <si>
    <t>PRESTAÇÃO DE SERVIÇOS UFVs (VARJÃO DE MINAS 4) NF 684</t>
  </si>
  <si>
    <t>Pagamento medição 4, referente a mão de obra, necessário à construção da UFVs. - ENVIADO POR GILSON QUEIROZ</t>
  </si>
  <si>
    <t>[CCC05775]</t>
  </si>
  <si>
    <t>PRESTAÇÃO DE SERVIÇOS UFVs (VARJÃO DE MINAS 4) NF 685</t>
  </si>
  <si>
    <t>Pagamento medição 4, referente a elaboração de planos, necessário à construção da UFVs. - ENVIADO POR GILSON QUEIROZ</t>
  </si>
  <si>
    <t>COMPRA DE MATERIAIS UFVs (DIAMANTINA 1) NF 209638 REAL D'AVILA</t>
  </si>
  <si>
    <t>[CCC05776]</t>
  </si>
  <si>
    <t>PRESTAÇÃO DE SERVIÇO UFV (SANTO ANTONIO DO AMPARO 1) NF 686</t>
  </si>
  <si>
    <t xml:space="preserve">Pagamento de medição 2° ADITIVO , referente a mão de obra , necessários a construção da UFVs, em contrato EPC.  65% - ENVIADO POR SM RAFAEL OLIVEIRA </t>
  </si>
  <si>
    <t>[CCC05777]</t>
  </si>
  <si>
    <t>PRESTAÇÃO DE SERVIÇO UFV (SANTO ANTONIO DO AMPARO 1) NF 687</t>
  </si>
  <si>
    <t xml:space="preserve">Pagamento de medição 2° ADITIVO, referente elaboração de planos,  necessários a construção da UFVs, em contrato EPC.  35% - ENVIADO POR SM RAFAEL OLIVEIRA </t>
  </si>
  <si>
    <t>PRESTAÇÃO DE SERVIÇOS UFVs (SÃO SEBASTIÃO DO OESTE 4) NF 10760  CIMENTÃO</t>
  </si>
  <si>
    <t>Pagamento em faturamento direto referente ao serviço de concretagem, necessário à construção da usina.ENVIADO POR AUGUSTO SIQUEIRA</t>
  </si>
  <si>
    <t>[CCC05778]</t>
  </si>
  <si>
    <t>003113</t>
  </si>
  <si>
    <t>PRESTAÇÃO DE SERVIÇOS UFVs (SÃO SEBASTIÃO DO OESTE 0) NF 10769  CIMENTÃO</t>
  </si>
  <si>
    <t>A204 - MORI GERACAO II - UFV PATOS DE MINAS 4</t>
  </si>
  <si>
    <t>PRESTAÇÃO DE SERVIÇOS UFVs ( PATOS DE MINAS 4) NF 711</t>
  </si>
  <si>
    <t>Pagamento de medição referente ao aditivo der concretagem das hastes. ENVIADO POR GILSON</t>
  </si>
  <si>
    <t>[CCC05779]</t>
  </si>
  <si>
    <t>003114</t>
  </si>
  <si>
    <t>COMPRA DE MATERIAIS UFVs (SÃO SEBASTIÃO DO OESTE 0) NF 2963 ENGETELA</t>
  </si>
  <si>
    <t>Pagamento em faturamento direto referente a compra de materiais, necessário à construção da usina. ENVIADO POR AUGUSTO SIQUEIRA</t>
  </si>
  <si>
    <t>[CCC05780]</t>
  </si>
  <si>
    <t>COMPRA DE MATERIAIS UFVs (DIAMANTINA 1) NF 2984 FUPLASTIC</t>
  </si>
  <si>
    <t>PAGAMENTO EM FATURAMENTO DIRETO REFENTE A COMPRA DE MATERIAIS . ENVIADO POR MANOEL</t>
  </si>
  <si>
    <t>[CCC05781]</t>
  </si>
  <si>
    <t>COMPRA DE MATERIAIS UFVs (DIAMANTINA 1) NF 17511 FUMINAS</t>
  </si>
  <si>
    <t>005357</t>
  </si>
  <si>
    <t>PRESTAÇÃO DE SERVIÇOS UFVs  NF 67684 AVAPRO</t>
  </si>
  <si>
    <t>Pagamento refrente ao treinamento da NR 10 para time de SMs. ENVIADO POR MATHEUS VILELA</t>
  </si>
  <si>
    <t>[CCC05782]</t>
  </si>
  <si>
    <t>COMPRA DE MATERIAIS UFVs (DIAMANTINA 1) NF 13440 DIAMANTE PRODUÇÕES</t>
  </si>
  <si>
    <t>[CCC05783]</t>
  </si>
  <si>
    <t>002363</t>
  </si>
  <si>
    <t>COMPRA DE MATERIAIS UFVs (PATOS DE MINAS 3) NF 2980 FUPLASTIC</t>
  </si>
  <si>
    <t>Pagamento em faturamento direto referente a compra de caixas de polipropileno e tampas de ferro fundido. ENVIADO POR GILSON</t>
  </si>
  <si>
    <t>[CCC05784]</t>
  </si>
  <si>
    <t>COMPRA DE MATERIAIS UFVs (PATOS DE MINAS 3) NF 17490 FUMINAS</t>
  </si>
  <si>
    <t>DAE - Dispensa de Licenciamento ambiental UFVs (BURITIS 1)  N° 1401303855984</t>
  </si>
  <si>
    <t>[CCC05785]</t>
  </si>
  <si>
    <t>DAE - Dispensa de Licenciamento ambiental UFVs (BURITIS 1)  N° 2901303857161</t>
  </si>
  <si>
    <t>DAE - Dispensa de Licenciamento ambiental UFVs (BURITIS 1)  N° 2901303857811</t>
  </si>
  <si>
    <t>DAE - Dispensa de Licenciamento ambiental UFVs (UNAÍ 2)  N° 2901303967969</t>
  </si>
  <si>
    <t>[CCC05786]</t>
  </si>
  <si>
    <t>DAE - Dispensa de Licenciamento ambiental UFVs (UNAÍ 2)  N° 1401303969751</t>
  </si>
  <si>
    <t>DAE - Dispensa de Licenciamento ambiental UFVs (UNAÍ 2)  N° 1401303970724</t>
  </si>
  <si>
    <t>DAE - Dispensa de Licenciamento ambiental UFVs (UNAÍ 2)  N° 2901303968531</t>
  </si>
  <si>
    <t>003117</t>
  </si>
  <si>
    <t>MEDIÇÃO (ORCI)</t>
  </si>
  <si>
    <t>PRESTAÇÃO DE SERVIÇOS UFVs ( PAINS 3) NF 55</t>
  </si>
  <si>
    <t>Pagamento referente a ultima medição dos serviços de terraplenagem, contrato ORCI. ENVIADO POR AUGUSTO</t>
  </si>
  <si>
    <t>[CCC05787]</t>
  </si>
  <si>
    <t>003118</t>
  </si>
  <si>
    <t>FAT. DIRETO (ORCI)</t>
  </si>
  <si>
    <t>PRESTAÇÃO DE SERVIÇOS UFVs ( PAINS 3) NF 102 LOC CASTRO</t>
  </si>
  <si>
    <t>Pagamento referente a ultima medição dos serviços de terraplenagem, contrato ORCI, LOCAÇÃO DE EQUIPAMENTOS. ENVIADO POR AUGUSTO</t>
  </si>
  <si>
    <t>003119</t>
  </si>
  <si>
    <t>PRESTAÇÃO DE SERVIÇOS UFVs ( PAINS 3) N 35</t>
  </si>
  <si>
    <t>005364</t>
  </si>
  <si>
    <t>PRESTAÇÃO DE SERVIÇOS UFVs  NF 68044 AVAPRO</t>
  </si>
  <si>
    <t>[CCC05788]</t>
  </si>
  <si>
    <t>COMPRA DE MATERIAIS UFVs (DIAMANTINA 1) NF 13304 DIAMANTE CONSTRUÇÕES</t>
  </si>
  <si>
    <t>Pagamento em faturamento direto referente a compra de materias. ENVIADO POR MANOEL LIMA</t>
  </si>
  <si>
    <t>[CCC05789]</t>
  </si>
  <si>
    <t>PRESTAÇÃO DE SERVIÇOS UFVs( ALFENAS 4) NF 638 ATENAS CONSTRUTORA</t>
  </si>
  <si>
    <t>Pagamento refente ao servio de construção e modificação de rede de distribuição. ENVIADO POR MBA</t>
  </si>
  <si>
    <t>[CCC05790]</t>
  </si>
  <si>
    <t>MEDIÇÃO MENSAL SETEMBRO/2023  UFVs  LMENG  NF 11997</t>
  </si>
  <si>
    <t>[CCC05791]</t>
  </si>
  <si>
    <t>MEDIÇÃO MENSAL SETEMBRO/2023  UFVs  LMENG  NF 11998</t>
  </si>
  <si>
    <t>MEDIÇÃO MENSAL SETEMBRO/2023  UFVs  LMENG  NF 11999</t>
  </si>
  <si>
    <t>003120</t>
  </si>
  <si>
    <t>MEDIÇÃO MENSAL SETEMBRO/2023  UFVs  LMENG  NF 12000</t>
  </si>
  <si>
    <t>003121</t>
  </si>
  <si>
    <t>MEDIÇÃO MENSAL SETEMBRO/2023  UFVs  LMENG  NF 12001</t>
  </si>
  <si>
    <t>Pagamento de medição referente ao serviço de engenharia executiva, necessário à construção da usina. ENVIADO POR LMENG</t>
  </si>
  <si>
    <t>[CCC05792]</t>
  </si>
  <si>
    <t>A201-MORI GERACAO II- ENERGIA SOLAR S.A</t>
  </si>
  <si>
    <t>MEDIÇÃO MENSAL SETEMBRO/2023  UFVs  LMENG  NF 12002</t>
  </si>
  <si>
    <t>MEDIÇÃO MENSAL SETEMBRO/2023  UFVs  LMENG  NF 12003</t>
  </si>
  <si>
    <t>MEDIÇÃO MENSAL SETEMBRO/2023  UFVs  LMENG  NF 12004</t>
  </si>
  <si>
    <t>PEDIDO CANCELADO</t>
  </si>
  <si>
    <t>MEDIÇÃO MENSAL SETEMBRO/2023  UFVs  LMENG  NF 12005</t>
  </si>
  <si>
    <t>Pagamento de medição referente ao serviço de mobilização, necessário à construção da usina. ENVIADO POR LMENG</t>
  </si>
  <si>
    <t>MEDIÇÃO MENSAL SETEMBRO/2023  UFVs  LMENG  NF 12006</t>
  </si>
  <si>
    <t>MEDIÇÃO MENSAL SETEMBRO/2023  UFVs  LMENG  NF 12007</t>
  </si>
  <si>
    <t>003122</t>
  </si>
  <si>
    <t>MEDIÇÃO MENSAL SETEMBRO/2023  UFVs  LMENG  NF 12008</t>
  </si>
  <si>
    <t>PRESTAÇÃO DE SERVIÇO UFVs ( DIAMANTINA 1) NF   533</t>
  </si>
  <si>
    <t xml:space="preserve">Pagamento de  4° medição referente ao serviço de terraplanagem, necessário para construção da usina. ENVIADO POR SM MANOEL JACINTO  </t>
  </si>
  <si>
    <t>[CCC05793]</t>
  </si>
  <si>
    <t xml:space="preserve">PRESTAÇÃO DE SERVIÇOS UFVs ( PATOS DE MINAS 8) NF 46 </t>
  </si>
  <si>
    <t>Pagamento referente ao adiantamento de 15% do serviço de drenagem. ENVIADO POR GILSON</t>
  </si>
  <si>
    <t>[CCC05794]</t>
  </si>
  <si>
    <t>PRESTAÇÃO DE SERVIÇOS UFVs ( PATOS DE MINAS 4) NF 712</t>
  </si>
  <si>
    <t>[CCC05795]</t>
  </si>
  <si>
    <t>COMPRA DE MATERIAIS UFVs (DIAMANTINA 1) NF 1255 SC ORGANIZACAO</t>
  </si>
  <si>
    <t>Pagamento em faturamento direto referente a compra de concreto, necessário à construção da usina. ENVIADO POR MANOEL LIMA</t>
  </si>
  <si>
    <t>[CCC05796]</t>
  </si>
  <si>
    <t xml:space="preserve">PRESTAÇÃO DE SERVIÇOS UFVs ( CAMPO BELO 1)  14 </t>
  </si>
  <si>
    <t xml:space="preserve">Pagamento referente a prestação de serviõ de empreitada global, mão de obra . ENVIADO POR RAFAEL OLIVEIRA </t>
  </si>
  <si>
    <t>[CCC05797]</t>
  </si>
  <si>
    <t>PRESTAÇÃO DE SERVIÇOS UFVs ( CAMPO BELO 2)  NF 15</t>
  </si>
  <si>
    <t>002386</t>
  </si>
  <si>
    <t xml:space="preserve">PRESTAÇÃO DE SERVIÇOS  UFVs (DIAMANTINA 1) NF 1 NEIVA MATERIAIS </t>
  </si>
  <si>
    <t>Pagamento em faturamento direto referente aso serviço de locação das retroescavadeiras. ENVIADO POR MANOEL LIMA</t>
  </si>
  <si>
    <t>[CCC05798]</t>
  </si>
  <si>
    <t>003123</t>
  </si>
  <si>
    <t>PRESTAÇÃO DE SERVIÇOS UFVs ( PEDRA DO INDAIA 1) NF 694</t>
  </si>
  <si>
    <t>Pagamento medição 12, referente a mão de obra, necessário à construção da UFVs. - ENVIADO POR AUGUSTO</t>
  </si>
  <si>
    <t>[CCC05799]</t>
  </si>
  <si>
    <t>PAGAS DESCONTAR JUNTO A GLD ( ROMANEI / AUGUSTO )</t>
  </si>
  <si>
    <t>003124</t>
  </si>
  <si>
    <t>PRESTAÇÃO DE SERVIÇOS UFVs ( PEDRA DO INDAIA 1) NF 695</t>
  </si>
  <si>
    <t>Pagamento medição 12, referente a elaboração de planos, necessário à construção da UFVs. - ENVIADO POR AUGUSTO</t>
  </si>
  <si>
    <t>PRESTAÇÃO DE SERVIÇOS UFVs (ARCOS 7) NF692</t>
  </si>
  <si>
    <t>Pagamento medição 12, referente a mão de obra, necessário à construção da UFVs. -ENVIADO POR AUGUSTO</t>
  </si>
  <si>
    <t>PRESTAÇÃO DE SERVIÇOS UFVs (ARCOS 7) NF 693</t>
  </si>
  <si>
    <t>Pagamento medição 12, referente a elaboração de planos, necessário à construção da UFVs. -ENVIADO POR AUGUSTO</t>
  </si>
  <si>
    <t>003125</t>
  </si>
  <si>
    <t>PRESTAÇÃO DE SERVIÇOS UFVs (DIVINOPOLIS 3) NF 690</t>
  </si>
  <si>
    <t>Pagamento medição 11, referente a mão de obra, necessário à construção da UFVs. - ENVIADO POR AUGUSTO</t>
  </si>
  <si>
    <t>003126</t>
  </si>
  <si>
    <t>PRESTAÇÃO DE SERVIÇOS UFVs (DIVINOPOLIS 3) NF 691</t>
  </si>
  <si>
    <t>Pagamento medição 11, referente a elaboração de planos, necessário à construção da UFVs. - ENVIADO POR AUGUSTO</t>
  </si>
  <si>
    <t>PRESTAÇÃO DE SERVIÇOS UFVs ( FORMIIGA 6) NF 688</t>
  </si>
  <si>
    <t>Pagamento medição 6, referente a mão de obra, necessário à construção da UFVs. - ENVIADO POR AUGUSTO</t>
  </si>
  <si>
    <t>PRESTAÇÃO DE SERVIÇOS UFVs ( FORMIIGA 6) NF 689</t>
  </si>
  <si>
    <t>Pagamento medição 6, referente a elaboração de planos, necessário à construção da UFVs. - ENVIADO POR AUGUSTO</t>
  </si>
  <si>
    <t>COMPRA DE MATERIAIS UFVs (PATOS DE MINAS 1) NF 1978 FAMACON</t>
  </si>
  <si>
    <t>Pagamento em faturamento direto referente ao fornecimento de insumos parte civil. ENVIAO POR GILSON QUEIROZ</t>
  </si>
  <si>
    <t>[CCC05800]</t>
  </si>
  <si>
    <t>COMPRA DE MATERIAIS UFVs (PATOS DE MINAS 4) NF 1979 FAMACON</t>
  </si>
  <si>
    <t xml:space="preserve">MEDIÇÃO (MIPE) </t>
  </si>
  <si>
    <t>PRESTAÇÃO DE SERVIÇOS UFVs ( ALFENAS 4) NF 312</t>
  </si>
  <si>
    <t>Pagamento de medição referente ao aporte inicial de adiantamento 15% da obra de drenagem .ENVIADO POR RAFAEL</t>
  </si>
  <si>
    <t>[CCC05801]</t>
  </si>
  <si>
    <t>002387</t>
  </si>
  <si>
    <t>COMPRA DE MATERIAIS UFVs (DIAMANTINA 1) NF 94 RESTAURANTE BOM JESUS</t>
  </si>
  <si>
    <t>Pagamento em faturamento direto referente a alimentação dos colaboradores na obra. ENVIAO POR MANOEL LIMA</t>
  </si>
  <si>
    <t>[CCC05802]</t>
  </si>
  <si>
    <t>PRESTAÇÃO DE SERVIÇO UFVs (PATOS DE MINAS 3) NF 181 FELIPPETUR</t>
  </si>
  <si>
    <t>Pagamento em faturamento direto referente a locação de ônibus. ENVIADO POR GILSON QUEIROZ</t>
  </si>
  <si>
    <t>[CCC05803]</t>
  </si>
  <si>
    <t>COMPRA DE MATERIAIS UFVs (MUZAMBINHO 1)  NF 23076  LIDER</t>
  </si>
  <si>
    <t>Pagamento em faturamento direto referente a compra de materiais. RAFAEL OLIVEIRA</t>
  </si>
  <si>
    <t>[CCC05804]</t>
  </si>
  <si>
    <t>PRESTAÇÃO DE SERVIÇO UFVs ( CAMPO BELO 1) NF 696</t>
  </si>
  <si>
    <t xml:space="preserve">Pagamento medição 7, referente a mão de obra, necessário à construção da UFVs. - ENVIADO POR RAFAEL </t>
  </si>
  <si>
    <t>[CCC05805]</t>
  </si>
  <si>
    <t>002428</t>
  </si>
  <si>
    <t>PRESTAÇÃO DE SERVIÇO UFVs ( CAMPO BELO 1) NF  697</t>
  </si>
  <si>
    <t xml:space="preserve">Pagamento medição 7, referente a elaboração de planos, necessário à construção da UFVs. - ENVIADO POR RAFAEL </t>
  </si>
  <si>
    <t>PRESTAÇÃO DE SERVIÇO UFVs ( CAMPO BELO 2) NF 698</t>
  </si>
  <si>
    <t xml:space="preserve">Pagamento medição 12, referente a mão de obra, necessário à construção da UFVs. - ENVIADO POR RAFAEL </t>
  </si>
  <si>
    <t>AGUARDANDO RETORNO RAFAEL</t>
  </si>
  <si>
    <t>PRESTAÇÃO DE SERVIÇO UFVs ( CAMPO BELO 2) NF 699</t>
  </si>
  <si>
    <t xml:space="preserve">Pagamento medição 12, referente a elaboração de planos, necessário à construção da UFVs. -ENVIADO POR RAFAEL </t>
  </si>
  <si>
    <t>PRESTAÇÃO DE SERVIÇO UFVs (SANTO ANTONIO DO AMPARO 1) NF 700</t>
  </si>
  <si>
    <t>002432</t>
  </si>
  <si>
    <t>PRESTAÇÃO DE SERVIÇO UFVs ( SANTO ANTONIO DO AMPARO 1) NF 701</t>
  </si>
  <si>
    <t>002433</t>
  </si>
  <si>
    <t>PRESTAÇÃO DE SERVIÇO UFVs (MUZAMBINHO 1) NF 702</t>
  </si>
  <si>
    <t xml:space="preserve">Pagamento medição 4, referente a mão de obra, necessário à construção da UFVs. - ENVIADO POR RAFAEL </t>
  </si>
  <si>
    <t>[CCC05806]</t>
  </si>
  <si>
    <t>002434</t>
  </si>
  <si>
    <t xml:space="preserve">PRESTAÇÃO DE SERVIÇO UFVs (MUZAMBINHO 1) NF 703 </t>
  </si>
  <si>
    <t xml:space="preserve">Pagamento medição 4, referente a elaboração de planos, necessário à construção da UFVs. - ENVIADO POR RAFAEL </t>
  </si>
  <si>
    <t>PRESTAÇÃO DE SERVIÇO UFVs (ALFENAS 4) NF 704</t>
  </si>
  <si>
    <t xml:space="preserve">Pagamento medição 9, referente a mão de obra, necessário à construção da UFVs. - ENVIADO POR RAFAEL </t>
  </si>
  <si>
    <t>PRESTAÇÃO DE SERVIÇO UFVs (ALFENAS 4) NF 705</t>
  </si>
  <si>
    <t xml:space="preserve">Pagamento medição 9, referente a elaboração de planos, necessário à construção da UFVs. - ENVIADO POR RAFAEL </t>
  </si>
  <si>
    <t>PRESTAÇÃO DE SERVIÇOS UFVs (PATOS DE MINAS 3) NF 16  JC LOCAÇÃO</t>
  </si>
  <si>
    <t>Pagamento em faturamento direto referente a locação de retroescavadeira. ENVIADO POR GILSON QUEIROZ</t>
  </si>
  <si>
    <t>[CCC05807]</t>
  </si>
  <si>
    <t>PRESTAÇÃO DE SERVIÇOS UFVs ( PATOS DE MINAS 3) NF 275 PREMOLAGO</t>
  </si>
  <si>
    <t>Pagamento em faturamento direto referente ao fornecimento de concreto. ENVIADO POR GILSON QUEIROZ</t>
  </si>
  <si>
    <t>[CCC05808]</t>
  </si>
  <si>
    <t>PRESTAÇÃO DE SERVIÇOS UFVs ( PATOS DE MINAS 3) NF 34 MGS ESCAVAÇÕES</t>
  </si>
  <si>
    <t>Pagamento em faturamento direto referente a locação de duas retroescavadeiras. ENVIADO POR GILSON QUEIROZ</t>
  </si>
  <si>
    <t>[CCC05809]</t>
  </si>
  <si>
    <t>COMPRA DE MATERIAIS UFVs (DIAMANTINA 1) NF 285330  LOJA ELETRICA</t>
  </si>
  <si>
    <t>Pagamento em faturamento direto referente a compra de materiais. ENVIADO POR MANOEL LIMA</t>
  </si>
  <si>
    <t>[CCC05810]</t>
  </si>
  <si>
    <t>003127</t>
  </si>
  <si>
    <t>MEDIÇÃO (DELOITTE)</t>
  </si>
  <si>
    <t>SERVIÇOS PRESTADOS DE CONSULTORIA EM CONTRATOS -  DELOITTE     NF  289</t>
  </si>
  <si>
    <t>Pagamento referente a medição mão de obra contrato DELOITTE ,  necessário à construção da UFV em contrato EPC . MEDIÇÃO 14 - ENVIADO POR DELOITTE</t>
  </si>
  <si>
    <t>[CCC05811]</t>
  </si>
  <si>
    <t>SERVIÇOS PRESTADOS DE CONSULTORIA EM CONTRATOS -  DELOITTE     NF  288</t>
  </si>
  <si>
    <t>SERVIÇOS PRESTADOS DE CONSULTORIA EM CONTRATOS -  DELOITTE     NF   287</t>
  </si>
  <si>
    <t>002437</t>
  </si>
  <si>
    <t>SERVIÇOS PRESTADOS DE CONSULTORIA EM CONTRATOS -  DELOITTE     NF  290</t>
  </si>
  <si>
    <t>A204 MORI GERACAO II- UFV PATOS DE MINAS 4</t>
  </si>
  <si>
    <t>PRESTAÇÃO DE SERVIÇOS UFVs ( PATOS DE MINAS 4) NF 1376</t>
  </si>
  <si>
    <t>Pagamento referente ao adiantaemnto do contrato de drenagem. ENVIADO POR GILSON</t>
  </si>
  <si>
    <t>[CCC05812]</t>
  </si>
  <si>
    <t>003129</t>
  </si>
  <si>
    <t>MEDIÇÃO (MIPE)</t>
  </si>
  <si>
    <t>PRESTAÇÃO DE SERVIÇOS UFVs ( PAINS 3)  NF 308</t>
  </si>
  <si>
    <t xml:space="preserve">Pagamento de medição referente ao aporte inicial de adiantamento 15% da obra de drenagem .ENVIADO POR AUGUSTO </t>
  </si>
  <si>
    <t>[CCC05813]</t>
  </si>
  <si>
    <t>003130</t>
  </si>
  <si>
    <t>PRESTAÇÃO DE SERVIÇOS UFVs (PEDRA DO INDAIA 5) NF 307</t>
  </si>
  <si>
    <t>003131</t>
  </si>
  <si>
    <t>Outros - Serviços à UFV- ATI</t>
  </si>
  <si>
    <t>COMPRA DE MATERIAIS UFVs (JABOTICATUBAS) 2403 ATI</t>
  </si>
  <si>
    <t>Pagamento referente a compra de materiais. ENVIADO POR ATI **NOTA DE REMESSA NÃO GERA FINANCEIRO, APENAS ESCRITURAR**</t>
  </si>
  <si>
    <t>[CCC05814]</t>
  </si>
  <si>
    <t>003132</t>
  </si>
  <si>
    <t>Outros - Serviços à UFV - ATI</t>
  </si>
  <si>
    <t>COMPRA DE MATERIAIS UFVs (JABOTICATUBAS) 2404 ATI</t>
  </si>
  <si>
    <t>003133</t>
  </si>
  <si>
    <t>COMPRA DE MATERIAIS UFVs (JABOTICATUBAS) 2405</t>
  </si>
  <si>
    <t>Pagamento de medição refente a compra de materiais. ENVIADO POR ATI</t>
  </si>
  <si>
    <t>002439</t>
  </si>
  <si>
    <t>PRESTAÇÃO DE SERVIÇO UFVs (SÃO SEBASTIÃO DO OESTE 1) NF 464</t>
  </si>
  <si>
    <t>Pagamento de medição referente a servico de instalacao de sistema de supervisao. ENVIADO POR ATI</t>
  </si>
  <si>
    <t>COMPRA DE MATERIAIS UFVs (DIAMANTINA 1) NF 3159 DIMATELAS</t>
  </si>
  <si>
    <t>[CCC05815]</t>
  </si>
  <si>
    <t>PRESTAÇÃO DE SERVIÇOS UFVs (PATOS DE MINAS 3) NF 278 PREMOLAGO</t>
  </si>
  <si>
    <t>Pagamento em faturamento refente ao fornecimento de concreto. ENVIADO POR GILSON QUEIROZ</t>
  </si>
  <si>
    <t>[CCC05816]</t>
  </si>
  <si>
    <t>PRESTAÇÃO DE SERVIÇOS UFVs (SÃO SEBASTIÃO DO OESTE 4) NF 10802  CIMENTÃO</t>
  </si>
  <si>
    <t>Pagamento em faturamento refente ao fornecimento de concreto. ENVIADO POR AUGUSTO</t>
  </si>
  <si>
    <t>[CCC05817]</t>
  </si>
  <si>
    <t>002444</t>
  </si>
  <si>
    <t>PRESTAÇÃO DE SERVIÇOS UFVs (PARAGUAÇU 1) NF 419 LONGO &amp; VINHAS</t>
  </si>
  <si>
    <t>Pagamento em faturamento refente ao fornecimento de concreto usinado. ENVIADO POR RAFAEL OLIVEIRA</t>
  </si>
  <si>
    <t>[CCC05818]</t>
  </si>
  <si>
    <t>PRESTAÇÃO DE SERVIÇOS UFVs (OURO FINO 2) NF 2696 CONCRELONGO</t>
  </si>
  <si>
    <t>[CCC05819]</t>
  </si>
  <si>
    <t>PRESTAÇÃO DE SERVIÇOS UFVs (TRÊS CORAÇÕES 3) NF 418 LONGO &amp; VINHAS</t>
  </si>
  <si>
    <t>[CCC05820]</t>
  </si>
  <si>
    <t>PRESTAÇÃO DE SERVIÇOS UFVs (FORMIGA 6) NF 317</t>
  </si>
  <si>
    <t xml:space="preserve">Pagamento de medição referente a construção do sistema de drenagem. ENVIADO POR AUGUSTO </t>
  </si>
  <si>
    <t>[CCC05821]</t>
  </si>
  <si>
    <t>003140</t>
  </si>
  <si>
    <t>PRESTAÇÃO DE SERVIÇOS UFVs ( DIVINOPOLIS 1 e 2) NF 610  STA PAINEIS</t>
  </si>
  <si>
    <t>Pagamento referente aos serviços prestados SETTA, em virtude da execução incorreta das cabines nas usinas. ENVIADO POR AUGUSTO</t>
  </si>
  <si>
    <t>[CCC05822]</t>
  </si>
  <si>
    <t>STA PAINEIS</t>
  </si>
  <si>
    <t>003134</t>
  </si>
  <si>
    <t xml:space="preserve">MEDIÇÃO (MRO) </t>
  </si>
  <si>
    <t xml:space="preserve">PRESTAÇÃO DE SERVIÇOS UFVs ( DIVINOPOLIS 2) NF 532 </t>
  </si>
  <si>
    <t>Pagamento de medição referente ao aditivo do serviço de drenagem. ENVIADO POR AUGUSTO</t>
  </si>
  <si>
    <t>[CCC05823]</t>
  </si>
  <si>
    <t>003135</t>
  </si>
  <si>
    <t>PRESTAÇÃO DE SERVIÇOS UFVs (DIVINOPOLIS 2) NF 28321</t>
  </si>
  <si>
    <t>Pagamento de medição referente ao fornecimento de material e mão de obra especializada para serviços instalações eletromecanicas e civil. ENVIADO POR AUGUSTO</t>
  </si>
  <si>
    <t>[CCC05824]</t>
  </si>
  <si>
    <t>003136</t>
  </si>
  <si>
    <t>PRESTAÇÃO DE SERVIÇOS UFVs (SÃO SEBASTIÃO DO OESTE 6) NF 28322</t>
  </si>
  <si>
    <t>PRESTAÇÃO DE SERVIÇOS UFVs (SÃO SEBASTIÃO DO OESTE 4) NF 28323</t>
  </si>
  <si>
    <t>003137</t>
  </si>
  <si>
    <t>PRESTAÇÃO DE SERVIÇOS UFVs (SÃO SEBASTIÃO DO OESTE 0) NF 28324</t>
  </si>
  <si>
    <t>PRESTAÇÃO DE SERVIÇOS UFVs (PASSOS 4) NF 28325</t>
  </si>
  <si>
    <t>003138</t>
  </si>
  <si>
    <t>PRESTAÇÃO DE SERVIÇOS UFVs (PAINS 3) NF 28326</t>
  </si>
  <si>
    <t>COMPRA DE MATERIAIS UFVs (CANDEIAS) NF 62821_x000D_  PREFAZ</t>
  </si>
  <si>
    <t>Pagamento refente a compra de materiais, ENVIADO POR MBA *NOTA DE REMESSA, NÃO GERA FINANCEIRO. SOMENTE ESCRITRAR*</t>
  </si>
  <si>
    <t>[CCC05825]</t>
  </si>
  <si>
    <t>COMPRA DE MATERIAIS UFVs ( VARGINHA 5) NF 51 STEFANIO COUTINHO</t>
  </si>
  <si>
    <t xml:space="preserve">Pagamento referente  a compra de porteira que será instalada no acesso da usina. ENVIADO POR RAFAEL </t>
  </si>
  <si>
    <t>[CCC05826]</t>
  </si>
  <si>
    <t>STEFANIO COUTINHO</t>
  </si>
  <si>
    <t>002388</t>
  </si>
  <si>
    <t xml:space="preserve">COMPRA DE MATERIAIS UFVs ( PATOS DE MINAS 1) NF 30 ALEXANDRE </t>
  </si>
  <si>
    <t xml:space="preserve">Pagamento referente a compra de cabos . ENVIADO POR GILSON </t>
  </si>
  <si>
    <t>[CCC05827]</t>
  </si>
  <si>
    <t>COMPRA DE MATERIAIS UFVs (PARAGUAÇU 1) NF 495051  LOJA ELETRICA</t>
  </si>
  <si>
    <t>Pagamento em faturamento direto refente a compra de materiais. ENVIADO POR ENGELUZ</t>
  </si>
  <si>
    <t>[CCC05828]</t>
  </si>
  <si>
    <t>002389</t>
  </si>
  <si>
    <t>COMPRA DE MATERIAIS UFVs (PATOS DE MINAS 4) NF 29  ALEXANDRE JOSE</t>
  </si>
  <si>
    <t>Pagamento refente a compra de materiais. ENVIADO POR GILSON QUEIROZ</t>
  </si>
  <si>
    <t>[CCC05829]</t>
  </si>
  <si>
    <t>AS01 - MORI 3 REPRESENTACOES LTDA</t>
  </si>
  <si>
    <t>000025</t>
  </si>
  <si>
    <t>PRESTAÇÃO DE SERVIÇOS - USINAS CICLO 3 NF 16  3FS AGROCONSULTING</t>
  </si>
  <si>
    <t>Pagamento referente a srestação de Serviços sobre questões técnicas de geoprocessamento, banco de dados, processamento digital de imagens de aeronaves remotamente pilotadas (drones), questões fundiárias e ambientais que versam sobre as usinas. ENVIADO POR LEONARDO NASSER</t>
  </si>
  <si>
    <t>[CCC05830]</t>
  </si>
  <si>
    <t>000024</t>
  </si>
  <si>
    <t>PRESTAÇÃO DE SERVIÇOS - USINAS CICLO 3  3FS AGROCONSULTING</t>
  </si>
  <si>
    <t>Pagamento referente a despesas com viagem. ENVIADO POR LEONARDO NASSER</t>
  </si>
  <si>
    <t>002453</t>
  </si>
  <si>
    <t xml:space="preserve">PRESTAÇÃO DE SERVIÇOS UFVs (PARAGUAÇU 1) NF 507 </t>
  </si>
  <si>
    <t>Pagamento de medição referente ao serviço de mão de obra especializada na construção de RDR. ENVIADO POR ENGELUZ</t>
  </si>
  <si>
    <t>[CCC05831]</t>
  </si>
  <si>
    <t>PRESTAÇÃO DE SERVIÇOS UFVs (PATOS DE MINAS 3) NF 508</t>
  </si>
  <si>
    <t>Pagamento de medição referente ao serviço de mão de obra especializada na construção de RDR. ENVIADO POR ENGELUZ - RDA INTERNO</t>
  </si>
  <si>
    <t>[CCC05832]</t>
  </si>
  <si>
    <t>003142</t>
  </si>
  <si>
    <t>PRESTAÇÃO DE SERVIÇOS UFVs (PEDRA DO INDAIA 5) NF 509</t>
  </si>
  <si>
    <t>[CCC05833]</t>
  </si>
  <si>
    <t>DAE - Dispensa de Licenciamento ambiental UFVs (UNAÍ 1)  N° 1401303963973</t>
  </si>
  <si>
    <t>Taxa necessária à avaliação de intervenção ambiental para a UFV - SUPRESSÃO.</t>
  </si>
  <si>
    <t>[CCC05834]</t>
  </si>
  <si>
    <t>DAE - Dispensa de Licenciamento ambiental UFVs (UNAÍ 1)  N° 2901303964994</t>
  </si>
  <si>
    <t>Taxa necessária à avaliação de intervenção ambiental para a UFV - LENHA.</t>
  </si>
  <si>
    <t>DAE - Dispensa de Licenciamento ambiental UFVs (UNAÍ 1)  N° 1401303972620</t>
  </si>
  <si>
    <t>Taxa necessária à avaliação de intervenção ambiental para a UFV - CORTE.</t>
  </si>
  <si>
    <t>DAE - Dispensa de Licenciamento ambiental UFVs (UNAÍ 1)  N° 2901303965800</t>
  </si>
  <si>
    <t>Taxa necessária à avaliação de intervenção ambiental para a UFV - MADEIRA.</t>
  </si>
  <si>
    <t>003143</t>
  </si>
  <si>
    <t>FAT.DIRETO (CFTV)</t>
  </si>
  <si>
    <t>PRESTAÇÃO DE SERVIÇO UFV (PAINS 3) R&amp;C ELETRONICA NF 583</t>
  </si>
  <si>
    <t>[CCC05835]</t>
  </si>
  <si>
    <t>MAX VISION</t>
  </si>
  <si>
    <t>PRESTAÇÃO DE SERVIÇO UFV (TRES CORAÇÕES 3) R&amp;C ELETRONICA NF 585</t>
  </si>
  <si>
    <t>PRESTAÇÃO DE SERVIÇO UFV (SÃO SEBASTIÃO DO OESTE 4) R&amp;C ELETRONICA NF 586</t>
  </si>
  <si>
    <t>003144</t>
  </si>
  <si>
    <t>PRESTAÇÃO DE SERVIÇO UFV (SÃO SEBASTIÃO DO OESTE 6) R&amp;C ELETRONICA NF 587</t>
  </si>
  <si>
    <t>003145</t>
  </si>
  <si>
    <t>PRESTAÇÃO DE SERVIÇO UFV (PARACATU 4) R&amp;C ELETRONICA NF 588</t>
  </si>
  <si>
    <t>003146</t>
  </si>
  <si>
    <t>PRESTAÇÃO DE SERVIÇO UFV (GUARDAMOR) R&amp;C ELETRONICA NF 589</t>
  </si>
  <si>
    <t>003147</t>
  </si>
  <si>
    <t>PRESTAÇÃO DE SERVIÇO UFV (SÃO SEBASTIÃO DO OESTE 0) R&amp;C ELETRONICA NF 590</t>
  </si>
  <si>
    <t>003148</t>
  </si>
  <si>
    <t>PRESTAÇÃO DE SERVIÇO UFV (PARACATU 5) R&amp;C ELETRONICA NF 591</t>
  </si>
  <si>
    <t>PRESTAÇÃO DE SERVIÇO UFV (CAMPO BELO 2) R&amp;C ELETRONICA NF 592</t>
  </si>
  <si>
    <t>003149</t>
  </si>
  <si>
    <t>PRESTAÇÃO DE SERVIÇO UFV (JABOTICATUBAS) R&amp;C ELETRONICA NF 593</t>
  </si>
  <si>
    <t>PRESTAÇÃO DE SERVIÇO UFV (CAMPO BELO 5) R&amp;C ELETRONICA NF 594</t>
  </si>
  <si>
    <t>CONSTRUMANAGER -    10/2023   NF  307087</t>
  </si>
  <si>
    <t>[CCC05836]</t>
  </si>
  <si>
    <t>PRESTAÇÃO DE SERVIÇOS UFVs( CAMPO BELO 3) NF 17 RL VIGILANCIA</t>
  </si>
  <si>
    <t>Pagamento referente a vigilancia patrimonial . ENVIADO POR RODRIGO</t>
  </si>
  <si>
    <t>[CCC05837]</t>
  </si>
  <si>
    <t xml:space="preserve">PRESTAÇÃO DE SERVIÇOS UFVs( PARACATU 8) NF 1240 RONDA PORTEIROS </t>
  </si>
  <si>
    <t>Pagamento referente a vigilancia e segurança desarmada . ENVIADO POR RODRIGO .</t>
  </si>
  <si>
    <t>[CCC05838]</t>
  </si>
  <si>
    <t xml:space="preserve">PRESTAÇÃO DE SERVIÇOS UFVs ( CAMPO BELO 2 E 5) NF 41 PORTALO DOS POÇOS </t>
  </si>
  <si>
    <t>Pagamento referente a locação de equipmaneto para a sondagem rotativa e batte estaca. ENVIADO POR RAFAEL -  ESCOPO COMERC</t>
  </si>
  <si>
    <t>[CCC05839]</t>
  </si>
  <si>
    <t xml:space="preserve">PRESTAÇÃO DE SERVIÇOS UFVs (OURO FINO 2) NF 17 DANIEL JOSE </t>
  </si>
  <si>
    <t xml:space="preserve">Pagamento referente a prestação de serviços de limpeza de caixa de areais e drenagem de agua . ENVIADO POR RAFAEL </t>
  </si>
  <si>
    <t>[CCC05840]</t>
  </si>
  <si>
    <t>003150</t>
  </si>
  <si>
    <t>PRESTAÇÃO DE SERVIÇOS UFVs ( DIVINOPOLIS 2 ) NF 534</t>
  </si>
  <si>
    <t>Pagamento referente a medição final do serviço de drenagem. ENVIADO POR AUGUSTO</t>
  </si>
  <si>
    <t>[CCC05841]</t>
  </si>
  <si>
    <t>003151</t>
  </si>
  <si>
    <t xml:space="preserve">REGRHAN  PRESTAÇÃO DE SERVIÇOS  ESTRELA DO NORTE HOLDING  NF 2038  </t>
  </si>
  <si>
    <t>Pagamento referente aos serviços de assessoria , gestão e controle documental de terceiros, realizados pelo REGRHAN, necessários a construção das UFVs. ENVIADO POR REGRHAN - 10/23</t>
  </si>
  <si>
    <t>[CCC05842]</t>
  </si>
  <si>
    <t>REGRHAN  PRESTAÇÃO DE SERVIÇOS  MORI GERAÇÃO II  NF 2039</t>
  </si>
  <si>
    <t>REGRHAN  PRESTAÇÃO DE SERVIÇOS  MORI MINAS NEWCO IV  NF  2040</t>
  </si>
  <si>
    <t>REGRHAN  PRESTAÇÃO DE SERVIÇOS  MORI MINAS NEWCO V  NF 2041</t>
  </si>
  <si>
    <t>003152</t>
  </si>
  <si>
    <t>PRESTAÇÃO DE SERVIÇO UFVs (INDAIABIRA 3) RONDA PORTEIROS NF 1210</t>
  </si>
  <si>
    <t>Pagamento referente ao serviço de vigilancia desarmada. ESCOPO COMERC - ENVIADO POR MANOEL LIMA</t>
  </si>
  <si>
    <t>[CCC05843]</t>
  </si>
  <si>
    <t>003153</t>
  </si>
  <si>
    <t>PRESTAÇÃO DE SERVIÇO UFVs (INDAIABIRA 4) RONDA PORTEIROS NF 1211</t>
  </si>
  <si>
    <t>003154</t>
  </si>
  <si>
    <t>PRESTAÇÃO DE SERVIÇO UFVs (BURITIZEIRO 2) RONDA PORTEIROS NF 1208</t>
  </si>
  <si>
    <t>[CCC05844]</t>
  </si>
  <si>
    <t>003155</t>
  </si>
  <si>
    <t>PRESTAÇÃO DE SERVIÇO UFVs (BURITIZEIRO 1) RONDA PORTEIROS NF 1209</t>
  </si>
  <si>
    <t xml:space="preserve">PRESTAÇÃO DE SERVIÇO UFVs ( CAMOCIM DE SÃO FELIX) NF 12 GOVERDE </t>
  </si>
  <si>
    <t>Pagamento referente ao nota de debito. ENVIADO POR JOÃO LESSA</t>
  </si>
  <si>
    <t>[CCC05845]</t>
  </si>
  <si>
    <t>Goverde</t>
  </si>
  <si>
    <t>003157</t>
  </si>
  <si>
    <t>PRESTAÇÃO DE SERVIÇO UFVs (JABOTICATUBAS) RONDA PORTEIROS NF 1205</t>
  </si>
  <si>
    <t>[CCC05846]</t>
  </si>
  <si>
    <t>003177</t>
  </si>
  <si>
    <t>PRESTAÇÃO DE SERVIÇO UFVs (JABOTICATUBAS) RONDA PORTEIROS NF 1206</t>
  </si>
  <si>
    <t>003159</t>
  </si>
  <si>
    <t>PRESTAÇÃO DE SERVIÇO UFVs ( PEDRADO INDAIA 3) NF 318</t>
  </si>
  <si>
    <t>Pagamento de medição reerente aos serviços de drenagem. ENVIADO POR AUGUSTO</t>
  </si>
  <si>
    <t>[CCC05847]</t>
  </si>
  <si>
    <t>003160</t>
  </si>
  <si>
    <t>PRESTAÇÃO DE SERVIÇO UFVs ( PEDRADO INDAIA 1) NF 319</t>
  </si>
  <si>
    <t>COMPRA DE MATERIAIS UFVs (ALFENAS 4) NF 7986 IBÉRICA</t>
  </si>
  <si>
    <t>Pagamento em faturamento direto referente a compra de materiais. ENVIADO POR MBA</t>
  </si>
  <si>
    <t>[CCC05848]</t>
  </si>
  <si>
    <t>PRESTAÇÃO DE SERVIÇO UFVs (SÃO SEBASTIÃO DO OESTE 5) RONDA PORTEIROS NF 1224</t>
  </si>
  <si>
    <t>Pagamento referente ao serviço de vigilancia desarmada. ESCOPO COMERC - ENVIADO POR RODRIGO ALVARENGA</t>
  </si>
  <si>
    <t>[CCC05849]</t>
  </si>
  <si>
    <t>003161</t>
  </si>
  <si>
    <t>PRESTAÇÃO DE SERVIÇO UFVs (PEDRA DO INDAIÁ 1)  NF 708</t>
  </si>
  <si>
    <t>Pagamento de medição referente a mão de obra , necessários a construção da UFVs, em contrato EPC.  65% - ENVIADO POR AUGUSTO SIQUEIRA</t>
  </si>
  <si>
    <t>[CCC05850]</t>
  </si>
  <si>
    <t>CONFIRMANDO CANCELAMENO - SOLICITAÇÃO ROMANEI</t>
  </si>
  <si>
    <t>003162</t>
  </si>
  <si>
    <t>PRESTAÇÃO DE SERVIÇO UFVs (PEDRA DO INDAIÁ 1)  NF 710</t>
  </si>
  <si>
    <t>Pagamento de medição  referente elaboração de planos,  necessários a construção da UFVs, em contrato EPC.  35% - ENVIADO POR AUGUSTO SIQUEIRA</t>
  </si>
  <si>
    <t>003163</t>
  </si>
  <si>
    <t>PRESTAÇÃO DE SERVIÇO UFVs (PEDRA DO INDAIÁ 5)  NF 711</t>
  </si>
  <si>
    <t>003164</t>
  </si>
  <si>
    <t>PRESTAÇÃO DE SERVIÇO UFVs (PEDRA DO INDAIÁ 5)  NF 712</t>
  </si>
  <si>
    <t>003166</t>
  </si>
  <si>
    <t>PRESTAÇÃO DE SERVIÇO UFVs (PEDRA DO INDAIÁ 5)  NF 713</t>
  </si>
  <si>
    <t>003167</t>
  </si>
  <si>
    <t>PRESTAÇÃO DE SERVIÇO UFVs (PEDRA DO INDAIÁ 5)  NF 714</t>
  </si>
  <si>
    <t>MEDIÇÃO ( THM ENGENHARIA )</t>
  </si>
  <si>
    <t>PRESTAÇÃO DE SERVIÇOS UFVs ( PATROCINIO 2) NF 702</t>
  </si>
  <si>
    <t xml:space="preserve">Pagamento referente a 1° medição de drenagem . ENVIADO POR GILSON </t>
  </si>
  <si>
    <t>[CCC05851]</t>
  </si>
  <si>
    <t>THM</t>
  </si>
  <si>
    <t>PRESTAÇÃO DE SERVIÇOS UFVs ( PATROCINIO 3) NF 703</t>
  </si>
  <si>
    <t>MEDIÇÃO ( EGF)</t>
  </si>
  <si>
    <t>PRESTAÇÃO DE SERVIÇO UFVs (PATOS DE MINAS 3) NF  1385</t>
  </si>
  <si>
    <t xml:space="preserve">Pagamento referente a 2° medição de drenagem . ENVIADO POR GILSON </t>
  </si>
  <si>
    <t>[CCC05852]</t>
  </si>
  <si>
    <t>002462</t>
  </si>
  <si>
    <t>MEDIÇÃO (ATENAS)</t>
  </si>
  <si>
    <t>PRESTAÇÃO DE SERVIÇO UFVs ( PARAGUAÇU 1) NF 640</t>
  </si>
  <si>
    <t>Pagamento referente ao serviço de limpeza de faixa , poda e supressão de arvores, enviado por GUILHERME.</t>
  </si>
  <si>
    <t>[CCC05853]</t>
  </si>
  <si>
    <t>ATENAS</t>
  </si>
  <si>
    <t>PRESTAÇÃO DE SERVIÇO UFVs ( ALFENAS 4) NF 641</t>
  </si>
  <si>
    <t>PRESTAÇÃO DE SERVIÇO UFVs (VARJÃO DE MINAS 4)  NF 706</t>
  </si>
  <si>
    <t>Pagamento de 5º medição referente a mão de obra , necessários a construção da UFVs, em contrato EPC.  65% - ENVIADO POR GILSON QUEIROZ</t>
  </si>
  <si>
    <t>[CCC05854]</t>
  </si>
  <si>
    <t>A217-MORI GERACAO II -  UFV  VARJAO DE MINAS 5</t>
  </si>
  <si>
    <t>PRESTAÇÃO DE SERVIÇO UFVs (VARJÃO DE MINAS 4)  NF 707</t>
  </si>
  <si>
    <t>Pagamento de 5º medição referente elaboração de planos,  necessários a construção da UFVs, em contrato EPC.  35% - ENVIADO POR GILSON QUEIROZ</t>
  </si>
  <si>
    <t xml:space="preserve">MEDIÇÃO </t>
  </si>
  <si>
    <t>PRESTAÇÃO DE SERVIÇO UFVs ( ALEXANDRIA / ENERGEA)  NF 715 GLD</t>
  </si>
  <si>
    <t>Pagamento referente a medição DUE DELIGENCE, autorizado por Marcio. ENVIADO POR LUIZA GLD</t>
  </si>
  <si>
    <t>[CCC05855]</t>
  </si>
  <si>
    <t xml:space="preserve">NÃO CONTROLADO ( LANÇADO COMO OPEX/ OK MARCIO) </t>
  </si>
  <si>
    <t>003170</t>
  </si>
  <si>
    <t>PRESTAÇÃO DE SERVIÇO UFVs ( DIVINOPOLIS 1) NF 535</t>
  </si>
  <si>
    <t>Pagamento referente a 2 medição dos serviços de drenagem. ENVIADO POR AUGUSTO</t>
  </si>
  <si>
    <t>[CCC05856]</t>
  </si>
  <si>
    <t>MEDIÇÃO MENSAL UFVs ( Paracatu 8)   AFAPLAN   NF    9677</t>
  </si>
  <si>
    <t>Pagamento de medição, serviço contratuais de Engenharia do proprietário,  necessário à construção da UFV. OUT/2023 - ENVIADO POR RODRIGO</t>
  </si>
  <si>
    <t>[CCC05857]</t>
  </si>
  <si>
    <t>003171</t>
  </si>
  <si>
    <t>MEDIÇÃO MENSAL UFVs ( INDAIABIRA 1)   AFAPLAN   NF 9678</t>
  </si>
  <si>
    <t>003173</t>
  </si>
  <si>
    <t>MEDIÇÃO MENSAL UFVs ( INDAIABIRA 2)   AFAPLAN   NF 9702</t>
  </si>
  <si>
    <t>003174</t>
  </si>
  <si>
    <t>Fat. Direto ( G&amp;M)</t>
  </si>
  <si>
    <t>COMPRA DE MATEIRIAS UFVs ( BURITIZEIRO 1) NF 8930 MADEREIRA JAMAR</t>
  </si>
  <si>
    <t>Pagamento em faturamento direto, referente a compra de mateirias. ENVIADO POR MANOEL</t>
  </si>
  <si>
    <t>[CCC05858]</t>
  </si>
  <si>
    <t>003175</t>
  </si>
  <si>
    <t>PRESTAÇÃO DE SERVIÇOS  UFVs ( BURITIZEIRO 1) NF 188 FRANCO ASSESSORIA</t>
  </si>
  <si>
    <t>Pagamento em faturamento direto, referente a prestação de serviço de assessoria e consultoria. ENVIADO POR MANOEL</t>
  </si>
  <si>
    <t>003176</t>
  </si>
  <si>
    <t>COMPRA DE MATEIRIAS UFVs ( BURITIZEIRO 1) NF  142 ESTER FERRAREZ</t>
  </si>
  <si>
    <t>Pagamento em faturamento direto, referente arefeição. ENVIADO POR MANOEL</t>
  </si>
  <si>
    <t>PRESTAÇÃO DE SERVIÇOS UFVs (  DIAMANTINA 2) NF 763 JX AMBIENTAL</t>
  </si>
  <si>
    <t>Taxa necessária à avaliação de intervenção ambiental para a UFV.  ENVIADO POR CLAUDIO</t>
  </si>
  <si>
    <t>[CCC05859]</t>
  </si>
  <si>
    <t>Fat. Direto ( R&amp;M)</t>
  </si>
  <si>
    <t xml:space="preserve">COMPRA DE MATEIRIAS UFVs ( VARJÃO DE MINAS 4) NF 8816 MADEIREIRA JAMAR </t>
  </si>
  <si>
    <t>Pagamento em faturamento direto, referente ao serviço de drenagem ENVIADO POR GILSON</t>
  </si>
  <si>
    <t>[CCC05860]</t>
  </si>
  <si>
    <t>PRESTAÇÃO DE SERVIÇOS UFVs (POUSO ALEGRE 1 )   N 160619020  CEMIG</t>
  </si>
  <si>
    <t>Pagamento referente a 6ª parcela da PFC do parecer de acesso de Pouso Alegre I – 2,5MW. ESCOPO COMERC 6/6</t>
  </si>
  <si>
    <t>[CCC05861]</t>
  </si>
  <si>
    <t>PRESTAÇÃO DE SERVIÇOS UFVs ( DIAMATINA 1) NF 42 PORTAL DOS POÇOS</t>
  </si>
  <si>
    <t>Pagamento referente ao serviço de perfuração/cravação de estacas. ENVIADO POR MANOEL</t>
  </si>
  <si>
    <t>[CCC05862]</t>
  </si>
  <si>
    <t>Escopo Comerc  Mão de obra MBA, mas servico de construção EPC</t>
  </si>
  <si>
    <t>003178</t>
  </si>
  <si>
    <t xml:space="preserve">MEDIÇÃO ( EPC- IMPLANTAR) </t>
  </si>
  <si>
    <t>PRESTAÇÃO DE SERVIÇOS UFVs (JABOTICATUVAS) NF 719</t>
  </si>
  <si>
    <t>Pagamento referente ao reajuste de contrato . ENVIADO POR MANOEL</t>
  </si>
  <si>
    <t>[CCC05863]</t>
  </si>
  <si>
    <t>PRESTAÇÃO DE  SERVIÇOS ( DIAMANTINA 1)  NF 718</t>
  </si>
  <si>
    <t>Pagamento  de 1° medição, referente aos serviços e mão de obra prestados na usina, ENVIADO POR MANOEL</t>
  </si>
  <si>
    <t>[CCC05864]</t>
  </si>
  <si>
    <t>Outros - Serviços à UFV -MBA</t>
  </si>
  <si>
    <t>COMPRA DE MATERIAIS UFVs ( CAMPO BELO 2 ) NF 632691 PREFAZ</t>
  </si>
  <si>
    <t>[CCC05865]</t>
  </si>
  <si>
    <t>003179</t>
  </si>
  <si>
    <t>PRESTAÇÃO DE SERVIÇOS UFVs (SÃO SEBASTIÃO DO OESTE 6) NF 34  SJR PROTEÇÃO</t>
  </si>
  <si>
    <t>[CCC05866]</t>
  </si>
  <si>
    <t>003180</t>
  </si>
  <si>
    <t>PRESTAÇÃO DE SERVIÇOS UFVs ( DIVINOPOLIS 2) NF 31  SJR PROTEÇÃO</t>
  </si>
  <si>
    <t>PRESTAÇÃO DE SERVIÇOS UFVs ( PATOS DE MINAS 1) NF  29 SJR PROTEÇÃO</t>
  </si>
  <si>
    <t>PRESTAÇÃO DE SERVIÇOS UFVs ( PATOS DE MINAS 4) NF 32   SJR PROTEÇÃO</t>
  </si>
  <si>
    <t>003181</t>
  </si>
  <si>
    <t>PRESTAÇÃO DE SERVIÇOS UFVs (PEDRA DO INDAIA 1) NF 28  SJR PROTEÇÃO</t>
  </si>
  <si>
    <t>002476</t>
  </si>
  <si>
    <t>PRESTAÇÃO DE SERVIÇOS UFVs (CAMPO BELO 3) NF 33 SJR PROTEÇÃO</t>
  </si>
  <si>
    <t>003182</t>
  </si>
  <si>
    <t>PRESTAÇÃO DE SERVIÇOS UFVs ( DIVINOPOLIS 1) NF 30 SJR PROTEÇÃO</t>
  </si>
  <si>
    <t>PRESTAÇÃO DE SERVIÇOS UFVs (FORMIGA 6) NF 248</t>
  </si>
  <si>
    <t>Pagamento de 5° medição referente ao serviço de terraplanagem, necessário à construção da usina.  ENVIADO POR AUGUSTO SIQUEIRA</t>
  </si>
  <si>
    <t>[CCC05867]</t>
  </si>
  <si>
    <t>***</t>
  </si>
  <si>
    <t>PRESTAÇÃO DE SERVIÇOS UFVs (FORMIGA 6) NF 409</t>
  </si>
  <si>
    <t>001607</t>
  </si>
  <si>
    <t>PRESTAÇÃO DE SERVIÇOS UFVs (PASSOS 4) NF 247</t>
  </si>
  <si>
    <t>[CCC05868]</t>
  </si>
  <si>
    <t>PRESTAÇÃO DE SERVIÇOS UFVs (PASSOS 4) NF 407</t>
  </si>
  <si>
    <t>002416</t>
  </si>
  <si>
    <t>MEDIÇÃO ( HALLITE)</t>
  </si>
  <si>
    <t>PRESTAÇÃO DE SERVIÇOS UFVs ( LAGOA  FORMOSA) NF 31</t>
  </si>
  <si>
    <t>Pagamento referente ao projeto estrutural base para container e projeto estrutural para usina . ENVIADO POR RAFAEL RACCIATTO</t>
  </si>
  <si>
    <t>[CCC05869]</t>
  </si>
  <si>
    <t xml:space="preserve">HALLITE </t>
  </si>
  <si>
    <t>002477</t>
  </si>
  <si>
    <t>COMPRAS DE MATERIAIS UFVs (PARAGUAÇU 1) NF 7663 CAMPO ALEGRE</t>
  </si>
  <si>
    <t xml:space="preserve">Pagamento em faturamento direto referente a compra de materiais. ENVIADO POR ENGELUZ </t>
  </si>
  <si>
    <t>[CCC05870]</t>
  </si>
  <si>
    <t>PRESTAÇÃO DE SERVIÇOS UFVs ( CAMPO BELO 1) NF 249</t>
  </si>
  <si>
    <t xml:space="preserve">Pagamento de 16° medição referente ao serviço de terraplanagem, necessário à construção da usina.  ENVIADO POR RAFAEL </t>
  </si>
  <si>
    <t>[CCC05871]</t>
  </si>
  <si>
    <t>002482</t>
  </si>
  <si>
    <t>PRESTAÇÃO DE SERVIÇOS UFVs ( CAMPO BELO 1) N 410</t>
  </si>
  <si>
    <t>002478</t>
  </si>
  <si>
    <t>COMPRA DE MATERIAIS UFVs (ARCOS 7) NF 310161 LOJA ELETRICA</t>
  </si>
  <si>
    <t>[CCC05872]</t>
  </si>
  <si>
    <t>002479</t>
  </si>
  <si>
    <t>PRESTAÇÃO DE SERVIÇOS UFVs (PARAGUAÇU 1) NF 245</t>
  </si>
  <si>
    <t>Pagamento de 8° medição referente ao serviço de terraplanagem, necessário à construção da usina.  ENVIADO POR RAFAEL OLIVEIRA</t>
  </si>
  <si>
    <t>[CCC05873]</t>
  </si>
  <si>
    <t>002480</t>
  </si>
  <si>
    <t>PRESTAÇÃO DE SERVIÇOS UFVs (PARAGUAÇU 1) NF 406</t>
  </si>
  <si>
    <t>COMPRA DE MATERIAIS UFVs (DIAMANTINA 1) NF 293814  LOJA ELETRICA</t>
  </si>
  <si>
    <t>Pagamento em faturamento direto referente a compra de combustivel. ENVIADO POR MANOEL LIMA</t>
  </si>
  <si>
    <t>[CCC05874]</t>
  </si>
  <si>
    <t>COMPRA DE MATERIAIS UFVs (DIAMANTINA 1) NF 209792 REAL D AVILA</t>
  </si>
  <si>
    <t>[CCC05875]</t>
  </si>
  <si>
    <t>002483</t>
  </si>
  <si>
    <t xml:space="preserve">MEDIÇÃO ( ENGECON) </t>
  </si>
  <si>
    <t>PRESTAÇÃO DE SERVIÇOS UFVs ( CAMPO BELO 5) NF 415</t>
  </si>
  <si>
    <t xml:space="preserve">Pagamento referente a 1° medição dos serviços de drenagem . ENVIADO POR RAFAEL </t>
  </si>
  <si>
    <t>[CCC05876]</t>
  </si>
  <si>
    <t>PRESTAÇÃO DE SERVIÇOS UFVs (DIAMANTINA 1) NF 1 NEIVA MATERIAIS</t>
  </si>
  <si>
    <t>Pagamento em faturamento direto referente a locação de retroescavadeira. ENVIADO POR MANOEL LIMA</t>
  </si>
  <si>
    <t>[CCC05877]</t>
  </si>
  <si>
    <t>COMPRA DE MATERIAIS UFVs (ALFENAS 4) NF 7987 IBÉRICA</t>
  </si>
  <si>
    <t>Pagamento em faturamento direto referente a compra de materiais. ENVIADO POR MBA. *NOTA DE REMESSA, NÃO GERA FINANCEIRO. APENAS ESCRITURAR*</t>
  </si>
  <si>
    <t>[CCC05878]</t>
  </si>
  <si>
    <t>** NOTAS NÃO GERAM FINANCEIRO, APENAS ESCRITURAR CFOP **</t>
  </si>
  <si>
    <t>003194</t>
  </si>
  <si>
    <t>COMPRA DE MATERIAIS UFVs (JABOTICATUBAS) NF 2403 ATI</t>
  </si>
  <si>
    <t>Pagamento referente a  compra de materiais. ENVIADO POR ATI *NOTA DE REMESSA, NÃO GERA FINANCEIRO. APENAS ESCRITURAR*</t>
  </si>
  <si>
    <t>[CCC05879]</t>
  </si>
  <si>
    <t>003195</t>
  </si>
  <si>
    <t>COMPRA DE MATERIAIS UFVs (JABOTICATUBAS) NF 2404 ATI</t>
  </si>
  <si>
    <t>COMPRA DE MATERIAIS UFVs (JABOTICATUBAS) NF 2405</t>
  </si>
  <si>
    <t>Pagamento de medição referente a compra de materiais. ENVIADO POR ATI</t>
  </si>
  <si>
    <t>DUPLO</t>
  </si>
  <si>
    <t>MEDIÇÃO (THM)</t>
  </si>
  <si>
    <t>PRESTAÇÃO DE SERVIÇOS UFVs (MUZAMBINHO ) NF 704</t>
  </si>
  <si>
    <t>[CCC05880]</t>
  </si>
  <si>
    <t>THMENG</t>
  </si>
  <si>
    <t>003197</t>
  </si>
  <si>
    <t>COMPRA DE MATERIAIS UFVs (INDAIABIRA 1) NF 2395</t>
  </si>
  <si>
    <t>[CCC05881]</t>
  </si>
  <si>
    <t>OBS: CONFORME ACERTO DE CONTAS ESSA NOTA SE REFERE A INDAIABIRA 2</t>
  </si>
  <si>
    <t>003199</t>
  </si>
  <si>
    <t>COMPRA DE MATERIAIS UFVs (INDAIABIRA 2) NF 2396</t>
  </si>
  <si>
    <t>003200</t>
  </si>
  <si>
    <t>COMPRA DE MATERIAIS UFVs (INDAIABIRA 3) NF 2397</t>
  </si>
  <si>
    <t>003201</t>
  </si>
  <si>
    <t>COMPRA DE MATERIAIS UFVs (INDAIABIRA 4) NF 2398</t>
  </si>
  <si>
    <t>003198</t>
  </si>
  <si>
    <t>PRESTAÇÃO DE SERVIÇOS UFVs ( PEDRA DO INDAIA 5 ) NF 36  TERRA FORTE</t>
  </si>
  <si>
    <t>Pagamento referente ao transporte de material. ENVIADO POR AUGUSTO</t>
  </si>
  <si>
    <t>[CCC05882]</t>
  </si>
  <si>
    <t>PRESTAÇÃO DE SERVIÇOS UFVs (SÃO SEBASTIÃO DO OESTE 1) NF 464</t>
  </si>
  <si>
    <t>Pagamento de medição referente ao servico de instalacao de sistema de supervisao. ENVIADO POR ATI</t>
  </si>
  <si>
    <t>[CCC05883]</t>
  </si>
  <si>
    <t>PRESTAÇÃO DE SERVIÇO UFVs (DIAMANTINA1) NF 2799</t>
  </si>
  <si>
    <t>Pagamento em faturamento direto referente a prestação de serviço de obra civil. ENVIADO POR MANOEL LIMA</t>
  </si>
  <si>
    <t>[CCC05884]</t>
  </si>
  <si>
    <t>003203</t>
  </si>
  <si>
    <t>PRESTAÇÃO DE SERVIÇO UFVs (PARACATU 4) NF 114 LOC CASTRO</t>
  </si>
  <si>
    <t>Pagamento em faturamento direto referente a locação de equipamentos.ENVIADO POR WENDEL</t>
  </si>
  <si>
    <t>[CCC05885]</t>
  </si>
  <si>
    <t>003204</t>
  </si>
  <si>
    <t>PRESTAÇÃO DE SERVIÇO UFVs (PARACATU 4) NF 62</t>
  </si>
  <si>
    <t>Pagamento de medição referente a prestação de serviços de terraplenagem. ENVIADO POR WENDEL</t>
  </si>
  <si>
    <t>003205</t>
  </si>
  <si>
    <t>PRESTAÇÃO DE SERVIÇO UFVs (PARACATU 4) NF 40 COSTERR</t>
  </si>
  <si>
    <t>Pagamento em faturamento direto referente a locação de equipamentos. ENVIADO POR WENDEL</t>
  </si>
  <si>
    <t>003208</t>
  </si>
  <si>
    <t>PRESTAÇÃO DE SERVIÇO UFVs (PARACATU 5) NF 115 LOC CASTRO</t>
  </si>
  <si>
    <t>003209</t>
  </si>
  <si>
    <t>PRESTAÇÃO DE SERVIÇO UFVs (PARACATU 5) NF 63</t>
  </si>
  <si>
    <t>003210</t>
  </si>
  <si>
    <t>PRESTAÇÃO DE SERVIÇO UFVs (PARACATU 5) NF 41 COSTERR</t>
  </si>
  <si>
    <t>COMPRA DE MATERIAIS UFVs (OURO FINO 2) NF 29151  EXPONENCIAL</t>
  </si>
  <si>
    <t>Pagamento em faturamento direto referente a  compra de materiais, ENVIADO POR GUILHERME KUSEL</t>
  </si>
  <si>
    <t>[CCC05886]</t>
  </si>
  <si>
    <t>003215</t>
  </si>
  <si>
    <t>PRESTAÇÃO DE SERVUÇOS UFVs (PARACATU 5) NF 295 ARCANJO VIGILANCIA</t>
  </si>
  <si>
    <t>Pagamento em faturamento dierto referente a prestação de serviço de vigilância. ENVIADO POR ARCANJO VIGILANCIA</t>
  </si>
  <si>
    <t>[CCC05887]</t>
  </si>
  <si>
    <t>003216</t>
  </si>
  <si>
    <t>PRESTAÇÃO DE SERVUÇOS UFVs (PARACATU 4) NF 296 ARCANJO VIGILANCIA</t>
  </si>
  <si>
    <t>003217</t>
  </si>
  <si>
    <t>PRESTAÇÃO DE SERVUÇOS UFVs (PARACATU 4) NF 297 ARCANJO VIGILANCIA</t>
  </si>
  <si>
    <t>003218</t>
  </si>
  <si>
    <t>PRESTAÇÃO DE SERVUÇOS UFVs (PARACATU 5) NF 298 ARCANJO VIGILANCIA</t>
  </si>
  <si>
    <t>003219</t>
  </si>
  <si>
    <t>PRESTAÇÃO DE SERVUÇOS UFVs (PARACATU 4) NF 299 ARCANJO VIGILANCIA</t>
  </si>
  <si>
    <t>003220</t>
  </si>
  <si>
    <t>PRESTAÇÃO DE SERVUÇOS UFVs (PARACATU 5) NF 300 ARCANJO VIGILANCIA</t>
  </si>
  <si>
    <t>COMPRA DE MATERIAIS UFVs (OURO FINO 2)  NF 7807  CAMPO ALEGRE</t>
  </si>
  <si>
    <t>Pagamento de faturamento direto referente a compra de materiais. ENVIADO POR MBA</t>
  </si>
  <si>
    <t>[CCC05888]</t>
  </si>
  <si>
    <t>PRESTAÇÃO DE SERVIÇOS UFVs (CAMPO BELO 2) NF 716</t>
  </si>
  <si>
    <t>Pagamento medição 12, referente a prestação de serviço de mão de obra, necessário à construção da UFVs. 65% - ENVIADO POR SM  RAFAEL OLIVEIRA</t>
  </si>
  <si>
    <t>[CCC05889]</t>
  </si>
  <si>
    <t>PRESTAÇÃO DE SERVIÇOS UFVs (CAMPO BELO 2) NF 717</t>
  </si>
  <si>
    <t>Pagamento medição 12, referente a elaboração de planos, necessário à construção da UFVs. 35% - ENVIADO POR RAFAEL OLIVEIRA</t>
  </si>
  <si>
    <t>003243</t>
  </si>
  <si>
    <t>PRESTAÇÃO DE SERVIÇOS UFVs ( DIVINOPOLIS 3 ) NF 1290  RONDA PORTEIROS</t>
  </si>
  <si>
    <t>Pagamento referente ao serviços de vigilancia desarmada ( ADITIVO) . ENVIADO POR AUGUSTO</t>
  </si>
  <si>
    <t>[CCC05890]</t>
  </si>
  <si>
    <t>PRESTAÇÃO DE SERVIÇOS UFVs ( FORMIGA 6) NF 1188 RONDA PORTEIROS</t>
  </si>
  <si>
    <t>Pagamento referente ao serviços de vigilancia desarmada dos aditivos de dois vigias noturnos . ENVIADO POR AUGUSTO</t>
  </si>
  <si>
    <t>003211</t>
  </si>
  <si>
    <t>PRESTAÇÃO DE SERVIÇOS UFVs ( PEDRA DO INDAIA 5) NF 1187 RONDA PORTEIROS</t>
  </si>
  <si>
    <t>PRESTAÇÃO DE SERVIÇOS UFVs (CAMPO BELO 1) NF 718</t>
  </si>
  <si>
    <t>Pagamento medição 1, referente a prestação de serviço de mão de obra, necessário à construção da UFVs. 65% - ENVIADO POR SM  RAFAEL OLIVEIRA</t>
  </si>
  <si>
    <t>[CCC05891]</t>
  </si>
  <si>
    <t>PRESTAÇÃO DE SERVIÇOS UFVs (CAMPO BELO 1) NF 719</t>
  </si>
  <si>
    <t>Pagamento medição 1, referente a elaboração de planos, necessário à construção da UFVs. 35% - ENVIADO POR RAFAEL OLIVEIRA</t>
  </si>
  <si>
    <t>PRESTAÇÃO DE SERVIÇOS UFVs (OURO FINO 2) NF 720</t>
  </si>
  <si>
    <t>PRESTAÇÃO DE SERVIÇOS UFVs (OURO FINO 2) NF 721</t>
  </si>
  <si>
    <t>PRESTAÇÃO DE SERVIÇOS UFVs (MUZAMBUNHO 1) NF 722</t>
  </si>
  <si>
    <t>002507</t>
  </si>
  <si>
    <t>PRESTAÇÃO DE SERVIÇOS UFVs (MUZAMBUNHO 1) NF 723</t>
  </si>
  <si>
    <t>002508</t>
  </si>
  <si>
    <t>PRESTAÇÃO DE SERVIÇOS UFVs (PARAGUAÇU 1) NF 724</t>
  </si>
  <si>
    <t>002509</t>
  </si>
  <si>
    <t>PRESTAÇÃO DE SERVIÇOS UFVs (PARAGUAÇU 1) NF 725</t>
  </si>
  <si>
    <t>002510</t>
  </si>
  <si>
    <t>PRESTAÇÃO DE SERVIÇOS UFVs (TRES CORAÇÕES 3) NF 726</t>
  </si>
  <si>
    <t>Pagamento medição 1  ADITIVO , referente a prestação de serviço de mão de obra, necessário à construção da UFVs. 65% - ENVIADO POR SM  RAFAEL OLIVEIRA</t>
  </si>
  <si>
    <t>PRESTAÇÃO DE SERVIÇOS UFVs (TRES CORAÇÕES 3) NF 727</t>
  </si>
  <si>
    <t>Pagamento medição 1 ADITIVO , referente a elaboração de planos, necessário à construção da UFVs. 35% - ENVIADO POR RAFAEL OLIVEIRA</t>
  </si>
  <si>
    <t>PRESTAÇÃO DE SERVIÇOS UFVs (DIAMANTINA 1) NF 9  MESS ENGENHARIA</t>
  </si>
  <si>
    <t>Pagamento em faturamento direto  referente a prestação de serviço de gerenciamento de projetos. ENVIADO POR MANOEL FILHO</t>
  </si>
  <si>
    <t>[CCC05892]</t>
  </si>
  <si>
    <t xml:space="preserve">MEDIÇÃO ( RESENDE JORGE) </t>
  </si>
  <si>
    <t>PRESTAÇÃO DE SERVIÇOS UFVs \( SÃO SEBASTIÃO DO OESTE 4) NF 63</t>
  </si>
  <si>
    <t>Pagamento referente a medição final do contgrato de terraploenagem. ENVIADO POR AUGUSTO</t>
  </si>
  <si>
    <t>[CCC05893]</t>
  </si>
  <si>
    <t>RESENDE JORGE</t>
  </si>
  <si>
    <t>001637</t>
  </si>
  <si>
    <t>MEDIÇÃO (RIMA)</t>
  </si>
  <si>
    <t>PRESTAÇÃO DE SERVIÇOS UFVs (FORMIGA 6) NF 112 RIMA CONSULTORIA</t>
  </si>
  <si>
    <t>[CCC05894]</t>
  </si>
  <si>
    <t>PRESTAÇÃO DE SERVIÇO UFVs  (OURO FINO 2) NF 73 AGP TRANSPORTES</t>
  </si>
  <si>
    <t>Pagamento em faturamento direto referenre ao serviço de frete. ENVIADO POR MBA</t>
  </si>
  <si>
    <t>[CCC05895]</t>
  </si>
  <si>
    <t>PRESTAÇÃO DE SERVIÇO UFVs  ( CAMPO BELO 2) NF 18</t>
  </si>
  <si>
    <t xml:space="preserve">Pagamento referente a medição 2 , prestação de serviços de drenagem . ENVIADO POR RAFAEL </t>
  </si>
  <si>
    <t>[CCC05896]</t>
  </si>
  <si>
    <t>002515</t>
  </si>
  <si>
    <t>MEDIÇÃO (MOSAICO)</t>
  </si>
  <si>
    <t>PRESTAÇÃO DE SERVIÇO UFVs  ( CAMPO BELO 1) NF 17</t>
  </si>
  <si>
    <t>[CCC05897]</t>
  </si>
  <si>
    <t>PRESTAÇÃO DE SERVIÇOS UFVs ( PATOS DE MINAS 4) NF 720</t>
  </si>
  <si>
    <t>Pagamento de medição 4, referente a prestação de serviços.  ENVIADO POR GILSON</t>
  </si>
  <si>
    <t>[CCC05898]</t>
  </si>
  <si>
    <t>002517</t>
  </si>
  <si>
    <t xml:space="preserve">ART Inst. elétricas - Distribuidora CEMIG – Solicitação de acesso UFVs ( BAMBUI 1.1)  </t>
  </si>
  <si>
    <t>[CCC05899]</t>
  </si>
  <si>
    <t xml:space="preserve">ART Inst. elétricas - Distribuidora CEMIG – Solicitação de acesso UFVs ( BAMBUI 1.2)  </t>
  </si>
  <si>
    <t>A605 - ESTRELA DO NORTE BURITIZEIRO SPE</t>
  </si>
  <si>
    <t>003221</t>
  </si>
  <si>
    <t xml:space="preserve">ART Inst. elétricas - Distribuidora CEMIG – Solicitação de acesso UFVs  (BURITIZEIRO 1) </t>
  </si>
  <si>
    <t>003222</t>
  </si>
  <si>
    <t xml:space="preserve">ART Inst. elétricas - Distribuidora CEMIG – Solicitação de acesso UFVs  (BURITIZEIRO 2) </t>
  </si>
  <si>
    <t xml:space="preserve">ART Inst. elétricas - Distribuidora CEMIG – Solicitação de acesso UFVs  (CAMPO BELO 4)  </t>
  </si>
  <si>
    <t>002518</t>
  </si>
  <si>
    <t xml:space="preserve">ART Inst. elétricas - Distribuidora CEMIG – Solicitação de acesso UFVs  (CASSIA 1)  </t>
  </si>
  <si>
    <t>A305 - MORI MINAS NEWCO V - UF CASSIA 2</t>
  </si>
  <si>
    <t xml:space="preserve">ART Inst. elétricas - Distribuidora CEMIG – Solicitação de acesso UFVs  (CASSIA 2)  </t>
  </si>
  <si>
    <t>002430</t>
  </si>
  <si>
    <t xml:space="preserve">ART Inst. elétricas - Distribuidora CEMIG – Solicitação de acesso UFVs  (FREI INOCENCIO 1)  </t>
  </si>
  <si>
    <t>003223</t>
  </si>
  <si>
    <t xml:space="preserve">ART Inst. elétricas - Distribuidora CEMIG – Solicitação de acesso UFVs  (GUARDA MOR)  </t>
  </si>
  <si>
    <t>003224</t>
  </si>
  <si>
    <t xml:space="preserve">ART Inst. elétricas - Distribuidora CEMIG – Solicitação de acesso UFVs  (INDAIABIRA 1)  </t>
  </si>
  <si>
    <t>003225</t>
  </si>
  <si>
    <t xml:space="preserve">ART Inst. elétricas - Distribuidora CEMIG – Solicitação de acesso UFVs  (INDAIABIRA 2)  </t>
  </si>
  <si>
    <t>003226</t>
  </si>
  <si>
    <t xml:space="preserve">ART Inst. elétricas - Distribuidora CEMIG – Solicitação de acesso UFVs  (INDAIABIRA 3)  </t>
  </si>
  <si>
    <t>003227</t>
  </si>
  <si>
    <t xml:space="preserve">ART Inst. elétricas - Distribuidora CEMIG – Solicitação de acesso UFVs  (INDAIABIRA 4)  </t>
  </si>
  <si>
    <t xml:space="preserve">ART Inst. elétricas - Distribuidora CEMIG – Solicitação de acesso UFVs  (LAGOA  FORMOSA)  </t>
  </si>
  <si>
    <t xml:space="preserve">ART Inst. elétricas - Distribuidora CEMIG – Solicitação de acesso UFVs  (NOVA PONTE 1)  </t>
  </si>
  <si>
    <t xml:space="preserve">ART Inst. elétricas - Distribuidora CEMIG – Solicitação de acesso UFVs  (PARACATU 8)  </t>
  </si>
  <si>
    <t>002522</t>
  </si>
  <si>
    <t xml:space="preserve">ART Inst. elétricas - Distribuidora CEMIG – Solicitação de acesso UFVs  (SÃO SEBASTIÃO DO OESTE 1)  </t>
  </si>
  <si>
    <t xml:space="preserve">ART Inst. elétricas - Distribuidora CEMIG – Solicitação de acesso UFVs  (SÃO SEBASTIÃO DO OESTE 3)  </t>
  </si>
  <si>
    <t xml:space="preserve">ART Inst. elétricas - Distribuidora CEMIG – Solicitação de acesso UFVs  (SÃO SEBASTIÃO DO OESTE 5)  </t>
  </si>
  <si>
    <t xml:space="preserve">ART Inst. elétricas - Distribuidora CEMIG – Solicitação de acesso UFVs  (VARGINHA 1)  </t>
  </si>
  <si>
    <t xml:space="preserve">ART Inst. elétricas - Distribuidora CEMIG – Solicitação de acesso UFVs  (VARGINHA 2)  </t>
  </si>
  <si>
    <t xml:space="preserve">ART Inst. elétricas - Distribuidora CEMIG – Solicitação de acesso UFVs  (VARGINHA 5)  </t>
  </si>
  <si>
    <t xml:space="preserve">ART Inst. elétricas - Distribuidora CEMIG – Solicitação de acesso UFVs  (VARJÃO DE MINAS 1)  </t>
  </si>
  <si>
    <t xml:space="preserve">ART Inst. elétricas - Distribuidora CEMIG – Solicitação de acesso UFVs  (VARJÃO DE MINAS 4)  </t>
  </si>
  <si>
    <t>[CCC05900]</t>
  </si>
  <si>
    <t xml:space="preserve">ART Inst. elétricas - Distribuidora CEMIG – Solicitação de acesso UFVs  (ALFENAS 4)  </t>
  </si>
  <si>
    <t>002519</t>
  </si>
  <si>
    <t xml:space="preserve">ART Inst. elétricas - Distribuidora CEMIG – Solicitação de acesso UFVs  (ARCOS 7)  </t>
  </si>
  <si>
    <t>002520</t>
  </si>
  <si>
    <t xml:space="preserve">ART Inst. elétricas - Distribuidora CEMIG – Solicitação de acesso UFVs  (CAMPO BELO 1)  </t>
  </si>
  <si>
    <t xml:space="preserve">ART Inst. elétricas - Distribuidora CEMIG – Solicitação de acesso UFVs  (CAMPO BELO 2)  </t>
  </si>
  <si>
    <t>002521</t>
  </si>
  <si>
    <t xml:space="preserve">ART Inst. elétricas - Distribuidora CEMIG – Solicitação de acesso UFVs  (CAMPO BELO 3)  </t>
  </si>
  <si>
    <t>002523</t>
  </si>
  <si>
    <t xml:space="preserve">ART Inst. elétricas - Distribuidora CEMIG – Solicitação de acesso UFVs  (CAMPO BELO 5)  </t>
  </si>
  <si>
    <t>002435</t>
  </si>
  <si>
    <t xml:space="preserve">ART Inst. elétricas - Distribuidora CEMIG – Solicitação de acesso UFVs  (DIAMANTINA 1)  </t>
  </si>
  <si>
    <t>002436</t>
  </si>
  <si>
    <t xml:space="preserve">ART Inst. elétricas - Distribuidora CEMIG – Solicitação de acesso UFVs  (DIAMANTINA 2)  </t>
  </si>
  <si>
    <t>003228</t>
  </si>
  <si>
    <t>A606-ESTRELA DO NORTE DIVINOPOLIS 2</t>
  </si>
  <si>
    <t>003229</t>
  </si>
  <si>
    <t>003230</t>
  </si>
  <si>
    <t xml:space="preserve">ART Inst. elétricas - Distribuidora CEMIG – Solicitação de acesso UFVs  (DIVINOPOLIS 3)  </t>
  </si>
  <si>
    <t xml:space="preserve">ART Inst. elétricas - Distribuidora CEMIG – Solicitação de acesso UFVs  (FORMIGA 6)  </t>
  </si>
  <si>
    <t>003231</t>
  </si>
  <si>
    <t xml:space="preserve">ART Inst. elétricas - Distribuidora CEMIG – Solicitação de acesso UFVs  (MUZAMBINHO)  </t>
  </si>
  <si>
    <t xml:space="preserve">ART Inst. elétricas - Distribuidora CEMIG – Solicitação de acesso UFVs  (OURO FINO 2)  </t>
  </si>
  <si>
    <t>003232</t>
  </si>
  <si>
    <t>003233</t>
  </si>
  <si>
    <t>003234</t>
  </si>
  <si>
    <t xml:space="preserve">ART Inst. elétricas - Distribuidora CEMIG – Solicitação de acesso UFVs  (PARACATU 5)  </t>
  </si>
  <si>
    <t xml:space="preserve">ART Inst. elétricas - Distribuidora CEMIG – Solicitação de acesso UFVs  (PARAGUAÇU 1)  </t>
  </si>
  <si>
    <t xml:space="preserve">ART Inst. elétricas - Distribuidora CEMIG – Solicitação de acesso UFVs  (PASSOS 4)  </t>
  </si>
  <si>
    <t>002438</t>
  </si>
  <si>
    <t xml:space="preserve">ART Inst. elétricas - Distribuidora CEMIG – Solicitação de acesso UFVs  (PATOS DE MINAS 1)  </t>
  </si>
  <si>
    <t xml:space="preserve">ART Inst. elétricas - Distribuidora CEMIG – Solicitação de acesso UFVs  (PATOS DE MINAS 3)  </t>
  </si>
  <si>
    <t>002440</t>
  </si>
  <si>
    <t xml:space="preserve">ART Inst. elétricas - Distribuidora CEMIG – Solicitação de acesso UFVs  (PATOS DE MINAS 4)  </t>
  </si>
  <si>
    <t xml:space="preserve">ART Inst. elétricas - Distribuidora CEMIG – Solicitação de acesso UFVs  (PATOS DE MINAS 7)  </t>
  </si>
  <si>
    <t xml:space="preserve">ART Inst. elétricas - Distribuidora CEMIG – Solicitação de acesso UFVs  (PATOS DE MINAS 8)  </t>
  </si>
  <si>
    <t xml:space="preserve">ART Inst. elétricas - Distribuidora CEMIG – Solicitação de acesso UFVs  (PATROCINIO 2)  </t>
  </si>
  <si>
    <t xml:space="preserve">ART Inst. elétricas - Distribuidora CEMIG – Solicitação de acesso UFVs  (PATROCINIO 3)  </t>
  </si>
  <si>
    <t>003235</t>
  </si>
  <si>
    <t>003236</t>
  </si>
  <si>
    <t>003237</t>
  </si>
  <si>
    <t xml:space="preserve">ART Inst. elétricas - Distribuidora CEMIG – Solicitação de acesso UFVs  (SANTO ANTONIO DO AMPARO 1)  </t>
  </si>
  <si>
    <t>003238</t>
  </si>
  <si>
    <t>002530</t>
  </si>
  <si>
    <t xml:space="preserve">ART Inst. elétricas - Distribuidora CEMIG – Solicitação de acesso UFVs  (SÃO SEBASTIÃO DO OESTE 4)  </t>
  </si>
  <si>
    <t>003240</t>
  </si>
  <si>
    <t xml:space="preserve">ART Inst. elétricas - Distribuidora CEMIG – Solicitação de acesso UFVs  (TRES CORAÇÕES 3)  </t>
  </si>
  <si>
    <t xml:space="preserve">MEDIÇÃO (ENGECON) </t>
  </si>
  <si>
    <t>PRESTAÇÃO DE SERVIÇOS UFVs ( LAGOA FORMOSA) NF 420</t>
  </si>
  <si>
    <t xml:space="preserve">Pagamento referente a medição d serviços de drenagem . ENVIADO POR GILSON </t>
  </si>
  <si>
    <t>[CCC05901]</t>
  </si>
  <si>
    <t>COMPRA DE MATERIAIS UFVs ( PATOS DE MINAS 1) NF 1528 HYDROTECH</t>
  </si>
  <si>
    <t>Pagamento referente a compra de caixa d'agua . ENVIADO POR GILSON</t>
  </si>
  <si>
    <t>[CCC05902]</t>
  </si>
  <si>
    <t>HIDROTECH</t>
  </si>
  <si>
    <t>COMPRA DE MATERIAIS UFVs ( PATOS DE MINAS 3) NF 1526 HYDROTECH</t>
  </si>
  <si>
    <t>COMPRA DE MATERIAIS UFVs ( PATOS DE MINAS 4) NF 1527 HYDROTECH</t>
  </si>
  <si>
    <t>002450</t>
  </si>
  <si>
    <t>PRESTAÇÃO DE SERVIÇOS UFVs ( PATOS DE MINAS 1) NF 1389</t>
  </si>
  <si>
    <t>Pagamento 1° medição, referente aos serviços de drenagem . ENVIADO POR GISON</t>
  </si>
  <si>
    <t>[CCC05903]</t>
  </si>
  <si>
    <t>PRESTAÇÃO DE SERVIÇOS UFVs ( PATOS DE MINAS 3) NF 1391</t>
  </si>
  <si>
    <t>Pagamento 3° medição, referente aos serviços de drenagem . ENVIADO POR GILSON</t>
  </si>
  <si>
    <t>002449</t>
  </si>
  <si>
    <t>PRESTAÇÃO DE SERVIÇO UFVs (PATOS DE MINAS 4) NF 5 EMPREENDIMENTOS IMPERIAL</t>
  </si>
  <si>
    <t>Pagamento em faturamento direto referente ao serviço de hospedagem. ENVIADO POR GILSON QUEIROZ</t>
  </si>
  <si>
    <t>[CCC05904]</t>
  </si>
  <si>
    <t>PRESTAÇÃO DE SERVIÇO UFVs (PATOS DE MINAS 3) NF 2802 MBA</t>
  </si>
  <si>
    <t>Pagamento de medição referente a prestação de serviço de obra civil. ENVIADO POR GILSON QUEIROZ</t>
  </si>
  <si>
    <t>[CCC05905]</t>
  </si>
  <si>
    <t xml:space="preserve">PRESTAÇÃO DE SERVIÇO UFVs ( PATROCINIO 3) NF  1195 RONDA PORTEIROS   </t>
  </si>
  <si>
    <t>Pagamento referente a prestação de seerviços de vigilancia desarmada . ENVIADO POR GILSON</t>
  </si>
  <si>
    <t>[CCC05906]</t>
  </si>
  <si>
    <t xml:space="preserve">PRESTAÇÃO DE SERVIÇO UFVs ( PATROCINIO 2) NF  1198 RONDA PORTEIROS   </t>
  </si>
  <si>
    <t xml:space="preserve">PRESTAÇÃO DE SERVIÇO UFVs (LAGOA FORMOSA)  NF  1192 RONDA PORTEIROS   </t>
  </si>
  <si>
    <t>PRESTAÇÃO DE SERVIÇO UFVs (PATOS DE MINAS 1) NF 291  LIDER RESIDUOS</t>
  </si>
  <si>
    <t>Pagamento em faturamento direto referente ao serviços de transporte e coleta de resíduos. ENVIADO POR GILSON QUEIROZ</t>
  </si>
  <si>
    <t>[CCC05907]</t>
  </si>
  <si>
    <t xml:space="preserve">PRESTAÇÃO DE SERVIÇO UFVs ( PATROCINIO 2 e 3) NF  49304  ATIVA LOCAÇÃO </t>
  </si>
  <si>
    <t xml:space="preserve">Pagamento referente a locação de containers . ENVIADO POR GILSON </t>
  </si>
  <si>
    <t>[CCC05908]</t>
  </si>
  <si>
    <t xml:space="preserve">ATIVA LOCAÇÃO </t>
  </si>
  <si>
    <t xml:space="preserve">PRESTAÇÃO DE SERVIÇO UFVs (PATOS DE MINAS 4) NF 337 TRANSPORTES DAVI </t>
  </si>
  <si>
    <t>Pagamento em faturamento direto referente a locação de onibus. ENVIADO POR GILSON QUEIROZ</t>
  </si>
  <si>
    <t>[CCC05909]</t>
  </si>
  <si>
    <t>PRESTAÇÃO DE SERVIÇO UFVs ( PATROCINIO 3) NF 2680 INOVAR LOCAÇÕES</t>
  </si>
  <si>
    <t>[CCC05910]</t>
  </si>
  <si>
    <t xml:space="preserve"> INOVAR LOCAÇÕES</t>
  </si>
  <si>
    <t>PRESTAÇÃO DE SERVIÇO UFVs ( PATROCINIO 2 ) NF 2682 INOVAR LOCAÇÕES</t>
  </si>
  <si>
    <t>002534</t>
  </si>
  <si>
    <t>PRESTAÇÃO DE SERVIÇO UFVs (lLAGOA FORMOSA)  NF 2683 INOVAR LOCAÇÕES</t>
  </si>
  <si>
    <t>PRESTAÇÃO DE SERVIÇOS UFVs ( PATOS DE MINAS 1) NF 34 ALEXANDRE JOSE</t>
  </si>
  <si>
    <t>Pagamento referente ao fornecimento de cabos de inversores. ENVIADO POR GILSON</t>
  </si>
  <si>
    <t>[CCC05911]</t>
  </si>
  <si>
    <t>PRESTAÇÃO DE SERVIÇOS UFVs (  LAGOA FORMOSA ) NF 3 GIANFRANCO</t>
  </si>
  <si>
    <t>Pagamento referente ao fornecimento de energia eletrica. ENVIADO POR GILSON</t>
  </si>
  <si>
    <t>[CCC05912]</t>
  </si>
  <si>
    <t>002460</t>
  </si>
  <si>
    <t>PRESTAÇÃO DE SERVIÇOS UFVs (  LAGOA FORMOSA ) NF 13 RANDER MOTA</t>
  </si>
  <si>
    <t xml:space="preserve">Pagamento  referente a prestação relativo ao aluguel de tendas . ENVIADO POR GILSON </t>
  </si>
  <si>
    <t>[CCC05913]</t>
  </si>
  <si>
    <t>PRESTAÇÃO DE SERVIÇOS UFVs (   PATROCINIO 2) NF 114</t>
  </si>
  <si>
    <t xml:space="preserve">Pagamento  referente a prestação relativo  ao fornecimento de internet . ENVIADO POR GILSON </t>
  </si>
  <si>
    <t>[CCC05914]</t>
  </si>
  <si>
    <t>PRESTAÇÃO DE SERVIÇOS UFVs (PATOS DE MINAS 1) NF 1234 RONDA PORTEIROS</t>
  </si>
  <si>
    <t>Pagamemto em faturamento direto referente ao serviço de vigilancia desarmada. ENVIADO POR GILSON QUEIROZ</t>
  </si>
  <si>
    <t>[CCC05915]</t>
  </si>
  <si>
    <t>002463</t>
  </si>
  <si>
    <t>PRESTAÇÃO DE SERVIÇOS UFVs (PATOS DE MINAS 3) NF 5 LEANDRO DIAS MARTINS</t>
  </si>
  <si>
    <t>[CCC05916]</t>
  </si>
  <si>
    <t>002464</t>
  </si>
  <si>
    <t>PRESTAÇÃO DE SERVIÇOS UFVs (PATOS DE MINAS 3) NF 1237 RONDA PORTEIROS</t>
  </si>
  <si>
    <t>[CCC05917]</t>
  </si>
  <si>
    <t>002465</t>
  </si>
  <si>
    <t>COMPRA DE MATERIAIS UFVs (PATOS DE MINAS 3) NF 2017  FAMACON</t>
  </si>
  <si>
    <t>Pagamento em faturamento direto referente a compra de materiais. ENVIADO POR GILSON QUEIROZ</t>
  </si>
  <si>
    <t>[CCC05918]</t>
  </si>
  <si>
    <t>002466</t>
  </si>
  <si>
    <t xml:space="preserve">FAT. DIRETO (R&amp;M SOLAR ) </t>
  </si>
  <si>
    <t xml:space="preserve">PRESTAÇÃO DE SERVIÇOS UFVs  (PATO DE MINAS 8) NF 1 LUIZ  CARLOS </t>
  </si>
  <si>
    <t xml:space="preserve">Pagamanento referente  ao faturamento direto, do serviço prestado de drenagem. ENVIADO POR GILSON </t>
  </si>
  <si>
    <t>[CCC05919]</t>
  </si>
  <si>
    <t>PRESTAÇÃO DE SERVIÇOS UFVs  (PATO DE MINAS 8) NF 18 JC LOCAÇÃO</t>
  </si>
  <si>
    <t>MEDIÇÃO ( MIPE )</t>
  </si>
  <si>
    <t>PRETSÇÃO DE SERVIÇOS UFVs (FORMIGA 6) NF 321</t>
  </si>
  <si>
    <t>Pagamento medição 2  referente aos a prestação de serviços  de drenagem. ENVIADO POR AUGUSTO</t>
  </si>
  <si>
    <t>[CCC05920]</t>
  </si>
  <si>
    <t>002467</t>
  </si>
  <si>
    <t>PRESTAÇÃO DE SERVIÇOS UFVs  (PATO DE MINAS 4) NF 49413  ATIVA LOCAÇÃO</t>
  </si>
  <si>
    <t xml:space="preserve">Pagamanento em faturamento direto referente a locação de containers. ENVIADO POR GILSON </t>
  </si>
  <si>
    <t>[CCC05921]</t>
  </si>
  <si>
    <t>002468</t>
  </si>
  <si>
    <t>PRESTAÇÃO DE SERVIÇOS UFVs  (PATO DE MINAS 1) NF 10 DL</t>
  </si>
  <si>
    <t xml:space="preserve">Pagamanento em faturamento direto referente a locação de equipamentos. ENVIADO POR GILSON </t>
  </si>
  <si>
    <t>[CCC05922]</t>
  </si>
  <si>
    <t>MEDIÇÃO MENSAL OUTUBRO/2023  UFVs  LMENG  NF 12099</t>
  </si>
  <si>
    <t>[CCC05923]</t>
  </si>
  <si>
    <t>MEDIÇÃO MENSAL OUTUBRO/2023  UFVs  LMENG  NF 12100</t>
  </si>
  <si>
    <t>MEDIÇÃO MENSAL OUTUBRO/2023  UFVs  LMENG  NF 12101</t>
  </si>
  <si>
    <t>003242</t>
  </si>
  <si>
    <t>MEDIÇÃO MENSAL OUTUBRO/2023  UFVs  LMENG  NF 12102</t>
  </si>
  <si>
    <t>PRESTAÇÃO DE SERVIÇO UFVs (PATOS DE MINAS 3) NF 6 LEANDRO DIAS</t>
  </si>
  <si>
    <t>Pagamaento em faturamento direto referente ao serviço de hospedagem. ENVIADO POR GILSON QUEIROZ</t>
  </si>
  <si>
    <t>[CCC05924]</t>
  </si>
  <si>
    <t>PRESTAÇÃO DE SERVIÇO UFVs (DIAMANTINA 1) NF 403        AGUIAR COMERCIO</t>
  </si>
  <si>
    <t>[CCC05925]</t>
  </si>
  <si>
    <t>003261</t>
  </si>
  <si>
    <t>PRESTAÇÃO DE SERVIÇOS UFVs (  SÃO SEBASTIÃO DO OESTE  6)  NF 041452705 NILTON</t>
  </si>
  <si>
    <t>Pagamento em faturamento direto referente aos serviços de drenagem . ENVIADO POR AUGUSTO</t>
  </si>
  <si>
    <t>[CCC05926]</t>
  </si>
  <si>
    <t>003245</t>
  </si>
  <si>
    <t>PRESTAÇÃO DE SERVIÇO UFVs (SÃO SEBASTIÃO DO OESTE 0) NF 10969 CIMENTÃO</t>
  </si>
  <si>
    <t>Pagamento em faturamento direto referente ao serviço de concretagem . ENVIADO POR AUGUSTO SIQUEIRA</t>
  </si>
  <si>
    <t>[CCC05927]</t>
  </si>
  <si>
    <t>003262</t>
  </si>
  <si>
    <t>PRESTAÇÃO DE SERVIÇOS UFVs (  SÃO SEBASTIÃO DO OESTE  6)  NF 41 FABIO LUCIO</t>
  </si>
  <si>
    <t>[CCC05928]</t>
  </si>
  <si>
    <t>003246</t>
  </si>
  <si>
    <t>PRESTAÇÃO DE SERVIÇOS UFVs (  SÃO SEBASTIÃO DO OESTE  6)  NF 187 FRANCO ASSESSORIA</t>
  </si>
  <si>
    <t>[CCC05929]</t>
  </si>
  <si>
    <t>PRESTAÇÃO DE SERVIÇOS - USINAS CICLO 3 NF 19  3FS AGROCONSULTING</t>
  </si>
  <si>
    <t>[CCC05930]</t>
  </si>
  <si>
    <t>Não Controaldo</t>
  </si>
  <si>
    <t>PRESTAÇÃO DE SERVIÇOS - USINAS CICLO 3 NF 238  GP SERVIÇOS</t>
  </si>
  <si>
    <t>Pagamento referente a assessoria e consultoria fundiária em prospecções de terrenos e contratos. OUTUBRO/ 2023 - ENVIADO POR LEONARDO NASSER</t>
  </si>
  <si>
    <t>[CCC05931]</t>
  </si>
  <si>
    <t>002544</t>
  </si>
  <si>
    <t>MEDIÇÃO  (PHP)</t>
  </si>
  <si>
    <t>PRESTAÇÃO DE SERVIÇOS UFVs ( PARAGUAÇU 1)  ADIANTAMENTO  NF 1479</t>
  </si>
  <si>
    <t xml:space="preserve">Pagamento de medição 1, referente a 15 % do contrato. NOTA SERÁ ENVIADA  NO FECHAMENTO DE CONTRATO . ENVIADO POR RAFAEL </t>
  </si>
  <si>
    <t>[CCC05932]</t>
  </si>
  <si>
    <t>COMPRA DE MATERIAIS UFVs (OURO FINO 2) NF 50714  INCOPRE</t>
  </si>
  <si>
    <t>Pagamento em faturmaento direto referente a compra de materiais. ENVIADO POR MBA</t>
  </si>
  <si>
    <t>[CCC05933]</t>
  </si>
  <si>
    <t>MEDIÇÃO ( EPC - GLD)</t>
  </si>
  <si>
    <t>PRESTAÇÃO DE SERVIÇOS UFVs  (CAMPO BELO 1) NF 737</t>
  </si>
  <si>
    <t xml:space="preserve">Pagamento é referente  ao aditivo de contrato. ENVIADO POR ROMANEI </t>
  </si>
  <si>
    <t>[CCC05934]</t>
  </si>
  <si>
    <t>PRESTAÇÃO DE SERVIÇOS UFVs  (CAMPO BELO 5) NF 738</t>
  </si>
  <si>
    <t>A303- MORI MINAS NEWCO V - UFV CAMPO BELO 2</t>
  </si>
  <si>
    <t>PRESTAÇÃO DE SERVIÇOS UFVs  (CAMPO BELO 2) NF 739</t>
  </si>
  <si>
    <t>A409- MORI MINAS NEWCO IV -  UFV SANTO ANTONIO  1</t>
  </si>
  <si>
    <t>PRESTAÇÃO DE SERVIÇOS UFVs  ( SANTO ANTONIO DO AMPARO 1) NF 740</t>
  </si>
  <si>
    <t>PRESTAÇÃO DE SERVIÇOS UFVs  ( ALFENAS 4) NF 741</t>
  </si>
  <si>
    <t>COMPRA DE MATERIAIS UFVs (PATROCINIO 2) NF 10382  LINX</t>
  </si>
  <si>
    <t>Pagamento em faturamento direto referente a compra de combustivel. ENVIADO POR GILSON QUEIROZ</t>
  </si>
  <si>
    <t>[CCC05935]</t>
  </si>
  <si>
    <t>LINX</t>
  </si>
  <si>
    <t>COMPRA DE MATERIAIS UFVs (PATROCINIO 3) NF 10153  LINX</t>
  </si>
  <si>
    <t>PRESTAÇÃO DE SERVIÇO UFVs (DIAMANTINA 1) NF 39  JANAINA MARQUES</t>
  </si>
  <si>
    <t>Pagamento referente a placas de identificação. ENVIADO POR MANOEL LIMA</t>
  </si>
  <si>
    <t>[CCC05936]</t>
  </si>
  <si>
    <t xml:space="preserve"> JANAINA MARQUES</t>
  </si>
  <si>
    <t>003248</t>
  </si>
  <si>
    <t>PRESTAÇÃO DE SERVIÇOS UFVs ( PEDRA DO INDAIA 5) NF  47 PORTAL DOS POÇOS</t>
  </si>
  <si>
    <t xml:space="preserve">Pagamento referente  ao serviço de pré-driling . ENVIADO POR AUGUSTO </t>
  </si>
  <si>
    <t>[CCC05937]</t>
  </si>
  <si>
    <t>PRESTAÇÃO DE SERVIÇOS UFVs (SÃO SEBASTIÃO DO OESTE 4) NF 10895  CIMENTÃO</t>
  </si>
  <si>
    <t>Pagamento em faturamento direto referente ao serviço de concretagem. ENVIADO POR AUGUSTO XAVIER</t>
  </si>
  <si>
    <t>[CCC05938]</t>
  </si>
  <si>
    <t>MEDIÇÃO (RESENDE JORGE)</t>
  </si>
  <si>
    <t>PRESTAÇÃO DE SERVIÇOS UFVs ( SÃO SEBASTIÃO DO OESTE 1) NF  69</t>
  </si>
  <si>
    <t>Pagamento referente ao serviços de drenagem, melhoria na  conteção de agua. ENVIADO POR RODRIGO</t>
  </si>
  <si>
    <t>[CCC05939]</t>
  </si>
  <si>
    <t xml:space="preserve">RESENDE JORGE </t>
  </si>
  <si>
    <t>PRESTAÇÃO DE SERVIÇOS UFVs ( SÃO SEBASTIÃO DO OESTE 3) NF  70</t>
  </si>
  <si>
    <t>PRESTAÇÃO DE SERVIÇOS UFVs ( SÃO SEBASTIÃO DO OESTE 5) NF  71</t>
  </si>
  <si>
    <t>PRESTAÇÃO DE SERVIÇOS UFVs (FORMIGA 6) NF 728</t>
  </si>
  <si>
    <t>Pagamento de medição referente ao adiantamento de 50% dos aditivos de perfuração e concretagem. ENVIADO POR AUGUSTO SIQUEIRA</t>
  </si>
  <si>
    <t>[CCC05940]</t>
  </si>
  <si>
    <t>PRESTAÇÃO DE SERVIÇOS UFVs (FORMIGA 6) NF 729</t>
  </si>
  <si>
    <t>003249</t>
  </si>
  <si>
    <t>PRESTAÇÃO DE SERVIÇOS UFVs (PEDRA DO INDAIÁ 5) NF 730</t>
  </si>
  <si>
    <t>003250</t>
  </si>
  <si>
    <t>PRESTAÇÃO DE SERVIÇOS UFVs (PEDRA DO INDAIÁ 5) NF 731</t>
  </si>
  <si>
    <t>Outros - Serviços à UFV (CICLO 3)</t>
  </si>
  <si>
    <t xml:space="preserve">PRESTAÇÃO DE SERVIÇOS UFVs BAHIA NF 305 RENOVA </t>
  </si>
  <si>
    <t>Pagamento referente  a mobilização para atividade de autorização de intervençpão para supressão vegetal nativa . ENVIADO POR KARINA BARBOSA</t>
  </si>
  <si>
    <t>[CCC05941]</t>
  </si>
  <si>
    <t xml:space="preserve">RENOVA </t>
  </si>
  <si>
    <t>003251</t>
  </si>
  <si>
    <t>PRESTAÇÃO DE SERVIÇOS UFVs ( JABOTICATUBAS) NF 35 SJR PROTEÇÃO</t>
  </si>
  <si>
    <t>[CCC05942]</t>
  </si>
  <si>
    <t>MEDIÇÃO MENSAL OUTUBRO/2023  UFVs  LMENG  NF 12110</t>
  </si>
  <si>
    <t>[CCC05943]</t>
  </si>
  <si>
    <t>MEDIÇÃO MENSAL OUTUBRO/2023  UFVs  LMENG  NF 12111</t>
  </si>
  <si>
    <t>MEDIÇÃO MENSAL OUTUBRO/2023  UFVs  LMENG  NF 12112</t>
  </si>
  <si>
    <t>003252</t>
  </si>
  <si>
    <t>MEDIÇÃO MENSAL OUTUBRO/2023  UFVs  LMENG  NF 12113</t>
  </si>
  <si>
    <t>MEDIÇÃO MENSAL OUTUBRO/2023  UFVs  LMENG  NF 12114</t>
  </si>
  <si>
    <t>MEDIÇÃO MENSAL OUTUBRO/2023  UFVs  LMENG  NF 12115</t>
  </si>
  <si>
    <t>MEDIÇÃO MENSAL OUTUBRO/2023  UFVs  LMENG  NF 12116</t>
  </si>
  <si>
    <t>003253</t>
  </si>
  <si>
    <t>MEDIÇÃO MENSAL OUTUBRO/2023  UFVs  LMENG  NF 12117</t>
  </si>
  <si>
    <t>003287</t>
  </si>
  <si>
    <t>MEDIÇÃO (RENOVO)</t>
  </si>
  <si>
    <t>PRFESTAÇÃO DE SERVIÇOS UFVs ( JABOTICATUBAS) NF 439</t>
  </si>
  <si>
    <t xml:space="preserve">Pagamento medição 1, referente a prestação dos serviços de drenagem. ENVIADO POR MANOEL </t>
  </si>
  <si>
    <t>[CCC05944]</t>
  </si>
  <si>
    <t>RENOVO</t>
  </si>
  <si>
    <t>723815</t>
  </si>
  <si>
    <t>PRESTAÇÃO DE SERVIÇOS UFVs  NF 66141  AVAPRO</t>
  </si>
  <si>
    <t>[CCC05945]</t>
  </si>
  <si>
    <t>AVAPRO</t>
  </si>
  <si>
    <t>003254</t>
  </si>
  <si>
    <t>MEDIÇÃO ( R&amp;M SOLAR )</t>
  </si>
  <si>
    <t>PRESTAÇÃO DE SERVIÇOS UFVs  ( BURITIZEIRO 2) NF 52</t>
  </si>
  <si>
    <t xml:space="preserve">Pagamento medição 5, referente a prestação de serviço de drenagem. ENVIADO POR MANOEL </t>
  </si>
  <si>
    <t>[CCC05946]</t>
  </si>
  <si>
    <t>A605 - ESTRELA DO NORTE SPE- UFV BURITIZEIRO 1</t>
  </si>
  <si>
    <t>003255</t>
  </si>
  <si>
    <t>PRESTAÇÃO DE SERVIÇOS UFVs  ( BURITIZEIRO 1) NF 51</t>
  </si>
  <si>
    <t>003256</t>
  </si>
  <si>
    <t>PRESTAÇÃO DE SERVIÇOS UFVs (PEDRA DO INDAIÁ 5) NF 742</t>
  </si>
  <si>
    <t>Pagamento medição 6, referente a prestação de serviço de mão de obra, necessário à construção da UFVs. 65% - ENVIADO POR SM  AUGUSTO SIQUEIRA</t>
  </si>
  <si>
    <t>[CCC05947]</t>
  </si>
  <si>
    <t>003257</t>
  </si>
  <si>
    <t>PRESTAÇÃO DE SERVIÇOS UFVs (PEDRA DO INDAIÁ 5) NF 743</t>
  </si>
  <si>
    <t>Pagamento medição 6 , referente a elaboração de planos, necessário à construção da UFVs. 35% - ENVIADO POR AUGUSTO SIQUEIRA</t>
  </si>
  <si>
    <t>003258</t>
  </si>
  <si>
    <t>PRESTAÇÃO DE SERVIÇOS UFVs (BURITIZEIRO 1) NF 2451</t>
  </si>
  <si>
    <t>[CCC05948]</t>
  </si>
  <si>
    <t>003259</t>
  </si>
  <si>
    <t>PRESTAÇÃO DE SERVIÇOS UFVs (BURITIZEIRO 2) NF 2452</t>
  </si>
  <si>
    <t>COMPRA DE MATERIAIS UFVs (OURO FINO 2) NF 29188 EXPONENCIAL</t>
  </si>
  <si>
    <t>[CCC05949]</t>
  </si>
  <si>
    <t>003260</t>
  </si>
  <si>
    <t>PRESTAÇÃO DE SERVIÇO UFVs (PARACATU 4) NF 42 COSTERR</t>
  </si>
  <si>
    <t>Pagamento em faturamento direto referente a locação de equipamentos. ENVIADO POR ORCI</t>
  </si>
  <si>
    <t>[CCC05950]</t>
  </si>
  <si>
    <t>PRESTAÇÃO DE SERVIÇOS UFVs (CAMPO BELO 4) NF 592535 PAULO ROBERTO</t>
  </si>
  <si>
    <t>Pagaemnto referente a limpeza , manutenção e conservação de vias e logradouros. ENVIADO POR RODRIGO</t>
  </si>
  <si>
    <t>[CCC05951]</t>
  </si>
  <si>
    <t>003264</t>
  </si>
  <si>
    <t>PRESTAÇÃO DE SERVIÇO UFVs (DIVINOPOLIS 1) NF 28589</t>
  </si>
  <si>
    <t>Pagamento de medição referente ao fornecimento de material e mão de obra especializada para serviços de instalações eletromecanicas e civil. ENVIADO POR AUGUSTO SIQUEIRA</t>
  </si>
  <si>
    <t>[CCC05952]</t>
  </si>
  <si>
    <t>003265</t>
  </si>
  <si>
    <t>PRESTAÇÃO DE SERVIÇO UFVs (DIVINOPOLIS 2) NF 28590</t>
  </si>
  <si>
    <t>003266</t>
  </si>
  <si>
    <t>PRESTAÇÃO DE SERVIÇO UFVs (PAINS 3) NF 28592</t>
  </si>
  <si>
    <t>PRESTAÇÃO DE SERVIÇO UFVs (SÃO SEBASTIÃO DO OESTE 4) NF 28593</t>
  </si>
  <si>
    <t>003268</t>
  </si>
  <si>
    <t>PRESTAÇÃO DE SERVIÇO UFVs (SÃO SEBASTIÃO DO OESTE 0) NF 28594</t>
  </si>
  <si>
    <t>PRESTAÇÃO DE SERVIÇO UFVs (DIAMANTINA 1) NF 11 LUIZ CARLOS</t>
  </si>
  <si>
    <t>Pagamento em faturamento direto referente a mão de obra da estrutura metálica telhado office, portão office, portões cercamento e canaleta. ENVIADO POR MANOEL FILHO</t>
  </si>
  <si>
    <t>[CCC05953]</t>
  </si>
  <si>
    <t>COMPRA DE MATERIAIS UFVs (DIAMANTINA 1) NF 13730  PREMOLDADOS DIAMANTE</t>
  </si>
  <si>
    <t>Pagamento em faturamento direto referente a compra de materiais. ENVIADO POR MANOEL FILHO</t>
  </si>
  <si>
    <t>[CCC05954]</t>
  </si>
  <si>
    <t>003263</t>
  </si>
  <si>
    <t>Fat.Direito ( R&amp;M SOLAR )</t>
  </si>
  <si>
    <t xml:space="preserve">PRESTAÇÃO DE SERVIÇO UFVs (SÃO SEBASTIÃO DO OESTED 6) NF 17 SOLUÇÃO ENGENHARIA </t>
  </si>
  <si>
    <t>Pagamento em faturamento direto, referente a prestação de serviços de drenagem. ENVIADO POR AUGUSTO</t>
  </si>
  <si>
    <t>[CCC05955]</t>
  </si>
  <si>
    <t>003267</t>
  </si>
  <si>
    <t>PRETSÇÃO DE SERVIÇOS UFVs (PAINS 3) NF 322</t>
  </si>
  <si>
    <t>Pagamento medição , referente aos a prestação de serviços  de drenagem. ENVIADO POR AUGUSTO</t>
  </si>
  <si>
    <t>[CCC05956]</t>
  </si>
  <si>
    <t>003269</t>
  </si>
  <si>
    <t>PRETSÇÃO DE SERVIÇOS UFVs (PEDRA DO INDAIA 5) NF 323</t>
  </si>
  <si>
    <t>PRETSÇÃO DE SERVIÇOS UFVs (FORMIGA 6) NF 324</t>
  </si>
  <si>
    <t>PRESTAÇÃO DE SERVIÇOS UFVs (  PATOS DE MINAS 8) NF 2 LUIZ C MACHADO</t>
  </si>
  <si>
    <t>Pagamento medição , referente aos a prestação de serviços  de drenagem. ENVIADO POR GILSON</t>
  </si>
  <si>
    <t>[CCC05957]</t>
  </si>
  <si>
    <t>PRESTAÇÃO DE SERVIÇOS UFVs (   VARJÃO DE MINAS) 1515 HYDROTECH</t>
  </si>
  <si>
    <t>Pagamento referente a compra de reservatório . ENVIADO POR GILSON</t>
  </si>
  <si>
    <t>[CCC05958]</t>
  </si>
  <si>
    <t>PRESTAÇÃO DE SERVIÇOS UFVs (PATOS DE MINAS 8) NF 1291  RONDA PORTEIROS</t>
  </si>
  <si>
    <t>Pagamento em faturamento direto referente ao serviço de vigilância desarmada. ENVIADO POR GILSON QUEIROZ</t>
  </si>
  <si>
    <t>[CCC05959]</t>
  </si>
  <si>
    <t>PRESTAÇÃO DE SERVIÇOS UFVs (PATOS DE MINAS 7) NF 8 D´PAULON CONSTRUCOES</t>
  </si>
  <si>
    <t>Pagamento em faturamento direto referente a prestação de serviço de mão de obra civil. ENVIADO POR GILSON QUEIROZ</t>
  </si>
  <si>
    <t>[CCC05960]</t>
  </si>
  <si>
    <t>PRESTAÇÃO DE SERVIÇOS UFVs ( PATROCINIO 2) NF 706</t>
  </si>
  <si>
    <t>[CCC05961]</t>
  </si>
  <si>
    <t xml:space="preserve">THM </t>
  </si>
  <si>
    <t>PRESTAÇÃO DE SERVIÇOS UFVs ( PATROCINIO 3) NF 707</t>
  </si>
  <si>
    <t>002487</t>
  </si>
  <si>
    <t>PRESTAÇÃO DE SERVIÇOS UFVs (PATOS DE MINAS 7) NF 1292  RONDA PORTEIROS</t>
  </si>
  <si>
    <t>[CCC05962]</t>
  </si>
  <si>
    <t>MEDIÇÃO (EPC- IMPLANTAR)</t>
  </si>
  <si>
    <t>PRESTAÇÃO DE SERVIÇOS UFVs (PATOS DE MINAS 3) NF 724</t>
  </si>
  <si>
    <t>Pagamento de medição de ADITIVOS, referente a concretagem trackers. ENVIADO POR GILSON</t>
  </si>
  <si>
    <t>[CCC05963]</t>
  </si>
  <si>
    <t>PRESTAÇÃO DE SERVIÇOS UFVs (PATOS DE MINAS 3) NF 1302  RONDA PORTEIROS</t>
  </si>
  <si>
    <t>[CCC05964]</t>
  </si>
  <si>
    <t>ART  – Solicitação de acesso UFVs  (DIAMANTINA 2)  N 1411000000010944</t>
  </si>
  <si>
    <t xml:space="preserve">Pagamento referente a emissão de ART de execução da atividade de afugentamento na usina. ENVIADO POR TIAGO ROBERTO </t>
  </si>
  <si>
    <t>[CCC05965]</t>
  </si>
  <si>
    <t>PRESTAÇÃO DE SERVIÇO UFVs (VARJÃO DE MINAS 4) NF 1255 RONDA PORTEIROS</t>
  </si>
  <si>
    <t>Pagamento em faturamento direto referente a prstação de serviço de vigilância desarmada. ENVIADO POR GILSON AUGUSTO</t>
  </si>
  <si>
    <t>[CCC05966]</t>
  </si>
  <si>
    <t>002541</t>
  </si>
  <si>
    <t>Outros - Serviços à UFV -  MBA</t>
  </si>
  <si>
    <t>COMPRA DE MATERIAIS UFVs (OURO FINO 2) NF 50726 INCOPRE</t>
  </si>
  <si>
    <t xml:space="preserve">NOTA REFERENTE A REMESSA ** NÃO GERA FINANCEIRO ** ENVIADO POR MBA </t>
  </si>
  <si>
    <t>[CCC05967]</t>
  </si>
  <si>
    <t>002542</t>
  </si>
  <si>
    <t>COMPRA DE MATERIAIS UFVs (OURO FINO 2) NF 50722 INCOPRE</t>
  </si>
  <si>
    <t>SERVIÇOS PRESTADOS DE CONSULTORIA EM CONTRATOS -  DELOITTE     NF 320</t>
  </si>
  <si>
    <t>Pagamento referente a medição mão de obra contrato DELOITTE ,  necessário à construção da UFV em contrato EPC . MEDIÇÃO 15 - ENVIADO POR DELOITTE</t>
  </si>
  <si>
    <t>[CCC05968]</t>
  </si>
  <si>
    <t xml:space="preserve">DELOITTE </t>
  </si>
  <si>
    <t>SERVIÇOS PRESTADOS DE CONSULTORIA EM CONTRATOS -  DELOITTE     NF 321</t>
  </si>
  <si>
    <t>003278</t>
  </si>
  <si>
    <t>SERVIÇOS PRESTADOS DE CONSULTORIA EM CONTRATOS -  DELOITTE     NF 322</t>
  </si>
  <si>
    <t>SERVIÇOS PRESTADOS DE CONSULTORIA EM CONTRATOS -  DELOITTE     NF 323</t>
  </si>
  <si>
    <t>PRESTAÇÃO DE SERVIÇOS UFVs ( ALFENAS 4) NF 1215 RONDA</t>
  </si>
  <si>
    <t xml:space="preserve">Pagamento referente a prestação de serviço de vigilancia desarmada aditivos de dois vigias . ENVIADO POR  RAFAEL </t>
  </si>
  <si>
    <t>[CCC05969]</t>
  </si>
  <si>
    <t>002545</t>
  </si>
  <si>
    <t>PRESTAÇÃO DE SERVIÇOS UFVs ( CAMPO BELO 1) NF 1202</t>
  </si>
  <si>
    <t>PRESTAÇÃO DE SERVIÇOS UFVs ( SANTO ANTONIO DO AMAPARO 1 ) NF1201</t>
  </si>
  <si>
    <t>002547</t>
  </si>
  <si>
    <t>PRESTAÇÃO DE SERVIÇOS UFVs (VARGINHA 1) NF 1197</t>
  </si>
  <si>
    <t>Pagamento referente a prestação de serviço de vigiliancia desarmada. ENVIADO POR RAFAEL</t>
  </si>
  <si>
    <t>PRESTAÇÃO DE SERVIÇOS UFVs (VARGINHA 2)  NF 1199</t>
  </si>
  <si>
    <t>MEDIÇÃO SERVIÇO DE EXTENSÃO DE REDE  (SÃO SEBASTIÃO DO OESTE 4)   NF 2375</t>
  </si>
  <si>
    <t>002548</t>
  </si>
  <si>
    <t>PRESTAÇÃO DE SERVIÇOS UFVs ( MUZAMBINHO 1 ) NF 1246</t>
  </si>
  <si>
    <t>002549</t>
  </si>
  <si>
    <t>PRESTAÇÃO DE SERVIÇOS UFVs  (TRES CORAÇÕES 3) NF1283</t>
  </si>
  <si>
    <t>002551</t>
  </si>
  <si>
    <t>PRESTAÇÃO DE SERVIÇOS UFVs (OURO FINO 2 ) NF 1252</t>
  </si>
  <si>
    <t>002552</t>
  </si>
  <si>
    <t>PRESTAÇÃO DE SERVIÇOS UFVs ( PARAGUAÇU 1 ) NF1253</t>
  </si>
  <si>
    <t>PRESTAÇÃO DE SERVIÇOS UFVs ( TRES CORAÇÕES 3) NF 1247</t>
  </si>
  <si>
    <t>001642</t>
  </si>
  <si>
    <t>PRESTAÇÃO DE SERVIÇO UFVs (SÃO SEBASTIÃO DO OESTE 5) NF 533</t>
  </si>
  <si>
    <t>Pagamento de medição referente ao projeto de instalacao (as-built) incluindo vistoria de usina. ENVIADO POR ATI</t>
  </si>
  <si>
    <t>[CCC05970]</t>
  </si>
  <si>
    <t>PRESTAÇÃO DE SERVIÇO UFVs (SÃO SEBASTIÃO DO OESTE 5) NF 575</t>
  </si>
  <si>
    <t>Pagamento de medição referente a licenca de utilizacao do sistema SGD. ENVIADO POR ATI_x000D_</t>
  </si>
  <si>
    <t>002550</t>
  </si>
  <si>
    <t>PRESTAÇÃO DE SERVIÇO UFVs (SÃO SEBASTIÃO DO OESTE 1) NF 535</t>
  </si>
  <si>
    <t>002553</t>
  </si>
  <si>
    <t>PRESTAÇÃO DE SERVIÇO UFVs (SÃO SEBASTIÃO DO OESTE 1) NF 576</t>
  </si>
  <si>
    <t>003271</t>
  </si>
  <si>
    <t>PRESTAÇÃO DE SERVIÇO UFVs (INDAIABIRA 1) NF 537</t>
  </si>
  <si>
    <t>003272</t>
  </si>
  <si>
    <t>PRESTAÇÃO DE SERVIÇO UFVs (INDAIABIRA 1) NF 578</t>
  </si>
  <si>
    <t>003273</t>
  </si>
  <si>
    <t>PRESTAÇÃO DE SERVIÇO UFVs (INDAIABIRA 2) NF 539</t>
  </si>
  <si>
    <t>003274</t>
  </si>
  <si>
    <t>PRESTAÇÃO DE SERVIÇO UFVs (INDAIABIRA 2) NF 577</t>
  </si>
  <si>
    <t>PRESTAÇÃO DE SERVIÇO UFVs (PATOS DE MINAS 3) NF 36  MGS ESCAVACOES</t>
  </si>
  <si>
    <t>Pagamento em faturamento direto referente a prestação de serviço e locação de 2 retroescavadeiras. ENVIADO POR GILSON QUEIROZ</t>
  </si>
  <si>
    <t>[CCC05971]</t>
  </si>
  <si>
    <t>002556</t>
  </si>
  <si>
    <t>COMPRA DE MATERIAIS  UFVs ( MUZAMBINHO 1) NF 524 ZANIN</t>
  </si>
  <si>
    <t>Pagamento de faturamento direto, referente a compra de materiais . ENVIADO RAFAEL</t>
  </si>
  <si>
    <t>[CCC05972]</t>
  </si>
  <si>
    <t>PRESTAÇÃO DE SERVIÇOS UFVs (ALFENAS 4)  NF 1186</t>
  </si>
  <si>
    <t>Pagamento  em faturamento direto, referente a prestação de serviço de vigiliancia desarmada. ENVIADO POR RAFAEL</t>
  </si>
  <si>
    <t>[CCC05973]</t>
  </si>
  <si>
    <t>PRESTAÇÃO DE SERVIÇOS UFVs (CAMPO BELO 1)  NF 1251</t>
  </si>
  <si>
    <t>PRESTAÇÃO DE SERVIÇOS UFVs (MUZAMBINHO 1)  NF 1248</t>
  </si>
  <si>
    <t>PRESTAÇÃO DE SERVIÇOS UFVs (TRES CORAÇÕES 3)  NF 1284</t>
  </si>
  <si>
    <t>002560</t>
  </si>
  <si>
    <t>PRESTAÇÃO DE SERVIÇOS UFVs (OURO FINO 2)  NF 1254</t>
  </si>
  <si>
    <t>PRESTAÇÃO DE SERVIÇO UFVs (PATOS DE MINAS 3) NF 12 LUIZ CARLOS</t>
  </si>
  <si>
    <t>Pagamento em faturamento direto referente a mão de obra portão office, canaletas, portinholas e janelas. ENVIADO POR GILSON QUEIROZ</t>
  </si>
  <si>
    <t>[CCC05974]</t>
  </si>
  <si>
    <t>PRESTAÇÃO DE SERVIÇO UFVs (PATOS DE MINAS 3) NF 434 PATOS FUNDACOES</t>
  </si>
  <si>
    <t>Pagamento em faturamento direto referente a escavação de estaca sem estabilização. ENVIADO POR GILSON QUEIROZ</t>
  </si>
  <si>
    <t>[CCC05975]</t>
  </si>
  <si>
    <t>PRESTAÇÃO DE SERVIÇO UFVs (PATOS DE MINAS 1) NF 14 DL</t>
  </si>
  <si>
    <t>[CCC05976]</t>
  </si>
  <si>
    <t>PRESTAÇÃO DE SERVIÇO UFVs (PATOS DE MINAS 1) NF 13 DL</t>
  </si>
  <si>
    <t>[CCC05977]</t>
  </si>
  <si>
    <t>PRESTAÇÃO DE SERVIÇOS - USINAS CICLO 3  E CICLO 2  NOTA DE DEBITO  N 43/2023</t>
  </si>
  <si>
    <t>Pagamento referente a assessoria e consultoria fundiária em prospecções de terrenos e contratos. OUTUBRO/ 2023 - ENVIADO POR LEONARDO NASSER  PRIMEIRA QUINZENA</t>
  </si>
  <si>
    <t>[CCC05978]</t>
  </si>
  <si>
    <t xml:space="preserve">CICLO 3  </t>
  </si>
  <si>
    <t>COMPRA DE MATERIAIS UFVs (PARAGUAÇU 1) NF 500668  LOJA ELETRICA</t>
  </si>
  <si>
    <t>Pagamento em fatuamento direto referente a compra de materias. ENVIADO POR ENGELUZ</t>
  </si>
  <si>
    <t>[CCC05979]</t>
  </si>
  <si>
    <t>PRESTAÇÃO DE SERVIÇOS UFVs (ALFENAS 4)  NF 992</t>
  </si>
  <si>
    <t>[CCC05980]</t>
  </si>
  <si>
    <t>MEDIÇÃO (MAX VISION)</t>
  </si>
  <si>
    <t>COMPRA DE MATERIAIS UFVs (VARJÃO DE MINAS 1) NF 1647</t>
  </si>
  <si>
    <t>Pagamento de medição referente a entrega de materiais. ENVIADO POR MAX VISION</t>
  </si>
  <si>
    <t>[CCC05981]</t>
  </si>
  <si>
    <t>003277</t>
  </si>
  <si>
    <t>COMPRA DE MATERIAIS UFVs (GUARDAMOR) NF 1648</t>
  </si>
  <si>
    <t>COMPRA DE MATERIAIS UFVs (NOVA PONTE 1) NF 1649</t>
  </si>
  <si>
    <t>COMPRA DE MATERIAIS UFVs (CASSIA 1) NF 1650</t>
  </si>
  <si>
    <t>COMPRA DE MATERIAIS UFVs (CASSIA 2) NF 1651</t>
  </si>
  <si>
    <t>COMPRA DE MATERIAIS UFVs (SÃO SEBASTIÃO DO OESTE 3) NF 1652</t>
  </si>
  <si>
    <t>PRESTAÇÃO DE SERVIÇO UFV (PARACATU 8) NF 570 MBA</t>
  </si>
  <si>
    <t>Pagamento referente ao serviço de ensaios para revalidação de laudo de regulador de tensão. ESCOPO COMERC - ENVIADO POR MBA</t>
  </si>
  <si>
    <t>[CCC05982]</t>
  </si>
  <si>
    <t>PARACATU 8</t>
  </si>
  <si>
    <t>PRESTAÇÃO DE SERVIÇO UFVs (PAINS 1 e 2) N 1501319107735</t>
  </si>
  <si>
    <t>Pagamento referente a taxa ambiental. ENVIADO POR  LETICIA BRAGA</t>
  </si>
  <si>
    <t>[CCC05983]</t>
  </si>
  <si>
    <t>PAINS 1</t>
  </si>
  <si>
    <t>PRESTAÇÃO DE SERVIÇO UFVs (PAINS 1 e 2) N 1501319108561</t>
  </si>
  <si>
    <t xml:space="preserve">MEDIÇÃO ( GOMES ) </t>
  </si>
  <si>
    <t>PRESTAÇÃO DE SERVIÇO UFV ( TRES CORAÇÕES 3) ADIANTAMENTO  NF 133</t>
  </si>
  <si>
    <t>Pagamento medição 1, referente ao  adiantamento de 15%  do valor do contrato. Nota fiscal  será enviada ao final do contrato. ENVIADO POR RAFAEL</t>
  </si>
  <si>
    <t>[CCC05984]</t>
  </si>
  <si>
    <t xml:space="preserve">GOMES ENGENHARIA </t>
  </si>
  <si>
    <t>Três corações 3</t>
  </si>
  <si>
    <t xml:space="preserve">MEDIÇÃO (GOMES) </t>
  </si>
  <si>
    <t>PRESTAÇÃO DE SERVIÇO UFVs (PASSOS 4) ADIANTAMENTO NF 152</t>
  </si>
  <si>
    <t>Pagamento medição 1, referente ao  adiantamento de 15%  do valor do contrato. Nota fiscal  será enviada ao final do contrato. ENVIADO POR AUGUSTO</t>
  </si>
  <si>
    <t>[CCC05985]</t>
  </si>
  <si>
    <t>MEDIÇÃO ( ENGELUZ - RDA INTERNO)</t>
  </si>
  <si>
    <t>PRESTAÇÃO DE SERVIÇO UFV ( CAMPO BELO 5) NF 510</t>
  </si>
  <si>
    <t>Pagamento de medição referente aos serviços de mão de obra especializada na cosntrução de RDR. ENVIADO POR ENGELUZ - RDA INTERNO</t>
  </si>
  <si>
    <t>[CCC05986]</t>
  </si>
  <si>
    <t xml:space="preserve">COMPRA DE MATERIAIS UFVs ( PATOS DE MINAS 3) NF 505019  LOJA ELETRICA </t>
  </si>
  <si>
    <t>Pagamento referente a compra de cabos para construção das usinas. ENVIADO POR RODRIGO ALVARENGA</t>
  </si>
  <si>
    <t>[CCC05987]</t>
  </si>
  <si>
    <t>A204 MORI GERACAO II -PATOS DE MINAS 4</t>
  </si>
  <si>
    <t xml:space="preserve">COMPRA DE MATERIAIS UFVs ( PATOS DE MINAS 4) NF 505007   LOJA ELETRICA </t>
  </si>
  <si>
    <t>LOJA ELETRICA</t>
  </si>
  <si>
    <t>PRESTAÇÃO DE SERVIÇOS UFVs ( CILCO 3)  NF 1064</t>
  </si>
  <si>
    <t>Pagamento referente  a consultoria ambiental responsável pelos estudos ambientais do CILOC3 de MG. ENVIADO POR KARINA BARBOSA</t>
  </si>
  <si>
    <t>[CCC05988]</t>
  </si>
  <si>
    <t>PRESTAÇÃO DE SERVIÇOS - USINAS CICLO 3   NOTA DE DEBITO  N 43/2023</t>
  </si>
  <si>
    <t>Pagamento referente a assessoria e consultoria fundiária em prospecções de terrenos e contratos. OUTUBRO/ 2023 - ENVIADO POR LEONARDO NASSER  SEGUNDA QUINZENA</t>
  </si>
  <si>
    <t>[CCC05989]</t>
  </si>
  <si>
    <t>CONSTRUMANAGER -    11/2023   NF  309079</t>
  </si>
  <si>
    <t>[CCC05990]</t>
  </si>
  <si>
    <t>PRESTAÇÃO DE SERVIÇO UFVs (VARJÃO DE MINAS 4)  NF 752</t>
  </si>
  <si>
    <t>Pagamento de 6ª medição, referente a mão de obra , necessários a construção da UFVs, em contrato EPC.  - ENVIADO POR GILSON QUEIROZ</t>
  </si>
  <si>
    <t>[CCC05991]</t>
  </si>
  <si>
    <t>PRESTAÇÃO DE SERVIÇO UFVs (VARJÃO DE MINAS 4)  NF 753</t>
  </si>
  <si>
    <t>Pagamento de 6ª medição, referente elaboração de planos,  necessários a construção da UFVs, em contrato EPC.   - ENVIADO POR GILSON QUEIROZ</t>
  </si>
  <si>
    <t>003288</t>
  </si>
  <si>
    <t>PRESTAÇÃO DE SERVIÇO UFVs (PARACATU 4) NF 43 COSTERR</t>
  </si>
  <si>
    <t>[CCC05992]</t>
  </si>
  <si>
    <t>Conforme Alinhamento Karla e Wendel e Romanei Este e um faturamento direto para Drenagem. Reunião 15/02/24.</t>
  </si>
  <si>
    <t>PRESTAÇÃO DE SERVIÇO UFVs (PATOS DE MINAS 4) NF287 PREMOLAGO</t>
  </si>
  <si>
    <t>[CCC05993]</t>
  </si>
  <si>
    <t>PRESTAÇÃO DE SERVIÇO UFVs (PARAGUAÇU 1) NF 748</t>
  </si>
  <si>
    <t xml:space="preserve">Pagamento da 4ª medição, referente a mão de obra , necessários a construção da UFVs, em contrato EPC.  - ENVIADO POR RAFAEL </t>
  </si>
  <si>
    <t>[CCC05994]</t>
  </si>
  <si>
    <t>PRESTAÇÃO DE SERVIÇO UFVs (PARAGUAÇU 1) NF 749</t>
  </si>
  <si>
    <t>Pagamento da 4ª medição, referente elaboração de planos,  necessários a construção da UFVs, em contrato EPC.   - ENVIADO POR RAFAEL</t>
  </si>
  <si>
    <t>PRESTAÇÃO DE SERVIÇO UFVs (PARAGUAÇU 1) NF 750</t>
  </si>
  <si>
    <t xml:space="preserve">Pagamento da 5ª medição, referente a mão de obra , necessários a construção da UFVs, em contrato EPC.  - ENVIADO POR RAFAEL </t>
  </si>
  <si>
    <t>[CCC05995]</t>
  </si>
  <si>
    <t>PRESTAÇÃO DE SERVIÇO UFVs (PARAGUAÇU 1) NF 751</t>
  </si>
  <si>
    <t>Pagamento da 5ª medição, referente elaboração de planos,  necessários a construção da UFVs, em contrato EPC.   - ENVIADO POR RAFAEL</t>
  </si>
  <si>
    <t>PRESTAÇÃO DE SERVIÇO UFVs (PARAGUAÇU 1) NF 745</t>
  </si>
  <si>
    <t xml:space="preserve">Pagamento da 2ª medição ADITIVO DE CONCRETAGEM, referente a mão de obra , necessários a construção da UFVs, em contrato EPC.  - ENVIADO POR RAFAEL </t>
  </si>
  <si>
    <t>[CCC05996]</t>
  </si>
  <si>
    <t>PRESTAÇÃO DE SERVIÇO UFVs (PARAGUAÇU 1) NF 746</t>
  </si>
  <si>
    <t>Pagamento da 2ª medição ADITIVO DE CONCRETAGEM, referente elaboração de planos,  necessários a construção da UFVs, em contrato EPC.   - ENVIADO POR RAFAEL</t>
  </si>
  <si>
    <t>002581</t>
  </si>
  <si>
    <t xml:space="preserve">PRESTAÇÃO DE SERVIÇOS UFVs  (SÃO SEBASTIÃO DO OESTE 1)  NORTE CONEXÃO NF 1625 </t>
  </si>
  <si>
    <t xml:space="preserve">Pagamento em faturamento direto, referente ao serviço de lançamento de fibra óptica, necessários  a construção da usina. ESCOPO COMERC - NOTAS ENVIADAS POR NORTE CONEXÃO </t>
  </si>
  <si>
    <t>[CCC05997]</t>
  </si>
  <si>
    <t>NORTE CONEXÃO</t>
  </si>
  <si>
    <t>003289</t>
  </si>
  <si>
    <t>PRESTAÇÃO DE SERVIÇOS UFVs  (INDAIABIRA 3)  NORTE CONEXÃO NF 1626</t>
  </si>
  <si>
    <t>003290</t>
  </si>
  <si>
    <t>PRESTAÇÃO DE SERVIÇOS UFVs  (INDAIABIRA 4)  NORTE CONEXÃO NF 1627</t>
  </si>
  <si>
    <t>003292</t>
  </si>
  <si>
    <t>PRESTAÇÃO DE SERVIÇOS UFVs  (JABOTICATUBAS)  NORTE CONEXÃO NF 1628</t>
  </si>
  <si>
    <t>003293</t>
  </si>
  <si>
    <t>PRESTAÇÃO DE SERVIÇOS UFVs  (SÃO SEBASTIÃO DO OESTE 6)  NORTE CONEXÃO NF 1629</t>
  </si>
  <si>
    <t>003295</t>
  </si>
  <si>
    <t>PRESTAÇÃO DE SERVIÇOS UFVs  (DIVINOPOLIS 3)  NORTE CONEXÃO NF 1630</t>
  </si>
  <si>
    <t>003296</t>
  </si>
  <si>
    <t>PRESTAÇÃO DE SERVIÇOS UFVs  (BURITIZEIRO 1)  NORTE CONEXÃO NF 1631</t>
  </si>
  <si>
    <t>003299</t>
  </si>
  <si>
    <t>PRESTAÇÃO DE SERVIÇOS UFVs  (BURITIZEIRO 2)  NORTE CONEXÃO NF 1632</t>
  </si>
  <si>
    <t>003301</t>
  </si>
  <si>
    <t>PRESTAÇÃO DE SERVIÇOS UFVs  (PEDRA DO INDAIA 5)  NORTE CONEXÃO NF 1633</t>
  </si>
  <si>
    <t>003302</t>
  </si>
  <si>
    <t>PRESTAÇÃO DE SERVIÇOS UFVs  (DIVINOPOLIS 1)  NORTE CONEXÃO NF 1634</t>
  </si>
  <si>
    <t>003303</t>
  </si>
  <si>
    <t>PRESTAÇÃO DE SERVIÇOS UFVs  (DIVINOPOLIS 2)  NORTE CONEXÃO NF 1635</t>
  </si>
  <si>
    <t>002590</t>
  </si>
  <si>
    <t>PRESTAÇÃO DE SERVIÇOS UFVs  (SÃO SEBASTIÃO DO OESTE 4)  NORTE CONEXÃO NF 1636</t>
  </si>
  <si>
    <t>PRESTAÇÃO DE SERVIÇOS UFVs  ( PARACATU 8) NF 1341 RL VIGILANCIA</t>
  </si>
  <si>
    <t>Pagamento referente a a prestação de serviço de vigias noturnos na usina. ENVIADO POR RODRIGO</t>
  </si>
  <si>
    <t>[CCC05998]</t>
  </si>
  <si>
    <t>003304</t>
  </si>
  <si>
    <t>MEDIÇÃO ( ENERSOLAR)</t>
  </si>
  <si>
    <t>PRESTAÇÃO DE SERVIÇOS UFVs (PARACATU 4)  NF  344</t>
  </si>
  <si>
    <t>Pagamento referente a elaboração de projeto executivo. ENVIADO POR RAFAEL RACCIATTO</t>
  </si>
  <si>
    <t>[CCC05999]</t>
  </si>
  <si>
    <t>003305</t>
  </si>
  <si>
    <t>PRESTAÇÃO DE SERVIÇOS UFVs (PARACATU 5)  NF 345</t>
  </si>
  <si>
    <t>PRESTAÇÃO DE SERVIÇOS UFVs (DIAMANTINA 2) NF 1075 JX AMBIENTAL</t>
  </si>
  <si>
    <t>Taxa necessária à avaliação de intervenção ambiental para a UFV. ENVIADO POR   JX AMBIENTAL</t>
  </si>
  <si>
    <t>[CCC06000]</t>
  </si>
  <si>
    <t>PRESTAÇÃO DE SERVIÇOS UFVs (CÁSSIA 1) NF 1076 JX AMBIENTAL</t>
  </si>
  <si>
    <t xml:space="preserve">PRESTAÇÃO DE SERVIÇOS UFVs ( DIAMANTINA 1 e 2) NF </t>
  </si>
  <si>
    <t>Pagamento referente a prestação de serviços de topografia. ENVIADO POR GUIRLHERME</t>
  </si>
  <si>
    <t>[CCC06001]</t>
  </si>
  <si>
    <t>cadastro fornecedor</t>
  </si>
  <si>
    <t>SANIL ENGENHARIA</t>
  </si>
  <si>
    <t>003309</t>
  </si>
  <si>
    <t>REGRHAN  PRESTAÇÃO DE SERVIÇOS  ESTRELA DO NORTE HOLDING  NF 2121</t>
  </si>
  <si>
    <t>Pagamento referente aos serviços de assessoria , gestão e controle documental de terceiros, realizados pelo REGRHAN, necessários a construção das UFVs. ENVIADO POR REGRHAN - 11/23</t>
  </si>
  <si>
    <t>[CCC06002]</t>
  </si>
  <si>
    <t>REGRHAN  PRESTAÇÃO DE SERVIÇOS  MORI GERAÇÃO II  NF 2122</t>
  </si>
  <si>
    <t>REGRHAN  PRESTAÇÃO DE SERVIÇOS  MORI MINAS NEWCO IV  NF  2123</t>
  </si>
  <si>
    <t>REGRHAN  PRESTAÇÃO DE SERVIÇOS  MORI MINAS NEWCO V  NF 2124</t>
  </si>
  <si>
    <t>PRESTAÇÃO DE SERVIÇOS UFVs (DIAMATINA 1) NF 526</t>
  </si>
  <si>
    <t xml:space="preserve">Pagamento de medição referente ao serviços de mão de obra especializada na construção de RDR. ENVIADO POR ENGELUZ </t>
  </si>
  <si>
    <t>[CCC06003]</t>
  </si>
  <si>
    <t>003311</t>
  </si>
  <si>
    <t>PRESTAÇÃO DE SERVIÇOS UFVs (SÃO SEBASTIÃO DO OESTE 0) NF 530</t>
  </si>
  <si>
    <t>PRESTAÇÃO DE SERVIÇOS UFVs (PARAGUAÇU 1) NF 524</t>
  </si>
  <si>
    <t>PRESTAÇÃO DE SERVIÇOS UFVs (DIAMATINA 2) NF 525</t>
  </si>
  <si>
    <t>Religadores (Brasilandia)   TAVRIDA    NF     582</t>
  </si>
  <si>
    <t xml:space="preserve"> TAVRIDA</t>
  </si>
  <si>
    <t>PRESTAÇÃO DE SERVIÇOS UFVs (DIAMATINA 2) NF 65</t>
  </si>
  <si>
    <t>Pagamento de medição1,  referente a prestação de serviços de supressão de terraplanagem  . ENVIADO POR MANOEL</t>
  </si>
  <si>
    <t>[CCC06005]</t>
  </si>
  <si>
    <t>003310</t>
  </si>
  <si>
    <t>PRESTAÇÃO DE SERVIÇO UFVs (BURITIZEIRO 2) NF 1313  RONDA PORTEIROS</t>
  </si>
  <si>
    <t xml:space="preserve">Pagamento referente ao serviço de vigilancia desarmada.  ESCOPO COMERC -  ENVIADO POR MANOEL </t>
  </si>
  <si>
    <t>[CCC06006]</t>
  </si>
  <si>
    <t>003312</t>
  </si>
  <si>
    <t>PRESTAÇÃO DE SERVIÇO UFVs (JABOTICATUBAS) NF 1329  RONDA PORTEIROS</t>
  </si>
  <si>
    <t>003313</t>
  </si>
  <si>
    <t>PRESTAÇÃO DE SERVIÇO UFVs (BURITIZEIRO 1) NF 1312  RONDA PORTEIROS</t>
  </si>
  <si>
    <t>003314</t>
  </si>
  <si>
    <t>PRESTAÇÃO DE SERVIÇO UFVs (INDAIABIRA 4) NF 1327  RONDA PORTEIROS</t>
  </si>
  <si>
    <t>003315</t>
  </si>
  <si>
    <t>PRESTAÇÃO DE SERVIÇO UFVs (INDAIABIRA 3) NF 1328  RONDA PORTEIROS</t>
  </si>
  <si>
    <t>003316</t>
  </si>
  <si>
    <t>PRESTAÇÃO DE SERVIÇO UFVs (JABOTICATUBAS) NF 1376  RONDA PORTEIROS</t>
  </si>
  <si>
    <t>PRESTAÇÃO DE  SERVIÇOS UFVs (DIAMANTINA 1)  NF 729</t>
  </si>
  <si>
    <t>Pagamento  de 2° medição, referente aos serviços e mão de obra prestados na usina, ENVIADO POR MANOEL</t>
  </si>
  <si>
    <t>[CCC06007]</t>
  </si>
  <si>
    <t>FAT. DIRETO ( ORCI)</t>
  </si>
  <si>
    <t>PRESTAÇÃO DE SERVIÇOS UFVs (DIAMATINA 2) NF 210137 REAL DAVILA</t>
  </si>
  <si>
    <t>Pagamento referente a prestação de serviços de terraplanagem, compra combustivel. ENVAIDO POR MANOEL</t>
  </si>
  <si>
    <t>[CCC06008]</t>
  </si>
  <si>
    <t>PRESTAÇÃO DE SERVIÇOS UFVs (DIAMATINA 2) NF 44 COSTERR</t>
  </si>
  <si>
    <t>Pagamento referente a prestação de serviços de terraplanagem, locação equipamento. ENVAIDO POR MANOEL</t>
  </si>
  <si>
    <t>[CCC06009]</t>
  </si>
  <si>
    <t>COMPRA DE MATERIAIS UFVs (PATOS DE MINAS 3) NF 2044  FAMACON</t>
  </si>
  <si>
    <t>Pagamento em faturamento dierto referente a compra de materiais. ENVIADO POR GILSON</t>
  </si>
  <si>
    <t>[CCC06010]</t>
  </si>
  <si>
    <t>003318</t>
  </si>
  <si>
    <t>PRETASÇÃO DE SERVIÇOS UFVs (PAINS 3) NF 326</t>
  </si>
  <si>
    <t>[CCC06011]</t>
  </si>
  <si>
    <t>003319</t>
  </si>
  <si>
    <t>PRETASÇÃO DE SERVIÇOS UFVs (PEDRA DO INDAIA 5) NF 325</t>
  </si>
  <si>
    <t>PRETASÇÃO DE SERVIÇOS UFVs (FORMIGA 6) NF 327</t>
  </si>
  <si>
    <t>003320</t>
  </si>
  <si>
    <t xml:space="preserve">MEDIÇÃO ( ATI) </t>
  </si>
  <si>
    <t>COMPRAS DE  MATERIAIS UFVs     (DIVINOPOLIS 1) NF 2473</t>
  </si>
  <si>
    <t>Pagamento referente a compra de materiais. ENVIADO POR ATI</t>
  </si>
  <si>
    <t>[CCC06012]</t>
  </si>
  <si>
    <t>003321</t>
  </si>
  <si>
    <t>COMPRAS DE  MATERIAIS UFVs     (DIVINOPOLIS 3) NF  2474</t>
  </si>
  <si>
    <t>002600</t>
  </si>
  <si>
    <t xml:space="preserve">MEDIÇÃO ( THM) </t>
  </si>
  <si>
    <t>PRESTAÇÃO DE SERVIÇOS UFVs (MUZAMBINHO) NF 713</t>
  </si>
  <si>
    <t>Pagamento medição 1, referente a prestação dos serviços de  drenagem. ENVIADO POR RAFAEL</t>
  </si>
  <si>
    <t>[CCC06013]</t>
  </si>
  <si>
    <t>002601</t>
  </si>
  <si>
    <t>PRESTAÇÃO DE SERVIÇOS UFVs (MUZAMBINHO) NF 708</t>
  </si>
  <si>
    <t>Pagamento medição 2, referente a prestação dos serviços de  drenagem. ENVIADO POR RAFAEL</t>
  </si>
  <si>
    <t>PRESTAÇÃO DE SERVIÇOS UFVs (CAMPO BELO 5) NF 429</t>
  </si>
  <si>
    <t>[CCC06014]</t>
  </si>
  <si>
    <t>PRESTAÇÃO DE SERVIÇO UFVs (BAMBUÍ 1.2) NF 450</t>
  </si>
  <si>
    <t>[CCC06015]</t>
  </si>
  <si>
    <t>MEDIÇÃO ( EGF )</t>
  </si>
  <si>
    <t>PRESTAÇÃO DE SERVIÇO UFVs (PATOS DE MINAS 1) NF 1405</t>
  </si>
  <si>
    <t>Pagamento medição , referente a prestação de serviços de  drenagem. ENVIADO POR GILSON</t>
  </si>
  <si>
    <t>[CCC06016]</t>
  </si>
  <si>
    <t>A204 - MORI GERACAO II - PATOS DE MINAS 4</t>
  </si>
  <si>
    <t>PRESTAÇÃO DE SERVIÇO UFVs (PATOS DE MINAS 4) NF  1406</t>
  </si>
  <si>
    <t>PRESTAÇÃO DE SERVIÇO UFVs (PATOS DE MINAS 3) NF 1404</t>
  </si>
  <si>
    <t>FAT. DIRETO (ATI)</t>
  </si>
  <si>
    <t>PRESTAÇÃO DE SERVIÇOS UFVs  (CAMPO BELO 5) NORTE CONEXÃO  NF 1621</t>
  </si>
  <si>
    <t>Pagamento em faturamento direto, referente ao serviço de lançamento de fibra óptica, necessários  a construção da usina. NOTAS ENVIADAS POR ATI</t>
  </si>
  <si>
    <t>[CCC06017]</t>
  </si>
  <si>
    <t>003323</t>
  </si>
  <si>
    <t>PRESTAÇÃO DE SERVIÇOS UFVs  (DIVINOPOLIS 3) NORTE CONEXÃO  NF 1622</t>
  </si>
  <si>
    <t>PRESTAÇÃO DE SERVIÇOS UFVs  (CAMPO BELO 2) NORTE CONEXÃO  NF 1623</t>
  </si>
  <si>
    <t>MEDIÇÃO (THM ENGENHARIA)</t>
  </si>
  <si>
    <t>PRESTAÇÃO DE SERVIÇOS UFVs ( PATROCINIO 2) NF 709</t>
  </si>
  <si>
    <t xml:space="preserve">Pagamento referente a 3° medição de drenagem . ENVIADO POR GILSON </t>
  </si>
  <si>
    <t>[CCC06018]</t>
  </si>
  <si>
    <t>PRESTAÇÃO DE SERVIÇOS UFVs ( PATROCINIO 3) NF 710</t>
  </si>
  <si>
    <t>PRESTAÇÃO DE SERVIÇOS UFVs ( VARJÃO DE MINAS 4) NF 55</t>
  </si>
  <si>
    <t xml:space="preserve">Pagamento de medição1, referente a prestação do serviço de drenagem . ENVIADO POR GILSON </t>
  </si>
  <si>
    <t>[CCC06019]</t>
  </si>
  <si>
    <t>PRESTAÇÃO SERVIÇOS UFVs (LAGOA FORMOSA 1) NF 1330</t>
  </si>
  <si>
    <t>Pagamento referente  a prestação de serviços de vigilãncia, vigias noturnos e diurnos .  ENVIADO POR GILSON</t>
  </si>
  <si>
    <t>[CCC06020]</t>
  </si>
  <si>
    <t>PRESTAÇÃO SERVIÇOS UFVs (PATROCINIO 2)  NF1343</t>
  </si>
  <si>
    <t>PRESTAÇÃO SERVIÇOS UFVs (PATROCINIO 3)  NF 1344</t>
  </si>
  <si>
    <t>002604</t>
  </si>
  <si>
    <t>PRESTAÇÃO DE SERVIÇOS UFVs (SANTO ANTONIO DO AMPARO 1) NF 754</t>
  </si>
  <si>
    <t>Pagamento medição 8, referente a prestação de serviço de mão de obra, necessário à construção da UFVs. 65% - ENVIADO POR RAFAEL</t>
  </si>
  <si>
    <t>[CCC06021]</t>
  </si>
  <si>
    <t>002605</t>
  </si>
  <si>
    <t>PRESTAÇÃO DE SERVIÇOS UFVs (SANTO ANTONIO DO AMPARO 1) NF 755</t>
  </si>
  <si>
    <t>Pagamento medição 8, referente a elaboração de planos, necessário à construção da UFVs. 35% - ENVIADO POR RAFAEL</t>
  </si>
  <si>
    <t>PRESTAÇÃO DE SERVIÇOS UFVs (ALFENAS 4) NF 756</t>
  </si>
  <si>
    <t>Pagamento medição 9, referente a prestação de serviço de mão de obra, necessário à construção da UFVs. 65% - ENVIADO POR RAFAEL</t>
  </si>
  <si>
    <t>PRESTAÇÃO DE SERVIÇOS UFVs (ALFENAS 4) NF 757</t>
  </si>
  <si>
    <t>Pagamento medição 9, referente a elaboração de planos, necessário à construção da UFVs. 35% - ENVIADO POR RAFAEL</t>
  </si>
  <si>
    <t>002606</t>
  </si>
  <si>
    <t>PRESTAÇÃO DE SERVIÇOS UFVs (CAMPO BELO 5) NF 758</t>
  </si>
  <si>
    <t>Pagamento medição 11, referente a prestação de serviço de mão de obra, necessário à construção da UFVs. 65% - ENVIADO POR RAFAEL</t>
  </si>
  <si>
    <t>PRESTAÇÃO DE SERVIÇOS UFVs (CAMPO BELO 5) NF 759</t>
  </si>
  <si>
    <t>Pagamento medição 11, referente a elaboração de planos, necessário à construção da UFVs. 35% - ENVIADO POR RAFAEL</t>
  </si>
  <si>
    <t>PRESTAÇÃO DE SERVIÇOS UFVs (VARGINHA 1) NF 760</t>
  </si>
  <si>
    <t>Pagamento medição 12, referente a prestação de serviço de mão de obra, necessário à construção da UFVs. 65% - ENVIADO POR RAFAEL</t>
  </si>
  <si>
    <t>PRESTAÇÃO DE SERVIÇOS UFVs (VARGINHA 1) NF 761</t>
  </si>
  <si>
    <t>Pagamento medição 12, referente a elaboração de planos, necessário à construção da UFVs. 35% - ENVIADO POR RAFAEL</t>
  </si>
  <si>
    <t>PRESTAÇÃO DE SERVIÇOS UFVs (VARGINHA 2) NF 762</t>
  </si>
  <si>
    <t>Pagamento medição 10, referente a prestação de serviço de mão de obra, necessário à construção da UFVs. 65% - ENVIADO POR RAFAEL</t>
  </si>
  <si>
    <t>PRESTAÇÃO DE SERVIÇOS UFVs (VARGINHA 2) NF 763</t>
  </si>
  <si>
    <t>Pagamento medição 10, referente a elaboração de planos, necessário à construção da UFVs. 35% - ENVIADO POR RAFAEL</t>
  </si>
  <si>
    <t>PRESTAÇÃO DE SERVIÇOS UFVs (VARGINHA 1) NF 764</t>
  </si>
  <si>
    <t>Pagamento de aditivo , referente a prestação de serviço de mão de obra, necessário à construção da UFVs. 65% - ENVIADO POR RAFAEL</t>
  </si>
  <si>
    <t>PRESTAÇÃO DE SERVIÇOS UFVs (VARGINHA 1) NF 765</t>
  </si>
  <si>
    <t>Pagamento aditivo, referente a elaboração de planos, necessário à construção da UFVs. 35% - ENVIADO POR RAFAEL</t>
  </si>
  <si>
    <t>ART  – Solicitação de acesso UFVs  (ALFENAS 4)  N 28321338602881384-0</t>
  </si>
  <si>
    <t>Pagamento referente a emissão de ART de execução da atividade de afugentamento na usina. ENVIADO POR DENER SILVA</t>
  </si>
  <si>
    <t>[CCC06022]</t>
  </si>
  <si>
    <t>002624</t>
  </si>
  <si>
    <t>ART  – Solicitação de acesso UFVs  (ARCOS 7)  N 28321338602874911-5</t>
  </si>
  <si>
    <t>003324</t>
  </si>
  <si>
    <t>ART  – Solicitação de acesso UFVs  (BURITIZEIRO 1)  N 28321338602882108-8</t>
  </si>
  <si>
    <t>003325</t>
  </si>
  <si>
    <t xml:space="preserve">ART  – Solicitação de acesso UFVs  (BURITIZEIRO 2)  N 28321338602882128-2 </t>
  </si>
  <si>
    <t xml:space="preserve">ART  – Solicitação de acesso UFVs  (CAMPO BELO 1)  N 28321338602875175-6 </t>
  </si>
  <si>
    <t>ART  – Solicitação de acesso UFVs  (CAMPO BELO 2)  N 28321338602881664-5</t>
  </si>
  <si>
    <t>002626</t>
  </si>
  <si>
    <t>ART  – Solicitação de acesso UFVs  (CAMPO BELO 5)  N 28321338602875445-3</t>
  </si>
  <si>
    <t>ART  – Solicitação de acesso UFVs  (DIAMANTINA 1)  N 28321338602865984-1</t>
  </si>
  <si>
    <t xml:space="preserve">ART  – Solicitação de acesso UFVs  (DIAMANTINA 2)  N 28321338602866478-0 </t>
  </si>
  <si>
    <t xml:space="preserve">ART  – Solicitação de acesso UFVs  (FORMIGA 6)  N 28321338602881758-7 </t>
  </si>
  <si>
    <t>003326</t>
  </si>
  <si>
    <t xml:space="preserve">ART  – Solicitação de acesso UFVs  (INDAIABIRA 3)  N 28321338602881995-4 </t>
  </si>
  <si>
    <t>003327</t>
  </si>
  <si>
    <t>ART  – Solicitação de acesso UFVs  (INDAIABIRA 4)  N 28321338602882085-5</t>
  </si>
  <si>
    <t>ART  – Solicitação de acesso UFVs  (MUZAMBINHO)  N 28321338602880679-8</t>
  </si>
  <si>
    <t>002628</t>
  </si>
  <si>
    <t>ART  – Solicitação de acesso UFVs  (OURO FINO 2)  N 28321338602881051-5</t>
  </si>
  <si>
    <t>003328</t>
  </si>
  <si>
    <t>ART  – Solicitação de acesso UFVs  (PAINS 3)  N 28321338602882156-8</t>
  </si>
  <si>
    <t xml:space="preserve">ART  – Solicitação de acesso UFVs  (PARAGUAÇU)  N 28321338602875662-6 </t>
  </si>
  <si>
    <t xml:space="preserve">ART  – Solicitação de acesso UFVs  (PASSOS 4)  N 28321338602881787-0 </t>
  </si>
  <si>
    <t>ART  – Solicitação de acesso UFVs  (PATOS DE MINAS 3)  N 28321338602874504-7</t>
  </si>
  <si>
    <t>ART  – Solicitação de acesso UFVs  (PATOS DE MINAS 4)  N 28321338602874358-3</t>
  </si>
  <si>
    <t>ART  – Solicitação de acesso UFVs  (PATROCINIO 2)  N 28321338602874599-3</t>
  </si>
  <si>
    <t xml:space="preserve">ART  – Solicitação de acesso UFVs  (PATROCINIO 3)  N 28321338602874644-2 </t>
  </si>
  <si>
    <t>ART  – Solicitação de acesso UFVs  (SANTO ANTONIO DO AMPARO 1)  N 28321338602880758-1</t>
  </si>
  <si>
    <t>003329</t>
  </si>
  <si>
    <t>ART  – Solicitação de acesso UFVs  (SÃO SEBASTIÃO DO OESTE 0)  N 28321338602882195-9</t>
  </si>
  <si>
    <t>003330</t>
  </si>
  <si>
    <t xml:space="preserve">ART  – Solicitação de acesso UFVs  (SÃO SEBASTIÃO DO OESTE 0)  N 28321338602882220-3 </t>
  </si>
  <si>
    <t>003331</t>
  </si>
  <si>
    <t xml:space="preserve">ART  – Solicitação de acesso UFVs  (SÃO SEBASTIÃO DO OESTE 0)  N 28321338602882307-2 </t>
  </si>
  <si>
    <t>ART  – Solicitação de acesso UFVs  (SÃO SEBASTIÃO DO OESTE 4)  N 28321338602880496-5</t>
  </si>
  <si>
    <t>002704</t>
  </si>
  <si>
    <t>ART  – Solicitação de acesso UFVs  (TRES CORAÇÕES 3)  N 28321338602881131-7</t>
  </si>
  <si>
    <t>002622</t>
  </si>
  <si>
    <t>PRFESTAÇÃO DE SERVIÇOS UFVs ( SANTO ANTONIO DO AMPARO 1 ) NF 439</t>
  </si>
  <si>
    <t xml:space="preserve">Pagamento medição 1, referente a prestação dos serviços de drenagem. ENVIADO POR RAFAEL </t>
  </si>
  <si>
    <t>[CCC06023]</t>
  </si>
  <si>
    <t>PRFESTAÇÃO DE SERVIÇOS UFVs ( ALFENAS 4) NF 328</t>
  </si>
  <si>
    <t>[CCC06024]</t>
  </si>
  <si>
    <t>PRFESTAÇÃO DE SERVIÇOS UFVs (PATOS DE MINAS 1) NF 288 PREMOLAGO</t>
  </si>
  <si>
    <t>Pagamento em faturamento direto referente ao fornecimento de concreto. ENVIADO POR GILSON</t>
  </si>
  <si>
    <t>[CCC06025]</t>
  </si>
  <si>
    <t>COMPRA DE MATERIAIS UFVs (PATOS DE MINAS 3) NF 2050 FAMACON</t>
  </si>
  <si>
    <t>Pagamento em faturamento direto referente a compra de materiais. ENVIADO POR GILSON</t>
  </si>
  <si>
    <t>[CCC06026]</t>
  </si>
  <si>
    <t>PRFESTAÇÃO DE SERVIÇOS UFVs (SÃO SEBASTIÃO DE OESTE 4) NF 8 RAFAEL JOSE</t>
  </si>
  <si>
    <t>Pagamento referente a execução de serviços das cercas. ENVADO POR AUGUSTO</t>
  </si>
  <si>
    <t>[CCC06027]</t>
  </si>
  <si>
    <t>003332</t>
  </si>
  <si>
    <t>PRFESTAÇÃO DE SERVIÇOS UFVs (SÃO SEBASTIÃO DE OESTE  6) NF 9 RAFAEL JOSE</t>
  </si>
  <si>
    <t>PRESTAÇÃO DE SERVIÇOS UFVs (CAMPO BELO 2) NF 55</t>
  </si>
  <si>
    <t>[CCC06028]</t>
  </si>
  <si>
    <t>003333</t>
  </si>
  <si>
    <t>002635</t>
  </si>
  <si>
    <t>PRESTAÇÃO DE SERVIÇOS UFVs (  OURO FINO 2) NF 57</t>
  </si>
  <si>
    <t>PRESTAÇÃO DE SERVIÇOS UFVs (PASSOS 4) NF 59</t>
  </si>
  <si>
    <t>Fat. Direto EPC (IMPLANTAR)</t>
  </si>
  <si>
    <t>COMPRA DE MATERIAIS UFVs (PATOS DE MINAS 1) NF 37 SIRLENE AVELAR</t>
  </si>
  <si>
    <t>Pagamento em faturamento direto referente a compra de alimentação. ENVIADO POR GILSON</t>
  </si>
  <si>
    <t>[CCC06029]</t>
  </si>
  <si>
    <t>PRESTAÇÃO DE SERVIÇOS UFVs (PATOS DE MINAS 3) NF 200  TRANSPORTADORA ABREU</t>
  </si>
  <si>
    <t>Pagamento em faturamento direto referente a locação de ônibus . ENVIADO POR GILSON</t>
  </si>
  <si>
    <t>[CCC06030]</t>
  </si>
  <si>
    <t>003334</t>
  </si>
  <si>
    <t>MEDIÇÃO ( R&amp;M)</t>
  </si>
  <si>
    <t>PRESTAÇÃO DE SERVIÇOs UFVs (BURITIZEIRO 1) NF 63</t>
  </si>
  <si>
    <t>Pagamento medição final referente a conclusão do serviço de drenage,. ENVIADO POR MANOEL</t>
  </si>
  <si>
    <t>[CCC06031]</t>
  </si>
  <si>
    <t>R&amp;M</t>
  </si>
  <si>
    <t>003335</t>
  </si>
  <si>
    <t>PRESTAÇÃO DE SERVIÇOs UFVs (BURITIZEIRO 2) NF 62</t>
  </si>
  <si>
    <t>PRESTAÇÃO DE SERVIÇOS UFVs ( CAMPO BELO 1) NF  25</t>
  </si>
  <si>
    <t>Pagamento medição 3, referente a prestação dos serviços de drenagem . ENVIADO POR RAFAEL</t>
  </si>
  <si>
    <t>[CCC06032]</t>
  </si>
  <si>
    <t>PRESTAÇÃO DE SERVIÇOS UFVs ( CAMPO BELO 2) NF  24</t>
  </si>
  <si>
    <t>Fat. Direto (EPC-GLD)</t>
  </si>
  <si>
    <t>PRESTAÇÃO DE SERVIÇOS UFVs (VARJÃO DE MINAS 4) NF 1364  RONDA PORTEIROS</t>
  </si>
  <si>
    <t>Pagaemento em faturamento direto referente ao serviço de vigilancia.  ENVIADO POR GILSON</t>
  </si>
  <si>
    <t>[CCC06033]</t>
  </si>
  <si>
    <t>003337</t>
  </si>
  <si>
    <t>PRESTAÇÃO DE SERVIÇOS UFVs (PEDRA DO INDAIA 1) NF 1345  RONDA PORTEIROS</t>
  </si>
  <si>
    <t>Pagamento referente ao serviço de vigilancia. ESCOPO COMERC -ENVIADO POR AUGUSTO</t>
  </si>
  <si>
    <t>[CCC06034]</t>
  </si>
  <si>
    <t>003503</t>
  </si>
  <si>
    <t>PRESTAÇÃO DE SERVIÇOS UFVs (DIVINOPOLIS 1) NF 1414  RONDA PORTEIROS</t>
  </si>
  <si>
    <t>PRESTAÇÃO DE SERVIÇOS UFVs (FORMIGA 6) NF 1373  RONDA PORTEIROS</t>
  </si>
  <si>
    <t>003504</t>
  </si>
  <si>
    <t>PRESTAÇÃO DE SERVIÇOS UFVs (DIVINOPOLIS) NF 1413   RONDA PORTEIROS</t>
  </si>
  <si>
    <t>003505</t>
  </si>
  <si>
    <t>PRESTAÇÃO DE SERVIÇOS UFVs (DIVINOPOLIS) NF 1412  RONDA PORTEIROS</t>
  </si>
  <si>
    <t>003506</t>
  </si>
  <si>
    <t>PRESTAÇÃO DE SERVIÇOS UFVs (DIVINOPOLIS) NF 1411  RONDA PORTEIROS</t>
  </si>
  <si>
    <t>003336</t>
  </si>
  <si>
    <t>PRESTAÇÃO DE SERVIÇOS UFVs (JABOTICATUVAS) NF 730</t>
  </si>
  <si>
    <t>Pagamento referente  ao aditivo de contrato. ENVIADO POR MANOEL</t>
  </si>
  <si>
    <t>[CCC06035]</t>
  </si>
  <si>
    <t>001696</t>
  </si>
  <si>
    <t>PRESTAÇÃO DE SERVIÇOS UFVs ( SÃO SEBASTIÃO DO OESTE 3) NF 62  AZUOS</t>
  </si>
  <si>
    <t>Pagamento referente a portão de acesso usina. ENVIADO POR RODRIGO</t>
  </si>
  <si>
    <t>[CCC06036]</t>
  </si>
  <si>
    <t xml:space="preserve">PRESTAÇÃO DE SERVIÇOS UFVs ( PATROCINIO 2) NF 116 RPA </t>
  </si>
  <si>
    <t>Pagamento referente ao fornecimento de internet . ENVIADO POR GILSON</t>
  </si>
  <si>
    <t>[CCC06037]</t>
  </si>
  <si>
    <t>PRESTAÇÃO DE SERVIÇOS UFVs (VARGINHA 2) NF 36  SRJ PROTEÇÃO</t>
  </si>
  <si>
    <t>Pagamento referente ao serviços de parametrização e testes nas 3 proteções Siemens 7SR5111, teste de comissionamento da proteção e medição de sequencia de fase, necessáriso a construção das usinas. ENVIADO POR SANDRO</t>
  </si>
  <si>
    <t>[CCC06038]</t>
  </si>
  <si>
    <t>PRESTAÇÃO DE SERVIÇOS UFVs (VARJÃO DE MINAS 4) NF 37  SRJ PROTEÇÃO</t>
  </si>
  <si>
    <t>PRESTAÇÃO DE SERVIÇOS UFVs (VARGINHA 1) NF 38   SRJ PROTEÇÃO</t>
  </si>
  <si>
    <t>PRESTAÇÃO DE SERVIÇOS UFVs ( OURO FINO 2) NF 19  DANIEL JOSE</t>
  </si>
  <si>
    <t>Pagamento referente a a segunda limpeza das bacias de contenção e drenagens provisórias . ENVIADO POR RAFAEL</t>
  </si>
  <si>
    <t>[CCC06039]</t>
  </si>
  <si>
    <t>PRESTAÇÃO DE SERVIÇOS UFVs (CAMPO BELO 1) NF 770</t>
  </si>
  <si>
    <t>[CCC06040]</t>
  </si>
  <si>
    <t>PRESTAÇÃO DE SERVIÇOS UFVs (CAMPO BELO 1) NF 771</t>
  </si>
  <si>
    <t>PRESTAÇÃO DE SERVIÇOS UFVs (MUZAMBINHO 1) NF 768</t>
  </si>
  <si>
    <t>Pagamento medição 5, referente a prestação de serviço de mão de obra, necessário à construção da UFVs. 65% - ENVIADO POR RAFAEL</t>
  </si>
  <si>
    <t>[CCC06041]</t>
  </si>
  <si>
    <t>002643</t>
  </si>
  <si>
    <t>PRESTAÇÃO DE SERVIÇOS UFVs (MUZAMBINHO 1) NF 769</t>
  </si>
  <si>
    <t>Pagamento medição 5, referente a elaboração de planos, necessário à construção da UFVs. 35% - ENVIADO POR RAFAEL</t>
  </si>
  <si>
    <t>002644</t>
  </si>
  <si>
    <t>PRESTAÇÃO DE SERVIÇOS UFVs (OURO FINO 2) NF 766</t>
  </si>
  <si>
    <t>[CCC06042]</t>
  </si>
  <si>
    <t>PRESTAÇÃO DE SERVIÇOS UFVs (OURO FINO 2) NF 767</t>
  </si>
  <si>
    <t>PRESTAÇÃO DE SERVIÇOS UFVs (VARGINHA 2) NF 772</t>
  </si>
  <si>
    <t>[CCC06043]</t>
  </si>
  <si>
    <t>PRESTAÇÃO DE SERVIÇOS UFVs (VARGINHA 2) NF 773</t>
  </si>
  <si>
    <t>PRESTAÇÃO DE SERVIÇO UFV (PASSOS4)  R&amp;C ELETRONICA NF 550</t>
  </si>
  <si>
    <t>Pagamento de medição referente a prestação de serviços  de fornencimento e implantação de sistemas de circuito fechado , para segurança patrimonial. ENVIADO POR LIA MARA</t>
  </si>
  <si>
    <t>[CCC06044]</t>
  </si>
  <si>
    <t>002561</t>
  </si>
  <si>
    <t>PRESTAÇÃO DE SERVIÇO UFV (DIAMANTINA 1) MESS ENGENHARIA NF 10</t>
  </si>
  <si>
    <t>Pagamento em faturamneto direto referente ao servilo de gerenciamento de projetos. ENVIADO POR MANOEL</t>
  </si>
  <si>
    <t>[CCC06045]</t>
  </si>
  <si>
    <t>003339</t>
  </si>
  <si>
    <t>MEDIÇÃO ( MBA - AT)</t>
  </si>
  <si>
    <t xml:space="preserve">PRESTAÇÃO DE SERVIÇOS UFVs (DIVINOPOLIS 2 ) NF 2830 </t>
  </si>
  <si>
    <t>Pagamento de medição referente  a mão de obra e equipamentos. ENVIADO POR MBA</t>
  </si>
  <si>
    <t>[CCC06046]</t>
  </si>
  <si>
    <t>003340</t>
  </si>
  <si>
    <t>PRESTAÇÃO DE SERVIÇOS UFVs (JABOTICATUBAS) NF 2831</t>
  </si>
  <si>
    <t>PRESTAÇÃO DE SERVIÇOS UFVs (PAINS 1) NF 2938</t>
  </si>
  <si>
    <t>PRESTAÇÃO DE SERVIÇOS UFVs (PAINS 2) NF 2939</t>
  </si>
  <si>
    <t>003343</t>
  </si>
  <si>
    <t>PRESTAÇÃO DE SERVIÇOS UFVs (DIVINOPOLIS 3) NF 2834</t>
  </si>
  <si>
    <t>003344</t>
  </si>
  <si>
    <t>PRESTAÇÃO DE SERVIÇOS UFVs (DIVINOPOLIS 1) NF 2835</t>
  </si>
  <si>
    <t>PRESTAÇÃO DE SERVIÇOS UFVs ( ALFENAS 4) NF 2847</t>
  </si>
  <si>
    <t>001717</t>
  </si>
  <si>
    <t>PRESTAÇÃO DE SERVIÇOS UFVs ( BAMBUI 1.2) NF 2848</t>
  </si>
  <si>
    <t>PRESTAÇÃO DE SERVIÇOS UFVs (   PASSOS 4) NF 2849</t>
  </si>
  <si>
    <t>PRESTAÇÃO DE SERVIÇOS UFVs (VARGINHA 2) NF 2850</t>
  </si>
  <si>
    <t>PRESTAÇÃO DE SERVIÇOS UFVs (CAMPO BELO 4) NF 2351</t>
  </si>
  <si>
    <t>PRESTAÇÃO DE SERVIÇO UFVs (PATROCINIO 3) INOVAR LOCAÇÕES NF 2684</t>
  </si>
  <si>
    <t>Pagamento referente a locação containers. ESCOPO COMERC - ENVIADO POR GILSON</t>
  </si>
  <si>
    <t>[CCC06047]</t>
  </si>
  <si>
    <t>PRESTAÇÃO DE SERVIÇO UFVs (PATROCINIO 2) INOVAR LOCAÇÕES NF 2686</t>
  </si>
  <si>
    <t>PRESTAÇÃO DE SERVIÇO UFVs (LAGOA FORMOSA) INOVAR LOCAÇÕES NF 2687</t>
  </si>
  <si>
    <t xml:space="preserve">MEDIÇÃO  (PHP) </t>
  </si>
  <si>
    <t>PRESTAÇÃO DE SERVIÇO UFVs (PARAGUAÇU 1) NF 1311</t>
  </si>
  <si>
    <t>Pagamento medição 1,  referente a prestação dos serviços de drenagem . ENVIADO POR RAFAEL</t>
  </si>
  <si>
    <t>[CCC06048]</t>
  </si>
  <si>
    <t>PRESTAÇÃO DE SERVIÇOS UVFs ( CICLO 3) NF 159 PWX ENGENHARIA</t>
  </si>
  <si>
    <t>Pagamento referente ao levantamento topográfico planialtimétrico cadastral junto as áreas para estudo. ENVIADO POR LEONARDO</t>
  </si>
  <si>
    <t>[CCC06049]</t>
  </si>
  <si>
    <t>PWX ENGENHARIA</t>
  </si>
  <si>
    <t>PRESTAÇÃO DE SERVIÇO UFVs (PARAGUAÇU 1) NF 776</t>
  </si>
  <si>
    <t xml:space="preserve">Pagamento da 6ª medição, referente a mão de obra  necessária para a construção das UFVs, em contrato EPC.  - ENVIADO POR RAFAEL </t>
  </si>
  <si>
    <t>[CCC06050]</t>
  </si>
  <si>
    <t>PRESTAÇÃO DE SERVIÇO UFVs (PARAGUAÇU 1) NF 777</t>
  </si>
  <si>
    <t>Pagamento da 6ª medição, referente elaboração de planos,  necessários a construção das UFVs, em contrato EPC.   - ENVIADO POR RAFAEL</t>
  </si>
  <si>
    <t>PRESTAÇÃO DE SERVIÇO UFVs (PATOS DE MINAS 1) NF 357 TRANSPORTE DAVI</t>
  </si>
  <si>
    <t xml:space="preserve">Pagamento em faturamento direto referente a locação de onibus. ENVIADO POR GILSON </t>
  </si>
  <si>
    <t>[CCC06051]</t>
  </si>
  <si>
    <t>PRESTAÇÃO DE SERVIÇO UFVs (VARGINHA 1) NF 2841</t>
  </si>
  <si>
    <t>Pagamento de mediçãoreferente a extensão de rede de distribuição rural. ENVIADO POR MBA</t>
  </si>
  <si>
    <t>[CCC06052]</t>
  </si>
  <si>
    <t>PRESTAÇÃO DE SERVIÇO UFVs (VARGINHA 1) NF 2842</t>
  </si>
  <si>
    <t>PRESTAÇÃO DE SERVIÇO UFVs (VARGINHA 2) NF 2843</t>
  </si>
  <si>
    <t xml:space="preserve">PRESTAÇÃO DE SERVIÇO UFVs (SERTANIA) NF 14 GOVERDE </t>
  </si>
  <si>
    <t>[CCC06053]</t>
  </si>
  <si>
    <t xml:space="preserve">PRESTAÇÃO DE SERVIÇO UFVs ( CUPIRA) NF 13 GOVERDE </t>
  </si>
  <si>
    <t>003345</t>
  </si>
  <si>
    <t>DAE - Dispença de Licenciamento ambiental UFVS   (BUTIRIZEIRO 1)  N 0923022705224</t>
  </si>
  <si>
    <t>Taxa necessária para vistoria dos bombeiros nas usinas. ENVIADO POR GUILHERME</t>
  </si>
  <si>
    <t>[CCC06054]</t>
  </si>
  <si>
    <t>003347</t>
  </si>
  <si>
    <t>DAE - Dispença de Licenciamento ambiental UFVS  (BURITIZEIRO 2)  N 0923022705631</t>
  </si>
  <si>
    <t>DAE - Dispença de Licenciamento ambiental UFVS  (SÃO SEBASTIÃO DO OESTE 3)  N 0923022702331</t>
  </si>
  <si>
    <t>DAE - Dispença de Licenciamento ambiental UFVS  (SÃO SEBASTIÃO DO OESTE 5)  N 0923022702098</t>
  </si>
  <si>
    <t>DAE - Dispença de Licenciamento ambiental UFVS  (SÃO SEBASTIÃO DO OESTE 1)  N 0923022702098</t>
  </si>
  <si>
    <t>003349</t>
  </si>
  <si>
    <t xml:space="preserve">DAE - Dispença de Licenciamento ambiental UFVS  ( INDAIABIRA 1)  N 0923022702411 </t>
  </si>
  <si>
    <t>003350</t>
  </si>
  <si>
    <t xml:space="preserve">DAE - Dispença de Licenciamento ambiental UFVS  ( INDAIABIRA 2)  N 0923022702586 </t>
  </si>
  <si>
    <t>003352</t>
  </si>
  <si>
    <t>DAE - Dispença de Licenciamento ambiental UFVS  ( INDAIABIRA 4)  N 0923022702900</t>
  </si>
  <si>
    <t>003353</t>
  </si>
  <si>
    <t>DAE - Dispença de Licenciamento ambiental UFVS  ( INDAIABIRA 3)  N 0923022705143</t>
  </si>
  <si>
    <t>003346</t>
  </si>
  <si>
    <t>Fa.t Direto (GTEL)</t>
  </si>
  <si>
    <t>COMPRA DE MATERIAIS UFVs (PARACATU 5) NF 2999 ENGETELA</t>
  </si>
  <si>
    <t>Pagamento em faturamento direto referente a compra de materias. ENVIADO POR WENDEL TORRES</t>
  </si>
  <si>
    <t>[CCC06055]</t>
  </si>
  <si>
    <t>003348</t>
  </si>
  <si>
    <t>COMPRA DE MATERIAIS UFVs (PARACATU 4) NF 2998 ENGETELA</t>
  </si>
  <si>
    <t>[CCC06056]</t>
  </si>
  <si>
    <t>COMPRA DE MATERIAIS UFVs (DIAMANTINA 1) NF 9948  PARAENG</t>
  </si>
  <si>
    <t>Pagamento referete a compra de materiais. ESCOPO COMERC -  ENVIADO POR MANOEL LIMA</t>
  </si>
  <si>
    <t>[CCC06057]</t>
  </si>
  <si>
    <t>PARENG</t>
  </si>
  <si>
    <t>PRESTAÇÃO DE SERVIÇO UFVs (DIAMANTINA 1)  NF 3  NEIVA MATERIAIS</t>
  </si>
  <si>
    <t>Pagamento em faturamento direto referente a locação de retroescavadeira. ENVIADO POR MANOEL</t>
  </si>
  <si>
    <t>[CCC06058]</t>
  </si>
  <si>
    <t>PRESTAÇÃO DE SERVIÇO UFVs (CICLO 3)  NF 254  GP SERVIÇOS</t>
  </si>
  <si>
    <t>Pagamento referente a assessoria e consultoria fundiária em prospecções de terrenos e contratos. ENVIADO POR LEONARDO</t>
  </si>
  <si>
    <t>[CCC06059]</t>
  </si>
  <si>
    <t>003354</t>
  </si>
  <si>
    <t>PRESTAÇÃO DE SERVIÇOS UFVs  ( GUARDA MOR)  NORTE CONEXÃO NF 1640</t>
  </si>
  <si>
    <t>Pagamento referente a prestação do serviço de manutenção de fibra optica. ENVIADO POR RODRIGO</t>
  </si>
  <si>
    <t>[CCC06060]</t>
  </si>
  <si>
    <t>COMPRA DE MATERIAIS UFVs (ALFENAS 4) NF 8046  IBERICA</t>
  </si>
  <si>
    <t xml:space="preserve">Pagamento referente a compra de materiais. *NOTA DE REMESSA, NÃO GERA FINANCEIRO. APENAS ESCRITURAR* </t>
  </si>
  <si>
    <t>[CCC06061]</t>
  </si>
  <si>
    <t>*REMESSA, APENAS ESCRITURAR*</t>
  </si>
  <si>
    <t>IBERICA</t>
  </si>
  <si>
    <t>PRESTAÇÃO DE SERVIÇOS (DIAMANTINA 1) SEVEN NF 474</t>
  </si>
  <si>
    <t>Pagamento referente a medição de ELABORAÇÃO DE PROJETO CONTRA INCÊNDIO. 65% INICIAIS - ENVIADO POR GUILHERME KUSEL</t>
  </si>
  <si>
    <t>[CCC06062]</t>
  </si>
  <si>
    <t>PRESTAÇÃO DE SERVIÇOS (DIAMANTINA 2) SEVEN NF 473</t>
  </si>
  <si>
    <t>PRESTAÇÃO DE SERVIÇOS (ARCOS 7) SEVEN NF 464</t>
  </si>
  <si>
    <t>PRESTAÇÃO DE SERVIÇOS (CAMPO BELO 1) SEVEN NF 463</t>
  </si>
  <si>
    <t>PRESTAÇÃO DE SERVIÇOS (CAMPO BELO 3) SEVEN NF 462</t>
  </si>
  <si>
    <t>PRESTAÇÃO DE SERVIÇOS (CAMPO BELO 5) SEVEN NF 461</t>
  </si>
  <si>
    <t>002656</t>
  </si>
  <si>
    <t>PRESTAÇÃO DE SERVIÇOS (PARAGUAÇU 1) SEVEN NF 460</t>
  </si>
  <si>
    <t>002657</t>
  </si>
  <si>
    <t>PRESTAÇÃO DE SERVIÇOS (MUZAMBINHO) SEVEN NF 458</t>
  </si>
  <si>
    <t>PRESTAÇÃO DE SERVIÇOS (OURO FINO 2) SEVEN NF 456</t>
  </si>
  <si>
    <t>PRESTAÇÃO DE SERVIÇOS (ALFENAS 4) SEVEN NF 454</t>
  </si>
  <si>
    <t>PRESTAÇÃO DE SERVIÇOS (CAMPO BELO 2) SEVEN NF 453</t>
  </si>
  <si>
    <t>PRESTAÇÃO DE SERVIÇOS (FORMIGA 6) SEVEN NF 452</t>
  </si>
  <si>
    <t>003355</t>
  </si>
  <si>
    <t>PRESTAÇÃO DE SERVIÇOS (DIVINOPOLIS 1) SEVEN NF 450</t>
  </si>
  <si>
    <t>003356</t>
  </si>
  <si>
    <t>PRESTAÇÃO DE SERVIÇOS (DIVINOPOLIS 2) SEVEN NF 449</t>
  </si>
  <si>
    <t>003357</t>
  </si>
  <si>
    <t>PRESTAÇÃO DE SERVIÇOS (DIVINOPOLIS 3) SEVEN NF 448</t>
  </si>
  <si>
    <t>003358</t>
  </si>
  <si>
    <t>PRESTAÇÃO DE SERVIÇOS (PAINS 3) SEVEN NF 444</t>
  </si>
  <si>
    <t>003359</t>
  </si>
  <si>
    <t>PRESTAÇÃO DE SERVIÇOS (JABOTICATUBAS) SEVEN NF 441</t>
  </si>
  <si>
    <t>003360</t>
  </si>
  <si>
    <t>PRESTAÇÃO DE SERVIÇOS (PARACATU 4) SEVEN NF 440</t>
  </si>
  <si>
    <t>PRESTAÇÃO DE SERVIÇOS (CAMPO BELO 1) NF 58 STEFANIO COUTINHO</t>
  </si>
  <si>
    <t xml:space="preserve">Pagamento referente a compra de chapas de xadrex utilizadas no office. ENVAIDO POR RAFAEL </t>
  </si>
  <si>
    <t>[CCC06063]</t>
  </si>
  <si>
    <t xml:space="preserve"> STEFANIO COUTINHO</t>
  </si>
  <si>
    <t>PRESTAÇÃO DE SERVIÇOS (CAMPO BELO 2) NF 66  STEFANIO COUTINHO</t>
  </si>
  <si>
    <t>002660</t>
  </si>
  <si>
    <t>PRESTAÇÃO DE SERVIÇOS (CAMPO BELO 3) NF 59  STEFANIO COUTINHO</t>
  </si>
  <si>
    <t>PRESTAÇÃO DE SERVIÇOS (TRÊS CORAÇÕES 3) NF 64  STEFANIO COUTINHO</t>
  </si>
  <si>
    <t>002662</t>
  </si>
  <si>
    <t>PRESTAÇÃO DE SERVIÇOS ( SANTO ANTONIO DO AMAPARO 1) NF 62  STEFANIO COUTINHO</t>
  </si>
  <si>
    <t>0002663</t>
  </si>
  <si>
    <t>PRESTAÇÃO DE SERVIÇOS (OURO FINO 2) NF 63 STEFANIO COUTINHO</t>
  </si>
  <si>
    <t>002664</t>
  </si>
  <si>
    <t>PRESTAÇÃO DE SERVIÇOS (MUZAMBINHO 1) NF 61  STEFANIO COUTINHO</t>
  </si>
  <si>
    <t>PRESTAÇÃO DE SERVIÇOS UFVs ( ALFENAS 4) NF 65 STEFANIO COUTINHO</t>
  </si>
  <si>
    <t>002666</t>
  </si>
  <si>
    <t>PRESTAÇÃO DE SERVIÇOS UFVs ( PARAGUAÇU ) NF 60 STEFANIO COUTINHO</t>
  </si>
  <si>
    <t>PRESTAÇÃO DE SERVIÇOS (PATOS DE MINAS 1) SEVEN NF 445</t>
  </si>
  <si>
    <t>[CCC06064]</t>
  </si>
  <si>
    <t>PRESTAÇÃO DE SERVIÇOS (PATOS DE MINAS 3) SEVEN NF 471</t>
  </si>
  <si>
    <t>PRESTAÇÃO DE SERVIÇOS (PATOS DE MINAS 4) SEVEN NF 470</t>
  </si>
  <si>
    <t>PRESTAÇÃO DE SERVIÇOS (PATOS DE MINAS 7) SEVEN NF 469</t>
  </si>
  <si>
    <t>PRESTAÇÃO DE SERVIÇOS (PATOS DE MINAS 8) SEVEN NF 468</t>
  </si>
  <si>
    <t>PRESTAÇÃO DE SERVIÇOS (PATROCINIO 2) SEVEN NF 467</t>
  </si>
  <si>
    <t>PRESTAÇÃO DE SERVIÇOS (PATROCINIO 3) SEVEN NF 466</t>
  </si>
  <si>
    <t>PRESTAÇÃO DE SERVIÇOS (VARJÃO DE MINAS 4) SEVEN NF 465</t>
  </si>
  <si>
    <t>PRESTAÇÃO DE SERVIÇOS (SÃO SEBASTIÃO DO OESTE 4) SEVEN NF 459</t>
  </si>
  <si>
    <t>ok novo</t>
  </si>
  <si>
    <t>PRESTAÇÃO DE SERVIÇOS (SANTO ANTONIO DO AMPARO 1) SEVEN NF 457</t>
  </si>
  <si>
    <t>PRESTAÇÃO DE SERVIÇOS (TRES CORAÇÕES 3) SEVEN NF 455</t>
  </si>
  <si>
    <t>PRESTAÇÃO DE SERVIÇOS (PASSOS 4) SEVEN NF 451</t>
  </si>
  <si>
    <t>003361</t>
  </si>
  <si>
    <t>PRESTAÇÃO DE SERVIÇOS (PEDRA DO INADIA 1) SEVEN NF 447</t>
  </si>
  <si>
    <t>003362</t>
  </si>
  <si>
    <t>PRESTAÇÃO DE SERVIÇOS (PEDRA DO INADIA 3) SEVEN NF 446</t>
  </si>
  <si>
    <t>003363</t>
  </si>
  <si>
    <t>PRESTAÇÃO DE SERVIÇOS (PEDRA DO INADIA 5) SEVEN NF 445</t>
  </si>
  <si>
    <t>003562</t>
  </si>
  <si>
    <t>PRESTAÇÃO DE SERVIÇOS (SÃO SEBASTIÃO DO OESTE 0) SEVEN NF 443</t>
  </si>
  <si>
    <t>003563</t>
  </si>
  <si>
    <t>PRESTAÇÃO DE SERVIÇOS (SÃO SEBASTIÃO DO OESTE 6) SEVEN NF 442</t>
  </si>
  <si>
    <t>003564</t>
  </si>
  <si>
    <t>PRESTAÇÃO DE SERVIÇOS (PARACATU 5) SEVEN NF 439</t>
  </si>
  <si>
    <t xml:space="preserve">PRESTAÇÃO DE SERVIÇOS (CAMPO BELO 1) NF 1372 RONDA PORTEIROS </t>
  </si>
  <si>
    <t xml:space="preserve">Pagamento referente ao aditivo de vigias noturnos. ENVIADO POR RAFAEL </t>
  </si>
  <si>
    <t>[CCC06065]</t>
  </si>
  <si>
    <t>PRESTAÇÃO DE SERVIÇOS ( SANTO ANTONIO DO AMAPARO 1) NF 1370 RONDA PORTEIROS</t>
  </si>
  <si>
    <t>PRESTAÇÃO DE SERVIÇOS (MUZAMBINHO 1) NF 1365  RONDA PORTEIRO</t>
  </si>
  <si>
    <t>PRESTAÇÃO DE SERVIÇOS (TRÊS CORAÇÕES 3) NF 1368 RONDA PORTEIROS</t>
  </si>
  <si>
    <t>002672</t>
  </si>
  <si>
    <t xml:space="preserve">PRESTAÇÃO DE SERVIÇOS (OURO FINO 2) NF 1366  RONDA PORTEIROS </t>
  </si>
  <si>
    <t xml:space="preserve">PRESTAÇÃO DE SERVIÇOS UFVs ( PARAGUAÇU ) NF 1371  RONDA PORTEIROS </t>
  </si>
  <si>
    <t>FAT.DIRETO  (MBA-MT)</t>
  </si>
  <si>
    <t>PRESTAÇÃO DE SERVIÇOS UFVs ( VARGINHA 2) NF  648  ATENAS CONSTRUTORA</t>
  </si>
  <si>
    <t>Pagamento em faturamento direto referente ao fechamento do saldo contratual de Varginha 2. ENVIADO POR MBA</t>
  </si>
  <si>
    <t>[CCC06066]</t>
  </si>
  <si>
    <t xml:space="preserve">COMPRA DE MATERAIS UFVs (OURO FINO 2) NF 6100 NOVA MORADA </t>
  </si>
  <si>
    <t>Pagaento referente a compra de materiais. ENVIADO POR RAFAEL</t>
  </si>
  <si>
    <t>[CCC06067]</t>
  </si>
  <si>
    <t>002678</t>
  </si>
  <si>
    <t xml:space="preserve">COMPRA DE MATERAIS UFVs (TRES CORAÇÕES 3) NF 6099 NOVA MORADA </t>
  </si>
  <si>
    <t>[CCC06068]</t>
  </si>
  <si>
    <t>PRESTAÇÃO DE SERVIÇOS UFVs (ALFENAS 4) NF 13057</t>
  </si>
  <si>
    <t>Pagamento de medição referente a parcela 2 da construção de rede eletrica. ENVIADO POR GUILHERME</t>
  </si>
  <si>
    <t>[CCC06069]</t>
  </si>
  <si>
    <t>PRESTAÇÃO DE SERVIÇOS UFVs (CAMPO BELO 2) NF 13056</t>
  </si>
  <si>
    <t>COMPRA DE MATERAIS UFVs (DIAMANTINA 1) NF 13853 PREMOLDADOS</t>
  </si>
  <si>
    <t>Pagamento referente a compra de materiais. ENVIADO POR MANOEL LIMA</t>
  </si>
  <si>
    <t>[CCC06070]</t>
  </si>
  <si>
    <t>PRESTAÇÃO DE SERVIÇO UFVs (CICLO 3) NF 9 ADRIANA CRISTINA</t>
  </si>
  <si>
    <t>Pagamento referente a conferencia de projetos de rede de distribuição. ENVIADO POR GUILHERME</t>
  </si>
  <si>
    <t>[CCC06071]</t>
  </si>
  <si>
    <t xml:space="preserve">ADRIANA </t>
  </si>
  <si>
    <t>PRESTAÇÃO DE SERVIÇO UFVs (CICLO 3) NF 10 ADRIANA CRISTINA</t>
  </si>
  <si>
    <t>003367</t>
  </si>
  <si>
    <t>Fat.Direto (ORCI)</t>
  </si>
  <si>
    <t>PRESTAÇÃO DE SERVIÇO UFVs (PARACATU 4) NF 46 COSTERR</t>
  </si>
  <si>
    <t xml:space="preserve">Pagamento referente a prestação de serviços de drenagem, locação equipamento. ENVAIDO POR WENDEL </t>
  </si>
  <si>
    <t>[CCC06072]</t>
  </si>
  <si>
    <t>003368</t>
  </si>
  <si>
    <t>PRESTAÇÃO DE SERVIÇO UFVs (PARACATU 4) NF 45 COSTERR</t>
  </si>
  <si>
    <t>003379</t>
  </si>
  <si>
    <t>PRESTAÇÃO DE SERVIÇO UFVs (PARACATU 4) NF  133 LOC CASTRO</t>
  </si>
  <si>
    <t>003400</t>
  </si>
  <si>
    <t>PRESTAÇÃO DE SERVIÇO UFVs (PARACATU 5) NF 510901.1 MOVITERRA</t>
  </si>
  <si>
    <t>PRESTAÇÃO DE SERVIÇOS UFVs (FORMIGA 6) NF 246</t>
  </si>
  <si>
    <t>Pagamento medição final, referente ao serviço de terraplanagem, necessário à construção da usina.  ENVIADO POR AUGUSTO SIQUEIRA</t>
  </si>
  <si>
    <t>[CCC06073]</t>
  </si>
  <si>
    <t>PRESTAÇÃO DE SERVIÇOS UFVs (FORMIGA 6) NF 408</t>
  </si>
  <si>
    <t>PRESTAÇÃO DE SERVIÇOS UFVs (SANTO ANTONIO DO AMPARO 1) NF 65</t>
  </si>
  <si>
    <t>[CCC06074]</t>
  </si>
  <si>
    <t>PRESTAÇÃO DE SERVIÇOS UFVs (SÃO SEBASTIÃO DO OESTE 5) NF  127</t>
  </si>
  <si>
    <t>002703</t>
  </si>
  <si>
    <t>PRESTAÇÃO DE SERVIÇOS UFVs (SANTO ANTONIO DO AMPARO 1) NF 66</t>
  </si>
  <si>
    <t>Pagamento de medição,refente a serviço de supressão vegetal rede. 100% valor contrato. ENVIADO POR GUILHERME</t>
  </si>
  <si>
    <t>003401</t>
  </si>
  <si>
    <t>PRESTAÇÃO DE SERVIÇO UFVs (PEDRA DO INDAIA 3 ) NF 778</t>
  </si>
  <si>
    <t xml:space="preserve">Recomposição de custo, referente a mão de obra  necessária para a construção das UFVs, em contrato EPC.  - ENVIADO POR RAFAEL </t>
  </si>
  <si>
    <t>[CCC06075]</t>
  </si>
  <si>
    <t>003402</t>
  </si>
  <si>
    <t>PRESTAÇÃO DE SERVIÇO UFVs (PEDRA DO INDAIA 3 ) NF 779</t>
  </si>
  <si>
    <t>Recomposição de custo, referente elaboração de planos,  necessários a construção das UFVs, em contrato EPC.   - ENVIADO POR RAFAEL</t>
  </si>
  <si>
    <t>PRESTAÇÃO DE SERVIÇO UFVs (FORMIGA 6 ) NF 780</t>
  </si>
  <si>
    <t>PRESTAÇÃO DE SERVIÇO UFVs (FORMIGA 6 ) NF 781</t>
  </si>
  <si>
    <t>003403</t>
  </si>
  <si>
    <t>PRESTAÇÃO DE SERVIÇO UFVs (PEDRA DO INDAIA 5 ) NF 782</t>
  </si>
  <si>
    <t>003404</t>
  </si>
  <si>
    <t>PRESTAÇÃO DE SERVIÇO UFVs (PEDRA DO INDAIA 5 ) NF 783</t>
  </si>
  <si>
    <t>PRESTAÇÃO DE SERVIÇO UFVs (CICLO 3) NF 163 PWX ENGENHARIA</t>
  </si>
  <si>
    <t>Pagamento referente ao serviço de levantamento topografico planialtimetrico cadastral. ENVIADO POR LEONARDO</t>
  </si>
  <si>
    <t>[CCC06076]</t>
  </si>
  <si>
    <t>PRESTAÇÃO DE SERVIÇO UFVs (CICLO 3) NF 24  3FS AGROCONSULTIN</t>
  </si>
  <si>
    <t>Pagamento referente ao contrato mensal de prestação de serviços e horas extras relativas aos trabalhos e entregas. ENVIADO POR LEONARDO</t>
  </si>
  <si>
    <t>[CCC06077]</t>
  </si>
  <si>
    <t>AGROCONSULTIN</t>
  </si>
  <si>
    <t>PRESTAÇÃO DE SERVIÇO UFV (SANTO ANTONIO DO AMPARO 1) NF 784</t>
  </si>
  <si>
    <t xml:space="preserve">Pagamento da 9ª medição, referente a mão de obra  necessária para a construção das UFVs, em contrato EPC.  - ENVIADO POR RAFAEL </t>
  </si>
  <si>
    <t>[CCC06078]</t>
  </si>
  <si>
    <t>PRESTAÇÃO DE SERVIÇO UFV (SANTO ANTONIO DO AMPARO 1) NF 785</t>
  </si>
  <si>
    <t>Pagamento da 9ª medição, referente elaboração de planos,  necessários a construção das UFVs, em contrato EPC.   - ENVIADO POR RAFAEL</t>
  </si>
  <si>
    <t>COMPRA DE MATERIAIS UFVs (DIAMANTINA 1)  NF 210103 REAL D AVILA</t>
  </si>
  <si>
    <t>Pagamento em faturamento direto referente a compra de combustivel. ENVIADO POR MANOEL</t>
  </si>
  <si>
    <t>[CCC06079]</t>
  </si>
  <si>
    <t>002597</t>
  </si>
  <si>
    <t>COMPRA DE MATERIAIS UFVs (DIAMANTINA 1)  NF 107 BOM JESUS</t>
  </si>
  <si>
    <t>Pagamento em faturamento direto referente a compra de refeição. ENVIADO POR MANOEL</t>
  </si>
  <si>
    <t>[CCC06080]</t>
  </si>
  <si>
    <t>PRESTAÇÃO DE SERVIÇOS   MEDIÇÃO FINAL UFVs ( CAMPO BELO 1)  GLD   NF  27</t>
  </si>
  <si>
    <t>Pagamento  de  medição final, prestação de serviços  necessários a construção da UFV .</t>
  </si>
  <si>
    <t>[CCC03962]</t>
  </si>
  <si>
    <t>COMPRA DE MATERIAIS UFVs (DIAMANTINA 1)  NF 404 AGUIAR COMERCIO</t>
  </si>
  <si>
    <t>Pagamento em faturamento direto referente a locação de equipamentos. ENVIADO POR MANOEL</t>
  </si>
  <si>
    <t>[CCC06081]</t>
  </si>
  <si>
    <t>COMPRA DE MATERIAIS UFVs (DIAMANTINA 1)  NF 1562 HYDRO TECH</t>
  </si>
  <si>
    <t>Pagamento em faturamento direto referente a  compra de caixa d'agua. ENVIADO POR MANOEL</t>
  </si>
  <si>
    <t>[CCC06082]</t>
  </si>
  <si>
    <t>COMPRA DE MATERIAIS UFVs (CAMPO BELO 2)  NF 505997  LOJA ELETRICA</t>
  </si>
  <si>
    <t>[CCC06083]</t>
  </si>
  <si>
    <t>COMPRA DE MATERIAIS UFVs (PATOS DE MINAS 1)  NF 65745 POSTO RODOMILHO</t>
  </si>
  <si>
    <t>[CCC06084]</t>
  </si>
  <si>
    <t>003477</t>
  </si>
  <si>
    <t>MEDIÇÃO MENSAL NOVEMBRO/2023  UFVs  LMENG  NF 12263</t>
  </si>
  <si>
    <t>Pagamento de medição referente ao serviço deengenharia executiva, necessário à construção da usina. ENVIADO POR LMENG</t>
  </si>
  <si>
    <t>[CCC06085]</t>
  </si>
  <si>
    <t>MEDIÇÃO MENSAL NOVEMBRO/2023  UFVs  LMENG  NF 12264</t>
  </si>
  <si>
    <t>MEDIÇÃO MENSAL NOVEMBRO/2023  UFVs  LMENG  NF 12265</t>
  </si>
  <si>
    <t>MEDIÇÃO MENSAL NOVEMBRO/2023  UFVs  LMENG  NF 12266</t>
  </si>
  <si>
    <t>MEDIÇÃO MENSAL NOVEMBRO/2023  UFVs  LMENG  NF 12267</t>
  </si>
  <si>
    <t>MEDIÇÃO MENSAL NOVEMBRO/2023  UFVs  LMENG  NF 12268</t>
  </si>
  <si>
    <t>MEDIÇÃO MENSAL NOVEMBRO/2023  UFVs  LMENG  NF 12269</t>
  </si>
  <si>
    <t>003488</t>
  </si>
  <si>
    <t>MEDIÇÃO MENSAL NOVEMBRO/2023  UFVs  LMENG  NF 12270</t>
  </si>
  <si>
    <t>PRESTAÇÃO DE SERVIÇO UFV ( MUZAMBINHO 1) NF 786</t>
  </si>
  <si>
    <t xml:space="preserve">Pagamento  medição 2, referente a mão de obra  necessária para a construção das UFVs, em contrato EPC.  - ENVIADO POR RAFAEL </t>
  </si>
  <si>
    <t>[CCC06086]</t>
  </si>
  <si>
    <t>002776</t>
  </si>
  <si>
    <t>PRESTAÇÃO DE SERVIÇO UFV ( MUZAMBINHO 1) NF 787</t>
  </si>
  <si>
    <t>Pagamento  medição 2, referente elaboração de planos,  necessários a construção das UFVs, em contrato EPC.   - ENVIADO POR RAFAEL</t>
  </si>
  <si>
    <t>PRESTAÇÃO DE SERVIÇO UFV (SANTO ANTONIO DO AMPARO 1) NF 789</t>
  </si>
  <si>
    <t>[CCC06087]</t>
  </si>
  <si>
    <t>PRESTAÇÃO DE SERVIÇO UFV (SANTO ANTONIO DO AMPARO 1) NF 790</t>
  </si>
  <si>
    <t>COMPRA DE MATERIAIS UFVS (DIAMANTINA 1) NF 317223 LOJA ELETRICA</t>
  </si>
  <si>
    <t>Pagamento referente a compra de materiais. ESCOPO COMER - ENVIADO POR MANOEL</t>
  </si>
  <si>
    <t>[CCC06088]</t>
  </si>
  <si>
    <t>PRESTAÇÃO DE SERVIÇOS UFVs ( DIAMANTINA 2) NF 47</t>
  </si>
  <si>
    <t>[CCC06089]</t>
  </si>
  <si>
    <t>003490</t>
  </si>
  <si>
    <t>PRESTAÇÃO DE SERVIÇOS UFVs (BURITIZEIRO 1) NF 1282  E.CO.AR</t>
  </si>
  <si>
    <t>Pagamento referente ao serviço de roçada. ESCOPO COMERC - ENVIADO POR RENATO</t>
  </si>
  <si>
    <t>[CCC06090]</t>
  </si>
  <si>
    <t>E.CO.AR</t>
  </si>
  <si>
    <t>003492</t>
  </si>
  <si>
    <t>PRESTAÇÃO DE SERVIÇOS UFVs (BURITIZEIRO 1) NF 1283  E.CO.AR</t>
  </si>
  <si>
    <t>003489</t>
  </si>
  <si>
    <t>Outros - Serviços à UFV - ENGELUZ</t>
  </si>
  <si>
    <t>PRESTAÇÃO DE SERVIÇOS UFVs (PARACATU 4) NF 313 ARCANJO VIGILANCIA</t>
  </si>
  <si>
    <t>[CCC06091]</t>
  </si>
  <si>
    <t>003491</t>
  </si>
  <si>
    <t>PRESTAÇÃO DE SERVIÇOS UFVs (PARACATU 5) NF 312 ARCANJO VIGILANCIA</t>
  </si>
  <si>
    <t>MEDIÇÃO ( THM ENGENHARIA)</t>
  </si>
  <si>
    <t>PRESTAÇÃO DE SERVIÇOS UFVs ( PATROCINIO 2) NF 715</t>
  </si>
  <si>
    <t xml:space="preserve">Pagamento referente a 4° medição de drenagem . ENVIADO POR GILSON </t>
  </si>
  <si>
    <t>[CCC06092]</t>
  </si>
  <si>
    <t>PRESTAÇÃO DE SERVIÇOS UFVs ( PATROCINIO 3) NF 716</t>
  </si>
  <si>
    <t>PRESTAÇÃO DE SERVIÇOS UFVs (PATOS DE MINAS 1) NF 49895  ATIVA LOCAÇÃO</t>
  </si>
  <si>
    <t>Pagamento em faturamento direto referente a locação de containers. ENVIADO POR GILSON</t>
  </si>
  <si>
    <t>[CCC06093]</t>
  </si>
  <si>
    <t>002683</t>
  </si>
  <si>
    <t>PRESTAÇÃO DE SERVIÇOS UFVs (PATOS DE MINAS 8) NF 56</t>
  </si>
  <si>
    <t>Pagamento de medição1,  referente ao serviço de drenagem. ENVIADO POR GILSON</t>
  </si>
  <si>
    <t>[CCC06094]</t>
  </si>
  <si>
    <t>003493</t>
  </si>
  <si>
    <t>PRESTAÇÃO DE SERVIÇOS UFVs (BURITIZEIRO 1) NF 603</t>
  </si>
  <si>
    <t>Pagamento de medição referente a serviço de instalação de sistema de supervisão . ENVIADO POR ATI</t>
  </si>
  <si>
    <t>[CCC06095]</t>
  </si>
  <si>
    <t>003495</t>
  </si>
  <si>
    <t>PRESTAÇÃO DE SERVIÇOS UFVs (BURITIZEIRO 2) NF 604</t>
  </si>
  <si>
    <t>003496</t>
  </si>
  <si>
    <t>PRESTAÇÃO DE SERVIÇOS UFVs (INDAIABIRA 1) NF 605</t>
  </si>
  <si>
    <t>Pagamento de medição referente a comissionamento remoto. ENVIADO POR ATI</t>
  </si>
  <si>
    <t>003497</t>
  </si>
  <si>
    <t>PRESTAÇÃO DE SERVIÇOS UFVs (INDAIABIRA 2) NF 606</t>
  </si>
  <si>
    <t>PRESTAÇÃO DE SERVIÇOS UFVs (CAMPO BELO 3) NF 607</t>
  </si>
  <si>
    <t>PRESTAÇÃO DE SERVIÇOS UFVs (SÃO SEBASTIÃO DO OESTE 5) NF 608</t>
  </si>
  <si>
    <t>003494</t>
  </si>
  <si>
    <t>Outros - Serviços à UFV ( RENOVO)</t>
  </si>
  <si>
    <t>PRESTAÇÃO DE SERVIÇOS UFVs (JABOTICATUBAS ) NF 446</t>
  </si>
  <si>
    <t>Pagamento referente ao serviço de carregamento de duas carretas com módulos de JABOTICATUBA para PAINS 3 . ENVIADO POR MANOEL</t>
  </si>
  <si>
    <t>[CCC06096]</t>
  </si>
  <si>
    <t>DAE - Dispença de Licenciamento ambiental UFVS  (DIAMANTINA 2) N 5400035621183</t>
  </si>
  <si>
    <t>Taxa necessária para vistoria dos bombeiros nas usinas. ENVIADO POR TIAGO  ROBERTO</t>
  </si>
  <si>
    <t>[CCC06097]</t>
  </si>
  <si>
    <t>003499</t>
  </si>
  <si>
    <t>COMPRA DE MATERIAIS  UFVs (SÃO SEBASTIÃO DO OESTE 6) NF 2497</t>
  </si>
  <si>
    <t>Pagamento de medição referente a compra de materiais. ENVIDO POR ATI</t>
  </si>
  <si>
    <t>[CCC06098]</t>
  </si>
  <si>
    <t>003501</t>
  </si>
  <si>
    <t>COMPRA DE MATERIAIS  UFVs (BURITIZEIRO 1) NF 2501</t>
  </si>
  <si>
    <t>003502</t>
  </si>
  <si>
    <t>COMPRA DE MATERIAIS  UFVs (BURITIZEIRO 2) NF 2502</t>
  </si>
  <si>
    <t>003498</t>
  </si>
  <si>
    <t>PRESTAÇÃO DE SERVIÇOS UFVs ( DIVINOPOLIS 1) NF 11113 CIMENTÃO CONCRETOS</t>
  </si>
  <si>
    <t>Pagamento referente ao serviço de concretro bomabenado para a usina. ENVIADO POR AUGUSTO</t>
  </si>
  <si>
    <t>[CCC06099]</t>
  </si>
  <si>
    <t>003500</t>
  </si>
  <si>
    <t>COMPRA DE MATERIAIS  UFVs (PEDRA DO INADAIA 5) NF 6114 NOVA MORADA</t>
  </si>
  <si>
    <t>Pagamento em fgaturamento direto, referente a construção do office . ENVIADO POR AUGUSTO</t>
  </si>
  <si>
    <t>[CCC06100]</t>
  </si>
  <si>
    <t>COMPRA DE MATERIAIS  UFVs (DIAMANTINA 1) NF 1145 WAS COMERCIAL</t>
  </si>
  <si>
    <t>Pagamento em faturamento direto referente a compra de materiais . ENVIADO POR ENGELUZ</t>
  </si>
  <si>
    <t>[CCC06101]</t>
  </si>
  <si>
    <t>COMPRA DE MATERIAIS  UFVs (DIAMANTINA 2) NF 1146 WAS COMERCIAL</t>
  </si>
  <si>
    <t>COMPRA DE MATERIAIS UFVs (BAMBUI 1.1) NF 1656</t>
  </si>
  <si>
    <t>[CCC06102]</t>
  </si>
  <si>
    <t>COMPRA DE MATERIAIS UFVs (BAMBUI 1.2) NF 1657</t>
  </si>
  <si>
    <t>COMPRA DE MATERIAIS UFVs (VARGINHA 5) NF 1658</t>
  </si>
  <si>
    <t>002789</t>
  </si>
  <si>
    <t>COMPRA DE MATERIAIS UFVs (CAMPO BELO 3) NF 1659</t>
  </si>
  <si>
    <t>COMPRA DE MATERIAIS UFVs (CAMPO BELO 4) NF 1660</t>
  </si>
  <si>
    <t>PRESTAÇÃO DE SERVIÇOS UFVs (DIAMANTINA 1)  NF 733</t>
  </si>
  <si>
    <t>Pagamento de 3° medição, referente aos serviços e mão de obra prestados na usina, ENVIADO POR MANOEL</t>
  </si>
  <si>
    <t>[CCC06103]</t>
  </si>
  <si>
    <t>003508</t>
  </si>
  <si>
    <t>PRFESTAÇÃO DE SERVIÇOS UFVs ( JABOTICATUBAS) NF 448</t>
  </si>
  <si>
    <t xml:space="preserve">Pagamento medição 2, referente a prestação dos serviços de drenagem. ENVIADO POR MANOEL </t>
  </si>
  <si>
    <t>[CCC06104]</t>
  </si>
  <si>
    <t>PRESTAÇÃO DE SERVIÇOS UFVs (DIAMANTINA 1)  NF 732</t>
  </si>
  <si>
    <t>Pagamento de medição, referente aos serviços e mão de obra prestados na usina. REAJUSTE DE CONTRATO . ENVIADO POR MANOEL</t>
  </si>
  <si>
    <t>[CCC06105]</t>
  </si>
  <si>
    <t>002783</t>
  </si>
  <si>
    <t>PRESTAÇÃO DE SERVIÇO UFVs (PARAGUAÇU 1) NF 1322</t>
  </si>
  <si>
    <t>Pagamento medição 2,  referente a prestação dos serviços de drenagem . ENVIADO POR RAFAEL</t>
  </si>
  <si>
    <t>[CCC06106]</t>
  </si>
  <si>
    <t>002784</t>
  </si>
  <si>
    <t>PRESTAÇÃO DE SERVIÇO UFV ( TRES CORAÇÕES 3)  NF 80</t>
  </si>
  <si>
    <t>[CCC06107]</t>
  </si>
  <si>
    <t>002785</t>
  </si>
  <si>
    <t>PRESTAÇÃO DE SERVIÇO UFV ( TRES CORAÇÕES 3) NF 81</t>
  </si>
  <si>
    <t>PRESTAÇÃO DE SERVIÇOS UFVs (MUZAMBINHO) NF  714</t>
  </si>
  <si>
    <t>Pagamento  medição 4, referente elaboração de planos,  necessários a construção das UFVs, em contrato EPC.   - ENVIADO POR RAFAEL</t>
  </si>
  <si>
    <t>[CCC06108]</t>
  </si>
  <si>
    <t>PRESTAÇÃO DE SERVIÇO UFV ( PASSOS 4)  NF 78</t>
  </si>
  <si>
    <t>Pagamento medição 1,  referente a prestação dos serviços de drenagem . ENVIADO POR AUGUSTO</t>
  </si>
  <si>
    <t>[CCC06109]</t>
  </si>
  <si>
    <t>PRESTAÇÃO DE SERVIÇO UFV ( PASSOS 4)  NF 79</t>
  </si>
  <si>
    <t>003509</t>
  </si>
  <si>
    <t>PRESTAÇÃO DE SERVIÇOS UFVs ( JABOTICATUBAS)  NF 735</t>
  </si>
  <si>
    <t>Pagamento  medição, referente ao aditivo do serviço de correções na usina, reparação danos causados pela chuva, ENVIADO POR MANOEL</t>
  </si>
  <si>
    <t>[CCC06110]</t>
  </si>
  <si>
    <t>PRESTAÇÃO DE SERVIÇO UFV ( PARAGUAÇU 1) NF 795</t>
  </si>
  <si>
    <t xml:space="preserve">Pagamento  medição 7, referente a mão de obra  necessária para a construção das UFVs, em contrato EPC.  - ENVIADO POR RAFAEL </t>
  </si>
  <si>
    <t>[CCC06111]</t>
  </si>
  <si>
    <t>PRESTAÇÃO DE SERVIÇO UFV ( PARAGUAÇU 1) NF 796</t>
  </si>
  <si>
    <t>Pagamento  medição 7, referente elaboração de planos,  necessários a construção das UFVs, em contrato EPC.   - ENVIADO POR RAFAEL</t>
  </si>
  <si>
    <t>002792</t>
  </si>
  <si>
    <t>PRESTAÇÃO DE SERVIÇOS UFVs (OURO FINO 2 )  NF 596</t>
  </si>
  <si>
    <t>Pagamento de medição 4, referente a terraplanagem, necessário a construção da usina . CONTRATO OUROPAV ENVIADO POR RAFAEL</t>
  </si>
  <si>
    <t>[CCC06112]</t>
  </si>
  <si>
    <t>PRESTAÇÃO DE SERVIÇO UFV ( CAMPO BELO1) NF 797</t>
  </si>
  <si>
    <t xml:space="preserve">Pagamento  medição 9, referente a mão de obra  necessária para a construção das UFVs, em contrato EPC.  - ENVIADO POR RAFAEL </t>
  </si>
  <si>
    <t>[CCC06113]</t>
  </si>
  <si>
    <t>PRESTAÇÃO DE SERVIÇO UFV (CAMPO BELO1) NF 798</t>
  </si>
  <si>
    <t>Pagamento  medição 9, referente elaboração de planos,  necessários a construção das UFVs, em contrato EPC.   - ENVIADO POR RAFAEL</t>
  </si>
  <si>
    <t>002796</t>
  </si>
  <si>
    <t>PRFESTAÇÃO DE SERVIÇOS UFVs ( SANTO ANTONIO DO AMPARO 1 ) NF 449</t>
  </si>
  <si>
    <t xml:space="preserve">Pagamento medição 2, referente a prestação dos serviços de drenagem. ENVIADO POR RAFAEL </t>
  </si>
  <si>
    <t>[CCC06114]</t>
  </si>
  <si>
    <t>002797</t>
  </si>
  <si>
    <t>PRESTAÇÃO DE SERVIÇO UFV ( OURO FINO 2 ) NF 802</t>
  </si>
  <si>
    <t xml:space="preserve">Pagamento  medição 4, referente a mão de obra  necessária para a construção das UFVs, em contrato EPC.  - ENVIADO POR RAFAEL </t>
  </si>
  <si>
    <t>[CCC06115]</t>
  </si>
  <si>
    <t>PRESTAÇÃO DE SERVIÇO UFV ( OURO FINO 2 ) NF 803</t>
  </si>
  <si>
    <t>002799</t>
  </si>
  <si>
    <t>PRESTAÇÃO DE SERVIÇO UFV (  MUZAMBINHO) NF 799</t>
  </si>
  <si>
    <t xml:space="preserve">Pagamento  medição 6, referente a mão de obra  necessária para a construção das UFVs, em contrato EPC.  - ENVIADO POR RAFAEL </t>
  </si>
  <si>
    <t>[CCC06116]</t>
  </si>
  <si>
    <t>PRESTAÇÃO DE SERVIÇO UFV (  MUZAMBINHO) NF 800</t>
  </si>
  <si>
    <t>Pagamento  medição 6, referente elaboração de planos,  necessários a construção das UFVs, em contrato EPC.   - ENVIADO POR RAFAEL</t>
  </si>
  <si>
    <t>003510</t>
  </si>
  <si>
    <t>COMPRA DE MATERIAIS UFVs (SÃO SEBASTIÃO DO OESTE 0) NF 1147  W.A.S COMERCIAL</t>
  </si>
  <si>
    <t>Pagamento em faturamento direto referente a compra de materiais. ENVIADO POR ENGELUZ</t>
  </si>
  <si>
    <t>[CCC06117]</t>
  </si>
  <si>
    <t>003511</t>
  </si>
  <si>
    <t>COMPRA DE MATERIAIS UFVs (SÃO SEBASTIÃO DO OESTE 0) NF 9137 ZETA POSTES</t>
  </si>
  <si>
    <t>003512</t>
  </si>
  <si>
    <t>COMPRA DE MATERIAIS UFVs (SÃO SEBASTIÃO DO OESTE 0) NF 9138 ZETA POSTES</t>
  </si>
  <si>
    <t>003513</t>
  </si>
  <si>
    <t>COMPRA DE MATERIAIS UFVs (SÃO SEBASTIÃO DO OESTE 0) NF 507364  LOJA ELETRICA</t>
  </si>
  <si>
    <t>003516</t>
  </si>
  <si>
    <t>COMPRA DE MATERIAIS UFVs (SÃO SEBASTIÃO DO OESTE 0) NF 507365  LOJA ELETRICA</t>
  </si>
  <si>
    <t>003517</t>
  </si>
  <si>
    <t>COMPRA DE MATERIAIS UFVs (SÃO SEBASTIÃO DO OESTE 0) NF 507373  LOJA ELETRICA</t>
  </si>
  <si>
    <t>003518</t>
  </si>
  <si>
    <t>COMPRA DE MATERIAIS UFVs (SÃO SEBASTIÃO DO OESTE 0) NF 507375  LOJA ELETRICA</t>
  </si>
  <si>
    <t>003514</t>
  </si>
  <si>
    <t>PRESTAÇÃO DE SERVIÇO UFV (  PARACATU 4) NF 29148</t>
  </si>
  <si>
    <t>Pagamento medição 1, referente a prestação de serviços de mão de obra. ENVIAO POR WENDEL</t>
  </si>
  <si>
    <t>[CCC06118]</t>
  </si>
  <si>
    <t>003515</t>
  </si>
  <si>
    <t>PRESTAÇÃO DE SERVIÇO UFV (  PARACATU 5) NF 29149</t>
  </si>
  <si>
    <t>001805</t>
  </si>
  <si>
    <t>PRESTAÇÃO DE SERVIÇOS UFVs (FORMIGA 6) NF 793</t>
  </si>
  <si>
    <t>[CCC06119]</t>
  </si>
  <si>
    <t>PRESTAÇÃO DE SERVIÇOS UFVs (FORMIGA 6) NF 794</t>
  </si>
  <si>
    <t>COMPRA DE MATERIAIS UFVs (PATOS DE MINAS 3) NF 65346 R&amp;S COMERCIO</t>
  </si>
  <si>
    <t>Pagamento em faturamento direto referente a comrpa de EPI's. ENVIADO POR  GILSON</t>
  </si>
  <si>
    <t>[CCC06120]</t>
  </si>
  <si>
    <t>Fat. Direto EPC ( GLD)</t>
  </si>
  <si>
    <t>COMPRA DE MATERIAIS UFVs (PARAGUAÇU 1) NF 6115 NOVA MORADA</t>
  </si>
  <si>
    <t>Pagamento referente ao faturamento direto para compra de materiais referente a construção do office . ENVIADO POR RAFAEL</t>
  </si>
  <si>
    <t>[CCC06121]</t>
  </si>
  <si>
    <t>Fat Direto (MBA-MT)</t>
  </si>
  <si>
    <t>COMPRA DE MATERIAIS UFVs (OURO FINO 2) NF 29377  EXPONENCIAL</t>
  </si>
  <si>
    <t>Pagamento em faturamento direto referente a comrpa de materiais. ENVIADO POR  MBA</t>
  </si>
  <si>
    <t>[CCC06122]</t>
  </si>
  <si>
    <t>MEDIÇÃO ( CONSPLAN)</t>
  </si>
  <si>
    <t xml:space="preserve">PRESTAÇÃO DE SERVIÇOS UFVs (DIAMANTINA 1) NF 145 </t>
  </si>
  <si>
    <t>Pagamento de medição referente a 20% do valor total, prestação dos serviços de drenagem . ENVIADO POR MANOEL</t>
  </si>
  <si>
    <t>[CCC06123]</t>
  </si>
  <si>
    <t>CONSPLAN</t>
  </si>
  <si>
    <t>7001 - CONSORCIO MORI GERAÇÃO III</t>
  </si>
  <si>
    <t xml:space="preserve">DAE - Dispensa  de Licenciamento ambiental UFVs(POUSO ALEGRE 1) N 2901327657412  </t>
  </si>
  <si>
    <t>Taxa necessária à avaliação de intervenção ambiental para a UFV.  LENHA - ENVIADO POR TIAGO ROERTO</t>
  </si>
  <si>
    <t>[CCC06124]</t>
  </si>
  <si>
    <t xml:space="preserve">DAE - Dispensa  de Licenciamento ambiental UFVs(POUSO ALEGRE 1) N 2901327657820  </t>
  </si>
  <si>
    <t>Taxa necessária à avaliação de intervenção ambiental para a UFV.  MADEIRA - ENVIADO POR TIAGO ROBERTO</t>
  </si>
  <si>
    <t>DAE - Dispensa  de Licenciamento ambiental UFVs(POUSO ALEGRE 1) N 1401327656493</t>
  </si>
  <si>
    <t>Taxa necessária à avaliação de intervenção ambiental para a UFV.  TAXA DE ANALISE - ENVIADO POR TIAGO ROBERTO</t>
  </si>
  <si>
    <t>PRESTAÇÃO DE SERVIÇOS UFVs (FORMIGA 6) NF 333</t>
  </si>
  <si>
    <t>[CCC06125]</t>
  </si>
  <si>
    <t>003528</t>
  </si>
  <si>
    <t>PRESTAÇÃO DE SERVIÇOS UFVs (PEDRA DO INDAIA 5) NF 333</t>
  </si>
  <si>
    <t>003529</t>
  </si>
  <si>
    <t>PRESTAÇÃO DE SERVIÇOS UFVs (PAINS 3) NF 332</t>
  </si>
  <si>
    <t>003521</t>
  </si>
  <si>
    <t>PRESTAÇÃO DE SERVIÇOS UFVs (PARACATU 4) NF 71</t>
  </si>
  <si>
    <t>Pagamento de medição referente a prestação de serviço de terraplanagem. ENVIADO POR WENDEL</t>
  </si>
  <si>
    <t>[CCC06126]</t>
  </si>
  <si>
    <t>003522</t>
  </si>
  <si>
    <t>Fat. Direto (ORCI)</t>
  </si>
  <si>
    <t>PRESTAÇÃO DE SERVIÇOS UFVs (PARACATU 4) NF 50 COSTEER</t>
  </si>
  <si>
    <t>Pagamento de medição referente a locação de equipamentos. ENVIADO POR WENDEL</t>
  </si>
  <si>
    <t>003523</t>
  </si>
  <si>
    <t>PRESTAÇÃO DE SERVIÇOS UFVs (PARACATU 4) NF 72</t>
  </si>
  <si>
    <t>Pagamento de medição referente a prestação de serviço de drenagem. ENVIADO POR WENDEL</t>
  </si>
  <si>
    <t>[CCC06127]</t>
  </si>
  <si>
    <t>003524</t>
  </si>
  <si>
    <t>PRESTAÇÃO DE SERVIÇOS UFVs (PARACATU 4) NF 51 COSTEER</t>
  </si>
  <si>
    <t>003525</t>
  </si>
  <si>
    <t>PRESTAÇÃO DE SERVIÇOS UFVs (PARACATU 5) NF 73</t>
  </si>
  <si>
    <t>[CCC06128]</t>
  </si>
  <si>
    <t>003526</t>
  </si>
  <si>
    <t>PRESTAÇÃO DE SERVIÇOS UFVs (PARACATU 5) NF 52 COSTEER</t>
  </si>
  <si>
    <t>Fat Direto EPC (IMPLANTAR)</t>
  </si>
  <si>
    <t>PRESTAÇÃO DE SERVIÇOS UFVs (PATOS DE MINAS 3) NF 2865 MBA</t>
  </si>
  <si>
    <t>Pagamento de medição referente a prestação de serviço de obra civil. ENVIADO POR GILSON</t>
  </si>
  <si>
    <t>[CCC06129]</t>
  </si>
  <si>
    <t>PRESTAÇÃO DE SERVIÇOS UFVs (PATOS DE MINAS 3) NF 2866 MBA</t>
  </si>
  <si>
    <t>[CCC06130]</t>
  </si>
  <si>
    <t>PRESTAÇÃO DE SERVIÇOS UFVs (PATOS DE MINAS 1) NF 2864 MBA</t>
  </si>
  <si>
    <t>[CCC06131]</t>
  </si>
  <si>
    <t>002805</t>
  </si>
  <si>
    <t xml:space="preserve">PRESTAÇÃO DE SERVIÇOS UFVs (CAMPO BELO 1) NF 2 </t>
  </si>
  <si>
    <t>Pagamento  medição 4, referente a prestação de serviços de drenagem. ENVIADO POR RAFAEL</t>
  </si>
  <si>
    <t>[CCC06132]</t>
  </si>
  <si>
    <t>PRESTAÇÃO DE SERVIÇOS UFVs (CAMPO BELO 2) NF 3</t>
  </si>
  <si>
    <t>Pagamento de medição 4, referente a prestação de serviços de drenagem. ENVIADO POR RAFAEL</t>
  </si>
  <si>
    <t>PRESTAÇÃO DE SERVIÇOS UFVs (ALFENAS 4) NF 334</t>
  </si>
  <si>
    <t>Pagamento de medição 2, referente a prestação de serviços de drenagem. ENVIADO POR RAFAEL</t>
  </si>
  <si>
    <t>[CCC06133]</t>
  </si>
  <si>
    <t>AQ01 - MORI SALINAS GERACAO S.A</t>
  </si>
  <si>
    <t>Medição (ATI)</t>
  </si>
  <si>
    <t>PRESTAÇÃO DE SERVIÇO UFVs (SALINAS) NF 643</t>
  </si>
  <si>
    <t>[CCC06134]</t>
  </si>
  <si>
    <t>PRESTAÇÃO DE SERVIÇO UFVs (SALINAS) NF 644</t>
  </si>
  <si>
    <t>Pagamento de medição referente a licenca de utilizacao do sistema SGD. ENVIADO POR ATI</t>
  </si>
  <si>
    <t>PRESTAÇÃO DE SERVIÇO UFVs (SALINAS) NF 645</t>
  </si>
  <si>
    <t>Pagamento de medição referente ao comissionamento remoto. ENVIADO POR ATI</t>
  </si>
  <si>
    <t>003530</t>
  </si>
  <si>
    <t>PRESTAÇÃO DE SERVIÇO UFVs (DIVINOPOLIS 1) NF 646</t>
  </si>
  <si>
    <t>003531</t>
  </si>
  <si>
    <t>PRESTAÇÃO DE SERVIÇO UFVs (DIVINOPOLIS 3) NF 648</t>
  </si>
  <si>
    <t>PRESTAÇÃO DE SERVIÇO UFVs (SÃO SEBASTIÃO DO OESTE 3) NF  33 JULIANO AUGUSTO</t>
  </si>
  <si>
    <t>Pagamento de serviço referente a limpeza, escopo Comerc. ENVIADO POR RODRIGO</t>
  </si>
  <si>
    <t>[CCC06135]</t>
  </si>
  <si>
    <t>PRESTAÇÃO DE SERVIÇO UFVs (SÃO SEBASTIÃO DO OESTE 1) NF  32 JULIANO AUGUSTO</t>
  </si>
  <si>
    <t>PRESTAÇÃO DE SERVIÇOS UFVs (PATROCINIO 2) NF 122</t>
  </si>
  <si>
    <t xml:space="preserve">Pagamento de 3º medição referente a serviços eletromecânicos, necessário à construção da UFVs. SOLICITADO POR SM GILSON </t>
  </si>
  <si>
    <t>[CCC06136]</t>
  </si>
  <si>
    <t>PRESTAÇÃO DE SERVIÇOS UFVs (PATROCINIO 3) NF 123</t>
  </si>
  <si>
    <t>MEDIÇÃO (EPC-IMPLANTAR)</t>
  </si>
  <si>
    <t>PRESTAÇÃO DE SERVIÇOS UFVs (PATOS DE MINAS 7) NF 737</t>
  </si>
  <si>
    <t>Pagamento de medição 3 referente aos serviços de mão de obra, necessários a construção da usina. ENVIADO POR GILSON</t>
  </si>
  <si>
    <t>[CCC06137]</t>
  </si>
  <si>
    <t>PRESTAÇÃO DE SERVIÇOS UFVs (PATOS DE MINAS 8) NF 736</t>
  </si>
  <si>
    <t>[CCC06138]</t>
  </si>
  <si>
    <t>PRESTAÇÃO DE SERVIÇOS UFVs (DIAMANTINA 1) NF 130</t>
  </si>
  <si>
    <t>Pagamento de medição referenre ao serviço de supressão vegetal. ENVIADO POR GUILHERME</t>
  </si>
  <si>
    <t>[CCC06139]</t>
  </si>
  <si>
    <t>PRESTAÇÃO DE SERVIÇOS UFVs (DIAMANTINA 2) NF 132</t>
  </si>
  <si>
    <t>MEDIÇÃO ( EPC - GTEL)</t>
  </si>
  <si>
    <t>PRESTAÇÃO DE SERVIÇOS UFVs (PASSOS 4) NF 29717</t>
  </si>
  <si>
    <t>Pagamento referente a prestação de serviços ADICIONAIS para a fundação das hastes dos trackers. ENVIADO POR  AUGUSTO</t>
  </si>
  <si>
    <t>[CCC06140]</t>
  </si>
  <si>
    <t>003535</t>
  </si>
  <si>
    <t>PRESTAÇÃO DE SERVIÇOS UFVs ( SÃO SEBASTIÃO DO OESTE 6) NF 29172</t>
  </si>
  <si>
    <t>003536</t>
  </si>
  <si>
    <t>PRESTAÇÃO DE SERVIÇOS UFVs ( DIVINOPOLIS 1) NF 29170</t>
  </si>
  <si>
    <t>PRESTAÇÃO DE SERVIÇOS - USINAS CICLO 3   NOTA DE DEBITO  N 44//2023</t>
  </si>
  <si>
    <t>Pagamento referente a assessoria e consultoria fundiária em prospecções de terrenos e contratos. DEZEMBRO/ 2023 - ENVIADO POR LEONARDO NASSER -  1° QUINZENA</t>
  </si>
  <si>
    <t>[CCC06141]</t>
  </si>
  <si>
    <t>PRESTAÇÃO DE SERVIÇOS UFVs (CAMPO BELO 5) NF  2675  CORTE REAL</t>
  </si>
  <si>
    <t>Pagamento referente a prestação de serviço linha viva. ESCOPO COMERC -  ENVIADO POR GUILHERME</t>
  </si>
  <si>
    <t>[CCC06142]</t>
  </si>
  <si>
    <t>CORTE REAL</t>
  </si>
  <si>
    <t>PRESTAÇÃO DE SERVIÇOS UFVs (BARRA DO CHOÇA 1) RENOVA NF 316</t>
  </si>
  <si>
    <t>Pagamento referente  a mobilização para atividade de autorização de intervençpão para supressão vegetal nativa . ENVIADO POR LETICIA SILVA</t>
  </si>
  <si>
    <t>[CCC06143]</t>
  </si>
  <si>
    <t>RENOVA</t>
  </si>
  <si>
    <t>PRESTAÇÃO DE SERVIÇOS UFVs (BARRA DO CHOÇA 2) RENOVA NF 317</t>
  </si>
  <si>
    <t>PRESTAÇÃO DE SERVIÇOS UFVs (BARRA DO CHOÇA 3) RENOVA NF 318</t>
  </si>
  <si>
    <t>PRESTAÇÃO DE SERVIÇOS UFVs (BARRA DO CHOÇA 4) RENOVA NF 319</t>
  </si>
  <si>
    <t>PRESTAÇÃO DE SERVIÇOS UFVs (ITORORÓ) RENOVA NF 320</t>
  </si>
  <si>
    <t>PRESTAÇÃO DE SERVIÇOS UFVs (JOÃO DOURADO) RENOVA NF 321</t>
  </si>
  <si>
    <t>PRESTAÇÃO DE SERVIÇOS UFVs (ALCOBAÇA) RENOVA NF 322</t>
  </si>
  <si>
    <t>PRESTAÇÃO DE SERVIÇOS UFVs (GUANAMBI 3) RENOVA NF 323</t>
  </si>
  <si>
    <t>PRESTAÇÃO DE SERVIÇOS UFVs (BARRA DA ESTIVA 1) RENOVA NF 324</t>
  </si>
  <si>
    <t>PRESTAÇÃO DE SERVIÇOS UFVs (IBIPEBA 1) RENOVA NF 325</t>
  </si>
  <si>
    <t>PRESTAÇÃO DE SERVIÇOS UFVs (IBIPEBA 3) RENOVA NF 326</t>
  </si>
  <si>
    <t>PRESTAÇÃO DE SERVIÇOS UFVs (IBIPEBA NICOLAU) RENOVA NF 327</t>
  </si>
  <si>
    <t>PRESTAÇÃO DE SERVIÇOS UFVs (IRAQUARA 1) RENOVA NF 328</t>
  </si>
  <si>
    <t>PRESTAÇÃO DE SERVIÇOS UFVs (MUCUGÊ 1) RENOVA NF 329</t>
  </si>
  <si>
    <t>PRESTAÇÃO DE SERVIÇOS UFVs (POSTO DA MATA 1) RENOVA NF 330</t>
  </si>
  <si>
    <t>PRESTAÇÃO DE SERVIÇOS UFVs (POSTO DA MATA 2) RENOVA NF 331</t>
  </si>
  <si>
    <t>PRESTAÇÃO DE SERVIÇOS UFVs (PRES. JANIO QUADROS) RENOVA NF 332</t>
  </si>
  <si>
    <t>PRESTAÇÃO DE SERVIÇOS UFVs (PRES. JANIO QUADROS 1) RENOVA NF 333</t>
  </si>
  <si>
    <t>PRESTAÇÃO DE SERVIÇOS UFVs (PRES. JANIO QUADROS 2) RENOVA NF 334</t>
  </si>
  <si>
    <t>PRESTAÇÃO DE SERVIÇOS UFVs (URANDI) RENOVA NF 335</t>
  </si>
  <si>
    <t xml:space="preserve">Pagamento referente a assessoria e consultoria fundiária em prospecções de terrenos e contratos. NOVEMBRO/ 2023 - ENVIADO POR LEONARDO NASSER  -  1° QUINZENA </t>
  </si>
  <si>
    <t>[CCC06144]</t>
  </si>
  <si>
    <t>PRESTAÇÃO DE SERVIÇOS - USINAS CICLO 3   NOTA DE DEBITO  N 45//2023</t>
  </si>
  <si>
    <t xml:space="preserve">Pagamento referente a assessoria e consultoria fundiária em prospecções de terrenos e contratos. NOVEMBRO/ 2023 - ENVIADO POR LEONARDO NASSER  -  2° QUINZENA </t>
  </si>
  <si>
    <t>003537</t>
  </si>
  <si>
    <t>MEDIÇÃO (GTEL)</t>
  </si>
  <si>
    <t>PRESTAÇÃO DE SERVIÇOS UFVs (DIVINOPOLIS 1) NF 29157</t>
  </si>
  <si>
    <t>Pagamento de medição referente ao fornecimento de materiais e mão de obra especializa para serviços de instalação eletromecanica. ENVIADO POR AUGUSTO</t>
  </si>
  <si>
    <t>[CCC06145]</t>
  </si>
  <si>
    <t>003538</t>
  </si>
  <si>
    <t>PRESTAÇÃO DE SERVIÇOS UFVs (SÃO SEBASTIÃO DO OESTE 0) NF 29158</t>
  </si>
  <si>
    <t>003539</t>
  </si>
  <si>
    <t>PRESTAÇÃO DE SERVIÇOS UFVs (PAINS 3) NF 29159</t>
  </si>
  <si>
    <t>PRESTAÇÃO DE SERVIÇOS UFVs (SÃO SEBASTIÃO DO OESTE 4) NF 29160</t>
  </si>
  <si>
    <t>003540</t>
  </si>
  <si>
    <t>PRESTAÇÃO DE SERVIÇOS UFVs (SÃO SEBASTIÃO DO OESTE 6) NF 29161</t>
  </si>
  <si>
    <t>PRESTAÇÃO DE SERVIÇOS UFVs (PASSOS 4) NF 29163</t>
  </si>
  <si>
    <t>SERVIÇOS PRESTADOS DE CONSULTORIA EM CONTRATOS -  DELOITTE     NF 360</t>
  </si>
  <si>
    <t>Pagamento referente a medição mão de obra contrato DELOITTE ,  necessário à construção da UFV em contrato EPC . MEDIÇÃO 16 - ENVIADO POR DELOITTE</t>
  </si>
  <si>
    <t>[CCC06146]</t>
  </si>
  <si>
    <t>SERVIÇOS PRESTADOS DE CONSULTORIA EM CONTRATOS -  DELOITTE     NF 361</t>
  </si>
  <si>
    <t>SERVIÇOS PRESTADOS DE CONSULTORIA EM CONTRATOS -  DELOITTE     NF 362</t>
  </si>
  <si>
    <t>003541</t>
  </si>
  <si>
    <t>SERVIÇOS PRESTADOS DE CONSULTORIA EM CONTRATOS -  DELOITTE     NF 363</t>
  </si>
  <si>
    <t>003544</t>
  </si>
  <si>
    <t>COMPRA DE MATERIAIS UFVs (DIVINOPOLIS 1) ATI NF 2475</t>
  </si>
  <si>
    <t xml:space="preserve">Pagamento referente a compra de materiais. **NOTA DE REMESSA, NÃO GERA FINANCEIRO. APENAS ESCRITURAR** </t>
  </si>
  <si>
    <t>[CCC06147]</t>
  </si>
  <si>
    <t>*NOTA DE REMESSA, APENAS ESCRITURAR*</t>
  </si>
  <si>
    <t>003545</t>
  </si>
  <si>
    <t>COMPRA DE MATERIAIS UFVs (DIVINOPOLIS 1) ATI NF 2476</t>
  </si>
  <si>
    <t>003546</t>
  </si>
  <si>
    <t>COMPRA DE MATERIAIS UFVs (DIVINOPOLIS 3) ATI NF 2477</t>
  </si>
  <si>
    <t>003547</t>
  </si>
  <si>
    <t>COMPRA DE MATERIAIS UFVs (DIVINOPOLIS 3) ATI NF 2478</t>
  </si>
  <si>
    <t>003548</t>
  </si>
  <si>
    <t>COMPRA DE MATERIAIS UFVs (SÃO SEBASTIÃO DO OESTE 6) ATI NF 2484</t>
  </si>
  <si>
    <t>003549</t>
  </si>
  <si>
    <t>COMPRA DE MATERIAIS UFVs (SÃO SEBASTIÃO DO OESTE 6) ATI NF 2485</t>
  </si>
  <si>
    <t>COMPRA DE MATERIAIS UFVs (PATROCINIO 3) ATI NF 2486</t>
  </si>
  <si>
    <t>002674</t>
  </si>
  <si>
    <t>COMPRA DE MATERIAIS UFVs (PATROCINIO 3) ATI NF 2487</t>
  </si>
  <si>
    <t>COMPRA DE MATERIAIS UFVs (PATROCINIO 2) ATI NF 2488</t>
  </si>
  <si>
    <t>COMPRA DE MATERIAIS UFVs (PATROCINIO 2) ATI NF 2489</t>
  </si>
  <si>
    <t>COMPRA DE MATERIAIS UFVs (PATOS DE MINAS 7) ATI NF 2490</t>
  </si>
  <si>
    <t>COMPRA DE MATERIAIS UFVs (PATOS DE MINAS 7) ATI NF 2491</t>
  </si>
  <si>
    <t>002679</t>
  </si>
  <si>
    <t>COMPRA DE MATERIAIS UFVs (PATOS DE MINAS 1) ATI NF 2492</t>
  </si>
  <si>
    <t>002680</t>
  </si>
  <si>
    <t>COMPRA DE MATERIAIS UFVs (PATOS DE MINAS 1) ATI NF 2493</t>
  </si>
  <si>
    <t>002681</t>
  </si>
  <si>
    <t>COMPRA DE MATERIAIS UFVs (PATOS DE MINAS 8) ATI NF 2494</t>
  </si>
  <si>
    <t>002682</t>
  </si>
  <si>
    <t>COMPRA DE MATERIAIS UFVs (PATOS DE MINAS 8) ATI NF 2495</t>
  </si>
  <si>
    <t>PRESTAÇÃO DE SERVIÇOS - USINAS CICLO 3  NF 120  NOGUEIRA TOPOGRAF</t>
  </si>
  <si>
    <t>Pagamento referente a prestação de serviços de engenharia de agrimensura. ENVIADO POR LEONARDO</t>
  </si>
  <si>
    <t>[CCC06148]</t>
  </si>
  <si>
    <t xml:space="preserve"> NOGUEIRA TOPOGRAF</t>
  </si>
  <si>
    <t>PRESTAÇÃO DE SERVIÇOS UFVs ( ARCOS 7) NF 428 ANDRADE PINHEIRO ENGECON</t>
  </si>
  <si>
    <t>Pagamento  última medição, referente ao serviço de EXCECUÇÃO DO PROJETO DE DRENAGEM SUPERFICIAL, necessário a construção da usina. ENVIADO POR SM AUGUSTO SIQUEIRA</t>
  </si>
  <si>
    <t>[CCC06149]</t>
  </si>
  <si>
    <t>CONSTRUMANAGER -    12/2023   NF 311088</t>
  </si>
  <si>
    <t>[CCC06150]</t>
  </si>
  <si>
    <t>003555</t>
  </si>
  <si>
    <t xml:space="preserve">DAE - Dispensa  de Licenciamento ambiental UFVs (PARACATU 4) N 4500035862751
</t>
  </si>
  <si>
    <t>[CCC06151]</t>
  </si>
  <si>
    <t>003557</t>
  </si>
  <si>
    <t xml:space="preserve">DAE - Dispensa  de Licenciamento ambiental UFVs (PARACATU 5) N 4500035863251
</t>
  </si>
  <si>
    <t>003556</t>
  </si>
  <si>
    <t>PRESTAÇÃO DE SERVIÇOS UFVs ( DIVINOPOLIS 3 ) NF 01</t>
  </si>
  <si>
    <t>[CCC06152]</t>
  </si>
  <si>
    <t>PRESTAÇÃO DE SERVIÇOS UFVs (VARGINHA 1) NF 774</t>
  </si>
  <si>
    <t>Pagamento medição 3  aditivo drenagem, referente a prestação de serviço de mão de obra, necessário à construção da UFVs. - ENVIADO POR RAFAEL</t>
  </si>
  <si>
    <t>[CCC06153]</t>
  </si>
  <si>
    <t>PRESTAÇÃO DE SERVIÇOS UFVs (VARGINHA 1) NF 775</t>
  </si>
  <si>
    <t>Pagamento medição 3 aditivo drenagem, referente a elaboração de planos, necessário à construção da UFVs. - ENVIADO POR RAFAEL</t>
  </si>
  <si>
    <t>PRESTAÇÃO DE SERVIÇOS UFVs (SÃO SEBASTIÃO DO OESTE 4) NF 10986  CIMENTÃO</t>
  </si>
  <si>
    <t>Pagamento em faturamento direto referente ao fornecimento de concreto. ENVIADO POR AUGUSTO</t>
  </si>
  <si>
    <t>[CCC06154]</t>
  </si>
  <si>
    <t>003572</t>
  </si>
  <si>
    <t>PRESTAÇÃO DE SERVIÇO UFVS (SÃO SEBASTIÃO DO OESTE 0) NF 550</t>
  </si>
  <si>
    <t>Pagamento de medição referente a serviço de mão de obra especializada na construção de RDR. ENVIADO POR ENGELUZ</t>
  </si>
  <si>
    <t>[CCC06155]</t>
  </si>
  <si>
    <t>PRESTAÇÃO DE SERVIÇO UFVS (MUZAMBINHO) NF 549</t>
  </si>
  <si>
    <t>[CCC06156]</t>
  </si>
  <si>
    <t>002829</t>
  </si>
  <si>
    <t>PRESTAÇÃO DE SERVIÇO UFVS (PARAGUAÇU) NF 551</t>
  </si>
  <si>
    <t>[CCC06157]</t>
  </si>
  <si>
    <t>PRESTAÇÃO DE SERVIÇOS UFVs (FORMIGA 6) NF 791</t>
  </si>
  <si>
    <t>Pagamento medição 8, referente a prestação de serviço de mão de obra, necessário à construção da UFVs. - ENVIADO POR  AUGUSTO</t>
  </si>
  <si>
    <t>[CCC06158]</t>
  </si>
  <si>
    <t>PRESTAÇÃO DE SERVIÇOS UFVs (FORMIGA 6) NF 792</t>
  </si>
  <si>
    <t>Pagamento medição 8, referente a elaboração de planos, necessário à construção da UFVs. - ENVIADO POR AUGUSTO</t>
  </si>
  <si>
    <t>003559</t>
  </si>
  <si>
    <t>PRESTAÇÃO DE SERVIÇOS UFVs (BURITIZEIRO 1) NF 1074</t>
  </si>
  <si>
    <t>Pagamento de medição referente a serviços de construção de rede eletrica. ENVIADO POR DELTA</t>
  </si>
  <si>
    <t>[CCC06159]</t>
  </si>
  <si>
    <t>003560</t>
  </si>
  <si>
    <t>PRESTAÇÃO DE SERVIÇOS UFVs (BURITIZEIRO 2) NF 1075</t>
  </si>
  <si>
    <t>COMPRA DE MATERIAIS UFVs (CAMPO BELO 5) NF 2441</t>
  </si>
  <si>
    <t>[CCC06160]</t>
  </si>
  <si>
    <t>003566</t>
  </si>
  <si>
    <t>PRESTAÇÃO DE SERVIÇOS UFVs (DIVINOPOLIS 1) NF 550</t>
  </si>
  <si>
    <t>Pagamento de medição final referente ao serviço de drenagem. ENVIADO POR AUGUSTO</t>
  </si>
  <si>
    <t>[CCC06161]</t>
  </si>
  <si>
    <t>003567</t>
  </si>
  <si>
    <t>PRESTAÇÃO DE SERVIÇOS UFVs (DIVINOPOLIS 1) NF 558</t>
  </si>
  <si>
    <t>Pagamento de medição referente ao serviço de drenagem. ADITIVO - ENVIADO POR AUGUSTO</t>
  </si>
  <si>
    <t>[CCC06162]</t>
  </si>
  <si>
    <t>003568</t>
  </si>
  <si>
    <t>REGRHAN  PRESTAÇÃO DE SERVIÇOS  ESTRELA DO NORTE  NF 2257</t>
  </si>
  <si>
    <t>Pagamento referente aos serviços de assessoria , gestão e controle documental de terceiros, realizados pelo REGRHAN, necessários a construção das UFVs. ENVIADO POR REGRHAN - 12/23</t>
  </si>
  <si>
    <t>[CCC06163]</t>
  </si>
  <si>
    <t>REGRHAN  PRESTAÇÃO DE SERVIÇOS  MORI II  NF 2258</t>
  </si>
  <si>
    <t>REGRHAN  PRESTAÇÃO DE SERVIÇOS  MORI MINAS NEWCO IV  NF 2259</t>
  </si>
  <si>
    <t>REGRHAN  PRESTAÇÃO DE SERVIÇOS  MORI MINAS NEWCO V  NF 2260</t>
  </si>
  <si>
    <t>003569</t>
  </si>
  <si>
    <t>PRESTAÇÃO DE SERVIÇOS UFVs (PEDRA DO INDAIA 5) NF 804</t>
  </si>
  <si>
    <t xml:space="preserve">Pagamento de medição, referente a mão de obra , necessários a construção da UFVs, em contrato EPC.  65% - ENVIADO POR SM AUGUSTO </t>
  </si>
  <si>
    <t>[CCC06164]</t>
  </si>
  <si>
    <t>003570</t>
  </si>
  <si>
    <t>PRESTAÇÃO DE SERVIÇOS UFVs (PEDRA DO INDAIA 5) NF 805</t>
  </si>
  <si>
    <t>Pagamento de medição, referente elaboração de planos,  necessários a construção da UFVs, em contrato EPC.  35% - ENVIADO POR SM AUGUSTO</t>
  </si>
  <si>
    <t>003573</t>
  </si>
  <si>
    <t>PRESTAÇÃO DE SERVIÇOS UFVs  (SÃO SEBASTIÃO DO OESTE 6)  NORTE CONEXÃO NF 1711</t>
  </si>
  <si>
    <t>Pagamento referente a prestação do serviço de lançamento de fibra optica. ENVIADO POR ATI</t>
  </si>
  <si>
    <t>[CCC06165]</t>
  </si>
  <si>
    <t>Contrato ATI</t>
  </si>
  <si>
    <t>003574</t>
  </si>
  <si>
    <t>PRESTAÇÃO DE SERVIÇOS UFVs  (DIVINOPOLIS 1)  NORTE CONEXÃO NF 1712</t>
  </si>
  <si>
    <t>PRESTAÇÃO DE SERVIÇOS UFVs (VARJÃO DE MINAS 4) NF 808</t>
  </si>
  <si>
    <t xml:space="preserve">Pagamento de medição 7, referente a mão de obra , necessários a construção da UFVs, em contrato EPC.  65% - ENVIADO POR SM GILSON </t>
  </si>
  <si>
    <t>[CCC06166]</t>
  </si>
  <si>
    <t>PRESTAÇÃO DE SERVIÇOS UFVs (VARJÃO DE MINAS 4) NF 809</t>
  </si>
  <si>
    <t>Pagamento de medição 7, referente elaboração de planos,  necessários a construção da UFVs, em contrato EPC.  35% - ENVIADO POR SM GILSON</t>
  </si>
  <si>
    <t>PRESTAÇÃO DE SERVIÇOS UFVs (CAMPO BELO 1) NF 806</t>
  </si>
  <si>
    <t>Pagamento de medição 10, referente a mão de obra , necessários a construção da UFVs, em contrato EPC.  65% - ENVIADO POR SM RAFAEL</t>
  </si>
  <si>
    <t>[CCC06167]</t>
  </si>
  <si>
    <t>PRESTAÇÃO DE SERVIÇOS UFVs (CAMPO BELO 1) NF 807</t>
  </si>
  <si>
    <t>Pagamento de medição 10, referente elaboração de planos,  necessários a construção da UFVs, em contrato EPC.  35% - ENVIADO POR SM RAFAEL</t>
  </si>
  <si>
    <t>COMPRA DE MATERIAIS UFVs (DIAMANTINA 2) NF 21042 REAL D'AVILA</t>
  </si>
  <si>
    <t>[CCC06168]</t>
  </si>
  <si>
    <t>003578</t>
  </si>
  <si>
    <t>PRESTAÇÃO DE SERVIÇOS UFVs (BURITIZEIRO 1) RONDA PORTEIROS NF 1434</t>
  </si>
  <si>
    <t>Pagamento referente ao serviço de vigilância desarmada. ENVIADO POR MANOEL LIMA</t>
  </si>
  <si>
    <t>[CCC06169]</t>
  </si>
  <si>
    <t>003579</t>
  </si>
  <si>
    <t>PRESTAÇÃO DE SERVIÇOS UFVs (BURITIZEIRO 2) RONDA PORTEIROS NF 1435</t>
  </si>
  <si>
    <t>003580</t>
  </si>
  <si>
    <t>PRESTAÇÃO DE SERVIÇOS UFVs (INDAIABIRA 3) RONDA PORTEIROS NF 1453</t>
  </si>
  <si>
    <t>003581</t>
  </si>
  <si>
    <t>PRESTAÇÃO DE SERVIÇOS UFVs (INDAIABIRA 4) RONDA PORTEIROS NF 1454</t>
  </si>
  <si>
    <t>003582</t>
  </si>
  <si>
    <t>PRESTAÇÃO DE SERVIÇOS UFVs (JABOTICATUBAS) RONDA PORTEIROS NF 1457</t>
  </si>
  <si>
    <t>003583</t>
  </si>
  <si>
    <t>PRESTAÇÃO DE SERVIÇOS UFVs (SÃO SEBASTIÃO DO OESTE 6) NF 67</t>
  </si>
  <si>
    <t>Pagamento de medição referente ao serviço de instalacao de sistema de supervisao. ENVIADO POR ATI</t>
  </si>
  <si>
    <t>[CCC06170]</t>
  </si>
  <si>
    <t>003584</t>
  </si>
  <si>
    <t>PRESTAÇÃO DE SERVIÇOS UFVs (DIVINOPOLIS 3) NF 68</t>
  </si>
  <si>
    <t>PRESTAÇÃO DE SERVIÇOS UFVs (CAMPO BELO 3) NF 69</t>
  </si>
  <si>
    <t>PRESTAÇÃO DE SERVIÇOS UFVs (SÃO SEBASTIÃO DO OESTE 1) NF 70</t>
  </si>
  <si>
    <t>PRESTAÇÃO DE SERVIÇOS UFVs (VARGINHA 2) NF 71</t>
  </si>
  <si>
    <t>002708</t>
  </si>
  <si>
    <t>PRESTAÇÃO DE SERVIÇO UFVs (DIAMANTINA 2) NF 5109291 MOVITERRA</t>
  </si>
  <si>
    <t>Pagamento em faturamento direto referente a locação de equipamento para os serviços de terraplanagem. ENVIADO POR MANOEL LIMA</t>
  </si>
  <si>
    <t>[CCC06171]</t>
  </si>
  <si>
    <t>PRESTAÇÃO DE SERVIÇO UFVs (DIAMANTINA 2) NF 5 LOC CASTRO</t>
  </si>
  <si>
    <t>Fat. Direto  (MBA-MT)</t>
  </si>
  <si>
    <t>PRESTAÇÃO DE SERVIÇO UFVs ( CAMPO BELO 1) NF 577 GERALDO ALVES</t>
  </si>
  <si>
    <t>Pagamento em faturamento direto referente a elaboração de projeto asbuilt. ENVIADO POR MBA</t>
  </si>
  <si>
    <t>[CCC06172]</t>
  </si>
  <si>
    <t>GERALDO ALVES</t>
  </si>
  <si>
    <t>002851</t>
  </si>
  <si>
    <t>PRESTAÇÃO DE SERVIÇO UFVs ( ARCOS 7) NF 578</t>
  </si>
  <si>
    <t>Medição (RENOVO)</t>
  </si>
  <si>
    <t>PRESTÇÃO DE SERVIÇOS UFVs (SANTO ANTONIDO DO AMPARO 1) NF 452</t>
  </si>
  <si>
    <t>Pagamento de medição 3 referente ao serviço de drenagem. ENVIADO POR RAFAEL</t>
  </si>
  <si>
    <t>[CCC06173]</t>
  </si>
  <si>
    <t>Medição ( R&amp;M SOLAR)</t>
  </si>
  <si>
    <t>PRESTÇÃO DE SERVIÇOS UFVs (VARJÃO DE MINAS 4) NF 58</t>
  </si>
  <si>
    <t>Pagamento referente a medição final do serviço de drenagem. ENVIADO POR GILSON</t>
  </si>
  <si>
    <t>[CCC06174]</t>
  </si>
  <si>
    <t>Medição (ENGECON)</t>
  </si>
  <si>
    <t>PRESTAÇÃO DE SERVIÇOS UFVs (CAMPO BELO 5) NF 433</t>
  </si>
  <si>
    <t>[CCC06175]</t>
  </si>
  <si>
    <t>PRESTAÇÃO DE SERVIÇOS UFVs CICLO 3 GP SERVIÇOS  NF 281</t>
  </si>
  <si>
    <t>Pagamento referente ao serviço de assessoria e consultoria fundiária em prospecções de terrenos e contratos. ENVIADO POR LEONARDO.</t>
  </si>
  <si>
    <t>[CCC06176]</t>
  </si>
  <si>
    <t>GP SOLUÇÕES</t>
  </si>
  <si>
    <t>Al01 - UFV MORI DF 1 ENERGIA SOLAR S/A</t>
  </si>
  <si>
    <t>PRESTAÇÃO DE SERVIÇOS UFVs CICLO 3 NOGUEIRA TOPOGRAFIA NF 123</t>
  </si>
  <si>
    <t>Pagamento referente a prestação de serviços de engenharia de agrimensura compostos por levantamento planialtimétrico cadastral georreferenciado e fornecimento de plantas topográficas de áreas rurais e urbanas para fins de implantação de usinas solares fotovoltaicas. ENVIADO POR LEONARDO</t>
  </si>
  <si>
    <t>[CCC06177]</t>
  </si>
  <si>
    <t>PRESTAÇÃO DE SERVIÇOS UFVs CICLO 3 NOGUEIRA TOPOGRAFIA NF 125</t>
  </si>
  <si>
    <t>AH01 - UFV MORI BAHIA 1 ENERGIA SOLAR S/A</t>
  </si>
  <si>
    <t>PRESTAÇÃO DE SERVIÇOS UFVs CICLO 3 NOGUEIRA TOPOGRAFIA NF 126</t>
  </si>
  <si>
    <t>PRESTAÇÃO DE SERVIÇOS UFVs ( PATOS DE MINAS 8) NF 61</t>
  </si>
  <si>
    <t>[CCC06178]</t>
  </si>
  <si>
    <t>PRESTÇÃO DE SERVIÇOS UFVs (VARJÃO DE MINAS 4) NF 59</t>
  </si>
  <si>
    <t>Pagamento referente ao aditivo de serviço de drenagem. ENVIADO POR GILSON</t>
  </si>
  <si>
    <t>[CCC06179]</t>
  </si>
  <si>
    <t>PRESTÇÃO DE SERVIÇOS UFVs (VARJÃO DE MINAS 4) NF 60  RODRIGUES MACHADO</t>
  </si>
  <si>
    <t>Pagamento referente ao serviço de recuperação e compactação de taludes. ENVIADO POR GILSON</t>
  </si>
  <si>
    <t>[CCC06180]</t>
  </si>
  <si>
    <t>RODRIGUES MACHADO</t>
  </si>
  <si>
    <t>Medição (EGF)</t>
  </si>
  <si>
    <t>PRESTÇÃO DE SERVIÇOS UFVs (PATOS DE MINAS 4) NF 1409</t>
  </si>
  <si>
    <t>Pagamento de medição 2 referente ao serviço de drenagem. ENVIADO POR GILSON</t>
  </si>
  <si>
    <t>[CCC06181]</t>
  </si>
  <si>
    <t>002855</t>
  </si>
  <si>
    <t>Medição (MOSAICO)</t>
  </si>
  <si>
    <t>PRESTÇÃO DE SERVIÇOS UFVs (CAMPO BELO 1) NF 6</t>
  </si>
  <si>
    <t>Pagamento de medição referente ao serviço por empreitada global, com fornecimento de material, mão de obra e equipamentos.  ENVIADO POR RAFAEL</t>
  </si>
  <si>
    <t>[CCC06182]</t>
  </si>
  <si>
    <t>PRESTÇÃO DE SERVIÇOS UFVs (CAMPO BELO 2) NF 5</t>
  </si>
  <si>
    <t>[CCC06183]</t>
  </si>
  <si>
    <t>PRESTAÇÃO DE SERVIÇOS UFVs (LAGOA FORMOSA / PATROCINIO 1/ PATROCINIO 2) NF 50146  ATIVA LOCAÇÕES</t>
  </si>
  <si>
    <t>Pagamento referente a locação de modulos metalicos. ENVIADO POR GILSON</t>
  </si>
  <si>
    <t>[CCC06184]</t>
  </si>
  <si>
    <t>PRESTAÇÃO DE SERVIÇOS UFVs (CAMPO BELO 5) NF 811</t>
  </si>
  <si>
    <t>Pagamento de medição referente ao aditivo de remobilização, para termino das montagens das mesas de pré driling e retirada de rede CEMIG existente. ENVIADO POR RAFAEL</t>
  </si>
  <si>
    <t>[CCC06185]</t>
  </si>
  <si>
    <t xml:space="preserve">PRESTAÇÃO DE SERVIÇOS UFVs (CAMPO BELO 2) NF 810 </t>
  </si>
  <si>
    <t>Pagamento de medição referente ao aditivo de remobilização, para termino das montagens de trackers. ENVIADO POR RAFAEL</t>
  </si>
  <si>
    <t>PRESTAÇÃO DE SERVIÇOS UFVs (PATROCINIO 2) INOVAR NF 3</t>
  </si>
  <si>
    <t>Pagamento referente a locação de modulos metalicos.ENVIADO POR GILSON</t>
  </si>
  <si>
    <t>[CCC06186]</t>
  </si>
  <si>
    <t>002717</t>
  </si>
  <si>
    <t>PRESTAÇÃO DE SERVIÇOS UFVs (PATROCINIO 3) INOVAR NF 4</t>
  </si>
  <si>
    <t>PRESTAÇÃO DE SERVIÇOS UFVs (LAGOA FORMOSA) INOVAR NF 5</t>
  </si>
  <si>
    <t>PRESTAÇÃO DE SERVIÇOS UFVs ( DIVINOPOLIS 1)  3014188642</t>
  </si>
  <si>
    <t>Pagamento referente a despesa CEMIG . ENVIADO POR PEDRO NERY</t>
  </si>
  <si>
    <t>[CCC06187]</t>
  </si>
  <si>
    <t>PRESTAÇÃO DE SERVIÇOS UFVs ( DIVINOPOLIS 1)  3014188801</t>
  </si>
  <si>
    <t>00018</t>
  </si>
  <si>
    <t>PRESTAÇÃO DE SERVIÇOS UFVs ( DIVINOPOLIS 1)  3014188654  NOVEMBRO</t>
  </si>
  <si>
    <t xml:space="preserve">PRESTAÇÃO DE SERVIÇOS UFVs ( DIVINOPOLIS 2) 3014227696  </t>
  </si>
  <si>
    <t>PRESTAÇÃO DE SERVIÇOS UFVs ( DIVINOPOLIS 2)  3014227687</t>
  </si>
  <si>
    <t>PRESTAÇÃO DE SERVIÇOS UFVs ( DIVINOPOLIS 2)  3014227685</t>
  </si>
  <si>
    <t>PRESTAÇÃO DE SERVIÇOS UFVs ( DIVINOPOLIS 2)  3014188642</t>
  </si>
  <si>
    <t>002733</t>
  </si>
  <si>
    <t>PRESTAÇÃO DE SERVIÇOS UFVs ( PARACATU 8) NF 1474 RONDA PORTEIROS</t>
  </si>
  <si>
    <t>Pagamento referente ao serviços prestado de vigias noturnos e diurnos .ENVIADO POR RODRIGO</t>
  </si>
  <si>
    <t>[CCC06188]</t>
  </si>
  <si>
    <t>003596</t>
  </si>
  <si>
    <t>PRFESTAÇÃO DE SERVIÇOS UFVs ( JABOTICATUBAS) NF 453</t>
  </si>
  <si>
    <t xml:space="preserve">Pagamento medição 3, referente a prestação dos serviços de drenagem. ENVIADO POR MANOEL </t>
  </si>
  <si>
    <t>[CCC06189]</t>
  </si>
  <si>
    <t xml:space="preserve">RENOVO </t>
  </si>
  <si>
    <t xml:space="preserve"> COMPRA DE MATERIAIS UFVs (CAMPO BELO 2) NF 511550 LOJA ELETRICA</t>
  </si>
  <si>
    <t>Pagamenteo referente a compra de mateirias para usina. ENVIADO POR THAINA MBA</t>
  </si>
  <si>
    <t>[CCC06190]</t>
  </si>
  <si>
    <t>PRESTAÇÃO DE SERVIÇOS UFVs ( DIVINOPOLIS 1)  3014188654  DEZEMBRO</t>
  </si>
  <si>
    <t>[CCC06191]</t>
  </si>
  <si>
    <t>PRESTAÇÃO DE SERVIÇOS UFVs ( DIVINOPOLIS 1)  3014188642 DEZEMBRO</t>
  </si>
  <si>
    <t>PRESTAÇÃO DE SERVIÇOS UFVs ( DIVINOPOLIS 1) 3014188801 DEZEMBRO</t>
  </si>
  <si>
    <t>PRESTAÇÃO DE SERVIÇOS UFVs ( DIVINOPOLIS 2)  3014227685  DEZEMBRO</t>
  </si>
  <si>
    <t>PRESTAÇÃO DE SERVIÇOS UFVs ( DIVINOPOLIS 2)  3014227696 DEZEMBRO</t>
  </si>
  <si>
    <t>PRESTAÇÃO DE SERVIÇOS UFVs ( DIVINOPOLIS 2)  3014227687 DEZEMBRO</t>
  </si>
  <si>
    <t>Outros - Serviços à UFV (ROMAGNOLE)</t>
  </si>
  <si>
    <t>PRESTAÇÃO DE SERVIÇOS UFVs ( LAGOA FORMOSA)  NF 536</t>
  </si>
  <si>
    <t>Pagamento referente  ao serviço prestado ao transformador . ENVIADO POR ROMAGNOLE</t>
  </si>
  <si>
    <t>[CCC06192]</t>
  </si>
  <si>
    <t>COMPRA DE MATERIAIS UFVs (LAGOA FORMOSA)  NF217202</t>
  </si>
  <si>
    <t>COMPRA DE MATERIAIS UFVs (LAGOA FORMOSA)  NF217201</t>
  </si>
  <si>
    <t>COMPRA DE MATERIAIS UFVs ( LAGOA FORMOSA)  NF 217168</t>
  </si>
  <si>
    <t>PRESTAÇÃO DE SERVIÇOS UFVs (PATOS DE MINAS 7) NF 640 TRAMEL TRANSPORTES</t>
  </si>
  <si>
    <t>Pagamento referente so serviço de munk para descarregamento de transformador. ENVIADO POR GILSON</t>
  </si>
  <si>
    <t>[CCC06193]</t>
  </si>
  <si>
    <t>PRESTAÇÃO DE SERVIÇOS UFVs (CAMPO BELO 1) NF 50  PORTAL DOS POCOS</t>
  </si>
  <si>
    <t>Pagamento referente a locação de equipamentos. ENVIADO POR RAFAEL</t>
  </si>
  <si>
    <t>[CCC06194]</t>
  </si>
  <si>
    <t>PORTAL DOS POCOS</t>
  </si>
  <si>
    <t>002889</t>
  </si>
  <si>
    <t>COMPRA DE MATERIAIS UFVs (OURO FINO 2) NF 8109  IBERICA</t>
  </si>
  <si>
    <t>[CCC06195]</t>
  </si>
  <si>
    <t>COMPRA DE MATERIAIS UFVs (SÃO SEBASTIÃO DO OESTE 4) NF 8108  IBERICA</t>
  </si>
  <si>
    <t>[CCC06196]</t>
  </si>
  <si>
    <t>003618</t>
  </si>
  <si>
    <t>Fat. Direto (R&amp;M)</t>
  </si>
  <si>
    <t>PRESTAÇÃO DE SERVIÇOS UFVs (SÃO SEBASTIÃO DO OESTE 6) NF 7 CONSTRUTORA RESENDE</t>
  </si>
  <si>
    <t>Pagamento em faturamento direto referente a prestação dos serviços de drenagem,locação de retroescavadeira. ENVIADO POR WENDEL</t>
  </si>
  <si>
    <t>[CCC06197]</t>
  </si>
  <si>
    <t>003619</t>
  </si>
  <si>
    <t>PRESTAÇÃO DE SERVIÇOS UFVs (SÃO SEBASTIÃO DO OESTE 6) NF 20 SOLUCAO ENGENHARIA</t>
  </si>
  <si>
    <t>Pagamento em faturamento direto referente a prestação dos serviços de drenagem, locação de maquinas. ENVIADO POR WENDEL</t>
  </si>
  <si>
    <t>[CCC06198]</t>
  </si>
  <si>
    <t>Outros - Serviços à UFV (VIA PRUMO)</t>
  </si>
  <si>
    <t>PRESTAÇÃO DE SERVIÇOS UFVs ( PATOS DE MINAS 4) NF 51</t>
  </si>
  <si>
    <t>Pagamento referente a locação de máquinas que prestaram serviço durante o mês de março. Faturamento Direto Via Prumo. ENVIADO POR GILSON</t>
  </si>
  <si>
    <t>[CCC06199]</t>
  </si>
  <si>
    <t>VIA PRUMO</t>
  </si>
  <si>
    <t>PRESTAÇÃO DE SERVIÇOS UFVs ( PATOS DE MINAS 8) NF 52</t>
  </si>
  <si>
    <t>COMPRA DE MATERIAIS UFVs (MUZAMBINHO 1) NF 6141  NOVA MORADA</t>
  </si>
  <si>
    <t>Pagamento em faturamento direto referente a compra de materiais. ENVIADO POR RAFAEL</t>
  </si>
  <si>
    <t>[CCC06200]</t>
  </si>
  <si>
    <t>COMPRA DE MATERIAIS UFVs (OURO FINO 2) NF 6142  NOVA MORADA</t>
  </si>
  <si>
    <t>[CCC06201]</t>
  </si>
  <si>
    <t>COMPRA DE MATERIAIS UFVs (TRES CORAÇÕES 3) NF 6143  NOVA MORADA</t>
  </si>
  <si>
    <t>[CCC06202]</t>
  </si>
  <si>
    <t xml:space="preserve">PRESTAÇÃO DE SERVIÇOS UFVs ( PROFESSOR JAMIL I) NF 1108 JULLIA MARIA </t>
  </si>
  <si>
    <t>Taxa necessária ambiental, estudo e gestão do processo de obtenção  da autorização de intervenção para supressão de vefetação nativa. ENVIADO POR TIAGO ROBERTO</t>
  </si>
  <si>
    <t>[CCC06203]</t>
  </si>
  <si>
    <t>JULLIA MARIA</t>
  </si>
  <si>
    <t>COMPRA DE MATERIAIS UVFs (DIAMANTINA 2) NF 3656 DIMATELAS</t>
  </si>
  <si>
    <t>Pagamento em faturamento direto referente a compra de materiais. ENVIADO POR MANOEL</t>
  </si>
  <si>
    <t>[CCC06204]</t>
  </si>
  <si>
    <t>COMPRA DE MATERIAIS UVFs (DIAMANTINA 2) NF 723  PREMOLDEC SOLUCOES</t>
  </si>
  <si>
    <t>[CCC06205]</t>
  </si>
  <si>
    <t>003620</t>
  </si>
  <si>
    <t xml:space="preserve">COMPRA DE MATERIAIS UVFs (SÃO SEBASTIÃO DO OESTE 6) NF 1741  DIEGO SOUZA  </t>
  </si>
  <si>
    <t>Pagamento em faturamento direto referente a compra de materiais. ENVIADO POR WENDEL</t>
  </si>
  <si>
    <t>[CCC06206]</t>
  </si>
  <si>
    <t xml:space="preserve">PRESTAÇÃO DE SERVIÇOS UFVs ( BURITIS) NF 433 JX AMBIENTAL </t>
  </si>
  <si>
    <t>Taxa ambiental, estudo fauna com dados secundários. ENVIADO POR TIAGO ROBERTO</t>
  </si>
  <si>
    <t>[CCC06207]</t>
  </si>
  <si>
    <t xml:space="preserve">PRESTAÇÃO DE SERVIÇOS UFVs ( UNAI 1) NF 434 JX AMBIENTAL </t>
  </si>
  <si>
    <t xml:space="preserve">PRESTAÇÃO DE SERVIÇOS UFVs ( UNAI 2) NF 435 JX AMBIENTAL </t>
  </si>
  <si>
    <t xml:space="preserve">PRESTAÇÃO DE SERVIÇOS UFVs ( UNAI 2) NF 436 JX AMBIENTAL </t>
  </si>
  <si>
    <t xml:space="preserve">PRESTAÇÃO DE SERVIÇOS UFVs ( UNAI 2) NF 437 JX AMBIENTAL </t>
  </si>
  <si>
    <t>COMPRA DE MATERIAIS UFVs (DIAMANTINA 2) NF 10111  PARAENG</t>
  </si>
  <si>
    <t>Pagamento referente a compra de materiais. ENVIADO POR MANOEL</t>
  </si>
  <si>
    <t>[CCC06208]</t>
  </si>
  <si>
    <t>COMPRA DE MATERIAIS UFVs (DIAMANTINA 2) NF 1599  HYDRO TECH BRASIL</t>
  </si>
  <si>
    <t>[CCC06209]</t>
  </si>
  <si>
    <t>HYDRO TECH</t>
  </si>
  <si>
    <t>PRESTAÇÃO DE SERVIÇOS UFVs (LAGOA GRANDE 1) JX AMBIENTAL   NF 779</t>
  </si>
  <si>
    <t>[CCC06210]</t>
  </si>
  <si>
    <t>PRESTAÇÃO DE SERVIÇOS UFVs (LAGOA GRANDE 3) JX AMBIENTAL   NF 780</t>
  </si>
  <si>
    <t>PRESTAÇÃO DE SERVIÇOS UFVs (BRASILANDIA 3) JX AMBIENTAL   NF 781</t>
  </si>
  <si>
    <t>PRESTAÇÃO DE SERVIÇOS UFVs (BURITIS 1) JX AMBIENTAL   NF 1103</t>
  </si>
  <si>
    <t>PRESTAÇÃO DE SERVIÇOS UFVs (PORANGATU 3) JX AMBIENTAL   NF 1104</t>
  </si>
  <si>
    <t>[CCC06211]</t>
  </si>
  <si>
    <t>PRESTAÇÃO DE SERVIÇOS UFVs (PORANGATU 1) JX AMBIENTAL   NF 1105</t>
  </si>
  <si>
    <t>PRESTAÇÃO DE SERVIÇOS UFVs (FORMOSO 2) JX AMBIENTAL   NF 1106</t>
  </si>
  <si>
    <t>PRESTAÇÃO DE SERVIÇOS UFVs (PROFESSOR JAMIL ANTONIO CEZAR) JX AMBIENTAL   NF 1107</t>
  </si>
  <si>
    <t>PRESTAÇÃO DE SERVIÇOS UFVs (URUTAI) JX AMBIENTAL   NF 1109</t>
  </si>
  <si>
    <t>PRESTAÇÃO DE SERVIÇOS UFVs (PATROCINIO 2) NF 3 LUIZ C MACHADO</t>
  </si>
  <si>
    <t>Pagamento em faturamento direto referente a locação de equipamentos. ENVIADO POR GILSON</t>
  </si>
  <si>
    <t>[CCC06212]</t>
  </si>
  <si>
    <t>Segue faturamento direto R&amp;M Solar Patrocinio para o contrato das bases containers região 02.</t>
  </si>
  <si>
    <t>003622</t>
  </si>
  <si>
    <t>DAE - Dispença de Licenciamento ambiental UFVS   (BUTIRIZEIRO 1)  N 0924022941662</t>
  </si>
  <si>
    <t>[CCC06213]</t>
  </si>
  <si>
    <t>PRESTAÇÃO DE SERVIÇOS UFVs (LAGOA FORMOSA) NF 165  MULTI LOCAÇÃO</t>
  </si>
  <si>
    <t>[CCC06214]</t>
  </si>
  <si>
    <t>PRESTAÇÃO DE SERVIÇOS UFVs (PATROCINIO 3) NF 2  SAMUEL GONCALVES</t>
  </si>
  <si>
    <t>[CCC06215]</t>
  </si>
  <si>
    <t>Segue faturamento direto R&amp;M Solar Patrocinio  para o contrato das bases containers região 02.</t>
  </si>
  <si>
    <t>PRESTAÇÃO DE SERVIÇOS UFVs (PATROCINIO 2) NF 1   ROSIANE MENDES</t>
  </si>
  <si>
    <t>[CCC06216]</t>
  </si>
  <si>
    <t>Fat. Direti EPC (IMPLANTAR)</t>
  </si>
  <si>
    <t>COMPRA DE MATERIAIS UFVs (DIAMANTINA 2) NF 210538  REAL D AVILA</t>
  </si>
  <si>
    <t>[CCC06217]</t>
  </si>
  <si>
    <t xml:space="preserve">PRESTAÇÃO DE SERVIÇOS UFVs (DIAMANTINA 2) NF 11  MESS ENGENHARIA </t>
  </si>
  <si>
    <t>Pagamento em faturamento direto referente a prestação de serviço de gerenciamento de projjetos . ENVIADO POR MANOEL</t>
  </si>
  <si>
    <t>[CCC06218]</t>
  </si>
  <si>
    <t>002897</t>
  </si>
  <si>
    <t>PRESTAÇÃO DE SERVIÇOS UFVs (BAMBUÍ 1.1) TERRA FORTE NF 2</t>
  </si>
  <si>
    <t>Pagamento referente a prestação de serviço de roçagem. ENVIADO POR RODRIGO</t>
  </si>
  <si>
    <t>[CCC06219]</t>
  </si>
  <si>
    <t>001869</t>
  </si>
  <si>
    <t>PRESTAÇÃO DE SERVIÇOS UFVs (BAMBUÍ 1.2) TERRA FORTE NF 3</t>
  </si>
  <si>
    <t>PRESTAÇÃO DE SERVIÇOS UFVs (PATOS DE MINAS 4) RONDA PORTEIROS NF 1537</t>
  </si>
  <si>
    <t>Pagamento referente a prestação de serviço de vigilância desarmada. ENVIADO POR GILSON</t>
  </si>
  <si>
    <t>[CCC06220]</t>
  </si>
  <si>
    <t>PRESTAÇÃO DE SERVIÇOS UFVs (PATOS DE MINAS 7) RONDA PORTEIROS NF 1538</t>
  </si>
  <si>
    <t>PRESTAÇÃO DE SERVIÇOS UFVs (PATOS DE MINAS 8) RONDA PORTEIROS NF 1539</t>
  </si>
  <si>
    <t>PRESTAÇÃO DE SERVIÇOS UFVs (PATOS DE MINAS 4) RONDA PORTEIROS NF 1540</t>
  </si>
  <si>
    <t>PRESTAÇÃO DE SERVIÇOS UFVs (PATOS DE MINAS 7) RONDA PORTEIROS NF 1541</t>
  </si>
  <si>
    <t>PRESTAÇÃO DE SERVIÇOS UFVs (PATOS DE MINAS 8) RONDA PORTEIROS NF 1542</t>
  </si>
  <si>
    <t>PRESTAÇÃO DE SERVIÇOS UFVs (PATOS DE MINAS 3) RONDA PORTEIROS NF 1543</t>
  </si>
  <si>
    <t>PRESTAÇÃO DE SERVIÇOS UFVs (PATOS DE MINAS 3) RONDA PORTEIROS NF 1544</t>
  </si>
  <si>
    <t>PRESTAÇÃO DE SERVIÇOS UFVs (LAGOA FORMOSA) RONDA PORTEIROS NF 1458</t>
  </si>
  <si>
    <t>PRESTAÇÃO DE SERVIÇOS UFVs (PATROCINIO 2) RONDA PORTEIROS NF 1479</t>
  </si>
  <si>
    <t>PRESTAÇÃO DE SERVIÇOS UFVs (PATROCINIO 3) RONDA PORTEIROS NF 1480</t>
  </si>
  <si>
    <t>PRESTAÇÃO DE SERVIÇOS UFVs (LAGOA FORMOSA / PATROCINIO 1/ PATROCINIO 2) NF 49797  ATIVA LOCAÇÕES</t>
  </si>
  <si>
    <t>[CCC06221]</t>
  </si>
  <si>
    <t xml:space="preserve"> ATIVA LOCAÇÕES</t>
  </si>
  <si>
    <t>002898</t>
  </si>
  <si>
    <t>PRESTAÇÃO DE SERVIÇO UFV (OURO FINO 2) NF 814</t>
  </si>
  <si>
    <t xml:space="preserve">Pagamento de medição 5 , referente a mão de obra , necessários a construção da UFVs, em contrato EPC.  65% - ENVIADO POR SM RAFAEL OLIVEIRA </t>
  </si>
  <si>
    <t>[CCC06222]</t>
  </si>
  <si>
    <t>002899</t>
  </si>
  <si>
    <t>PRESTAÇÃO DE SERVIÇO UFV (OURO FINO 2) NF 815</t>
  </si>
  <si>
    <t xml:space="preserve">Pagamento de medição 5, referente elaboração de planos,  necessários a construção da UFVs, em contrato EPC.  35% - ENVIADO POR SM RAFAEL OLIVEIRA </t>
  </si>
  <si>
    <t>Medição (EPC-GLD)</t>
  </si>
  <si>
    <t>PRESTAÇÃO DE SERVIÇO UFV (PARAGUAÇU 1) NF 816</t>
  </si>
  <si>
    <t xml:space="preserve">Pagamento de medição 8 , referente a mão de obra , necessários a construção da UFVs, em contrato EPC.  65% - ENVIADO POR SM RAFAEL OLIVEIRA </t>
  </si>
  <si>
    <t>[CCC06223]</t>
  </si>
  <si>
    <t>PRESTAÇÃO DE SERVIÇO UFV (PARAGUAÇU 1) NF 817</t>
  </si>
  <si>
    <t xml:space="preserve">Pagamento de medição 8, referente elaboração de planos,  necessários a construção da UFVs, em contrato EPC.  35% - ENVIADO POR SM RAFAEL OLIVEIRA </t>
  </si>
  <si>
    <t>002902</t>
  </si>
  <si>
    <t>PRESTAÇÃO DE SERVIÇO UFV (SANTO DO AMPARO 1) NF 812</t>
  </si>
  <si>
    <t>[CCC06224]</t>
  </si>
  <si>
    <t>PRESTAÇÃO DE SERVIÇO UFV (SANTO ANTONIO DO AMPARO 1) NF 813</t>
  </si>
  <si>
    <t>DAE - Dispença de Licenciamento ambiental UFVS   (UNAÍ 1)  N 4500036178497</t>
  </si>
  <si>
    <t>Taxa necessária para declarações e certidões relativas a processo de licenciamento e de regularização ambiental_x000D_. ENVIADO POR THIAGO</t>
  </si>
  <si>
    <t>[CCC06225]</t>
  </si>
  <si>
    <t>DAE - Dispença de Licenciamento ambiental UFVS   (UNAÍ 2)  N 4500036178985</t>
  </si>
  <si>
    <t>DAE - Dispença de Licenciamento ambiental UFVS   (LAGOA GRANDE 1 E 2)  N 4500036184667</t>
  </si>
  <si>
    <t>DAE - Dispença de Licenciamento ambiental UFVS   (LAGOA GRANDE 3 E 4)  N 4500036185167</t>
  </si>
  <si>
    <t>DAE - Dispença de Licenciamento ambiental UFVS   (BURITIS 1)  N 4500036179558</t>
  </si>
  <si>
    <t xml:space="preserve">COMPRAS DE MATERIAIS UFVs (DIAMANTINA2) NF  335437  LOJA ELETRICA </t>
  </si>
  <si>
    <t>Pagamento referente a compra de materiais necessários para usina. ENVIADO POR MANOEL</t>
  </si>
  <si>
    <t>[CCC06226]</t>
  </si>
  <si>
    <t>002904</t>
  </si>
  <si>
    <t>COMPRA DE MATERIAIS UFV (OURO FINO 2) NF 8118  IBÉRICA</t>
  </si>
  <si>
    <t>Pagamento referente a compra de materiais. ENVIADO POR MBA  **NOTA DE REMESSA, NÃO GERA FINANCEIRO. SOMENTE ESCRITURAR**</t>
  </si>
  <si>
    <t>[CCC06227]</t>
  </si>
  <si>
    <t>*NOTA DE REMESSA*</t>
  </si>
  <si>
    <t>002905</t>
  </si>
  <si>
    <t>COMPRA DE MATERIAIS UFV (OURO FINO 2) NF 8112  IBÉRICA</t>
  </si>
  <si>
    <t>[CCC06228]</t>
  </si>
  <si>
    <t>PRESTAÇÃO DE SERVIÇOS UFVs (DIMANTINA 2) NF 405 AGUIAR COMERCIO</t>
  </si>
  <si>
    <t>Pagamento em faturamento direto refente a locação de retrescavadeira. EVIADO POR MANOEL</t>
  </si>
  <si>
    <t>[CCC06229]</t>
  </si>
  <si>
    <t>PRESTAÇÃO DE SERVIÇOS UFVs (DIMANTINA 2) NF 6153  NOVA MORADA</t>
  </si>
  <si>
    <t>[CCC06230]</t>
  </si>
  <si>
    <t>PRESTAÇÃO DE SERVIÇOS UFVs (DIMANTINA 2) NF 1852  MAURO DIVINO</t>
  </si>
  <si>
    <t>[CCC06231]</t>
  </si>
  <si>
    <t>PRESTAÇÃO DE SERVIÇOS UFVs (DIMANTINA 2) NF 335438  LOJA ELETRICA</t>
  </si>
  <si>
    <t>[CCC06232]</t>
  </si>
  <si>
    <t>DAE - Dispença de Licenciamento ambiental UFVS   (BRASILANDIA DE MINAS 3)  N 1500553472753</t>
  </si>
  <si>
    <t>Taxas de reposição e compensação ambiental . ENVIADO POR THIAGO</t>
  </si>
  <si>
    <t>[CCC06233]</t>
  </si>
  <si>
    <t>DAE - Dispença de Licenciamento ambiental UFVS   (BRASILANDIA DE MINAS 3)  N 1500553473172</t>
  </si>
  <si>
    <t>Taxas de reposição e compensação ambiental. ENVIADO POR THIAGO</t>
  </si>
  <si>
    <t>COMPRA DE MATERIAIS UFVs (DIAMANTINA 2) NF 14235  PREMOLDADOS DIAMANT</t>
  </si>
  <si>
    <t>[CCC06234]</t>
  </si>
  <si>
    <t>COMPRA DE MATERIAIS UFVs (DIAMANTINA 2) NF 114 RESTAURANTE E CHURRASCARIA BOM
JESUS</t>
  </si>
  <si>
    <t>[CCC06235]</t>
  </si>
  <si>
    <t xml:space="preserve">COMPRA DE MATERIAIS UFVs (DIAMANTINA 2) NF 1477 SC ORGANIZACAO
</t>
  </si>
  <si>
    <t>[CCC06236]</t>
  </si>
  <si>
    <t>Medição EPC (IMPLANTAR)</t>
  </si>
  <si>
    <t>PRESTAÇÃO DE SERVIÇOS UFVs (DIAMANTINA 1) NF 744</t>
  </si>
  <si>
    <t>Pagamento de medição 4, referente ao projeto de Diamantina1. ENVIADO POR MANOEL</t>
  </si>
  <si>
    <t>[CCC06237]</t>
  </si>
  <si>
    <t>Medição (THMENG)</t>
  </si>
  <si>
    <t>Pagamento me medição referente ao serviço de drenagem. ENVIADO POR RAFAEL</t>
  </si>
  <si>
    <t>[CCC06238]</t>
  </si>
  <si>
    <t>PRESTAÇÃO DE SERVIÇOS UFVs (VARJÃO DE MINAS 4) NF 818  GLD</t>
  </si>
  <si>
    <t xml:space="preserve">Pagamento referente a prestação de serviço – mastro SPDA. ENVIADO POR GILSON
</t>
  </si>
  <si>
    <t>[CCC06239]</t>
  </si>
  <si>
    <t>PRESTAÇÃO DE SERVIÇOS UFVs (CAMPO BELO 4) NF 3 JULIANO AUGUSTO</t>
  </si>
  <si>
    <t>Pagamento referente ao serviço de limpeza.  ENVIADO POR RODRIGO</t>
  </si>
  <si>
    <t>[CCC06240]</t>
  </si>
  <si>
    <t>COMPRA DE MATERIAIS UFVs (ALFENAS 4) NF 29618  EXPONENCIAL</t>
  </si>
  <si>
    <t>[CCC06241]</t>
  </si>
  <si>
    <t>COMPRA DE MATERIAIS UFVs (OURO FINO 2) NF 29617  EXPONENCIAL</t>
  </si>
  <si>
    <t>[CCC06242]</t>
  </si>
  <si>
    <t>SERVIÇOS PRESTADOS DE CONSULTORIA EM CONTRATOS -  DELOITTE     NF 19</t>
  </si>
  <si>
    <t>Pagamento referente a medição mão de obra contrato DELOITTE ,  necessário à construção da UFV em contrato EPC . MEDIÇÃO 17 - ENVIADO POR  ROGÉRIO DELOITTE</t>
  </si>
  <si>
    <t>[CCC06243]</t>
  </si>
  <si>
    <t>SERVIÇOS PRESTADOS DE CONSULTORIA EM CONTRATOS -  DELOITTE     NF 18</t>
  </si>
  <si>
    <t>SERVIÇOS PRESTADOS DE CONSULTORIA EM CONTRATOS -  DELOITTE     NF 16</t>
  </si>
  <si>
    <t>003627</t>
  </si>
  <si>
    <t>SERVIÇOS PRESTADOS DE CONSULTORIA EM CONTRATOS -  DELOITTE     NF  17</t>
  </si>
  <si>
    <t>COMPRA DE MATERIAIS UFVs (OURO FINO 2) NF 29627  EXPONENCIAL</t>
  </si>
  <si>
    <t>[CCC06244]</t>
  </si>
  <si>
    <t>PRESTAÇÃO DE SERVIÇOS UFVs (DIAMANTINA 1) NF 1509 CONSERVADORA CAMPOS</t>
  </si>
  <si>
    <t xml:space="preserve">Pagamento em faturamento direto referente ao serviço de vigilancia, necessário à construção da usina. ENVIADO POR MANOEL </t>
  </si>
  <si>
    <t>[CCC06245]</t>
  </si>
  <si>
    <t>PRESTAÇÃO DE SERVIÇO UFVs(MUZAMBINHO) NF 819</t>
  </si>
  <si>
    <t xml:space="preserve">Pagamento de medição 7 , referente a mão de obra , necessários a construção da UFVs, em contrato EPC.  65% - ENVIADO POR SM RAFAEL OLIVEIRA </t>
  </si>
  <si>
    <t>[CCC06246]</t>
  </si>
  <si>
    <t>PRESTAÇÃO DE SERVIÇO UFVs (MUZAMBINHO) NF 820</t>
  </si>
  <si>
    <t xml:space="preserve">Pagamento de medição 7 , referente elaboração de planos,  necessários a construção da UFVs, em contrato EPC.  35% - ENVIADO POR SM RAFAEL OLIVEIRA </t>
  </si>
  <si>
    <t>003631</t>
  </si>
  <si>
    <t>PRESTAÇÃO DE SERVIÇO UFVs (PEDRA DO INDAIA 5) NF 825</t>
  </si>
  <si>
    <t>Pagamento de medição 8 , referente a mão de obra , necessários a construção da UFVs, em contrato EPC.  65% - ENVIADO POR SM  AUGUSTO</t>
  </si>
  <si>
    <t>[CCC06247]</t>
  </si>
  <si>
    <t>003632</t>
  </si>
  <si>
    <t>PRESTAÇÃO DE SERVIÇO UFVs (PEDRA DO INDAIA 5) NF 826</t>
  </si>
  <si>
    <t>Pagamento de medição  8, referente elaboração de planos,  necessários a construção da UFVs, em contrato EPC.  35% - ENVIADO POR SM AUGUSTO</t>
  </si>
  <si>
    <t>PRESTAÇÃO DE SERVIÇO UFVs (fFORMIGA 6) NF 823</t>
  </si>
  <si>
    <t>Pagamento de medição 10 , referente a mão de obra , necessários a construção da UFVs, em contrato EPC.  65% - ENVIADO POR SM  AUGUSTO</t>
  </si>
  <si>
    <t>[CCC06248]</t>
  </si>
  <si>
    <t>PRESTAÇÃO DE SERVIÇO UFVs (FORMIGA 6) NF 824</t>
  </si>
  <si>
    <t>Pagamento de medição 10, referente elaboração de planos,  necessários a construção da UFVs, em contrato EPC.  35% - ENVIADO POR SM AUGUSTO</t>
  </si>
  <si>
    <t>PRESTAÇÃO DE SERVIÇO UFV (TRES CORAÇÕES 3)  NF 85</t>
  </si>
  <si>
    <t>Pagamento medição 2,  referente a prestação dos serviços de drenagem . ENVIADO POR AUGUSTO</t>
  </si>
  <si>
    <t>[CCC06249]</t>
  </si>
  <si>
    <t>PRESTAÇÃO DE SERVIÇO UFV ( TRES CORAÇÕES 3)  NF 86</t>
  </si>
  <si>
    <t>MEDIÇÃO ( GOMES)</t>
  </si>
  <si>
    <t>PRESTAÇÃO DE SERVIÇO UFVs(TRÊS CORAÇÕES 3) NF  87</t>
  </si>
  <si>
    <t>[CCC06250]</t>
  </si>
  <si>
    <t>PRESTAÇÃO DE SERVIÇO UFVs(TRÊS CORAÇÕES 3) NF 88</t>
  </si>
  <si>
    <t>PRESTAÇÃO DE SERVIÇOS UFVs (ALFENAS 4) NF 340</t>
  </si>
  <si>
    <t>Pagamento de medição 3, referente a prestação de serviços de drenagem. ENVIADO POR RAFAEL</t>
  </si>
  <si>
    <t>[CCC06251]</t>
  </si>
  <si>
    <t>003630</t>
  </si>
  <si>
    <t>PRESTAÇÃO DE SERVIÇOS UFVs (JABOTICATUBAS) NF 455</t>
  </si>
  <si>
    <t>Pagamento de medição 4, referente a execução das obras de drenagem. ENVIADO POR MANOEL</t>
  </si>
  <si>
    <t>[CCC06252]</t>
  </si>
  <si>
    <t>002924/004340</t>
  </si>
  <si>
    <t xml:space="preserve">MEDIÇÃO (INGRA - MOSAICO) </t>
  </si>
  <si>
    <t>PRESTAÇÃO DE SERVIÇO UFVs (SÃO SEBASTIÃO DO OESTE 4) ADIANTAMENTO  NF 19</t>
  </si>
  <si>
    <t>Pagamento medição , referente ao  adiantamento de 12%  do valor do contrato. Nota fiscal  será enviada ao final do contrato. ENVIADO POR AUGUSTO</t>
  </si>
  <si>
    <t>NOTA FOI BAIXADA NO PC 004340</t>
  </si>
  <si>
    <t>INGRA</t>
  </si>
  <si>
    <t>000617</t>
  </si>
  <si>
    <t xml:space="preserve"> SERVIÇO DE ENTREGA DE PROJETOS  MEDIÇÃO 3  GLD  NF 243</t>
  </si>
  <si>
    <t>Pagamento 3°  medição ,20% do valor do contrato, Projeto Executivo (Frente 2) , necessário a construção da UFV .</t>
  </si>
  <si>
    <t>[CCC03961]</t>
  </si>
  <si>
    <t>R$ 70539,6(Valor toral Referente ao Boletim de Medição para seis usinas ciclo 2</t>
  </si>
  <si>
    <t>Projeto terraplanagem 20% do contrato dividido 7 usinas(R$ 245.000 total das terraplanagens projeto GLD Newco4) Este pagamento e  de 20% do contrato 49% dividido em 7 usinas.</t>
  </si>
  <si>
    <t>PRESTAÇÃO DE SERVIÇO UFVs UFV Paraguaçu 1 NF 827</t>
  </si>
  <si>
    <t xml:space="preserve">Pagamento de medição 9 , referente a mão de obra , necessários a construção da UFVs, em contrato EPC.  65% - ENVIADO POR SM RAFAEL OLIVEIRA </t>
  </si>
  <si>
    <t>[CCC06253]</t>
  </si>
  <si>
    <t>PRESTAÇÃO DE SERVIÇO UFVs UFV Paraguaçu 1 NF 828</t>
  </si>
  <si>
    <t xml:space="preserve">Pagamento de medição 9 , referente elaboração de planos,  necessários a construção da UFVs, em contrato EPC.  35% - ENVIADO POR SM RAFAEL OLIVEIRA </t>
  </si>
  <si>
    <t>003633</t>
  </si>
  <si>
    <t>PRESTAÇÃO DE SERVIÇO UFVs (PEDRA DO INDAIÁ 1) NF 7TERRA FORTE</t>
  </si>
  <si>
    <t>Pagamento referente ao serviço de rossagem. ENVIDO POR AUGUSTO</t>
  </si>
  <si>
    <t>[CCC06254]</t>
  </si>
  <si>
    <t>003634</t>
  </si>
  <si>
    <t>PRESTAÇÃO DE SERVIÇO UFVs (PEDRA DO INDAIÁ 3) NF 8 TERRA FORTE</t>
  </si>
  <si>
    <t>003635</t>
  </si>
  <si>
    <t>PRESTAÇÃO DE SERVIÇO UFVs (PAINS 3) NF 338</t>
  </si>
  <si>
    <t>Pagamento de medição 4 referente ao serviço de drenagem. ENVIADO POR AUGUSTO</t>
  </si>
  <si>
    <t>[CCC06255]</t>
  </si>
  <si>
    <t>003639</t>
  </si>
  <si>
    <t>PRESTAÇÃO DE SERVIÇO UFVs (PEDRA DO INDAIA 5) NF 339</t>
  </si>
  <si>
    <t>[CCC06256]</t>
  </si>
  <si>
    <t>COMPRA DE MATERIAIS UFVs (VARJÃO DE MINAS 4) NF 2519</t>
  </si>
  <si>
    <t>[CCC06257]</t>
  </si>
  <si>
    <t>COMPRA DE MATERIAIS UFVs (PATOS DE MINAS 4) NF 2520</t>
  </si>
  <si>
    <t>003638</t>
  </si>
  <si>
    <t>PRESTAÇÃO DE SERVIÇO UFVs (DIVINOPOLIS 3) NF 74</t>
  </si>
  <si>
    <t>[CCC06258]</t>
  </si>
  <si>
    <t>PRESTAÇÃO DE SERVIÇO UFVs (VARGINHA 1) NF 75</t>
  </si>
  <si>
    <t>002922</t>
  </si>
  <si>
    <t>PRESTAÇÃO DE SERVIÇO UFVs (VARGINHA 1) NF 76</t>
  </si>
  <si>
    <t>Pagamento de medição referente a licenca de utilizacao do sistema SGD_x000D_ . ENVIADO POR ATI</t>
  </si>
  <si>
    <t>PRESTAÇÃO DE SERVIÇO UFVs (VARGINHA 2) NF 77</t>
  </si>
  <si>
    <t>COMPRA DE MATERIAIS UFVs (DIAMANTINA 2) NF 18017 FUMINAS</t>
  </si>
  <si>
    <t>[CCC06259]</t>
  </si>
  <si>
    <t>PRESTÇÃO DE SERVIÇOS UFVs (SANTO ANTONIDO DO AMPARO 1) NF 456</t>
  </si>
  <si>
    <t>Pagamento de medição 4, referente ao serviço de drenagem. ENVIADO POR RAFAEL</t>
  </si>
  <si>
    <t>[CCC06260]</t>
  </si>
  <si>
    <t>COMPRA DE MATERIAIS UFVs (DIAMANTINA 2) NF 3314  FUPLASTIC</t>
  </si>
  <si>
    <t>[CCC06261]</t>
  </si>
  <si>
    <t>PRESTAÇÃO DE SERVIÇO UFVs (PATROCINIO 2) NF 2892</t>
  </si>
  <si>
    <t>Pagamento referente ao serviço de montagem e instalação elétrica de redes de distribuição de energia rural e urbana. ENVIADO POR MBA</t>
  </si>
  <si>
    <t>[CCC06262]</t>
  </si>
  <si>
    <t>PRESTAÇÃO DE SERVIÇO UFVs (PATROCINIO 3) NF 2894</t>
  </si>
  <si>
    <t>Outros - Serviços á UFV</t>
  </si>
  <si>
    <t>PRESTAÇÃO DE SERVIÇOS UFV CICLO 3 NF 168  PWX ENGENHARIA</t>
  </si>
  <si>
    <t>Pagamento referente a levantamento topográfico planialtimétrico cadastral junto as áreas para estudo. ENVIADO POR LEONARDO.</t>
  </si>
  <si>
    <t>[CCC06263]</t>
  </si>
  <si>
    <t>PRESTAÇÃO DE SERVIÇOS UFV CICLO 3 NF 169  PWX ENGENHARIA</t>
  </si>
  <si>
    <t>PRESTAÇÃO DE SERVIÇO UFVs (CAMPO BELO 1) NF 1527</t>
  </si>
  <si>
    <t xml:space="preserve">Pagamento referente a prestação de serviço de vigilância.ADITIVO 2 VIGIAS NOTURNOS. ENVIADO POR RAFAEL </t>
  </si>
  <si>
    <t>[CCC06264]</t>
  </si>
  <si>
    <t>PRESTAÇÃO DE SERVIÇO UFVs (CAMPO BELO 5) NF 1523</t>
  </si>
  <si>
    <t xml:space="preserve">Pagamento referente a prestação de serviço de vigilância ENVIADO POR RAFAEL </t>
  </si>
  <si>
    <t>PRESTAÇÃO DE SERVIÇO UFVs (MUZAMBINHO) NF 1520</t>
  </si>
  <si>
    <t>PRESTAÇÃO DE SERVIÇO UFVs (OURO FINO 2) NF 1519</t>
  </si>
  <si>
    <t>PRESTAÇÃO DE SERVIÇO UFVs (PARAGUAÇU 1) NF 1526</t>
  </si>
  <si>
    <t>PRESTAÇÃO DE SERVIÇO UFVs (TRÊS CORAÇÕES 3) NF 1522</t>
  </si>
  <si>
    <t>PRESTAÇÃO DE SERVIÇO UFVs (SANTO ANTONIO DO AMPARO) NF 1534 RONDA</t>
  </si>
  <si>
    <t>PRESTAÇÃO DE SERVIÇO UFVs (ALENAS 4) NF 1415  RONDA</t>
  </si>
  <si>
    <t>MEDIÇÃO MENSAL DEZEMBRO/2023  UFVs  LMENG  NF 12424</t>
  </si>
  <si>
    <t>[CCC06265]</t>
  </si>
  <si>
    <t>MEDIÇÃO MENSAL DEZEMBRO/2023  UFVs  LMENG  NF 12425</t>
  </si>
  <si>
    <t>MEDIÇÃO MENSAL DEZEMBRO/2023  UFVs  LMENG  NF 12426</t>
  </si>
  <si>
    <t>003640</t>
  </si>
  <si>
    <t>MEDIÇÃO MENSAL DEZEMBRO/2023  UFVs  LMENG  NF 12427</t>
  </si>
  <si>
    <t>003641</t>
  </si>
  <si>
    <t>MEDIÇÃO MENSAL DEZEMBRO/2023  UFVs  LMENG  NF 12428</t>
  </si>
  <si>
    <t>MEDIÇÃO MENSAL DEZEMBRO/2023  UFVs  LMENG  NF 12429</t>
  </si>
  <si>
    <t>MEDIÇÃO MENSAL DEZEMBRO/2023  UFVs  LMENG  NF 12430</t>
  </si>
  <si>
    <t>MEDIÇÃO MENSAL DEZEMBRO/2023  UFVs  LMENG  NF 12431</t>
  </si>
  <si>
    <t>PRESTAÇÃO DE SERVIÇO UFVs (FORMIGA 6) NF 341</t>
  </si>
  <si>
    <t>Pagamento de medição referente a prestação dos serviços de drenagem . ENVIADO POR AUGUSTO</t>
  </si>
  <si>
    <t>[CCC06266]</t>
  </si>
  <si>
    <t>MPE</t>
  </si>
  <si>
    <t>PRESTAÇÃO DE SERVIÇO UFVs (CAMPO BELO 1) NF 9  MOSAICO</t>
  </si>
  <si>
    <t>Pagamento de medição 6 referente ao serviço de drenagem. ENVIADO POR RAFAEL</t>
  </si>
  <si>
    <t>[CCC06267]</t>
  </si>
  <si>
    <t>PRESTAÇÃO DE SERVIÇO UFVs (CAMPO BELO 2) NF 10  MOSAICO</t>
  </si>
  <si>
    <t>[CCC06268]</t>
  </si>
  <si>
    <t>003642</t>
  </si>
  <si>
    <t>Medição (GTEL)</t>
  </si>
  <si>
    <t>PRESTAÇÃO DE SERVIÇO UFVs (DIVINOPOLIS 2) NF 29211</t>
  </si>
  <si>
    <t>Pagamento de medição referente aditivo de concreto. ENVIADO POR AUGUSTO</t>
  </si>
  <si>
    <t>[CCC06269]</t>
  </si>
  <si>
    <t>Estacas</t>
  </si>
  <si>
    <t>003646</t>
  </si>
  <si>
    <t>PRESTAÇÃO DE SERVIÇO UFVs (PAINS 3) NF 29214</t>
  </si>
  <si>
    <t>[CCC06270]</t>
  </si>
  <si>
    <t>003647</t>
  </si>
  <si>
    <t>PRESTAÇÃO DE SERVIÇO UFVs (PARACATU 4) NF 29212</t>
  </si>
  <si>
    <t>Pagamento de medição referente ao fornecimento de material e mão de obra especializada para serviços de instalações eletromecanicas e civil . ENVIADO POR WENDEL</t>
  </si>
  <si>
    <t>[CCC06271]</t>
  </si>
  <si>
    <t>003648</t>
  </si>
  <si>
    <t>PRESTAÇÃO DE SERVIÇO UFVs (PARACATU 5) NF 29213</t>
  </si>
  <si>
    <t>0102 - MORI ENERGIA HOLDING S.A - FILIAL MG</t>
  </si>
  <si>
    <t>055162</t>
  </si>
  <si>
    <t>Outro - Serviços à UFV</t>
  </si>
  <si>
    <t>COMPRA DE MATERIAIS PARA AS UFVs  NF  125758 PIONEIRA EQUIPAMENTOS</t>
  </si>
  <si>
    <t>Pagamento referente a compra de botina. ENVIADO POR ANDRESSA</t>
  </si>
  <si>
    <t>[CCC06272]</t>
  </si>
  <si>
    <t>Medição (RIMA)</t>
  </si>
  <si>
    <t>PRESTAÇÃO DE SERVIÇO UFVs (DIAMANTINA 1) NF 163</t>
  </si>
  <si>
    <t>Pagamento de medição referente ao serviço de supressão vegetal. ENVIADO POR GUIHERME</t>
  </si>
  <si>
    <t>[CCC06273]</t>
  </si>
  <si>
    <t>PRESTAÇÃO DE SERVIÇO UFVs (DIAMANTINA 2) NF 164</t>
  </si>
  <si>
    <t>PRESTAÇÃO DE SERVIÇO UFVs (CAMPO BELO 1) NF 165</t>
  </si>
  <si>
    <t>PRESTAÇÃO DE SERVIÇO UFVs (MUZAMBINHO) NF 73</t>
  </si>
  <si>
    <t>Pagamento de medição referente a daia único + ria executado. ENVIADO POR GUIHERME</t>
  </si>
  <si>
    <t>PRESTAÇÃO DE SERVIÇO UFVs (CAMPO BELO 1) NF 74</t>
  </si>
  <si>
    <t>PRESTAÇÃO DE SERVIÇO UFVs (ALFENAS 4) NF 75</t>
  </si>
  <si>
    <t>003649</t>
  </si>
  <si>
    <t>PRESTAÇÃO DE SERVIÇOS UFVs (PARACATU 4) NF 2424/3 ARCANJO VIGILANCIA</t>
  </si>
  <si>
    <t>[CCC06274]</t>
  </si>
  <si>
    <t>003650</t>
  </si>
  <si>
    <t>PRESTAÇÃO DE SERVIÇOS UFVs (PARACATU 5) NF 2024/2  ARCANJO VIGILANCIA</t>
  </si>
  <si>
    <t>003651</t>
  </si>
  <si>
    <t>PRESTAÇÃO DE SERVIÇO UFVs (DIVINOPOLIS 1) NF 29215</t>
  </si>
  <si>
    <t>Pagamento de medição  referente ao fornecimento de material e mão de obra especializada para srviços de intalações eletromecanicas e civil. ENVIADO POR AUGUSTO</t>
  </si>
  <si>
    <t>[CCC06275]</t>
  </si>
  <si>
    <t>003652</t>
  </si>
  <si>
    <t>PRESTAÇÃO DE SERVIÇO UFVs (DIVINOPOLIS 2) NF 29216</t>
  </si>
  <si>
    <t>003653</t>
  </si>
  <si>
    <t>PRESTAÇÃO DE SERVIÇO UFVs (SÃO SEBASTIÃO DO OESTE 0) NF 29217</t>
  </si>
  <si>
    <t>003654</t>
  </si>
  <si>
    <t>PRESTAÇÃO DE SERVIÇO UFVs (PAINS 3) NF 29218</t>
  </si>
  <si>
    <t>PRESTAÇÃO DE SERVIÇO UFVs (SÃO SEBASTIÃO DO OESTE 4) NF 29219</t>
  </si>
  <si>
    <t>PRESTAÇÃO DE SERVIÇO UFVs (PASSOS 4) NF 29220</t>
  </si>
  <si>
    <t>Outros - Serviços à UFVs</t>
  </si>
  <si>
    <t>DAE - Dispença de Licenciamento ambiental UFVS   (CASSIA 2) N 0924022966096</t>
  </si>
  <si>
    <t>Taxas de vistoria dos bombeiros. ENVIADO POR GUILHERME</t>
  </si>
  <si>
    <t>A216 - MORI GERAÇÃO II - UFV VARJÃO DE MINAS 1</t>
  </si>
  <si>
    <t>DAE - Dispença de Licenciamento ambiental UFVS   (VARJÃO DE MINAS 1) N 0924022976491</t>
  </si>
  <si>
    <t>002942</t>
  </si>
  <si>
    <t>DAE - Dispença de Licenciamento ambiental UFVS   (VARGINHA 5) N 0924022967327</t>
  </si>
  <si>
    <t>DAE - Dispença de Licenciamento ambiental UFVS   (FREI INOCENCIO 1) N 0924022987387</t>
  </si>
  <si>
    <t>A214 - MORI GERAÇÃO II - UFV NOVA PONTE 1</t>
  </si>
  <si>
    <t>DAE - Dispença de Licenciamento ambiental UFVS   (NOVA  PONTE) N 0924022987875</t>
  </si>
  <si>
    <t>DAE - Dispença de Licenciamento ambiental UFVS   (BAMBUÍ 1.1) N 0924022976237</t>
  </si>
  <si>
    <t>003655</t>
  </si>
  <si>
    <t>DAE - Dispença de Licenciamento ambiental UFVS   (GUARDAMOR) N 0924022987956</t>
  </si>
  <si>
    <t>A415 - MORI MINAS NEWCO IV - VARGINHA 1</t>
  </si>
  <si>
    <t>DAE - Dispença de Licenciamento ambiental UFVS   (VARGINHA 1) N 0924022980013</t>
  </si>
  <si>
    <t>DAE - Dispença de Licenciamento ambiental UFVS   (VARGINHA 2) N 0924022980196</t>
  </si>
  <si>
    <t>DAE - Dispença de Licenciamento ambiental UFVS   (BAMBUÍ 1.2) N 0924022976318</t>
  </si>
  <si>
    <t>A406 - MORI MINAS NEWCO IV - UFV CASSIA 1</t>
  </si>
  <si>
    <t>DAE - Dispença de Licenciamento ambiental UFVS   (CASSIA 1) N 0924022966096</t>
  </si>
  <si>
    <t>A607 - ESTRELA DO NORTE DIVINOPOLIS II SPE</t>
  </si>
  <si>
    <t>003657</t>
  </si>
  <si>
    <t>COMPRA DE MATERIAIS UFVs (DIVINOPOLIS 2) NF 218526   ROMAGNOLE</t>
  </si>
  <si>
    <t>PAGAMENTO REFERENTE A COMPRA DE MATERIAIS. *NOTA DE REMESSA, NÃO GERA FINANCEIRO. APENAS ESCRITURAR*</t>
  </si>
  <si>
    <t>[CCC06276]</t>
  </si>
  <si>
    <t xml:space="preserve"> *NOTA DE REMESSA. NÃO GERA FINANCEIRO, APENAS ESCRITURAR*</t>
  </si>
  <si>
    <t>DAE - Dispença de Licenciamento ambiental UFVS   (SANTO ANTONIO DO AMPARO) N 2901330840681</t>
  </si>
  <si>
    <t>TAXA FLORESTAL REFERENTE AO CORTE DE MADEIRA DE FLORESTA NATIVA. ENVIADO POR TIAGO ROBERTO</t>
  </si>
  <si>
    <t>[CCC06277]</t>
  </si>
  <si>
    <t>DAE - Dispença de Licenciamento ambiental UFVS   (POUSO ALEGRE 1) N 5400036544441</t>
  </si>
  <si>
    <t>TAXA FLORESTAL REFERENTE A TAXA DE COMUNICAÇÃO DE COLHEITA. ENVIADO POR TIAGO ROBERTO</t>
  </si>
  <si>
    <t>[CCC06278]</t>
  </si>
  <si>
    <t>DAE - Dispença de Licenciamento ambiental UFVS   (POUSO ALEGRE 1) N 1401330978285</t>
  </si>
  <si>
    <t>TAXA FLORESTAL REFERENTE A TAXA DE ANALISE COMPLEMENTAR. ENVIADO POR TIAGO ROBERTO</t>
  </si>
  <si>
    <t>DAE - Dispença de Licenciamento ambiental UFVS   (POUSO ALEGRE 1) N 2901330978704</t>
  </si>
  <si>
    <t>TAXA FLORESTAL REFERENTE A TAXA DE CORTE DE LENHA. ENVIADO POR TIAGO ROBERTO</t>
  </si>
  <si>
    <t>DAE - Dispença de Licenciamento ambiental UFVS   (POUSO ALEGRE 1) N 2901330979042</t>
  </si>
  <si>
    <t>TAXA FLORESTAL REFERENTE A TAXA DE CORTE DE MADEIRA. ENVIADO POR TIAGO ROBERTO</t>
  </si>
  <si>
    <t>PRESTAÇÃO DE SERVIÇOS UFVs (PATOS DE MINAS 3)  SRJ PROTEÇÃO  NF 1</t>
  </si>
  <si>
    <t>[CCC06279]</t>
  </si>
  <si>
    <t>003664</t>
  </si>
  <si>
    <t>PRESTAÇÃO DE SERVIÇOS UFVs (BURITIZEIRO 1)  SRJ PROTEÇÃO  NF 2</t>
  </si>
  <si>
    <t>003665</t>
  </si>
  <si>
    <t>PRESTAÇÃO DE SERVIÇOS UFVs (BURITIZEIRO 2)  SRJ PROTEÇÃO  NF 3</t>
  </si>
  <si>
    <t>003666</t>
  </si>
  <si>
    <t>PRESTAÇÃO DE SERVIÇOS UFVs (PEDRA DO INDAIA 5)  SRJ PROTEÇÃO  NF 4</t>
  </si>
  <si>
    <t>Fat. direto (MBA-MT)</t>
  </si>
  <si>
    <t>COMPRA DE MATERIAIS UFVs (FORMIGA 6) NF 15518  CAMPO ALEGRE</t>
  </si>
  <si>
    <t>Pagamento em faturmento direto referente a compra de materiais. ENVIADO POR MBA</t>
  </si>
  <si>
    <t>[CCC06280]</t>
  </si>
  <si>
    <t>COMPRA DE MATERIAIS UFVs (LAGOA FORMOSA )  NF 216812</t>
  </si>
  <si>
    <t>Pagamento referente a compra de materiais, ENVIADO POR ROMAGNOLE</t>
  </si>
  <si>
    <t>[CCC06281]</t>
  </si>
  <si>
    <t>002821</t>
  </si>
  <si>
    <t>COMPRA DE MATERIAIS UFVs (LAGOA FORMOSA )  NF 216825</t>
  </si>
  <si>
    <t>CONSTRUMANAGER -    01/2024   NF 313115</t>
  </si>
  <si>
    <t>[CCC06282]</t>
  </si>
  <si>
    <t>PRESTAÇÃO DE SERVIÇOS UFVs (CASSIA 1) NF 1120 JX AMBIENTAL</t>
  </si>
  <si>
    <t>Pagamento referente a parcela 02/02 - PROCESSO ADMINISTRATIVO DE COMUNICAÇÃO
DE COLHEITA UFV CÁSSIA 01 . ENVIADO POR TIAGO</t>
  </si>
  <si>
    <t>[CCC06283]</t>
  </si>
  <si>
    <t>PRESTAÇÃO DE SERVIÇOS UFVs (DIAMANTINA 2) NF 1119 JX AMBIENTAL</t>
  </si>
  <si>
    <t>Pagamento referente a parcela 02/02 - PROCESSO ADMINISTRATIVO DE COMUNICAÇÃO
DE COLHEITA UFV DIAMANTINA 2 . ENVIADO POR TIAGO</t>
  </si>
  <si>
    <t>COMPRA DE MATERIAIS UFVs (PARAGUAÇU 1) NF 6152  NOVA MORADA</t>
  </si>
  <si>
    <t>Pagamento em faturamento direto referente a compra de materiais. ENVIADO POR RAFAEL OLIVEIRA</t>
  </si>
  <si>
    <t>[CCC06284]</t>
  </si>
  <si>
    <t>003670</t>
  </si>
  <si>
    <t>REGRHAN  PRESTAÇÃO DE SERVIÇOS  ESTRELA DO NORTE  NF 2342</t>
  </si>
  <si>
    <t>Pagamento referente aos serviços de assessoria , gestão e controle documental de terceiros, realizados pelo REGRHAN, necessários a construção das UFVs. ENVIADO POR REGRHAN - 01/24</t>
  </si>
  <si>
    <t>[CCC06285]</t>
  </si>
  <si>
    <t>REGRHAN  PRESTAÇÃO DE SERVIÇOS  MORI II  NF 2343</t>
  </si>
  <si>
    <t>REGRHAN  PRESTAÇÃO DE SERVIÇOS  MORI MINAS NEWCO IV  NF 2344</t>
  </si>
  <si>
    <t>REGRHAN  PRESTAÇÃO DE SERVIÇOS  MORI MINAS NEWCO V  NF 2345</t>
  </si>
  <si>
    <t>PRESTAÇÃO DE SERVIÇO UFVs (DIAMANTINA 1 E 2) NF 23428  A.R ARQUITETURA</t>
  </si>
  <si>
    <t>Pagamento referente ao requerimento de licença de objeto projetado no espaço aereo. ENVIADO POR GUILHERME</t>
  </si>
  <si>
    <t>[CCC06286]</t>
  </si>
  <si>
    <t>A.R. ARQUITETURA</t>
  </si>
  <si>
    <t>PRESTAÇÃO DE SERVIÇO UFVs (DIAMANTINA 1 E 2) NF 23427  A.R ARQUITETURA</t>
  </si>
  <si>
    <t>[CCC06287]</t>
  </si>
  <si>
    <t>PRESTAÇÃO DE SERVIÇO UFVs (DIAMANTINA 1 E 2) NF 23429  A.R ARQUITETURA</t>
  </si>
  <si>
    <t>[CCC06288]</t>
  </si>
  <si>
    <t>PRESTAÇÃO DE SERVIÇO UFVs (ARCOS 7) NF 22  ANTARES CARVALHO</t>
  </si>
  <si>
    <t>Pagamento referente ao serviço de drenagem. ENVIADO POR AUGUSTO</t>
  </si>
  <si>
    <t>[CCC06289]</t>
  </si>
  <si>
    <t xml:space="preserve">MEDIÇÃO ( CONSPLAN) </t>
  </si>
  <si>
    <t>PRESTAÇÃO DE SERVIÇO UFVs (DIAMANTINA 1) NF 149</t>
  </si>
  <si>
    <t>Pagamento de medição1, referente a prestação do serviço de drenagem. ENVIADO POR MANOEL</t>
  </si>
  <si>
    <t>[CCC06290]</t>
  </si>
  <si>
    <t>PRESTAÇÃO DE SERVIÇO UFVs (ARCOS) NF 664</t>
  </si>
  <si>
    <t>Pagamento de 2 medição referente a 30%  FINAIS + ADITIVOS. ENVIADO POR GUILHERME</t>
  </si>
  <si>
    <t>[CCC06291]</t>
  </si>
  <si>
    <t>003674</t>
  </si>
  <si>
    <t xml:space="preserve">PRESTAÇÃO DE SERVIÇO UFVs (PAINS 3) NF 2724  CORTE REAL </t>
  </si>
  <si>
    <t>Pagamento referente a prestação de serviço linha viva. ENVIADO POR GUILHERME.</t>
  </si>
  <si>
    <t>[CCC06292]</t>
  </si>
  <si>
    <t>Escopo Comerc - Guilherme Kursel</t>
  </si>
  <si>
    <t>MEDIÇÃO (ENGELUZ -MT)</t>
  </si>
  <si>
    <t>PRESTAÇÃO DE SERVIÇO UFVs (DIAMANTINA 2) NF 565</t>
  </si>
  <si>
    <t>Pagamento de medição referente a prestação do serviço de mão de obra especialziada na construção de RDR. ENVIADO ENGELUZ</t>
  </si>
  <si>
    <t>[CCC06293]</t>
  </si>
  <si>
    <t>PRESTAÇÃO DE SERVIÇO UFVs (PATROCINIO 2) NF 123 RPA</t>
  </si>
  <si>
    <t>Pagamento referente ao fornecimento de internet. ENVIADO POR GILSON</t>
  </si>
  <si>
    <t>[CCC06294]</t>
  </si>
  <si>
    <t>RPS</t>
  </si>
  <si>
    <t>PRESTAÇÃO DE SERVIÇO UFVs (PARAGUAÇU 1) NF 567</t>
  </si>
  <si>
    <t>Pagamento referente ao serviço de mão de obra especializada em consrução de RDR. ENVIADO POR ENGELUZ</t>
  </si>
  <si>
    <t>[CCC06295]</t>
  </si>
  <si>
    <t>PRESTAÇÃO DE SERVIÇO UFVs (MUZAMBINHO 1) NF 568</t>
  </si>
  <si>
    <t>[CCC06296]</t>
  </si>
  <si>
    <t>002831</t>
  </si>
  <si>
    <t>PRESTAÇÃO DE SERVIÇO UFVs (DIAMANTINA 1) NF 566</t>
  </si>
  <si>
    <t>[CCC06297]</t>
  </si>
  <si>
    <t>PRESTAÇÃO DE SERVIÇOS UFVs  (PATOS DE MINAS 4)  NORTE CONEXÃO NF 1795</t>
  </si>
  <si>
    <t>[CCC06298]</t>
  </si>
  <si>
    <t>PRESTAÇÃO DE SERVIÇOS UFVs  (PATOS DE MINAS 7)  NORTE CONEXÃO NF 1796</t>
  </si>
  <si>
    <t>PRESTAÇÃO DE SERVIÇOS UFVs  (PATOS DE MINAS 8)  NORTE CONEXÃO NF 1797</t>
  </si>
  <si>
    <t>003678</t>
  </si>
  <si>
    <t>PRESTAÇÃO DE SERVIÇOS UFVs  (BURITIZEIRO 1)  NORTE CONEXÃO NF 1800</t>
  </si>
  <si>
    <t>003679</t>
  </si>
  <si>
    <t>PRESTAÇÃO DE SERVIÇOS UFVs  (BURITIZEIRO 2)  NORTE CONEXÃO NF 1801</t>
  </si>
  <si>
    <t>PRESTAÇÃO DE SERVIÇOS UFVs  (VARJÃO DE MINAS 4)  NORTE CONEXÃO NF 1803</t>
  </si>
  <si>
    <t xml:space="preserve">MEDIÇÃO ( MIPE) </t>
  </si>
  <si>
    <t>PRESTAÇÃO DE SERVIÇOS UFVs ( BAMBUI 1.1) NF 357</t>
  </si>
  <si>
    <t>Pagamento referente a construção de base para instalação de container . ENVIADO POR SARAH</t>
  </si>
  <si>
    <t>[CCC06299]</t>
  </si>
  <si>
    <t>PRESTAÇÃO DE SERVIÇOS UFVs ( BAMBUI 1.2) NF 356</t>
  </si>
  <si>
    <t>002978</t>
  </si>
  <si>
    <t>PRESTAÇÃO DE SERVIÇOS UFVs (CASSIA 1) NF 354</t>
  </si>
  <si>
    <t>PRESTAÇÃO DE SERVIÇOS UFVs (CASSIA 2) NF 355</t>
  </si>
  <si>
    <t>003685</t>
  </si>
  <si>
    <t>MEDIÇÃO ( GR ENGENHARIA)</t>
  </si>
  <si>
    <t>PRESTAÇÃO DE SERVIÇOS UFVs (INDAIABIRA 1) NF 89</t>
  </si>
  <si>
    <t>Pagamento referente aos 15% de adiantamento do contrato de prestação de serviços da execução de bases para os containers. ENVIADO POR SARAH</t>
  </si>
  <si>
    <t>[CCC06300]</t>
  </si>
  <si>
    <t>003686</t>
  </si>
  <si>
    <t>PRESTAÇÃO DE SERVIÇOS UFVs (INDAIABIRA 2) NF 88</t>
  </si>
  <si>
    <t>PRESTAÇÃO DE SERVIÇOS UFVs (FREI INOCENCIO 1) NF 87</t>
  </si>
  <si>
    <t>003684</t>
  </si>
  <si>
    <t>PRESTAÇÃO DE SERVIÇOS UFVs (INDAIBIRA 3) NF 1589  RONDA PORTEIROS</t>
  </si>
  <si>
    <t>Pagamento referente ao serviço de segurança desarmada.  ENVIADO POR MANOEL</t>
  </si>
  <si>
    <t>[CCC06301]</t>
  </si>
  <si>
    <t>003683</t>
  </si>
  <si>
    <t>PRESTAÇÃO DE SERVIÇOS UFVs (INDAIBIRA 4) NF 1588  RONDA PORTEIROS</t>
  </si>
  <si>
    <t>003709</t>
  </si>
  <si>
    <t>MEDIÇÃO ( RENOVO)</t>
  </si>
  <si>
    <t>PRESTAÇÃO DE SERVIÇOS UFVs (JABOTICATUBAS) NF 458</t>
  </si>
  <si>
    <t>Pagamamento de medição refrente ao serviço de ADITIVO do projeto de drenagem. IMPLEMENTAÇÃO DE UMA ESCADA HIDRÁULICA E UMA CAIXA DE PASSAGEM NAS CANALETAS . ENVIADO POR MANOEL</t>
  </si>
  <si>
    <t>[CCC06302]</t>
  </si>
  <si>
    <t>003708</t>
  </si>
  <si>
    <t>PRESTAÇÃO DE SERVIÇOS UFVs (JABOTICATUBAS) NF459</t>
  </si>
  <si>
    <t>Pagamamento de medição refrente ao serviço de ADITIVO do projeto de drenagem. IMPLEMENTAÇÃO DE UM TRECHO ADICIONAL DE CANALETA TIPO RACHÃO NA CANALETA. ENVIADO POR MANOEL</t>
  </si>
  <si>
    <t>003710</t>
  </si>
  <si>
    <t>PRESTAÇÃO DE SERVIÇOS UFVs (JABOTICATUBAS) NF 460</t>
  </si>
  <si>
    <t>Pagamamento de medição refrente ao serviço de ADITIVO do projeto de drenagem. IMPLEMENTAÇÃO DE EXTENSÃO DA CANALETA CM-01 COM RESPECTIVA CAIXA DE PASSAGEM E DISSIPADOR . ENVIADO POR MANOEL</t>
  </si>
  <si>
    <t>PRESTAÇÃO DE SERVIÇOS UFVs CICLO 3 NF 299</t>
  </si>
  <si>
    <t>Pagamento referente ao serviço de assessoria e consultoria fundiária. ENVIADO POR LEONARDO NASSER</t>
  </si>
  <si>
    <t>[CCC06303]</t>
  </si>
  <si>
    <t>003711</t>
  </si>
  <si>
    <t>PRESTAÇÃO DE SERVIÇOS UFVs (JABOTICATUBAS) NF 461</t>
  </si>
  <si>
    <t>Pagamamento de medição refrente ao serviço de ADITIVO do projeto de drenagem. IMPLEMENTAÇÃO DE UM TRECHO ADICIONAL DE CANALETA TIPO RACHÃO NA CANALETA VR-04 NA UFV. ENVIADO POR MANOEL</t>
  </si>
  <si>
    <t>[CCC06304]</t>
  </si>
  <si>
    <t>003712</t>
  </si>
  <si>
    <t>PRESTAÇÃO DE SERVIÇOS UFVs (JABOTICATUBAS) NF 462</t>
  </si>
  <si>
    <t>Pagamamento de medição refrente ao SERVIÇO DE IMPLEMENTAÇÃO DE CASCALHO EM TRECHOS DE VIAS DE ACESSO NA UFV . ENVIADO POR MANOEL</t>
  </si>
  <si>
    <t>003692</t>
  </si>
  <si>
    <t>COMPRA DE MATERIAIS UFVs (PEDRA DO INDAIA 5) NF 6151  NOVA MORADA</t>
  </si>
  <si>
    <t xml:space="preserve">Pagamento em faturamento direto referente a compra de materiais. ENVIADO POR </t>
  </si>
  <si>
    <t>[CCC06305]</t>
  </si>
  <si>
    <t>003713</t>
  </si>
  <si>
    <t>PRESTAÇÃO DE SERVIÇOS UFVs (JABOTICATUBAS) NF 457</t>
  </si>
  <si>
    <t xml:space="preserve">Pagamamento medição 5, referente aos serviços de drenagem. ENVIADO POR MANOEL </t>
  </si>
  <si>
    <t>[CCC06306]</t>
  </si>
  <si>
    <t>003697</t>
  </si>
  <si>
    <t>PRESTAÇÃO DE SERVIÇOS UFVs (JABOTICATUBAS) NF 151</t>
  </si>
  <si>
    <t>Pagamento de medição referente ao serviço de instalação de sistema de supervisão. ENVIADO POR ATI</t>
  </si>
  <si>
    <t>[CCC06307]</t>
  </si>
  <si>
    <t>OPEX</t>
  </si>
  <si>
    <t>003698</t>
  </si>
  <si>
    <t>PRESTAÇÃO DE SERVIÇOS UFVs (SÃO SEBASTIÃO 6) NF 152</t>
  </si>
  <si>
    <t>Pagamento de medição referente a licença de utilizaçao SGD. ENVIADO POR ATI</t>
  </si>
  <si>
    <t>003699</t>
  </si>
  <si>
    <t>PRESTAÇÃO DE SERVIÇOS UFVs (SÃO SEBASTIÃO 6) NF 153</t>
  </si>
  <si>
    <t>PRESTAÇÃO DE SERVIÇOS UFVs (LAGOA FORMOSA )  NF 536</t>
  </si>
  <si>
    <t>[CCC06308]</t>
  </si>
  <si>
    <t>COMPRA DE MATERIAIS UFVs (DIAMANTINA 2) NF 1281  FALEIRO</t>
  </si>
  <si>
    <t>[CCC06309]</t>
  </si>
  <si>
    <t>003700</t>
  </si>
  <si>
    <t>PRESTAÇÃO DE SERVIÇOS UFVs ( PEDRA DO INDAIA 3) NF 349</t>
  </si>
  <si>
    <t>Pagamento medição final referente ao serviço de drenagem. ENVIADO POR AUGUSTO</t>
  </si>
  <si>
    <t>[CCC06310]</t>
  </si>
  <si>
    <t>003701</t>
  </si>
  <si>
    <t>PRESTAÇÃO DE SERVIÇOS UFVs ( PEDRA DO INDAIA 5) NF 348</t>
  </si>
  <si>
    <t>Pagamento medição 5, referente ao serviço de drenagem. ENVIADO POR AUGUSTO</t>
  </si>
  <si>
    <t>003702</t>
  </si>
  <si>
    <t>COMPRA DE MATERIAIS UFVs (INDAIABIRA 1) NF 1678</t>
  </si>
  <si>
    <t>[CCC06311]</t>
  </si>
  <si>
    <t>003707</t>
  </si>
  <si>
    <t>COMPRA DE MATERIAIS UFVs (INDAIABIRA 2) NF 1679</t>
  </si>
  <si>
    <t>003717</t>
  </si>
  <si>
    <t>COMPRA DE MATERIAIS UFVs (INDAIABIRA 3) NF 1680</t>
  </si>
  <si>
    <t>003719</t>
  </si>
  <si>
    <t>COMPRA DE MATERIAIS UFVs (INDAIABIRA 4) NF 1681</t>
  </si>
  <si>
    <t>003720</t>
  </si>
  <si>
    <t>COMPRA DE MATERIAIS UFVs (BURITIZEIRO 1) NF 1682</t>
  </si>
  <si>
    <t>003721</t>
  </si>
  <si>
    <t>COMPRA DE MATERIAIS UFVs (BURITIZEIRO 2) NF 1683</t>
  </si>
  <si>
    <t>COMPRA DE MATERIAIS UFVs (VARGINHA 1) NF 1684</t>
  </si>
  <si>
    <t>001945</t>
  </si>
  <si>
    <t>COMPRA DE MATERIAIS UFVs (VARGINHA 2) NF 1685</t>
  </si>
  <si>
    <t>003703</t>
  </si>
  <si>
    <t>PRESTAÇÃO DE SERVIÇOS UFVs  ( PAINS 3) NF 346</t>
  </si>
  <si>
    <t>Pagamento medição 4, referente ao serviço de drenagem. ENVIADO POR AUGUSTO</t>
  </si>
  <si>
    <t>[CCC06312]</t>
  </si>
  <si>
    <t>PRESTAÇÃO DE SERVIÇOS UFVs  (FORMIGA 6) NF 347</t>
  </si>
  <si>
    <t>Pagamento medição 7, referente ao serviço de drenagem. ENVIADO POR AUGUSTO</t>
  </si>
  <si>
    <t>MEDIÇÃO ( GOMES ENGENHARIA)</t>
  </si>
  <si>
    <t>PRESTAÇÃO DE SERVIÇOS UFVs  ( PASSOS 4) NF  96</t>
  </si>
  <si>
    <t>Pagamento medição 3, referente ao serviço de drenagem. ENVIADO POR AUGUSTO</t>
  </si>
  <si>
    <t>[CCC06313]</t>
  </si>
  <si>
    <t>GOMES ENGENHARIA</t>
  </si>
  <si>
    <t>PRESTAÇÃO DE SERVIÇOS UFVs  ( PASSOS 4) NF  97</t>
  </si>
  <si>
    <t>003715</t>
  </si>
  <si>
    <t xml:space="preserve">MEDIÇÃO ( R&amp;M SOLAR ) </t>
  </si>
  <si>
    <t>PRESTAÇÃO DE SERVIÇOS UFVs  ( SÃO SEBASTIÃO DO OESTE 6) NF 3</t>
  </si>
  <si>
    <t>Pagamento medição 1, referente ao serviço de drenagem. ENVIADO POR AUGUSTO</t>
  </si>
  <si>
    <t>[CCC06314]</t>
  </si>
  <si>
    <t>PRESTAÇÃO DE SERVIÇOS UFVs (CAMPO BELO 1) NF 833</t>
  </si>
  <si>
    <t>Pagamento de medição 11, referente a mão de obra , necessários a construção da UFVs, em contrato EPC.  65% - ENVIADO POR SM RAFAEL</t>
  </si>
  <si>
    <t>[CCC06315]</t>
  </si>
  <si>
    <t>002989</t>
  </si>
  <si>
    <t>PRESTAÇÃO DE SERVIÇOS UFVs (CAMPO BELO 1) NF 834</t>
  </si>
  <si>
    <t>Pagamento de medição 11, referente elaboração de planos,  necessários a construção da UFVs, em contrato EPC.  35% - ENVIADO POR SM RAFAEL</t>
  </si>
  <si>
    <t>002990</t>
  </si>
  <si>
    <t>PRESTAÇÃO DE SERVIÇOS UFVs (TRES CORAÇÕES 3) NF 829</t>
  </si>
  <si>
    <t>Pagamento medição 4, referente a prestação de serviço de mão de obra, necessário à construção da UFVs. 65% - ENVIADO POR SM  RAFAEL OLIVEIRA</t>
  </si>
  <si>
    <t>[CCC06316]</t>
  </si>
  <si>
    <t>002991</t>
  </si>
  <si>
    <t>PRESTAÇÃO DE SERVIÇOS UFVs (TRES CORAÇÕES 3) NF 830</t>
  </si>
  <si>
    <t>Pagamento medição 4, referente a elaboração de planos, necessário à construção da UFVs. 35% - ENVIADO POR RAFAEL OLIVEIRA</t>
  </si>
  <si>
    <t>002993</t>
  </si>
  <si>
    <t>PRESTAÇÃO DE SERVIÇOS UFVs (MUZAMBINHO 1) NF 831</t>
  </si>
  <si>
    <t>[CCC06317]</t>
  </si>
  <si>
    <t>002994</t>
  </si>
  <si>
    <t>PRESTAÇÃO DE SERVIÇOS UFVs (MUZAMBINHO 1) NF 832</t>
  </si>
  <si>
    <t>PRESTAÇÃO DE SERVIÇOS UFVs (SÃO SEBASTIÃO DO OESTE 4) NF 211  CIMENTÃO</t>
  </si>
  <si>
    <t>Pagamento em faturamento direto referente ao serviço de concretagem. ENVIADO POR AUGUSTO</t>
  </si>
  <si>
    <t>[CCC06318]</t>
  </si>
  <si>
    <t>PRESTAÇÃO DE SERVIÇOS UFVs (BURITIS 1) NF 1122 JX AMBIENTAL</t>
  </si>
  <si>
    <t>[CCC06319]</t>
  </si>
  <si>
    <t>PRESTAÇÃO DE SERVIÇOS UFVs (UNAI 1) NF 1123 JX AMBIENTAL</t>
  </si>
  <si>
    <t>PRESTAÇÃO DE SERVIÇOS UFVs (UNAI 2) NF 1124 JX AMBIENTAL</t>
  </si>
  <si>
    <t>PRESTAÇÃO DE SERVIÇOS UFVs (LAGOA GRANDE 2) NF 788 JX AMBIENTAL</t>
  </si>
  <si>
    <t>PRESTAÇÃO DE SERVIÇOS UFVs (LAGOA GRANDE 4) NF 789 JX AMBIENTAL</t>
  </si>
  <si>
    <t xml:space="preserve">PRESTAÇÃO DE SERVIÇOS UFVs (DIAMANTINA 1) RONDA PORTEIROS  NF 1663 </t>
  </si>
  <si>
    <t>Pagamento referente ao serviço de vigilancia desarmada. ENVIADO POR MANOEL</t>
  </si>
  <si>
    <t>[CCC06320]</t>
  </si>
  <si>
    <t>002856</t>
  </si>
  <si>
    <t>PRESTAÇÃO DE SERVIÇOS UFVs (DIAMANTINA 1) RONDA PORTEIROS  NF 1664</t>
  </si>
  <si>
    <t>002999</t>
  </si>
  <si>
    <t>PRESTAÇÃO DE SERVIÇOS UFVs (OURO FINO 2)  NF  722</t>
  </si>
  <si>
    <t>Pagamento de medição referente ao serviço de cpnstrução de canaletas, caixa de passagem e dissipadores. ENVIAO POR RAFAEL</t>
  </si>
  <si>
    <t>[CCC06321]</t>
  </si>
  <si>
    <t>PRESTAÇÃO DE SERVIÇOS UFVs (SANTO ANTONIO DO AMPARO 1)  NF 464</t>
  </si>
  <si>
    <t>Pagamento de medição referente ao serviço de drenagem. ENVIADO POR RAFAEL</t>
  </si>
  <si>
    <t>[CCC06322]</t>
  </si>
  <si>
    <t>Medição (MIPE)</t>
  </si>
  <si>
    <t>PRESTAÇÃO DE SERVIÇOS UFVs (ALFENAS 4)  NF 352</t>
  </si>
  <si>
    <t>[CCC06323]</t>
  </si>
  <si>
    <t>COMPRA DE MATERIAIS UFVs (PATOS DE MINAS 7) NF 2538</t>
  </si>
  <si>
    <t>Pagamento de medição referente a compra de materiais. ENVIADO POR WILLIAN ATI</t>
  </si>
  <si>
    <t>[CCC06324]</t>
  </si>
  <si>
    <t>002858</t>
  </si>
  <si>
    <t>COMPRA DE MATERIAIS UFVs (PATOS DE MINAS 8) NF 2539</t>
  </si>
  <si>
    <t>003736</t>
  </si>
  <si>
    <t>COMPRA DE MATERIAIS UFVs (DIVINOPOLIS 3) NF 2540</t>
  </si>
  <si>
    <t>003737</t>
  </si>
  <si>
    <t>COMPRA DE MATERIAIS UFVs (SÃO SEBASTIÃO DO OESTE 6) NF 2541</t>
  </si>
  <si>
    <t>003738</t>
  </si>
  <si>
    <t>COMPRA DE MATERIAIS UFVs (JABOTICATUBAS) NF 2542</t>
  </si>
  <si>
    <t>003739</t>
  </si>
  <si>
    <t>COMPRA DE MATERIAIS UFVs (DIVINOPOLIS 1) NF 2543</t>
  </si>
  <si>
    <t>003002</t>
  </si>
  <si>
    <t>COMPRA DE MATERIAIS UFVs (CAMPO BELO 3) NF 2544</t>
  </si>
  <si>
    <t>PRESTAÇÃO DE SERVIÇOS UFVs  ( MUZAMBINHO ) NF 37 ANTONIO JOAO</t>
  </si>
  <si>
    <t xml:space="preserve">Pagamento referente ao corte de eucalipto. ENVIADO POR RAFAEL </t>
  </si>
  <si>
    <t>[CCC06325]</t>
  </si>
  <si>
    <t>ANTONIO JOAO</t>
  </si>
  <si>
    <t>Fat. Direto (IMPLANTAR)</t>
  </si>
  <si>
    <t>COMPRA DE MATERIIAS UFVs (DIAMANTINA 2) NF 14361  PREMOLDADOS DIAMANTE</t>
  </si>
  <si>
    <t>Pagamento em faturmaneto direto referente a compra de materiais. ENVIADO POR MANOEL LIMA</t>
  </si>
  <si>
    <t>[CCC06326]</t>
  </si>
  <si>
    <t>COMPRA DE MATERIIAS UFVs (DIAMANTINA 2) NF 347213  LOJA ELETRICA</t>
  </si>
  <si>
    <t>[CCC06327]</t>
  </si>
  <si>
    <t>002866</t>
  </si>
  <si>
    <t>COMPRA DE MATERIIAS UFVs (DIAMANTINA 1) NF 347212  LOJA ELETRICA</t>
  </si>
  <si>
    <t>[CCC06328]</t>
  </si>
  <si>
    <t>COMPRA DE MATERIIAS UFVs (DIAMANTINA 2) NF 1534  SC ORGANIZACAO</t>
  </si>
  <si>
    <t>[CCC06329]</t>
  </si>
  <si>
    <t>COMPRA DE MATERIIAS UFVs (CAMPO BELO 1) NF 29727  EXPONENCIAL</t>
  </si>
  <si>
    <t>Pagamento em faturmaneto direto referente a compra de materiais. ENVIADO POR THAINA MARQUES MBA</t>
  </si>
  <si>
    <t>[CCC06330]</t>
  </si>
  <si>
    <t>Outros - Serviços á UFVs (MIPE)</t>
  </si>
  <si>
    <t>PRESTAÇÃO DE SERVIÇOS UFVs (BAMBUÍ 1.1) NF 358</t>
  </si>
  <si>
    <t>Pagamentode medição referente ao serviço de limpeza de canaletas e drenagem. ENVIADO POR SARAH</t>
  </si>
  <si>
    <t>[CCC06331]</t>
  </si>
  <si>
    <t>PRESTAÇÃO DE SERVIÇOS UFVs (BAMBUÍ 1.2) NF 359</t>
  </si>
  <si>
    <t>A501 - ESTRELA DO NORTE HOLDING S.A</t>
  </si>
  <si>
    <t>Outros - Serviços á UFVs</t>
  </si>
  <si>
    <t xml:space="preserve">PRESTAÇÃO DE SERVIÇOS UFVs (ARES 2) ARCADIS  NF 42848 </t>
  </si>
  <si>
    <t>Pagamento referente ao serviço de engenharia independente para portifolio. ENVIADO POR CAROLINE MENANI</t>
  </si>
  <si>
    <t>[CCC06332]</t>
  </si>
  <si>
    <t>ARCADIS</t>
  </si>
  <si>
    <t>PRESTAÇÃO DE SERVIÇOS UFVs (ARES 2) ARCADIS  NF 42849</t>
  </si>
  <si>
    <t>PRESTAÇÃO DE SERVIÇOS UFVs (ARES 2) ARCADIS  NF 42850</t>
  </si>
  <si>
    <t>PRESTAÇÃO DE SERVIÇOS UFVs (ARES 2) ARCADIS  NF 42851</t>
  </si>
  <si>
    <t>PRESTAÇÃO DE SERVIÇOS UFVs (ARES 2) ARCADIS  ND 2367</t>
  </si>
  <si>
    <t>Pagamento de nota de debito referente as disesas de visita técnica. ENVIADO POR CAROLINE MENANI</t>
  </si>
  <si>
    <t>PRESTAÇÃO DE SERVIÇOS UFVs (ARES 2) ARCADIS  ND 2368</t>
  </si>
  <si>
    <t>PRESTAÇÃO DE SERVIÇOS UFVs (ARES 2) ARCADIS  ND 2369</t>
  </si>
  <si>
    <t>PRESTAÇÃO DE SERVIÇOS UFVs (ARES 2) ARCADIS  ND 2370</t>
  </si>
  <si>
    <t>PRESTAÇÃO DE SERVIÇOS UFVs (CICLO 3) NF 30 3FS AGROCONSULTING</t>
  </si>
  <si>
    <t>Pagamento referente ao contrato mensal de prestação de serviços sobre questões técnicas de geoprocessamento, banco de dados, processamento digital de imagens de aeronaves remotamente pilotadas (Drones), questões fundiárias e ambientai . ENVIADO POR LEONARDO NASSER</t>
  </si>
  <si>
    <t>[CCC06333]</t>
  </si>
  <si>
    <t xml:space="preserve">CICLO 3 </t>
  </si>
  <si>
    <t>3FS</t>
  </si>
  <si>
    <t>PRESTAÇÃO DE SERVIÇO UFVs ( CAMPO BELO 5) NF 2912</t>
  </si>
  <si>
    <t>Pagamento de medição, referente a prestação de serviço de projeto e extensão de rede de distribuição rural para atender à UFV. ENVIADO POR MARCIO ELI</t>
  </si>
  <si>
    <t>[CCC06334]</t>
  </si>
  <si>
    <t>PRESTAÇÃO DE SERVIÇOS UFVs (CAMPO BELO 3) NF 157</t>
  </si>
  <si>
    <t>Pagamento de medição referente ao comissionamento remoto. ENVIADO POR WILIAN ATI</t>
  </si>
  <si>
    <t>[CCC06335]</t>
  </si>
  <si>
    <t>002869</t>
  </si>
  <si>
    <t>PRESTAÇÃO DE SERVIÇOS UFVs (VARJÃO DE MINAS 4) NF 158</t>
  </si>
  <si>
    <t>Pagamento de medição referente ao serviço de instalação de sistema de supervisão. ENVIADO POR WILIAN ATI</t>
  </si>
  <si>
    <t>003012</t>
  </si>
  <si>
    <t>COMPRA DE MATERIAIS UFVs (SÃO SEBSTIÃO DO OESTE 1) NF 2548</t>
  </si>
  <si>
    <t>[CCC06336]</t>
  </si>
  <si>
    <t>055227</t>
  </si>
  <si>
    <t>PRESTAÇÃO DE SERVIÇOS  VIP LOCAÇÃO NF 1705</t>
  </si>
  <si>
    <t>Pagamento referente ao fretamento de veiculos de colaboradores para usina. ENVIADO POR ANDRESSA</t>
  </si>
  <si>
    <t>[CCC06337]</t>
  </si>
  <si>
    <t>PRESTAÇÃO DE SERVIÇOS UFVs (LAGOA FORMOSA) NF 314</t>
  </si>
  <si>
    <t>Pagamento referente ao aluguel de módulos metalicos. ENVIADO POR GILSON</t>
  </si>
  <si>
    <t>[CCC06338]</t>
  </si>
  <si>
    <t>PRESTAÇÃO DE SERVIÇOS UFVs (PATROCINIO 2) NF 313</t>
  </si>
  <si>
    <t>002879</t>
  </si>
  <si>
    <t>PRESTAÇÃO DE SERVIÇOS UFVs (PATROCINIO 3) NF 312</t>
  </si>
  <si>
    <t>003025</t>
  </si>
  <si>
    <t>PRESTAÇÃO DE SERVIÇOS UFVs (MUZAMBINHO) NF  723</t>
  </si>
  <si>
    <t>Pagamento  medição 5, referente elaboração de planos,  necessários a construção das UFVs, em contrato EPC.   - ENVIADO POR RAFAEL</t>
  </si>
  <si>
    <t>[CCC06339]</t>
  </si>
  <si>
    <t>AT01 - UFV COMERC MINAS GERAIS 3 LTDA</t>
  </si>
  <si>
    <t>DAE - Dispença de Licenciamento ambiental UFVS   (PATOS DE MINAS 9) N 5400036750432</t>
  </si>
  <si>
    <t>PAGAMENTO REFERENTE A TAXA DE LICENCIAMENTO AMBIENTAL ENVIADO POR TIAGO BERTASSO</t>
  </si>
  <si>
    <t>[CCC06340]</t>
  </si>
  <si>
    <t>DAE - Dispença de Licenciamento ambiental UFVS   (PATOS DE MINAS 9) N 1401331801117</t>
  </si>
  <si>
    <t>DAE - Dispença de Licenciamento ambiental UFVS   (PATOS DE MINAS 9) N 2901331801719</t>
  </si>
  <si>
    <t>DAE - Dispença de Licenciamento ambiental UFVS   (LAGOA GRANDE 1 E 2) N 1401331688680</t>
  </si>
  <si>
    <t>DAE - Dispença de Licenciamento ambiental UFVS   (LAGOA GRANDE 1 E 2) N 2901331689030</t>
  </si>
  <si>
    <t>DAE - Dispença de Licenciamento ambiental UFVS   (LAGOA GRANDE 1 E 2) N 1501331689412</t>
  </si>
  <si>
    <t>DAE - Dispença de Licenciamento ambiental UFVS   (LAGOA GRANDE 3 E 4) N 1401331692130</t>
  </si>
  <si>
    <t>DAE - Dispença de Licenciamento ambiental UFVS   (LAGOA GRANDE 3 E 4) N 1401331691559</t>
  </si>
  <si>
    <t>DAE - Dispença de Licenciamento ambiental UFVS   (LAGOA GRANDE 3 E 4) N 2901331692651</t>
  </si>
  <si>
    <t>DAE - Dispença de Licenciamento ambiental UFVS   (LAGOA GRANDE 3 E 4) N 2901331693070</t>
  </si>
  <si>
    <t>PRESTAÇÃO DE SERVIÇOS UFVs (VARJÃO DE MINAS 4) NF  837</t>
  </si>
  <si>
    <t xml:space="preserve">Pagamento aditivo de recomposição de custos. ENVIADO POR MATHEUS VILELA </t>
  </si>
  <si>
    <t>[CCC06341]</t>
  </si>
  <si>
    <t xml:space="preserve">PRESTAÇÃO DE SERVIÇOS UFVs (OURO FINO 2) NF 1464 RONDA </t>
  </si>
  <si>
    <t>Pagamento referente a prestação de serviços com vigias noturnos e diurnos. ENVIADO POR RAFAEL</t>
  </si>
  <si>
    <t>[CCC06342]</t>
  </si>
  <si>
    <t>FAT. DIRETO (EPC - GLD)</t>
  </si>
  <si>
    <t xml:space="preserve">PRESTAÇÃO DE SERVIÇOS UFVs (CAMPO BELO 1) NF 1440 RONDA </t>
  </si>
  <si>
    <t xml:space="preserve">PRESTAÇÃO DE SERVIÇOS UFVs (PARAGUAÇU 1) NF 1475 RONDA </t>
  </si>
  <si>
    <t xml:space="preserve">PRESTAÇÃO DE SERVIÇOS UFVs (MUZAMBINHO 1) NF 1462 RONDA </t>
  </si>
  <si>
    <t>003030</t>
  </si>
  <si>
    <t xml:space="preserve">PRESTAÇÃO DE SERVIÇOS UFVs (TRÊS CORAÇÕES 3) NF 1510 RONDA </t>
  </si>
  <si>
    <t>003755</t>
  </si>
  <si>
    <t>PRESTAÇÃO DE SERVIÇOS UFVs (INDAIABIRA 3) NF 6  SRJ PROTEÇÃO</t>
  </si>
  <si>
    <t>[CCC06343]</t>
  </si>
  <si>
    <t>003754</t>
  </si>
  <si>
    <t>PRESTAÇÃO DE SERVIÇOS UFVs (INDAIABIRA 4) NF 5  SRJ PROTEÇÃO</t>
  </si>
  <si>
    <t>002882</t>
  </si>
  <si>
    <t>PRESTAÇÃO DE SERVIÇOS UFVs (PATOS DE MINAS 4) NF 511  GONCALVES E QUEIROZ</t>
  </si>
  <si>
    <t>Pagamento referente a prestação de serviços de levantamento topografico.. ENVIADO POR GILSON QUEIROZ</t>
  </si>
  <si>
    <t>[CCC06344]</t>
  </si>
  <si>
    <t>GONCALVES E QUEIROZ</t>
  </si>
  <si>
    <t>PRESTAÇÃO DE SERVIÇOS UFVs (PATOS DE MINAS 3) NF 519  GONCALVES E QUEIROZ</t>
  </si>
  <si>
    <t>[CCC06345]</t>
  </si>
  <si>
    <t>PRESTAÇÃO DE SERVIÇOS UFVs (DIAMANTINA 2) NF 42 EFIGENIO BOAVENTURA</t>
  </si>
  <si>
    <t>Pagamento referente ao serviço de mão de obra e fornecimento de materiais. ENVIADO POR MANOEL LIMA</t>
  </si>
  <si>
    <t>[CCC06346]</t>
  </si>
  <si>
    <t>PRESTAÇÃO DE SERVIÇOS UFVs (DIAMANTINA 2) NF 10  PORTAL ENGENHARIA</t>
  </si>
  <si>
    <t>Pagamento referente ao serviço de cravação e alinhamento de estacas. ENVIADO POR MANOEL LIMA</t>
  </si>
  <si>
    <t>[CCC06347]</t>
  </si>
  <si>
    <t>PRESTAÇÃO DE SERVIÇOS UFVs (PATROCINIO 2) NF 1618 RONDA PORTEIROS</t>
  </si>
  <si>
    <t>Pagamento referente a prestação de serviços com vigias noturnos e diurnos. ENVIADO POR GILSON</t>
  </si>
  <si>
    <t>[CCC06348]</t>
  </si>
  <si>
    <t>PRESTAÇÃO DE SERVIÇOS UFVs (PATROCINIO 3) NF 1619 RONDA PORTEIROS</t>
  </si>
  <si>
    <t>COMPRA DE MATERIAIS UFVs (MUZAMBINHO 1) NF 6182  NOVA MORADA</t>
  </si>
  <si>
    <t>Pagamento em faturamento direto referente a construção de cerca perimetral. ENVIADO POR RAFAEL OLIVEIRA</t>
  </si>
  <si>
    <t>[CCC06349]</t>
  </si>
  <si>
    <t>COMPRA DE MATERIAIS UFVs (PARAGUAÇU  1) NF 6172  NOVA MORADA</t>
  </si>
  <si>
    <t>Pagamento em faturamento direto referente a construção de office. ENVIADO POR RAFAEL OLIVEIRA</t>
  </si>
  <si>
    <t>[CCC06350]</t>
  </si>
  <si>
    <t>003034</t>
  </si>
  <si>
    <t>PRESTAÇÃO DE SERVIÇO UFVs(TRÊS CORAÇÕES 3) NF  94</t>
  </si>
  <si>
    <t>Pagamento medição 3,  referente a prestação dos serviços de drenagem . ENVIADO POR RAFAEL</t>
  </si>
  <si>
    <t>[CCC06351]</t>
  </si>
  <si>
    <t>003035</t>
  </si>
  <si>
    <t>PRESTAÇÃO DE SERVIÇO UFVs(TRÊS CORAÇÕES 3) NF 95</t>
  </si>
  <si>
    <t>001946</t>
  </si>
  <si>
    <t>PRESTAÇÃO DE SERVIÇO UFVs (FORMIGA 6) NF 835</t>
  </si>
  <si>
    <t>Pagamento medição 11, referente a prestação de serviço de mão de obra, necessário à construção da UFVs. 65% - ENVIADO POR AUGUSTO</t>
  </si>
  <si>
    <t>[CCC06352]</t>
  </si>
  <si>
    <t>PRESTAÇÃO DE SERVIÇO UFVs (FORMIGA 6) NF 836</t>
  </si>
  <si>
    <t>Pagamento medição 11, referente a elaboração de planos, necessário à construção da UFVs. 35% - ENVIADO POR AUGUSTO</t>
  </si>
  <si>
    <t>MEDIÇÃO (MBA)</t>
  </si>
  <si>
    <t>PRESTAÇÃO DE SERVIÇO UFVs (PATROCÍNIO 2) NF 2919</t>
  </si>
  <si>
    <t xml:space="preserve">Pagamento medição final, referente a prestação de serviço de montagem e instalação elétrica de redes de distribuição de energia rural e urbana, no município de Patrocínio/MG. ENVIADO POR MÁRCIO </t>
  </si>
  <si>
    <t>[CCC06353]</t>
  </si>
  <si>
    <t>PRESTAÇÃO DE SERVIÇO UFVs (PATROCÍNIO 3) NF 2920</t>
  </si>
  <si>
    <t xml:space="preserve">Pagamento medição final, referente a prestação de serviço de montagem e instalação elétrica de redes de distribuição de energia rural e urbana, no município de Patrocínio/MG.  ENVIADO POR MÁRCIO </t>
  </si>
  <si>
    <t>PRESTAÇÃO DE SERVIÇO UFVs (PARACATU 8) NF 2921</t>
  </si>
  <si>
    <t xml:space="preserve">Pagamento medição, referente a prestação de serviço de montagem e instalação elétrica de redes de equipe de Linha Viva para instalação de equipamentos e encabeçamento de redes de distribuição de energia, no município de Paracatu - MG .  ENVIADO POR MÁRCIO </t>
  </si>
  <si>
    <t>PRESTAÇÃO DE SERVIÇOS - USINAS CICLO 3 NF 28  3FS AGROCONSULTING</t>
  </si>
  <si>
    <t>[CCC06354]</t>
  </si>
  <si>
    <t>COMPRA DE MATERIAIS UFVs (DIAMANTINA 2) NF 210811  REAL D AVILA</t>
  </si>
  <si>
    <t>Pagamento em faturamento direto referente a compra de combustível. ENVIADO POR MANOEL LIMA</t>
  </si>
  <si>
    <t>[CCC06355]</t>
  </si>
  <si>
    <t>COMPRA DE MATERIAIS UFVs (OURO FINO 2) NF 6184  NOVA MORADA</t>
  </si>
  <si>
    <t>Pagamento em faturamento direto refernte a construção de office. ENVIADO POR RAFAEL OLIVEIRA</t>
  </si>
  <si>
    <t>[CCC06356]</t>
  </si>
  <si>
    <t>Fat, Direto (EPC-GLD)</t>
  </si>
  <si>
    <t>COMPRA DE MATERIAIS UFVs (MUZAMBINHO 1) NF 6186  NOVA MORADA</t>
  </si>
  <si>
    <t>[CCC06357]</t>
  </si>
  <si>
    <t>COMPRA DE MATERIAIS UFVs (TRES CORAÇÕES 3) NF 6185  NOVA MORADA</t>
  </si>
  <si>
    <t>[CCC06358]</t>
  </si>
  <si>
    <t>COMPRA DE MATERIAIS UFVs (TRES CORAÇÕES 3) NF 6158  NOVA MORADA</t>
  </si>
  <si>
    <t>[CCC06359]</t>
  </si>
  <si>
    <t>COMPRA DE MATERIAIS UFVs (MUZAMBINHO 1) NF 6157  NOVA MORADA</t>
  </si>
  <si>
    <t>[CCC06360]</t>
  </si>
  <si>
    <t>COMPRA DE MATERIAIS UFVs (OURO FINO 2) NF 6156  NOVA MORADA</t>
  </si>
  <si>
    <t>[CCC06361]</t>
  </si>
  <si>
    <t>001948</t>
  </si>
  <si>
    <t>PRESTAÇÃO DE SERVIÇO UFVs (SÃO SEBASTIÃO DO OESTE 3) NF 11 TERRA FORTE</t>
  </si>
  <si>
    <t>Pagamento referente ao serviços de roçagem DA PLANTA na usina. ENVIADO POR AUGUSTO</t>
  </si>
  <si>
    <t>[CCC06362]</t>
  </si>
  <si>
    <t>PRESTAÇÃO DE SERVIÇO UFVs (DIAMANTINA 1) NF 150</t>
  </si>
  <si>
    <t>Pagamento de medição 2, referente a prestação do serviço de drenagem. ENVIADO POR MANOEL</t>
  </si>
  <si>
    <t>[CCC06363]</t>
  </si>
  <si>
    <t>A629 - ESTRELA DO NORTE -  UFV PARACATU 5</t>
  </si>
  <si>
    <t>003759</t>
  </si>
  <si>
    <t>PRESTAÇÃO DE SERVIÇO UFVs (PARACATU 5) NF 11 COSTERR</t>
  </si>
  <si>
    <t>Pagamento de medição referente a prestação de serviço de terraplenagem. ENVIADO POR WENDEL</t>
  </si>
  <si>
    <t>[CCC06364]</t>
  </si>
  <si>
    <t>003760</t>
  </si>
  <si>
    <t>FAT.DIRETO ( ORCI)</t>
  </si>
  <si>
    <t>PRESTAÇÃO DE SERVIÇO UFVs (PARACATU 5) N 58</t>
  </si>
  <si>
    <t>Pagamento referente a locação de euipamentos, para a prestação de serviço de terraplenagem. ENVIADO POR WENDEL</t>
  </si>
  <si>
    <t>A628 - ESTRELA DO NORTE -  UFV PARACATU 4</t>
  </si>
  <si>
    <t>003761</t>
  </si>
  <si>
    <t>PRESTAÇÃO DE SERVIÇO UFVs (PARACATU 4) NF 12</t>
  </si>
  <si>
    <t>Pagamento de medição referente a prestação de serviço de Drenagem. ENVIADO POR WENDEL</t>
  </si>
  <si>
    <t>DAE - Dispença de Licenciamento ambiental UFVS   (BURITIS 1) N 1401332175660</t>
  </si>
  <si>
    <t>[CCC06365]</t>
  </si>
  <si>
    <t>DAE - Dispença de Licenciamento ambiental UFVS   (BURITIS 1) N 1401332176160</t>
  </si>
  <si>
    <t>DAE - Dispença de Licenciamento ambiental UFVS   (BURITIS 1) N 2901332176273</t>
  </si>
  <si>
    <t>DAE - Dispença de Licenciamento ambiental UFVS   (BURITIS 1) N 2901332176681</t>
  </si>
  <si>
    <t>Medição (THM)</t>
  </si>
  <si>
    <t>PRESTAÇÃO DE SERVIÇOS UFVs (PATROCINIO 3) NF 727  ANTIGA 725</t>
  </si>
  <si>
    <t>Pagamento de medição referente ao serviço de construção de canaleta, caixas de passagens e dissipadores. ENVIADO POR GILSON QUEIOZ</t>
  </si>
  <si>
    <t>[CCC06366]</t>
  </si>
  <si>
    <t>PRESTAÇÃO DE SERVIÇOS UFVs (PATROCINIO 2) NF 724</t>
  </si>
  <si>
    <t>Pagamento de medição refernte ao serviço de construção de canaleta, caixas de passagens e dissipadores. ENVIADO POR GILSON QUEIOZ</t>
  </si>
  <si>
    <t>[CCC06367]</t>
  </si>
  <si>
    <t>MEDIÇÃO MENSAL JANEIRO/2023  UFVs  LMENG  NF 12452</t>
  </si>
  <si>
    <t>[CCC06368]</t>
  </si>
  <si>
    <t>MEDIÇÃO MENSAL JANEIRO/2023  UFVs  LMENG  NF 12453</t>
  </si>
  <si>
    <t>MEDIÇÃO MENSAL JANEIRO/2023  UFVs  LMENG  NF 12454</t>
  </si>
  <si>
    <t>003762</t>
  </si>
  <si>
    <t>MEDIÇÃO MENSAL JANEIRO/2023  UFVs  LMENG  NF 12455</t>
  </si>
  <si>
    <t>MEDIÇÃO MENSAL JANEIRO/2023  UFVs  LMENG  NF 12456</t>
  </si>
  <si>
    <t>MEDIÇÃO MENSAL JANEIRO/2023  UFVs  LMENG  NF 12462</t>
  </si>
  <si>
    <t>003763</t>
  </si>
  <si>
    <t>MEDIÇÃO MENSAL JANEIRO/2023  UFVs  LMENG  NF 12457</t>
  </si>
  <si>
    <t>003765</t>
  </si>
  <si>
    <t>PRESTAÇÃO DE SERVIÇO UFVs (PEDRA DO INDAIA 5) NF 838</t>
  </si>
  <si>
    <t>Pagamento de medição 9, referente a mão de obra , necessários a construção da UFVs, em contrato EPC.  65% - ENVIADO POR SM  AUGUSTO</t>
  </si>
  <si>
    <t>[CCC06369]</t>
  </si>
  <si>
    <t>003766</t>
  </si>
  <si>
    <t>PRESTAÇÃO DE SERVIÇO UFVs (PEDRA DO INDAIA 5) NF 839</t>
  </si>
  <si>
    <t>Pagamento de medição  9, referente elaboração de planos,  necessários a construção da UFVs, em contrato EPC.  35% - ENVIADO POR SM AUGUSTO</t>
  </si>
  <si>
    <t>003768</t>
  </si>
  <si>
    <t>PRESTAÇÃO DE SERVIÇO UFVs (SÃO SEBASTIÃO DO OESTE 6) NF 24 CONSTRUTORA RESENDE</t>
  </si>
  <si>
    <t>Pagamento em faturamento direto referente a locação de retroescavadeira. ENVIADO POR AUGUSTO SIQUEIRA</t>
  </si>
  <si>
    <t>[CCC06370]</t>
  </si>
  <si>
    <t>PRESTAÇÃO DE SERVIÇO UFVs (VARGINHA 2) NF 159</t>
  </si>
  <si>
    <t>Pagamento de medição referente ao projeto de instalação de sistema de supervisão. ENVIADO POR WILLIAN ATI</t>
  </si>
  <si>
    <t>[CCC06371]</t>
  </si>
  <si>
    <t>003056</t>
  </si>
  <si>
    <t>PRESTAÇÃO DE SERVIÇO UFVs (VARGINHA 1) NF 160</t>
  </si>
  <si>
    <t>PRESTAÇÃO DE SERVIÇO UFVs (CAMPO BELO 3) NF 161</t>
  </si>
  <si>
    <t>002903</t>
  </si>
  <si>
    <t>PRESTAÇÃO DE SERVIÇO UFVs (PATO DE MINAS 4) NF 162</t>
  </si>
  <si>
    <t>PRESTAÇÃO DE SERVIÇO UFVs (PATOS DE MINAS 7) NF 163</t>
  </si>
  <si>
    <t>PRESTAÇÃO DE SERVIÇO UFVs (PATOS DE MINAS 8) NF 164</t>
  </si>
  <si>
    <t>002906</t>
  </si>
  <si>
    <t>PRESTAÇÃO DE SERVIÇO UFVs (PATOS DE MINAS 4) NF 165</t>
  </si>
  <si>
    <t>PRESTAÇÃO DE SERVIÇO UFVs (PATOS DE MINAS 7) NF 166</t>
  </si>
  <si>
    <t>PRESTAÇÃO DE SERVIÇO UFVs (PATOS DE MINAS 8) NF 167</t>
  </si>
  <si>
    <t>PRESTAÇÃO DE SERVIÇO UFVs (VARJÃO 4) NF 168</t>
  </si>
  <si>
    <t>003770</t>
  </si>
  <si>
    <t>PRESTAÇÃO DE SERVIÇO UFVs (BURITIZEIRO 1) NF 169</t>
  </si>
  <si>
    <t>003771</t>
  </si>
  <si>
    <t>PRESTAÇÃO DE SERVIÇO UFVs (BURITIZEIRO 2) NF 170</t>
  </si>
  <si>
    <t>003772</t>
  </si>
  <si>
    <t>PRESTAÇÃO DE SERVIÇO UFVs (DIVINOPOLIS 3) NF 171</t>
  </si>
  <si>
    <t>003773</t>
  </si>
  <si>
    <t>PRESTAÇÃO DE SERVIÇO UFVs (SÃO SEBASTIÃO DO OESTE 6) NF 172</t>
  </si>
  <si>
    <t>003774</t>
  </si>
  <si>
    <t>PRESTAÇÃO DE SERVIÇO UFVs (JABOTICATUBAS) NF 173</t>
  </si>
  <si>
    <t>PRESTAÇÃO DE SERVIÇOS - USINAS CICLO 3 - GP SERVIÇOS  N 47//2023</t>
  </si>
  <si>
    <t xml:space="preserve">Pagamento NOTA DE DÉBITO, referente a Reembolso das despesas efetuadas aos serviços de NEGOCIAÇÃO DE SERVIDÃO DE REDE, PROSPECÇÃO DE TERRENOS E ASSINATURA DE DOCUMENTOS . DEZEMBRO/ 2023 - ENVIADO POR LEONARDO NASSER  -  2° QUINZENA </t>
  </si>
  <si>
    <t>[CCC06372]</t>
  </si>
  <si>
    <t>PRESTAÇÃO DE SERVIÇOS - USINAS CICLO 3 - GP SERVIÇOS  N 49//2023</t>
  </si>
  <si>
    <t xml:space="preserve">Pagamento NOTA DE DÉBITO, referente a Reembolso das despesas efetuadas aos serviços de NEGOCIAÇÃO DE SERVIDÃO DE REDE, PROSPECÇÃO DE TERRENOS E ASSINATURA DE DOCUMENTOS . JANEIRO/2024 - ENVIADO POR LEONARDO NASSER  -  2° QUINZENA </t>
  </si>
  <si>
    <t>[CCC06373]</t>
  </si>
  <si>
    <t>003776</t>
  </si>
  <si>
    <t>COMPRA DE MATERIAIS UFVS (PEDRA DO INDAIA 3) NF 2555</t>
  </si>
  <si>
    <t>[CCC06374]</t>
  </si>
  <si>
    <t>003777</t>
  </si>
  <si>
    <t>COMPRA DE MATERIAIS UFVS (PEDRA DO INDAIA 1) NF 2556</t>
  </si>
  <si>
    <t>COMPRA DE MATERIAIS UFVS (PATOS DE MINAS 4) NF 2559</t>
  </si>
  <si>
    <t>COMPRA DE MATERIAIS UFVS (PATOS DE MINAS 7) NF 2560</t>
  </si>
  <si>
    <t>COMPRA DE MATERIAIS UFVS (PATOS DE MINAS 8) NF 2561</t>
  </si>
  <si>
    <t>PRESTAÇÃO DE SERVIÇOS - USINAS CICLO 3 - PWX ENGENHARIA NF 173</t>
  </si>
  <si>
    <t>Pagamento referente ao serviço de levantamento topográfico planialtimétrico cadastral. ENVIADO POR LEONARDO NASSER</t>
  </si>
  <si>
    <t>[CCC06375]</t>
  </si>
  <si>
    <t>PRESTAÇÃO DE SERVIÇOS - USINAS CICLO 3 - GP SERVIÇOS ND 48</t>
  </si>
  <si>
    <t>Pagamento de nota de débito referente a despesas com alimentação, combustivel, pedágios,postagens  e hospedagem. ENVIADO POR LEONARDO NASSER</t>
  </si>
  <si>
    <t>[CCC06376]</t>
  </si>
  <si>
    <t>Outros - Serviços á UFVs ( R&amp;M)</t>
  </si>
  <si>
    <t>PRESTAÇÃO DE SERVIÇOS UFVs (PARACATU 8) NF  3 RENAN LUIZ</t>
  </si>
  <si>
    <t>Pagamento em faturamento direto referente aos equipamentos utilizados na construção das bases dos container, valor será descontado na medição de conclusão do serviçodo contrato. ENVIADO POR SARAH</t>
  </si>
  <si>
    <t>[CCC06377]</t>
  </si>
  <si>
    <t>PRESTAÇÃO DE SERVIÇOS UFVs (VARJÃO DE MINAS 1) NF 4 LUIZ C MACHADO</t>
  </si>
  <si>
    <t>PRESTAÇÃO DE SERVIÇOS UFVs ( LAGOA FORMOSA 1) NF  4 RENAN LUIZ</t>
  </si>
  <si>
    <t>COMPRA DE MATERIAIS UFVs (VARJÃO DE MINAS 4 ) NF 2575</t>
  </si>
  <si>
    <t>[CCC06378]</t>
  </si>
  <si>
    <t>003779</t>
  </si>
  <si>
    <t xml:space="preserve">PRESTAÇÃO DE SERVIÇOS UFVs (PARACATU 4) NF 29 ARCANJO </t>
  </si>
  <si>
    <t>[CCC06379]</t>
  </si>
  <si>
    <t>003780</t>
  </si>
  <si>
    <t xml:space="preserve">PRESTAÇÃO DE SERVIÇOS UFVs (PARACATU 5) NF 28  ARCANJO </t>
  </si>
  <si>
    <t>PRESTAÇÃO DE SERVIÇOS UFVs ( CAMPO BELO 5) NF  304 GP SERVIÇOS</t>
  </si>
  <si>
    <t>Pagamento de medição final referente ao serviços fundiários realizados no projeto da usina. ENVIADO POR GUILHERME</t>
  </si>
  <si>
    <t>[CCC06380]</t>
  </si>
  <si>
    <t>003060</t>
  </si>
  <si>
    <t>PRESTAÇÃO DE SERVIÇOS UFVs ( SÃO SEBASTIÃO DO OESTE 4) NF   305 GP SERVIÇOS</t>
  </si>
  <si>
    <t>capex</t>
  </si>
  <si>
    <t>PRESTAÇÃO DE SERVIÇOS UFVs (FORMIGA 2) NF  206 AGROTEC</t>
  </si>
  <si>
    <t>MEDIÇÃO (GOMES ICEM)</t>
  </si>
  <si>
    <t>PRESTAÇÃO DE SERVIÇOS UFVs (PASSOS 4) NF  99</t>
  </si>
  <si>
    <t>Pagamento de medição referente ao serviço de drenagem. ENVIADO POR AUGUSTO SIQUEIRA</t>
  </si>
  <si>
    <t>[CCC06381]</t>
  </si>
  <si>
    <t>GOMES ICEM</t>
  </si>
  <si>
    <t>PRESTAÇÃO DE SERVIÇOS UFVs (PASSOS 4) NF  100</t>
  </si>
  <si>
    <t>PRESTAÇÃO DE SERVIÇOS UFVs (CAMPO BELO 1) NF 840</t>
  </si>
  <si>
    <t>Pagamento de medição 12, referente aos serviços de mão de obra, necessários a construção da usina.  ENVIADO POR RAFAEL</t>
  </si>
  <si>
    <t>[CCC06382]</t>
  </si>
  <si>
    <t>PRESTAÇÃO DE SERVIÇOS UFVs (CAMPO BELO 1) NF 841</t>
  </si>
  <si>
    <t>Pagamento medição 12, referente a elaboração de planos, necessário à construção da UFVs. - ENVIADO POR RAFAEL</t>
  </si>
  <si>
    <t>COMPRA DE MATERIAIS UFVs (DIAMANTINA 2) NF 210878 REAL D'AVILA</t>
  </si>
  <si>
    <t>Pagamento de faturamento direto, referente a compra de  combustível, para serviços de drenagem. ENVIADO POR MANOEL</t>
  </si>
  <si>
    <t>[CCC06383]</t>
  </si>
  <si>
    <t>PRESTAÇÃO DE SERVIÇOS UFVs (TRES CORAÇÕES 3) NF  101</t>
  </si>
  <si>
    <t>Pagamento de medição referente ao serviço de drenagem. ENVIADO POR RAFAEL OLIVEIRA</t>
  </si>
  <si>
    <t>[CCC06384]</t>
  </si>
  <si>
    <t>PRESTAÇÃO DE SERVIÇOS UFVs (TRES CORAÇÕES 3) NF  102</t>
  </si>
  <si>
    <t>PRESTAÇÃO DE SERVIÇOS (FORMIGA 6) NF 842</t>
  </si>
  <si>
    <t>[CCC06385]</t>
  </si>
  <si>
    <t>PRESTAÇÃO DE SERVIÇOS (FORMIGA 6) NF 843</t>
  </si>
  <si>
    <t>003781</t>
  </si>
  <si>
    <t>PRESTAÇÃO DE SERVIÇOS (JABOTICATUBAS) NF 469</t>
  </si>
  <si>
    <t>Pagamento de medição 6, referente ao serviços de drenagem. ENVIADO POR MANOEL</t>
  </si>
  <si>
    <t>[CCC06386]</t>
  </si>
  <si>
    <t>003848</t>
  </si>
  <si>
    <t>PRESTAÇÃO DE SERVIÇOS (DIVINOPOLIS 1) NF 29360</t>
  </si>
  <si>
    <t>Pagamento de medição referente ao fornecimento de material e mão de obra especializada para serviços de instalações eletromecanicas e civil. ENVIADO POR AUGUSTO</t>
  </si>
  <si>
    <t>[CCC06387]</t>
  </si>
  <si>
    <t>003849</t>
  </si>
  <si>
    <t>PRESTAÇÃO DE SERVIÇOS (DIVINOPOLIS 2) NF 29361</t>
  </si>
  <si>
    <t>003782</t>
  </si>
  <si>
    <t>PRESTAÇÃO DE SERVIÇOS (SÃO SEBASTIÃODO OESTE 0) NF 29362</t>
  </si>
  <si>
    <t>Pagamento de medição, referente ao fornecimento de material e mão de obra especializada,para serviços de instalações eletromecanicas e civil. ENVIADO POR AUGUSTO</t>
  </si>
  <si>
    <t>003783</t>
  </si>
  <si>
    <t>PRESTAÇÃO DE SERVIÇOS (PAINS 3) NF 29363</t>
  </si>
  <si>
    <t>PRESTAÇÃO DE SERVIÇOS (SÃOSEBASTIÃO DO OESTE 4) NF 29364</t>
  </si>
  <si>
    <t>PRESTAÇÃO DE SERVIÇOS (PASSOS 4) NF 29365</t>
  </si>
  <si>
    <t>003804</t>
  </si>
  <si>
    <t>DAE - Dispença de Licenciamento ambiental UFVS   (JABOTICATUBAS) N 0701332026092</t>
  </si>
  <si>
    <t>[CCC06388]</t>
  </si>
  <si>
    <t>003805</t>
  </si>
  <si>
    <t>DAE - Dispença de Licenciamento ambiental UFVS   (JABOTICATUBAS) N 1501332027731</t>
  </si>
  <si>
    <t>003806</t>
  </si>
  <si>
    <t>DAE - Dispença de Licenciamento ambiental UFVS   (JABOTICATUBAS) N 1501332027243</t>
  </si>
  <si>
    <t>003807</t>
  </si>
  <si>
    <t>PRESTAÇÃO DE SERVIÇOS UFVs (SÃO SEBASTIÃO DO OESTE 0) NF  29367</t>
  </si>
  <si>
    <t>Pagamento de medição, referente ao ADITIVO DE FUNDAÇÃO DAS HASTES DO TRACKERS. ENVIADO POR AUGUSTO.</t>
  </si>
  <si>
    <t>[CCC06389]</t>
  </si>
  <si>
    <t>A401-MORI MINAS NEWCO IV - ENERGIA SOLAR S.A</t>
  </si>
  <si>
    <t>003086</t>
  </si>
  <si>
    <t>PRESTAÇÃO DE SERVIÇOS UFVs (SÃO SEBASTIÃO DO OESTE 4) NF  29366</t>
  </si>
  <si>
    <t>[CCC06390]</t>
  </si>
  <si>
    <t>003808</t>
  </si>
  <si>
    <t>PRESTAÇÃO DE SERVIÇOS UFVs (PARACATU 4) NF 29358</t>
  </si>
  <si>
    <t>Pagamento de medição referente ao forneciemnto de material e mão de obra especializada para serviço de instalações eletromecanicas e civil. EVIADO POR WENDEL TORRES</t>
  </si>
  <si>
    <t>[CCC06391]</t>
  </si>
  <si>
    <t>003809</t>
  </si>
  <si>
    <t>PRESTAÇÃO DE SERVIÇOS UFVs (PARACATU 5) NF 29359</t>
  </si>
  <si>
    <t>PRESTAÇÃO DE SERVIÇOS UFVs (DIAMANTINA 2) NF 59 COSTERR</t>
  </si>
  <si>
    <t>[CCC06392]</t>
  </si>
  <si>
    <t>003088</t>
  </si>
  <si>
    <t>PRESTAÇÃO DE SERVIÇOS UFVs (SANTO ANTONIO DO AMPARO 1) NF 468</t>
  </si>
  <si>
    <t>[CCC06393]</t>
  </si>
  <si>
    <t>003811</t>
  </si>
  <si>
    <t>SERVIÇOS PRESTADOS DE CONSULTORIA EM CONTRATOS -  DELOITTE     NF 50</t>
  </si>
  <si>
    <t>Pagamento referente a medição mão de obra contrato DELOITTE ,  necessário à construção da UFV em contrato EPC . MEDIÇÃO 18 - ENVIADO POR  ROGÉRIO DELOITTE</t>
  </si>
  <si>
    <t>[CCC06394]</t>
  </si>
  <si>
    <t>SERVIÇOS PRESTADOS DE CONSULTORIA EM CONTRATOS -  DELOITTE     NF 51</t>
  </si>
  <si>
    <t>SERVIÇOS PRESTADOS DE CONSULTORIA EM CONTRATOS -  DELOITTE     NF 52</t>
  </si>
  <si>
    <t>003115</t>
  </si>
  <si>
    <t>SERVIÇOS PRESTADOS DE CONSULTORIA EM CONTRATOS -  DELOITTE     NF 53</t>
  </si>
  <si>
    <t>003090</t>
  </si>
  <si>
    <t>Fat, Direto (MBA-MT)</t>
  </si>
  <si>
    <t>COMPRA DE MATERIAIS UFVs (SÃO SEBASTIÃO DO OESTE 4) NF 8189 IBERICA</t>
  </si>
  <si>
    <t>Pagamento em faturamento direto referente a compra de materiais. ENVIAMO POR MBA - *NOTA DE REMESSA, NÃO GERA FINANCEIRO.*</t>
  </si>
  <si>
    <t>[CCC06395]</t>
  </si>
  <si>
    <t xml:space="preserve"> *NOTA DE REMESSA, NÃO GERA FINANCEIRO.</t>
  </si>
  <si>
    <t>003091</t>
  </si>
  <si>
    <t>COMPRA DE MATERIAIS UFVs (SÃO SEBASTIÃO DO OESTE 4) NF 8188 IBERICA</t>
  </si>
  <si>
    <t>Pagamento em faturamento direto referente a compra de materiais. ENVIAMO POR MBA - *NOTA DE REMESSA, NÃO GERA FINANCEIRO. SOMENTE ESCRITURAR*</t>
  </si>
  <si>
    <t>[CCC06396]</t>
  </si>
  <si>
    <t>*REMESSA* NÃO GERA FINANCEIRO. SOMENTE ESCRITURAR*</t>
  </si>
  <si>
    <t>PRESTAÇÃO DE SERVIÇO UFVs (DIAMANTINA 1 ) NF 60  A.R ARQUITETURA</t>
  </si>
  <si>
    <t>[CCC06397]</t>
  </si>
  <si>
    <t>DAE - Dispença de Licenciamento ambiental UFVS (POUSO ALEGRE 1) N 1501332647080</t>
  </si>
  <si>
    <t>[CCC06398]</t>
  </si>
  <si>
    <t>DAE - Dispença de Licenciamento ambiental UFVS (POUSO ALEGRE 1) N 1501332645834</t>
  </si>
  <si>
    <t>AT03 - UFV COMERC MG 3 - PARA DE MINAS 1</t>
  </si>
  <si>
    <t>DAE - Dispença de Licenciamento ambiental UFVS (PARA DE MINAS 1) N 1601332679575</t>
  </si>
  <si>
    <t>PAGAMENTO REFERENTE A TAXA AMBIENTAL, REGULARIZAÇÃO DE RESERVA LEGAL AVERBADA. ENVIADO POR KARINA BARBOSA</t>
  </si>
  <si>
    <t>[CCC06399]</t>
  </si>
  <si>
    <t>PRESTAÇÃO DE SERVIÇOS UFV CICLO 3 - RENOVA ND 1</t>
  </si>
  <si>
    <t>Pagamento referente a reembolso de despesas com taxas dos processos de licenciamento ambiental das usinas do Ciclo 03, pagas pela Renova. ENVIADO POR KARINA AGUIAR</t>
  </si>
  <si>
    <t>[CCC06400]</t>
  </si>
  <si>
    <t>PRESTAÇÃO DE SERVIÇOS UFV CICLO 3 - RENOVA ND 2</t>
  </si>
  <si>
    <t>PRESTAÇÃO DE SERVIÇOS UFV CICLO 3 - RENOVA ND 3</t>
  </si>
  <si>
    <t>PRESTAÇÃO DE SERVIÇOS UFV CICLO 3 - RENOVA ND 4</t>
  </si>
  <si>
    <t>PRESTAÇÃO DE SERVIÇOS UFV CICLO 3 - RENOVA ND 5</t>
  </si>
  <si>
    <t>PRESTAÇÃO DE SERVIÇOS UFV CICLO 3 - RENOVA ND 6</t>
  </si>
  <si>
    <t>PRESTAÇÃO DE SERVIÇOS UFV CICLO 3 - RENOVA ND 7</t>
  </si>
  <si>
    <t>PRESTAÇÃO DE SERVIÇOS UFV CICLO 3 - RENOVA ND 8</t>
  </si>
  <si>
    <t>PRESTAÇÃO DE SERVIÇOS UFV CICLO 3 - RENOVA ND 9</t>
  </si>
  <si>
    <t>PRESTAÇÃO DE SERVIÇOS UFV CICLO 3 - RENOVA ND 10</t>
  </si>
  <si>
    <t>PRESTAÇÃO DE SERVIÇOS UFV CICLO 3 - RENOVA ND 11</t>
  </si>
  <si>
    <t>PRESTAÇÃO DE SERVIÇOS UFV CICLO 3 - RENOVA ND 12</t>
  </si>
  <si>
    <t>PRESTAÇÃO DE SERVIÇOS UFV CICLO 3 - RENOVA ND 13</t>
  </si>
  <si>
    <t>PRESTAÇÃO DE SERVIÇOS UFV CICLO 3 - RENOVA ND 14</t>
  </si>
  <si>
    <t>PRESTAÇÃO DE SERVIÇOS UFV CICLO 3 - RENOVA ND 15</t>
  </si>
  <si>
    <t>PRESTAÇÃO DE SERVIÇOS UFV CICLO 3 - RENOVA ND 16</t>
  </si>
  <si>
    <t>PRESTAÇÃO DE SERVIÇOS UFV CICLO 3 - RENOVA ND 17</t>
  </si>
  <si>
    <t>PRESTAÇÃO DE SERVIÇOS UFV CICLO 3 - RENOVA ND 18</t>
  </si>
  <si>
    <t>PRESTAÇÃO DE SERVIÇOS UFV CICLO 3 - RENOVA ND 19</t>
  </si>
  <si>
    <t>PRESTAÇÃO DE SERVIÇOS UFV CICLO 3 - RENOVA ND 20</t>
  </si>
  <si>
    <t>PRESTAÇÃO DE SERVIÇOS UFV CICLO 3 - RENOVA ND 21</t>
  </si>
  <si>
    <t>PRESTAÇÃO DE SERVIÇOS UFV CICLO 3 - RENOVA ND 22</t>
  </si>
  <si>
    <t>PRESTAÇÃO DE SERVIÇOS UFV CICLO 3 - RENOVA ND 23</t>
  </si>
  <si>
    <t>PRESTAÇÃO DE SERVIÇOS UFV CICLO 3 - RENOVA ND 24</t>
  </si>
  <si>
    <t>PRESTAÇÃO DE SERVIÇOS UFV CICLO 3 - RENOVA ND 25</t>
  </si>
  <si>
    <t>003093</t>
  </si>
  <si>
    <t>MEDIÇÃO ( PHP PROJETOS)</t>
  </si>
  <si>
    <t>PRESTAÇÃO DE SERVIÇOS UFVs ( PARAGUAÇU 1) NF 1458</t>
  </si>
  <si>
    <t xml:space="preserve">Pagamento medição 3, referente ao serviço de drenagem. ENVIADO POR RAFAEL </t>
  </si>
  <si>
    <t>[CCC06401]</t>
  </si>
  <si>
    <t>PH PROJETOS</t>
  </si>
  <si>
    <t xml:space="preserve">PRESTAÇÃO DE SERVIÇO UFVs ( SÃO CAETANO)  ND 14 GOVERDE </t>
  </si>
  <si>
    <t>[CCC06402]</t>
  </si>
  <si>
    <t>003094</t>
  </si>
  <si>
    <t>COMPRA DE MATERIAIS UFVs (SÃO SEBASTIÃO DO OESTE 4) NF 8203 IBERICA</t>
  </si>
  <si>
    <t>Pagamento referente a compra de materiais. ENVIADO POR  THAINÁ MARQUES MBA - *NOTA DE REMESSA. NÃO GERA FINANCEIRO, APENAS ESCRITURAR*</t>
  </si>
  <si>
    <t>[CCC06403]</t>
  </si>
  <si>
    <t>*REMESSA*</t>
  </si>
  <si>
    <t>IBÉRICA</t>
  </si>
  <si>
    <t>AT04 - COMERC MG 3 - UFV PATOS DE MINAS 6</t>
  </si>
  <si>
    <t>PRESTAÇÃO DE SERVIÇOS UFVs CICLO 3 (PARA DE MINAS 1) -  JX AMBIENTAL NF 792</t>
  </si>
  <si>
    <t>Taxa necessária à avaliação de intervenção ambiental para a UFV. ENVIADO POR  THIAGO BERTASO</t>
  </si>
  <si>
    <t>[CCC06404]</t>
  </si>
  <si>
    <t>PRESTAÇÃO DE SERVIÇOS UFVs CICLO 3 - (PATOS DE MINAS 6) JX AMBIENTAL NF 793</t>
  </si>
  <si>
    <t>AT02 - COMERC MG 3 - UFV ELÓI MENDES 2</t>
  </si>
  <si>
    <t>PRESTAÇÃO DE SERVIÇOS UFVs CICLO 3 (PROFESSOR JAMIL CESAR) -  JX AMBIENTAL NF 1125</t>
  </si>
  <si>
    <t>PRESTAÇÃO DE SERVIÇOS UFVs CICLO 3 (ELOI MENDES)-  JX AMBIENTAL NF 1128</t>
  </si>
  <si>
    <t>PRESTAÇÃO DE SERVIÇOS UFVs CICLO 3 (PATOS DE MINAS 9)  JX AMBIENTAL NF 1129</t>
  </si>
  <si>
    <t>PRESTAÇÃO DE SERVIÇOS UFVs CICLO 3 (POUSO ALEGRE 1)-  JX AMBIENTAL NF 1131</t>
  </si>
  <si>
    <t>PRESTAÇÃO DE SERVIÇOS UFVs CICLO 3 (PORANGATU 3)-  JX AMBIENTAL NF 1132</t>
  </si>
  <si>
    <t>PRESTAÇÃO DE SERVIÇOS UFVs CICLO 3 (FORMOSO 2)  JX AMBIENTAL NF 1133</t>
  </si>
  <si>
    <t>PRESTAÇÃO DE SERVIÇOS UFVs CICLO 3 - (PROFESSOR JAMIIL 1) JX AMBIENTAL NF 1134</t>
  </si>
  <si>
    <t>PRESTAÇÃO DE SERVIÇOS UFVs CICLO 3 -  (URUTAI) JX AMBIENTAL NF 1135</t>
  </si>
  <si>
    <t>AT05 - COMERC MG 3 - UFV SANTO ANTO DO AMAPRO 2</t>
  </si>
  <si>
    <t>PRESTAÇÃO DE SERVIÇOS UFVs CICLO 3 - (PORAGANTU 1)  JX AMBIENTAL NF 1137</t>
  </si>
  <si>
    <t>PRESTAÇÃO DE SERVIÇOS UFVs CICLO 3 - (SANTO ANTONIO DO AMPARO 2) JX AMBIENTAL NF 1138</t>
  </si>
  <si>
    <t>PRESTAÇÃO DE SERVIÇOS UFVs (ALFENAS 4)  RONDA PORTEIROS NF 1558</t>
  </si>
  <si>
    <t>Pagamento de aditivo referente ao serviço de vigilancia noturna e diurna. ENVIADO POR RAFAEL</t>
  </si>
  <si>
    <t>[CCC06405]</t>
  </si>
  <si>
    <t>003101</t>
  </si>
  <si>
    <t>PRESTAÇÃO DE SERVIÇOS UFVs (SANTO ANTONIO DO AMPARO 1)  RONDA PORTEIROS NF 1642</t>
  </si>
  <si>
    <t>003102</t>
  </si>
  <si>
    <t>PRESTAÇÃO DE SERVIÇOS UFVs (OURO FINO 2)  RONDA PRTEIROS NF 1650</t>
  </si>
  <si>
    <t>003103</t>
  </si>
  <si>
    <t>PRESTAÇÃO DE SERVIÇOS UFVs (MUZAMBINHO)  RONDA PRTEIROS NF 1651</t>
  </si>
  <si>
    <t>PRESTAÇÃO DE SERVIÇOS UFVs (TRES CORAÇÕES 3)  RONDA PRTEIROS NF 1653</t>
  </si>
  <si>
    <t>PRESTAÇÃO DE SERVIÇOS UFVs (PARAGUAÇU 1)  RONDA PRTEIROS NF 1655</t>
  </si>
  <si>
    <t>PRESTAÇÃO DE SERVIÇOS UFVs (SANTO ANTONIO DO AMPARO II) DAE N 1500556686967</t>
  </si>
  <si>
    <t>Taxas finais do processo de requerimento de AIA - LENHA . ENVIADO POR  TIAGO</t>
  </si>
  <si>
    <t>[CCC06406]</t>
  </si>
  <si>
    <t>PRESTAÇÃO DE SERVIÇOS UFVs (SANTO ANTONIO DO AMPARO II) DAE N1501332954705</t>
  </si>
  <si>
    <t>Taxas finais do processo de requerimento de AIA - MADEIRA . ENVIADO POR  TIAGO</t>
  </si>
  <si>
    <t>COMPRA DE MATERIAIS UFVs (PATROCINIO 3) NF 27117</t>
  </si>
  <si>
    <t>Pagamento referente a compra de mateeriais. ENVIADO POR FERNANDO MAEDA - *NOTA DE REMESSA. NÃO GERA FINANCEIRO, APENAS ESCRITURAR*</t>
  </si>
  <si>
    <t>[CCC06407]</t>
  </si>
  <si>
    <t>AJ01 - UFV MORI PERNANBUCO 1 ENERGIA SOLAR S/A</t>
  </si>
  <si>
    <t>PRESTAÇÃO DE SERVIÇO UFV (AREAL) N 15  GO VERDE</t>
  </si>
  <si>
    <t>Pagamento de nota de débito referente a elaboração de relatórios de condicionantes e taxas de LP e LI para CPRH para renovação ou emissão do licenciamento ambiental do projeto. ENVIADO POR JOÃO PAULO LESSA</t>
  </si>
  <si>
    <t>[CCC06408]</t>
  </si>
  <si>
    <t xml:space="preserve"> GO VERDE</t>
  </si>
  <si>
    <t>COMPRA DE MATERIAIS UFVs  NF 26888 ROMAGNOLE</t>
  </si>
  <si>
    <t>Pagamento referente a compra de mateeriais. ENVIADO POR MARCIO - *NOTA DE REMESSA. NÃO GERA FINANCEIRO, APENAS ESCRITURAR*</t>
  </si>
  <si>
    <t>[CCC06409]</t>
  </si>
  <si>
    <t>COMPRA DE MATERIAIS UFVs  NF 220835 ROMAGNOLE</t>
  </si>
  <si>
    <t>[CCC06410]</t>
  </si>
  <si>
    <t>COMPRA DE MATERIAIS UFVs  NF 220726 ROMAGNOLE</t>
  </si>
  <si>
    <t>[CCC06411]</t>
  </si>
  <si>
    <t>COMPRA DE MATERIAIS UFVs  NF 220655 ROMAGNOLE</t>
  </si>
  <si>
    <t>[CCC06412]</t>
  </si>
  <si>
    <t>COMPRA DE MATERIAIS UFVs  NF 220656 ROMAGNOLE</t>
  </si>
  <si>
    <t>[CCC06413]</t>
  </si>
  <si>
    <t>COMPRA DE MATERIAIS UFVs  NF 220657 ROMAGNOLE</t>
  </si>
  <si>
    <t>[CCC06414]</t>
  </si>
  <si>
    <t xml:space="preserve">PRESTAÇÃO DE SERVIÇOS UFVs ( ARCOS 7) NF 1562 RONDA PORTEIROS </t>
  </si>
  <si>
    <t xml:space="preserve">Pagamento referente a segurança, vigias norutsno e diurnos .   ENVIADO POR  AUGUSTO </t>
  </si>
  <si>
    <t>[CCC06415]</t>
  </si>
  <si>
    <t>003111</t>
  </si>
  <si>
    <t>COMPRA DE MATERIAIS UFVs (PRAGUAÇU 1) NF 218671 ROMAGNOLE</t>
  </si>
  <si>
    <t>[CCC06416]</t>
  </si>
  <si>
    <t>COMPRA DE MATERIAIS UFVs (VARGINHA 1) NF 218618 ROMAGNOLE</t>
  </si>
  <si>
    <t>[CCC06417]</t>
  </si>
  <si>
    <t>COMPRA DE MATERIAIS UFVs NF 218556 ROMAGNOLE</t>
  </si>
  <si>
    <t>[CCC06418]</t>
  </si>
  <si>
    <t>COMPRA DE MATERIAIS UFVs (VARGINHA 2)  NF 217039 ROMAGNOLE</t>
  </si>
  <si>
    <t>[CCC06419]</t>
  </si>
  <si>
    <t>COMPRA DE MATERIAIS UFVs NF (VARGINHA 5) 217038 ROMAGNOLE</t>
  </si>
  <si>
    <t>[CCC06420]</t>
  </si>
  <si>
    <t>COMPRA DE MATERIAIS UFVs  NF 217037 ROMAGNOLE</t>
  </si>
  <si>
    <t>[CCC06421]</t>
  </si>
  <si>
    <t>PRESTAÇÃO DE SERVIÇOS UFVs (CASSIA 1) N 5400037243615</t>
  </si>
  <si>
    <t>Pagamento de taxa, referente a comunicação de colheita para corte de eucalipto que está causando sombremento. ENVIADO POR TIAGO AMBIENTAL</t>
  </si>
  <si>
    <t>[CCC06422]</t>
  </si>
  <si>
    <t>COMPRA DE MATERIAIS UFVs  NF 216914 ROMAGNOLE</t>
  </si>
  <si>
    <t>[CCC06423]</t>
  </si>
  <si>
    <t>003202</t>
  </si>
  <si>
    <t>COMPRA DE MATERIAIS UFVs (CAMPO BELO 1)  NF  12074  LOJA ELETRICA</t>
  </si>
  <si>
    <t>Pagamento em faturamento direto referente a compra de materiais. ENVIADO POR THAINA MBA</t>
  </si>
  <si>
    <t>[CCC06424]</t>
  </si>
  <si>
    <t>CONSTRUMANAGER -    02/2024   NF 315136</t>
  </si>
  <si>
    <t>[CCC06425]</t>
  </si>
  <si>
    <t>003822</t>
  </si>
  <si>
    <t>PRESTAÇÃO DE SERVIÇOS UFVs (PEDRA DO INDAIA 5) NF 1481 RONDA PORTEIROS</t>
  </si>
  <si>
    <t>Pagamentos em faturamento direto referente ao serviço de segurança desarmada. ENVIADO POR AUGUSTO XAVIER</t>
  </si>
  <si>
    <t>[CCC06426]</t>
  </si>
  <si>
    <t>003823</t>
  </si>
  <si>
    <t>COMPRA DE MATERIAIS UFVs (PEDRA DO INDAIA 5) NF 6171 NOVA MORADA</t>
  </si>
  <si>
    <t>Pagamentos em faturamento direto referente a compra de materiais. ENVIADO POR AUGUSTO XAVIER</t>
  </si>
  <si>
    <t>[CCC06427]</t>
  </si>
  <si>
    <t>003824</t>
  </si>
  <si>
    <t>REGRHAN  PRESTAÇÃO DE SERVIÇOS  ESTRELA DO NORTE  NF 2571</t>
  </si>
  <si>
    <t>Pagamento referente aos serviços de assessoria , gestão e controle documental de terceiros, realizados pelo REGRHAN, necessários a construção das UFVs. ENVIADO POR REGRHAN - 02/24</t>
  </si>
  <si>
    <t>[CCC06428]</t>
  </si>
  <si>
    <t>002969</t>
  </si>
  <si>
    <t>REGRHAN  PRESTAÇÃO DE SERVIÇOS  MORI II  NF 2572</t>
  </si>
  <si>
    <t>REGRHAN  PRESTAÇÃO DE SERVIÇOS  MORI MINAS NEWCO IV  NF 2573</t>
  </si>
  <si>
    <t>REGRHAN  PRESTAÇÃO DE SERVIÇOS  MORI MINAS NEWCO V  NF 2574</t>
  </si>
  <si>
    <t>MEDIÇÃO ( ENGELUZ )</t>
  </si>
  <si>
    <t>PRESTAÇÃO DE SERVIÇOS UFVs (DIAMANTINA 2) NF 583</t>
  </si>
  <si>
    <t xml:space="preserve">Pagamento de medição referente ao serviço de mão de obra especializada na construção de RDR.  ENVIADO POR ENGELUZ </t>
  </si>
  <si>
    <t>[CCC06429]</t>
  </si>
  <si>
    <t>002971</t>
  </si>
  <si>
    <t>PRESTAÇÃO DE SERVIÇOS UFVs (DIAMANTINA 1) NF 582</t>
  </si>
  <si>
    <t>PRESTAÇÃO DE SERVIÇOS UFVs (DIAMANTINA 2) NF 21 ATLAS</t>
  </si>
  <si>
    <t>Pagamento referente ao serviço de colheita e armazenamento das arvores cortadas no cercamento da usina. ENVIAO POR MANOEL LIMA</t>
  </si>
  <si>
    <t>[CCC06430]</t>
  </si>
  <si>
    <t>COMPRA DE MATERIAIS UFVs (DIAMANTINA 1)  NF 65  COMERCIAL ROMANA</t>
  </si>
  <si>
    <t>Pagamento referente a compra de placas de grama para instalação em talude. ENVIADO POR MANOEL LIMA</t>
  </si>
  <si>
    <t>[CCC06431]</t>
  </si>
  <si>
    <t>COMERCIAL ROMANA</t>
  </si>
  <si>
    <t>PRESTAÇÃO DE SERVIÇOS UFVs (TRES CORAÇÕES 3) NF 269</t>
  </si>
  <si>
    <t>Pagamento medição , referente ao serviço de terraplanagem, necessário à construção da usina.  ENVIADO POR RAFEL OLIVEIRA</t>
  </si>
  <si>
    <t>[CCC06432]</t>
  </si>
  <si>
    <t>PRESTAÇÃO DE SERVIÇOS UFVs (TRES CORAÇÕES 3) NF 420</t>
  </si>
  <si>
    <t>PRESTAÇÃO DE SERVIÇOS UFVs (BARRA DA ESTIVA)  RENOVA ND 26</t>
  </si>
  <si>
    <t>Pagamento de reembolso referente as taxas dos processos de licenciamento ambiental pagas pela Renova. ENVIADO POR LETICIA BRAGA</t>
  </si>
  <si>
    <t>[CCC06433]</t>
  </si>
  <si>
    <t>PRESTAÇÃO DE SERVIÇOS UFVs (JOÃO DOURADO)  RENOVA ND 27</t>
  </si>
  <si>
    <t>PRESTAÇÃO DE SERVIÇOS UFVs (JANIO QUABROS)  RENOVA ND 28</t>
  </si>
  <si>
    <t>PRESTAÇÃO DE SERVIÇOS UFVs (IBIPEBA)  RENOVA ND 29</t>
  </si>
  <si>
    <t>PRESTAÇÃO DE SERVIÇOS UFVs (BARRA DO CHOÇA 1)  RENOVA ND 30</t>
  </si>
  <si>
    <t>PRESTAÇÃO DE SERVIÇOS UFVs (BARRA DO CHOÇA 2)  RENOVA ND 31</t>
  </si>
  <si>
    <t>PRESTAÇÃO DE SERVIÇOS UFVs (BARRA DO CHOÇA 3)  RENOVA ND 32</t>
  </si>
  <si>
    <t>PRESTAÇÃO DE SERVIÇOS UFVs (MUZAMBINHO 1) NF 586</t>
  </si>
  <si>
    <t>[CCC06434]</t>
  </si>
  <si>
    <t>PRESTAÇÃO DE SERVIÇOS UFVs (PARAGUAÇU 1) NF 585</t>
  </si>
  <si>
    <t xml:space="preserve">Pagamento de medição referente ao serviço de mão de obra especializada na construção de RDR - ADITIVO.  ENVIADO POR ENGELUZ </t>
  </si>
  <si>
    <t xml:space="preserve"> A211-MORI GERACAO II -  UFV DIMANTINA   2 </t>
  </si>
  <si>
    <t>COMPRA DE MATERIAIS UFVs (DIAMANTINA 2)  NF 1569  SC ORGANIZAÇÃO</t>
  </si>
  <si>
    <t>Pagamento em faturamento direto referente a compra de concreto usinado. ENVIADO POR MANOEL LIMA</t>
  </si>
  <si>
    <t>[CCC06435]</t>
  </si>
  <si>
    <t>PRESTAÇÃO DE SERVIÇOS UFVs (TRES CORAÇOES 3) NF 846</t>
  </si>
  <si>
    <t>Pagamento de medição 6, referente a prestação de serviço de mão de obra, necessário à construção da UFVs. 65% - ENVIADO POR  RAFAEL OLIVEIRA</t>
  </si>
  <si>
    <t>[CCC06436]</t>
  </si>
  <si>
    <t>003141</t>
  </si>
  <si>
    <t>PRESTAÇÃO DE SERVIÇOS UFVs (TRES CORAÇOES 3) NF 847</t>
  </si>
  <si>
    <t>Pagamento de medição 6, referente a elaboração de planos, necessário à construção da UFVs. 35% - ENVIADO POR RAFAEL OLIVEIRA</t>
  </si>
  <si>
    <t>PRESTAÇÃO DE SERVIÇOS UFVs (MUZAMBINHO) NF 844</t>
  </si>
  <si>
    <t>Pagamento de medição 10, referente a prestação de serviço de mão de obra, necessário à construção da UFVs. 65% - ENVIADO POR  RAFAEL OLIVEIRA</t>
  </si>
  <si>
    <t>[CCC06437]</t>
  </si>
  <si>
    <t>PRESTAÇÃO DE SERVIÇOS UFVs (MUZAMBINHO) NF 845</t>
  </si>
  <si>
    <t>Pagamento de medição 10, referente a elaboração de planos, necessário à construção da UFVs. 35% - ENVIADO POR RAFAEL OLIVEIRA</t>
  </si>
  <si>
    <t>PRESTAÇÃO DE SERVIÇOS UFVs (OURO FINO 2) NF 848</t>
  </si>
  <si>
    <t>[CCC06438]</t>
  </si>
  <si>
    <t>003158</t>
  </si>
  <si>
    <t>PRESTAÇÃO DE SERVIÇOS UFVs (OURO FINO 2) NF 849</t>
  </si>
  <si>
    <t>MEDIÇÃO (ENGELUZ-MT) RDA</t>
  </si>
  <si>
    <t>PRESTAÇÃO DE SERVIÇOS UFVs (MUZAMBINHO 1) NF 584</t>
  </si>
  <si>
    <t>Pagamento de medição referente ao serviço de mão de obra especializada na construção de RDR. ENVIADO POR MARIA JOSE ENGELUZ</t>
  </si>
  <si>
    <t>[CCC06439]</t>
  </si>
  <si>
    <t>A306 - MORI MINAS NEWCO V - FORMIGA 6</t>
  </si>
  <si>
    <t>PRESTAÇÃO DE SERVIÇOS UFVs (FORMIGA 6) NF 587</t>
  </si>
  <si>
    <t>PRESTAÇÃO DE SERVIÇOS UFVs (PATROCÍNIO 2) NF 9 SJR PROTEÇÃO</t>
  </si>
  <si>
    <t>Pagamento referente ao serviços de Parametrização e testes nas canines.  ENVIADO POR SANDRO JOSE</t>
  </si>
  <si>
    <t>[CCC06440]</t>
  </si>
  <si>
    <t>BOS( UTILIZAMOS O MESMO PARAMETRO PEDIDOS ANTIGOS)</t>
  </si>
  <si>
    <t>PRESTAÇÃO DE SERVIÇOS UFVs (  PATROCÍNIO 3) NF 8 SJR PROTEÇÃO</t>
  </si>
  <si>
    <t>PRESTAÇÃO DE SERVIÇOS UFVs ( CAMPO BELO 5) NF  7 SJR PROTEÇÃO</t>
  </si>
  <si>
    <t>A603 - ESTRELA DO NORTE PEDRA DO INDAIA SPE</t>
  </si>
  <si>
    <t>003850</t>
  </si>
  <si>
    <t>PRESTAÇÃO DE SERVIÇOS UFVs (PEDRA DO INDAIA 1) NORTE CONEXÃO NF 1893</t>
  </si>
  <si>
    <t>Pagamento referente ao lançamento de fibra optica. ENVIADO POR ATI</t>
  </si>
  <si>
    <t>[CCC06441]</t>
  </si>
  <si>
    <t>003851</t>
  </si>
  <si>
    <t>PRESTAÇÃO DE SERVIÇOS UFVs (PEDRA DO INDAIA 3) NORTE CONEXÃO NF 1894</t>
  </si>
  <si>
    <t>Pagamento referente ao lançamento de fibra optica. ENVIADO POR LEANDRO ATI</t>
  </si>
  <si>
    <t>MEDIÇÃO (GOMES)</t>
  </si>
  <si>
    <t>PRESTAÇÃO DE SERVIÇOS UFVs (PASSOS 4) NF 104</t>
  </si>
  <si>
    <t>Pagamento de medição referente ao serviço de drenagem. ENVADO POR AUGUSTO XAVIER</t>
  </si>
  <si>
    <t>[CCC06442]</t>
  </si>
  <si>
    <t>AUGUSTO ENVIAR NOVA NOTA</t>
  </si>
  <si>
    <t>PRESTAÇÃO DE SERVIÇOS UFVs (PASSOS 4) NF 105</t>
  </si>
  <si>
    <t>PRESTAÇÃO DE SERVIÇOS UFVs (TRES CORAÇÕES 3) NF 106</t>
  </si>
  <si>
    <t>Pagamento de medição 5 referente ao serviço de drenagem. ENVADO POR RAFAEL</t>
  </si>
  <si>
    <t>[CCC06443]</t>
  </si>
  <si>
    <t>003165</t>
  </si>
  <si>
    <t>PRESTAÇÃO DE SERVIÇOS UFVs (TRES CORAÇÕES 3) NF 107</t>
  </si>
  <si>
    <t>PRESTAÇÃO DE SERVIÇOS UFVs (ALFENAS 4) NF 364</t>
  </si>
  <si>
    <t>Pagamento de medição referente ao serviço de drenagem. ENVADO POR RAFAEL</t>
  </si>
  <si>
    <t>[CCC06444]</t>
  </si>
  <si>
    <t>PRESTAÇÃO DE SERVIÇOS UFVs (OURO FINO 2) NF 729</t>
  </si>
  <si>
    <t>Pagamento de medição referente ao serviço de construção de canaletas, caixas de passagem e dissipadores . ENVADO POR RAFAEL</t>
  </si>
  <si>
    <t>[CCC06445]</t>
  </si>
  <si>
    <t>COMPRA DE MATERIAIS UFVs (PATROCIONO 2) NF 2601</t>
  </si>
  <si>
    <t>[CCC06446]</t>
  </si>
  <si>
    <t>003844</t>
  </si>
  <si>
    <t>COMPRA DE MATERIAIS UFVs (PEDRA DO INDAIA 1) NF 2602</t>
  </si>
  <si>
    <t>003845</t>
  </si>
  <si>
    <t>COMPRA DE MATERIAIS UFVs (PEDRA DO INDAIA 3) NF 2603</t>
  </si>
  <si>
    <t>003183</t>
  </si>
  <si>
    <t xml:space="preserve">MEDIÇÃO (RENOVO) </t>
  </si>
  <si>
    <t>PRESTAÇÃO DE SERVIÇOS UFVs (SANTO ANTONO DO AMPARO 1) NF 470</t>
  </si>
  <si>
    <t>Pagamento medição 7, referente a prestação de serviço de drenagem. ENVIADO POR RAFAEL.</t>
  </si>
  <si>
    <t>[CCC06447]</t>
  </si>
  <si>
    <t>PRESTAÇÃO DE SERVIÇO UFVs (DIAMANTINA 1) NF 1718  RONDA PORTEIROS</t>
  </si>
  <si>
    <t>Pagamento referente a prestação de serviços com vigia noturnos (aditivo). ENVIADO POR MANOEL</t>
  </si>
  <si>
    <t>[CCC06448]</t>
  </si>
  <si>
    <t>PRESTAÇÃO DE SERVIÇO UFVs (DIAMANTINA 1) NF 1719  RONDA PORTEIROS</t>
  </si>
  <si>
    <t>AU01 - COMERC MG 3 - UFV COMERC PERNAMBUCO 3 LTDA</t>
  </si>
  <si>
    <t>PRESTAÇÃO DE SERVIÇO UFVs CICLO 3 (CUPIRA E VENTOSA) NF 178</t>
  </si>
  <si>
    <t>Pagamento referente ao serviço de  levantamento topográfico planialtimétrico cadastral junto as áreas para estudo da usina. ENVIADO POR LEONARDO NASSER</t>
  </si>
  <si>
    <t>[CCC06449]</t>
  </si>
  <si>
    <t>PWX</t>
  </si>
  <si>
    <t>AJ01 - UFV MORI PERNAMBUCO 1 ENERGIA SOLAR S/A</t>
  </si>
  <si>
    <t>PRESTAÇÃO DE SERVIÇO UFVs CICLO 3 (SERTÂNIA) NF 179</t>
  </si>
  <si>
    <t>PRESTAÇÃO DE SERVIÇOS UFVs (LAGOA GRANDE 1) JX AMBIENTAL NF 797</t>
  </si>
  <si>
    <t>Taxa necessária à avaliação de intervenção ambiental para a UFV. ENVIADO POR NAYAR MENDES</t>
  </si>
  <si>
    <t>[CCC06450]</t>
  </si>
  <si>
    <t>PRESTAÇÃO DE SERVIÇOS UFVs (LAGOA GRANDE 3) JX AMBIENTAL NF 799</t>
  </si>
  <si>
    <t>PRESTAÇÃO DE SERVIÇOS UFVs (POUSO ALEGRE 1) JX AMBIENTAL NF 1145</t>
  </si>
  <si>
    <t>PRESTAÇÃO DE SERVIÇOS UFVs (PATOS DE MINAS 6) JX AMBIENTAL NF 1146</t>
  </si>
  <si>
    <t>MEDIÇÃO ( WEG)</t>
  </si>
  <si>
    <t>PRESTAÇÃO DE SERVIÇOS MORI MINAS NEWCO V  - PROFORMA EVENTO 1 (CAMPO BELO 4-)</t>
  </si>
  <si>
    <t>Pagamento referente  a fatura proforma de peças sobressalentes WEG. ENVIADO POR MARCIO ELI - NOTA SERA ENVIADA POSTERIORMENTE</t>
  </si>
  <si>
    <t>[CCC06451]</t>
  </si>
  <si>
    <t>321298,84 cancelado</t>
  </si>
  <si>
    <t>PRESTAÇÃO DE SERVIÇOS MORI MINAS NEWCO V  - PROFORMA EVENTO 1  (Bambuí 1.2)</t>
  </si>
  <si>
    <t>PRESTAÇÃO DE SERVIÇOS MORI MINAS NEWCO V  - PROFORMA EVENTO 1 (Cássia 2)</t>
  </si>
  <si>
    <t>PRESTAÇÃO DE SERVIÇOS MORI MINAS NEWCO V  - PROFORMA EVENTO 1 (São Sebastião 3_x000D_)</t>
  </si>
  <si>
    <t>PRESTAÇÃO DE SERVIÇOS MORI MINAS NEWCO V  - PROFORMA EVENTO 1 ( São Sebastião 5_x000D_)</t>
  </si>
  <si>
    <t>PRESTAÇÃO DE SERVIÇOS MORI MINAS NEWCO IV  - PROFORMA EVENTO 1 (BAMBUI 1.1)</t>
  </si>
  <si>
    <t>244886,75 CANCELADO</t>
  </si>
  <si>
    <t>PRESTAÇÃO DE SERVIÇOS MORI MINAS NEWCO IV  - PROFORMA EVENTO 1 (Cássia 1)</t>
  </si>
  <si>
    <t>PRESTAÇÃO DE SERVIÇOS MORI MINAS NEWCO IV  - PROFORMA EVENTO 1 (Campo Belo 3)</t>
  </si>
  <si>
    <t>PRESTAÇÃO DE SERVIÇOS MORI MINAS NEWCO IV  - PROFORMA EVENTO 1 (São Sebastião 1)</t>
  </si>
  <si>
    <t>PRESTAÇÃO DE SERVIÇOS MORI GERAÇÃO II  - PROFORMA EVENTO 1 ( NOVA PONTE ) ADIANTAMENTO</t>
  </si>
  <si>
    <t>160473,46 - cancelado</t>
  </si>
  <si>
    <t>PRESTAÇÃO DE SERVIÇOS MORI GERAÇÃO II  - PROFORMA EVENTO 1  UFVs (VARJAO DE MINAS 1) ADIANTAMENTO</t>
  </si>
  <si>
    <t>PRESTAÇÃO DE SERVIÇOS MORI GERAÇÃO II  - PROFORMA EVENTO 1 (FREI INOCENCIO) ADIANTAMENTO</t>
  </si>
  <si>
    <t xml:space="preserve">Pagamento referente  a fatura proforma de peças sobressalentes WEG. ENVIADO POR MARCIO ELI - NOTA SERA ENVIADA POSTERIORMENTE </t>
  </si>
  <si>
    <t>PRESTAÇÃO DE SERVIÇOS MORI GERAÇÃO II  - PROFORMA EVENTO 1 UFVs (PARACATU 8) ADIANTAMENTO</t>
  </si>
  <si>
    <t>PRESTAÇÃO DE SERVIÇOS UFVs (FORMIGA 6) NF 1727 RONDA PORTEIROS</t>
  </si>
  <si>
    <t>Pagamento em faturamento direto referente a pretsação de serviços com vigias diurnos e noturnos. ENVIADO POR AUGUSTO SIQUEIRA</t>
  </si>
  <si>
    <t>[CCC06452]</t>
  </si>
  <si>
    <t>003846</t>
  </si>
  <si>
    <t xml:space="preserve">PRESTAÇÃO DE SERVIÇOS UFVs (PAINS 3) NF 361 </t>
  </si>
  <si>
    <t>Pagamento de medição 6 referente ao serviço de drenagem. ENVIADO POR AUGUSTO SIQUEIRA</t>
  </si>
  <si>
    <t>[CCC06453]</t>
  </si>
  <si>
    <t xml:space="preserve">PRESTAÇÃO DE SERVIÇOS UFVs (FIRMIGA 6) NF 363 </t>
  </si>
  <si>
    <t>Pagamento de medição 7 referente ao serviço de drenagem. ENVIADO POR AUGUSTO SIQUEIRA</t>
  </si>
  <si>
    <t>[CCC06454]</t>
  </si>
  <si>
    <t>003847</t>
  </si>
  <si>
    <t>PRESTAÇÃO DE SERVIÇOS UFVs (PEDRA DO INDAIA 5) NF 362</t>
  </si>
  <si>
    <t>[CCC06455]</t>
  </si>
  <si>
    <t xml:space="preserve">MEDIÇÃO (GLD) </t>
  </si>
  <si>
    <t>PRESTAÇÃO DE SERVIÇOS UFVs (CAMPO BELO 1) NF 852</t>
  </si>
  <si>
    <t>Pagamento de medição 13°, referente a prestação de serviço de mão de obra, necessário à construção da UFVs. 65% - ENVIADO POR  RAFAEL OLIVEIRA</t>
  </si>
  <si>
    <t>[CCC06456]</t>
  </si>
  <si>
    <t>003184</t>
  </si>
  <si>
    <t>PRESTAÇÃO DE SERVIÇOS UFVs (CAMPO BELO 1) NF 854</t>
  </si>
  <si>
    <t>Pagamento de medição 13°, referente a elaboração de planos, necessário à construção da UFVs. 35% - ENVIADO POR RAFAEL OLIVEIRA</t>
  </si>
  <si>
    <t>003185</t>
  </si>
  <si>
    <t>PRESTAÇÃO DE SERVIÇOS UFVs (PARAGUAÇU 1) NF 850</t>
  </si>
  <si>
    <t>Pagamento de medição 10°, referente a prestação de serviço de mão de obra, necessário à construção da UFVs. 65% - ENVIADO POR  RAFAEL OLIVEIRA</t>
  </si>
  <si>
    <t>[CCC06457]</t>
  </si>
  <si>
    <t>003186</t>
  </si>
  <si>
    <t>PRESTAÇÃO DE SERVIÇOS UFVs (PARAGUAÇU 1) NF 851</t>
  </si>
  <si>
    <t>Pagamento de medição 10°, referente a elaboração de planos, necessário à construção da UFVs. 35% - ENVIADO POR RAFAEL OLIVEIRA</t>
  </si>
  <si>
    <t>AS01 - MORI 3 PARTICIPAÇÕES LTDA</t>
  </si>
  <si>
    <t>PRESTAÇÃO DE SERVIÇOS UFVs CICLO 3 NF 33 3FS AGROCONSULT</t>
  </si>
  <si>
    <t>Pagamento referente ao contrato mensal de prestação de serviços sobre questões técnicas de geoprocessamento, processamento digital de imagens de aeronave remotamente piltodas
(Drones), questões fundiárias e ambientais que versam sobre os imóveis rurais. ENVIADO POR LEONARDO NASSER</t>
  </si>
  <si>
    <t>[CCC06458]</t>
  </si>
  <si>
    <t>3FS AGROCONSULT</t>
  </si>
  <si>
    <t>2501 - BD PATICIPAÇÕES E ADMINISTRAÇÃO S.A</t>
  </si>
  <si>
    <t>PRESTAÇÃO DE SERVIÇOS UFVs CICLO 3 NF 329</t>
  </si>
  <si>
    <t>Pagamento referente ao serviço de assessoria fundiária em prospecções de terrenos e servidões. ENVIADO PRO LEONADO NASSER</t>
  </si>
  <si>
    <t>[CCC06459]</t>
  </si>
  <si>
    <t>PRESTAÇÃO DE SERVIÇOS UFVs (DIAMANTINA 2) NF 12 MESS ENGENHARIA</t>
  </si>
  <si>
    <t>Pagamento em faturamento direto referente ao serviço de gerenciamento de projetos. ENVIADO POR MANOEL LIMA</t>
  </si>
  <si>
    <t>[CCC06460]</t>
  </si>
  <si>
    <t>PRESTAÇÃO DE SERVIÇOS UFVs (DIAMANTINA 2) NF 411  AGUIAR LOCAÇÃO</t>
  </si>
  <si>
    <t>Pagamento em faturamento direto referente ao serviços de mobilização e contratação de 
equipamento retroescavadeira. ENVIADO POR MANOEL LIMA</t>
  </si>
  <si>
    <t>[CCC06461]</t>
  </si>
  <si>
    <t>PRESTAÇÃO DE SERVIÇOS UFVs (DIAMANTINA 2) NF 45 EFIGENIO BOAVENTURA</t>
  </si>
  <si>
    <t>Pagamento em faturamento direto referente ao serviço de mão de obra e fornecimento de cobertura para office . ENVIADO POR MANOEL LIMA</t>
  </si>
  <si>
    <t>[CCC06462]</t>
  </si>
  <si>
    <t>PRESTAÇÃO DE SERVIÇOS UFVs (DIAMANTINA 2) NF 64 COSTERR</t>
  </si>
  <si>
    <t>Pagamento em faturamento direto referente a locação de equipamentos para serviços de drenagem. ENVIADO POR MANOEL LIMA</t>
  </si>
  <si>
    <t>[CCC06463]</t>
  </si>
  <si>
    <t>Medição (INGRA)</t>
  </si>
  <si>
    <t>PRESTAÇÃO DE SERVIÇOS UFVs (SÃO SEBASTIÃO DO OESTE 4) NF 3</t>
  </si>
  <si>
    <t>Pagamento de medição referente a locação de equipamentos. ENVIADO POR MANOEL LIMA</t>
  </si>
  <si>
    <t>[CCC06464]</t>
  </si>
  <si>
    <t>PRESTAÇÃO DE SERVIÇOS UFVs (DIAMANTINA 2) NF 63 COSTERR</t>
  </si>
  <si>
    <t>Pagamento em faturamento direto referente ao serviço de drenagem. ENVIADO POR MANOEL LIMA</t>
  </si>
  <si>
    <t>[CCC06465]</t>
  </si>
  <si>
    <t>PRESTAÇÃO DE SERVIÇOS UFVs (DIAMANTINA 2) NF 24 ORCI</t>
  </si>
  <si>
    <t>Pagamento referente a prestação de serviços de terraplenagem. ENVIADO POR MANOEL LIMA</t>
  </si>
  <si>
    <t>[CCC06466]</t>
  </si>
  <si>
    <t>003187</t>
  </si>
  <si>
    <t>COMPRA DE MATERIAIS UFVs NF (SÃO SEBASTIÃO DO OESTE 4) 8216  ROMAGNOLE</t>
  </si>
  <si>
    <t>Pagamento referente a compra de materiais. ENVIADO POR  MBA THAINA - *NOTA DE REMESSA. NÃO GERA FINANCEIRO, APENAS ESCRITURAR*</t>
  </si>
  <si>
    <t>[CCC06467]</t>
  </si>
  <si>
    <t xml:space="preserve">*NOTA DE REMESSA* </t>
  </si>
  <si>
    <t>PRESTAÇÃO DE SERVIÇO UFVs (PATROCINIO 3) NF 593</t>
  </si>
  <si>
    <t>Pagamento referente a locação de modulos metalicos. ENVIADO POR GILSON AUGUSTO</t>
  </si>
  <si>
    <t>[CCC06468]</t>
  </si>
  <si>
    <t>PRESTAÇÃO DE SERVIÇO UFVs (PATROCINIO 2) NF 594</t>
  </si>
  <si>
    <t>PRESTAÇÃO DE SERVIÇO UFVs (LAGOA FORMOSA) NF 595</t>
  </si>
  <si>
    <t>PRESTAÇÃO DE SERVIÇO UFVs (LAGOA FORMOSA, PATROCINIO 2 E PATROCINIO 3) NF 51111 ATIVA LOCAÇÃO</t>
  </si>
  <si>
    <t>[CCC06469]</t>
  </si>
  <si>
    <t>003015</t>
  </si>
  <si>
    <t>PRESTAÇÃO DE SERVIÇO UFVs (DIAMANTINA 2) NF 25</t>
  </si>
  <si>
    <t>Pagamento referente a prestação de serviços de terraplenagem. ENVIADO POR MANOEL</t>
  </si>
  <si>
    <t>[CCC06470]</t>
  </si>
  <si>
    <t>Fat. Direto (MBA -MT)</t>
  </si>
  <si>
    <t>PRESTAÇÃO DE SERVIÇO UFVs (OURO FINO 2) NF 47 TRANSIT</t>
  </si>
  <si>
    <t>Pagamento referente a prestação de serviços de  mão de obra.  ADITIVO - ENVIADO POR MBA</t>
  </si>
  <si>
    <t>[CCC06471]</t>
  </si>
  <si>
    <t>PRESTAÇÃO DE SERVIÇOS UFVs (PATROCINIO 2) NF 126 RPA</t>
  </si>
  <si>
    <t>Pagamento referente ao serviço de comunicação multimidia SCM. ENVIADO POR GILSON</t>
  </si>
  <si>
    <t>[CCC06472]</t>
  </si>
  <si>
    <t>PRESTAÇÃO DE SERVIÇOS UFVs (LAGOA FORMOSA) NF 3 RANDER MOTA</t>
  </si>
  <si>
    <t>Pagamento referente a locação de tenda. ENVIADO POR GILSON</t>
  </si>
  <si>
    <t>[CCC06473]</t>
  </si>
  <si>
    <t>PRESTAÇÃO DE SERVIÇOS UFVs (VARJÃO DE MINAS 4 ) NF 63 DIEGO RODRIGUES</t>
  </si>
  <si>
    <t>Pagamento referente a prestação de serviço de transporte, referente a recomposição de taludes. ENVIADO POR GILSON</t>
  </si>
  <si>
    <t>[CCC06474]</t>
  </si>
  <si>
    <t>DIEGO RODRIGUES</t>
  </si>
  <si>
    <t>PRESTAÇÃO DE SERVIÇOS UFVs (ARCOS 7) NF 34 ANTARES CARVALHO</t>
  </si>
  <si>
    <t>Pagamento referente ao serviço de desobstruição de via. ENVIADO POR AUGUSTO</t>
  </si>
  <si>
    <t>[CCC06475]</t>
  </si>
  <si>
    <t>003196</t>
  </si>
  <si>
    <t>MEDÇÃO ( ATENAS)</t>
  </si>
  <si>
    <t>PRESTAÇÃO DE SERVIÇOS UFVs ( PARAGUAÇU 1) NF 670 ATENAS</t>
  </si>
  <si>
    <t>Pagamento referente aos 30 % remanescentes, contrato supressão. ENVIADO POR GUILHERME</t>
  </si>
  <si>
    <t>[CCC06476]</t>
  </si>
  <si>
    <t>COMPRA DE MATERIAIS UFVs (SÃO SEBASTIÃO DO OESTE 4) NF 29889  EXPONENCIAL</t>
  </si>
  <si>
    <t>Pagamento em faturamento direto referente a compra de materiais. ENVIADO POR THAINA MARQUES MBA</t>
  </si>
  <si>
    <t>[CCC06477]</t>
  </si>
  <si>
    <t>003239</t>
  </si>
  <si>
    <t>PRESTAÇÃO DE SERVIÇOS UFVs (OURO FINO 2) NF 673 ATENAS</t>
  </si>
  <si>
    <t>Pagamento refente a prestação de serviços de mão de obra na usina.  ENVIADO POR GUILHERME</t>
  </si>
  <si>
    <t>[CCC06478]</t>
  </si>
  <si>
    <t>COMPRA DE MATERIAIS UFVs (SÃO SEBASTIÃO DO OESTE 4) IBERICA  NF 8217</t>
  </si>
  <si>
    <t>Pagamento referente a compra de materias. ENVIADO POR MBA - *NOTA DE REMESSA. NÃO GERA FINANCEIRO, APENAS ESCRITURAR*</t>
  </si>
  <si>
    <t>[CCC06479]</t>
  </si>
  <si>
    <t>COMPRA DE MATERIAIS UFVs (SÃO SEBASTIÃO DO OESTE 4) IBERICA  NF 8218</t>
  </si>
  <si>
    <t>MEDIÇÃO (MBA - MT)</t>
  </si>
  <si>
    <t>PRESTAÇÃO DE SERVIÇOS UFVs (CAMPO BELO 2) NF 2948</t>
  </si>
  <si>
    <t>Pagamento medição referente ao serviço de extensão de rede de distribuição rural para atender a UFV. ENVIADO POR MBA</t>
  </si>
  <si>
    <t>[CCC06480]</t>
  </si>
  <si>
    <t>MEDIÇÃO (WEG- FULL EPC)</t>
  </si>
  <si>
    <t>PRESTAÇÃO DE SERVIÇOS UFVs ( BAMBUI 1.1) ADIANTAMENTO EVENTO 9</t>
  </si>
  <si>
    <t>Pagamento medição, refrente a Conclusão dos Testes de comissionamento a quente, contrato FULL EPC WEG. EVENTO 9  -  NOTA ESTÁ COM TIME FISCAL - ENVIADO POR MATHEUS VILELA</t>
  </si>
  <si>
    <t>[CCC06481]</t>
  </si>
  <si>
    <t>PRESTAÇÃO DE SERVIÇOS UFVs ( BAMBUI 1.2) ADIANTAMENTO EVENTO 9</t>
  </si>
  <si>
    <t>003873</t>
  </si>
  <si>
    <t>COMPRA DE MATERIAIS UFVs (DIVINOPOLIS 1) NF 1692</t>
  </si>
  <si>
    <t>[CCC06482]</t>
  </si>
  <si>
    <t>003877</t>
  </si>
  <si>
    <t>COMPRA DE MATERIAIS UFVs (DIVINOPOLIS 2) NF 1693</t>
  </si>
  <si>
    <t>003875</t>
  </si>
  <si>
    <t>COMPRA DE MATERIAIS UFVs (DIVINOPOLIS 3) NF 1694</t>
  </si>
  <si>
    <t>COMPRA DE MATERIAIS UFVs (ARCOS 7) NF 1695</t>
  </si>
  <si>
    <t>COMPRA DE MATERIAIS UFVs (PATROCINIO 3) NF 1696</t>
  </si>
  <si>
    <t>COMPRA DE MATERIAIS UFVs (PATROCINIO 2) NF 1697</t>
  </si>
  <si>
    <t>COMPRA DE MATERIAIS UFVs (FORMIGA 6) NF 1698</t>
  </si>
  <si>
    <t>003206</t>
  </si>
  <si>
    <t>MEDIÇÃO  (THMENG)</t>
  </si>
  <si>
    <t>PRESTAÇÃO DE SERVIÇOs UFVs (OURO FINO 2) NF 731</t>
  </si>
  <si>
    <t>Pagamento de medição referente a construção de canaletas, caixas de passagem e dissipadores. ENVIADO POR RAFAEL OLIVEIRA</t>
  </si>
  <si>
    <t>[CCC06483]</t>
  </si>
  <si>
    <t xml:space="preserve">FAT. DIRETO ( MBA - MT) </t>
  </si>
  <si>
    <t>PRESTAÇÃO DE SERVIÇOs UFVs (PARACATU 8) NF 1084</t>
  </si>
  <si>
    <t>Pagamento em faturamento direto referente ao serviços de contrução de rede eletrica mobilização PARACATU. ENVIO POR ROMANEI</t>
  </si>
  <si>
    <t>[CCC06484]</t>
  </si>
  <si>
    <t>003212</t>
  </si>
  <si>
    <t>PRESTAÇÃO DE SERVIÇOS UFVs (PARAGUAÇU 1) NF 57 PORTAL DOS POÇOS</t>
  </si>
  <si>
    <t>Pagamento referente aos testes de DVT - LOCAÇÃO DE EQUIPAMENTOS . ENVIADO POR RAFAEL</t>
  </si>
  <si>
    <t>[CCC06485]</t>
  </si>
  <si>
    <t>003880</t>
  </si>
  <si>
    <t>PRESTAÇÃO DE SERVIÇOS UFVs (INDAIABIRA 1) ADIANTAMENTO EVENTO 9</t>
  </si>
  <si>
    <t>[CCC06486]</t>
  </si>
  <si>
    <t xml:space="preserve">A609- ESTRELA DO NORTE - UFV INDAIABIRA </t>
  </si>
  <si>
    <t>003883</t>
  </si>
  <si>
    <t>PRESTAÇÃO DE SERVIÇOS UFVs (INDAIABIRA 2) ADIANTAMENTO EVENTO 9</t>
  </si>
  <si>
    <t>003879</t>
  </si>
  <si>
    <t>PRESTAÇÃO DE SERVIÇOS UFVs (SÃO SEBASTIÃO DO OESTE 0) NF 11458  CIMENTÃO</t>
  </si>
  <si>
    <t>Pagamento em faturamento direto refernete a prestação de serviço de concretagem. ENVIADO POR AUGUSTO XAVIER</t>
  </si>
  <si>
    <t>[CCC06487]</t>
  </si>
  <si>
    <t>PRESTAÇÃO DE SERVIÇOS UFVs (TRES CORAÇÕES 3) NF 158</t>
  </si>
  <si>
    <t>Pagamento em faturamento direto refernete a prestação de serviço de montagem mecanica de 73 trackers e 6.132 modulos fotovoltaicos. ENVIADO POR RAFAEL OLIVEIRA</t>
  </si>
  <si>
    <t>[CCC06488]</t>
  </si>
  <si>
    <t>003078</t>
  </si>
  <si>
    <t>COMPRA DE MATERIAIS UFVs (DIAMANTINA 2) NF 1583 SC ORGANIZAÇÃO</t>
  </si>
  <si>
    <t>Pagamento em faturamento direto refernete a compra de concreto usinado. ENVIADO POR MANOEL LIMA</t>
  </si>
  <si>
    <t>[CCC06489]</t>
  </si>
  <si>
    <t>PRESTAÇÃO DE SERVIÇOS UFVs (CAMPO BELO 1) NF 2950</t>
  </si>
  <si>
    <t>Pagamento de medição referente ao serviço de montagem e instalação elétrica de redes de distribuição de energia rural e urbana.  ENVIADO POR MBA</t>
  </si>
  <si>
    <t>[CCC06490]</t>
  </si>
  <si>
    <t>COMPRA DE MATERIAIS UFVs (PATROCINIO 3) NF 2606</t>
  </si>
  <si>
    <t>Pagamento de medição referente a compra de materiais.  ENVIADO POR LORENA ARAUJO ATI</t>
  </si>
  <si>
    <t>[CCC06491]</t>
  </si>
  <si>
    <t>003881</t>
  </si>
  <si>
    <t>PRESTAÇÃO DE SERVIÇOS UFVs (PARACATU 5) NF 45</t>
  </si>
  <si>
    <t xml:space="preserve">Pagamento referente ao serviço de vigilancia. ENVIADO POR GENIVAL BORGES </t>
  </si>
  <si>
    <t>[CCC06492]</t>
  </si>
  <si>
    <t>ARCANJO</t>
  </si>
  <si>
    <t>003882</t>
  </si>
  <si>
    <t>PRESTAÇÃO DE SERVIÇOS UFVs (PARACATU 4) NF 46</t>
  </si>
  <si>
    <t>003884</t>
  </si>
  <si>
    <t>MEDIÇÃO (  IMPLANTAR)</t>
  </si>
  <si>
    <t>PRESTAÇÃO DE SERVIÇOS UFVs (JABOTICATUBAS) NF 757</t>
  </si>
  <si>
    <t>Pagamento de medição referente ao CAP enviado por Marcio Eli. ENVIAPO POR MANOEL LIMA</t>
  </si>
  <si>
    <t>[CCC06493]</t>
  </si>
  <si>
    <t>003046</t>
  </si>
  <si>
    <t>MEDIÇÃO ( IMPLANTAR)</t>
  </si>
  <si>
    <t>PRESTAÇÃO DE SERVIÇOS UFVs (DIAMANTINA 1) NF 767</t>
  </si>
  <si>
    <t>003049</t>
  </si>
  <si>
    <t xml:space="preserve">COMPRA DE MATERIAIS UFVs (DIAMANTINA 2) NF 121 BOM JESUS </t>
  </si>
  <si>
    <t xml:space="preserve">Pagamento em faturamento direto, referente a compra de refeição. ENVIADO POR MANOEL </t>
  </si>
  <si>
    <t>[CCC06494]</t>
  </si>
  <si>
    <t>PRESTAÇÃO DE SERVIÇOS UFVS ( PATOS DE MINAS 4) NF 759</t>
  </si>
  <si>
    <t>Pagamento referente a medição final dos serviços. ENVIADO POR GILSON</t>
  </si>
  <si>
    <t>[CCC06495]</t>
  </si>
  <si>
    <t>003052</t>
  </si>
  <si>
    <t>PRESTAÇÃO DE SERVIÇOS UFVS ( PATOS DE MINAS 3) NF 758</t>
  </si>
  <si>
    <t>Pagamento referente ao CAP . ENVIADO POR GILSON</t>
  </si>
  <si>
    <t>NÃO SEGUIR (AGUARDAR AUTORIZAÇÃO)  ROMANEI</t>
  </si>
  <si>
    <t>003053</t>
  </si>
  <si>
    <t>PRESTAÇÃO DE SERVIÇOS UFVS ( PATOS DE MINAS 4) NF 760</t>
  </si>
  <si>
    <t>003061</t>
  </si>
  <si>
    <t>PRESTAÇÃO DE SERVIÇOS UFVS ( PATOS DE MINAS 3) NF 768</t>
  </si>
  <si>
    <t>003062</t>
  </si>
  <si>
    <t>PRESTAÇÃO DE SERVIÇOS UFVS ( PATOS DE MINAS 3) NF 769</t>
  </si>
  <si>
    <t>Pagamento referente a prestação de serviço de operação assisitida e comissionamaento a frio. MEDIÇÃO FINAL - ENVIADO POR GILSON</t>
  </si>
  <si>
    <t>PRESTAÇÃO DE SERVIÇOS MORI MINAS NEWCO V  - PROFORMA EVENTO 2 (BAMBUI 1.1)</t>
  </si>
  <si>
    <t>[CCC06496]</t>
  </si>
  <si>
    <t>734660,21 CANCELADO</t>
  </si>
  <si>
    <t>PRESTAÇÃO DE SERVIÇOS MORI MINAS NEWCO IV  - PROFORMA EVENTO 2 (Cássia 1)</t>
  </si>
  <si>
    <t>PRESTAÇÃO DE SERVIÇOS MORI MINAS NEWCO IV  - PROFORMA EVENTO 2 (Campo Belo 3)</t>
  </si>
  <si>
    <t>PRESTAÇÃO DE SERVIÇOS MORI MINAS NEWCO IV  - PROFORMA EVENTO 2 (São Sebastião 1)</t>
  </si>
  <si>
    <t>PRESTAÇÃO DE SERVIÇOS MORI GERAÇÃO II  - PROFORMA EVENTO 2  ( NOVA PONTE)</t>
  </si>
  <si>
    <t>481420,35 - cancelado</t>
  </si>
  <si>
    <t>PRESTAÇÃO DE SERVIÇOS MORI GERAÇÃO II  - PROFORMA EVENTO 2 (VARJÃO DE MINAS 1)</t>
  </si>
  <si>
    <t>Pagamento referente  a fatura proforma de peças sobressalentes WEG. ENVIADO POR MARCIO ELI - NOTA SERA ENVIADA POSTERIORMENTE (Varjão de Minas 1)_x000D_</t>
  </si>
  <si>
    <t>PRESTAÇÃO DE SERVIÇOS MORI GERAÇÃO II  - PROFORMA EVENTO 2 (FREI INOCENCIO)</t>
  </si>
  <si>
    <t>PRESTAÇÃO DE SERVIÇOS MORI GERAÇÃO II  - PROFORMA EVENTO 2 ( PARACATU 8)</t>
  </si>
  <si>
    <t>Pagamento referente  a fatura proforma de peças sobressalentes WEG. ENVIADO POR MARCIO ELI - NOTA SERA ENVIADA POSTERIORMENTE (Paracatu 8)</t>
  </si>
  <si>
    <t>PRESTAÇÃO DE SERVIÇOS MORI MINAS NEWCO V  - PROFORMA EVENTO 2  (CAMPO BELO 4)</t>
  </si>
  <si>
    <t>963896,48 cancelado</t>
  </si>
  <si>
    <t>PRESTAÇÃO DE SERVIÇOS MORI MINAS NEWCO V  - PROFORMA EVENTO 2 ( Bambuí 1.2)</t>
  </si>
  <si>
    <t>PRESTAÇÃO DE SERVIÇOS MORI MINAS NEWCO V  - PROFORMA EVENTO 2 - ( Cássia 2_x000D_)</t>
  </si>
  <si>
    <t>PRESTAÇÃO DE SERVIÇOS MORI MINAS NEWCO V  - PROFORMA EVENTO 2 - (São Sebastião 3)</t>
  </si>
  <si>
    <t>PRESTAÇÃO DE SERVIÇOS MORI MINAS NEWCO V  - PROFORMA EVENTO 2 - (São Sebastião 5)</t>
  </si>
  <si>
    <t>003885</t>
  </si>
  <si>
    <t>PRESTAÇÃO DE SERVIÇOS UFVs (JABOTICATUBAS) NF 766</t>
  </si>
  <si>
    <t>Pagamento referente a medição final dos serviços. ENVIADO POR MANOEL LIMA</t>
  </si>
  <si>
    <t>[CCC06497]</t>
  </si>
  <si>
    <t>PRESTAÇÃO DE SERVIÇOS UFVs (DIAMANTINA 1) NF 765</t>
  </si>
  <si>
    <t>NOTA CANCELADA</t>
  </si>
  <si>
    <t xml:space="preserve">Outros - Serviços á UFVs </t>
  </si>
  <si>
    <t>PRESTAÇÃO DE SERVIÇOS UFVs (CAMPO BELO 4) NF 447 ANDRADE  PINHEIRO ENGECON</t>
  </si>
  <si>
    <t>Pagamento referente a prestação de serviço de construção da base de containers na usina.ENVIADO POR SARAH</t>
  </si>
  <si>
    <t>[CCC06498]</t>
  </si>
  <si>
    <t>PRESTAÇÃO DE SERVIÇOS UFVs (CAMPO BELO 3) NF 443 ANDRADE  PINHEIRO ENGECON</t>
  </si>
  <si>
    <t>PRESTAÇÃO DE SERVIÇOS UFVs (SÃO SEBASTIÃO DO OESTE 1) NF 445 ANDRADE  PINHEIRO ENGECON</t>
  </si>
  <si>
    <t>PRESTAÇÃO DE SERVIÇOS UFVs (SÃO SEBASTIÃO DO OESTE 3) NF 446 ANDRADE  PINHEIRO ENGECON</t>
  </si>
  <si>
    <t>PRESTAÇÃO DE SERVIÇOS UFVs (DIAMANTINA 2) N 68 COSTERR</t>
  </si>
  <si>
    <t>Pagamento em faturamento direto, referente a locação de equipamentos para os sseerviços de drenagem . ENVIADO POR MANOEL</t>
  </si>
  <si>
    <t>[CCC06499]</t>
  </si>
  <si>
    <t>PRESTAÇÃO DE SERVIÇOS UFVs (DIAMANTINA 2) NF 211114 REAL D' AVILA</t>
  </si>
  <si>
    <t>Pagamento referente a abastecimento para prestação dos serviços de drenagem . ENVIADO POR MANOEL</t>
  </si>
  <si>
    <t>[CCC06500]</t>
  </si>
  <si>
    <t>PRESTAÇÃO DE SERVIÇOS UFVs (CAMPO BELO 1) NF 855</t>
  </si>
  <si>
    <t>Pagamento de medição 14°, referente a prestação de serviço de mão de obra, necessário à construção da UFVs. 65% - ENVIADO POR  RAFAEL OLIVEIRA</t>
  </si>
  <si>
    <t>[CCC06501]</t>
  </si>
  <si>
    <t>PRESTAÇÃO DE SERVIÇOS UFVs (CAMPO BELO 1) NF 856</t>
  </si>
  <si>
    <t>Pagamento de medição 14°, referente a elaboração de planos, necessário à construção da UFVs. 35% - ENVIADO POR RAFAEL OLIVEIRA</t>
  </si>
  <si>
    <t>COMPRA DE MATERIAIS UFVs NEWCO V NF 6881  HUKSEFLUX -  VINCULADO AO PEDIDO 000282 A301</t>
  </si>
  <si>
    <t>Pagamento referente a peças sobressalentes, 70% finais  parte contrato material Hukseflux estações solarimétricas. ENVIADO POR SARAH</t>
  </si>
  <si>
    <t>[CCC06502]</t>
  </si>
  <si>
    <t>COMPRA DE MATERIAIS UFVs NEWCO IV NF 6879  HUKSEFLUX VINCULADO AO PEDIDO 000367 A401</t>
  </si>
  <si>
    <t>003886</t>
  </si>
  <si>
    <t>COMPRA DE MATERIAIS UFVs EDN  NF 6875   HUKSEFLUX VINCULADO AO PEDIDO 000575 A601</t>
  </si>
  <si>
    <t>COMPRA DE MATERIAIS UFVs MORI II  NF  6880   HUKSEFLUX  VINCULADO AO PEDIDO 000594 A201</t>
  </si>
  <si>
    <t>COMPRA DE MATERIAIS UFVs (DIAMANTINA 2) NF 117 BOM JESUS</t>
  </si>
  <si>
    <t>Pagamento em faturamento direto referente a compra de refeição. ENVIADO POR MANOEL LIMA</t>
  </si>
  <si>
    <t>[CCC06503]</t>
  </si>
  <si>
    <t>A211-MORI GERACAO II -  UFV DIAMANTINA   2</t>
  </si>
  <si>
    <t xml:space="preserve">PRESTAÇÃO DE SERVIÇO UFVs (DIAMANTINA 2) NF 19  FERNANDO JOSE </t>
  </si>
  <si>
    <t>Pagamento referente ao serviço de transporte de materiais. ENVIADO POR MANOEL LIMA</t>
  </si>
  <si>
    <t>[CCC06504]</t>
  </si>
  <si>
    <t>003077</t>
  </si>
  <si>
    <t>COMPRA DE MATERIAIS UFVs (DIAMANTINA 2) NF 6233  NOVA MORADA</t>
  </si>
  <si>
    <t>[CCC06505]</t>
  </si>
  <si>
    <t>MEDIÇÃO ( RIMA)</t>
  </si>
  <si>
    <t>PRESTAÇÃO DE SERVIÇO UFVs (PASSOS 4) NF215</t>
  </si>
  <si>
    <t xml:space="preserve">Pagamento referente a supressão vegetal. ENVIADO POR GUILHERME </t>
  </si>
  <si>
    <t>[CCC06506]</t>
  </si>
  <si>
    <t>MEDIÇÃO ( RM)</t>
  </si>
  <si>
    <t>PRESTAÇÃO DE SERVIÇO UFVs ( OURO FINO 2) NF 77</t>
  </si>
  <si>
    <t>RM</t>
  </si>
  <si>
    <t>PRESTAÇÃO DE SERVIÇO UFVs ( PARAGUAÇU 1) NF 78</t>
  </si>
  <si>
    <t>MEDIÇÃO (CONSPLAN)</t>
  </si>
  <si>
    <t xml:space="preserve">PRESTAÇÃO SERVIÇO UFVs ( DIAMANTINA 1) NF 151 </t>
  </si>
  <si>
    <t>Pagamento de medição 3, referente a prestação do serviço de drenagem. ENVIADO POR MANOEL</t>
  </si>
  <si>
    <t>[CCC06507]</t>
  </si>
  <si>
    <t>003887</t>
  </si>
  <si>
    <t>MEDIÇÃO (APEngecon)</t>
  </si>
  <si>
    <t>PRESTAÇÃO DE SERVIÇOS UFVs (SÃO SEBASTIÃO DO OESTE 0) NF 437</t>
  </si>
  <si>
    <t xml:space="preserve">Pagamento de medição 1, referente a prestação dos serviços de drenagem. ENVIADO POR AUGUSTO </t>
  </si>
  <si>
    <t>[CCC06508]</t>
  </si>
  <si>
    <t>003888</t>
  </si>
  <si>
    <t>PRESTAÇÃO DE SERVIÇOS UFVs (SÃO SEBASTIÃO DO OESTE 0) NF 448</t>
  </si>
  <si>
    <t>PRESTAÇÃO DE SERVIÇOS UFVs (CAMPO BELO 3) ADIANTAMENTO EVENTO 9</t>
  </si>
  <si>
    <t>Pagamento medição, refrente a Conclusão dos Testes de comissionamento a quente, contrato FULL EPC WEG. EVENTO 9  -  NOTA ESTÁ COM TIME FISCAL - ENVIADO POR MARCIO ELI</t>
  </si>
  <si>
    <t>[CCC06509]</t>
  </si>
  <si>
    <t>PRESTAÇÃO DE SERVIÇOS UFVs (CAMPO BELO 4) ADIANTAMENTO EVENTO 9</t>
  </si>
  <si>
    <t>PRESTAÇÃO DE SERVIÇOS UFVs ( NOVA PONTE 1) ADIANTAMENTO EVENTO 9</t>
  </si>
  <si>
    <t>[CCC06510]</t>
  </si>
  <si>
    <t>PRESTAÇÃO DE SERVIÇOS UFVs (FREI INOCENCIO ) ADIANTAMENTO EVENTO 9</t>
  </si>
  <si>
    <t>Pagamento medição, referente a Conclusão dos Testes de comissionamento a quente, contrato FULL EPC WEG. EVENTO 9  -  NOTA ESTÁ COM TIME FISCAL - ENVIADO POR MARCIO ELI</t>
  </si>
  <si>
    <t>[CCC06511]</t>
  </si>
  <si>
    <t>PRESTAÇÃO DE SERVIÇOS UFVs (CASSIA 2) ADIANTAMENTO EVENTO 9</t>
  </si>
  <si>
    <t>[CCC06512]</t>
  </si>
  <si>
    <t>PRESTAÇÃO DE SERVIÇOS UFVs (TRÊS CORAÇÕES 3) NF 859</t>
  </si>
  <si>
    <t>Pagamento de  ADITIVO, medição 2, referente a prestação de serviço de mão de obra, necessário à construção da UFVs. 65% - ENVIADO POR  RAFAEL OLIVEIRA</t>
  </si>
  <si>
    <t>[CCC06513]</t>
  </si>
  <si>
    <t>PRESTAÇÃO DE SERVIÇOS UFVs (TRÊS CORAÇÕES 3) NF 860</t>
  </si>
  <si>
    <t>Pagamento de ADITIVO, medição 2 aditivo, referente a elaboração de planos, necessário à construção da UFVs. 35% - ENVIADO POR RAFAEL OLIVEIRA</t>
  </si>
  <si>
    <t>PRESTAÇÃO DE SERVIÇOS UFVs (MUZAMBINHO 1) NF 857</t>
  </si>
  <si>
    <t>Pagamento medição 9, referente a prestação de serviço de mão de obra, necessário à construção da UFVs. 65% - ENVIADO POR  RAFAEL OLIVEIRA</t>
  </si>
  <si>
    <t>[CCC06514]</t>
  </si>
  <si>
    <t>PRESTAÇÃO DE SERVIÇOS UFVs (MUZAMBINHO 1) NF 858</t>
  </si>
  <si>
    <t>Pagamento  medição 9 aditivo, referente a elaboração de planos, necessário à construção da UFVs. 35% - ENVIADO POR RAFAEL OLIVEIRA</t>
  </si>
  <si>
    <t>FAT.DIRETO (MBA- MT)</t>
  </si>
  <si>
    <t>COMPRA DE MATERIAIS UFVs (PASSOS 4) NF 8242 IBÉRICA</t>
  </si>
  <si>
    <t>Pagamento em faturamento direto,  referente a compra de postes . ENVIADO POR THAINA MBA</t>
  </si>
  <si>
    <t>[CCC06515]</t>
  </si>
  <si>
    <t>003890</t>
  </si>
  <si>
    <t>PRESTAÇÃO DE SERVIÇOS UFVs ( GUARDA MOR) ADIANTAMENTO EVENTO 9</t>
  </si>
  <si>
    <t>[CCC06516]</t>
  </si>
  <si>
    <t>003891</t>
  </si>
  <si>
    <t>MEDIÇÃO (ENGELUZ- MT)</t>
  </si>
  <si>
    <t>PRESTAÇÃO DE SERVIÇOS UFVs (PAINS 3) NF 591</t>
  </si>
  <si>
    <t>Pagamento de medição referente aos serviços de mão de obra especializada na construção de RDR. ENVIADO POR  MARCIO ELI</t>
  </si>
  <si>
    <t>[CCC06517]</t>
  </si>
  <si>
    <t>PRESTAÇÃO DE SERVIÇOS UFVs (PATOS DE MINAS 8) NF 256</t>
  </si>
  <si>
    <t>Pagamento de medição referente a licenca de uso do Sistema SGD. ENVIADO POR LORENA ATI</t>
  </si>
  <si>
    <t>[CCC06518]</t>
  </si>
  <si>
    <t>003076</t>
  </si>
  <si>
    <t>PRESTAÇÃO DE SERVIÇOS UFVs (PATOS DE MINAS 8) NF 257</t>
  </si>
  <si>
    <t>Pagamento de medição referente ao comissionamento remoto da usina. ENVIADO POR LORENA ATI</t>
  </si>
  <si>
    <t>003892</t>
  </si>
  <si>
    <t>PRESTAÇÃO DE SERVIÇOS UFVs (PEDRA DO INDAIA 1) NF 258</t>
  </si>
  <si>
    <t>Pagamento de medição referente ao servico de instalacao de sistema de supervisao. ENVIADO POR LORENA ATI</t>
  </si>
  <si>
    <t>003893</t>
  </si>
  <si>
    <t>PRESTAÇÃO DE SERVIÇOS UFVs (PEDRA DO INDAIA 3) NF 259</t>
  </si>
  <si>
    <t>COMPRA DE MATERIAIS UFVs (PATROCINIO 2) NF 2611</t>
  </si>
  <si>
    <t>Pagamento de medição referente a compra de materiais. ENVIADO POR LORENA ATI</t>
  </si>
  <si>
    <t>[CCC06519]</t>
  </si>
  <si>
    <t>COMPRA DE MATERIAIS UFVs (PATROCINIO 3) NF 2612</t>
  </si>
  <si>
    <t>003894</t>
  </si>
  <si>
    <t>PRESTAÇÃO DE SERVIÇOS DE UFVs ( PARATU 4 E PARACATU 5) NF 6 RENAN LUIZ</t>
  </si>
  <si>
    <t>Pagamento escopo comerc, referente a  melhoria de acesso. ENVIADO POR WENDEL</t>
  </si>
  <si>
    <t>[CCC06520]</t>
  </si>
  <si>
    <t>RENAN LUIZ</t>
  </si>
  <si>
    <t>PRESTAÇÃO DE SERVIÇOS DE UFVs (LAGOA FORMOSA) VB AMBIENTAL NF 1393</t>
  </si>
  <si>
    <t>Pagamento refernte a entrega e aprovação do laudo de cubagem. ENVIADO POR TIAGO BERTASO</t>
  </si>
  <si>
    <t>[CCC06521]</t>
  </si>
  <si>
    <t>PRESTAÇÃO DE SERVIÇOS DE UFVs (PATOS DE MINAS 1) VB AMBIENTAL NF 1394</t>
  </si>
  <si>
    <t>PRESTAÇÃO DE SERVIÇOS DE UFVs (PATOS DE MINAS 3) VB AMBIENTAL NF 1395</t>
  </si>
  <si>
    <t>PRESTAÇÃO DE SERVIÇOS DE UFVs (PATOS DE MINAS 4) VB AMBIENTAL NF 1396</t>
  </si>
  <si>
    <t>003085</t>
  </si>
  <si>
    <t>PRESTAÇÃO DE SERVIÇOS DE UFVs (PATOS DE MINAS 7) VB AMBIENTAL NF 1397</t>
  </si>
  <si>
    <t>003087</t>
  </si>
  <si>
    <t>PRESTAÇÃO DE SERVIÇOS DE UFVs (PATOS DE MINAS 8) VB AMBIENTAL NF 1398</t>
  </si>
  <si>
    <t>PRESTAÇÃO DE SERVIÇOS DE UFVs (VARJÃO DE MINAS 1) VB AMBIENTAL NF 1399</t>
  </si>
  <si>
    <t>003089</t>
  </si>
  <si>
    <t>PRESTAÇÃO DE SERVIÇOS DE UFVs (VARJÃO DE MINAS 4) VB AMBIENTAL NF 1400</t>
  </si>
  <si>
    <t>PRESTAÇÃO DE SERVIÇOS DE UFVs (DIAMANTINA 1) VB AMBIENTAL NF 1401</t>
  </si>
  <si>
    <t>PRESTAÇÃO DE SERVIÇOS DE UFVs (DIAMANTINA 2) VB AMBIENTAL NF 1402</t>
  </si>
  <si>
    <t>003092</t>
  </si>
  <si>
    <t>PRESTAÇÃO DE SERVIÇOS DE UFVs (FREI INOCENCIO) VB AMBIENTAL NF 1403</t>
  </si>
  <si>
    <t>PRESTAÇÃO DE SERVIÇOS DE UFVs (NOVA PONTE 1) VB AMBIENTAL NF 1404</t>
  </si>
  <si>
    <t>PRESTAÇÃO DE SERVIÇOS DE UFVs (PARACATU 8) VB AMBIENTAL NF 1405</t>
  </si>
  <si>
    <t>PRESTAÇÃO DE SERVIÇOS DE UFVs (PATROCINIO 2) VB AMBIENTAL NF 1432</t>
  </si>
  <si>
    <t>PRESTAÇÃO DE SERVIÇOS DE UFVs (PATROCINIO 3) VB AMBIENTAL NF 1433</t>
  </si>
  <si>
    <t>003897</t>
  </si>
  <si>
    <t xml:space="preserve">FAT.DIRETO (R&amp;M SOLAR) </t>
  </si>
  <si>
    <t>PRESTAÇÃO DE SERVIÇOS DE UFVs ( SÃO SEBASTIÃO DO OESTE 6) N 1 SOLUÇÃO DE ENGENHARIA</t>
  </si>
  <si>
    <t>Pagamento em faturamento direto, referente a locação de maquinas para prestação de serviços de drenagem. ENVIADO POR AUGUSTO</t>
  </si>
  <si>
    <t>[CCC06522]</t>
  </si>
  <si>
    <t>003898</t>
  </si>
  <si>
    <t xml:space="preserve">MEDIÇÃO (GTEL) </t>
  </si>
  <si>
    <t>PRESTAÇÃO DE SERVIÇOS UFVs (PARACATU 4) NF 29481</t>
  </si>
  <si>
    <t>Pagamento de 4° medição, referente prestação de serviços na usina. ENIADO POR WENDEL</t>
  </si>
  <si>
    <t>[CCC06523]</t>
  </si>
  <si>
    <t xml:space="preserve">PRESTAÇÃO DE SERVIÇOS UFVs( NOVA PONTE 1) NF 214 FRANCO ASSESSORIA </t>
  </si>
  <si>
    <t xml:space="preserve">Pagamento referente a prestação de serviço referente a execução da base do container para almoxarifado que estava dentro do contrato. ENVIADO POR SARAH </t>
  </si>
  <si>
    <t>[CCC06524]</t>
  </si>
  <si>
    <t>**</t>
  </si>
  <si>
    <t>003900</t>
  </si>
  <si>
    <t>PRESTAÇÃO DE SERVIÇOS UFVs( GUARDA MOR ) NF 5 LUIZ C MACHADO</t>
  </si>
  <si>
    <t>PRESTAÇÃO DE SERVIÇOS UFVs( PATROCINIO 3 ) N 2 FLAVIATUPINAMBÁ</t>
  </si>
  <si>
    <t>PRESTAÇÃO DE SERVIÇOS DE UFVs (CAMPO BELO 5) VB AMBIENTAL NF 1387</t>
  </si>
  <si>
    <t>[CCC06525]</t>
  </si>
  <si>
    <t>PRESTAÇÃO DE SERVIÇOS DE UFVs (ARCOS 7) VB AMBIENTAL NF 1416</t>
  </si>
  <si>
    <t>PRESTAÇÃO DE SERVIÇOS DE UFVs (CAMBO BELO 1) VB AMBIENTAL NF 1417</t>
  </si>
  <si>
    <t>PRESTAÇÃO DE SERVIÇOS DE UFVs (CAMPO BELO 3) VB AMBIENTAL NF 1418</t>
  </si>
  <si>
    <t>PRESTAÇÃO DE SERVIÇOS DE UFVs (VARGINHA 1) VB AMBIENTAL NF 1419</t>
  </si>
  <si>
    <t>PRESTAÇÃO DE SERVIÇOS DE UFVs (VARGINHA 5) VB AMBIENTAL NF 1420</t>
  </si>
  <si>
    <t>003270</t>
  </si>
  <si>
    <t>PRESTAÇÃO DE SERVIÇOS DE UFVs (SANTO ANTONIO DO AMPARO 1) VB AMBIENTAL NF 1422</t>
  </si>
  <si>
    <t>003276</t>
  </si>
  <si>
    <t>PRESTAÇÃO DE SERVIÇOS DE UFVs (MUZAMBINHO) VB AMBIENTAL NF 1423</t>
  </si>
  <si>
    <t>PRESTAÇÃO DE SERVIÇOS DE UFVs (SÃO SEBASTIÃO DO OESTE 1) VB AMBIENTAL NF 1424</t>
  </si>
  <si>
    <t>PRESTAÇÃO DE SERVIÇOS DE UFVs (SÃO SEBASTIÃO DO OESTE 4) VB AMBIENTAL NF 1425</t>
  </si>
  <si>
    <t>PRESTAÇÃO DE SERVIÇOS DE UFVs (CASSIA 1) VB AMBIENTAL NF 1426</t>
  </si>
  <si>
    <t>PRESTAÇÃO DE SERVIÇOS DE UFVs (TRES CORAÇÕES 3) VB AMBIENTAL NF 1427</t>
  </si>
  <si>
    <t>PRESTAÇÃO DE SERVIÇOS DE UFVs (PARAGAÇU 1) VB AMBIENTAL NF 1428</t>
  </si>
  <si>
    <t>PRESTAÇÃO DE SERVIÇOS DE UFVs (OURO FINO 2) VB AMBIENTAL NF 1429</t>
  </si>
  <si>
    <t>PRESTAÇÃO DE SERVIÇOS DE UFVs (BAMBUÍ 1.1) VB AMBIENTAL NF 1430</t>
  </si>
  <si>
    <t>003098</t>
  </si>
  <si>
    <t>PRESTAÇÃO DE SERVIÇO UFVs (DIAMANTINA 1)   NF 170 A.R ARQUITETURA</t>
  </si>
  <si>
    <t>Pagamento referente ao requerimento de licença de objeto projetado no espaço aereo (OPEA). ENVIADO POR GUILHERME</t>
  </si>
  <si>
    <t>[CCC06526]</t>
  </si>
  <si>
    <t>PRESTAÇÃO DE SERVIÇO UFVs (OURO FINO 2)   NF 861</t>
  </si>
  <si>
    <t>Pagamento de medição 7, referente a prestação de serviço de mão de obra, necessário à construção da UFVs. 65% - ENVIADO POR  RAFAEL OLIVEIRA</t>
  </si>
  <si>
    <t>[CCC06527]</t>
  </si>
  <si>
    <t>PRESTAÇÃO DE SERVIÇO UFVs (OURO FINO 2)   NF 862</t>
  </si>
  <si>
    <t>Pagamento de medição 7, referente a elaboração de planos, necessário à construção da UFVs. 35% - ENVIADO POR RAFAEL OLIVEIRA</t>
  </si>
  <si>
    <t>PRESTAÇÃO DE SERVIÇOS DE UFVs (VARGINHA 2) VB AMBIENTAL NF 1406</t>
  </si>
  <si>
    <t>[CCC06528]</t>
  </si>
  <si>
    <t>PRESTAÇÃO DE SERVIÇOS DE UFVs (FORMIGA 6) VB AMBIENTAL NF 1407</t>
  </si>
  <si>
    <t>PRESTAÇÃO DE SERVIÇOS DE UFVs (CAMPO BELO 4) VB AMBIENTAL NF 1408</t>
  </si>
  <si>
    <t>PRESTAÇÃO DE SERVIÇOS DE UFVs (PASSOS 4) VB AMBIENTAL NF 1409</t>
  </si>
  <si>
    <t>PRESTAÇÃO DE SERVIÇOS DE UFVs (CASSIA 2) VB AMBIENTAL NF 1410</t>
  </si>
  <si>
    <t>PRESTAÇÃO DE SERVIÇOS DE UFVs (SÃO SEBASTIÃO DO OESTE 5) VB AMBIENTAL NF 1412</t>
  </si>
  <si>
    <t>PRESTAÇÃO DE SERVIÇOS DE UFVs (ALFENAS 4) VB AMBIENTAL NF 1413</t>
  </si>
  <si>
    <t>PRESTAÇÃO DE SERVIÇOS DE UFVs (SÃO SEBASTIÃO DO OESTE 3) VB AMBIENTAL NF 1414</t>
  </si>
  <si>
    <t>PRESTAÇÃO DE SERVIÇOS DE UFVs (CAMPO BELO 2) VB AMBIENTAL NF 1415</t>
  </si>
  <si>
    <t>383868</t>
  </si>
  <si>
    <t>PRESTAÇÃO DE SERVIÇOS DE UFVs ( PORTEIRINHA ) NF 469 JX AMBIENTAL</t>
  </si>
  <si>
    <t>Pagamento referente propsta 371/2022 parcela 03/03. ENVIADO POR TIAGO ROBERTO (O&amp;M)</t>
  </si>
  <si>
    <t>[CCC06529]</t>
  </si>
  <si>
    <t>Medição (GOMES)</t>
  </si>
  <si>
    <t>PRESTAÇÃO DE SERVIÇOS UFVs (PASSOS 4) NF 108</t>
  </si>
  <si>
    <t>Pagamento de medição refernte ao serviço de drenagem. ENVIADO POR AUGUSTO</t>
  </si>
  <si>
    <t>[CCC06530]</t>
  </si>
  <si>
    <t>PRESTAÇÃO DE SERVIÇOS UFVs (PASSOS 4) NF 109</t>
  </si>
  <si>
    <t>MEDIÇÃO (GLD)</t>
  </si>
  <si>
    <t>PRESTAÇÃO DE SERVIÇOS UFVs (MUZAMBINHO ) NF 863</t>
  </si>
  <si>
    <t>Pagamento de medição 11, referente a prestação de serviço de mão de obra, necessário à construção da UFVs. 65% - ENVIADO POR  RAFAEL OLIVEIRA</t>
  </si>
  <si>
    <t>[CCC06531]</t>
  </si>
  <si>
    <t>PRESTAÇÃO DE SERVIÇOS UFVs (MUZAMBINHO ) NF 864</t>
  </si>
  <si>
    <t>Pagamento de medição 11, referente a elaboração de planos, necessário à construção da UFVs. 35% - ENVIADO POR RAFAEL OLIVEIRA</t>
  </si>
  <si>
    <t>SERVIÇOS PRESTADOS DE CONSULTORIA EM CONTRATOS -  DELOITTE     NF 77</t>
  </si>
  <si>
    <t>Pagamento referente a medição mão de obra contrato DELOITTE ,  necessário à construção da UFV em contrato EPC . MEDIÇÃO 19 - ENVIADO POR  ROGÉRIO DELOITTE</t>
  </si>
  <si>
    <t>[CCC06532]</t>
  </si>
  <si>
    <t>SERVIÇOS PRESTADOS DE CONSULTORIA EM CONTRATOS -  DELOITTE     NF 78</t>
  </si>
  <si>
    <t>003099</t>
  </si>
  <si>
    <t>SERVIÇOS PRESTADOS DE CONSULTORIA EM CONTRATOS -  DELOITTE     NF 79</t>
  </si>
  <si>
    <t>003901</t>
  </si>
  <si>
    <t>SERVIÇOS PRESTADOS DE CONSULTORIA EM CONTRATOS -  DELOITTE     NF 82</t>
  </si>
  <si>
    <t>MEDIÇÃO MENSAL FEVEREIRO/2024  UFVs  LMENG  NF 1674</t>
  </si>
  <si>
    <t>[CCC06533]</t>
  </si>
  <si>
    <t>MEDIÇÃO MENSAL FEVEREIRO/2024  UFVs  LMENG  NF 1675</t>
  </si>
  <si>
    <t>003902</t>
  </si>
  <si>
    <t>MEDIÇÃO MENSAL FEVEREIRO/2024  UFVs  LMENG  NF 1676</t>
  </si>
  <si>
    <t>MEDIÇÃO MENSAL FEVEREIRO/2024  UFVs  LMENG  NF 1677</t>
  </si>
  <si>
    <t>MEDIÇÃO MENSAL FEVEREIRO/2024  UFVs  LMENG  NF 1678</t>
  </si>
  <si>
    <t>MEDIÇÃO MENSAL FEVEREIRO/2024  UFVs  LMENG  NF 1679</t>
  </si>
  <si>
    <t>003903</t>
  </si>
  <si>
    <t>MEDIÇÃO MENSAL FEVEREIRO/2024  UFVs  LMENG  NF 1680</t>
  </si>
  <si>
    <t>MEDIÇÃO MENSAL FEVEREIRO/2024  UFVs  LMENG  NF 1681</t>
  </si>
  <si>
    <t>003905</t>
  </si>
  <si>
    <t>PRESTAÇÃO DE SERVIÇO UFVs (PEDRA DO INDAIA 5) NF 365</t>
  </si>
  <si>
    <t xml:space="preserve">Pagamento de medição referente ao serviço de drenagem. ENVIADO POR AUGUSTO </t>
  </si>
  <si>
    <t>[CCC06534]</t>
  </si>
  <si>
    <t>PRESTAÇÃO DE SERVIÇO UFVs (DIAMANTINA 2) NF 22  PORTAL ENGENHARIA</t>
  </si>
  <si>
    <t>Pagamento em fatuarmento direto referente ao serviço de alinhamento e cravação de estacas. ENVIADO POR MANOEL LIMA</t>
  </si>
  <si>
    <t>[CCC06535]</t>
  </si>
  <si>
    <t>PRESTAÇÃO DE SERVIÇO UFVs (CAMPO BELO 1 ) NF 222</t>
  </si>
  <si>
    <t>PAGAMENTO REFERENTE AO SERVIÇO DE SUPRESSÃO VEGETAL - REDE. ENVIADO POR GUILHERME</t>
  </si>
  <si>
    <t>[CCC06536]</t>
  </si>
  <si>
    <t>PRESTAÇÃO DE SERVIÇO UFVs (ARCOS 7) NF 80</t>
  </si>
  <si>
    <t>PAGAMENTO REFERENTE AO SERVIÇOS RIA . ENVIADO POR GUILHERME</t>
  </si>
  <si>
    <t>003906</t>
  </si>
  <si>
    <t>COMPRA DE MATERIAIS UFVs (DIVINOPOLIS 2) NF 2618</t>
  </si>
  <si>
    <t>Pagamento de medição refernte a compra de materiais. ENVIADO POR WILLIAN ATI</t>
  </si>
  <si>
    <t>[CCC06537]</t>
  </si>
  <si>
    <t>COMPRA DE MATERIAIS UFVs (LAGOA FORMOSA) NF 2620</t>
  </si>
  <si>
    <t>003907</t>
  </si>
  <si>
    <t>COMPRA DE MATERIAIS UFVs (SÃO SEBASTIÃO DO OESTE 0) NF 2621</t>
  </si>
  <si>
    <t>PRESTAÇÃO DE SERVIÇO UFVs (DIAMANTINA 2) NF 771</t>
  </si>
  <si>
    <t>Pagamento em faturamento direto referente ao serviço de mao de obra. ENVIADO POR MANOEL LIMA</t>
  </si>
  <si>
    <t>[CCC06538]</t>
  </si>
  <si>
    <t>Medição (CRITICAL)</t>
  </si>
  <si>
    <t>PRESTAÇÃO DE SERVIÇO UFVs (PATROCINIO 2) NF 169</t>
  </si>
  <si>
    <t>Pagamento de medição referente a serviços eletromecanicos. ENVIADO POR GILSON</t>
  </si>
  <si>
    <t>[CCC06539]</t>
  </si>
  <si>
    <t>PRESTAÇÃO DE SERVIÇO UFVs (PATROCINIO 3) NF 170</t>
  </si>
  <si>
    <t xml:space="preserve"> PRESTAÇÃO DE SERVIÇO UFVs (TRES CORAÇÕES 3) NF 110</t>
  </si>
  <si>
    <t>Pagamento referente ao serviço de drenagem. ENVIADO POR RAFAEL OLIVEIRA</t>
  </si>
  <si>
    <t>[CCC06540]</t>
  </si>
  <si>
    <t>003280</t>
  </si>
  <si>
    <t xml:space="preserve"> PRESTAÇÃO DE SERVIÇO UFVs (TRES CORAÇÕES 3) NF 111</t>
  </si>
  <si>
    <t>COMPRA DE MATERIAIS UFVs (PATROCINIO 2) NF 58  ALEXANDRE JOSE</t>
  </si>
  <si>
    <t>Pagamento referente a compra de insumos eletricos. ESCOPO COMERC - ENVIADO POR GILSON QUEIROZ</t>
  </si>
  <si>
    <t>[CCC06541]</t>
  </si>
  <si>
    <t>COMPRA DE MATERIAIS UFVs (PATROCINIO 3) NF 59  ALEXANDRE JOSE</t>
  </si>
  <si>
    <t>003910</t>
  </si>
  <si>
    <t>PRESTAÇÃO DE SERVIÇO UFVs (SÃO SEBASTIÃO DO OESTE 0) NF 29511</t>
  </si>
  <si>
    <t>Pagamento de medição referente ao fornecimento de material e mão de obra especializada para serviços de instalações eletromecanicas e civil. ENVIADO POR AUGUSTO XAVIER</t>
  </si>
  <si>
    <t>[CCC06542]</t>
  </si>
  <si>
    <t>003911</t>
  </si>
  <si>
    <t>PRESTAÇÃO DE SERVIÇO UFVs (SÃO SEBASTIÃO DO OESTE 6) NF 29512</t>
  </si>
  <si>
    <t>Pagamento de medição referente ao fornecimento de material e mão de obra especializada para serviços de instalações eletromecanicas e civil. VALOR A SER PAGO R$ 8.699,39 ENVIADO POR AUGUSTO XAVIER</t>
  </si>
  <si>
    <t>003912</t>
  </si>
  <si>
    <t>PRESTAÇÃO DE SERVIÇO UFVs (PAINS 3) NF 29513</t>
  </si>
  <si>
    <t>003282</t>
  </si>
  <si>
    <t>PRESTAÇÃO DE SERVIÇO UFVs (SÃO SEBASTIÃO DO OESTE 4) NF 29514</t>
  </si>
  <si>
    <t>003281</t>
  </si>
  <si>
    <t>MEDIÇÃO MENSAL JANEIRO/2024  UFVs  LMENG  NF 12458</t>
  </si>
  <si>
    <t>[CCC06543]</t>
  </si>
  <si>
    <t>COMPRA DE MATERIAIS UFVs (NEWCO V) NF 221469 ROMAGNOLE</t>
  </si>
  <si>
    <t>Pagamento referente a compra de mateiais. ENVIADO POR ROMAGNOLE - *NOTA DE REMESSA. NÃO GERA FINANCEIRO, APENAS ESCRITURAR*</t>
  </si>
  <si>
    <t>[CCC06544]</t>
  </si>
  <si>
    <t>*NOTA DE REMESSA. NÃO GERA FINANCEIRO, APENAS ESCRITURAR*</t>
  </si>
  <si>
    <t>PRESTAÇÃO DOS SERVIÇOS UFVs (MUZAMBINHO 1) NF 865</t>
  </si>
  <si>
    <t>Pagamento medição 12, referente a prestação de serviço de mão de obra, necessário à construção da UFVs. 65% -  ADITIVO  - ENVIADO POR  LUIZA  DIZERO GLD</t>
  </si>
  <si>
    <t>[CCC06545]</t>
  </si>
  <si>
    <t>PRESTAÇÃO DOS SERVIÇOS UFVs (MUZAMBINHO 1) NF 866</t>
  </si>
  <si>
    <t>Pagamento medição 12, referente a elaboração de planos, necessário à construção da UFVs. 35% - ADITIVO - ENVIADO POR LUIZA DIZERO GLD</t>
  </si>
  <si>
    <t>PRESTAÇÃO DOS SERVIÇOS UFVs (SANTO ANTONIO DO AMPARO 1) NF 867</t>
  </si>
  <si>
    <t>Pagamento medição 11, referente a prestação de serviço de mão de obra, necessário à construção da UFVs. 65% -  ADITIVO  - ENVIADO POR  LUIZA  DIZERO GLD</t>
  </si>
  <si>
    <t>PRESTAÇÃO DOS SERVIÇOS UFVs (SANTO ANTONIO DO AMPARO 1) NF 868</t>
  </si>
  <si>
    <t>Pagamento medição 11, referente a elaboração de planos, necessário à construção da UFVs. 35% - ADITIVO - ENVIADO POR LUIZA DIZERO GLD</t>
  </si>
  <si>
    <t>PRESTAÇÃO DOS SERVIÇOS UFVs (CAMPO BELO 2) NF 869</t>
  </si>
  <si>
    <t>Pagamento medição 13, referente a prestação de serviço de mão de obra, necessário à construção da UFVs. 65% -  ADITIVO  - ENVIADO POR  LUIZA  DIZERO GLD</t>
  </si>
  <si>
    <t>PRESTAÇÃO DOS SERVIÇOS UFVs (CAMPO BELO 2) NF 870</t>
  </si>
  <si>
    <t>Pagamento medição 13, referente a elaboração de planos, necessário à construção da UFVs. 35% - ADITIVO - ENVIADO POR LUIZA DIZERO GLD</t>
  </si>
  <si>
    <t>003291</t>
  </si>
  <si>
    <t>PRESTAÇÃO DOS SERVIÇOS UFVs (CAMPO BELO 1) NF 871</t>
  </si>
  <si>
    <t>Pagamento medição 15, referente a prestação de serviço de mão de obra, necessário à construção da UFVs. 65% -  ADITIVO  - ENVIADO POR  LUIZA  DIZERO GLD</t>
  </si>
  <si>
    <t>PRESTAÇÃO DOS SERVIÇOS UFVs (CAMPO BELO 1) NF 872</t>
  </si>
  <si>
    <t>Pagamento medição 15, referente a elaboração de planos, necessário à construção da UFVs. 35% - ADITIVO - ENVIADO POR LUIZA DIZERO GLD</t>
  </si>
  <si>
    <t>PRESTAÇÃO DOS SERVIÇOS UFVs (PARAGUAÇU 1) NF 873</t>
  </si>
  <si>
    <t>003294</t>
  </si>
  <si>
    <t>PRESTAÇÃO DOS SERVIÇOS UFVs (PARAGUAÇU 1) NF 874</t>
  </si>
  <si>
    <t>MEDIÇÃO (THMENG)</t>
  </si>
  <si>
    <t>PRESTAÇÃO DOS SERVIÇOS UFVs (OURO FINO 2) NF 734</t>
  </si>
  <si>
    <t>Pagamento medição 5, referente ao contrato de drenagem. ENVIADO POR RAFAEL .</t>
  </si>
  <si>
    <t>[CCC06546]</t>
  </si>
  <si>
    <t>003297</t>
  </si>
  <si>
    <t>COMPRA DE MATERIAIS UFVs (NEWCO IV) NF 221471 ROMAGNOLE</t>
  </si>
  <si>
    <t>Pagamento referente a compra de materiais. ENVIADO POR ROMAGNOLE - *NOTA DE REMESSA. NÃO GERA FINANCEIRO, APENAS ESCRITURAR*</t>
  </si>
  <si>
    <t>[CCC06547]</t>
  </si>
  <si>
    <t>MEDIÇÃO (ELETROCAMP RDA )</t>
  </si>
  <si>
    <t>PRESTAÇÃO DOS SERVIÇOS UFVs (PASSOS 4) NF 13851</t>
  </si>
  <si>
    <t xml:space="preserve">Pagamento medição, referente a 2° parcela. Construção de escada hidráulica em concreto armado. RDA. ENVIADO POR GUILHERME </t>
  </si>
  <si>
    <t>[CCC06548]</t>
  </si>
  <si>
    <t>PRESTAÇÃO DOS SERVIÇOS UFVs (SANTO ANTONIO DO AMAPARO ) NF 13850</t>
  </si>
  <si>
    <t>COMPRA DE MATERIAIS UFVs (NEWCO V) NF 221470 ROMAGNOLE</t>
  </si>
  <si>
    <t>[CCC06549]</t>
  </si>
  <si>
    <t>003298</t>
  </si>
  <si>
    <t>COMPRA DE MATERIAIS UFVs (NEWCO IV) NF 222266 ROMAGNOLE</t>
  </si>
  <si>
    <t>[CCC06550]</t>
  </si>
  <si>
    <t>COMPRA DE MATERIAIS UFVs NF 222818 ROMAGNOLE</t>
  </si>
  <si>
    <t>[CCC06551]</t>
  </si>
  <si>
    <t>PRESTAÇÃO DOS SERVIÇOS UFVs CICLO 3 NF 51 GP SERVIÇOS</t>
  </si>
  <si>
    <t>Pagamento referente das despesas efetuadas rem nome da GP SERVIÇOS referente aos serviços de negociação de servidão de rede, prospecção de terrenos e assinatura de documentos. ENVIADO POR IGOR MORAES</t>
  </si>
  <si>
    <t>[CCC06552]</t>
  </si>
  <si>
    <t>CONSTRUMANAGER -    03/2024   NF  317208</t>
  </si>
  <si>
    <t>[CCC06553]</t>
  </si>
  <si>
    <t>003928</t>
  </si>
  <si>
    <t>REGRHAN  PRESTAÇÃO DE SERVIÇOS  ESTRELA DO NORTE  NF 2645</t>
  </si>
  <si>
    <t>Pagamento referente aos serviços de assessoria , gestão e controle documental de terceiros, realizados pelo REGRHAN, necessários a construção das UFVs. ENVIADO POR REGRHAN - 03/24</t>
  </si>
  <si>
    <t>[CCC06554]</t>
  </si>
  <si>
    <t>REGRHAN  PRESTAÇÃO DE SERVIÇOS  MORI GERAÇÃO II  NF 2646</t>
  </si>
  <si>
    <t>REGRHAN  PRESTAÇÃO DE SERVIÇOS  MORI MINAS NEWCO IV  NF 2647</t>
  </si>
  <si>
    <t>REGRHAN  PRESTAÇÃO DE SERVIÇOS  MORI MINAS NEWCO V  NF 2648</t>
  </si>
  <si>
    <t>003300</t>
  </si>
  <si>
    <t>PRESTAÇÃO DE SERVIÇOS UFVs ( CASSIA 1) ADIANTAMENTO EVENTO 9</t>
  </si>
  <si>
    <t>[CCC06555]</t>
  </si>
  <si>
    <t>PRESTAÇÃO DE SERVIÇOS UFVs (SÃO SEBASTIÃO DO OESTE 1) ADIANTAMENTO EVENTO 9</t>
  </si>
  <si>
    <t>[CCC06556]</t>
  </si>
  <si>
    <t>PRESTAÇÃO DE SERVIÇOS UFVs (SÃO SEBASTIÃO DO OESTE 5) ADIANTAMENTO EVENTO 9</t>
  </si>
  <si>
    <t>003929</t>
  </si>
  <si>
    <t>PRESTAÇÃO DE SERVIÇOS UFVs (PARACATU 4) NF 30</t>
  </si>
  <si>
    <t>Pagamento de medição referente ao serviço de drenagem. ENVIADO POR WENDEL TORRES</t>
  </si>
  <si>
    <t>[CCC06557]</t>
  </si>
  <si>
    <t>COMPRA DE MATERIAIS UFVs (NEWCO IV) NF 223050 ROMAGNOLE</t>
  </si>
  <si>
    <t>[CCC06558]</t>
  </si>
  <si>
    <t>PRESTAÇÃO DE SERVIÇOS UFVs (LAGOA FORMOSA) NORTE CONEXÃO NF 1977</t>
  </si>
  <si>
    <t>Pagamento referente ao lançamento de fibra optica. ENVIADO POR LEONARDO ATI</t>
  </si>
  <si>
    <t>[CCC06559]</t>
  </si>
  <si>
    <t>003930</t>
  </si>
  <si>
    <t>PRESTAÇÃO DE SERVIÇOS UFVs (DIVINOPOLIS 2) NORTE CONEXÃO NF 1978</t>
  </si>
  <si>
    <t>PRESTAÇÃO DE SERVIÇOS UFVs (PARACATU 8)  NF 2978</t>
  </si>
  <si>
    <t xml:space="preserve">Pagamento de medição referente a prestação de serviço de montagem e instalação eletrica de redes de distribuição de energia rural e urbana. ENVIADO POR ALUANNY MBA </t>
  </si>
  <si>
    <t>[CCC06560]</t>
  </si>
  <si>
    <t>PRESTAÇÃO DE SERVIÇOS UFVs (SÃO SEBASTIÃO DO OESTE 4)  NF 2976</t>
  </si>
  <si>
    <t>Pagamento de medição referente a prestação de serviço de extensão de rede de distribuição rural e urbana. ENVIADO POR ALUANNY MBA</t>
  </si>
  <si>
    <t>[CCC06561]</t>
  </si>
  <si>
    <t>PRESTAÇÃO DE SERVIÇOS UFVs (SÃO SEBASTIÃO DO OESTE 4)  NF 1443  BR ENGENHARIA</t>
  </si>
  <si>
    <t>Pagamento de medição referente a contratação de  mão de obra especializada. ENVIADO POR ALUANNY MBA</t>
  </si>
  <si>
    <t>003128</t>
  </si>
  <si>
    <t>PRESTAÇÃO DE SERVIÇOS UFVs (PATROCINIO 3)  INOVAR LOCAÇÕES NF 706</t>
  </si>
  <si>
    <t>Pagamento referente a locação de containers. ENVIADO POR GILSON QUEIROZ</t>
  </si>
  <si>
    <t>[CCC06562]</t>
  </si>
  <si>
    <t>PRESTAÇÃO DE SERVIÇOS UFVs (PATROCINIO 2)  INOVAR LOCAÇÕES NF 707</t>
  </si>
  <si>
    <t>PRESTAÇÃO DE SERVIÇOS UFVs (PATROCINIO 2)  INOVAR LOCAÇÕES NF 708</t>
  </si>
  <si>
    <t>PRESTAÇÃO DE SERVIÇOS UFVs (LAGOA FORMOSA)  INOVAR LOCAÇÕES NF 709</t>
  </si>
  <si>
    <t>PRESTAÇÃO DE SERVIÇOS UFVs (PATROCINIO 3)  INOVAR LOCAÇÕES NF 705</t>
  </si>
  <si>
    <t>003931</t>
  </si>
  <si>
    <t>PRESTAÇÃO DE SERVIÇOS UFVs ( PAINS 3)  NF 10 SJR PROTEÇÃO</t>
  </si>
  <si>
    <t>Pagamento referente ao serviços de Parametrização e testes nas cabines.  ENVIADO POR SANDRO JOSE</t>
  </si>
  <si>
    <t>[CCC06563]</t>
  </si>
  <si>
    <t>PRESTAÇÃO DE SERVIÇOS UFVs (CICLO 3)  N 20  GOVERDE</t>
  </si>
  <si>
    <t>Pagamento de nota de debito para reembolso referente ao serviço de transporte de mateirais e equipamentos mais maos de obra. ENVIADO POR JOÃO PAULO</t>
  </si>
  <si>
    <t>[CCC06564]</t>
  </si>
  <si>
    <t xml:space="preserve"> GOVERDE</t>
  </si>
  <si>
    <t>003933</t>
  </si>
  <si>
    <t>COMPRA DE MATERIAIS UFVs (SÃO SEBASTIÃO DO OESTE 0) NF 1707</t>
  </si>
  <si>
    <t>[CCC06565]</t>
  </si>
  <si>
    <t>003306</t>
  </si>
  <si>
    <t>COMPRA DE MATERIAIS UFVs (SÃO SEBASTIÃO DO OESTE 1) NF 1708</t>
  </si>
  <si>
    <t>003307</t>
  </si>
  <si>
    <t>COMPRA DE MATERIAIS UFVs (SÃO SEBASTIÃO DO OESTE 4) NF 1709</t>
  </si>
  <si>
    <t>COMPRA DE MATERIAIS UFVs (SÃO SEBASTIÃO DO OESTE 5) NF 1710</t>
  </si>
  <si>
    <t>003940</t>
  </si>
  <si>
    <t>COMPRA DE MATERIAIS UFVs (SÃO SEBASTIÃO DO OESTE 6) NF 1711</t>
  </si>
  <si>
    <t>003932</t>
  </si>
  <si>
    <t>COMPRA DE MATERIAIS UFVs (PEDRA DO INDAIA 1) NF 1712</t>
  </si>
  <si>
    <t>003941</t>
  </si>
  <si>
    <t>COMPRA DE MATERIAIS UFVs (PEDRA DO INDAIA 3) NF 1713</t>
  </si>
  <si>
    <t>003942</t>
  </si>
  <si>
    <t>COMPRA DE MATERIAIS UFVs (PEDRA DO INDAIA 5) NF 1714</t>
  </si>
  <si>
    <t>003934</t>
  </si>
  <si>
    <t>Outros - Serviços à UFV (NORTE CONEXÃO)</t>
  </si>
  <si>
    <t>PRESTAÇÃO DE SERVIÇOS UFVs (DIVINOPOLIS 2) NF 1980</t>
  </si>
  <si>
    <t>Pagamento referente ao lançamento de NCU, material + mão de obra. ENVIADO POR MÁRCIO ELI</t>
  </si>
  <si>
    <t>[CCC06566]</t>
  </si>
  <si>
    <t>003939</t>
  </si>
  <si>
    <t>PRESTAÇÃO DE SERVIÇOS UFVs (PAINS 3) NF 762 STA PAINEIS</t>
  </si>
  <si>
    <t>Pagamento referente a materiais e serviços utilizados por solicitação CEMIG durante energização de usina. 1° parcela. ENVIADA POR GUILHERME</t>
  </si>
  <si>
    <t>[CCC06567]</t>
  </si>
  <si>
    <t>PRESTAÇÃO DE SERVIÇO UFVs (IBIPEBA)  NF 33 RENOVA</t>
  </si>
  <si>
    <t>Pagamento de reembolso por nota de débito referente aos pagamentos das taxas efetuadas em março pela Renova. ENVIADO POR LETICIA BRAGA</t>
  </si>
  <si>
    <t>[CCC06568]</t>
  </si>
  <si>
    <t>PRESTAÇÃO DE SERVIÇO UFVs (POSTO DA MATA 1)  NF 34 RENOVA</t>
  </si>
  <si>
    <t>PRESTAÇÃO DE SERVIÇO UFVs (POSTO DA MATA 2)  NF 35 RENOVA</t>
  </si>
  <si>
    <t>PRESTAÇÃO DE SERVIÇO UFVs (URANDI)  NF 36 RENOVA</t>
  </si>
  <si>
    <t>003944</t>
  </si>
  <si>
    <t xml:space="preserve">PRESTAÇÃO DE SERVIÇO UFVs (INDAIABIRA 3) NF 107 GR ENGENHARIA </t>
  </si>
  <si>
    <t>Pagamento referente a reparos  drenagem, serviço estava contrado antes da energização.ENVIADO POR MANOEL</t>
  </si>
  <si>
    <t>[CCC06569]</t>
  </si>
  <si>
    <t>PRESTAÇÃO DE SERVIÇO UFVs CICLO 3  NF 52  GP SERVIÇOS</t>
  </si>
  <si>
    <t>Pagamento e reembolso por nota de débito referente aos serviços de negociação de servidão de rede , prospecções de terreno e 
assinaturas de documentos prestados pela GP SERVIÇOS E SOLUÇÕES. ENVIADO POR IGOR MORAES</t>
  </si>
  <si>
    <t>[CCC06570]</t>
  </si>
  <si>
    <t>COMPRA DE MATERIAIS UFVs (PATROCINIO 3) NF 107052  ONIX</t>
  </si>
  <si>
    <t>Pagamento referente a compra de disjuntor para troca na usina. ENVIADO POR MARCIO ELI</t>
  </si>
  <si>
    <t>[CCC06571]</t>
  </si>
  <si>
    <t>PRESTAÇÃO DE SERVIÇO UFVs (CAMPO BELO 1) NF 15</t>
  </si>
  <si>
    <t>Pagamento de medição 7 referente ao serviço de drenagem. ENVIADO POR RAFAEL OLIVEIRA</t>
  </si>
  <si>
    <t>[CCC06572]</t>
  </si>
  <si>
    <t>PRESTAÇÃO DE SERVIÇO UFVs (DIAMANTINA 2) N 73 COSTERR</t>
  </si>
  <si>
    <t xml:space="preserve">Pagamento em faturamento direto, referente ao serviço de drenagem . ENVIADO POR GILSON </t>
  </si>
  <si>
    <t>[CCC06573]</t>
  </si>
  <si>
    <t>PRESTAÇÃO DE SERVIÇO UFVs (PASSOS 4) NF 117</t>
  </si>
  <si>
    <t>Pagamento de medição 7 referente ao serviço de drenagem. ENVIADO POR AUGUSTO</t>
  </si>
  <si>
    <t>[CCC06574]</t>
  </si>
  <si>
    <t>PRESTAÇÃO DE SERVIÇO UFVs (PASSOS 4) NF 118</t>
  </si>
  <si>
    <t>PRESTAÇÃO DE SERVIÇO UFVs (TRES CORAÇÕES 3) NF 119</t>
  </si>
  <si>
    <t>Pagamento de medição 7 referente ao serviço de drenagem. ENVIADO POR RAFAEL</t>
  </si>
  <si>
    <t>[CCC06575]</t>
  </si>
  <si>
    <t>PRESTAÇÃO DE SERVIÇO UFVs (TRES CORAÇÕES 3) NF 120</t>
  </si>
  <si>
    <t>PRESTAÇÃO DE SERVIÇO UFVs (SANTO ANTONIO DO AMPARO 1) NF 474</t>
  </si>
  <si>
    <t>Pagamento de medição 8 referente ao serviço de drenagem. ENVIADO POR RAFAEL</t>
  </si>
  <si>
    <t>[CCC06576]</t>
  </si>
  <si>
    <t>PRESTAÇÃO DE SERVIÇO UFVs (SANTO ANTONIO DO AMPARO 1) NF 475</t>
  </si>
  <si>
    <t>PRESTAÇÃO DE SERVIÇO UFVs (SANTO ANTONIO DO AMPARO 1) NF 476</t>
  </si>
  <si>
    <t>003947</t>
  </si>
  <si>
    <t>PRESTAÇÃO DE SERVIÇO UFVs (PAINS 3) NF 368</t>
  </si>
  <si>
    <t>Pagamento de medição referente ao serviço de drenagem. ENVIADO POR AUGUSTO</t>
  </si>
  <si>
    <t>[CCC06577]</t>
  </si>
  <si>
    <t>003950</t>
  </si>
  <si>
    <t>PRESTAÇÃO DE SERVIÇO UFVs (PEDRA DO INDAIA 5) NF 367</t>
  </si>
  <si>
    <t>[CCC06578]</t>
  </si>
  <si>
    <t>PRESTAÇÃO DE SERVIÇO UFVs (DIAMANTINA 2) N 30 LOC CASTRO</t>
  </si>
  <si>
    <t>[CCC06579]</t>
  </si>
  <si>
    <t xml:space="preserve"> ANTIGO -003138</t>
  </si>
  <si>
    <t>MEDIÇÃO (INGRA)</t>
  </si>
  <si>
    <t>PRESTAÇÃO DE SERVIÇO UFVs (SÃO SEBASTIÃO DO OESTE 4) NF 4</t>
  </si>
  <si>
    <t>Pagamento de medição 2 referente ao serviço de drenagem. ENVIADO POR AUGUSTO XAVIER</t>
  </si>
  <si>
    <t>[CCC06580]</t>
  </si>
  <si>
    <t>003139</t>
  </si>
  <si>
    <t>Medição (EPC-IMPLANTAR)</t>
  </si>
  <si>
    <t>PRESTAÇÃO DE SERVIÇO UFVs (DIAMANTINA 2) NF 775</t>
  </si>
  <si>
    <t>Pagamento de medição 1 referente ao serviço de mobilização. ENVIADO POR AUGUSTO XAVIER</t>
  </si>
  <si>
    <t>[CCC06581]</t>
  </si>
  <si>
    <t>PRESTAÇÃO DE SERVIÇO UFVs (OURO FINO 2) NF 2952  CONCRELONGO</t>
  </si>
  <si>
    <t>Pagamento em faturamento direto referente ao serviço de concretagem. ENVIADO POR  RAFAEL</t>
  </si>
  <si>
    <t>[CCC06582]</t>
  </si>
  <si>
    <t>PRESTAÇÃO DE SERVIÇO UFVs (TRÊS CORAÇÕES 3) NF 1210  LONGO &amp; VINHAS</t>
  </si>
  <si>
    <t>[CCC06583]</t>
  </si>
  <si>
    <t>PRESTAÇÃO DE SERVIÇO UFVs (MUZAMBINHO 1) NF 54669  BRITAMIL</t>
  </si>
  <si>
    <t>[CCC06584]</t>
  </si>
  <si>
    <t>PRESTAÇÃO DE SERVIÇO UFVs (OURO FINO 2) NF 161 ASE ENGENHARIA</t>
  </si>
  <si>
    <t>Pagamento em faturamento direto referente ao serviço de montagem dos trackers. ENVIADO POR  RAFAEL</t>
  </si>
  <si>
    <t>[CCC06585]</t>
  </si>
  <si>
    <t>PRESTAÇÃO DE SERVIÇO UFVs (ARCOS 7) NF 88</t>
  </si>
  <si>
    <t>PAGAMENTO REFERENTE A SUPRESSÃO VEGETAL. ENVIADO POR GUILHERME</t>
  </si>
  <si>
    <t>[CCC06586]</t>
  </si>
  <si>
    <t>PRESTAÇÃO DE SERVIÇO UFVs (PARACATU 8) NF 155   G A GONCALVES</t>
  </si>
  <si>
    <t>Pagamento referente a instalação TPs e TCs de medição na cabine. ESCOPO COMERC -  ENVIADO POR GILSON QUEIROZ</t>
  </si>
  <si>
    <t>[CCC06587]</t>
  </si>
  <si>
    <t>COMRA DE MATERIAIS UFVs (TRÊS CORAÇÕES 3) NF 8270 IBÉRICA</t>
  </si>
  <si>
    <t>Pagamento referente a compra de postes para usina. ENVIADO POR THAINÁ MBA</t>
  </si>
  <si>
    <t>[CCC06588]</t>
  </si>
  <si>
    <t>Remoção</t>
  </si>
  <si>
    <t>COMRA DE MATERIAIS UFVs (FORMIGA 6) NF 30152 EXPONENCIAL</t>
  </si>
  <si>
    <t>[CCC06589]</t>
  </si>
  <si>
    <t>PRESTAÇÃO DE SERVIÇOS UFVs (DIAMANTINA 1) NF 154</t>
  </si>
  <si>
    <t>Pagamento referente a medição final dos serviços de drenagem . ENVIADO POR GILSON</t>
  </si>
  <si>
    <t>[CCC06590]</t>
  </si>
  <si>
    <t>Outros - Serviços à UFV (CONSPLAN)</t>
  </si>
  <si>
    <t>PRESTAÇÃO DE SERVIÇOS UFVs (DIAMANTINA 1) NF 155 CONSPLAN</t>
  </si>
  <si>
    <t>Pagamento escopo comerc, referente a serviços de drenagem. MEDIÇÃO ADITIVO - ENVIADO POR GILSON</t>
  </si>
  <si>
    <t>003156</t>
  </si>
  <si>
    <t>PRESTAÇÃO DE SERVIÇO UFVs (PATOS DE MINAS 3) NF 886</t>
  </si>
  <si>
    <t>Pagamento referente ao aditivo contratual de revisão de projeto. ENVIADO POR MÁRCIO</t>
  </si>
  <si>
    <t>[CCC06591]</t>
  </si>
  <si>
    <t>003960</t>
  </si>
  <si>
    <t>PRESTAÇÃO DE SERVIÇO UFVs(DIVINOPOLIS 1) NF 896</t>
  </si>
  <si>
    <t>Pagamento referente ao aditivo contratual de revisão de projeto, execução/terraplanagem/drenagem. ENVIADO POR MÁRCIO</t>
  </si>
  <si>
    <t>003954</t>
  </si>
  <si>
    <t>PRESTAÇÃO DE SERVIÇO UFVs (DIVINOPOLIS 2) NF 888</t>
  </si>
  <si>
    <t>003958</t>
  </si>
  <si>
    <t>PRESTAÇÃO DE SERVIÇO UFVs (PAINS 1) NF 889</t>
  </si>
  <si>
    <t>003961</t>
  </si>
  <si>
    <t>PRESTAÇÃO DE SERVIÇO UFVs ( PAINS 3) NF 897</t>
  </si>
  <si>
    <t>PRESTAÇÃO DE SERVIÇO UFVs (PASSOS 4) NF 891</t>
  </si>
  <si>
    <t>003959</t>
  </si>
  <si>
    <t>PRESTAÇÃO DE SERVIÇO UFVs (SÃO SEBASTIÃO DO OESTE 0) NF 892</t>
  </si>
  <si>
    <t>PRESTAÇÃO DE SERVIÇO UFVs (SÃO SEBASTIÃO DO OESTE  4) NF 893</t>
  </si>
  <si>
    <t>003963</t>
  </si>
  <si>
    <t>PRESTAÇÃO DE SERVIÇO UFVs (SÃO SEBASTIÃO DO OESTE 6) NF 898</t>
  </si>
  <si>
    <t>PRESTAÇÃO DE SERVIÇO UFVs ( VARJÃO 4) NF 895</t>
  </si>
  <si>
    <t>PRESTAÇÃO DE SERVIÇO UFVS (ALFENAS 4) NF 875</t>
  </si>
  <si>
    <t>[CCC06592]</t>
  </si>
  <si>
    <t>003342</t>
  </si>
  <si>
    <t>PRESTAÇÃO DE SERVIÇO UFVS (CAMPO BELO 1) NF 876</t>
  </si>
  <si>
    <t>PRESTAÇÃO DE SERVIÇO UFVS (CAMPO BELO 2) NF 877</t>
  </si>
  <si>
    <t>PRESTAÇÃO DE SERVIÇO UFVS (DIAMANTINA 1) NF 878</t>
  </si>
  <si>
    <t>PRESTAÇÃO DE SERVIÇO UFVS (DIAMANTINA 2) NF 879</t>
  </si>
  <si>
    <t>003956</t>
  </si>
  <si>
    <t>PRESTAÇÃO DE SERVIÇO UFVS (JABOTICATUBAS) NF 880</t>
  </si>
  <si>
    <t>PRESTAÇÃO DE SERVIÇO UFVS (MUZAMBINHO 1) NF 881</t>
  </si>
  <si>
    <t>PRESTAÇÃO DE SERVIÇO UFVS (OURO FINO 2) NF 882</t>
  </si>
  <si>
    <t>PRESTAÇÃO DE SERVIÇO UFVS (PARAGUAÇU 1) NF 883</t>
  </si>
  <si>
    <t>PRESTAÇÃO DE SERVIÇO UFVS (SANTO ANTONIO DO AMPARO 1) NF 884</t>
  </si>
  <si>
    <t>PRESTAÇÃO DE SERVIÇO UFVS (TRÊS CORAÇÕES 3) NF 885</t>
  </si>
  <si>
    <t>Fat. Direto (EPC - IMPLANTAR)</t>
  </si>
  <si>
    <t>COMPRA DE MATERIAIS UFVs (DIAMANTINA 2) NF 14649 PREMOLDADOS</t>
  </si>
  <si>
    <t>Pagamento em faturamento direto referente a compra de materiasi. ENVIADO POR MANOEL FILHO</t>
  </si>
  <si>
    <t>[CCC06593]</t>
  </si>
  <si>
    <t>WEG PRESTAÇÃO DE SERVIÇOS UFVs ( CAMPO BELO 4)   ADIANTAMENTO   EVENTO 4</t>
  </si>
  <si>
    <t>Pagamento MEDIÇÃO MONTAGEM 100% DAS ESTACAS  , contrato FULL EPC WEG. EVENTO 4 ENVIADO POR MÁRCIO (NOTA JÁ ESTÁ COM TIME FISCAL PARA ESCRITURAÇÃO)</t>
  </si>
  <si>
    <t>[CCC06594]</t>
  </si>
  <si>
    <t xml:space="preserve">WEG PRESTAÇÃO DE SERVIÇOS UFVs (CAMPO BELO 4) ADIANTAMENTO EVENTO 6 </t>
  </si>
  <si>
    <t>Pagamento medição, referente a Montagem 100% das mesas , contrato FULL EPC WEG. EVENTO 6 ENVIADO POR MÁRCIO  (NOTA ESTÁ COM TIME FISCAL PARA ESCRITURAÇÃO)</t>
  </si>
  <si>
    <t>WEG PRESTAÇÃO DE SERVIÇOS UFVs (  CAMPO BELO 4)   ADIANTAMENTO   EVENTO 7</t>
  </si>
  <si>
    <t xml:space="preserve">Pagamento medição, refrente a Conclusão das conexões CC e CA contrato FULL EPC WEG. EVENTO 7 ENVIADO POR MÁRCIO (NOTA ESTÁ COM TIME FISCAL PARA ESCRITURAÇÃO) </t>
  </si>
  <si>
    <t>WEG PRESTAÇÃO DE SERVIÇOS UFVs (CAMPO BELO 4)   ADIANTAMENTO   EVENTO 8</t>
  </si>
  <si>
    <t>Pagamento de medição referente a Conclusão dos testes de comissionamento a frio, em contrato FullEPC de construção da UFV. EVENTO 8 ENVIADO POR MARCIO ( NOTA ESTÁ COM TIME FISCAL PARA ESCRITURAÇÃO)</t>
  </si>
  <si>
    <t>PRESTAÇÃO DE SERVIÇO UFVS (DIAMANTINA 1 E 2) NF 8  SANIL ENGENHARIA</t>
  </si>
  <si>
    <t>Pagamento referente a prestação de serviço em levantamento planialtimétrico georreferenciado de trecho de LT. ENVIADO POR GUILHERME</t>
  </si>
  <si>
    <t>[CCC06595]</t>
  </si>
  <si>
    <t>WEG PRESTAÇÃO DE SERVIÇOS UFVs (CAMPO BELO 3)   ADIANTAMENTO   EVENTO 6</t>
  </si>
  <si>
    <t>Pagamento de medição referente a Conclusão dos testes de comissionamento a frio, em contrato FullEPC de construção da UFV. EVENTO 6 ENVIADO POR MARCIO ( NOTA ESTÁ COM TIME FISCAL PARA ESCRITURAÇÃO)</t>
  </si>
  <si>
    <t>[CCC06596]</t>
  </si>
  <si>
    <t>WEG PRESTAÇÃO DE SERVIÇOS UFVs (CAMPO BELO 3)   ADIANTAMENTO   EVENTO 7</t>
  </si>
  <si>
    <t>Pagamento de medição referente a Conclusão dos testes de comissionamento a frio, em contrato FullEPC de construção da UFV. EVENTO 7 ENVIADO POR MARCIO ( NOTA ESTÁ COM TIME FISCAL PARA ESCRITURAÇÃO)</t>
  </si>
  <si>
    <t>WEG PRESTAÇÃO DE SERVIÇOS UFVs (CAMPO BELO 3)   ADIANTAMENTO   EVENTO 8</t>
  </si>
  <si>
    <t>Pagamento de medição referente a Conclusão dos testes de comissionamento a frio, em contrato FullEPC de construção da UFV. EVENTO 8 ENVIADO POR MARCIO (NOTA ESTÁ COM TIME FISCAL PARA ESCRITURAÇÃO)</t>
  </si>
  <si>
    <t>WEG PRESTAÇÃO DE SERVIÇOS UFVs (SÃO SEBASTIÃO DO OESTE 3)   ADIANTAMENTO   EVENTO 8</t>
  </si>
  <si>
    <t>[CCC06597]</t>
  </si>
  <si>
    <t>WEG PRESTAÇÃO DE SERVIÇOS UFVs (SÃO SEBASTIÃO DO OESTE 5)   ADIANTAMENTO   EVENTO 8</t>
  </si>
  <si>
    <t>WEG PRESTAÇÃO DE SERVIÇOS UFVs ( NOVA PONTE)   ADIANTAMENTO   EVENTO 8</t>
  </si>
  <si>
    <t>[CCC06598]</t>
  </si>
  <si>
    <t>003172</t>
  </si>
  <si>
    <t>Medição (IMPLANTAR)</t>
  </si>
  <si>
    <t>PRESTAÇÃO DE SERVIÇOS UFVs (DIAMANTINA 1) NF 776</t>
  </si>
  <si>
    <t>Pagamento referente ao aditivo de Diamantina 1. ENVIADO POR GILSON</t>
  </si>
  <si>
    <t>[CCC06599]</t>
  </si>
  <si>
    <t>PRESTAÇÃO DE SERVIÇOS UFVs (PARACATU 8) NF 11  SRJ PROTEÇÃO</t>
  </si>
  <si>
    <t>[CCC06600]</t>
  </si>
  <si>
    <t>Medição (RM)</t>
  </si>
  <si>
    <t>PRESTAÇÃO DE SERVIÇOS UFVs (SÃO SEBASTIÃO DO OESTE 4) NF 87</t>
  </si>
  <si>
    <t>Pagamento de aditivo referente ao serviço de supressão vegetal. ENVIADO POR DENER SILVA</t>
  </si>
  <si>
    <t>[CCC06601]</t>
  </si>
  <si>
    <t>003982</t>
  </si>
  <si>
    <t>Estação solarimétrica – Hukseflux   UFVs (SÃO SEBASTIÃO DO OESTE 0)   VINCULO PEDIDO 000522 NF 7015</t>
  </si>
  <si>
    <t>Compra de equipamento adicional de monitoração de condições atmosféricas, 70% FINAIS. ENVIADO POR SARAH</t>
  </si>
  <si>
    <t>[CCC06602]</t>
  </si>
  <si>
    <t>Estação solarimétrica – Hukseflux   UFVs (OURO FINO 2)   VINCULO PEDIDO 000352 NF 7016</t>
  </si>
  <si>
    <t>[CCC06603]</t>
  </si>
  <si>
    <t>Estação solarimétrica – Hukseflux   UFVs (SÃO SEBASTIÃO DO OESTE 4)   VINCULO PEDIDO 000355 NF 7018</t>
  </si>
  <si>
    <t>[CCC06604]</t>
  </si>
  <si>
    <t>003364</t>
  </si>
  <si>
    <t>Estação solarimétrica – Hukseflux   UFVs ( PARAGUAÇU 1)   VINCULO PEDIDO 000353 NF 7017</t>
  </si>
  <si>
    <t>[CCC06605]</t>
  </si>
  <si>
    <t>003365</t>
  </si>
  <si>
    <t>Estação solarimétrica – Hukseflux   UFVs ( TRES CORAÇÕES 3)   VINCULO PEDIDO 000356 NF 7019</t>
  </si>
  <si>
    <t>[CCC06606]</t>
  </si>
  <si>
    <t>Estação solarimétrica – Hukseflux   UFVs (PASSOS 4)   VINCULO PEDIDO 000267 NF 7020</t>
  </si>
  <si>
    <t>[CCC06607]</t>
  </si>
  <si>
    <t>Estação solarimétrica – Hukseflux   UFVs (VARJÃO DE MINAS 4)   VINCULO PEDIDO 000591 NF 7021</t>
  </si>
  <si>
    <t>[CCC06608]</t>
  </si>
  <si>
    <t>Estação solarimétrica – Hukseflux   UFVs (DIAMANTINA 1)   VINCULO PEDIDO 000581 NF 7022</t>
  </si>
  <si>
    <t>[CCC06609]</t>
  </si>
  <si>
    <t>Estação solarimétrica – Hukseflux   UFVs (DIAMANTINA 2)   VINCULO PEDIDO 000582 NF 7023</t>
  </si>
  <si>
    <t>[CCC06610]</t>
  </si>
  <si>
    <t>Estação solarimétrica – Hukseflux   UFVs (PATOS DE MINAS 3)   VINCULO PEDIDO 000585 NF 7024</t>
  </si>
  <si>
    <t>[CCC06611]</t>
  </si>
  <si>
    <t>003983</t>
  </si>
  <si>
    <t>PRESTAÇÃO DE SERVIÇOS UFVs (SÃO SEBASTIÃO DO OESTE 0) NF 345</t>
  </si>
  <si>
    <t>Pagamenrto de medição referente ao serviço de intalão de sistema de supervisão. ENVIADO POR WILLIAN</t>
  </si>
  <si>
    <t>[CCC06612]</t>
  </si>
  <si>
    <t>003984</t>
  </si>
  <si>
    <t>PRESTAÇÃO DE SERVIÇOS UFVs (DIVINOPOLIS 2) NF 346</t>
  </si>
  <si>
    <t>PRESTAÇÃO DE SERVIÇOS UFVs (PATOS DE MINAS 3) NF 347</t>
  </si>
  <si>
    <t>PRESTAÇÃO DE SERVIÇOS UFVs (LAGOA FORMOSA) NF 348</t>
  </si>
  <si>
    <t>COMPRA DE MATERIAIS UFVs (BRASILANDIA DE MINAS) NF 8283  IBÉRICA</t>
  </si>
  <si>
    <t>Pagamento em faturamento direto refernte a compra de materiais. ENVIADO POR THAINÁ MBA</t>
  </si>
  <si>
    <t>[CCC06613]</t>
  </si>
  <si>
    <t>COMPRA DE MATERIAIS UFVs (PATOS DE MINAS 3) NF 2635</t>
  </si>
  <si>
    <t>Pagamento de medição referente a compra de materiais . ENVIADO POR LORENA ATI</t>
  </si>
  <si>
    <t>[CCC06614]</t>
  </si>
  <si>
    <t>003987</t>
  </si>
  <si>
    <t>COMPRA DE MATERIAIS UFVs (PAINS 3) NF 2642</t>
  </si>
  <si>
    <t>003988</t>
  </si>
  <si>
    <t>PRESTAÇÃO DE SERVIÇOS UFVs (PAINS 3) NF  351</t>
  </si>
  <si>
    <t>Pagamenrto de medição referente ao serviço de intalão de sistema de supervisão. ENVIADO POR WILLIAN ATI</t>
  </si>
  <si>
    <t>[CCC06615]</t>
  </si>
  <si>
    <t>003989</t>
  </si>
  <si>
    <t xml:space="preserve">PRESTAÇÃO DE SERVIÇOS UFVs (PARACATU 5) NF 57  ARCANJO  </t>
  </si>
  <si>
    <t>Pagamento referente ao serviço de vigilancia. ENVIADO POR MARCIO ELI</t>
  </si>
  <si>
    <t>[CCC06616]</t>
  </si>
  <si>
    <t>003990</t>
  </si>
  <si>
    <t xml:space="preserve">PRESTAÇÃO DE SERVIÇOS UFVs (PARACATU 4) NF 58  ARCANJO  </t>
  </si>
  <si>
    <t>COMPRA DE MATERIAIS UFVs CICLO 2 NF 40625 DIS COMERCIO</t>
  </si>
  <si>
    <t>Pagamento referente a compra de equipamentos para office das usinas Lagoa Formosa, Patos de Minas 1, PAtos de Minas 3, Patos de Minas 4, PAtos de Minas 7, PAtos de Minas 8, PAtrocinio 2, Patrocinio 3 e Varjão 4. ENVIADO POR GILSON</t>
  </si>
  <si>
    <t>[CCC06617]</t>
  </si>
  <si>
    <t>DIS COMERCIO</t>
  </si>
  <si>
    <t>COMPRA DE MATERIAIS UFVs (PATROCINIO 2) NF 11808  LINX</t>
  </si>
  <si>
    <t>Pagamento referente a compra de combustivel. ENVIADO POR GILSON</t>
  </si>
  <si>
    <t>[CCC06618]</t>
  </si>
  <si>
    <t>PRESTAÇÃO DE SERVIÇOS UFVs (ALFENAS 4) NF 369</t>
  </si>
  <si>
    <t>[CCC06619]</t>
  </si>
  <si>
    <t>003369</t>
  </si>
  <si>
    <t>COMPRA DE MATERIAIS UFVs  NF 223663</t>
  </si>
  <si>
    <t xml:space="preserve">PAGAMENTO REFERNETE A COMPRA DE MATERIAIS. *NOTA DE REMESSA, NÃO GERA FINANCEIRO. APENAS ESCRITURAR* </t>
  </si>
  <si>
    <t>[CCC06620]</t>
  </si>
  <si>
    <t>003370</t>
  </si>
  <si>
    <t>COMPRA DE MATERIAIS UFVs  NF 223672</t>
  </si>
  <si>
    <t>[CCC06621]</t>
  </si>
  <si>
    <t>003371</t>
  </si>
  <si>
    <t>PRESTAÇÃO DE SERVIÇOS UFVs (OURO FINO 2) NF 62 TRANSIT</t>
  </si>
  <si>
    <t>Pagamento em faturamento direto referente a prestação de serviços de instalação de defensas metálicas. ENVIADO POR MATHEUS MBA</t>
  </si>
  <si>
    <t>[CCC06622]</t>
  </si>
  <si>
    <t>PRESTAÇÃO DE SERVIÇOS UFVs (PATROCINIO 2) N 2 RENAN</t>
  </si>
  <si>
    <t xml:space="preserve">Pagamento em faturamento direto, referente a base de containers. ENVIADO POR GILSON </t>
  </si>
  <si>
    <t>[CCC06623]</t>
  </si>
  <si>
    <t xml:space="preserve">PRESTAÇÃO DE SERVIÇOS UFVs (CAMPO BELO 2) NF 1918  RONDA PORTEIROS </t>
  </si>
  <si>
    <t xml:space="preserve">Pagamento referente a prestação de serviço com vigias. ENVIADO POR RAFAEL </t>
  </si>
  <si>
    <t>[CCC06624]</t>
  </si>
  <si>
    <t>003372</t>
  </si>
  <si>
    <t xml:space="preserve">PRESTAÇÃO DE SERVIÇOS UFVs ( SANTO ANTONIO DO AMPARO) NF 1834 RONDA PORTEIROS </t>
  </si>
  <si>
    <t xml:space="preserve">PRESTAÇÃO DE SERVIÇOS UFVs (ALFENAS 4) NF 1814  RONDA PORTEIROS </t>
  </si>
  <si>
    <t>003373</t>
  </si>
  <si>
    <t xml:space="preserve">PRESTAÇÃO DE SERVIÇOS UFVs (SANTO ANTONIO DO AMPARO) NF 1731 RONDA PORTEIROS </t>
  </si>
  <si>
    <t>[CCC06625]</t>
  </si>
  <si>
    <t xml:space="preserve">PRESTAÇÃO DE SERVIÇOS UFVs (ALFENAS 4) NF 1723  RONDA PORTEIROS </t>
  </si>
  <si>
    <t xml:space="preserve">                                                                                     </t>
  </si>
  <si>
    <t xml:space="preserve">PRESTAÇÃO DE SERVIÇOS UFVs (CAMPO BELO 2) NF 2092 RONDA PORTEIROS </t>
  </si>
  <si>
    <t>003374</t>
  </si>
  <si>
    <t xml:space="preserve">PRESTAÇÃO DE SERVIÇOS UFVs (CAMPO BELO 5) NF 1726  RONDA PORTEIROS </t>
  </si>
  <si>
    <t>003189</t>
  </si>
  <si>
    <t>PRESTAÇÃO DE SERVIÇOS UFVs (LAGOA FORMOSA) N 1</t>
  </si>
  <si>
    <t>[CCC06626]</t>
  </si>
  <si>
    <t>PRESTAÇÃO DE SERVIÇOS UFVs CICLO 3 ND 9 3Fs AGROCONSULTING</t>
  </si>
  <si>
    <t>Pagamento de reembolso das despesas referente aos serviços prestados no Site Survey de Minas Gerais entre os dias 10 a 16 de Setembro de 2023 visitando e relatando as usinas de cilco 3. ENVIADO POR IGOR MORAES</t>
  </si>
  <si>
    <t>[CCC06627]</t>
  </si>
  <si>
    <t>CILCO 3</t>
  </si>
  <si>
    <t>Pagamento de reembolso das despesas referente aos serviços prestados no Site Survey de Minas Gerais entre os dias 06 e 14 de novembro de 2023 visitando e relatando as usinas de cilco 3. ENVIADO POR IGOR MORAES</t>
  </si>
  <si>
    <t>Pagamento de reembolso das despesas referente aos serviços prestados no Site Survey de Minas Gerais entre os dias 26 e 27 de dezembro de 2023 visitando e relatando as usinas de cilco 3. ENVIADO POR IGOR MORAES</t>
  </si>
  <si>
    <t>Pagamento de reembolso das despesas referente aos serviços prestados no Site Survey de Minas Gerais entre os dias 07 e 11 de janeiro de 2024 visitando e relatando as usinas de cilco 3. ENVIADO POR IGOR MORAES</t>
  </si>
  <si>
    <t>003190</t>
  </si>
  <si>
    <t>PRESTAÇÃO DE SERVIÇOS UFVs ( LAGOA FORMOSA - PATROCINIO 2- PATROCINIO 3) N 51678 ATIVA LOCAÇÃO</t>
  </si>
  <si>
    <t xml:space="preserve">Pagamento referente a locação de containers. CONTRATO LOCAÇÃO PARA TERMINO DO SERVIÇO PREVIAMENTE INICIADO POR VIAPRUMO. ENVIADO POR GILSON AUGUSTO	</t>
  </si>
  <si>
    <t>[CCC06628]</t>
  </si>
  <si>
    <t xml:space="preserve">ATIVA </t>
  </si>
  <si>
    <t>003191</t>
  </si>
  <si>
    <t xml:space="preserve">PRESTAÇÃO DE SERVIÇO UFVs (DIAMANTINA 2) NF 36 </t>
  </si>
  <si>
    <t>Pagamento de medição aditivo, referente a prestação de serviço de Drenagem. ENVIADO POR GILSON.</t>
  </si>
  <si>
    <t>[CCC06629]</t>
  </si>
  <si>
    <t>003192</t>
  </si>
  <si>
    <t>PRESTAÇÃO DE SERVIÇO UFVs (DIAMANTINA 1) NF 37 ORCI</t>
  </si>
  <si>
    <t>Pagamento referente a irrigação de área do bota fora - plantada de grama duas vezes ao dia com o caminhão pipa de 10 mil litros. ENVIADO POR GILSON</t>
  </si>
  <si>
    <t>[CCC06630]</t>
  </si>
  <si>
    <t>COMPRA DE MATERIAIS UFVs (DIAMANTINA 2) NF 1650  SC ORGANIZAÇÃO</t>
  </si>
  <si>
    <t>Pagamento em faturamento direto referente a compra de concreto usinado.ENVIADO POR GILSON</t>
  </si>
  <si>
    <t>[CCC06631]</t>
  </si>
  <si>
    <t>PRESTAÇÃO DE SERVIÇO UFVs (DIAMANTINA 2) NF  1670  RONDA PORTEIROS</t>
  </si>
  <si>
    <t>Pagamento em faturamento direto referente a prestação de serviço com vigias diurnos e noturnos.ENVIADO POR GILSON</t>
  </si>
  <si>
    <t>[CCC06632]</t>
  </si>
  <si>
    <t>SERVIÇOS PRESTADOS DE CONSULTORIA EM CONTRATOS -  DELOITTE     NF 125</t>
  </si>
  <si>
    <t>Pagamento referente a medição mão de obra contrato DELOITTE ,  necessário à construção da UFV em contrato EPC . MEDIÇÃO 20 - ENVIADO POR  ROGÉRIO DELOITTE</t>
  </si>
  <si>
    <t>[CCC06633]</t>
  </si>
  <si>
    <t>SERVIÇOS PRESTADOS DE CONSULTORIA EM CONTRATOS -  DELOITTE     NF 126</t>
  </si>
  <si>
    <t>SERVIÇOS PRESTADOS DE CONSULTORIA EM CONTRATOS -  DELOITTE     NF 127</t>
  </si>
  <si>
    <t>004243</t>
  </si>
  <si>
    <t>SERVIÇOS PRESTADOS DE CONSULTORIA EM CONTRATOS -  DELOITTE     NF 128</t>
  </si>
  <si>
    <t>004535</t>
  </si>
  <si>
    <t>MEDIÇÃO (WEG)</t>
  </si>
  <si>
    <t>PRESTAÇÃO DE SERVIÇOS-  ESTRELA DO NORTE - EDN PROFORMA EVENTO 1 e 2 ( GUARDA MOR ) NF 70967</t>
  </si>
  <si>
    <t>Pagamento referente  a fatura proforma de peças sobressalentes WEG. ENVIADO POR MARCIO ELI - NOTA PAGA POR ADIANTAMENTO PC A601 003998)  * NÃO GERA FINANCEIRO*</t>
  </si>
  <si>
    <t>[CCC06634]</t>
  </si>
  <si>
    <t xml:space="preserve">
falta esse ***********
PRESTAÇÃO DE SERVIÇOS-  ESTRELA DO NORTE - EDN PROFORMA EVENTO 1 e 2 ( GUARDA MOR - INDAIABIRA 1- INDAIABIRA 2) NF -  (1059739,85 - Valor das 3 Usinas)</t>
  </si>
  <si>
    <t>A609 - ESTRELA DO NORTE INDAIABIRA SPE</t>
  </si>
  <si>
    <t>004536</t>
  </si>
  <si>
    <t>PRESTAÇÃO DE SERVIÇOS-  ESTRELA DO NORTE - EDN PROFORMA EVENTO 1 e 2 ( INDAIABIRA 1) NF 70977</t>
  </si>
  <si>
    <t>004537</t>
  </si>
  <si>
    <t>PRESTAÇÃO DE SERVIÇOS-  ESTRELA DO NORTE - EDN PROFORMA EVENTO 1 e 2 (INDAIABIRA 2) NF 70966</t>
  </si>
  <si>
    <t>PRESTAÇÃO DE SERVIÇOS UFVs (UNAI 1 e 2) N 4500038415143</t>
  </si>
  <si>
    <t xml:space="preserve">Pagamento de taxa, referente ao requerimento de dispensa ambiental. ENVIADO POR NAYAR </t>
  </si>
  <si>
    <t>[CCC06635]</t>
  </si>
  <si>
    <t>003999</t>
  </si>
  <si>
    <t>PRESTAÇÃO DE SERVIÇOS UFVs (PAINS 3) NORTE CONEXÃO NF 2633</t>
  </si>
  <si>
    <t>[CCC06636]</t>
  </si>
  <si>
    <t>COMPRA DE MATERIAIS UFVs (PASSOS 4) NF 147 TECFIBRAS</t>
  </si>
  <si>
    <t>Pagamento em faturamento direto referente a compra de materiais. ENVIADO POR THAINÁ  MBA</t>
  </si>
  <si>
    <t>[CCC06637]</t>
  </si>
  <si>
    <t>003381</t>
  </si>
  <si>
    <t>MEDIÇÃO (RM SOLUÇÕES)</t>
  </si>
  <si>
    <t>PRESTAÇÃO DE SERVIÇOS UFVs (CASSIA 1) NF 91</t>
  </si>
  <si>
    <t>Pagamento de medição,refente a serviço de supressão vegetal + descascament de eucalipto. ENVIADO POR GUILHERME</t>
  </si>
  <si>
    <t>[CCC06638]</t>
  </si>
  <si>
    <t>PRESTAÇÃO DE SERVIÇOS UFVs ( PATROCINIO  3) NF 46 DISK AREIA</t>
  </si>
  <si>
    <t>[CCC06639]</t>
  </si>
  <si>
    <t>PRESTAÇÃO DE SERVIÇOS UFVs (Lagoa Formosa, Patos 01, Patos 03, Patos 04, Patos 07, Patos 08, Patrocínio 02, Patrocínio 03, Varjão 04) NF 898  EUDARLEI</t>
  </si>
  <si>
    <t>Pagamento referente ao serviço de montagem de ar condicionados nas plantas do cluster 3. ENVIADO POR GILSON</t>
  </si>
  <si>
    <t>[CCC06640]</t>
  </si>
  <si>
    <t>EUDARLEI</t>
  </si>
  <si>
    <t>003382</t>
  </si>
  <si>
    <t>PRESTAÇÃO DE SERVIÇOS UFVs (TRÊS CORAÇÕES 3) NF 125</t>
  </si>
  <si>
    <t>Pagamento de medição  referente ao serviço de drenagem. ENVIADO POR RAFAEL</t>
  </si>
  <si>
    <t>[CCC06641]</t>
  </si>
  <si>
    <t>003383</t>
  </si>
  <si>
    <t>PRESTAÇÃO DE SERVIÇOS UFVs (TRÊS CORAÇÕES 3) NF 126</t>
  </si>
  <si>
    <t>004000</t>
  </si>
  <si>
    <t>PRESTAÇÃO DE SERVIÇOS UFVs (SÃO SEBASTIÃO DO OESTE 6)     NF 38</t>
  </si>
  <si>
    <t>[CCC06642]</t>
  </si>
  <si>
    <t>004001</t>
  </si>
  <si>
    <t>PRESTAÇÃO DE SERVIÇOS UFVs (DIVINOPOLIS 1)  NF 353</t>
  </si>
  <si>
    <t>Pagamento de medição referente a licenca de utilizacao do sistema SGD. ENVIADO POR WILLIAN ATI</t>
  </si>
  <si>
    <t>[CCC06643]</t>
  </si>
  <si>
    <t>004002</t>
  </si>
  <si>
    <t>PRESTAÇÃO DE SERVIÇOS UFVs (DIVINOPOLIS 2)  NF 354</t>
  </si>
  <si>
    <t>004003</t>
  </si>
  <si>
    <t>PRESTAÇÃO DE SERVIÇOS UFVs (INDAIABIRA 3)  NF 355</t>
  </si>
  <si>
    <t>004004</t>
  </si>
  <si>
    <t>PRESTAÇÃO DE SERVIÇOS UFVs (INDAIABIRA 4)  NF 356</t>
  </si>
  <si>
    <t>PRESTAÇÃO DE SERVIÇO UFVs (CAMPO BELO 2) NF 16  MOSAICO</t>
  </si>
  <si>
    <t>Pagamento de medição finalreferente ao serviço de drenagem. ENVIADO POR RAFAEL</t>
  </si>
  <si>
    <t>[CCC06644]</t>
  </si>
  <si>
    <t>PRESTAÇÃO DE SERVIÇO UFVs (DIAMANTINA 1) NF 74 COSTERR</t>
  </si>
  <si>
    <t>Pagamento de fatruramento direto, referente ao serviço adicional de drenagem. ENVIADO POR GILSON</t>
  </si>
  <si>
    <t>[CCC06645]</t>
  </si>
  <si>
    <t>PRESTAÇÃO DE SERVIÇO UFVs (DIAMANTINA 1) NF 38</t>
  </si>
  <si>
    <t>Pagamento de medição, referente ao serviço adicional de drenagem. ENVIADO POR GILSON</t>
  </si>
  <si>
    <t>003207</t>
  </si>
  <si>
    <t>PRESTAÇÃO DE SERVIÇOS UFVs (PATOS DE MINAS 3) NORTE CONEXÃO NF 2071</t>
  </si>
  <si>
    <t>[CCC06646]</t>
  </si>
  <si>
    <t>PRESTAÇÃO DE SERVIÇOS UFVs (PAINS 1)  NF 165161873  CEMIG</t>
  </si>
  <si>
    <t>Pagamento referente  a PFC do Projeto Pains 1 do ciclo 3. ENVIADO POR ALEXANDRE.</t>
  </si>
  <si>
    <t>[CCC06647]</t>
  </si>
  <si>
    <t>004005</t>
  </si>
  <si>
    <t>PRESTAÇÃO DE SERVIÇO UFVs (JABOTICATUBAS) NF 76 COSTERR</t>
  </si>
  <si>
    <t>Pagamento de fatruramento direto, referente ao serviço de drenagem. ENVIADO POR WENDEL</t>
  </si>
  <si>
    <t>[CCC06648]</t>
  </si>
  <si>
    <t>004006</t>
  </si>
  <si>
    <t>PRESTAÇÃO DE SERVIÇO UFVs (PEDRA DO INDAIA 5) NF 373</t>
  </si>
  <si>
    <t>Pagamento de medição, referente ao serviço de drenagem. ENVIADO POR AUGUSTO</t>
  </si>
  <si>
    <t>[CCC06649]</t>
  </si>
  <si>
    <t>PRESTAÇÃO DE SERVIÇO UFVs (FORMIGA 6) NF 372</t>
  </si>
  <si>
    <t>[CCC06650]</t>
  </si>
  <si>
    <t>004007</t>
  </si>
  <si>
    <t>PRESTAÇÃO DE SERVIÇO UFVs (PAINS 3) NF 357</t>
  </si>
  <si>
    <t>[CCC06651]</t>
  </si>
  <si>
    <t>PRESTAÇÃO DE SERVIÇO UFVs (PATOS DE MINAS 4) NF 358</t>
  </si>
  <si>
    <t>PRESTAÇÃO DE SERVIÇO UFVs (PATOS DE MINAS 7) NF 368</t>
  </si>
  <si>
    <t>003213</t>
  </si>
  <si>
    <t>COMPRA DE MATERIAIS UFVs (PARACATU 8) NF 2649</t>
  </si>
  <si>
    <t>[CCC06652]</t>
  </si>
  <si>
    <t>COMPRA DE MATERIAIS UFVs (ALFENAS 4) NF 2650</t>
  </si>
  <si>
    <t>003385</t>
  </si>
  <si>
    <t>COMPRA DE MATERIAIS UFVs (PARAGUAÇU 1) NF 2651</t>
  </si>
  <si>
    <t>0002314</t>
  </si>
  <si>
    <t>000494</t>
  </si>
  <si>
    <t>Desenvolvimento de   projetos  GLD  (  PARAGUAÇU  1)    NF  235</t>
  </si>
  <si>
    <t xml:space="preserve"> Pagamento referente a elaboracao de planos diretores, estudos de viabilidade necessário para a construção da UFv . </t>
  </si>
  <si>
    <t>[CCC03849]</t>
  </si>
  <si>
    <t>Desenvolvimento de   projetos  GLD  (  SANTO ANTONIO 1  )    NF  232</t>
  </si>
  <si>
    <t>[CCC03847]</t>
  </si>
  <si>
    <t>Desenvolvimento de   projetos  GLD  (SAO SEBASTIAO 4)    NF  236</t>
  </si>
  <si>
    <t>[CCC03839]</t>
  </si>
  <si>
    <t>000495</t>
  </si>
  <si>
    <t>Desenvolvimento de   projetos  GLD  (  3 CORAÇÕES 3 )    NF  237</t>
  </si>
  <si>
    <t>[CCC03850]</t>
  </si>
  <si>
    <t xml:space="preserve"> SERVIÇO DE ENTREGA DE PROJETOS  MEDIÇÃO 3  GLD   NF 242</t>
  </si>
  <si>
    <t>R$11756,6 = Jaboticatubas/Somente Jaboticatubas participa desta medição por ser  Projeto detalhado na EDN. Outras usinas ão Projeto Basico e não fazem parte da medição</t>
  </si>
  <si>
    <t>003384</t>
  </si>
  <si>
    <t>PRESTAÇÃO DE SERVIÇO UFVs (SÃO SEBASTIÃO DO OESTE 4) NF 5</t>
  </si>
  <si>
    <t>Pagamento de medição referente ao serviço de drenagem . ENVIADO AUGUSTO</t>
  </si>
  <si>
    <t>[CCC06653]</t>
  </si>
  <si>
    <t>003214</t>
  </si>
  <si>
    <t>PRESTAÇÃO DE SERVIÇO UFVs (PATOS DE MINAS 3) NF 64 DIEGO RODRIGUES</t>
  </si>
  <si>
    <t>Prestação de serviço de correção drenagem.  ESCOPO COMERC. ENVIADO GILSON</t>
  </si>
  <si>
    <t>[CCC06654]</t>
  </si>
  <si>
    <t>MEDIÇÃO MENSAL MARÇO/2024  UFVs  LMENG  NF 12818</t>
  </si>
  <si>
    <t>[CCC06655]</t>
  </si>
  <si>
    <t>MEDIÇÃO MENSAL MARÇO/2024  UFVs  LMENG  NF 12819</t>
  </si>
  <si>
    <t>004008</t>
  </si>
  <si>
    <t>MEDIÇÃO MENSAL MARÇO/2024  UFVs  LMENG  NF 12820</t>
  </si>
  <si>
    <t>004009</t>
  </si>
  <si>
    <t>MEDIÇÃO MENSAL MARÇO/2024  UFVs  LMENG  NF 12821</t>
  </si>
  <si>
    <t>003386</t>
  </si>
  <si>
    <t>MEDIÇÃO MENSAL MARÇO/2024  UFVs  LMENG  NF 12822</t>
  </si>
  <si>
    <t>003387</t>
  </si>
  <si>
    <t>MEDIÇÃO MENSAL MARÇO/2024  UFVs  LMENG  NF 12823</t>
  </si>
  <si>
    <t>MEDIÇÃO MENSAL MARÇO/2024  UFVs  LMENG  NF 12824</t>
  </si>
  <si>
    <t>MEDIÇÃO MENSAL MARÇO/2024  UFVs  LMENG  NF 12825</t>
  </si>
  <si>
    <t>004010</t>
  </si>
  <si>
    <t>PRESTAÇÃO DE SERVIÇO UFVs (SÃO SEBASTIÃO DO OESTE 0) NF 29726</t>
  </si>
  <si>
    <t>Pagamento de medição referente ao fornecimento de material e mão de obra especializada para serviços de instalações eletromecanicas e civil. ENVIADO POR AUGUSTO - OBS: VALOR A SER PAGO: R$ 19.647,21</t>
  </si>
  <si>
    <t>[CCC06656]</t>
  </si>
  <si>
    <t>004011</t>
  </si>
  <si>
    <t>PRESTAÇÃO DE SERVIÇO UFVs (PAINS 3) NF 29727</t>
  </si>
  <si>
    <t>Pagamento de medição referente ao fornecimento de material e mão de obra especializada para serviços de instalações eletromecanicas e civil. ENVIADO POR AUGUSTO - OBS: VALOR A SER PAGO: R$ 21.494,76</t>
  </si>
  <si>
    <t>004012</t>
  </si>
  <si>
    <t>PRESTAÇÃO DE SERVIÇO UFVs (PARACATU 4) NF 29728</t>
  </si>
  <si>
    <t>004013</t>
  </si>
  <si>
    <t>PRESTAÇÃO DE SERVIÇO UFVs (PARACATU 5) NF 29729</t>
  </si>
  <si>
    <t>PRESTAÇÃO DE SERVIÇO UFVs (PASSOS 4) NF 29730</t>
  </si>
  <si>
    <t>Pagamento de medição referente ao fornecimento de material e mão de obra especializada para serviços de instalações eletromecanicas e civil. ENVIADO POR AUGUSTO - OBS: VALOR A SER PAGO: R$ 42.296,20</t>
  </si>
  <si>
    <t>PRESTAÇÃO DE SERVIÇOS (PATROCINIO 2) NF 1 CMJ SOLUÇÕES</t>
  </si>
  <si>
    <t>[CCC06657]</t>
  </si>
  <si>
    <t>003388</t>
  </si>
  <si>
    <t>COMPRA DE MATERIAIS UFVs (CAMPO BELO 1) NF 30256  EXPONENCIAL</t>
  </si>
  <si>
    <t>Pagamento referente a compra de materiais. ENVIADO POR THAINÁ MBA</t>
  </si>
  <si>
    <t>[CCC06658]</t>
  </si>
  <si>
    <t>PRESTAÇÃO DE SERVIÇO UFVs (DIAMANTINA 2) NF 1924 RONDA PORTEIROS</t>
  </si>
  <si>
    <t>Pagamento em faturamento direto referente a prestação de serviço com vigias diurnos e noturnos. ENVIADO POR GILSON</t>
  </si>
  <si>
    <t>[CCC06659]</t>
  </si>
  <si>
    <t>PRESTAÇÃO DE SERVIÇO UFVs (DIAMANTINA 2) NF 13  MESS ENGENHARIA</t>
  </si>
  <si>
    <t>Pagamento em faturamento direto referente a prestação de serviço de gerenciamento de projetos. ENVIADO POR GILSON</t>
  </si>
  <si>
    <t>[CCC06660]</t>
  </si>
  <si>
    <t>PRESTAÇÃO DE SERVIÇO UFVs (ARCOS, ALFENAS, MUZAMINHOE PROJETOS BA) NF 53  GP SERVIÇOS</t>
  </si>
  <si>
    <t>Pagamento de reembolso ao serviços de negociação de servidão de rede, prospecção de terrenos e assinatura de documentos prestados pela GP Serviços. ENVIADO POR IGOR MORAES</t>
  </si>
  <si>
    <t>[CCC06661]</t>
  </si>
  <si>
    <t xml:space="preserve"> GP SERVIÇOS</t>
  </si>
  <si>
    <t xml:space="preserve">PRESTAÇÃO DE SERVIÇO UFVs (CAMPO BELO 2)  NORTE CONEXÃO NF 2055  </t>
  </si>
  <si>
    <t xml:space="preserve">Pagamento referente a taxa de adesão de internet. ENVIADO POR MARCIO </t>
  </si>
  <si>
    <t>[CCC06662]</t>
  </si>
  <si>
    <t>PRESTAÇÃO DE SERVIÇO UFVs (VARJÃO DE MINAS 4)  NORTE CONEXÃO NF 2056</t>
  </si>
  <si>
    <t>004016</t>
  </si>
  <si>
    <t>PRESTAÇÃO DE SERVIÇO UFVs (PAINS 3)  NORTE CONEXÃO NF 2057</t>
  </si>
  <si>
    <t>003389</t>
  </si>
  <si>
    <t>PRESTAÇÃO DE SERVIÇO UFVs (TRÊS CORAÇÕES 3)  NORTE CONEXÃO NF 2058</t>
  </si>
  <si>
    <t>003390</t>
  </si>
  <si>
    <t>PRESTAÇÃO DE SERVIÇO UFVs (OURO FINO 2)  NORTE CONEXÃO NF 2059</t>
  </si>
  <si>
    <t>003391</t>
  </si>
  <si>
    <t>PRESTAÇÃO DE SERVIÇO UFVs (ARCOS 7)  NORTE CONEXÃO NF 2060</t>
  </si>
  <si>
    <t>003392</t>
  </si>
  <si>
    <t>PRESTAÇÃO DE SERVIÇO UFVs (SANTO ANTÔNIO DO AMPARO 1)  NORTE CONEXÃO NF 2061</t>
  </si>
  <si>
    <t>003393</t>
  </si>
  <si>
    <t>PRESTAÇÃO DE SERVIÇO UFVs (CAMPO BELO 1)  NORTE CONEXÃO NF 2062</t>
  </si>
  <si>
    <t>003395</t>
  </si>
  <si>
    <t>PRESTAÇÃO DE SERVIÇO UFVs (MUZAMBINHO)  NORTE CONEXÃO NF 2063</t>
  </si>
  <si>
    <t>003394</t>
  </si>
  <si>
    <t>PRESTAÇÃO DE SERVIÇO UFVs (PARAGUAÇU 1)  NORTE CONEXÃO NF 2064</t>
  </si>
  <si>
    <t>PRESTAÇÃO DE SERVIÇO UFVs (ALFENAS 4)  NORTE CONEXÃO NF 2065</t>
  </si>
  <si>
    <t>PRESTAÇÃO DE SERVIÇO UFVs (PASSOS 4)  NORTE CONEXÃO NF 2066</t>
  </si>
  <si>
    <t>004017</t>
  </si>
  <si>
    <t>PRESTAÇÃO DE SERVIÇO UFVs (SÃO SEBASTIÃO DO OESTE 0)  NORTE CONEXÃO NF 2067</t>
  </si>
  <si>
    <t>PRESTAÇÃO DE SERVIÇO UFVs (DIAMANTINA 1)  NORTE CONEXÃO NF 2068</t>
  </si>
  <si>
    <t>PRESTAÇÃO DE SERVIÇO UFVs (DIAMANTINA 2)  NORTE CONEXÃO NF 2069</t>
  </si>
  <si>
    <t>PRESTAÇÃO DE SERVIÇO UFVs (PATOS DE MINAS 3)  NORTE CONEXÃO NF 2070</t>
  </si>
  <si>
    <t>PRESTAÇÃO DE SERVIÇO UFVs (FREI INOCENCIO) GR ENGENHARIA  NF 104</t>
  </si>
  <si>
    <t>Pagamento referente a prestação de serviço de execução da base para container , serviço estava contrato antes da energização.ENVIADO POR GR ENGENHARIA</t>
  </si>
  <si>
    <t>[CCC06663]</t>
  </si>
  <si>
    <t xml:space="preserve"> GR ENGENHARIA</t>
  </si>
  <si>
    <t>004018</t>
  </si>
  <si>
    <t>PRESTAÇÃO DE SERVIÇO UFVs (INDAIABIRA 1) GR ENGENHARIA  NF 105</t>
  </si>
  <si>
    <t>004019</t>
  </si>
  <si>
    <t>PRESTAÇÃO DE SERVIÇO UFVs (INDAIABIRA 2) GR ENGENHARIA  NF 106</t>
  </si>
  <si>
    <t>055518</t>
  </si>
  <si>
    <t>PRESTAÇÃO DE SERVIÇO NF 3436 DATASIDE</t>
  </si>
  <si>
    <t>Pagamento referente ao serviço prestado de POWER BI para equipe BH. ENVIADO POR ANDRESSA</t>
  </si>
  <si>
    <t>[CCC06664]</t>
  </si>
  <si>
    <t>DATASIDE</t>
  </si>
  <si>
    <t>PRESTAÇÃO DE SERVIÇOS UFVs (FILADELFIA)  NF 29  GOVERDE</t>
  </si>
  <si>
    <t>Reembolso – Pagamento inicial de 10% referente a documentação no processo e autorização de supressão da vegetação para a 
implantação da UFV na cidade de Filadélfia - BA. ENVIADO POR JOÃO PAULO</t>
  </si>
  <si>
    <t>[CCC06665]</t>
  </si>
  <si>
    <t>GOVERDE</t>
  </si>
  <si>
    <t>JX AMBIENTAL - Taxa Florestal  (PAINS 1 e 2) N 2901335990818</t>
  </si>
  <si>
    <t>[CCC06666]</t>
  </si>
  <si>
    <t>COMPRA DE MATERIAIS UFVs (PASSOS 4) NF 8312 IBERICA</t>
  </si>
  <si>
    <t>Pagamento em faturamento direto referente a compra de postes/ REMESSA .ENVIADO POR MBA</t>
  </si>
  <si>
    <t>[CCC06667]</t>
  </si>
  <si>
    <t>REMESSA</t>
  </si>
  <si>
    <t>COMPRA DE MATERIAIS UFVs (PASSOS 4) NF 8314 IBERICA</t>
  </si>
  <si>
    <t>COMPRA DE MATERIAIS UFVs (PASSOS 4) NF 8317 IBERICA</t>
  </si>
  <si>
    <t>003397</t>
  </si>
  <si>
    <t>COMPRA DE MATERIAIS UFVs (NEWCO IV) NF 224178_x000D_  ROMAGNOLE</t>
  </si>
  <si>
    <t>Pagamento refernte a compra de materiais. ENVIADO POR ROMAGNOLE - *NOTA DE REMESSA. NÃO GERA FINANCEIRO, APENAS ESCRITURAR*</t>
  </si>
  <si>
    <t>[CCC06668]</t>
  </si>
  <si>
    <t>R$28.000 dividido em 4 usinas. Trata-se de 20% do contrato de projeto de drenagem - Diamantina 1&amp;2 , Patos 3  e Varjão 4</t>
  </si>
  <si>
    <t>Serviço Total de 21.000R$ aplicados nas Usinas Alfenas 4/ Campo Belo 2  / Passos 4</t>
  </si>
  <si>
    <t>SERVIÇO DE ENTREGA DE PROJETOS  MEDIÇÃO 3  GLD     NF   240</t>
  </si>
  <si>
    <t>23513,2 - R$ Valor total. dividido para  Alfenas 4 e Campo Belo 2</t>
  </si>
  <si>
    <t>PRESTAÇÃO SERVIÇOS ( JOÃO DOURADO) DAM 196845</t>
  </si>
  <si>
    <t>PAGAMENTO REFERENTE A TAXA DE ARRECADAÇÃO MUNICIPAL. ENVIADO POR LETICIA</t>
  </si>
  <si>
    <t>[CCC06669]</t>
  </si>
  <si>
    <t>DAM</t>
  </si>
  <si>
    <t>MEDIÇÃO (MBA -MT)</t>
  </si>
  <si>
    <t>PRESTAÇÃO DE SERVIÇO UFVs (CAMPO BELO 2) 3023</t>
  </si>
  <si>
    <t>Pagamento aditivo contratual, referente a prestação de serviço equipe de Linha Viva para instalação de equipamentos e encabeçamento de redes de distribuição de energia. ENVIADO POR MBA</t>
  </si>
  <si>
    <t>[CCC06670]</t>
  </si>
  <si>
    <t>003398</t>
  </si>
  <si>
    <t>PRESTAÇÃO DE SERVIÇO UFVs (CAMPO BELO 5) 30234</t>
  </si>
  <si>
    <t>Pagamento medição, referente a prestação de serviço de projeto e extensão de rede de distribuição rural para atender à UFV. ENVIADO POR MBA</t>
  </si>
  <si>
    <t>[CCC06671]</t>
  </si>
  <si>
    <t>003399</t>
  </si>
  <si>
    <t>PRESTAÇÃO DE SERVIÇOS UFVs ( PAINS 3)  NF 12 SJR PROTEÇÃO</t>
  </si>
  <si>
    <t>[CCC06672]</t>
  </si>
  <si>
    <t>PRESTAÇÃO DE SERVIÇOS UFVs (DIAMANTINA 2) NF 600</t>
  </si>
  <si>
    <t>Pagamento medição referente ao serviço de mão de obra especializada na construçãod e RDR. ENVIADO POR ENGELUZ</t>
  </si>
  <si>
    <t>[CCC06673]</t>
  </si>
  <si>
    <t>004079</t>
  </si>
  <si>
    <t>PRESTAÇÃO DE SERVIÇO UFVs (SÃO SEBASTIÃO DO OESTE 0)  NF 598</t>
  </si>
  <si>
    <t>[CCC06674]</t>
  </si>
  <si>
    <t>PRESTAÇÃO DE SERVIÇO UFVs (DIAMANTINA 1)  NF 599</t>
  </si>
  <si>
    <t>[CCC06675]</t>
  </si>
  <si>
    <t>003459</t>
  </si>
  <si>
    <t>PRESTAÇÃO DE SERVIÇO UFVs (CAMPO BELO 1)  NF 202400000000031</t>
  </si>
  <si>
    <t xml:space="preserve">Pagamento rreferente conta abastecimento de água, para Campo Belo 1. Enviado por Rafael.	</t>
  </si>
  <si>
    <t>[CCC06676]</t>
  </si>
  <si>
    <t>PJ SERVIÇOS</t>
  </si>
  <si>
    <t>PRESTAÇÃO DE SERVIÇO UFVs (CAMPO BELO 2)  NF 202400000000030</t>
  </si>
  <si>
    <t>Pagamento rreferente conta abastecimento de água, para Campo Belo 2. Enviado por Rafael.</t>
  </si>
  <si>
    <t>003460</t>
  </si>
  <si>
    <t>PRESTAÇÃO DE SERVIÇO UFVs (Paraguaçu 1)  NF 601</t>
  </si>
  <si>
    <t>Pagamento ADITIVO, referente ao serviço de mão de obra especializada na construçãod e RDR. ENVIADO POR ENGELUZ</t>
  </si>
  <si>
    <t>[CCC06677]</t>
  </si>
  <si>
    <t>TROCAR NOTA - R$ 72940,25 - Valor esta errado enviado pela Engeluz.</t>
  </si>
  <si>
    <t>004103</t>
  </si>
  <si>
    <t>MEDIÇÃO (ENGECON)</t>
  </si>
  <si>
    <t>PRESTAÇÃO DE SERVIÇO UFVs (SÃO SEBASTIÃO DO OESTE 0) NF 456 ANDRADE PINHEIRO</t>
  </si>
  <si>
    <t>Pagamento referente a medição final, do serviços de drenagem. ENVIADO POR AUGUSTO</t>
  </si>
  <si>
    <t>[CCC06678]</t>
  </si>
  <si>
    <t>003468</t>
  </si>
  <si>
    <t>COMPRA DE MATERIAIS UFVs () NF 197302  INDUFIX_x000D_</t>
  </si>
  <si>
    <t>Pagamento referente a compra do primeiro lote de parafusos, porcas e arruelas que faltaram da Arctech para Três Corações 3. ENVIADO POR RAFAEL</t>
  </si>
  <si>
    <t>[CCC06679]</t>
  </si>
  <si>
    <t>004113</t>
  </si>
  <si>
    <t>REGRHAN  PRESTAÇÃO DE SERVIÇOS  ESTRELA DO NORTE  NF 2755</t>
  </si>
  <si>
    <t>Pagamento referente aos serviços de assessoria , gestão e controle documental de terceiros, realizados pelo REGRHAN, necessários a construção das UFVs. ENVIADO POR REGRHAN - 04/24</t>
  </si>
  <si>
    <t>[CCC06680]</t>
  </si>
  <si>
    <t>003308</t>
  </si>
  <si>
    <t>REGRHAN  PRESTAÇÃO DE SERVIÇOS  MORI GERAÇÃO II  NF 2756</t>
  </si>
  <si>
    <t>003469</t>
  </si>
  <si>
    <t>REGRHAN  PRESTAÇÃO DE SERVIÇOS  MORI MINAS NEWCO IV  NF 2757</t>
  </si>
  <si>
    <t>002193</t>
  </si>
  <si>
    <t>REGRHAN  PRESTAÇÃO DE SERVIÇOS  MORI MINAS NEWCO V  NF 2758</t>
  </si>
  <si>
    <t>003470</t>
  </si>
  <si>
    <t>PRESTAÇÃO DE SERVIÇOS UFVs (PARAGUAÇU 1) NF 163  ASE ENGENHARIA</t>
  </si>
  <si>
    <t>Pagamento referente a instalação dos TCs e TPs da CEMIG em Paraguaçu 1. ENVIADO POR RAFAEL</t>
  </si>
  <si>
    <t>[CCC06681]</t>
  </si>
  <si>
    <t>CONSTRUMANAGER -    04/2024   NF  319233</t>
  </si>
  <si>
    <t>[CCC06682]</t>
  </si>
  <si>
    <t>PROTESTO CARTORIO BH - Nº Protocolo: 103.812.523</t>
  </si>
  <si>
    <t>Pagamento referente a protesto ROMAGNOLE. ENVIADO POR MARCIO ELI</t>
  </si>
  <si>
    <t>[CCC06683]</t>
  </si>
  <si>
    <t xml:space="preserve">ROMAGNOLE </t>
  </si>
  <si>
    <t>PRESTAÇÃO DE SERVIÇO UFVs (DIAMANTINA 2) NF 421 AGUIAR LOCAÇÃO</t>
  </si>
  <si>
    <t>Pagamento em faturamento direto referente a contratação de equipamento retroescavadeira. ENVIADO POR MANOEL</t>
  </si>
  <si>
    <t>[CCC06684]</t>
  </si>
  <si>
    <t>COMPRA DE MATERIAIS UFVs (PATROCINIO 2) NF 64  ALEXANDRE JOSE</t>
  </si>
  <si>
    <t>Pagamento referente a compra de cabos para alimentação eletrica das estações solarimétricas e refletores . (PREVISTO CONTRATO VIA PRUMO) ENVIADO POR GILSON</t>
  </si>
  <si>
    <t>[CCC06685]</t>
  </si>
  <si>
    <t>COMPRA DE MATERIAIS UFVs (PATROCINIO 3) NF 63  ALEXANDRE JOSE</t>
  </si>
  <si>
    <t>PRESTAÇÃO DE SERVIÇO UFVs (DIAMANTINA 2) NF 62 PORTAL ENGENHARIA</t>
  </si>
  <si>
    <t>Pagamento em faturamento direto referente a locação de perfuratriz rotopneumática sobre trator, compressor parafuso com martelo e bits de fundo 12’’ 300 mm, com operador incluso. Veículo Utilitário na obra e mobilização/desmobilização equipamento. ENVIADO POR MANOEL</t>
  </si>
  <si>
    <t>[CCC06686]</t>
  </si>
  <si>
    <t>MEDIÇÃO (IMPLANTAR)</t>
  </si>
  <si>
    <t>PRESTAÇÃO DE SERVIÇOS UFVs (DIAMANTINA 1)  NF 778</t>
  </si>
  <si>
    <t>Pagamento referente a medição final, aditivo,inclusão dos custos indiretos que a Implantar teve no aditivo e BDI.ENVIADO POR GILSON</t>
  </si>
  <si>
    <t>[CCC06687]</t>
  </si>
  <si>
    <t>003317</t>
  </si>
  <si>
    <t>PRESTAÇÃO DE SERVIÇOS UFVs (DIAMANTINA 1)  NF 1994 RONDA</t>
  </si>
  <si>
    <t>Pagamento referente ao serviços vigias. ADITIVO. ENVIADO POR MANOEL</t>
  </si>
  <si>
    <t>[CCC06688]</t>
  </si>
  <si>
    <t>PRESTAÇÃO DE SERVIÇOS UFVs (DIAMANTINA 1)  NF 1993 RONDA</t>
  </si>
  <si>
    <t>Pagamento referente ao serviços vigias. ENVIADO POR MANOEL</t>
  </si>
  <si>
    <t xml:space="preserve"> SERVIÇO DE ENTREGA DE PROJETOS  MEDIÇÃO 3  GLD     NF   241</t>
  </si>
  <si>
    <t xml:space="preserve">23513,2 - R$ Valor total. dividido para  Diamanitna 1 &amp; 2 </t>
  </si>
  <si>
    <t>PRESTAÇÃO DE SERVIÇOS UFVs (DIAMANTINA 2) NF 694 TRAMEL</t>
  </si>
  <si>
    <t>Pagamento referente a transporte equipamento.ENVIADO POR GILSON</t>
  </si>
  <si>
    <t>[CCC06689]</t>
  </si>
  <si>
    <t xml:space="preserve"> TRAMEL</t>
  </si>
  <si>
    <t>'003476</t>
  </si>
  <si>
    <t>PRESTAÇÃO DE SERVIÇO UFVs (SÃO SEBASTIÃO DO OESTE 4) NF 6</t>
  </si>
  <si>
    <t>Pagamento de medição Final. referente ao serviço de drenagem . ENVIADO AUGUSTO</t>
  </si>
  <si>
    <t>[CCC06690]</t>
  </si>
  <si>
    <t>PRESTAÇÃO DE SERVIÇO UFVs (FORMIGA 6) NF 2075</t>
  </si>
  <si>
    <t>Pagamento referente ao serviço de vigilância, estava com GLD, porém assumimos após quebra de contrato. ENVIADO POR AUGUSTO</t>
  </si>
  <si>
    <t>[CCC06691]</t>
  </si>
  <si>
    <t>PRESTAÇÃO DE SERVIÇO UFVs (FORMIGA 6) NF 2074</t>
  </si>
  <si>
    <t>COMPRA DE MATERIAIS UFVs (PATOS DE MINAS 1) NF 1723</t>
  </si>
  <si>
    <t>[CCC06692]</t>
  </si>
  <si>
    <t>003375</t>
  </si>
  <si>
    <t>COMPRA DE MATERIAIS UFVs (PATOS DE MINAS 3) NF 1724</t>
  </si>
  <si>
    <t>COMPRA DE MATERIAIS UFVs (PATOS DE MINAS 4) NF 1725</t>
  </si>
  <si>
    <t>COMPRA DE MATERIAIS UFVs (PATOS DE MINAS 7) NF 1726</t>
  </si>
  <si>
    <t>003408</t>
  </si>
  <si>
    <t>COMPRA DE MATERIAIS UFVs (PATOS DE MINAS 8) NF 1727</t>
  </si>
  <si>
    <t>003410</t>
  </si>
  <si>
    <t>COMPRA DE MATERIAIS UFVs (LAGOA FORMOSA) NF 1728</t>
  </si>
  <si>
    <t>003407</t>
  </si>
  <si>
    <t>COMPRA DE MATERIAIS UFVs (VARJÃO DE MINAS 4) NF 1729</t>
  </si>
  <si>
    <t>003479</t>
  </si>
  <si>
    <t>PRESTAÇÃO DE SERVIÇOS UFVs ( OURO FINO 2) NF 881 GENVOLT</t>
  </si>
  <si>
    <t>Pagamento  referente a locação de gerador para usina, solicitação CEMIG. ENVIADO POR GUILHERME</t>
  </si>
  <si>
    <t>[CCC06693]</t>
  </si>
  <si>
    <t>PRESTAÇÃO DE SERVIÇOS UFVs (  CAMPO BELO 2) NF 883 GENVOLT</t>
  </si>
  <si>
    <t>PROTESTO CARTORIO BH - Nº Protocolo: 203810459</t>
  </si>
  <si>
    <t>[CCC06694]</t>
  </si>
  <si>
    <t>PRESTAÇÃO DE SERVIÇO UFVs (TRES CORAÇÕES 3) NF 2054/2024</t>
  </si>
  <si>
    <t>Pagamento referente ao serviço de vigilância,referente ao aditivo noturno de Três Corações, até que seja finalizado o cercamento. ENVIADO RAFAEL.</t>
  </si>
  <si>
    <t>[CCC06695]</t>
  </si>
  <si>
    <t>PRESTAÇÃO DE SERVIÇO UFVs (OURO FINO 2) NF 2009/2024</t>
  </si>
  <si>
    <t>Pagamento referente ao serviço de vigilância,referente ao aditivo noturno de Ouro Fino 2, até que seja finalizado o cercamento. ENVIADO RAFAEL.</t>
  </si>
  <si>
    <t>COMPRA DE MATERIAIS UFVs (DIAMANTINA 1) NF 2660</t>
  </si>
  <si>
    <t>[CCC06696]</t>
  </si>
  <si>
    <t>MEDIÇÃO ATI</t>
  </si>
  <si>
    <t>PRESTAÇÃO DE SERVIÇOS UFVs (PARACATU 8) NF 456</t>
  </si>
  <si>
    <t>Pagamento de medição referente ao serviço de instalação de sistema de supercisão. ENVIADO POR WILLIAN ATI</t>
  </si>
  <si>
    <t>[CCC06697]</t>
  </si>
  <si>
    <t>PRESTAÇÃO DE SERVIÇOS UFVs (ALFENAS 4) NF 457</t>
  </si>
  <si>
    <t>004130</t>
  </si>
  <si>
    <t>PRESTAÇÃO DE SERVIÇOS UFVs (DIVINOPOLIS 1) N 4500038731371</t>
  </si>
  <si>
    <t>Pagamento de taxa, referente ao licenciamento de dessassoreamento da lagoa. ENVIADO POR TIAGO</t>
  </si>
  <si>
    <t>[CCC06698]</t>
  </si>
  <si>
    <t>Fat. Direto.(ATI)</t>
  </si>
  <si>
    <t>PRESTAÇÃO DE SERVIÇOS UFVs (PATROCINIO 2) NF 2082</t>
  </si>
  <si>
    <t>Pagamento em faturamento direto referente ao serviço de lançamento de fibra optica. ENVIADO POR LEONARDO ATI</t>
  </si>
  <si>
    <t>[CCC06699]</t>
  </si>
  <si>
    <t>PRESTAÇÃO DE SERVIÇOS UFVs (PATROCINIO 3) NF 2083</t>
  </si>
  <si>
    <t>PRESTAÇÃO DE SERVIÇOS UFVs (PARACATU 8) NF 2084</t>
  </si>
  <si>
    <t>PRESTAÇÃO DE SERVIÇOS UFVs (ALFENAS 4) NF 374</t>
  </si>
  <si>
    <t>[CCC06700]</t>
  </si>
  <si>
    <t>PRESTAÇÃO DE SERVIÇOS UFVs (BRASILANDIA 3) N 4500038759594</t>
  </si>
  <si>
    <t>Pagamento referente ao processo de licenciamento e de regularização ambiental. ENVIADO POR NAYAR  (NOME FANSATIA VEIO ERRADO)</t>
  </si>
  <si>
    <t>[CCC06701]</t>
  </si>
  <si>
    <t>PRESTAÇÃO DE SERVIÇOS UFVs (BRASILANDIA 4) N 4500038759918</t>
  </si>
  <si>
    <t>PRESTAÇÃO DE SERVIÇOS UFVs (FORMIGA 2) N 4500038760231</t>
  </si>
  <si>
    <t>PRESTAÇÃO DE SERVIÇOS UFVs (CAMOCIM SÃO FELIX)Taxa ASV - UFV UFV Camocim S. Félix  (Marco 3) - NF 188</t>
  </si>
  <si>
    <t>Pagamento referente à parcela 03/03 do serviço de preparação de documentação floresta. Município de
Camocim de São Félix - PE ENVIADO POR JOÃO PAULO.</t>
  </si>
  <si>
    <t>[CCC06702]</t>
  </si>
  <si>
    <t>PRESERVE ENGENHARIA</t>
  </si>
  <si>
    <t>PRESTAÇÃO DE SERVIÇOS UFVs (VENTUROSA) NF 194 DC DA SILVA</t>
  </si>
  <si>
    <t>Pagamento é referente à parcela 01/03 do serviço de preparação de documentação florestal para a solicitação de ASV Município de
Venturosa - PE . ENVIADO POR JOÃO PAULO.</t>
  </si>
  <si>
    <t>PRESTAÇÃO DE SERVIÇOS UFVs (VENTUROSA) NF 195 DC DA SILVA</t>
  </si>
  <si>
    <t>Esta NF é referente à parcela 02/03 do serviço de preparação de documentação florestal para a solicitação de ASV de uma propriedade no município deVenturosa - PE 
ENVIADO POR JOÃO PAULO.</t>
  </si>
  <si>
    <t>PRESTAÇÃO DE SERVIÇOS UFVs (SÃO CAETANO)Taxa ASV - UFV São Caetano (Marco 1 ) NF 190</t>
  </si>
  <si>
    <t>Esta NF é referente à parcela 01/03 do serviço de preparação de documentação florestal para a solicitação de ASV de uma propriedade no município deSãoCaetano - PE ENVIADO POR JOÃO PAULO.</t>
  </si>
  <si>
    <t>PRESTAÇÃO DE SERVIÇOS UFVs (SÃO CAETANO)Taxa ASV - UFV São Caetano (Marco 2) NF 191</t>
  </si>
  <si>
    <t>Esta NF é referente à parcela 02/03 do serviço de preparação de documentação florestal para a solicitação de ASV de uma propriedade no município de São
Caetano - PE (25% 30 dias após a apresentação da documentação e protocolo da ASV).
Estão inclusas as elaborações de:
- Inventário ENVIADO POR JOÃO PAULO.</t>
  </si>
  <si>
    <t>004182</t>
  </si>
  <si>
    <t>COMPRA DE MATERIAIS UFVs (BUTIRIZEIRO 1 e 2) NF 52</t>
  </si>
  <si>
    <t>Compra de ar condicionado para office,  previsto em contrato. ENVIADO POR MANOEL</t>
  </si>
  <si>
    <t>[CCC06703]</t>
  </si>
  <si>
    <t>004184</t>
  </si>
  <si>
    <t>COMPRA DE MATERIAIS UFVs (BUTIRIZEIRO 1 e 2) NF 556</t>
  </si>
  <si>
    <t>Instalação de ar condicionado para office,  previsto em contrato. ENVIADO POR MANOEL</t>
  </si>
  <si>
    <t>Fat.Direto (EPC - IMPLANTAR)</t>
  </si>
  <si>
    <t>PRESTAÇÃO DE SERVIÇO UFVs (DIAMANTINA 2) NF 417 AGUIAR LOCACAO</t>
  </si>
  <si>
    <t>Pagamento em faturamento direto referenre aos serviços prestados de mobilização e contratação de 
equipamento retroescavadeira. ENVIADO POR GILSON</t>
  </si>
  <si>
    <t>[CCC06704]</t>
  </si>
  <si>
    <t>AZ01 - UFV COMERC BAHIA 3 LTDA</t>
  </si>
  <si>
    <t xml:space="preserve">PRESTAÇÃO DE SERVIÇOS UFVs (ITORORO) DAM N 051777 </t>
  </si>
  <si>
    <t xml:space="preserve">Pagamento referente a taxa ambiental de troca de titularidade . ENVIADO POR LETICIA </t>
  </si>
  <si>
    <t>[CCC06705]</t>
  </si>
  <si>
    <t>Fat, Direto (R&amp;M SOLAR)</t>
  </si>
  <si>
    <t>PRESTAÇÃO DE SERVIÇOS UFVs (NOVA PONTE) NF  4  RM SERVIÇOS</t>
  </si>
  <si>
    <t>Pagamento em faturamento direto referenre a locação de maquinas. ENVIADO POR GILSON</t>
  </si>
  <si>
    <t>[CCC06706]</t>
  </si>
  <si>
    <t>PRESTAÇÃO DE SERVIÇOS UFVs (VARJÃO DE MINAS 1) NF  3  RM SERVIÇOS</t>
  </si>
  <si>
    <t>[CCC06707]</t>
  </si>
  <si>
    <t>PRESTAÇÃO DE SERVIÇOS UFVs (LAGOA FORMOSA) NF  2  SOLUÇÃO ENGENHARIA</t>
  </si>
  <si>
    <t>[CCC06708]</t>
  </si>
  <si>
    <t>PRESTAÇÃO DE SERVIÇOS UFVs (ALFENAS E MUZAMBINHO,) NF 54  GP SERVIÇOS</t>
  </si>
  <si>
    <t>Pagamento referente a reembolso das despesas efetuadas em nome da BD PARTICIPAÇÃO E ADMINISTRAÇÃO LTDA
referente aos serviços de NEGOCIAÇÃO DE SERVIDÃO DE REDE, PROSPECÇÃO DE TERRENOS E 
ASSINATURA DE DOCUMENTOS prestados pela GP SERVIÇOS E SOLUÇÕES no período de 15/04/2024
a 30/04/2024. ENVIADO POR IGOR MORAES</t>
  </si>
  <si>
    <t>[CCC06709]</t>
  </si>
  <si>
    <t>003405</t>
  </si>
  <si>
    <t>PRESTAÇÃO DE SERVIÇOS UFVs (PATROCINIO 2) Nº:2024/459</t>
  </si>
  <si>
    <t>Pagamento de medição referente Servico de Instalacao de Sistema de Supervisao em UFV. ENVIADO POR WILLIAN ATI</t>
  </si>
  <si>
    <t>[CCC06710]</t>
  </si>
  <si>
    <t>003406</t>
  </si>
  <si>
    <t>PRESTAÇÃO DE SERVIÇOS UFVs (PATROCINIO 3) NF 2024/460</t>
  </si>
  <si>
    <t>FAT. DIRETO (MBA -MT)</t>
  </si>
  <si>
    <t xml:space="preserve">PRESTAÇÃO DE SERVIÇOS UFVs (TRES CORAÇÕES 3) NF 694 ATENAS </t>
  </si>
  <si>
    <t>Pagamento referente ao serviço de construção de rede de distribuição . ENVIADO POR GUILHERME</t>
  </si>
  <si>
    <t>[CCC06711]</t>
  </si>
  <si>
    <t>003439</t>
  </si>
  <si>
    <t xml:space="preserve">PRESTAÇÃO DE SERVIÇO UFVs (LAGOA FORMOSA) NF 993  INOVAR </t>
  </si>
  <si>
    <t>Pagamente a prestação de serviço auxiliar a locação containers, estava previsto no contrato de implantação. ENVIADO GILSON</t>
  </si>
  <si>
    <t>[CCC06712]</t>
  </si>
  <si>
    <t>003411</t>
  </si>
  <si>
    <t xml:space="preserve">PRESTAÇÃO DE SERVIÇO UFVs (LAGOA FORMOSA) NF 994  INOVAR </t>
  </si>
  <si>
    <t>Pagamento locação containers, estava previsto dentro do contrato de implantação. ENVIADO GILSON</t>
  </si>
  <si>
    <t>004205</t>
  </si>
  <si>
    <t>COMPRA DE MATERIAIS UFVs (SÃO SEBASTIÃO DO OESTE 0) NF 2661</t>
  </si>
  <si>
    <t>[CCC06713]</t>
  </si>
  <si>
    <t>004206</t>
  </si>
  <si>
    <t>COMPRA DE MATERIAIS UFVs (PAINS 3) NF 2662</t>
  </si>
  <si>
    <t>003412</t>
  </si>
  <si>
    <t>PRESTAÇÃO DE SERVIÇOS UFVs (PARACATU 8) NF 3 SOLUÇÃO ENGENHARIA</t>
  </si>
  <si>
    <t xml:space="preserve">Pagamento em faturamento direto, referente a base de containers, previsto nbo contrato de implantação.ENVIADO POR GILSON </t>
  </si>
  <si>
    <t>[CCC06714]</t>
  </si>
  <si>
    <t>003413</t>
  </si>
  <si>
    <t>PRESTAÇÃO DE SERVIÇOS UFVs (PATROCINIO 2) NF 6 LUIZ C</t>
  </si>
  <si>
    <t>[CCC06715]</t>
  </si>
  <si>
    <t>004212</t>
  </si>
  <si>
    <t>MEDIÇÃO ELETROCAMP</t>
  </si>
  <si>
    <t>PRESTAÇÃO DE SERVIÇOS UFVs (São Sebastião 0) NF 14252</t>
  </si>
  <si>
    <t>Pagamento referente construção RDA interno. PARCELA 02
CONSTRUCAO DE REDE ELETRICA CONFORME CLAUSULA PRIMEIRA DO CONTRATO 078/2023 DE 12/07/2023. Enviado Guilherme.</t>
  </si>
  <si>
    <t>[CCC06716]</t>
  </si>
  <si>
    <t>004213</t>
  </si>
  <si>
    <t>PRESTAÇÃO DE SERVIÇOS UFVs (São Sebastião 0) NF 14253</t>
  </si>
  <si>
    <t>Pagamento referente construção RDA PARCELA 04 
CONSTRUCAO DE REDE ELETRICA CONFORME CLAUSULA PRIMEIRA DO CONTRATO 078/2023 DE 12/07/2023. Aditivo de contrato.</t>
  </si>
  <si>
    <t>A411-MORI MINAS NEWCO IV - UFV SÃO SEBASTIÃO 4</t>
  </si>
  <si>
    <t>PRESTAÇÃO DE SERVIÇOS UFVs (São Sebastião 4) NF14254</t>
  </si>
  <si>
    <t>Pagamento referente construção RDA PARCELA 03 
CONSTRUCAO DE REDE ELETRICA CONFORME CLAUSULA PRIMEIRA DO CONTRATO 078/2023 DE 12/07/2023. Aditivo de contrato.</t>
  </si>
  <si>
    <t>PRESTAÇÃO DE SERVIÇOS UFVs (Passos 4) 14255</t>
  </si>
  <si>
    <t>Pagamento referente construção RDA 
CONSTRUCAO DE REDE ELETRICA CONFORME CLAUSULA PRIMEIRA DO CONTRATO 078/2023 DE 12/07/2023. Aditivo de contrato.</t>
  </si>
  <si>
    <t>PRESTAÇÃO DE SERVIÇOS UFVs (Santo Antonio do Amparo) 14256</t>
  </si>
  <si>
    <t xml:space="preserve"> A303-MORI MINAS NEWCO V - UFV CAMPO BELO 2</t>
  </si>
  <si>
    <t>PRESTAÇÃO DE SERVIÇOS UFVs (Campo Belo 2) 14257</t>
  </si>
  <si>
    <t>PRESTAÇÃO DE SERVIÇOS UFVs (ALFENAS 4) NF 14293</t>
  </si>
  <si>
    <t>Pagamento parcela 3 refernete a cosntrução de rede eletrica. ENVIADO POR GUILHERME</t>
  </si>
  <si>
    <t>[CCC06717]</t>
  </si>
  <si>
    <t>004209</t>
  </si>
  <si>
    <t xml:space="preserve">PRESTAÇÃO DE SERVIÇOS UFVs (PARACATU 4) NF 50  </t>
  </si>
  <si>
    <t>Pagamento medição de aditivo referente a prestação de serviços de drenagem/terraplenagem. ENVIADO POR AUGUSTO.</t>
  </si>
  <si>
    <t>[CCC06718]</t>
  </si>
  <si>
    <t>003415</t>
  </si>
  <si>
    <t>MEDIÇÃO ( R&amp;M SOLAR)</t>
  </si>
  <si>
    <t>PRESTAÇÃO DE SERVIÇOS UFVs (PATROCINIO 3) NF 61</t>
  </si>
  <si>
    <t>Pagamento referente ao aditivo CFTV das bases de containers, previsto em contrato implantação. ENVIADO POR GILSON</t>
  </si>
  <si>
    <t>[CCC06719]</t>
  </si>
  <si>
    <t>004210</t>
  </si>
  <si>
    <t>PRESTAÇÃO DE SERVIÇOS UFVs (INDAIABIRA 3) NF 28 DIOGO ANTUNES</t>
  </si>
  <si>
    <t>Pagamento referente a instação de ar condicionado, previsto no contrato implantação. ENVIADO POR MANOEL</t>
  </si>
  <si>
    <t>[CCC06720]</t>
  </si>
  <si>
    <t>DIOGO ANTUNES</t>
  </si>
  <si>
    <t>004211</t>
  </si>
  <si>
    <t>PRESTAÇÃO DE SERVIÇOS UFVs (INDAIABIRA 4) NF 29 DIOGO ANTUNES</t>
  </si>
  <si>
    <t>003416</t>
  </si>
  <si>
    <t>MEDIÇÃO MENSAL ABRIL/2024  UFVs  LMENG  NF  12920</t>
  </si>
  <si>
    <t>Pagamento de medição AOS SERVIÇOS DE ENGENHARIA EXECUTIVA, necessário à construção da usina. ENVIADO POR LMENG</t>
  </si>
  <si>
    <t>[CCC06721]</t>
  </si>
  <si>
    <t>003417</t>
  </si>
  <si>
    <t>MEDIÇÃO MENSAL ABRIL/2024  UFVs  LMENG  NF  12921</t>
  </si>
  <si>
    <t>Pagamento de medição referente AOS SERVIÇOS DE MOBILIZAÇÃO, necessário à construção da usina. ENVIADO POR LMENG</t>
  </si>
  <si>
    <t>MEDIÇÃO MENSAL ABRIL/2024  UFVs  LMENG  NF 12926</t>
  </si>
  <si>
    <t>MEDIÇÃO MENSAL ABRIL/2024  UFVs  LMENG  NF 12927</t>
  </si>
  <si>
    <t>003534</t>
  </si>
  <si>
    <t>MEDIÇÃO MENSAL ABRIL/2024  UFVs  LMENG  NF 12924</t>
  </si>
  <si>
    <t>MEDIÇÃO MENSAL ABRIL/2024  UFVs  LMENG  NF 12925</t>
  </si>
  <si>
    <t>004214</t>
  </si>
  <si>
    <t>MEDIÇÃO MENSAL ABRIL/2024  UFVs  LMENG  NF 12922</t>
  </si>
  <si>
    <t>004215</t>
  </si>
  <si>
    <t>MEDIÇÃO MENSAL ABRIL/2024  UFVs  LMENG  NF 12923</t>
  </si>
  <si>
    <t>TAXA CREA MORI MINAS NEWCO V</t>
  </si>
  <si>
    <t xml:space="preserve">Pagamento anuidade CREA 2024. Capex. Serviço de responsabilidade técnica das usinas a serem instaladas no ciclo2. Assinatura do Responsavel tecnico das usinas. ENVIADO POR MILENA JURIDICO. </t>
  </si>
  <si>
    <t>[CCC06722]</t>
  </si>
  <si>
    <t>TAXA CREA MORI MINAS NEWCO IV</t>
  </si>
  <si>
    <t>003418</t>
  </si>
  <si>
    <t>Medição  (R&amp;M SOLAR)</t>
  </si>
  <si>
    <t>PRESTAÇÃO DE SERVIÇOS (PATROCINIO 2) NF 202400000000060 R&amp;M SOLAR</t>
  </si>
  <si>
    <t>Pagamento medição Ref aditivo de contrato, referente a base de containers, previsto no contrato de implantação.ENVIADO POR GILSON Serviço de execução de infraestrutura subterrânea para sistema de CFTV UFV Patrocínio 02</t>
  </si>
  <si>
    <t>[CCC06723]</t>
  </si>
  <si>
    <t>004235</t>
  </si>
  <si>
    <t xml:space="preserve">PRESTAÇÃO DE SERVIÇOS (PAINS 3) NF 28 AUTO SOCORRO </t>
  </si>
  <si>
    <t xml:space="preserve">Pagamento referente ao serviço de limpeza e ampliação bacias de contenção, PREVISTO EM CONTRATO IMPLANTAÇÃO. ENVIADO POR AUGUSTO . </t>
  </si>
  <si>
    <t>[CCC06724]</t>
  </si>
  <si>
    <t>003419</t>
  </si>
  <si>
    <t>PRESTAÇÃO DE SERVIÇOS UFVs (DIAMANTINA 2)  NF 14  MESS ENGENHARIA</t>
  </si>
  <si>
    <t>Pagamento em faturamento direto referente a prestação de serviço de gerenciamento de projetos. ENVIADO POR MANOEL</t>
  </si>
  <si>
    <t>[CCC06725]</t>
  </si>
  <si>
    <t>004217</t>
  </si>
  <si>
    <t>Medição (RESENDE)</t>
  </si>
  <si>
    <t>PRESTAÇÃO DE SERVIÇOS UFVs (SÃO SEBASTIÃO DO OESTE 6)  NF 39</t>
  </si>
  <si>
    <t>Pagamento de medição referente a locação de máquinas. ENVIADO POR AUGUSTO</t>
  </si>
  <si>
    <t>[CCC06726]</t>
  </si>
  <si>
    <t>A610-ESTRELA DO NORTE UFV JABOTICATUBAS SPE</t>
  </si>
  <si>
    <t>004218</t>
  </si>
  <si>
    <t>FAT.DIRETO (ORCI)</t>
  </si>
  <si>
    <t>PRESTAÇÃO DE SERVIÇOS UFVs (JABOTICATUBAS) NF 83 COSTERR</t>
  </si>
  <si>
    <t>Pagamento referente ao serviço de drenagem. ENVIADO POR MANOEL</t>
  </si>
  <si>
    <t>[CCC06727]</t>
  </si>
  <si>
    <t>004219</t>
  </si>
  <si>
    <t>PRESTAÇÃO DE SERVIÇOS UFVs (JABOTICATUBAS) NF 48</t>
  </si>
  <si>
    <t>[CCC06728]</t>
  </si>
  <si>
    <t>OCRI</t>
  </si>
  <si>
    <t>PRESTAÇÃO DE SERVIÇOS UFVs (FORMIGA)  NF 37</t>
  </si>
  <si>
    <t>[CCC06729]</t>
  </si>
  <si>
    <t>PRESTAÇÃO DE SERVIÇOS UFVs (FORMIGA)  NF 38</t>
  </si>
  <si>
    <t>003420</t>
  </si>
  <si>
    <t>MEDIÇÃO (IMPLANTAR )</t>
  </si>
  <si>
    <t>PRESTAÇÃO DE SERVIÇOS UFVs (DIAMANTINA 2)  NF 780</t>
  </si>
  <si>
    <t>Pagamento medição 2, referente a mão de obra . ENVIADO POR MANOEL</t>
  </si>
  <si>
    <t>[CCC06730]</t>
  </si>
  <si>
    <t>004220</t>
  </si>
  <si>
    <t>PRESTAÇÃO DE SERVIÇOS UFVs (DIVINOPILIS 2)  NF 36</t>
  </si>
  <si>
    <t>[CCC06731]</t>
  </si>
  <si>
    <t>003422</t>
  </si>
  <si>
    <t>DAE - Dispença de Licenciamento ambiental UFV  (PATOS DE MINAS 4) N 0924023847104</t>
  </si>
  <si>
    <t>TAXA SEGURANCA PUBLICA - VISTORIA AVCB UFV. GUILHERME KUSEL</t>
  </si>
  <si>
    <t>[CCC06732]</t>
  </si>
  <si>
    <t>003423</t>
  </si>
  <si>
    <t>DAE - Dispença de Licenciamento ambiental UFV  (PATOS DE MINAS 7) N 0924023847287</t>
  </si>
  <si>
    <t>003424</t>
  </si>
  <si>
    <t>DAE - Dispença de Licenciamento ambiental UFV  (PATOS DE MINAS 8) N 0924023847368</t>
  </si>
  <si>
    <t>004224</t>
  </si>
  <si>
    <t>DAE - Dispença de Licenciamento ambiental UFV  (PEDRA DO INDIA 1) N 0924023849344</t>
  </si>
  <si>
    <t>004225</t>
  </si>
  <si>
    <t>DAE - Dispença de Licenciamento ambiental UFV  (PEDRA DO INDAIA 3) N 0924023849425</t>
  </si>
  <si>
    <t>DAE - Dispença de Licenciamento ambiental UFV  (SANTO ANTONIO DO AMPARO 1) N 0924023848500</t>
  </si>
  <si>
    <t>004226</t>
  </si>
  <si>
    <t>DAE - Dispença de Licenciamento ambiental UFV  ( SÃO SEBASTIÃO DO OESTE 0) N 0924023849671</t>
  </si>
  <si>
    <t>004227</t>
  </si>
  <si>
    <t>DAE - Dispença de Licenciamento ambiental UFV  (SÃO SEBASTIÃO DO OESTE 6) N 0924023849751</t>
  </si>
  <si>
    <t>DAE - Dispença de Licenciamento ambiental UFV  (CAMPO BELO 1) N 0924023847511</t>
  </si>
  <si>
    <t>DAE - Dispença de Licenciamento ambiental UFV  (CAMPO BELO 2) N 0924023848682</t>
  </si>
  <si>
    <t>003542</t>
  </si>
  <si>
    <t>DAE - Dispença de Licenciamento ambiental UFV  (CAMPO BELO 3) N 0924023848011</t>
  </si>
  <si>
    <t>DAE - Dispença de Licenciamento ambiental UFV  (CAMPO BELO 4) N 0924023848925</t>
  </si>
  <si>
    <t>003543</t>
  </si>
  <si>
    <t>DAE - Dispença de Licenciamento ambiental UFV  (CAMPO BELO 5) N 0924023848275</t>
  </si>
  <si>
    <t>003425</t>
  </si>
  <si>
    <t>DAE - Dispença de Licenciamento ambiental UFV  (DIAMANTINA 1) N 0924023846451</t>
  </si>
  <si>
    <t>004229</t>
  </si>
  <si>
    <t>DAE - Dispença de Licenciamento ambiental UFV  (DIVINOPOLIS 1) N 0924023849000</t>
  </si>
  <si>
    <t>004228</t>
  </si>
  <si>
    <t>DAE - Dispença de Licenciamento ambiental UFV  (DIVINOPOLIS 2) N 0924023849182</t>
  </si>
  <si>
    <t>004230</t>
  </si>
  <si>
    <t>DAE - Dispença de Licenciamento ambiental UFV  (DIVINOPOLIS 3) N 0924023849263</t>
  </si>
  <si>
    <t>004231</t>
  </si>
  <si>
    <t>DAE - Dispença de Licenciamento ambiental UFV  (PAINS 3) N 0924023849590</t>
  </si>
  <si>
    <t>DAE - Dispença de Licenciamento ambiental UFV  (PARAGUAÇU 1) N 0924023848356</t>
  </si>
  <si>
    <t>003426</t>
  </si>
  <si>
    <t>DAE - Dispença de Licenciamento ambiental UFV  (PATOS DE MINAS 1) N 0924023846523</t>
  </si>
  <si>
    <t>003427</t>
  </si>
  <si>
    <t>DAE - Dispença de Licenciamento ambiental UFV  (PATOS DE MINAS 3) N 0924023846868</t>
  </si>
  <si>
    <t>DAE - Dispença de Licenciamento ambiental UFV  (SÃO SEBASTIÃO DO OESTE 4) N 0924023848437</t>
  </si>
  <si>
    <t>DAE - Despensa de Licenciamento ambiental UFV  (UNAI 1) N1500562605507</t>
  </si>
  <si>
    <t>Pagamento de taxa reposição final para obtenção das autorizações ambientais. ENVIADO POR KARINA</t>
  </si>
  <si>
    <t>[CCC06733]</t>
  </si>
  <si>
    <t>DAE - Despensa de Licenciamento ambiental UFV  (UNAI 2) N1500562605507</t>
  </si>
  <si>
    <t>Pagamento de taxa reposição final para obtenção das autorizações ambientais. ENVIADO POR KARINA AMBIENTAL</t>
  </si>
  <si>
    <t>DAE - Despensa de Licenciamento ambiental UFV  (UNAI 2) 0701337185474</t>
  </si>
  <si>
    <t>Pagamento de taxa compensação final para obtenção das autorizações ambientais. ENVIADO POR KARINA AMBIENTAL</t>
  </si>
  <si>
    <t>PRESTAÇÃO DE SERVIÇOS UFVs (AREAL GO VERDE PETROLINA) Taxa ASV - UFV NF 703</t>
  </si>
  <si>
    <t>Esta NF é referente ao  serviço de preparação de documentação florestal para a solicitação da supressão vegetal
ENVIADO POR JOÃO PAULO.</t>
  </si>
  <si>
    <t>[CCC06734]</t>
  </si>
  <si>
    <t>TAMABRAS</t>
  </si>
  <si>
    <t>004249</t>
  </si>
  <si>
    <t xml:space="preserve">PRESTAÇÃO DE SERVIÇOS UFVs (DIVINOPOLIS 2) NF 468 MAR E AR </t>
  </si>
  <si>
    <t>Pagamento referente ao desassoreamento do lago, faz parte do contrato implantação. ENVIADO POR AUGUSTO</t>
  </si>
  <si>
    <t>[CCC06735]</t>
  </si>
  <si>
    <t xml:space="preserve"> MAR E AR </t>
  </si>
  <si>
    <t>PRESTAÇÃO DE SERVIÇOS UFVs (JEQUIE)  DAM 5935865</t>
  </si>
  <si>
    <t>Pagamento referente a troca de titularidade.  ENVIADO POR LETICIA AMBIENTAL</t>
  </si>
  <si>
    <t>[CCC06736]</t>
  </si>
  <si>
    <t>AGUARDANDO ENVIO NOTA CORRRETA LETICIA</t>
  </si>
  <si>
    <t>003440</t>
  </si>
  <si>
    <t>PRESTAÇÃO DE SERVIÇOS UFVs (DIAMANTINA 1) NF 5 SERRA MORENA</t>
  </si>
  <si>
    <t>Pagamento referente ao serviço de fornecimento provisorio de energia, previsto para implantação. ENVIADO POR MANOEL</t>
  </si>
  <si>
    <t>[CCC06737]</t>
  </si>
  <si>
    <t>SERRA MORENA</t>
  </si>
  <si>
    <t>003428</t>
  </si>
  <si>
    <t>PRESTAÇÃO DE SERVIÇOS UFVs (PATROCINIO 2) NF 52171</t>
  </si>
  <si>
    <t>Pagamento referente a locação de containers. ENVIADO POR GILSON</t>
  </si>
  <si>
    <t>[CCC06738]</t>
  </si>
  <si>
    <t>003429</t>
  </si>
  <si>
    <t>PRESTAÇÃO DE SERVIÇOS UFVs (PATROCINIO 3) NF 52172</t>
  </si>
  <si>
    <t>PRESTAÇÃO DE SERVIÇOS UFVs (AREAL GO VERDE Brejão - PE) No. Nota Débito: 031</t>
  </si>
  <si>
    <t>Esta NF é referente ao  serviço de preparação de documentação florestal para a solicitação da supressão vegetal
ENVIADO POR JOÃO PAULO.Nota de Débito e Reembolso DA GOVERDE</t>
  </si>
  <si>
    <t>[CCC06739]</t>
  </si>
  <si>
    <t>GO VERDE</t>
  </si>
  <si>
    <t>004233</t>
  </si>
  <si>
    <t xml:space="preserve">PRESTAÇÃO DE SERVIÇOS UFVs (PARACATU 5 ) NFNF 2024.69  ARCANJO  </t>
  </si>
  <si>
    <t>[CCC06740]</t>
  </si>
  <si>
    <t>A628 - ESTRELA DO NORTE - UFV PARACATU 4</t>
  </si>
  <si>
    <t>004234</t>
  </si>
  <si>
    <t xml:space="preserve">PRESTAÇÃO DE SERVIÇOS UFVs (PARACATU 4 ) NF 2024/70  ARCANJO  </t>
  </si>
  <si>
    <t>PRESTAÇÃO DE SERVIÇOS UFVs (Campo Belo 1 ) NF 95  RM SOLUCOES AMBIENTAIS LTDA</t>
  </si>
  <si>
    <t>Pagamento referente as taxas serviço de DAIA ÚNICO + RIA EXECUTADO para realização de poda e supressão de vegetação em trecho de rede de 
distribuição de energia no município referenciados Enviado Guilherme</t>
  </si>
  <si>
    <t>[CCC06741]</t>
  </si>
  <si>
    <t>PRESTAÇÃO DE SERVIÇOS UFVs (São Sebastião 04 ) NF 94  RM SOLUCOES AMBIENTAIS LTDA</t>
  </si>
  <si>
    <t>Pagamento referente Realização de poda e supressão de vegetação em trecho de rede de 
distribuição de energia no município referenciados Enviado Guilherme</t>
  </si>
  <si>
    <t>003553</t>
  </si>
  <si>
    <t>PRESTAÇÃO DE SERVIÇOS UFVs (Muzambinho 1 ) NF 93  RM SOLUCOES AMBIENTAIS LTDA</t>
  </si>
  <si>
    <t>Pagamento referenteRealização de poda e supressão de vegetação em trecho de rede de 
distribuição de energia no município referenciados Enviado Guilherme</t>
  </si>
  <si>
    <t>PRESTAÇÃO DE SERVIÇOS UFVs (TRES CORAÇÕES 3) NF 3065  MBA - CONSTRUTORA LTDA</t>
  </si>
  <si>
    <t>Pagamento referente Prestação de serviço de construção de rede de distribuição 13,8KV em Três Corações - MG.
NS 1187584515 Enviado Guilherme</t>
  </si>
  <si>
    <t>[CCC06742]</t>
  </si>
  <si>
    <t>003433</t>
  </si>
  <si>
    <t>PRESTAÇÃO DE SERVIÇOS UFVs (Diamantina 2) NF 795 STA PAINEIS E SERVICOS LTDA</t>
  </si>
  <si>
    <t>Pagamento referente prestação de manutenção especializada para realização do serviço posicionamento do transformador/ 
instalação do teto do Skid e vedação completa do teto - Enviado Gilson
Pagamento sera feito por deposito Bancario.</t>
  </si>
  <si>
    <t>[CCC06743]</t>
  </si>
  <si>
    <t>STA PAINEIS E SERVICOS LTDA</t>
  </si>
  <si>
    <t>003441</t>
  </si>
  <si>
    <t>PRESTAÇÃO DE SERVIÇOS UFVs (Patos de minas 1) NF 67 DIEGO RODRIGUES ARAUJO</t>
  </si>
  <si>
    <t>Pagamento referente Prestação de serviço LOCAÇÃO DE MAQUINAS acerto adequação talude Patos 1.da Usina (Acertos Drenagem / Terraplanagem) Enviado Gilson</t>
  </si>
  <si>
    <t>[CCC06744]</t>
  </si>
  <si>
    <t>DIEGO RODRIGUES ARAUJO 39439636831</t>
  </si>
  <si>
    <t xml:space="preserve">PRESTAÇÃO DE SERVIÇOS UFVs (PASSOS 4) NF 44 ELETRICA PASSOS </t>
  </si>
  <si>
    <t>Pagamento referente ao fornecimento de energia, assumido de forma provisoria para andamento construção da usina. ENVIADPO POR AUGUSTO</t>
  </si>
  <si>
    <t>[CCC06745]</t>
  </si>
  <si>
    <t xml:space="preserve">ELETRICA PASSOS </t>
  </si>
  <si>
    <t>003550</t>
  </si>
  <si>
    <t xml:space="preserve">PRESTAÇÃO DE SERVIÇOS UFVs (TRES CORAÇÕES 3) NF 137 </t>
  </si>
  <si>
    <t>[CCC06746]</t>
  </si>
  <si>
    <t>003551</t>
  </si>
  <si>
    <t>PRESTAÇÃO DE SERVIÇOS UFVs (TRES CORAÇÕES 3) NF 138</t>
  </si>
  <si>
    <t>003552</t>
  </si>
  <si>
    <t>COMPRA DE MATERIAIS UFVs () NF 197837  INDUFIX</t>
  </si>
  <si>
    <t>[CCC06747]</t>
  </si>
  <si>
    <t>INDUFIX</t>
  </si>
  <si>
    <t>004237</t>
  </si>
  <si>
    <t>COMPRA DE MATERIAIS UFVs (PEDRA DO INDAIA 5) NF 43910 DIS COMERCIO</t>
  </si>
  <si>
    <t xml:space="preserve">Pagamento referente a compra de equipamento de ar condicionado, contrato implantação. ENVIADO POR AUGUSTO </t>
  </si>
  <si>
    <t>[CCC06748]</t>
  </si>
  <si>
    <t xml:space="preserve"> DIS COMERCIO</t>
  </si>
  <si>
    <t>004238</t>
  </si>
  <si>
    <t>COMPRA DE MATERIAIS UFVs ( SÃO SEBASTIÃO DO OESTE 0) NF 43911 DIS COMERCIO</t>
  </si>
  <si>
    <t>003554</t>
  </si>
  <si>
    <t>COMPRA DE MATERIAIS UFVs ( SÃO SEBASTIÃO DO OESTE 4) NF 43912 DIS COMERCIO</t>
  </si>
  <si>
    <t>004239</t>
  </si>
  <si>
    <t>COMPRA DE MATERIAIS UFVs ( SÃO SEBASTIÃO DO OESTE 6) NF 43915  DIS COMERCIO</t>
  </si>
  <si>
    <t>004240</t>
  </si>
  <si>
    <t>COMPRA DE MATERIAIS UFVs (PAINS 3) NF 44041   DIS COMERCIO</t>
  </si>
  <si>
    <t>004241</t>
  </si>
  <si>
    <t>COMPRA DE MATERIAIS UFVs ( PARACATU 4) NF44043  DIS COMERCIO</t>
  </si>
  <si>
    <t>[CCC06749]</t>
  </si>
  <si>
    <t>004242</t>
  </si>
  <si>
    <t>COMPRA DE MATERIAIS UFVs (PARACATU 5) NF44044  DIS COMERCIO</t>
  </si>
  <si>
    <t>COMPRA DE MATERIAIS UFVs (PASSOS 4) NF 44046  DIS COMERCIO</t>
  </si>
  <si>
    <t>COMPRA DE MATERIAIS UFVs ( FORMIGA 6 ) NF 44106  DIS COMERCIO</t>
  </si>
  <si>
    <t>COMPRA DE MATERIAIS UFVs (ARCOS 7) NF 44107 DIS COMERCIO</t>
  </si>
  <si>
    <t>PRESTAÇÃO DE SERVIÇOS UFVs (PAINS 1 e PAINS 2) N 1501337355907</t>
  </si>
  <si>
    <t>Pagamento de taxa final do processo de intervenção ambiental.ENVIADO POR TIAGO AMBIENTAL</t>
  </si>
  <si>
    <t>[CCC06750]</t>
  </si>
  <si>
    <t>MEDIÇÃO (RM)</t>
  </si>
  <si>
    <t xml:space="preserve">PRESTAÇÃO DE SERVIÇOS UFVs (MUZAMBINHO ) NF 96  </t>
  </si>
  <si>
    <t>Pagamento referente realização de poda e supressão de vegetação em trecho de rede de 
distribuição de energia no município referenciados. ENVIADO POR GUILHERME</t>
  </si>
  <si>
    <t>[CCC06751]</t>
  </si>
  <si>
    <t>003431</t>
  </si>
  <si>
    <t>PRESTAÇÃO SERVIÇOS UFVs (PATROCINIO 2) NF 467</t>
  </si>
  <si>
    <t>[CCC06752]</t>
  </si>
  <si>
    <t>003432</t>
  </si>
  <si>
    <t>PRESTAÇÃO SERVIÇOS UFVs (PATROCINIO 3) NF 468</t>
  </si>
  <si>
    <t>PRESTAÇÃO SERVIÇOS UFVs (ALFENAS 4) NF 377</t>
  </si>
  <si>
    <t xml:space="preserve">Pagamento referente a prestação do serviço de de drenagem . ENVIADO POR RAFAEL </t>
  </si>
  <si>
    <t>[CCC06753]</t>
  </si>
  <si>
    <t>PRESTAÇÃO DE SERVIÇOS UFVs (VENTUROSA) NF 193 DC DA SILVA</t>
  </si>
  <si>
    <t>[CCC06754]</t>
  </si>
  <si>
    <t>003558</t>
  </si>
  <si>
    <t>PRESTAÇÃO DE SERVIÇOS UFVs (SÃO SEBASTIÃO DO OESTE 4)      NF 29957</t>
  </si>
  <si>
    <t xml:space="preserve">Pagamento medição, referente a mão de obra e material. ENVIADO POR AUGUSTO. OBS.: Informado no corpo da NF o abatimento de R$ 41.573,32 referente às alíquotas de ISS e INSS da NF 28557 (Adiantamento Contratual). Ficando o líquido a receber R$ 18.419,62.
</t>
  </si>
  <si>
    <t>[CCC06755]</t>
  </si>
  <si>
    <t>004244</t>
  </si>
  <si>
    <t>COMPRA DE MATERIAIS UFVs (DIVINOPOLIS 1) Nº.000043905- Fl.1/1
SÉRIE 001 DIS COMERCIO</t>
  </si>
  <si>
    <t>[CCC06756]</t>
  </si>
  <si>
    <t>004245</t>
  </si>
  <si>
    <t>COMPRA DE MATERIAIS UFVs (DIVINOPOLIS 2) Nº. 000043906
SÉRIE 001 DIS COMERCIO</t>
  </si>
  <si>
    <t>004246</t>
  </si>
  <si>
    <t>COMPRA DE MATERIAIS UFVs (DIVINOPOLIS 3)000043907- Fl.1/1
SÉRIE 001 DIS COMERCIO</t>
  </si>
  <si>
    <t>Medição (ASE)</t>
  </si>
  <si>
    <t>PRESTAÇÃO DE SERVIÇOS UFVs (OURO FINO 2) NF 168</t>
  </si>
  <si>
    <t>Pagamento de adiantamento da medição contratual referente ao serviço de mobilização. ENVIADO POR RAFAEL</t>
  </si>
  <si>
    <t>[CCC06757]</t>
  </si>
  <si>
    <t>ASE</t>
  </si>
  <si>
    <t>003434</t>
  </si>
  <si>
    <t>FAT.DIRETO ( R&amp;M SOLAR)</t>
  </si>
  <si>
    <t>PRESTAÇÃO DE SERVIÇOS UFVs (LAGOA FORMOSA) NF 5 RM</t>
  </si>
  <si>
    <t>Pagamento referente a a locação de maquinas para base de containers, contrato implantação.ENVIADO POR GILSON</t>
  </si>
  <si>
    <t>[CCC06758]</t>
  </si>
  <si>
    <t>MEDIÇÃO (ASE)</t>
  </si>
  <si>
    <t>PRESTAÇÃO DE SERVIÇOS UFVs (TRES CORAÇÕES 3) NF 169</t>
  </si>
  <si>
    <t>[CCC06759]</t>
  </si>
  <si>
    <t>004260</t>
  </si>
  <si>
    <t>COMPRA DE MATERIAIS UFVs (PEDRA DO INDAIA 1) NF 43908  DIS COMERCIO</t>
  </si>
  <si>
    <t>[CCC06760]</t>
  </si>
  <si>
    <t>004261</t>
  </si>
  <si>
    <t>COMPRA DE MATERIAIS UFVs (PEDRA DO INDAIA 3) NF 43909  DIS COMERCIO</t>
  </si>
  <si>
    <t>[CCC06761]</t>
  </si>
  <si>
    <t>PRESTAÇÃO DE SERVIÇOS UFVs CILCO 3 (BOM JARDIM) DC DA SILVA ENGENHARIA NF 196</t>
  </si>
  <si>
    <t>Pagamento referente ao serviço de supressão vegetal. ENVIADO POR  JOÃO PAULO</t>
  </si>
  <si>
    <t>[CCC06762]</t>
  </si>
  <si>
    <t>DC DA SILVA ENGENHARIA</t>
  </si>
  <si>
    <t>PRESTAÇÃO DE SERVIÇOS UFVs CILCO 3 (BOM JARDIM) DC DA SILVA ENGENHARIA NF 197</t>
  </si>
  <si>
    <t>PRESTAÇÃO DE SERVIÇOS UFVs CICLO 3 (BREJÃO) DC DA SILVA ENGENHARIA NF 198</t>
  </si>
  <si>
    <t>PRESTAÇÃO DE SERVIÇOS UFVs CICLO 3 (BREJÃO) DC DA SILVA ENGENHARIA NF 199</t>
  </si>
  <si>
    <t>003435</t>
  </si>
  <si>
    <t>PRESTAÇÃO DE SERVIÇOS UFVs ( NOVA PONTE) NF 61357 WEG</t>
  </si>
  <si>
    <t>PEDIDO PARA VINCULAÇÃO DE NOTA  SOBRESSALENTE EVENTO 1 E 2 PAGO POR ADIANTAMENTO ( A201 003035/003058 ) (NÃO GERA PAGAMENTO APENAS COMPENSAR NOTA)</t>
  </si>
  <si>
    <t>[CCC06763]</t>
  </si>
  <si>
    <t>003658</t>
  </si>
  <si>
    <t>PRESTAÇÃO DE SERVIÇOS UFVs ( FREI INOCENCIO) NF 81341</t>
  </si>
  <si>
    <t>PRESTAÇÃO DE SERVIÇOS UFVs ( SÃO SEBASTIÃO DO OESTE 3) NF 61157</t>
  </si>
  <si>
    <t>PEDIDO PARA VINCULAÇÃO DE NOTA  SOBRESSALENTE EVENTO 1 E 2 PAGO POR ADIANTAMENTO ( A301 002034/002039 ) (NÃO GERA PAGAMENTO APENAS COMPENSAR NOTA)</t>
  </si>
  <si>
    <t>PRESTAÇÃO DE SERVIÇOS UFVs ( SÃO SEBASTIÃO DO OESTE 5) NF 61402</t>
  </si>
  <si>
    <t>PRESTAÇÃO DE SERVIÇOS UFVs ( CASSIA 2) NF 61615</t>
  </si>
  <si>
    <t>003561</t>
  </si>
  <si>
    <t>PRESTAÇÃO DE SERVIÇOS UFVs ( SÃO SEBASTIÃO DO OESTE 1) NF 61154</t>
  </si>
  <si>
    <t>PEDIDO PARA VINCULAÇÃO DE NOTA  SOBRESSALENTE EVENTO 1 E 2 PAGO POR ADIANTAMENTO ( A401 003208/003219) (NÃO GERA PAGAMENTO APENAS COMPENSAR NOTA)</t>
  </si>
  <si>
    <t>PRESTAÇÃO DE SERVIÇOS UFVs ( BAMBUI 1.2) NF 61156</t>
  </si>
  <si>
    <t>PRESTAÇÃO DE SERVIÇOS UFVs (CAMPO BELO 3) NF 61158</t>
  </si>
  <si>
    <t>PRESTAÇÃO DE SERVIÇOS UFVs (CASSIA 1) NF 61155</t>
  </si>
  <si>
    <t>PRESTAÇÃO DE SERVIÇOS UFVs ( BAMBUI 1.1) NF 61382</t>
  </si>
  <si>
    <t>003437</t>
  </si>
  <si>
    <t>PRESTAÇÃO DE SERVIÇOS UFVs ( PARACATU 8) NF 61403</t>
  </si>
  <si>
    <t>PRESTAÇÃO DE SERVIÇOS UFVs (CAMPO BELO 4) NF 70969</t>
  </si>
  <si>
    <t>003438</t>
  </si>
  <si>
    <t>PRESTAÇÃO DE SERVIÇOS UFVs ( VARJÃO DE MINAS 1) NF 61397</t>
  </si>
  <si>
    <t>004250</t>
  </si>
  <si>
    <t>FAT.DIRETO R&amp;M SOLAR</t>
  </si>
  <si>
    <t xml:space="preserve">PRESTAÇÃO DE SERVIÇOS UFVs ( GUARDA MOR) N 3  SOLUÇÃO ENGENHARIA </t>
  </si>
  <si>
    <t>[CCC06764]</t>
  </si>
  <si>
    <t>PRESTAÇÃO DE SERVIÇOS UFVs (São Sebastião 4) NF00014419 Série: A</t>
  </si>
  <si>
    <t>Pagamento referente construção RDAPARCELA 03 
CONSTRUCAO DE REDE ELETRICA CONFORME CLAUSULA PRIMEIRA DO CONTRATO 078/2023 DE 12/07/2023.</t>
  </si>
  <si>
    <t>[CCC06765]</t>
  </si>
  <si>
    <t>PRESTAÇÃO DE SERVIÇOS UFVs (Campo Belo1) NF00014420 Série: A</t>
  </si>
  <si>
    <t>Pagamento referente construção RDAPARCELA 01 
CONSTRUCAO DE REDE ELETRICA CONFORME CLAUSULA PRIMEIRA DO CONTRATO 078/2023 DE 12/07/2023</t>
  </si>
  <si>
    <t>PRESTAÇÃO DE SERVIÇOS UFVs (Campo Belo1) NF00014421 Série: A</t>
  </si>
  <si>
    <t>Pagamento referente construção RDAPARCELA 03 
CONSTRUCAO DE REDE ELETRICA CONFORME CLAUSULA PRIMEIRA DO CONTRATO 078/2023 DE 12/07/2023</t>
  </si>
  <si>
    <t>004251</t>
  </si>
  <si>
    <t>Estação solarimétrica – Hukseflux   UFVs (PAINS 2 )   VINCULO PEDIDO 000518 A602 NF 7255</t>
  </si>
  <si>
    <t>Compra de equipamento adicional de monitoração de condições atmosféricas, 70% FINAIS. ENVIADO POR SARAH - VIROU PARACATU 5</t>
  </si>
  <si>
    <t>[CCC06766]</t>
  </si>
  <si>
    <t>004252</t>
  </si>
  <si>
    <t>Estação solarimétrica – Hukseflux   UFVs (PAINS 1 )   VINCULO PEDIDO 000517 A602 NF 7254</t>
  </si>
  <si>
    <t>Compra de equipamento adicional de monitoração de condições atmosféricas, 70% FINAIS. ENVIADO POR SARAH - PARACATU 4</t>
  </si>
  <si>
    <t>004255</t>
  </si>
  <si>
    <t>Estação solarimétrica – Hukseflux   UFVs (PAINS 3 )   VINCULO PEDIDO 000519 A602 NF 7253</t>
  </si>
  <si>
    <t>004257</t>
  </si>
  <si>
    <t>SERVIÇOS PRESTADOS DE CONSULTORIA EM CONTRATOS -  DELOITTE     NF  178</t>
  </si>
  <si>
    <t>Pagamento referente a medição mão de obra contrato DELOITTE ,  necessário à construção da UFV em contrato EPC . MEDIÇÃO 21 - ENVIADO POR  ROGÉRIO DELOITTE</t>
  </si>
  <si>
    <t>[CCC06767]</t>
  </si>
  <si>
    <t>003449</t>
  </si>
  <si>
    <t>SERVIÇOS PRESTADOS DE CONSULTORIA EM CONTRATOS -  DELOITTE     NF 176</t>
  </si>
  <si>
    <t>SERVIÇOS PRESTADOS DE CONSULTORIA EM CONTRATOS -  DELOITTE     NF 175</t>
  </si>
  <si>
    <t>SERVIÇOS PRESTADOS DE CONSULTORIA EM CONTRATOS -  DELOITTE     NF  177</t>
  </si>
  <si>
    <t>003571</t>
  </si>
  <si>
    <t>COMPRA DE MATERIAIS UFVs (NEWCO IV) NF 225933 ROMAGNOLE</t>
  </si>
  <si>
    <t>[CCC06768]</t>
  </si>
  <si>
    <t>003450</t>
  </si>
  <si>
    <t>COMPRA DE MATERIAIS UFVs (PATOS DE MINAS 3) NF 2671</t>
  </si>
  <si>
    <t>Pagamento de medição referente a compra de materiais. ENVIADO POR WILLIAN</t>
  </si>
  <si>
    <t>[CCC06769]</t>
  </si>
  <si>
    <t>004258</t>
  </si>
  <si>
    <t>COMPRA DE MATERIAIS UFVs (DIVINOPOLIS 2) NF 2672</t>
  </si>
  <si>
    <t>003451</t>
  </si>
  <si>
    <t>COMPRA DE MATERIAIS UFVs (DIAMANTINA 1) NF 2673</t>
  </si>
  <si>
    <t>003452</t>
  </si>
  <si>
    <t>COMPRA DE MATERIAIS UFVs (PARACATU 8) NF 2674</t>
  </si>
  <si>
    <t>003453</t>
  </si>
  <si>
    <t>COMPRA DE MATERIAIS UFVs (LAGOA FORMOSA) NF 2675</t>
  </si>
  <si>
    <t>PRESTAÇÃO DE SERVIÇOS - USINAS CICLO 2   NOTA DE DEBITO  N Nº 55/2024</t>
  </si>
  <si>
    <t xml:space="preserve">Pagamento referente a assessoria e consultoria fundiária em prospecções de terrenos e contratos. MAIO/ 2024 - ENVIADO POR Igor Amedi de Moraes   -  1° QUINZENA </t>
  </si>
  <si>
    <t>[CCC06770]</t>
  </si>
  <si>
    <t>COMPRA DE MATERIAIS UFVs (PASSOS 4) NF 8376</t>
  </si>
  <si>
    <t>[CCC06771]</t>
  </si>
  <si>
    <t>003454</t>
  </si>
  <si>
    <t>FAT. DIRETO (R&amp;M)</t>
  </si>
  <si>
    <t xml:space="preserve">PRESTAÇÃO DE SERVIÇOS UFVs (PATROCINIO 3) NF 2  CMJ </t>
  </si>
  <si>
    <t xml:space="preserve">Pagamento referente a base de containers previsto em contrato implantação. ENVIAOD POR GILSON </t>
  </si>
  <si>
    <t>[CCC06772]</t>
  </si>
  <si>
    <t>003455</t>
  </si>
  <si>
    <t>PRESTAÇÃO DE SERVIÇOS UFVs (PATROCINIO 3) NF 6  RM SERVIÇOS</t>
  </si>
  <si>
    <t>[CCC06773]</t>
  </si>
  <si>
    <t>COMPRA DE MATERIAIS UFVs (PASSOS 4) NF 8380</t>
  </si>
  <si>
    <t>[CCC06774]</t>
  </si>
  <si>
    <t>COMPRA DE MATERIAIS UFVs (PASSOS 4) NF 8382</t>
  </si>
  <si>
    <t>COMPRA DE MATERIAIS UFVs (PASSOS 4) NF 8378</t>
  </si>
  <si>
    <t>COMPRA DE MATERIAIS UFVs (PASSOS 4) NF 8377</t>
  </si>
  <si>
    <t>003456</t>
  </si>
  <si>
    <t>FAT. DIRETO (MAX VISION)</t>
  </si>
  <si>
    <t>PRESTAÇÃO DE SERVIÇO UFV (VARJÃO DE MINAS 1) R&amp;C ELETRONICA NF 610</t>
  </si>
  <si>
    <t>[CCC06775]</t>
  </si>
  <si>
    <t>004264</t>
  </si>
  <si>
    <t xml:space="preserve">PRESTAÇÃO DE SERVIÇO UFV (GUARDA MOR) R&amp;C ELETRONICA NF 611 </t>
  </si>
  <si>
    <t>PRESTAÇÃO DE SERVIÇO UFV (CASSIA 2) R&amp;C ELETRONICA NF 612</t>
  </si>
  <si>
    <t>003457</t>
  </si>
  <si>
    <t>PRESTAÇÃO DE SERVIÇO UFV (PATROCINIO 3) R&amp;C ELETRONICA NF 613</t>
  </si>
  <si>
    <t>003458</t>
  </si>
  <si>
    <t>PRESTAÇÃO DE SERVIÇO UFV (PATOS DE MINAS 7) R&amp;C ELETRONICA NF 614</t>
  </si>
  <si>
    <t>PRESTAÇÃO DE SERVIÇO UFV (PATROCINIO 2) R&amp;5  NF 615</t>
  </si>
  <si>
    <t>PRESTAÇÃO DE SERVIÇO UFV (BAMBUI 1.1) R&amp;C ELETRONICA NF 616</t>
  </si>
  <si>
    <t>002264</t>
  </si>
  <si>
    <t>PRESTAÇÃO DE SERVIÇO UFV (BAMBUI 1.2) R&amp;C ELETRONICA NF 617</t>
  </si>
  <si>
    <t>PRESTAÇÃO DE SERVIÇO UFV (CAMPO BELO 3) R&amp;C ELETRONICA NF 618</t>
  </si>
  <si>
    <t>PRESTAÇÃO DE SERVIÇO UFV (CASSIA 1) R&amp;C ELETRONICA NF 619</t>
  </si>
  <si>
    <t>PRESTAÇÃO DE SERVIÇO UFVs ( SANTO ANTONIO DO AMAPARO)  AMPERA INDUSTRIA NF 352</t>
  </si>
  <si>
    <t>Pagamento referente a parametrização em religadores automaticos paadrão CEMIG . ENVIADO POR MARCIO</t>
  </si>
  <si>
    <t>[CCC06776]</t>
  </si>
  <si>
    <t>AMPERA</t>
  </si>
  <si>
    <t>PRESTAÇÃO DE SERVIÇO UFVs (SÃO SEBASTIÃO DO OESTE 4 )  AMPERA INDUSTRIA NF 353</t>
  </si>
  <si>
    <t>Trocado o Boleto que não tinha sido pago para data de 25/07/24.</t>
  </si>
  <si>
    <t>PRESTAÇÃO DE SERVIÇOS UFVs  ( SÃO CAMOCIM ) NF 152</t>
  </si>
  <si>
    <t>Pagamento referente ao  serviço de de renovação do plano de gestão ambiental, renovação do plano de gerenciamento de residuos da construção civil.
ENVIADO POR JOÃO PAULO.</t>
  </si>
  <si>
    <t>[CCC06777]</t>
  </si>
  <si>
    <t>PRESTAÇÃO DE SERVIÇOS UFVs (CURUPIRA ) NF 154</t>
  </si>
  <si>
    <t>Pagamento referente a taxas e acompanhamento de processo .
ENVIADO POR JOÃO PAULO.</t>
  </si>
  <si>
    <t>PRESTAÇÃO DE SERVIÇOS UFVs (SÃO CAETANO) NF 155</t>
  </si>
  <si>
    <t>Pagamento referente a taxas e acompanhamento de processo de renovação .
ENVIADO POR JOÃO PAULO.</t>
  </si>
  <si>
    <t>PRESTAÇÃO DE SERVIÇOS UFVs (SERTANIA) NF 156</t>
  </si>
  <si>
    <t>PRESTAÇÃO DE SERVIÇOS UFVs (VENTUROSA ) NF 153</t>
  </si>
  <si>
    <t>003462</t>
  </si>
  <si>
    <t>CONSTRUMANAGER -    05/2024   NF 321313</t>
  </si>
  <si>
    <t>[CCC06778]</t>
  </si>
  <si>
    <t>PRESTAÇÃO DE SERVIÇOS UFVs (JEQUIE)  N 043 GOVERDE</t>
  </si>
  <si>
    <t>Pagamento de nota de débito para reembolso referente ao serviço de transporte de materiais e equipamentos mais mão de obra. ENVIADO POR JOÃO PAULO</t>
  </si>
  <si>
    <t>[CCC06779]</t>
  </si>
  <si>
    <t>NOTA DE DEBITO</t>
  </si>
  <si>
    <t>PRESTAÇÃO DE SERVIÇOS UFVs ( RIBEIRA DO POMBAL)  N 41  GOVERDE</t>
  </si>
  <si>
    <t>PRESTAÇÃO DE SERVIÇOS UFVs (BRUMADO)  N 42 GOVERDE</t>
  </si>
  <si>
    <t>003586</t>
  </si>
  <si>
    <t>PRESTAÇÃO DE SERVIÇO UFVs (OURO FINO 2) NF 171 ASE ENGENHARIA</t>
  </si>
  <si>
    <t>Pagamento  FINAL em faturamento direto referente ao serviço de montagem dos trackers. ENVIADO POR  RAFAEL</t>
  </si>
  <si>
    <t>[CCC06780]</t>
  </si>
  <si>
    <t>0003587</t>
  </si>
  <si>
    <t>PRESTAÇÃO DE SERVIÇO UFVs (TRES CORAÇÕES 3) NF 161 ASE ENGENHARIA</t>
  </si>
  <si>
    <t>Serviço Realizado no Contrato GLD</t>
  </si>
  <si>
    <t xml:space="preserve">FAT. DIRETO (MBA) </t>
  </si>
  <si>
    <t xml:space="preserve">COMPRA DE MATERIAIS UFVs (PASSOS 4) NF 30626 EXPONENCIAL </t>
  </si>
  <si>
    <t>Pagamento em faturamento direto, referente a compr de materiais para usina. ENVIADO POR MBA</t>
  </si>
  <si>
    <t>[CCC06781]</t>
  </si>
  <si>
    <t xml:space="preserve">PRESTAÇÃO DE SERVIÇOS UFVs (BRUMADO) NF 3414 ENGENHAR </t>
  </si>
  <si>
    <t>Pagamento referente ao serviço de supressão de vegetação  . ENVIADO POR JOAO</t>
  </si>
  <si>
    <t>[CCC06782]</t>
  </si>
  <si>
    <t>ENGENHAR</t>
  </si>
  <si>
    <t xml:space="preserve">PRESTAÇÃO DE SERVIÇOS UFVs (RIBEIRA DO POMBAL) NF 3413 ENGENHAR </t>
  </si>
  <si>
    <t xml:space="preserve">PRESTAÇÃO DE SERVIÇOS UFVs ( JEQUIE) NF 3417 ENGENHAR </t>
  </si>
  <si>
    <t xml:space="preserve">PRESTAÇÃO DE SERVIÇOS UFVs (IRECE) NF 3418 ENGENHAR </t>
  </si>
  <si>
    <t>FAT. DIRETO (MBA)</t>
  </si>
  <si>
    <t>COMPRA DE MATERIAIS UFVs (PASSOS 4) NF 30627 EXPONENCIAL</t>
  </si>
  <si>
    <t>Pagamento em faturamento direto referente a compra de cabo. ENVIADO POR MBA</t>
  </si>
  <si>
    <t>[CCC06783]</t>
  </si>
  <si>
    <t>PRESTAÇÃO DE SERVIÇOS UFVs (PATOS DE MINAS 9)                          N 1500563855141</t>
  </si>
  <si>
    <t xml:space="preserve">Pagamento taxa ambiental referente a resposição florestal. ENVIADO POR TIAGO </t>
  </si>
  <si>
    <t>[CCC06784]</t>
  </si>
  <si>
    <t>004266</t>
  </si>
  <si>
    <t>MEDIÇÃO (ENGELUZ)</t>
  </si>
  <si>
    <t>PRESTAÇÃO DE SERVIÇOS UFVs (PARACATU 4) NF 620</t>
  </si>
  <si>
    <t>PAGAMENTO DE MEDIÇÃO REFERENTE SERVIÇOS DE MÃO DE OBRA ESPECIALIZADA NA CONSTRUÇÃO DE RDR -RDA . ENVIADO POR ENEGELUZ</t>
  </si>
  <si>
    <t>[CCC06785]</t>
  </si>
  <si>
    <t>004267</t>
  </si>
  <si>
    <t>PRESTAÇÃO DE SERVIÇOS UFVs (PARACATU 5) NF 621</t>
  </si>
  <si>
    <t>004270</t>
  </si>
  <si>
    <t>PRESTAÇÃO DE SERVIÇOS UFVs (SÃO SEBASTIÃO DO OESTE 0) NF 622</t>
  </si>
  <si>
    <t>PAGAMENTO DE MEDIÇÃO REFERENTESERVIÇOS DE MÃO DE OBRA ESPECIALIZADA NA CONSTRUÇÃO DE RDR . ENVIADO POR ENEGELUZ</t>
  </si>
  <si>
    <t>[CCC06786]</t>
  </si>
  <si>
    <t>003588</t>
  </si>
  <si>
    <t>PRESTAÇÃO DE SERVIÇOS UFVs (MUZAMBINHO) NF 623</t>
  </si>
  <si>
    <t>004278</t>
  </si>
  <si>
    <t>REGRHAN  PRESTAÇÃO DE SERVIÇOS  ESTRELA DO NORTE  NF 2957</t>
  </si>
  <si>
    <t>Pagamento referente aos serviços de assessoria , gestão e controle documental de terceiros, realizados pelo REGRHAN, necessários a construção das UFVs. ENVIADO POR REGRHAN - 05/24</t>
  </si>
  <si>
    <t>[CCC06787]</t>
  </si>
  <si>
    <t xml:space="preserve">REGRHAN </t>
  </si>
  <si>
    <t>REGRHAN  PRESTAÇÃO DE SERVIÇOS  MORI GERAÇÃO II  NF 2958</t>
  </si>
  <si>
    <t>003600</t>
  </si>
  <si>
    <t>REGRHAN  PRESTAÇÃO DE SERVIÇOS  MORI MINAS NEWCO IV  NF 2959</t>
  </si>
  <si>
    <t>REGRHAN  PRESTAÇÃO DE SERVIÇOS  MORI MINAS NEWCO V  NF 2960</t>
  </si>
  <si>
    <t>A205 - MORI GERAÇÃO 2- UFV PATOS DE MINAS 6</t>
  </si>
  <si>
    <t>003480</t>
  </si>
  <si>
    <t>PRESTAÇÃO DE SERVIÇOS UFVs (PATOS DE MINAS 6) NF 624</t>
  </si>
  <si>
    <t>PAGAMENTO DE MEDIÇÃO REFERENTESERVIÇOS DE MÃO DE OBRA ESPECIALIZADA NA CONSTRUÇÃO DE RDR -REMOÇÃO DE REDE. ENVIADO POR ENEGELUZ</t>
  </si>
  <si>
    <t>[CCC06788]</t>
  </si>
  <si>
    <t>A208 - MORI GERAÇÃO 2- UFV PATOS DE MINAS 9</t>
  </si>
  <si>
    <t>003481</t>
  </si>
  <si>
    <t>PRESTAÇÃO DE SERVIÇOS UFVs (PATOS DE MINAS 9) NF 625</t>
  </si>
  <si>
    <t>003482</t>
  </si>
  <si>
    <t>FAT.DIRETO (IMPLANTAR)</t>
  </si>
  <si>
    <t>PRESTAÇÃO DE SERVIÇOS UFVs (DIAMANTINA 2) NF 15</t>
  </si>
  <si>
    <t>Pgamento em faturamento direto referente a prestação de serviços de gerencimento de projetos. ENVIADO POR MANOEL</t>
  </si>
  <si>
    <t>[CCC06789]</t>
  </si>
  <si>
    <t>COMPRA DE MATERIAIS  UFVs (ALFENAS 4) NF 2704</t>
  </si>
  <si>
    <t>Pagamento referente a compra de materiais paras as usinas. ENVIADO POR WILLIAM ATI</t>
  </si>
  <si>
    <t>[CCC06790]</t>
  </si>
  <si>
    <t>003606</t>
  </si>
  <si>
    <t>COMPRA DE MATERIAIS  UFVs (PARAGUAÇU 1) NF 2704</t>
  </si>
  <si>
    <t>003486</t>
  </si>
  <si>
    <t>COMPRA DE MATERIAIS UFVs (DIAMANTINA 1 ) NF 1738</t>
  </si>
  <si>
    <t>[CCC06791]</t>
  </si>
  <si>
    <t>003487</t>
  </si>
  <si>
    <t>COMPRA DE MATERIAIS UFVs (DIAMANTINA 2) NF 1739</t>
  </si>
  <si>
    <t>COMPRA DE MATERIAIS UFVs (FREI  INOCENCIO) NF 1740</t>
  </si>
  <si>
    <t>PRESTAÇÃO DE SERVIÇOS UFVs ( FORMIGA 6) NF 375</t>
  </si>
  <si>
    <t>Pagamento de medição referente aos serviços de drenage, contrato implantação. ENVIADO POR AUGUSTO</t>
  </si>
  <si>
    <t>[CCC06792]</t>
  </si>
  <si>
    <t>PRESTAÇÃO DE SERVIÇOS UFVs ( PARAGUAÇU 1) NF 563</t>
  </si>
  <si>
    <t>Pagamento referente ao serviço de instalação do sistema de supervisão previsto contrato implantação. ENVIADO POR ATI</t>
  </si>
  <si>
    <t>[CCC06793]</t>
  </si>
  <si>
    <t>PRESTAÇÃO DE SERVIÇOS UFVs ( DIAMANTINA 1) NF 564</t>
  </si>
  <si>
    <t>PRESTAÇÃO DE SERVIÇOS UFVs ( PATOS DE MINAS 4) NF 565</t>
  </si>
  <si>
    <t>PRESTAÇÃO DE SERVIÇOS UFVs (PATOS DE MINAS 7) NF 566</t>
  </si>
  <si>
    <t>PRESTAÇÃO DE SERVIÇOS UFVs ( PATROCINIO 2) NF 567</t>
  </si>
  <si>
    <t>PRESTAÇÃO DE SERVIÇOS UFVs ( PATROCINIO 3) NF 568</t>
  </si>
  <si>
    <t>004296</t>
  </si>
  <si>
    <t>PRESTAÇÃO DE SERVIÇOS UFVs (INDAIABIRA 3) NF 569</t>
  </si>
  <si>
    <t>004297</t>
  </si>
  <si>
    <t>PRESTAÇÃO DE SERVIÇOS UFVs (INDAIABIRA 4) NF 570</t>
  </si>
  <si>
    <t>004299</t>
  </si>
  <si>
    <t>PRESTAÇÃO DE SERVIÇOS UFVs (DIVINOPOLIS 1 NF 571</t>
  </si>
  <si>
    <t>004300</t>
  </si>
  <si>
    <t>PRESTAÇÃO DE SERVIÇOS UFVs (DIVINOPOLIS 2) NF 572</t>
  </si>
  <si>
    <t>004301</t>
  </si>
  <si>
    <t>PRESTAÇÃO DE SERVIÇOS UFVs ( PAINS 3) NF 573</t>
  </si>
  <si>
    <t>PRESTAÇÃO DE SERVIÇOS UFVs NF42 Campo Belo 5</t>
  </si>
  <si>
    <t>Pagamento referente a  Infra subterrânea para instalação das fibras  - ENVIADO RAFAEL</t>
  </si>
  <si>
    <t>[CCC06794]</t>
  </si>
  <si>
    <t>PRESTAÇÃO DE SERVIÇOS UFVs NF43 Campo Belo 2</t>
  </si>
  <si>
    <t>PRESTAÇÃO DE SERVIÇOS UFVs NF44 Campo Belo 2</t>
  </si>
  <si>
    <t>Pagamento referente a  Limpeza da vegetação no office, skids, combiners e cabine  - ENVIADO RAFAEL</t>
  </si>
  <si>
    <t>PRESTAÇÃO DE SERVIÇOS UFVs NF45 Campo Belo 1</t>
  </si>
  <si>
    <t>004302</t>
  </si>
  <si>
    <t>PRESTAÇÃO DE SERVIÇOS UFVs (PARACATU 4) NF 30052</t>
  </si>
  <si>
    <t>Pagamento referente ao aditivo para concretagem de hastes na usina. ENVIADO POR AUGUSTO.</t>
  </si>
  <si>
    <t>[CCC06795]</t>
  </si>
  <si>
    <t>004303</t>
  </si>
  <si>
    <t>PRESTAÇÃO DE SERVIÇOS UFVs (PARACATU 5) NF 30053</t>
  </si>
  <si>
    <t>PRESTAÇÃO DE SERVIÇOS UFVs (Brasilândia 3) NF202400000000852</t>
  </si>
  <si>
    <t>Pagamento referente a Dispensa do Processo de Licenciamento Ambiental</t>
  </si>
  <si>
    <t>[CCC06796]</t>
  </si>
  <si>
    <t>JX PRESTAÇÃO DE SERVIÇOS DE ASSESSORIA
AMBIENTAL</t>
  </si>
  <si>
    <t>PRESTAÇÃO DE SERVIÇOS UFVs (Brasilândia 4) NF202400000000853</t>
  </si>
  <si>
    <t>PRESTAÇÃO DE SERVIÇOS UFVs (Formiga 2) NF202400000000854</t>
  </si>
  <si>
    <t>003629</t>
  </si>
  <si>
    <t>PRESTAÇÃO DE SERVIÇOS UFVs (Ouro Fino 2) NF 190</t>
  </si>
  <si>
    <t>Pagamento referente ao serviço de limpeza DRENAGEM  das bacias, canaletas e recuperação de taludes. ENVIADO POR RAFAEL</t>
  </si>
  <si>
    <t>[CCC06797]</t>
  </si>
  <si>
    <t>ADAUTO POLIANI RIBEIRO COROl</t>
  </si>
  <si>
    <t>PRESTAÇÃO DE SERVIÇOS UFVs (Passos 4) NF 202400078</t>
  </si>
  <si>
    <t>Pagamento referente a prestação de serviço de instalação do equipamento de ar-condicionado. ENCIADO POR AUGUSTO</t>
  </si>
  <si>
    <t>[CCC06799]</t>
  </si>
  <si>
    <t xml:space="preserve">VIEIRA AR </t>
  </si>
  <si>
    <t>PRESTAÇÃO DE SERVIÇOS UFVs (Diamantina l) NF 2129/2024</t>
  </si>
  <si>
    <t>Pagamento referente ao serviço de vigilancia noturno e diurno. ENVIADO POR MANOEL</t>
  </si>
  <si>
    <t>[CCC06798]</t>
  </si>
  <si>
    <t>PRESTAÇÃO DE SERVIÇOS UFVs (Diamantina l) NF 2128/2024</t>
  </si>
  <si>
    <t xml:space="preserve">
COMPRA DE MATERIAL UFVs (NEWCO V) NF 000227368</t>
  </si>
  <si>
    <t>[CCC06800]</t>
  </si>
  <si>
    <t>COMPRA DE MATERIAL UFVs (NEWCO IV) NF  000227374</t>
  </si>
  <si>
    <t>[CCC06801]</t>
  </si>
  <si>
    <t>PRESTAÇÃO DE SERVIÇOS - USINAS CICLO 2   NOTA DE DEBITO  N Nº 56/2024</t>
  </si>
  <si>
    <t xml:space="preserve">Pagamento referente a assessoria e consultoria fundiária em prospecções de terrenos e contratos. MAIO/ 2024 - ENVIADO POR Igor Amedi de Moraes   -  2° QUINZENA </t>
  </si>
  <si>
    <t>[CCC06802]</t>
  </si>
  <si>
    <t>003507</t>
  </si>
  <si>
    <t>DAE - DOCUMENTO DE ARRECADAÇÃO ESTADUAL LAGOA FORMOSA  N 0924024068931</t>
  </si>
  <si>
    <t>[CCC06803]</t>
  </si>
  <si>
    <t>DAE - DOCUMENTO DE ARRECADAÇÃO ESTADUAL Patrocínio 2 N0924024068516</t>
  </si>
  <si>
    <t>DAE - DOCUMENTO DE ARRECADAÇÃO ESTADUAL Patrocínio 3 N0924024068770</t>
  </si>
  <si>
    <t>003636</t>
  </si>
  <si>
    <t>PRESTAÇÃO DE SERVIÇOS UFVs (Ouro Fino) NF Nº NOTA: 2089/2024</t>
  </si>
  <si>
    <t>Pagamneto referente a segurança Patrimonial enviada por Rafael</t>
  </si>
  <si>
    <t>[CCC06804]</t>
  </si>
  <si>
    <t>A414- MORI MINAS NEWCO IV - UFV MUZAMBINHO</t>
  </si>
  <si>
    <t>003637</t>
  </si>
  <si>
    <t>PRESTAÇÃO DE SERVIÇOS UFVs (Muzambinho) NF Nº NOTA: 2090/2024</t>
  </si>
  <si>
    <t>PRESTAÇÃO DE SERVIÇOS UFVs (Tres Corações) NF Nº NOTA: 20912024</t>
  </si>
  <si>
    <t>A211-MORI GERACAO II - UFV DIMANTINA 2</t>
  </si>
  <si>
    <t>PRESTAÇÃO DE SERVIÇOS UFVs (DIAMANTINA 2) 2250/2024</t>
  </si>
  <si>
    <t>Pagamneto referente a segurança Patrimonial enviada por Manoel</t>
  </si>
  <si>
    <t>[CCC06805]</t>
  </si>
  <si>
    <t>AV01 - UFV COMERC GOIAS 3 LTDA</t>
  </si>
  <si>
    <t>PRESTAÇÃO DE SERVIÇOS UFVs ( Porangatu III - GO) NF Nº NOTA: 1672760</t>
  </si>
  <si>
    <t>TAXA DE CORTE DE ÁRVORES ISOLADAS REFERENTE: FAZENDA LAGES, ZONA RURAL, PORANGATU-GO. - ENVIADO Marco Aurelio Moregola Jr</t>
  </si>
  <si>
    <t>[CCC06806]</t>
  </si>
  <si>
    <t>PREFEITURA MUNICIPAL DE PORANGATU</t>
  </si>
  <si>
    <t xml:space="preserve">PRESTAÇÃO DE SERVIÇOS UFVs ( Porangatu I - GO) NIdentificação do Debito 1672759 </t>
  </si>
  <si>
    <t>[CCC06807]</t>
  </si>
  <si>
    <t>PRESTAÇÃO DE SERVIÇOS UFVs (DIAMANTINA 1) NF 202400000000044</t>
  </si>
  <si>
    <t>Pagamento referente a prestação de serviço de instalação do equipamento de ar-condicionado. ENVIADO POR MANOEL</t>
  </si>
  <si>
    <t>[CCC06808]</t>
  </si>
  <si>
    <t>LM REFRIGERACAO SERVICOS E COMERCIO LTDA</t>
  </si>
  <si>
    <t xml:space="preserve">PRESTAÇÃO DE SERVIÇOS UFVs (DIAMANTINA 1) NF </t>
  </si>
  <si>
    <t>Pagamento referente a prestação de serviço de instalação do equipamento de ar-condicionado. ENCIADO POR MANOEL</t>
  </si>
  <si>
    <t>PRESTAÇÃO DE SERVIÇOS UFVs (Patos3) NF 116</t>
  </si>
  <si>
    <t>Pagamento referente a prestação de serviço implantação de valas implantação supervisorio. ENvIADO POR GILSON .Segue NF escopo Comerc sobre verificação das valas CFTV, das plantas:</t>
  </si>
  <si>
    <t>[CCC06809]</t>
  </si>
  <si>
    <t>LUSOL USINAS FOTOVOLTAICAS</t>
  </si>
  <si>
    <t>A203- MORI GERAÇÃO II - UFV PATOS DE MINAS 3</t>
  </si>
  <si>
    <t>PRESTAÇÃO DE SERVIÇOS UFVs (Patos de Minas 3) NF Nº:2024/60</t>
  </si>
  <si>
    <t>Pagamento referente a prestação de serviço Aprovação do projeto Coordenograma de entrada de energia junto a concessionária UFV EVIADO GUILHERME</t>
  </si>
  <si>
    <t>[CCC06810]</t>
  </si>
  <si>
    <t>PRESTAÇÃO DE SERVIÇOS UFVs (Diamantina 1) NFNº:2024/61</t>
  </si>
  <si>
    <t>Pagamento referente a prestação de serviço Aprovação do projeto de Coordenograma entrada de energia junto a concessionária UFV EVIADO GUILHERME</t>
  </si>
  <si>
    <t>PRESTAÇÃO DE SERVIÇOS UFVs (Diamantina 2) NF Nº:2024/62</t>
  </si>
  <si>
    <t>A409- MORI MINAS NEWCO IV - UFV SANTO ANTONIO 1</t>
  </si>
  <si>
    <t>PRESTAÇÃO DE SERVIÇOS UFVs (Santo Antônio 1)NFNº:2024/63</t>
  </si>
  <si>
    <t>Pagamento referente a prestação de serviço Aprovação do projeto de entrada Coordenograma de energia junto a concessionária UFV EVIADO GUILHERME</t>
  </si>
  <si>
    <t xml:space="preserve"> A629 - ESTRELA DO NORTE - UFV PARACATU 5</t>
  </si>
  <si>
    <t>004316</t>
  </si>
  <si>
    <t>PRESTAÇÃO DE SERVIÇOS UFVs (Paracatu 5) NFNº:2024/65</t>
  </si>
  <si>
    <t xml:space="preserve"> A628 - ESTRELA DO NORTE - UFV PARACATU 4</t>
  </si>
  <si>
    <t>004317</t>
  </si>
  <si>
    <t>PRESTAÇÃO DE SERVIÇOS UFVs (Paracatu 4)Nº:2024/64</t>
  </si>
  <si>
    <t>Pagamento referente a prestação de serviço Aprovação do projeto de Coordenograma entrada de Coordenograma energia junto a concessionária UFV EVIADO GUILHERME</t>
  </si>
  <si>
    <t>PRESTAÇÃO DE SERVIÇOS UFVs (Eloi Mendes) NF Nº:2024/66</t>
  </si>
  <si>
    <t>Pagamento referente a prestação de serviço Aprovação do projeto de entrada de Coordenograma energia junto a concessionária UFV EVIADO GUILHERME</t>
  </si>
  <si>
    <t>PRESTAÇÃO DE SERVIÇOS UFVs (PATOS DE MINAS 1) NF 69  DIEGO RODRIGUES</t>
  </si>
  <si>
    <t>Pagamento esopo Comerc, referente aos serviços de adequação de taludes e drenagens, devdido aos danos causados pelas chuvas.ENVIADO POR GILSON</t>
  </si>
  <si>
    <t>[CCC06811]</t>
  </si>
  <si>
    <t>PRESTAÇÃO DE SERVIÇOS UFVs (PATOS DE MINAS 3) NF 70  DIEGO RODRIGUES</t>
  </si>
  <si>
    <t>004319</t>
  </si>
  <si>
    <t>PRESTAÇÃO DE SERVIÇOS UFVs (PARCATU 5)  NF 84 ARCANJO</t>
  </si>
  <si>
    <t>[CCC06812]</t>
  </si>
  <si>
    <t>004320</t>
  </si>
  <si>
    <t>PRESTAÇÃO DE SERVIÇOS UFVs (PARACATU 4)  NF 85 ARCANJO</t>
  </si>
  <si>
    <t>PRESTAÇÃO DE SERVIÇOS UFVs (CAMPO BELO 2)  NF 3138</t>
  </si>
  <si>
    <t>Pagamento medição final, referente a prestação de serviço linha viva para instalação de equipamentos e encabeçamento de redes. ENVIADO POR MBA</t>
  </si>
  <si>
    <t>[CCC06813]</t>
  </si>
  <si>
    <t>PRESTAÇÃO DE SERVIÇOS UFVs (PASSOS 4) NF 61 ELETRICA PASSOS</t>
  </si>
  <si>
    <t>Pagamento referente a infraestrutura para energia provisoria , contrato implantação. ESCOPO COMERC. ENVIADO POR AUGUSTO</t>
  </si>
  <si>
    <t>[CCC06814]</t>
  </si>
  <si>
    <t>PRESTAÇÃO DE SERVIÇOS UFVs (FORMIGA 6) NF 4  ICECLIMA</t>
  </si>
  <si>
    <t xml:space="preserve">Pagamento referente ao serviço de instalação e manutenção de ar condicionado, contrato implantação. ENVIADO POR AUGUSTO </t>
  </si>
  <si>
    <t>[CCC06815]</t>
  </si>
  <si>
    <t>004322</t>
  </si>
  <si>
    <t>PRESTAÇÃO DE SERVIÇOS UFVs ( PAINS 3) NF 5  ICECLIMA</t>
  </si>
  <si>
    <t>PRESTAÇÃO DE SERVIÇOS UFVs (ARCO 7) NF 3  ICECLIMA</t>
  </si>
  <si>
    <t>FAT. DIRETO ( ENGELUZ- MT)</t>
  </si>
  <si>
    <t>COMPRA DE MATERIAIS UVFs (BRASILANDIA 4) NF 546903</t>
  </si>
  <si>
    <t>PAGAMENTO REFERENTE A COMPRA DE MATERIAIS - CICLO 3. ENVIADO POR MARCIO ELI</t>
  </si>
  <si>
    <t>[CCC06816]</t>
  </si>
  <si>
    <t>004323</t>
  </si>
  <si>
    <t>PRESTAÇÃO DE SERVIÇOS UFVs (DIVINOPOLIS1) NF 10  KELVER</t>
  </si>
  <si>
    <t>[CCC06817]</t>
  </si>
  <si>
    <t>004324</t>
  </si>
  <si>
    <t>PRESTAÇÃO DE SERVIÇOS UFVs ( DIVINOPOLIS 2) NF 11  KELVER</t>
  </si>
  <si>
    <t>KELVER</t>
  </si>
  <si>
    <t>004325</t>
  </si>
  <si>
    <t>PRESTAÇÃO DE SERVIÇOS UFVs (DIVINOPOLIS 3) NF 12  KELVER</t>
  </si>
  <si>
    <t>004326</t>
  </si>
  <si>
    <t>PRESTAÇÃO DE SERVIÇOS UFVs (PEDRA DO INDAIA 3) NF 14  KELVER</t>
  </si>
  <si>
    <t>004327</t>
  </si>
  <si>
    <t>PRESTAÇÃO DE SERVIÇOS UFVs ( SÃO SEBASTIÃO DO OESTE 0) NF 15  KELVER</t>
  </si>
  <si>
    <t>004328</t>
  </si>
  <si>
    <t>PRESTAÇÃO DE SERVIÇOS UFVs ( SÃO SEBASTIÃO DO OESTE 6) NF 16  KELVER</t>
  </si>
  <si>
    <t>004329</t>
  </si>
  <si>
    <t>PRESTAÇÃO DE SERVIÇOS UFVs (PEDRA DO INDAIA 1) NF 13  KELVER</t>
  </si>
  <si>
    <t>PRESTAÇÃO DE SERVIÇOS UFVs ( SÃO SEBASTIÃO DO OESTE 4) NF 17  KELVER</t>
  </si>
  <si>
    <t>FAT. DIRETO (ENGELUZ - MT)</t>
  </si>
  <si>
    <t xml:space="preserve">COMPRA DE MATERIAIS UFVs (BRASILANDIA 3) NF 546899 LOJA ELETRICA </t>
  </si>
  <si>
    <t>[CCC06818]</t>
  </si>
  <si>
    <t>A206-MORI GERACAO II - PATOS DE MINAS 7</t>
  </si>
  <si>
    <t>PRESTAÇÃO DE SERVIÇOS UFVs (PATOS DE MINAS 7) N 0924023847287</t>
  </si>
  <si>
    <t>Pagamento referente a taxa desegurança publica - vistoria AVCB. ENVIADO POR GUILHERME</t>
  </si>
  <si>
    <t>[CCC06819]</t>
  </si>
  <si>
    <t xml:space="preserve">COMPRA DE MATERIAIS UFVs (BRASILANDIA 4) NF 546902 LOJA ELETRICA </t>
  </si>
  <si>
    <t>[CCC06820]</t>
  </si>
  <si>
    <t>PRESTAÇÃO DE SERVIÇOS UFVs (ARCOS 7) NF 1986 RONDA PORTEIROS</t>
  </si>
  <si>
    <t>Pagamento referente a serviços de vigias diurnos e noturnos. ENVIADO POR AUGUSTO</t>
  </si>
  <si>
    <t>[CCC06821]</t>
  </si>
  <si>
    <t>PRESTAÇÃO DE SERVIÇOS UFVs (FORMIGA 6) NF 2074  RONDA PORTEIROS</t>
  </si>
  <si>
    <t>PRESTAÇÃO DE SERVIÇOS UFVs (FORMIGA 6) NF 2075  RONDA PORTEIROS</t>
  </si>
  <si>
    <t xml:space="preserve">FAT.DIRETO ( ENGELUZ-MT) </t>
  </si>
  <si>
    <t>COMPRA DE MATERIAIS UFVs (BRASILANDIA 3) NF 10572 CAMPO ALEGRE</t>
  </si>
  <si>
    <t>[CCC06822]</t>
  </si>
  <si>
    <t>COMPRA DE MATERIAIS UFVs (BRASILANDIA 4) NF 1568 WAS COMERCIAL</t>
  </si>
  <si>
    <t>[CCC06823]</t>
  </si>
  <si>
    <t>003533</t>
  </si>
  <si>
    <t>PRESTAÇÃO DE SERVIÇOS UFVs (LAGOA FORMOSA 1) NF 80</t>
  </si>
  <si>
    <t>[CCC06824]</t>
  </si>
  <si>
    <t>PRESTAÇÃO DE SERVIÇOS UFVs (PATROCINIO 2) NF 79</t>
  </si>
  <si>
    <t>PRESTAÇÃO DE SERVIÇOS UFVs (PATROCINIO 3) NF 78</t>
  </si>
  <si>
    <t>PRESTAÇÃO DE SERVIÇOS UFVs (PARACATU 8) NF 77</t>
  </si>
  <si>
    <t>PRESTAÇÃO DE SERVIÇOS UFVs (VARJÃO DE MINAS 1) NF 75</t>
  </si>
  <si>
    <t>PRESTAÇÃO DE SERVIÇOS UFVs (NOVA  PONTE 1) NF 81</t>
  </si>
  <si>
    <t>004348</t>
  </si>
  <si>
    <t>PRESTAÇÃO DE SERVIÇOS UFVs (GUARDA MOR) NF 82</t>
  </si>
  <si>
    <t>COMPRA DE MATERIAIS UFVs (CAMPO BELO 5) NF 46791 DIS COMERCIO</t>
  </si>
  <si>
    <t>Pagamento referente ao serviço de ar condicionado, contrato implantação. ENVIADO POR RAFAEL</t>
  </si>
  <si>
    <t>[CCC06825]</t>
  </si>
  <si>
    <t>COMPRA DE MATERIAIS UFVs (PARAGUAÇU 1) NF 46792 DIS COMERCIO</t>
  </si>
  <si>
    <t>COMPRA DE MATERIAIS UFVs (CAMPO BELO 5) NF 46793 DIS COMERCIO</t>
  </si>
  <si>
    <t>003656</t>
  </si>
  <si>
    <t>COMPRA DE MATERIAIS UFVs (SANTO ANTONIO DO AMPARO) NF 46794 DIS COMERCIO</t>
  </si>
  <si>
    <t>COMPRA DE MATERIAIS UFVs (OURO FINO 2) NF 46795 DIS COMERCIO</t>
  </si>
  <si>
    <t>COMPRA DE MATERIAIS UFVs (TRES CORAÇÕES 3) NF 46796 DIS COMERCIO</t>
  </si>
  <si>
    <t>COMPRA DE MATERIAIS UFVs (ALFENAS 4) NF 46797 DIS COMERCIO</t>
  </si>
  <si>
    <t>COMPRA DE MATERIAIS UFVs (CAMPO BELO 2) NF 46789 DIS COMERCIO</t>
  </si>
  <si>
    <t>003668</t>
  </si>
  <si>
    <t>COMPRA DE MATERIAIS UFVs (CAMPO BELO 1) NF 46790 DIS COMERCIO</t>
  </si>
  <si>
    <t>PRESTAÇÃO DE SERVIÇO UFVs (PATROCINIO 2) NF 262</t>
  </si>
  <si>
    <t>Pagamento de medição FINAL, referente a serviços eletromecanicos. ENVIADO POR GILSON</t>
  </si>
  <si>
    <t>[CCC06826]</t>
  </si>
  <si>
    <t>CRITICAL</t>
  </si>
  <si>
    <t>PRESTAÇÃO DE SERVIÇO UFVs (PATROCINIO 3) NF 263</t>
  </si>
  <si>
    <t>004350</t>
  </si>
  <si>
    <t>SERVIÇOS PRESTADOS DE CONSULTORIA EM CONTRATOS -  DELOITTE     NF  238</t>
  </si>
  <si>
    <t>Pagamento referente a medição mão de obra contrato DELOITTE ,  necessário à construção da UFV em contrato EPC . MEDIÇÃO 22 - ENVIADO POR  ROGÉRIO DELOITTE</t>
  </si>
  <si>
    <t>[CCC06827]</t>
  </si>
  <si>
    <t>SERVIÇOS PRESTADOS DE CONSULTORIA EM CONTRATOS -  DELOITTE    NF 236</t>
  </si>
  <si>
    <t>003660</t>
  </si>
  <si>
    <t>SERVIÇOS PRESTADOS DE CONSULTORIA EM CONTRATOS -  DELOITTE     NF  235</t>
  </si>
  <si>
    <t>SERVIÇOS PRESTADOS DE CONSULTORIA EM CONTRATOS -  DELOITTE     NF 239</t>
  </si>
  <si>
    <t>COMPRA DE MATERIAIS UFVs (PATOS DE MINAS 1) NF 2727</t>
  </si>
  <si>
    <t>Pagamento referente a compra de materiais para a usina, contrato implantação. ENVIADO POR WILLIAN ATI</t>
  </si>
  <si>
    <t>[CCC06828]</t>
  </si>
  <si>
    <t>003661</t>
  </si>
  <si>
    <t>PRESTAÇÃO DE SERVIÇOS UFVs (CAMPO BELO 5) NF 599</t>
  </si>
  <si>
    <t>[CCC06829]</t>
  </si>
  <si>
    <t>003662</t>
  </si>
  <si>
    <t>PRESTAÇÃO DE SERVIÇOS UFVs (TRES CORAÇÕES 3) NF 174</t>
  </si>
  <si>
    <t xml:space="preserve">Pagamento medição1, referente aos serviços de construção, substituição GLD. ENVIADO POR RAFAEL </t>
  </si>
  <si>
    <t>[CCC06830]</t>
  </si>
  <si>
    <t>003663</t>
  </si>
  <si>
    <t>PRESTAÇÃO DE SERVIÇOS UFVs (OURO FINO 2) NF 173</t>
  </si>
  <si>
    <t>[CCC06831]</t>
  </si>
  <si>
    <t>A610 - ESTRELA DO NORTE UFV - JABOTICATUBAS SPE</t>
  </si>
  <si>
    <t>004351</t>
  </si>
  <si>
    <t>PRESTAÇÃO DE SERVIÇOS UFVs (JABOTICATUBAS) NF 45 LM REFRIGERAÇÃO</t>
  </si>
  <si>
    <t>Pagamento referente ao serviço de ar condicionado, contrato implantação. ENVIADO POR MANOEL</t>
  </si>
  <si>
    <t>[CCC06832]</t>
  </si>
  <si>
    <t>004353</t>
  </si>
  <si>
    <t>COMPRA DE MATERIAIS UFVs (JABOTICATUBAS) NF 432 LM REFRIGERAÇÃO</t>
  </si>
  <si>
    <t>COMPRA DE MATERIAIS UFVs (DIAMANTINA 2) NF 71 ALEXANDRE JOSE</t>
  </si>
  <si>
    <t>Pagamento ESCOPO COMERC, referente ao serviço de adequação SKID. ENVBIADO POR GILSON</t>
  </si>
  <si>
    <t>[CCC06833]</t>
  </si>
  <si>
    <t>PRESTAÇÃO DE SERVIÇOS UFVs (DIAMANTINA 2) NF 783</t>
  </si>
  <si>
    <t>Pagamento medição 3, referente a prestação de serviços de construção. ENVIADO POR MANOEL</t>
  </si>
  <si>
    <t>[CCC06834]</t>
  </si>
  <si>
    <t xml:space="preserve">PRESTAÇÃO DE SERVIÇOS UFVs (MUZAMBINHO) NF 101 </t>
  </si>
  <si>
    <t>Pagamento referente  a supressão vegetal ADITIVO. ENVIADO POR GUILHERME KUSEL</t>
  </si>
  <si>
    <t>[CCC06835]</t>
  </si>
  <si>
    <t>PRESTAÇÃO DE SERVIÇOS UFVs (PASSOS 4) NF 337</t>
  </si>
  <si>
    <t>Pagamento referente  a supressão vegetal. ENVIADO POR GUILHERME KUSEL</t>
  </si>
  <si>
    <t>RIMA CONSULTORIA</t>
  </si>
  <si>
    <t>A604-ESTRELA DO NORTE -UFV- SAO SEB DO OESTE 0</t>
  </si>
  <si>
    <t>004354</t>
  </si>
  <si>
    <t>PRESTAÇÃO DE SERVIÇOS UFVs (SÃO SEBASTIÃO DO OESTE 0) NF 336</t>
  </si>
  <si>
    <t>Pagamento referente  a supressão vegetal (limpeza de faixa). ENVIADO POR GUILHERME KUSEL</t>
  </si>
  <si>
    <t>004355</t>
  </si>
  <si>
    <t>PRESTAÇÃO DE SERVIÇOS UFVs (SÃO SEBASTIÃO DO OESTE 0) NF 335</t>
  </si>
  <si>
    <t>Pagamento referente ao licenciamento ambiental (daia unico + comunicação de colheita). ENVIADO POR GUILHERME KUSEL</t>
  </si>
  <si>
    <t xml:space="preserve">PRESTAÇÃO DE SERVIÇOS - USINAS CICLO 2   NOTA DE DEBITO   Nº 57 </t>
  </si>
  <si>
    <t xml:space="preserve">Pagamento referente a assessoria e consultoria fundiária em prospecções de terrenos e contratos. JUNHO/ 2024 - ENVIADO POR IGOR AMENDI  -  1° QUINZENA </t>
  </si>
  <si>
    <t>[CCC06836]</t>
  </si>
  <si>
    <t xml:space="preserve">WEG PRESTAÇÃO DE SERVIÇOS UFVs ( INDAIABIRA 2)   ADIANTAMENTO </t>
  </si>
  <si>
    <t>Pagamento MEDIÇÃO  MONTAGEM 100% DAS ESTACAS  , contrato FULL EPC WEG. EVENTO 4</t>
  </si>
  <si>
    <t xml:space="preserve">LINHA ROMANEI </t>
  </si>
  <si>
    <t>FAT. DIRETO (ENGELUZ)</t>
  </si>
  <si>
    <t>COMPRA DE MATERIAIS UFVs (BRASILANDIA 3) NF 1567 W.A.S. COMERCIAL</t>
  </si>
  <si>
    <t>[CCC06837]</t>
  </si>
  <si>
    <t>PRESTAÇÃO DE SERVIÇOS UFVs (JAMIL I) NF 1176 JULLIA MARIA</t>
  </si>
  <si>
    <t>Pagamento referente aos projetos GD descontinuados, serviços foram executados antes do cancelamento do projeto. ENVIADO POR TIAGO</t>
  </si>
  <si>
    <t>[CCC06838]</t>
  </si>
  <si>
    <t>PRESTAÇÃO DE SERVIÇOS UFVs ( PROFESSOR JAMIL ANTONIO CEZAR) NF 1177 JULLIA MARIA</t>
  </si>
  <si>
    <t>PRESTAÇÃO DE SERVIÇOS UFVs (FORMOSO II) NF 1175 JULIA MARIA</t>
  </si>
  <si>
    <t>PRESTAÇÃO DE SERVIÇOS UFVs (FORMIGA 6 ) NF 23 IGOR GUILHERME</t>
  </si>
  <si>
    <t>Pagamento referente para instalações elétricas do office e almoxarifado da usina, contrato implantação. ENVIADO POR AUGUSTO</t>
  </si>
  <si>
    <t>[CCC06839]</t>
  </si>
  <si>
    <t>PRESTAÇÃO DE SERVIÇOS UFVs (PASSOS 4) NF 2237 RONDA</t>
  </si>
  <si>
    <t>Pagamento referente a prestação de serviços com vigias diurnos e norturnos na usina. ENVIADO POR AUGUSTO</t>
  </si>
  <si>
    <t>[CCC06840]</t>
  </si>
  <si>
    <t>004359</t>
  </si>
  <si>
    <t>PRESTAÇÃO DE SERVIÇOS UFVs (SÃO SEBASTIÃO DO OESTE 0) NF 2252 RONDA</t>
  </si>
  <si>
    <t>[CCC06841]</t>
  </si>
  <si>
    <t>004360</t>
  </si>
  <si>
    <t>PRESTAÇÃO DE SERVIÇOS UFVs (SÃO SEBASTIÃO DO OESTE 0) NF 2253 RONDA</t>
  </si>
  <si>
    <t>Desenvolvimento de projetos Executivos  - ENERSOLAR -  20% EMITIDOS -  (PEDRA MDO INDAIA 1)    NF106</t>
  </si>
  <si>
    <t>[CCC03528]</t>
  </si>
  <si>
    <t>000503</t>
  </si>
  <si>
    <t>Desenvolvimento de projetos Executivos  - ENERSOLAR -  20% INTERMEDIÁRIO -  (PEDRA MDO INDAIA 3)    NF 107</t>
  </si>
  <si>
    <t>[CCC03529]</t>
  </si>
  <si>
    <t>Desenvolvimento de projetos Executivos  - ENERSOLAR -  20% EMITIDOS -  (PEDRA MDO INDAIA 3)   NF108</t>
  </si>
  <si>
    <t>Desenvolvimento de projetos Executivos  - ENERSOLAR -  20% INTERMEDIÁRIO -  (PEDRA MDO INDAIA 5)    NF 109</t>
  </si>
  <si>
    <t>[CCC03530]</t>
  </si>
  <si>
    <t>000506</t>
  </si>
  <si>
    <t>Desenvolvimento de projetos Executivos  - ENERSOLAR -  20% EMITIDOS -  (PEDRA MDO INDAIA 5)    NF110</t>
  </si>
  <si>
    <t>Desenvolvimento de projetos Executivos  - ENERSOLAR -  20% EMITIDOS  (PATROCINIO 2)   NF 93   ANTIGO PC 573</t>
  </si>
  <si>
    <t>[CCC03516]</t>
  </si>
  <si>
    <t>Desenvolvimento de projetos Executivos  - ENERSOLAR -  20% EMITIDOS-( PATROCINIO 3)    NF 94  ANTIGO PC 576</t>
  </si>
  <si>
    <t>[CCC03517]</t>
  </si>
  <si>
    <t>Desenvolvimento de projetos Executivos  - ENERSOLAR -  20% EMITIDOS -  (PATOS 4)   NF96    PC  577</t>
  </si>
  <si>
    <t>[CCC03519]</t>
  </si>
  <si>
    <t>Desenvolvimento de projetos Executivos  - ENERSOLAR -  20% EMITIDOS -  (PATOS 7)   NF98</t>
  </si>
  <si>
    <t>[CCC03521]</t>
  </si>
  <si>
    <t>Desenvolvimento de projetos Executivos  - ENERSOLAR -  20% EMITIDOS -  (DIVINOPOLIS 3)    NF105</t>
  </si>
  <si>
    <t>[CCC03527]</t>
  </si>
  <si>
    <t>PRESTAÇÃO DE SERVIÇOS UFVs (SÃO SEBASTIÃO DO OESTE 4) NF 2254 RONDA</t>
  </si>
  <si>
    <t>Desenvolvimento de projetos Executivos  - ENERSOLAR -  20% iniciais - 01/05 (São Sebastião 6)   NF   81</t>
  </si>
  <si>
    <t>[CCC03326-41]</t>
  </si>
  <si>
    <t>003667</t>
  </si>
  <si>
    <t>PRESTAÇÃO DE SERVIÇOS UFVs (SÃO SEBASTIÃO DO OESTE 4) NF 2255 RONDA</t>
  </si>
  <si>
    <t>Desenvolvimento de projetos Executivos  - ENERSOLAR - 20 % ANALISADO -  (PEDRA MDO INDAIA 1)     122</t>
  </si>
  <si>
    <t>[CCC03723]</t>
  </si>
  <si>
    <t>Desenvolvimento de projetos Executivos  - ENERSOLAR -  20%  ANALISADO-  (PEDRA DO INDAIA 3 )   NF 129</t>
  </si>
  <si>
    <t>[CCC03820]</t>
  </si>
  <si>
    <t>Desenvolvimento de projetos Executivos  - ENERSOLAR -  20%  ANALISADO-  (PATOS 4 )   NF 135</t>
  </si>
  <si>
    <t>[CCC03918]</t>
  </si>
  <si>
    <t>Desenvolvimento de projetos Executivos  - ENERSOLAR -  20%  APROVADO-  (PATOS 4 )  NF 136</t>
  </si>
  <si>
    <t>Desenvolvimento de projetos Executivos  - ENERSOLAR -  20%  APROVADO  (PATOS 8 )   NF 139</t>
  </si>
  <si>
    <t>Desenvolvimento de projetos Executivos  - ENERSOLAR -  20%  ANALISADO-  (PATROCINIO 2 )    NF 141</t>
  </si>
  <si>
    <t>[CCC03919]</t>
  </si>
  <si>
    <t>Desenvolvimento de projetos Executivos  - ENERSOLAR -  20%  APROVADO  (PEDRA DO INDAIA 1)    NF 142</t>
  </si>
  <si>
    <t>[CCC03923]</t>
  </si>
  <si>
    <t>Desenvolvimento de projetos Executivos  - ENERSOLAR -  20% ANALISADO-  (PATROCINIO 2)    NF 146</t>
  </si>
  <si>
    <t>[CCC03968]</t>
  </si>
  <si>
    <t>Desenvolvimento de projetos Executivos  - ENERSOLAR -  20% APROVADO  (PATROCINIO 3)   NF 147</t>
  </si>
  <si>
    <t>Desenvolvimento de projetos Executivos  - ENERSOLAR -  20%  APROVADO (VARJÃO 4) NF  199</t>
  </si>
  <si>
    <t>Desenvolvimento de projetos Executivos  - ENERSOLAR -  20%  INTERMEDIARIO (PAINS 1) NF  200</t>
  </si>
  <si>
    <t>Desenvolvimento de projetos Executivos  - ENERSOLAR -  20%  EMITIDOS (PAINS 1) NF  201</t>
  </si>
  <si>
    <t>Desenvolvimento de projetos Executivos  - ENERSOLAR -  20%  ANALISADO (PAINS 1) NF  202</t>
  </si>
  <si>
    <t>Desenvolvimento de projetos Executivos  - ENERSOLAR -  20%  INTERMEDIARIO  (PAINS 2) NF  203</t>
  </si>
  <si>
    <t>Desenvolvimento de projetos Executivos  - ENERSOLAR -  ADITIVOS  (PAINS 1) NF  204</t>
  </si>
  <si>
    <t>Desenvolvimento de projetos Executivos  - ENERSOLAR -  ADITIVOS  (PAINS 2) NF  205</t>
  </si>
  <si>
    <t>PRESTAÇÃO DE SERVIÇOS UFVs (PATOS DE MINAS 6 e PATOS DE MINAS 9) N 126346</t>
  </si>
  <si>
    <t>Pagamento referente a taxa para emissão de certidão de conformidade e ocupação do solo . CICLO 3 ENVIADO POR KARINA BARBOSA</t>
  </si>
  <si>
    <t>[CCC06842]</t>
  </si>
  <si>
    <t>Desenvolvimento de projetos Executivos  - ENERSOLAR -  20%  EMITIDOS (SÃO SEBASTIÃO 6) NF  198</t>
  </si>
  <si>
    <t>Desenvolvimento de projetos Executivos  - ENERSOLAR -  20%  APROVADO (SÃO SEBASTIÃO 6) NF  235</t>
  </si>
  <si>
    <t>Desenvolvimento de projetos Executivos  - ENERSOLAR - 20%  APROVADO (SÃO SEBASTIÃO 0) NF  239</t>
  </si>
  <si>
    <t>Desenvolvimento de projetos Executivos  - ENERSOLAR - 20%  APROVADO (SÃO SEBASTIÃO 4) NF 240</t>
  </si>
  <si>
    <t>Desenvolvimento de projetos Executivos  - ENERSOLAR - ADITIVO  (SÃO SEBASTIÃO 4) NF  241</t>
  </si>
  <si>
    <t>PAGAMENTO DE TAXA UFVs (PORANGATU 1) N 1673091 PREFEITURA PORANGATU</t>
  </si>
  <si>
    <t>Pagamento referente a taxa de certidão de uso do solo, para continuidade  da analise e emissão da licença ambiental referente ao projeto da usina. ENVIADO POR MARCO AURELIO</t>
  </si>
  <si>
    <t>[CCC06843]</t>
  </si>
  <si>
    <t>PREFEITURA PORANGATU</t>
  </si>
  <si>
    <t>PAGAMENTO DE TAXA UFVs (PORANGATU 3I) N 1673093 PREFEITURA PORANGATU</t>
  </si>
  <si>
    <t>003863</t>
  </si>
  <si>
    <t>COMPRA MATERIAIS PARA UFVs  (OURO FINO 2)  NF 054882 INCOPRE</t>
  </si>
  <si>
    <t>[CCC06844]</t>
  </si>
  <si>
    <t>004363</t>
  </si>
  <si>
    <t>DAE - Dispença de Licenciamento ambiental UFV  (JABOTICATUBAS)     N 0924024167280</t>
  </si>
  <si>
    <t>[CCC06845]</t>
  </si>
  <si>
    <t>DAE - Dispença de Licenciamento ambiental UFV  (PASSOS 4)                 N 0924024167026</t>
  </si>
  <si>
    <t>PAGAMENTO DE TAXA UFVs (FILADELFIA ) N 42 GO VERDE</t>
  </si>
  <si>
    <t>Pagamento nota de débito, referente  taxa de analise do processo, taxa de documentação e taxa de vistoria de ASV. ENVIADO POR JOAO LESSA</t>
  </si>
  <si>
    <t>[CCC06846]</t>
  </si>
  <si>
    <t>FAT.DIRETO (ENGELUZ)</t>
  </si>
  <si>
    <t>COMPRA DE MATERIAIS UFVs (BRASILANDIA 4) NF 854 CAMARGOS COMERCIO</t>
  </si>
  <si>
    <t>[CCC06847]</t>
  </si>
  <si>
    <t>COMPRA DE MATERIAIS UFVs (BRASILANDIA 4) NF 10577 CAMPO ALEGRE</t>
  </si>
  <si>
    <t>003864</t>
  </si>
  <si>
    <t>COMPRA MATERIAIS PARA UFVs  (OURO FINO 2)  NF 054877 INCOPRE</t>
  </si>
  <si>
    <t>[CCC06848]</t>
  </si>
  <si>
    <t>003865</t>
  </si>
  <si>
    <t>COMPRA MATERIAIS PARA UFVs  (OURO FINO 2)  NF 054881 INCOPRE</t>
  </si>
  <si>
    <t>003867</t>
  </si>
  <si>
    <t>COMPRA MATERIAIS PARA UFVs  (OURO FINO 2)  NF 054904 INCOPRE</t>
  </si>
  <si>
    <t>[CCC06849]</t>
  </si>
  <si>
    <t>003868</t>
  </si>
  <si>
    <t>COMPRA MATERIAIS PARA UFVs  (OURO FINO 2)  NF 054905 INCOPRE</t>
  </si>
  <si>
    <t>PRESTAÇÃO DE SERVIÇOS UFVs (ALFENAS 4) NF 700</t>
  </si>
  <si>
    <t>Pagamento medição final, 2° parcela serviço de limpeza de faixa, poda e supressão de arvores, contrato implantação. ENVIADO POR GUILHERME KUSEL</t>
  </si>
  <si>
    <t>[CCC06850]</t>
  </si>
  <si>
    <t>PRESTAÇÃO DE SERVIÇOS UFVs (ARCOS 7) NF 3140</t>
  </si>
  <si>
    <t>Pagamento medição referente a prestação de serviços linha viva em rede de distribuição. ENVIADO POR GUILHERME KUSEL</t>
  </si>
  <si>
    <t>[CCC06851]</t>
  </si>
  <si>
    <t>Escopo Comerc conforme email Guilherme Kursel em 01/07/24</t>
  </si>
  <si>
    <t>004365</t>
  </si>
  <si>
    <t>PRESTAÇÃO DE SERVIÇOS UFVs (PARACATU 4) NF 30164</t>
  </si>
  <si>
    <t>Pagamento medição referente a prestação de serviços e mão de obra. ENVIADO POR AUGUSTO</t>
  </si>
  <si>
    <t>[CCC06852]</t>
  </si>
  <si>
    <t>004366</t>
  </si>
  <si>
    <t>PRESTAÇÃO DE SERVIÇOS UFVs (PARACATU 5) NF 30166</t>
  </si>
  <si>
    <t>COMPRA MATERIAIS PARA UFVs  MORI II  NF 0228825 ROMAGNOLE</t>
  </si>
  <si>
    <t>[CCC06853]</t>
  </si>
  <si>
    <t>003695</t>
  </si>
  <si>
    <t>COMPRA MATERIAIS PARA UFVs  NEWCO IV  NF 228822 ROMAGNOLE</t>
  </si>
  <si>
    <t>[CCC06854]</t>
  </si>
  <si>
    <t>003696</t>
  </si>
  <si>
    <t>COMPRA MATERIAIS PARA UFVs  NEWCO IV  NF 0228824 ROMAGNOLE</t>
  </si>
  <si>
    <t>[CCC06855]</t>
  </si>
  <si>
    <t>COMPRA MATERIAIS PARA UFVs  NEWCO IV  NF 0228823 ROMAGNOLE</t>
  </si>
  <si>
    <t>[CCC06856]</t>
  </si>
  <si>
    <t>003682</t>
  </si>
  <si>
    <t>PRESTAÇÃO DE SERVIÇOS UFVs (TRES CORAÇÕES 3) NF 351</t>
  </si>
  <si>
    <t>Pagamento referente licenciamento ambiental DAIA . ENVIADO POR GUILHERME KUSEL</t>
  </si>
  <si>
    <t>[CCC06857]</t>
  </si>
  <si>
    <t>PRESTAÇÃO DE SERVIÇOS UFVs (MUZAMBINHO) NF 352</t>
  </si>
  <si>
    <t>Pagamento referente a SUPRESSÃO VEGETAL - ADITIVO 2 . ENVIADO POR GUILHERME KUSEL</t>
  </si>
  <si>
    <t>003860</t>
  </si>
  <si>
    <t>COMPRA MATERIAIS PARA UFVs  (OURO FINO) N 54931 INCOPRE</t>
  </si>
  <si>
    <t>[CCC06858]</t>
  </si>
  <si>
    <t>003861</t>
  </si>
  <si>
    <t>COMPRA MATERIAIS PARA UFVs  (OURO FINO) N 054932  INCOPRE</t>
  </si>
  <si>
    <t>003862</t>
  </si>
  <si>
    <t>COMPRA MATERIAIS PARA UFVs  (OURO FINO) N 54933  INCOPRE</t>
  </si>
  <si>
    <t>PRESTAÇÃO DE SERVIÇOS UFVs (PASSOS 4) NF 3141</t>
  </si>
  <si>
    <t>Pagamento medição rferente a prestação de serviços linha vica em rede de distribuição. AUTORIZADO POR GUILHERME KUSEL</t>
  </si>
  <si>
    <t>[CCC06859]</t>
  </si>
  <si>
    <t>Aditivo de Linha Viva</t>
  </si>
  <si>
    <t>003688</t>
  </si>
  <si>
    <t>PRESTAÇÃO DE SERVIÇOS UFVs (ARCOS 7) NF 3153</t>
  </si>
  <si>
    <t>Pagamento medição referente a prestação de serviços e mão de obra. ENVIADO POR MBA</t>
  </si>
  <si>
    <t>[CCC06860]</t>
  </si>
  <si>
    <t>003689</t>
  </si>
  <si>
    <t>PRESTAÇÃO DE SERVIÇOS UFVs (SÃO SEBASTIÃO 4) NF 3154</t>
  </si>
  <si>
    <t>[CCC06861]</t>
  </si>
  <si>
    <t>CONSTRUMANAGER -    06/2024   NF  323371</t>
  </si>
  <si>
    <t>[CCC06862]</t>
  </si>
  <si>
    <t>PAGAMENTO DE TAXA UFVs (BRASILANDIA 4) N 1900039972926 EXPEDIENTE</t>
  </si>
  <si>
    <t>Pagamento referente alteração de prazo das condicionantes AIA. ENVIADO POR TIAGO ROBERTO</t>
  </si>
  <si>
    <t>[CCC06863]</t>
  </si>
  <si>
    <t>PAGAMENTO DE TAXA UFVs (BRASILANDIA 4) N1900039975992 LENHA</t>
  </si>
  <si>
    <t>Pagamento referente A ATUALIZAÇÃO DOS CERTIFICADOS DE EXTRATORES. ENVIADO POR TIAGO ROBERTO</t>
  </si>
  <si>
    <t xml:space="preserve">PAGAMENTO DE TAXA UFVs (BRASILANDIA 4) N 1900039972926 LENHA </t>
  </si>
  <si>
    <t>PAGAMENTO DE TAXA UFVs (BRASILANDIA 4) N 1900039976077 TORA</t>
  </si>
  <si>
    <t>PAGAMENTO DE TAXA UFVs (BRASILANDIA 4) N 1900039976158 PRODUTOR</t>
  </si>
  <si>
    <t>PAGAMENTO DE TAXA UFVs (PORANGATU 1) N 1673319</t>
  </si>
  <si>
    <t>Pagamaneto referente a taxa de licença ambiental municipal de instalação . ENVIADO POR MARCO AURELIO</t>
  </si>
  <si>
    <t>[CCC06864]</t>
  </si>
  <si>
    <t>PAGAMENTO DE TAXA UFVs (PORANGATU 3) N 1673320</t>
  </si>
  <si>
    <t>PAGAMENTO DE TAXA UFVs (PATOS DE MINAS 9) N 1900039988458 MADEIRA</t>
  </si>
  <si>
    <t>Pagamento referente de taxa para pagamentos dos certificados de extrator da condicionante do AIA. ENVIADO POR TIAGO ROBERTO</t>
  </si>
  <si>
    <t>[CCC06865]</t>
  </si>
  <si>
    <t>PAGAMENTO DE TAXA UFVs (PATOS DE MINAS 9) N 1900039988784 PRODUTOR</t>
  </si>
  <si>
    <t xml:space="preserve">PRESTAÇÃO DE SERVIÇOS UFVs (SANTO ANTONIO DO AMPARO) NF 3165 </t>
  </si>
  <si>
    <t>Pagamento medição referente a prestação de serviços e mão de obra. ENVIADO POR GUILHERME KUSEL</t>
  </si>
  <si>
    <t>[CCC06866]</t>
  </si>
  <si>
    <t>PRESTAÇÃO DE SERVIÇOS UFVs (PASSOS) NF 3159</t>
  </si>
  <si>
    <t>Pagamento medição referente a prestação de serviços e mão de obra. ENVIADO POR MARCIO</t>
  </si>
  <si>
    <t>[CCC06867]</t>
  </si>
  <si>
    <t>FAT.DIRETO (MBA)</t>
  </si>
  <si>
    <t>PRESTAÇÃO DE SERVIÇOS UFVs (OURO FINO 2) N 579 RICARDO ALBERTO</t>
  </si>
  <si>
    <t>Pagament referente aos fretes dos postes da usina. ENVIADO POR MBA</t>
  </si>
  <si>
    <t>[CCC06868]</t>
  </si>
  <si>
    <t>COMPRA MATERIAIS PARA UFVs  (DIAMANTINA 2)  NF 2746</t>
  </si>
  <si>
    <t>Pagamento medição referente a combra de materiais. ENVIADO POR ATI</t>
  </si>
  <si>
    <t>[CCC06869]</t>
  </si>
  <si>
    <t>COMPRA MATERIAIS PARA UFVs  (CAMPO BELO 5)  NF 2717</t>
  </si>
  <si>
    <t>[CCC06870]</t>
  </si>
  <si>
    <t>PRESTAÇÃO DE SERVIÇO UFV (PASSOS 4)  R&amp;C ELETRONICA NF 1750</t>
  </si>
  <si>
    <t>[CCC06871]</t>
  </si>
  <si>
    <t>PRESTAÇÃO DE SERVIÇO UFV (OURO FINO 2) R&amp;C ELETRONICA NF1751</t>
  </si>
  <si>
    <t>PRESTAÇÃO DE SERVIÇO UFV (PARAGUAÇU 1) R&amp;C ELETRONICA NF1752</t>
  </si>
  <si>
    <t>PRESTAÇÃO DE SERVIÇO UFV (ALFENAS 4) R&amp;C ELETRONICA NF1753</t>
  </si>
  <si>
    <t>003704</t>
  </si>
  <si>
    <t>PRESTAÇÃO DE SERVIÇO UFV (MUZAMBINHO) R&amp;C ELETRONICA NF1754</t>
  </si>
  <si>
    <t>003705</t>
  </si>
  <si>
    <t>PRESTAÇÃO DE SERVIÇO UFV (SANTO ANTONIO DO AMPARO ) R&amp;C ELETRONICA NF 1755</t>
  </si>
  <si>
    <t>003706</t>
  </si>
  <si>
    <t>PRESTAÇÃO DE SERVIÇO UFV (TRES CORAÇÕES 3 ) R&amp;C ELETRONICA NF1756</t>
  </si>
  <si>
    <t>PRESTRAÇÃO DE SERVIÇOS UFVs (OURO FINO 2) NF 2323 RONDA PORTEIROS</t>
  </si>
  <si>
    <t>Pagamento referente ao serviço de vigia, aditivo noturno (cercamento não finalizado). ENVIADO POR RAFAEL ESCOPO COMERC</t>
  </si>
  <si>
    <t>[CCC06872]</t>
  </si>
  <si>
    <t>PRESTRAÇÃO DE SERVIÇOS UFVs (TRES CORAÇÕES 3) NF 2359 RONDA PORTEIROS</t>
  </si>
  <si>
    <t>PRESTRAÇÃO DE SERVIÇOS UFVs (ALFENAS 4) NF 2270 RONDA PORTEIROS</t>
  </si>
  <si>
    <t>Pagamento referente ao serviço de vigia, usina foi entregue sem energização. ENVIADO POR RAFEL ESCOPO COMER</t>
  </si>
  <si>
    <t>PRESTRAÇÃO DE SERVIÇOS UFVs (CAMPO BELO 1) NF 2286 RONDA PORTEIROS</t>
  </si>
  <si>
    <t>PRESTRAÇÃO DE SERVIÇOS UFVs (MUZAMBINHO) NF 2316 RONDA PORTEIROS</t>
  </si>
  <si>
    <t>Pagamento referente ao serviço de vigia, rompimento COM GLD, assumida por COMERC ENVIADO POR RAFAEL ESCOPO COMERC</t>
  </si>
  <si>
    <t>PRESTRAÇÃO DE SERVIÇOS UFVs (OURO FINO 2) NF 2322 RONDA PORTEIROS</t>
  </si>
  <si>
    <t>PRESTRAÇÃO DE SERVIÇOS UFVs (TRES CORAÇÕES 3) NF 2357 RONDA PORTEIROS</t>
  </si>
  <si>
    <t>PRESTRAÇÃO DE SERVIÇOS UFVs (OURO FINO 2) NF 2247 RONDA PORTEIROS</t>
  </si>
  <si>
    <t>[CCC06873]</t>
  </si>
  <si>
    <t>003714</t>
  </si>
  <si>
    <t>PRESTRAÇÃO DE SERVIÇOS UFVs (MUZAMBINHO) NF 2246 RONDA PORTEIROS</t>
  </si>
  <si>
    <t>PRESTRAÇÃO DE SERVIÇOS UFVs (TRES CORAÇÕES 3) NF 2248 RONDA PORTEIROS</t>
  </si>
  <si>
    <t>003716</t>
  </si>
  <si>
    <t>PRESTRAÇÃO DE SERVIÇOS UFVs (PARAGUAÇU 1) NF 2353 RONDA PORTEIROS</t>
  </si>
  <si>
    <t>Pagamento referente ao serviço de vigia referente ao mês de abril.ENVIADO POR RAFAEL</t>
  </si>
  <si>
    <t>[CCC06874]</t>
  </si>
  <si>
    <t>PRESTRAÇÃO DE SERVIÇOS UFVs (CAMPO BELO 1) NF 60 PJ SERVIÇOS</t>
  </si>
  <si>
    <t xml:space="preserve">Pagamento escopo comerc .Instalação das arruelas do suporte dos motores. O material faltou quando a GLD estava montando os trackers e foram instalados agora, através de outra terceirizada.ENVIADO POR RAFAEL </t>
  </si>
  <si>
    <t>[CCC06875]</t>
  </si>
  <si>
    <t>003718</t>
  </si>
  <si>
    <t>PRESTRAÇÃO DE SERVIÇOS UFVs (SANTO ANTONIO DO AMPARO)      NF 59 PJ SERVIÇOS</t>
  </si>
  <si>
    <t>Pagamento escopo comerc.Infra para passagem da fibra nos skids e office em Santo Antônio do Amparo (aproximadamente 240 metros de infra subterânea).ENVIADO POR RAFAEL</t>
  </si>
  <si>
    <t>PRESTRAÇÃO DE SERVIÇOS UFVs (PATOS DE MINAS 1) NF 696</t>
  </si>
  <si>
    <t>Pagamento referente ao serviço de instalação de sistem,a supervisorio na usina, contrato implantação. ENVIADO POR ATI</t>
  </si>
  <si>
    <t>[CCC06876]</t>
  </si>
  <si>
    <t>PRESTAÇÃO DE SERVIÇOS UFVs (TRES CORAÇÕES 3) NF 177</t>
  </si>
  <si>
    <t xml:space="preserve">Pagamento medição 2, referente aos serviços de construção, substituição GLD. ENVIADO POR RAFAEL </t>
  </si>
  <si>
    <t>[CCC06877]</t>
  </si>
  <si>
    <t>PRESTAÇÃO DE SERVIÇOS UFVs (OURO FINO 2) NF 175</t>
  </si>
  <si>
    <t>[CCC06878]</t>
  </si>
  <si>
    <t>PRESTAÇÃO DE SERVIÇOS UFVs (POUSO ALEGRE 1) NF  01185</t>
  </si>
  <si>
    <t>Pagamento referente a estudos inventarios e gestão do processo para obtenção da Autorização de Intervenção para
supressão de vegetação. ENVIADO POR TIAGO(JX Ambiental)</t>
  </si>
  <si>
    <t>[CCC06879]</t>
  </si>
  <si>
    <t>JULLIA MARIA MAIA XAVIER</t>
  </si>
  <si>
    <t>PRESTAÇÃO DE SERVIÇOS UFVs (PATOS 9) NF  01186</t>
  </si>
  <si>
    <t>Pagamento referente a prestação de serviços e mão de obra.BM09 – Projeto 04 - UFV Patos de Minas 09
Estudos (Inventários) e gestão do processo para obtenção da Autorização de Intervenção para
supressão de vegetação nativa em MG ENVIADO POR TIAGO(JX Ambiental)</t>
  </si>
  <si>
    <t>PRESTAÇÃO DE SERVIÇOS UFVs (PARA DE MINAS 1) NF  01184</t>
  </si>
  <si>
    <t>PRESTAÇÃO DE SERVIÇOS UFVs (SANTO ANTONIO DO AMPARO 2) NF  1183</t>
  </si>
  <si>
    <t>PRESTAÇÃO DE SERVIÇOS UFVs (LAGOA GRANDE 4) NF  868</t>
  </si>
  <si>
    <t>PRESTAÇÃO DE SERVIÇOS UFVs (URUTAÍ) NF 1189</t>
  </si>
  <si>
    <t>Pagamento referente a estudos inventarios e gestão do processo para obtenção da Autorização de Intervenção para
supressão de vegetação. ENVIADO POR TIAGO (JX Ambiental)</t>
  </si>
  <si>
    <t>PRESTAÇÃO DE SERVIÇOS UFVs (PORANGATU 3) NF 1188</t>
  </si>
  <si>
    <t>Pagamento referente a estudos inventarios e gestão do processo para obtenção da Autorização de Intervenção para
supressão de vegetação. ENVIADO POR TIAGO</t>
  </si>
  <si>
    <t>PRESTAÇÃO DE SERVIÇOS UFVs (PORANGATU 1) NF 1187</t>
  </si>
  <si>
    <t>003722</t>
  </si>
  <si>
    <t xml:space="preserve">COMPRA DE MATERIAIS UFVs (MUZAMBINHO) NF 030504 PEDRAO DEPOSITO
</t>
  </si>
  <si>
    <t>Pagamento referente a compra de materiais necessários para finalização do office. ENVIADO POR RAFAEL</t>
  </si>
  <si>
    <t>[CCC06880]</t>
  </si>
  <si>
    <t>PEDRAO DEPOSITO</t>
  </si>
  <si>
    <t>003749</t>
  </si>
  <si>
    <t>PRESTAÇÃO DE SERVIÇOS UFVs (CASSIA 1) NF  20240000001</t>
  </si>
  <si>
    <t>PAGAMENTO MEDIÇÃO REFERENTE AOS SERVIÇOS DE CONSTRUÇÃO, PRESTAÇÃO DE SERVIÇOS DE CONSTRUÇÃO PARA MONTAGEM DE 1150 METROS DE CERCA PERIMETRAL.</t>
  </si>
  <si>
    <t>[CCC06881]</t>
  </si>
  <si>
    <t>RAFAEL FALEIROS DE SOUZA</t>
  </si>
  <si>
    <t>003750</t>
  </si>
  <si>
    <t>PRESTAÇÃO DE SERVIÇO UFVs (Paraguaçu 1) NF 29</t>
  </si>
  <si>
    <t>Pagamento referente a prestação de serviços eletricos. Realização da montagem de dois quadros elétricos de distribuição. ENVIADO POR RAFAEL</t>
  </si>
  <si>
    <t>[CCC06882]</t>
  </si>
  <si>
    <t>ADRIELLY CRISTINA</t>
  </si>
  <si>
    <t>004411</t>
  </si>
  <si>
    <t>MEDIÇÃO (NOVA MORADA)</t>
  </si>
  <si>
    <t>COMPRA DE MATERIAL UFVs (Pedra do Indaiá 5) NF 06414</t>
  </si>
  <si>
    <t>Pagamento referente ao adiantamento para continuidade dos serviços de execução do Office. ENVIADO POR AUGUSTO</t>
  </si>
  <si>
    <t>[CCC06883]</t>
  </si>
  <si>
    <t>Solicitado nota XMLX</t>
  </si>
  <si>
    <t>PRESTRAÇÃO DE SERVIÇOS UFVs (Passos 4) NF 2336/2024 RONDA PORTEIROS</t>
  </si>
  <si>
    <t>Pagamento referente ao serviço de vigia. ENVIADO POR AUGUSTO</t>
  </si>
  <si>
    <t>[CCC06884]</t>
  </si>
  <si>
    <t>PRESTRAÇÃO DE SERVIÇOS UFVs (FORMIGA 6) NF 2298 RONDA PORTEIROS</t>
  </si>
  <si>
    <t>PRESTRAÇÃO DE SERVIÇOS UFVs (ARCOS 7) NF 2274 RONDA PORTEIROS</t>
  </si>
  <si>
    <t>COMPRA DE MATERIAL UFVs (MUZAMBINHO) NF 6415 NOVA MORADA</t>
  </si>
  <si>
    <t>Pagamento referente ao adiantamento para continuidade dos serviços de execução do Office. ENVIADO POR RAFAEL</t>
  </si>
  <si>
    <t>[CCC06885]</t>
  </si>
  <si>
    <t>COMPRA DE MATERIAL UFVs (TRÊS CORAÇÕES 3) NF 6416 NOVA MORADA</t>
  </si>
  <si>
    <t>PRESTRAÇÃO DE SERVIÇOS UFVs (PASSOS) NF 003141</t>
  </si>
  <si>
    <t>Pagamento referente a prestação de serviço de Linha Viva em rede de distribuição obras de MT. ENVIADO POR GUILHERME</t>
  </si>
  <si>
    <t>[CCC06886]</t>
  </si>
  <si>
    <t>Cancelar Pedido Duplicado 
com PC:002322</t>
  </si>
  <si>
    <t>PRESTAÇÃO DE SERVIÇOS UVFs (CICLO 3) NOTA DE DEBITO N58 GP SERVIÇOS</t>
  </si>
  <si>
    <t>[CCC06887]</t>
  </si>
  <si>
    <t>004410</t>
  </si>
  <si>
    <t>PRESTAÇÃO DE SERVIÇO UFVs (PARACATU 4) NF 110  CESAR TRANSTAVARES</t>
  </si>
  <si>
    <t>Pagamento referente ao serviços de coleta e transporte. ENVIADO POR AUGUSTO</t>
  </si>
  <si>
    <t>[CCC06888]</t>
  </si>
  <si>
    <t>BOLETO
Solicito cadastro do fornecedor.(Verificar com Trevisan)</t>
  </si>
  <si>
    <t>CESAR TRANSTAVARES</t>
  </si>
  <si>
    <t>004377</t>
  </si>
  <si>
    <t>REGRHAN  PRESTAÇÃO DE SERVIÇOS  ESTRELA DO NORTE GERAÇÃO NF 3103</t>
  </si>
  <si>
    <t>[CCC06889]</t>
  </si>
  <si>
    <t>REGRHAN  PRESTAÇÃO DE SERVIÇOS  MORI GERAÇÃO II  NF 3104</t>
  </si>
  <si>
    <t>003746</t>
  </si>
  <si>
    <t>REGRHAN  PRESTAÇÃO DE SERVIÇOS  NEWCO IV NF 3105</t>
  </si>
  <si>
    <t>REGRHAN  PRESTAÇÃO DE SERVIÇOS  NEWCO V NF 3106</t>
  </si>
  <si>
    <t>003758</t>
  </si>
  <si>
    <t xml:space="preserve">PRESTAÇÃO DE SERVIÇO UFVs (SÃO SEBASTIAO 4) NF 1 </t>
  </si>
  <si>
    <t>Pagamento referente a prestação de serviço de roçagem. ENVIADO POR AUGUSTO</t>
  </si>
  <si>
    <t>[CCC06890]</t>
  </si>
  <si>
    <t>ADRIANA APARECIDA SILVA</t>
  </si>
  <si>
    <r>
      <t xml:space="preserve">PRESTAÇÃO DE SERVIÇO UFVs </t>
    </r>
    <r>
      <rPr>
        <sz val="12"/>
        <color rgb="FFFF0000"/>
        <rFont val="Arial"/>
      </rPr>
      <t>(Buritis 01) DAE1500572293494</t>
    </r>
  </si>
  <si>
    <t xml:space="preserve">Pagamento referente a prestação de serviço compensação pela supressão de ipê amarelo. ENVIADO POR Karina Barbosa de Aguiar </t>
  </si>
  <si>
    <t>[CCC06891]</t>
  </si>
  <si>
    <r>
      <t xml:space="preserve">PRESTAÇÃO DE SERVIÇO UFVs </t>
    </r>
    <r>
      <rPr>
        <sz val="12"/>
        <color rgb="FFFF0000"/>
        <rFont val="Arial"/>
      </rPr>
      <t>(Buritis 01) 
DAE0701340051912</t>
    </r>
  </si>
  <si>
    <t xml:space="preserve">Pagamento referente a prestação de•	compensação pela supressão de pequizeiros. ENVIADO POR Karina Barbosa de Aguiar </t>
  </si>
  <si>
    <r>
      <t xml:space="preserve">PRESTAÇÃO DE SERVIÇO UFVs </t>
    </r>
    <r>
      <rPr>
        <sz val="12"/>
        <color rgb="FFFF0000"/>
        <rFont val="Arial"/>
      </rPr>
      <t>(Buritis 01) 
DAE 1500572293311</t>
    </r>
  </si>
  <si>
    <t xml:space="preserve">Pagamento referente a prestação de •	Compensação pela supressão de demais espécies nativas. ENVIADO POR Karina Barbosa de Aguiar </t>
  </si>
  <si>
    <t>003747</t>
  </si>
  <si>
    <t>PRESTRAÇÃO DE SERVIÇOS UFVs (SÃO SEBASTIÃO DO OESTE IV) NF 2399 RONDA PORTEIROS</t>
  </si>
  <si>
    <t>[CCC06892]</t>
  </si>
  <si>
    <t>004395</t>
  </si>
  <si>
    <t>PRESTRAÇÃO DE SERVIÇOS UFVs (SÃO SEBASTIÃO DO OESTE 0) NF 2400 RONDA PORTEIROS</t>
  </si>
  <si>
    <t>[CCC06893]</t>
  </si>
  <si>
    <t>004396</t>
  </si>
  <si>
    <t>PRESTRAÇÃO DE SERVIÇOS UFVs (PARACATU 4 E 5) NF 2404 RONDA PORTEIROS</t>
  </si>
  <si>
    <t>[CCC06894]</t>
  </si>
  <si>
    <t>PRESTRAÇÃO DE SERVIÇOS UFVs (DIAMANTINA 1) NF 2292 RONDA PORTEIROS</t>
  </si>
  <si>
    <t>Pagamento referente ao serviço de vigia. ENVIADO POR MANOEL</t>
  </si>
  <si>
    <t>[CCC06895]</t>
  </si>
  <si>
    <t>PRESTRAÇÃO DE SERVIÇOS UFVs (DIAMANTINA 1) NF 2293  RONDA PORTEIROS</t>
  </si>
  <si>
    <t>PRESTRAÇÃO DE SERVIÇOS UFVs (DIAMANTINA 2) NF 2406  RONDA PORTEIROS</t>
  </si>
  <si>
    <t>[CCC06896]</t>
  </si>
  <si>
    <t>003751</t>
  </si>
  <si>
    <t>PRESTRAÇÃO DE SERVIÇOS UFVs (OURO FINO 2) NF 2159  RONDA PORTEIROS</t>
  </si>
  <si>
    <t xml:space="preserve">Pagamento referente ao serviço de vigia. ENVIADO POR RAFAEL </t>
  </si>
  <si>
    <t>[CCC06897]</t>
  </si>
  <si>
    <t>003752</t>
  </si>
  <si>
    <t>PRESTRAÇÃO DE SERVIÇOS UFVs (CAMPO BELO 1) NF 2122  RONDA PORTEIROS</t>
  </si>
  <si>
    <t>PRESTRAÇÃO DE SERVIÇOS UFVs (CAMPO BELO 2) NF 2393  RONDA PORTEIROS</t>
  </si>
  <si>
    <t>003753</t>
  </si>
  <si>
    <t>PRESTRAÇÃO DE SERVIÇOS UFVs (TRES CORAÇOES 3) NF 2214 RONDA PORTEIROS</t>
  </si>
  <si>
    <t>PRESTRAÇÃO DE SERVIÇOS UFVs (SANTO ANTONIO DO AMPARO 1) NF 2199 RONDA PORTEIROS</t>
  </si>
  <si>
    <t>COMPRA DE MATERIAIS UFVs (CAMPO BELO 2) NF 2752</t>
  </si>
  <si>
    <t>Pagamento refrente a COMPRA DE MATERIAIS, necessário à construção da UFV. ENVIADO POR ATI Sistemas de Monitoramento - Supervisório</t>
  </si>
  <si>
    <t>[CCC06898]</t>
  </si>
  <si>
    <t>003590</t>
  </si>
  <si>
    <t>PRESTRAÇÃO DE SERVIÇOS UFVs (PATOS DE MINAS 3) NF 698</t>
  </si>
  <si>
    <t xml:space="preserve"> Pagamento referente ao serviço de licenciamento ou cessão de direito de uso de programas de computação. ENVIADO POR ATI Sistemas de Monitoramento - Supervisório</t>
  </si>
  <si>
    <t>[CCC06899]</t>
  </si>
  <si>
    <t>003589</t>
  </si>
  <si>
    <t>PRESTRAÇÃO DE SERVIÇOS UFVs (PARACATU 8) NF 699</t>
  </si>
  <si>
    <t>003591</t>
  </si>
  <si>
    <t>PRESTRAÇÃO DE SERVIÇOS UFVs (PATOS DE MINAS 3) NF 700</t>
  </si>
  <si>
    <t>Pagamento referente ao serviço de suporte técnico em informática, inclusive instalação, configuração e manutenção de programas de
computação e banco de dados. ENVIADO POR ATI Sistemas de Monitoramento - Supervisório</t>
  </si>
  <si>
    <t>003592</t>
  </si>
  <si>
    <t>PRESTRAÇÃO DE SERVIÇOS UFVs (PARACATU 8) NF 701</t>
  </si>
  <si>
    <t>004412</t>
  </si>
  <si>
    <t>PRESTRAÇÃO DE SERVIÇOS UFVs (BURITIZEIRO 1) NF 702</t>
  </si>
  <si>
    <t>004413</t>
  </si>
  <si>
    <t>PRESTRAÇÃO DE SERVIÇOS UFVs (BURITIZEIRO 2) NF 703</t>
  </si>
  <si>
    <t>004414</t>
  </si>
  <si>
    <t>PRESTRAÇÃO DE SERVIÇOS UFVs (BURITIZEIRO 1) NF 704</t>
  </si>
  <si>
    <t>004415</t>
  </si>
  <si>
    <t>PRESTRAÇÃO DE SERVIÇOS UFVs (BURITIZEIRO 2) NF 705</t>
  </si>
  <si>
    <t>PRESTRAÇÃO DE SERVIÇOS UFVs (CAMPO BELO5) NF 706</t>
  </si>
  <si>
    <t>CANCELADA CNPJ ERRADO E SUBSTIUIDA PELAS NOTA 709</t>
  </si>
  <si>
    <t>PRESTRAÇÃO DE SERVIÇOS UFVs (CAMPO BELO5) NF 707</t>
  </si>
  <si>
    <t>CANCELADA CNPJ ERRADO E SUBSTIUIDA PELAS NOTA 710</t>
  </si>
  <si>
    <t>PRESTRAÇÃO DE SERVIÇOS UFVs (CAMPO BELO5) NF 709</t>
  </si>
  <si>
    <t>SUBSTIUI A  NOTA 706</t>
  </si>
  <si>
    <t>PRESTRAÇÃO DE SERVIÇOS UFVs (CAMPO BELO5) NF 710</t>
  </si>
  <si>
    <t>SUBSTIUI A  NOTA 707</t>
  </si>
  <si>
    <r>
      <t xml:space="preserve">PRESTAÇÃO DE SERVIÇO UFVs </t>
    </r>
    <r>
      <rPr>
        <sz val="12"/>
        <color rgb="FFFF0000"/>
        <rFont val="Arial"/>
      </rPr>
      <t>(Águas Lindas de Goiás I -GO) 
DUAM  926927</t>
    </r>
  </si>
  <si>
    <t>Pagamento referente a  taxa de Certidão de Uso do Solo para continuidade da análise e emissão da licença ambiental referente ao projeto de Águas Lindas de Goiás I -GO.s. ENVIADO POR MARCO AURELIO AMBIENTAL</t>
  </si>
  <si>
    <t>[CCC06900]</t>
  </si>
  <si>
    <t>DUAM - Documento Único de Arrecadação Municipal</t>
  </si>
  <si>
    <t>003593</t>
  </si>
  <si>
    <t>MEDIÇÃO (ELETROCAMP)</t>
  </si>
  <si>
    <t>PRESTRAÇÃO DE SERVIÇOS UFVs (DIAMANTINA) NF 14643</t>
  </si>
  <si>
    <t>Pagamento referente PARCELA 02 
CONSTRUCAO DE REDE ELETRICA CONFORME CLAUSULA PRIMEIRA DO CONTRATO 078/2023 DE 12/07/2023
ENVIADO E APROVADO GUILHERME KURSEL</t>
  </si>
  <si>
    <t>[CCC06901]</t>
  </si>
  <si>
    <t>CANCELADA</t>
  </si>
  <si>
    <t>003594</t>
  </si>
  <si>
    <t>PRESTRAÇÃO DE SERVIÇOS UFVs (DIAMANTINA) NF 14644</t>
  </si>
  <si>
    <t>CONSTRUCAO DE REDE ELETRICA CONFORME ADITIVO DO CONTRATO 078/2023 DE 12/07/2023ENVIADO E APROVADO GUILHERME KURSEL</t>
  </si>
  <si>
    <t>003595</t>
  </si>
  <si>
    <t>PRESTRAÇÃO DE SERVIÇOS UFVs (DIAMANTINA) NF 14645</t>
  </si>
  <si>
    <t>CONSTRUCAO DE REDE ELETRICA CONFORME ADIVITO DO CONTRATO 078/2023 DE 12/07/2023ENVIADO E APROVADO GUILHERME KURSEL</t>
  </si>
  <si>
    <t>003764</t>
  </si>
  <si>
    <t>MEDIÇÃO (BALDONI)</t>
  </si>
  <si>
    <t>PRESTRAÇÃO DE SERVIÇOS UFVs (Campo Belo 5) NF 278</t>
  </si>
  <si>
    <t>Serviços de OBRAS DE TERRAPLENAGEM - MOBILIZAÇÃO E DESMOBILIZAÇÃO DE
EQUIPAMENTOS</t>
  </si>
  <si>
    <t>[CCC06902]</t>
  </si>
  <si>
    <t>PRESTRAÇÃO DE SERVIÇOS UFVs (Campo Belo 5) FATURA DE LOCAÇÃO DE MÁQUINAS E EQUIPAMENTOS N°428</t>
  </si>
  <si>
    <t xml:space="preserve">Servicos de Terraplanagem FATURA DE LOCAÇÃO DE MÁQUINAS E EQUIPAMENTOSHORAS ESCAVADEIRA HIDRAULICA , ROLO COMPACTADOR , MOTONIVELADORA, E CAMINHOES </t>
  </si>
  <si>
    <t>PRESTRAÇÃO DE SERVIÇOS UFVs (Campo Belo 2) NF 277</t>
  </si>
  <si>
    <t>PRESTRAÇÃO DE SERVIÇOS UFVs (Campo Belo 2) FATURA DE LOCAÇÃO DE MÁQUINAS E EQUIPAMENTOS N°427</t>
  </si>
  <si>
    <t>PRESTRAÇÃO DE SERVIÇOS UFVs (Campo Belo 1) NF 276</t>
  </si>
  <si>
    <t>003767</t>
  </si>
  <si>
    <t>PRESTRAÇÃO DE SERVIÇOS UFVs (Campo Belo 1) FATURA DE LOCAÇÃO DE MÁQUINAS E EQUIPAMENTOS N°426</t>
  </si>
  <si>
    <t>PRESTRAÇÃO DE SERVIÇOS UFVs (Santo Antonio 1) NF 0275</t>
  </si>
  <si>
    <t>003769</t>
  </si>
  <si>
    <t>PRESTRAÇÃO DE SERVIÇOS UFVs (Santo Antonio 1) FATURA DE LOCAÇÃO DE MÁQUINAS E EQUIPAMENTOS N° 425</t>
  </si>
  <si>
    <t>Medição (LMENG)MORI MINAS NEWCO IV ENERGIA SOLAR S.A</t>
  </si>
  <si>
    <t>MEDIÇÃO MENSAL JUN/2024  UFVs  LMENG  NF NFSe_00013228</t>
  </si>
  <si>
    <t>Pagamento de medição referente ao serviço de mobilização, necessário à construção da usina. ENVIADO POR LMENG APROVADO MATHEUS VILELLA</t>
  </si>
  <si>
    <t>[CCC06903]</t>
  </si>
  <si>
    <t>Medição (LMENG)MORI GERAÇÃO II ENERGIA SOLAR S.A.</t>
  </si>
  <si>
    <t>MEDIÇÃO MENSAL JUN/2024  UFVs  LMENG  NF NFSe_00013225</t>
  </si>
  <si>
    <t>Pagamento de medição referente ao serviço de mobilização, necessário à construção da usina. ENVIADO POR LMENG  MATHEUS VILELLA</t>
  </si>
  <si>
    <t>004418</t>
  </si>
  <si>
    <t>Medição (LMENG)STRELA DO NORTE GERAÇÃO DE ENERGIA SPE S.A</t>
  </si>
  <si>
    <t>MEDIÇÃO MENSAL JUN/2024  UFVs  LMENG  NF NFSe_00013226</t>
  </si>
  <si>
    <t>Medição (LMENG)MORI MINAS NEWCO V ENERGIA SOLAR S.A.</t>
  </si>
  <si>
    <t>MEDIÇÃO MENSAL JUN/2024  UFVs  LMENG  NF NFSe_00013227</t>
  </si>
  <si>
    <t>MEDIÇÃO (SRJ PROTECAO ELETRICA)</t>
  </si>
  <si>
    <t>MEDIÇÃO SERVIÇOS  UFVs  CAMPO BELO 2  NF Nº:2024/13</t>
  </si>
  <si>
    <t>Pagamento de medição referente ao serviço de parametrização e testes nas 3 proteções Siemens, testes de comissionamento da proteção e controle nos 3 eletrocentros.
Medição de sequência de fase, módulo e ângulo na energização da UFV</t>
  </si>
  <si>
    <t>[CCC06904]</t>
  </si>
  <si>
    <t>PRESTAÇÃO DE SERVIÇO UFVs (Carmo de Paranaíba) Ciclo 3 
NF 000005336</t>
  </si>
  <si>
    <t>Pagamento de medição referente ao serviço de alteração e  MEDIÇÃO UNICA - REDE CARMO DO PARANAIBA</t>
  </si>
  <si>
    <t>[CCC06905]</t>
  </si>
  <si>
    <t>BARRA PROJETOS E CONSTRUCOES LTDA</t>
  </si>
  <si>
    <t xml:space="preserve">PRESTAÇÃO DE SERVIÇO UFVs (MUZAMBINHO 1)  CORTE REAL NF 024
</t>
  </si>
  <si>
    <t>Pagamento de medição referente ao serviço de  linha viva em Muzambinho prestado pela Corte Real. Enviado pelo Guilherme Kursel</t>
  </si>
  <si>
    <t>[CCC06906]</t>
  </si>
  <si>
    <t>Boleto +  NF</t>
  </si>
  <si>
    <t>CORTE REAL SOLUCOES ELETRICAS LTDA</t>
  </si>
  <si>
    <t>03784</t>
  </si>
  <si>
    <t xml:space="preserve">PRESTAÇÃO DE SERVIÇO UFVs (MUZXAMBINHO)  NF 025
</t>
  </si>
  <si>
    <t>Pagamento de medição referente ao serviço de  linha viva em Muzambinho prestado pela Corte Real.. Enviado pelo Guilherme Kursel</t>
  </si>
  <si>
    <t>PRESTAÇÃO DE SERVIÇO UFVs (BOM JARDIM) NF 205 PRESERVE ENGENHARIA</t>
  </si>
  <si>
    <t>Pagamento referente a medição  de supressão vegetal  necessário a construção da UFVs. ENVIADO POR MARCIO</t>
  </si>
  <si>
    <t>[CCC06907]</t>
  </si>
  <si>
    <t xml:space="preserve">PRESERVE ENGENHARIA
</t>
  </si>
  <si>
    <t xml:space="preserve">PRESTAÇÃO DE SERVIÇO UFVs (SERTÂNIA) NF 186 PRESERVE ENGENHARIA
</t>
  </si>
  <si>
    <t xml:space="preserve">PRESTAÇÃO DE SERVIÇO UFVs (BREJÃO) NF 207 PRESERVE ENGENHARIA
</t>
  </si>
  <si>
    <t>004420</t>
  </si>
  <si>
    <t>PRESTAÇÃO DE SERVIÇOS UFVs CICLO 3 - (JABOTICATUBAS) JX AMBIENTAL NF 491</t>
  </si>
  <si>
    <t>Pagamento referente ao serviço de Estudo de fauna com dados secundários referente ao processo do acesso a UFV. ENVIADO POR TIAGO</t>
  </si>
  <si>
    <t>[CCC06908]</t>
  </si>
  <si>
    <t>BOLETO</t>
  </si>
  <si>
    <t>004421</t>
  </si>
  <si>
    <t>PRESTAÇÃO DE SERVIÇOS UFVs CICLO 3 - (JABOTICATUBAS) JX AMBIENTAL NF 1191</t>
  </si>
  <si>
    <t>Pagamento referente ao serviço decontratação de serviço de emissão de AIA para acesso a UFV. ENVIADO POR TIAGO</t>
  </si>
  <si>
    <t>003775</t>
  </si>
  <si>
    <t>PRESTAÇÃO DE SERVIÇOS UFVs ( TRES  CORAÇÕES 3) ASE ENGENHARIA NF 178</t>
  </si>
  <si>
    <t xml:space="preserve">Pagamento de serviço de instalação e montagem , inversores e Estruturas  necessário à construção da UFV. ENVIADO POR RAFAEL </t>
  </si>
  <si>
    <t>[CCC06909]</t>
  </si>
  <si>
    <t>004422</t>
  </si>
  <si>
    <t>PRESTAÇÃO DE SERVIÇOS UFVs (PARACATU 4) ENERSOLAR NF 432</t>
  </si>
  <si>
    <t xml:space="preserve">Serviço contratado de desenvolvimento de projetos executivos destinados à construção de instalações internas da UFV. ENVIADO POR AUGUSTO </t>
  </si>
  <si>
    <t>[CCC06910]</t>
  </si>
  <si>
    <t>004424</t>
  </si>
  <si>
    <t>PRESTAÇÃO DE SERVIÇOS UFVs (PARACATU 5) ENERSOLAR NF 433</t>
  </si>
  <si>
    <t>PRESTAÇÃO DE SERVIÇO UFVs (DIAMANTINA) ELETROCAMP NF 14720</t>
  </si>
  <si>
    <t>Pagamento referente a serviços de construções de rede eletrica, necessário à construção da UFVs.</t>
  </si>
  <si>
    <t>[CCC06911]</t>
  </si>
  <si>
    <t>003597</t>
  </si>
  <si>
    <t>PRESTAÇÃO DE SERVIÇO UFVs (DIAMANTINA 2) ELETROCAMP NF 14743</t>
  </si>
  <si>
    <t>003598</t>
  </si>
  <si>
    <t>PRESTAÇÃO DE SERVIÇO UFVs (DIAMANTINA 1) ELETROCAMP NF 14754</t>
  </si>
  <si>
    <t>[CCC06912]</t>
  </si>
  <si>
    <t>003599</t>
  </si>
  <si>
    <t>PRESTRAÇÃO DE SERVIÇOS UFVs (DIAMANTINA) NF 14755</t>
  </si>
  <si>
    <t>PRESTRAÇÃO DE SERVIÇOS UFVs (DIAMANTINA) NF 14756</t>
  </si>
  <si>
    <t>004425</t>
  </si>
  <si>
    <t>COMPRA DE MATERIAIS UFVS (PEDRA DO INDAIÁ 5) NF  6430</t>
  </si>
  <si>
    <t>[CCC06913]</t>
  </si>
  <si>
    <r>
      <t xml:space="preserve">PRESTAÇÃO DE SERVIÇO UFVs </t>
    </r>
    <r>
      <rPr>
        <sz val="12"/>
        <color rgb="FFFF0000"/>
        <rFont val="Arial"/>
      </rPr>
      <t>(Buriti Alegre -GO) 
DUAM  16992532</t>
    </r>
  </si>
  <si>
    <t>Pagamento referente a  taxa de Certidão de Uso do Solo para continuidade da análise e emissão da licença ambiental referente ao projeto de Buriti Alegre de Goiás -GO.s. ENVIADO POR MARCO AURELIO AMBIENTAL</t>
  </si>
  <si>
    <t>[CCC06914]</t>
  </si>
  <si>
    <t xml:space="preserve">CICLO 3
</t>
  </si>
  <si>
    <t>COMPRA DE MATERIAIS UFVS (Muzambinho 1) NF  6428</t>
  </si>
  <si>
    <t>Pagamento referente a compra de materiais para organização dos sobressalentes e limpeza do site. ENVIADO POR RAFAEL</t>
  </si>
  <si>
    <t>[CCC06915]</t>
  </si>
  <si>
    <t>COMPRA DE MATERIAIS UFVS (Tres corações) NF  6429</t>
  </si>
  <si>
    <t>[CCC06916]</t>
  </si>
  <si>
    <t>003788</t>
  </si>
  <si>
    <t xml:space="preserve">PRESTAÇÃO DE SERVIÇO UFVs (Paraguaçu 1) ANDRE LUIZ NF 33 </t>
  </si>
  <si>
    <t>Pagamento referente ao serviço de montagem de ar condicionados. ENVIADO POR RAFAEL</t>
  </si>
  <si>
    <t>[CCC06917]</t>
  </si>
  <si>
    <t>ANDRE LUIZ</t>
  </si>
  <si>
    <t>PRESTAÇÃO DE SERVIÇO UFVs (Campo Belo 2) ANDRE LUIZ NF 34</t>
  </si>
  <si>
    <t>003789</t>
  </si>
  <si>
    <t>PRESTAÇÃO DE SERVIÇO UFVs (Campo Belo 5) ANDRE LUIZ NF 35</t>
  </si>
  <si>
    <t>004428</t>
  </si>
  <si>
    <t>PRESTAÇÃO DE SERVIÇO UFVs (PARACATU 5) ARCANJO VIGILANCIA NF 96</t>
  </si>
  <si>
    <t>Pagamento em faturamento direto referente ao serviço de vigilância e segugança, necessário a construção da usinas.Enviado Marcio Eli Proteção para as Obras rede de MT</t>
  </si>
  <si>
    <t>[CCC06918]</t>
  </si>
  <si>
    <t xml:space="preserve">ARCANJO </t>
  </si>
  <si>
    <t>004429</t>
  </si>
  <si>
    <t>PRESTAÇÃO DE SERVIÇO UFVs (PARACATU 4)  ARCANJO VIGILANCIA NF 98</t>
  </si>
  <si>
    <t>004430</t>
  </si>
  <si>
    <t>PRESTAÇÃO DE SERVIÇO UFVs (PARACATU 5)  GTEL NF 30363</t>
  </si>
  <si>
    <t>Pagamento referente a compra e pretação de serviço para serviços de instalação eletromecanicas e civil da ufv. ENVIADO POR  AUGUSTO</t>
  </si>
  <si>
    <t>[CCC06919]</t>
  </si>
  <si>
    <t>004431</t>
  </si>
  <si>
    <t>PRESTAÇÃO DE SERVIÇO UFVs (PARACATU 4)  GTEL NF 30362</t>
  </si>
  <si>
    <t>PRESTAÇÃO DE SERVIÇO UFVs (ALFENAS 4)  MIPE NF 00386</t>
  </si>
  <si>
    <t>Pagamento referente a prestação de serviço de construção de sistema de drenagem da UFV. ENVIADO POR RAFAEL</t>
  </si>
  <si>
    <t>[CCC06920]</t>
  </si>
  <si>
    <t>003602</t>
  </si>
  <si>
    <t xml:space="preserve">COMPRA DE MATERIAIS UFvs (DIAMANTINA 2) NF 2762  ATI </t>
  </si>
  <si>
    <t>Pagamento  referente  a  compra de materiais, necessários a construção da USINA. ENVIADO POR ATI</t>
  </si>
  <si>
    <t>[CCC06921]</t>
  </si>
  <si>
    <t>003605</t>
  </si>
  <si>
    <t xml:space="preserve">COMPRA DE MATERIAIS UFvs (PATOS DE MINAS 1) NF 2763  ATI </t>
  </si>
  <si>
    <t xml:space="preserve">COMPRA DE MATERIAIS UFvs (CAMPO BELO 2) NF 2765  ATI </t>
  </si>
  <si>
    <t>003603</t>
  </si>
  <si>
    <t>PRESTAÇÃO DE SERVIÇO UFVs (DIAMANTINA 2)  NF 714</t>
  </si>
  <si>
    <t>Pagamento referente ao serviço de licença, necessário à construção da usina. ENVIADO POR ATI</t>
  </si>
  <si>
    <t>[CCC06922]</t>
  </si>
  <si>
    <t>PRESTAÇÃO DE SERVIÇO UFVs (CAMPO BELO 2)  NF 715</t>
  </si>
  <si>
    <t>004438</t>
  </si>
  <si>
    <t>COMPRA DE MATERIAIS UFvs (Pedra do Indaiá 5) CONSTROESTE NF 1885</t>
  </si>
  <si>
    <t>Pagamento  referente  a  compra de materiais, necessários a finalização do office. ENVIADO POR AUGUSTO</t>
  </si>
  <si>
    <t>[CCC06923]</t>
  </si>
  <si>
    <t>CONSTROESTE</t>
  </si>
  <si>
    <t>004436</t>
  </si>
  <si>
    <t>PRESTAÇÃO DE SERVIÇO UFVs (PEDRA DO INDIÁ 5) PJ SERVIÇOS NF 65</t>
  </si>
  <si>
    <t>Pagamento referente á prestação de serviço para correção de infra-estrutura de internet. ENVIADO POR AUGUSTO</t>
  </si>
  <si>
    <t>[CCC06924]</t>
  </si>
  <si>
    <t>004437</t>
  </si>
  <si>
    <t>PRESTAÇÃO DE SERVIÇO UFVs (PEDRA DO INDIÁ 3) PJ SERVIÇOS NF 64</t>
  </si>
  <si>
    <t>Pagamento referente à prestação de serviço para correção de infra-estrutura de internet. ENVIADO POR AUGUSTO</t>
  </si>
  <si>
    <t>[CCC06925]</t>
  </si>
  <si>
    <t>004432</t>
  </si>
  <si>
    <t>PRESTAÇÃO DE SERVIÇO UFVs (PEDRA DO INDIÁ 5) PJ SERVIÇOS NF 202400000000063</t>
  </si>
  <si>
    <t>Pagamento referente à prestação de serviço para correção de infra-estrutura de internet.Acertos de valas e materiais para entrega da Usina. ENVIADO POR AUGUSTO</t>
  </si>
  <si>
    <t>[CCC06926]</t>
  </si>
  <si>
    <t>PEDIDO ELIMINADO CNPJ ERRADO</t>
  </si>
  <si>
    <t xml:space="preserve">PJ SERVIÇOS </t>
  </si>
  <si>
    <t>PRESTAÇÃO DE SERVIÇO UFVs (São Sebastião do Oeste 4) PJ SERVIÇOS NF 70</t>
  </si>
  <si>
    <t>Pagamento referente ao fornecimento de água potável UFVs. ENVIADO POR AUGUSTO</t>
  </si>
  <si>
    <t>[CCC06927]</t>
  </si>
  <si>
    <t>004433</t>
  </si>
  <si>
    <t>PRESTAÇÃO DE SERVIÇO UFVs (Pedra do Indaiá 5) PJ SERVIÇOS  NF 67</t>
  </si>
  <si>
    <t>[CCC06928]</t>
  </si>
  <si>
    <t>A306 - MORI MINAS NEWCO V - UFV FORMIGA 6</t>
  </si>
  <si>
    <t>002364</t>
  </si>
  <si>
    <t>PRESTAÇÃO DE SERVIÇO UFVs (FORMIGA 6)  PJ SERVIÇOS NF 66</t>
  </si>
  <si>
    <t>[CCC06929]</t>
  </si>
  <si>
    <t>003785</t>
  </si>
  <si>
    <t>PRESTAÇÃO DE SERVIÇO UFVs (São Sebastião do Oeste 1) LEAFAR NF 02</t>
  </si>
  <si>
    <t>Pagamento referende ao serviço de correção e manilhamento da entrada da usina. ENVIADO POR AUGUSTO</t>
  </si>
  <si>
    <t>[CCC06930]</t>
  </si>
  <si>
    <t>LEAFAR</t>
  </si>
  <si>
    <t>SERVIÇOS PRESTADOS DE CONSULTORIA EM CONTRATOS -  DELOITTE NF 321</t>
  </si>
  <si>
    <t>Pagamento referente a medição mão de obra contrato DELOITTE ,  necessário à construção da UFV em contrato EPC. APROVADO POR MARCIO</t>
  </si>
  <si>
    <t>[CCC06931]</t>
  </si>
  <si>
    <t>004434</t>
  </si>
  <si>
    <t>SERVIÇOS PRESTADOS DE CONSULTORIA EM CONTRATOS -  DELOITTE NF 322</t>
  </si>
  <si>
    <t>003604</t>
  </si>
  <si>
    <t>SERVIÇOS PRESTADOS DE CONSULTORIA EM CONTRATOS -  DELOITTE NF 323</t>
  </si>
  <si>
    <t>003786</t>
  </si>
  <si>
    <t>SERVIÇOS PRESTADOS DE CONSULTORIA EM CONTRATOS -  DELOITTE NF 324</t>
  </si>
  <si>
    <t>PRESTAÇÃO DE SERVIÇO UFVs (ITAPETINGA/BA) Boleto Cód Contrib
050965</t>
  </si>
  <si>
    <t>Pagamento referente a  taxa de pagamento para revisão de condicionantes de licenciamento ambiental da UFV Itororó, licenciada pela prefeitura de Itapetinga.</t>
  </si>
  <si>
    <t>[CCC06932]</t>
  </si>
  <si>
    <t>PREFEITURA MUNICIPAL DE ITAPETINGA</t>
  </si>
  <si>
    <t>PRESTAÇÃO DE SERVIÇO UFVs 
UFV Jequié 857</t>
  </si>
  <si>
    <t>Pagamento referente a  taxa de  troca de Titularidade  das Usinas</t>
  </si>
  <si>
    <t>[CCC06933]</t>
  </si>
  <si>
    <t>MUNICIPIO DE JEQUIE</t>
  </si>
  <si>
    <t>PRESTAÇÃO DE SERVIÇO UFVs (Filadélfia-BA) GOVERDE / JORDANIA DE CASSIA  NF 82</t>
  </si>
  <si>
    <t xml:space="preserve">Pagamento da 2ª parcela de 40% da formação do processo de ASV de Filadélfia-BA para implantação da UFV. </t>
  </si>
  <si>
    <t>[CCC06934]</t>
  </si>
  <si>
    <t>GOVERDE 82</t>
  </si>
  <si>
    <t>004435</t>
  </si>
  <si>
    <t>PRESTAÇÃO DE SERVIÇO UFVs (PEDRA DO INDIÁ 1) PJ SERVIÇOS NF 202400000000063</t>
  </si>
  <si>
    <t>PAGAMENTO DE TAXA UVFs (POSTO DA MATA 1) N 1836622</t>
  </si>
  <si>
    <t>Pagamento de taxas referentes a solicitação de troca de titularidade das licenças. ENVIADO POR LETICIA</t>
  </si>
  <si>
    <t>[CCC06935]</t>
  </si>
  <si>
    <t>PAGAMENTO DE TAXA UVFs (POSTO DA MATA 2) N 1836623</t>
  </si>
  <si>
    <t>004449</t>
  </si>
  <si>
    <t>PRESTAÇÃO DE SERVIÇOS UFVs (BURITIZEIRO 1) NORTE CONEXÃO NF 2316</t>
  </si>
  <si>
    <t>Pagamento referente ao lançamento de fibra optica. ENVIADO POR ALEXANDRE ADRIANO</t>
  </si>
  <si>
    <t>[CCC06936]</t>
  </si>
  <si>
    <t>004450</t>
  </si>
  <si>
    <t>PRESTAÇÃO DE SERVIÇOS UFVs (BURITIZEIRO 2) NORTE CONEXÃO NF 2317</t>
  </si>
  <si>
    <t>004448</t>
  </si>
  <si>
    <t>PRESTAÇÃO DE SERVIÇOS UFVs (JABOTICATUBAS) NORTE CONEXÃO NF 2315</t>
  </si>
  <si>
    <t>PRESTAÇÃO DE SERVIÇOS UFVs (PATOS DE MINAS 1) NORTE CONEXÃO NF 2314</t>
  </si>
  <si>
    <t>Pagamento referente ao lançamento de fibra optica. ENVIADO POR GILSON</t>
  </si>
  <si>
    <t>[CCC06937]</t>
  </si>
  <si>
    <t>003790</t>
  </si>
  <si>
    <t>PRESTRAÇÃO DE SERVIÇOS UFVs (TRES CORAÇOES) NF 0280</t>
  </si>
  <si>
    <t>Serviços de OBRAS DE TERRAPLENAGEM e acerto da Drenagem - MOBILIZAÇÃO E DESMOBILIZAÇÃO DE
EQUIPAMENTOS</t>
  </si>
  <si>
    <t>[CCC06938]</t>
  </si>
  <si>
    <t>003791</t>
  </si>
  <si>
    <t>PRESTRAÇÃO DE SERVIÇOS UFVs (TRES CORAÇOES) FATURA DE LOCAÇÃO DE MÁQUINAS E EQUIPAMENTOS N° 429</t>
  </si>
  <si>
    <t>MRO - Terraplanagem UFVs (PONTE NOVA ) EVENTO 4   NF 399</t>
  </si>
  <si>
    <t>Pagamento de serviço de terraplanagem   referente a 35 % do contrato , serviços  necessários à construção da UFV.</t>
  </si>
  <si>
    <t>[CCC03895]</t>
  </si>
  <si>
    <t>Romanei Resgate</t>
  </si>
  <si>
    <t>COMPRA DE MATERIAIS UFVS (NEWCO V) ROMAGNOLE NF  230824</t>
  </si>
  <si>
    <t>[CCC06939]</t>
  </si>
  <si>
    <t>** NOTAS NÃO GERAM FINANCEIRO</t>
  </si>
  <si>
    <t>003795</t>
  </si>
  <si>
    <t>COMPRA DE MATERIAIS UFVS (NEWCO IV) ROMAGNOLE NF  00230827</t>
  </si>
  <si>
    <t>[CCC06940]</t>
  </si>
  <si>
    <t>003612</t>
  </si>
  <si>
    <t>COMPRA DE MATERIAIS UFVS (MORI II) ROMAGNOLE NF  00230825</t>
  </si>
  <si>
    <t>[CCC06941]</t>
  </si>
  <si>
    <t>003611</t>
  </si>
  <si>
    <t>COMPRA DE MATERIAIS UFVS (MORI II) ROMAGNOLE NF 00230826</t>
  </si>
  <si>
    <t>DAE - Dispença de Licenciamento ambiental UFV  (ALFENAS 4) N 0924024309688</t>
  </si>
  <si>
    <t>[CCC06942]</t>
  </si>
  <si>
    <t>PRESTAÇÃO DE SERVIÇOS UVFs (CICLO 3) NOTA DE DEBITO N59 GP SERVIÇOS</t>
  </si>
  <si>
    <t xml:space="preserve">NOTA DE DEBITO, REBIDO, REEMBOLSO DE DESPESAS. MES JULHO. ENVIADO POR IGOR FUNDIARIO </t>
  </si>
  <si>
    <t>[CCC06943]</t>
  </si>
  <si>
    <t>PAGAMENTO DE TAXA UFVs (CAMPO BELO 2) N 1300572337495</t>
  </si>
  <si>
    <t>Pagamento de taxa, notificação ambiental - INFRAÇÃO. ENVIADO POR MARCIO ELI</t>
  </si>
  <si>
    <t>[CCC06944]</t>
  </si>
  <si>
    <t>PAGAMENTO DE TAXA UFVs (LAGOA 3 e 4) N 1601341236621</t>
  </si>
  <si>
    <t>Pagamento taxa refernete ao processo de realocação da reserva legal. ENVIADO POR KARINA (DAE REGISTRADA EM CPF)</t>
  </si>
  <si>
    <t>[CCC06945]</t>
  </si>
  <si>
    <t>003796</t>
  </si>
  <si>
    <t>PRESTRAÇÃO DE SERVIÇOS UFVs (TRES CORAÇOES 3) NF 280</t>
  </si>
  <si>
    <t>Pagamento medição ADITIVO, referente ao serviço de limpeza bacias de contenção de sólidos. ENVIADO POR RAFAEL.</t>
  </si>
  <si>
    <t>[CCC06946]</t>
  </si>
  <si>
    <t>DUPLO ELIMINADO</t>
  </si>
  <si>
    <t>003797</t>
  </si>
  <si>
    <t>PRESTRAÇÃO DE SERVIÇOS UFVs (TRES CORAÇOES 3) NF 429</t>
  </si>
  <si>
    <t>PAGAMENTO DE TAXA UFVs (LAGOA 3 e 4) N 1401341244806</t>
  </si>
  <si>
    <t>Pagamento taxa referente ao processo de realocação da reserva legal. ENVIADO POR LETICIA.</t>
  </si>
  <si>
    <t>[CCC06947]</t>
  </si>
  <si>
    <t>003798</t>
  </si>
  <si>
    <t>PRESTRAÇÃO DE SERVIÇOS UFVs (CAMPO BELO 5) NF 278</t>
  </si>
  <si>
    <t>[CCC06948]</t>
  </si>
  <si>
    <t>003799</t>
  </si>
  <si>
    <t>PRESTRAÇÃO DE SERVIÇOS UFVs (CAMPO BELO 5) NF 428</t>
  </si>
  <si>
    <t>PRESTAÇÃO DE SERVIÇOS UVFs (ELOI MENDES 2 - POUSO ALEGRE 1) NOTA DE DEBITO 9 AGROCONSULTING</t>
  </si>
  <si>
    <t>[CCC06949]</t>
  </si>
  <si>
    <t>003803</t>
  </si>
  <si>
    <t>MEDIÇÃO ( ASE)</t>
  </si>
  <si>
    <t>PRESTAÇÃO DE SERVIÇOS UFVs (TRÊS CORAÇÕES 3) NF 183</t>
  </si>
  <si>
    <t xml:space="preserve">Pagamento referente a medição 3, prestação de serviços  concreto e munck. ENVIADO POR RAFAEL </t>
  </si>
  <si>
    <t>[CCC06950]</t>
  </si>
  <si>
    <t xml:space="preserve">PRESTAÇÃO DE SERVIÇOS UFVs (TRÊS CORAÇÕES 3) NF 184 </t>
  </si>
  <si>
    <t>PRESTAÇÃO DE SERVIÇOS UFVs (OURO FINO 2) NF 185</t>
  </si>
  <si>
    <t xml:space="preserve">Pagamento referente a medição 3, prestação de serviços . ENVIADO POR RAFAEL </t>
  </si>
  <si>
    <t>[CCC06951]</t>
  </si>
  <si>
    <t>PRESTAÇÃO DE SERVIÇOS UFVs (OURO FINO 2) NF 186</t>
  </si>
  <si>
    <t>003810</t>
  </si>
  <si>
    <t>PRESTRAÇÃO DE SERVIÇOS UFVs (VARGINHA 1 e VARGINHA 2) N 405</t>
  </si>
  <si>
    <t>Pagamento medição , referente ao serviço de limpeza bacias de contenção de sólidos. ENVIADO POR RAFAEL.</t>
  </si>
  <si>
    <t>[CCC06952]</t>
  </si>
  <si>
    <t>Nota de serviçoes enviada para as duas Usinas Varginha 1 e  Varginha 2. Total enviado da Nota</t>
  </si>
  <si>
    <t>PRESTRAÇÃO DE SERVIÇOS UFVs (VARGINHA 2) N 405</t>
  </si>
  <si>
    <t>PRESTRAÇÃO DE SERVIÇOS UFVs (VARGINHA 1 ) NF 244</t>
  </si>
  <si>
    <t>PRESTRAÇÃO DE SERVIÇOS UFVs (VARGINHA 1 e VARGINHA 2) NF 244</t>
  </si>
  <si>
    <t>003613</t>
  </si>
  <si>
    <t>PRESTAÇÃO DE SERVIÇOS UFVs (DIAMANTINA 1) NF 659</t>
  </si>
  <si>
    <t>PAGAMENTO DE MEDIÇÃO REFERENTE AOS SERVIÇOS PRESTADOS DE MÃO DE OBRA ESPECIALIZADA NA CONSTRUÇÃO DE RDR. ENVIADO POR ENGELUZ</t>
  </si>
  <si>
    <t>[CCC06953]</t>
  </si>
  <si>
    <t>003615</t>
  </si>
  <si>
    <t>FAT.DIRETO (ATI)</t>
  </si>
  <si>
    <t>PRESTAÇÃO DE SERVIÇOS UFVs (DIAMANTINA 1) NF 2414 NORTE CONEXÃO</t>
  </si>
  <si>
    <t xml:space="preserve"> Pagamento referente ao serviço de lançamento de fribra optica, contrato implantação. ENVIADO POR MARCELO ATI Sistemas de Monitoramento - Supervisório</t>
  </si>
  <si>
    <t>[CCC06954]</t>
  </si>
  <si>
    <t>003616</t>
  </si>
  <si>
    <t>PRESTAÇÃO DE SERVIÇOS UFVs (DIAMANTINA 2) NF 2415 NORTE CONEXÃO</t>
  </si>
  <si>
    <t>PRESTAÇÃO DE SERVIÇOS UFVs (CARMO DO PARANAIBA) NF 5356 BARRA PROJETOS</t>
  </si>
  <si>
    <t>Pagamento unico referente ao documentação da troca de empreiteira.OBRAS MT.  ENVIADO ROMANEI SILVA</t>
  </si>
  <si>
    <t>[CCC06955]</t>
  </si>
  <si>
    <t>003617</t>
  </si>
  <si>
    <t xml:space="preserve">CONSTRUMANAGER - UFVs (MORI II)  07/2024     NF 325340  </t>
  </si>
  <si>
    <t>[CCC06956]</t>
  </si>
  <si>
    <t>PRESTAÇÃO DE SERVIÇOS UFVs (BRASILANDIA 4) NF 655</t>
  </si>
  <si>
    <t>PAGAMENTO MEDIÇÃO 1, REFERENTE AOS SERVIÇOS PRESTADOS DE MÃO DE OBRA ESPECIALIZADA NA CONSTRUÇÃO DE RDR. ENVIADO POR ENGELUZ -</t>
  </si>
  <si>
    <t>[CCC06957]</t>
  </si>
  <si>
    <t>PRESTAÇÃO DE SERVIÇOS UFVs (BRASILANDIA 3) NF 656</t>
  </si>
  <si>
    <t>[CCC06958]</t>
  </si>
  <si>
    <t>PRESTAÇÃO DE SERVIÇOS UFVs (DIAMANTINA 2) NF 657</t>
  </si>
  <si>
    <t>PAGAMENTO MEDIÇÃO, REFERENTE AOS SERVIÇOS PRESTADOS DE MÃO DE OBRA ESPECIALIZADA NA CONSTRUÇÃO DE RDR. ENVIADO POR ENGELUZ -</t>
  </si>
  <si>
    <t>[CCC06959]</t>
  </si>
  <si>
    <t>PRESTAÇÃO DE SERVIÇOS UFVs (DIAMANTINA 1) NF 2420</t>
  </si>
  <si>
    <t>Pagamento referente a prestação de serviços com vigias diurnos e noturnos . ESCOPO COMERC- ENVIADO POR MANOEL</t>
  </si>
  <si>
    <t>[CCC06960]</t>
  </si>
  <si>
    <t>PRESTAÇÃO DE SERVIÇOS UFVs (DIAMANTINA 2) NF2422</t>
  </si>
  <si>
    <t>003621</t>
  </si>
  <si>
    <t>PRESTAÇÃO DE SERVIÇOS UFVs (DIAMANTINA 1) NF 2421</t>
  </si>
  <si>
    <t>3631 A211</t>
  </si>
  <si>
    <t>003825</t>
  </si>
  <si>
    <t>COMPRA DE MATERIAIS UFVs (TRÊS CORAÇÕES 3) SANTA EDWIGES  NF 11431</t>
  </si>
  <si>
    <t>Pagamento  referente  a  compra de materiais, necessários a finalização do office. ENVIADO POR RAFAEL</t>
  </si>
  <si>
    <t>[CCC06961]</t>
  </si>
  <si>
    <t>PRESTAÇÃO DE SERVIÇOS UFVs (MOR II) N 749110364  UPDATE</t>
  </si>
  <si>
    <t>Pagamento referente a aplicativo do diario de obra, 08/2024. ENVIADO POR MATHEUS VILELA</t>
  </si>
  <si>
    <t>[CCC06962]</t>
  </si>
  <si>
    <t>004464</t>
  </si>
  <si>
    <t>PRESTAÇÃO DE SERVIÇO UFVs (JABOTICATUBAS) NF 816</t>
  </si>
  <si>
    <t xml:space="preserve"> Pagamento de medição referente ao serviço de licenciamento ou cessão de direito de uso de programas de computação. ENVIADO POR ATI Sistemas de Monitoramento - Supervisório</t>
  </si>
  <si>
    <t>[CCC06963]</t>
  </si>
  <si>
    <t>004465</t>
  </si>
  <si>
    <t>PRESTAÇÃO DE SERVIÇO UFVs (JABOTICATUBAS) NF 817</t>
  </si>
  <si>
    <t>Pagamento referente a prestação de serviço de suporte tecnico em informatica, necessário à construção da UFV. ENVIADO POR ATI</t>
  </si>
  <si>
    <t>003624</t>
  </si>
  <si>
    <t>PRESTAÇÃO DE SERVIÇO UFVs (VARJÃO 4) NF 818</t>
  </si>
  <si>
    <t xml:space="preserve"> Pagamento de medição referente ao serviço de licenciamento ou cessão de direito de uso de programas de computação. ENVIADO POR ATI</t>
  </si>
  <si>
    <t>003625</t>
  </si>
  <si>
    <t>PRESTAÇÃO DE SERVIÇO UFVs (VARJÃO 4) NF 819</t>
  </si>
  <si>
    <t>PRESTAÇÃO DE SERVIÇO UFVs (CAMPO BELO 2) NF 820</t>
  </si>
  <si>
    <t>PRESTAÇÃO DE SERVIÇO UFVs (CAMPO BELO 2) NF 821</t>
  </si>
  <si>
    <t>003826</t>
  </si>
  <si>
    <t>PRESTAÇÃO DE SERVIÇOS UFVs( TRES CORAÇÕES 3) N 11546 CASA DAS FERRAMENTAS</t>
  </si>
  <si>
    <t xml:space="preserve">Pagamento referente a locação de andaimes e escoras. ESCOPO GLD QUE FOI ASSUMIDO POR COMERC- ENVIADO POR RAFAEL </t>
  </si>
  <si>
    <t>[CCC06964]</t>
  </si>
  <si>
    <t>003827</t>
  </si>
  <si>
    <t>PRESTAÇÃO DE SERVIÇOS UFVs( TRES CORAÇÕES 3) N 11540 CASA DAS FERRAMENTAS</t>
  </si>
  <si>
    <t>003828</t>
  </si>
  <si>
    <t>PRESTAÇÃO DE SERVIÇOS UFVs( TRES CORAÇÕES 3) N 11545 CASA DAS FERRAMENTAS</t>
  </si>
  <si>
    <t>COMPRA DE MATERIAIS UFVS (NEWCO V) ROMAGNOLE NF 0231315</t>
  </si>
  <si>
    <t>[CCC06965]</t>
  </si>
  <si>
    <t>**NOTAS DE REMESSA NÃO GERAR FINANCEIRO**</t>
  </si>
  <si>
    <t>003829</t>
  </si>
  <si>
    <t>COMPRA DE MATERIAIS UFVS (TRES CORAÇÕES 3) NOVA MORADA NF 6445</t>
  </si>
  <si>
    <t>Pagaento referente a compra de materiais para à finalização do serviço de cercamento. ENVIADO POR RAFAEL</t>
  </si>
  <si>
    <t>[CCC06966]</t>
  </si>
  <si>
    <t>003830</t>
  </si>
  <si>
    <t>PRESTAÇÃO DE SERVIÇOS UFVs(OURO FINO 2) 2429 RONDA PORTEIROS</t>
  </si>
  <si>
    <t>Pagamento aditivo referente a prestação dos serviços de vigia. ENVIADO POR RAFAEL</t>
  </si>
  <si>
    <t>[CCC06967]</t>
  </si>
  <si>
    <t>003831</t>
  </si>
  <si>
    <t>PRESTAÇÃO DE SERVIÇOS UFVs( TRES CORAÇÕES 3) 2464 RONDA PORTEIROS</t>
  </si>
  <si>
    <t>003832</t>
  </si>
  <si>
    <t>PRESTAÇÃO DE SERVIÇOS UFVs( OURO FINO 2) 2428 RONDA PORTEIROS</t>
  </si>
  <si>
    <t>Pagamento referente a prestação dos serviços de vigia. ENVIADO POR RAFAEL</t>
  </si>
  <si>
    <t>003835</t>
  </si>
  <si>
    <t>PRESTAÇÃO DE SERVIÇOS UFVs (SANTONO ANTONIO DO AMPARO) 2458 RONDA PORTEIROS</t>
  </si>
  <si>
    <t>003833</t>
  </si>
  <si>
    <t>PRESTAÇÃO DE SERVIÇOS UFVs (TRES CORAÇÕES 3) 2463 RONDA PORTEIROS</t>
  </si>
  <si>
    <t>002391</t>
  </si>
  <si>
    <t>PRESTAÇÃO DE SERVIÇOS UFVs(ALFENAS 4) 2414 RONDA PORTEIROS</t>
  </si>
  <si>
    <t>003834</t>
  </si>
  <si>
    <t>PRESTAÇÃO DE SERVIÇOS UFVs(CAMPO BELO1) 2418 RONDA PORTEIROS</t>
  </si>
  <si>
    <t>003837</t>
  </si>
  <si>
    <t>PRESTAÇÃO DE SERVIÇOS UFVs ( SÃO SEBASTIÃO DO OESTE 4)  NF 15 SJR PROTEÇÃO</t>
  </si>
  <si>
    <t>Pagamento referente ao serviços de Parametrização e testes nas cabines.  ENVIADO POR MARCIO ELI</t>
  </si>
  <si>
    <t>[CCC06968]</t>
  </si>
  <si>
    <t>003839</t>
  </si>
  <si>
    <t>PRESTAÇÃO DE SERVIÇOS UFVs ( OURO FINO 2) NF 3232</t>
  </si>
  <si>
    <t>Pagamento medição referente PRESTAÇÃO DE SERVIÇO DE EXTENSÃO E MODIFICAÇÃO DE REDE DE DISTRIBUIÇÃO RURAL E URBANA. ENVIADO POR MBA</t>
  </si>
  <si>
    <t>[CCC06969]</t>
  </si>
  <si>
    <t>PRESTAÇÃO DE SERVIÇOS UFVs (TRES CORAÇÕES 3) NF 3234</t>
  </si>
  <si>
    <t>[CCC06970]</t>
  </si>
  <si>
    <t>PRESTAÇÃO DE SERVIÇOS UFVs (ALFENAS 4) NF 3233</t>
  </si>
  <si>
    <t>[CCC06971]</t>
  </si>
  <si>
    <t>PRESTAÇÃO DE SERVIÇOS UFVs (ALFENAS 4) NF 714 ATENAS CONSTRUTORA</t>
  </si>
  <si>
    <t>Pagamento medição referente PRESTAÇÃO DOS SERVIÇOS DE INSTALAÇÃO DE POSTES, REMOÇÃO DE POSTES, INSTALAÇÃO DE ESTAIS. ENVIADO POR MBA</t>
  </si>
  <si>
    <t>004467</t>
  </si>
  <si>
    <t>COMPRA DE MATERIAIS UFVS (PAINS 3) NF 001763</t>
  </si>
  <si>
    <t>Pagamento referente a compra de materiais paras as usinas correspondente a 35% do valor contratual. ENVIADO POR MAX VISION</t>
  </si>
  <si>
    <t>[CCC06972]</t>
  </si>
  <si>
    <t>COMPRA DE MATERIAIS UFVS (CAMPO BELO 1) NF 1764</t>
  </si>
  <si>
    <t>COMPRA DE MATERIAIS UFVS (CAMPO BELO 2) NF 1765</t>
  </si>
  <si>
    <t>004481</t>
  </si>
  <si>
    <t>COMPRA DE MATERIAIS UFVS (JABOTICATUBAS) NF 1766</t>
  </si>
  <si>
    <t>COMPRA DE MATERIAIS UFVs (PASSOS 4) NF 2810  DALILA</t>
  </si>
  <si>
    <t>Pagamento referente aos acrilicos no relé . Contrato Implantação . ENVIADO POR RAFAEL</t>
  </si>
  <si>
    <t>[CCC06973]</t>
  </si>
  <si>
    <t>COMPRA DE MATERIAIS UFVs (SÃO SEBASTIÃO DO OESTE 4) NF 2809  DALILA</t>
  </si>
  <si>
    <t>COMPRA DE MATERIAIS UFVs (SANTO ANTONIO DO AMPARO) NF 2814  DALILA</t>
  </si>
  <si>
    <t>COMPRA DE MATERIAIS UFVs (TRES CORAÇÕES 3) NF 2811  DALILA</t>
  </si>
  <si>
    <t>COMPRA DE MATERIAIS UFVs (ALFENAS 4) NF 2813  DALILA</t>
  </si>
  <si>
    <t>COMPRA DE MATERIAIS UFVs (OURO FINO 2) NF 2812  DALILA</t>
  </si>
  <si>
    <t>DALILA</t>
  </si>
  <si>
    <t>003626</t>
  </si>
  <si>
    <t>FAT.DIRETO (MAX VISION)</t>
  </si>
  <si>
    <t>PRESTAÇÃO DE SERVIÇOS UFVs (LAGOA FORMOSA) NF 634 R&amp;C ELETRONICA</t>
  </si>
  <si>
    <t>Pagamento referente a prestação de serviços de fornecimento e implantação de sistemas, contrato implantação . ENVIADO  POR MAX VISION</t>
  </si>
  <si>
    <t>[CCC06974]</t>
  </si>
  <si>
    <t>PRESTAÇÃO DE SERVIÇOS UFVs (VARJA DE MINAS 4) NF 635 R&amp;C ELETRONICA</t>
  </si>
  <si>
    <t>003628</t>
  </si>
  <si>
    <t>PRESTAÇÃO DE SERVIÇOS UFVs (PATOS DE MINAS 1) NF 636 R&amp;C ELETRONICA</t>
  </si>
  <si>
    <t>PRESTAÇÃO DE SERVIÇOS UFVs (PATOS DE MINAS 3) NF 637 R&amp;C ELETRONICA</t>
  </si>
  <si>
    <t>PRESTAÇÃO DE SERVIÇOS UFVs (PATOS DE MINAS 8) NF 638 R&amp;C ELETRONICA</t>
  </si>
  <si>
    <t>004472</t>
  </si>
  <si>
    <t>PRESTAÇÃO DE SERVIÇOS UFVs (DIVINOPOLIS 3) NF 639 R&amp;C ELETRONICA</t>
  </si>
  <si>
    <t>003855</t>
  </si>
  <si>
    <t>PRESTAÇÃO DE SERVIÇOS UFVs (SANTO ANTONIO DO AMPARO) NF 80 PJ SERVIÇOS</t>
  </si>
  <si>
    <t xml:space="preserve">Pagamento referente ao transporte de caminhão pipa, necessario em obra, contrato implantação.ENVIADO RAFAEL </t>
  </si>
  <si>
    <t>[CCC06975]</t>
  </si>
  <si>
    <t>003856</t>
  </si>
  <si>
    <t>PRESTAÇÃO DE SERVIÇOS UFVs (CAMPO BELO 1) NF 79 PJ SERVIÇOS</t>
  </si>
  <si>
    <t>055883</t>
  </si>
  <si>
    <t>PRESTAÇÃO DE SERVIÇOS UFVs (MORI HOLDING) DATASIDE NF 4147</t>
  </si>
  <si>
    <t>Pagamento referente ao serviço de ajuste de Dashboard ciclo de crescimento. ENVIADO POR SARAH</t>
  </si>
  <si>
    <t>[CCC06976]</t>
  </si>
  <si>
    <t>003857</t>
  </si>
  <si>
    <t xml:space="preserve">MEDIÇÃO (ATI) </t>
  </si>
  <si>
    <t>COMPRA DE MATERIAIS UFVs (ARCOS 7) NF 2772</t>
  </si>
  <si>
    <t>[CCC06977]</t>
  </si>
  <si>
    <t xml:space="preserve">PRESTAÇÃO DE SERVIÇOS UVFs (JANIO QUADROS 1) NOTA DE DEBITO 37 RENOVA </t>
  </si>
  <si>
    <t>Pagamento de nota de debito referente licenciamento ambiental, usinas ciclo 3. ENVIADO POR LETICIA</t>
  </si>
  <si>
    <t>[CCC06978]</t>
  </si>
  <si>
    <t xml:space="preserve">PRESTAÇÃO DE SERVIÇOS UVFs (JANIO QUADROS 2) NOTA DE DEBITO 38 RENOVA </t>
  </si>
  <si>
    <t xml:space="preserve">PRESTAÇÃO DE SERVIÇOS UVFs (IRAQUARA 1) NOTA DE DEBITO 39 RENOVA </t>
  </si>
  <si>
    <t xml:space="preserve">PRESTAÇÃO DE SERVIÇOS UVFs (IBIPEBA 1) NOTA DE DEBITO 40 RENOVA </t>
  </si>
  <si>
    <t>003858</t>
  </si>
  <si>
    <t>PRESTAÇÃO DE SERVIÇOS UFVs (ARCOS 7) RONDA PORTEIROS NF 2415</t>
  </si>
  <si>
    <t>Pagamento de aditivo referente ao serviço de vigilancia noturna e diurna. ENVIADO POR AUGUSTO</t>
  </si>
  <si>
    <t>[CCC06979]</t>
  </si>
  <si>
    <t>PRESTAÇÃO DE SERVIÇOS UFVs (FORMIGA 6) RONDA PORTEIROS NF 2423</t>
  </si>
  <si>
    <t>PRESTAÇÃO DE SERVIÇOS UFVs (PASSOS 4) RONDA PORTEIROS NF 2438</t>
  </si>
  <si>
    <t>004482</t>
  </si>
  <si>
    <t>PRESTAÇÃO DE SERVIÇOS UFVs (SÃO SEBASTIÃO DO OESTE 0) RONDA PORTEIROS NF 2473</t>
  </si>
  <si>
    <t>003859</t>
  </si>
  <si>
    <t>PRESTAÇÃO DE SERVIÇOS UFVs (SÃO SEBASTIÃO DO OESTE 4) RONDA PORTEIROS NF 2461</t>
  </si>
  <si>
    <t>003866</t>
  </si>
  <si>
    <t>PRESTAÇÃO DE SERVIÇOS UFVs (ARCOS 7 )TEIROS NF 16 SJR PROTEÇÃO</t>
  </si>
  <si>
    <t>Pagamento referente ao serviços de parametrização e testes nas 3 proteções Siemens 7SR5111, teste de comissionamento da proteção e medição de sequencia de fase. ENVIADO POR SANDRO</t>
  </si>
  <si>
    <t>[CCC06980]</t>
  </si>
  <si>
    <t>003870</t>
  </si>
  <si>
    <t>COMPRA DE MATERIAIS UFVs (TRES CORAÇÕES) NF 31340 EXPONENCIAL</t>
  </si>
  <si>
    <t>Pagamento refente a compra de materiais em faturamento direto. ENVIADO POR MBA</t>
  </si>
  <si>
    <t>[CCC06981]</t>
  </si>
  <si>
    <t>AU01 - UFV COMERC PERNAMBUCO 3 LTDA</t>
  </si>
  <si>
    <t>PRESTAÇÃO DE SERVIÇO UFVs (CUPIRA) N 17  GO VERDE</t>
  </si>
  <si>
    <t>Pagamento de nota de débito referente ao reembolso da taxa adicional na CPRH, renovação licença.ENVIADO POR JOÃO PAULO LESSA</t>
  </si>
  <si>
    <t>[CCC06982]</t>
  </si>
  <si>
    <t>PRESTAÇÃO DE SERVIÇO UFV (VENTUROSA) N 16  GO VERDE</t>
  </si>
  <si>
    <t>PRESTAÇÃO DE SERVIÇO UFV (BREJÃO) N 31 GO VERDE</t>
  </si>
  <si>
    <t>Pagamento de nota de débito referente ao reembolso da taxa de protocolo da CPRH, para processo e autorização de supressão da vegetação.ENVIADO POR JOÃO PAULO LESSA</t>
  </si>
  <si>
    <t>055894</t>
  </si>
  <si>
    <t>PRESTAÇÃO DE SERVIÇOS              NF 86076 AVAPRO</t>
  </si>
  <si>
    <t>Pagamento referente ao treinamento colaborador, curso NR -10 . APROVADO POR MÁRCIO ELI</t>
  </si>
  <si>
    <t>[CCC06983]</t>
  </si>
  <si>
    <t>004490</t>
  </si>
  <si>
    <t xml:space="preserve">PRESTAÇÃO DE SERVIÇOS UFVs (PARACATU 4 e 5) NF 2476  RONDA PORTEIROS </t>
  </si>
  <si>
    <t>Pagamento ADITIVO, referente a prestação de serviços de vigias noturnos e diurnos. ENVIADO POR AUGUSTO</t>
  </si>
  <si>
    <t>[CCC06984]</t>
  </si>
  <si>
    <t xml:space="preserve">PAGAMENTO TAXA DAE UFVs ( LAGOA GRANDE 3 e LAGOA GRANDE 4) N 150134172751  </t>
  </si>
  <si>
    <t>Pagamento de taxa de compensação ambiental . TAXA DE RESPOSIÇÃO  MADEIRA - ENVIADO POR ALLAN BUENO.</t>
  </si>
  <si>
    <t>[CCC06985]</t>
  </si>
  <si>
    <t>PAGAMENTO TAXA DAE UFVs (LAGOA GRANDE 3 e LAGOA GRANDE 4) N 1501341729000</t>
  </si>
  <si>
    <t>Pagamento de taxa de compensação ambiental . TAXA DE RESPOSIÇÃO  LENHA - ENVIADO POR ALLAN BUENO.</t>
  </si>
  <si>
    <t>PAGAMENTO TAXA DAE UFVs ( LAGOA GRANDE 3 e LAGOA GRANDE 4) N 0701341725046</t>
  </si>
  <si>
    <t>Pagamento de taxa de compensação ambiental . TAXA DE RESPOSIÇÃO  PIQUIZEIRO - ENVIADO POR ALLAN BUENO.</t>
  </si>
  <si>
    <t xml:space="preserve">PAGAMENTO TAXA DAE UFVs ( LAGOA GRANDE 3 e LAGOA GRANDE 4) N 1501341725616 </t>
  </si>
  <si>
    <t>Pagamento de taxa de compensação ambiental . TAXA DE RESPOSIÇÃO  IPE AMARELO - ENVIADO POR ALLAN BUENO.</t>
  </si>
  <si>
    <t>004491</t>
  </si>
  <si>
    <t>PRESTAÇÃO DE SERVIÇOS UFVs (PARACATU 4) NF 333 RODRIGO ANTONIO</t>
  </si>
  <si>
    <t>Pagamento referente ao serviço de instalação de equipamentos de ar condicionado no office . IMPLANTAÇÃO - ENVIADO POR RAFAEL</t>
  </si>
  <si>
    <t>[CCC06986]</t>
  </si>
  <si>
    <t>004492</t>
  </si>
  <si>
    <t>PRESTAÇÃO DE SERVIÇOS UFVs (PARACATU 5) NF 334 RODRIGO ANTONIO</t>
  </si>
  <si>
    <t xml:space="preserve">PRESTAÇÃO DE SERVIÇO UFVs (SERTANIA) NF 18 GOVERDE </t>
  </si>
  <si>
    <t>[CCC06987]</t>
  </si>
  <si>
    <t xml:space="preserve">PRESTAÇÃO DE SERVIÇO UFVs N 60 GP SERVIÇOS </t>
  </si>
  <si>
    <t>Pagamento de nota de débito referente aos serviços de NEGOCIAÇÃO DE SERVIDÃO DE REDE, PROSPECÇÃO DE TERRENOS E ASSINATURA DE DOCUMENTOS. ENVIADO POR IGOR FUNDIARIO</t>
  </si>
  <si>
    <t>[CCC06988]</t>
  </si>
  <si>
    <t>PRESTAÇÃO DE SERVIÇO UFVs (ARCOS 7) NF 3 ADRIANA APARECIDA</t>
  </si>
  <si>
    <t>Pagamento referente ao serviço de vedação da parte inferior de skids e cabines na UFVs. ENVIADO POR AUGUSTO</t>
  </si>
  <si>
    <t>[CCC06989]</t>
  </si>
  <si>
    <t>ADRIANA APARECIDA</t>
  </si>
  <si>
    <t>004503</t>
  </si>
  <si>
    <t>PRESTAÇÃO DE SERVIÇO UFVs (PEDRA DO INDAIÁ 1) NF 72 JULIANO AUGUSTO</t>
  </si>
  <si>
    <t>Pagamento referente à prestação de serviço de manutenção e abertura e infraestrutura de CFTV. ENVIADO POR AUGUSTO</t>
  </si>
  <si>
    <t>[CCC06990]</t>
  </si>
  <si>
    <t>004501</t>
  </si>
  <si>
    <t>PRESTAÇÃO DE SERVIÇO UFVs (PEDRA DO INDAIA 3) NF 73 PJ SERVIÇOS</t>
  </si>
  <si>
    <t>[CCC06991]</t>
  </si>
  <si>
    <t>004502</t>
  </si>
  <si>
    <t>PRESTAÇÃO DE SERVIÇO UFVs (PEDRA DO INDAIA 5) NF 74 JULIANO AUGUSTO</t>
  </si>
  <si>
    <t>[CCC06992]</t>
  </si>
  <si>
    <t>PRESTAÇÃO DE SERVIÇO UFVs (FORMIGA 6) NF 78 PJ SERVIÇOS</t>
  </si>
  <si>
    <t>[CCC06993]</t>
  </si>
  <si>
    <t>A618-ESTRELA DO NORTE  -  UFV DIVINOPOLIS 3</t>
  </si>
  <si>
    <t>004504</t>
  </si>
  <si>
    <t>PRESTAÇÃO DE SERVIÇO UFVs (DIVINOPOLIS 3) NF 75 PJ SERVIÇOS</t>
  </si>
  <si>
    <t>[CCC06994]</t>
  </si>
  <si>
    <t>A620 -ESTRELA DO NORTE  - UFV DIVINOPOLIS 1</t>
  </si>
  <si>
    <t>004505</t>
  </si>
  <si>
    <t>PRESTAÇÃO DE SERVIÇO UFVs (DIVINOPOLIS 1) NF 76 PJ SERVIÇOS</t>
  </si>
  <si>
    <t>[CCC06995]</t>
  </si>
  <si>
    <t>A606-ESTRELA DO NORTE - UFV DIVINOPOLIS 2</t>
  </si>
  <si>
    <t>004506</t>
  </si>
  <si>
    <t>PRESTAÇÃO DE SERVIÇO UFVs (DIVINOPOLIS 2) NF 77 PJ SERVIÇOS</t>
  </si>
  <si>
    <t>[CCC06996]</t>
  </si>
  <si>
    <t xml:space="preserve">COMPRA DE MATERIAIS UFVs (TRES CORAÇÕES 3) NF55833 INCOPRE </t>
  </si>
  <si>
    <t>Pagamento referente a compra de postes. ENVIADO POR MBA</t>
  </si>
  <si>
    <t>[CCC06997]</t>
  </si>
  <si>
    <t>004507</t>
  </si>
  <si>
    <t>REGRHAN  PRESTAÇÃO DE SERVIÇOS  ESTRELA DO NORTE GERAÇÃO NF 3247  07/2024</t>
  </si>
  <si>
    <t xml:space="preserve">Pagamento referente aos serviços de assessoria , gestão e controle documental de terceiros, realizados pelo REGRHAN, necessários a construção das UFVs. </t>
  </si>
  <si>
    <t>[CCC06998]</t>
  </si>
  <si>
    <t>REGRHAN  PRESTAÇÃO DE SERVIÇOS  MORI GERAÇÃO II  NF 3248   07/2024</t>
  </si>
  <si>
    <t>003908</t>
  </si>
  <si>
    <t>REGRHAN  PRESTAÇÃO DE SERVIÇOS  NEWCO IV NF 3249  07/2024</t>
  </si>
  <si>
    <t>REGRHAN  PRESTAÇÃO DE SERVIÇOS  NEWCO V NF 3250 07/2024</t>
  </si>
  <si>
    <t>003909</t>
  </si>
  <si>
    <t>MEDIÇÃO (LMENG)</t>
  </si>
  <si>
    <t>MEDIÇÃO MENSAL MAIO/2024  UFVs NEWCO IV   LMENG  NF 13383</t>
  </si>
  <si>
    <t>[CCC06999]</t>
  </si>
  <si>
    <t>MEDIÇÃO MENSAL MAIO/2024  UFVs MORI II  LMENG  NF 13381</t>
  </si>
  <si>
    <t>004508</t>
  </si>
  <si>
    <t>MEDIÇÃO MENSAL MAIO/2024  UFVs EDN  LMENG  NF  13382</t>
  </si>
  <si>
    <t>MEDIÇÃO MENSAL MAIO/2024  UFVs NEWCO V  LMENG  NF 13384</t>
  </si>
  <si>
    <t>MEDIÇÃO MENSAL JULHO/2024  UFVs NEWCO IV   LMENG  NF 13387</t>
  </si>
  <si>
    <t>[CCC07000]</t>
  </si>
  <si>
    <t>MEDIÇÃO MENSAL JULHO/2024  UFVs MORI II  LMENG  NF 13385</t>
  </si>
  <si>
    <t>004509</t>
  </si>
  <si>
    <t>MEDIÇÃO MENSAL JULHO/2024  UFVs EDN  LMENG  NF  13386</t>
  </si>
  <si>
    <t>MEDIÇÃO MENSAL JULHO/2024  UFVs NEWCO V  LMENG  NF 13388</t>
  </si>
  <si>
    <t>PRESTAÇÃO DE SERVIÇO UFVs (LAGOA GRANDE 2) JX AMBIENTAL NF 886</t>
  </si>
  <si>
    <t>[CCC07001]</t>
  </si>
  <si>
    <t>BOLETO / CICLO 3</t>
  </si>
  <si>
    <t>PRESTAÇÃO DE SERVIÇO UFVs (LAGOA GRANDE 4) JX AMBIENTAL NF 887</t>
  </si>
  <si>
    <t>PRESTAÇÃO DE SERVIÇO UFVs (LAGOA GRANDE 3) JX AMBIENTAL NF 888</t>
  </si>
  <si>
    <t>COMPRA DE MATERIAIS UFVs (TRES CORAÇÕES 3) INCOPRE NF 55872</t>
  </si>
  <si>
    <t>Pagamento referente a compra de postes. ENVIADO POR MBA **NOTA DE REMESSA NÃO GERA FINANCEIRO, APENAS ESCRITURAR**</t>
  </si>
  <si>
    <t>[CCC07002]</t>
  </si>
  <si>
    <t>NÃO GERA FINANCEIRO, APENAS ESCRITURAR**</t>
  </si>
  <si>
    <t>COMPRA DE MATERIAIS UFVs (TRES CORAÇÕES 3) INCOPRE NF 55865</t>
  </si>
  <si>
    <t>003913</t>
  </si>
  <si>
    <t>COMPRA DE MATERIAIS UFVs (TRES CORAÇÕES 3) INCOPRE NF 55834</t>
  </si>
  <si>
    <t>003914</t>
  </si>
  <si>
    <t>COMPRA DE MATERIAIS UFVs (TRES CORAÇÕES 3) INCOPRE NF 55835</t>
  </si>
  <si>
    <t xml:space="preserve">TAXA UFVs (PAINS 3) N 375 </t>
  </si>
  <si>
    <t xml:space="preserve">Pagamento referente a taxa de corte ou aproveitamneo de arvores isoladas nativas vivas. ENVIADO POR TIAGO </t>
  </si>
  <si>
    <t>[CCC07003]</t>
  </si>
  <si>
    <t>RETORNO</t>
  </si>
  <si>
    <t xml:space="preserve">PRESTAÇÃO DE SERVIÇOS UFVs( PATOS DE MINAS 7) NF 363    RDA INTERNA </t>
  </si>
  <si>
    <t xml:space="preserve"> Pagamento de medição, referente ao serviços de mão de obra especializada na construção RDR, em contrato MT.  RDA INTERNA </t>
  </si>
  <si>
    <t xml:space="preserve"> [CCC04555]</t>
  </si>
  <si>
    <t>ROMANEI</t>
  </si>
  <si>
    <t>003917</t>
  </si>
  <si>
    <t>COMPRA DE MATERIAIS UFVs (TRES CORAÇÕES 3) INCOPRE NF 55894</t>
  </si>
  <si>
    <t>[CCC07004]</t>
  </si>
  <si>
    <t>003918</t>
  </si>
  <si>
    <t>COMPRA DE MATERIAIS UFVs (TRES CORAÇÕES 3) INCOPRE NF 55889</t>
  </si>
  <si>
    <t>003920</t>
  </si>
  <si>
    <t>COMPRA DE MATERIAIS UFVs (TRES CORAÇÕES 3) INCOPRE NF 55929</t>
  </si>
  <si>
    <t>[CCC07005]</t>
  </si>
  <si>
    <t>003921</t>
  </si>
  <si>
    <t>COMPRA DE MATERIAIS UFVs (TRES CORAÇÕES 3) INCOPRE NF 55930</t>
  </si>
  <si>
    <t>AZ09- UFV COMERC BAHIA 3 LTDA</t>
  </si>
  <si>
    <t xml:space="preserve">PAGAMENTO TAXAS UFVs (URANDI 1) N  136806 </t>
  </si>
  <si>
    <t>Pagamento de taxas referentes à troca de titularidade da usina. ENVIADO POR LETICIA AMBIENTAL</t>
  </si>
  <si>
    <t>[CCC07006]</t>
  </si>
  <si>
    <t>PAGAMENTO TAXAS UFVs (URANDI 1) N  138352</t>
  </si>
  <si>
    <t>004513</t>
  </si>
  <si>
    <t>COMPRA DE MATERIAIS UFvs (PEDRA DO INDAIÁ 5) ATI NF 2806</t>
  </si>
  <si>
    <t>[CCC07007]</t>
  </si>
  <si>
    <t>003923</t>
  </si>
  <si>
    <t xml:space="preserve">COMPRA DE MATERIAIS UFvs (SÃO SEBASTIÃO 4) ATI NF 2807 </t>
  </si>
  <si>
    <t>003926</t>
  </si>
  <si>
    <t>COMPRA DE MATERIAIS UFVs (TRES CORAÇÕES 3) INCOPRE NF 55957</t>
  </si>
  <si>
    <t>[CCC07008]</t>
  </si>
  <si>
    <t>PRESTAÇÃO DE SERVIÇOS UFVs (TRES CORAÇÕES 3) N 592 RICARDO ALBERTO</t>
  </si>
  <si>
    <t>Pagamento referente aos fretes dos postes da usina. ENVIADO POR MBA</t>
  </si>
  <si>
    <t>[CCC07009]</t>
  </si>
  <si>
    <t xml:space="preserve">PRESTAÇÃO DE SERVIÇOS UFVs (PATOS 3) MGS NF 62 </t>
  </si>
  <si>
    <t>Pagamento de serviço de correção da infraestrutura subterrânea CFTV/ cavas e material. ENVIADO POR GILSON</t>
  </si>
  <si>
    <t>[CCC07010]</t>
  </si>
  <si>
    <t>MGS</t>
  </si>
  <si>
    <t>PRESTAÇÃO DE SERVIÇOS UFVs (PATOS 8) MGS NF 63</t>
  </si>
  <si>
    <t>PRESTAÇÃO DE SERVIÇOS UFVs (LAGOA FORMOSA) MGS NF 64</t>
  </si>
  <si>
    <t>055926</t>
  </si>
  <si>
    <t>COMPRA DE MATERIAIS UFVs (HOLDING) SEGURAÇO NF 59515</t>
  </si>
  <si>
    <t>Pagamento referente a compra de materiais, necessário à construção da UFV.  ENVIAO POR ANDRESSA</t>
  </si>
  <si>
    <t>[CCC07011]</t>
  </si>
  <si>
    <t xml:space="preserve"> SEGURAÇO</t>
  </si>
  <si>
    <t>MEDIÇÃO (ENGETELA)</t>
  </si>
  <si>
    <t>PRESTAÇÃO DE SERVIÇOS UFVs (PATOS 4) ENGETELA NF 1614</t>
  </si>
  <si>
    <t>Pagamento de medição referente a execução cercamento perimental usina de PATOS 4. Termo de quitação.  ENVIADO POR GILSON</t>
  </si>
  <si>
    <t>[CCC07012]</t>
  </si>
  <si>
    <t>004524</t>
  </si>
  <si>
    <t>PRESTAÇÃO DE SERVIÇOS UFVs (PEDRA DO INDAIÁ 5) ATI NF 871</t>
  </si>
  <si>
    <t>[CCC07013]</t>
  </si>
  <si>
    <t>PRESTAÇÃO DE SERVIÇOS UFVs (ARCOS 7) ATI NF 872</t>
  </si>
  <si>
    <t>PRESTAÇÃO DE SERVIÇOS UFVs (TRES CORAÇÕES 3) GERALDO ALVES NF 588</t>
  </si>
  <si>
    <t>Pagamento de faturamento direto referente aos serviços topograficos e projeto de rede de distribuição eletrica. ENVIADO POR GUILHERME</t>
  </si>
  <si>
    <t>[CCC07014]</t>
  </si>
  <si>
    <t>003935</t>
  </si>
  <si>
    <t>PRESTAÇÃO DE SERVIÇOS UFVs (PARAGUAÇU) ENGELUZ NF 666</t>
  </si>
  <si>
    <t xml:space="preserve"> Pagamento de medição, referente ao serviços de mão de obra especializada na construção RDR. APROVADO POR MARCIO </t>
  </si>
  <si>
    <t>[CCC07015]</t>
  </si>
  <si>
    <t>004525</t>
  </si>
  <si>
    <t>PRESTAÇÃO DE SERVIÇOS UFVs (PAINS 3) ENGELUZ NF 668</t>
  </si>
  <si>
    <t>004526</t>
  </si>
  <si>
    <t>PRESTAÇÃO DE SERVIÇO UFVs (PARACATU 4)  GTEL NF 30604</t>
  </si>
  <si>
    <t>[CCC07016]</t>
  </si>
  <si>
    <t>004528</t>
  </si>
  <si>
    <t>PRESTAÇÃO DE SERVIÇO UFVs (PARACATU 5)  GTEL NF 30605</t>
  </si>
  <si>
    <t>004530</t>
  </si>
  <si>
    <t>PRESTAÇÃO DE SERVIÇO UFVs (SÃO SEBASTIÃO DO OESTE 0)  RIMA NF 452</t>
  </si>
  <si>
    <t>Pagamento referente a SUPRESSÃO VEGETAL. ENVIADO POR GUILHERME KUSEL</t>
  </si>
  <si>
    <t>[CCC07017]</t>
  </si>
  <si>
    <t>004531</t>
  </si>
  <si>
    <t>PRESTAÇÃO DE SERVIÇO UFVs (PARACATU 5) ARCANJO NF 120</t>
  </si>
  <si>
    <t>Pagamento referente a prestação de serviços de vigilancia. ENVIADO POR MARCIO</t>
  </si>
  <si>
    <t>[CCC07020]</t>
  </si>
  <si>
    <t>004534</t>
  </si>
  <si>
    <t>PRESTAÇÃO DE SERVIÇO UFVs (PARACATU 4) ARCANJO NF 121</t>
  </si>
  <si>
    <t>FAT.DIRETO (RM SOLAR)</t>
  </si>
  <si>
    <t>PRESTAÇÃO DE SERVIÇO UFVs (PATOS 4) DISK AREIA NF 046</t>
  </si>
  <si>
    <t>Pagamento referente a prestação de serviço de construção de sistema de drenagem da UFV. ENVIADO POR GILSON</t>
  </si>
  <si>
    <t>[CCC07021]</t>
  </si>
  <si>
    <t>DISK AREIA</t>
  </si>
  <si>
    <t>BALDONI / MCD BALDONI  - Terraplanagem - Medição 4  (Varginha 1)  20%        NF   136</t>
  </si>
  <si>
    <t>[CCC03917]</t>
  </si>
  <si>
    <t>BALDONI / Baldoni Engenharia    - Terraplanagem - Medição 4  (Varginha 1)  80%        N    306</t>
  </si>
  <si>
    <t>PAGAMENTO TAXA  UFVS (LAGOA GRANDE 3 e LAGOA GRANDE 4) N 2901342390677  DAE</t>
  </si>
  <si>
    <t>Pagamento referente a taxa florestal, inerente ao processo de intervenção ambiental, referente ao corte de lenha e de madeira. ENVIADO POR MÁRCIO</t>
  </si>
  <si>
    <t>[CCC07022]</t>
  </si>
  <si>
    <t>004546</t>
  </si>
  <si>
    <t>PRESTAÇÃO DE SERVIÇOS UFVs (BURITIZEIRO / INDAIBIRA) HUKSEFLUX  NF 7540</t>
  </si>
  <si>
    <t>Pagamento referente material  de BURITIZEIRO e INDAIABIRAS. ENVIADO POR MANOEL /ROMANEI</t>
  </si>
  <si>
    <t>[CCC07023]</t>
  </si>
  <si>
    <t>BALDONI / MCD BALDONI  - Terraplanagem - Medição 5  (Varginha 2)  20%        NF 137</t>
  </si>
  <si>
    <t xml:space="preserve"> Pagamento de serviço de terraplanagem necessário à construção da UFV. </t>
  </si>
  <si>
    <t>[CCC03916]</t>
  </si>
  <si>
    <t>LINHA ROMANEI</t>
  </si>
  <si>
    <t>BALDONI / Baldoni Engenharia    - Terraplanagem - Medição 5 (Varginha 2)  80%        N  307</t>
  </si>
  <si>
    <t>MCD BALDONI 01/02 - Terraplanagem - Medição 6 (Varginha 2)  20%       NF  141</t>
  </si>
  <si>
    <t>[CCC03981]</t>
  </si>
  <si>
    <t>BALDONI ENGENHARIA   - Terraplanagem - Medição 6 (Varginha 2)  80%      N   311</t>
  </si>
  <si>
    <t>MCD BALDONI 01/02 - Terraplanagem - Medição 5 (Varginha 1)  20%       NF    140</t>
  </si>
  <si>
    <t>[CCC03982]</t>
  </si>
  <si>
    <t>BALDONI ENGENHARIA   - Terraplanagem - Medição 5 (Varginha 1)  80%      N    310</t>
  </si>
  <si>
    <t>BALDONI / MCD BALDONI  - Terraplanagem - Medição  7 (VARGINHA 1)  20%        NF  147</t>
  </si>
  <si>
    <t xml:space="preserve"> Pagamento de serviço de medição de terraplanagem necessário à construção da UFV.  </t>
  </si>
  <si>
    <t>BALDONI / Baldoni Engenharia    - Terraplanagem - Medição 7 (VARGINHA 1)  80%        N    317</t>
  </si>
  <si>
    <t>Projeto de cabine primária  - PROJETTI - 100% (Varjão 1)</t>
  </si>
  <si>
    <t>[CCC02893-01]</t>
  </si>
  <si>
    <t>0001257</t>
  </si>
  <si>
    <t>PROJETOS CABINE PRIMÁRIA   UFVs ( INDAIABIRA 2 )   PROJETTI   NF 168</t>
  </si>
  <si>
    <t>PROJETOS CABINE PRIMÁRIA  UFVs ( SÃO SEBASTIÃO 6 )   PROJETTI   NF173</t>
  </si>
  <si>
    <t xml:space="preserve">PRESTAÇÃO DE SERVIÇOS UFVs (SÃO SEBASTIÃO DO OESTE 0)  PROJETTI  NF </t>
  </si>
  <si>
    <t>Procurar Valor</t>
  </si>
  <si>
    <t>000482</t>
  </si>
  <si>
    <t>Projeto de cabine primária  - PROJETTI - 100% (Patos de minas 4)</t>
  </si>
  <si>
    <t>[CCC03373-07]</t>
  </si>
  <si>
    <t>004515</t>
  </si>
  <si>
    <t>Equipamentos Curva A -  Contrato Sobressalentes - SETTA (Buritizeiro 1)</t>
  </si>
  <si>
    <t>Pagamento refrente FORNECIMENTO DE PEÇAS SOBRESSALENTES SETTA -DE CABINE 36KV - QGBT BURITIZEIRO1 Enviado Marcio / Carolina Traldi</t>
  </si>
  <si>
    <t>[CCC07024]</t>
  </si>
  <si>
    <t>*Não contabilizar por enquanto  - LINHA ROMANEI</t>
  </si>
  <si>
    <t>Equipamentos Curva A -  Contrato Sobressalentes - SETTA (Buritizeiro 2)</t>
  </si>
  <si>
    <t>*Não contabilizar por enquanto  LINHA ROMANEI</t>
  </si>
  <si>
    <t>Compra de INTELLI INDUSTRIA DE TERMINAIS ELETRICOS LTDA MBA (Arcos 07)</t>
  </si>
  <si>
    <t>[CCC0338]</t>
  </si>
  <si>
    <t xml:space="preserve">INTELLI </t>
  </si>
  <si>
    <t>PRESTAÇÃO DE SERVIÇOS UFVs (PARACATU 8)  WEG NF 61624</t>
  </si>
  <si>
    <t>. **NOTAS DE REMESSA SOBRESSALENTES WEG - NÃO GERAR FINANCEIRO** ENVIADO POR MARCIO  (CICLO 2)</t>
  </si>
  <si>
    <t>[CCC07025]</t>
  </si>
  <si>
    <t>CICLO 2  **NOTAS DE REMESSA NÃO GERAR FINANCEIRO**</t>
  </si>
  <si>
    <t>PRESTAÇÃO DE SERVIÇOS UFVs (NOVA PONTE 1)  WEG NF 61625</t>
  </si>
  <si>
    <t>PRESTAÇÃO DE SERVIÇOS UFVs (VARJÃO DE MINAS 1)  WEG NF 61626</t>
  </si>
  <si>
    <t>PRESTAÇÃO DE SERVIÇOS UFVs (CAMPO BELO 4)  WEG NF 76183</t>
  </si>
  <si>
    <t>004545</t>
  </si>
  <si>
    <t>PRESTAÇÃO DE SERVIÇOS UFVs (INDAIABIRA)  WEG NF 76248</t>
  </si>
  <si>
    <t>004547</t>
  </si>
  <si>
    <t>PRESTAÇÃO DE SERVIÇOS UFVs (INDAIABIRA)  WEG NF 76235</t>
  </si>
  <si>
    <t>. **NOTAS DE REMESSA SOBRERSSALENTES WEG - NÃO GERAR FINANCEIRO** ENVIADO POR MARCIO  (CICLO 2)</t>
  </si>
  <si>
    <t>004548</t>
  </si>
  <si>
    <t>PRESTAÇÃO DE SERVIÇOS UFVs (GUARDA MOR 1)  WEG NF 76249</t>
  </si>
  <si>
    <t>PRESTAÇÃO DE SERVIÇOS UVFs NOTA DE DEBITO N 61 GP SERVIÇOS</t>
  </si>
  <si>
    <t>NOTA DE DEBITO, REBIDO, REEMBOLSO DE DESPESAS referente aos serviços de NEGOCIAÇÃO DE SERVIDÃO DE REDE, PROSPECÇÃO DE TERRENOS E 
ASSINATURA DE DOCUMENTOS. ENVIADO POR IGOR FUNDIARIO</t>
  </si>
  <si>
    <t>[CCC07026]</t>
  </si>
  <si>
    <t>PAGAMENTO TAXAS UFVs (LAPÃO) N  2159681</t>
  </si>
  <si>
    <t>Pagamento de taxas referentes ao processo de revisão de condicionante e troca de titularidade da usina. ENVIADO POR LETICIA AMBIENTAL</t>
  </si>
  <si>
    <t>[CCC07027]</t>
  </si>
  <si>
    <t>INCLUSO PLANILHA CICLO3</t>
  </si>
  <si>
    <t>PAGAMENTO TAXAS UFVs (LAPÃO) N  2159605</t>
  </si>
  <si>
    <t>PRESTAÇÃO DE SERVIÇOS UFVs (PARAGUAÇU) NF 152 THEODORO E SILVA</t>
  </si>
  <si>
    <t>Pagamento referente a adequação e acerto para entrega da usina - limpeza e descarte de entulho - implantação. ENVIADO POR RAFAEL - ESCOPO COMERC</t>
  </si>
  <si>
    <t>[CCC07028]</t>
  </si>
  <si>
    <t xml:space="preserve"> THEODORO E SILVA</t>
  </si>
  <si>
    <t>PAGAMENTO DE TAXAS UFVS (LAGOA GRANDE 3 e LAGOA GRANDE 4) N 1900041600569  EXTRATOR LENHA</t>
  </si>
  <si>
    <t>Pagamentos referentes as taxas de extrator, atendimento a condicionante AIA. ENVIADO POR TIAGO</t>
  </si>
  <si>
    <t>[CCC07029]</t>
  </si>
  <si>
    <t>PAGAMENTO DE TAXAS UFVS (LAGOA GRANDE 3 e LAGOA GRANDE 4) N 1900041601484  EXTRATOR TORAS</t>
  </si>
  <si>
    <t xml:space="preserve">PAGAMENTO DE TAXAS UFVS (LAGOA GRANDE 3 e LAGOA GRANDE 4) N 1900041602219 PRODUTOR DE TORAS </t>
  </si>
  <si>
    <t>PAGAMENTO DE TAXAS UFVS (AGUAS LINDAS DE GOIAS)  N 5127080</t>
  </si>
  <si>
    <t>Pagamentos referente a taxa de emissão de licença ambiental unica, referente ao projeto de Aguas Lindas de Goias. ENVIADO POR MARCO AURELIO</t>
  </si>
  <si>
    <t>[CCC07030]</t>
  </si>
  <si>
    <t>DUAM</t>
  </si>
  <si>
    <t>PAGAMENTO INDENIZAÇÃO UFVs (TRES CORAÇÕES 3) SERVIDÃO PAULO MATUCK</t>
  </si>
  <si>
    <t>PAGAMENTO REFERENTE O CONTRATO DE INDENIZAÇÃO FUNDIÁRIA, NÃO POSSUI NOTA FISCAL, APENAS CONTRATO . ENVIADO POR GUILHERME</t>
  </si>
  <si>
    <t>[CCC07031]</t>
  </si>
  <si>
    <t xml:space="preserve"> SERVIDÃO PAULO MATUCK</t>
  </si>
  <si>
    <t>003951</t>
  </si>
  <si>
    <t>PAGAMENTO INDENIZAÇÃO UFVs (ARCOS 7) SERVIDÃO JOANA/GERALDO</t>
  </si>
  <si>
    <t xml:space="preserve"> SERVIDÃO JOANA/GERALDO</t>
  </si>
  <si>
    <t>COMPRA DE MATERIAIS UFVs (DIAMANTINA 1)  ROMAGNOLE NF 0232973</t>
  </si>
  <si>
    <t>Pagamento referente a compra de material. ENVIADO POR ROMAGNOLE  **NOTA DE REMESSA NÃO GERA FINANCEIRO, APENAS ESCRITURAR**</t>
  </si>
  <si>
    <t>[CCC07032]</t>
  </si>
  <si>
    <t>PRESTAÇÃO DE SERVIÇO UFVs (TRES CORAÇÕES) LOCADORA E ASSISTENCIA NF 11910</t>
  </si>
  <si>
    <t xml:space="preserve">Pagamento referente a aluguel do restante de andaimes necessários para finalização do office de Três Corações. ENVIADO POR RAFAEL </t>
  </si>
  <si>
    <t>[CCC07033]</t>
  </si>
  <si>
    <t xml:space="preserve"> LOCADORA E ASSISTENCIA</t>
  </si>
  <si>
    <t>003949</t>
  </si>
  <si>
    <t>COMPRA DE MATERIAIS UFVs (TRES CORAÇÕES) SANTA EDWIGES NF 11584</t>
  </si>
  <si>
    <t xml:space="preserve">Pagamento referente a compra de materiais para finalização de office. ENVIADO POR RAFAEL </t>
  </si>
  <si>
    <t>[CCC07035]</t>
  </si>
  <si>
    <t>003669</t>
  </si>
  <si>
    <t>CONSTRUMANAGER - UFVs (MORI II)  08/2024     NF 003669</t>
  </si>
  <si>
    <t>[CCC07036]</t>
  </si>
  <si>
    <t>003952</t>
  </si>
  <si>
    <t>PRESTAÇÃO DE SERVIÇO UFVs (PARAGUAÇU I_x000D_) NF 2530 NORTE CONEXÃO</t>
  </si>
  <si>
    <t>Serviço necessário à disponibilização de fibra óptica, necessário a construção das UFVs . ENVIADO POR ATI</t>
  </si>
  <si>
    <t>[CCC07037]</t>
  </si>
  <si>
    <t>003953</t>
  </si>
  <si>
    <t>PRESTAÇÃO DE SERVIÇO UFVs (ARCOS 7) NF 2531 NORTE CONEXÃO</t>
  </si>
  <si>
    <t>004552</t>
  </si>
  <si>
    <t xml:space="preserve">PRESTAÇÃO DE SERVIÇO UFVs (PEDRA DO INDAIA 5) NF 2532 NORTE CONEXÃO </t>
  </si>
  <si>
    <t>PRESTAÇÃO DE SERVIÇO UFVs (SÃO SEBASTIÃO DO OESTE 4) NF 2533 NORTE CONEXÃO</t>
  </si>
  <si>
    <t>003955</t>
  </si>
  <si>
    <t>COMPRA DE MATERIAIS UFVs (TRES CORAÇÕES 2) SANTA EDWIGES NF 11641</t>
  </si>
  <si>
    <t xml:space="preserve">Pagamento referente a aquisição de materiais . ENVIADO POR VAGNER </t>
  </si>
  <si>
    <t>[CCC07038]</t>
  </si>
  <si>
    <t>Compra de TECFIBRAS  MBA (Arcos 07)</t>
  </si>
  <si>
    <t>TECFIBRAS</t>
  </si>
  <si>
    <t>003671</t>
  </si>
  <si>
    <t xml:space="preserve">PRESTAÇÃO DE SERVIÇOS UFVs (DIAMANTINA 1) NF  2567 RONDA PORTEIROS </t>
  </si>
  <si>
    <t>Pagamento referente ao serviço de vigilancia noturna e diurna. ENVIADO POR  GILSON</t>
  </si>
  <si>
    <t>[CCC07039]</t>
  </si>
  <si>
    <t>003672</t>
  </si>
  <si>
    <t xml:space="preserve">PRESTAÇÃO DE SERVIÇOS UFVs (DIAMANTINA 2) NF  2569 RONDA PORTEIROS </t>
  </si>
  <si>
    <t>Pagamento referente ao serviço de vigilancia noturna e diurna. ENVIADO POR GILSON</t>
  </si>
  <si>
    <t>eliminado</t>
  </si>
  <si>
    <t xml:space="preserve">PRESTAÇÃO DE SERVIÇOS UFVs (FORMIGA) NF 2573 RONDA PORTEIROS </t>
  </si>
  <si>
    <t>Pagamento referente ao serviço de vigilancia noturna e diurna. ENVIADO POR AUGUSTO</t>
  </si>
  <si>
    <t xml:space="preserve">PRESTAÇÃO DE SERVIÇOS UFVs (PASSOS) NF 2593 RONDA PORTEIROS </t>
  </si>
  <si>
    <t>004554</t>
  </si>
  <si>
    <t xml:space="preserve">PRESTAÇÃO DE SERVIÇOS UFVs (SÃO SEBASTIAO DO OESTE 0) NF 2605 RONDA PORTEIROS </t>
  </si>
  <si>
    <t>COMPRA DE MATERIAIS UFVs (PATROCINIO 3) NF 7995</t>
  </si>
  <si>
    <t>Compras de materiais, peças implantação, finalização obra para entre das usinas. ENVIADO POR GILSON</t>
  </si>
  <si>
    <t>[CCC07040]</t>
  </si>
  <si>
    <t>COMPRA DE MATERIAIS UFVs (SANTO ANTONIO 1) NF 2820</t>
  </si>
  <si>
    <t>Pagamento em medição referente  a  compra de materiais, necessários a construção da UFV. ENVIADO POR ATI</t>
  </si>
  <si>
    <t>[CCC07041]</t>
  </si>
  <si>
    <t>COMPRA DE MATERIAIS UFVs (PASSOS 4) NF 2821</t>
  </si>
  <si>
    <t>003957</t>
  </si>
  <si>
    <t>PRESTAÇÃO DE SERVIÇOS UFVs   NF 3380 REGRHAN</t>
  </si>
  <si>
    <t>Pagamento referente aos serviços de assessoria , gestão e controle documental de terceiros, realizados pelo REGRHAN, necessários a construção das UFVs. ENVIADO POR MATHEUS VILELA</t>
  </si>
  <si>
    <t>[CCC07042]</t>
  </si>
  <si>
    <t>PRESTAÇÃO DE SERVIÇOS UFVs  NF 3381 REGRHAN</t>
  </si>
  <si>
    <t>004555</t>
  </si>
  <si>
    <t>PRESTAÇÃO DE SERVIÇOS UFVs  NF 3378 REGRHAN</t>
  </si>
  <si>
    <t>003673</t>
  </si>
  <si>
    <t>PRESTAÇÃO DE SERVIÇOS UFVs  NF 3379 REGRHAN</t>
  </si>
  <si>
    <t>PRESTAÇÃO DE SERVIÇOS UFVs (TRÊS CORAÇÕES 3) NF 188</t>
  </si>
  <si>
    <t>Pagamento referente a medição 5, prestação de serviços. ENVIADO POR MATHEUS VILELA</t>
  </si>
  <si>
    <t>[CCC07043]</t>
  </si>
  <si>
    <t>PRESTAÇÃO DE SERVIÇOS UFVs (OURO FINO 2) NF 189</t>
  </si>
  <si>
    <t>003965</t>
  </si>
  <si>
    <t>PRESTAÇÃO DE SERVIÇO UFVs (SÃO SEBASTIÃO 4) NF 993</t>
  </si>
  <si>
    <t>[CCC07048]</t>
  </si>
  <si>
    <t>004563</t>
  </si>
  <si>
    <t>PRESTAÇÃO DE SERVIÇO UFVs (DIVINOPOLIS 1) NF 646 R&amp;C ELETRONICA</t>
  </si>
  <si>
    <t>Pagamento referente a prestação de serviços de fornecimento e implantação de sistemas. ENVIADO  POR MAX VISION.</t>
  </si>
  <si>
    <t>[CCC07049]</t>
  </si>
  <si>
    <t>004564</t>
  </si>
  <si>
    <t>PRESTAÇÃO DE SERVIÇO UFVs (DIVINOPOLIS 2) NF 647 R&amp;C ELETRONICA</t>
  </si>
  <si>
    <t>004566</t>
  </si>
  <si>
    <t>PRESTAÇÃO DE SERVIÇO UFVs (INDAIABIRA 3) NF 648 R&amp;C ELETRONICA</t>
  </si>
  <si>
    <t>004567</t>
  </si>
  <si>
    <t>PRESTAÇÃO DE SERVIÇO UFVs (INDAIABIRA 4) NF 649 R&amp;C ELETRONICA</t>
  </si>
  <si>
    <t>003967</t>
  </si>
  <si>
    <t>PRESTAÇÃO DE SERVIÇO UFVs (VARGINHA 5) NF 650 R&amp;C ELETRONICA</t>
  </si>
  <si>
    <t>003676</t>
  </si>
  <si>
    <t>PRESTAÇÃO DE SERVIÇO UFVs (PATOS DE MINAS 4) NF 651 R&amp;C ELETRONICA</t>
  </si>
  <si>
    <t>004568</t>
  </si>
  <si>
    <t>PRESTAÇÃO DE SERVIÇO UFVs (DIVINOPOLIS 2) PJ SERVIÇOS NF 94</t>
  </si>
  <si>
    <t>Pagamento referente a prestação de serviço de roçagem e adequação do perímetro para instalação do CFTV. ENVIADO POR AUGUSTO</t>
  </si>
  <si>
    <t>[CCC07050]</t>
  </si>
  <si>
    <t>004569</t>
  </si>
  <si>
    <t>PRESTAÇÃO DE SERVIÇO UFVs (SÃO SEBASTIÃO 6) PJ SERVIÇOS NF 95</t>
  </si>
  <si>
    <t>Pagamento referente a prestação de serviço de reparo da cerca do proprietário. ENVIADOPOR AUGUSTO</t>
  </si>
  <si>
    <t>003968</t>
  </si>
  <si>
    <t>PRESTAÇÃO DE SERVIÇO UFVs (ARCOS 7) ASE SOLAR NF 191</t>
  </si>
  <si>
    <t>Pagamento referente ao serviço de montagem eletromecânica para APOIO TÉCNICO EM MONTAGEM DE CABINE DE MEDIÇÄO NA UFV ARCOS para entrega das usinas pela implantação ENVIADOPOR AUGUSTO</t>
  </si>
  <si>
    <t>[CCC07051]</t>
  </si>
  <si>
    <t xml:space="preserve">ASE </t>
  </si>
  <si>
    <t>003969</t>
  </si>
  <si>
    <t>PRESTAÇÃO DE SERVIÇO UFVs (SÃO SEBASTIÃO DO OESTE 4) ASE SOLAR NF 190</t>
  </si>
  <si>
    <t>003971</t>
  </si>
  <si>
    <t>COMPRA DE MATERIAIS UFVs (CAMBO BELO1) ATI NF 2839</t>
  </si>
  <si>
    <t>Pagamento referente a compra de materiais necessários a construção da USINA. ENVIADO POR ATI</t>
  </si>
  <si>
    <t>[CCC07052]</t>
  </si>
  <si>
    <t>004565</t>
  </si>
  <si>
    <t>COMPRA DE MATERIAIS UFVs (PARACATU 4) ATI NF 2840</t>
  </si>
  <si>
    <t>003680</t>
  </si>
  <si>
    <t>PRESTAÇÃO DE SERVIÇO UFVs (PATOS DE MINAS 4) MRODRIGUES MACHADO NF 91</t>
  </si>
  <si>
    <t>Pagamento referente a prestação de serviço do complemento de drenagem da UFV. ENVIADO POR GILSON</t>
  </si>
  <si>
    <t>[CCC07054]</t>
  </si>
  <si>
    <t>004579</t>
  </si>
  <si>
    <t>COMPRA DE MATERIAIS UFVs (PEDRA DO INDAIA 5)  NF 6472</t>
  </si>
  <si>
    <t>[CCC07056]</t>
  </si>
  <si>
    <t>PRESTAÇÃO DE SERVIÇO UFVs (TRES CORAÇÕES 3)  RIMA NF 481</t>
  </si>
  <si>
    <t>Pagamento referente a SUPRESSÃO VEGETAL. ENVIADO POR DENER</t>
  </si>
  <si>
    <t>[CCC07059]</t>
  </si>
  <si>
    <t>PRESTAÇÃO DE SERVIÇO UFVs (VARGINHA 1) PJ SERVIÇOS NF 97</t>
  </si>
  <si>
    <t>Pagamento referente a manutenção e roçagem na UFV. ENVIADO POR VAGNER</t>
  </si>
  <si>
    <t>[CCC07061]</t>
  </si>
  <si>
    <t>004020</t>
  </si>
  <si>
    <t>PRESTAÇÃO DE SERVIÇO UFVs (PARAGUAÇU 1) PJ SERVIÇOS NF 98</t>
  </si>
  <si>
    <t>Pagamento referente a manutenção e limpeza de caixas de passagem dentro UFV. ENVIADO POR VAGNER</t>
  </si>
  <si>
    <t>[CCC07062]</t>
  </si>
  <si>
    <t>004021</t>
  </si>
  <si>
    <t>MEDIÇÃO (MCD BALDONI)</t>
  </si>
  <si>
    <t>PRESTRAÇÃO DE SERVIÇOS UFVs (TRES CORAÇÕES 3) NF 294</t>
  </si>
  <si>
    <t>PRESTAÇÃO DE SERVIÇOS E MÃO DE OBRA- MEDIÇÃO . APROVADO POR MATHEUS VILELA</t>
  </si>
  <si>
    <t>[CCC07063]</t>
  </si>
  <si>
    <t>Mudar depois da Aprovação do Contrato para Servições de Terraplanagem - ROMANEI</t>
  </si>
  <si>
    <t>004022</t>
  </si>
  <si>
    <t>PRESTRAÇÃO DE SERVIÇOS UFVs (TRES CORAÇÕES 3) N 445</t>
  </si>
  <si>
    <t>PRESTAÇÃO DE SERVIÇOS LOCAÇÃO. APROVADO POR MATHEUS VILELA</t>
  </si>
  <si>
    <t>004585</t>
  </si>
  <si>
    <t>PRESTAÇÃO DE SERVIÇO UFVs (PARACATU 5) ARCANJO NF 139</t>
  </si>
  <si>
    <t>[CCC07064]</t>
  </si>
  <si>
    <t>004582</t>
  </si>
  <si>
    <t>PRESTAÇÃO DE SERVIÇO UFVs (PARACATU 4) ARCANJO NF 140</t>
  </si>
  <si>
    <t>COMPRA DE MATERIAIS UFVs (ALFENAS 4) DALILA NF 2889</t>
  </si>
  <si>
    <t>Pagamento referente a compra de materiais complementares necessários na construção da UFV. ENVIADO POR VAGNER</t>
  </si>
  <si>
    <t>[CCC07065]</t>
  </si>
  <si>
    <t>004023</t>
  </si>
  <si>
    <t>COMPRA DE MATERIAIS UFVs (CAMPO BELO 1) DALILA NF2894</t>
  </si>
  <si>
    <t>Pagamento referente a compra de materiais complementares necessarios na construção da UFV. ENVIADO POR VAGNER</t>
  </si>
  <si>
    <t>003687</t>
  </si>
  <si>
    <t>COMPRA DE MATERIAIS UFVs (DIAMANTINA 1) DALILA NF 2900</t>
  </si>
  <si>
    <t>COMPRA DE MATERIAIS UFVs (DIAMANTINA 2) DALILA NF 2902</t>
  </si>
  <si>
    <t>COMPRA DE MATERIAIS UFVs (FORMIGA 6) DALILA NF 2891</t>
  </si>
  <si>
    <t>004024</t>
  </si>
  <si>
    <t>COMPRA DE MATERIAIS UFVs (OURO FINO 2) DALILA NF 2903</t>
  </si>
  <si>
    <t>004584</t>
  </si>
  <si>
    <t>COMPRA DE MATERIAIS UFVs (PARACATU 4) DALILA NF 2892</t>
  </si>
  <si>
    <t>COMPRA DE MATERIAIS UFVs (PARACATU 5) DALILA NF 2893</t>
  </si>
  <si>
    <t>004026</t>
  </si>
  <si>
    <t>COMPRA DE MATERIAIS UFVs (SANTO ANTÔNIO DO AMPARO 1) DALILA NF 2890</t>
  </si>
  <si>
    <t>004586</t>
  </si>
  <si>
    <t>COMPRA DE MATERIAIS UFVs (SÃO SEBASTIÃO) DALILA NF 2905</t>
  </si>
  <si>
    <t>004027</t>
  </si>
  <si>
    <t>COMPRA DE MATERIAIS UFVs (TRÊS CORAÇÕES 3) DALILA NF 2887</t>
  </si>
  <si>
    <t>004028</t>
  </si>
  <si>
    <t>MEDIÇÃO(ELETROCAMP)</t>
  </si>
  <si>
    <t>PRESTAÇÃO DE SERVIÇOS UFVs  (TRES CORAÇÕES 3) NF 15153 ELETROCAMP</t>
  </si>
  <si>
    <t>CONSTRUCAO DE REDE ELETRICA CONFORME ADITIVO DO CONTRATO 078/2023 DE 12/07/2023 .ENVIADO E APROVADO GUILHERME KURSEL</t>
  </si>
  <si>
    <t>[CCC07067]</t>
  </si>
  <si>
    <t>004029</t>
  </si>
  <si>
    <t>PRESTAÇÃO DE SERVIÇOS UFVs  (TRES CORAÇÕES 3) NF 15152 ELETROCAMP</t>
  </si>
  <si>
    <t>056055</t>
  </si>
  <si>
    <t>PRESTAÇÃO DE SERVIÇOS              NF 87852  AVAPRO</t>
  </si>
  <si>
    <t>Pagamento referente ao treinamento colaborador, curso NR -10 . APROVADO POR MATHEUS VILELA</t>
  </si>
  <si>
    <t>[CCC07068]</t>
  </si>
  <si>
    <t>004034</t>
  </si>
  <si>
    <t>PRESTAÇÃO DE SERVIÇOS UFVs (SÃO SEBASTIÃO DO OESTE 4) NF 30792</t>
  </si>
  <si>
    <t>Pagamento de medição ADITIVO , correspondente ao fornecimento de material e mão de obra especializada para execuções de serviços adicionais para a construção da sala O&amp;M na usina. APROVADO POR MÁRCIO ELI</t>
  </si>
  <si>
    <t>[CCC07069]</t>
  </si>
  <si>
    <t xml:space="preserve">GTEL </t>
  </si>
  <si>
    <t>PRESTAÇÃO DE SERVIÇOS UFVs (PASSOS  4) NF 30793</t>
  </si>
  <si>
    <t>004600</t>
  </si>
  <si>
    <t>PRESTAÇÃO DE SERVIÇOS UFVs (DIVINOPOLIS 1) NF 30974</t>
  </si>
  <si>
    <t>[CCC07070]</t>
  </si>
  <si>
    <t>004601</t>
  </si>
  <si>
    <t>PRESTAÇÃO DE SERVIÇOS UFVs (DIVINOPOLIS 2) NF 30795</t>
  </si>
  <si>
    <t>004633</t>
  </si>
  <si>
    <t>PRESTAÇÃO DE SERVIÇOS UFVs (PAINS 3) NF 30798</t>
  </si>
  <si>
    <t>004603</t>
  </si>
  <si>
    <t>PRESTAÇÃO DE SERVIÇOS UFVs (PARACATU 4) NF 30799</t>
  </si>
  <si>
    <t>004604</t>
  </si>
  <si>
    <t>PRESTAÇÃO DE SERVIÇOS UFVs (PARACATU 4) NF 30801</t>
  </si>
  <si>
    <t>004605</t>
  </si>
  <si>
    <t>PRESTAÇÃO DE SERVIÇOS UFVs (PARACATU 5) NF 30800</t>
  </si>
  <si>
    <t>004606</t>
  </si>
  <si>
    <t>PRESTAÇÃO DE SERVIÇOS UFVs (PARACATU 5) NF 30802</t>
  </si>
  <si>
    <t>004607</t>
  </si>
  <si>
    <t>PRESTAÇÃO DE SERVIÇOS UFVs (SÃO SEBASTIAO DO OESTE 0 ) NF 30797</t>
  </si>
  <si>
    <t>004609</t>
  </si>
  <si>
    <t>PRESTAÇÃO DE SERVIÇOS UFVs (SÃO SEBASTIÃO DO OESTE 6) NF 30820</t>
  </si>
  <si>
    <t>004036</t>
  </si>
  <si>
    <t>MEDIÇÃO MENSAL JULHO/2024  UFVs NEWCO IV   LMENG  NF 13673</t>
  </si>
  <si>
    <t>Pagamento de medição referente ao serviço de mobilização, necessário à construção da usina. APROVADO POR  MATHEUS VILELLA</t>
  </si>
  <si>
    <t>[CCC07071]</t>
  </si>
  <si>
    <t>MEDIÇÃO MENSAL JULHO/2024  UFVs MORI II  LMENG  NF 13671</t>
  </si>
  <si>
    <t>004608</t>
  </si>
  <si>
    <t>MEDIÇÃO MENSAL JULHO/2024  UFVs EDN  LMENG  NF  13672</t>
  </si>
  <si>
    <t>MEDIÇÃO MENSAL JULHO/2024  UFVs NEWCO V  LMENG  NF 13674</t>
  </si>
  <si>
    <t>056068</t>
  </si>
  <si>
    <t>Outros - Serviços UFV</t>
  </si>
  <si>
    <t>COMPRA DE MATERIAIS UFVs        NF 137959 PIONEIRA EQUIPAMENTOS</t>
  </si>
  <si>
    <t>Pagamento referente a compra de EPI'S para novo colaborador. Enviado por Andressa e APROVADO POR MATHEUS VILELLA</t>
  </si>
  <si>
    <t>[CCC07072]</t>
  </si>
  <si>
    <t xml:space="preserve">PIONEIRA </t>
  </si>
  <si>
    <t>004037</t>
  </si>
  <si>
    <t>MEDIÇÃO ELETROCAMP CONSTRUÇÕES ELETRICAS</t>
  </si>
  <si>
    <t>PRESTAÇÃO DE SERVIÇOS UFVs (OURO FINO 2) NF 15178</t>
  </si>
  <si>
    <t xml:space="preserve">Pagamento referente a medição de aditivo  construção de rede eletrética conforme aditivo do contrato. APROVADO POR GUILHERME KUSEL </t>
  </si>
  <si>
    <t>[CCC07075]</t>
  </si>
  <si>
    <t>004038</t>
  </si>
  <si>
    <t>PRESTAÇÃO DE SERVIÇOS UFVs (OURO FINO 2) NF 15177</t>
  </si>
  <si>
    <t xml:space="preserve">Pagamento referente a medição parcela 02 da construção de rede eletrica conforme clausula primeira do contrato. APROVADO POR GUILHERME KUSEL </t>
  </si>
  <si>
    <t>MEDIÇÃO (SJR PROTEÇÃO)</t>
  </si>
  <si>
    <t>PRESTAÇÃO DE SERVIÇOS UFVs (PASSOS 4) NF 17 SJR PROTEÇÃO</t>
  </si>
  <si>
    <t>Pagamento referente ao serviços de parametrização e testes nas 3 proteções Siemens 7SR5111, teste de comissionamento da proteção e medição de sequencia de fase. APROVADO POR MARCIO ELI</t>
  </si>
  <si>
    <t>[CCC07076]</t>
  </si>
  <si>
    <t>PRESTAÇÃO DE SERVIÇOS UFV (VARGINHA 2) NF    PJ SERVIÇOS</t>
  </si>
  <si>
    <t>Pagamento referente a manutenção e limpeza de caixas de passagem dentro UFV Varginha 02. APROVADO POR VAGNER</t>
  </si>
  <si>
    <t>[CCC07077]</t>
  </si>
  <si>
    <t xml:space="preserve">COMPRA DE MATERIAIS UFV (MUZAMBINHO) NF 11729    SANTA EDWIGES </t>
  </si>
  <si>
    <t>Pagamento referente ao fornecimento de materiais necessários para obra em usina UFV Muzambinho APROVADO POR VAGNER</t>
  </si>
  <si>
    <t>[CCC07078]</t>
  </si>
  <si>
    <t>004061</t>
  </si>
  <si>
    <t>COMPRA DE MATERIAIS UFVs  (MUZAMBINHO)  LOJA ELETRICA NF 571367</t>
  </si>
  <si>
    <t>Pagamento referente a compra de materiais de consumo. ENVIADO POR VAGNER</t>
  </si>
  <si>
    <t>[CCC07080]</t>
  </si>
  <si>
    <t>004614</t>
  </si>
  <si>
    <t>COMPRA DE MATERIAIS UFV (PARACATU 5) NF 2859</t>
  </si>
  <si>
    <t xml:space="preserve">Pagamento referente a compra de materiais. ENVIADO POR ATI  - APROVADO POR SARAH BATISTA </t>
  </si>
  <si>
    <t>[CCC07081]</t>
  </si>
  <si>
    <t>COMPRA DE MATERIAIS UFV (FORMIGA 6) NF 2860</t>
  </si>
  <si>
    <t>004621</t>
  </si>
  <si>
    <t>COMPRA DE MATERIAIS UFV (PEDRA DO INDAIA 5) NF 2864</t>
  </si>
  <si>
    <t>[CCC07082]</t>
  </si>
  <si>
    <t>004622</t>
  </si>
  <si>
    <t>COMPRA DE MATERIAIS UFV (PARACATU 4) NF 2865</t>
  </si>
  <si>
    <t>004625</t>
  </si>
  <si>
    <t>COMPRA DE MATERIAIS UFV (PARACATU 5) NF 2866</t>
  </si>
  <si>
    <t>004045</t>
  </si>
  <si>
    <t>COMPRA DE MATERIAIS UFV (ARCOS 7) NF 2868</t>
  </si>
  <si>
    <t>004624</t>
  </si>
  <si>
    <t>PRESTAÇÃO DE SERVIÇOS UFVs (PARACATU 4) NF  1003 ATI</t>
  </si>
  <si>
    <t>Pagamento referente ao serviço de instalação de sistema de supervisão. ENVIAO POR ATI APROVADO POR SARAH BATISTA</t>
  </si>
  <si>
    <t>[CCC07083]</t>
  </si>
  <si>
    <t>004626</t>
  </si>
  <si>
    <t>PRESTAÇÃO DE SERVIÇOS UFVs (PARACATU 5) NF  1004 ATI</t>
  </si>
  <si>
    <t>004627</t>
  </si>
  <si>
    <t>PRESTAÇÃO DE SERVIÇOS UFVs (PEDRA DO INDAIA 1) NF 1005  ATI</t>
  </si>
  <si>
    <t>Pagamento referente ao serviço de  licenciamento ou cessao de direito de uso de programas de computação. ENVIAO POR ATI APROVADO POR SARAH BATISTA</t>
  </si>
  <si>
    <t>004628</t>
  </si>
  <si>
    <t>PRESTAÇÃO DE SERVIÇOS UFVs (PEDRA DO INDAIA 3) NF 1006 ATI</t>
  </si>
  <si>
    <t>004629</t>
  </si>
  <si>
    <t>PRESTAÇÃO DE SERVIÇOS UFVs (PEDRA DO INDAIA 1) NF  1007 ATI</t>
  </si>
  <si>
    <t>Pagamento referente ao serviço de suporte técnico em informática, inclusive instalação, configuração e manutenção de programas de
computação e banco de dados. ENVIADO POR ATI APROVADO POR SARAH BATISTA</t>
  </si>
  <si>
    <t>004631</t>
  </si>
  <si>
    <t>PRESTAÇÃO DE SERVIÇOS UFVs (PEDRA DO INDAIA 3) NF 1008  ATI</t>
  </si>
  <si>
    <t>004050</t>
  </si>
  <si>
    <t xml:space="preserve">RONDA PORTEIROS </t>
  </si>
  <si>
    <t xml:space="preserve">PRESTAÇÃO DE SERVIÇOS UFVs (TRES CORAÇÕES 3) NF 2611 RONDA </t>
  </si>
  <si>
    <t xml:space="preserve">Pagamento referente a prestação de serviços com vigias diurnos e noturnos. </t>
  </si>
  <si>
    <t>[CCC07086]</t>
  </si>
  <si>
    <t>004051</t>
  </si>
  <si>
    <t xml:space="preserve">PRESTAÇÃO DE SERVIÇOS UFVs (TRES CORAÇÕES 3) NF 2612 RONDA </t>
  </si>
  <si>
    <t>004052</t>
  </si>
  <si>
    <t>PRESTAÇÃO DE SERVIÇOS UFVs (MUZAMBINHO) NF 2582</t>
  </si>
  <si>
    <t>004053</t>
  </si>
  <si>
    <t>PRESTAÇÃO DE SERVIÇOS UFVs (OURO FINO 2) NF 2585</t>
  </si>
  <si>
    <t>004055</t>
  </si>
  <si>
    <t>PRESTAÇÃO DE SERVIÇOS UFVs (OURO FINO 2) NF 2584</t>
  </si>
  <si>
    <t>004056</t>
  </si>
  <si>
    <t>PRESTAÇÃO DE SERVIÇOS UFVs (CAMPO BELO 1) NF2564</t>
  </si>
  <si>
    <t>PRESTAÇÃO DE SERVIÇOS UFVs (CAMPO BELO 2) NF2565</t>
  </si>
  <si>
    <t>AGUARDANDO CORREÇÃO CNPJ VAGNER</t>
  </si>
  <si>
    <t>004057</t>
  </si>
  <si>
    <t>PRESTAÇÃO DE SERVIÇOS UFVs (SANTO ANTONIO DO AMPARO) NF2604</t>
  </si>
  <si>
    <t xml:space="preserve">Pagamento referente a prestação de serviços com vigias diurnos e noturnos.  </t>
  </si>
  <si>
    <t>PRESTAÇÃO DE SERVIÇOS UFVs (ALFENAS 4 ) NF 2558</t>
  </si>
  <si>
    <t>004635</t>
  </si>
  <si>
    <t xml:space="preserve">PRESTAÇÃO DE SERVIÇOS UFVs (PEDRA DO INDAIA 5) NF 22   KELVER HENRIQUE </t>
  </si>
  <si>
    <t>Pagamento referente instalação ar condicionado, na usina. APROVADO POR AUGUSTO</t>
  </si>
  <si>
    <t>[CCC07087]</t>
  </si>
  <si>
    <t>AGUARDANDO ATUALIZAÇÃO CADASTRO</t>
  </si>
  <si>
    <t>004636</t>
  </si>
  <si>
    <t>PRESTAÇÃO DE SERVIÇOS UFVs (PEDRA DO INDAIA 5) NF  33 TERRA FORTE</t>
  </si>
  <si>
    <t>Pagamento referente ao serviço de adequação de perímetro para instalação de CFTV. APROVADO POR AUGUSTO</t>
  </si>
  <si>
    <t>[CCC07088]</t>
  </si>
  <si>
    <t>004637</t>
  </si>
  <si>
    <t>PRESTAÇÃO DE SERVIÇOS UFVs (SÃO SEBASTIÃO DO OESTE 6) NF 111  JULIANO AUGUSTO</t>
  </si>
  <si>
    <t>[CCC07089]</t>
  </si>
  <si>
    <t>JULIANO AUGUSTO</t>
  </si>
  <si>
    <t>004058</t>
  </si>
  <si>
    <t>PRESTAÇÃO DE SERVIÇOS UFVs (SÃO SEBASTIÃO DO OESTE 4) NF 110  JULIANO AUGUSTO</t>
  </si>
  <si>
    <t>[CCC07090]</t>
  </si>
  <si>
    <t>004198</t>
  </si>
  <si>
    <t>COMPRA DE MATERIAIS UFVs ROMAGNOLE NF 0235002</t>
  </si>
  <si>
    <t>[CCC07092]</t>
  </si>
  <si>
    <t>004199</t>
  </si>
  <si>
    <t>COMPRA DE MATERIAIS UFVs ROMAGNOLE NF 0235032</t>
  </si>
  <si>
    <t>[CCC07093]</t>
  </si>
  <si>
    <t>004641</t>
  </si>
  <si>
    <t>PAGAMENTO DE TAXAS UFVS (PARACATU 5) N 0924024828529</t>
  </si>
  <si>
    <t>Pagamento referente a taxa de segurança publica. vistoria corpo de bombeiros. ENVIADO POR DENER  - AVCB</t>
  </si>
  <si>
    <t>[CCC07094]</t>
  </si>
  <si>
    <t>004642</t>
  </si>
  <si>
    <t>PAGAMENTO DE TAXAS UFVS (PARACATU 4) N 0924024828111</t>
  </si>
  <si>
    <t>PAGAMENTO DE TAXAS UFVS (VARJÃO 4) N 924024828600</t>
  </si>
  <si>
    <t>PAGAMENTO DE TAXAS UFVS (DIAMANTINA 2) N 0924024827531</t>
  </si>
  <si>
    <t>PAGAMENTO DE TAXAS UFVS (PARACATU 8) N 0924024827794</t>
  </si>
  <si>
    <t>CONSTRUMANAGER - UFVs (MORI II)  09/2024     NF 329527</t>
  </si>
  <si>
    <t>[CCC07095]</t>
  </si>
  <si>
    <t>004064</t>
  </si>
  <si>
    <t>PRESTAÇÃO DE SERVIÇOS UFVs (SÃO SEBASTIÃO DO OESTE 1) NF  109 JULIANO AUGUSTO</t>
  </si>
  <si>
    <t>Serviço de manutenção de caixa de passagem e roçagem. ENVIADO POR AUGUSTO XAVIER</t>
  </si>
  <si>
    <t>[CCC07097]</t>
  </si>
  <si>
    <t>PRESTAÇÃO DE SERVIÇOS UFVs (ALFENAS 4) SEVEN ENGENHARIA NF 202400000000506</t>
  </si>
  <si>
    <t>Pagamento referente a medição de ELABORAÇÃO DE PROJETO CONTRA INCÊNDIO. ENVIADO POR DENER</t>
  </si>
  <si>
    <t>[CCC07098]</t>
  </si>
  <si>
    <t>004065</t>
  </si>
  <si>
    <t>PRESTAÇÃO DE SERVIÇOS UFVs (ARCOS 7) SEVEN ENGENHARIA NF 202400000000494</t>
  </si>
  <si>
    <t>004066</t>
  </si>
  <si>
    <t>PRESTAÇÃO DE SERVIÇOS UFVs (BAMBUI 1.1) SEVEN ENGENHARIA NF 202400000000495</t>
  </si>
  <si>
    <t>PRESTAÇÃO DE SERVIÇOS UFVs (BAMBUI 1.2) SEVEN ENGENHARIA NF 202400000000507</t>
  </si>
  <si>
    <t>004643</t>
  </si>
  <si>
    <t>PRESTAÇÃO DE SERVIÇOS UFVs (BURITIZEIRO 1) SEVEN ENGENHARIA NF 202400000000525</t>
  </si>
  <si>
    <t>004644</t>
  </si>
  <si>
    <t>PRESTAÇÃO DE SERVIÇOS UFVs (BURITIZEIRO 2)SEVEN ENGENHARIA NF 202400000000526</t>
  </si>
  <si>
    <t>004067</t>
  </si>
  <si>
    <t>PRESTAÇÃO DE SERVIÇOS UFVs (CAMPO BELO 1)SEVEN ENGENHARIA NF 202400000000496</t>
  </si>
  <si>
    <t>PRESTAÇÃO DE SERVIÇOS UFVs (CAMPO BELO 2) SEVEN ENGENHARIA NF 202400000000508</t>
  </si>
  <si>
    <t>004068</t>
  </si>
  <si>
    <t>PRESTAÇÃO DE SERVIÇOS UFVs (CAMPO BELO 3)SEVEN ENGENHARIA NF 202400000000497</t>
  </si>
  <si>
    <t>004069</t>
  </si>
  <si>
    <t>PRESTAÇÃO DE SERVIÇOS UFVs (CAMPO BELO 5)SEVEN ENGENHARIA NF 202400000000498</t>
  </si>
  <si>
    <t>004070</t>
  </si>
  <si>
    <t>PRESTAÇÃO DE SERVIÇOS UFVs (CASSIA 1)SEVEN ENGENHARIA NF 202400000000499_x000D_</t>
  </si>
  <si>
    <t>PRESTAÇÃO DE SERVIÇOS UFVs (CASSIA 2)SEVEN ENGENHARIA NF 202400000000509</t>
  </si>
  <si>
    <t>PRESTAÇÃO DE SERVIÇOS UFVs (DIAMANTINA 1) SEVEN ENGENHARIA NF 202400000000480</t>
  </si>
  <si>
    <t>004646</t>
  </si>
  <si>
    <t>PRESTAÇÃO DE SERVIÇOS UFVs (DIVINOPOLIS 1) SEVEN ENGENHARIA NF 202400000000515</t>
  </si>
  <si>
    <t>004647</t>
  </si>
  <si>
    <t>PRESTAÇÃO DE SERVIÇOS UFVs (DIVINOPOLIS 2) SEVEN ENGENHARIA NF 202400000000516_x000D_</t>
  </si>
  <si>
    <t>004648</t>
  </si>
  <si>
    <t>PRESTAÇÃO DE SERVIÇOS UFVs (DIVINOPOLIS 3) SEVEN ENGENHARIA NF 202400000000517</t>
  </si>
  <si>
    <t>PRESTAÇÃO DE SERVIÇOS UFVs (FORMIGA 6) SEVEN ENGENHARIA NF 202400000000510</t>
  </si>
  <si>
    <t>PRESTAÇÃO DE SERVIÇOS UFVs (FREI INOCENCIO 1) SEVEN ENGENHARIA NF 202400000000481_x000D_</t>
  </si>
  <si>
    <t>004649</t>
  </si>
  <si>
    <t>PRESTAÇÃO DE SERVIÇOS UFVs (GUARDA MOR) SEVEN ENGENHARIA NF 202400000000530_x000D_</t>
  </si>
  <si>
    <t>004650</t>
  </si>
  <si>
    <t>PRESTAÇÃO DE SERVIÇOS UFVs (INDAIABIRA 1) SEVEN ENGENHARIA NF 202400000000521</t>
  </si>
  <si>
    <t>004651</t>
  </si>
  <si>
    <t>PRESTAÇÃO DE SERVIÇOS UFVs (INDAIABIRA 2) SEVEN ENGENHARIA NF 202400000000522</t>
  </si>
  <si>
    <t>004652</t>
  </si>
  <si>
    <t>PRESTAÇÃO DE SERVIÇOS UFVs (INDAIABIRA 3) SEVEN ENGENHARIA NF 202400000000523_x000D_</t>
  </si>
  <si>
    <t>004653</t>
  </si>
  <si>
    <t>PRESTAÇÃO DE SERVIÇOS UFVs (INDAIABIRA 4) SEVEN ENGENHARIA NF 202400000000524</t>
  </si>
  <si>
    <t>004654</t>
  </si>
  <si>
    <t>PRESTAÇÃO DE SERVIÇOS UFVs (JABOTICATUBAS) SEVEN ENGENHARIA NF 202400000000531</t>
  </si>
  <si>
    <t>PRESTAÇÃO DE SERVIÇOS UFVs (LAGOA FORMOSA) SEVEN ENGENHARIA NF 202400000000482</t>
  </si>
  <si>
    <t>PRESTAÇÃO DE SERVIÇOS UFVs (NOVA PONTE 1) SEVEN ENGENHARIA NF 202400000000483</t>
  </si>
  <si>
    <t>004655</t>
  </si>
  <si>
    <t>PRESTAÇÃO DE SERVIÇOS UFVs (PAINS 3) SEVEN ENGENHARIA NF 202400000000527</t>
  </si>
  <si>
    <t>004075</t>
  </si>
  <si>
    <t>PRESTAÇÃO DE SERVIÇOS UFVs (PARAGUAÇU 1) SEVEN ENGENHARIA NF 202400000000500</t>
  </si>
  <si>
    <t>PRESTAÇÃO DE SERVIÇOS UFVs (PASSOS 4) SEVEN ENGENHARIA NF 202400000000511</t>
  </si>
  <si>
    <t>PRESTAÇÃO DE SERVIÇOS UFVs (PATOS DE MINAS 1) SEVEN ENGENHARIA NF 202400000000485</t>
  </si>
  <si>
    <t>PRESTAÇÃO DE SERVIÇOS UFVs (PATOS DE MINAS 3) SEVEN ENGENHARIA NF 202400000000486</t>
  </si>
  <si>
    <t>PRESTAÇÃO DE SERVIÇOS UFVs (PATOS DE MINAS 4) SEVEN ENGENHARIA NF 202400000000487</t>
  </si>
  <si>
    <t>PRESTAÇÃO DE SERVIÇOS UFVs (PATOS DE MINAS 7) SEVEN ENGENHARIA NF 202400000000488</t>
  </si>
  <si>
    <t>003723</t>
  </si>
  <si>
    <t>PRESTAÇÃO DE SERVIÇOS UFVs (PATOS DE MINAS 8) SEVEN ENGENHARIA NF 202400000000489</t>
  </si>
  <si>
    <t>003724</t>
  </si>
  <si>
    <t>PRESTAÇÃO DE SERVIÇOS UFVs (PATROCINIO 2) SEVEN ENGENHARIA NF 202400000000490</t>
  </si>
  <si>
    <t>003725</t>
  </si>
  <si>
    <t>PRESTAÇÃO DE SERVIÇOS UFVs (PATROCINIO 3) SEVEN ENGENHARIA NF 202400000000491_x000D_</t>
  </si>
  <si>
    <t>004658</t>
  </si>
  <si>
    <t>PRESTAÇÃO DE SERVIÇOS UFVs (PEDRA DO INDAIA 1) SEVEN ENGENHARIA NF 202400000000518_x000D_</t>
  </si>
  <si>
    <t>004659</t>
  </si>
  <si>
    <t>PRESTAÇÃO DE SERVIÇOS UFVs (PEDRA DO INDAIA 3) SEVEN ENGENHARIA NF 202400000000519</t>
  </si>
  <si>
    <t>004660</t>
  </si>
  <si>
    <t>PRESTAÇÃO DE SERVIÇOS UFVs (PEDRA DO INDAIA 5) SEVEN ENGENHARIA NF 202400000000520</t>
  </si>
  <si>
    <t>004077</t>
  </si>
  <si>
    <t>PRESTAÇÃO DE SERVIÇOS UFVs (SANTO ANTONIO DO AMPARO) SEVEN ENGENHARIA NF 202400000000505_x000D_</t>
  </si>
  <si>
    <t>004661</t>
  </si>
  <si>
    <t>PRESTAÇÃO DE SERVIÇOS UFVs (SÃO SEBASTIÃO 0) SEVEN ENGENHARIA NF 202400000000528</t>
  </si>
  <si>
    <t>004078</t>
  </si>
  <si>
    <t>PRESTAÇÃO DE SERVIÇOS UFVs (SÃO SEBASTIÃO 1) SEVEN ENGENHARIA NF 202400000000501</t>
  </si>
  <si>
    <t>PRESTAÇÃO DE SERVIÇOS UFVs (SÃO SEBASTIÃO 3) SEVEN ENGENHARIA NF 202400000000512_x000D_</t>
  </si>
  <si>
    <t>PRESTAÇÃO DE SERVIÇOS UFVs (SÃO SEBASTIÃO 4) SEVEN ENGENHARIA NF 202400000000502</t>
  </si>
  <si>
    <t>002516</t>
  </si>
  <si>
    <t>PRESTAÇÃO DE SERVIÇOS UFVs (SÃO SEBASTIÃO 5) SEVEN ENGENHARIA NF 202400000000513</t>
  </si>
  <si>
    <t>004662</t>
  </si>
  <si>
    <t>PRESTAÇÃO DE SERVIÇOS UFVs (SÃO SEBASTIÃO 6) SEVEN ENGENHARIA NF 202400000000529</t>
  </si>
  <si>
    <t>004080</t>
  </si>
  <si>
    <t>PRESTAÇÃO DE SERVIÇOS UFVs (VARGINHA 1) SEVEN ENGENHARIA NF 202400000000532</t>
  </si>
  <si>
    <t>PRESTAÇÃO DE SERVIÇOS UFVs (VARGINHA 2) SEVEN ENGENHARIA NF 202400000000514</t>
  </si>
  <si>
    <t>004081</t>
  </si>
  <si>
    <t>PRESTAÇÃO DE SERVIÇOS UFVs (VARGINHA 5) SEVEN ENGENHARIA NF 202400000000504</t>
  </si>
  <si>
    <t>003726</t>
  </si>
  <si>
    <t>PRESTAÇÃO DE SERVIÇOS UFVs (VARJÃO 1) SEVEN ENGENHARIA NF 202400000000492</t>
  </si>
  <si>
    <t>004076</t>
  </si>
  <si>
    <t>PRESTAÇÃO DE SERVIÇO UFVs (SANTO ANTÔNIO DO AMPARO 1) NF 2654 NORTE CONEXÃO</t>
  </si>
  <si>
    <t>Serviço necessário à disponibilização de fibra óptica, necessário a construção das UFVs . ENVIADO POR  LEONARDO</t>
  </si>
  <si>
    <t>[CCC07099]</t>
  </si>
  <si>
    <t>PRESTAÇÃO DE SERVIÇO UFVs (PASSOS 4) NF 2655 NORTE CONEXÃO</t>
  </si>
  <si>
    <t>Serviço necessário à disponibilização de fibra óptica, necessário a construção das UFVs . APROVADO POR AUGUSTO</t>
  </si>
  <si>
    <t>004656</t>
  </si>
  <si>
    <t>PRESTAÇÃO DE SERVIÇO UFVs (PARACATU 4) NF 2656 NORTE CONEXÃO</t>
  </si>
  <si>
    <t>004657</t>
  </si>
  <si>
    <t>PRESTAÇÃO DE SERVIÇO UFVs (PARACATU 5) NF 2657 NORTE CONEXÃO</t>
  </si>
  <si>
    <t>004663</t>
  </si>
  <si>
    <t>PRESTAÇÃO DE SERVIÇOS UFVs  NF  3559 REGRHAN</t>
  </si>
  <si>
    <t>[CCC07100]</t>
  </si>
  <si>
    <t>003727</t>
  </si>
  <si>
    <t>PRESTAÇÃO DE SERVIÇOS UFVs  NF  3560 REGRHAN</t>
  </si>
  <si>
    <t>004082</t>
  </si>
  <si>
    <t>PRESTAÇÃO DE SERVIÇOS UFVs  NF 3561  REGRHAN</t>
  </si>
  <si>
    <t>PRESTAÇÃO DE SERVIÇOS UFVs  NF  3562 REGRHAN</t>
  </si>
  <si>
    <t>PRESTAÇÃO DE SERVIÇOS UFVs  (VARGINHA 2) BALDONI 460</t>
  </si>
  <si>
    <t>Pagamento de medição referente à locação de equipamento. APROVADO POR MATHEUS VILELA</t>
  </si>
  <si>
    <t>[CCC07101]</t>
  </si>
  <si>
    <t>PRESTAÇÃO DE SERVIÇOS UFVs  (VARGINHA 2) BALDONI NF 307</t>
  </si>
  <si>
    <t xml:space="preserve"> Pagamento referente ao serviço de terraplanagem necessário à construção da UFV.  APROVADO POR MATHEUS VILELA</t>
  </si>
  <si>
    <t>004083</t>
  </si>
  <si>
    <t>PRESTAÇÃO DE SERVIÇOS UFVs  (VARGINHA 1) BALDONI NF 301</t>
  </si>
  <si>
    <t xml:space="preserve"> Pagamento referente ao serviço de drenagem necessário à construção da UFV.  APROVADO POR MATHEUS VILELA</t>
  </si>
  <si>
    <t>[CCC07102]</t>
  </si>
  <si>
    <t>004087</t>
  </si>
  <si>
    <t>PRESTAÇÃO DE SERVIÇOS UFVs  (VARGINHA 1) BALDONI NF 455</t>
  </si>
  <si>
    <t>004085</t>
  </si>
  <si>
    <t>PRESTAÇÃO DE SERVIÇOS UFVs  (VARGINHA 1) BALDONI NF 302</t>
  </si>
  <si>
    <t>[CCC07103]</t>
  </si>
  <si>
    <t>004086</t>
  </si>
  <si>
    <t>PRESTAÇÃO DE SERVIÇOS UFVs  (VARGINHA 1) BALDONI NF 454</t>
  </si>
  <si>
    <t xml:space="preserve"> Pagamento referente ao serviço de locação necessário à construção da UFV.  APROVADO POR MATHEUS VILELA</t>
  </si>
  <si>
    <t>003728</t>
  </si>
  <si>
    <t>MEDIÇÃO (R&amp;M SOLAR )</t>
  </si>
  <si>
    <t>PRESTAÇÃO DE SERVIÇOS UFVs (PATOS DE MINAS 4) NF 97</t>
  </si>
  <si>
    <t>Pagamento de medição referente  à execução do complemento de drenagem do Projeto Patos de Minas 4. APROVADO POR GILSON</t>
  </si>
  <si>
    <t>[CCC07104]</t>
  </si>
  <si>
    <t>PRESTAÇÃO DE SERVIÇOS UFVs  (VARGINHA 2) BALDONI 461</t>
  </si>
  <si>
    <t>[CCC07105]</t>
  </si>
  <si>
    <t>PRESTAÇÃO DE SERVIÇOS UFVs  (VARGINHA 2) BALDONI NF 306</t>
  </si>
  <si>
    <t xml:space="preserve"> Pagamento referente ao serviço de drenagem, necessário à construção da UFV.  APROVADO POR MATHEUS VILELA</t>
  </si>
  <si>
    <t>003740</t>
  </si>
  <si>
    <t>PRESTAÇÃO DE SERVIÇOS UFVs (PATOS DE MINAS 3) NF 98</t>
  </si>
  <si>
    <t>Pagamento de medição referente à execução do complemento de drenagem do Projeto Patos de Minas 3. APROVADO POR GILSON</t>
  </si>
  <si>
    <t>[CCC07106]</t>
  </si>
  <si>
    <t>003741</t>
  </si>
  <si>
    <t>MEDIÇÃO MENSAL SETEMBRO/2024 UFVs (DIAMANTINA 2) LMENG  NF 13741</t>
  </si>
  <si>
    <t>[CCC07107]</t>
  </si>
  <si>
    <t>004680</t>
  </si>
  <si>
    <t>MEDIÇÃO MENSAL SETEMBRO/2024 UFVs (SÃO SEBASTIÃO 0) LMENG  NF 13742</t>
  </si>
  <si>
    <t>004099</t>
  </si>
  <si>
    <t>MEDIÇÃO MENSAL SETEMBRO/2024 UFVs (MUZAMBINHO 1) LMENG  NF 13743</t>
  </si>
  <si>
    <t>MEDIÇÃO MENSAL SETEMBRO/2024 UFVs (PASSOS 4) LMENG  NF 13744</t>
  </si>
  <si>
    <t>003742</t>
  </si>
  <si>
    <t>PRESTAÇÃO DE SERVIÇOS UFVs (DIAMANTINA 1) NF  2734</t>
  </si>
  <si>
    <t>Pagamento referente ao serviço de vigilancia noturno e diurno. APROVADO POR GILSON</t>
  </si>
  <si>
    <t>[CCC07109]</t>
  </si>
  <si>
    <t>003743</t>
  </si>
  <si>
    <t>PRESTAÇÃO DE SERVIÇOS UFVs (DIAMANTINA 2) NF 2735</t>
  </si>
  <si>
    <t xml:space="preserve">ELIMINADO </t>
  </si>
  <si>
    <t>004102</t>
  </si>
  <si>
    <t>PRESTAÇÃO DE SERVIÇOS UFVs (OURO FINO 2) NF 3366</t>
  </si>
  <si>
    <t>Prestação de serviço de linha viva para atender modificação de rede de distribuição rural e urbana para atender à UFV (OURO FINO 2). APROVADO POR MARCIO</t>
  </si>
  <si>
    <t>[CCC07111]</t>
  </si>
  <si>
    <t>Linha Viva Escopo Comerc</t>
  </si>
  <si>
    <t>004104</t>
  </si>
  <si>
    <t>PRESTAÇÃO DE SERVIÇOS UFVs (SANTO ANTONIO DO AMPARO) NF 3367</t>
  </si>
  <si>
    <t>Prestação de serviço de Linha Viva em rede de distribuição 13,8kV para atender à UFV (SANTO ANTONIO DO AMPARO). APROVADO POR MARCIO</t>
  </si>
  <si>
    <t>004105</t>
  </si>
  <si>
    <t>PRESTAÇÃO DE SERVIÇOS UFVs (OURO FINO 2) NF 3368</t>
  </si>
  <si>
    <t>Prestação de serviço de extensão e modificação de rede de distribuição rural e urbana para atender à UFV (OURO FINO). APROVADO POR MARCIO</t>
  </si>
  <si>
    <t>[CCC07112]</t>
  </si>
  <si>
    <t>004106</t>
  </si>
  <si>
    <t>PRESTAÇÃO DE SERVIÇOS UFVs (TRES CORACOES) NF 3369</t>
  </si>
  <si>
    <t>Prestação de serviço de extensão e modificação de rede de distribuição rural e urbana para atender à UFV (TRÊS CORAÇÕES). APROVADO POR MARCIO.</t>
  </si>
  <si>
    <t>004107</t>
  </si>
  <si>
    <t>PRESTAÇÃO DE SERVIÇOS UFVs (BAMBUI 1.1) SEVEN ENGENHARIA NF 546</t>
  </si>
  <si>
    <t>[CCC07114]</t>
  </si>
  <si>
    <t>PRESTAÇÃO DE SERVIÇOS UFVs (BAMBUI 1.2) SEVEN ENGENHARIA NF 582</t>
  </si>
  <si>
    <t>004683</t>
  </si>
  <si>
    <t>PRESTAÇÃO DE SERVIÇOS UFVs (BURITIZEIRO 1) SEVEN ENGENHARIA NF 579</t>
  </si>
  <si>
    <t>004682</t>
  </si>
  <si>
    <t>PRESTAÇÃO DE SERVIÇOS UFVs (BURITIZEIRO 2) SEVEN ENGENHARIA NF 580</t>
  </si>
  <si>
    <t>004108</t>
  </si>
  <si>
    <t>PRESTAÇÃO DE SERVIÇOS UFVs (CASSIA 1) SEVEN ENGENHARIA NF 547_x000D_</t>
  </si>
  <si>
    <t>PRESTAÇÃO DE SERVIÇOS UFVs (CASSIA 2) SEVEN ENGENHARIA NF 560</t>
  </si>
  <si>
    <t>PRESTAÇÃO DE SERVIÇOS UFVs (FREI INOCÊNCIO) SEVEN ENGENHARIA NF 534</t>
  </si>
  <si>
    <t>004684</t>
  </si>
  <si>
    <t>PRESTAÇÃO DE SERVIÇOS UFVs (GUARDA MOR) SEVEN ENGENHARIA NF 581</t>
  </si>
  <si>
    <t>004685</t>
  </si>
  <si>
    <t>PRESTAÇÃO DE SERVIÇOS UFVs (INDAIABIRA 1) SEVEN ENGENHARIA NF 575_x000D_</t>
  </si>
  <si>
    <t>004686</t>
  </si>
  <si>
    <t>PRESTAÇÃO DE SERVIÇOS UFVs (INDAIABIRA 2) SEVEN ENGENHARIA NF 576</t>
  </si>
  <si>
    <t>004687</t>
  </si>
  <si>
    <t>PRESTAÇÃO DE SERVIÇOS UFVs (INDAIABIRA 3) SEVEN ENGENHARIA NF 577</t>
  </si>
  <si>
    <t>004688</t>
  </si>
  <si>
    <t>PRESTAÇÃO DE SERVIÇOS UFVs (INDAIABIRA 4) SEVEN ENGENHARIA NF 578</t>
  </si>
  <si>
    <t>PRESTAÇÃO DE SERVIÇOS UFVs (LAGOA FORMOSA) SEVEN ENGENHARIA NF 535_x000D_</t>
  </si>
  <si>
    <t>003748</t>
  </si>
  <si>
    <t>PRESTAÇÃO DE SERVIÇOS UFVs (NOVA PONTE 1) SEVEN ENGENHARIA NF 536</t>
  </si>
  <si>
    <t>004111</t>
  </si>
  <si>
    <t>PRESTAÇÃO DE SERVIÇOS UFVs (SÃO SEBASTIÃO 1) SEVEN ENGENHARIA NF 548</t>
  </si>
  <si>
    <t>PRESTAÇÃO DE SERVIÇOS UFVs (SÃO SEBASTIÃO 3) SEVEN ENGENHARIA NF 562</t>
  </si>
  <si>
    <t>PRESTAÇÃO DE SERVIÇOS UFVs (SÃO SEBASTIÃO 5) SEVEN ENGENHARIA NF 563</t>
  </si>
  <si>
    <t>004112</t>
  </si>
  <si>
    <t>PRESTAÇÃO DE SERVIÇOS UFVs (VARGINHA 1) SEVEN ENGENHARIA NF 549</t>
  </si>
  <si>
    <t>PRESTAÇÃO DE SERVIÇOS UFVs (VARGINHA 2) SEVEN ENGENHARIA NF 564</t>
  </si>
  <si>
    <t>PRESTAÇÃO DE SERVIÇOS UFVs (VARGINHA 5) SEVEN ENGENHARIA NF 550</t>
  </si>
  <si>
    <t>PRESTAÇÃO DE SERVIÇOS UFVs (VARJÃO DE MINAS 1) SEVEN ENGENHARIA NF 544</t>
  </si>
  <si>
    <t>004109</t>
  </si>
  <si>
    <t>PRESTAÇÃO DE SERVIÇOS UFVs (MUZAMBINHO) SJR PROTEÇÃO NF 18</t>
  </si>
  <si>
    <t>Pagamento referente aos serviços de parametrização e testes nas 3 proteções Siemens 7SR5111, testes de comissionamento da proteção e controle nos 3 eletrocentros, medição de sequência de fase, módulo e ângulo na energização da UFV (MUZAMBINHO). APROVADO POR MARCIO.</t>
  </si>
  <si>
    <t>[CCC07115]</t>
  </si>
  <si>
    <t>004114</t>
  </si>
  <si>
    <t xml:space="preserve">COMPRA DE MATERIAIS UFVs (OURO FINO 2) NF 103 SERRALHERIA REZENDE </t>
  </si>
  <si>
    <t xml:space="preserve">Pagamento  referente a compra de materiais, dentro do escopo da IMPLANTAÇÃO. APROVADO POR RAFAEL </t>
  </si>
  <si>
    <t>[CCC07116]</t>
  </si>
  <si>
    <t xml:space="preserve">SERRALHERIA REZENDE </t>
  </si>
  <si>
    <t>PRESTAÇÃO DE SERVIÇOS UFVs (ALFENAS 4) NF 3372</t>
  </si>
  <si>
    <t>Pagamento referente ao serviço de extensão e modificação de rede de distribuição rural e urbana para atender à UFV. APROVADO POR MARCIO</t>
  </si>
  <si>
    <t>[CCC07117]</t>
  </si>
  <si>
    <t>004689</t>
  </si>
  <si>
    <t>PRESTAÇÃO DE SERVIÇOS UFVs (SÃO SEBASTIÃO 0) NF  108 JULIANO AUGUSTO</t>
  </si>
  <si>
    <t>[CCC07118]</t>
  </si>
  <si>
    <t>PRESTAÇÃO DE SERVIÇOS UFVs (SÃO SEBASTIÃO 5) NF   JULIANO AUGUSTO</t>
  </si>
  <si>
    <t>[CCC07119]</t>
  </si>
  <si>
    <t>PEDIDO CANCELADO/ ELIMINADO</t>
  </si>
  <si>
    <t>004690</t>
  </si>
  <si>
    <t>COMPRA DE MATERIAIS UFVS (PARACATU 4) NF 1784</t>
  </si>
  <si>
    <t>Pagamento referente a compra de materiais para as usinas. APROVADO POR MARCIO</t>
  </si>
  <si>
    <t>[CCC07120]</t>
  </si>
  <si>
    <t xml:space="preserve">MAX VISION </t>
  </si>
  <si>
    <t>004691</t>
  </si>
  <si>
    <t>COMPRA DE MATERIAIS UFVS (PARACATU 5) NF 1785</t>
  </si>
  <si>
    <t>COMPRA DE MATERIAIS UFVS (PARACATU 8) NF 1786</t>
  </si>
  <si>
    <t>004154</t>
  </si>
  <si>
    <t>COMPRA DE MATERIAIS UFVS (CAMPO BELO 5) NF 1787</t>
  </si>
  <si>
    <t>004298</t>
  </si>
  <si>
    <t>COMPRA DE MATERIAIS UFVs ROMAGNOLE NF 235722</t>
  </si>
  <si>
    <t>Pagamento referente a compra de material. ENVIADO POR MARCIO  **NOTA DE REMESSA NÃO GERA FINANCEIRO, APENAS ESCRITURAR**</t>
  </si>
  <si>
    <t>[CCC07121]</t>
  </si>
  <si>
    <t>004166</t>
  </si>
  <si>
    <t>PRESTAÇÃO DE SERVIÇOS UFVs (OURO FINO 2) NF 860</t>
  </si>
  <si>
    <t>[CCC07122]</t>
  </si>
  <si>
    <t xml:space="preserve">PAGAMENTO INDENIZAÇÃO UFVs (PASSOS 4) MARIA AUGUSTA </t>
  </si>
  <si>
    <t>PAGAMENTO REFERENTE O CONTRATO DE INDENIZAÇÃO DE REALOCAÇÃO DA REDE NÃO POSSUI NOTA FISCAL, APENAS CONTRATO . ENVIADO POR DENER</t>
  </si>
  <si>
    <t>[CCC07123]</t>
  </si>
  <si>
    <t xml:space="preserve">MARIA AUGUSTA </t>
  </si>
  <si>
    <t>PRESTAÇÃO DE SERVIÇOS UFVs (PATOS DE MINAS 4) NF 099</t>
  </si>
  <si>
    <t>Pagamento referente a prestação de serviços de drenagem. APROVADO GILSON</t>
  </si>
  <si>
    <t>[CCC07124]</t>
  </si>
  <si>
    <t>004176</t>
  </si>
  <si>
    <t>PRESTAÇÃO DE SERVIÇO UFVs (OURO FINO 2) ASE ENGENHARIA NF 195</t>
  </si>
  <si>
    <t>Pagamento referente a medição 6, prestação de serviços. ENVIADO POR RAFAEL</t>
  </si>
  <si>
    <t>[CCC07125]</t>
  </si>
  <si>
    <t>004172</t>
  </si>
  <si>
    <t>PRESTAÇÃO DE SERVIÇO UFVs (TRES CORAÇÕES 3) ASE ENGENHARIA NF 193</t>
  </si>
  <si>
    <t>[CCC07126]</t>
  </si>
  <si>
    <t>004174</t>
  </si>
  <si>
    <t>COMPRA DE MATERIAIS UFVs (MUZAMBINHO) NILTON RIBEIRO NF 11830</t>
  </si>
  <si>
    <t>Pagamento referente a compra de telhas, necessário a construção das usinas. ENVIADO POR RAFAEL.</t>
  </si>
  <si>
    <t>[CCC07127]</t>
  </si>
  <si>
    <t>NILTON RIBEIRO</t>
  </si>
  <si>
    <t>004178</t>
  </si>
  <si>
    <t>COMPRA DE MATERIAIS UFVs (CAMPO BELO 1) DALILA NF</t>
  </si>
  <si>
    <t>Pagamento referente a compra de materiais complementares necessarios na construção da UFV. ENVIADO POR RAFAEL</t>
  </si>
  <si>
    <t>[CCC07128]</t>
  </si>
  <si>
    <t>004179</t>
  </si>
  <si>
    <t>COMPRA DE MATERIAIS UFVs (SANTO ANTÔNIO DO AMPARO 1) DALILA NF</t>
  </si>
  <si>
    <t>002574</t>
  </si>
  <si>
    <t>PRESTAÇÃO DE SERVIÇOS UFVs  (VARGINHA 2) BALDONI NF 471</t>
  </si>
  <si>
    <t xml:space="preserve">Pagamento de medição referente à locação de equipamento. APROVADO POR CARLOS - DRENAGEM </t>
  </si>
  <si>
    <t>[CCC07130]</t>
  </si>
  <si>
    <t>PRESTAÇÃO DE SERVIÇOS UFVs  (VARGINHA 2) BALDONI NF 472</t>
  </si>
  <si>
    <t>MEDIÇÃO ( MCD BALDONI)</t>
  </si>
  <si>
    <t>PRESTAÇÃO DE SERVIÇOS UFVs  (VARGINHA 2) BALDONI NF 317</t>
  </si>
  <si>
    <t xml:space="preserve"> Pagamento referente ao serviço de terraplenagem, necessário à construção da UFV. APROVADO POR CARLOS</t>
  </si>
  <si>
    <t>PRESTAÇÃO DE SERVIÇOS UFVs  (VARGINHA 2) BALDONI NF 318</t>
  </si>
  <si>
    <t xml:space="preserve"> Pagamento referente ao serviço de drenagem, necessário à construção da UFV. APROVADO POR CARLOS</t>
  </si>
  <si>
    <t>056144</t>
  </si>
  <si>
    <t>COMPRA DE MATERIAIS UFVs RM FRANCO NF 7451</t>
  </si>
  <si>
    <t>Pagamento referente a compra de materiais, necessário a construção das usinas. APROVADO POR GEORGE</t>
  </si>
  <si>
    <t>[CCC07131]</t>
  </si>
  <si>
    <t>RM FRANCO</t>
  </si>
  <si>
    <t>004180</t>
  </si>
  <si>
    <t>PRESTAÇÃO DE SERVIÇOS UFVs  (VARGINHA 1) BALDONI NF 315</t>
  </si>
  <si>
    <t xml:space="preserve"> Pagamento referente ao serviço de terraplenagem, necessário à construção da UFV. APROVADO POR CARLOS -</t>
  </si>
  <si>
    <t>[CCC07132]</t>
  </si>
  <si>
    <t>PRESTAÇÃO DE SERVIÇOS UFVs  (VARGINHA 1) BALDONI NF 470</t>
  </si>
  <si>
    <t>Pagamento de medição referente à locação de equipamento. APROVADO POR CARLOS -</t>
  </si>
  <si>
    <t>A601-ESTRELA DO NORTE HOLDING - MATRIZ</t>
  </si>
  <si>
    <t xml:space="preserve"> G&amp;M- Serviço de terraplanagem  UFVs (BURITIZEIRO 1) MEDIÇÃO FINAL    NF 66</t>
  </si>
  <si>
    <t>Pagamento de serviço de terraplanagem, 100 %   concluidos. Serviços  necessários a construção da UFVs .</t>
  </si>
  <si>
    <t>[CCC03905]</t>
  </si>
  <si>
    <t xml:space="preserve"> G&amp;M- Serviço de terraplanagem  UFVs (BURITIZEIRO2) MEDIÇÃO FINAL  NF 67</t>
  </si>
  <si>
    <t>004185</t>
  </si>
  <si>
    <t>PRESTAÇÃO DE SERVIÇOS UFVs (MUZAMBINHO) ENGELUZ NF 715</t>
  </si>
  <si>
    <t>Pagamento de medição + aADITIVO , referente ao serviços de mão de obra especializada na construção RDR. APROVADO POR MARCIO</t>
  </si>
  <si>
    <t>004706</t>
  </si>
  <si>
    <t>PRESTAÇÃO DE SERVIÇOS UFVs (PARACATU 5) ENGELUZ NF 719</t>
  </si>
  <si>
    <t>[CCC07135]</t>
  </si>
  <si>
    <t>004707</t>
  </si>
  <si>
    <t>PRESTAÇÃO DE SERVIÇOS UFVs (PARACATU 4) ENGELUZ NF 720</t>
  </si>
  <si>
    <t>004704</t>
  </si>
  <si>
    <t>PRESTAÇÃO DE SERVIÇOS UFVs (SÃO SEBASTIÃO DO OESTE 0) ENGELUZ NF 718</t>
  </si>
  <si>
    <t>PRESTAÇÃO DE SERVIÇO UFV (PATOS DE MINAS 1) R&amp;C ELETRONICA NF 1790</t>
  </si>
  <si>
    <t>Pagamento de medição referente a de fornecimento e implantação de sistemas de circuito fechado de TV CGTV para segurança patrimonial. ADITIVO APROVADO POR MARCIO ELI</t>
  </si>
  <si>
    <t>[CCC07136]</t>
  </si>
  <si>
    <t>ROMANEI E AYSHA FIZERAM A OBS. Valor total da NF 22.075,76 - lagoa formosa, varjão4, patos de minas 1,3,4 e 7</t>
  </si>
  <si>
    <t xml:space="preserve"> A401-MORI MINAS NEWCO IV ENERGIA SOLAR S.A</t>
  </si>
  <si>
    <t>004187</t>
  </si>
  <si>
    <t>PRESTAÇÃO DE SERVIÇO UFV (VARGINHA 5) R&amp;C ELETRONICA NF 1795</t>
  </si>
  <si>
    <t>ROMANEI E AYSHA FIZERAM A OBS. Valor total da NF 22.075,76 - bambui 1, campo belo 3, cassia 1 e varginha 5</t>
  </si>
  <si>
    <t>PRESTAÇÃO DE SERVIÇO UFV (BAMBUÍ 2) R&amp;C ELETRONICA NF 1796</t>
  </si>
  <si>
    <t xml:space="preserve">ROMANEI E AYSHA FIZERAM A OBS. Valor total da NF 4.730,52  - bambui 2 e cassia 2
</t>
  </si>
  <si>
    <t>004708</t>
  </si>
  <si>
    <t>PRESTAÇÃO DE SERVIÇO UF (DIVINÓPOLIS 1) R&amp;C ELETRONICA NF 1797</t>
  </si>
  <si>
    <t>ROMANEI E AYSHA FIZERAM A OBS. Valor total da NF 9.461,04 - divinopolis 1 e 2, guarda-mor</t>
  </si>
  <si>
    <t>004709</t>
  </si>
  <si>
    <t>PRESTAÇÃO DE SERVICOS UFVs (SÃO SEBASTIÃO DO OESTE 0) NF 107 PJ SERVIÇOS JULIANO</t>
  </si>
  <si>
    <t>Pagamento referente a prestação de serviços de pendenicas para energização CEMIG- contrato implantação. APROVADO POR AUGUSTO</t>
  </si>
  <si>
    <t>[CCC07137]</t>
  </si>
  <si>
    <t>004188</t>
  </si>
  <si>
    <t>PRESTAÇÃO DE SERVIÇO UFVs (SANTO ANTONIO 1) NF 1138</t>
  </si>
  <si>
    <t>Pagamento de medição referente a servico de instalacao de sistema de supervisao. ENVIADO POR ATI. APROVADO POR ALEXANDRE</t>
  </si>
  <si>
    <t>[CCC07138]</t>
  </si>
  <si>
    <t>004189</t>
  </si>
  <si>
    <t>PRESTAÇÃO DE SERVIÇO UFVs (CAMPO BELO 1) NF 1139</t>
  </si>
  <si>
    <t>004190</t>
  </si>
  <si>
    <t>COMPRA DE MATERIAIS UFV (CAMPO BELO 1) NF 2889</t>
  </si>
  <si>
    <t>Pagamento referente a compra de materiais. ENVIADO POR ATI  - APROVADO POR ALEXANDRE</t>
  </si>
  <si>
    <t>[CCC07139]</t>
  </si>
  <si>
    <t>004191</t>
  </si>
  <si>
    <t>COMPRA DE MATERIAIS UFV (SANTO ANTONIO 1) NF 2890</t>
  </si>
  <si>
    <t>004192</t>
  </si>
  <si>
    <t>COMPRA DE MATERIAIS UFV (TRES CORAÇÕES 3) NF 2891</t>
  </si>
  <si>
    <t>004193</t>
  </si>
  <si>
    <t>COMPRA DE MATERIAIS UFV (SÃO SEBASTIÃO 4) NF 2892</t>
  </si>
  <si>
    <t>PRESTAÇÃO DE SERVIÇOS UFVs (VARJÃO DE MINAS 4) NF 100</t>
  </si>
  <si>
    <t>Pagamento medição final, referente a prestação de serviços de drenagem. APROVADO GILSON</t>
  </si>
  <si>
    <t>[CCC07140]</t>
  </si>
  <si>
    <t>004195</t>
  </si>
  <si>
    <t>PRESTAÇÃO DE SERVIÇOS UFVs ( CAMPO BELO 1) NF 2754  NORTE CONEXÃO</t>
  </si>
  <si>
    <t xml:space="preserve">Pagamento referente ativação de internet em planta ainda não estão energizadas. APROVADA POR MARCIO ELI </t>
  </si>
  <si>
    <t>[CCC07142]</t>
  </si>
  <si>
    <t>003756</t>
  </si>
  <si>
    <t>PRESTAÇÃO DE SERVIÇOS UFVs (VARJÃO DE MINAS 4) NF 101</t>
  </si>
  <si>
    <t>Pagamento medição referente ao aditivo, a prestação de serviços de drenagem. APROVADO GILSON</t>
  </si>
  <si>
    <t>[CCC07143]</t>
  </si>
  <si>
    <t>PRESTAÇÃO DE SERVIÇOS UFVs ( PASSOS 4) NF 2757  NORTE CONEXÃO</t>
  </si>
  <si>
    <t>[CCC07144]</t>
  </si>
  <si>
    <t>004714</t>
  </si>
  <si>
    <t>PRESTAÇÃO DE SERVIÇOS UFVs (PARACATU 4) NORTE CONEXÃO NF 2758</t>
  </si>
  <si>
    <t>Pagamento referente taxa de adesão de internet. ENVIADO POR JURICO</t>
  </si>
  <si>
    <t>[CCC07146]</t>
  </si>
  <si>
    <t>004715</t>
  </si>
  <si>
    <t>PRESTAÇÃO DE SERVIÇOS UFVs (PARACATU 5) NORTE CONEXÃO NF 2759</t>
  </si>
  <si>
    <t>004201</t>
  </si>
  <si>
    <t>PRESTAÇÃO DE SERVIÇOS UFVs (ARCOS 7) NORTE CONEXÃO NF 2760</t>
  </si>
  <si>
    <t xml:space="preserve">Pagamento referente taxa de adesão de internet. ENVIADO POR JURIDICO </t>
  </si>
  <si>
    <t>004202</t>
  </si>
  <si>
    <t>PRESTAÇÃO DE SERVIÇOS UFVs (SANTO ANTONIO 1) NORTE CONEXÃO NF 2761</t>
  </si>
  <si>
    <t>MRO - Terraplanagem UFVs Full-EPC -   MEDIÇAO INTERMEDIÁRIO 35 %  (FREI INOCENCIO 1)   NF382</t>
  </si>
  <si>
    <t>[CCC03825]</t>
  </si>
  <si>
    <t>MRO - Terraplanagem UFVs Full-EPC -   MEDIÇAO FINAL  (GUARDA MOR)    NF 380</t>
  </si>
  <si>
    <t>[CCC03823]</t>
  </si>
  <si>
    <t>004200</t>
  </si>
  <si>
    <t>PRESTAÇÃO DE SERVIÇOS UFVs (MUZAMBINHO) NF 2905</t>
  </si>
  <si>
    <t>Pagamento referente a compra de materiais, contrato implantação. APROVADO POR ALEXANDRE</t>
  </si>
  <si>
    <t>[CCC07147]</t>
  </si>
  <si>
    <t>004203</t>
  </si>
  <si>
    <t xml:space="preserve">MEDIÇÃO (NOVA MORADA) </t>
  </si>
  <si>
    <t>PRESTAÇÃO DE SERVIÇOS UFVs (MUZAMBINHO) NF 6508</t>
  </si>
  <si>
    <t xml:space="preserve">Pagamento medição 2, office Muzambinho. APROVADO POR RAFAEL </t>
  </si>
  <si>
    <t>[CCC07148]</t>
  </si>
  <si>
    <t>PRESTAÇÃO DE SERVIÇOS UFVs (FORMIGA) NF 2736</t>
  </si>
  <si>
    <t>Pagamento referente a prestação de serviços com vigias diurnos e noturnos. APROVADO POR AUGUSTO</t>
  </si>
  <si>
    <t>[CCC07149]</t>
  </si>
  <si>
    <t>PRESTAÇÃO DE SERVIÇOS UFVs (PARACATU 4 ) NF 2737</t>
  </si>
  <si>
    <t>004717</t>
  </si>
  <si>
    <t>PRESTAÇÃO DE SERVIÇOS UFVs (PARACATU 5) NF 2738</t>
  </si>
  <si>
    <t>004718</t>
  </si>
  <si>
    <t>PRESTAÇÃO DE SERVIÇOS UFVs (PARACATU 4 ) NF 2739</t>
  </si>
  <si>
    <t>004719</t>
  </si>
  <si>
    <t>PRESTAÇÃO DE SERVIÇOS UFVs (PARACATU 5 ) NF 2740</t>
  </si>
  <si>
    <t>PRESTAÇÃO DE SERVIÇOS UFVs (PASSOS 4) NF 2741</t>
  </si>
  <si>
    <t>004721</t>
  </si>
  <si>
    <t>PRESTAÇÃO DE SERVIÇOS UFVs (SÃO SEBASTIÃO 0) NF 2742</t>
  </si>
  <si>
    <t>004720</t>
  </si>
  <si>
    <t>Outros - Serviços à UFV GTEL</t>
  </si>
  <si>
    <t>PRESTAÇÃO DE SERVIÇOS UFVs (PARACATU 4 e 5 ) NF</t>
  </si>
  <si>
    <t>Pagamento referente montagem dos TC’s e TP’s das plantas de Paracatu 4 e 5, APROVADO POR AUGUSTO</t>
  </si>
  <si>
    <t>[CCC07150]</t>
  </si>
  <si>
    <t>004722</t>
  </si>
  <si>
    <t>COMPRA DE MATERIAIS UFV (SÃO SEBASTIÃO 0)  R&amp;C ELETRONICA NF 1800</t>
  </si>
  <si>
    <t>Pagamento referente a compra de cameras necessarios na construção da UFV. APROVADO POR MATHEUS VILELA</t>
  </si>
  <si>
    <t>[CCC07151]</t>
  </si>
  <si>
    <t>CÂMERAS FURTADAS DA UFV. NÃO DEVÁ SER DESCONTADO NO CONTRATO DA MAXVISION</t>
  </si>
  <si>
    <t>PRESTAÇÃO DE SERVIÇOS UFVs (SÃO SEBASTIÃO 3) JULIANO AUGUSTO NF  106</t>
  </si>
  <si>
    <t>Pagamento referente a prestação de serviço para ajuste de sistema CFTV. ENVIADO POR AUGUSTO APROVADO POR MATHEUS VILELA</t>
  </si>
  <si>
    <t>[CCC07153]</t>
  </si>
  <si>
    <t>PRESTAÇÃO DE SERVIÇOS UFVs (SÃO SEBASTIÃO 5) JULIANO AUGUSTO NF 5</t>
  </si>
  <si>
    <t>[CCC07154]</t>
  </si>
  <si>
    <t>COMPRA DE MATERIAIS UFV (NOVA PONTE) NF 1801</t>
  </si>
  <si>
    <t>Pagamento de aditivo, compra de materiais . APROVADO POR MARCIO ELI</t>
  </si>
  <si>
    <t>[CCC07155]</t>
  </si>
  <si>
    <t xml:space="preserve"> - Valor da Nota enviada: 77989,86.
Valor deve ser pago: 56389,87. Foi feita a devolução em dezembro/2024 pela maxvision no valor de 21.600, pela maysa silva</t>
  </si>
  <si>
    <t>COMPRA DE MATERIAIS UFVs ROMAGNOLE NF 236918</t>
  </si>
  <si>
    <t>[CCC07157]</t>
  </si>
  <si>
    <t>004769</t>
  </si>
  <si>
    <t xml:space="preserve">PRESTAÇÃO DE SERVIÇO UFVs (PAINS 3) NF 5  MARCO TULIO </t>
  </si>
  <si>
    <t>Pagamento referente a correção de infra de CFTV, contrato implantação. APROVADO POR AUGUSTO</t>
  </si>
  <si>
    <t>[CCC07158]</t>
  </si>
  <si>
    <t>FALTA NF</t>
  </si>
  <si>
    <t>MARCO TULIO</t>
  </si>
  <si>
    <t>004732</t>
  </si>
  <si>
    <t>PRESTAÇÃO DE SERVIÇO UFVs (DIVINOPOLIS 1) NF 026  RESENDE JORGE</t>
  </si>
  <si>
    <t>Pagamento referente desassoreamento próximo ao terreno da usina. APROVADO POR AUGUSTO/MATHEUS</t>
  </si>
  <si>
    <t>[CCC07159]</t>
  </si>
  <si>
    <t>004207</t>
  </si>
  <si>
    <t xml:space="preserve">PRESTAÇÃO DE SERVIÇOS UFVs (TRES CORAÇÕES) NF 2611 </t>
  </si>
  <si>
    <t>Pagamento referente a prestação de serviços com vigias diurnos e noturnos. ENVIADO POR RAFAEL</t>
  </si>
  <si>
    <t>[CCC07160]</t>
  </si>
  <si>
    <t>CANCELADA DUPLO</t>
  </si>
  <si>
    <t xml:space="preserve">     </t>
  </si>
  <si>
    <t>PRESTAÇÃO DE SERVIÇOS UFVs (ALFENAS) NF 2558</t>
  </si>
  <si>
    <t>004208</t>
  </si>
  <si>
    <t xml:space="preserve">PRESTAÇÃO DE SERVIÇOS UFVs (OURO FINO 2) NF </t>
  </si>
  <si>
    <t>Pagamento referente a prestação de serviços com vigias diurnos e noturnos. ADTIVO. ENVIADO POR RAFAEL</t>
  </si>
  <si>
    <t xml:space="preserve">DUPLO SOLICITAR ESTORNO </t>
  </si>
  <si>
    <t xml:space="preserve">PRESTAÇÃO DE SERVIÇOS UFVs (SANTO ANTONIO 1) NF </t>
  </si>
  <si>
    <t>DUPLO ENCERRADO</t>
  </si>
  <si>
    <t>004725</t>
  </si>
  <si>
    <t>PRESTAÇÃO DE SERVIÇOS UFVs (PEDRA DO INDAIA 1) NF 654</t>
  </si>
  <si>
    <t>Pagamento referente a prestação de serviços de fornecimento e implantação de sistemas. ENVIADO POR MAX VISION. APROVADO POR MATHEUS VILELA</t>
  </si>
  <si>
    <t>[CCC07161]</t>
  </si>
  <si>
    <t>004726</t>
  </si>
  <si>
    <t>PRESTAÇÃO DE SERVIÇOS UFVs (PEDRA DO INDAIA 3) NF 655</t>
  </si>
  <si>
    <t>PRESTAÇÃO DE SERVIÇOS UFVs (PEDRA DO INDAIA 5) NF 656</t>
  </si>
  <si>
    <t>004728</t>
  </si>
  <si>
    <t>PRESTAÇÃO DE SERVIÇOS UFVs (INDAIABIRA 1) NF 657</t>
  </si>
  <si>
    <t>004729</t>
  </si>
  <si>
    <t>PRESTAÇÃO DE SERVIÇOS UFVs (INDAIABIRA 2) NF 658</t>
  </si>
  <si>
    <t>PRESTAÇÃO DE SERVIÇOS UFVs (VARGINHA 2) NF 659</t>
  </si>
  <si>
    <t>PRESTAÇÃO DE SERVIÇOS UFVs (PARAGUAÇU 1) NF 660</t>
  </si>
  <si>
    <t>004730</t>
  </si>
  <si>
    <t>PRESTAÇÃO DE SERVIÇOS UFVs (BURITIZEIRO 1) NF 661</t>
  </si>
  <si>
    <t>004731</t>
  </si>
  <si>
    <t>PRESTAÇÃO DE SERVIÇOS UFVs (BURITIZEIRO 2) NF 662</t>
  </si>
  <si>
    <t>004248</t>
  </si>
  <si>
    <t>SERVIDÃO (OURO FINO 2)  AGUA VIVA INDUSTRIA</t>
  </si>
  <si>
    <t xml:space="preserve">Pagamento refernete  a servidão passagem, via Indenização. APROVADO POR GUILHERME </t>
  </si>
  <si>
    <t>[CCC07163]</t>
  </si>
  <si>
    <t xml:space="preserve">  AGUA VIVA INDUSTRIA</t>
  </si>
  <si>
    <t>004734</t>
  </si>
  <si>
    <t>MEDIÇÃO (SEVEN ENGENHARIA)</t>
  </si>
  <si>
    <t>PRESTAÇÃO DE SERVICOS UFVs (PAINS 3) NF 571</t>
  </si>
  <si>
    <t>Pagamento medição final aditivo, instalação de equipamentos contra incendio. AVCB. APROVADO POR GUILHERME ENVIADO POR DENER</t>
  </si>
  <si>
    <t>[CCC07164]</t>
  </si>
  <si>
    <t>PRESTAÇÃO DE SERVICOS UFVs (PATROCINIO 3 ) NF 543</t>
  </si>
  <si>
    <t>PRESTAÇÃO DE SERVICOS UFVs (PATOS DE MINAS 1 ) NF 537</t>
  </si>
  <si>
    <t>PRESTAÇÃO DE SERVICOS UFVs (PATOS DE MINAS 3) NF 538</t>
  </si>
  <si>
    <t>PRESTAÇÃO DE SERVICOS UFVs (PATOS DE MINAS 4) NF 539</t>
  </si>
  <si>
    <t>PRESTAÇÃO DE SERVICOS UFVs (PATOS DE MINAS 7) NF 540</t>
  </si>
  <si>
    <t>PRESTAÇÃO DE SERVICOS UFVs( PATOS DE MINAS 8) NF 541</t>
  </si>
  <si>
    <t>PRESTAÇÃO DE SERVICOS UFVs      ( PATROCINIO 2 ) NF 542</t>
  </si>
  <si>
    <t>PRESTAÇÃO DE SERVICOS UFVs      (PARAGUAÇU) NF 554</t>
  </si>
  <si>
    <t>004736</t>
  </si>
  <si>
    <t>PRESTAÇÃO DE SERVICOS UFVs      (PEDRA DO INDAIA 1 ) NF 568</t>
  </si>
  <si>
    <t>004737</t>
  </si>
  <si>
    <t>PRESTAÇÃO DE SERVICOS UFVs      (PEDRA DO INDAIA 3 ) NF 569</t>
  </si>
  <si>
    <t>004738</t>
  </si>
  <si>
    <t>PRESTAÇÃO DE SERVICOS UFVs      (PEDRA DO INDAIA 5 ) NF 568</t>
  </si>
  <si>
    <t>004216</t>
  </si>
  <si>
    <t xml:space="preserve">PRESTAÇÃO DE SERVICOS UFVs      (SANTO ANTONIO DO AMPARO )    NF 556 </t>
  </si>
  <si>
    <t>004739</t>
  </si>
  <si>
    <t>PRESTAÇÃO DE SERVICOS UFVs      (SÃO SEBASTIÃO DO OESTE 0) NF 572</t>
  </si>
  <si>
    <t>PRESTAÇÃO DE SERVICOS UFVs      (SÃO SEBASTIÃO DO OESTE 4) NF 555</t>
  </si>
  <si>
    <t>004740</t>
  </si>
  <si>
    <t>PRESTAÇÃO DE SERVICOS UFVs      (SÃO SEBASTIÃO DO OESTE 6) NF 573</t>
  </si>
  <si>
    <t>PRESTAÇÃO DE SERVICOS UFVs      ( ARCOS 7 ) NF 545</t>
  </si>
  <si>
    <t>PRESTAÇÃO DE SERVICOS UFVs      (ALFENAS 4 ) NF 557</t>
  </si>
  <si>
    <t>PRESTAÇÃO DE SERVICOS UFVs      (CAMPO BELO 1 ) NF 551</t>
  </si>
  <si>
    <t>PRESTAÇÃO DE SERVICOS UFVs      (CAMPO BELO 2 ) NF 558</t>
  </si>
  <si>
    <t>PRESTAÇÃO DE SERVICOS UFVs      (CAMPO BELO 3 ) NF 552</t>
  </si>
  <si>
    <t>004221</t>
  </si>
  <si>
    <t>PRESTAÇÃO DE SERVICOS UFVs      (CAMPO BELO 5 ) NF 553</t>
  </si>
  <si>
    <t>PRESTAÇÃO DE SERVICOS UFVs      ( DIAMANTNA 1) NF 533</t>
  </si>
  <si>
    <t>004742</t>
  </si>
  <si>
    <t>PRESTAÇÃO DE SERVICOS UFVs      ( DIVINOPOLIS 1) NF 565</t>
  </si>
  <si>
    <t>004743</t>
  </si>
  <si>
    <t>PRESTAÇÃO DE SERVICOS UFVs      ( DIVINOPOLIS 2) NF 566</t>
  </si>
  <si>
    <t>004744</t>
  </si>
  <si>
    <t>PRESTAÇÃO DE SERVICOS UFVs      ( DIVINOPOLIS 3) NF 567</t>
  </si>
  <si>
    <t>PRESTAÇÃO DE SERVICOS UFVs      ( FORMIGA 6 ) NF 559</t>
  </si>
  <si>
    <t>004745</t>
  </si>
  <si>
    <t>PRESTAÇÃO DE SERVICOS UFVs      (JABOTICATUBAS ) NF 574</t>
  </si>
  <si>
    <t>004222</t>
  </si>
  <si>
    <t>PRESTAÇÃO DE SERVIÇOS UFVs (SANTO ANTONIO DO AMAPARO 1)  SJR PROTEÇÃO NF 19</t>
  </si>
  <si>
    <t>Pagamento referente aos serviços de parametrização e testes nas 3 proteções Siemens 7SR5111, testes de comissionamento da proteção e controle nos 3 eletrocentros, medição de sequência de fase, módulo e ângulo na energização da UFV . APROVADO POR MARCIO.</t>
  </si>
  <si>
    <t>[CCC07165]</t>
  </si>
  <si>
    <t>PRESTAÇÃO DE SERVIÇOS UFVs (TRES CORAÇÕES 3) NF 2933</t>
  </si>
  <si>
    <t>Pagamento referente aos serviços de vigias. APROVADO POR RAFAEL</t>
  </si>
  <si>
    <t>[CCC07166]</t>
  </si>
  <si>
    <t>PRESTAÇÃO DE SERVIÇOS UFVs (ALFENAS) NF 2927</t>
  </si>
  <si>
    <t>PRESTAÇÃO DE SERVIÇOS UFVs (OURO FINO 2) NF 2930</t>
  </si>
  <si>
    <t>PRESTAÇÃO DE SERVIÇOS UFVs (OURO FINO 2) NF 2931</t>
  </si>
  <si>
    <t>Pagamento aditivo, referente aos serviços de vigias. APROVADO POR RAFAEL</t>
  </si>
  <si>
    <t>OUTROS (ENGELUZ)</t>
  </si>
  <si>
    <t>PRESTAÇÃO DE SERVIÇOS UFVs (DIAMANTINA 2) NF 223 CR ENERGY</t>
  </si>
  <si>
    <t xml:space="preserve"> Pagamento de medição, referente ao serviços de mão de obra especializada na construção. APROVADO POR MARCIO </t>
  </si>
  <si>
    <t>[CCC07167]</t>
  </si>
  <si>
    <t>002596</t>
  </si>
  <si>
    <t>PRESTAÇÃO DE SERVIÇOS UFVs (FORMIGA 6) NF 2921</t>
  </si>
  <si>
    <t>Pagamento referente aos serviços de vigias. APROVADO POR AUGUSTO</t>
  </si>
  <si>
    <t>[CCC07168]</t>
  </si>
  <si>
    <t>004748</t>
  </si>
  <si>
    <t>PRESTAÇÃO DE SERVIÇOS UFVs (PARACATU 4) NF 2922</t>
  </si>
  <si>
    <t>004749</t>
  </si>
  <si>
    <t xml:space="preserve">PRESTAÇÃO DE SERVIÇOS UFVs (PARACATU 5) NF </t>
  </si>
  <si>
    <t>004750</t>
  </si>
  <si>
    <t xml:space="preserve">PRESTAÇÃO DE SERVIÇOS UFVs (SÃO SEBASTIÃO 0) NF 2925 </t>
  </si>
  <si>
    <t>004759</t>
  </si>
  <si>
    <t>PRESTAÇÃO DE SERVIÇOS UFVs (PAINS 3) NF 4   ADRIANA APARECIDA</t>
  </si>
  <si>
    <t>Pagamento referente a execução dos serviços de CFTV. ENVIADO POR AUGUSTO</t>
  </si>
  <si>
    <t>[CCC07169]</t>
  </si>
  <si>
    <t xml:space="preserve"> ADRIANA APARECIDA</t>
  </si>
  <si>
    <t xml:space="preserve">PRESTAÇÃO DE SERVIÇOS UFVs (ARCOS 7) NF </t>
  </si>
  <si>
    <t>Pagamento referente ao serviço de remoção de enxame de abelhas para instalação do sistema de CFTV de Arcos 7. ENVIADO POR AUGUSTO</t>
  </si>
  <si>
    <t>[CCC07170]</t>
  </si>
  <si>
    <t>PRESTAÇÃO DE SERVIÇOS UFVs (ALFENAS 4) MARTINS ENGENHARIA NF 96</t>
  </si>
  <si>
    <t>Pagamento referente a prestação de serviços técnicos de 
engenharia/topografia. ENVIADO POR VAGNER</t>
  </si>
  <si>
    <t>[CCC07173]</t>
  </si>
  <si>
    <t>MARTINS ENGENHARIA</t>
  </si>
  <si>
    <t>004253</t>
  </si>
  <si>
    <t>PRESTAÇÃO DE SERVIÇOS UFVs (ARCOS 7) MARTINS ENGENHARIA NF 82</t>
  </si>
  <si>
    <t>004254</t>
  </si>
  <si>
    <t>PRESTAÇÃO DE SERVIÇOS UFVs (CAMPO BELO 1) MARTINS ENGENHARIA NF 81</t>
  </si>
  <si>
    <t>PRESTAÇÃO DE SERVIÇOS UFVs (CAMPO BELO 2) MARTINS ENGENHARIA NF 83</t>
  </si>
  <si>
    <t>PRESTAÇÃO DE SERVIÇOS UFVs (CAMPO BELO 3) MARTINS ENGENHARIA NF 87</t>
  </si>
  <si>
    <t>004256</t>
  </si>
  <si>
    <t>PRESTAÇÃO DE SERVIÇOS UFVs (CAMPO BELO 5) MARTINS ENGENHARIA NF 84</t>
  </si>
  <si>
    <t>PRESTAÇÃO DE SERVIÇOS UFVs (SANTO ANTONIO DO AMPARO 1) MARTINS ENGENHARIA NF 98</t>
  </si>
  <si>
    <t>004776</t>
  </si>
  <si>
    <t>PRESTAÇÃO DE SERVIÇOS UFVs (SÃO SEBASTIÃO 0) MARTINS ENGENHARIA NF 85</t>
  </si>
  <si>
    <t>004416</t>
  </si>
  <si>
    <t>PRESTAÇÃO DE SERVIÇOS UFVs (TRES CORAÇÕES 3) MARTINS ENGENHARIA NF 100</t>
  </si>
  <si>
    <t>PRESTAÇÃO DE SERVIÇOS UFVs (PATOS DE MINAS 3) MARTINS ENGENHARIA NF 105</t>
  </si>
  <si>
    <t>PRESTAÇÃO DE SERVIÇOS UFVs (MUZAMBINHO) MARTINS ENGENHARIA NF 103</t>
  </si>
  <si>
    <t>PRESTAÇÃO DE SERVIÇOS UFVs (DIAMANTINA 1) NF 3563 ENGELUZ</t>
  </si>
  <si>
    <t>Pagamento referente ao serviços de mão de obra especializada na construção. ENVIADO POR GUILHERME</t>
  </si>
  <si>
    <t>[CCC07174]</t>
  </si>
  <si>
    <t>PRESTAÇÃO DE SERVIÇOS UVFs NOTA DE DEBITO N 63 GP SERVIÇOS</t>
  </si>
  <si>
    <t>nota de débito, reembolso de despesas referente aos serviços de negociação de servidão de rede, prospecção de terrenos e assinatura de documentos. ENVIADO POR IGOR FUNDIARIO</t>
  </si>
  <si>
    <t>[CCC07176]</t>
  </si>
  <si>
    <t>PRESTAÇÃO DE SERVIÇOS UFVs  (ALFENAS 4) NORTE CONEXÃO  NF 2791</t>
  </si>
  <si>
    <t>[CCC07177]</t>
  </si>
  <si>
    <t>NORTE CONEXÃO / ATI</t>
  </si>
  <si>
    <t>PRESTAÇÃO DE SERVIÇOS UFVs  (FORMIGA ) NORTE CONEXÃO  NF 2792</t>
  </si>
  <si>
    <t>PRESTAÇÃO DE SERVIÇOS UFVs  (TRES CORAÇÕES) NORTE CONEXÃO  NF 2793</t>
  </si>
  <si>
    <t>004262</t>
  </si>
  <si>
    <t>PRESTAÇÃO DE SERVIÇOS UFVs  (CAMPO BELO 1) NORTE CONEXÃO  NF 2794</t>
  </si>
  <si>
    <t>004290</t>
  </si>
  <si>
    <t>PRESTAÇÃO DE SERVIÇOS UFVs  (MUZAMBINHO) NORTE CONEXÃO  NF 2795</t>
  </si>
  <si>
    <t>CONSTRUMANAGER - UFVs (MORI II)  11/2024     NF 331776</t>
  </si>
  <si>
    <t>[CCC07178]</t>
  </si>
  <si>
    <t>COMPRA DE MATERIAIS UFVs (DIAMANTINA 2) NF 5029   THERMTRONIC</t>
  </si>
  <si>
    <t>Compra de equipamento - Demanda relé controlador temperatura SKID Diamantina 2.APROVADO POR GILSON</t>
  </si>
  <si>
    <t>[CCC07179]</t>
  </si>
  <si>
    <t>THERMTRONIC</t>
  </si>
  <si>
    <t>002615</t>
  </si>
  <si>
    <t>PRESTAÇÃO DE SERVIÇOS UFVs  (CAMPO BELO 4) MAX VISION NF 663</t>
  </si>
  <si>
    <t>Pagamento referente a prestação de serviços de fornecimento e implantação de sistemas. ENVIADO POR MAX VISION. APROVADO POR ALEXANDRE - AS BUILT</t>
  </si>
  <si>
    <t>[CCC07180]</t>
  </si>
  <si>
    <t>004777</t>
  </si>
  <si>
    <t>PRESTAÇÃO DE SERVIÇOS UFVs  (SÃO SEBASTIÃO 0) MAX VISION NF 664</t>
  </si>
  <si>
    <t>004263</t>
  </si>
  <si>
    <t>PRESTAÇÃO DE SERVIÇOS UFVs  (SÃO SEBASTIÃO 1) MAX VISION NF 665</t>
  </si>
  <si>
    <t>PRESTAÇÃO DE SERVIÇOS UFVs  (SÃO SEBASTIÃO 3) MAX VISION NF 666</t>
  </si>
  <si>
    <t>PRESTAÇÃO DE SERVIÇOS UFVs  (SÃO SEBASTIÃO  4) MAX VISION NF 667</t>
  </si>
  <si>
    <t>004778</t>
  </si>
  <si>
    <t>PRESTAÇÃO DE SERVIÇOS UFVs  (SÃO SEBASTIÃO 6) MAX VISION NF 668</t>
  </si>
  <si>
    <t>004286</t>
  </si>
  <si>
    <t>COMPRA DE MATERIAIS UFVs (TRES CORAÇÕES 3) LOJA ELETRICA NF 578970</t>
  </si>
  <si>
    <t>Pagamento referente a compra de materiais eletricos para termino e entrega Usina. ENVIADO POR VAGNER</t>
  </si>
  <si>
    <t>[CCC07182]</t>
  </si>
  <si>
    <t>004283</t>
  </si>
  <si>
    <t>COMPRA DE MATERIAIS UFVs (OURO FINO 2) DEPOSITO BANDEIRANTES NF 3822</t>
  </si>
  <si>
    <t>Pagamento referente a compra de materiais para construção de office. ENVIADO POR VAGNER</t>
  </si>
  <si>
    <t>[CCC07183]</t>
  </si>
  <si>
    <t>DEPOSITO BANDEIRANTES</t>
  </si>
  <si>
    <t>PRESTAÇÃO SERVIÇOS UFVs (PASSOS 4) NF 1292</t>
  </si>
  <si>
    <t>Pagamento de medição referente a licenca de utilizacao do sistema SGD. ENVIADO POR ATI. APROVADO POR ALEXANDRE</t>
  </si>
  <si>
    <t>[CCC07184]</t>
  </si>
  <si>
    <t>PRESTAÇÃO SERVIÇOS UFVs (PASSOS 4) NF 1293</t>
  </si>
  <si>
    <t>Pagamento referente a comissionamento remoto de UFV. ENVIADO POR ATI. APROVADO POR ALEXANDRE</t>
  </si>
  <si>
    <t>PRESTAÇÃO SERVIÇOS UFVs (PASSOS 4) NF 1294</t>
  </si>
  <si>
    <t>PRESTAÇÃO SERVIÇOS UFVs (FORMIGA 6) NF 1295</t>
  </si>
  <si>
    <t>004287</t>
  </si>
  <si>
    <t>PRESTAÇÃO SERVIÇOS UFVs (ARCOS 7) NF 1296</t>
  </si>
  <si>
    <t>004288</t>
  </si>
  <si>
    <t>PRESTAÇÃO SERVIÇOS UFVs (PARAGUAÇU 1) NF 1297</t>
  </si>
  <si>
    <t>004289</t>
  </si>
  <si>
    <t>PRESTAÇÃO SERVIÇOS UFVs (SÃO SEBASTIÃO 4) NF 1298</t>
  </si>
  <si>
    <t>003814</t>
  </si>
  <si>
    <t>PRESTAÇÃO SERVIÇOS UFVs (PATOS DE MINAS 1) NF 1299</t>
  </si>
  <si>
    <t>003815</t>
  </si>
  <si>
    <t>PRESTAÇÃO SERVIÇOS UFVs (LAGOA FORMOSA) NF 1300</t>
  </si>
  <si>
    <t>004797</t>
  </si>
  <si>
    <t>PRESTAÇÃO SERVIÇOS UFVs (PEDRA DO INDAIA 5) NF 1301</t>
  </si>
  <si>
    <t>COMPRA DE MATERIAIS UFV (PASSOS 4) NF 2924</t>
  </si>
  <si>
    <t>[CCC07186]</t>
  </si>
  <si>
    <t>COMPRA DE MATERIAIS UFV (FORMIGA 6) NF 2925</t>
  </si>
  <si>
    <t>004291</t>
  </si>
  <si>
    <t>COMPRA DE MATERIAIS UFV (CAMPO BELO 5) NF 2926</t>
  </si>
  <si>
    <t>004292</t>
  </si>
  <si>
    <t>COMPRA DE MATERIAIS UFV (MUZAMBINHO) NF 2927</t>
  </si>
  <si>
    <t>004293</t>
  </si>
  <si>
    <t xml:space="preserve">COMPRA DE MATERIAIS UFV (TRES CORAÇÕES) NF 2929 </t>
  </si>
  <si>
    <t>004294</t>
  </si>
  <si>
    <t>Outros - Serviços à UFV (ASE)</t>
  </si>
  <si>
    <t>PRESTAÇÃO DE SERVIÇOS UFVs (SANTO ANTONIO 1) ASE ENGENHARIA NF 196</t>
  </si>
  <si>
    <t>Pagamento referente a instalação e montagem de aparelhos, máquinas e equipamentos, montagem industrial, prestados ao usuário final, exclusivamente com material por ele fornecido. ENVIADO POR VAGNER</t>
  </si>
  <si>
    <t>[CCC07188]</t>
  </si>
  <si>
    <t>004295</t>
  </si>
  <si>
    <t>PAGAMENTO DE TAXAS UFVS (TRES CORAÇÕES 3) N 0924025186148</t>
  </si>
  <si>
    <t>Pagamento referente a taxa de segurança publica. vistoria corpo de bombeiros. ENVIADO POR DENER</t>
  </si>
  <si>
    <t>[CCC07189]</t>
  </si>
  <si>
    <t>PAGAMENTO DE TAXAS UFVS (MUZAMBINHO) N 0924025185982</t>
  </si>
  <si>
    <t>004799</t>
  </si>
  <si>
    <t>PRESTAÇÃO DE SERVIÇOS UFVs  NF 3782  REGRHAN</t>
  </si>
  <si>
    <t>[CCC07190]</t>
  </si>
  <si>
    <t>003816</t>
  </si>
  <si>
    <t>PRESTAÇÃO DE SERVIÇOS UFVs  NF  3783 REGRHAN</t>
  </si>
  <si>
    <t>PRESTAÇÃO DE SERVIÇOS UFVs  NF  3784 REGRHAN</t>
  </si>
  <si>
    <t>PRESTAÇÃO DE SERVIÇOS UFVs  NF  3785 REGRHAN</t>
  </si>
  <si>
    <t>PRESTAÇÃO DE SERVIÇOS UFVs  (VARGINHA 2) BALDONI NF 310</t>
  </si>
  <si>
    <t xml:space="preserve"> Pagamento referente ao serviço de terraplenagem, necessário à construção da UFV. ENVIADO POR BALDONI</t>
  </si>
  <si>
    <t>[CCC07192]</t>
  </si>
  <si>
    <t>PRESTAÇÃO DE SERVIÇOS UFVs  (VARGINHA 2) BALDONI NF 465</t>
  </si>
  <si>
    <t>Pagamento de medição referente à locação de equipamento. ENVIADO POR BALDONI</t>
  </si>
  <si>
    <t>PRESTAÇÃO DE SERVIÇOS UFVs  (VARGINHA 2) BALDONI NF 311</t>
  </si>
  <si>
    <t>[CCC07193]</t>
  </si>
  <si>
    <t>PRESTAÇÃO DE SERVIÇOS UFVs  (VARGINHA 2) BALDONI NF 466</t>
  </si>
  <si>
    <t>PRESTAÇÃO DE SERVIÇOS UFVs  (VARGINHA 1) BALDONI NF 308</t>
  </si>
  <si>
    <t xml:space="preserve"> Pagamento referente ao serviço de drenagem, necessário à construção da UFV. ENVIADO POR BALDONI</t>
  </si>
  <si>
    <t>[CCC07194]</t>
  </si>
  <si>
    <t>PRESTAÇÃO DE SERVIÇOS UFVs  (VARGINHA 1) BALDONI NF 464</t>
  </si>
  <si>
    <t>PRESTAÇÃO DE SERVIÇOS UFVs  (VARGINHA 1) BALDONI NF 309</t>
  </si>
  <si>
    <t>[CCC07195]</t>
  </si>
  <si>
    <t>004304</t>
  </si>
  <si>
    <t>PRESTAÇÃO DE SERVIÇOS UFVs  (VARGINHA 1) BALDONI NF 463</t>
  </si>
  <si>
    <t>004305</t>
  </si>
  <si>
    <t>COMPRA DE MATERIAIS UFV (MUZAMBINHO) NF 6528</t>
  </si>
  <si>
    <t>Pagamento referente a compra de materiais. ENVIADO POR VAGNER</t>
  </si>
  <si>
    <t>[CCC07196]</t>
  </si>
  <si>
    <t>004306</t>
  </si>
  <si>
    <t>PRESTAÇÃO DE SERVIÇOS UFVs (ARCOS 7) NF 128  JULIANO AUGUSTO</t>
  </si>
  <si>
    <t>Pagamento referente a adequação de infra, contrato implantação. ENVIADO POR AUGUSTO APROVADO POR MATHEUS VILELA</t>
  </si>
  <si>
    <t>[CCC07197]</t>
  </si>
  <si>
    <t>COMPRA DE MATERIAIS UFV (OURO FINO 2) POLIMIX CONCRETOS NF 12100</t>
  </si>
  <si>
    <t>[CCC07200]</t>
  </si>
  <si>
    <t>POLIMIX CONCRETOS</t>
  </si>
  <si>
    <t>PRESTAÇÃO DE SERVIÇOS UFVs (OURO FINO 2) NF 1324 FABIANA FERREIRA</t>
  </si>
  <si>
    <t>Pagamento referente a prestação de serviço de concretagem, locação bomba. ENVIADO POR VAGNER</t>
  </si>
  <si>
    <t>FABIANA FERREIRA</t>
  </si>
  <si>
    <t>PRESTAÇÃO DE SERVIÇOS UFVs (FREI INOCÊNCIO 1) MARCOS CAMILO NF  8</t>
  </si>
  <si>
    <t>Pagamento referente a construção de caixas de passagem, sondagem e desobstrução de dutos. ENVIADO POR VAGNER</t>
  </si>
  <si>
    <t>[CCC07203]</t>
  </si>
  <si>
    <t>MARCOS CAMILO ENGE POWER ENGENHARIA</t>
  </si>
  <si>
    <t>PRESTAÇÃO DE SERVIÇOS UFVs  (ALFENAS 4) R MARTINS ENGENHARIA NF 95</t>
  </si>
  <si>
    <t xml:space="preserve"> Pagamento referente ao serviço de drenagem, necessário à construção da UFV. ENVIADO POR VAGNER</t>
  </si>
  <si>
    <t>[CCC07204]</t>
  </si>
  <si>
    <t>004417</t>
  </si>
  <si>
    <t>PRESTAÇÃO DE SERVIÇOS UFVs  (ARCOS 7) R MARTINS ENGENHARIA NF  89</t>
  </si>
  <si>
    <t>PRESTAÇÃO DE SERVIÇOS UFVs  (CAMPO BELO 1) R MARTINS ENGENHARIA NF 90</t>
  </si>
  <si>
    <t>PRESTAÇÃO DE SERVIÇOS UFVs  (CAMPO BELO 2) R MARTINS ENGENHARIA NF 91</t>
  </si>
  <si>
    <t>PRESTAÇÃO DE SERVIÇOS UFVs  (CAMPO BELO 3) R MARTINS ENGENHARIA NF 93</t>
  </si>
  <si>
    <t>PRESTAÇÃO DE SERVIÇOS UFVs  (CAMPO BELO 5) R MARTINS ENGENHARIA NF 92</t>
  </si>
  <si>
    <t>PRESTAÇÃO DE SERVIÇOS UFVs  (SANTO ANTONIO 1) R MARTINS ENGENHARIA NF 99</t>
  </si>
  <si>
    <t>004809</t>
  </si>
  <si>
    <t>PRESTAÇÃO DE SERVIÇOS UFVs  (SÃO SEBASTIÃO 0) R MARTINS ENGENHARIA NF 88</t>
  </si>
  <si>
    <t>PRESTAÇÃO DE SERVIÇOS UFVs  (TRES CORAÇÕES 3) R MARTINS ENGENHARIA NF 101</t>
  </si>
  <si>
    <t>003838</t>
  </si>
  <si>
    <t>PRESTAÇÃO DE SERVIÇOS UFVs  (PATOS DE MINAS 3) R MARTINS ENGENHARIA NF 106</t>
  </si>
  <si>
    <t>PRESTAÇÃO DE SERVIÇOS UFVs  (MUZAMBINHO) R MARTINS ENGENHARIA NF104</t>
  </si>
  <si>
    <t>COMPRA DE MATERIAIS UFVs (OURO FINO 2) DEPOSITO BANDEIRANTES NF 3855</t>
  </si>
  <si>
    <t>Pagamento referente a compra de materiais para construção de office. ENVIADO POR CARLOS</t>
  </si>
  <si>
    <t>[CCC07205]</t>
  </si>
  <si>
    <t>004333</t>
  </si>
  <si>
    <t>PRESTAÇÃO DE SERVIÇOS UFVs (TRES CORAÇÕES 3) R&amp;C ELETRONICA NF 670</t>
  </si>
  <si>
    <t>[CCC07206]</t>
  </si>
  <si>
    <t>PRESTAÇÃO DE SERVIÇOS UFVs (SÃO SEBASTIÃO DO OESTE 5) R&amp;C ELETRONICA NF 671</t>
  </si>
  <si>
    <t>004812</t>
  </si>
  <si>
    <t>PRESTAÇÃO DE SERVIÇOS UFVs (PAINS 3) R&amp;C ELETRONICA NF 672</t>
  </si>
  <si>
    <t>PRESTAÇÃO DE SERVIÇOS UFVs (PASSOS 4) R&amp;C ELETRONICA NF 673</t>
  </si>
  <si>
    <t>004334</t>
  </si>
  <si>
    <t>PRESTAÇÃO DE SERVIÇOS UFVs  (TRES CORAÇÕES) BALDONI NF 477</t>
  </si>
  <si>
    <t xml:space="preserve"> Pagamento referente ao serviços de terraplenagem, drenagem e execução de rede dutos necessário à construção da UFV. ENVIADO POR VAGNER</t>
  </si>
  <si>
    <t>[CCC07209]</t>
  </si>
  <si>
    <t>004457</t>
  </si>
  <si>
    <t>PRESTAÇÃO DE SERVIÇOS UFVs  (TRES CORAÇÕES) BALDONI NF 323</t>
  </si>
  <si>
    <t>004335</t>
  </si>
  <si>
    <t>PRESTAÇÃO DE SERVIÇOS UFVs  (SANTO ANTONIO 1) BALDONI NF 476</t>
  </si>
  <si>
    <t xml:space="preserve"> Pagamento referente ao serviço de locação. ENVIADO POR VAGNER</t>
  </si>
  <si>
    <t>[CCC07211]</t>
  </si>
  <si>
    <t>004456</t>
  </si>
  <si>
    <t>PRESTAÇÃO DE SERVIÇOS UFVs  (SANTO ANTONIO 1) BALDONI NF 322</t>
  </si>
  <si>
    <t xml:space="preserve"> Pagamento referente ao serviços de terraplenagem, drenagem necessário à construção da UFV. ENVIADO POR VAGNER</t>
  </si>
  <si>
    <t>004336</t>
  </si>
  <si>
    <t>COMPRA DE MATERIAIS UFV (OURO FINO 2) POLIMIX CONCRETOS NF 12154</t>
  </si>
  <si>
    <t>Pagamento referente a compra de materiais para construção de office. ENVIADO POR VAGNER (FOI APROVADO POR MATEUS VILELA EMISSÃO DA NOTA APOS DIA 25)</t>
  </si>
  <si>
    <t>[CCC07212]</t>
  </si>
  <si>
    <t>004337</t>
  </si>
  <si>
    <t>COMPRA DE MATERIAIS UFVs ROMAGNOLE NF 0238442</t>
  </si>
  <si>
    <t>[CCC07213]</t>
  </si>
  <si>
    <t>004338</t>
  </si>
  <si>
    <t>COMPRA DE MATERIAIS UFVs ROMAGNOLE NF 237827</t>
  </si>
  <si>
    <t>[CCC07214]</t>
  </si>
  <si>
    <t>003842</t>
  </si>
  <si>
    <t>PRESTAÇÃO DE SERVIÇOS UFVs (DIAMANTINA 2) ENGELUZ NF 244</t>
  </si>
  <si>
    <t xml:space="preserve"> Pagamento de medição, referente ao serviços de mão de obra especializada na construção. NOTA EMITIDA APOS DIA 20, APROVADO POR MARCIO.</t>
  </si>
  <si>
    <t>[CCC07215]</t>
  </si>
  <si>
    <t>004339</t>
  </si>
  <si>
    <t>PRESTAÇÃO DE SERVIÇOS UFVs (CAMPO BELO 1) NORTE CONEXÃO NF 2879</t>
  </si>
  <si>
    <t>Pagamento referente ao serviço de internet. APROVADO POR ALEXANDRE - ESCOPO COMERC</t>
  </si>
  <si>
    <t>[CCC07216]</t>
  </si>
  <si>
    <t>003843</t>
  </si>
  <si>
    <t>PRESTAÇÃO DE SERVIÇOS UFVs (DIAMANTINA 1) NF 3612 LUZX MINEIRA</t>
  </si>
  <si>
    <t>Pagamento referente a apoio linha viva, mão de obra. APROVADO POR MARCIO</t>
  </si>
  <si>
    <t>[CCC07219]</t>
  </si>
  <si>
    <t>COMPRA DE MATERIAIS UFVs (ALFENAS 4) DALILA NF 2984</t>
  </si>
  <si>
    <t>Pagamento referente a compra de materiais complementares necessarios na construção da UFV. ENVIADO POR CARLOS</t>
  </si>
  <si>
    <t>[CCC07222]</t>
  </si>
  <si>
    <t>004341</t>
  </si>
  <si>
    <t>COMPRA DE MATERIAIS UFVs (CAMBO BELO 1) DALILA NF 2986</t>
  </si>
  <si>
    <t>[CCC07223]</t>
  </si>
  <si>
    <t>004342</t>
  </si>
  <si>
    <t>COMPRA DE MATERIAIS UFVs (OURO FINO 2) DALILA NF 2985</t>
  </si>
  <si>
    <t>[CCC07224]</t>
  </si>
  <si>
    <t>004343</t>
  </si>
  <si>
    <t>COMPRA DE MATERIAIS UFVs (TRES CORAÇÕES 3) DALILA NF 2987</t>
  </si>
  <si>
    <t>[CCC07225]</t>
  </si>
  <si>
    <t>004346</t>
  </si>
  <si>
    <t>COMPRA DE MATERIAIS UFV (OURO FINO 2) DEPOSITO BANDEIRANTES NF 3854</t>
  </si>
  <si>
    <t>[CCC07226]</t>
  </si>
  <si>
    <t>PRESTAÇÃO DE SERVIÇOS (SÃO SEBASTIÃO DO OESTE 4) SEVEN NF 417</t>
  </si>
  <si>
    <t>PAGO</t>
  </si>
  <si>
    <t>PRESTAÇÃO DE SERVIÇOS (SANTO ANTONIO DO AMPARO 1) SEVEN NF 419</t>
  </si>
  <si>
    <t>PRESTAÇÃO DE SERVIÇOS (TRES CORAÇÕES 3) SEVEN NF 421</t>
  </si>
  <si>
    <t>PRESTAÇÃO DE SERVIÇOS (PASSOS 4) SEVEN NF 425</t>
  </si>
  <si>
    <t>PRESTAÇÃO DE SERVIÇOS (SÃO SEBASTIÃO DO OESTE 0) SEVEN NF 433</t>
  </si>
  <si>
    <t>PRESTAÇÃO DE SERVIÇOS (SÃO SEBASTIÃO DO OESTE 6) SEVEN NF 434</t>
  </si>
  <si>
    <t>003366</t>
  </si>
  <si>
    <t>PRESTAÇÃO DE SERVIÇOS (PARACATU 5) SEVEN NF 437</t>
  </si>
  <si>
    <t>PAGAMENTO INDENIZAÇÃO UFVs (MUZAMBINHO) MARCOS AURELIO</t>
  </si>
  <si>
    <r>
      <rPr>
        <sz val="9"/>
        <color rgb="FF000000"/>
        <rFont val="Arial"/>
      </rPr>
      <t>Pagamento referente ao contrato de indenização não possui nota fiscal, apenas contrato.</t>
    </r>
    <r>
      <rPr>
        <sz val="9"/>
        <color rgb="FF242424"/>
        <rFont val="Arial"/>
      </rPr>
      <t xml:space="preserve"> </t>
    </r>
    <r>
      <rPr>
        <sz val="9"/>
        <color rgb="FF000000"/>
        <rFont val="Arial"/>
      </rPr>
      <t>ENVIADO POR DENER.</t>
    </r>
  </si>
  <si>
    <t>[CCC07228]</t>
  </si>
  <si>
    <t>MARCOS AURELIO</t>
  </si>
  <si>
    <t>PRESTAÇÃO DE SERVIÇOS UFVs (DIMANATINA 2) NF 755</t>
  </si>
  <si>
    <t>PAGAMENTO REFERENTE AOS SERVIÇOS PRESTADOS DE MÃO DE OBRA ESPECIALIZADA NA CONSTRUÇÃO DE RDR. APROVADO POR MARCIO ELI</t>
  </si>
  <si>
    <t>[CCC07229]</t>
  </si>
  <si>
    <t>PRESTAÇÃO DE SERVIÇOS UFVs (DIMANATINA 1) NF 754</t>
  </si>
  <si>
    <t>PRESTAÇÃO DE SERVIÇOS UFVs (PATOS DE MINAS 3) RODRIGUES MACHADO NF 104</t>
  </si>
  <si>
    <t>Pagamento referente a prestação de serviço de drenagem da UFV. ENVIADO POR GILSON</t>
  </si>
  <si>
    <t>[CCC07230]</t>
  </si>
  <si>
    <t>PRESTAÇÃO DE SERVIÇOS UFVs (LAGOA FORMOSA 1) RODRIGUES MACHADO NF 105</t>
  </si>
  <si>
    <t>Pagamento referente a serviços complementares necessarios na construção da UFV. ENVIADO POR GILSON</t>
  </si>
  <si>
    <t>[CCC07231]</t>
  </si>
  <si>
    <t>PRESTAÇÃO DE SERVIÇOS UFVs (PATOS DE MINAS 1) RODRIGUES MACHADO NF 106</t>
  </si>
  <si>
    <t>[CCC07232]</t>
  </si>
  <si>
    <t>004819</t>
  </si>
  <si>
    <t>PRESTAÇÃO DE SERVIÇOS UFVs (PARACATU 4)  SJR PROTEÇÃO NF 21</t>
  </si>
  <si>
    <t>[CCC07233]</t>
  </si>
  <si>
    <t>004821</t>
  </si>
  <si>
    <t>PRESTAÇÃO DE SERVIÇOS UFVs (PARACATU 5)  SJR PROTEÇÃO NF 22</t>
  </si>
  <si>
    <t>CONSTRUMANAGER - UFVs (MORI II)  12/2024     NF 333886</t>
  </si>
  <si>
    <t>[CCC07234]</t>
  </si>
  <si>
    <t>004352</t>
  </si>
  <si>
    <t>COMPRA DE MATERIAIS UFVs ROMAGNOLE NF 239282</t>
  </si>
  <si>
    <t>[CCC07235]</t>
  </si>
  <si>
    <t>PRESTAÇÃO DE SERVIÇOS UFVs (ALFENAS 4) NORTE CONEXÃO NF 2905</t>
  </si>
  <si>
    <t xml:space="preserve">Pagamento referente ao serviço de internet. APROVADO POR ALEXANDRE </t>
  </si>
  <si>
    <t>[CCC07236]</t>
  </si>
  <si>
    <t>Outros - Serviços à UFV (HUKSEFLUX )</t>
  </si>
  <si>
    <t>COMPRA DE MATERIAIS UFVs (CAMBO BELO 5) HUKSEFLUX NF 8533</t>
  </si>
  <si>
    <t>Pagamento referente a compra do suporte para fixação do piranômetro da UFV. ENVIADO POR ALEXANDRE</t>
  </si>
  <si>
    <t>[CCC07237]</t>
  </si>
  <si>
    <t>PRESTAÇÃO DE SERVIÇOS UFVs (OURO FINO 2) NF 1332 FABIANA FERREIRA</t>
  </si>
  <si>
    <t>[CCC07238]</t>
  </si>
  <si>
    <t>004362</t>
  </si>
  <si>
    <t>COMPRA DE MATERIAIS UFV (OURO FINO 2) DEPOSITO SANTA EDWIGES NF 12159</t>
  </si>
  <si>
    <t>[CCC07240]</t>
  </si>
  <si>
    <t>003854</t>
  </si>
  <si>
    <t>PRESTAÇÃO DE SERVIÇOS UFVs (DIAMANTINA 1) NF  2934</t>
  </si>
  <si>
    <t>[CCC07241]</t>
  </si>
  <si>
    <t>encerrado, aguardando nova nota</t>
  </si>
  <si>
    <t>PRESTAÇÃO DE SERVIÇOS UFVs (DIAMANTINA 1) NF  3097</t>
  </si>
  <si>
    <t>004826</t>
  </si>
  <si>
    <t xml:space="preserve">PRESTAÇÃO DE SERVIÇOS UFVs (SÃO SEBASTIÃO DO OESTE 0 ) NF 3115 </t>
  </si>
  <si>
    <t>Pagamento referente ao serviço de vigilancia noturno e diurno. APROVADO POR AUGUSTO</t>
  </si>
  <si>
    <t>[CCC07242]</t>
  </si>
  <si>
    <t>PRESTAÇÃO DE SERVIÇOS UFVs (FORMIGA 6) NF  3114</t>
  </si>
  <si>
    <t>004357</t>
  </si>
  <si>
    <t>PRESTAÇÃO DE SERVIÇOS UFVs (TRES CORAÇÕES 3)  ASE ENGENHARIA NF 199</t>
  </si>
  <si>
    <t>Pagamento referente a instalação dos TCs e TPs da CEMIG. ENVIADO POR VAGNER</t>
  </si>
  <si>
    <t>[CCC07243]</t>
  </si>
  <si>
    <r>
      <rPr>
        <strike/>
        <sz val="9"/>
        <color rgb="FF000000"/>
        <rFont val="Arial"/>
      </rPr>
      <t xml:space="preserve">NÃO SEGUIR COM O PAGAMENTO VAGNER 
</t>
    </r>
    <r>
      <rPr>
        <sz val="9"/>
        <color rgb="FF000000"/>
        <rFont val="Arial"/>
      </rPr>
      <t>C Cancelada a pedido Vagner email 17/12/24</t>
    </r>
  </si>
  <si>
    <t>004358</t>
  </si>
  <si>
    <t>PRESTAÇÃO DE SERVIÇO UFVs (OURO FINO 2) ASE ENGENHARIA NF 197</t>
  </si>
  <si>
    <t>Pagamento referente a compensação de impostos , indicados no contrato com a ASE Engenharia para as atividades da UFV.</t>
  </si>
  <si>
    <t>[CCC07244]</t>
  </si>
  <si>
    <t>PRESTAÇÃO DE SERVIÇO UFVs (TRES CORAÇÕES)  ASE ENGENHARIA NF 198</t>
  </si>
  <si>
    <t>[CCC07245]</t>
  </si>
  <si>
    <t>004827</t>
  </si>
  <si>
    <t>PRESTAÇÃO DE SERVIÇOS UFVs (JABOTICATUBAS) R&amp;C ELETRONICA NF 675</t>
  </si>
  <si>
    <t>Pagamento referente a prestação de serviços de fornecimento e implantação de sistemas. ENVIADO POR MAX VISION. APROVADO POR ALEXANDRE</t>
  </si>
  <si>
    <t>[CCC07246]</t>
  </si>
  <si>
    <t>PRESTAÇÃO DE SERVIÇOS UFVs (ARCOS 7) R&amp;C ELETRONICA NF 676</t>
  </si>
  <si>
    <t>PRESTAÇÃO DE SERVIÇOS UFVs (NOVA PONTE 1) R&amp;C ELETRONICA NF 677</t>
  </si>
  <si>
    <t>004361</t>
  </si>
  <si>
    <t>PRESTAÇÃO DE SERVIÇOS UFVs (MUZAMBINHO) R&amp;C ELETRONICA NF 678</t>
  </si>
  <si>
    <t>PRESTAÇÃO DE SERVIÇOS UFVs (DIAMANTINA 1) R&amp;C ELETRONICA NF 679</t>
  </si>
  <si>
    <t>PRESTAÇÃO DE SERVIÇOS UFVs (PARACATU 8) R&amp;C ELETRONICA NF 680</t>
  </si>
  <si>
    <t>PRESTAÇÃO DE SERVIÇOS UFVs (FORMIGA 6) ATI NF 1459</t>
  </si>
  <si>
    <t>Pagamento referente ao lançamento do cabo de comunicação da NCU até o office da UFV . ENVIADO POR ALEXANDRE</t>
  </si>
  <si>
    <t>[CCC07247]</t>
  </si>
  <si>
    <t>PRESTAÇÃO DE SERVIÇOS UFVs (DIAMANTINA 2) NF  3098</t>
  </si>
  <si>
    <t>[CCC07248]</t>
  </si>
  <si>
    <t>004851</t>
  </si>
  <si>
    <t>PRESTAÇÃO DE SERVIÇOS UFVs REGRHAN NF  3940</t>
  </si>
  <si>
    <t>[CCC07250]</t>
  </si>
  <si>
    <t>003878</t>
  </si>
  <si>
    <t>PRESTAÇÃO DE SERVIÇOS UFVs REGRHAN NF  3941</t>
  </si>
  <si>
    <t>004402</t>
  </si>
  <si>
    <t>PRESTAÇÃO DE SERVIÇOS UFVs REGRHAN NF  3942</t>
  </si>
  <si>
    <t>002685</t>
  </si>
  <si>
    <t>PRESTAÇÃO DE SERVIÇOS UFVs REGRHAN NF  3943</t>
  </si>
  <si>
    <t>004853</t>
  </si>
  <si>
    <t>PRESTAÇÃO DE SERVIÇOS UFVs (PARACATU 4) RONDA NF 3116</t>
  </si>
  <si>
    <t>Pagamento referente ao serviço de vigilancia noturno e diurno. APROVADO POR AUGUSTO   **PAGAMENTO FILIAL EDN**</t>
  </si>
  <si>
    <t>[CCC07252]</t>
  </si>
  <si>
    <t>004854</t>
  </si>
  <si>
    <t>PRESTAÇÃO DE SERVIÇOS UFVs (PARACATU 5) RONDA NF 3117</t>
  </si>
  <si>
    <t>Pagamento referente ao serviço de vigilancia noturno e diurno. APROVADO POR AUGUSTO  **PAGAMENTO FILIAL EDN**</t>
  </si>
  <si>
    <t>PRESTAÇÃO DE SERVIÇOS UFVs (ALFENAS) NF 3540</t>
  </si>
  <si>
    <t>[CCC07253]</t>
  </si>
  <si>
    <t>COMPRA DE MATERIAIS UFV (OURO FINO 2) DEPOSITO BANDEIRANTES NF 3864</t>
  </si>
  <si>
    <t>[CCC07255]</t>
  </si>
  <si>
    <t>PRESTAÇÃO DE SERVIÇOS UFVs (ALFENAS 4) NORTE CONEXÃO NF 2991</t>
  </si>
  <si>
    <t>[CCC07257]</t>
  </si>
  <si>
    <t>PRESTAÇÃO DE SERVIÇOS UFVs (CAMPO BELO 1) NORTE CONEXÃO NF 2992</t>
  </si>
  <si>
    <t>COMPRA DE MATERIAIS UFV (OURO FINO 2) POLIMIX CONCRETO  NF 12238</t>
  </si>
  <si>
    <t>[CCC07258]</t>
  </si>
  <si>
    <t xml:space="preserve">POLIMIX CONCRETO </t>
  </si>
  <si>
    <t>COMPRA DE MATERIAIS UFV (OURO FINO 2) LOJA ELETRICA  NF 587101</t>
  </si>
  <si>
    <t>[CCC07260]</t>
  </si>
  <si>
    <t>COMPRA DE MATERIAIS UFV (OURO FINO 2) LOJA ELETRICA  NF 587564</t>
  </si>
  <si>
    <t>[CCC07261]</t>
  </si>
  <si>
    <t>004859</t>
  </si>
  <si>
    <t>PRESTAÇÃO DE SERVIÇOS UFVs (SÃO SEBASTIÃO DO OESTE 0) NF  2995 NORTE CONEXÃO</t>
  </si>
  <si>
    <t xml:space="preserve">Serviço de lançamento de fibra óptica na UFV. APROVADO POR ALEXANDRE </t>
  </si>
  <si>
    <t>[CCC07263]</t>
  </si>
  <si>
    <t xml:space="preserve">EDN </t>
  </si>
  <si>
    <t>PRESTAÇÃO DE SERVIÇOS UFVs (FREI INOCENCIO 1) WEG NF 137415</t>
  </si>
  <si>
    <t>Pagamento referente a valores assumidos pela WEG ao contrato com Integradores. APROVADO POR MARCIO E EDUARDO</t>
  </si>
  <si>
    <t>[CCC07265]</t>
  </si>
  <si>
    <t xml:space="preserve">ROMANEI FINALIZAR
PAGAMENTO POR PEDIDO DE COMPRA.  </t>
  </si>
  <si>
    <t>PRESTAÇÃO DE SERVIÇOS UFVs (NOVA PONTE1) WEG NF 141196</t>
  </si>
  <si>
    <t>PRESTAÇÃO DE SERVIÇOS UFVs (PARACATU 8) WEG NF 141381</t>
  </si>
  <si>
    <t>PRESTAÇÃO DE SERVIÇOS UFVs (BAMBUI 1.2) WEG NF 141456</t>
  </si>
  <si>
    <t>PRESTAÇÃO DE SERVIÇOS UFVs (SÃO SEB DO OESTE 3) WEG NF 141209</t>
  </si>
  <si>
    <t>PRESTAÇÃO DE SERVIÇOS UFVs (SÃO SEBASTIÃO 5) WEG NF 141389</t>
  </si>
  <si>
    <t>004553</t>
  </si>
  <si>
    <t>PRESTAÇÃO DE SERVIÇOS UFVs (BAMBUI 1.1) WEG NF 141388</t>
  </si>
  <si>
    <t>PRESTAÇÃO DE SERVIÇOS UFVs (CAMPO BELO 3) WEG NF 141198</t>
  </si>
  <si>
    <t>PRESTAÇÃO DE SERVIÇOS UFVs (VARJÃO DE MINAS 1) WEG NF 141457</t>
  </si>
  <si>
    <t>PRESTAÇÃO DE SERVIÇOS UFVs (SÃO SEBASTIÃO 1) WEG NF 141390</t>
  </si>
  <si>
    <t>PRESTAÇÃO DE SERVIÇOS UFVs (DIAMANTINA 1) ONIX NF
Proposta Nr: 00202186 - 110859 NF 111469</t>
  </si>
  <si>
    <t>Pagamento referente a adiantamento de sobressalentes. APROVADO POR Renato Controladoria / Marcio</t>
  </si>
  <si>
    <t>[CCC07266]</t>
  </si>
  <si>
    <t>Feito Por Adiantamento Total do Pedido :  R$72.399,64</t>
  </si>
  <si>
    <t>ONIX</t>
  </si>
  <si>
    <t>PRESTAÇÃO DE SERVIÇOS UFVs (DIAMANTINA 1) ONIX PROFORMA NR 00202477</t>
  </si>
  <si>
    <t xml:space="preserve">Feito Por Adiantamento Total do Pedido : R$ 90.503,03 
</t>
  </si>
  <si>
    <t xml:space="preserve">PRESTAÇÃO DE SERVIÇOS UFVs (FREI INOCENCIO) ONIX
Proposta Nr: 00202210 - 16/12/2024 NF 111.468
</t>
  </si>
  <si>
    <t>Feito Por Adiantamento Total do Pedido : R$ R$ 62.318,97</t>
  </si>
  <si>
    <t xml:space="preserve">PRESTAÇÃO DE SERVIÇOS UFVs (PARACATU 8) ONIX
Proposta Nr: 00202222 - 16/12/2024 NF 111.470
</t>
  </si>
  <si>
    <t>Feito Por Adiantamento Total do Pedido : R$ 112.376,28</t>
  </si>
  <si>
    <t>PRESTAÇÃO DE SERVIÇOS UFVs (PARACATU 8) ONIX PROPOSTA NR: 00202670  110826-110836</t>
  </si>
  <si>
    <t xml:space="preserve">Feito Por Adiantamento Total do Pedido : R$ 74.065,89 
</t>
  </si>
  <si>
    <t xml:space="preserve">PRESTAÇÃO DE SERVIÇOS UFVs (PATOS 1) ONIX
Proposta Nr: 00202213 - 16/12/2024 NF 111.485
</t>
  </si>
  <si>
    <t>Feito Por Adiantamento Total do Pedido : R$
R$ 149.589,45</t>
  </si>
  <si>
    <t>PRESTAÇÃO DE SERVIÇOS UFVs (PATOS 1) ONIX PROPOSTA NR: 00202662</t>
  </si>
  <si>
    <t xml:space="preserve">Feito Por Adiantamento Total do Pedido : R$  204.444,66 
</t>
  </si>
  <si>
    <t>PRESTAÇÃO DE SERVIÇOS UFVs (PATOS 8) ONIX
Proposta Nr: 00202215 - 16/12/2024</t>
  </si>
  <si>
    <t>Feito Por Adiantamento Total do Pedido : R$ 70.732,41</t>
  </si>
  <si>
    <t>PRESTAÇÃO DE SERVIÇOS UFVs (PATOS 8) ONIX
Proposta Nr: 00202664 - 25/10/2024</t>
  </si>
  <si>
    <t>Feito Por Adiantamento Total do Pedido : R$R$ 83.038,60</t>
  </si>
  <si>
    <t>004451</t>
  </si>
  <si>
    <t xml:space="preserve">PRESTAÇÃO DE SERVIÇOS UFVs (BAMBUI 1) ONIX Proposta Nr: 00202181 - 16/12/2024 NF 111.474
</t>
  </si>
  <si>
    <t>Feito Por Adiantamento Total do Pedido : R$ 74.370,21</t>
  </si>
  <si>
    <t>PRESTAÇÃO DE SERVIÇOS UFVs (BAMBUI 1) ONIX PROPOSTA NR: 00172566</t>
  </si>
  <si>
    <t>Feito Por Adiantamento Total do Pedido : R$ 104.053,08</t>
  </si>
  <si>
    <t>PRESTAÇÃO DE SERVIÇOS UFVs (CASSIA 1) ONIX PROPOSTA NR: 00202184</t>
  </si>
  <si>
    <t xml:space="preserve">Feito Por Adiantamento Total do Pedido R$: 61.525,07
</t>
  </si>
  <si>
    <t xml:space="preserve">PRESTAÇÃO DE SERVIÇOS UFVs (PARAGUAÇU 1) ONIX PROPOSTA NR:  00172595 NF 111.475
</t>
  </si>
  <si>
    <t>Feito Por Adiantamento Total do Pedido : R$: 91161,11</t>
  </si>
  <si>
    <t>PRESTAÇÃO DE SERVIÇOS UFVs (PARAGUAÇU 1) ONIX PROPOSTA NT: 00202462  110850</t>
  </si>
  <si>
    <t>Feito Por Adiantamento Total do Pedido : R$ 165.168,14</t>
  </si>
  <si>
    <t xml:space="preserve">PRESTAÇÃO DE SERVIÇOS UFVs (VARGINHA 1) ONIX PROPOSTA NR 00202220 NF 111.484
</t>
  </si>
  <si>
    <t>Feito Por Adiantamento Total do Pedido : R$</t>
  </si>
  <si>
    <t>004453</t>
  </si>
  <si>
    <t>PRESTAÇÃO DE SERVIÇOS UFVs (VARGINHA 1) ONIX PROPOSTA NR 00202668</t>
  </si>
  <si>
    <t xml:space="preserve">PRESTAÇÃO DE SERVIÇOS UFVs (CAMPO BELO 2) ONIX PROPOSTA NR 00202183 NF  111.488
</t>
  </si>
  <si>
    <t xml:space="preserve">Feito Por Adiantamento Total do Pedido : R$ 278.314,46
</t>
  </si>
  <si>
    <t>PRESTAÇÃO DE SERVIÇOS UFVs (SÃO SEBASTIÃO ) ONIX PROPOSTA NR 00202218</t>
  </si>
  <si>
    <t xml:space="preserve">Feito Por Adiantamento Total do Pedido R$: 116.660,89
</t>
  </si>
  <si>
    <t>PRESTAÇÃO DE SERVIÇOS UFVs (FORMIGA 6) ONIX PROPOSTA NR: 00202180</t>
  </si>
  <si>
    <t xml:space="preserve">Feito Por Adiantamento Total do Pedido R$ 76.084,41
</t>
  </si>
  <si>
    <t>PRESTAÇÃO DE SERVIÇOS UFVs (FORMIGA 6) ONIX PROPOSTA NR: 00202474</t>
  </si>
  <si>
    <t xml:space="preserve">Feito Por Adiantamento Total do Pedido : R$  104.053,08 
</t>
  </si>
  <si>
    <t>PRESTAÇÃO DE SERVIÇOS UFVs (FORMIGA 6) ONIX PROPOSTA NR : 00202475</t>
  </si>
  <si>
    <t>Feito Por Adiantamento Total do Pedido : R$ 163.896,52</t>
  </si>
  <si>
    <t>004427</t>
  </si>
  <si>
    <t>COMPRA DE MATERIAIS UFV (MUZAMBINHO 1) LOJA ELETRICA  NF 588815</t>
  </si>
  <si>
    <t>[CCC07271]</t>
  </si>
  <si>
    <t>COMPRA DE MATERIAIS UFV (TRÊS CORAÇÕES) LOJA ELETRICA  NF 588894</t>
  </si>
  <si>
    <t>[CCC07272]</t>
  </si>
  <si>
    <t>004899</t>
  </si>
  <si>
    <t>FAT.DIRETO IMPLANTAR</t>
  </si>
  <si>
    <t>PRESTAÇÃO DE SERVIÇOS UFVs (INDAIABIRA) LOC-CENTER NF 179</t>
  </si>
  <si>
    <t>Pagamento referente a reparo de equipamentos danificados durante locação realizada pela Implantar. APROVADO POR MARCIO E ANDRE JURIDICO</t>
  </si>
  <si>
    <t>[CCC07273]</t>
  </si>
  <si>
    <t>PRESTAÇÃO DE SERVIÇOS UFVs (MUZAMBINHO) NF 1480</t>
  </si>
  <si>
    <t>PAGAMENTO REFERENTE AO SERVIÇO DE INSTALAÇÃO DE SISTEMA DE SUPERVISÃO. APROVADO POR ALEXANDRE</t>
  </si>
  <si>
    <t>[CCC07267]</t>
  </si>
  <si>
    <t>004419</t>
  </si>
  <si>
    <t>PRESTAÇÃO DE SERVIÇOS UFVs (TRES CORAÇÕES 3) NF 1481</t>
  </si>
  <si>
    <t>PRESTAÇÃO DE SERVIÇOS UFVs (ARCOS 7) NF 1482</t>
  </si>
  <si>
    <t>PAGAMENTO REFERENTE AO COMISSIONAMENTO REMOTO. APROVADO POR ALEXANDRE</t>
  </si>
  <si>
    <t>PRESTAÇÃO DE SERVIÇOS UFVs (PARAGUAÇU 1) NF 1483</t>
  </si>
  <si>
    <t>PRESTAÇÃO DE SERVIÇOS UFVs (SÃO SEBASTIÃO DO OESTE 4) NF 1484</t>
  </si>
  <si>
    <t>PRESTAÇÃO DE SERVIÇOS UFVs (PATOS DE MINAS 1) NF 1485</t>
  </si>
  <si>
    <t>PRESTAÇÃO DE SERVIÇOS UFVs (LAGOA FORMOSA 1) NF 1486</t>
  </si>
  <si>
    <t>004873</t>
  </si>
  <si>
    <t>PRESTAÇÃO DE SERVIÇOS UFVs (PEDRA DO INDAIA 5) NF 1487</t>
  </si>
  <si>
    <t>004874</t>
  </si>
  <si>
    <t>FAT.DIRETO MAX VISION</t>
  </si>
  <si>
    <t>PRESTAÇÃO DE SERVIÇOS UFVs (PARACATU 4) NF 681 R&amp;C ELETRONICA</t>
  </si>
  <si>
    <t xml:space="preserve">PAGAMENTO REFERENTE A FINALIZAÇÃO DA INSTALAÇÃO E ENTREGA AS BUILT. APROVADO POR ALEXANDRE </t>
  </si>
  <si>
    <t>[CCC07268]</t>
  </si>
  <si>
    <t>004875</t>
  </si>
  <si>
    <t>PRESTAÇÃO DE SERVIÇOS UFVs (PARACATU 5) NF 682 R&amp;C ELETRONICA</t>
  </si>
  <si>
    <t>PRESTAÇÃO DE SERVIÇOS UFVs (DIAMANTINA 2) NF 683 R&amp;C ELETRONICA</t>
  </si>
  <si>
    <t>004423</t>
  </si>
  <si>
    <t>Outros - Serviços à UFV (SJR)</t>
  </si>
  <si>
    <t>PRESTAÇÃO DE SERVIÇOS UFVs (TRES CORAÇÕES 3) NF 23 SJR PROTEÇÃO</t>
  </si>
  <si>
    <t>[CCC07270]</t>
  </si>
  <si>
    <t>Outros - Serviços à UFV (DELOITTE)</t>
  </si>
  <si>
    <t>PRESTAÇÃO DE SERVIÇOS UFVs (PATOS DE MINAS- 1 -4-7 E 8) NF 117</t>
  </si>
  <si>
    <t>Pagamento referente a consultoria para analise de pleito usinas de PATOS. APROVADO POR VILELA</t>
  </si>
  <si>
    <t>[CCC07275]</t>
  </si>
  <si>
    <t>PRESTAÇÃO DE SERVIÇOS UFVs (SÃO SEBASTIÃO DO OESTE 0) NF 1 SOLUGY</t>
  </si>
  <si>
    <t>Pagamento referente a montagem de TC's e TP's. APROVADO POR AUGUSTO</t>
  </si>
  <si>
    <t>[CCC07276]</t>
  </si>
  <si>
    <t>SOLUGY ENGENHARIA</t>
  </si>
  <si>
    <t>PRESTAÇÃO DE SERVIÇOS UFVs (DIAMANTINA 1) NF 2025/2 SOLUGY</t>
  </si>
  <si>
    <t>Pagamento referente a montagem de TC's e TP's. APROVADO POR GILSON</t>
  </si>
  <si>
    <t>[CCC07280]</t>
  </si>
  <si>
    <t>PRESTAÇÃO DE SERVIÇOS UFVs (DIAMANTINA 2) NF 2025/3 SOLUGY</t>
  </si>
  <si>
    <t>004455</t>
  </si>
  <si>
    <t>PRESTAÇÃO DE SERVIÇOS UFVs (OURO FINO 2) NF 3568</t>
  </si>
  <si>
    <t>[CCC07281]</t>
  </si>
  <si>
    <t>Romanei</t>
  </si>
  <si>
    <t>004933</t>
  </si>
  <si>
    <t>Medição Final - Encerramento contrato (Pains 1)</t>
  </si>
  <si>
    <t>Pagamento referente RECISÃO DE CONTRATOS DE PAINS 1 (obras de MT) ao serviço de extensão e modificação de rede de distribuição rural e urbana para atender à UFV. APROVADO POR MARCIO</t>
  </si>
  <si>
    <t>[CCC07284]</t>
  </si>
  <si>
    <t>004934</t>
  </si>
  <si>
    <t>Medição Final - Encerramento contrato (Pains 2)</t>
  </si>
  <si>
    <t>Pagamento referente RECISÃO DE CONTRATOS DE PAINS 2 (obras de MT) ao serviço de extensão e modificação de rede de distribuição rural e urbana para atender à UFV. APROVADO POR MARCIO</t>
  </si>
  <si>
    <t>003937</t>
  </si>
  <si>
    <t>PRESTAÇÃO DE SERVIÇOS UFVs (DIAMANTINA 1) NF 3001 NORTE CONEXÃO</t>
  </si>
  <si>
    <t>[CCC07285]</t>
  </si>
  <si>
    <t xml:space="preserve">NORTE CONEXÃO </t>
  </si>
  <si>
    <t>003938</t>
  </si>
  <si>
    <t>PRESTAÇÃO DE SERVIÇOS UFVs (DIAMANTINA 2) NF 3002 NORTE CONEXÃO</t>
  </si>
  <si>
    <t>004935</t>
  </si>
  <si>
    <t>PRESTAÇÃO DE SERVIÇOS UFVs (INDAIABIRA 3) ATI NF 1492</t>
  </si>
  <si>
    <t>Pagamento referente ao serviço de elaboração de planos diretores relacionados com serviços e obras de engenharia. ENVIADO POR ATI APROVADO POR ALEXANDRE</t>
  </si>
  <si>
    <t>[CCC07286]</t>
  </si>
  <si>
    <t>004936</t>
  </si>
  <si>
    <t>PRESTAÇÃO DE SERVIÇOS UFVs (INDAIABIRA 4) ATI NF 1493</t>
  </si>
  <si>
    <t>004937</t>
  </si>
  <si>
    <t>PRESTAÇÃO DE SERVIÇOS UFVs (DIVINOPOLIS 1) ATI NF 1494</t>
  </si>
  <si>
    <t>004938</t>
  </si>
  <si>
    <t>PRESTAÇÃO DE SERVIÇOS UFVs (DIVINOPOLIS 2) ATI NF 1495</t>
  </si>
  <si>
    <t>004939</t>
  </si>
  <si>
    <t>PRESTAÇÃO DE SERVIÇOS UFVs (PAINS 3) ATI NF 1496</t>
  </si>
  <si>
    <t>004940</t>
  </si>
  <si>
    <t>PRESTAÇÃO DE SERVIÇOS UFVs (PEDRA DO INDAIA 1) ATI NF 1497</t>
  </si>
  <si>
    <t>004941</t>
  </si>
  <si>
    <t>PRESTAÇÃO DE SERVIÇOS UFVs (PEDRA DO INDAIA 3) ATI NF 1498</t>
  </si>
  <si>
    <t>004942</t>
  </si>
  <si>
    <t>PRESTAÇÃO DE SERVIÇOS UFVs (PEDRA DO INDAIA 5) ATI NF 1499</t>
  </si>
  <si>
    <t>004943</t>
  </si>
  <si>
    <t>PRESTAÇÃO DE SERVIÇOS UFVs (SÃO SEBASTIÃO 0) ATI NF 1500</t>
  </si>
  <si>
    <t>PRESTAÇÃO DE SERVIÇOS UFVs (DIAMANTINA 1) ATI NF 1501</t>
  </si>
  <si>
    <t>PRESTAÇÃO DE SERVIÇOS UFVs (DIAMANTINA 2) ATI NF 1502</t>
  </si>
  <si>
    <t>PRESTAÇÃO DE SERVIÇOS UFVs (PATOS DE MINAS 1) ATI NF 1503</t>
  </si>
  <si>
    <t>PRESTAÇÃO DE SERVIÇOS UFVs (PATOS DE MINAS 3) ATI NF 1504</t>
  </si>
  <si>
    <t>003943</t>
  </si>
  <si>
    <t>PRESTAÇÃO DE SERVIÇOS UFVs (LAGOA FORMOSA) ATI NF 1505</t>
  </si>
  <si>
    <t>PRESTAÇÃO DE SERVIÇOS UFVs (PARACATU 8) ATI NF 1506</t>
  </si>
  <si>
    <t>003945</t>
  </si>
  <si>
    <t>PRESTAÇÃO DE SERVIÇOS UFVs (PATROCINIO 2) ATI NF 1507</t>
  </si>
  <si>
    <t>003946</t>
  </si>
  <si>
    <t>PRESTAÇÃO DE SERVIÇOS UFVs (PATROCINIO 3) ATI NF 1508</t>
  </si>
  <si>
    <t>004458</t>
  </si>
  <si>
    <t>PRESTAÇÃO DE SERVIÇOS UFVs (ARCOS 7) ATI NF 1509</t>
  </si>
  <si>
    <t>004459</t>
  </si>
  <si>
    <t>PRESTAÇÃO DE SERVIÇOS UFVs (CAMPO BELO 5) ATI NF 1510</t>
  </si>
  <si>
    <t>004460</t>
  </si>
  <si>
    <t>PRESTAÇÃO DE SERVIÇOS UFVs (PARAGUAÇU 1) ATI NF 1511</t>
  </si>
  <si>
    <t>PRESTAÇÃO DE SERVIÇOS UFVs (ALFENAS 4) ATI NF 1512</t>
  </si>
  <si>
    <t>PRESTAÇÃO DE SERVIÇOS UFVs (CAMPO BELO 2) ATI NF 1513</t>
  </si>
  <si>
    <t>COMPRA DE MATERIAIS UFVs (DIAMANTINA 2) NF 68   THERMTRONIC</t>
  </si>
  <si>
    <t>Pagamento referente ao reenvio de mercadoria via correios referente pedido 5707 - nota fiscal 5029. APROVADO POR GILSON</t>
  </si>
  <si>
    <t>[CCC07287]</t>
  </si>
  <si>
    <t>004946</t>
  </si>
  <si>
    <t>PRESTAÇÃO DE SERVIÇOS UFVs (PARACATU 5)  GTEL NF 32056</t>
  </si>
  <si>
    <t>[CCC07288]</t>
  </si>
  <si>
    <t>004947</t>
  </si>
  <si>
    <t>PRESTAÇÃO DE SERVIÇOS UFVs (PARACATU 4)  GTEL NF 322055</t>
  </si>
  <si>
    <t>PRESTAÇÃO DE SERVIÇOS UFVs  (VARGINHA 2) BALDONI NF 324</t>
  </si>
  <si>
    <t xml:space="preserve"> Pagamento referente ao serviços de terraplenagem, drenagem necessário à construção da UFV. ENVIADO POR CARLOS</t>
  </si>
  <si>
    <t>[CCC07289]</t>
  </si>
  <si>
    <t>PRESTAÇÃO DE SERVIÇOS UFVs  (VARGINHA 2) BALDONI NF 325</t>
  </si>
  <si>
    <t>PRESTAÇÃO DE SERVIÇOS UFVs  (VARGINHA 2 ) BALDONI NF 480</t>
  </si>
  <si>
    <t xml:space="preserve"> Pagamento referente ao serviço de locação. ENVIADO POR CARLOS</t>
  </si>
  <si>
    <t>PRESTAÇÃO DE SERVIÇOS UFVs  (VARGINHA 2 ) BALDONI NF 481</t>
  </si>
  <si>
    <t>PRESTAÇÃO DE SERVIÇOS UFVs (MUZAMBINHO) NF 67    ANDRE LUIZ</t>
  </si>
  <si>
    <t>Pagamento referente ao serviço de instalação ar condicionado. APROVADO POR CARLOS</t>
  </si>
  <si>
    <t>[CCC07290]</t>
  </si>
  <si>
    <t xml:space="preserve"> ANDRE LUIZ</t>
  </si>
  <si>
    <t>004962</t>
  </si>
  <si>
    <t>PRESTAÇÃO DE SERVIÇOS UFVs     (PEDRA  DO INDAIA V) NF 113  R MARTINS ENGENHARIA</t>
  </si>
  <si>
    <t xml:space="preserve">PAGAMENTO REFERENTE AO PLANIALTIMETRICO . APROVADO POR VAGNER </t>
  </si>
  <si>
    <t>[CCC07291]</t>
  </si>
  <si>
    <t>R MARTINS</t>
  </si>
  <si>
    <t>003964</t>
  </si>
  <si>
    <t>PRESTAÇÃO DE SERVIÇOS UFVs     (DIAMANTINA 1) NF 109   R MARTINS ENGENHARIA</t>
  </si>
  <si>
    <t>004964</t>
  </si>
  <si>
    <t>PRESTAÇÃO DE SERVIÇOS UFVs     (PEDRA  DO INDAIA V) NF 114   R MARTINS ENGENHARIA</t>
  </si>
  <si>
    <t xml:space="preserve">PAGAMENTO REFERENTE AS BUILT. APROVADO POR VAGNER </t>
  </si>
  <si>
    <t>PRESTAÇÃO DE SERVIÇOS UFVs     (DIAMANTINA 1) NF 110   R MARTINS ENGENHARIA</t>
  </si>
  <si>
    <t>000000</t>
  </si>
  <si>
    <t>PRESTAÇÃO DE SERVIÇOS UFVs (FREI INOCENCIO 1) WEG</t>
  </si>
  <si>
    <t xml:space="preserve">
PAGAMENTO POR ADIANTAMENTO DIRETO FINANCEIRO</t>
  </si>
  <si>
    <t>PRESTAÇÃO DE SERVIÇOS UFVs (NOVA PONTE1) WEG NF</t>
  </si>
  <si>
    <t>PRESTAÇÃO DE SERVIÇOS UFVs (PARACATU 8) WEG</t>
  </si>
  <si>
    <t>PRESTAÇÃO DE SERVIÇOS UFVs (BAMBUI 1.2) WEG</t>
  </si>
  <si>
    <t>PRESTAÇÃO DE SERVIÇOS UFVs (SÃO SEB DO OESTE 3) WEG</t>
  </si>
  <si>
    <t>PRESTAÇÃO DE SERVIÇOS UFVs (SÃO SEBASTIÃO 5) WEG</t>
  </si>
  <si>
    <t>PRESTAÇÃO DE SERVIÇOS UFVs (BAMBUI 1.1) WEG</t>
  </si>
  <si>
    <t>PRESTAÇÃO DE SERVIÇOS UFVs (CAMPO BELO 3) WEG</t>
  </si>
  <si>
    <t>PRESTAÇÃO DE SERVIÇOS UFVs (CASSIA 1) WEG</t>
  </si>
  <si>
    <t>PRESTAÇÃO DE SERVIÇOS UFVs (SÃO SEBASTIÃO 1) WEG</t>
  </si>
  <si>
    <t>PRESTAÇÃO DE SERVIÇOS UFVs     (DIAMANTINA 2) NF 111   R MARTINS ENGENHARIA</t>
  </si>
  <si>
    <t>[CCC07292]</t>
  </si>
  <si>
    <t>R MARTINS ENGENHARIA</t>
  </si>
  <si>
    <t>003970</t>
  </si>
  <si>
    <t>PRESTAÇÃO DE SERVIÇOS UFVs     (DIAMANTINA 2) NF 112  R MARTINS ENGENHARIA</t>
  </si>
  <si>
    <t>003985</t>
  </si>
  <si>
    <t xml:space="preserve">PRESTAÇÃO DE SERVIÇOS UFVs  (DIAMANTINA 1) SRJ PROTECAO NF  2025/2 </t>
  </si>
  <si>
    <t>Pagamento referente ao serviço de desenhos tecnicos. APROVADO POR MARCIO</t>
  </si>
  <si>
    <t>[CCC07296]</t>
  </si>
  <si>
    <t>003986</t>
  </si>
  <si>
    <t>PRESTAÇÃO DE SERVIÇOS UFVs  (DIAMANTINA 2) SRJ PROTECAO NF  2025/1</t>
  </si>
  <si>
    <t>004988</t>
  </si>
  <si>
    <t xml:space="preserve">PRESTAÇÃO DE SERVIÇOS UFVs  (SÃO SEBASTIÃO DO OESTE 0) SRJ PROTECAO NF  2025/3 </t>
  </si>
  <si>
    <t>PRESTAÇÃO DE SERVIÇOS UFVs (OURO FINO) NF 206</t>
  </si>
  <si>
    <t>Pagamento referente a prestação de serviços . ENVIADO POR CARLOS</t>
  </si>
  <si>
    <t>[CCC07297]</t>
  </si>
  <si>
    <t>004493</t>
  </si>
  <si>
    <t>PRESTAÇÃO DE SERVIÇOS UFVs (TRES CORAÇÕES) NF 209</t>
  </si>
  <si>
    <t>[CCC07298]</t>
  </si>
  <si>
    <t>004494</t>
  </si>
  <si>
    <t>PRESTAÇÃO DE SERVIÇOS UFVs (OURO FINO) NF  210</t>
  </si>
  <si>
    <t>[CCC07299]</t>
  </si>
  <si>
    <t>004495</t>
  </si>
  <si>
    <t>PRESTAÇÃO DE SERVIÇOS UFVs (OURO FINO) NF 211</t>
  </si>
  <si>
    <t>[CCC07300]</t>
  </si>
  <si>
    <t>CONSTRUMANAGER - UFVs (MORI II)  12/2024     NF 335966</t>
  </si>
  <si>
    <t>[CCC07301]</t>
  </si>
  <si>
    <t>PRESTAÇÃO DE SERVIÇOS UFVs (FORMIGA 6) NF  3279</t>
  </si>
  <si>
    <t>[CCC07302]</t>
  </si>
  <si>
    <t>004989</t>
  </si>
  <si>
    <t>PRESTAÇÃO DE SERVIÇOS UFVs (SÃO SEBASTIAO 0) NF 3282</t>
  </si>
  <si>
    <t>004496</t>
  </si>
  <si>
    <t>PRESTAÇÃO DE SERVIÇO UFVs (OURO FINO)  RIMA NF 115</t>
  </si>
  <si>
    <t>[CCC07303]</t>
  </si>
  <si>
    <t>004497</t>
  </si>
  <si>
    <t>PRESTAÇÃO DE SERVIÇO UFVs (OURO FINO)  RIMA NF 116</t>
  </si>
  <si>
    <t>004498</t>
  </si>
  <si>
    <t>PRESTAÇÃO DE SERVIÇO UFVs (TRES CORAÇÕES 3)  RIMA NF 648</t>
  </si>
  <si>
    <t>004993</t>
  </si>
  <si>
    <t>PRESTAÇÃO DE SERVIÇOS UFVs REGRHAN NF 4012</t>
  </si>
  <si>
    <t>[CCC07307]</t>
  </si>
  <si>
    <t>003992</t>
  </si>
  <si>
    <t>PRESTAÇÃO DE SERVIÇOS UFVs REGRHAN NF 4013</t>
  </si>
  <si>
    <t>004500</t>
  </si>
  <si>
    <t>PRESTAÇÃO DE SERVIÇOS UFVs REGRHAN NF 4014</t>
  </si>
  <si>
    <t>002740</t>
  </si>
  <si>
    <t>PRESTAÇÃO DE SERVIÇOS UFVs REGRHAN NF  4015</t>
  </si>
  <si>
    <t>PRESTAÇÃO DE SERVIÇOS UFVs (ALFENAS) NF  3283</t>
  </si>
  <si>
    <t>Pagamento referente ao serviço de vigilancia noturno e diurno. APROVADO POR CARLOS</t>
  </si>
  <si>
    <t>[CCC07311]</t>
  </si>
  <si>
    <t>PRESTAÇÃO DE SERVIÇOS UFVs (CAMPO BELO 1) NF  3284</t>
  </si>
  <si>
    <t>PRESTAÇÃO DE SERVIÇOS UFVs (CAMPO BELO 2) NF  3285</t>
  </si>
  <si>
    <t>duplo time O&amp;M</t>
  </si>
  <si>
    <t>PRESTAÇÃO DE SERVIÇOS UFVs (OURO FINO) NF  3286</t>
  </si>
  <si>
    <t>PRESTAÇÃO DE SERVIÇOS UFVs (OURO FINO) ADT NF  3287</t>
  </si>
  <si>
    <t>PRESTAÇÃO DE SERVIÇOS UFVs (SANTO ANTONIO 1) NF  3288</t>
  </si>
  <si>
    <t>PRESTAÇÃO DE SERVIÇOS UFVs (TRES CORAÇÕES ) NF  3289</t>
  </si>
  <si>
    <t>PRESTAÇÃO DE SERVIÇOS UFVs (CAMPO BELO ) NF 3111 NORTE CONEXÃO</t>
  </si>
  <si>
    <t>Serviço de lançamento de fibra óptica na UFV. APROVADO POR CARLOS</t>
  </si>
  <si>
    <t>[CCC07313]</t>
  </si>
  <si>
    <t>PRESTAÇÃO DE SERVIÇOS UFVs (ALFENAS 4 ) NF 3111 NORTE CONEXÃO</t>
  </si>
  <si>
    <t>PRESTAÇÃO DE SERVIÇOS UFVs     (FORMIGA 6) NF   050  JULIANO AUGUSTO</t>
  </si>
  <si>
    <t>Pagamento referente a adequação de infra do CFTV. APROVADO POR AUGUSTO</t>
  </si>
  <si>
    <t>[CCC07314]</t>
  </si>
  <si>
    <t>PRESTAÇÃO DE SERVIÇOS UFVs     ( FORMIGA 6) NF  038  JULIANO AUGUSTO</t>
  </si>
  <si>
    <t>Pagamento referente a caminhao, abastecimento caixa d'agua. APROVADO POR AUGUSTO</t>
  </si>
  <si>
    <t>[CCC07315]</t>
  </si>
  <si>
    <t>003994</t>
  </si>
  <si>
    <t>COMPRA DE MATERIAIS UFVs ROMAGNOLE NF 219955</t>
  </si>
  <si>
    <t>[CCC07317]</t>
  </si>
  <si>
    <t>Pagamento refernete  a servidão passagem, via Indenização. APROVADO POR FELIPE ECHENIQUE</t>
  </si>
  <si>
    <t>[CCC07318]</t>
  </si>
  <si>
    <t>TAXA CREA MORI MINAS MORI II</t>
  </si>
  <si>
    <t xml:space="preserve">Pagamento anuidade CREA . Capex. Serviço de responsabilidade técnica das usinas a serem instaladas no ciclo2. Assinatura do Responsavel tecnico das usinas. ENVIADO POR ANDRE JURIDICO. </t>
  </si>
  <si>
    <t>[CCC07319]</t>
  </si>
  <si>
    <t>MRO - Terraplanagem UFVs Full-EPC -   MEDIÇAO   25% AVANÇO  (BAMBUI 1.1)    NF 402</t>
  </si>
  <si>
    <t>Pagamento da ultima medição do serviço de terraplanagem necessário à construção da UFV.</t>
  </si>
  <si>
    <t>[CCC03987]</t>
  </si>
  <si>
    <t>MRO - Terraplanagem UFVs Full-EPC -   MEDIÇAO   25% AVANÇO  (BAMBUI 1.2)    NF 405</t>
  </si>
  <si>
    <t>PAGAMENTO DE TAXAS UFVS (OURO FINO) N 0925025579833</t>
  </si>
  <si>
    <t>Pagamento referente a taxa de segurança publica. vistoria corpo de bombeiros. ENVIADO POR GUILHERME</t>
  </si>
  <si>
    <t>[CCC07321]</t>
  </si>
  <si>
    <t>PRESTAÇÃO DE SERVIÇOS UFVs (OURO FINO 2)   NF 103</t>
  </si>
  <si>
    <t>Execução de limpeza das canaletas de drenagem da UFV Ouro Fino 2. ENVIADO POR CARLOS</t>
  </si>
  <si>
    <t>[CCC07324]</t>
  </si>
  <si>
    <t>PAGAMENTO DE TAXAS UFVS (DIAMANTINA 1) NF 3274   RONDA</t>
  </si>
  <si>
    <t>[CCC07329]</t>
  </si>
  <si>
    <t>004014</t>
  </si>
  <si>
    <t>PAGAMENTO DE TAXAS UFVS (DIAMANTINA 2) NF 3275  RONDA</t>
  </si>
  <si>
    <t>004015</t>
  </si>
  <si>
    <t>PAGAMENTO DE TAXAS UFVS (DIAMANTINA 2) NF 3276   RONDA</t>
  </si>
  <si>
    <t>PAGAMENTO DE TAXAS UFVS (DIAMANTINA 1) NF 3277   RONDA</t>
  </si>
  <si>
    <t>[CCC07330]</t>
  </si>
  <si>
    <t>PAGAMENTO DE TAXAS UFVS (DIAMANTINA 2) NF 3278   RONDA</t>
  </si>
  <si>
    <t>COMPRA DE MATERIAIS UFV (OURO FINO) DEPOSITO BANDEIRANTES NF 3893</t>
  </si>
  <si>
    <t>[CCC07331]</t>
  </si>
  <si>
    <t>COMPRA DE MATERIAIS UFV (ALFENAS 4) DALILA NF 3014</t>
  </si>
  <si>
    <t>Pagamento placa de adesivo de sinalização. APROVADO POR CARLOS</t>
  </si>
  <si>
    <t>[CCC07334]</t>
  </si>
  <si>
    <t>005012</t>
  </si>
  <si>
    <t>PRESTAÇÃO DE SERVIÇO UFVs (PARACATU 4) NF 127</t>
  </si>
  <si>
    <t>Pagamento de medição referente a servico de instalacao de sistema de supervisao. ENVIADO POR ATI APROVADO POR VAGNER</t>
  </si>
  <si>
    <t>[CCC07336]</t>
  </si>
  <si>
    <t>005013</t>
  </si>
  <si>
    <t>PRESTAÇÃO DE SERVIÇO UFVs (PARACATU 5) NF 128</t>
  </si>
  <si>
    <t>005014</t>
  </si>
  <si>
    <t>PRESTAÇÃO DE SERVIÇO UFVs (PARACATU 4) NF 129</t>
  </si>
  <si>
    <t>005015</t>
  </si>
  <si>
    <t>PRESTAÇÃO DE SERVIÇO UFVs (PARACATU 5) NF 130</t>
  </si>
  <si>
    <t>004539</t>
  </si>
  <si>
    <t>PRESTAÇÃO DE SERVIÇO UFVs (SANTO ANTONIO 1) NF 131</t>
  </si>
  <si>
    <t>004541</t>
  </si>
  <si>
    <t>COMPRA DE MATERIAIS UFVs (OURO FINO) NF 3030</t>
  </si>
  <si>
    <t>Pagamento de medição referente a compra de materiais. ENVIADO POR ATI. APROVADO POR VAGNER</t>
  </si>
  <si>
    <t>[CCC07339]</t>
  </si>
  <si>
    <t>004540</t>
  </si>
  <si>
    <t>COMPRA DE MATERIAIS UFVs (OURO FINO) NF 3031</t>
  </si>
  <si>
    <t>004551</t>
  </si>
  <si>
    <t>PRESTAÇÃO DE SERVIÇO UFVs (MUZAMBINHO)  RIMA NF 654</t>
  </si>
  <si>
    <t>Pagamento referente a  construção cerca e aterramento. APROVADO POR GUILHERME</t>
  </si>
  <si>
    <t>[CCC07340]</t>
  </si>
  <si>
    <t>PRESTAÇÃO DE SERVIÇO UFVs (ALFENAS 4)  RIMA NF 117</t>
  </si>
  <si>
    <t>Pagamento referente ao DAIA + RIA executado. APROVADO POR GUILHERME</t>
  </si>
  <si>
    <t>PRESTAÇÃO DE SERVIÇOS UFVs (FREI INOCENCIO) MARCOS CAMILO NF10</t>
  </si>
  <si>
    <t>PAGAMENTO REFERENTE  AO SERVIÇO DE ROÇAGEM PARA INSTAÇÃO SENSOR - ALINHADO COM DANIEL -  21/05/2025</t>
  </si>
  <si>
    <t>[CCC07342]</t>
  </si>
  <si>
    <t>MARCOS CAMILO</t>
  </si>
  <si>
    <t>056476</t>
  </si>
  <si>
    <t>COMPRA DE EPI COPABO NF 307675</t>
  </si>
  <si>
    <t>PAGAMENTO REFERENTE A COMPRA DE EPI - APROVADO POR MARCIO</t>
  </si>
  <si>
    <t>[CCC07347]</t>
  </si>
  <si>
    <t>COPABO</t>
  </si>
  <si>
    <t>056477</t>
  </si>
  <si>
    <t>COMPRA DE EPI COPABO NF 307674</t>
  </si>
  <si>
    <t>056478</t>
  </si>
  <si>
    <t>COMPRA DE EPI COPABO NF 308454</t>
  </si>
  <si>
    <t>056479</t>
  </si>
  <si>
    <t>COMPRA DE EPI COPABO NF 307606</t>
  </si>
  <si>
    <t>056480</t>
  </si>
  <si>
    <t>COMPRA DE EPI COPABO NF 307673</t>
  </si>
  <si>
    <t>056481</t>
  </si>
  <si>
    <t>COMPRA DE EPI COPABO NF 308445</t>
  </si>
  <si>
    <t>COMPRA DE MATERIAIS UFVs (TRES CORAÇÕES) NF  192914  SISTEL</t>
  </si>
  <si>
    <t>Pagamento referente a compra de material, atividade em contrato implantação. APROVADO POR CARLOS</t>
  </si>
  <si>
    <t>[CCC07348]</t>
  </si>
  <si>
    <t>SISTEL</t>
  </si>
  <si>
    <t>056561</t>
  </si>
  <si>
    <t>COMPRA DE EPI COPABO NF 306112</t>
  </si>
  <si>
    <t>[CCC07349]</t>
  </si>
  <si>
    <t>056484</t>
  </si>
  <si>
    <t>COMPRA DE EPI COPABO NF 307108</t>
  </si>
  <si>
    <t>COMPRA DE MATERIAIS UFVs (DAMANTINA) NF 1125969</t>
  </si>
  <si>
    <t>Pagamento referente a compra de materiais complementares necessarios na construção da UFV. APROVADO POR GILSON</t>
  </si>
  <si>
    <t>[CCC07351]</t>
  </si>
  <si>
    <t>NORTEL</t>
  </si>
  <si>
    <t>004561</t>
  </si>
  <si>
    <t>[CCC07352]</t>
  </si>
  <si>
    <t>MRO - Terraplanagem UFVs Full-EPC -   MEDIÇAO    10% AVANÇO  (SÃO SEBASTIAO DO OESTE 5)    NF 404</t>
  </si>
  <si>
    <t>MRO - Terraplanagem UFVs Full-EPC -   MEDIÇAO    25% AVANÇO  (SÃO SEBASTIAO DO OESTE 5)    NF 403</t>
  </si>
  <si>
    <t>[CCC07354]</t>
  </si>
  <si>
    <t>PRESTAÇÃO DE SERVIÇOS UFVs (ALFENAS 4) NF  3099</t>
  </si>
  <si>
    <t>[CCC07359]</t>
  </si>
  <si>
    <t>004576</t>
  </si>
  <si>
    <t>PRESTAÇÃO DE SERVIÇOS UFVs (TRES CORAÇÕES 3) NF  3100</t>
  </si>
  <si>
    <t>004577</t>
  </si>
  <si>
    <t>PRESTAÇÃO DE SERVIÇOS UFVs (TRES CORAÇÕES 3) NF  3101</t>
  </si>
  <si>
    <t>Pagamento referente ADT serviço de vigilancia noturno e diurno. APROVADO POR CARLOS</t>
  </si>
  <si>
    <t>004578</t>
  </si>
  <si>
    <t>PRESTAÇÃO DE SERVIÇOS UFVs (TRES CORAÇÕES 3) NF  3102</t>
  </si>
  <si>
    <t>PRESTAÇÃO DE SERVIÇOS UFVs (CAMPO BELO 2) NF  3103</t>
  </si>
  <si>
    <t>PRESTAÇÃO DE SERVIÇOS UFVs (CAMPO BELO 2) NF  3104</t>
  </si>
  <si>
    <t>PRESTAÇÃO DE SERVIÇOS UFVs (ALFENAS 4) NF  3105</t>
  </si>
  <si>
    <t>004574</t>
  </si>
  <si>
    <t>PRESTAÇÃO DE SERVIÇOS UFVs (SANTO ANTONIO 1) NF  3106</t>
  </si>
  <si>
    <t>004575</t>
  </si>
  <si>
    <t>PRESTAÇÃO DE SERVIÇOS UFVs (SANTO ANTONIO 1) NF  3107</t>
  </si>
  <si>
    <t>PRESTAÇÃO DE SERVIÇOS UFVs (OURO FINO 2) NF  3108</t>
  </si>
  <si>
    <t>004580</t>
  </si>
  <si>
    <t>PRESTAÇÃO DE SERVIÇOS UFVs (OURO FINO 2) NF  3109</t>
  </si>
  <si>
    <t>004581</t>
  </si>
  <si>
    <t>PRESTAÇÃO DE SERVIÇOS UFVs (OURO FINO 2) NF  3110</t>
  </si>
  <si>
    <t>PRESTAÇÃO DE SERVIÇOS UFVs (OURO FINO 2) NF  3111</t>
  </si>
  <si>
    <t>PRESTAÇÃO DE SERVIÇOS UFVs (CAMPO BELO 1) NF  3112</t>
  </si>
  <si>
    <t>004570</t>
  </si>
  <si>
    <t>PRESTAÇÃO DE SERVIÇOS UFVs (CAMPO BELO 1) NF  3113</t>
  </si>
  <si>
    <t>PRESTAÇÃO DE SERVIÇOS UFVs (FORMIGA 6 ) NF  3391</t>
  </si>
  <si>
    <t>[CCC07366]</t>
  </si>
  <si>
    <t>PRESTAÇÃO DE SERVIÇOS UFVs (ALFENAS) NF 3379</t>
  </si>
  <si>
    <t>[CCC07368]</t>
  </si>
  <si>
    <t>004583</t>
  </si>
  <si>
    <t>PRESTAÇÃO DE SERVIÇOS UFVs (CAMPO BELO 1) NF 3383</t>
  </si>
  <si>
    <t>PRESTAÇÃO DE SERVIÇOS UFVs (OURO FINO 2) NF 3401</t>
  </si>
  <si>
    <t>PRESTAÇÃO DE SERVIÇOS UFVs (SANTO ANTONIO) RONDA NF 3422</t>
  </si>
  <si>
    <t>[CCC07369]</t>
  </si>
  <si>
    <t>056516</t>
  </si>
  <si>
    <t>COMPRA DE EPI COPABO NF 310290</t>
  </si>
  <si>
    <t>[CCC07370]</t>
  </si>
  <si>
    <t>056518</t>
  </si>
  <si>
    <t>COMPRA DE MATERIAIS UFVs COPABO NF 310340</t>
  </si>
  <si>
    <t>[CCC07371]</t>
  </si>
  <si>
    <t>PRESTAÇÃO DE SERVIÇOS UFVs (OURO FINO 2) RONDA NF 102</t>
  </si>
  <si>
    <t>Pagamento referente a adequação de infra do CFTV. APROVADO POR CARLOS</t>
  </si>
  <si>
    <t>[CCC07372]</t>
  </si>
  <si>
    <t>004598</t>
  </si>
  <si>
    <t>PRESTAÇÃO DE SERVIÇOS UFVs (OURO FINO) NF 3152 NORTE CONEXÃO</t>
  </si>
  <si>
    <t>Serviço de lançamento dos cabos de comunicação da UFV. APROVADO POR VAGNER</t>
  </si>
  <si>
    <t>[CCC07376]</t>
  </si>
  <si>
    <t>ROMANEI VERIFICAR / ROMANEI AUTORIZOU ENVIO COMO SUPERVISÓRIO NO PROTHEUS</t>
  </si>
  <si>
    <t>004033</t>
  </si>
  <si>
    <t>CONSTRUMANAGER - UFVs (MORI II)  NF 338088</t>
  </si>
  <si>
    <t>[CCC07377]</t>
  </si>
  <si>
    <t>PRESTAÇÃO DE SERVIÇOS UFVs (OURO FINO) NF 3151 NORTE CONEXÃO</t>
  </si>
  <si>
    <t>Serviço de lançamento dos cabos de comunicação da UFV. ENVIADO POR ATI APROVADO POR VAGNER</t>
  </si>
  <si>
    <t>[CCC07381]</t>
  </si>
  <si>
    <t>ATI - NORTE CONEXÃO</t>
  </si>
  <si>
    <t>COMPRA DE MATERIAIS UFVs (TRES CORAÇÕES) NF 196596 SISTEL</t>
  </si>
  <si>
    <t>Pagamento referente a compra de material necessarios na finalização da UFV. APROVADO POR CARLOS</t>
  </si>
  <si>
    <t>[CCC07384]</t>
  </si>
  <si>
    <t>PRESTAÇÃO DE SERVIÇOS UFVs (SALINAS/PATROCINIO 1/4/5) NF 6760 ENERGEA</t>
  </si>
  <si>
    <t xml:space="preserve">PAGAMENTO OPEX CONFORME ORIENTADO POR ROMANEI/DANIEL REFERENTE AO SERVIÇO DE CONSULTORIA - REALIZADO PELA ENERGEA. APROVADO POR VAGNER- </t>
  </si>
  <si>
    <t>[CCC07394]</t>
  </si>
  <si>
    <t>SEGUIU PELO COMPRAS COMERC</t>
  </si>
  <si>
    <t>ENERGEA</t>
  </si>
  <si>
    <t>Fat. Direto (MBA)</t>
  </si>
  <si>
    <t>PRESTAÇÃO DE SERVIÇOS UFVs (FORMIGA) NF 596</t>
  </si>
  <si>
    <t>PAGAMENTO REFERENTE A LEVANTAMENTO DE CAMPO, PROJETO, LISTA DE MATERIAIS E DADOS FÍSICOS. APROVADO POR MARCIO</t>
  </si>
  <si>
    <t>[CCC07395]</t>
  </si>
  <si>
    <t>004612</t>
  </si>
  <si>
    <t>PRESTAÇÃO DE SERVIÇOS UFVs (OURO FINO) NF 595</t>
  </si>
  <si>
    <t>005056</t>
  </si>
  <si>
    <t>PRESTAÇÃO DE SERVIÇOS UFVs REGRHAN NF  4305</t>
  </si>
  <si>
    <t>Pagamento referente aos serviços de assessoria , gestão e controle documental de terceiros, realizados pelo REGRHAN, necessários a construção das UFVs. APROVADO POR MATHEUS VILELA</t>
  </si>
  <si>
    <t>[CCC07397]</t>
  </si>
  <si>
    <t>PRESTAÇÃO DE SERVIÇOS UFVs REGRHAN NF 4306</t>
  </si>
  <si>
    <t>004623</t>
  </si>
  <si>
    <t>PRESTAÇÃO DE SERVIÇOS UFVs REGRHAN NF  4307</t>
  </si>
  <si>
    <t>PRESTAÇÃO DE SERVIÇOS UFVs REGRHAN NF  4308</t>
  </si>
  <si>
    <t>056552</t>
  </si>
  <si>
    <t>COMPRA DE EPI COPABO NF 310797</t>
  </si>
  <si>
    <t>[CCC07400]</t>
  </si>
  <si>
    <t>005063</t>
  </si>
  <si>
    <t>PRESTAÇÃO DE SERVIÇOS UFVs (INDAIABIRA 3) Romagnole NF 243227_x000D_</t>
  </si>
  <si>
    <t>Pagamento referente a transformador trifasico. APROVADO POR MARCIO</t>
  </si>
  <si>
    <t>[CCC07401]</t>
  </si>
  <si>
    <t>Romagnole
Proposta Nr: 00205418 - 04/02/2025</t>
  </si>
  <si>
    <t>005064</t>
  </si>
  <si>
    <t>PRESTAÇÃO DE SERVIÇOS UFVs (INDAIABIRA 4) Romagnole NF 243225</t>
  </si>
  <si>
    <t>Romagnole
Proposta Nr:  00205405 - 04/02/2025</t>
  </si>
  <si>
    <t xml:space="preserve">PRESTAÇÃO DE SERVIÇOS UFVs (PATOS DE MINAS 1) Romagnole NF 243226
</t>
  </si>
  <si>
    <t>Romagnole
Proposta Nr: 00205279 - 04/02/2025</t>
  </si>
  <si>
    <t>PRESTAÇÃO DE SERVIÇOS UFVs (FORMIGA 6) Romagnole NF 243231</t>
  </si>
  <si>
    <t>Romagnole
Proposta Nr: 00205274 - 04/02/2025</t>
  </si>
  <si>
    <t>PRESTAÇÃO DE SERVIÇOS UFVs (FORMIGA 6) Romagnole
Proposta Nr: 00205274 - 04/02/2026
NF244211 -  Nota foi cancelada</t>
  </si>
  <si>
    <t>PEDIDO ENCERRADO</t>
  </si>
  <si>
    <t>COMPRA DE MATERIAIS UFVs ROMAGNOLE NF 243047</t>
  </si>
  <si>
    <t>[CCC07402]</t>
  </si>
  <si>
    <t>PRESTAÇÃO DE SERVIÇOS UFVs (FREI INOCÊNCIO) NF 684 R&amp;C ELETRONICA</t>
  </si>
  <si>
    <t>PAGAMENTO REFERENTE A FINALIZAÇÃO DA INSTALAÇÃO E ENTREGA AS BUILT. APROVADO POR VAGNER</t>
  </si>
  <si>
    <t>[CCC07405]</t>
  </si>
  <si>
    <t>PRESTAÇÃO DE SERVIÇOS UFVs (FORMIGA) NF 685 R&amp;C ELETRONICA</t>
  </si>
  <si>
    <t>056571</t>
  </si>
  <si>
    <t>COMPRA DE EPI COPABO NF 308111</t>
  </si>
  <si>
    <t>[CCC07410]</t>
  </si>
  <si>
    <t>PRESTAÇÃO DE SERVIÇOS UFVs (DIAMANTINA 2) META PLANEJAMENTO NF 55</t>
  </si>
  <si>
    <t>PAGAMENTO REFERENTE A CERCAMENTO DA RESERVA LEGAL. ENVIADO POR GILSON</t>
  </si>
  <si>
    <t>[CCC07413]</t>
  </si>
  <si>
    <t>META PLANEJAMENTO</t>
  </si>
  <si>
    <t>PRESTAÇÃO DE SERVIÇOS UFVs (VARGINHA 2) NF 384</t>
  </si>
  <si>
    <t>PAGAMENTO REFERENTE A OBRAS MT</t>
  </si>
  <si>
    <t xml:space="preserve">Obras MT Preenchido pela Aysha e Romanei </t>
  </si>
  <si>
    <t>PRESTAÇÃO DE SERVIÇOS UFVs (VARGINHA 2) NF 329</t>
  </si>
  <si>
    <t>Pagamento medição , referente a obras de terraplenagem e drenagem. APROVADO POR CARLOS</t>
  </si>
  <si>
    <t>[CCC07414]</t>
  </si>
  <si>
    <t xml:space="preserve">MCD BALDONI </t>
  </si>
  <si>
    <t>PRESTAÇÃO DE SERVIÇOS UFVs (VARGINHA 2) N 484</t>
  </si>
  <si>
    <t>Pagamento medição , referente  a locação  de equipamentos para drenagem. APROVADO POR CARLOS</t>
  </si>
  <si>
    <t>PRESTAÇÃO DE SERVIÇOS UFVs (VARGINHA 2) NF 330</t>
  </si>
  <si>
    <t>Pagamento medição , referente a obras de terraplenagem. APROVADO POR CARLOS</t>
  </si>
  <si>
    <t>PRESTAÇÃO DE SERVIÇOS UFVs (VARGINHA 2) N 485</t>
  </si>
  <si>
    <t>Pagamento medição , referente  a locação  de equipamentos para terraplenagem. APROVADO POR CARLOS</t>
  </si>
  <si>
    <t>MEDIÇÃO (GOS FLORESTAL)</t>
  </si>
  <si>
    <t>PRESTAÇÃO DE SERVIÇOS UFVs (FORMIGA 6) NF 10</t>
  </si>
  <si>
    <t xml:space="preserve">Pagamento referente a execução e monitoramento de assessoria ambiental. 90% do contrato - GOS FLORESTAL .  APROVADO POR MATHEUS VILELA </t>
  </si>
  <si>
    <t>[CCC07415]</t>
  </si>
  <si>
    <t xml:space="preserve">GOS FLORESTAL </t>
  </si>
  <si>
    <t>Outros - Serviços à UFV (MCD BALDONI)</t>
  </si>
  <si>
    <t>PRESTAÇÃO DE SERVIÇOS UFVs (VARGINHA 1) NF 333</t>
  </si>
  <si>
    <t xml:space="preserve"> Pagamento referente ao serviço de terraplenagem, necessário à construção da UFV. APROVADO POR CARLOS </t>
  </si>
  <si>
    <t>[CCC07416]</t>
  </si>
  <si>
    <t>MCD BALDONI</t>
  </si>
  <si>
    <t>Outros - Serviços à UFV (BALDONI)</t>
  </si>
  <si>
    <t>PRESTAÇÃO DE SERVIÇOS UFVs (VARGINHA 1) N 488</t>
  </si>
  <si>
    <t>Pagamento medição , referente  a locação  de equipamentos para obra. APROVADO POR CARLOS</t>
  </si>
  <si>
    <t>PRESTAÇÃO DE SERVIÇOS UFVs (VARGINHA 2) NF 332</t>
  </si>
  <si>
    <t>[CCC07417]</t>
  </si>
  <si>
    <t>PRESTAÇÃO DE SERVIÇOS UFVs (VARGINHA 2) N 487</t>
  </si>
  <si>
    <t>056602</t>
  </si>
  <si>
    <t>COMPRA DE EPI COPABO NF 311491</t>
  </si>
  <si>
    <t>[CCC07423]</t>
  </si>
  <si>
    <t>004664</t>
  </si>
  <si>
    <t>PRESTAÇÃO DE SERVIÇOS UFVs (OURO FINO 2 ) NF 335</t>
  </si>
  <si>
    <t>[CCC07425]</t>
  </si>
  <si>
    <t>005106</t>
  </si>
  <si>
    <t>PRESTAÇÃO DE SERVIÇOS UFVs (SÃO SEBASTIÃO 0) NF 336</t>
  </si>
  <si>
    <t>PAGAMENTO REFERENTE AO COMISSIONAMENTO REMOTO. APROVADO POR VAGNER</t>
  </si>
  <si>
    <t>005107</t>
  </si>
  <si>
    <t>PRESTAÇÃO DE SERVIÇOS UFVs (SÃO SEBASTIÃO 0) NF 337</t>
  </si>
  <si>
    <t>PAGAMENTO REFERENTE A LICENÇA DE USO DO SISTEMA SGD. APROVADO POR VAGNER</t>
  </si>
  <si>
    <t>004088</t>
  </si>
  <si>
    <t>PRESTAÇÃO DE SERVIÇOS UFVs (DIAMANTINA 1) NF 338</t>
  </si>
  <si>
    <t>004089</t>
  </si>
  <si>
    <t>PRESTAÇÃO DE SERVIÇOS UFVs (DIAMANTINA 2) NF 339</t>
  </si>
  <si>
    <t>004090</t>
  </si>
  <si>
    <t>PRESTAÇÃO DE SERVIÇOS UFVs (DIAMANTINA 1) NF 340</t>
  </si>
  <si>
    <t>004091</t>
  </si>
  <si>
    <t>PRESTAÇÃO DE SERVIÇOS UFVs (DIAMANTINA 2) NF 341</t>
  </si>
  <si>
    <t>004665</t>
  </si>
  <si>
    <t>PRESTAÇÃO DE SERVIÇOS UFVs (MUZAMBINHO) NF 342</t>
  </si>
  <si>
    <t>004666</t>
  </si>
  <si>
    <t>PRESTAÇÃO DE SERVIÇOS UFVs (MUZAMBINHO) NF 343</t>
  </si>
  <si>
    <t>PAGAMENTO REFERENTE A FORNECIMENTO DE PEÇAS SOBRESSALENTES SETTA -DE CABINE 36KV - BURITIZEIRO 1. APROVADO POR CAROL TRALDI</t>
  </si>
  <si>
    <t>[CCC07430]</t>
  </si>
  <si>
    <t>PAGAMENTO REFERENTE A FORNECIMENTO DE PEÇAS SOBRESSALENTES SETTA -DE CABINE 36KV - BURITIZEIRO 2. APROVADO POR CAROL TRALDI</t>
  </si>
  <si>
    <t>Equipamentos Curva A -  Contrato Sobressalentes - SETTA (Indaiabira 3)</t>
  </si>
  <si>
    <t>PAGAMENTO REFERENTE A FORNECIMENTO DE PEÇAS SOBRESSALENTES SETTA -DE CABINE 36KV - INDAIABIRA 3. APROVADO POR CAROL TRALDI</t>
  </si>
  <si>
    <t>Equipamentos Curva A -  Contrato Sobressalentes - SETTA (Indaiabira 4)</t>
  </si>
  <si>
    <t>PAGAMENTO REFERENTE A FORNECIMENTO DE PEÇAS SOBRESSALENTES SETTA -DE CABINE 36KV - INDAIABIRA 4. APROVADO POR CAROL TRALDI</t>
  </si>
  <si>
    <t>Equipamentos Curva A -  Contrato Sobressalentes - SETTA (Jaboticatubas)</t>
  </si>
  <si>
    <t>PAGAMENTO REFERENTE A FORNECIMENTO DE PEÇAS SOBRESSALENTES SETTA -DE CABINE 15KV - JABOTICATUBAS. APROVADO POR CAROL TRALDI</t>
  </si>
  <si>
    <t>Equipamentos Curva A - Contrato Sobressalentes - SETTA (Divinopolis 1)</t>
  </si>
  <si>
    <t>PAGAMENTO REFERENTE A FORNECIMENTO DE PEÇAS SOBRESSALENTES SETTA -DE CABINE 15KV - DIVINOPOLIS 1. APROVADO POR CAROL TRALDI</t>
  </si>
  <si>
    <t>Equipamentos Curva A - Contrato Sobressalentes - SETTA (Divinopolis 2)</t>
  </si>
  <si>
    <t>PAGAMENTO REFERENTE A FORNECIMENTO DE PEÇAS SOBRESSALENTES SETTA -DE CABINE 15KV - DIVINOPOLIS 2 . APROVADO POR CAROL TRALDI</t>
  </si>
  <si>
    <t>Equipamentos Curva A - Contrato Sobressalentes - SETTA (Pedra do Indaía 1)</t>
  </si>
  <si>
    <t>PAGAMENTO REFERENTE A FORNECIMENTO DE PEÇAS SOBRESSALENTES SETTA -DE CABINE 15KV - PEDRA DO INDAÍA 1 . APROVADO POR CAROL TRALDI</t>
  </si>
  <si>
    <t>Equipamentos Curva A - Contrato Sobressalentes - SETTA (Pedra do Indaía 3)</t>
  </si>
  <si>
    <t>PAGAMENTO REFERENTE A FORNECIMENTO DE PEÇAS SOBRESSALENTES SETTA -DE CABINE 15KV - PEDRA DO INDAÍA 3 . APROVADO POR CAROL TRALDI</t>
  </si>
  <si>
    <t>Equipamentos Curva A - Contrato Sobressalentes - SETTA Sao (Sebastiao 6)</t>
  </si>
  <si>
    <t>PAGAMENTO REFERENTE A FORNECIMENTO DE PEÇAS SOBRESSALENTES SETTA -DE CABINE 15KV - SAO SEBASTIAO 6. APROVADO POR CAROL TRALDI</t>
  </si>
  <si>
    <t>COMPRA DE MATERIAIS UFVs ROMAGNOLE NF 243867</t>
  </si>
  <si>
    <t>[CCC07431]</t>
  </si>
  <si>
    <t>PRESTAÇÃO DE SERVIÇO UFV (LAGOA FORMOSA) R&amp;C ELETRONICA NF 1790</t>
  </si>
  <si>
    <t>PRESTAÇÃO DE SERVIÇO UFV (VARJÃO DE MINAS 4) R&amp;C ELETRONICA NF 1790</t>
  </si>
  <si>
    <t>PRESTAÇÃO DE SERVIÇO UFV (PATOS DE MINAS 3) R&amp;C ELETRONICA NF 1790</t>
  </si>
  <si>
    <t>PRESTAÇÃO DE SERVIÇO UFV (PATOS DE MINAS 4) R&amp;C ELETRONICA NF 1790</t>
  </si>
  <si>
    <t>PRESTAÇÃO DE SERVIÇO UFV (PATOS DE MINAS 7) R&amp;C ELETRONICA NF 1790</t>
  </si>
  <si>
    <t>PRESTAÇÃO DE SERVIÇO UFV (BAMBUI 1) R&amp;C ELETRONICA NF 1795</t>
  </si>
  <si>
    <t>PRESTAÇÃO DE SERVIÇO UFV (CAMPO BELO 3) R&amp;C ELETRONICA NF 1795</t>
  </si>
  <si>
    <t>PRESTAÇÃO DE SERVIÇO UFV (CASSIA 1) R&amp;C ELETRONICA NF 1795</t>
  </si>
  <si>
    <t>PRESTAÇÃO DE SERVIÇO UFV (CASSIA 2) R&amp;C ELETRONICA NF 1796</t>
  </si>
  <si>
    <t>ROMANEI E AYSHA FIZERAM A OBS. Valor total da NF 4.730,52  - bambui 2 e cassia 2</t>
  </si>
  <si>
    <t>PRESTAÇÃO DE SERVIÇO UF (DIVINÓPOLIS 2) R&amp;C ELETRONICA NF 1797</t>
  </si>
  <si>
    <t>PRESTAÇÃO DE SERVIÇO UF (GUARDA-MOR) R&amp;C ELETRONICA NF 1797</t>
  </si>
  <si>
    <t>MRO - Terraplanagem UFVs Full-EPC -  MEDIÇÃO FINAL  AVANÇO   ( CAMPO BELO 3 ) NF  419</t>
  </si>
  <si>
    <t>Pagamento  referente a 100% AVANÇO  35% finais ,  necessário à construção da UFV.</t>
  </si>
  <si>
    <t>000592</t>
  </si>
  <si>
    <t>MRO - Terraplanagem UFVs Full-EPC -  MEDIÇÃO FINAL  AVANÇO   ( CAMPO BELO 4 ) NF  420</t>
  </si>
  <si>
    <t>Pagamento  referente a 100% AVANÇO  24% finais ,  necessário à construção da UFV.</t>
  </si>
  <si>
    <t>MRO - Terraplanagem UFVs Full-EPC -   MEDIÇAO INTERMEDIÁRIO 35 %  (CASSIA 2)  NF 385</t>
  </si>
  <si>
    <t>[CCC03826]</t>
  </si>
  <si>
    <t>MRO - Terraplanagem UFVs Full-EPC -   MEDIÇAO   25% AVANÇO  (FREI INOCENCIO)    NF 401</t>
  </si>
  <si>
    <t>MRO - Terraplanagem UFVs Full-EPC -   MEDIÇAO   25% AVANÇO  (CASSIA 2)    NF 406</t>
  </si>
  <si>
    <t>MRO - Terraplanagem UFVs Full-EPC -  MEDIÇÃO FINAL  AVANÇO   ( SÃO SEBASTIÃO 1 ) NF  418</t>
  </si>
  <si>
    <t>Pagamento  referente a 100% AVANÇO  35% finais ,  necessário à construção da UFV. EVENTO 4</t>
  </si>
  <si>
    <t>004735</t>
  </si>
  <si>
    <t>PRESTAÇÃO DE SERVIÇO UF (Arcos 7) R&amp;C ELETRONICA NF 689</t>
  </si>
  <si>
    <t>Pagamento de medição referente a de fornecimento e implantação de sistemas de circuito fechado de TV CFTV para segurança patrimonial. ADITIVO APROVADO POR MARCIO E MATHEUS VILELA</t>
  </si>
  <si>
    <t>[CCC07433]</t>
  </si>
  <si>
    <t>ROMANEI E AYSHA FIZERAM A OBS. Valor total da NF 21.000,00 - arcos 7, são sebastião 1, três corações 3 e muzambinho</t>
  </si>
  <si>
    <t xml:space="preserve">R&amp;C ELETRONICA </t>
  </si>
  <si>
    <t>PRESTAÇÃO DE SERVIÇO UF (São sebastião 1) R&amp;C ELETRONICA NF 689</t>
  </si>
  <si>
    <t>PRESTAÇÃO DE SERVIÇO UF (Muzambinho 1) R&amp;C ELETRONICA NF 689</t>
  </si>
  <si>
    <t>PRESTAÇÃO DE SERVIÇO UF ( Três corações 3) R&amp;C ELETRONICA NF 689</t>
  </si>
  <si>
    <t>004754</t>
  </si>
  <si>
    <t>COMPRA DE MATERIAIS UF (ARCOS 7) NF 1814</t>
  </si>
  <si>
    <t>Pagamento referente a compra de materiais (ADITIVO). APROVADO POR MARCIO E MATHEUS VILELA</t>
  </si>
  <si>
    <t>ROMANEI E AYSHA FIZERAM A OBS. Valor total da NF 36.828,76 - arcos 7, são sebastião 1, três corações 3 e muzambinho</t>
  </si>
  <si>
    <t>COMPRA DE MATERIAIS UF (SÃO SEBASTIÃO 1) NF 1814</t>
  </si>
  <si>
    <t>COMPRA DE MATERIAIS UF (MUZAMBINHO 1) NF 1814</t>
  </si>
  <si>
    <t>COMPRA DE MATERIAIS UF (TRÊS CORAÇÕES 3) NF 1814</t>
  </si>
  <si>
    <t>PRESTAÇÃO DE SERVIÇO UFV (ALFENAS) TAD ENGENHARIA NF 05</t>
  </si>
  <si>
    <t>Pagamento referente a prestação de serviços e mão de obra,  necessários a construção da UFVs. ENVIADO POR AUGUSTO</t>
  </si>
  <si>
    <t>[CCC07437]</t>
  </si>
  <si>
    <t>TAD ENGENHARIA</t>
  </si>
  <si>
    <t>PRESTAÇÃO DE SERVIÇOS UFVs (ALFENAS 4) RONDA NF 3541</t>
  </si>
  <si>
    <t>[CCC07438]</t>
  </si>
  <si>
    <t>PRESTAÇÃO DE SERVIÇOS UFVs (CAMPO BELO 1) RONDA NF 3578</t>
  </si>
  <si>
    <t>PRESTAÇÃO DE SERVIÇOS UFVs (OURO FINO 2) RONDA NF 3591</t>
  </si>
  <si>
    <t>004692</t>
  </si>
  <si>
    <t>PRESTAÇÃO DE SERVIÇOS UFVs (SANTO ANTONIO DO AMPARO 1) RONDA NF 3595</t>
  </si>
  <si>
    <t>PRESTAÇÃO DE SERVIÇOS UFVs (ALFENAS 4) NF 3687</t>
  </si>
  <si>
    <t>Pagamento referente a prestação de serviço de extensão e modificação de rede de distribuição rural e urbana para atender à UFV. ENVIADO POR MBA</t>
  </si>
  <si>
    <t>[CCC07439]</t>
  </si>
  <si>
    <t>004703</t>
  </si>
  <si>
    <t>PRESTAÇÃO DE SERVIÇO UF (OURO FINO 2) R&amp;C ELETRONICA NF 687</t>
  </si>
  <si>
    <t>Pagamento de medição referente a de fornecimento e implantação de sistemas de circuito fechado de TV CFTV para segurança patrimonial. APROVADO POR ROMANEI</t>
  </si>
  <si>
    <t>[CCC07440]</t>
  </si>
  <si>
    <t>PRESTAÇÃO DE SERVIÇOS UFVs (FORMIGA 6) RONDA NF 3583</t>
  </si>
  <si>
    <t>[CCC07443]</t>
  </si>
  <si>
    <t>056646</t>
  </si>
  <si>
    <t>COMPRA DE EPI COPABO NF 312365</t>
  </si>
  <si>
    <t>PAGAMENTO REFERENTE A COMPRA DE EPI - APROVADO POR JULIANA</t>
  </si>
  <si>
    <t>[CCC07444]</t>
  </si>
  <si>
    <t>PRESTAÇÃO DE SERVIÇO UFVs (SANTO ANTONIO 1) NF 132</t>
  </si>
  <si>
    <t>Pagamento de medição referente a licenca de utilizacao do Sistema SGD - Previsto contrato implantação. ENVIADO POR ROMANEI</t>
  </si>
  <si>
    <t>[CCC07449]</t>
  </si>
  <si>
    <t xml:space="preserve">PRESTAÇÃO DE SERVIÇOS UFVs (FORMIGA 6) Romagnole
Proposta Nr: 00205274 NF 0244225 </t>
  </si>
  <si>
    <t>[CCC07450]</t>
  </si>
  <si>
    <t>FALTA 1 BOLETO</t>
  </si>
  <si>
    <t>00244446</t>
  </si>
  <si>
    <t>COMPRA DE MATERIAIS UFVs ROMAGNOLE NF 0244446</t>
  </si>
  <si>
    <t>[CCC07457]</t>
  </si>
  <si>
    <t>LANÇADO NO PRE-NOTA DE ENTRADA</t>
  </si>
  <si>
    <t>005144</t>
  </si>
  <si>
    <t>PRESTAÇÃO DE SERVIÇOS UFVs REGRHAN NF  4506</t>
  </si>
  <si>
    <t>Pagamento referente aos serviços de gestão de subcontratadas e controle de doc de terc.  APROVADO POR MATHEUS VILELA</t>
  </si>
  <si>
    <t>[CCC07451]</t>
  </si>
  <si>
    <t>004144</t>
  </si>
  <si>
    <t>PRESTAÇÃO DE SERVIÇOS UFVs REGRHAN NF  4507</t>
  </si>
  <si>
    <t>PRESTAÇÃO DE SERVIÇOS UFVs REGRHAN NF  4508</t>
  </si>
  <si>
    <t>PRESTAÇÃO DE SERVIÇOS UFVs REGRHAN NF  4509</t>
  </si>
  <si>
    <t>PRESTAÇÃO DE SERVIÇOS UFVs CLIMA BOM AR NF 12</t>
  </si>
  <si>
    <t>Pagamento referente ao serviço de instalação de ar condicionado - serviço implantação. APROVADO POR AUGUSTO</t>
  </si>
  <si>
    <t>[CCC07452]</t>
  </si>
  <si>
    <t>CLIMA BOM AR</t>
  </si>
  <si>
    <t>004149</t>
  </si>
  <si>
    <t>CONSTRUMANAGER - UFVs (MORI II)  NF 340155</t>
  </si>
  <si>
    <t>[CCC07453]</t>
  </si>
  <si>
    <t>PRESTAÇÃO DE SERVIÇO UF (VARGINHA 2) R&amp;C ELETRONICA NF 690</t>
  </si>
  <si>
    <t>ROMANEI E AYSHA FIZERAM A OBS. Valor total da NF 11.400,00 - varginha 2, campo belo 4, são sebastião 3, formiga 6</t>
  </si>
  <si>
    <t>PRESTAÇÃO DE SERVIÇO UF (CAMPO BELO 4) R&amp;C ELETRONICA NF 690</t>
  </si>
  <si>
    <t>PRESTAÇÃO DE SERVIÇO UF (SÃO SEBASTIÃO 3) R&amp;C ELETRONICA NF 690</t>
  </si>
  <si>
    <t>PRESTAÇÃO DE SERVIÇO UF (FORMIGA 6) R&amp;C ELETRONICA NF 690</t>
  </si>
  <si>
    <t>COMPRA DE MATERIAIS UF (VARGINHA 2) NF 1815</t>
  </si>
  <si>
    <t>ROMANEI E AYSHA FIZERAM A OBS. Valor total da NF 20.498,92 - varginha 2, campo belo 4, são sebastião 3, formiga 6</t>
  </si>
  <si>
    <t>COMPRA DE MATERIAIS UF (CAMPO BELO 4) NF 1815</t>
  </si>
  <si>
    <t>COMPRA DE MATERIAIS UF (SÃO SEBASTIÃO 3) NF 1815</t>
  </si>
  <si>
    <t>COMPRA DE MATERIAIS UF (FORMIGA 6) NF 1815</t>
  </si>
  <si>
    <t>005165</t>
  </si>
  <si>
    <t>PRESTAÇÃO DE SERVIÇO UF (INDAIABIRA 2) R&amp;C ELETRONICA NF 691</t>
  </si>
  <si>
    <t>ROMANEI E AYSHA FIZERAM A OBS. Valor total da NF 9.596,32 - indiabira 2, pedra do indaia 5, pains 3</t>
  </si>
  <si>
    <t>PRESTAÇÃO DE SERVIÇO UF (PEDRA DO INDAIA 5) R&amp;C ELETRONICA NF 691</t>
  </si>
  <si>
    <t>PRESTAÇÃO DE SERVIÇO UF (PAINS 3) R&amp;C ELETRONICA NF 691</t>
  </si>
  <si>
    <t>005173</t>
  </si>
  <si>
    <t>COMPRA DE MATERIAIS UF (INDAIABIRA 2) NF 1816</t>
  </si>
  <si>
    <t>ROMANEI E AYSHA FIZERAM A OBS. Valor total da NF 15.768,40 - indiabira 2, pedra do indaia 5, pains 3</t>
  </si>
  <si>
    <t>COMPRA DE MATERIAIS UF (PEDRA DO INDAIA 5) NF 1816</t>
  </si>
  <si>
    <t>COMPRA DE MATERIAIS UF (PAINS 3) NF 1816</t>
  </si>
  <si>
    <t>004168</t>
  </si>
  <si>
    <t>PRESTAÇÃO DE SERVIÇO UF (DIAMANTINA 1) R&amp;C ELETRONICA NF 692</t>
  </si>
  <si>
    <t>ROMANEI E AYSHA FIZERAM A OBS. Valor total da NF 15.520,00 - diamantina 1 e Frei inocencio 1</t>
  </si>
  <si>
    <t>PRESTAÇÃO DE SERVIÇO UF (FREI INOCÊNCIO) R&amp;C ELETRONICA NF 692</t>
  </si>
  <si>
    <t>004169</t>
  </si>
  <si>
    <t>COMPRA DE MATERIAIS UF (DIAMANTINA 1) NF 1817</t>
  </si>
  <si>
    <t>ROMANEI E AYSHA FIZERAM A OBS. Valor total da NF 4.730,52 - diamantina 1 e Frei inocencio 1</t>
  </si>
  <si>
    <t>COMPRA DE MATERIAIS UF (FREI INOCENCIO 1) NF 1817</t>
  </si>
  <si>
    <t>000244471</t>
  </si>
  <si>
    <t>COMPRA DE MATERIAIS UFVs ROMAGNOLE NF 244471</t>
  </si>
  <si>
    <t>[CCC07458]</t>
  </si>
  <si>
    <t>PRESTAÇÃO DE SERVIÇOS UFVs  (ALFENAS 4) SRJ PROTECAO NF 5</t>
  </si>
  <si>
    <t>[CCC07461]</t>
  </si>
  <si>
    <t>056675</t>
  </si>
  <si>
    <t>COMPRA DE EPI COPABO NF 313002</t>
  </si>
  <si>
    <t>PAGAMENTO REFERENTE A COMPRA DE EPI - APROVADO POR MARCIO- JOAO PAULO</t>
  </si>
  <si>
    <t>[CCC07464]</t>
  </si>
  <si>
    <t>056676</t>
  </si>
  <si>
    <t>COMPRA DE EPI COPABO NF 313001</t>
  </si>
  <si>
    <t>PAGAMENTO REFERENTE A COMPRA DE EPI - APROVADO POR MARCIO - VILELA</t>
  </si>
  <si>
    <t>056677</t>
  </si>
  <si>
    <t>COMPRA DE EPI COPABO NF 312983</t>
  </si>
  <si>
    <t>PAGAMENTO REFERENTE A COMPRA DE EPI - APROVADO POR MARCIO - JULIANA</t>
  </si>
  <si>
    <t>[CCC07465]</t>
  </si>
  <si>
    <t>PRESTAÇÃO DE SERVIÇO UFVs (PASSOS 4) ADRINHO NF 5</t>
  </si>
  <si>
    <t>Pagamento referente a demolição E limpeza. Serviços necessários para andamento da ufvs. - APROVADO MARCIO ELI</t>
  </si>
  <si>
    <t>[CCC07466]</t>
  </si>
  <si>
    <t>PRESTAÇÃO DE SERVIÇOS UFVs (ALFENAS 4) NF 3224 NORTE CONEXÃO</t>
  </si>
  <si>
    <t>[CCC07468]</t>
  </si>
  <si>
    <t>004756</t>
  </si>
  <si>
    <t>PRESTAÇÃO DE SERVIÇOS UFVs (OURO FINO) NF 3208 NORTE CONEXÃO</t>
  </si>
  <si>
    <t>2601 - CONSORCIO UFV CORINTO MG</t>
  </si>
  <si>
    <t>TAXA CREA CONSORCIO CORINTO</t>
  </si>
  <si>
    <t>[CCC07469]</t>
  </si>
  <si>
    <t>PRESTAÇÃO DE SERVIÇO UFVs (DIAMANTINA 1)  RIMA NF 124</t>
  </si>
  <si>
    <t>Pagamento referente a SUPRESSÃO VEGETAL. ENVIADO POR DENER/GUILHERME</t>
  </si>
  <si>
    <t>[CCC07470]</t>
  </si>
  <si>
    <t>004757</t>
  </si>
  <si>
    <t>PRESTAÇÃO DE SERVIÇOS UFVs (VARGINHA 1) NF 339</t>
  </si>
  <si>
    <t xml:space="preserve"> Pagamento referente a medição de terraplenagem, necessário à construção da UFV. APROVADO POR AUGUSTO</t>
  </si>
  <si>
    <t>[CCC07471]</t>
  </si>
  <si>
    <t>004758</t>
  </si>
  <si>
    <t>PRESTAÇÃO DE SERVIÇOS UFVs (VARGINHA 1) NF 493</t>
  </si>
  <si>
    <t>Pagamento medição , referente  a locação  de equipamentos para obra. APROVADO POR AUGUSTO</t>
  </si>
  <si>
    <t>PRESTAÇÃO DE SERVIÇOS UFVs (VARGINHA 2) NF 340</t>
  </si>
  <si>
    <t>[CCC07472]</t>
  </si>
  <si>
    <t>PRESTAÇÃO DE SERVIÇOS UFVs (VARGINHA 2) NF 494</t>
  </si>
  <si>
    <t>PRESTAÇÃO DE SERVIÇOS UFVs (VARGINHA 1) NF 338</t>
  </si>
  <si>
    <t>[CCC07473]</t>
  </si>
  <si>
    <t>004760</t>
  </si>
  <si>
    <t>PRESTAÇÃO DE SERVIÇOS UFVs (VARGINHA 1) NF 492</t>
  </si>
  <si>
    <t>SUPERVISORIO - Ciclo 2 - Gateways e remota (São Sebastião 6)</t>
  </si>
  <si>
    <t>[CCC03235-17]</t>
  </si>
  <si>
    <t>Aysha está acrescentando o valor de contrato ATI. Retirado da planilha de controle antiga.</t>
  </si>
  <si>
    <t>SUPERVISORIO - Ciclo 2 - Baterias, desktops, switch e acessórios (São Sebastião 6)</t>
  </si>
  <si>
    <t>[CCC03235-36]</t>
  </si>
  <si>
    <t>SUPERVISORIO - Ciclo 2 - Gateways e remota (Varjão 4)</t>
  </si>
  <si>
    <t>[CCC03287-13]</t>
  </si>
  <si>
    <t>SUPERVISORIO - Ciclo 2 - Baterias, desktops, switch e acessórios (Varjão 4)</t>
  </si>
  <si>
    <t>[CCC03287-24]</t>
  </si>
  <si>
    <t>SUPERVISORIO - Ciclo 2 - Gateways e remota (Varjão 1)</t>
  </si>
  <si>
    <t>[CCC03287-04]</t>
  </si>
  <si>
    <t>SUPERVISORIO - Ciclo 2 - Baterias, desktops, switch e acessórios (Varjão 1)</t>
  </si>
  <si>
    <t>[CCC03287-28]</t>
  </si>
  <si>
    <t>004761</t>
  </si>
  <si>
    <t>PRESTAÇÃO DE SERVIÇOS UFVs (TRES CORAÇÕES 3) NF 17</t>
  </si>
  <si>
    <t>Pagamento referente a instalação ar condicionado, contrato implantação. APROVADO POR AUGUSTO</t>
  </si>
  <si>
    <t>[CCC07476]</t>
  </si>
  <si>
    <t>004762</t>
  </si>
  <si>
    <t>PRESTAÇÃO DE SERVIÇOS UFVs (SANTO ANTONIO 1) NF 16</t>
  </si>
  <si>
    <t>[CCC07477]</t>
  </si>
  <si>
    <t>004763</t>
  </si>
  <si>
    <t>PRESTAÇÃO DE SERVIÇOS UFVs (OURO FINO 2) NF 212</t>
  </si>
  <si>
    <t>Pagamento referente a prestação de serviços . APROVADO POR AUGUSTO</t>
  </si>
  <si>
    <t>[CCC07478]</t>
  </si>
  <si>
    <t>004764</t>
  </si>
  <si>
    <t>PRESTAÇÃO DE SERVIÇOS UFVs (OURO FINO) NF 213</t>
  </si>
  <si>
    <t>SUPERVISORIO - Ciclo 2 - Gateways e remota (Guarda Mor 1)</t>
  </si>
  <si>
    <t>[CCC03235-18]</t>
  </si>
  <si>
    <t>SUPERVISORIO - Ciclo 2 - Baterias, desktops, switch e acessórios (Guarda Mor 1)</t>
  </si>
  <si>
    <t>[CCC03235-37]</t>
  </si>
  <si>
    <t>SUPERVISORIO - Ciclo 2 - Gateways e remota (Bambuí 2)</t>
  </si>
  <si>
    <t>[CCC03207-04]</t>
  </si>
  <si>
    <t>[CCC03207-18]</t>
  </si>
  <si>
    <t>SUPERVISORIO - Ciclo 2 - Gateways e remota (Bambuí 1)</t>
  </si>
  <si>
    <t>[CCC03269-09]</t>
  </si>
  <si>
    <t>SUPERVISORIO - Ciclo 2 - Baterias, desktops, switch e acessórios (Bambuí 1)</t>
  </si>
  <si>
    <t>[CCC03269-30]</t>
  </si>
  <si>
    <t>005178</t>
  </si>
  <si>
    <t>PRESTAÇÃO DE SERVIÇO UFVs (PARACATU 4) NF 530</t>
  </si>
  <si>
    <t>Pagamento de medição referente ao projeto de instalacao (as-built). ENVIADO POR ATI</t>
  </si>
  <si>
    <t>[CCC07480]</t>
  </si>
  <si>
    <t>005179</t>
  </si>
  <si>
    <t>PRESTAÇÃO DE SERVIÇO UFVs (PARACATU 5) NF 531</t>
  </si>
  <si>
    <t>Pagamento de medição referentes a projetos de instalações (as-built) incluindotorias de UFVs. ENVIADO POR ATI. APROVADO POR MATHEUS VILELA</t>
  </si>
  <si>
    <t>004765</t>
  </si>
  <si>
    <t>PRESTAÇÃO DE SERVIÇO UFVs (CAMPO BELO 1) NF 532</t>
  </si>
  <si>
    <t>004766</t>
  </si>
  <si>
    <t>PRESTAÇÃO DE SERVIÇO UFVs (SANTO ANTONIO 1) NF 533</t>
  </si>
  <si>
    <t>004767</t>
  </si>
  <si>
    <t>PRESTAÇÃO DE SERVIÇO UFVs (SÃO SEBASTIÃO 4) NF 534</t>
  </si>
  <si>
    <t>004768</t>
  </si>
  <si>
    <t>PRESTAÇÃO DE SERVIÇO UFVs (TRES CORAÇÕES) NF 535</t>
  </si>
  <si>
    <t>PRESTAÇÃO DE SERVIÇO UFVs (FORMIGA 6) NF 536</t>
  </si>
  <si>
    <t>PRESTAÇÃO DE SERVIÇO UFVs (PASSOS 4) NF 537</t>
  </si>
  <si>
    <t>PRESTAÇÃO DE SERVIÇO UFVs (MUZAMBINHO) NF 538</t>
  </si>
  <si>
    <t>004770</t>
  </si>
  <si>
    <t>PRESTAÇÃO DE SERVIÇO UFVs (OURO  FINO 2) NF 539</t>
  </si>
  <si>
    <t>esenvolvimento de projetos Executivos - ENERSOLAR - 20% EMITIDOS-( PATOS 1)   NF95   PC 575</t>
  </si>
  <si>
    <t>[CCC03518]</t>
  </si>
  <si>
    <t>Pagamento antigo Romanei</t>
  </si>
  <si>
    <t>Desenvolvimento de projetos Executivos  - ENERSOLAR -  20%  APROVADO  (DIVINOPOLIS 3 ) NF  195</t>
  </si>
  <si>
    <t>004771</t>
  </si>
  <si>
    <t>PRESTAÇÃO DE SERVIÇO UFVs (MUZAMBINHO) NF 9</t>
  </si>
  <si>
    <t>Pagamento refente a execução de reparo na infra estrutura eletrica, contrato implantação. APROVADO POR MATHEUS/AUGUSTO</t>
  </si>
  <si>
    <t>[CCC07481]</t>
  </si>
  <si>
    <t>Um dos aditivos de serviço acabaram sendo retirados, por isso tivemos um valor de NF inferior ao valor do pedido. Augusto pediu para retificar o valor, antes era 10.370, e agora passou para 8.850.</t>
  </si>
  <si>
    <t>FEMORTCH ENGENHARIA</t>
  </si>
  <si>
    <t>056704</t>
  </si>
  <si>
    <t>COMPRA DE EPI COPABO NF 310289</t>
  </si>
  <si>
    <t>[CCC07482]</t>
  </si>
  <si>
    <t xml:space="preserve">PRESTAÇÃO DE SERVIÇO UFVs (CAMPO BELO 4) PJ SERVIÇOS NF </t>
  </si>
  <si>
    <t>Pagamento referente a manutenção e limpeza de bacia de sedimentação da UFV Campo Belo IV. ENVIADO POR VAGNER</t>
  </si>
  <si>
    <t>[CCC07484]</t>
  </si>
  <si>
    <t>[CCC03233-10]</t>
  </si>
  <si>
    <t>000626</t>
  </si>
  <si>
    <t>000560</t>
  </si>
  <si>
    <t>[CCC03449]</t>
  </si>
  <si>
    <t>Projeto de cabine primária  - PROJETTI - 100% (Patos de minas 7)</t>
  </si>
  <si>
    <t>[CCC04118]</t>
  </si>
  <si>
    <t>[CCC03463]</t>
  </si>
  <si>
    <t>Projeto de cabine primária  - PROJETTI - 100% (Bambui 1.1)</t>
  </si>
  <si>
    <t>[CCC03439]</t>
  </si>
  <si>
    <t>004782</t>
  </si>
  <si>
    <t>PRESTAÇÃO DE SEVIÇOS UFVs (SANTO ANOTNIO DO AMPARO) NF 736</t>
  </si>
  <si>
    <t xml:space="preserve">SERVIÇOS DE SUPRESSÃO VEGETAL - HIDROSSEMEADURA - APROVADO POR VAGNER </t>
  </si>
  <si>
    <t>[CCC07487]</t>
  </si>
  <si>
    <t>PRESTAÇÃO DE SEVIÇOS SCANSEC - UFV (FORMIGA 6)  N 279</t>
  </si>
  <si>
    <t>Serviço necessário à disponibilização de internet, necessário a construção das UFVs. LOCAÇÃO - Parcela 1 de 36. APROVADO POR MARILEIA/MARCIO</t>
  </si>
  <si>
    <t>[CCC07489]</t>
  </si>
  <si>
    <t xml:space="preserve">BOLETO </t>
  </si>
  <si>
    <t>SCANSEC</t>
  </si>
  <si>
    <t>004798</t>
  </si>
  <si>
    <t>PRESTAÇÃO DE SEVIÇOS SCANSEC - UFV (OURO FINO 2)  N 311</t>
  </si>
  <si>
    <t>002941</t>
  </si>
  <si>
    <t>MEDIÇÃO  (VB AMBIENTAL)</t>
  </si>
  <si>
    <t>PRESTAÇÃO DE SERVIÇOS UFVs     ( ALFENAS 4  ) NF 1969</t>
  </si>
  <si>
    <t>ADITIVO- Mobilização do contrato / Entrega do certificado de dispensa de licenciamento ambiental e regularização do CTF / Entrega e aprovação do relatório de atendimento às condicionantes do DAIA-AIA / Entrega e aprovação do laudo de cubagem / Retorno de campo - Nova visita ao site – APROVADO POR ARTUR AMBIENTAL</t>
  </si>
  <si>
    <t>[CCC07490]</t>
  </si>
  <si>
    <t>MEDIÇÃO (VB AMBIENTAL)</t>
  </si>
  <si>
    <t>PRESTAÇÃO DE SERVIÇOS UFVs     ( CAMPO BELO 2 ) NF 1971</t>
  </si>
  <si>
    <t>PRESTAÇÃO DE SERVIÇOS UFVs     (  CAMPO BELO 4 ) NF 1965</t>
  </si>
  <si>
    <t>PRESTAÇÃO DE SERVIÇOS UFVs     ( CASSIA 2  ) NF 1967</t>
  </si>
  <si>
    <t>PRESTAÇÃO DE SERVIÇOS UFVs     ( FORMIGA 6  ) NF 1964</t>
  </si>
  <si>
    <t>PRESTAÇÃO DE SERVIÇOS UFVs     ( PASSOS 4  ) NF 1966</t>
  </si>
  <si>
    <t>PRESTAÇÃO DE SERVIÇOS UFVs     (SÃO SEBASTIAÕ DO OESTE 3  ) NF 1970</t>
  </si>
  <si>
    <t>PRESTAÇÃO DE SERVIÇOS UFVs     (SÃO SEBASTIAÕ DO OESTE 5 ) NF 1968</t>
  </si>
  <si>
    <t>PRESTAÇÃO DE SERVIÇOS UFVs     ( VARGINHA 2  ) NF 1963</t>
  </si>
  <si>
    <t>PRESTAÇÃO DE SERVIÇOS UFVs     (DIAMANTINA 1) NF 1933</t>
  </si>
  <si>
    <t>Mobilização do contrato / Entrega do certificado de dispensa de licenciamento ambiental e regularização do CTF / Entrega e aprovação do relatório de atendimento às condicionantes do DAIA-AIA / Entrega e aprovação do laudo de cubagem / Retorno de campo - Nova visita ao site – APROVADO POR ARTUR AMBIENTAL</t>
  </si>
  <si>
    <t>[CCC07491]</t>
  </si>
  <si>
    <t>PRESTAÇÃO DE SERVIÇOS UFVs     (DIAMANTINA 2) NF 1934</t>
  </si>
  <si>
    <t>PRESTAÇÃO DE SERVIÇOS UFVs     (FREI INOCÊNCIO 1) NF 1935</t>
  </si>
  <si>
    <t>PRESTAÇÃO DE SERVIÇOS UFVs     (LAGOA FORMOSA 1) NF 1936</t>
  </si>
  <si>
    <t>PRESTAÇÃO DE SERVIÇOS UFVs     (NOVA PONTE 1) NF 1937</t>
  </si>
  <si>
    <t>PRESTAÇÃO DE SERVIÇOS UFVs     (PARACATU 8) NF 1938</t>
  </si>
  <si>
    <t>004204</t>
  </si>
  <si>
    <t>PRESTAÇÃO DE SERVIÇOS UFVs     (PATOS DE MINAS 1) NF 1939</t>
  </si>
  <si>
    <t>PRESTAÇÃO DE SERVIÇOS UFVs     (PATOS DE MINAS 3) NF 1940</t>
  </si>
  <si>
    <t>PRESTAÇÃO DE SERVIÇOS UFVs     (PATOS DE MINAS 4) NF 1941</t>
  </si>
  <si>
    <t>PRESTAÇÃO DE SERVIÇOS UFVs     (PATOS DE MINAS 7) NF 1942</t>
  </si>
  <si>
    <t>PRESTAÇÃO DE SERVIÇOS UFVs     (PATO DE MINAS 8) NF 1943</t>
  </si>
  <si>
    <t>PRESTAÇÃO DE SERVIÇOS UFVs     (PATROCINIO 2) NF 1944</t>
  </si>
  <si>
    <t>PRESTAÇÃO DE SERVIÇOS UFVs     (PATROCINIO 3) NF 1945</t>
  </si>
  <si>
    <t>PRESTAÇÃO DE SERVIÇOS UFVs     (VARJÃO DE MINAS 1) NF 1946</t>
  </si>
  <si>
    <t>PRESTAÇÃO DE SERVIÇOS UFVs     (VARJÃO DE MINAS 4) NF 1947</t>
  </si>
  <si>
    <t>005212</t>
  </si>
  <si>
    <t>PRESTAÇÃO DE SERVIÇOS UFVs  (DIVINOPOLIS 1) NF 1981</t>
  </si>
  <si>
    <t>[CCC07493]</t>
  </si>
  <si>
    <t>A606-ESTRELA DO NORTE DIVINOPOLIS II SPE</t>
  </si>
  <si>
    <t>005233</t>
  </si>
  <si>
    <t>PRESTAÇÃO DE SERVIÇOS UFVs  (DIVINOPOLIS 2) NF 1982</t>
  </si>
  <si>
    <t>005234</t>
  </si>
  <si>
    <t>PRESTAÇÃO DE SERVIÇOS UFVs  (DIVINOPOLIS 3) NF 1983</t>
  </si>
  <si>
    <t>005235</t>
  </si>
  <si>
    <t>PRESTAÇÃO DE SERVIÇOS UFVs  (PEDRA DO INDAIÁ 1) NF 1976</t>
  </si>
  <si>
    <t>005236</t>
  </si>
  <si>
    <t>PRESTAÇÃO DE SERVIÇOS UFVs  (PEDRA DO INDAIÁ 3) NF 1978</t>
  </si>
  <si>
    <t>005237</t>
  </si>
  <si>
    <t>PRESTAÇÃO DE SERVIÇOS UFVs  (PEDRA DO INDAIÁ 5) NF 1977</t>
  </si>
  <si>
    <t>005238</t>
  </si>
  <si>
    <t>PRESTAÇÃO DE SERVIÇOS UFVs  (BURITIZEIRO 1) NF 1989</t>
  </si>
  <si>
    <t>005239</t>
  </si>
  <si>
    <t>PRESTAÇÃO DE SERVIÇOS UFVs  (BURITIZEIRO 2) NF 1990</t>
  </si>
  <si>
    <t>005240</t>
  </si>
  <si>
    <t>PRESTAÇÃO DE SERVIÇOS UFVs  (INDAIABIRA 1) NF 1985</t>
  </si>
  <si>
    <t>005241</t>
  </si>
  <si>
    <t>PRESTAÇÃO DE SERVIÇOS UFVs  (INDAIABIRA 2) NF 1986</t>
  </si>
  <si>
    <t>005242</t>
  </si>
  <si>
    <t>PRESTAÇÃO DE SERVIÇOS UFVs  (INDAIABIRA 3) NF 1987</t>
  </si>
  <si>
    <t>005243</t>
  </si>
  <si>
    <t>PRESTAÇÃO DE SERVIÇOS UFVs  (INDAIABIRA 4) NF 1988</t>
  </si>
  <si>
    <t>005244</t>
  </si>
  <si>
    <t>PRESTAÇÃO DE SERVIÇOS UFVs  (PARACATU 4) NF 1972</t>
  </si>
  <si>
    <t>005245</t>
  </si>
  <si>
    <t>PRESTAÇÃO DE SERVIÇOS UFVs  (PARACATU 5) NF 1973</t>
  </si>
  <si>
    <t>005246</t>
  </si>
  <si>
    <t>PRESTAÇÃO DE SERVIÇOS UFVs  (PAINS 3) NF 1975</t>
  </si>
  <si>
    <t>005247</t>
  </si>
  <si>
    <t>PRESTAÇÃO DE SERVIÇOS UFVs  (SÃO SEBASTIÃO 0) NF 1979</t>
  </si>
  <si>
    <t>005248</t>
  </si>
  <si>
    <t>PRESTAÇÃO DE SERVIÇOS UFVs  (SÃO SEBASTIÃO 6) NF 1980</t>
  </si>
  <si>
    <t>005249</t>
  </si>
  <si>
    <t>PRESTAÇÃO DE SERVIÇOS UFVs  (JABOTICATUBAS) NF 1984</t>
  </si>
  <si>
    <t>005250</t>
  </si>
  <si>
    <t>PRESTAÇÃO DE SERVIÇOS UFVs  (GUARDA MOR) NF 1974</t>
  </si>
  <si>
    <t>004808</t>
  </si>
  <si>
    <t>PRESTAÇÃO DE SERVIÇOS UFVs  (ARCOS 7) NF 1948</t>
  </si>
  <si>
    <t>:  Mobilização do contrato / Entrega do certificado de dispensa de licenciamento ambiental e regularização do CTF / Entrega e aprovação do relatório de atendimento às condicionantes do DAIA-AIA / Entrega e aprovação do laudo de cubagem / Retorno de campo - Nova visita ao site – APROVADO POR ARTUR AMBIENTAL</t>
  </si>
  <si>
    <t>[CCC07494]</t>
  </si>
  <si>
    <t>PRESTAÇÃO DE SERVIÇOS UFVs  (BAMBUI 1.1) NF 1962</t>
  </si>
  <si>
    <t>004810</t>
  </si>
  <si>
    <t>PRESTAÇÃO DE SERVIÇOS UFVs  (CAMPO BELO 1) NF 1949</t>
  </si>
  <si>
    <t>004811</t>
  </si>
  <si>
    <t>PRESTAÇÃO DE SERVIÇOS UFVs  (CAMPO BELO 3) NF 1950</t>
  </si>
  <si>
    <t>PRESTAÇÃO DE SERVIÇOS UFVs  (CAMPO BELO 5) NF 1951</t>
  </si>
  <si>
    <t>004813</t>
  </si>
  <si>
    <t>PRESTAÇÃO DE SERVIÇOS UFVs  (CÁSSIA 1 ) NF 1958</t>
  </si>
  <si>
    <t>004807</t>
  </si>
  <si>
    <t>PRESTAÇÃO DE SERVIÇOS UFVs  (PARAGUAÇU) NF 1960</t>
  </si>
  <si>
    <t>004814</t>
  </si>
  <si>
    <t>PRESTAÇÃO DE SERVIÇOS UFVs  (SANTO ANTONIO 1) NF 1954</t>
  </si>
  <si>
    <t>004815</t>
  </si>
  <si>
    <t>PRESTAÇÃO DE SERVIÇOS UFVs  (SÃO SEBASTIÃO 1) NF 1956</t>
  </si>
  <si>
    <t>004816</t>
  </si>
  <si>
    <t>PRESTAÇÃO DE SERVIÇOS UFVs  (SÃO SEBASTIÃO 4) NF 1957</t>
  </si>
  <si>
    <t>004817</t>
  </si>
  <si>
    <t>PRESTAÇÃO DE SERVIÇOS UFVs  (VARGINHA 1) NF 1952</t>
  </si>
  <si>
    <t>004818</t>
  </si>
  <si>
    <t>PRESTAÇÃO DE SERVIÇOS UFVs  (VARGINHA 5) NF 1953</t>
  </si>
  <si>
    <t>PRESTAÇÃO DE SERVIÇOS UFVs  (TRES CORAÇÕES 3) NF 1959</t>
  </si>
  <si>
    <t>004820</t>
  </si>
  <si>
    <t>PRESTAÇÃO DE SERVIÇOS UFVs  (OURO FINO 2) NF 1961</t>
  </si>
  <si>
    <t>PRESTAÇÃO DE SERVIÇOS UFVs  (MUZAMBINHO 1) NF 1955</t>
  </si>
  <si>
    <t>SERVIDÃO - INDENIZAÇÃO JOAO BATISTA NUNES</t>
  </si>
  <si>
    <t>PAGAMENTO SERVIDÃO VIA INDENIZAÇÃO - APROVADO POR FELIPE ECHENIQUE</t>
  </si>
  <si>
    <t>[CCC07496]</t>
  </si>
  <si>
    <t>SERVIDÃO</t>
  </si>
  <si>
    <t>SERVIDÃO - INDENIZAÇÃO JOSE MARIA NUNES</t>
  </si>
  <si>
    <t>SERVIDÃO - INDENIZAÇÃO  CLEUSA MARIA NUNES</t>
  </si>
  <si>
    <t xml:space="preserve">SERVIDÃO - INDENIZAÇÃO  JORGE NUNES COSTA </t>
  </si>
  <si>
    <t xml:space="preserve">SERVIDÃO - INDENIZAÇÃO  CAROLINA APARECIDA </t>
  </si>
  <si>
    <t>SERVIDÃO - INDENIZAÇÃO DEIVSON GONÇALVES</t>
  </si>
  <si>
    <t xml:space="preserve">PRESTAÇÃO DE SERVIÇOS UFV (BURITIZEIRO 1) </t>
  </si>
  <si>
    <t>Pagamento referente a Cabine + Skid  - Setta</t>
  </si>
  <si>
    <t>Inclusão pedidos setta feito por Aysha/Romanei</t>
  </si>
  <si>
    <t xml:space="preserve">A625-ESTRELA DO NORTE SPE- UFV BURITIZEIRO 2
</t>
  </si>
  <si>
    <t xml:space="preserve">PRESTAÇÃO DE SERVIÇOS UFV (BURITIZEIRO 2) </t>
  </si>
  <si>
    <t xml:space="preserve">PRESTAÇÃO DE SERVIÇOS UFV (INDAIABIRA 3) </t>
  </si>
  <si>
    <t xml:space="preserve">PRESTAÇÃO DE SERVIÇOS UFV (INDAIABIRA 4) </t>
  </si>
  <si>
    <t xml:space="preserve">A610-ESTRELA DO NORTE JABOTICATUBAS SPE
</t>
  </si>
  <si>
    <t xml:space="preserve">PRESTAÇÃO DE SERVIÇOS UFV (JABOTICATUBAS) </t>
  </si>
  <si>
    <t xml:space="preserve">PRESTAÇÃO DE SERVIÇOS UFV (SÃO SEBASTIÃO 0) </t>
  </si>
  <si>
    <t xml:space="preserve">A603-ESTRELA DO NORTE PEDRA DO INDAIA SPE
</t>
  </si>
  <si>
    <t xml:space="preserve">PRESTAÇÃO DE SERVIÇOS UFV (PEDRA DO INDAIA 1) </t>
  </si>
  <si>
    <t xml:space="preserve">A621 -ESTRELA DO NORTE SPE - UFV PEDRA DO INDAIA 3
</t>
  </si>
  <si>
    <t xml:space="preserve">PRESTAÇÃO DE SERVIÇOS UFV (PEDRA DO INDAIA 3) </t>
  </si>
  <si>
    <t>Estação solarimétrica - Hukseflux UFVs (SÃO SEBASTIÃO DO OESTE 6 ) VINCULO PEDIDO 000523 A604</t>
  </si>
  <si>
    <t xml:space="preserve">Pagamento referente a Compra de equipamento adicional de monitoração de condições atmosféricas, adiantamento 30 % </t>
  </si>
  <si>
    <t>PRESTAÇÃO DE SERVIÇOS UFVs (VARGINHA 1) NF 348</t>
  </si>
  <si>
    <t xml:space="preserve"> Pagamento referente a serviço auxiliar de instalação da CFTV na usina para a finalização do projeto. APROVADO POR AUGUSTO</t>
  </si>
  <si>
    <t>[CCC07498]</t>
  </si>
  <si>
    <t>004895</t>
  </si>
  <si>
    <t>PRESTAÇÃO DE SERVIÇOS UFVs (VARGINHA 1) NF 498</t>
  </si>
  <si>
    <t xml:space="preserve"> Pagamento referente a serviço auxiliar de instalação da CFTV na usina para a finalização do projeto.LOCAÇÃO- APROVADO POR AUGUSTO</t>
  </si>
  <si>
    <t>056737</t>
  </si>
  <si>
    <t>COMPRA DE EPI COPABO NF 314419</t>
  </si>
  <si>
    <t>PAGAMENTO REFERENTE A COMPRA DE EPI - APROVADO POR JULIANA/ MARCIO</t>
  </si>
  <si>
    <t>[CCC07507]</t>
  </si>
  <si>
    <t>056738</t>
  </si>
  <si>
    <t>COMPRA DE EPI COPABO NF 314420</t>
  </si>
  <si>
    <t>004822</t>
  </si>
  <si>
    <t>MEDIÇÃO MBA</t>
  </si>
  <si>
    <t>PRESTAÇÃO DE SERVIÇOS UFVs (CAMPO BELO 1) NF 3761</t>
  </si>
  <si>
    <t>PAGAMENTO REFERENTE A PRESTAÇÃO DE SERVIÇO DE MONTAGEM E INSTALAÇÃO ELETRICA DE REDES DE DISTRIBUIÇÃO RURAL E URBANA. APROVADO POR MARCIO ELI</t>
  </si>
  <si>
    <t>[CCC07508]</t>
  </si>
  <si>
    <t>PRESTAÇÃO DE SERVIÇO UFVs (PASSOS 4) ANDRINHO NF 6</t>
  </si>
  <si>
    <t>Pagamento referente a demolição E limpeza. Serviços necessários para andamento da ufvs. - APROVADO GUILHERME KURSEL - MEDIÇÃO FINAL</t>
  </si>
  <si>
    <t>[CCC07509]</t>
  </si>
  <si>
    <t>TEVE NOVA NOTA GERADA</t>
  </si>
  <si>
    <t>ANDRINHO</t>
  </si>
  <si>
    <t>DAE UFVs (FORMIGA) N 5400049721754</t>
  </si>
  <si>
    <t>Pagamento referente a DAE TAXA FLORESTAL - LENHA -  APROVADO POR GUILHERME KURSEL</t>
  </si>
  <si>
    <t>[CCC07510]</t>
  </si>
  <si>
    <t>DAE UFVs (FORMIGA) N 5400049721673</t>
  </si>
  <si>
    <t>004825</t>
  </si>
  <si>
    <t xml:space="preserve">PRESTAÇÃO DE SERVIÇO UFV (CAMPO BELO 1) TAD ENGENHARIA NF </t>
  </si>
  <si>
    <t>Pagamento referente a prestação de serviços necessários a construção da UFVs. ENVIADO POR AUGUSTO</t>
  </si>
  <si>
    <t>[CCC07512]</t>
  </si>
  <si>
    <t>SERVIDÃO - INDENIZAÇÃO - LAIR PIRES DE OLIVEIRA</t>
  </si>
  <si>
    <t>PAGAMENTO SERVIDÃO VIA INDENIZAÇÃO - APROVADO POR FELIPE FUNDIARIO</t>
  </si>
  <si>
    <t>[CCC07514]</t>
  </si>
  <si>
    <t>SERVIDÃO - INDENIZAÇÃO - LEZIR DE OLIVEIRA</t>
  </si>
  <si>
    <t>SERVIDÃO - INDENIZAÇÃO - SHIRLEY MARIA DE OLIVEIRA</t>
  </si>
  <si>
    <t>SERVIDÃO - INDENIZAÇÃO - INALDON PIRES DE OLIVEIRA</t>
  </si>
  <si>
    <t>SERVIDÃO - INDENIZAÇÃO - DEIVSON GONÇALVES</t>
  </si>
  <si>
    <t>PRESTAÇÃO DE SEVIÇOS SCANSEC - UFV (FORMIGA 6)  NF 1702</t>
  </si>
  <si>
    <t>Serviço necessário à disponibilização de internet, necessário a construção das UFVs. SUPORTE - Parcela 2 de 36. APROVADO POR MARILEIA/MARCIO</t>
  </si>
  <si>
    <t>[CCC07517]</t>
  </si>
  <si>
    <t>004830</t>
  </si>
  <si>
    <t>PRESTAÇÃO DE SEVIÇOS SCANSEC - UFV (OURO FINO 2)  NF 1734</t>
  </si>
  <si>
    <t>CONSTRUMANAGER - UFVs (MORI II)  NF 342342</t>
  </si>
  <si>
    <t>[CCC07520]</t>
  </si>
  <si>
    <t>004849</t>
  </si>
  <si>
    <t>PRESTAÇÃO DE SERVIÇOS UFVs  (CAMPO BELO 1) SRJ PROTECAO NF 6</t>
  </si>
  <si>
    <t>[CCC07527]</t>
  </si>
  <si>
    <t>056806</t>
  </si>
  <si>
    <t>COMPRA DE EPI YA CONFECCOES  NF 51</t>
  </si>
  <si>
    <t>PAGAMENTO REFERENTE A COMPRA DE EPI - ENVIADO POR JOÃO PAULO</t>
  </si>
  <si>
    <t>[CCC07530]</t>
  </si>
  <si>
    <t>YA CONFECCOES</t>
  </si>
  <si>
    <t>056808</t>
  </si>
  <si>
    <t>COMPRA DE EPI YA CONFECCOES  NF 70</t>
  </si>
  <si>
    <t>PAGAMENTO REFERENTE A COMPRA DE EPI - ENVIADO POR JULIANA</t>
  </si>
  <si>
    <t>[CCC07531]</t>
  </si>
  <si>
    <t>004272</t>
  </si>
  <si>
    <t>PRESTAÇÃO DE SERVIÇOS UFVs (DIAMANTINA 1 ) A.R ARQUITETURA NF 309</t>
  </si>
  <si>
    <t>[CCC07532]</t>
  </si>
  <si>
    <t>004888</t>
  </si>
  <si>
    <t>PRESTAÇÃO DE SERVIÇOS UFVs (CAMPO BELO 1) ANDRE LUIZ RIBEIRO NF 18</t>
  </si>
  <si>
    <t>Pagamento referente a instalação ar condicionado. APROVADO POR AUGUSTO</t>
  </si>
  <si>
    <t>[CCC07536]</t>
  </si>
  <si>
    <t>ANDRE LUIZ RIBEIRO</t>
  </si>
  <si>
    <t>004889</t>
  </si>
  <si>
    <t>PRESTAÇÃO DE SERVIÇO UFV (CAMPO BELO 1) TAD ENGENHARIA NF 18</t>
  </si>
  <si>
    <t>Pagamento referente a preparação pré-energização da usina. APROVADO POR MATHEUS VILELA.</t>
  </si>
  <si>
    <t>[CCC07537]</t>
  </si>
  <si>
    <t>004890</t>
  </si>
  <si>
    <t>PRESTAÇÃO DE SERVIÇOS UFV (OURO FINO 2) ASE NF 215</t>
  </si>
  <si>
    <t>Pagamento referente a execução de reparos civis na usina. APROVADO POR MATHEUS VILELA.</t>
  </si>
  <si>
    <t>[CCC07538]</t>
  </si>
  <si>
    <t>004903</t>
  </si>
  <si>
    <t>PRESTAÇÃO DE SERVIÇOS UFV (OURO FINO 2) MBA NF 3785</t>
  </si>
  <si>
    <t>[CCC07543]</t>
  </si>
  <si>
    <t>056828</t>
  </si>
  <si>
    <t>COMPRA DE EPI COPABO NF 315846</t>
  </si>
  <si>
    <t>[CCC07546]</t>
  </si>
  <si>
    <t>003013</t>
  </si>
  <si>
    <t>PRESTAÇÃO DE SERVIÇO UFVs (ALFENAS 4) FEMORTech Engenharia NF 8</t>
  </si>
  <si>
    <t>PAGAMENTO REFERENTE A REPARO DA ELÉTRICA DO OFFICE. ENVIADO POR AUGUSTO. APROVADO MATHEUS VILELA.</t>
  </si>
  <si>
    <t>[CCC07548]</t>
  </si>
  <si>
    <t>004905</t>
  </si>
  <si>
    <t>PRESTAÇÃO DE SERVIÇOS UFV (TRES CORAÇÕES 3 ) SEVEN NF 604</t>
  </si>
  <si>
    <t xml:space="preserve">PAGAMENTO REFERENTE A ELABORAÇÃO DE PROJETO CONTRA INCÊNDIO.APROVADO POR GUILHERME </t>
  </si>
  <si>
    <t>[CCC07549]</t>
  </si>
  <si>
    <t>004906</t>
  </si>
  <si>
    <t>PRESTAÇÃO DE SERVIÇOS UFV (TRES CORAÇÕES 3 ) SEVEN NF 605</t>
  </si>
  <si>
    <t>PAGAMENTO REFERENTE A INSTALAÇÃO DE EQUIPAMENTOS CONTRA INCÊNDIO. APROVADO POR GUILHERME</t>
  </si>
  <si>
    <t>PRESTAÇÃO DE SERVIÇOS UFV (PARACATU 8) SEVEN NF 602</t>
  </si>
  <si>
    <t>PRESTAÇÃO DE SERVIÇOS UFV (PARACATU 8) SEVEN NF 603</t>
  </si>
  <si>
    <t xml:space="preserve">PRESTAÇÃO DE SERVIÇOS UFV (PARACATU 5) SEVEN NF 600 </t>
  </si>
  <si>
    <t>005334</t>
  </si>
  <si>
    <t>PRESTAÇÃO DE SERVIÇOS UFV (PARACATU 5) SEVEN NF 601</t>
  </si>
  <si>
    <t>005335</t>
  </si>
  <si>
    <t xml:space="preserve">PRESTAÇÃO DE SERVIÇOS UFV (PARACATU 4) SEVEN NF 597 </t>
  </si>
  <si>
    <t>005336</t>
  </si>
  <si>
    <t>PRESTAÇÃO DE SERVIÇOS UFV (PARACATU 4) SEVEN NF 598</t>
  </si>
  <si>
    <t>004907</t>
  </si>
  <si>
    <t>PRESTAÇÃO DE SERVIÇOS UFV (OURO FINO ) SEVEN NF 593</t>
  </si>
  <si>
    <t>004908</t>
  </si>
  <si>
    <t>PRESTAÇÃO DE SERVIÇOS UFV (OURO FINO ) SEVEN NF 594</t>
  </si>
  <si>
    <t>004909</t>
  </si>
  <si>
    <t>PRESTAÇÃO DE SERVIÇOS UFV (MUZAMBINHO ) SEVEN NF 591</t>
  </si>
  <si>
    <t>004910</t>
  </si>
  <si>
    <t>PRESTAÇÃO DE SERVIÇOS UFV (MUZAMBINHO ) SEVEN NF 592</t>
  </si>
  <si>
    <t>PRESTAÇÃO DE SERVIÇOS UFV (DIAMANTINA 2) SEVEN NF 589</t>
  </si>
  <si>
    <t>PRESTAÇÃO DE SERVIÇOS UFV (DIAMANTINA 2) SEVEN NF 590</t>
  </si>
  <si>
    <t>003014</t>
  </si>
  <si>
    <t>PRESTAÇÃO DE SERVIÇOS UFV (CAMPO BELO 4) SEVEN NF 588</t>
  </si>
  <si>
    <t>PRESTAÇÃO DE SERVIÇOS UFV (CAMPO BELO 4) SEVEN NF 589</t>
  </si>
  <si>
    <t>PRESTAÇÃO DE SERVIÇOS UFV (VARJÃO 4) SEVEN NF 595</t>
  </si>
  <si>
    <t xml:space="preserve">PRESTAÇÃO DE SERVIÇOS UFV (VARJÃO) SEVEN NF </t>
  </si>
  <si>
    <t>aguardando nota</t>
  </si>
  <si>
    <t>004915</t>
  </si>
  <si>
    <t>PRESTAÇÃO DE SERVIÇOS UFV (CAMPO BELO 1) RONDA NF 14</t>
  </si>
  <si>
    <t>PAGAMENTO REFERENTYE A VIGIAS DIURNOS E NOTURNOS- APROVADO POR MARCIO ELI| MATHEUS VILELA</t>
  </si>
  <si>
    <t>[CCC07563]</t>
  </si>
  <si>
    <t>003021</t>
  </si>
  <si>
    <t>PRESTAÇÃO DE SERVIÇOS UFV (FORMIGA 6) RONDA NF 20</t>
  </si>
  <si>
    <t>004916</t>
  </si>
  <si>
    <t>PRESTAÇÃO DE SERVIÇOS UFV (OURO FINO 2) RONDA NF 21</t>
  </si>
  <si>
    <t>056853</t>
  </si>
  <si>
    <t>COMPRA DE EPI YA CONFECCOES  NF 60</t>
  </si>
  <si>
    <t>[CCC07569]</t>
  </si>
  <si>
    <t>PRESTAÇÃO DE SERVIÇOS UFV (VARGINHA 1) MAX VISION NF 697</t>
  </si>
  <si>
    <t>PAGAMENTO REFERENTE A SERVIÇOS DE REPARO DE CFTV. ENVIADO POR AUGUSTO APROVADO POR VILELA</t>
  </si>
  <si>
    <t>[CCC07573]</t>
  </si>
  <si>
    <t>COMPRA DE MATERIAIS UFV (VARGINHA 1) R&amp;C Eletronica NF 1821</t>
  </si>
  <si>
    <t>PAGAMENTO REFERENTE A COMPRA DE MATERIAIS PARA REPARO DE CFTV.ENVIADO POR AUGUSTO APROVADO POR VILELA</t>
  </si>
  <si>
    <t>PRESTAÇÃO DE SERVIÇOS UFVs (VARGINHA 1) N 504</t>
  </si>
  <si>
    <t>PAGAMENTO REFERENTE A  LOCAÇÃO DE EQUIPAMENTOS PARA UTILIZAÇÃO  DE SERVIÇOS DE DRENAGEM.  ENVIADO POR AUGUSTO</t>
  </si>
  <si>
    <t>[CCC07576]</t>
  </si>
  <si>
    <t xml:space="preserve">BALDONI </t>
  </si>
  <si>
    <t>PRESTAÇÃO DE SERVIÇOS UFVs (VARGINHA 1) NF 353</t>
  </si>
  <si>
    <t>PAGAMENTO REFERENTE A  PRESTAÇÃO DE SERVIÇOS DE DRENAGEM.  ENVIADO POR AUGUSTO</t>
  </si>
  <si>
    <t>PRESTAÇÃO DE SERVIÇOS UFVs  (VARGINHA 1) BALDONI NF 350</t>
  </si>
  <si>
    <t>PAGAMENTO DE MEDIÇÃO REFERENTE À SERVIÇO DE TERRAPLANAGEM. ENVIADO POR AUGUSTO</t>
  </si>
  <si>
    <t>[CCC07577]</t>
  </si>
  <si>
    <t>PRESTAÇÃO DE SERVIÇOS UFVs  (VARGINHA 1) BALDONI NF 351</t>
  </si>
  <si>
    <t>PRESTAÇÃO DE SERVIÇOS UFVs  (VARGINHA 1) BALDONI NF 502</t>
  </si>
  <si>
    <t>PAGAMENTO DE MEDIÇÃO REFERENTE À LOCAÇÃO DE EQUIPAMENTO. APROVADO POR AUGUSTO</t>
  </si>
  <si>
    <t>PRESTAÇÃO DE SERVIÇOS UFVs  (VARGINHA 1) BALDONI NF 503</t>
  </si>
  <si>
    <t>PRESTAÇÃO DE SERVIÇOS UFVs (SANTO ANTONIO DO AMPARO 1) RONDA NF 40</t>
  </si>
  <si>
    <t>Pagamento referente ao serviço de vigilancia noturno e diurno. APROVADO POR AUGUSTO / SIMONE</t>
  </si>
  <si>
    <t>[CCC07578]</t>
  </si>
  <si>
    <t>PRESTAÇÃO DE SERVIÇO UF (VARGINHA 1) R&amp;C ELETRONICA NF 694</t>
  </si>
  <si>
    <t>Pagamento de medição referente a fornecimento e implantação de sistemas de circuito fechado de TV CFTV para segurança patrimonial. APROVADO POR VAGNER.</t>
  </si>
  <si>
    <t>[CCC07579]</t>
  </si>
  <si>
    <t>PRESTAÇÃO DE SEVIÇOS SCANSEC - UFV (OURO FINO 2)  NF 1870</t>
  </si>
  <si>
    <t>Serviço necessário à disponibilização de internet, necessário a construção das UFVs. SUPORTE - Parcela 3 de 36. APROVADO POR MARILEIA/MARCIO</t>
  </si>
  <si>
    <t>[CCC07583]</t>
  </si>
  <si>
    <t>PRESTAÇÃO DE SEVIÇOS SCANSEC - UFV (FORMIGA 6)  NF 1838</t>
  </si>
  <si>
    <t>PRESTAÇÃO DE SEVIÇOS SCANSEC - UFV (OURO FINO 2)  N 665</t>
  </si>
  <si>
    <t>Serviço necessário à disponibilização de internet, necessário a construção das UFVs. LOCAÇÃO - Parcela 4 de 36. APROVADO POR MARILEIA/MARCIO</t>
  </si>
  <si>
    <t>[CCC07584]</t>
  </si>
  <si>
    <t>PRESTAÇÃO DE SEVIÇOS SCANSEC - UFV (FORMIGA 6)  N 633</t>
  </si>
  <si>
    <t>PRESTAÇÃO DE SERVIÇOS UFVs (FORMIGA) NF 3845</t>
  </si>
  <si>
    <t xml:space="preserve">PAGAMENTO REFERENTE A PRESTAÇÃO DE SERVIÇO DE MONTAGEM E INSTALAÇÃO ELETRICA DE REDES DE DISTRIBUIÇÃO RURAL E URBANA. APROVADO POR GUILHERME </t>
  </si>
  <si>
    <t>[CCC07587]</t>
  </si>
  <si>
    <t>003036</t>
  </si>
  <si>
    <t>PRESTAÇÃO DE SERVIÇOS UFVs (ALFENAS) RONDA NF 194</t>
  </si>
  <si>
    <t>[CCC07588]</t>
  </si>
  <si>
    <t>004949</t>
  </si>
  <si>
    <t>PRESTAÇÃO DE SERVIÇOS UFVs (CAMPO BELO I) RONDA NF 195</t>
  </si>
  <si>
    <t>PRESTAÇÃO DE SERVIÇOS UFVs (FORMIGA) RONDA NF 198</t>
  </si>
  <si>
    <t>004950</t>
  </si>
  <si>
    <t>PRESTAÇÃO DE SERVIÇOS UFVs (OURO FINO) RONDA NF 199</t>
  </si>
  <si>
    <t>004965</t>
  </si>
  <si>
    <t>PRESTAÇÃO DE SERVIÇOS UFVs (VARGINHA 1) RONDA NF 48</t>
  </si>
  <si>
    <t>Pagamento referente ao serviço de vigilancia noturno e diurno. APROVADO POR MARCIO/AUGUSTO</t>
  </si>
  <si>
    <t>[CCC07591]</t>
  </si>
  <si>
    <t>PRESTAÇÃO DE SERVIÇOS UFVs (CAMPO BELO 2) RONDA NF 255</t>
  </si>
  <si>
    <t>Pagamento referente ao serviço de vigilancia noturno. APROVADO POR AUGUSTO</t>
  </si>
  <si>
    <t>[CCC07593]</t>
  </si>
  <si>
    <t>NF 196 SUBSTITUIDA PELA NF 255 - ENVIADO POR AUGUSTO</t>
  </si>
  <si>
    <t>004966</t>
  </si>
  <si>
    <t>PRESTAÇÃO DE SERVIÇOS UFVs (CAMPO BELO 5) RONDA NF 197</t>
  </si>
  <si>
    <t>004967</t>
  </si>
  <si>
    <t>PRESTAÇÃO DE SERVIÇOS UFVs (VARGINHA 1) RONDA NF 200</t>
  </si>
  <si>
    <t>PRESTAÇÃO DE SERVIÇOS UFVs (SANTO ANTONIO DO AMPARO 1) RONDA NF 201</t>
  </si>
  <si>
    <t>PRESTAÇÃO DE SERVIÇOS UFVs (DIAMANTINA 2) ENGETELA NF 2260</t>
  </si>
  <si>
    <t>PAGAMENTO REFERENTE A PRESTAÇÃO DE SERVIÇOS NA UFV DIAMANTINA 2. APROVADO POR GILSON.</t>
  </si>
  <si>
    <t>[CCC07601]</t>
  </si>
  <si>
    <t>004340</t>
  </si>
  <si>
    <t>PRESTAÇÃO DE SERVIÇOS UFVs (DIAMANTINA 1) ENGETELA NF 2261</t>
  </si>
  <si>
    <t>004985</t>
  </si>
  <si>
    <t>PRESTAÇÃO DE SERVIÇOS UFVs  (VARGINHA 1) BALDONI NF 358</t>
  </si>
  <si>
    <t>[CCC07603]</t>
  </si>
  <si>
    <t>004986</t>
  </si>
  <si>
    <t>PRESTAÇÃO DE SERVIÇOS UFVs  (VARGINHA 1) BALDONI NF 505</t>
  </si>
  <si>
    <t>PRESTAÇÃO DE SERVIÇO UFVs (CAMPO BELO 1) R. Martins Engenharia LTDA</t>
  </si>
  <si>
    <t>Pagamento referente ao fornecimento de sistemas de CFTV. APROVADO POR VAGNER.</t>
  </si>
  <si>
    <t>[CCC07604]</t>
  </si>
  <si>
    <t xml:space="preserve">R. MARTINS ENGENHARIA </t>
  </si>
  <si>
    <t>PRESTAÇÃO DE SERVIÇO UFVs (CAMPO BELO 2) R. Martins Engenharia LTDA</t>
  </si>
  <si>
    <t>004994</t>
  </si>
  <si>
    <t>PRESTAÇÃO DE SERVIÇO UFVs (SANTO ANTONIO 1) R. Martins Engenharia LTDA</t>
  </si>
  <si>
    <t>005059</t>
  </si>
  <si>
    <t>PRESTAÇÃO DE SERVIÇO UFVs (CAMPO BELO 1) MAX VISION NF 699</t>
  </si>
  <si>
    <t>Pagamento referente a roçagem para instalação de sistemas de CFTV. ENVIADO POR AUGUSTO. APROVADO POR MATHEUS VILELA.</t>
  </si>
  <si>
    <t>[CCC07607]</t>
  </si>
  <si>
    <t>PEDIDO EXCLUIDO 004997</t>
  </si>
  <si>
    <t>004999</t>
  </si>
  <si>
    <t>PRESTAÇÃO DE SERVIÇO UFVs (OURO FINO 2) JULIANO AUGUSTO NF 85</t>
  </si>
  <si>
    <t>PAGAMENTO REFERENTE A ABASTECIMENTO DE CAIXA D'AGUA. ENVIADO POR AUGUSTO.</t>
  </si>
  <si>
    <t>[CCC07608]</t>
  </si>
  <si>
    <t>PRESTAÇÃO DE SERVIÇO UFVs (CAMPO BELO 2) R&amp;C ELETRONICA  NF 700</t>
  </si>
  <si>
    <t>[CCC07609]</t>
  </si>
  <si>
    <t>005001</t>
  </si>
  <si>
    <t>PRESTAÇÃO DE SERVIÇO UFVs (CAMPO BELO 1) NF 975</t>
  </si>
  <si>
    <t xml:space="preserve">Pagamento referente a comissionamento remoto de UFV. ENVIADO POR ATI. </t>
  </si>
  <si>
    <t>[CCC07611]</t>
  </si>
  <si>
    <t>005002</t>
  </si>
  <si>
    <t>PRESTAÇÃO DE SERVIÇO UFVs (CAMPO BELO 1) NF 976</t>
  </si>
  <si>
    <t>Pagamento referente a licenca de utilizacao do Sistema SGD. ENVIADO POR ATI.</t>
  </si>
  <si>
    <t>005003</t>
  </si>
  <si>
    <t>PRESTAÇÃO DE SERVIÇO UFVs (TRES CORAÇÕES III) NF 977</t>
  </si>
  <si>
    <t>005004</t>
  </si>
  <si>
    <t>PRESTAÇÃO DE SERVIÇO UFVs (TRES CORAÇÕES III) NF 978</t>
  </si>
  <si>
    <t>PRESTAÇÃO DE SERVIÇO UFVs (ALFENAS IV) NF 979</t>
  </si>
  <si>
    <t>PRESTAÇÃO DE SERVIÇO UFVs (ALFENAS IV) NF 980</t>
  </si>
  <si>
    <t>056947</t>
  </si>
  <si>
    <t>COMPRA DE EPI COPABO NF 314927</t>
  </si>
  <si>
    <t>PAGAMENTO REFERENTE A COMPRA DE EPI - APROVADO POR MATHEUS VILELA</t>
  </si>
  <si>
    <t>[CCC07621]</t>
  </si>
  <si>
    <t>AO01- ENERGEA PATROCINIO LTDA</t>
  </si>
  <si>
    <t>PRESTAÇÃO DE SERVIÇOS UFVs (PATROCINIO 1) NF 2786</t>
  </si>
  <si>
    <t>PAGAMENTO REFERENTE AS PLACAS DE IDENTIFICAÇÃO USINAS GDs</t>
  </si>
  <si>
    <t>[CCC07623]</t>
  </si>
  <si>
    <t>OPEX - CONFORME EMAIL ROMANEI 27/05/2025, PAGAMENTO SERA VIA CREDITO EM CONTA</t>
  </si>
  <si>
    <t>PROTINTEC</t>
  </si>
  <si>
    <t>AP01- ENERGEA PEDRINOPOLIS LTDA</t>
  </si>
  <si>
    <t>PRESTAÇÃO DE SERVIÇOS UFVs (PEDRINOPOLIS) NF 2791</t>
  </si>
  <si>
    <t>AR02- ENERGEA TRES PONTAS CLAUDIO</t>
  </si>
  <si>
    <t>PRESTAÇÃO DE SERVIÇOS UFVs (TRÊS PONTAS 3) NF 2830</t>
  </si>
  <si>
    <t>AR03- ENERGEA TRES PONTAS DIVINOPOLIS</t>
  </si>
  <si>
    <t>PRESTAÇÃO DE SERVIÇOS UFVs (TRÊS PONTAS 4) NF 2831</t>
  </si>
  <si>
    <t>PRESTAÇÃO DE SERVIÇOS UFVs (FORMIGA 6) NF 2836</t>
  </si>
  <si>
    <t xml:space="preserve">PRESTAÇÃO DE SERVIÇOS UFVs (PATROCINIO 4) NF 3070 PRONTITEC </t>
  </si>
  <si>
    <t>PRESTAÇÃO DE SERVIÇOS UFVs (PATROCINIO 5) NF 3072  PRONTITEC</t>
  </si>
  <si>
    <t>005023</t>
  </si>
  <si>
    <t>PRESTAÇÃO DE SERVIÇOS UFVs (OURO FINO 2) NF 2855</t>
  </si>
  <si>
    <t>003096</t>
  </si>
  <si>
    <t>PRESTAÇÃO DE SERVIÇOS UFVs (FORMIGA 6) PJ SERVIÇOS NF 96</t>
  </si>
  <si>
    <t>PAGAMENTO REFERENTE A ABASTECIMENTO DE CAIXA DÁGUA DA UFV. ENVIADO POR AUGUSTO.</t>
  </si>
  <si>
    <t>[CCC07632]</t>
  </si>
  <si>
    <t xml:space="preserve">(ANTIGO 001656 ) </t>
  </si>
  <si>
    <t>PRESTAÇÃO DE SERVIÇOS UFVs (FORMIGA 6) ATI  NF 2312</t>
  </si>
  <si>
    <t>PAGAMENTO REFERENTE A REMOBILIZAÇÃO PARA FUSÃO DE FIBRA ÓTICA E INSTALAÇÃO DE CONVERSOR DE MÍDIA. ENVIADO POR VAGNER.</t>
  </si>
  <si>
    <t>[CCC07633]</t>
  </si>
  <si>
    <t>(ANTIGO 001657)</t>
  </si>
  <si>
    <t>005036</t>
  </si>
  <si>
    <t>PRESTAÇÃO DE SERVIÇOS UFVs (MUZAMBINHO) ATI NF 2313</t>
  </si>
  <si>
    <t>PAGAMENTO REFERENTE A REMOBILIZAÇÃO PARA PASSAGEM DE FIBRA ÓTICA, FUSÃO DE FIBRA ÓTICA E INSTALAÇÃO DO CONVERSOR DE MÍDIA. ENVIADO POR VAGNER</t>
  </si>
  <si>
    <t>(ANTIGO 002573)</t>
  </si>
  <si>
    <t>005037</t>
  </si>
  <si>
    <t>PRESTAÇÃO DE SERVIÇOS UFVs  (OURO FINO 2) ATI NF 2314</t>
  </si>
  <si>
    <t>PAGAMENTO REFERENTE A REMOBILIZAÇÃO PARA PASSAGEM DE FIBRA ÓTICA, FUSÃO DE FIBRA ÓTICA E INSTALAÇÃO DE CONVERSOR DE MÍDIA. ENVIADO POR VAGNER</t>
  </si>
  <si>
    <t xml:space="preserve">(ANTIGO 002574) </t>
  </si>
  <si>
    <t>005477</t>
  </si>
  <si>
    <t>PRESTAÇÃO DE SERVIÇOS UFVs (PEDRA DO INDAIÁ 5) ATI NF 2315</t>
  </si>
  <si>
    <t>PAGAMENTO REFERENTE A REMOBILIZAÇÃO PARA FUSÃO DE FIBRA ÓTICA. ENVIADO POR VAGNER</t>
  </si>
  <si>
    <t>(ANTIGO 003285)</t>
  </si>
  <si>
    <t>005038</t>
  </si>
  <si>
    <t>PRESTAÇÃO DE SERVIÇOS UFVs (UFV TRÊS CORAÇÕES 3) ATI NF 2316</t>
  </si>
  <si>
    <t>(ANTIGO 002575)</t>
  </si>
  <si>
    <t>005039</t>
  </si>
  <si>
    <t xml:space="preserve">PRESTAÇÃO DE SEVIÇOS SCANSEC - UFV (OURO FINO 2)  N 783 </t>
  </si>
  <si>
    <t>Serviço necessário à disponibilização de internet, necessário a construção das UFVs. LOCAÇÃO - Parcela 5 de 36. APROVADO POR MARCIO</t>
  </si>
  <si>
    <t>[CCC07637]</t>
  </si>
  <si>
    <t>PRESTAÇÃO DE SEVIÇOS SCANSEC - UFV (FORMIGA 6)  N 751</t>
  </si>
  <si>
    <t>005045</t>
  </si>
  <si>
    <t>PRESTAÇÃO DE SEVIÇOS SCANSEC - UFV (OURO FINO 2)  NF 2006</t>
  </si>
  <si>
    <t>Serviço necessário à disponibilização de internet, necessário a construção das UFVs. SUPORTE - Parcela 4 de 36. APROVADO POR MARCIO</t>
  </si>
  <si>
    <t>[CCC07645]</t>
  </si>
  <si>
    <t>PRESTAÇÃO DE SEVIÇOS SCANSEC - UFV (FORMIGA 6)  NF 1974</t>
  </si>
  <si>
    <t>005058</t>
  </si>
  <si>
    <t>PRESTAÇÃO DE SERVIÇOS UFVs (OURO FINO 2) NF 216</t>
  </si>
  <si>
    <t>Pagamento referente a medição 8, prestação de serviços. ENVIADO POR AUGUSTO</t>
  </si>
  <si>
    <t>[CCC07649]</t>
  </si>
  <si>
    <t>005076</t>
  </si>
  <si>
    <t>PRESTAÇÃO DE SERVIÇOS UFV (OURO FINO 2) MBA NF 3928</t>
  </si>
  <si>
    <t xml:space="preserve">PAGAMENTO REFERENTE A PRESTAÇÃO DE SERVIÇO DE LINHA VIVA PARA ATENDER MODIFICAÇÃO DE REDE DE DISTRIBUIÇÃO RURAL E URBANA. APROVADO POR MARCIO 
</t>
  </si>
  <si>
    <t>[CCC07653]</t>
  </si>
  <si>
    <t>CONSTRUMANAGER - UFVs          (ALFENAS 4)  NF 346782</t>
  </si>
  <si>
    <t>Serviço necessário à disponibilização de internet, necessário a construção das UFVs . ENVIADO POR CONSTRUMARKET.</t>
  </si>
  <si>
    <t>[CCC07654]</t>
  </si>
  <si>
    <t>VALOR TOTAL 2.000,00 DIVIDIDO POR 2 USINAS. BOLETO</t>
  </si>
  <si>
    <t>CONSTRUMANAGER - UFVs          (FORMIGA 6)  NF 346782</t>
  </si>
  <si>
    <t>005077</t>
  </si>
  <si>
    <t>CONSTRUMANAGER - UFVs          (OURO FINO 2)  NF 346781</t>
  </si>
  <si>
    <t>VALOR TOTAL 2.000,00 DIVIDIDO POR 3 USINAS. BOLETO</t>
  </si>
  <si>
    <t>CONSTRUMANAGER - UFVs          (CAMPO BELO 1)  NF 346781</t>
  </si>
  <si>
    <t>CONSTRUMANAGER - UFVs          (SANTO ANTONIO 1)  NF 346781</t>
  </si>
  <si>
    <t>PRESTAÇÃO DE SERVIÇOS UFVs (ALFENAS) RONDA NF 340</t>
  </si>
  <si>
    <t>[CCC07655]</t>
  </si>
  <si>
    <t>PRESTAÇÃO DE SERVIÇOS UFVs (ALFENAS) RONDA NF 341</t>
  </si>
  <si>
    <t>005078</t>
  </si>
  <si>
    <t>PRESTAÇÃO DE SERVIÇOS UFVs (CAMPO BELO 1) RONDA NF 342</t>
  </si>
  <si>
    <t>005079</t>
  </si>
  <si>
    <t>PRESTAÇÃO DE SERVIÇOS UFVs (CAMPO BELO 1) RONDA NF 343</t>
  </si>
  <si>
    <t>PRESTAÇÃO DE SERVIÇOS UFVs (CAMPO BELO 2) RONDA NF 344</t>
  </si>
  <si>
    <t>PRESTAÇÃO DE SERVIÇOS UFVs (CAMPO BELO 2) RONDA NF 345</t>
  </si>
  <si>
    <t>005080</t>
  </si>
  <si>
    <t>PRESTAÇÃO DE SERVIÇOS UFVs (CAMPO BELO 5) RONDA NF 346</t>
  </si>
  <si>
    <t>005081</t>
  </si>
  <si>
    <t>PRESTAÇÃO DE SERVIÇOS UFVs (CAMPO BELO 5) RONDA NF 347</t>
  </si>
  <si>
    <t>005082</t>
  </si>
  <si>
    <t>PRESTAÇÃO DE SERVIÇOS UFVs (CAMPO BELO 5) RONDA NF 348</t>
  </si>
  <si>
    <t>PRESTAÇÃO DE SERVIÇOS UFVs (FORMIGA 6) RONDA NF 349</t>
  </si>
  <si>
    <t>PRESTAÇÃO DE SERVIÇOS UFVs (FORMIGA 6) RONDA NF 354</t>
  </si>
  <si>
    <t>005083</t>
  </si>
  <si>
    <t>PRESTAÇÃO DE SERVIÇOS UFVs (OURO FINO 2) RONDA NF 350</t>
  </si>
  <si>
    <t>005084</t>
  </si>
  <si>
    <t>PRESTAÇÃO DE SERVIÇOS UFVs (OURO FINO 2) RONDA NF 353</t>
  </si>
  <si>
    <t>005085</t>
  </si>
  <si>
    <t>PRESTAÇÃO DE SERVIÇOS UFVs (SANTO ANTONIO 1) RONDA NF 351</t>
  </si>
  <si>
    <t>005086</t>
  </si>
  <si>
    <t>PRESTAÇÃO DE SERVIÇOS UFVs (SANTO ANTONIO 1) RONDA NF 352</t>
  </si>
  <si>
    <t>005087</t>
  </si>
  <si>
    <t>PRESTAÇÃO DE SERVIÇOS UFVs (CAMPO BELO 1) R&amp;C ELETRONICA NF 701</t>
  </si>
  <si>
    <t>Pagamento referente a roçagem para instalação de sistemas de CFTV. ENVIADO POR MAYZA.</t>
  </si>
  <si>
    <t>[CCC07656]</t>
  </si>
  <si>
    <t>SERVIDÃO - INDENIZAÇÃO - ROSEVALDO MODESTO DE SOUZA</t>
  </si>
  <si>
    <t>PAGAMENTO SERVIDÃO VIA INDENIZAÇÃO - ENVIADO POR FELIPE FUNDIARIO, APROVADO POR VILELA.</t>
  </si>
  <si>
    <t>[CCC07663]</t>
  </si>
  <si>
    <t>PRESTAÇÃO DE SERVIÇOS UFVs  (VARGINHA 2) MCD BALDONI NF 367</t>
  </si>
  <si>
    <t>PAGAMENTO DE MEDIÇÃO REFERENTE À SERVIÇO DE DRENAGEM. ENVIADO POR AUGUSTO</t>
  </si>
  <si>
    <t>[CCC07671]</t>
  </si>
  <si>
    <t>PRESTAÇÃO DE SERVIÇOS UFVs  (VARGINHA 2) BALDONI N 513</t>
  </si>
  <si>
    <t>CONSTRUMANAGER - UFVs          (FORMIGA 6)  NF 346915</t>
  </si>
  <si>
    <t>[CCC07676]</t>
  </si>
  <si>
    <t>VALOR TOTAL 1.615,45 DIVIDIDO POR 2 USINAS. BOLETO</t>
  </si>
  <si>
    <t>CONSTRUMANAGER - UFVs          (ALFENAS 4)  NF  346915</t>
  </si>
  <si>
    <t>005109</t>
  </si>
  <si>
    <t>CONSTRUMANAGER - UFVs          (OURO FINO 2)  NF 346917</t>
  </si>
  <si>
    <t>VALOR TOTAL 1.615,45 DIVIDIDO POR 3 USINAS. BOLETO</t>
  </si>
  <si>
    <t>CONSTRUMANAGER - UFVs          (CAMPO BELO 1)  NF 346917</t>
  </si>
  <si>
    <t>CONSTRUMANAGER - UFVs          (SANTO ANTONIO 1)  NF 346917</t>
  </si>
  <si>
    <t>PRESTAÇÃO DE SERVIÇOS UFVs (SÃO SEBASTIÃO DO OESTE 3) R&amp;C ELETRONICA NF 702</t>
  </si>
  <si>
    <t>Pagamento referente a manuitenção corretiva.  CFTV. ENVIADO POR MAYZA</t>
  </si>
  <si>
    <t>[CCC07677]</t>
  </si>
  <si>
    <t>excluido</t>
  </si>
  <si>
    <t>PRESTAÇÃO DE SERVIÇOS UFVs (SÃO SEBASTIÃO DO OESTE 3) R&amp;C ELETRONICA NF 1828</t>
  </si>
  <si>
    <t>PRESTAÇÃO DE SERVIÇOS UFVs (PATROCINIO) NF 248631 MERCAM</t>
  </si>
  <si>
    <t>PAGAMENTO REFERENTE A FRETE PLACAS DE IDENTIFICAÇÃO USINAS GDs</t>
  </si>
  <si>
    <t>[CCC07681]</t>
  </si>
  <si>
    <t>MERCAM TRANSPORTES LTDA</t>
  </si>
  <si>
    <t>PRESTAÇÃO DE SERVIÇOS UFVs (PEDRINOPOLIS) NF 248636 MERCAM</t>
  </si>
  <si>
    <t>PRESTAÇÃO DE SERVIÇOS UFVs (CLAUDIO) NF 248717 MERCAM</t>
  </si>
  <si>
    <t>PRESTAÇÃO DE SERVIÇOS UFVs (DIVINOPOLIS) NF 248718 MERCAM</t>
  </si>
  <si>
    <t>PRESTAÇÃO DE SERVIÇOS UFVs (FORMIGA) NF 248724 MERCAM</t>
  </si>
  <si>
    <t>PRESTAÇÃO DE SERVIÇOS UFVs (PATROCINIO) NF 248985 MERCAM</t>
  </si>
  <si>
    <t>PRESTAÇÃO DE SERVIÇOS UFVs (PATROCINIO) NF 248986 MERCAM</t>
  </si>
  <si>
    <t>005193</t>
  </si>
  <si>
    <t>PRESTAÇÃO DE SEVIÇOS SCANSEC - UFV (OURO FINO 2)  NF 901</t>
  </si>
  <si>
    <t>Serviço necessário à disponibilização de internet, necessário a construção das UFVs. LOCAÇÃO - Parcela 6 de 36. APROVADO POR MARCIO</t>
  </si>
  <si>
    <t>[CCC07696]</t>
  </si>
  <si>
    <t>PRESTAÇÃO DE SEVIÇOS SCANSEC - UFV (FORMIGA 6)  NF 869</t>
  </si>
  <si>
    <t>005145</t>
  </si>
  <si>
    <t>PRESTAÇÃO DE SEVIÇOS SCANSEC - UFV (OURO FINO 2)  NF 1611</t>
  </si>
  <si>
    <t>Serviço profissionais da implantação de projeto: Planejamento, instalação, configuração, ativação e testes das UFVs. IMPLANTAÇÃO - Parcela 1 de 1. APROVADO POR MARCIO</t>
  </si>
  <si>
    <t>[CCC07698]</t>
  </si>
  <si>
    <t>PRESTAÇÃO DE SEVIÇOS SCANSEC - UFV (FORMIGA 6)  NF 1603</t>
  </si>
  <si>
    <t>005146</t>
  </si>
  <si>
    <t>PRESTAÇÃO DE SEVIÇOS SCANSEC - UFV (OURO FINO 2)  NF 1633</t>
  </si>
  <si>
    <t>Serviço necessário à disponibilização de internet, necessário a construção das UFVs. SUPORTE - Parcela 1 de 36. APROVADO POR MARCIO</t>
  </si>
  <si>
    <t>[CCC07699]</t>
  </si>
  <si>
    <t>003168</t>
  </si>
  <si>
    <t>PRESTAÇÃO DE SEVIÇOS SCANSEC - UFV (FORMIGA 6)  NF 1625</t>
  </si>
  <si>
    <t>005143</t>
  </si>
  <si>
    <t>PRESTAÇÃO DE SEVIÇOS SCANSEC - UFV (OURO FINO 2)  N 429</t>
  </si>
  <si>
    <t>Serviço necessário à disponibilização de internet, necessário a construção das UFVs. LOCAÇÃO - Parcela 2 de 36. APROVADO POR MARCIO</t>
  </si>
  <si>
    <t>[CCC07700]</t>
  </si>
  <si>
    <t>PRESTAÇÃO DE SEVIÇOS SCANSEC - UFV (FORMIGA 6)  N 397</t>
  </si>
  <si>
    <t>PRESTAÇÃO DE SEVIÇOS SCANSEC - UFV (OURO FINO 2)  N 547</t>
  </si>
  <si>
    <t>Serviço necessário à disponibilização de internet, necessário a construção das UFVs. LOCAÇÃO - Parcela 3 de 36. APROVADO POR MARCIO</t>
  </si>
  <si>
    <t>PRESTAÇÃO DE SEVIÇOS SCANSEC - UFV (FORMIGA 6)  N 515</t>
  </si>
  <si>
    <t>005162</t>
  </si>
  <si>
    <t>COMPRA DE MATERIAIS UFV (OURO FINO 2) LOJA ELETRICA LTDA  NF 633110</t>
  </si>
  <si>
    <t>Pagamento referente a compra de materiais para construção de office. ENVIADO POR VAGNER. APROVADO POR MATHEUS VILELA</t>
  </si>
  <si>
    <t>[CCC07701]</t>
  </si>
  <si>
    <t>LOJA ELETRICA LTDA</t>
  </si>
  <si>
    <t>005163</t>
  </si>
  <si>
    <t xml:space="preserve">COMPRA DE MATERIAIS UFV (OURO FINO 2)  DALILA NF </t>
  </si>
  <si>
    <t>Pagamento referente a compra de materiais, necessários a construção da usina. ENVIADO POR AUGUSTO.</t>
  </si>
  <si>
    <t>[CCC07702]</t>
  </si>
  <si>
    <t xml:space="preserve">DALILA </t>
  </si>
  <si>
    <t>PRESTAÇÃO DE SEVIÇOS  UFV (FORMIGA 6)  NF 4040</t>
  </si>
  <si>
    <t>Pagamento referente a Prestação de serviço de montagem e instalação elétrica de redes de distribuição de energia rural e urbana. APROVADA POR MARCIO</t>
  </si>
  <si>
    <t>[CCC07711]</t>
  </si>
  <si>
    <t>003193</t>
  </si>
  <si>
    <t xml:space="preserve">PRESTAÇÃO DE SEVIÇOS SCANSEC - UFV (ALFENAS)  N 1598 </t>
  </si>
  <si>
    <t>[CCC07713]</t>
  </si>
  <si>
    <t>005185</t>
  </si>
  <si>
    <t>PRESTAÇÃO DE SERVIÇOS UFVs  (VARGINHA 1) BALDONI N 520</t>
  </si>
  <si>
    <t>PAGAMENTO DE MEDIÇÃO REFERENTE À DRENAGEM. APROVADO POR AUGUSTO</t>
  </si>
  <si>
    <t>[CCC07716]</t>
  </si>
  <si>
    <t>005183</t>
  </si>
  <si>
    <t>PRESTAÇÃO DE SERVIÇOS UFVs  (VARGINHA 1) BALDONI NF 373</t>
  </si>
  <si>
    <t>005191</t>
  </si>
  <si>
    <t>PRESTAÇÃO DE SERVIÇOS UFVs  (VARGINHA 1) BALDONI NF 521</t>
  </si>
  <si>
    <t>PAGAMENTO DE MEDIÇÃO REFERENTE À TERRAPLANAGEM. APROVADO POR AUGUSTO</t>
  </si>
  <si>
    <t>005184</t>
  </si>
  <si>
    <t>PRESTAÇÃO DE SERVIÇOS UFVs  (VARGINHA 1) BALDONI NF 374</t>
  </si>
  <si>
    <t>PRESTAÇÃO DE SERVIÇO UFVs (FORMIGA 6)  RIMA NF 928</t>
  </si>
  <si>
    <t>Pagamento referente a SUPRESSÃO VEGETAL. APROVADO POR GUILHERME</t>
  </si>
  <si>
    <t>[CCC07717]</t>
  </si>
  <si>
    <t>TERRIMA</t>
  </si>
  <si>
    <t>PRESTAÇÃO DE SERVIÇO UFVs (FORMIGA 6)  RIMA NF 929</t>
  </si>
  <si>
    <t>PRESTAÇÃO DE SERVIÇO UFVs (FORMIGA 6)  RIMA NF 930</t>
  </si>
  <si>
    <t>005187</t>
  </si>
  <si>
    <t>PRESTAÇÃO DE SEVIÇOS SCANSEC - UFV (CAMPO BELO 1)  NF 1602</t>
  </si>
  <si>
    <t>[CCC07718]</t>
  </si>
  <si>
    <t>005192</t>
  </si>
  <si>
    <t>PRESTAÇÃO DE SEVIÇOS SCANSEC - UFV (OURO FINO 2)  NF 2147</t>
  </si>
  <si>
    <t>Serviço necessário à disponibilização de internet, necessário a construção das UFVs. SUPORTE - Parcela 5 de 36. APROVADO POR MARCIO</t>
  </si>
  <si>
    <t>[CCC07719]</t>
  </si>
  <si>
    <t>PRESTAÇÃO DE SEVIÇOS SCANSEC - UFV (FORMIGA 6)  NF 2115</t>
  </si>
  <si>
    <t>PRESTAÇÃO DE SEVIÇOS ENGELUZ - UFV (PASSOS 4)  NF 905</t>
  </si>
  <si>
    <t>PAGAMENTO REFERENTE A SERVIÇOS DE MÃO DE OBRA ESPECIALIZADA NA CONSTRUÇAO DE RELOCAÇÃO DE REDE.</t>
  </si>
  <si>
    <t>[CCC07728]</t>
  </si>
  <si>
    <t>DAE UFVs (CAMPO BELO 4) N 5600051567925</t>
  </si>
  <si>
    <t>PAGAMENTO REFERENTE A DAE TAXA DE LIMPEZA DA BACIA DE DETENÇÃO DE RESIDUOS.</t>
  </si>
  <si>
    <t>[CCC07734]</t>
  </si>
  <si>
    <t>PRESTAÇÃO DE SERVIÇOS UFVs (CAMPO BELO 2) RONDA NF 1084</t>
  </si>
  <si>
    <t>[CCC07736]</t>
  </si>
  <si>
    <t>PRESTAÇÃO DE SERVIÇOS UFVs (CAMPO BELO 2) RONDA NF 1573</t>
  </si>
  <si>
    <t>CONSTRUMANAGER - UFVs          (FORMIGA 6)  NF 349482</t>
  </si>
  <si>
    <t>[CCC07735]</t>
  </si>
  <si>
    <t>VALOR TOTAL 1.186,11 DIVIDIDO POR 2 USINAS. BOLETO</t>
  </si>
  <si>
    <t>CONSTRUMANAGER - UFVs          (ALFENAS 4)  NF 349482</t>
  </si>
  <si>
    <t>VALOR TOTAL 1.186,11_x000D_ DIVIDIDO POR 2 USINAS. BOLETO</t>
  </si>
  <si>
    <t>005209</t>
  </si>
  <si>
    <t>CONSTRUMANAGER - UFVs          (OURO FINO 2)  NF 349481</t>
  </si>
  <si>
    <t>VALOR TOTAL 1.186,11 DIVIDIDO POR 3 USINAS. BOLETO</t>
  </si>
  <si>
    <t>CONSTRUMANAGER - UFVs          (CAMPO BELO 1)  NF 349481</t>
  </si>
  <si>
    <t>CONSTRUMANAGER - UFVs          (SANTO ANTONIO 1)  NF 349481</t>
  </si>
  <si>
    <t>005213</t>
  </si>
  <si>
    <t>PRESTAÇÃO DE SERVIÇOS UFVs (OURO FINO 2) NF  22 CLIMA BOM AR CONDICIONADO LTDA ANDRE LUIZ</t>
  </si>
  <si>
    <t xml:space="preserve">Pagamento referente a instação do ar-condicionado. Infeaestrutura escritório. ENVIADO POR AUGUSTO </t>
  </si>
  <si>
    <t>[CCC07740]</t>
  </si>
  <si>
    <t>CLIMA BOM AR CONDICIONADO LTDA</t>
  </si>
  <si>
    <t>005232</t>
  </si>
  <si>
    <t xml:space="preserve">PRESTAÇÃO DE SEVIÇOS SCANSEC - UFV (OURO FINO 2)  NF 1019 </t>
  </si>
  <si>
    <t>Serviço necessário à disponibilização de internet, necessário a construção das UFVs. LOCAÇÃO - Parcela 7 de 36. APROVADO POR MARCIO</t>
  </si>
  <si>
    <t>[CCC07742]</t>
  </si>
  <si>
    <t>PRESTAÇÃO DE SEVIÇOS SCANSEC - UFV (FORMIGA 6)  NF 987</t>
  </si>
  <si>
    <t>PRESTAÇÃO DE SEVIÇOS UFVs (VARJÃO 1)  NF 924</t>
  </si>
  <si>
    <t>PAGAMENTO REFERENTE A SERVIÇOS DE MÃO DE OBRA ESPECIALIZADA NA CONSTRUÇAO DE RDR.</t>
  </si>
  <si>
    <t>[CCC07745]</t>
  </si>
  <si>
    <t>LATWAN</t>
  </si>
  <si>
    <t>PRESTAÇÃO DE SERVIÇOS UFVs (OURO FINO 2) NF 841</t>
  </si>
  <si>
    <t>PAGAMENTO REFERENTE A SERVIÇO DE TELECOMUNICAÇÕES.</t>
  </si>
  <si>
    <t>[CCC07746]</t>
  </si>
  <si>
    <t>003244</t>
  </si>
  <si>
    <t>PRESTAÇÃO DE SERVIÇOS UFVs (FORMIGA 6) NF 840</t>
  </si>
  <si>
    <t>PRESTAÇÃO DE SERVIÇOS UFVs  (OURO FINO 2) SRJ PROTECAO NF12</t>
  </si>
  <si>
    <t>Pagamento referente ao serviço de desenhos tecnicos. APROVADO POR GUILHERME KURSEL</t>
  </si>
  <si>
    <t>[CCC07748]</t>
  </si>
  <si>
    <t>PRESTAÇÃO DE SEVIÇOS SCANSEC - UFV (OURO FINO 2)  NF 2281</t>
  </si>
  <si>
    <t>Serviço necessário à disponibilização de internet, necessário a construção das UFVs. SUPORTE - Parcela 6 de 36. APROVADO POR MARCIO</t>
  </si>
  <si>
    <t>[CCC07749]</t>
  </si>
  <si>
    <t>PRESTAÇÃO DE SEVIÇOS SCANSEC - UFV (FORMIGA 6)  NF 2249</t>
  </si>
  <si>
    <t>004519</t>
  </si>
  <si>
    <t>PRESTAÇÃO DE SEVIÇOS - UFV (MORI II) N 87955</t>
  </si>
  <si>
    <t>PAGAMENTO REFERENTE A ASSINATURA DO APLICATIVO DIARIO DE OBRA. ENVIADO POR UPDATE DIGITAL</t>
  </si>
  <si>
    <t>[CCC07751]</t>
  </si>
  <si>
    <t>PRESTAÇÃO DE SERVIÇOS UFVs  (OURO FINO 2) ATI NF 1758</t>
  </si>
  <si>
    <t>[CCC07752]</t>
  </si>
  <si>
    <t>PRESTAÇÃO DE SERVIÇOS UFVs  (OURO FINO 2) ATI NF 1759</t>
  </si>
  <si>
    <t>PRESTAÇÃO DE SERVIÇOS UFVs (OURO FINO 2) NF 219</t>
  </si>
  <si>
    <t>Pagamento referente a medição, prestação de serviços. ENVIADO POR AUGUSTO</t>
  </si>
  <si>
    <t>[CCC07754]</t>
  </si>
  <si>
    <t>CONSTRUMANAGER - UFVs          (FORMIGA 6)  NF 351413</t>
  </si>
  <si>
    <t>[CCC07767]</t>
  </si>
  <si>
    <t>VALOR TOTAL 1.500,00 DIVIDIDO POR 1 USINA. BOLETO</t>
  </si>
  <si>
    <t>005302</t>
  </si>
  <si>
    <t>CONSTRUMANAGER - UFVs          (OURO FINO 2)  NF 351410</t>
  </si>
  <si>
    <t>PRESTAÇÃO DE SERVIÇOS UFVs (ALFENAS 4) NF 89</t>
  </si>
  <si>
    <t>Pagamento referente a revitalização do sistema de Drenagem na UFV Alfenas 4. CONTRATO IMPLANTAÇÃO - ENVIADO POR AUGUSTO.</t>
  </si>
  <si>
    <t>[CCC07776]</t>
  </si>
  <si>
    <t>MEDIÇÃO 1                  PEDIDO DE COMPRAS NORMAL</t>
  </si>
  <si>
    <t>005351</t>
  </si>
  <si>
    <t>PRESTAÇÃO DE SERVIÇOS UFVs OURO FINO 2 REGRHAN NF 5446</t>
  </si>
  <si>
    <t>Pagamento referente aos serviços de gestão de subcontratadas e controle de doc de terc.  APROVADO POR LEANDRO</t>
  </si>
  <si>
    <t>[CCC07789]</t>
  </si>
  <si>
    <t>PRESTAÇÃO DE SERVIÇOS UFVs FORMIGA 6 REGRHAN NF  5447</t>
  </si>
  <si>
    <t>PEDIDO REFEITO POIS O ANTERIOR DEU ERRO - 003309</t>
  </si>
  <si>
    <t>005365</t>
  </si>
  <si>
    <t>PRESTAÇÃO DE SEVIÇOS SCANSEC - UFV (OURO FINO 2)  NF 1133</t>
  </si>
  <si>
    <t>Serviço necessário à disponibilização de internet, necessário a construção das UFVs. LOCAÇÃO - Parcela 8 de 36. APROVADO POR MARCIO</t>
  </si>
  <si>
    <t>[CCC07791]</t>
  </si>
  <si>
    <t>PRESTAÇÃO DE SEVIÇOS SCANSEC - UFV (FORMIGA 6)  NF 1101</t>
  </si>
  <si>
    <t>PRESTAÇÃO DE SERVIÇOS UFVs (FORMIGA 6 ) NF 875</t>
  </si>
  <si>
    <t>[CCC07790]</t>
  </si>
  <si>
    <t>005379</t>
  </si>
  <si>
    <t>PRESTAÇÃO DE SEVIÇOS SCANSEC - UFV (OURO FINO 2)  NF 2427</t>
  </si>
  <si>
    <t>Serviço necessário à disponibilização de internet, necessário a construção das UFVs. SUPORTE - Parcela 7 de 36. APROVADO POR MARCIO</t>
  </si>
  <si>
    <t>[CCC07795]</t>
  </si>
  <si>
    <t>PRESTAÇÃO DE SEVIÇOS SCANSEC - UFV (FORMIGA 6)  NF 2395</t>
  </si>
  <si>
    <t>Outros - Serviços à UFV
(ATI)</t>
  </si>
  <si>
    <t>PRESTAÇÃO DE SERVIÇOS UFVs (DIAMANTINA 1) NF Varios</t>
  </si>
  <si>
    <t>PAGAMENTO REFERENTE A Suporte Técnico Operacional APROVADO Por Implantação</t>
  </si>
  <si>
    <t xml:space="preserve">[CCC07796]
</t>
  </si>
  <si>
    <t>Serviço acrescentado para fechar o contrato ATI. Sporte pago junto time de O&amp;M - 24x230R$</t>
  </si>
  <si>
    <t>PRESTAÇÃO DE SERVIÇOS UFVs (Diamantina 2) NF Varios</t>
  </si>
  <si>
    <t>PRESTAÇÃO DE SERVIÇOS UFVs (Frei Inocêncio 1) NF Varios</t>
  </si>
  <si>
    <t>PRESTAÇÃO DE SERVIÇOS UFVs (Lagoa Formosa 1) NF Varios</t>
  </si>
  <si>
    <t>PRESTAÇÃO DE SERVIÇOS UFVs (Nova Ponte 1) NF Varios</t>
  </si>
  <si>
    <t>PRESTAÇÃO DE SERVIÇOS UFVs (Paracatu 8) NF Varios</t>
  </si>
  <si>
    <t>PRESTAÇÃO DE SERVIÇOS UFVs (Patos de Minas 1) NF Varios</t>
  </si>
  <si>
    <t>PRESTAÇÃO DE SERVIÇOS UFVs () NF Varios</t>
  </si>
  <si>
    <t>PRESTAÇÃO DE SERVIÇOS UFVs (Patos de Minas 4) NF Varios</t>
  </si>
  <si>
    <t>PRESTAÇÃO DE SERVIÇOS UFVs (Patos de Minas 7) NF Varios</t>
  </si>
  <si>
    <t>PRESTAÇÃO DE SERVIÇOS UFVs (Patos de Minas 8) NF Varios</t>
  </si>
  <si>
    <t>PRESTAÇÃO DE SERVIÇOS UFVs (Patrocínio 2) NF Varios</t>
  </si>
  <si>
    <t>PRESTAÇÃO DE SERVIÇOS UFVs (Patrocínio 3) NF Varios</t>
  </si>
  <si>
    <t>PRESTAÇÃO DE SERVIÇOS UFVs (Varjão de Minas 1) NF Varios</t>
  </si>
  <si>
    <t>PRESTAÇÃO DE SERVIÇOS UFVs (Varjão de Minas 4) NF Varios</t>
  </si>
  <si>
    <t>PRESTAÇÃO DE SERVIÇOS UFVs (Buritizeiro 1) NF Varios</t>
  </si>
  <si>
    <t>PRESTAÇÃO DE SERVIÇOS UFVs (Buritizeiro 2) NF Varios</t>
  </si>
  <si>
    <t>PRESTAÇÃO DE SERVIÇOS UFVs (Guarda-Mor) NF Varios</t>
  </si>
  <si>
    <t>PRESTAÇÃO DE SERVIÇOS UFVs (Indaiabira 1) NF Varios</t>
  </si>
  <si>
    <t>PRESTAÇÃO DE SERVIÇOS UFVs (Indaiabira 2) NF Varios</t>
  </si>
  <si>
    <t>PRESTAÇÃO DE SERVIÇOS UFVs (Indaiabira 3) NF Varios</t>
  </si>
  <si>
    <t>PRESTAÇÃO DE SERVIÇOS UFVs (Indaiabira 4) NF Varios</t>
  </si>
  <si>
    <t>PRESTAÇÃO DE SERVIÇOS UFVs (Jaboticatubas) NF Varios</t>
  </si>
  <si>
    <t>PRESTAÇÃO DE SERVIÇOS UFVs (São Sebastião 0) NF Varios</t>
  </si>
  <si>
    <t>PRESTAÇÃO DE SERVIÇOS UFVs (Divinópolis 1) NF Varios</t>
  </si>
  <si>
    <t>PRESTAÇÃO DE SERVIÇOS UFVs (D) NF Varios</t>
  </si>
  <si>
    <t>PAGAMENTO REFERENTE Rack Suporte 3 Baterias 150AH APROVADO Por Implantação</t>
  </si>
  <si>
    <t>Complemento restante Contrato</t>
  </si>
  <si>
    <t>005415</t>
  </si>
  <si>
    <t>PRESTAÇÃO DE SERVIÇO UFVs (TRES CORAÇÕES 3) NF 95</t>
  </si>
  <si>
    <t>PAGAMENTO REFERENTE A 20% DE ADIANTAMENTO DO CONTRATO DE REVITALIZAÇÃO DE DRENAGEM. APROVADO POR VILELA</t>
  </si>
  <si>
    <t>[CCC07801]</t>
  </si>
  <si>
    <t>ADIANTAMENTO 07.02 '000000000000001     BM 1</t>
  </si>
  <si>
    <t>005416</t>
  </si>
  <si>
    <t>PRESTAÇÃO DE SERVIÇO UFVs (SANTO ANTONIO 1) NF 97</t>
  </si>
  <si>
    <t>BM 1  'ADIANTAMENTO 07.02 '000000000000001</t>
  </si>
  <si>
    <t>PRESTAÇÃO DE SERVIÇO UFVs (DIAMANTINA 2) NF 93</t>
  </si>
  <si>
    <t>ADIANTAMENTO 07.02 '000000000000002 BM 1</t>
  </si>
  <si>
    <t>005417</t>
  </si>
  <si>
    <t>PRESTAÇÃO DE SERVIÇO UFVs (CAMPO BELO 5) NF 96</t>
  </si>
  <si>
    <t>PRESTAÇÃO DE SERVIÇOS UFVs (ALFENAS 4) RONDA NF 651</t>
  </si>
  <si>
    <t>Pagamento referente ao serviço de vigilancia noturno e diurno. APROVADO POR ROMANEI</t>
  </si>
  <si>
    <t>[CCC07802]</t>
  </si>
  <si>
    <t>005420</t>
  </si>
  <si>
    <t>PRESTAÇÃO DE SERVIÇOS UFVs (ARCOS 7) RONDA NF 1308</t>
  </si>
  <si>
    <t>DAE UFVs (FORMIGA) N 1500598895611</t>
  </si>
  <si>
    <t>PAGAMENTO REFERENTE A TAXA DE REPOSIÇÃO FLORESTAL.</t>
  </si>
  <si>
    <t>[CCC07805]</t>
  </si>
  <si>
    <t>005427</t>
  </si>
  <si>
    <t>CONSTRUMANAGER - UFVs          (OURO FINO 2) </t>
  </si>
  <si>
    <t>PEDIDO ABERTO POR ROBSON ENGENHARIA, INCLUÍDO NA PLANILHA DE CONTROLE CONFORME SOLICITAÇÃO DE ROMANEI.</t>
  </si>
  <si>
    <t>[CCC07813]</t>
  </si>
  <si>
    <t>VALOR TOTAL 4514,58 DIVIDIDO POR 1 USINA. BOLETO</t>
  </si>
  <si>
    <t>CONSTRUMANAGER - UFVs          (FORMIGA 6)</t>
  </si>
  <si>
    <t>VALOR TOTAL 4863,48 DIVIDIDO POR 1 USINA. BOLETO</t>
  </si>
  <si>
    <t>PRESTAÇÃO DE SERVIÇO UFVs (ALFENAS 4) NF 99</t>
  </si>
  <si>
    <t>[CCC07818]</t>
  </si>
  <si>
    <t>MEDIÇÃO 2                  PEDIDO DE COMPRAS NORMAL</t>
  </si>
  <si>
    <t>005442</t>
  </si>
  <si>
    <t>PRESTAÇÃO DE SEVIÇOS SCANSEC - UFV (OURO FINO 2)  NF 2580</t>
  </si>
  <si>
    <t>Serviço necessário à disponibilização de internet, necessário a construção das UFVs. SUPORTE - Parcela 8 de 36. APROVADO POR MARCIO</t>
  </si>
  <si>
    <t>[CCC07819]</t>
  </si>
  <si>
    <t>PRESTAÇÃO DE SEVIÇOS SCANSEC - UFV (FORMIGA 6)  NF 2547</t>
  </si>
  <si>
    <t>005443</t>
  </si>
  <si>
    <t>PRESTAÇÃO DE SEVIÇOS SCANSEC - UFV (OURO FINO 2) N 1254</t>
  </si>
  <si>
    <t>Serviço necessário à disponibilização de internet, necessário a construção das UFVs. LOCAÇÃO - Parcela 9 de 36. APROVADO POR MARCIO</t>
  </si>
  <si>
    <t>PRESTAÇÃO DE SEVIÇOS SCANSEC - UFV (FORMIGA 6)  N 1223</t>
  </si>
  <si>
    <t>005439</t>
  </si>
  <si>
    <t>PRESTAÇÃO DE SERVIÇOS UFVs (CAMPO BELO 5) NF 181</t>
  </si>
  <si>
    <t>PAGAMENTO REFERENTE A VIGIA PATRIMONIAL</t>
  </si>
  <si>
    <t>[CCC07824]</t>
  </si>
  <si>
    <t>005440</t>
  </si>
  <si>
    <t>PRESTAÇÃO DE SERVIÇOS UFVs (OURO FINO 2) NF 182</t>
  </si>
  <si>
    <t>Ouro Fino Jà saiu</t>
  </si>
  <si>
    <t>005441</t>
  </si>
  <si>
    <t>PRESTAÇÃO DE SERVIÇOS UFVs (SANTO ANTONIO 1) NF 183</t>
  </si>
  <si>
    <t>PRESTAÇÃO DE SERVIÇOS UFVs (ALFENAS 4) NF 184</t>
  </si>
  <si>
    <t>Alfenas Jà saiu</t>
  </si>
  <si>
    <t>PRESTAÇÃO DE SERVIÇOS UFVs (CAMPO BELO 2) NF 185</t>
  </si>
  <si>
    <t>PRESTAÇÃO DE SERVIÇOS UFVs (FORMIGA 6) NF 186</t>
  </si>
  <si>
    <t>PRESTAÇÃO DE SERVIÇOS UFVs (FORMIGA 6 ) NF 1062</t>
  </si>
  <si>
    <t>[CCC07828]</t>
  </si>
  <si>
    <t xml:space="preserve">LATWAN </t>
  </si>
  <si>
    <t>005445</t>
  </si>
  <si>
    <t>PRESTAÇÃO DE SERVIÇOS UFVs OURO FINO 2 REGRHAN NF 5626</t>
  </si>
  <si>
    <t>[CCC07836]</t>
  </si>
  <si>
    <t>PRESTAÇÃO DE SERVIÇOS UFVs FORMIGA 6 REGRHAN NF 5627</t>
  </si>
  <si>
    <t>005844</t>
  </si>
  <si>
    <t>PRESTAÇÃO DE SERVIÇOS UFVs (PEDRA DO INDAIA 5) NF 234</t>
  </si>
  <si>
    <t>Pagamento referente a execução SPDA oficce. ENVIADO POR AUGUSTO</t>
  </si>
  <si>
    <t>[CCC07843]</t>
  </si>
  <si>
    <t>Faz parte do contrato implantação, pois são usinas energizadas.</t>
  </si>
  <si>
    <t>005447</t>
  </si>
  <si>
    <t>PRESTAÇÃO DE SERVIÇOS UFVs (CAPO BELO 1) NF 235</t>
  </si>
  <si>
    <t>Pagamento referente a execução da correção do trackers. ENVIADO POR AUGUSTO</t>
  </si>
  <si>
    <t>[CCC07844]</t>
  </si>
  <si>
    <t xml:space="preserve">PRESTAÇÃO DE SERVIÇOS UFVs (CAPO BELO 2) NF </t>
  </si>
  <si>
    <t>PAGAMENTO REFERENTE REPARO E CERCAMENTO DE VALAS. ENVIADO POR AUGUSTO.</t>
  </si>
  <si>
    <t>[CCC07849]</t>
  </si>
  <si>
    <t>CELF EMPREENDIMENTOS</t>
  </si>
  <si>
    <t>PRESTAÇÃO DE SERVIÇOS UFVs (CAPO BELO 2) NF 26</t>
  </si>
  <si>
    <t>PAGAMENTO REFERENTE A REPARO DE CFTV. ENVIADO POR AUGUSTO.</t>
  </si>
  <si>
    <t>[CCC07850]</t>
  </si>
  <si>
    <t>000257821</t>
  </si>
  <si>
    <t>COMPRA DE MATERIAIS UFVs ROMAGNOLE NF 257821</t>
  </si>
  <si>
    <t>[CCC07864]</t>
  </si>
  <si>
    <t>PRESTAÇÃO DE SERVIÇO UFV (ALFENAS 4) R&amp;C ELETRONICA NF 725</t>
  </si>
  <si>
    <t>[CCC07853]</t>
  </si>
  <si>
    <t>PRESTAÇÃO DE SEVIÇOS SCANSEC - UFV (FORMIGA 6)  NF 2701</t>
  </si>
  <si>
    <t>Serviço necessário à disponibilização de internet, necessário a construção das UFVs. SUPORTE - Parcela 9 de 36. APROVADO POR MARCIO</t>
  </si>
  <si>
    <t>[CCC07854]</t>
  </si>
  <si>
    <t>003409</t>
  </si>
  <si>
    <t>PRESTAÇÃO DE SEVIÇOS SCANSEC - UFV (FORMIGA 6)  N 1343</t>
  </si>
  <si>
    <t>Serviço necessário à disponibilização de internet, necessário a construção das UFVs. LOCAÇÃO - Parcela 10 de 36. APROVADO POR MARCIO</t>
  </si>
  <si>
    <t>PRESTAÇÃO DE SERVIÇOS UFVs (FORMIGA 6 ) NF 84</t>
  </si>
  <si>
    <t>[CCC07855]</t>
  </si>
  <si>
    <t>005518</t>
  </si>
  <si>
    <t>PRESTAÇÃO DE SERVIÇOS UFVs (OURO FINO 2) NF 231</t>
  </si>
  <si>
    <t>PAGAMENTO REFERENTE A MEDIÇÃO FINAL DA ASE UFV OURO FINO. ENVIADO POR AUGUSTO.</t>
  </si>
  <si>
    <t>[CCC07873]</t>
  </si>
  <si>
    <t>005519</t>
  </si>
  <si>
    <t>PRESTAÇÃO DE SERVIÇOS UFVs (TRES CORAÇÕES) NF 232</t>
  </si>
  <si>
    <t>PAGAMENTO REFERENTE A MEDIÇÃO FINAL DA ASE UFV TRES CORAÇÕES. ENVIADO POR AUGUSTO.</t>
  </si>
  <si>
    <t>[CCC07874]</t>
  </si>
  <si>
    <t>005503</t>
  </si>
  <si>
    <t>PRESTAÇÃO DE SERVIÇO UFVs (CAMPO BELO 5) NF 107</t>
  </si>
  <si>
    <t>REVITALIZAÇÃO DO SISTEMA DE DRENAGEM DA UFV CAMPO BELO 5. ENVIADO POR GILSON.</t>
  </si>
  <si>
    <t>[CCC07865]</t>
  </si>
  <si>
    <t>BM 02 07.02 '000000000000001</t>
  </si>
  <si>
    <t>005507</t>
  </si>
  <si>
    <t>PRESTAÇÃO DE SERVIÇO UFVs (TRES CORAÇÕES 3) NF 108</t>
  </si>
  <si>
    <t>REVITALIZAÇÃO DO SISTEMA DE DRENAGEM DA UFV TRÊS CORAÇÕES 3.</t>
  </si>
  <si>
    <t>[CCC07867]</t>
  </si>
  <si>
    <t>BM 2                         07.02 000000000000001</t>
  </si>
  <si>
    <t>005508</t>
  </si>
  <si>
    <t>PRESTAÇÃO DE SERVIÇO UFVs (SANTO ANTONIO 1) NF 109</t>
  </si>
  <si>
    <t>REVITALIZAÇÃO DO SISTEMA DE DRENAGEM DA UFV SANTO ANTONIO DO AMPARO 1.</t>
  </si>
  <si>
    <t>005511</t>
  </si>
  <si>
    <t>[CCC07870]</t>
  </si>
  <si>
    <t>005517</t>
  </si>
  <si>
    <t xml:space="preserve">PRESTAÇÃO DE SERVIÇO UFV (SANTO ANTONIO DO AMPARO ) R&amp;C ELETRONICA NF </t>
  </si>
  <si>
    <t>PAGAMENTO REFERENTE A DUAS FUSÕES DE FIBRA E CERTIFICAÇÃO DE FIBRAS. ENVIADO POR AUGUSTO.</t>
  </si>
  <si>
    <t>[CCC07872]</t>
  </si>
  <si>
    <t>PRESTAÇÃO DE SERVIÇOS UFVs (ALFENAS 4) NF 234</t>
  </si>
  <si>
    <t>PRESTAÇÃO DE SERVIÇOS UFVs (CAMPO BELO 2) NF 232</t>
  </si>
  <si>
    <t>003421</t>
  </si>
  <si>
    <t>PRESTAÇÃO DE SERVIÇOS UFVs (FORMIGA 6) NF 235</t>
  </si>
  <si>
    <t>005522</t>
  </si>
  <si>
    <t>PRESTAÇÃO DE SERVIÇOS UFVs (SANTO ANTONIO 1) NF 233</t>
  </si>
  <si>
    <t>PRESTAÇÃO DE SERVIÇOS UFVs (FORMIGA 6) NF 54</t>
  </si>
  <si>
    <t xml:space="preserve">Pagamento referente a execução e monitoramento de assessoria ambiental. 10% do valor total do contrato - GOS FLORESTAL . </t>
  </si>
  <si>
    <t>[CCC07881]</t>
  </si>
  <si>
    <t>COMPRA MATERIAIS PARA UFVs ( ARCOS 7)   NF  147</t>
  </si>
  <si>
    <t>[CCC03903]</t>
  </si>
  <si>
    <t>005529</t>
  </si>
  <si>
    <t>PRESTAÇÃO DE SERVIÇOS UFVs (CAMPO BELO 5) NF 58</t>
  </si>
  <si>
    <t>PAGAMENTO MEDIÇÃO DE SERVIÇOS DE EXECUÇÃO DE MEDIDAS DE RECUPAERAÇÃO AMBIENTAL. APROVADO POR TIAGO BERTASO</t>
  </si>
  <si>
    <t>[CCC07884]</t>
  </si>
  <si>
    <t>005530</t>
  </si>
  <si>
    <t>PRESTAÇÃO DE SERVIÇOS UFVs (SANTO ANTONIO 1) NF 57</t>
  </si>
  <si>
    <t>PAGAMENTO MEDIÇÃO DE SERVIÇOS DE EXECUÇÃO DE MEDIDAS DE RECUPAERAÇÃO AMBINETAL. APROVADO POR TIAGO BERTASO</t>
  </si>
  <si>
    <t>005531</t>
  </si>
  <si>
    <t>PRESTAÇÃO DE SERVIÇOS UFVs (TRES CORAÇÕES 3) NF 56</t>
  </si>
  <si>
    <t>PRESTAÇÃO DE SERVIÇOS UFVs (ALFENAS 4) NF 55</t>
  </si>
  <si>
    <t>PAGAMENTO MEDIÇÃO DE SERVIÇOS DE EXECUÇÃO DE MEDIDAS DE RECUPERAÇÃO AMBIENTAL. APROVADO POR TIAGO BERTASO</t>
  </si>
  <si>
    <t>004677</t>
  </si>
  <si>
    <t>PRESTAÇÃO DE SERVIÇOS UFVs (DIAMANTINA 1) NF 59</t>
  </si>
  <si>
    <t>004678</t>
  </si>
  <si>
    <t>PRESTAÇÃO DE SERVIÇOS UFVs (DIAMANTINA 2) NF 60</t>
  </si>
  <si>
    <t>PRESTAÇÃO DE SERVIÇOS UFVs     (PATOS DE MINAS 1) RODRIGUES MACHADO NF 211</t>
  </si>
  <si>
    <t>PAGAMENTO REFERENTE A EROSÃO NA VALA CFTV QUE NÃO FOI TOTALMENTE REGULARIZADO PELA IMPLANTAR. ENVIADO POR GILSON.</t>
  </si>
  <si>
    <t>[CCC07889]</t>
  </si>
  <si>
    <t>RODRIGUES MACHADO SERVIÇOS</t>
  </si>
  <si>
    <t>PRESTAÇÃO DE SERVIÇOS UFVs     (PATOS DE MINAS 4) RODRIGUES MACHADO NF 210</t>
  </si>
  <si>
    <t>PAGAMENTO REFERENTE A VALAS CFTV DANIFICADAS PELA CHUVA. ENVIADO POR GILSON.</t>
  </si>
  <si>
    <t>005534</t>
  </si>
  <si>
    <t>PRESTAÇÃO DE SERVIÇOS UFVs (CAPO BELO 1) NF 30</t>
  </si>
  <si>
    <t>[CCC07894]</t>
  </si>
  <si>
    <t>ATI - ENERGEA</t>
  </si>
  <si>
    <t>PRESTAÇÃO DE SERVIÇOS UFVs (PATROCINIO I) NF 2654</t>
  </si>
  <si>
    <t>PAGAMENTO REFERENTE A LIGAÇÃO SGD USINAS ENERGEA. SERVIÇO DE INSTALAÇÃO.</t>
  </si>
  <si>
    <t>[CCC07901]</t>
  </si>
  <si>
    <t xml:space="preserve">ATI - ENERGEA </t>
  </si>
  <si>
    <t>PRESTAÇÃO DE SERVIÇOS UFVs (PATROCINIO I) NF 264</t>
  </si>
  <si>
    <t>PAGAMENTO REFERENTE A LIGAÇÃO SGD USINAS ENERGEA. PROJETO DE INSTALAÇÃO (AS BUILT) INCLUINDO VISTORIA DA UFV.</t>
  </si>
  <si>
    <t>PRESTAÇÃO DE SERVIÇOS UFVs (PATROCINIO I) NF 267</t>
  </si>
  <si>
    <t>PAGAMENTO REFERENTE A LIGAÇÃO SGD USINAS ENERGEA. COMISSIONAMENTO REMOTO.</t>
  </si>
  <si>
    <t>PRESTAÇÃO DE SERVIÇOS UFVs (PATROCINIO I) NF 3563</t>
  </si>
  <si>
    <t>PAGAMENTO REFERENTE A LIGAÇÃO SGD USINAS ENERGEA. COMPRA DE MATERIAIS EQUIPAMENTOS ATI.</t>
  </si>
  <si>
    <t>PRESTAÇÃO DE SERVIÇOS UFVs (PATROCINIO I) NF 3564</t>
  </si>
  <si>
    <t>PAGAMENTO REFERENTE A LIGAÇÃO SGD USINAS ENERGEA. COMPRA DE MATERIAIS EQUIPAMENTOS DE TERCEIROS/MATERIAL DE INSTALAÇÃO.</t>
  </si>
  <si>
    <t>PRESTAÇÃO DE SERVIÇOS UFVs (PATROCINIO I) NF 270</t>
  </si>
  <si>
    <t>PAGAMENTO REFERENTE A LIGAÇÃO SGD USINAS ENERGEA. ATIVAÇÃO DO SGD EM NUVEM.</t>
  </si>
  <si>
    <t>PRESTAÇÃO DE SERVIÇOS UFVs (PATROCINIO 4 - JOVISSEMA) NF 2655</t>
  </si>
  <si>
    <t xml:space="preserve">PRESTAÇÃO DE SERVIÇOS UFVs (PATROCINIO 4 - JOVISSEMA) NF </t>
  </si>
  <si>
    <t>PRESTAÇÃO DE SERVIÇOS UFVs (PATROCINIO 4 - JOVISSEMA) NF 3565</t>
  </si>
  <si>
    <t>PRESTAÇÃO DE SERVIÇOS UFVs (PATROCINIO 4 - JOVISSEMA) NF 3566</t>
  </si>
  <si>
    <t>PRESTAÇÃO DE SERVIÇOS UFVs (PATROCINIO 5 - ESMERIL) NF 2656</t>
  </si>
  <si>
    <t>PRESTAÇÃO DE SERVIÇOS UFVs (PATROCINIO 5 - ESMERIL) NF 265</t>
  </si>
  <si>
    <t>PRESTAÇÃO DE SERVIÇOS UFVs (PATROCINIO 5 - ESMERIL) NF 268</t>
  </si>
  <si>
    <t>PRESTAÇÃO DE SERVIÇOS UFVs (PATROCINIO 5 - ESMERIL) NF 3567</t>
  </si>
  <si>
    <t>PRESTAÇÃO DE SERVIÇOS UFVs (PATROCINIO 5 - ESMERIL) NF 3568</t>
  </si>
  <si>
    <t>PRESTAÇÃO DE SERVIÇOS UFVs (PATROCINIO 5 - ESMERIL) NF 271</t>
  </si>
  <si>
    <t>PRESTAÇÃO DE SERVIÇOS UFVs (PEDRINOPOLIS) NF 2657</t>
  </si>
  <si>
    <t>PRESTAÇÃO DE SERVIÇOS UFVs (PEDRINOPOLIS) NF 266</t>
  </si>
  <si>
    <t>PRESTAÇÃO DE SERVIÇOS UFVs (PEDRINOPOLIS) NF 269</t>
  </si>
  <si>
    <t>PRESTAÇÃO DE SERVIÇOS UFVs (PEDRINOPOLIS) NF 3569</t>
  </si>
  <si>
    <t>PRESTAÇÃO DE SERVIÇOS UFVs (PEDRINOPOLIS) NF 3570</t>
  </si>
  <si>
    <t>PRESTAÇÃO DE SERVIÇOS UFVs (PEDRINOPOLIS) NF 272</t>
  </si>
  <si>
    <t>AR01- ENERGEA TRES PONTAS LTDA</t>
  </si>
  <si>
    <t>PRESTAÇÃO DE SERVIÇOS UFVs (TRES PONTAS 3 - CLAUDIO) NF 2658</t>
  </si>
  <si>
    <t xml:space="preserve">PRESTAÇÃO DE SERVIÇOS UFVs (TRES PONTAS 3 - CLAUDIO) NF </t>
  </si>
  <si>
    <t>PRESTAÇÃO DE SERVIÇOS UFVs (TRES PONTAS 3 - CLAUDIO) NF 3571</t>
  </si>
  <si>
    <t>PRESTAÇÃO DE SERVIÇOS UFVs (TRES PONTAS 3 - CLAUDIO) NF 3572</t>
  </si>
  <si>
    <t>PRESTAÇÃO DE SERVIÇOS UFVs (TRES PONTAS 4 - DIVINOPOLIS) NF 2659</t>
  </si>
  <si>
    <t xml:space="preserve">PRESTAÇÃO DE SERVIÇOS UFVs (TRES PONTAS 4 - DIVINOPOLIS) NF </t>
  </si>
  <si>
    <t>PRESTAÇÃO DE SERVIÇOS UFVs (TRES PONTAS 4 - DIVINOPOLIS) NF  3573</t>
  </si>
  <si>
    <t>PRESTAÇÃO DE SERVIÇOS UFVs (TRES PONTAS 4 - DIVINOPOLIS) NF 3574</t>
  </si>
  <si>
    <t>003444</t>
  </si>
  <si>
    <t>PRESTAÇÃO DE SERVIÇOS UFVs (CAMPO BELO 2) NF 274</t>
  </si>
  <si>
    <t>[CCC07902]</t>
  </si>
  <si>
    <t>005557</t>
  </si>
  <si>
    <t>PRESTAÇÃO DE SERVIÇOS UFVs (CAMPO BELO 5) NF 275</t>
  </si>
  <si>
    <t>005558</t>
  </si>
  <si>
    <t>PRESTAÇÃO DE SERVIÇOS UFVs (SANTO ANTONIO 1) NF 276</t>
  </si>
  <si>
    <t>003445</t>
  </si>
  <si>
    <t>PRESTAÇÃO DE SERVIÇOS UFVs (FORMIGA 6) NF 277</t>
  </si>
  <si>
    <t>PRESTAÇÃO DE SERVIÇOS UFVs (ALFENAS 4) NF 64</t>
  </si>
  <si>
    <t>[CCC07906]</t>
  </si>
  <si>
    <t>BM 2 PRAD</t>
  </si>
  <si>
    <t>004694</t>
  </si>
  <si>
    <t>PRESTAÇÃO DE SERVIÇOS UFVs (DIAMANTINA 1) NF 63</t>
  </si>
  <si>
    <t>004695</t>
  </si>
  <si>
    <t>PRESTAÇÃO DE SERVIÇOS UFVs (DIAMANTINA 2) NF 65</t>
  </si>
  <si>
    <t>004696</t>
  </si>
  <si>
    <t>PRESTAÇÃO DE SERVIÇO UFVs (DIAMANTINA 2) NF 112</t>
  </si>
  <si>
    <t>REVITALIZAÇÃO DO SISTEMA DE DRENAGEM DA UFV DIAMANTINA 2. ENVIADO POR GILSON.</t>
  </si>
  <si>
    <t>[CCC07907]</t>
  </si>
  <si>
    <t>BM 2                          07.02 '000000000000002</t>
  </si>
  <si>
    <t>005567</t>
  </si>
  <si>
    <t>PRESTAÇÃO DE SERVIÇO UFVs (CAMPO BELO 5) NF 114</t>
  </si>
  <si>
    <t>[CCC07908]</t>
  </si>
  <si>
    <t>BM 03                         07.02 '000000000000001</t>
  </si>
  <si>
    <t>005568</t>
  </si>
  <si>
    <t>PRESTAÇÃO DE SERVIÇO UFVs (TRES CORAÇÕES 3) NF 116</t>
  </si>
  <si>
    <t>[CCC07910]</t>
  </si>
  <si>
    <t>BM 3                         07.02 000000000000001</t>
  </si>
  <si>
    <t>005569</t>
  </si>
  <si>
    <t>PRESTAÇÃO DE SERVIÇO UFVs (SANTO ANTONIO 1) NF 1</t>
  </si>
  <si>
    <t>PRESTAÇÃO DE SERVIÇOS UFVs (ALFENAS 4) NF 117</t>
  </si>
  <si>
    <t>[CCC07911]</t>
  </si>
  <si>
    <t>MEDIÇÃO 3                  PEDIDO DE COMPRAS NORMAL</t>
  </si>
  <si>
    <t>PRESTAÇÃO DE SERVIÇOS UFVs (ALFENAS 4) NF 1864</t>
  </si>
  <si>
    <t>[CCC07914]</t>
  </si>
  <si>
    <t>PRESTAÇÃO DE SERVIÇOS UFVs (CAMPO BELO 2) NF 1864</t>
  </si>
  <si>
    <t>PRESTAÇÃO DE SERVIÇOS UFVs (ALFENAS 4) NF 727</t>
  </si>
  <si>
    <t>005574</t>
  </si>
  <si>
    <t>PRESTAÇÃO DE SERVIÇOS UFVs (CAMPO BELO 1) NF 1865</t>
  </si>
  <si>
    <t>PRESTAÇÃO DE SERVIÇOS UFVs (VARGINHA 1) NF 1865</t>
  </si>
  <si>
    <t>005575</t>
  </si>
  <si>
    <t>PRESTAÇÃO DE SERVIÇOS UFVs (CAMPO BELO 1) NF 728</t>
  </si>
  <si>
    <t>PRESTAÇÃO DE SERVIÇOS UFVs (CAMPO BELO 5) NF 728</t>
  </si>
  <si>
    <t>PRESTAÇÃO DE SERVIÇOS UFVs (VARGINHA 1) NF 728</t>
  </si>
  <si>
    <t>PRESTAÇÃO DE SEVIÇOS SCANSEC - UFV (FORMIGA 6)  N 2880</t>
  </si>
  <si>
    <t>Serviço necessário à disponibilização de internet, necessário a construção das UFVs. SUPORTE - Parcela 10 de 36. APROVADO POR MARCIO</t>
  </si>
  <si>
    <t>[CCC07915]</t>
  </si>
  <si>
    <t>PRESTAÇÃO DE SEVIÇOS SCANSEC - UFV (FORMIGA 6)  N 1463</t>
  </si>
  <si>
    <t>Serviço necessário à disponibilização de internet, necessário a construção das UFVs. LOCAÇÃO - Parcela 11 de 36. APROVADO POR MARCIO</t>
  </si>
  <si>
    <t>PRESTAÇÃO DE SERVIÇOS UFVs (FORMIGA 6 ) NF 222</t>
  </si>
  <si>
    <t>[CCC07917]</t>
  </si>
  <si>
    <t>005577</t>
  </si>
  <si>
    <t>PRESTAÇÃO DE SERVIÇOS UFVs (SANTO ANTONIO 1) NF 730</t>
  </si>
  <si>
    <t>[CCC07920]</t>
  </si>
  <si>
    <t>PRESTAÇÃO DE SERVIÇOS UFVs (CAMPO BELO 2) NF 731</t>
  </si>
  <si>
    <t>003461</t>
  </si>
  <si>
    <t>PRESTAÇÃO DE SERVIÇOS UFVs (ALFENAS 4) NF 77</t>
  </si>
  <si>
    <t>[CCC07924]</t>
  </si>
  <si>
    <t>BM 3 PRAD</t>
  </si>
  <si>
    <t>004702</t>
  </si>
  <si>
    <t>PRESTAÇÃO DE SERVIÇOS UFVs (DIAMANTINA 1) NF 78</t>
  </si>
  <si>
    <t>PRESTAÇÃO DE SERVIÇOS UFVs (DIAMANTINA 2) NF 79</t>
  </si>
  <si>
    <t xml:space="preserve">WEG PRESTAÇÃO DE SERVIÇOS UFVs ( GUARDA MOR) </t>
  </si>
  <si>
    <t>WEG PRESTAÇÃO DE SERVIÇOS UFVs ( Indaiabira 1)</t>
  </si>
  <si>
    <t>WEG PRESTAÇÃO DE SERVIÇOS UFVs ( Indaiabira 2)</t>
  </si>
  <si>
    <t>WEG PRESTAÇÃO DE SERVIÇOS UFVs ( Campo Belo 4)</t>
  </si>
  <si>
    <t>WEG PRESTAÇÃO DE SERVIÇOS UFVs ( Cássia 2)</t>
  </si>
  <si>
    <t>PRESTAÇÃO DE SERVIÇOS UFVs (DIAMANTINA 1) ENGETELA NF 2646</t>
  </si>
  <si>
    <t>PAGAMENTO REFERENTE A PRESTAÇÃO DE SERVIÇOS NA UFV DIAMANTINA 1. APROVADO POR GILSON.</t>
  </si>
  <si>
    <t>[CCC07932]</t>
  </si>
  <si>
    <t>005585</t>
  </si>
  <si>
    <t>PRESTAÇÃO DE SERVIÇOS UFVs (SANTO ANTONIO AO AMPARO 1) NF 733</t>
  </si>
  <si>
    <t>PAGAMENTO ADITIVO DE CONTRATO TROCA DE TECNOLOGIA PROTEÇÃO PERIMETRAL PARA FIBRA OPTICA.</t>
  </si>
  <si>
    <t>[CCC07935]</t>
  </si>
  <si>
    <t>005587</t>
  </si>
  <si>
    <t>PRESTAÇÃO DE SERVIÇOS UFVs (SANTO ANTONIO AO AMPARO 1) NF 1834</t>
  </si>
  <si>
    <t>PAGAMENTO DE TROCA DE TECNOLOGIA DE PROTEÇÃO PERIMETRAL PARA FIBRA OPTICA.</t>
  </si>
  <si>
    <t>[CCC07942]</t>
  </si>
  <si>
    <t>005588</t>
  </si>
  <si>
    <t>PRESTAÇÃO DE SERVIÇOS UFVs (CAMPO BELO 5) NF 732</t>
  </si>
  <si>
    <t>[CCC07943]</t>
  </si>
  <si>
    <t>005590</t>
  </si>
  <si>
    <t>SERVIDÃO - INDENIZAÇÃO - ESTEVÃO LOPES</t>
  </si>
  <si>
    <t>PAGAMENTO SERVIDÃO VIA INDENIZAÇÃO - ENVIADO POR FELIPE FUNDIARIO. PARCELA 1/60.</t>
  </si>
  <si>
    <t>[CCC07945]</t>
  </si>
  <si>
    <t>005610</t>
  </si>
  <si>
    <t>PRESTAÇÃO DE SERVIÇOS UFVs (CAMPO BELO 5) NF 91</t>
  </si>
  <si>
    <t>PAGAMENTO MEDIÇÃO FINAL DE SERVIÇOS DE EXECUÇÃO DE MEDIDAS DE RECUPAERAÇÃO AMBIENTAL. APROVADO POR TIAGO BERTASO</t>
  </si>
  <si>
    <t>[CCC07947]</t>
  </si>
  <si>
    <t>005611</t>
  </si>
  <si>
    <t>PRESTAÇÃO DE SERVIÇOS UFVs (SANTO ANTONIO 1) NF 92</t>
  </si>
  <si>
    <t>005612</t>
  </si>
  <si>
    <t>PRESTAÇÃO DE SERVIÇOS UFVs (TRES CORAÇÕES 3) NF 93</t>
  </si>
  <si>
    <t>005614</t>
  </si>
  <si>
    <t>PAGAMENTO REFERENTE A EXECUÇÃO E REPAROS DE VÁRIAS CAIXAS DANIFICADAS, TAMPAS DO TIPO DE CONCRETO DO TIPO PADRÃO CEMIG E INSTALAÇÃO DE CAIXAS DE INSPEÇÃO DE FIBRA.</t>
  </si>
  <si>
    <t>[CCC07949]</t>
  </si>
  <si>
    <t>003478</t>
  </si>
  <si>
    <t>PRESTAÇÃO DE SEVIÇOS  UFV (FORMIGA 6)  NF 4634</t>
  </si>
  <si>
    <t>Pagamento referente a Prestação de serviço de montagem e instalação elétrica de redes de distribuição de energia rural e urbana</t>
  </si>
  <si>
    <t>[CCC07952]</t>
  </si>
  <si>
    <t>005616</t>
  </si>
  <si>
    <t xml:space="preserve">PRESTAÇÃO DE SERVIÇOS UFVs (CAMPO BELO 1) NF </t>
  </si>
  <si>
    <t>PAGAMENTO REFERENTE A INSTALAÇÕES DE MOURÕES DE CONCRETO, COLOCAÇÃO DE TAMPAS DE CONCRETO 60X60 CM E TAMPA REDONDA DE DIÂMETRO DE 1M. REMOÇÃO DE ENTULHOS PARA BOTA FORA LICENCIADO. ACEIRAMENTO EM  PARTE DO PERÍMETRO DE CERCAMENTO. PROTEÇÃO DE ESTACA DO TRACKER.</t>
  </si>
  <si>
    <t>005617</t>
  </si>
  <si>
    <t>PAGAMENTO REFERENTE A INSTALAÇÃO DE CAIXAS DE INSPEÇÃO DE ATERRAMENTO E INSTALAÇÃO DE CAIXAS CC GRANDES.</t>
  </si>
  <si>
    <t>[CCC07955]</t>
  </si>
  <si>
    <t>005618</t>
  </si>
  <si>
    <t>PRESTAÇÃO DE SERVIÇOS UFVs (SANTO ANTONIO 1) NF 338</t>
  </si>
  <si>
    <t>PRESTAÇÃO DE SERVIÇOS UFVs (CAMPO BELO 2) NF 334</t>
  </si>
  <si>
    <t>005621</t>
  </si>
  <si>
    <t>PRESTAÇÃO DE SERVIÇOS UFVs (CAMPO BELO 5) NF 335</t>
  </si>
  <si>
    <t>003483</t>
  </si>
  <si>
    <t>PRESTAÇÃO DE SEVIÇOS SCANSEC - UFV (FORMIGA 6)  NF 3047</t>
  </si>
  <si>
    <t>Serviço necessário à disponibilização de internet, necessário a construção das UFVs. SUPORTE - Parcela 11 de 36. APROVADO POR MARCIO</t>
  </si>
  <si>
    <t>[CCC07956]</t>
  </si>
  <si>
    <t>003484</t>
  </si>
  <si>
    <t>PRESTAÇÃO DE SEVIÇOS SCANSEC - UFV (FORMIGA 6)  N 1594</t>
  </si>
  <si>
    <t>Serviço necessário à disponibilização de internet, necessário a construção das UFVs. LOCAÇÃO - Parcela 12 de 36. APROVADO POR MARCIO</t>
  </si>
  <si>
    <t>PRESTAÇÃO DE SERVIÇOS UFVs (FORMIGA 6 ) NF 261</t>
  </si>
  <si>
    <t>[CCC07957]</t>
  </si>
  <si>
    <t>PRESTAÇÃO DE SERVIÇO UFVs (DIAMANTINA 2) NF 5</t>
  </si>
  <si>
    <t>REVITALIZAÇÃO DO SISTEMA DE DRENAGEM DA UFV DIAMANTINA 2</t>
  </si>
  <si>
    <t>[CCC07960]</t>
  </si>
  <si>
    <t>BM 3                                              07.02 '000000000000002</t>
  </si>
  <si>
    <t>005624</t>
  </si>
  <si>
    <t>PRESTAÇÃO DE SERVIÇOS UFVs (CAMPO BELO 5) NF 4</t>
  </si>
  <si>
    <t>REVITALIZAÇÃO DO SISTEMA DE DRENAGEM DA UFV CAMPO BELO 5</t>
  </si>
  <si>
    <t>BM 04                                         07.02 '000000000000001</t>
  </si>
  <si>
    <t>PRESTAÇÃO DE SEVIÇOS  UFV (FORMIGA 6)  NF 4684</t>
  </si>
  <si>
    <t>[CCC07961]</t>
  </si>
  <si>
    <t>005625</t>
  </si>
  <si>
    <t>PRESTAÇÃO DE SERVIÇOS UFVs (ARCOS 7) NF 31</t>
  </si>
  <si>
    <t>PAGAMENTO REFERENTE AO CONTRATO D0  ADIANTAMENTO DE LAUDO SPDA.</t>
  </si>
  <si>
    <t>[CCC07962]</t>
  </si>
  <si>
    <t>BM 1</t>
  </si>
  <si>
    <t>005954</t>
  </si>
  <si>
    <t>PRESTAÇÃO DE SERVIÇOS UFVs (DIVINOPOLIS 1) NF 32</t>
  </si>
  <si>
    <t>005955</t>
  </si>
  <si>
    <t>PRESTAÇÃO DE SERVIÇOS UFVs (DIVINOPOLIS 2) NF 33</t>
  </si>
  <si>
    <t>005956</t>
  </si>
  <si>
    <t>PRESTAÇÃO DE SERVIÇOS UFVs (DIVINOPOLIS 3) NF 35</t>
  </si>
  <si>
    <t>005957</t>
  </si>
  <si>
    <t>PRESTAÇÃO DE SERVIÇOS UFVs (PAINS 3) NF 36</t>
  </si>
  <si>
    <t>005974</t>
  </si>
  <si>
    <t>PRESTAÇÃO DE SERVIÇOS UFVs (PEDRA DO INDAIA 1) NF 37</t>
  </si>
  <si>
    <t>BM 1 - PEDIDO 005959 EXCLUIDO DO SISTEMA E FOI GERADO OUTRO EM SEU LUGAR COM AS MESMAS INFORMAÇÕES.</t>
  </si>
  <si>
    <t>005960</t>
  </si>
  <si>
    <t>PRESTAÇÃO DE SERVIÇOS UFVs (PEDRA DO INDAIA 3) NF 38</t>
  </si>
  <si>
    <t>005961</t>
  </si>
  <si>
    <t>PRESTAÇÃO DE SERVIÇOS UFVs (PEDRA DO INDAIA 5) NF 39</t>
  </si>
  <si>
    <t>005962</t>
  </si>
  <si>
    <t>PRESTAÇÃO DE SERVIÇOS UFVs (SÃO SEBASTIÃO 0) NF 40</t>
  </si>
  <si>
    <t>005626</t>
  </si>
  <si>
    <t>PRESTAÇÃO DE SERVIÇOS UFVs (SÃO SEBASTIÃO 4) NF 41</t>
  </si>
  <si>
    <t>005963</t>
  </si>
  <si>
    <t>PRESTAÇÃO DE SERVIÇOS UFVs (SÃO SEBASTIÃO 6) NF 42</t>
  </si>
  <si>
    <t>005966</t>
  </si>
  <si>
    <t>PRESTAÇÃO DE SERVIÇOS UFVs (JABOTICATUBAS) NF 43</t>
  </si>
  <si>
    <t>PRESTAÇÃO DE SERVIÇOS UFVs (FORMIGA 6) NF 44</t>
  </si>
  <si>
    <t>PRESTAÇÃO DE SERVIÇOS UFVs (ALFENAS 4) NF 45</t>
  </si>
  <si>
    <t>005627</t>
  </si>
  <si>
    <t>PRESTAÇÃO DE SERVIÇOS UFVs (CAMPO BELO 1) NF 46</t>
  </si>
  <si>
    <t>PRESTAÇÃO DE SERVIÇOS UFVs (CAMPO BELO 2) NF 47</t>
  </si>
  <si>
    <t>005628</t>
  </si>
  <si>
    <t>PRESTAÇÃO DE SERVIÇOS UFVs (CAMPO BELO 5) NF 48</t>
  </si>
  <si>
    <t>005629</t>
  </si>
  <si>
    <t>PRESTAÇÃO DE SERVIÇOS UFVs (MUZAMBINHO 1) NF 49</t>
  </si>
  <si>
    <t>005630</t>
  </si>
  <si>
    <t>PRESTAÇÃO DE SERVIÇOS UFVs (OURO FINO 2) NF 50</t>
  </si>
  <si>
    <t>005632</t>
  </si>
  <si>
    <t>PRESTAÇÃO DE SERVIÇOS UFVs (PARAGUAÇU 1) NF 51</t>
  </si>
  <si>
    <t>005633</t>
  </si>
  <si>
    <t>PRESTAÇÃO DE SERVIÇOS UFVs (SANTO ANTONIO 1) NF 52</t>
  </si>
  <si>
    <t>005634</t>
  </si>
  <si>
    <t>PRESTAÇÃO DE SERVIÇOS UFVs (TRES CORAÇÕES 3) NF 53</t>
  </si>
  <si>
    <t>005631</t>
  </si>
  <si>
    <t>PRESTAÇÃO DE SERVIÇOS UFVs (VARGINHA 1) NF 54</t>
  </si>
  <si>
    <t>PRESTAÇÃO DE SERVIÇOS UFVs (VARGINHA 2) NF 55</t>
  </si>
  <si>
    <t>005635</t>
  </si>
  <si>
    <t>PRESTAÇÃO DE SERVIÇOS UFVs (VARGINHA 5) NF 56</t>
  </si>
  <si>
    <t>PRESTAÇÃO DE SERVIÇOS UFVs (PASSOS 4) NF 57</t>
  </si>
  <si>
    <t>PRESTAÇÃO DE SERVIÇOS UFVs (DIAMANTINA 1) NF 58</t>
  </si>
  <si>
    <t>PRESTAÇÃO DE SERVIÇOS UFVs (DIAMANTINA 2) NF 59</t>
  </si>
  <si>
    <t>005969</t>
  </si>
  <si>
    <t>PRESTAÇÃO DE SERVIÇOS UFVs (INDAIABIRA 3) NF 60</t>
  </si>
  <si>
    <t>005970</t>
  </si>
  <si>
    <t>PRESTAÇÃO DE SERVIÇOS UFVs (INDAIABIRA 4) NF 61</t>
  </si>
  <si>
    <t>005968</t>
  </si>
  <si>
    <t>PRESTAÇÃO DE SERVIÇOS UFVs (BURITIZEIRO 1) NF 62</t>
  </si>
  <si>
    <t>005967</t>
  </si>
  <si>
    <t>PRESTAÇÃO DE SERVIÇOS UFVs (BURITIZEIRO 2) NF 63</t>
  </si>
  <si>
    <t>PRESTAÇÃO DE SERVIÇOS UFVs (LAGOA FORMOSA) NF 64</t>
  </si>
  <si>
    <t>005965</t>
  </si>
  <si>
    <t>PRESTAÇÃO DE SERVIÇOS UFVs (PARACATU 4) NF 65</t>
  </si>
  <si>
    <t>005964</t>
  </si>
  <si>
    <t>PRESTAÇÃO DE SERVIÇOS UFVs ( PARACATU 5) NF 66</t>
  </si>
  <si>
    <t>PRESTAÇÃO DE SERVIÇOS UFVs ( PATOS DE MINAS 1) NF 67</t>
  </si>
  <si>
    <t>PRESTAÇÃO DE SERVIÇOS UFVs ( PATOS DE MINAS 3) NF 68</t>
  </si>
  <si>
    <t>PRESTAÇÃO DE SERVIÇOS UFVs (PATROCIONIO 2) NF 69</t>
  </si>
  <si>
    <t>004733</t>
  </si>
  <si>
    <t>PRESTAÇÃO DE SERVIÇOS UFVs (PATROCINIO 3) NF 70</t>
  </si>
  <si>
    <t>PRESTAÇÃO DE SERVIÇOS UFVs (VARJÃO DE MINAS 4 ) NF 71</t>
  </si>
  <si>
    <t xml:space="preserve">PRESTAÇÃO DE SERVIÇOS UFVs (FORMIGA 6) NF </t>
  </si>
  <si>
    <t>PAGAMENTO REFERENTE A APOIO TÉCNICO MONTAGEM TCS E TPS EM CABINE DE MEDIÇÄO EM UFV FORMIGA 6</t>
  </si>
  <si>
    <t>[CCC07963]</t>
  </si>
  <si>
    <t>005640</t>
  </si>
  <si>
    <t>PRESTAÇÃO DE SERVIÇO UFVs (SANTO ANTONIO 1) NF 6</t>
  </si>
  <si>
    <t>[CCC07970]</t>
  </si>
  <si>
    <t>BM 4                         07.02 000000000000001</t>
  </si>
  <si>
    <t>005641</t>
  </si>
  <si>
    <t>PRESTAÇÃO DE SERVIÇO UFVs (TRES CORAÇÕES 3) NF 7</t>
  </si>
  <si>
    <t>005664</t>
  </si>
  <si>
    <t>SOLUCAO AGRIMENSURA LTDA</t>
  </si>
  <si>
    <t>PRESTAÇÃO DE SERVIÇO UFVs (CAMPO BELO 5) NF 2</t>
  </si>
  <si>
    <t>PAGAMENTO REFERENTE A LEVANTAMENTO TOPOGRAFICO AS BUILTS UFV CAMPO BELO 5. ENVIADO POR GILSON.</t>
  </si>
  <si>
    <t>[CCC07973]</t>
  </si>
  <si>
    <t>ROMA SOLICITOU QUE DEIXASSE A NATUREZA EM AMARELO, POIS ELE VAI DECIDIR O QUE COLOCAR</t>
  </si>
  <si>
    <t>SRJ PROTECAO ELETRICA LTDA</t>
  </si>
  <si>
    <t>PRESTAÇÃO DE SERVIÇO UFVs (FORMIGA 6) NF 1</t>
  </si>
  <si>
    <t>PAGAMENTO REFERENTE A PARAMETRIZAÇÃO E TESTES NAS 3 PROTEÇÕES SIEMENS 7SR1004, TESTES DE COMISSIONAMENTO DA PROTEÇÃO E CONTROLE NOS 3 ELETROCENTROS E MEDIÇÃO DE SEQUÊNCIA DE FASE, MÓDULO E ÂNGULO NA ENERGIZAÇÃO DA UFV.</t>
  </si>
  <si>
    <t>[CCC07974]</t>
  </si>
  <si>
    <t>ROMANEI SOLICITOU PARA QUE DEIXASSE A NATUREZA EM BRANCO</t>
  </si>
  <si>
    <t>005648</t>
  </si>
  <si>
    <t>PRESTAÇÃO DE SERVIÇO UFVs (TRES CORAÇÕES 3) NF 676120</t>
  </si>
  <si>
    <t>PAGAMENTO REFERENTE A MATERIAS, CABO, TERMINAL E PARAFUSO. NF ENVIADO POR ANDRESSA E PEDIDO FEITO PELA CAROLINE TRALDI</t>
  </si>
  <si>
    <t>[CCC07975]</t>
  </si>
  <si>
    <t>PRESTAÇÃO DE SERVIÇOS UFVs (FORMIGA 6) NF 27</t>
  </si>
  <si>
    <t>[CCC07981]</t>
  </si>
  <si>
    <t>PRESTAÇÃO DE SERVIÇOS UFVs (FORMIGA 6) NF 362122</t>
  </si>
  <si>
    <t>Serviço necessário à disponibilização de internet, necessário a construção das UFVs . APROVADO POR ROBSON.</t>
  </si>
  <si>
    <t>[CCC07983]</t>
  </si>
  <si>
    <t>005674</t>
  </si>
  <si>
    <t>SERVIDÃO / INDENIZAÇÃO</t>
  </si>
  <si>
    <t>SERVIDÃO - INDENIZAÇÃO - EDUARDO BARBOSA FIALHO</t>
  </si>
  <si>
    <t>PAGAMENTO SERVIDÃO VIA INDENIZAÇÃO - ENVIADO POR FELIPE FUNDIARIO.</t>
  </si>
  <si>
    <t>[CCC07993]</t>
  </si>
  <si>
    <t>Alterações :
29/08/2024</t>
  </si>
  <si>
    <t>Data</t>
  </si>
  <si>
    <t>Observações</t>
  </si>
  <si>
    <t>Alterado valor que estava em estimado (Era estimado em 800.000). Aguardando  contrato</t>
  </si>
  <si>
    <t xml:space="preserve">Varias </t>
  </si>
  <si>
    <t>Adicionado aditivo de contrato sobressalentes da Weg varias usinas. R$2.906.636,06</t>
  </si>
  <si>
    <t>Adicionado contrato base de contaiers da GR ENGENHARIA Frei Ino, Indaiabira 1 e 2</t>
  </si>
  <si>
    <t>Adicionado contrato base de contaiers da AP Engecon Campo Belo 3 &amp; 4  e São Sebastião 1 &amp; 3</t>
  </si>
  <si>
    <t>Adicionado contrato base de contaiers da MIPE Bambui e Cassia</t>
  </si>
  <si>
    <t>Adicionado contrato base de contaiers da R&amp;M Solar Varias</t>
  </si>
  <si>
    <t>Patrocinio 2</t>
  </si>
  <si>
    <t>Tirado de Escopo Comerc e adicionado a Construção - Serviços de Construção</t>
  </si>
  <si>
    <t>Patrocinio 3</t>
  </si>
  <si>
    <t>Santo Antônio do Amparo 1</t>
  </si>
  <si>
    <t>Aditivo regularição da Drenagem</t>
  </si>
  <si>
    <t xml:space="preserve">Paracatu 4 </t>
  </si>
  <si>
    <t>Aditivo de Paracatu 4 adversidades apresentadas em projeto.</t>
  </si>
  <si>
    <t>Contrato para acerto escopo fornecimento da Rima sem custo</t>
  </si>
  <si>
    <t>Complemento contrato Drenagem.</t>
  </si>
  <si>
    <t>Licenciamento Ambiental Ria Planejado + Supressão e Limpeza de Faixa</t>
  </si>
  <si>
    <t>Somente ajudar Lucas.. Varias Usinas GLD já tinha cido adicionado mes fevereiro. Acerto contrato EPC</t>
  </si>
  <si>
    <t>Diamantinas</t>
  </si>
  <si>
    <t>Alteração de Conogramas Implantar nas Diamantinas 1 e 2 sem aumento de custos - 4 Aditivo</t>
  </si>
  <si>
    <t>Aditivivo de contrato.</t>
  </si>
  <si>
    <t>NEWCO V</t>
  </si>
  <si>
    <t>Regularização Valor de passagem de fibras (material + serviços)</t>
  </si>
  <si>
    <t>Acertado Valor do contrato que estava digitado errado. Houve redução no total(R$ 16.177.139,07)</t>
  </si>
  <si>
    <t>NEWCO IV</t>
  </si>
  <si>
    <t>MORI 2</t>
  </si>
  <si>
    <t>EDN 2</t>
  </si>
  <si>
    <t>Aditivo 1, prestação de serviços na UFV Diamantina 1.</t>
  </si>
  <si>
    <t>Aditivo 2, prestação de serviços  na UFV Muzabinho.</t>
  </si>
  <si>
    <t>Linha Viva Campo Belo 5</t>
  </si>
  <si>
    <t>Orci - UnitárioTotalCOMPLEMENTO DRENAGEM - DIAMANTINA I</t>
  </si>
  <si>
    <t xml:space="preserve"> Drenagem UFV Pains 03 - Canaleta meia Cana</t>
  </si>
  <si>
    <t>Serviço referente drenagem de solo UFV São Sebastião</t>
  </si>
  <si>
    <t>Linha Viva Campo Belo 2</t>
  </si>
  <si>
    <t>Realocação dos postes 13, 14 e 15 atender embargo do proprietário.</t>
  </si>
  <si>
    <t>Execução de infra subterrânea para sistema de CFTV.</t>
  </si>
  <si>
    <t>Sobressalentes do contrato Weg</t>
  </si>
  <si>
    <t>Contrato de complemento feito com a Orci.</t>
  </si>
  <si>
    <t>Aumento Escavação, carga e transporte.</t>
  </si>
  <si>
    <t>Previsão Estimado aditivos Obras MT</t>
  </si>
  <si>
    <t>Aditivo de Paracatu 4 Concretagem.</t>
  </si>
  <si>
    <t>Aditivo de Paracatu 5 Concretagem.</t>
  </si>
  <si>
    <t>Substituição GLD</t>
  </si>
  <si>
    <t>Finalizaçãp e acerto de drenagem.</t>
  </si>
  <si>
    <t>São referentes a limpeza de bacias, além da manutenção da drenagem</t>
  </si>
  <si>
    <t>Muzambinho 1 / Ouro Fino /3 Corações</t>
  </si>
  <si>
    <t>​250.600,26</t>
  </si>
  <si>
    <t>Construção Offices Abandonados EPC GLD</t>
  </si>
  <si>
    <t>Correção Erosões</t>
  </si>
  <si>
    <t>Estimado Engenharia</t>
  </si>
  <si>
    <t>Insumos energização</t>
  </si>
  <si>
    <t>1830.62</t>
  </si>
  <si>
    <t>Instalação TPs e TCs</t>
  </si>
  <si>
    <t>Feito</t>
  </si>
  <si>
    <t>Cercamento Bacia de Contenção - Engetela</t>
  </si>
  <si>
    <t>Limpeza geral da usina</t>
  </si>
  <si>
    <t>Finalização do quadro serviços auxiliares</t>
  </si>
  <si>
    <t>Estimado para execução de limpeza/desassoreamento de córrego nas proximidades de UFV JABOTICATUBAS / Cercamento Engetela</t>
  </si>
  <si>
    <t>Compra 02 cadeiras que foram quebradas durante implantação</t>
  </si>
  <si>
    <t xml:space="preserve">Finalização de pendências - RM Solar </t>
  </si>
  <si>
    <t>Virou contrato  e já salvo na pasta.</t>
  </si>
  <si>
    <t>Cercamento Bacia de Contenção</t>
  </si>
  <si>
    <t>Lançamento cabos comunicação inversores</t>
  </si>
  <si>
    <t>10 caixas danificadas pela roçagem</t>
  </si>
  <si>
    <t>Prontuário de instalações elétricas</t>
  </si>
  <si>
    <t>Corte madeiras da supressão vegetal</t>
  </si>
  <si>
    <t>Patos de Minas 01</t>
  </si>
  <si>
    <t>Desobstrução Eletrodutos CFTV</t>
  </si>
  <si>
    <t>Recuperação Via Drenagem com Trincas</t>
  </si>
  <si>
    <t>Patos de Minas 03</t>
  </si>
  <si>
    <t>Adequação Drenagem</t>
  </si>
  <si>
    <t>Já Virou contrato</t>
  </si>
  <si>
    <t>Troca Poste Danificado</t>
  </si>
  <si>
    <t>Patos de Minas 04</t>
  </si>
  <si>
    <t>Canaleta de Drenagem -  RM Solar</t>
  </si>
  <si>
    <t>Recomposição Valas CFTV e Pendências Civis</t>
  </si>
  <si>
    <t>Cortes eucaliptos fora da área arrendada</t>
  </si>
  <si>
    <t>Compra espuma expansiva</t>
  </si>
  <si>
    <t>Patos de Minas 07</t>
  </si>
  <si>
    <t>Lançamento Cabo Comunicação Communication Box</t>
  </si>
  <si>
    <t>Patos de Minas 08</t>
  </si>
  <si>
    <t>Patrocínio 02</t>
  </si>
  <si>
    <t>Aquisição Itens Adequação Aterramento Inversores</t>
  </si>
  <si>
    <t>Patrocínio 03</t>
  </si>
  <si>
    <t>Aquisição Equipamentos Solarimétrica</t>
  </si>
  <si>
    <t>Escopo COMERC Contratado (9993,78)</t>
  </si>
  <si>
    <t>Varjão de Minas 04</t>
  </si>
  <si>
    <t>Recuperação Dispositivo Drenagem</t>
  </si>
  <si>
    <t>Recuperação Talude Erodido</t>
  </si>
  <si>
    <t>Corte 03 árvores</t>
  </si>
  <si>
    <t xml:space="preserve">Bacia de contenção </t>
  </si>
  <si>
    <t>Cercamento de bacia de contenção</t>
  </si>
  <si>
    <t>Identificação de trackers</t>
  </si>
  <si>
    <t>Reparo de disjuntores da planta</t>
  </si>
  <si>
    <t xml:space="preserve">Dessasoreamento da lagoa vizinha e bacia de contenção </t>
  </si>
  <si>
    <t>Dessasoreamento da lagoa vizinha (MAR E AR SERVIÇOS)</t>
  </si>
  <si>
    <t>Aluguel de caminhão para dessasoreamento</t>
  </si>
  <si>
    <t>Cercamento de bacias de contenção</t>
  </si>
  <si>
    <t>Adequação de infra e limpeza de caixas de passagem para CFTV</t>
  </si>
  <si>
    <t>Identificação geral da planta</t>
  </si>
  <si>
    <t>PRAD - Sobra do Contrato assinado</t>
  </si>
  <si>
    <t>Excecução de punch list geral (cercamento, tracker, office)</t>
  </si>
  <si>
    <t>Limpeza fina da obra</t>
  </si>
  <si>
    <t>Roçagem da planta</t>
  </si>
  <si>
    <t>Pedra do indaiá 1</t>
  </si>
  <si>
    <t>Retoque civil</t>
  </si>
  <si>
    <t>Limpeza final</t>
  </si>
  <si>
    <t>Subsituição de travessia de drenagem (problema projeto Enersolar/LM)</t>
  </si>
  <si>
    <t>Pedra do indaiá 3</t>
  </si>
  <si>
    <t>Limpeza final e desmobilização de fossa</t>
  </si>
  <si>
    <t>Pedra do indaiá 5</t>
  </si>
  <si>
    <t>Reparo da estação solarimétrica</t>
  </si>
  <si>
    <t>Aterramento/SPDA do office</t>
  </si>
  <si>
    <t>Última medição Nova Morada (construção do office)</t>
  </si>
  <si>
    <t>Identificação das mesas</t>
  </si>
  <si>
    <t>Punch list de montagem</t>
  </si>
  <si>
    <t>Fornecimento de material civil para construção do office</t>
  </si>
  <si>
    <t>Fornecimento de material elétrico para construção do office</t>
  </si>
  <si>
    <t>Correção de pequenas erosões</t>
  </si>
  <si>
    <t>Adequação de cercamento do terreno do proprietário</t>
  </si>
  <si>
    <t>Valor previsto da execução do projeto ofertado pela Baldoni. Execução do serviço (em análise da LM, valor previsto na REV00 era de R$400.000,00).</t>
  </si>
  <si>
    <t>Sistemas de Monitoramento - CFTV - Escopo COMERC</t>
  </si>
  <si>
    <t>Refazimento de trecho do CFTV, valor estimado.</t>
  </si>
  <si>
    <t>Ja realizado e Fica em Escopo Comerc</t>
  </si>
  <si>
    <t>Valor previsto da execução do projeto ofertado pela Baldoni.Execução do serviço (em análise da LM, valor previsto na REV00 era de R$400.000,00).</t>
  </si>
  <si>
    <t>Refazimento de trecho do CFTV, valor estimado</t>
  </si>
  <si>
    <t>Acesso externo na usina .Acesso da usina hoje é transitável, mas as chuvas poderão dificultar o acesso, valor estimado.</t>
  </si>
  <si>
    <t>Desenvolvimento de projeto - Outros</t>
  </si>
  <si>
    <t>Confecção das identificações dos inversores, valor estimado.</t>
  </si>
  <si>
    <t>Confecção das identificações das combiners, valor estimado.</t>
  </si>
  <si>
    <t>Limpeza final de obra, valor estimado.</t>
  </si>
  <si>
    <t>Considerando mais 2 meses, valor estimado. Segurança</t>
  </si>
  <si>
    <t>Adquirir espumas expansivas para vedações de dutos, valor estimado.</t>
  </si>
  <si>
    <t>Fechamento do cercamento, valor base orçado.</t>
  </si>
  <si>
    <t>Pagamento para RONDA de notas que a GLD não enviou (notas que devem entrar no processo contra a GLD).</t>
  </si>
  <si>
    <t>Correção e melhorias na drenagem de Campo Belo 5, ainda a serem definidas. Valor estimado.</t>
  </si>
  <si>
    <t>Valor previsto, há a necessidade de drenagem complementar para evitar maiores danos.Há a necessidade de drenagem complementar para evitar maiores danos, valor previsto na REV00 de R$200.000,00.</t>
  </si>
  <si>
    <t>Considerando mais 2 meses, valor estimado.</t>
  </si>
  <si>
    <t xml:space="preserve">Cercamento das bacias internas de contenção, valor estimado. </t>
  </si>
  <si>
    <t>Cercamento feito em área rochosa caiu com as chuvas, valor estimado.</t>
  </si>
  <si>
    <t>Pleito apresentado pela MIPE em relação a atraso de projeto para execução.</t>
  </si>
  <si>
    <t>Considerando mais 3 meses, valor estimado.</t>
  </si>
  <si>
    <t xml:space="preserve">Limpeza final de obra, desmobilização da GLD. Esperando ordem de serviço e nota fiscal. </t>
  </si>
  <si>
    <t xml:space="preserve">Refazimento de trecho do CFTV, já executado, esperando ordem de serviço e nota fiscal. </t>
  </si>
  <si>
    <t>GLD não fez o aterramento adequado das carcaças dos inversores, valor estimado.</t>
  </si>
  <si>
    <t>Finalização da elétrica do office, empresa ainda pendente de contratação (orçamento sai essa semana)</t>
  </si>
  <si>
    <t>Pleito de remobilização para finalização do cercamento, valor estimado</t>
  </si>
  <si>
    <t xml:space="preserve">Desassoreamento da barragem e ajustes na drenagem definitiva da usina </t>
  </si>
  <si>
    <t>Ja e contrato firmado</t>
  </si>
  <si>
    <t>Houve uma incompatibilidade do projeto de drenagem com as escadas, em que elas ficaram suspensas. A sugestão é fazer uma coluna de sustentação da laje final da escada até o chão da bacia. Valor estimado.</t>
  </si>
  <si>
    <t>Arruelas de aterramento, orçado em 1.346,31 dólares.</t>
  </si>
  <si>
    <t xml:space="preserve">Material para elétrica do office, valor estimado. </t>
  </si>
  <si>
    <t>Material de responsabilidade COMERC, valor estimado.</t>
  </si>
  <si>
    <t xml:space="preserve">Cercamento das bacias de contenção externas </t>
  </si>
  <si>
    <t>Material para término do office</t>
  </si>
  <si>
    <t xml:space="preserve">Pagamento para Ronda </t>
  </si>
  <si>
    <t>Peças para estruturas das combiners box</t>
  </si>
  <si>
    <t>Pagamento de segurança patrimonial até conexão</t>
  </si>
  <si>
    <t>Material Arctech</t>
  </si>
  <si>
    <t>Elétrica do office</t>
  </si>
  <si>
    <t>Material para término do cercamento</t>
  </si>
  <si>
    <t>Limpeza das bacias, recomposição dos taludes e limpeza de canaletas de drenagem</t>
  </si>
  <si>
    <t>Pleito de remobilização para finalização do office e adição de escopo (elétrica), valor estimado.Pleito de remobilização para finalização do office e adição de escopo (elétrica), valor estimado na REV00 de R$30.000,00.</t>
  </si>
  <si>
    <t>TAGs para inversores</t>
  </si>
  <si>
    <t>TAGs para combiners</t>
  </si>
  <si>
    <t>Concretagem das estacas faltantes</t>
  </si>
  <si>
    <t>Quebra das caixas de passagens de drenagem e infra para fibra</t>
  </si>
  <si>
    <t>Segurança Adicional para obras de MT durante 3 meses</t>
  </si>
  <si>
    <t>Aditivo em negociação alteração horas Cftv</t>
  </si>
  <si>
    <t>Pleito de Concretagem de estacas e impacto do atraso terraplenagem, valor estimado fornecedor Implantar.. Abertura enviado senhor Manoel</t>
  </si>
  <si>
    <t xml:space="preserve">Obras de MT </t>
  </si>
  <si>
    <t>Ja virou Contrato</t>
  </si>
  <si>
    <t>São Sebastião 0.1;0.2 e 0.3</t>
  </si>
  <si>
    <t xml:space="preserve">Campo Belo 1 </t>
  </si>
  <si>
    <t>Contrato Sobressalentes - SETTA</t>
  </si>
  <si>
    <t>Contrato Sobressalentes - Arctech</t>
  </si>
  <si>
    <t>Contrato Sobressalentes - Onix * Abatido valor no contrato conforme acerto Romagnolli</t>
  </si>
  <si>
    <t>CONTRATO</t>
  </si>
  <si>
    <t>Contrato Sobressalentes - Romagnole</t>
  </si>
  <si>
    <t>Atualização contrato Maxvision + Aditivo escopo Nova Ponte</t>
  </si>
  <si>
    <t>Atualização contrato Maxvision + Aditivo escopo Campo Belo 5</t>
  </si>
  <si>
    <t>Atualização contrato Maxvision</t>
  </si>
  <si>
    <t>Finalizaçãodo office, e usina das atividades da GLD.</t>
  </si>
  <si>
    <t xml:space="preserve">Visita técnica realizada no local  R$ 3.000 ADITIVO Feito na Epoca Raciatto. Solicitar acerto Contrato Augusto </t>
  </si>
  <si>
    <t>Supressão Vegetal com a Rima</t>
  </si>
  <si>
    <t>Supressão Vegetal + ria</t>
  </si>
  <si>
    <t>Limpeza de bacias já feita, será adiivado ao contrato de terraplanagem</t>
  </si>
  <si>
    <t>Fornecimento de material e mão de obra especializada para relocação de RDP trifásica em 13,8KV,</t>
  </si>
  <si>
    <t>Alterações : 01/09/2025</t>
  </si>
  <si>
    <t>Aprovado em Conselho</t>
  </si>
  <si>
    <t>Todas devolução GLD</t>
  </si>
  <si>
    <t>Processo de Pagamento Segurança em processo Juridico.Ronda</t>
  </si>
  <si>
    <t>Orçado junto com a Maxvission</t>
  </si>
  <si>
    <t xml:space="preserve">Estimado </t>
  </si>
  <si>
    <t>Falta aterramento do poste CFTV</t>
  </si>
  <si>
    <t>Vigilância Presencial</t>
  </si>
  <si>
    <t>DPS do quadro do serviço auxiliar atuado</t>
  </si>
  <si>
    <t>Falta laudo de SPDA</t>
  </si>
  <si>
    <t>Identificação de inversor, combiners e trackers</t>
  </si>
  <si>
    <t>Postes danificados, tela forçada</t>
  </si>
  <si>
    <t>Correção da infraestrutura para execução do CFTV</t>
  </si>
  <si>
    <t>Combiner box sem identificação externa</t>
  </si>
  <si>
    <t>Pendente conexão do aterramento da estrutura da estação meteorológica</t>
  </si>
  <si>
    <t>Caixa de passagem assoreada</t>
  </si>
  <si>
    <t>Caixa de passagem com avaria na estrutura / DPS atuado (o fornecido não possui as mesmas características) / Skid-02 com acúmulo de terra no invólucro e sem brita / vala de drenagem soterrada</t>
  </si>
  <si>
    <t>Caixa de passagem MT com tampa quebrada</t>
  </si>
  <si>
    <t>Entulhos espalhados em campo (necessário retirar) / armazenar corretamente os itens em bom estado</t>
  </si>
  <si>
    <t>INV-05 SKID-01 com identificação dos cabos CA apagada / inversores sem TAG</t>
  </si>
  <si>
    <t>Amortecedores sem suporte de fixação e pino de segurança (20 unid.) / desgaste na pintura / barreirinhas de aterramento mal posicionadas, com risco de quebra</t>
  </si>
  <si>
    <t>Estaca afundada / erosões entre as estacas tracker 43</t>
  </si>
  <si>
    <t>Estacas com variações na galvanização e presença de ferrugem</t>
  </si>
  <si>
    <t>TAG com escrita apagada nos trackers</t>
  </si>
  <si>
    <t>Trackers sem movimentação por falha nas baterias (total de 5 trackers)</t>
  </si>
  <si>
    <t>Pendente aterramento da bomba d’água</t>
  </si>
  <si>
    <t>Cercamento aberto, com postes quebrado</t>
  </si>
  <si>
    <t>Identificação das combiners</t>
  </si>
  <si>
    <t>TAGs incorretas: sugestão, inverter as Tags na cabine e skids para ficar correto (foi mudada para coincidir com coordenograma)</t>
  </si>
  <si>
    <t>Poste danificado: fazer reparos</t>
  </si>
  <si>
    <t>Identificação das combiners e inversores</t>
  </si>
  <si>
    <t>Armazenamento de sobressalentes: armazenar dentro do almoxarifado.</t>
  </si>
  <si>
    <t>Infiltração na sala de O&amp;M: averiguar a causa.</t>
  </si>
  <si>
    <t>Caixa de passagem danificada na SKID</t>
  </si>
  <si>
    <t>Trocar o poste danificado</t>
  </si>
  <si>
    <t>Entrega de toda a documentação do comissionamento a frio (cat. 1)</t>
  </si>
  <si>
    <t>Operação será verificada no comissionamento a quente</t>
  </si>
  <si>
    <t>Montagem dos TPS e TCs da cabine</t>
  </si>
  <si>
    <t>Lançamento de fibra entre o office e a estação solarimétrica</t>
  </si>
  <si>
    <t>Recomissionamento da planta</t>
  </si>
  <si>
    <t>Limpeza de bacia de contenção</t>
  </si>
  <si>
    <t>Limpeza fina da planta</t>
  </si>
  <si>
    <t>Troca das baterias da combo e três motores danificados</t>
  </si>
  <si>
    <t>Instalação do ar condicionado</t>
  </si>
  <si>
    <t>Guarda-mor</t>
  </si>
  <si>
    <t>Falha no sistema de drenagem pluvial</t>
  </si>
  <si>
    <t>Falta finalizar as instalações elétricas da sala do office</t>
  </si>
  <si>
    <t>Cinco Caixas de Passagem Quebradas</t>
  </si>
  <si>
    <t>Fibra de comunicação entre o office e a cabine</t>
  </si>
  <si>
    <t>Identificação das combiners, inversor e tracker</t>
  </si>
  <si>
    <t>Duas cadeiras quebradas</t>
  </si>
  <si>
    <t>Poste quebrado na entrada da usina: realizar reparo.</t>
  </si>
  <si>
    <t>Identificação externa na combiner, tracker e inversor</t>
  </si>
  <si>
    <t xml:space="preserve">Valas assoreadas / Erosão em talude: realizar limpezas e recomposição de talude. </t>
  </si>
  <si>
    <t>Control box fixadas com arame: fixar control box com parafusos.</t>
  </si>
  <si>
    <t>Cerca danificada por supressão vegetal</t>
  </si>
  <si>
    <t>Substituição de travessia de drenagem (problema projeto)</t>
  </si>
  <si>
    <t>Erosão na vala CFTV que não foi totalmente regularizada pela Implantar</t>
  </si>
  <si>
    <t>Regularização do sistema CFTV danificado parcialmente pela erosão da vala</t>
  </si>
  <si>
    <t>Cerca perimetral danificada</t>
  </si>
  <si>
    <t>Drenagem danificada próximo ao office</t>
  </si>
  <si>
    <t>Caixa do aterramento do trackers quebrada</t>
  </si>
  <si>
    <t>Valas CFTV danificadas pela chuva</t>
  </si>
  <si>
    <t>Reparo nas caixas e vedação dos eletrodutos</t>
  </si>
  <si>
    <t>Caixas de passagem do skid1 sem britas</t>
  </si>
  <si>
    <t>Duas caixas de inspeção danificadas na SKID</t>
  </si>
  <si>
    <t>Aplicação espuma expansiva nos eletrodutos de comunicação dos SKIDs e cabine de medição</t>
  </si>
  <si>
    <t>Buracos abaixo da combiner 9 e 10</t>
  </si>
  <si>
    <t>Limpeza de resíduos sólidos</t>
  </si>
  <si>
    <t>Retoques civis</t>
  </si>
  <si>
    <t>Poste danificado e cerca perfurada</t>
  </si>
  <si>
    <t>Desmobilização de fossa</t>
  </si>
  <si>
    <t>Aterramento de reator incorreto</t>
  </si>
  <si>
    <t>Corrigir dispositivo de fixação do portão</t>
  </si>
  <si>
    <t>Combiners sem identificação</t>
  </si>
  <si>
    <t>Caixas de passagem com cabos CC danificadas, caixas de inspeção de aterramento danificadas (vale ressaltar que toda a usina possui caixas de inspeção danificadas) e suporte do acrílico de proteção do Trafo auxiliar do QSA pendente em todos os skids</t>
  </si>
  <si>
    <t>Várias caixas de passagem com cabos CC com tampas danificadas em campo e uma caixa sem tampa</t>
  </si>
  <si>
    <t>Acabamentos gerais</t>
  </si>
  <si>
    <t>Caixa de inspeção de SPDA</t>
  </si>
  <si>
    <t>Pendente o identificação dos trackers</t>
  </si>
  <si>
    <t>Caixa de passagem de cabos da sala de O&amp;M pendente corte para encaixe embaixo do rack e várias trincas no solo</t>
  </si>
  <si>
    <t>Pia desconectada e cedendo, tampão da fossa pendente, tubulação da pia do banheiro externo pendente, caixa d’água de 20 mil litros sem tampa e com vazamento</t>
  </si>
  <si>
    <t>QGBT da sala de O&amp;M inacabado e sem identificação, caixas de inspeção de aterramento danificadas, instalação de caixas de inspeção na parede e caixas de passagem de cabos sem tampa de proteção e quebradas</t>
  </si>
  <si>
    <t>Retirada de material do almoxarifado</t>
  </si>
  <si>
    <t>Fibra rompida pela implantação em construção de bacia para acúmulo de água</t>
  </si>
  <si>
    <t>Acrílico de proteção de relé de temperatura do skid 03 pendente</t>
  </si>
  <si>
    <t>Postes danificados e pontos com aterramento furtado</t>
  </si>
  <si>
    <t>Tratamento de erosões</t>
  </si>
  <si>
    <t>Assoreamento de um tracker na UG3</t>
  </si>
  <si>
    <t>Nenhum dos inversores está com aterramento externo</t>
  </si>
  <si>
    <t>Caixa assoreada</t>
  </si>
  <si>
    <t>Erosão nos pés das estacas</t>
  </si>
  <si>
    <t>Postes danificados</t>
  </si>
  <si>
    <t>Lâmpadas do lado externo sem instalar / Caixa de inspeção de SPDA</t>
  </si>
  <si>
    <t>Sem comunicação da communication box</t>
  </si>
  <si>
    <t>Dois postes danificados</t>
  </si>
  <si>
    <t>Caixa assoreada CC</t>
  </si>
  <si>
    <t>Tranca do portão do almoxarifado avariada</t>
  </si>
  <si>
    <t>Varjão 1</t>
  </si>
  <si>
    <t>Varjão 4</t>
  </si>
  <si>
    <t>Erosão pequena ao lado da canaleta entre Platô 1 e 2</t>
  </si>
  <si>
    <t>Duas caixas de passagens danificadas</t>
  </si>
  <si>
    <t>USINAS</t>
  </si>
  <si>
    <t>NATUREZA</t>
  </si>
  <si>
    <t>DE</t>
  </si>
  <si>
    <t>PARA</t>
  </si>
  <si>
    <t>DELTA R$:</t>
  </si>
  <si>
    <t>OBSERVAÇÃO:</t>
  </si>
  <si>
    <t xml:space="preserve"> R$                                -</t>
  </si>
  <si>
    <t>Já virou contrato</t>
  </si>
  <si>
    <t>São referentes a limpeza de bacias, além da manutenção da drenagem (Os dois serviços foram fechados mesmo pacote)</t>
  </si>
  <si>
    <t>Finalização e acerto de drenagem.</t>
  </si>
  <si>
    <t>Construção - Serviços de Construção Aditivo Gtel</t>
  </si>
  <si>
    <t xml:space="preserve"> R$                               -</t>
  </si>
  <si>
    <t>Valores Estimados</t>
  </si>
  <si>
    <t>Já Virou contrato - R&amp;M SOLAR</t>
  </si>
  <si>
    <t>Dessasoreamento da lagoa vizinha</t>
  </si>
  <si>
    <t>PRAD</t>
  </si>
  <si>
    <t>Já Realizado</t>
  </si>
  <si>
    <t>Escopo aumentou frente a ultima revisão devido aumento traçado da Cemig. Aprovado junto com Edu.</t>
  </si>
  <si>
    <t xml:space="preserve">Custo com sistema de irrigação de grama do bota fora </t>
  </si>
  <si>
    <t xml:space="preserve">Custo com aquisição e instalação de ar-condicionado do Office </t>
  </si>
  <si>
    <t>Finalização do Office (elétrica)</t>
  </si>
  <si>
    <t>Adequação infra para fibra</t>
  </si>
  <si>
    <t xml:space="preserve">Grandes Diferenças estão nestes novos Contratos: </t>
  </si>
  <si>
    <t>Alterações</t>
  </si>
  <si>
    <t>SPE</t>
  </si>
  <si>
    <t>Contrato + aditivos</t>
  </si>
  <si>
    <t>Ajuste</t>
  </si>
  <si>
    <t>Mês 1</t>
  </si>
  <si>
    <t>Mês 2</t>
  </si>
  <si>
    <t>Mês 3</t>
  </si>
  <si>
    <t>Mês 4</t>
  </si>
  <si>
    <t>Mês 5</t>
  </si>
  <si>
    <t>Mês 6</t>
  </si>
  <si>
    <t>Mês 7</t>
  </si>
  <si>
    <t>Mês 8</t>
  </si>
  <si>
    <t>Mês 9</t>
  </si>
  <si>
    <t>Mês 10</t>
  </si>
  <si>
    <t>Mês 11</t>
  </si>
  <si>
    <t>Mês 12</t>
  </si>
  <si>
    <t>Check</t>
  </si>
  <si>
    <t xml:space="preserve">- </t>
  </si>
  <si>
    <t>N° CONTRATO</t>
  </si>
  <si>
    <t>FORNECEDOR</t>
  </si>
  <si>
    <t>CONTRATO 
ORIGINAL</t>
  </si>
  <si>
    <t>ADITIVO</t>
  </si>
  <si>
    <t>%</t>
  </si>
  <si>
    <t>OBSERVAÇÕES  / JUSTIFICATIVAS</t>
  </si>
  <si>
    <t>Serviços de Segurança Patrimonial - SSO 4   -  Valor Mensal Por Usina</t>
  </si>
  <si>
    <t>Serviços de Segurança Patrimonial - SSO 0  -  Valor Mensal Por Usina</t>
  </si>
  <si>
    <r>
      <rPr>
        <sz val="8"/>
        <color rgb="FF000000"/>
        <rFont val="Calibri"/>
      </rPr>
      <t xml:space="preserve">03 Usinas no Mesmo contrato : Ctto_Servicos de Seguranca Patrimonial - Div.3_Pedra5_Pains3   -  Valor Mensal Por Usina </t>
    </r>
    <r>
      <rPr>
        <sz val="8"/>
        <color rgb="FFFF0000"/>
        <rFont val="Calibri"/>
      </rPr>
      <t>Div3.</t>
    </r>
  </si>
  <si>
    <r>
      <rPr>
        <sz val="8"/>
        <color rgb="FF000000"/>
        <rFont val="Calibri"/>
        <scheme val="minor"/>
      </rPr>
      <t xml:space="preserve">03 Usinas no Mesmo contrato : Ctto_Servicos de Seguranca Patrimonial - Div.3_Pedra5_Pains3   -  Valor Mensal Por Usina </t>
    </r>
    <r>
      <rPr>
        <sz val="8"/>
        <color rgb="FFFF0000"/>
        <rFont val="Calibri"/>
        <scheme val="minor"/>
      </rPr>
      <t>Pedra5</t>
    </r>
    <r>
      <rPr>
        <sz val="8"/>
        <color rgb="FF000000"/>
        <rFont val="Calibri"/>
        <scheme val="minor"/>
      </rPr>
      <t>.</t>
    </r>
  </si>
  <si>
    <r>
      <rPr>
        <sz val="8"/>
        <color rgb="FF000000"/>
        <rFont val="Calibri"/>
        <scheme val="minor"/>
      </rPr>
      <t xml:space="preserve">03 Usinas no Mesmo contrato : Ctto_Servicos de Seguranca Patrimonial - Div.3_Pedra5_Pains3   -  Valor Mensal Por Usina </t>
    </r>
    <r>
      <rPr>
        <sz val="8"/>
        <color rgb="FFFF0000"/>
        <rFont val="Calibri"/>
        <scheme val="minor"/>
      </rPr>
      <t>Pains 3</t>
    </r>
    <r>
      <rPr>
        <sz val="8"/>
        <color rgb="FF000000"/>
        <rFont val="Calibri"/>
        <scheme val="minor"/>
      </rPr>
      <t>.</t>
    </r>
  </si>
  <si>
    <t xml:space="preserve">Ctto_Servicos de Seguranca Patrimonial - Paracatu 4 e 5   -  Valor Mensal Por Usina </t>
  </si>
  <si>
    <t xml:space="preserve">Ctto_Serviços de Segurança Patrimonial - Arcos 7 -  Valor Mensal Por Usina </t>
  </si>
  <si>
    <t xml:space="preserve">Ctto_Serviços de Segurança Patrimonial - Formiga 6 -  Valor Mensal Por Usina </t>
  </si>
  <si>
    <t>RL VIGILANCIA</t>
  </si>
  <si>
    <t xml:space="preserve">1º Aditivo_Ctto Prestacao Serv - Cassia1e2_CBelo4 - RL VIGILANCIA_VF  -  Valor Mensal Por Usina </t>
  </si>
  <si>
    <t>Ctto_Vigilancia Patrimonial - CBelo 3 - RL VIGILANCIA_vf: -  Valor Mensal Por Usina</t>
  </si>
  <si>
    <t>1º Aditivo_Ctto Prestação Serv. - Obra MT_MUZAMBINHO – ENGELUZ</t>
  </si>
  <si>
    <t xml:space="preserve">4º Aditivo_Ctto EPC - Diamantina 1 - IMPLANTAR </t>
  </si>
  <si>
    <t>1º Aditivo_Ctto Drenagem - FORMIGA 6 – MIPE</t>
  </si>
  <si>
    <t>Ctto_Serviços de Segurança Patrimonial - Patos de Minas 1  -  Valor Mensal Por Usina</t>
  </si>
  <si>
    <t>Ctt Prestação Serviços_Supressão_3 Corações – RIMA</t>
  </si>
  <si>
    <t>FRASA</t>
  </si>
  <si>
    <t>Ctt_Prestação de Serviços_Supressão - Brasilândia 3</t>
  </si>
  <si>
    <t xml:space="preserve">Ctto Prestação de Serviços_UNAÍ 1,2_Engeluz </t>
  </si>
  <si>
    <t>13/06/2024 </t>
  </si>
  <si>
    <t>9º aditivo Ctto obras MT_Newco IV e V_MBA - Três Corações 3</t>
  </si>
  <si>
    <t xml:space="preserve">9º aditivo Ctto obras MT_Newco IV e V_MBA - Campo Belo 5 </t>
  </si>
  <si>
    <t xml:space="preserve">9º aditivo Ctto obras MT_Newco IV e V_MBA - Campo Belo 2 </t>
  </si>
  <si>
    <t>9º aditivo Ctto obras MT_Newco IV e V_MBA  - ARCOS 7</t>
  </si>
  <si>
    <t>20240516_1º Aditivo Ctto Suporte_ATI_Ciclo 1 (aditivo apenas para regularizar o faturamento correto para as Filiais)</t>
  </si>
  <si>
    <t xml:space="preserve">Ctto Suporte_ATI_Ciclo 2 – Rev MEMS Por Usina AQUISIÇÃO DA  LICENÇA (ÚNICO) </t>
  </si>
  <si>
    <t>Ctto Projetti_EDN, MORI  - Correção Contrato</t>
  </si>
  <si>
    <t>20240607_Ctto_Projetti_NewcoIV e V  - Correção Contrato</t>
  </si>
  <si>
    <t>21/06/2024 </t>
  </si>
  <si>
    <t>20240610_Ctto_Transformadores_Projetti_Ciclo2v2  Correção Contrato</t>
  </si>
  <si>
    <t xml:space="preserve">3º Aditivo_Terraplanagem_Baldoni_VGR1 </t>
  </si>
  <si>
    <t>2ºAditivo_Terraplanagem_Baldoni_CB1</t>
  </si>
  <si>
    <t>2º Aditivo_Terraplanagem_Baldoni_SAA</t>
  </si>
  <si>
    <t>3º Aditivo_Terraplanagem_Baldoni_TC3</t>
  </si>
  <si>
    <t>2º Aditivo_Terraplanagem_Baldoni_CB2</t>
  </si>
  <si>
    <t>2º Aditivo_Terraplanagem_Baldoni_VRG2</t>
  </si>
  <si>
    <t>3º Aditivo_Terraplanagem_Baldoni_CB5</t>
  </si>
  <si>
    <t>2024 08 23 - 4º Aditivo ao Contrato de EPC - EDN - NEWCO IV E V - GTEL</t>
  </si>
  <si>
    <t>2024 08 19 - 10º Aditivo_Ctto Obras MT_Newco IV e V - MBA - Três Corações 3</t>
  </si>
  <si>
    <t>2024 08 19 - 10º Aditivo_Ctto Obras MT_Newco IV e V - MBA - Alfenas4</t>
  </si>
  <si>
    <t>009 - 2º Aditivo - Ctt_Obras de MT - SSO 0 vf-Manifesto</t>
  </si>
  <si>
    <t>Já Assinado</t>
  </si>
  <si>
    <t>Aditivos e Alterações:</t>
  </si>
  <si>
    <t>Adicionado aditivo MBA Obras MT Partrocinio 3( 500.000,00)</t>
  </si>
  <si>
    <t>Adicionado aditivo  Preventivo MBA Obras MT Campo Belo 1( R$ 1.235.706,81.). Esta em negociação este valor.</t>
  </si>
  <si>
    <t>Adicionado aditivo  Preventivo Engeluz Obras MT São Sebastião 0( R$ 1.500.000.). Esta em negociação este valor.</t>
  </si>
  <si>
    <t xml:space="preserve">Adicionado aditivo obras mt varginha 1 R$177.539 - de contrato Extensão de rede de distribuição rural para atender à UFV, no município de Varginha – MG. 
UFV Varginha 1 - NS 1147338102
</t>
  </si>
  <si>
    <t xml:space="preserve">Adionado Extensão de rede de distribuição rural para atender à UFV, no município de Varginha 2 – MG  Obras MT 92.343,25       
UFV Varginha - NS 1134005301/1147338322
</t>
  </si>
  <si>
    <t>Adicionado aditivo de contrato Drenagem Varjão de Minas 44.325,00</t>
  </si>
  <si>
    <t>Adicionado aditivo de contrato Implantar EPC Patos 4  R$ 335.577,48.</t>
  </si>
  <si>
    <t>Adicionado aditivo drenagem  Gomes Tres Corações R$746.714,05</t>
  </si>
  <si>
    <t>Alterado valor contrato da Rima R$ 88.429,15. Campo Belo 2</t>
  </si>
  <si>
    <t>Alterado valor contrato da Rima R$ 149.902,00 Ria + Supresão - Formiga 6</t>
  </si>
  <si>
    <t>Alterado valor contrato da Rima R$ 130.000,00</t>
  </si>
  <si>
    <t>Alterado valor contrato da Rima R$ 149.902,00 Ria + Supresão Santo Antonio Amparo</t>
  </si>
  <si>
    <t>Alterado de estimado para valor final Drenagem Paracatu 4 Orci R$ 469.543,56. (Era 500.000)</t>
  </si>
  <si>
    <t>Retirado do valor Weg serviço de remoção que foi realizado pela MBA. Usina Bambui 1.2  R$ 160.000.00.Anotação na celula da planilha</t>
  </si>
  <si>
    <t xml:space="preserve">Retirado do valor Weg serviço de remoção que foi realizado pela MBA. Usina Cassia 1  R$ 151.000.00.Anotação na celula da planilha. Adicionado o segundo aditivo de contrato  - Anotação na celula da planilha - Escavação adicional das sapatas de acordo com as exigências dimensionais do fabricante STI, bem como custo de volume de concreto.
adicional ao previsto em orçamento. </t>
  </si>
  <si>
    <t xml:space="preserve">Retirado do valor Weg serviço de remoção que foi realizado pela MBA. Usina Cassia 2  R$ 108.000.00.Anotação na celula da planilha. Adicionado o segundo aditivo de contrato  - Anotação na celula da planilha - Escavação adicional das sapatas de acordo com as exigências dimensionais do fabricante STI, bem como custo de volume de concreto 40479,95
adicional ao previsto em orçamento.  R$ </t>
  </si>
  <si>
    <t xml:space="preserve">Retirado do valor Weg serviço de remoção que foi realizado pela MBA. Usina Nova Ponte1  R$ 89.000,00.Anotação na celula da planilha. Adicionado o segundo aditivo de contrato  - Anotação na celula da planilha - Escavação adicional das sapatas de acordo com as exigências dimensionais do fabricante STI, bem como custo de volume de concreto 73511,56
adicional ao previsto em orçamento.  R$ </t>
  </si>
  <si>
    <t>Retirado do valor Weg serviço de remoção que foi realizado pela MBA. Usina Guarda Moor  R$173.000 .Anotação na celula da planilha</t>
  </si>
  <si>
    <t>Inserido concretagem das hastes, previsto em contrato para são sebastião 6 empresa Getel, Valor 276751.</t>
  </si>
  <si>
    <t>Previãos de aditivo de contrato obras MT para Arcos e Campo Belo 2 em negociação</t>
  </si>
  <si>
    <t>Inserido concretagem das hastes, previsto em contrato para são Divinopolis1 empresa Getel, Valor 610786,42.</t>
  </si>
  <si>
    <t>Aditivo de Drenagem a ser enviado pelo Augusto em 23/01/24 Divinopolis1</t>
  </si>
  <si>
    <t>Incluido contrato de Ria para Rima no valor de 85.000 dividido entre as Usinas Alfenas4 Campo Belo1 Paraguaçu e Muzambinho.</t>
  </si>
  <si>
    <t>Incluido contrato de Ria para Rima no valor de 10.000 Jaboticatubas.</t>
  </si>
  <si>
    <t>Incluindo contrato Elaboração de documentação ambiental para solicitação de daia único e dossiê ambiental cemig-d. Ouro Fino 19.629,28</t>
  </si>
  <si>
    <t>Incluso contrato Serviço – Licenciamento Ambiental/ Comunicação de colheita/Eucaliptos –
datada em 03 de fevereiro de 2023. 15.000 R$ SB04</t>
  </si>
  <si>
    <t>Incluso contrato Serviço – Elaboração da Comunicação de Corte e Colheita dos indivíduos em nome do proprietário da área, excluindo a comercialização ou produção de carvão. Elaboração de protocolo do pedido de Comunicação de Corte e Colheita de indivíduo plantados. R$3.500,00 Diamantina1</t>
  </si>
  <si>
    <t>Incluso contrato JX para Diamantina 2 serviços de assessoria ambiental na coordenação e elaboração dos trabalhos, estudos e documentos técnicos necessários para a elaboração do processo administrativo de AIA para a Usina Solar Fotovoltaica. R$23.665,00</t>
  </si>
  <si>
    <t>Incluso Contrato JX para Arcos 7 serviços de assessoria ambiental Realizar acompanhamento e possíveis alinhamentos junto a CEMIG até a emissão do RIA;. R$23.768,00</t>
  </si>
  <si>
    <t>Incluso Contrato JX para Arcos 7 serviços de assessoria ambiental Realizar solicitação de colheita 7000,00</t>
  </si>
  <si>
    <t>Incluso contrato Rima  Campo Belo 1 supressaõ vegetal R$80.275</t>
  </si>
  <si>
    <t>Incluso Contrato Rima Passos 4 R$ 133.281,3 supressão Vegetal</t>
  </si>
  <si>
    <t>Incluso aditivo de  Contrato R$ 39.570 Atenas para Arcos7 Adicional de limpeza de faixa, pode e Supressão de 970 eucaliptos em uma área total de 5.000 metros dentro do Trecho da usina a subestação de arcos
SUPRESSÃO DE 970 EUCALIPTOS EM UMA AREA TOTAL DE 5.000 METROS DENTRO DO
TRECHO DA USINA A SUBSTAÇÃO DE ARCOS</t>
  </si>
  <si>
    <t>Incluso contrato Passos 4 R$ 16.000,00 Daia - Elaboração de dossie unico Cemig D</t>
  </si>
  <si>
    <t>Alterado valor contrato Drenagem Diamantina 1  que era estimado em R$ 500.000 - Novo Valor - R$ 839026,26</t>
  </si>
  <si>
    <t>Incluso aditivo de  Contrato R$301121,39 Pagamento de medição referente aditivo de concreto. ENVIADO POR AUGUSTO - Divinopolis 2</t>
  </si>
  <si>
    <t>Incluso aditivo de  Contrato R$434845,63 Pagamento de medição referente aditivo de concreto. ENVIADO POR AUGUSTO - Pains 3</t>
  </si>
  <si>
    <t>Incluso aditivo de  Contrato R$221091,84 Pagamento de medição referente aditivo de concreto. ENVIADO POR AUGUSTO - Passos 4</t>
  </si>
  <si>
    <t>Alterado valor estimado Drenagem Paracatu 5 para contrato final Orci (sai de R$ 500.000 para R$374,473,38)</t>
  </si>
  <si>
    <t>Aditivo de Drenagem 293.286,30  Daiamantina 1  Email Manoel</t>
  </si>
  <si>
    <t>Aditivo de concretagem+ recomposição de Peda Inadia 5. (224663,09+112590,47)</t>
  </si>
  <si>
    <t>Alterado valor do contrato de Diamantina 2, que estava como estimado.(Era 500.000 foi para 686107,5)</t>
  </si>
  <si>
    <t>Alterado valor do contrato sbo0, que estava como estimado.(Era 1500.000 foi para 1818400,00)</t>
  </si>
  <si>
    <t>Adicionado aditivo de contrato Paraguacu 1 Obras de MT Valor de: 258144 em razão de construção de RDP trifásica em 13,8KV urbana e rural para atender a UFV Paraguaçu no Municipio de Paraguaçu, Minas Gerais.</t>
  </si>
  <si>
    <t>Rima contrato supressão vegetal Cassia 1 68460,63R$.</t>
  </si>
  <si>
    <t>Alterado o valor do contrato para correção e adicionado R$ 130.000,00 contrato linha viva para Paracatu 8</t>
  </si>
  <si>
    <t>Alterado Valor de Drenagem Tres corações aditivo (+ 249761,51)</t>
  </si>
  <si>
    <t>Alterado Valor de Terraplanagem Tres corações aditivo (+362072,7)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</si>
</sst>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quot;R$&quot;\ #,##0.00;[Red]\-&quot;R$&quot;\ #,##0.00"/>
    <numFmt numFmtId="44" formatCode="_-&quot;R$&quot;\ * #,##0.00_-;\-&quot;R$&quot;\ * #,##0.00_-;_-&quot;R$&quot;\ * &quot;-&quot;??_-;_-@_-"/>
    <numFmt numFmtId="43" formatCode="_-* #,##0.00_-;\-* #,##0.00_-;_-* &quot;-&quot;??_-;_-@_-"/>
    <numFmt numFmtId="164" formatCode="#,##0_);\(#,##0\);\-_);@"/>
    <numFmt numFmtId="165" formatCode="#,##0.00%;\(#,##0.00%\);\-_);@"/>
    <numFmt numFmtId="166" formatCode="_-[$R$-416]\ * #,##0.00_-;\-[$R$-416]\ * #,##0.00_-;_-[$R$-416]\ * &quot;-&quot;??_-;_-@_-"/>
    <numFmt numFmtId="167" formatCode="#,##0.00_);\(#,##0.00\);\-_);@"/>
    <numFmt numFmtId="168" formatCode="#,##0.0000_);\(#,##0.0000\);\-_);@"/>
    <numFmt numFmtId="169" formatCode="#,##0.000_);\(#,##0.000\);\-_);@"/>
    <numFmt numFmtId="170" formatCode="#,##0.00000_);\(#,##0.00000\);\-_);@"/>
    <numFmt numFmtId="171" formatCode="[$-416]mmm\-yy;@"/>
    <numFmt numFmtId="172" formatCode="dd\-mmm\-yy;;\-"/>
    <numFmt numFmtId="173" formatCode="#,##0.000000_);\(#,##0.000000\);\-_);@"/>
    <numFmt numFmtId="174" formatCode="&quot;R$&quot;\ #,##0.00"/>
    <numFmt numFmtId="175" formatCode="#,##0.0000000000_);\(#,##0.0000000000\);\-_);@"/>
    <numFmt numFmtId="176" formatCode="#,##0.0_);\(#,##0.0\);\-_);@"/>
    <numFmt numFmtId="177" formatCode="#,##0.00000000_);\(#,##0.00000000\);\-_);@"/>
  </numFmts>
  <fonts count="78">
    <font>
      <sz val="8"/>
      <color theme="1"/>
      <name val="Calibri"/>
      <family val="2"/>
    </font>
    <font>
      <b/>
      <sz val="8"/>
      <color theme="0"/>
      <name val="Calibri"/>
      <family val="2"/>
      <scheme val="minor"/>
    </font>
    <font>
      <b/>
      <sz val="8"/>
      <color theme="1"/>
      <name val="Calibri"/>
      <family val="2"/>
      <scheme val="minor"/>
    </font>
    <font>
      <b/>
      <sz val="8"/>
      <color theme="1"/>
      <name val="Calibri"/>
      <family val="2"/>
    </font>
    <font>
      <sz val="11"/>
      <color theme="1"/>
      <name val="Calibri"/>
      <family val="2"/>
      <scheme val="minor"/>
    </font>
    <font>
      <sz val="10"/>
      <color theme="1"/>
      <name val="Tahoma"/>
      <family val="2"/>
    </font>
    <font>
      <b/>
      <sz val="9"/>
      <color indexed="81"/>
      <name val="Segoe UI"/>
      <family val="2"/>
    </font>
    <font>
      <sz val="9"/>
      <color indexed="81"/>
      <name val="Segoe UI"/>
      <family val="2"/>
    </font>
    <font>
      <i/>
      <sz val="8"/>
      <color rgb="FFFF0000"/>
      <name val="Calibri"/>
      <family val="2"/>
    </font>
    <font>
      <b/>
      <i/>
      <sz val="8"/>
      <color rgb="FFFF0000"/>
      <name val="Calibri"/>
      <family val="2"/>
    </font>
    <font>
      <b/>
      <sz val="9"/>
      <color indexed="81"/>
      <name val="Segoe UI"/>
      <charset val="1"/>
    </font>
    <font>
      <sz val="8"/>
      <color rgb="FFFF0000"/>
      <name val="Calibri"/>
      <family val="2"/>
    </font>
    <font>
      <sz val="8"/>
      <color rgb="FF000000"/>
      <name val="Calibri"/>
      <family val="2"/>
    </font>
    <font>
      <b/>
      <sz val="8"/>
      <color rgb="FFFF0000"/>
      <name val="Calibri"/>
      <family val="2"/>
    </font>
    <font>
      <b/>
      <sz val="8"/>
      <color rgb="FF000000"/>
      <name val="Calibri"/>
      <family val="2"/>
    </font>
    <font>
      <sz val="9"/>
      <name val="Arial"/>
    </font>
    <font>
      <sz val="9"/>
      <color rgb="FF000000"/>
      <name val="Arial"/>
    </font>
    <font>
      <strike/>
      <sz val="9"/>
      <name val="Arial"/>
    </font>
    <font>
      <sz val="9"/>
      <color theme="1"/>
      <name val="Arial"/>
    </font>
    <font>
      <sz val="9"/>
      <color rgb="FFFF0000"/>
      <name val="Arial"/>
    </font>
    <font>
      <strike/>
      <sz val="9"/>
      <color rgb="FFFF0000"/>
      <name val="Arial"/>
    </font>
    <font>
      <strike/>
      <sz val="9"/>
      <color theme="1"/>
      <name val="Arial"/>
    </font>
    <font>
      <sz val="10"/>
      <color theme="1"/>
      <name val="Arial"/>
    </font>
    <font>
      <sz val="11"/>
      <color theme="1"/>
      <name val="Calibri"/>
      <family val="2"/>
      <charset val="1"/>
    </font>
    <font>
      <b/>
      <sz val="8"/>
      <color theme="0"/>
      <name val="Calibri"/>
      <scheme val="minor"/>
    </font>
    <font>
      <b/>
      <sz val="8"/>
      <color theme="1"/>
      <name val="Calibri"/>
      <scheme val="minor"/>
    </font>
    <font>
      <sz val="8"/>
      <color theme="1"/>
      <name val="Calibri"/>
      <scheme val="minor"/>
    </font>
    <font>
      <sz val="8"/>
      <color rgb="FF000000"/>
      <name val="Calibri"/>
      <scheme val="minor"/>
    </font>
    <font>
      <sz val="9"/>
      <color theme="0"/>
      <name val="Arial"/>
    </font>
    <font>
      <sz val="8"/>
      <color rgb="FFFF0000"/>
      <name val="Calibri"/>
      <scheme val="minor"/>
    </font>
    <font>
      <sz val="9"/>
      <color rgb="FFFF0000"/>
      <name val="Arial"/>
      <charset val="1"/>
    </font>
    <font>
      <sz val="11"/>
      <color rgb="FFFF0000"/>
      <name val="Aptos Narrow"/>
      <charset val="1"/>
    </font>
    <font>
      <strike/>
      <sz val="10"/>
      <color rgb="FFFF0000"/>
      <name val="Arial"/>
    </font>
    <font>
      <sz val="11"/>
      <color rgb="FFFF0000"/>
      <name val="Arial"/>
    </font>
    <font>
      <sz val="8"/>
      <color rgb="FFFF0000"/>
      <name val="Arial"/>
    </font>
    <font>
      <sz val="10"/>
      <color rgb="FFFF0000"/>
      <name val="Arial"/>
    </font>
    <font>
      <sz val="11"/>
      <color rgb="FFFF0000"/>
      <name val="Calibri"/>
      <family val="2"/>
      <charset val="1"/>
    </font>
    <font>
      <sz val="12"/>
      <color rgb="FFFF0000"/>
      <name val="Arial"/>
    </font>
    <font>
      <sz val="8"/>
      <color rgb="FF000000"/>
      <name val="Calibri"/>
    </font>
    <font>
      <sz val="8"/>
      <color rgb="FFFF0000"/>
      <name val="Calibri"/>
    </font>
    <font>
      <sz val="8"/>
      <color theme="1"/>
      <name val="Calibri"/>
    </font>
    <font>
      <sz val="8"/>
      <color theme="1"/>
      <name val="Arial"/>
    </font>
    <font>
      <sz val="8"/>
      <color rgb="FF00B0F0"/>
      <name val="Calibri"/>
      <scheme val="minor"/>
    </font>
    <font>
      <sz val="8"/>
      <color rgb="FF00B0F0"/>
      <name val="Calibri"/>
      <family val="2"/>
    </font>
    <font>
      <sz val="11"/>
      <color theme="1"/>
      <name val="Arial"/>
    </font>
    <font>
      <sz val="11"/>
      <color theme="1"/>
      <name val="Calibri"/>
      <family val="2"/>
    </font>
    <font>
      <b/>
      <sz val="8"/>
      <color rgb="FFFFFFFF"/>
      <name val="Aptos Narrow"/>
    </font>
    <font>
      <sz val="8"/>
      <color rgb="FF000000"/>
      <name val="Aptos Narrow"/>
    </font>
    <font>
      <sz val="12"/>
      <color theme="1"/>
      <name val="Aptos"/>
      <family val="2"/>
      <charset val="1"/>
    </font>
    <font>
      <sz val="11"/>
      <color rgb="FF000000"/>
      <name val="Aptos"/>
      <family val="2"/>
      <charset val="1"/>
    </font>
    <font>
      <sz val="9"/>
      <color rgb="FFFF0000"/>
      <name val="Calibri"/>
      <family val="2"/>
    </font>
    <font>
      <sz val="10"/>
      <color rgb="FFFF0000"/>
      <name val="Calibri"/>
      <family val="2"/>
    </font>
    <font>
      <sz val="9"/>
      <color theme="1"/>
      <name val="Aptos Narrow"/>
      <charset val="1"/>
    </font>
    <font>
      <sz val="9"/>
      <color theme="1"/>
      <name val="Arial"/>
      <charset val="1"/>
    </font>
    <font>
      <b/>
      <sz val="9"/>
      <color theme="1"/>
      <name val="Arial"/>
    </font>
    <font>
      <sz val="11"/>
      <color theme="1"/>
      <name val="Aptos Narrow"/>
      <charset val="1"/>
    </font>
    <font>
      <b/>
      <u/>
      <sz val="9"/>
      <color theme="1"/>
      <name val="Arial"/>
    </font>
    <font>
      <strike/>
      <sz val="9"/>
      <color theme="0"/>
      <name val="Arial"/>
    </font>
    <font>
      <sz val="9"/>
      <color theme="1"/>
      <name val="Calibri"/>
      <scheme val="minor"/>
    </font>
    <font>
      <sz val="9"/>
      <color theme="1"/>
      <name val="Calibri"/>
      <family val="2"/>
      <scheme val="minor"/>
    </font>
    <font>
      <sz val="9"/>
      <color rgb="FF000000"/>
      <name val="Calibri"/>
      <scheme val="minor"/>
    </font>
    <font>
      <sz val="9"/>
      <color rgb="FF242424"/>
      <name val="Arial"/>
    </font>
    <font>
      <sz val="10"/>
      <color rgb="FF000000"/>
      <name val="Arial"/>
    </font>
    <font>
      <sz val="10"/>
      <color rgb="FF000000"/>
      <name val="Aptos"/>
      <family val="2"/>
      <charset val="1"/>
    </font>
    <font>
      <sz val="10"/>
      <color rgb="FF000000"/>
      <name val="Aptos"/>
      <charset val="1"/>
    </font>
    <font>
      <b/>
      <sz val="8"/>
      <color rgb="FF000000"/>
      <name val="Calibri"/>
      <scheme val="minor"/>
    </font>
    <font>
      <sz val="10"/>
      <color theme="1"/>
      <name val="Calibri"/>
      <family val="2"/>
    </font>
    <font>
      <strike/>
      <sz val="9"/>
      <color rgb="FF000000"/>
      <name val="Arial"/>
    </font>
    <font>
      <sz val="9"/>
      <color theme="1"/>
      <name val="Calibri"/>
      <family val="2"/>
    </font>
    <font>
      <sz val="11"/>
      <color rgb="FF000000"/>
      <name val="Aptos Narrow"/>
      <charset val="1"/>
    </font>
    <font>
      <sz val="11"/>
      <color rgb="FF242424"/>
      <name val="Aptos Narrow"/>
      <charset val="1"/>
    </font>
    <font>
      <sz val="11"/>
      <color rgb="FF000000"/>
      <name val="Calibri"/>
      <family val="2"/>
      <charset val="1"/>
    </font>
    <font>
      <sz val="9"/>
      <color rgb="FF000000"/>
      <name val="Arial"/>
      <family val="2"/>
    </font>
    <font>
      <sz val="8"/>
      <color rgb="FF0070C0"/>
      <name val="Calibri"/>
      <family val="2"/>
    </font>
    <font>
      <sz val="9"/>
      <color theme="4" tint="0.39997558519241921"/>
      <name val="Arial"/>
    </font>
    <font>
      <sz val="9"/>
      <color theme="4" tint="0.59999389629810485"/>
      <name val="Arial"/>
    </font>
    <font>
      <sz val="9"/>
      <color rgb="FF000000"/>
      <name val="Arial"/>
      <charset val="1"/>
    </font>
    <font>
      <b/>
      <sz val="8"/>
      <color rgb="FF00B0F0"/>
      <name val="Calibri"/>
      <scheme val="minor"/>
    </font>
  </fonts>
  <fills count="38">
    <fill>
      <patternFill patternType="none"/>
    </fill>
    <fill>
      <patternFill patternType="gray125"/>
    </fill>
    <fill>
      <patternFill patternType="solid">
        <fgColor theme="0"/>
        <bgColor indexed="64"/>
      </patternFill>
    </fill>
    <fill>
      <patternFill patternType="solid">
        <fgColor rgb="FF1C355E"/>
        <bgColor indexed="64"/>
      </patternFill>
    </fill>
    <fill>
      <patternFill patternType="solid">
        <fgColor theme="4" tint="0.79998168889431442"/>
        <bgColor indexed="64"/>
      </patternFill>
    </fill>
    <fill>
      <patternFill patternType="solid">
        <fgColor theme="7" tint="0.79998168889431442"/>
        <bgColor indexed="64"/>
      </patternFill>
    </fill>
    <fill>
      <patternFill patternType="lightDown">
        <bgColor theme="0"/>
      </patternFill>
    </fill>
    <fill>
      <patternFill patternType="solid">
        <fgColor rgb="FFFFFF00"/>
        <bgColor indexed="64"/>
      </patternFill>
    </fill>
    <fill>
      <patternFill patternType="solid">
        <fgColor rgb="FFFFFFFF"/>
        <bgColor indexed="64"/>
      </patternFill>
    </fill>
    <fill>
      <patternFill patternType="solid">
        <fgColor rgb="FF8EA9DB"/>
        <bgColor indexed="64"/>
      </patternFill>
    </fill>
    <fill>
      <patternFill patternType="solid">
        <fgColor theme="7"/>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2"/>
        <bgColor indexed="64"/>
      </patternFill>
    </fill>
    <fill>
      <patternFill patternType="solid">
        <fgColor theme="7" tint="0.39997558519241921"/>
        <bgColor indexed="64"/>
      </patternFill>
    </fill>
    <fill>
      <patternFill patternType="solid">
        <fgColor rgb="FFFFFFFF"/>
        <bgColor rgb="FF000000"/>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4" tint="0.39997558519241921"/>
        <bgColor indexed="64"/>
      </patternFill>
    </fill>
    <fill>
      <patternFill patternType="solid">
        <fgColor rgb="FF1C355E"/>
        <bgColor rgb="FF1C355E"/>
      </patternFill>
    </fill>
    <fill>
      <patternFill patternType="solid">
        <fgColor rgb="FFDAE9F8"/>
        <bgColor rgb="FFDAE9F8"/>
      </patternFill>
    </fill>
    <fill>
      <patternFill patternType="solid">
        <fgColor rgb="FF00B0F0"/>
        <bgColor indexed="64"/>
      </patternFill>
    </fill>
    <fill>
      <patternFill patternType="solid">
        <fgColor rgb="FFF56EEA"/>
        <bgColor indexed="64"/>
      </patternFill>
    </fill>
    <fill>
      <patternFill patternType="solid">
        <fgColor theme="6"/>
        <bgColor indexed="64"/>
      </patternFill>
    </fill>
    <fill>
      <patternFill patternType="solid">
        <fgColor theme="5" tint="0.79998168889431442"/>
        <bgColor indexed="64"/>
      </patternFill>
    </fill>
    <fill>
      <patternFill patternType="solid">
        <fgColor rgb="FFD9E1F2"/>
        <bgColor rgb="FF000000"/>
      </patternFill>
    </fill>
    <fill>
      <patternFill patternType="solid">
        <fgColor rgb="FFFF0000"/>
        <bgColor indexed="64"/>
      </patternFill>
    </fill>
    <fill>
      <patternFill patternType="solid">
        <fgColor rgb="FF92D050"/>
        <bgColor indexed="64"/>
      </patternFill>
    </fill>
    <fill>
      <patternFill patternType="solid">
        <fgColor rgb="FFC000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F5C1E6"/>
        <bgColor indexed="64"/>
      </patternFill>
    </fill>
    <fill>
      <patternFill patternType="solid">
        <fgColor rgb="FFD3FFAD"/>
        <bgColor indexed="64"/>
      </patternFill>
    </fill>
  </fills>
  <borders count="102">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mediumDashed">
        <color auto="1"/>
      </left>
      <right/>
      <top style="mediumDashed">
        <color auto="1"/>
      </top>
      <bottom style="mediumDashed">
        <color auto="1"/>
      </bottom>
      <diagonal/>
    </border>
    <border>
      <left/>
      <right/>
      <top style="mediumDashed">
        <color auto="1"/>
      </top>
      <bottom style="mediumDashed">
        <color auto="1"/>
      </bottom>
      <diagonal/>
    </border>
    <border>
      <left/>
      <right style="mediumDashed">
        <color auto="1"/>
      </right>
      <top style="mediumDashed">
        <color auto="1"/>
      </top>
      <bottom style="mediumDashed">
        <color auto="1"/>
      </bottom>
      <diagonal/>
    </border>
    <border>
      <left style="dotted">
        <color auto="1"/>
      </left>
      <right style="dotted">
        <color auto="1"/>
      </right>
      <top style="dotted">
        <color auto="1"/>
      </top>
      <bottom style="mediumDashed">
        <color auto="1"/>
      </bottom>
      <diagonal/>
    </border>
    <border>
      <left/>
      <right/>
      <top style="mediumDashed">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dotted">
        <color auto="1"/>
      </left>
      <right style="dotted">
        <color auto="1"/>
      </right>
      <top style="thin">
        <color auto="1"/>
      </top>
      <bottom style="dotted">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dotted">
        <color auto="1"/>
      </left>
      <right style="dotted">
        <color auto="1"/>
      </right>
      <top style="dotted">
        <color auto="1"/>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indexed="64"/>
      </left>
      <right/>
      <top/>
      <bottom style="thin">
        <color indexed="64"/>
      </bottom>
      <diagonal/>
    </border>
    <border>
      <left/>
      <right/>
      <top style="thin">
        <color rgb="FF000000"/>
      </top>
      <bottom style="thin">
        <color rgb="FF000000"/>
      </bottom>
      <diagonal/>
    </border>
    <border>
      <left/>
      <right/>
      <top/>
      <bottom style="thin">
        <color rgb="FF000000"/>
      </bottom>
      <diagonal/>
    </border>
    <border>
      <left style="dotted">
        <color auto="1"/>
      </left>
      <right style="dotted">
        <color auto="1"/>
      </right>
      <top style="mediumDashed">
        <color auto="1"/>
      </top>
      <bottom/>
      <diagonal/>
    </border>
    <border>
      <left style="thin">
        <color rgb="FF000000"/>
      </left>
      <right/>
      <top/>
      <bottom/>
      <diagonal/>
    </border>
    <border>
      <left style="thin">
        <color auto="1"/>
      </left>
      <right style="dotted">
        <color auto="1"/>
      </right>
      <top style="thin">
        <color auto="1"/>
      </top>
      <bottom style="dotted">
        <color auto="1"/>
      </bottom>
      <diagonal/>
    </border>
    <border>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right style="dotted">
        <color auto="1"/>
      </right>
      <top style="dotted">
        <color auto="1"/>
      </top>
      <bottom style="medium">
        <color auto="1"/>
      </bottom>
      <diagonal/>
    </border>
    <border>
      <left style="dotted">
        <color auto="1"/>
      </left>
      <right style="thin">
        <color auto="1"/>
      </right>
      <top style="dotted">
        <color auto="1"/>
      </top>
      <bottom style="medium">
        <color auto="1"/>
      </bottom>
      <diagonal/>
    </border>
    <border>
      <left style="thin">
        <color rgb="FF000000"/>
      </left>
      <right style="thin">
        <color rgb="FF000000"/>
      </right>
      <top/>
      <bottom/>
      <diagonal/>
    </border>
    <border>
      <left style="thin">
        <color auto="1"/>
      </left>
      <right/>
      <top style="thin">
        <color auto="1"/>
      </top>
      <bottom style="thin">
        <color rgb="FF000000"/>
      </bottom>
      <diagonal/>
    </border>
    <border>
      <left/>
      <right style="thin">
        <color rgb="FF000000"/>
      </right>
      <top style="thin">
        <color rgb="FF000000"/>
      </top>
      <bottom/>
      <diagonal/>
    </border>
    <border>
      <left style="dotted">
        <color rgb="FF000000"/>
      </left>
      <right style="dotted">
        <color rgb="FF000000"/>
      </right>
      <top style="dotted">
        <color auto="1"/>
      </top>
      <bottom style="dotted">
        <color auto="1"/>
      </bottom>
      <diagonal/>
    </border>
    <border>
      <left/>
      <right/>
      <top style="medium">
        <color auto="1"/>
      </top>
      <bottom/>
      <diagonal/>
    </border>
    <border>
      <left style="thin">
        <color auto="1"/>
      </left>
      <right/>
      <top style="dotted">
        <color auto="1"/>
      </top>
      <bottom style="dotted">
        <color auto="1"/>
      </bottom>
      <diagonal/>
    </border>
    <border>
      <left style="dotted">
        <color rgb="FF000000"/>
      </left>
      <right style="dotted">
        <color rgb="FF000000"/>
      </right>
      <top style="dotted">
        <color auto="1"/>
      </top>
      <bottom/>
      <diagonal/>
    </border>
    <border>
      <left style="dotted">
        <color rgb="FF000000"/>
      </left>
      <right style="dotted">
        <color rgb="FF000000"/>
      </right>
      <top style="thin">
        <color rgb="FF000000"/>
      </top>
      <bottom/>
      <diagonal/>
    </border>
    <border>
      <left/>
      <right style="dotted">
        <color auto="1"/>
      </right>
      <top style="dotted">
        <color auto="1"/>
      </top>
      <bottom/>
      <diagonal/>
    </border>
    <border>
      <left style="dotted">
        <color rgb="FF000000"/>
      </left>
      <right style="dotted">
        <color auto="1"/>
      </right>
      <top style="dotted">
        <color rgb="FF000000"/>
      </top>
      <bottom style="dotted">
        <color rgb="FF000000"/>
      </bottom>
      <diagonal/>
    </border>
    <border>
      <left/>
      <right style="dotted">
        <color rgb="FF000000"/>
      </right>
      <top style="dotted">
        <color rgb="FF000000"/>
      </top>
      <bottom style="dotted">
        <color rgb="FF000000"/>
      </bottom>
      <diagonal/>
    </border>
    <border>
      <left/>
      <right style="thin">
        <color auto="1"/>
      </right>
      <top style="dotted">
        <color auto="1"/>
      </top>
      <bottom style="dotted">
        <color auto="1"/>
      </bottom>
      <diagonal/>
    </border>
    <border>
      <left/>
      <right style="dotted">
        <color auto="1"/>
      </right>
      <top/>
      <bottom style="dotted">
        <color auto="1"/>
      </bottom>
      <diagonal/>
    </border>
    <border>
      <left style="thin">
        <color auto="1"/>
      </left>
      <right style="dotted">
        <color auto="1"/>
      </right>
      <top style="thin">
        <color rgb="FF000000"/>
      </top>
      <bottom style="medium">
        <color rgb="FF000000"/>
      </bottom>
      <diagonal/>
    </border>
    <border>
      <left style="dotted">
        <color rgb="FF000000"/>
      </left>
      <right style="dotted">
        <color rgb="FF000000"/>
      </right>
      <top style="thin">
        <color rgb="FF000000"/>
      </top>
      <bottom style="medium">
        <color rgb="FF000000"/>
      </bottom>
      <diagonal/>
    </border>
    <border>
      <left style="thin">
        <color auto="1"/>
      </left>
      <right style="dotted">
        <color auto="1"/>
      </right>
      <top style="dotted">
        <color auto="1"/>
      </top>
      <bottom/>
      <diagonal/>
    </border>
    <border>
      <left/>
      <right style="thin">
        <color indexed="64"/>
      </right>
      <top/>
      <bottom style="thin">
        <color indexed="64"/>
      </bottom>
      <diagonal/>
    </border>
    <border>
      <left/>
      <right/>
      <top style="thin">
        <color rgb="FF000000"/>
      </top>
      <bottom/>
      <diagonal/>
    </border>
    <border>
      <left style="thin">
        <color rgb="FF000000"/>
      </left>
      <right/>
      <top style="medium">
        <color auto="1"/>
      </top>
      <bottom style="medium">
        <color auto="1"/>
      </bottom>
      <diagonal/>
    </border>
    <border>
      <left/>
      <right style="thin">
        <color rgb="FF000000"/>
      </right>
      <top style="medium">
        <color auto="1"/>
      </top>
      <bottom style="medium">
        <color auto="1"/>
      </bottom>
      <diagonal/>
    </border>
    <border>
      <left style="thin">
        <color rgb="FF000000"/>
      </left>
      <right/>
      <top style="medium">
        <color auto="1"/>
      </top>
      <bottom style="thin">
        <color auto="1"/>
      </bottom>
      <diagonal/>
    </border>
    <border>
      <left/>
      <right style="thin">
        <color rgb="FF000000"/>
      </right>
      <top style="medium">
        <color auto="1"/>
      </top>
      <bottom style="thin">
        <color auto="1"/>
      </bottom>
      <diagonal/>
    </border>
    <border>
      <left style="thin">
        <color rgb="FF000000"/>
      </left>
      <right/>
      <top style="thin">
        <color auto="1"/>
      </top>
      <bottom/>
      <diagonal/>
    </border>
    <border>
      <left/>
      <right style="thin">
        <color rgb="FF000000"/>
      </right>
      <top style="thin">
        <color auto="1"/>
      </top>
      <bottom/>
      <diagonal/>
    </border>
    <border>
      <left/>
      <right style="thin">
        <color rgb="FF000000"/>
      </right>
      <top/>
      <bottom/>
      <diagonal/>
    </border>
    <border>
      <left/>
      <right style="thin">
        <color rgb="FF000000"/>
      </right>
      <top style="mediumDashed">
        <color auto="1"/>
      </top>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dotted">
        <color auto="1"/>
      </top>
      <bottom style="dotted">
        <color auto="1"/>
      </bottom>
      <diagonal/>
    </border>
    <border>
      <left style="medium">
        <color rgb="FF000000"/>
      </left>
      <right style="medium">
        <color rgb="FF000000"/>
      </right>
      <top style="dotted">
        <color auto="1"/>
      </top>
      <bottom/>
      <diagonal/>
    </border>
    <border>
      <left style="medium">
        <color rgb="FF000000"/>
      </left>
      <right style="medium">
        <color rgb="FF000000"/>
      </right>
      <top style="dotted">
        <color rgb="FF000000"/>
      </top>
      <bottom style="dotted">
        <color rgb="FF000000"/>
      </bottom>
      <diagonal/>
    </border>
    <border>
      <left style="medium">
        <color rgb="FF000000"/>
      </left>
      <right style="medium">
        <color rgb="FF000000"/>
      </right>
      <top style="dotted">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dotted">
        <color rgb="FF000000"/>
      </right>
      <top/>
      <bottom style="dotted">
        <color rgb="FF000000"/>
      </bottom>
      <diagonal/>
    </border>
    <border>
      <left/>
      <right style="dotted">
        <color rgb="FF000000"/>
      </right>
      <top/>
      <bottom style="dotted">
        <color rgb="FF000000"/>
      </bottom>
      <diagonal/>
    </border>
    <border>
      <left/>
      <right style="medium">
        <color rgb="FF000000"/>
      </right>
      <top/>
      <bottom style="dotted">
        <color rgb="FF000000"/>
      </bottom>
      <diagonal/>
    </border>
    <border>
      <left style="medium">
        <color rgb="FF000000"/>
      </left>
      <right style="dotted">
        <color rgb="FF000000"/>
      </right>
      <top/>
      <bottom style="medium">
        <color rgb="FF000000"/>
      </bottom>
      <diagonal/>
    </border>
    <border>
      <left/>
      <right style="dotted">
        <color rgb="FF000000"/>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medium">
        <color rgb="FF000000"/>
      </bottom>
      <diagonal/>
    </border>
    <border>
      <left/>
      <right style="dotted">
        <color rgb="FF000000"/>
      </right>
      <top style="medium">
        <color rgb="FF000000"/>
      </top>
      <bottom style="medium">
        <color rgb="FF000000"/>
      </bottom>
      <diagonal/>
    </border>
    <border>
      <left style="medium">
        <color rgb="FF000000"/>
      </left>
      <right style="dotted">
        <color rgb="FF000000"/>
      </right>
      <top style="medium">
        <color rgb="FF000000"/>
      </top>
      <bottom style="dotted">
        <color rgb="FF000000"/>
      </bottom>
      <diagonal/>
    </border>
    <border>
      <left/>
      <right style="medium">
        <color rgb="FF000000"/>
      </right>
      <top style="medium">
        <color rgb="FF000000"/>
      </top>
      <bottom/>
      <diagonal/>
    </border>
    <border>
      <left/>
      <right style="medium">
        <color rgb="FF000000"/>
      </right>
      <top style="dotted">
        <color rgb="FF000000"/>
      </top>
      <bottom style="dotted">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dotted">
        <color auto="1"/>
      </bottom>
      <diagonal/>
    </border>
    <border>
      <left style="thin">
        <color auto="1"/>
      </left>
      <right/>
      <top style="thin">
        <color rgb="FF000000"/>
      </top>
      <bottom/>
      <diagonal/>
    </border>
    <border>
      <left style="thin">
        <color indexed="64"/>
      </left>
      <right style="thin">
        <color indexed="64"/>
      </right>
      <top style="thin">
        <color indexed="64"/>
      </top>
      <bottom style="thin">
        <color rgb="FF000000"/>
      </bottom>
      <diagonal/>
    </border>
    <border>
      <left style="thin">
        <color rgb="FF000000"/>
      </left>
      <right style="thin">
        <color auto="1"/>
      </right>
      <top style="dotted">
        <color auto="1"/>
      </top>
      <bottom style="medium">
        <color auto="1"/>
      </bottom>
      <diagonal/>
    </border>
    <border>
      <left/>
      <right style="dotted">
        <color auto="1"/>
      </right>
      <top style="dotted">
        <color auto="1"/>
      </top>
      <bottom style="medium">
        <color rgb="FF000000"/>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5" fillId="0" borderId="0"/>
    <xf numFmtId="0" fontId="4" fillId="0" borderId="0"/>
    <xf numFmtId="44" fontId="4" fillId="0" borderId="0" applyFont="0" applyFill="0" applyBorder="0" applyAlignment="0" applyProtection="0"/>
  </cellStyleXfs>
  <cellXfs count="1112">
    <xf numFmtId="0" fontId="0" fillId="0" borderId="0" xfId="0"/>
    <xf numFmtId="164" fontId="2" fillId="2" borderId="5" xfId="0" applyNumberFormat="1" applyFont="1" applyFill="1" applyBorder="1" applyAlignment="1">
      <alignment horizontal="center" vertical="center"/>
    </xf>
    <xf numFmtId="164" fontId="0" fillId="2" borderId="0" xfId="0" applyNumberFormat="1" applyFill="1" applyAlignment="1">
      <alignment horizontal="center" vertical="center"/>
    </xf>
    <xf numFmtId="164" fontId="0" fillId="2" borderId="0" xfId="0" applyNumberFormat="1" applyFill="1" applyAlignment="1">
      <alignment horizontal="left" vertical="center"/>
    </xf>
    <xf numFmtId="164" fontId="3" fillId="2" borderId="0" xfId="0" applyNumberFormat="1" applyFont="1" applyFill="1" applyAlignment="1">
      <alignment horizontal="center" vertical="center"/>
    </xf>
    <xf numFmtId="164" fontId="0" fillId="2" borderId="8" xfId="0" applyNumberFormat="1" applyFill="1" applyBorder="1" applyAlignment="1">
      <alignment horizontal="center" vertical="center"/>
    </xf>
    <xf numFmtId="164" fontId="0" fillId="4" borderId="8" xfId="0" applyNumberFormat="1" applyFill="1" applyBorder="1" applyAlignment="1">
      <alignment horizontal="center" vertical="center"/>
    </xf>
    <xf numFmtId="164" fontId="0" fillId="4" borderId="9" xfId="0" applyNumberFormat="1" applyFill="1" applyBorder="1" applyAlignment="1">
      <alignment horizontal="center" vertical="center"/>
    </xf>
    <xf numFmtId="164" fontId="3" fillId="5" borderId="10" xfId="0" applyNumberFormat="1" applyFont="1" applyFill="1" applyBorder="1" applyAlignment="1">
      <alignment horizontal="center" vertical="center"/>
    </xf>
    <xf numFmtId="164" fontId="3" fillId="5" borderId="11" xfId="0" applyNumberFormat="1" applyFont="1" applyFill="1" applyBorder="1" applyAlignment="1">
      <alignment horizontal="center" vertical="center"/>
    </xf>
    <xf numFmtId="164" fontId="3" fillId="5" borderId="11" xfId="0" applyNumberFormat="1" applyFont="1" applyFill="1" applyBorder="1" applyAlignment="1">
      <alignment horizontal="left" vertical="center"/>
    </xf>
    <xf numFmtId="164" fontId="3" fillId="5" borderId="12" xfId="0" applyNumberFormat="1" applyFont="1" applyFill="1" applyBorder="1" applyAlignment="1">
      <alignment horizontal="center" vertical="center"/>
    </xf>
    <xf numFmtId="165" fontId="0" fillId="2" borderId="0" xfId="0" applyNumberFormat="1" applyFill="1" applyAlignment="1">
      <alignment horizontal="center" vertical="center"/>
    </xf>
    <xf numFmtId="165" fontId="3" fillId="5" borderId="11" xfId="0" applyNumberFormat="1" applyFont="1" applyFill="1" applyBorder="1" applyAlignment="1">
      <alignment horizontal="center" vertical="center"/>
    </xf>
    <xf numFmtId="164" fontId="0" fillId="2" borderId="8" xfId="0" applyNumberFormat="1" applyFill="1" applyBorder="1" applyAlignment="1">
      <alignment horizontal="left" vertical="center"/>
    </xf>
    <xf numFmtId="164" fontId="0" fillId="6" borderId="0" xfId="0" applyNumberFormat="1" applyFill="1" applyAlignment="1">
      <alignment horizontal="center" vertical="center"/>
    </xf>
    <xf numFmtId="164" fontId="0" fillId="2" borderId="14" xfId="0" applyNumberFormat="1" applyFill="1" applyBorder="1" applyAlignment="1">
      <alignment horizontal="center" vertical="center"/>
    </xf>
    <xf numFmtId="164" fontId="0" fillId="2" borderId="9" xfId="0" applyNumberFormat="1" applyFill="1" applyBorder="1" applyAlignment="1">
      <alignment horizontal="center" vertical="center"/>
    </xf>
    <xf numFmtId="164" fontId="0" fillId="2" borderId="16" xfId="0" applyNumberFormat="1" applyFill="1" applyBorder="1" applyAlignment="1">
      <alignment horizontal="center" vertical="center"/>
    </xf>
    <xf numFmtId="164" fontId="3" fillId="2" borderId="5" xfId="0" applyNumberFormat="1" applyFont="1" applyFill="1" applyBorder="1" applyAlignment="1">
      <alignment horizontal="center" vertical="center"/>
    </xf>
    <xf numFmtId="164" fontId="0" fillId="2" borderId="18" xfId="0" applyNumberFormat="1" applyFill="1" applyBorder="1" applyAlignment="1">
      <alignment horizontal="center" vertical="center"/>
    </xf>
    <xf numFmtId="164" fontId="0" fillId="2" borderId="19" xfId="0" applyNumberFormat="1" applyFill="1" applyBorder="1" applyAlignment="1">
      <alignment horizontal="center" vertical="center"/>
    </xf>
    <xf numFmtId="164" fontId="0" fillId="6" borderId="16" xfId="0" applyNumberFormat="1" applyFill="1" applyBorder="1" applyAlignment="1">
      <alignment horizontal="center" vertical="center"/>
    </xf>
    <xf numFmtId="164" fontId="8" fillId="2" borderId="0" xfId="0" applyNumberFormat="1" applyFont="1" applyFill="1" applyAlignment="1">
      <alignment horizontal="center" vertical="center"/>
    </xf>
    <xf numFmtId="164" fontId="9" fillId="2" borderId="0" xfId="0" applyNumberFormat="1" applyFont="1" applyFill="1" applyAlignment="1">
      <alignment horizontal="center" vertical="center"/>
    </xf>
    <xf numFmtId="164" fontId="0" fillId="4" borderId="18" xfId="0" applyNumberFormat="1" applyFill="1" applyBorder="1" applyAlignment="1">
      <alignment horizontal="center" vertical="center"/>
    </xf>
    <xf numFmtId="164" fontId="0" fillId="4" borderId="21" xfId="0" applyNumberFormat="1" applyFill="1" applyBorder="1" applyAlignment="1">
      <alignment horizontal="center" vertical="center"/>
    </xf>
    <xf numFmtId="164" fontId="3" fillId="0" borderId="0" xfId="0" applyNumberFormat="1" applyFont="1" applyAlignment="1">
      <alignment horizontal="center" vertical="center"/>
    </xf>
    <xf numFmtId="164" fontId="0" fillId="7" borderId="8" xfId="0" applyNumberFormat="1" applyFill="1" applyBorder="1" applyAlignment="1">
      <alignment horizontal="center" vertical="center"/>
    </xf>
    <xf numFmtId="164" fontId="11" fillId="4" borderId="8" xfId="0" applyNumberFormat="1" applyFont="1" applyFill="1" applyBorder="1" applyAlignment="1">
      <alignment horizontal="center" vertical="center"/>
    </xf>
    <xf numFmtId="164" fontId="0" fillId="0" borderId="0" xfId="0" applyNumberFormat="1" applyAlignment="1">
      <alignment horizontal="left" vertical="center"/>
    </xf>
    <xf numFmtId="164" fontId="12" fillId="4" borderId="8" xfId="0" applyNumberFormat="1" applyFont="1" applyFill="1" applyBorder="1" applyAlignment="1">
      <alignment horizontal="center" vertical="center"/>
    </xf>
    <xf numFmtId="164" fontId="11" fillId="4" borderId="8" xfId="0" applyNumberFormat="1" applyFont="1" applyFill="1" applyBorder="1" applyAlignment="1">
      <alignment horizontal="center" vertical="center" wrapText="1"/>
    </xf>
    <xf numFmtId="164" fontId="3" fillId="7" borderId="0" xfId="0" applyNumberFormat="1" applyFont="1" applyFill="1" applyAlignment="1">
      <alignment horizontal="center" vertical="center"/>
    </xf>
    <xf numFmtId="164" fontId="0" fillId="0" borderId="0" xfId="0" applyNumberFormat="1" applyAlignment="1">
      <alignment horizontal="center" vertical="center"/>
    </xf>
    <xf numFmtId="164" fontId="0" fillId="0" borderId="8" xfId="0" applyNumberFormat="1" applyBorder="1" applyAlignment="1">
      <alignment horizontal="center" vertical="center"/>
    </xf>
    <xf numFmtId="165" fontId="0" fillId="0" borderId="0" xfId="0" applyNumberFormat="1" applyAlignment="1">
      <alignment horizontal="center" vertical="center"/>
    </xf>
    <xf numFmtId="164" fontId="12" fillId="2" borderId="0" xfId="0" applyNumberFormat="1" applyFont="1" applyFill="1" applyAlignment="1">
      <alignment horizontal="left" vertical="center"/>
    </xf>
    <xf numFmtId="164" fontId="13" fillId="2" borderId="0" xfId="0" applyNumberFormat="1" applyFont="1" applyFill="1" applyAlignment="1">
      <alignment horizontal="center" vertical="center"/>
    </xf>
    <xf numFmtId="164" fontId="14" fillId="2" borderId="0" xfId="0" applyNumberFormat="1" applyFont="1" applyFill="1" applyAlignment="1">
      <alignment horizontal="center" vertical="center"/>
    </xf>
    <xf numFmtId="164" fontId="14" fillId="0" borderId="0" xfId="0" applyNumberFormat="1" applyFont="1" applyAlignment="1">
      <alignment horizontal="center" vertical="center"/>
    </xf>
    <xf numFmtId="164" fontId="0" fillId="4" borderId="35" xfId="0" applyNumberFormat="1" applyFill="1" applyBorder="1" applyAlignment="1">
      <alignment horizontal="center" vertical="center"/>
    </xf>
    <xf numFmtId="164" fontId="0" fillId="2" borderId="35" xfId="0" applyNumberFormat="1" applyFill="1" applyBorder="1" applyAlignment="1">
      <alignment horizontal="center" vertical="center"/>
    </xf>
    <xf numFmtId="167" fontId="3" fillId="2" borderId="0" xfId="0" applyNumberFormat="1" applyFont="1" applyFill="1" applyAlignment="1">
      <alignment horizontal="center" vertical="center"/>
    </xf>
    <xf numFmtId="0" fontId="18" fillId="2" borderId="20" xfId="0" applyFont="1" applyFill="1" applyBorder="1" applyAlignment="1">
      <alignment horizontal="center" vertical="center" wrapText="1"/>
    </xf>
    <xf numFmtId="0" fontId="18" fillId="2" borderId="20" xfId="1" applyFont="1" applyFill="1" applyBorder="1" applyAlignment="1">
      <alignment horizontal="center" vertical="center" wrapText="1"/>
    </xf>
    <xf numFmtId="0" fontId="18" fillId="7" borderId="20" xfId="1" applyFont="1" applyFill="1" applyBorder="1" applyAlignment="1">
      <alignment horizontal="center" vertical="center" wrapText="1"/>
    </xf>
    <xf numFmtId="14" fontId="18" fillId="2" borderId="20" xfId="1" applyNumberFormat="1" applyFont="1" applyFill="1" applyBorder="1" applyAlignment="1">
      <alignment horizontal="center" vertical="center"/>
    </xf>
    <xf numFmtId="0" fontId="18" fillId="2" borderId="20" xfId="1" applyFont="1" applyFill="1" applyBorder="1" applyAlignment="1">
      <alignment horizontal="center" vertical="center"/>
    </xf>
    <xf numFmtId="0" fontId="15" fillId="7" borderId="20" xfId="3" applyFont="1" applyFill="1" applyBorder="1" applyAlignment="1">
      <alignment horizontal="center" vertical="center" wrapText="1"/>
    </xf>
    <xf numFmtId="0" fontId="15" fillId="7" borderId="20" xfId="0" applyFont="1" applyFill="1" applyBorder="1" applyAlignment="1">
      <alignment horizontal="center" vertical="center" wrapText="1"/>
    </xf>
    <xf numFmtId="0" fontId="18" fillId="7" borderId="20" xfId="0" applyFont="1" applyFill="1" applyBorder="1" applyAlignment="1">
      <alignment horizontal="center" vertical="center" wrapText="1"/>
    </xf>
    <xf numFmtId="0" fontId="18" fillId="7" borderId="20" xfId="1" applyFont="1" applyFill="1" applyBorder="1" applyAlignment="1">
      <alignment horizontal="center" vertical="center"/>
    </xf>
    <xf numFmtId="0" fontId="18" fillId="7" borderId="20" xfId="0" applyFont="1" applyFill="1" applyBorder="1" applyAlignment="1">
      <alignment horizontal="center" vertical="center"/>
    </xf>
    <xf numFmtId="0" fontId="15" fillId="7" borderId="22" xfId="1" applyFont="1" applyFill="1" applyBorder="1" applyAlignment="1">
      <alignment horizontal="center" vertical="center" wrapText="1"/>
    </xf>
    <xf numFmtId="0" fontId="18" fillId="2" borderId="20" xfId="0" applyFont="1" applyFill="1" applyBorder="1" applyAlignment="1">
      <alignment horizontal="center" vertical="center"/>
    </xf>
    <xf numFmtId="14" fontId="18" fillId="7" borderId="20" xfId="1" applyNumberFormat="1" applyFont="1" applyFill="1" applyBorder="1" applyAlignment="1">
      <alignment horizontal="center" vertical="center"/>
    </xf>
    <xf numFmtId="0" fontId="18" fillId="0" borderId="22" xfId="1" applyFont="1" applyBorder="1" applyAlignment="1">
      <alignment horizontal="center" vertical="center"/>
    </xf>
    <xf numFmtId="0" fontId="18" fillId="0" borderId="20" xfId="1" applyFont="1" applyBorder="1" applyAlignment="1">
      <alignment horizontal="center" vertical="center" wrapText="1"/>
    </xf>
    <xf numFmtId="0" fontId="18" fillId="2" borderId="20" xfId="3" applyFont="1" applyFill="1" applyBorder="1" applyAlignment="1">
      <alignment horizontal="center" vertical="center" wrapText="1"/>
    </xf>
    <xf numFmtId="0" fontId="18" fillId="2" borderId="26" xfId="1" applyFont="1" applyFill="1" applyBorder="1" applyAlignment="1">
      <alignment horizontal="center" vertical="center" wrapText="1"/>
    </xf>
    <xf numFmtId="0" fontId="18" fillId="2" borderId="27" xfId="1" applyFont="1" applyFill="1" applyBorder="1" applyAlignment="1">
      <alignment horizontal="center" vertical="center" wrapText="1"/>
    </xf>
    <xf numFmtId="0" fontId="18" fillId="0" borderId="20" xfId="1" applyFont="1" applyBorder="1" applyAlignment="1">
      <alignment horizontal="center" vertical="center"/>
    </xf>
    <xf numFmtId="0" fontId="18" fillId="0" borderId="25" xfId="1" applyFont="1" applyBorder="1" applyAlignment="1">
      <alignment horizontal="center" vertical="center" wrapText="1"/>
    </xf>
    <xf numFmtId="0" fontId="18" fillId="0" borderId="28" xfId="1" applyFont="1" applyBorder="1" applyAlignment="1">
      <alignment horizontal="center" vertical="center"/>
    </xf>
    <xf numFmtId="0" fontId="18" fillId="0" borderId="25" xfId="1" applyFont="1" applyBorder="1" applyAlignment="1">
      <alignment horizontal="center" vertical="center"/>
    </xf>
    <xf numFmtId="14" fontId="18" fillId="0" borderId="20" xfId="1" applyNumberFormat="1" applyFont="1" applyBorder="1" applyAlignment="1">
      <alignment horizontal="center" vertical="center"/>
    </xf>
    <xf numFmtId="0" fontId="18" fillId="8" borderId="20" xfId="1" applyFont="1" applyFill="1" applyBorder="1" applyAlignment="1">
      <alignment horizontal="center" vertical="center" wrapText="1"/>
    </xf>
    <xf numFmtId="0" fontId="18" fillId="0" borderId="32" xfId="1" applyFont="1" applyBorder="1" applyAlignment="1">
      <alignment horizontal="center" vertical="center"/>
    </xf>
    <xf numFmtId="0" fontId="18" fillId="8" borderId="20" xfId="0" applyFont="1" applyFill="1" applyBorder="1" applyAlignment="1">
      <alignment horizontal="center" vertical="center" wrapText="1"/>
    </xf>
    <xf numFmtId="0" fontId="18" fillId="0" borderId="24" xfId="1" applyFont="1" applyBorder="1" applyAlignment="1">
      <alignment horizontal="center" vertical="center" wrapText="1"/>
    </xf>
    <xf numFmtId="0" fontId="18" fillId="2" borderId="28" xfId="1" applyFont="1" applyFill="1" applyBorder="1" applyAlignment="1">
      <alignment horizontal="center" vertical="center" wrapText="1"/>
    </xf>
    <xf numFmtId="0" fontId="18" fillId="0" borderId="20" xfId="0" applyFont="1" applyBorder="1" applyAlignment="1">
      <alignment horizontal="center" vertical="center" wrapText="1"/>
    </xf>
    <xf numFmtId="0" fontId="18" fillId="2" borderId="25" xfId="1" applyFont="1" applyFill="1" applyBorder="1" applyAlignment="1">
      <alignment horizontal="center" vertical="center"/>
    </xf>
    <xf numFmtId="0" fontId="18" fillId="0" borderId="27" xfId="1" applyFont="1" applyBorder="1" applyAlignment="1">
      <alignment horizontal="center" vertical="center" wrapText="1"/>
    </xf>
    <xf numFmtId="0" fontId="18" fillId="2" borderId="22" xfId="1" applyFont="1" applyFill="1" applyBorder="1" applyAlignment="1">
      <alignment horizontal="center" vertical="center" wrapText="1"/>
    </xf>
    <xf numFmtId="0" fontId="18" fillId="7" borderId="22" xfId="1" applyFont="1" applyFill="1" applyBorder="1" applyAlignment="1">
      <alignment horizontal="center" vertical="center" wrapText="1"/>
    </xf>
    <xf numFmtId="0" fontId="15" fillId="7" borderId="20" xfId="1" applyFont="1" applyFill="1" applyBorder="1" applyAlignment="1">
      <alignment horizontal="center" vertical="center" wrapText="1"/>
    </xf>
    <xf numFmtId="0" fontId="18" fillId="0" borderId="15" xfId="1" applyFont="1" applyBorder="1" applyAlignment="1">
      <alignment horizontal="center" vertical="center" wrapText="1"/>
    </xf>
    <xf numFmtId="0" fontId="18" fillId="0" borderId="15" xfId="1" applyFont="1" applyBorder="1" applyAlignment="1">
      <alignment horizontal="center" vertical="center"/>
    </xf>
    <xf numFmtId="0" fontId="18" fillId="2" borderId="15" xfId="1" applyFont="1" applyFill="1" applyBorder="1" applyAlignment="1">
      <alignment horizontal="center" vertical="center" wrapText="1"/>
    </xf>
    <xf numFmtId="0" fontId="18" fillId="2" borderId="25" xfId="1" applyFont="1" applyFill="1" applyBorder="1" applyAlignment="1">
      <alignment horizontal="center" vertical="center" wrapText="1"/>
    </xf>
    <xf numFmtId="0" fontId="21" fillId="7" borderId="22" xfId="1" applyFont="1" applyFill="1" applyBorder="1" applyAlignment="1">
      <alignment horizontal="center" vertical="center" wrapText="1"/>
    </xf>
    <xf numFmtId="0" fontId="18" fillId="2" borderId="31" xfId="1" applyFont="1" applyFill="1" applyBorder="1" applyAlignment="1">
      <alignment horizontal="center" vertical="center" wrapText="1"/>
    </xf>
    <xf numFmtId="0" fontId="18" fillId="2" borderId="20" xfId="1" quotePrefix="1" applyFont="1" applyFill="1" applyBorder="1" applyAlignment="1">
      <alignment horizontal="center" vertical="center" wrapText="1"/>
    </xf>
    <xf numFmtId="0" fontId="18" fillId="0" borderId="20" xfId="0" applyFont="1" applyBorder="1" applyAlignment="1">
      <alignment horizontal="center" vertical="center"/>
    </xf>
    <xf numFmtId="0" fontId="16" fillId="7" borderId="20" xfId="3" applyFont="1" applyFill="1" applyBorder="1" applyAlignment="1">
      <alignment horizontal="center" vertical="center" wrapText="1"/>
    </xf>
    <xf numFmtId="0" fontId="16" fillId="7" borderId="20" xfId="1" applyFont="1" applyFill="1" applyBorder="1" applyAlignment="1">
      <alignment horizontal="center" vertical="center" wrapText="1"/>
    </xf>
    <xf numFmtId="0" fontId="18" fillId="0" borderId="0" xfId="1" applyFont="1" applyAlignment="1">
      <alignment horizontal="center" vertical="center"/>
    </xf>
    <xf numFmtId="0" fontId="18" fillId="0" borderId="0" xfId="1" applyFont="1" applyAlignment="1">
      <alignment horizontal="center" vertical="center" wrapText="1"/>
    </xf>
    <xf numFmtId="0" fontId="18" fillId="8" borderId="0" xfId="1" applyFont="1" applyFill="1" applyAlignment="1">
      <alignment horizontal="center" vertical="center"/>
    </xf>
    <xf numFmtId="0" fontId="18" fillId="8" borderId="0" xfId="1" applyFont="1" applyFill="1" applyAlignment="1">
      <alignment horizontal="center" vertical="center" wrapText="1"/>
    </xf>
    <xf numFmtId="14" fontId="0" fillId="0" borderId="0" xfId="0" applyNumberFormat="1"/>
    <xf numFmtId="169" fontId="3" fillId="2" borderId="0" xfId="0" applyNumberFormat="1" applyFont="1" applyFill="1" applyAlignment="1">
      <alignment horizontal="center" vertical="center"/>
    </xf>
    <xf numFmtId="164" fontId="12" fillId="2" borderId="0" xfId="0" applyNumberFormat="1" applyFont="1" applyFill="1" applyAlignment="1">
      <alignment horizontal="center" vertical="center"/>
    </xf>
    <xf numFmtId="0" fontId="16" fillId="2" borderId="25" xfId="1" applyFont="1" applyFill="1" applyBorder="1" applyAlignment="1">
      <alignment horizontal="center" vertical="center" wrapText="1"/>
    </xf>
    <xf numFmtId="14" fontId="21" fillId="7" borderId="20" xfId="1" applyNumberFormat="1" applyFont="1" applyFill="1" applyBorder="1" applyAlignment="1">
      <alignment horizontal="center" vertical="center"/>
    </xf>
    <xf numFmtId="0" fontId="18" fillId="0" borderId="22" xfId="1" applyFont="1" applyBorder="1" applyAlignment="1">
      <alignment horizontal="center" vertical="center" wrapText="1"/>
    </xf>
    <xf numFmtId="0" fontId="18" fillId="2" borderId="0" xfId="1" applyFont="1" applyFill="1"/>
    <xf numFmtId="0" fontId="18" fillId="0" borderId="0" xfId="1" applyFont="1"/>
    <xf numFmtId="0" fontId="21" fillId="7" borderId="20" xfId="1" applyFont="1" applyFill="1" applyBorder="1" applyAlignment="1">
      <alignment horizontal="center" vertical="center" wrapText="1"/>
    </xf>
    <xf numFmtId="0" fontId="21" fillId="0" borderId="22" xfId="1" applyFont="1" applyBorder="1" applyAlignment="1">
      <alignment horizontal="center" vertical="center" wrapText="1"/>
    </xf>
    <xf numFmtId="0" fontId="21" fillId="0" borderId="20" xfId="1" applyFont="1" applyBorder="1" applyAlignment="1">
      <alignment horizontal="center" vertical="center" wrapText="1"/>
    </xf>
    <xf numFmtId="0" fontId="16" fillId="2" borderId="0" xfId="1" applyFont="1" applyFill="1"/>
    <xf numFmtId="0" fontId="19" fillId="2" borderId="0" xfId="1" applyFont="1" applyFill="1"/>
    <xf numFmtId="0" fontId="16" fillId="0" borderId="22" xfId="1" applyFont="1" applyBorder="1" applyAlignment="1">
      <alignment horizontal="center" vertical="center" wrapText="1"/>
    </xf>
    <xf numFmtId="0" fontId="15" fillId="0" borderId="22" xfId="1" applyFont="1" applyBorder="1" applyAlignment="1">
      <alignment horizontal="center" vertical="center" wrapText="1"/>
    </xf>
    <xf numFmtId="0" fontId="20" fillId="0" borderId="22" xfId="1" applyFont="1" applyBorder="1" applyAlignment="1">
      <alignment horizontal="center" vertical="center" wrapText="1"/>
    </xf>
    <xf numFmtId="0" fontId="16" fillId="2" borderId="22" xfId="1" applyFont="1" applyFill="1" applyBorder="1" applyAlignment="1">
      <alignment horizontal="center" vertical="center" wrapText="1"/>
    </xf>
    <xf numFmtId="0" fontId="20" fillId="2" borderId="22" xfId="1" applyFont="1" applyFill="1" applyBorder="1" applyAlignment="1">
      <alignment horizontal="center" vertical="center" wrapText="1"/>
    </xf>
    <xf numFmtId="0" fontId="18" fillId="2" borderId="29" xfId="1" applyFont="1" applyFill="1" applyBorder="1" applyAlignment="1">
      <alignment horizontal="center" vertical="center" wrapText="1"/>
    </xf>
    <xf numFmtId="0" fontId="18" fillId="0" borderId="20" xfId="1" applyFont="1" applyBorder="1"/>
    <xf numFmtId="0" fontId="18" fillId="0" borderId="25" xfId="1" applyFont="1" applyBorder="1"/>
    <xf numFmtId="0" fontId="18" fillId="0" borderId="29" xfId="1" applyFont="1" applyBorder="1" applyAlignment="1">
      <alignment horizontal="center" vertical="center" wrapText="1"/>
    </xf>
    <xf numFmtId="0" fontId="18" fillId="2" borderId="32" xfId="1" applyFont="1" applyFill="1" applyBorder="1" applyAlignment="1">
      <alignment horizontal="center" vertical="center" wrapText="1"/>
    </xf>
    <xf numFmtId="0" fontId="18" fillId="2" borderId="20" xfId="1" applyFont="1" applyFill="1" applyBorder="1"/>
    <xf numFmtId="0" fontId="18" fillId="2" borderId="25" xfId="1" applyFont="1" applyFill="1" applyBorder="1"/>
    <xf numFmtId="0" fontId="16" fillId="0" borderId="0" xfId="1" applyFont="1"/>
    <xf numFmtId="0" fontId="20" fillId="7" borderId="20" xfId="1" applyFont="1" applyFill="1" applyBorder="1" applyAlignment="1">
      <alignment horizontal="center" vertical="center" wrapText="1"/>
    </xf>
    <xf numFmtId="0" fontId="18" fillId="0" borderId="32" xfId="1" applyFont="1" applyBorder="1" applyAlignment="1">
      <alignment horizontal="center" vertical="center" wrapText="1"/>
    </xf>
    <xf numFmtId="0" fontId="19" fillId="0" borderId="0" xfId="1" applyFont="1"/>
    <xf numFmtId="0" fontId="18" fillId="2" borderId="28" xfId="1" applyFont="1" applyFill="1" applyBorder="1"/>
    <xf numFmtId="0" fontId="18" fillId="0" borderId="28" xfId="1" applyFont="1" applyBorder="1"/>
    <xf numFmtId="0" fontId="18" fillId="2" borderId="0" xfId="1" quotePrefix="1" applyFont="1" applyFill="1"/>
    <xf numFmtId="0" fontId="22" fillId="2" borderId="20" xfId="0" applyFont="1" applyFill="1" applyBorder="1" applyAlignment="1">
      <alignment horizontal="center" vertical="center" wrapText="1"/>
    </xf>
    <xf numFmtId="0" fontId="18" fillId="8" borderId="20" xfId="1" applyFont="1" applyFill="1" applyBorder="1" applyAlignment="1">
      <alignment horizontal="center" vertical="center"/>
    </xf>
    <xf numFmtId="14" fontId="18" fillId="8" borderId="20" xfId="1" applyNumberFormat="1" applyFont="1" applyFill="1" applyBorder="1" applyAlignment="1">
      <alignment horizontal="center" vertical="center"/>
    </xf>
    <xf numFmtId="43" fontId="18" fillId="2" borderId="20" xfId="1" applyNumberFormat="1" applyFont="1" applyFill="1" applyBorder="1" applyAlignment="1">
      <alignment horizontal="center" vertical="center" wrapText="1"/>
    </xf>
    <xf numFmtId="43" fontId="18" fillId="2" borderId="20" xfId="3" applyNumberFormat="1" applyFont="1" applyFill="1" applyBorder="1" applyAlignment="1">
      <alignment horizontal="center" vertical="center" wrapText="1"/>
    </xf>
    <xf numFmtId="0" fontId="18" fillId="2" borderId="27" xfId="1" applyFont="1" applyFill="1" applyBorder="1" applyAlignment="1">
      <alignment horizontal="center" vertical="center"/>
    </xf>
    <xf numFmtId="14" fontId="18" fillId="2" borderId="27" xfId="1" applyNumberFormat="1" applyFont="1" applyFill="1" applyBorder="1" applyAlignment="1">
      <alignment horizontal="center" vertical="center"/>
    </xf>
    <xf numFmtId="14" fontId="18" fillId="0" borderId="20" xfId="1" applyNumberFormat="1" applyFont="1" applyBorder="1" applyAlignment="1">
      <alignment horizontal="center" vertical="center" wrapText="1"/>
    </xf>
    <xf numFmtId="14" fontId="18" fillId="2" borderId="20" xfId="1" applyNumberFormat="1" applyFont="1" applyFill="1" applyBorder="1" applyAlignment="1">
      <alignment horizontal="center" vertical="center" wrapText="1"/>
    </xf>
    <xf numFmtId="0" fontId="18" fillId="13" borderId="20" xfId="1" applyFont="1" applyFill="1" applyBorder="1" applyAlignment="1">
      <alignment horizontal="center" vertical="center" wrapText="1"/>
    </xf>
    <xf numFmtId="8" fontId="23" fillId="0" borderId="0" xfId="0" applyNumberFormat="1" applyFont="1"/>
    <xf numFmtId="0" fontId="18" fillId="16" borderId="20" xfId="1" applyFont="1" applyFill="1" applyBorder="1" applyAlignment="1">
      <alignment horizontal="center" vertical="center" wrapText="1"/>
    </xf>
    <xf numFmtId="0" fontId="18" fillId="0" borderId="27" xfId="1" applyFont="1" applyBorder="1" applyAlignment="1">
      <alignment horizontal="center" vertical="center"/>
    </xf>
    <xf numFmtId="168" fontId="3" fillId="2" borderId="0" xfId="0" applyNumberFormat="1" applyFont="1" applyFill="1" applyAlignment="1">
      <alignment horizontal="center" vertical="center"/>
    </xf>
    <xf numFmtId="16" fontId="18" fillId="2" borderId="20" xfId="1" applyNumberFormat="1" applyFont="1" applyFill="1" applyBorder="1" applyAlignment="1">
      <alignment horizontal="center" vertical="center"/>
    </xf>
    <xf numFmtId="169" fontId="3" fillId="0" borderId="0" xfId="0" applyNumberFormat="1" applyFont="1" applyAlignment="1">
      <alignment horizontal="center" vertical="center"/>
    </xf>
    <xf numFmtId="170" fontId="3" fillId="0" borderId="0" xfId="0" applyNumberFormat="1" applyFont="1" applyAlignment="1">
      <alignment horizontal="center" vertical="center"/>
    </xf>
    <xf numFmtId="164" fontId="24" fillId="3" borderId="1" xfId="0" applyNumberFormat="1" applyFont="1" applyFill="1" applyBorder="1" applyAlignment="1">
      <alignment horizontal="left" vertical="center"/>
    </xf>
    <xf numFmtId="164" fontId="24" fillId="3" borderId="2" xfId="0" applyNumberFormat="1" applyFont="1" applyFill="1" applyBorder="1" applyAlignment="1">
      <alignment horizontal="center" vertical="center"/>
    </xf>
    <xf numFmtId="164" fontId="24" fillId="3" borderId="3" xfId="0" applyNumberFormat="1" applyFont="1" applyFill="1" applyBorder="1" applyAlignment="1">
      <alignment horizontal="center" vertical="center"/>
    </xf>
    <xf numFmtId="164" fontId="25" fillId="2" borderId="4" xfId="0" applyNumberFormat="1" applyFont="1" applyFill="1" applyBorder="1" applyAlignment="1">
      <alignment horizontal="left" vertical="center"/>
    </xf>
    <xf numFmtId="164" fontId="25" fillId="2" borderId="5" xfId="0" applyNumberFormat="1" applyFont="1" applyFill="1" applyBorder="1" applyAlignment="1">
      <alignment horizontal="center" vertical="center"/>
    </xf>
    <xf numFmtId="171" fontId="25" fillId="2" borderId="5" xfId="0" applyNumberFormat="1" applyFont="1" applyFill="1" applyBorder="1" applyAlignment="1">
      <alignment horizontal="center" vertical="center"/>
    </xf>
    <xf numFmtId="171" fontId="25" fillId="2" borderId="6" xfId="0" applyNumberFormat="1" applyFont="1" applyFill="1" applyBorder="1" applyAlignment="1">
      <alignment horizontal="center" vertical="center"/>
    </xf>
    <xf numFmtId="172" fontId="26" fillId="2" borderId="37" xfId="0" applyNumberFormat="1" applyFont="1" applyFill="1" applyBorder="1" applyAlignment="1">
      <alignment horizontal="left" vertical="center"/>
    </xf>
    <xf numFmtId="164" fontId="26" fillId="4" borderId="38" xfId="0" applyNumberFormat="1" applyFont="1" applyFill="1" applyBorder="1" applyAlignment="1">
      <alignment horizontal="center" vertical="center"/>
    </xf>
    <xf numFmtId="164" fontId="26" fillId="2" borderId="39" xfId="0" applyNumberFormat="1" applyFont="1" applyFill="1" applyBorder="1" applyAlignment="1">
      <alignment horizontal="center" vertical="center"/>
    </xf>
    <xf numFmtId="172" fontId="26" fillId="2" borderId="40" xfId="0" applyNumberFormat="1" applyFont="1" applyFill="1" applyBorder="1" applyAlignment="1">
      <alignment horizontal="left" vertical="center"/>
    </xf>
    <xf numFmtId="164" fontId="26" fillId="4" borderId="41" xfId="0" applyNumberFormat="1" applyFont="1" applyFill="1" applyBorder="1" applyAlignment="1">
      <alignment horizontal="center" vertical="center"/>
    </xf>
    <xf numFmtId="164" fontId="26" fillId="2" borderId="42" xfId="0" applyNumberFormat="1" applyFont="1" applyFill="1" applyBorder="1" applyAlignment="1">
      <alignment horizontal="center" vertical="center"/>
    </xf>
    <xf numFmtId="164" fontId="26" fillId="4" borderId="43" xfId="0" applyNumberFormat="1" applyFont="1" applyFill="1" applyBorder="1" applyAlignment="1">
      <alignment horizontal="center" vertical="center"/>
    </xf>
    <xf numFmtId="164" fontId="26" fillId="2" borderId="44" xfId="0" applyNumberFormat="1" applyFont="1" applyFill="1" applyBorder="1" applyAlignment="1">
      <alignment horizontal="center" vertical="center"/>
    </xf>
    <xf numFmtId="0" fontId="0" fillId="0" borderId="0" xfId="0" applyAlignment="1">
      <alignment horizontal="center" vertical="center"/>
    </xf>
    <xf numFmtId="14" fontId="0" fillId="7" borderId="0" xfId="0" applyNumberFormat="1" applyFill="1"/>
    <xf numFmtId="0" fontId="0" fillId="7" borderId="0" xfId="0" applyFill="1"/>
    <xf numFmtId="0" fontId="18" fillId="0" borderId="34" xfId="1" applyFont="1" applyBorder="1" applyAlignment="1">
      <alignment horizontal="center" vertical="center" wrapText="1"/>
    </xf>
    <xf numFmtId="0" fontId="19" fillId="7" borderId="20" xfId="1" applyFont="1" applyFill="1" applyBorder="1" applyAlignment="1">
      <alignment horizontal="center" vertical="center" wrapText="1"/>
    </xf>
    <xf numFmtId="164" fontId="26" fillId="2" borderId="42" xfId="0" applyNumberFormat="1" applyFont="1" applyFill="1" applyBorder="1" applyAlignment="1">
      <alignment horizontal="left" vertical="center"/>
    </xf>
    <xf numFmtId="164" fontId="27" fillId="4" borderId="41" xfId="0" applyNumberFormat="1" applyFont="1" applyFill="1" applyBorder="1" applyAlignment="1">
      <alignment horizontal="center" vertical="center"/>
    </xf>
    <xf numFmtId="0" fontId="18" fillId="2" borderId="31" xfId="1" applyFont="1" applyFill="1" applyBorder="1" applyAlignment="1">
      <alignment horizontal="center" vertical="center"/>
    </xf>
    <xf numFmtId="0" fontId="18" fillId="0" borderId="31" xfId="1" applyFont="1" applyBorder="1" applyAlignment="1">
      <alignment horizontal="center" vertical="center"/>
    </xf>
    <xf numFmtId="0" fontId="16" fillId="7" borderId="20" xfId="1" quotePrefix="1" applyFont="1" applyFill="1" applyBorder="1" applyAlignment="1">
      <alignment horizontal="center" vertical="center"/>
    </xf>
    <xf numFmtId="0" fontId="16" fillId="7" borderId="20" xfId="2" applyFont="1" applyFill="1" applyBorder="1" applyAlignment="1">
      <alignment horizontal="center" vertical="center" wrapText="1"/>
    </xf>
    <xf numFmtId="0" fontId="28" fillId="8" borderId="0" xfId="1" applyFont="1" applyFill="1" applyAlignment="1">
      <alignment horizontal="center" vertical="center"/>
    </xf>
    <xf numFmtId="0" fontId="28" fillId="0" borderId="0" xfId="1" applyFont="1" applyAlignment="1">
      <alignment horizontal="center" vertical="center"/>
    </xf>
    <xf numFmtId="0" fontId="28" fillId="2" borderId="0" xfId="1" applyFont="1" applyFill="1" applyAlignment="1">
      <alignment horizontal="center" vertical="center"/>
    </xf>
    <xf numFmtId="0" fontId="28" fillId="7" borderId="0" xfId="1" applyFont="1" applyFill="1" applyAlignment="1">
      <alignment horizontal="center" vertical="center"/>
    </xf>
    <xf numFmtId="0" fontId="21" fillId="7" borderId="20" xfId="3" applyFont="1" applyFill="1" applyBorder="1" applyAlignment="1">
      <alignment horizontal="center" vertical="center" wrapText="1"/>
    </xf>
    <xf numFmtId="0" fontId="21" fillId="7" borderId="20" xfId="1" applyFont="1" applyFill="1" applyBorder="1" applyAlignment="1">
      <alignment horizontal="center" vertical="center"/>
    </xf>
    <xf numFmtId="168" fontId="14" fillId="0" borderId="0" xfId="0" applyNumberFormat="1" applyFont="1" applyAlignment="1">
      <alignment horizontal="center" vertical="center"/>
    </xf>
    <xf numFmtId="0" fontId="18" fillId="0" borderId="20" xfId="1" quotePrefix="1" applyFont="1" applyBorder="1" applyAlignment="1">
      <alignment horizontal="center" vertical="center" wrapText="1"/>
    </xf>
    <xf numFmtId="170" fontId="3" fillId="2" borderId="0" xfId="0" applyNumberFormat="1" applyFont="1" applyFill="1" applyAlignment="1">
      <alignment horizontal="center" vertical="center"/>
    </xf>
    <xf numFmtId="173" fontId="3" fillId="2" borderId="0" xfId="0" applyNumberFormat="1" applyFont="1" applyFill="1" applyAlignment="1">
      <alignment horizontal="center" vertical="center"/>
    </xf>
    <xf numFmtId="0" fontId="18" fillId="0" borderId="20" xfId="3" applyFont="1" applyBorder="1" applyAlignment="1">
      <alignment horizontal="left" vertical="center" wrapText="1" indent="1"/>
    </xf>
    <xf numFmtId="0" fontId="18" fillId="0" borderId="20" xfId="3" applyFont="1" applyBorder="1" applyAlignment="1">
      <alignment horizontal="center" vertical="center" wrapText="1"/>
    </xf>
    <xf numFmtId="4" fontId="18" fillId="2" borderId="20" xfId="1" applyNumberFormat="1" applyFont="1" applyFill="1" applyBorder="1" applyAlignment="1">
      <alignment horizontal="center" vertical="center" wrapText="1"/>
    </xf>
    <xf numFmtId="168" fontId="3" fillId="0" borderId="0" xfId="0" applyNumberFormat="1" applyFont="1" applyAlignment="1">
      <alignment horizontal="center" vertical="center"/>
    </xf>
    <xf numFmtId="0" fontId="18" fillId="0" borderId="36" xfId="1" applyFont="1" applyBorder="1" applyAlignment="1">
      <alignment horizontal="center" vertical="center"/>
    </xf>
    <xf numFmtId="0" fontId="18" fillId="5" borderId="20" xfId="1" applyFont="1" applyFill="1" applyBorder="1" applyAlignment="1">
      <alignment horizontal="center" vertical="center" wrapText="1"/>
    </xf>
    <xf numFmtId="0" fontId="18" fillId="5" borderId="0" xfId="1" applyFont="1" applyFill="1"/>
    <xf numFmtId="0" fontId="18" fillId="2" borderId="36" xfId="1" applyFont="1" applyFill="1" applyBorder="1" applyAlignment="1">
      <alignment horizontal="center" vertical="center"/>
    </xf>
    <xf numFmtId="0" fontId="18" fillId="7" borderId="31" xfId="1" applyFont="1" applyFill="1" applyBorder="1" applyAlignment="1">
      <alignment horizontal="center" vertical="center"/>
    </xf>
    <xf numFmtId="164" fontId="12" fillId="2" borderId="8" xfId="0" applyNumberFormat="1" applyFont="1" applyFill="1" applyBorder="1" applyAlignment="1">
      <alignment horizontal="center" vertical="center"/>
    </xf>
    <xf numFmtId="165" fontId="12" fillId="2" borderId="0" xfId="0" applyNumberFormat="1" applyFont="1" applyFill="1" applyAlignment="1">
      <alignment horizontal="center" vertical="center"/>
    </xf>
    <xf numFmtId="172" fontId="27" fillId="2" borderId="40" xfId="0" applyNumberFormat="1" applyFont="1" applyFill="1" applyBorder="1" applyAlignment="1">
      <alignment horizontal="left" vertical="center"/>
    </xf>
    <xf numFmtId="14" fontId="16" fillId="7" borderId="20" xfId="1" applyNumberFormat="1" applyFont="1" applyFill="1" applyBorder="1" applyAlignment="1">
      <alignment horizontal="center" vertical="center"/>
    </xf>
    <xf numFmtId="167" fontId="3" fillId="0" borderId="0" xfId="0" applyNumberFormat="1" applyFont="1" applyAlignment="1">
      <alignment horizontal="center" vertical="center"/>
    </xf>
    <xf numFmtId="0" fontId="18" fillId="7" borderId="20" xfId="3" applyFont="1" applyFill="1" applyBorder="1" applyAlignment="1">
      <alignment horizontal="center" vertical="center" wrapText="1"/>
    </xf>
    <xf numFmtId="174" fontId="0" fillId="0" borderId="0" xfId="0" applyNumberFormat="1"/>
    <xf numFmtId="174" fontId="0" fillId="7" borderId="0" xfId="0" applyNumberFormat="1" applyFill="1"/>
    <xf numFmtId="0" fontId="19" fillId="0" borderId="22" xfId="1" applyFont="1" applyBorder="1" applyAlignment="1">
      <alignment horizontal="center" vertical="center" wrapText="1"/>
    </xf>
    <xf numFmtId="175" fontId="3" fillId="2" borderId="0" xfId="0" applyNumberFormat="1" applyFont="1" applyFill="1" applyAlignment="1">
      <alignment horizontal="center" vertical="center"/>
    </xf>
    <xf numFmtId="14" fontId="18" fillId="5" borderId="20" xfId="1" applyNumberFormat="1" applyFont="1" applyFill="1" applyBorder="1" applyAlignment="1">
      <alignment horizontal="center" vertical="center"/>
    </xf>
    <xf numFmtId="0" fontId="18" fillId="0" borderId="29" xfId="1" applyFont="1" applyBorder="1" applyAlignment="1">
      <alignment horizontal="center" vertical="center"/>
    </xf>
    <xf numFmtId="166" fontId="18" fillId="2" borderId="20" xfId="1" applyNumberFormat="1" applyFont="1" applyFill="1" applyBorder="1" applyAlignment="1">
      <alignment horizontal="center" vertical="center" wrapText="1"/>
    </xf>
    <xf numFmtId="0" fontId="18" fillId="7" borderId="25" xfId="1" applyFont="1" applyFill="1" applyBorder="1" applyAlignment="1">
      <alignment horizontal="center" vertical="center"/>
    </xf>
    <xf numFmtId="0" fontId="18" fillId="0" borderId="20" xfId="1" quotePrefix="1" applyFont="1" applyBorder="1" applyAlignment="1">
      <alignment horizontal="center" vertical="center"/>
    </xf>
    <xf numFmtId="0" fontId="22" fillId="2" borderId="20" xfId="3" applyFont="1" applyFill="1" applyBorder="1" applyAlignment="1">
      <alignment horizontal="center" vertical="center" wrapText="1"/>
    </xf>
    <xf numFmtId="0" fontId="18" fillId="5" borderId="25" xfId="1" applyFont="1" applyFill="1" applyBorder="1" applyAlignment="1">
      <alignment horizontal="center" vertical="center"/>
    </xf>
    <xf numFmtId="0" fontId="18" fillId="5" borderId="29" xfId="1" applyFont="1" applyFill="1" applyBorder="1" applyAlignment="1">
      <alignment horizontal="center" vertical="center"/>
    </xf>
    <xf numFmtId="0" fontId="18" fillId="5" borderId="31" xfId="1" applyFont="1" applyFill="1" applyBorder="1" applyAlignment="1">
      <alignment horizontal="center" vertical="center"/>
    </xf>
    <xf numFmtId="0" fontId="18" fillId="7" borderId="36" xfId="1" applyFont="1" applyFill="1" applyBorder="1" applyAlignment="1">
      <alignment horizontal="center" vertical="center"/>
    </xf>
    <xf numFmtId="166" fontId="15" fillId="7" borderId="20" xfId="1" applyNumberFormat="1" applyFont="1" applyFill="1" applyBorder="1" applyAlignment="1">
      <alignment horizontal="center" vertical="center" wrapText="1"/>
    </xf>
    <xf numFmtId="0" fontId="19" fillId="7" borderId="20" xfId="3" applyFont="1" applyFill="1" applyBorder="1" applyAlignment="1">
      <alignment horizontal="center" vertical="center" wrapText="1"/>
    </xf>
    <xf numFmtId="0" fontId="19" fillId="7" borderId="20" xfId="2" applyFont="1" applyFill="1" applyBorder="1" applyAlignment="1">
      <alignment horizontal="center" vertical="center" wrapText="1"/>
    </xf>
    <xf numFmtId="14" fontId="19" fillId="7" borderId="20" xfId="1" applyNumberFormat="1" applyFont="1" applyFill="1" applyBorder="1" applyAlignment="1">
      <alignment horizontal="center" vertical="center"/>
    </xf>
    <xf numFmtId="0" fontId="18" fillId="0" borderId="20" xfId="2" applyFont="1" applyBorder="1" applyAlignment="1">
      <alignment horizontal="center" vertical="center" wrapText="1"/>
    </xf>
    <xf numFmtId="0" fontId="18" fillId="7" borderId="20" xfId="2" applyFont="1" applyFill="1" applyBorder="1" applyAlignment="1">
      <alignment horizontal="center" vertical="center" wrapText="1"/>
    </xf>
    <xf numFmtId="0" fontId="18" fillId="0" borderId="20" xfId="2" applyFont="1" applyBorder="1" applyAlignment="1">
      <alignment horizontal="center" vertical="center" wrapText="1" indent="1"/>
    </xf>
    <xf numFmtId="16" fontId="18" fillId="0" borderId="20" xfId="1" applyNumberFormat="1" applyFont="1" applyBorder="1" applyAlignment="1">
      <alignment horizontal="center" vertical="center"/>
    </xf>
    <xf numFmtId="16" fontId="18" fillId="7" borderId="20" xfId="1" applyNumberFormat="1" applyFont="1" applyFill="1" applyBorder="1" applyAlignment="1">
      <alignment horizontal="center" vertical="center"/>
    </xf>
    <xf numFmtId="0" fontId="18" fillId="2" borderId="20" xfId="0" applyFont="1" applyFill="1" applyBorder="1" applyAlignment="1">
      <alignment horizontal="center" vertical="center" wrapText="1" indent="1"/>
    </xf>
    <xf numFmtId="0" fontId="18" fillId="13" borderId="20" xfId="1" applyFont="1" applyFill="1" applyBorder="1" applyAlignment="1">
      <alignment horizontal="center" vertical="center"/>
    </xf>
    <xf numFmtId="0" fontId="18" fillId="13" borderId="20" xfId="0" applyFont="1" applyFill="1" applyBorder="1" applyAlignment="1">
      <alignment horizontal="center" vertical="center" wrapText="1"/>
    </xf>
    <xf numFmtId="14" fontId="18" fillId="13" borderId="20" xfId="1" applyNumberFormat="1" applyFont="1" applyFill="1" applyBorder="1" applyAlignment="1">
      <alignment horizontal="center" vertical="center"/>
    </xf>
    <xf numFmtId="0" fontId="18" fillId="15" borderId="20" xfId="1" applyFont="1" applyFill="1" applyBorder="1" applyAlignment="1">
      <alignment horizontal="center" vertical="center"/>
    </xf>
    <xf numFmtId="0" fontId="18" fillId="14" borderId="20" xfId="1" applyFont="1" applyFill="1" applyBorder="1" applyAlignment="1">
      <alignment horizontal="center" vertical="center"/>
    </xf>
    <xf numFmtId="0" fontId="15" fillId="9" borderId="22" xfId="1" applyFont="1" applyFill="1" applyBorder="1" applyAlignment="1">
      <alignment horizontal="center" vertical="center"/>
    </xf>
    <xf numFmtId="0" fontId="17" fillId="7" borderId="22" xfId="1" applyFont="1" applyFill="1" applyBorder="1" applyAlignment="1">
      <alignment horizontal="center" vertical="center" wrapText="1"/>
    </xf>
    <xf numFmtId="0" fontId="21" fillId="2" borderId="22" xfId="1" applyFont="1" applyFill="1" applyBorder="1" applyAlignment="1">
      <alignment horizontal="center" vertical="center" wrapText="1"/>
    </xf>
    <xf numFmtId="0" fontId="20" fillId="2" borderId="25" xfId="1" applyFont="1" applyFill="1" applyBorder="1" applyAlignment="1">
      <alignment horizontal="center" vertical="center" wrapText="1"/>
    </xf>
    <xf numFmtId="0" fontId="18" fillId="0" borderId="31" xfId="1" applyFont="1" applyBorder="1"/>
    <xf numFmtId="0" fontId="18" fillId="12" borderId="22" xfId="1" applyFont="1" applyFill="1" applyBorder="1" applyAlignment="1">
      <alignment horizontal="center" vertical="center" wrapText="1"/>
    </xf>
    <xf numFmtId="0" fontId="18" fillId="0" borderId="33" xfId="1" applyFont="1" applyBorder="1" applyAlignment="1">
      <alignment horizontal="center" vertical="center" wrapText="1"/>
    </xf>
    <xf numFmtId="0" fontId="18" fillId="14" borderId="0" xfId="1" applyFont="1" applyFill="1"/>
    <xf numFmtId="0" fontId="18" fillId="0" borderId="28" xfId="1" applyFont="1" applyBorder="1" applyAlignment="1">
      <alignment horizontal="center" vertical="center" wrapText="1"/>
    </xf>
    <xf numFmtId="0" fontId="12" fillId="0" borderId="0" xfId="0" applyFont="1"/>
    <xf numFmtId="0" fontId="18" fillId="7" borderId="15" xfId="1" applyFont="1" applyFill="1" applyBorder="1" applyAlignment="1">
      <alignment horizontal="center" vertical="center"/>
    </xf>
    <xf numFmtId="0" fontId="18" fillId="0" borderId="46" xfId="1" applyFont="1" applyBorder="1" applyAlignment="1">
      <alignment horizontal="center" vertical="center"/>
    </xf>
    <xf numFmtId="0" fontId="18" fillId="0" borderId="30" xfId="1" applyFont="1" applyBorder="1" applyAlignment="1">
      <alignment horizontal="center" vertical="center" wrapText="1"/>
    </xf>
    <xf numFmtId="0" fontId="18" fillId="7" borderId="0" xfId="1" applyFont="1" applyFill="1"/>
    <xf numFmtId="0" fontId="18" fillId="0" borderId="26" xfId="1" applyFont="1" applyBorder="1" applyAlignment="1">
      <alignment horizontal="center" vertical="center"/>
    </xf>
    <xf numFmtId="0" fontId="18" fillId="0" borderId="7" xfId="1" applyFont="1" applyBorder="1" applyAlignment="1">
      <alignment horizontal="center" vertical="center"/>
    </xf>
    <xf numFmtId="0" fontId="18" fillId="0" borderId="26" xfId="1" applyFont="1" applyBorder="1" applyAlignment="1">
      <alignment horizontal="center" vertical="center" wrapText="1"/>
    </xf>
    <xf numFmtId="0" fontId="21" fillId="7" borderId="15" xfId="1" applyFont="1" applyFill="1" applyBorder="1" applyAlignment="1">
      <alignment horizontal="center" vertical="center"/>
    </xf>
    <xf numFmtId="0" fontId="18" fillId="2" borderId="15" xfId="1" applyFont="1" applyFill="1" applyBorder="1" applyAlignment="1">
      <alignment horizontal="center" vertical="center"/>
    </xf>
    <xf numFmtId="0" fontId="18" fillId="2" borderId="34" xfId="1" applyFont="1" applyFill="1" applyBorder="1" applyAlignment="1">
      <alignment horizontal="center" vertical="center" wrapText="1"/>
    </xf>
    <xf numFmtId="0" fontId="18" fillId="8" borderId="27" xfId="1" applyFont="1" applyFill="1" applyBorder="1" applyAlignment="1">
      <alignment horizontal="center" vertical="center" wrapText="1"/>
    </xf>
    <xf numFmtId="0" fontId="18" fillId="8" borderId="25" xfId="1" applyFont="1" applyFill="1" applyBorder="1" applyAlignment="1">
      <alignment horizontal="center" vertical="center"/>
    </xf>
    <xf numFmtId="0" fontId="18" fillId="8" borderId="26" xfId="1" applyFont="1" applyFill="1" applyBorder="1" applyAlignment="1">
      <alignment horizontal="center" vertical="center" wrapText="1"/>
    </xf>
    <xf numFmtId="14" fontId="18" fillId="2" borderId="25" xfId="1" applyNumberFormat="1" applyFont="1" applyFill="1" applyBorder="1" applyAlignment="1">
      <alignment horizontal="center" vertical="center" wrapText="1"/>
    </xf>
    <xf numFmtId="0" fontId="18" fillId="8" borderId="31" xfId="1" applyFont="1" applyFill="1" applyBorder="1" applyAlignment="1">
      <alignment horizontal="center" vertical="center"/>
    </xf>
    <xf numFmtId="0" fontId="18" fillId="8" borderId="29" xfId="1" applyFont="1" applyFill="1" applyBorder="1" applyAlignment="1">
      <alignment horizontal="center" vertical="center"/>
    </xf>
    <xf numFmtId="14" fontId="18" fillId="8" borderId="28" xfId="1" applyNumberFormat="1" applyFont="1" applyFill="1" applyBorder="1" applyAlignment="1">
      <alignment horizontal="center" vertical="center"/>
    </xf>
    <xf numFmtId="14" fontId="18" fillId="0" borderId="27" xfId="1" applyNumberFormat="1" applyFont="1" applyBorder="1" applyAlignment="1">
      <alignment horizontal="center" vertical="center"/>
    </xf>
    <xf numFmtId="164" fontId="0" fillId="0" borderId="0" xfId="0" applyNumberFormat="1"/>
    <xf numFmtId="164" fontId="27" fillId="2" borderId="42" xfId="0" applyNumberFormat="1" applyFont="1" applyFill="1" applyBorder="1" applyAlignment="1">
      <alignment horizontal="left" vertical="center"/>
    </xf>
    <xf numFmtId="0" fontId="18" fillId="7" borderId="20" xfId="1" quotePrefix="1" applyFont="1" applyFill="1" applyBorder="1" applyAlignment="1">
      <alignment horizontal="center" vertical="center" wrapText="1"/>
    </xf>
    <xf numFmtId="14" fontId="18" fillId="8" borderId="27" xfId="1" applyNumberFormat="1" applyFont="1" applyFill="1" applyBorder="1" applyAlignment="1">
      <alignment horizontal="center" vertical="center"/>
    </xf>
    <xf numFmtId="0" fontId="20" fillId="7" borderId="15" xfId="1" applyFont="1" applyFill="1" applyBorder="1" applyAlignment="1">
      <alignment horizontal="center" vertical="center"/>
    </xf>
    <xf numFmtId="0" fontId="20" fillId="7" borderId="29" xfId="1" applyFont="1" applyFill="1" applyBorder="1" applyAlignment="1">
      <alignment horizontal="center" vertical="center" wrapText="1"/>
    </xf>
    <xf numFmtId="0" fontId="20" fillId="7" borderId="20" xfId="1" quotePrefix="1" applyFont="1" applyFill="1" applyBorder="1" applyAlignment="1">
      <alignment horizontal="center" vertical="center" wrapText="1"/>
    </xf>
    <xf numFmtId="0" fontId="20" fillId="7" borderId="20" xfId="3" applyFont="1" applyFill="1" applyBorder="1" applyAlignment="1">
      <alignment horizontal="center" vertical="center" wrapText="1"/>
    </xf>
    <xf numFmtId="14" fontId="20" fillId="7" borderId="28" xfId="1" applyNumberFormat="1" applyFont="1" applyFill="1" applyBorder="1" applyAlignment="1">
      <alignment horizontal="center" vertical="center"/>
    </xf>
    <xf numFmtId="0" fontId="20" fillId="7" borderId="25" xfId="1" applyFont="1" applyFill="1" applyBorder="1" applyAlignment="1">
      <alignment horizontal="center" vertical="center"/>
    </xf>
    <xf numFmtId="0" fontId="19" fillId="7" borderId="20" xfId="1" applyFont="1" applyFill="1" applyBorder="1" applyAlignment="1">
      <alignment horizontal="center" vertical="center"/>
    </xf>
    <xf numFmtId="166" fontId="16" fillId="7" borderId="20" xfId="1" applyNumberFormat="1" applyFont="1" applyFill="1" applyBorder="1" applyAlignment="1">
      <alignment horizontal="center" vertical="center" wrapText="1"/>
    </xf>
    <xf numFmtId="0" fontId="20" fillId="7" borderId="20" xfId="1" applyFont="1" applyFill="1" applyBorder="1" applyAlignment="1">
      <alignment horizontal="center" vertical="center"/>
    </xf>
    <xf numFmtId="14" fontId="20" fillId="7" borderId="20" xfId="1" applyNumberFormat="1" applyFont="1" applyFill="1" applyBorder="1" applyAlignment="1">
      <alignment horizontal="center" vertical="center"/>
    </xf>
    <xf numFmtId="0" fontId="20" fillId="7" borderId="20" xfId="2" applyFont="1" applyFill="1" applyBorder="1" applyAlignment="1">
      <alignment horizontal="center" vertical="center" wrapText="1"/>
    </xf>
    <xf numFmtId="0" fontId="22" fillId="7" borderId="20" xfId="0" applyFont="1" applyFill="1" applyBorder="1" applyAlignment="1">
      <alignment horizontal="center" vertical="center" wrapText="1"/>
    </xf>
    <xf numFmtId="0" fontId="18" fillId="7" borderId="27" xfId="1" applyFont="1" applyFill="1" applyBorder="1" applyAlignment="1">
      <alignment horizontal="center" vertical="center"/>
    </xf>
    <xf numFmtId="0" fontId="18" fillId="7" borderId="27" xfId="1" applyFont="1" applyFill="1" applyBorder="1" applyAlignment="1">
      <alignment horizontal="center" vertical="center" wrapText="1"/>
    </xf>
    <xf numFmtId="0" fontId="16" fillId="7" borderId="25" xfId="1" applyFont="1" applyFill="1" applyBorder="1" applyAlignment="1">
      <alignment horizontal="center" vertical="center"/>
    </xf>
    <xf numFmtId="0" fontId="21" fillId="7" borderId="25" xfId="1" applyFont="1" applyFill="1" applyBorder="1" applyAlignment="1">
      <alignment horizontal="center" vertical="center"/>
    </xf>
    <xf numFmtId="0" fontId="21" fillId="7" borderId="20" xfId="1" quotePrefix="1" applyFont="1" applyFill="1" applyBorder="1" applyAlignment="1">
      <alignment horizontal="center" vertical="center"/>
    </xf>
    <xf numFmtId="43" fontId="18" fillId="7" borderId="20" xfId="3" applyNumberFormat="1" applyFont="1" applyFill="1" applyBorder="1" applyAlignment="1">
      <alignment horizontal="center" vertical="center" wrapText="1"/>
    </xf>
    <xf numFmtId="0" fontId="18" fillId="7" borderId="29" xfId="1" applyFont="1" applyFill="1" applyBorder="1" applyAlignment="1">
      <alignment horizontal="center" vertical="center"/>
    </xf>
    <xf numFmtId="0" fontId="18" fillId="7" borderId="22" xfId="1" applyFont="1" applyFill="1" applyBorder="1" applyAlignment="1">
      <alignment horizontal="center" vertical="center"/>
    </xf>
    <xf numFmtId="0" fontId="18" fillId="7" borderId="29" xfId="1" applyFont="1" applyFill="1" applyBorder="1" applyAlignment="1">
      <alignment horizontal="center" vertical="center" wrapText="1"/>
    </xf>
    <xf numFmtId="14" fontId="18" fillId="7" borderId="20" xfId="1" applyNumberFormat="1" applyFont="1" applyFill="1" applyBorder="1" applyAlignment="1">
      <alignment horizontal="center" vertical="center" wrapText="1"/>
    </xf>
    <xf numFmtId="14" fontId="18" fillId="7" borderId="25" xfId="1" applyNumberFormat="1" applyFont="1" applyFill="1" applyBorder="1" applyAlignment="1">
      <alignment horizontal="center" vertical="center" wrapText="1"/>
    </xf>
    <xf numFmtId="0" fontId="18" fillId="7" borderId="45" xfId="1" applyFont="1" applyFill="1" applyBorder="1" applyAlignment="1">
      <alignment horizontal="center" vertical="center" wrapText="1"/>
    </xf>
    <xf numFmtId="0" fontId="18" fillId="7" borderId="36" xfId="1" applyFont="1" applyFill="1" applyBorder="1" applyAlignment="1">
      <alignment horizontal="center" vertical="center" wrapText="1"/>
    </xf>
    <xf numFmtId="0" fontId="18" fillId="7" borderId="34" xfId="1" applyFont="1" applyFill="1" applyBorder="1" applyAlignment="1">
      <alignment horizontal="center" vertical="center" wrapText="1"/>
    </xf>
    <xf numFmtId="0" fontId="18" fillId="7" borderId="7" xfId="1" applyFont="1" applyFill="1" applyBorder="1" applyAlignment="1">
      <alignment horizontal="center" vertical="center"/>
    </xf>
    <xf numFmtId="166" fontId="20" fillId="7" borderId="20" xfId="1" applyNumberFormat="1" applyFont="1" applyFill="1" applyBorder="1" applyAlignment="1">
      <alignment horizontal="center" vertical="center" wrapText="1"/>
    </xf>
    <xf numFmtId="0" fontId="18" fillId="7" borderId="26" xfId="1" applyFont="1" applyFill="1" applyBorder="1" applyAlignment="1">
      <alignment horizontal="center" vertical="center" wrapText="1"/>
    </xf>
    <xf numFmtId="0" fontId="16" fillId="7" borderId="28" xfId="1" quotePrefix="1" applyFont="1" applyFill="1" applyBorder="1" applyAlignment="1">
      <alignment horizontal="center" vertical="center" wrapText="1"/>
    </xf>
    <xf numFmtId="0" fontId="18" fillId="7" borderId="25" xfId="1" applyFont="1" applyFill="1" applyBorder="1" applyAlignment="1">
      <alignment horizontal="center" vertical="center" wrapText="1"/>
    </xf>
    <xf numFmtId="14" fontId="18" fillId="7" borderId="28" xfId="1" applyNumberFormat="1" applyFont="1" applyFill="1" applyBorder="1" applyAlignment="1">
      <alignment horizontal="center" vertical="center"/>
    </xf>
    <xf numFmtId="0" fontId="15" fillId="7" borderId="27" xfId="3" applyFont="1" applyFill="1" applyBorder="1" applyAlignment="1">
      <alignment horizontal="center" vertical="center" wrapText="1"/>
    </xf>
    <xf numFmtId="0" fontId="18" fillId="7" borderId="28" xfId="1" applyFont="1" applyFill="1" applyBorder="1" applyAlignment="1">
      <alignment horizontal="center" vertical="center" wrapText="1"/>
    </xf>
    <xf numFmtId="0" fontId="18" fillId="7" borderId="30" xfId="1" applyFont="1" applyFill="1" applyBorder="1" applyAlignment="1">
      <alignment horizontal="center" vertical="center" wrapText="1"/>
    </xf>
    <xf numFmtId="0" fontId="30" fillId="7" borderId="20" xfId="0" applyFont="1" applyFill="1" applyBorder="1" applyAlignment="1">
      <alignment horizontal="center" vertical="center"/>
    </xf>
    <xf numFmtId="0" fontId="19" fillId="7" borderId="28" xfId="1" applyFont="1" applyFill="1" applyBorder="1" applyAlignment="1">
      <alignment horizontal="center" vertical="center" wrapText="1"/>
    </xf>
    <xf numFmtId="0" fontId="19" fillId="7" borderId="20" xfId="0" applyFont="1" applyFill="1" applyBorder="1" applyAlignment="1">
      <alignment horizontal="center" vertical="center"/>
    </xf>
    <xf numFmtId="0" fontId="31" fillId="7" borderId="20" xfId="0" applyFont="1" applyFill="1" applyBorder="1" applyAlignment="1">
      <alignment horizontal="center" vertical="center"/>
    </xf>
    <xf numFmtId="0" fontId="19" fillId="7" borderId="45" xfId="0" applyFont="1" applyFill="1" applyBorder="1" applyAlignment="1">
      <alignment horizontal="center" vertical="center" wrapText="1"/>
    </xf>
    <xf numFmtId="0" fontId="19" fillId="7" borderId="26" xfId="0" applyFont="1" applyFill="1" applyBorder="1" applyAlignment="1">
      <alignment horizontal="center" vertical="center" wrapText="1"/>
    </xf>
    <xf numFmtId="0" fontId="19" fillId="7" borderId="30" xfId="1" applyFont="1" applyFill="1" applyBorder="1" applyAlignment="1">
      <alignment horizontal="center" vertical="center" wrapText="1"/>
    </xf>
    <xf numFmtId="0" fontId="19" fillId="7" borderId="27" xfId="1" applyFont="1" applyFill="1" applyBorder="1" applyAlignment="1">
      <alignment horizontal="center" vertical="center"/>
    </xf>
    <xf numFmtId="0" fontId="32" fillId="7" borderId="20" xfId="0" applyFont="1" applyFill="1" applyBorder="1" applyAlignment="1">
      <alignment horizontal="center" vertical="center"/>
    </xf>
    <xf numFmtId="0" fontId="20" fillId="7" borderId="28" xfId="1" applyFont="1" applyFill="1" applyBorder="1" applyAlignment="1">
      <alignment horizontal="center" vertical="center" wrapText="1"/>
    </xf>
    <xf numFmtId="0" fontId="33" fillId="7" borderId="20" xfId="0" applyFont="1" applyFill="1" applyBorder="1" applyAlignment="1">
      <alignment horizontal="center" vertical="center"/>
    </xf>
    <xf numFmtId="0" fontId="20" fillId="7" borderId="20" xfId="3" quotePrefix="1" applyFont="1" applyFill="1" applyBorder="1" applyAlignment="1">
      <alignment horizontal="center" vertical="center" wrapText="1"/>
    </xf>
    <xf numFmtId="166" fontId="19" fillId="7" borderId="20" xfId="1" applyNumberFormat="1" applyFont="1" applyFill="1" applyBorder="1" applyAlignment="1">
      <alignment horizontal="center" vertical="center" wrapText="1"/>
    </xf>
    <xf numFmtId="0" fontId="19" fillId="7" borderId="20" xfId="3" quotePrefix="1" applyFont="1" applyFill="1" applyBorder="1" applyAlignment="1">
      <alignment horizontal="center" vertical="center" wrapText="1"/>
    </xf>
    <xf numFmtId="0" fontId="19" fillId="7" borderId="20" xfId="0" applyFont="1" applyFill="1" applyBorder="1" applyAlignment="1">
      <alignment horizontal="left" vertical="center" wrapText="1"/>
    </xf>
    <xf numFmtId="0" fontId="19" fillId="7" borderId="20" xfId="1" quotePrefix="1" applyFont="1" applyFill="1" applyBorder="1" applyAlignment="1">
      <alignment horizontal="center" vertical="center" wrapText="1"/>
    </xf>
    <xf numFmtId="0" fontId="19" fillId="7" borderId="20" xfId="0" applyFont="1" applyFill="1" applyBorder="1" applyAlignment="1">
      <alignment horizontal="center" vertical="center" wrapText="1"/>
    </xf>
    <xf numFmtId="0" fontId="20" fillId="7" borderId="20" xfId="0" applyFont="1" applyFill="1" applyBorder="1" applyAlignment="1">
      <alignment horizontal="center" vertical="center"/>
    </xf>
    <xf numFmtId="0" fontId="19" fillId="7" borderId="20" xfId="2" quotePrefix="1" applyFont="1" applyFill="1" applyBorder="1" applyAlignment="1">
      <alignment horizontal="center" vertical="center" wrapText="1"/>
    </xf>
    <xf numFmtId="0" fontId="34" fillId="7" borderId="20" xfId="1" applyFont="1" applyFill="1" applyBorder="1" applyAlignment="1">
      <alignment horizontal="center" vertical="center" wrapText="1"/>
    </xf>
    <xf numFmtId="0" fontId="20" fillId="7" borderId="20" xfId="0" applyFont="1" applyFill="1" applyBorder="1" applyAlignment="1">
      <alignment horizontal="center" vertical="center" wrapText="1"/>
    </xf>
    <xf numFmtId="14" fontId="20" fillId="7" borderId="20" xfId="1" applyNumberFormat="1" applyFont="1" applyFill="1" applyBorder="1" applyAlignment="1">
      <alignment horizontal="center" vertical="center" wrapText="1"/>
    </xf>
    <xf numFmtId="0" fontId="35" fillId="7" borderId="20" xfId="3" applyFont="1" applyFill="1" applyBorder="1" applyAlignment="1">
      <alignment horizontal="center" vertical="center" wrapText="1"/>
    </xf>
    <xf numFmtId="0" fontId="19" fillId="7" borderId="20" xfId="1" quotePrefix="1" applyFont="1" applyFill="1" applyBorder="1" applyAlignment="1">
      <alignment horizontal="center" vertical="center"/>
    </xf>
    <xf numFmtId="14" fontId="19" fillId="7" borderId="20" xfId="1" applyNumberFormat="1" applyFont="1" applyFill="1" applyBorder="1" applyAlignment="1">
      <alignment horizontal="center" vertical="center" wrapText="1"/>
    </xf>
    <xf numFmtId="0" fontId="19" fillId="7" borderId="31" xfId="1" applyFont="1" applyFill="1" applyBorder="1" applyAlignment="1">
      <alignment horizontal="center" vertical="center"/>
    </xf>
    <xf numFmtId="0" fontId="19" fillId="7" borderId="36" xfId="1" applyFont="1" applyFill="1" applyBorder="1" applyAlignment="1">
      <alignment horizontal="center" vertical="center"/>
    </xf>
    <xf numFmtId="0" fontId="19" fillId="7" borderId="27" xfId="0" applyFont="1" applyFill="1" applyBorder="1" applyAlignment="1">
      <alignment horizontal="center" vertical="center" wrapText="1"/>
    </xf>
    <xf numFmtId="0" fontId="19" fillId="7" borderId="25" xfId="1" applyFont="1" applyFill="1" applyBorder="1" applyAlignment="1">
      <alignment horizontal="center" vertical="center"/>
    </xf>
    <xf numFmtId="0" fontId="20" fillId="7" borderId="31" xfId="1" applyFont="1" applyFill="1" applyBorder="1" applyAlignment="1">
      <alignment horizontal="center" vertical="center"/>
    </xf>
    <xf numFmtId="0" fontId="20" fillId="7" borderId="20" xfId="1" quotePrefix="1" applyFont="1" applyFill="1" applyBorder="1" applyAlignment="1">
      <alignment horizontal="center" vertical="center"/>
    </xf>
    <xf numFmtId="0" fontId="19" fillId="7" borderId="15" xfId="1" applyFont="1" applyFill="1" applyBorder="1" applyAlignment="1">
      <alignment horizontal="center" vertical="center"/>
    </xf>
    <xf numFmtId="14" fontId="20" fillId="7" borderId="25" xfId="1" applyNumberFormat="1" applyFont="1" applyFill="1" applyBorder="1" applyAlignment="1">
      <alignment horizontal="center" vertical="center" wrapText="1"/>
    </xf>
    <xf numFmtId="0" fontId="35" fillId="7" borderId="0" xfId="0" applyFont="1" applyFill="1" applyAlignment="1">
      <alignment horizontal="center" vertical="center" wrapText="1"/>
    </xf>
    <xf numFmtId="0" fontId="19" fillId="7" borderId="25" xfId="2" applyFont="1" applyFill="1" applyBorder="1" applyAlignment="1">
      <alignment horizontal="center" vertical="center" wrapText="1"/>
    </xf>
    <xf numFmtId="0" fontId="35" fillId="7" borderId="20" xfId="0" applyFont="1" applyFill="1" applyBorder="1" applyAlignment="1">
      <alignment horizontal="center" vertical="center" wrapText="1"/>
    </xf>
    <xf numFmtId="0" fontId="19" fillId="7" borderId="46" xfId="1" applyFont="1" applyFill="1" applyBorder="1" applyAlignment="1">
      <alignment horizontal="center" vertical="center"/>
    </xf>
    <xf numFmtId="0" fontId="20" fillId="7" borderId="20" xfId="0" applyFont="1" applyFill="1" applyBorder="1" applyAlignment="1">
      <alignment horizontal="left" vertical="center" wrapText="1"/>
    </xf>
    <xf numFmtId="0" fontId="35" fillId="7" borderId="20" xfId="1" applyFont="1" applyFill="1" applyBorder="1" applyAlignment="1">
      <alignment horizontal="center" vertical="center" wrapText="1"/>
    </xf>
    <xf numFmtId="0" fontId="36" fillId="7" borderId="20" xfId="0" applyFont="1" applyFill="1" applyBorder="1" applyAlignment="1">
      <alignment horizontal="center" vertical="center" wrapText="1"/>
    </xf>
    <xf numFmtId="166" fontId="19" fillId="7" borderId="20" xfId="1" quotePrefix="1" applyNumberFormat="1" applyFont="1" applyFill="1" applyBorder="1" applyAlignment="1">
      <alignment horizontal="center" vertical="center" wrapText="1"/>
    </xf>
    <xf numFmtId="16" fontId="19" fillId="7" borderId="20" xfId="1" applyNumberFormat="1" applyFont="1" applyFill="1" applyBorder="1" applyAlignment="1">
      <alignment horizontal="center" vertical="center"/>
    </xf>
    <xf numFmtId="0" fontId="19" fillId="7" borderId="28" xfId="1" quotePrefix="1" applyFont="1" applyFill="1" applyBorder="1" applyAlignment="1">
      <alignment horizontal="center" vertical="center"/>
    </xf>
    <xf numFmtId="0" fontId="19" fillId="7" borderId="31" xfId="1" applyFont="1" applyFill="1" applyBorder="1" applyAlignment="1">
      <alignment horizontal="center" vertical="center" wrapText="1"/>
    </xf>
    <xf numFmtId="0" fontId="19" fillId="7" borderId="22" xfId="1" applyFont="1" applyFill="1" applyBorder="1" applyAlignment="1">
      <alignment horizontal="center" vertical="center"/>
    </xf>
    <xf numFmtId="0" fontId="19" fillId="7" borderId="22" xfId="1" quotePrefix="1" applyFont="1" applyFill="1" applyBorder="1" applyAlignment="1">
      <alignment horizontal="center" vertical="center"/>
    </xf>
    <xf numFmtId="4" fontId="19" fillId="7" borderId="20" xfId="1" applyNumberFormat="1" applyFont="1" applyFill="1" applyBorder="1" applyAlignment="1">
      <alignment horizontal="center" vertical="center" wrapText="1"/>
    </xf>
    <xf numFmtId="14" fontId="19" fillId="7" borderId="25" xfId="1" applyNumberFormat="1" applyFont="1" applyFill="1" applyBorder="1" applyAlignment="1">
      <alignment horizontal="center" vertical="center"/>
    </xf>
    <xf numFmtId="0" fontId="19" fillId="7" borderId="27" xfId="1" applyFont="1" applyFill="1" applyBorder="1" applyAlignment="1">
      <alignment horizontal="center" vertical="center" wrapText="1"/>
    </xf>
    <xf numFmtId="0" fontId="19" fillId="7" borderId="33" xfId="1" quotePrefix="1" applyFont="1" applyFill="1" applyBorder="1" applyAlignment="1">
      <alignment horizontal="center" vertical="center"/>
    </xf>
    <xf numFmtId="0" fontId="19" fillId="7" borderId="25" xfId="1" applyFont="1" applyFill="1" applyBorder="1" applyAlignment="1">
      <alignment horizontal="center" vertical="center" wrapText="1"/>
    </xf>
    <xf numFmtId="0" fontId="19" fillId="7" borderId="45" xfId="1" applyFont="1" applyFill="1" applyBorder="1" applyAlignment="1">
      <alignment horizontal="center" vertical="center" wrapText="1"/>
    </xf>
    <xf numFmtId="0" fontId="19" fillId="7" borderId="29" xfId="1" applyFont="1" applyFill="1" applyBorder="1" applyAlignment="1">
      <alignment horizontal="center" vertical="center" wrapText="1"/>
    </xf>
    <xf numFmtId="14" fontId="19" fillId="7" borderId="25" xfId="1" applyNumberFormat="1" applyFont="1" applyFill="1" applyBorder="1" applyAlignment="1">
      <alignment horizontal="center" vertical="center" wrapText="1"/>
    </xf>
    <xf numFmtId="0" fontId="19" fillId="7" borderId="34" xfId="1" applyFont="1" applyFill="1" applyBorder="1" applyAlignment="1">
      <alignment horizontal="center" vertical="center" wrapText="1"/>
    </xf>
    <xf numFmtId="14" fontId="19" fillId="7" borderId="28" xfId="1" applyNumberFormat="1" applyFont="1" applyFill="1" applyBorder="1" applyAlignment="1">
      <alignment horizontal="center" vertical="center"/>
    </xf>
    <xf numFmtId="0" fontId="19" fillId="7" borderId="25" xfId="3" applyFont="1" applyFill="1" applyBorder="1" applyAlignment="1">
      <alignment horizontal="center" vertical="center" wrapText="1"/>
    </xf>
    <xf numFmtId="0" fontId="19" fillId="7" borderId="26" xfId="1" applyFont="1" applyFill="1" applyBorder="1" applyAlignment="1">
      <alignment horizontal="center" vertical="center" wrapText="1"/>
    </xf>
    <xf numFmtId="14" fontId="19" fillId="7" borderId="47" xfId="1" applyNumberFormat="1" applyFont="1" applyFill="1" applyBorder="1" applyAlignment="1">
      <alignment horizontal="center" vertical="center"/>
    </xf>
    <xf numFmtId="0" fontId="19" fillId="7" borderId="7" xfId="1" applyFont="1" applyFill="1" applyBorder="1" applyAlignment="1">
      <alignment horizontal="center" vertical="center"/>
    </xf>
    <xf numFmtId="0" fontId="19" fillId="7" borderId="27" xfId="1" quotePrefix="1" applyFont="1" applyFill="1" applyBorder="1" applyAlignment="1">
      <alignment horizontal="center" vertical="center" wrapText="1"/>
    </xf>
    <xf numFmtId="0" fontId="19" fillId="7" borderId="27" xfId="3" applyFont="1" applyFill="1" applyBorder="1" applyAlignment="1">
      <alignment horizontal="center" vertical="center" wrapText="1"/>
    </xf>
    <xf numFmtId="0" fontId="19" fillId="7" borderId="27" xfId="2" applyFont="1" applyFill="1" applyBorder="1" applyAlignment="1">
      <alignment horizontal="center" vertical="center" wrapText="1"/>
    </xf>
    <xf numFmtId="14" fontId="19" fillId="7" borderId="27" xfId="1" applyNumberFormat="1" applyFont="1" applyFill="1" applyBorder="1" applyAlignment="1">
      <alignment horizontal="center" vertical="center"/>
    </xf>
    <xf numFmtId="0" fontId="19" fillId="7" borderId="34" xfId="1" applyFont="1" applyFill="1" applyBorder="1" applyAlignment="1">
      <alignment horizontal="center" vertical="center"/>
    </xf>
    <xf numFmtId="0" fontId="19" fillId="7" borderId="33" xfId="1" applyFont="1" applyFill="1" applyBorder="1" applyAlignment="1">
      <alignment horizontal="center" vertical="center"/>
    </xf>
    <xf numFmtId="44" fontId="19" fillId="7" borderId="0" xfId="0" applyNumberFormat="1" applyFont="1" applyFill="1" applyAlignment="1">
      <alignment vertical="center"/>
    </xf>
    <xf numFmtId="164" fontId="24" fillId="3" borderId="2" xfId="0" applyNumberFormat="1" applyFont="1" applyFill="1" applyBorder="1" applyAlignment="1">
      <alignment horizontal="left" vertical="center"/>
    </xf>
    <xf numFmtId="164" fontId="25" fillId="2" borderId="5" xfId="0" applyNumberFormat="1" applyFont="1" applyFill="1" applyBorder="1" applyAlignment="1">
      <alignment horizontal="center" vertical="center" wrapText="1"/>
    </xf>
    <xf numFmtId="164" fontId="25" fillId="2" borderId="49" xfId="0" applyNumberFormat="1" applyFont="1" applyFill="1" applyBorder="1" applyAlignment="1">
      <alignment horizontal="center" vertical="center"/>
    </xf>
    <xf numFmtId="0" fontId="29" fillId="2" borderId="52" xfId="0" applyFont="1" applyFill="1" applyBorder="1" applyAlignment="1">
      <alignment horizontal="center" vertical="center"/>
    </xf>
    <xf numFmtId="0" fontId="29" fillId="2" borderId="51" xfId="0" applyFont="1" applyFill="1" applyBorder="1" applyAlignment="1">
      <alignment horizontal="center" vertical="center"/>
    </xf>
    <xf numFmtId="0" fontId="29" fillId="2" borderId="48" xfId="0" applyFont="1" applyFill="1" applyBorder="1" applyAlignment="1">
      <alignment horizontal="center" vertical="center"/>
    </xf>
    <xf numFmtId="44" fontId="18" fillId="0" borderId="0" xfId="0" applyNumberFormat="1" applyFont="1" applyAlignment="1">
      <alignment horizontal="center" vertical="center"/>
    </xf>
    <xf numFmtId="164" fontId="26" fillId="2" borderId="56" xfId="0" applyNumberFormat="1" applyFont="1" applyFill="1" applyBorder="1" applyAlignment="1">
      <alignment horizontal="center" vertical="center"/>
    </xf>
    <xf numFmtId="164" fontId="40" fillId="2" borderId="42" xfId="0" applyNumberFormat="1" applyFont="1" applyFill="1" applyBorder="1" applyAlignment="1">
      <alignment horizontal="center" vertical="center"/>
    </xf>
    <xf numFmtId="174" fontId="26" fillId="4" borderId="41" xfId="0" applyNumberFormat="1" applyFont="1" applyFill="1" applyBorder="1" applyAlignment="1">
      <alignment horizontal="center" vertical="center"/>
    </xf>
    <xf numFmtId="174" fontId="26" fillId="4" borderId="53" xfId="0" applyNumberFormat="1" applyFont="1" applyFill="1" applyBorder="1" applyAlignment="1">
      <alignment horizontal="center" vertical="center"/>
    </xf>
    <xf numFmtId="174" fontId="26" fillId="4" borderId="54" xfId="0" applyNumberFormat="1" applyFont="1" applyFill="1" applyBorder="1" applyAlignment="1">
      <alignment horizontal="center" vertical="center"/>
    </xf>
    <xf numFmtId="174" fontId="26" fillId="4" borderId="57" xfId="0" applyNumberFormat="1" applyFont="1" applyFill="1" applyBorder="1" applyAlignment="1">
      <alignment horizontal="center" vertical="center"/>
    </xf>
    <xf numFmtId="174" fontId="27" fillId="4" borderId="41" xfId="0" applyNumberFormat="1" applyFont="1" applyFill="1" applyBorder="1" applyAlignment="1">
      <alignment horizontal="center" vertical="center"/>
    </xf>
    <xf numFmtId="174" fontId="26" fillId="4" borderId="43" xfId="0" applyNumberFormat="1" applyFont="1" applyFill="1" applyBorder="1" applyAlignment="1">
      <alignment horizontal="center" vertical="center"/>
    </xf>
    <xf numFmtId="172" fontId="26" fillId="2" borderId="40" xfId="0" applyNumberFormat="1" applyFont="1" applyFill="1" applyBorder="1" applyAlignment="1">
      <alignment horizontal="center" vertical="center"/>
    </xf>
    <xf numFmtId="172" fontId="26" fillId="2" borderId="58" xfId="0" applyNumberFormat="1" applyFont="1" applyFill="1" applyBorder="1" applyAlignment="1">
      <alignment horizontal="center" vertical="center"/>
    </xf>
    <xf numFmtId="0" fontId="29" fillId="2" borderId="59" xfId="0" applyFont="1" applyFill="1" applyBorder="1" applyAlignment="1">
      <alignment horizontal="center" vertical="center"/>
    </xf>
    <xf numFmtId="172" fontId="26" fillId="2" borderId="60" xfId="0" applyNumberFormat="1" applyFont="1" applyFill="1" applyBorder="1" applyAlignment="1">
      <alignment horizontal="center" vertical="center"/>
    </xf>
    <xf numFmtId="10" fontId="26" fillId="4" borderId="53" xfId="0" applyNumberFormat="1" applyFont="1" applyFill="1" applyBorder="1" applyAlignment="1">
      <alignment horizontal="center" vertical="center"/>
    </xf>
    <xf numFmtId="10" fontId="26" fillId="4" borderId="55" xfId="0" applyNumberFormat="1" applyFont="1" applyFill="1" applyBorder="1" applyAlignment="1">
      <alignment horizontal="center" vertical="center"/>
    </xf>
    <xf numFmtId="44" fontId="18" fillId="0" borderId="20" xfId="0" applyNumberFormat="1" applyFont="1" applyBorder="1" applyAlignment="1">
      <alignment horizontal="center" vertical="center"/>
    </xf>
    <xf numFmtId="0" fontId="16" fillId="7" borderId="25" xfId="3" applyFont="1" applyFill="1" applyBorder="1" applyAlignment="1">
      <alignment horizontal="center" vertical="center" wrapText="1"/>
    </xf>
    <xf numFmtId="0" fontId="20" fillId="7" borderId="25" xfId="1" applyFont="1" applyFill="1" applyBorder="1" applyAlignment="1">
      <alignment horizontal="center" vertical="center" wrapText="1"/>
    </xf>
    <xf numFmtId="0" fontId="18" fillId="7" borderId="24" xfId="1" applyFont="1" applyFill="1" applyBorder="1" applyAlignment="1">
      <alignment horizontal="center" vertical="center" wrapText="1"/>
    </xf>
    <xf numFmtId="0" fontId="21" fillId="7" borderId="24" xfId="1" applyFont="1" applyFill="1" applyBorder="1" applyAlignment="1">
      <alignment horizontal="center" vertical="center" wrapText="1"/>
    </xf>
    <xf numFmtId="0" fontId="15" fillId="9" borderId="24" xfId="1" applyFont="1" applyFill="1" applyBorder="1" applyAlignment="1">
      <alignment horizontal="center" vertical="center"/>
    </xf>
    <xf numFmtId="0" fontId="21" fillId="0" borderId="24" xfId="1" applyFont="1" applyBorder="1" applyAlignment="1">
      <alignment horizontal="center" vertical="center" wrapText="1"/>
    </xf>
    <xf numFmtId="0" fontId="15" fillId="7" borderId="24" xfId="1" applyFont="1" applyFill="1" applyBorder="1" applyAlignment="1">
      <alignment horizontal="center" vertical="center" wrapText="1"/>
    </xf>
    <xf numFmtId="0" fontId="15" fillId="0" borderId="24" xfId="1" applyFont="1" applyBorder="1" applyAlignment="1">
      <alignment horizontal="center" vertical="center" wrapText="1"/>
    </xf>
    <xf numFmtId="0" fontId="18" fillId="2" borderId="24" xfId="1" applyFont="1" applyFill="1" applyBorder="1" applyAlignment="1">
      <alignment horizontal="center" vertical="center" wrapText="1"/>
    </xf>
    <xf numFmtId="0" fontId="21" fillId="2" borderId="24" xfId="1" applyFont="1" applyFill="1" applyBorder="1" applyAlignment="1">
      <alignment horizontal="center" vertical="center" wrapText="1"/>
    </xf>
    <xf numFmtId="0" fontId="20" fillId="0" borderId="24" xfId="1" applyFont="1" applyBorder="1" applyAlignment="1">
      <alignment horizontal="center" vertical="center" wrapText="1"/>
    </xf>
    <xf numFmtId="0" fontId="16" fillId="2" borderId="24" xfId="1" applyFont="1" applyFill="1" applyBorder="1" applyAlignment="1">
      <alignment horizontal="center" vertical="center" wrapText="1"/>
    </xf>
    <xf numFmtId="0" fontId="16" fillId="0" borderId="24" xfId="1" applyFont="1" applyBorder="1" applyAlignment="1">
      <alignment horizontal="center" vertical="center" wrapText="1"/>
    </xf>
    <xf numFmtId="0" fontId="20" fillId="2" borderId="24" xfId="1" applyFont="1" applyFill="1" applyBorder="1" applyAlignment="1">
      <alignment horizontal="center" vertical="center" wrapText="1"/>
    </xf>
    <xf numFmtId="0" fontId="18" fillId="0" borderId="17" xfId="1" applyFont="1" applyBorder="1" applyAlignment="1">
      <alignment horizontal="center" vertical="center" wrapText="1"/>
    </xf>
    <xf numFmtId="0" fontId="18" fillId="2" borderId="47" xfId="1" applyFont="1" applyFill="1" applyBorder="1" applyAlignment="1">
      <alignment horizontal="center" vertical="center" wrapText="1"/>
    </xf>
    <xf numFmtId="0" fontId="20" fillId="2" borderId="28" xfId="1" applyFont="1" applyFill="1" applyBorder="1" applyAlignment="1">
      <alignment horizontal="center" vertical="center" wrapText="1"/>
    </xf>
    <xf numFmtId="0" fontId="18" fillId="2" borderId="30" xfId="1" applyFont="1" applyFill="1" applyBorder="1" applyAlignment="1">
      <alignment horizontal="center" vertical="center" wrapText="1"/>
    </xf>
    <xf numFmtId="0" fontId="16" fillId="2" borderId="28" xfId="1" applyFont="1" applyFill="1" applyBorder="1" applyAlignment="1">
      <alignment horizontal="center" vertical="center" wrapText="1"/>
    </xf>
    <xf numFmtId="0" fontId="18" fillId="2" borderId="61" xfId="1" applyFont="1" applyFill="1" applyBorder="1" applyAlignment="1">
      <alignment horizontal="center" vertical="center" wrapText="1"/>
    </xf>
    <xf numFmtId="0" fontId="18" fillId="2" borderId="17" xfId="1" applyFont="1" applyFill="1" applyBorder="1" applyAlignment="1">
      <alignment horizontal="center" vertical="center" wrapText="1"/>
    </xf>
    <xf numFmtId="0" fontId="18" fillId="0" borderId="47" xfId="1" applyFont="1" applyBorder="1"/>
    <xf numFmtId="0" fontId="18" fillId="0" borderId="61" xfId="1" applyFont="1" applyBorder="1" applyAlignment="1">
      <alignment horizontal="center" vertical="center" wrapText="1"/>
    </xf>
    <xf numFmtId="0" fontId="19" fillId="0" borderId="24" xfId="1" applyFont="1" applyBorder="1" applyAlignment="1">
      <alignment horizontal="center" vertical="center" wrapText="1"/>
    </xf>
    <xf numFmtId="0" fontId="18" fillId="12" borderId="24" xfId="1" applyFont="1" applyFill="1" applyBorder="1" applyAlignment="1">
      <alignment horizontal="center" vertical="center" wrapText="1"/>
    </xf>
    <xf numFmtId="0" fontId="15" fillId="2" borderId="24" xfId="3" applyFont="1" applyFill="1" applyBorder="1" applyAlignment="1">
      <alignment horizontal="center" vertical="center" wrapText="1"/>
    </xf>
    <xf numFmtId="0" fontId="18" fillId="0" borderId="30" xfId="1" applyFont="1" applyBorder="1" applyAlignment="1">
      <alignment horizontal="center" vertical="center"/>
    </xf>
    <xf numFmtId="0" fontId="21" fillId="0" borderId="0" xfId="1" applyFont="1"/>
    <xf numFmtId="0" fontId="21" fillId="2" borderId="0" xfId="1" applyFont="1" applyFill="1"/>
    <xf numFmtId="0" fontId="20" fillId="2" borderId="0" xfId="1" applyFont="1" applyFill="1"/>
    <xf numFmtId="0" fontId="18" fillId="2" borderId="0" xfId="1" applyFont="1" applyFill="1" applyAlignment="1">
      <alignment horizontal="center"/>
    </xf>
    <xf numFmtId="0" fontId="18" fillId="2" borderId="0" xfId="1" applyFont="1" applyFill="1" applyAlignment="1">
      <alignment horizontal="center" vertical="center" wrapText="1"/>
    </xf>
    <xf numFmtId="0" fontId="20" fillId="7" borderId="25" xfId="2" applyFont="1" applyFill="1" applyBorder="1" applyAlignment="1">
      <alignment horizontal="center" vertical="center" wrapText="1"/>
    </xf>
    <xf numFmtId="0" fontId="18" fillId="2" borderId="25" xfId="2" applyFont="1" applyFill="1" applyBorder="1" applyAlignment="1">
      <alignment horizontal="center" vertical="center" wrapText="1"/>
    </xf>
    <xf numFmtId="0" fontId="18" fillId="0" borderId="25" xfId="2" applyFont="1" applyBorder="1" applyAlignment="1">
      <alignment horizontal="center" vertical="center" wrapText="1"/>
    </xf>
    <xf numFmtId="0" fontId="18" fillId="7" borderId="25" xfId="2" applyFont="1" applyFill="1" applyBorder="1" applyAlignment="1">
      <alignment horizontal="center" vertical="center" wrapText="1"/>
    </xf>
    <xf numFmtId="14" fontId="19" fillId="7" borderId="25" xfId="0" applyNumberFormat="1" applyFont="1" applyFill="1" applyBorder="1" applyAlignment="1">
      <alignment horizontal="center" vertical="center" wrapText="1"/>
    </xf>
    <xf numFmtId="0" fontId="18" fillId="13" borderId="25" xfId="1" applyFont="1" applyFill="1" applyBorder="1" applyAlignment="1">
      <alignment horizontal="center" vertical="center"/>
    </xf>
    <xf numFmtId="4" fontId="19" fillId="7" borderId="25" xfId="1" applyNumberFormat="1" applyFont="1" applyFill="1" applyBorder="1" applyAlignment="1">
      <alignment horizontal="center" vertical="center"/>
    </xf>
    <xf numFmtId="4" fontId="18" fillId="0" borderId="25" xfId="1" applyNumberFormat="1" applyFont="1" applyBorder="1" applyAlignment="1">
      <alignment horizontal="center" vertical="center"/>
    </xf>
    <xf numFmtId="0" fontId="18" fillId="2" borderId="29" xfId="1" applyFont="1" applyFill="1" applyBorder="1" applyAlignment="1">
      <alignment horizontal="center" vertical="center"/>
    </xf>
    <xf numFmtId="14" fontId="18" fillId="7" borderId="25" xfId="1" applyNumberFormat="1" applyFont="1" applyFill="1" applyBorder="1" applyAlignment="1">
      <alignment horizontal="center" vertical="center"/>
    </xf>
    <xf numFmtId="0" fontId="19" fillId="7" borderId="29" xfId="1" applyFont="1" applyFill="1" applyBorder="1" applyAlignment="1">
      <alignment horizontal="center" vertical="center"/>
    </xf>
    <xf numFmtId="164" fontId="26" fillId="2" borderId="42" xfId="0" applyNumberFormat="1" applyFont="1" applyFill="1" applyBorder="1" applyAlignment="1">
      <alignment horizontal="center" vertical="center" wrapText="1"/>
    </xf>
    <xf numFmtId="14" fontId="18" fillId="0" borderId="28" xfId="1" applyNumberFormat="1" applyFont="1" applyBorder="1" applyAlignment="1">
      <alignment horizontal="center" vertical="center"/>
    </xf>
    <xf numFmtId="164" fontId="0" fillId="2" borderId="31" xfId="0" applyNumberFormat="1" applyFill="1" applyBorder="1" applyAlignment="1">
      <alignment horizontal="center" vertical="center"/>
    </xf>
    <xf numFmtId="164" fontId="0" fillId="2" borderId="62" xfId="0" applyNumberFormat="1" applyFill="1" applyBorder="1" applyAlignment="1">
      <alignment horizontal="center" vertical="center"/>
    </xf>
    <xf numFmtId="164" fontId="0" fillId="2" borderId="47" xfId="0" applyNumberFormat="1" applyFill="1" applyBorder="1" applyAlignment="1">
      <alignment horizontal="center" vertical="center"/>
    </xf>
    <xf numFmtId="164" fontId="2" fillId="2" borderId="65" xfId="0" applyNumberFormat="1" applyFont="1" applyFill="1" applyBorder="1" applyAlignment="1">
      <alignment horizontal="center" vertical="center"/>
    </xf>
    <xf numFmtId="164" fontId="3" fillId="2" borderId="66" xfId="0" applyNumberFormat="1" applyFont="1" applyFill="1" applyBorder="1" applyAlignment="1">
      <alignment horizontal="center" vertical="center"/>
    </xf>
    <xf numFmtId="164" fontId="0" fillId="2" borderId="67" xfId="0" applyNumberFormat="1" applyFill="1" applyBorder="1" applyAlignment="1">
      <alignment horizontal="center" vertical="center"/>
    </xf>
    <xf numFmtId="165" fontId="0" fillId="2" borderId="68" xfId="0" applyNumberFormat="1" applyFill="1" applyBorder="1" applyAlignment="1">
      <alignment horizontal="center" vertical="center"/>
    </xf>
    <xf numFmtId="164" fontId="0" fillId="2" borderId="36" xfId="0" applyNumberFormat="1" applyFill="1" applyBorder="1" applyAlignment="1">
      <alignment horizontal="center" vertical="center"/>
    </xf>
    <xf numFmtId="165" fontId="0" fillId="2" borderId="69" xfId="0" applyNumberFormat="1" applyFill="1" applyBorder="1" applyAlignment="1">
      <alignment horizontal="center" vertical="center"/>
    </xf>
    <xf numFmtId="165" fontId="0" fillId="2" borderId="70" xfId="0" applyNumberFormat="1" applyFill="1" applyBorder="1" applyAlignment="1">
      <alignment horizontal="center" vertical="center"/>
    </xf>
    <xf numFmtId="164" fontId="0" fillId="6" borderId="67" xfId="0" applyNumberFormat="1" applyFill="1" applyBorder="1" applyAlignment="1">
      <alignment horizontal="center" vertical="center"/>
    </xf>
    <xf numFmtId="164" fontId="0" fillId="6" borderId="36" xfId="0" applyNumberFormat="1" applyFill="1" applyBorder="1" applyAlignment="1">
      <alignment horizontal="center" vertical="center"/>
    </xf>
    <xf numFmtId="164" fontId="3" fillId="2" borderId="71" xfId="0" applyNumberFormat="1" applyFont="1" applyFill="1" applyBorder="1" applyAlignment="1">
      <alignment horizontal="center" vertical="center"/>
    </xf>
    <xf numFmtId="164" fontId="3" fillId="2" borderId="72" xfId="0" applyNumberFormat="1" applyFont="1" applyFill="1" applyBorder="1" applyAlignment="1">
      <alignment horizontal="center" vertical="center"/>
    </xf>
    <xf numFmtId="165" fontId="3" fillId="2" borderId="73" xfId="0" applyNumberFormat="1" applyFont="1" applyFill="1" applyBorder="1" applyAlignment="1">
      <alignment horizontal="center" vertical="center"/>
    </xf>
    <xf numFmtId="172" fontId="42" fillId="2" borderId="40" xfId="0" applyNumberFormat="1" applyFont="1" applyFill="1" applyBorder="1" applyAlignment="1">
      <alignment horizontal="left" vertical="center"/>
    </xf>
    <xf numFmtId="164" fontId="42" fillId="4" borderId="41" xfId="0" applyNumberFormat="1" applyFont="1" applyFill="1" applyBorder="1" applyAlignment="1">
      <alignment horizontal="center" vertical="center"/>
    </xf>
    <xf numFmtId="164" fontId="42" fillId="2" borderId="42" xfId="0" applyNumberFormat="1" applyFont="1" applyFill="1" applyBorder="1" applyAlignment="1">
      <alignment horizontal="left" vertical="center"/>
    </xf>
    <xf numFmtId="0" fontId="43" fillId="0" borderId="0" xfId="0" applyFont="1"/>
    <xf numFmtId="164" fontId="26" fillId="2" borderId="39" xfId="0" applyNumberFormat="1" applyFont="1" applyFill="1" applyBorder="1" applyAlignment="1">
      <alignment horizontal="left" vertical="center"/>
    </xf>
    <xf numFmtId="164" fontId="42" fillId="4" borderId="41" xfId="0" applyNumberFormat="1" applyFont="1" applyFill="1" applyBorder="1" applyAlignment="1">
      <alignment horizontal="center" vertical="center" wrapText="1"/>
    </xf>
    <xf numFmtId="164" fontId="1" fillId="3" borderId="74" xfId="0" applyNumberFormat="1" applyFont="1" applyFill="1" applyBorder="1" applyAlignment="1">
      <alignment horizontal="center" vertical="center"/>
    </xf>
    <xf numFmtId="164" fontId="2" fillId="2" borderId="75" xfId="0" applyNumberFormat="1" applyFont="1" applyFill="1" applyBorder="1" applyAlignment="1">
      <alignment horizontal="center" vertical="center"/>
    </xf>
    <xf numFmtId="164" fontId="0" fillId="4" borderId="76" xfId="0" applyNumberFormat="1" applyFill="1" applyBorder="1" applyAlignment="1">
      <alignment horizontal="center" vertical="center"/>
    </xf>
    <xf numFmtId="164" fontId="0" fillId="4" borderId="77" xfId="0" applyNumberFormat="1" applyFill="1" applyBorder="1" applyAlignment="1">
      <alignment horizontal="center" vertical="center"/>
    </xf>
    <xf numFmtId="164" fontId="0" fillId="4" borderId="78" xfId="0" applyNumberFormat="1" applyFill="1" applyBorder="1" applyAlignment="1">
      <alignment horizontal="center" vertical="center"/>
    </xf>
    <xf numFmtId="164" fontId="0" fillId="4" borderId="79" xfId="0" applyNumberFormat="1" applyFill="1" applyBorder="1" applyAlignment="1">
      <alignment horizontal="center" vertical="center"/>
    </xf>
    <xf numFmtId="0" fontId="16" fillId="2" borderId="0" xfId="1" applyFont="1" applyFill="1" applyAlignment="1">
      <alignment horizontal="center" vertical="center"/>
    </xf>
    <xf numFmtId="44" fontId="41" fillId="0" borderId="45" xfId="0" applyNumberFormat="1" applyFont="1" applyBorder="1" applyAlignment="1">
      <alignment horizontal="center" vertical="center"/>
    </xf>
    <xf numFmtId="0" fontId="16" fillId="18" borderId="20" xfId="3" applyFont="1" applyFill="1" applyBorder="1" applyAlignment="1">
      <alignment horizontal="center" vertical="center" wrapText="1"/>
    </xf>
    <xf numFmtId="0" fontId="16" fillId="18" borderId="20" xfId="1" applyFont="1" applyFill="1" applyBorder="1" applyAlignment="1">
      <alignment horizontal="center" vertical="center" wrapText="1"/>
    </xf>
    <xf numFmtId="0" fontId="18" fillId="18" borderId="25" xfId="1" applyFont="1" applyFill="1" applyBorder="1" applyAlignment="1">
      <alignment horizontal="center" vertical="center"/>
    </xf>
    <xf numFmtId="0" fontId="18" fillId="18" borderId="15" xfId="1" applyFont="1" applyFill="1" applyBorder="1" applyAlignment="1">
      <alignment horizontal="center" vertical="center"/>
    </xf>
    <xf numFmtId="0" fontId="18" fillId="18" borderId="20" xfId="1" applyFont="1" applyFill="1" applyBorder="1" applyAlignment="1">
      <alignment horizontal="center" vertical="center" wrapText="1"/>
    </xf>
    <xf numFmtId="14" fontId="18" fillId="18" borderId="20" xfId="1" applyNumberFormat="1" applyFont="1" applyFill="1" applyBorder="1" applyAlignment="1">
      <alignment horizontal="center" vertical="center"/>
    </xf>
    <xf numFmtId="14" fontId="26" fillId="2" borderId="15" xfId="0" applyNumberFormat="1" applyFont="1" applyFill="1" applyBorder="1" applyAlignment="1">
      <alignment horizontal="left" vertical="center"/>
    </xf>
    <xf numFmtId="14" fontId="26" fillId="2" borderId="50" xfId="0" applyNumberFormat="1" applyFont="1" applyFill="1" applyBorder="1" applyAlignment="1">
      <alignment horizontal="left" vertical="center"/>
    </xf>
    <xf numFmtId="14" fontId="26" fillId="2" borderId="40" xfId="0" applyNumberFormat="1" applyFont="1" applyFill="1" applyBorder="1" applyAlignment="1">
      <alignment horizontal="left" vertical="center"/>
    </xf>
    <xf numFmtId="0" fontId="18" fillId="11" borderId="20" xfId="1" applyFont="1" applyFill="1" applyBorder="1" applyAlignment="1">
      <alignment horizontal="center" vertical="center" wrapText="1"/>
    </xf>
    <xf numFmtId="14" fontId="18" fillId="11" borderId="20" xfId="1" applyNumberFormat="1" applyFont="1" applyFill="1" applyBorder="1" applyAlignment="1">
      <alignment horizontal="center" vertical="center"/>
    </xf>
    <xf numFmtId="0" fontId="45" fillId="0" borderId="20" xfId="0" applyFont="1" applyBorder="1" applyAlignment="1">
      <alignment horizontal="center" vertical="center"/>
    </xf>
    <xf numFmtId="0" fontId="46" fillId="22" borderId="80" xfId="0" applyFont="1" applyFill="1" applyBorder="1"/>
    <xf numFmtId="0" fontId="46" fillId="22" borderId="81" xfId="0" applyFont="1" applyFill="1" applyBorder="1"/>
    <xf numFmtId="0" fontId="12" fillId="23" borderId="83" xfId="0" applyFont="1" applyFill="1" applyBorder="1"/>
    <xf numFmtId="0" fontId="12" fillId="23" borderId="84" xfId="0" applyFont="1" applyFill="1" applyBorder="1"/>
    <xf numFmtId="0" fontId="12" fillId="0" borderId="84" xfId="0" applyFont="1" applyBorder="1"/>
    <xf numFmtId="8" fontId="12" fillId="0" borderId="84" xfId="0" applyNumberFormat="1" applyFont="1" applyBorder="1"/>
    <xf numFmtId="0" fontId="12" fillId="0" borderId="85" xfId="0" applyFont="1" applyBorder="1"/>
    <xf numFmtId="0" fontId="12" fillId="23" borderId="86" xfId="0" applyFont="1" applyFill="1" applyBorder="1"/>
    <xf numFmtId="0" fontId="12" fillId="23" borderId="87" xfId="0" applyFont="1" applyFill="1" applyBorder="1"/>
    <xf numFmtId="0" fontId="12" fillId="0" borderId="87" xfId="0" applyFont="1" applyBorder="1"/>
    <xf numFmtId="8" fontId="12" fillId="0" borderId="87" xfId="0" applyNumberFormat="1" applyFont="1" applyBorder="1"/>
    <xf numFmtId="0" fontId="14" fillId="0" borderId="87" xfId="0" applyFont="1" applyBorder="1"/>
    <xf numFmtId="0" fontId="12" fillId="0" borderId="88" xfId="0" applyFont="1" applyBorder="1"/>
    <xf numFmtId="0" fontId="47" fillId="0" borderId="0" xfId="0" applyFont="1"/>
    <xf numFmtId="0" fontId="14" fillId="23" borderId="89" xfId="0" applyFont="1" applyFill="1" applyBorder="1"/>
    <xf numFmtId="8" fontId="14" fillId="23" borderId="90" xfId="0" applyNumberFormat="1" applyFont="1" applyFill="1" applyBorder="1"/>
    <xf numFmtId="8" fontId="14" fillId="23" borderId="82" xfId="0" applyNumberFormat="1" applyFont="1" applyFill="1" applyBorder="1"/>
    <xf numFmtId="0" fontId="14" fillId="23" borderId="91" xfId="0" applyFont="1" applyFill="1" applyBorder="1"/>
    <xf numFmtId="0" fontId="47" fillId="0" borderId="92" xfId="0" applyFont="1" applyBorder="1"/>
    <xf numFmtId="8" fontId="12" fillId="0" borderId="93" xfId="0" applyNumberFormat="1" applyFont="1" applyBorder="1"/>
    <xf numFmtId="8" fontId="12" fillId="0" borderId="85" xfId="0" applyNumberFormat="1" applyFont="1" applyBorder="1"/>
    <xf numFmtId="0" fontId="12" fillId="23" borderId="83" xfId="0" applyFont="1" applyFill="1" applyBorder="1" applyAlignment="1">
      <alignment wrapText="1"/>
    </xf>
    <xf numFmtId="0" fontId="14" fillId="23" borderId="86" xfId="0" applyFont="1" applyFill="1" applyBorder="1"/>
    <xf numFmtId="8" fontId="14" fillId="0" borderId="88" xfId="0" applyNumberFormat="1" applyFont="1" applyBorder="1"/>
    <xf numFmtId="8" fontId="47" fillId="0" borderId="0" xfId="0" applyNumberFormat="1" applyFont="1"/>
    <xf numFmtId="14" fontId="18" fillId="2" borderId="28" xfId="1" applyNumberFormat="1" applyFont="1" applyFill="1" applyBorder="1" applyAlignment="1">
      <alignment horizontal="center" vertical="center"/>
    </xf>
    <xf numFmtId="0" fontId="18" fillId="2" borderId="28" xfId="1" quotePrefix="1" applyFont="1" applyFill="1" applyBorder="1" applyAlignment="1">
      <alignment horizontal="center" vertical="center" wrapText="1"/>
    </xf>
    <xf numFmtId="44" fontId="18" fillId="8" borderId="20" xfId="1" applyNumberFormat="1" applyFont="1" applyFill="1" applyBorder="1" applyAlignment="1">
      <alignment horizontal="center" vertical="center"/>
    </xf>
    <xf numFmtId="176" fontId="12" fillId="4" borderId="8" xfId="0" applyNumberFormat="1" applyFont="1" applyFill="1" applyBorder="1" applyAlignment="1">
      <alignment horizontal="center" vertical="center"/>
    </xf>
    <xf numFmtId="44" fontId="18" fillId="2" borderId="0" xfId="0" applyNumberFormat="1" applyFont="1" applyFill="1" applyAlignment="1">
      <alignment horizontal="center" vertical="center"/>
    </xf>
    <xf numFmtId="0" fontId="19" fillId="7" borderId="26" xfId="3" applyFont="1" applyFill="1" applyBorder="1" applyAlignment="1">
      <alignment horizontal="center" vertical="center" wrapText="1"/>
    </xf>
    <xf numFmtId="0" fontId="19" fillId="7" borderId="26" xfId="1" quotePrefix="1" applyFont="1" applyFill="1" applyBorder="1" applyAlignment="1">
      <alignment horizontal="center" vertical="center"/>
    </xf>
    <xf numFmtId="166" fontId="19" fillId="7" borderId="26" xfId="1" applyNumberFormat="1" applyFont="1" applyFill="1" applyBorder="1" applyAlignment="1">
      <alignment horizontal="center" vertical="center" wrapText="1"/>
    </xf>
    <xf numFmtId="14" fontId="19" fillId="7" borderId="26" xfId="1" applyNumberFormat="1" applyFont="1" applyFill="1" applyBorder="1" applyAlignment="1">
      <alignment horizontal="center" vertical="center"/>
    </xf>
    <xf numFmtId="0" fontId="19" fillId="7" borderId="26" xfId="1" applyFont="1" applyFill="1" applyBorder="1" applyAlignment="1">
      <alignment horizontal="center" vertical="center"/>
    </xf>
    <xf numFmtId="0" fontId="18" fillId="8" borderId="28" xfId="1" quotePrefix="1" applyFont="1" applyFill="1" applyBorder="1" applyAlignment="1">
      <alignment horizontal="center" vertical="center" wrapText="1"/>
    </xf>
    <xf numFmtId="167" fontId="14" fillId="0" borderId="0" xfId="0" applyNumberFormat="1" applyFont="1" applyAlignment="1">
      <alignment horizontal="center" vertical="center"/>
    </xf>
    <xf numFmtId="170" fontId="0" fillId="2" borderId="0" xfId="0" applyNumberFormat="1" applyFill="1" applyAlignment="1">
      <alignment horizontal="center" vertical="center"/>
    </xf>
    <xf numFmtId="44" fontId="18" fillId="7" borderId="0" xfId="0" applyNumberFormat="1" applyFont="1" applyFill="1" applyAlignment="1">
      <alignment horizontal="center" vertical="center"/>
    </xf>
    <xf numFmtId="0" fontId="18" fillId="7" borderId="28" xfId="1" quotePrefix="1" applyFont="1" applyFill="1" applyBorder="1" applyAlignment="1">
      <alignment horizontal="center" vertical="center" wrapText="1"/>
    </xf>
    <xf numFmtId="0" fontId="18" fillId="7" borderId="46" xfId="1" applyFont="1" applyFill="1" applyBorder="1" applyAlignment="1">
      <alignment horizontal="center" vertical="center"/>
    </xf>
    <xf numFmtId="166" fontId="15" fillId="7" borderId="27" xfId="1" applyNumberFormat="1" applyFont="1" applyFill="1" applyBorder="1" applyAlignment="1">
      <alignment horizontal="center" vertical="center" wrapText="1"/>
    </xf>
    <xf numFmtId="164" fontId="12" fillId="2" borderId="13" xfId="0" applyNumberFormat="1" applyFont="1" applyFill="1" applyBorder="1" applyAlignment="1">
      <alignment horizontal="left" vertical="center"/>
    </xf>
    <xf numFmtId="164" fontId="12" fillId="4" borderId="9" xfId="0" applyNumberFormat="1" applyFont="1" applyFill="1" applyBorder="1" applyAlignment="1">
      <alignment horizontal="center" vertical="center"/>
    </xf>
    <xf numFmtId="0" fontId="12" fillId="7" borderId="85" xfId="0" applyFont="1" applyFill="1" applyBorder="1"/>
    <xf numFmtId="0" fontId="16" fillId="7" borderId="7" xfId="1" applyFont="1" applyFill="1" applyBorder="1" applyAlignment="1">
      <alignment horizontal="center" vertical="center"/>
    </xf>
    <xf numFmtId="0" fontId="23" fillId="0" borderId="20" xfId="0" applyFont="1" applyBorder="1" applyAlignment="1">
      <alignment horizontal="center" vertical="center"/>
    </xf>
    <xf numFmtId="164" fontId="0" fillId="7" borderId="0" xfId="0" applyNumberFormat="1" applyFill="1" applyAlignment="1">
      <alignment horizontal="center" vertical="center"/>
    </xf>
    <xf numFmtId="0" fontId="18" fillId="18" borderId="20" xfId="3" applyFont="1" applyFill="1" applyBorder="1" applyAlignment="1">
      <alignment horizontal="center" vertical="center" wrapText="1"/>
    </xf>
    <xf numFmtId="44" fontId="18" fillId="0" borderId="20" xfId="1" applyNumberFormat="1" applyFont="1" applyBorder="1" applyAlignment="1">
      <alignment horizontal="center" vertical="center" wrapText="1"/>
    </xf>
    <xf numFmtId="0" fontId="20" fillId="7" borderId="25" xfId="3" applyFont="1" applyFill="1" applyBorder="1" applyAlignment="1">
      <alignment horizontal="center" vertical="center" wrapText="1"/>
    </xf>
    <xf numFmtId="0" fontId="20" fillId="7" borderId="28" xfId="1" quotePrefix="1" applyFont="1" applyFill="1" applyBorder="1" applyAlignment="1">
      <alignment horizontal="center" vertical="center" wrapText="1"/>
    </xf>
    <xf numFmtId="44" fontId="18" fillId="7" borderId="20" xfId="0" applyNumberFormat="1" applyFont="1" applyFill="1" applyBorder="1" applyAlignment="1">
      <alignment horizontal="center" vertical="center"/>
    </xf>
    <xf numFmtId="4" fontId="16" fillId="7" borderId="25" xfId="1" applyNumberFormat="1" applyFont="1" applyFill="1" applyBorder="1" applyAlignment="1">
      <alignment horizontal="center" vertical="center" wrapText="1"/>
    </xf>
    <xf numFmtId="14" fontId="16" fillId="7" borderId="28" xfId="1" applyNumberFormat="1" applyFont="1" applyFill="1" applyBorder="1" applyAlignment="1">
      <alignment horizontal="center" vertical="center"/>
    </xf>
    <xf numFmtId="0" fontId="19" fillId="7" borderId="28" xfId="1" quotePrefix="1" applyFont="1" applyFill="1" applyBorder="1" applyAlignment="1">
      <alignment horizontal="center" vertical="center" wrapText="1"/>
    </xf>
    <xf numFmtId="44" fontId="19" fillId="7" borderId="0" xfId="0" applyNumberFormat="1" applyFont="1" applyFill="1" applyAlignment="1">
      <alignment horizontal="center" vertical="center"/>
    </xf>
    <xf numFmtId="44" fontId="19" fillId="7" borderId="26" xfId="0" applyNumberFormat="1" applyFont="1" applyFill="1" applyBorder="1" applyAlignment="1">
      <alignment horizontal="center" vertical="center"/>
    </xf>
    <xf numFmtId="44" fontId="19" fillId="7" borderId="20" xfId="0" applyNumberFormat="1" applyFont="1" applyFill="1" applyBorder="1" applyAlignment="1">
      <alignment horizontal="center" vertical="center"/>
    </xf>
    <xf numFmtId="166" fontId="19" fillId="7" borderId="27" xfId="1" applyNumberFormat="1" applyFont="1" applyFill="1" applyBorder="1" applyAlignment="1">
      <alignment horizontal="center" vertical="center" wrapText="1"/>
    </xf>
    <xf numFmtId="0" fontId="19" fillId="7" borderId="33" xfId="1" applyFont="1" applyFill="1" applyBorder="1" applyAlignment="1">
      <alignment horizontal="center" vertical="center" wrapText="1"/>
    </xf>
    <xf numFmtId="4" fontId="19" fillId="7" borderId="25" xfId="1" applyNumberFormat="1" applyFont="1" applyFill="1" applyBorder="1" applyAlignment="1">
      <alignment horizontal="center" vertical="center" wrapText="1"/>
    </xf>
    <xf numFmtId="44" fontId="50" fillId="7" borderId="0" xfId="0" applyNumberFormat="1" applyFont="1" applyFill="1" applyAlignment="1">
      <alignment horizontal="center" vertical="center"/>
    </xf>
    <xf numFmtId="44" fontId="51" fillId="7" borderId="20" xfId="0" applyNumberFormat="1" applyFont="1" applyFill="1" applyBorder="1" applyAlignment="1">
      <alignment horizontal="center" vertical="center"/>
    </xf>
    <xf numFmtId="44" fontId="19" fillId="7" borderId="20" xfId="1" applyNumberFormat="1" applyFont="1" applyFill="1" applyBorder="1" applyAlignment="1">
      <alignment horizontal="center" vertical="center" wrapText="1"/>
    </xf>
    <xf numFmtId="0" fontId="19" fillId="7" borderId="27" xfId="0" applyFont="1" applyFill="1" applyBorder="1" applyAlignment="1">
      <alignment horizontal="center" vertical="center"/>
    </xf>
    <xf numFmtId="44" fontId="20" fillId="7" borderId="20" xfId="0" applyNumberFormat="1" applyFont="1" applyFill="1" applyBorder="1" applyAlignment="1">
      <alignment horizontal="center" vertical="center"/>
    </xf>
    <xf numFmtId="0" fontId="44" fillId="7" borderId="20" xfId="0" applyFont="1" applyFill="1" applyBorder="1" applyAlignment="1">
      <alignment horizontal="center" vertical="center"/>
    </xf>
    <xf numFmtId="0" fontId="18" fillId="7" borderId="26" xfId="0" applyFont="1" applyFill="1" applyBorder="1" applyAlignment="1">
      <alignment horizontal="center" vertical="center"/>
    </xf>
    <xf numFmtId="0" fontId="52" fillId="7" borderId="27" xfId="0" applyFont="1" applyFill="1" applyBorder="1" applyAlignment="1">
      <alignment horizontal="center" vertical="center"/>
    </xf>
    <xf numFmtId="0" fontId="18" fillId="7" borderId="20" xfId="3" quotePrefix="1" applyFont="1" applyFill="1" applyBorder="1" applyAlignment="1">
      <alignment horizontal="center" vertical="center" wrapText="1"/>
    </xf>
    <xf numFmtId="166" fontId="18" fillId="7" borderId="20" xfId="1" applyNumberFormat="1" applyFont="1" applyFill="1" applyBorder="1" applyAlignment="1">
      <alignment horizontal="center" vertical="center" wrapText="1"/>
    </xf>
    <xf numFmtId="4" fontId="18" fillId="7" borderId="20" xfId="1" applyNumberFormat="1" applyFont="1" applyFill="1" applyBorder="1" applyAlignment="1">
      <alignment horizontal="center" vertical="center" wrapText="1"/>
    </xf>
    <xf numFmtId="14" fontId="18" fillId="7" borderId="25" xfId="0" applyNumberFormat="1" applyFont="1" applyFill="1" applyBorder="1" applyAlignment="1">
      <alignment horizontal="center" vertical="center" wrapText="1"/>
    </xf>
    <xf numFmtId="0" fontId="18" fillId="7" borderId="20" xfId="3" applyFont="1" applyFill="1" applyBorder="1" applyAlignment="1">
      <alignment horizontal="left" vertical="center" wrapText="1"/>
    </xf>
    <xf numFmtId="0" fontId="22" fillId="7" borderId="20" xfId="3" applyFont="1" applyFill="1" applyBorder="1" applyAlignment="1">
      <alignment horizontal="center" vertical="center" wrapText="1"/>
    </xf>
    <xf numFmtId="0" fontId="18" fillId="7" borderId="20" xfId="1" quotePrefix="1" applyFont="1" applyFill="1" applyBorder="1" applyAlignment="1">
      <alignment horizontal="center" vertical="center"/>
    </xf>
    <xf numFmtId="14" fontId="18" fillId="7" borderId="20" xfId="1" quotePrefix="1" applyNumberFormat="1" applyFont="1" applyFill="1" applyBorder="1" applyAlignment="1">
      <alignment horizontal="center" vertical="center"/>
    </xf>
    <xf numFmtId="0" fontId="21" fillId="7" borderId="20" xfId="1" quotePrefix="1" applyFont="1" applyFill="1" applyBorder="1" applyAlignment="1">
      <alignment horizontal="center" vertical="center" wrapText="1"/>
    </xf>
    <xf numFmtId="166" fontId="21" fillId="7" borderId="20" xfId="1" applyNumberFormat="1" applyFont="1" applyFill="1" applyBorder="1" applyAlignment="1">
      <alignment horizontal="center" vertical="center" wrapText="1"/>
    </xf>
    <xf numFmtId="0" fontId="18" fillId="7" borderId="26" xfId="3" applyFont="1" applyFill="1" applyBorder="1" applyAlignment="1">
      <alignment horizontal="center" vertical="center" wrapText="1"/>
    </xf>
    <xf numFmtId="0" fontId="18" fillId="7" borderId="33" xfId="1" applyFont="1" applyFill="1" applyBorder="1" applyAlignment="1">
      <alignment horizontal="center" vertical="center"/>
    </xf>
    <xf numFmtId="0" fontId="18" fillId="8" borderId="20" xfId="1" quotePrefix="1" applyFont="1" applyFill="1" applyBorder="1" applyAlignment="1">
      <alignment horizontal="center" vertical="center" wrapText="1"/>
    </xf>
    <xf numFmtId="166" fontId="18" fillId="8" borderId="20" xfId="1" applyNumberFormat="1" applyFont="1" applyFill="1" applyBorder="1" applyAlignment="1">
      <alignment horizontal="center" vertical="center" wrapText="1"/>
    </xf>
    <xf numFmtId="0" fontId="18" fillId="0" borderId="33" xfId="1" applyFont="1" applyBorder="1" applyAlignment="1">
      <alignment horizontal="center" vertical="center"/>
    </xf>
    <xf numFmtId="0" fontId="18" fillId="2" borderId="33" xfId="1" applyFont="1" applyFill="1" applyBorder="1" applyAlignment="1">
      <alignment horizontal="center" vertical="center"/>
    </xf>
    <xf numFmtId="0" fontId="18" fillId="2" borderId="26" xfId="3" applyFont="1" applyFill="1" applyBorder="1" applyAlignment="1">
      <alignment horizontal="center" vertical="center" wrapText="1"/>
    </xf>
    <xf numFmtId="0" fontId="18" fillId="0" borderId="27" xfId="3" applyFont="1" applyBorder="1" applyAlignment="1">
      <alignment horizontal="center" vertical="center" wrapText="1"/>
    </xf>
    <xf numFmtId="0" fontId="18" fillId="0" borderId="28" xfId="1" quotePrefix="1" applyFont="1" applyBorder="1" applyAlignment="1">
      <alignment horizontal="center" vertical="center" wrapText="1"/>
    </xf>
    <xf numFmtId="166" fontId="18" fillId="0" borderId="20" xfId="1" applyNumberFormat="1" applyFont="1" applyBorder="1" applyAlignment="1">
      <alignment horizontal="center" vertical="center" wrapText="1"/>
    </xf>
    <xf numFmtId="44" fontId="48" fillId="7" borderId="20" xfId="0" applyNumberFormat="1" applyFont="1" applyFill="1" applyBorder="1" applyAlignment="1">
      <alignment horizontal="center" vertical="center"/>
    </xf>
    <xf numFmtId="44" fontId="41" fillId="7" borderId="20" xfId="0" applyNumberFormat="1" applyFont="1" applyFill="1" applyBorder="1" applyAlignment="1">
      <alignment horizontal="center" vertical="center"/>
    </xf>
    <xf numFmtId="44" fontId="18" fillId="7" borderId="28" xfId="0" applyNumberFormat="1" applyFont="1" applyFill="1" applyBorder="1" applyAlignment="1">
      <alignment horizontal="center" vertical="center"/>
    </xf>
    <xf numFmtId="0" fontId="44" fillId="7" borderId="0" xfId="0" applyFont="1" applyFill="1" applyAlignment="1">
      <alignment horizontal="center" vertical="center" wrapText="1"/>
    </xf>
    <xf numFmtId="0" fontId="18" fillId="7" borderId="27" xfId="3" applyFont="1" applyFill="1" applyBorder="1" applyAlignment="1">
      <alignment horizontal="center" vertical="center" wrapText="1"/>
    </xf>
    <xf numFmtId="0" fontId="18" fillId="7" borderId="30" xfId="1" quotePrefix="1" applyFont="1" applyFill="1" applyBorder="1" applyAlignment="1">
      <alignment horizontal="center" vertical="center" wrapText="1"/>
    </xf>
    <xf numFmtId="166" fontId="18" fillId="7" borderId="27" xfId="1" applyNumberFormat="1" applyFont="1" applyFill="1" applyBorder="1" applyAlignment="1">
      <alignment horizontal="center" vertical="center" wrapText="1"/>
    </xf>
    <xf numFmtId="14" fontId="18" fillId="7" borderId="27" xfId="1" applyNumberFormat="1" applyFont="1" applyFill="1" applyBorder="1" applyAlignment="1">
      <alignment horizontal="center" vertical="center"/>
    </xf>
    <xf numFmtId="44" fontId="18" fillId="7" borderId="20" xfId="1" applyNumberFormat="1" applyFont="1" applyFill="1" applyBorder="1" applyAlignment="1">
      <alignment horizontal="center" vertical="center" wrapText="1"/>
    </xf>
    <xf numFmtId="0" fontId="53" fillId="7" borderId="20" xfId="0" applyFont="1" applyFill="1" applyBorder="1" applyAlignment="1">
      <alignment horizontal="center" vertical="center" wrapText="1"/>
    </xf>
    <xf numFmtId="44" fontId="48" fillId="7" borderId="20" xfId="0" applyNumberFormat="1" applyFont="1" applyFill="1" applyBorder="1" applyAlignment="1">
      <alignment horizontal="center" vertical="center" wrapText="1"/>
    </xf>
    <xf numFmtId="0" fontId="16" fillId="7" borderId="27" xfId="3" applyFont="1" applyFill="1" applyBorder="1" applyAlignment="1">
      <alignment horizontal="center" vertical="center" wrapText="1"/>
    </xf>
    <xf numFmtId="44" fontId="49" fillId="7" borderId="0" xfId="0" applyNumberFormat="1" applyFont="1" applyFill="1" applyAlignment="1">
      <alignment horizontal="center" vertical="center"/>
    </xf>
    <xf numFmtId="0" fontId="18" fillId="21" borderId="15" xfId="1" applyFont="1" applyFill="1" applyBorder="1" applyAlignment="1">
      <alignment horizontal="center" vertical="center"/>
    </xf>
    <xf numFmtId="4" fontId="18" fillId="0" borderId="20" xfId="1" applyNumberFormat="1" applyFont="1" applyBorder="1" applyAlignment="1">
      <alignment horizontal="center" vertical="center" wrapText="1"/>
    </xf>
    <xf numFmtId="0" fontId="18" fillId="14" borderId="20" xfId="1" applyFont="1" applyFill="1" applyBorder="1" applyAlignment="1">
      <alignment horizontal="center" vertical="center" wrapText="1"/>
    </xf>
    <xf numFmtId="0" fontId="18" fillId="2" borderId="20" xfId="2" applyFont="1" applyFill="1" applyBorder="1" applyAlignment="1">
      <alignment horizontal="center" vertical="center" wrapText="1"/>
    </xf>
    <xf numFmtId="174" fontId="18" fillId="8" borderId="20" xfId="1" applyNumberFormat="1" applyFont="1" applyFill="1" applyBorder="1" applyAlignment="1">
      <alignment horizontal="center" vertical="center" wrapText="1"/>
    </xf>
    <xf numFmtId="0" fontId="18" fillId="21" borderId="23" xfId="1" applyFont="1" applyFill="1" applyBorder="1" applyAlignment="1">
      <alignment horizontal="center" vertical="center"/>
    </xf>
    <xf numFmtId="0" fontId="18" fillId="21" borderId="20" xfId="1" applyFont="1" applyFill="1" applyBorder="1" applyAlignment="1">
      <alignment horizontal="center" vertical="center"/>
    </xf>
    <xf numFmtId="0" fontId="18" fillId="20" borderId="23" xfId="1" applyFont="1" applyFill="1" applyBorder="1" applyAlignment="1">
      <alignment horizontal="center" vertical="center"/>
    </xf>
    <xf numFmtId="0" fontId="18" fillId="21" borderId="17" xfId="1" applyFont="1" applyFill="1" applyBorder="1" applyAlignment="1">
      <alignment horizontal="center" vertical="center"/>
    </xf>
    <xf numFmtId="0" fontId="18" fillId="0" borderId="20" xfId="3" quotePrefix="1" applyFont="1" applyBorder="1" applyAlignment="1">
      <alignment horizontal="center" vertical="center" wrapText="1"/>
    </xf>
    <xf numFmtId="0" fontId="18" fillId="0" borderId="27" xfId="2" applyFont="1" applyBorder="1" applyAlignment="1">
      <alignment horizontal="center" vertical="center" wrapText="1"/>
    </xf>
    <xf numFmtId="14" fontId="18" fillId="0" borderId="20" xfId="3" applyNumberFormat="1" applyFont="1" applyBorder="1" applyAlignment="1">
      <alignment horizontal="center" vertical="center" wrapText="1"/>
    </xf>
    <xf numFmtId="0" fontId="18" fillId="10" borderId="23" xfId="1" applyFont="1" applyFill="1" applyBorder="1" applyAlignment="1">
      <alignment horizontal="center" vertical="center"/>
    </xf>
    <xf numFmtId="0" fontId="18" fillId="10" borderId="15" xfId="1" applyFont="1" applyFill="1" applyBorder="1" applyAlignment="1">
      <alignment horizontal="center" vertical="center"/>
    </xf>
    <xf numFmtId="0" fontId="18" fillId="10" borderId="26" xfId="1" applyFont="1" applyFill="1" applyBorder="1" applyAlignment="1">
      <alignment horizontal="center" vertical="center"/>
    </xf>
    <xf numFmtId="0" fontId="18" fillId="2" borderId="20" xfId="3" quotePrefix="1" applyFont="1" applyFill="1" applyBorder="1" applyAlignment="1">
      <alignment horizontal="center" vertical="center" wrapText="1"/>
    </xf>
    <xf numFmtId="0" fontId="18" fillId="19" borderId="20" xfId="3" applyFont="1" applyFill="1" applyBorder="1" applyAlignment="1">
      <alignment horizontal="center" vertical="center" wrapText="1"/>
    </xf>
    <xf numFmtId="0" fontId="18" fillId="19" borderId="20" xfId="3" quotePrefix="1" applyFont="1" applyFill="1" applyBorder="1" applyAlignment="1">
      <alignment horizontal="center" vertical="center" wrapText="1"/>
    </xf>
    <xf numFmtId="0" fontId="18" fillId="19" borderId="20" xfId="2" applyFont="1" applyFill="1" applyBorder="1" applyAlignment="1">
      <alignment horizontal="center" vertical="center" wrapText="1"/>
    </xf>
    <xf numFmtId="0" fontId="18" fillId="19" borderId="20" xfId="1" applyFont="1" applyFill="1" applyBorder="1" applyAlignment="1">
      <alignment horizontal="center" vertical="center" wrapText="1"/>
    </xf>
    <xf numFmtId="14" fontId="18" fillId="19" borderId="20" xfId="1" applyNumberFormat="1" applyFont="1" applyFill="1" applyBorder="1" applyAlignment="1">
      <alignment horizontal="center" vertical="center"/>
    </xf>
    <xf numFmtId="0" fontId="18" fillId="19" borderId="25" xfId="1" applyFont="1" applyFill="1" applyBorder="1" applyAlignment="1">
      <alignment horizontal="center" vertical="center"/>
    </xf>
    <xf numFmtId="166" fontId="18" fillId="0" borderId="20" xfId="1" applyNumberFormat="1" applyFont="1" applyBorder="1" applyAlignment="1">
      <alignment horizontal="center" vertical="center"/>
    </xf>
    <xf numFmtId="0" fontId="21" fillId="0" borderId="20" xfId="3" applyFont="1" applyBorder="1" applyAlignment="1">
      <alignment horizontal="center" vertical="center" wrapText="1"/>
    </xf>
    <xf numFmtId="0" fontId="21" fillId="0" borderId="20" xfId="3" quotePrefix="1" applyFont="1" applyBorder="1" applyAlignment="1">
      <alignment horizontal="center" vertical="center" wrapText="1"/>
    </xf>
    <xf numFmtId="0" fontId="21" fillId="0" borderId="20" xfId="2" applyFont="1" applyBorder="1" applyAlignment="1">
      <alignment horizontal="center" vertical="center" wrapText="1"/>
    </xf>
    <xf numFmtId="0" fontId="21" fillId="0" borderId="25" xfId="2" applyFont="1" applyBorder="1" applyAlignment="1">
      <alignment horizontal="center" vertical="center" wrapText="1"/>
    </xf>
    <xf numFmtId="0" fontId="21" fillId="7" borderId="20" xfId="3" quotePrefix="1" applyFont="1" applyFill="1" applyBorder="1" applyAlignment="1">
      <alignment horizontal="center" vertical="center" wrapText="1"/>
    </xf>
    <xf numFmtId="0" fontId="21" fillId="7" borderId="20" xfId="2" applyFont="1" applyFill="1" applyBorder="1" applyAlignment="1">
      <alignment horizontal="center" vertical="center" wrapText="1"/>
    </xf>
    <xf numFmtId="0" fontId="21" fillId="7" borderId="25" xfId="2" applyFont="1" applyFill="1" applyBorder="1" applyAlignment="1">
      <alignment horizontal="center" vertical="center" wrapText="1"/>
    </xf>
    <xf numFmtId="0" fontId="55" fillId="0" borderId="20" xfId="0" applyFont="1" applyBorder="1" applyAlignment="1">
      <alignment horizontal="center" vertical="center"/>
    </xf>
    <xf numFmtId="0" fontId="18" fillId="18" borderId="20" xfId="3" quotePrefix="1" applyFont="1" applyFill="1" applyBorder="1" applyAlignment="1">
      <alignment horizontal="center" vertical="center" wrapText="1"/>
    </xf>
    <xf numFmtId="0" fontId="18" fillId="18" borderId="20" xfId="2" applyFont="1" applyFill="1" applyBorder="1" applyAlignment="1">
      <alignment horizontal="center" vertical="center" wrapText="1"/>
    </xf>
    <xf numFmtId="0" fontId="18" fillId="18" borderId="25" xfId="2" applyFont="1" applyFill="1" applyBorder="1" applyAlignment="1">
      <alignment horizontal="center" vertical="center" wrapText="1"/>
    </xf>
    <xf numFmtId="0" fontId="18" fillId="11" borderId="20" xfId="3" applyFont="1" applyFill="1" applyBorder="1" applyAlignment="1">
      <alignment horizontal="center" vertical="center" wrapText="1"/>
    </xf>
    <xf numFmtId="0" fontId="18" fillId="11" borderId="20" xfId="3" quotePrefix="1" applyFont="1" applyFill="1" applyBorder="1" applyAlignment="1">
      <alignment horizontal="center" vertical="center" wrapText="1"/>
    </xf>
    <xf numFmtId="0" fontId="18" fillId="11" borderId="20" xfId="2" applyFont="1" applyFill="1" applyBorder="1" applyAlignment="1">
      <alignment horizontal="center" vertical="center" wrapText="1"/>
    </xf>
    <xf numFmtId="0" fontId="18" fillId="11" borderId="25" xfId="2" applyFont="1" applyFill="1" applyBorder="1" applyAlignment="1">
      <alignment horizontal="center" vertical="center" wrapText="1"/>
    </xf>
    <xf numFmtId="8" fontId="18" fillId="0" borderId="20" xfId="1" applyNumberFormat="1" applyFont="1" applyBorder="1" applyAlignment="1">
      <alignment horizontal="center" vertical="center" wrapText="1"/>
    </xf>
    <xf numFmtId="166" fontId="18" fillId="11" borderId="20" xfId="1" applyNumberFormat="1" applyFont="1" applyFill="1" applyBorder="1" applyAlignment="1">
      <alignment horizontal="center" vertical="center" wrapText="1"/>
    </xf>
    <xf numFmtId="0" fontId="18" fillId="19" borderId="25" xfId="2" applyFont="1" applyFill="1" applyBorder="1" applyAlignment="1">
      <alignment horizontal="center" vertical="center" wrapText="1"/>
    </xf>
    <xf numFmtId="0" fontId="18" fillId="2" borderId="20" xfId="0" applyFont="1" applyFill="1" applyBorder="1" applyAlignment="1">
      <alignment horizontal="left" vertical="center"/>
    </xf>
    <xf numFmtId="0" fontId="18" fillId="2" borderId="20" xfId="0" applyFont="1" applyFill="1" applyBorder="1" applyAlignment="1">
      <alignment vertical="center"/>
    </xf>
    <xf numFmtId="14" fontId="18" fillId="8" borderId="25" xfId="0" applyNumberFormat="1" applyFont="1" applyFill="1" applyBorder="1" applyAlignment="1">
      <alignment horizontal="center" vertical="center" wrapText="1"/>
    </xf>
    <xf numFmtId="0" fontId="18" fillId="2" borderId="20" xfId="0" applyFont="1" applyFill="1" applyBorder="1" applyAlignment="1">
      <alignment horizontal="left" vertical="center" wrapText="1"/>
    </xf>
    <xf numFmtId="0" fontId="18" fillId="2" borderId="20" xfId="1" quotePrefix="1" applyFont="1" applyFill="1" applyBorder="1" applyAlignment="1">
      <alignment horizontal="center" vertical="center"/>
    </xf>
    <xf numFmtId="0" fontId="18" fillId="2" borderId="20" xfId="2" quotePrefix="1" applyFont="1" applyFill="1" applyBorder="1" applyAlignment="1">
      <alignment horizontal="center" vertical="center" wrapText="1"/>
    </xf>
    <xf numFmtId="0" fontId="18" fillId="0" borderId="20" xfId="2" quotePrefix="1" applyFont="1" applyBorder="1" applyAlignment="1">
      <alignment horizontal="center" vertical="center" wrapText="1"/>
    </xf>
    <xf numFmtId="0" fontId="18" fillId="2" borderId="20" xfId="3" applyFont="1" applyFill="1" applyBorder="1" applyAlignment="1">
      <alignment horizontal="left" vertical="center" wrapText="1"/>
    </xf>
    <xf numFmtId="0" fontId="18" fillId="0" borderId="25" xfId="3" quotePrefix="1" applyFont="1" applyBorder="1" applyAlignment="1">
      <alignment horizontal="center" vertical="center" wrapText="1"/>
    </xf>
    <xf numFmtId="0" fontId="18" fillId="0" borderId="20" xfId="0" applyFont="1" applyBorder="1" applyAlignment="1">
      <alignment horizontal="left" vertical="center" wrapText="1"/>
    </xf>
    <xf numFmtId="0" fontId="18" fillId="13" borderId="20" xfId="1" quotePrefix="1" applyFont="1" applyFill="1" applyBorder="1" applyAlignment="1">
      <alignment horizontal="center" vertical="center" wrapText="1"/>
    </xf>
    <xf numFmtId="0" fontId="18" fillId="14" borderId="20" xfId="3" applyFont="1" applyFill="1" applyBorder="1" applyAlignment="1">
      <alignment horizontal="center" vertical="center" wrapText="1"/>
    </xf>
    <xf numFmtId="0" fontId="18" fillId="14" borderId="20" xfId="3" quotePrefix="1" applyFont="1" applyFill="1" applyBorder="1" applyAlignment="1">
      <alignment horizontal="center" vertical="center" wrapText="1"/>
    </xf>
    <xf numFmtId="0" fontId="18" fillId="14" borderId="20" xfId="2" applyFont="1" applyFill="1" applyBorder="1" applyAlignment="1">
      <alignment horizontal="center" vertical="center" wrapText="1"/>
    </xf>
    <xf numFmtId="0" fontId="18" fillId="14" borderId="25" xfId="2" applyFont="1" applyFill="1" applyBorder="1" applyAlignment="1">
      <alignment horizontal="center" vertical="center" wrapText="1"/>
    </xf>
    <xf numFmtId="0" fontId="21" fillId="7" borderId="20" xfId="0" applyFont="1" applyFill="1" applyBorder="1" applyAlignment="1">
      <alignment horizontal="center" vertical="center"/>
    </xf>
    <xf numFmtId="0" fontId="18" fillId="17" borderId="20" xfId="0" applyFont="1" applyFill="1" applyBorder="1" applyAlignment="1">
      <alignment horizontal="center" vertical="center" wrapText="1"/>
    </xf>
    <xf numFmtId="0" fontId="18" fillId="2" borderId="0" xfId="1" quotePrefix="1" applyFont="1" applyFill="1" applyAlignment="1">
      <alignment horizontal="center" vertical="center" wrapText="1"/>
    </xf>
    <xf numFmtId="0" fontId="18" fillId="2" borderId="27" xfId="1" quotePrefix="1" applyFont="1" applyFill="1" applyBorder="1" applyAlignment="1">
      <alignment horizontal="center" vertical="center" wrapText="1"/>
    </xf>
    <xf numFmtId="0" fontId="18" fillId="2" borderId="27" xfId="2" applyFont="1" applyFill="1" applyBorder="1" applyAlignment="1">
      <alignment horizontal="center" vertical="center" wrapText="1"/>
    </xf>
    <xf numFmtId="0" fontId="22" fillId="2" borderId="20" xfId="1" applyFont="1" applyFill="1" applyBorder="1" applyAlignment="1">
      <alignment horizontal="center" vertical="center" wrapText="1"/>
    </xf>
    <xf numFmtId="0" fontId="22" fillId="0" borderId="20" xfId="3" applyFont="1" applyBorder="1" applyAlignment="1">
      <alignment horizontal="center" vertical="center" wrapText="1"/>
    </xf>
    <xf numFmtId="0" fontId="22" fillId="0" borderId="20" xfId="0" applyFont="1" applyBorder="1" applyAlignment="1">
      <alignment horizontal="center" vertical="center" wrapText="1"/>
    </xf>
    <xf numFmtId="0" fontId="22" fillId="7" borderId="20" xfId="1" applyFont="1" applyFill="1" applyBorder="1" applyAlignment="1">
      <alignment horizontal="center" vertical="center" wrapText="1"/>
    </xf>
    <xf numFmtId="43" fontId="18" fillId="2" borderId="20" xfId="1" quotePrefix="1" applyNumberFormat="1" applyFont="1" applyFill="1" applyBorder="1" applyAlignment="1">
      <alignment horizontal="center" vertical="center" wrapText="1"/>
    </xf>
    <xf numFmtId="43" fontId="18" fillId="2" borderId="25" xfId="1" applyNumberFormat="1" applyFont="1" applyFill="1" applyBorder="1" applyAlignment="1">
      <alignment horizontal="center" vertical="center"/>
    </xf>
    <xf numFmtId="43" fontId="18" fillId="7" borderId="20" xfId="1" quotePrefix="1" applyNumberFormat="1" applyFont="1" applyFill="1" applyBorder="1" applyAlignment="1">
      <alignment horizontal="center" vertical="center" wrapText="1"/>
    </xf>
    <xf numFmtId="43" fontId="18" fillId="7" borderId="20" xfId="1" applyNumberFormat="1" applyFont="1" applyFill="1" applyBorder="1" applyAlignment="1">
      <alignment horizontal="center" vertical="center" wrapText="1"/>
    </xf>
    <xf numFmtId="0" fontId="18" fillId="0" borderId="27" xfId="1" quotePrefix="1" applyFont="1" applyBorder="1" applyAlignment="1">
      <alignment horizontal="center" vertical="center"/>
    </xf>
    <xf numFmtId="0" fontId="18" fillId="0" borderId="28" xfId="3" applyFont="1" applyBorder="1" applyAlignment="1">
      <alignment horizontal="center" vertical="center" wrapText="1"/>
    </xf>
    <xf numFmtId="0" fontId="55" fillId="0" borderId="20" xfId="0" applyFont="1" applyBorder="1" applyAlignment="1">
      <alignment horizontal="center" vertical="center" wrapText="1"/>
    </xf>
    <xf numFmtId="0" fontId="18" fillId="2" borderId="27" xfId="3" applyFont="1" applyFill="1" applyBorder="1" applyAlignment="1">
      <alignment horizontal="center" vertical="center" wrapText="1"/>
    </xf>
    <xf numFmtId="0" fontId="21" fillId="7" borderId="31" xfId="1" applyFont="1" applyFill="1" applyBorder="1" applyAlignment="1">
      <alignment horizontal="center" vertical="center"/>
    </xf>
    <xf numFmtId="0" fontId="18" fillId="5" borderId="20" xfId="1" quotePrefix="1" applyFont="1" applyFill="1" applyBorder="1" applyAlignment="1">
      <alignment horizontal="center" vertical="center" wrapText="1"/>
    </xf>
    <xf numFmtId="0" fontId="18" fillId="5" borderId="20" xfId="1" quotePrefix="1" applyFont="1" applyFill="1" applyBorder="1" applyAlignment="1">
      <alignment horizontal="center" vertical="center"/>
    </xf>
    <xf numFmtId="0" fontId="18" fillId="5" borderId="20" xfId="3" applyFont="1" applyFill="1" applyBorder="1" applyAlignment="1">
      <alignment horizontal="center" vertical="center" wrapText="1"/>
    </xf>
    <xf numFmtId="0" fontId="18" fillId="17" borderId="20" xfId="0" applyFont="1" applyFill="1" applyBorder="1" applyAlignment="1">
      <alignment horizontal="center" vertical="center"/>
    </xf>
    <xf numFmtId="166" fontId="18" fillId="8" borderId="27" xfId="1" applyNumberFormat="1" applyFont="1" applyFill="1" applyBorder="1" applyAlignment="1">
      <alignment horizontal="center" vertical="center" wrapText="1"/>
    </xf>
    <xf numFmtId="0" fontId="22" fillId="0" borderId="27" xfId="0" applyFont="1" applyBorder="1" applyAlignment="1">
      <alignment horizontal="center" vertical="center"/>
    </xf>
    <xf numFmtId="0" fontId="22" fillId="0" borderId="26" xfId="0" applyFont="1" applyBorder="1" applyAlignment="1">
      <alignment horizontal="center" vertical="center"/>
    </xf>
    <xf numFmtId="0" fontId="18" fillId="8" borderId="27" xfId="1" quotePrefix="1" applyFont="1" applyFill="1" applyBorder="1" applyAlignment="1">
      <alignment horizontal="center" vertical="center" wrapText="1"/>
    </xf>
    <xf numFmtId="0" fontId="22" fillId="7" borderId="27" xfId="0" applyFont="1" applyFill="1" applyBorder="1" applyAlignment="1">
      <alignment horizontal="center" vertical="center"/>
    </xf>
    <xf numFmtId="0" fontId="18" fillId="2" borderId="25" xfId="3" applyFont="1" applyFill="1" applyBorder="1" applyAlignment="1">
      <alignment horizontal="center" vertical="center" wrapText="1"/>
    </xf>
    <xf numFmtId="0" fontId="18" fillId="7" borderId="25" xfId="3" applyFont="1" applyFill="1" applyBorder="1" applyAlignment="1">
      <alignment horizontal="center" vertical="center" wrapText="1"/>
    </xf>
    <xf numFmtId="0" fontId="18" fillId="0" borderId="30" xfId="3" applyFont="1" applyBorder="1" applyAlignment="1">
      <alignment horizontal="center" vertical="center" wrapText="1"/>
    </xf>
    <xf numFmtId="166" fontId="18" fillId="8" borderId="45" xfId="1" applyNumberFormat="1" applyFont="1" applyFill="1" applyBorder="1" applyAlignment="1">
      <alignment horizontal="center" vertical="center" wrapText="1"/>
    </xf>
    <xf numFmtId="14" fontId="18" fillId="0" borderId="30" xfId="1" applyNumberFormat="1" applyFont="1" applyBorder="1" applyAlignment="1">
      <alignment horizontal="center" vertical="center"/>
    </xf>
    <xf numFmtId="0" fontId="18" fillId="0" borderId="34" xfId="1" applyFont="1" applyBorder="1" applyAlignment="1">
      <alignment horizontal="center" vertical="center"/>
    </xf>
    <xf numFmtId="0" fontId="18" fillId="0" borderId="26" xfId="3" applyFont="1" applyBorder="1" applyAlignment="1">
      <alignment horizontal="center" vertical="center" wrapText="1"/>
    </xf>
    <xf numFmtId="0" fontId="18" fillId="8" borderId="30" xfId="1" quotePrefix="1" applyFont="1" applyFill="1" applyBorder="1" applyAlignment="1">
      <alignment horizontal="center" vertical="center" wrapText="1"/>
    </xf>
    <xf numFmtId="44" fontId="18" fillId="8" borderId="20" xfId="1" applyNumberFormat="1" applyFont="1" applyFill="1" applyBorder="1" applyAlignment="1">
      <alignment horizontal="center" vertical="center" wrapText="1"/>
    </xf>
    <xf numFmtId="44" fontId="18" fillId="0" borderId="34" xfId="0" applyNumberFormat="1" applyFont="1" applyBorder="1" applyAlignment="1">
      <alignment horizontal="center" vertical="center"/>
    </xf>
    <xf numFmtId="0" fontId="18" fillId="8" borderId="47" xfId="1" quotePrefix="1" applyFont="1" applyFill="1" applyBorder="1" applyAlignment="1">
      <alignment horizontal="center" vertical="center" wrapText="1"/>
    </xf>
    <xf numFmtId="0" fontId="18" fillId="8" borderId="0" xfId="1" quotePrefix="1" applyFont="1" applyFill="1" applyAlignment="1">
      <alignment horizontal="center" vertical="center" wrapText="1"/>
    </xf>
    <xf numFmtId="166" fontId="18" fillId="8" borderId="0" xfId="1" applyNumberFormat="1" applyFont="1" applyFill="1" applyAlignment="1">
      <alignment horizontal="center" vertical="center" wrapText="1"/>
    </xf>
    <xf numFmtId="166" fontId="18" fillId="7" borderId="26" xfId="1" applyNumberFormat="1" applyFont="1" applyFill="1" applyBorder="1" applyAlignment="1">
      <alignment horizontal="center" vertical="center" wrapText="1"/>
    </xf>
    <xf numFmtId="44" fontId="41" fillId="7" borderId="26" xfId="0" applyNumberFormat="1" applyFont="1" applyFill="1" applyBorder="1" applyAlignment="1">
      <alignment horizontal="center" vertical="center"/>
    </xf>
    <xf numFmtId="14" fontId="18" fillId="7" borderId="29" xfId="1" applyNumberFormat="1" applyFont="1" applyFill="1" applyBorder="1" applyAlignment="1">
      <alignment horizontal="center" vertical="center"/>
    </xf>
    <xf numFmtId="0" fontId="18" fillId="7" borderId="20" xfId="1" applyFont="1" applyFill="1" applyBorder="1"/>
    <xf numFmtId="166" fontId="18" fillId="18" borderId="20" xfId="1" applyNumberFormat="1" applyFont="1" applyFill="1" applyBorder="1" applyAlignment="1">
      <alignment horizontal="center" vertical="center" wrapText="1"/>
    </xf>
    <xf numFmtId="0" fontId="18" fillId="18" borderId="28" xfId="1" quotePrefix="1" applyFont="1" applyFill="1" applyBorder="1" applyAlignment="1">
      <alignment horizontal="center" vertical="center" wrapText="1"/>
    </xf>
    <xf numFmtId="0" fontId="21" fillId="2" borderId="15" xfId="1" applyFont="1" applyFill="1" applyBorder="1" applyAlignment="1">
      <alignment horizontal="center" vertical="center"/>
    </xf>
    <xf numFmtId="0" fontId="21" fillId="2" borderId="28" xfId="1" quotePrefix="1" applyFont="1" applyFill="1" applyBorder="1" applyAlignment="1">
      <alignment horizontal="center" vertical="center" wrapText="1"/>
    </xf>
    <xf numFmtId="166" fontId="21" fillId="2" borderId="20" xfId="1" applyNumberFormat="1" applyFont="1" applyFill="1" applyBorder="1" applyAlignment="1">
      <alignment horizontal="center" vertical="center" wrapText="1"/>
    </xf>
    <xf numFmtId="0" fontId="21" fillId="2" borderId="25" xfId="1" applyFont="1" applyFill="1" applyBorder="1" applyAlignment="1">
      <alignment horizontal="center" vertical="center"/>
    </xf>
    <xf numFmtId="0" fontId="21" fillId="2" borderId="20" xfId="1" applyFont="1" applyFill="1" applyBorder="1" applyAlignment="1">
      <alignment horizontal="center" vertical="center" wrapText="1"/>
    </xf>
    <xf numFmtId="169" fontId="0" fillId="2" borderId="0" xfId="0" applyNumberFormat="1" applyFill="1" applyAlignment="1">
      <alignment horizontal="center" vertical="center"/>
    </xf>
    <xf numFmtId="0" fontId="15" fillId="2" borderId="20" xfId="3" applyFont="1" applyFill="1" applyBorder="1" applyAlignment="1">
      <alignment horizontal="center" vertical="center" wrapText="1"/>
    </xf>
    <xf numFmtId="0" fontId="16" fillId="2" borderId="28" xfId="1" quotePrefix="1" applyFont="1" applyFill="1" applyBorder="1" applyAlignment="1">
      <alignment horizontal="center" vertical="center" wrapText="1"/>
    </xf>
    <xf numFmtId="0" fontId="16" fillId="2" borderId="20" xfId="3" applyFont="1" applyFill="1" applyBorder="1" applyAlignment="1">
      <alignment horizontal="center" vertical="center" wrapText="1"/>
    </xf>
    <xf numFmtId="0" fontId="16" fillId="2" borderId="20" xfId="1" applyFont="1" applyFill="1" applyBorder="1" applyAlignment="1">
      <alignment horizontal="center" vertical="center" wrapText="1"/>
    </xf>
    <xf numFmtId="0" fontId="15" fillId="2" borderId="20" xfId="1" applyFont="1" applyFill="1" applyBorder="1" applyAlignment="1">
      <alignment horizontal="center" vertical="center" wrapText="1"/>
    </xf>
    <xf numFmtId="166" fontId="15" fillId="2" borderId="20" xfId="1" applyNumberFormat="1" applyFont="1" applyFill="1" applyBorder="1" applyAlignment="1">
      <alignment horizontal="center" vertical="center" wrapText="1"/>
    </xf>
    <xf numFmtId="0" fontId="16" fillId="0" borderId="20" xfId="3" applyFont="1" applyBorder="1" applyAlignment="1">
      <alignment horizontal="center" vertical="center" wrapText="1"/>
    </xf>
    <xf numFmtId="0" fontId="16" fillId="0" borderId="20" xfId="1" applyFont="1" applyBorder="1" applyAlignment="1">
      <alignment horizontal="center" vertical="center" wrapText="1"/>
    </xf>
    <xf numFmtId="0" fontId="16" fillId="0" borderId="25" xfId="1" applyFont="1" applyBorder="1" applyAlignment="1">
      <alignment horizontal="center" vertical="center" wrapText="1"/>
    </xf>
    <xf numFmtId="0" fontId="16" fillId="0" borderId="20" xfId="1" applyFont="1" applyBorder="1" applyAlignment="1">
      <alignment horizontal="center" vertical="center"/>
    </xf>
    <xf numFmtId="166" fontId="18" fillId="5" borderId="20" xfId="1" applyNumberFormat="1" applyFont="1" applyFill="1" applyBorder="1" applyAlignment="1">
      <alignment horizontal="center" vertical="center" wrapText="1"/>
    </xf>
    <xf numFmtId="0" fontId="18" fillId="5" borderId="20" xfId="1" applyFont="1" applyFill="1" applyBorder="1" applyAlignment="1">
      <alignment horizontal="center" vertical="center"/>
    </xf>
    <xf numFmtId="0" fontId="57" fillId="2" borderId="0" xfId="1" applyFont="1" applyFill="1" applyAlignment="1">
      <alignment horizontal="center" vertical="center"/>
    </xf>
    <xf numFmtId="0" fontId="21" fillId="2" borderId="20" xfId="3" applyFont="1" applyFill="1" applyBorder="1" applyAlignment="1">
      <alignment horizontal="center" vertical="center" wrapText="1"/>
    </xf>
    <xf numFmtId="14" fontId="21" fillId="2" borderId="20" xfId="1" applyNumberFormat="1" applyFont="1" applyFill="1" applyBorder="1" applyAlignment="1">
      <alignment horizontal="center" vertical="center"/>
    </xf>
    <xf numFmtId="0" fontId="18" fillId="24" borderId="15" xfId="1" applyFont="1" applyFill="1" applyBorder="1" applyAlignment="1">
      <alignment horizontal="center" vertical="center"/>
    </xf>
    <xf numFmtId="0" fontId="18" fillId="24" borderId="20" xfId="3" applyFont="1" applyFill="1" applyBorder="1" applyAlignment="1">
      <alignment horizontal="center" vertical="center" wrapText="1"/>
    </xf>
    <xf numFmtId="0" fontId="18" fillId="24" borderId="28" xfId="1" quotePrefix="1" applyFont="1" applyFill="1" applyBorder="1" applyAlignment="1">
      <alignment horizontal="center" vertical="center" wrapText="1"/>
    </xf>
    <xf numFmtId="0" fontId="18" fillId="24" borderId="20" xfId="1" applyFont="1" applyFill="1" applyBorder="1" applyAlignment="1">
      <alignment horizontal="center" vertical="center" wrapText="1"/>
    </xf>
    <xf numFmtId="166" fontId="18" fillId="24" borderId="20" xfId="1" applyNumberFormat="1" applyFont="1" applyFill="1" applyBorder="1" applyAlignment="1">
      <alignment horizontal="center" vertical="center" wrapText="1"/>
    </xf>
    <xf numFmtId="14" fontId="18" fillId="24" borderId="20" xfId="1" applyNumberFormat="1" applyFont="1" applyFill="1" applyBorder="1" applyAlignment="1">
      <alignment horizontal="center" vertical="center"/>
    </xf>
    <xf numFmtId="0" fontId="18" fillId="24" borderId="25" xfId="1" applyFont="1" applyFill="1" applyBorder="1" applyAlignment="1">
      <alignment horizontal="center" vertical="center"/>
    </xf>
    <xf numFmtId="0" fontId="18" fillId="24" borderId="0" xfId="1" applyFont="1" applyFill="1"/>
    <xf numFmtId="0" fontId="18" fillId="24" borderId="20" xfId="1" applyFont="1" applyFill="1" applyBorder="1" applyAlignment="1">
      <alignment horizontal="center" vertical="center"/>
    </xf>
    <xf numFmtId="0" fontId="20" fillId="2" borderId="15" xfId="1" applyFont="1" applyFill="1" applyBorder="1" applyAlignment="1">
      <alignment horizontal="center" vertical="center"/>
    </xf>
    <xf numFmtId="0" fontId="20" fillId="2" borderId="20" xfId="3" applyFont="1" applyFill="1" applyBorder="1" applyAlignment="1">
      <alignment horizontal="center" vertical="center" wrapText="1"/>
    </xf>
    <xf numFmtId="0" fontId="20" fillId="2" borderId="28" xfId="1" quotePrefix="1" applyFont="1" applyFill="1" applyBorder="1" applyAlignment="1">
      <alignment horizontal="center" vertical="center" wrapText="1"/>
    </xf>
    <xf numFmtId="0" fontId="20" fillId="2" borderId="20" xfId="1" applyFont="1" applyFill="1" applyBorder="1" applyAlignment="1">
      <alignment horizontal="center" vertical="center" wrapText="1"/>
    </xf>
    <xf numFmtId="166" fontId="20" fillId="2" borderId="20" xfId="1" applyNumberFormat="1" applyFont="1" applyFill="1" applyBorder="1" applyAlignment="1">
      <alignment horizontal="center" vertical="center" wrapText="1"/>
    </xf>
    <xf numFmtId="14" fontId="20" fillId="2" borderId="20" xfId="1" applyNumberFormat="1" applyFont="1" applyFill="1" applyBorder="1" applyAlignment="1">
      <alignment horizontal="center" vertical="center"/>
    </xf>
    <xf numFmtId="0" fontId="20" fillId="2" borderId="25" xfId="1" applyFont="1" applyFill="1" applyBorder="1" applyAlignment="1">
      <alignment horizontal="center" vertical="center"/>
    </xf>
    <xf numFmtId="0" fontId="20" fillId="2" borderId="20" xfId="1" applyFont="1" applyFill="1" applyBorder="1" applyAlignment="1">
      <alignment horizontal="center" vertical="center"/>
    </xf>
    <xf numFmtId="0" fontId="18" fillId="0" borderId="25" xfId="3" applyFont="1" applyBorder="1" applyAlignment="1">
      <alignment horizontal="center" vertical="center" wrapText="1"/>
    </xf>
    <xf numFmtId="0" fontId="59" fillId="2" borderId="0" xfId="1" applyFont="1" applyFill="1"/>
    <xf numFmtId="0" fontId="59" fillId="0" borderId="94" xfId="1" applyFont="1" applyBorder="1" applyAlignment="1">
      <alignment horizontal="center" vertical="center" wrapText="1"/>
    </xf>
    <xf numFmtId="0" fontId="59" fillId="0" borderId="20" xfId="1" applyFont="1" applyBorder="1" applyAlignment="1">
      <alignment horizontal="center" vertical="center" wrapText="1"/>
    </xf>
    <xf numFmtId="0" fontId="18" fillId="25" borderId="20" xfId="0" applyFont="1" applyFill="1" applyBorder="1" applyAlignment="1">
      <alignment horizontal="center" vertical="center" wrapText="1"/>
    </xf>
    <xf numFmtId="0" fontId="18" fillId="25" borderId="20" xfId="1" quotePrefix="1" applyFont="1" applyFill="1" applyBorder="1" applyAlignment="1">
      <alignment horizontal="center" vertical="center" wrapText="1"/>
    </xf>
    <xf numFmtId="0" fontId="18" fillId="25" borderId="20" xfId="0" applyFont="1" applyFill="1" applyBorder="1" applyAlignment="1">
      <alignment horizontal="center" vertical="center"/>
    </xf>
    <xf numFmtId="0" fontId="18" fillId="25" borderId="20" xfId="1" applyFont="1" applyFill="1" applyBorder="1" applyAlignment="1">
      <alignment horizontal="center" vertical="center" wrapText="1"/>
    </xf>
    <xf numFmtId="166" fontId="18" fillId="25" borderId="20" xfId="1" applyNumberFormat="1" applyFont="1" applyFill="1" applyBorder="1" applyAlignment="1">
      <alignment horizontal="center" vertical="center" wrapText="1"/>
    </xf>
    <xf numFmtId="14" fontId="18" fillId="25" borderId="20" xfId="1" applyNumberFormat="1" applyFont="1" applyFill="1" applyBorder="1" applyAlignment="1">
      <alignment horizontal="center" vertical="center"/>
    </xf>
    <xf numFmtId="0" fontId="18" fillId="25" borderId="25" xfId="1" applyFont="1" applyFill="1" applyBorder="1" applyAlignment="1">
      <alignment horizontal="center" vertical="center"/>
    </xf>
    <xf numFmtId="0" fontId="18" fillId="25" borderId="20" xfId="1" applyFont="1" applyFill="1" applyBorder="1" applyAlignment="1">
      <alignment horizontal="center" vertical="center"/>
    </xf>
    <xf numFmtId="0" fontId="18" fillId="25" borderId="20" xfId="3" applyFont="1" applyFill="1" applyBorder="1" applyAlignment="1">
      <alignment horizontal="center" vertical="center" wrapText="1"/>
    </xf>
    <xf numFmtId="167" fontId="0" fillId="2" borderId="8" xfId="0" applyNumberFormat="1" applyFill="1" applyBorder="1" applyAlignment="1">
      <alignment horizontal="center" vertical="center"/>
    </xf>
    <xf numFmtId="0" fontId="15" fillId="0" borderId="20" xfId="1" applyFont="1" applyBorder="1" applyAlignment="1">
      <alignment horizontal="center" vertical="center" wrapText="1"/>
    </xf>
    <xf numFmtId="0" fontId="18" fillId="0" borderId="0" xfId="0" applyFont="1" applyAlignment="1">
      <alignment horizontal="center" vertical="center" wrapText="1"/>
    </xf>
    <xf numFmtId="0" fontId="15" fillId="0" borderId="20" xfId="3" applyFont="1" applyBorder="1" applyAlignment="1">
      <alignment horizontal="center" vertical="center" wrapText="1"/>
    </xf>
    <xf numFmtId="0" fontId="16" fillId="0" borderId="20" xfId="2" applyFont="1" applyBorder="1" applyAlignment="1">
      <alignment horizontal="center" vertical="center" wrapText="1"/>
    </xf>
    <xf numFmtId="0" fontId="52" fillId="0" borderId="27" xfId="0" applyFont="1" applyBorder="1" applyAlignment="1">
      <alignment horizontal="center" vertical="center"/>
    </xf>
    <xf numFmtId="0" fontId="16" fillId="2" borderId="20" xfId="0" applyFont="1" applyFill="1" applyBorder="1" applyAlignment="1">
      <alignment horizontal="center" vertical="center" wrapText="1"/>
    </xf>
    <xf numFmtId="0" fontId="15" fillId="0" borderId="20" xfId="3" quotePrefix="1" applyFont="1" applyBorder="1" applyAlignment="1">
      <alignment horizontal="center" vertical="center" wrapText="1"/>
    </xf>
    <xf numFmtId="0" fontId="16" fillId="2" borderId="20" xfId="1" quotePrefix="1" applyFont="1" applyFill="1" applyBorder="1" applyAlignment="1">
      <alignment horizontal="center" vertical="center"/>
    </xf>
    <xf numFmtId="0" fontId="16" fillId="2" borderId="25" xfId="3" applyFont="1" applyFill="1" applyBorder="1" applyAlignment="1">
      <alignment horizontal="center" vertical="center" wrapText="1"/>
    </xf>
    <xf numFmtId="0" fontId="16" fillId="2" borderId="20" xfId="2" applyFont="1" applyFill="1" applyBorder="1" applyAlignment="1">
      <alignment horizontal="center" vertical="center" wrapText="1"/>
    </xf>
    <xf numFmtId="166" fontId="16" fillId="2" borderId="20" xfId="1" applyNumberFormat="1" applyFont="1" applyFill="1" applyBorder="1" applyAlignment="1">
      <alignment horizontal="center" vertical="center" wrapText="1"/>
    </xf>
    <xf numFmtId="14" fontId="16" fillId="2" borderId="20" xfId="1" applyNumberFormat="1" applyFont="1" applyFill="1" applyBorder="1" applyAlignment="1">
      <alignment horizontal="center" vertical="center"/>
    </xf>
    <xf numFmtId="0" fontId="16" fillId="2" borderId="15" xfId="1" applyFont="1" applyFill="1" applyBorder="1" applyAlignment="1">
      <alignment horizontal="center" vertical="center"/>
    </xf>
    <xf numFmtId="44" fontId="62" fillId="2" borderId="20" xfId="0" applyNumberFormat="1" applyFont="1" applyFill="1" applyBorder="1" applyAlignment="1">
      <alignment horizontal="center" vertical="center"/>
    </xf>
    <xf numFmtId="0" fontId="18" fillId="8" borderId="33" xfId="1" applyFont="1" applyFill="1" applyBorder="1" applyAlignment="1">
      <alignment horizontal="center" vertical="center"/>
    </xf>
    <xf numFmtId="0" fontId="16" fillId="2" borderId="33" xfId="1" applyFont="1" applyFill="1" applyBorder="1" applyAlignment="1">
      <alignment horizontal="center" vertical="center"/>
    </xf>
    <xf numFmtId="166" fontId="18" fillId="8" borderId="26" xfId="1" applyNumberFormat="1" applyFont="1" applyFill="1" applyBorder="1" applyAlignment="1">
      <alignment horizontal="center" vertical="center" wrapText="1"/>
    </xf>
    <xf numFmtId="14" fontId="18" fillId="2" borderId="26" xfId="1" applyNumberFormat="1" applyFont="1" applyFill="1" applyBorder="1" applyAlignment="1">
      <alignment horizontal="center" vertical="center"/>
    </xf>
    <xf numFmtId="44" fontId="18" fillId="0" borderId="27" xfId="0" applyNumberFormat="1" applyFont="1" applyBorder="1" applyAlignment="1">
      <alignment horizontal="center" vertical="center"/>
    </xf>
    <xf numFmtId="0" fontId="16" fillId="2" borderId="27" xfId="3" applyFont="1" applyFill="1" applyBorder="1" applyAlignment="1">
      <alignment horizontal="center" vertical="center" wrapText="1"/>
    </xf>
    <xf numFmtId="0" fontId="19" fillId="0" borderId="20" xfId="1" applyFont="1" applyBorder="1" applyAlignment="1">
      <alignment horizontal="center" vertical="center" wrapText="1"/>
    </xf>
    <xf numFmtId="44" fontId="63" fillId="2" borderId="0" xfId="0" applyNumberFormat="1" applyFont="1" applyFill="1" applyAlignment="1">
      <alignment horizontal="center" vertical="center"/>
    </xf>
    <xf numFmtId="44" fontId="63" fillId="2" borderId="25" xfId="0" applyNumberFormat="1" applyFont="1" applyFill="1" applyBorder="1" applyAlignment="1">
      <alignment horizontal="center" vertical="center"/>
    </xf>
    <xf numFmtId="14" fontId="18" fillId="8" borderId="45" xfId="1" applyNumberFormat="1" applyFont="1" applyFill="1" applyBorder="1" applyAlignment="1">
      <alignment horizontal="center" vertical="center"/>
    </xf>
    <xf numFmtId="14" fontId="18" fillId="8" borderId="26" xfId="1" applyNumberFormat="1" applyFont="1" applyFill="1" applyBorder="1" applyAlignment="1">
      <alignment horizontal="center" vertical="center"/>
    </xf>
    <xf numFmtId="0" fontId="16" fillId="8" borderId="28" xfId="1" quotePrefix="1" applyFont="1" applyFill="1" applyBorder="1" applyAlignment="1">
      <alignment horizontal="center" vertical="center" wrapText="1"/>
    </xf>
    <xf numFmtId="0" fontId="16" fillId="26" borderId="20" xfId="1" applyFont="1" applyFill="1" applyBorder="1" applyAlignment="1">
      <alignment horizontal="center" vertical="center" wrapText="1"/>
    </xf>
    <xf numFmtId="0" fontId="18" fillId="0" borderId="28" xfId="1" quotePrefix="1" applyFont="1" applyBorder="1" applyAlignment="1">
      <alignment horizontal="center" vertical="center"/>
    </xf>
    <xf numFmtId="0" fontId="18" fillId="2" borderId="45" xfId="1" applyFont="1" applyFill="1" applyBorder="1" applyAlignment="1">
      <alignment horizontal="center" vertical="center" wrapText="1"/>
    </xf>
    <xf numFmtId="44" fontId="64" fillId="2" borderId="20" xfId="0" applyNumberFormat="1" applyFont="1" applyFill="1" applyBorder="1" applyAlignment="1">
      <alignment horizontal="center" vertical="center"/>
    </xf>
    <xf numFmtId="0" fontId="16" fillId="0" borderId="28" xfId="1" quotePrefix="1" applyFont="1" applyBorder="1" applyAlignment="1">
      <alignment horizontal="center" vertical="center" wrapText="1"/>
    </xf>
    <xf numFmtId="166" fontId="15" fillId="0" borderId="20" xfId="1" applyNumberFormat="1" applyFont="1" applyBorder="1" applyAlignment="1">
      <alignment horizontal="center" vertical="center" wrapText="1"/>
    </xf>
    <xf numFmtId="164" fontId="65" fillId="2" borderId="4" xfId="0" applyNumberFormat="1" applyFont="1" applyFill="1" applyBorder="1" applyAlignment="1">
      <alignment horizontal="left" vertical="center"/>
    </xf>
    <xf numFmtId="164" fontId="65" fillId="2" borderId="5" xfId="0" applyNumberFormat="1" applyFont="1" applyFill="1" applyBorder="1" applyAlignment="1">
      <alignment horizontal="center" vertical="center"/>
    </xf>
    <xf numFmtId="171" fontId="65" fillId="2" borderId="5" xfId="0" applyNumberFormat="1" applyFont="1" applyFill="1" applyBorder="1" applyAlignment="1">
      <alignment horizontal="center" vertical="center"/>
    </xf>
    <xf numFmtId="171" fontId="65" fillId="2" borderId="6" xfId="0" applyNumberFormat="1" applyFont="1" applyFill="1" applyBorder="1" applyAlignment="1">
      <alignment horizontal="center" vertical="center"/>
    </xf>
    <xf numFmtId="0" fontId="12" fillId="7" borderId="85" xfId="0" applyFont="1" applyFill="1" applyBorder="1" applyAlignment="1">
      <alignment wrapText="1"/>
    </xf>
    <xf numFmtId="44" fontId="66" fillId="0" borderId="0" xfId="0" applyNumberFormat="1" applyFont="1" applyAlignment="1">
      <alignment horizontal="center" vertical="center"/>
    </xf>
    <xf numFmtId="0" fontId="16" fillId="0" borderId="25" xfId="3" applyFont="1" applyBorder="1" applyAlignment="1">
      <alignment horizontal="center" vertical="center" wrapText="1"/>
    </xf>
    <xf numFmtId="14" fontId="16" fillId="2" borderId="28" xfId="1" applyNumberFormat="1" applyFont="1" applyFill="1" applyBorder="1" applyAlignment="1">
      <alignment horizontal="center" vertical="center"/>
    </xf>
    <xf numFmtId="44" fontId="63" fillId="0" borderId="0" xfId="0" applyNumberFormat="1" applyFont="1" applyAlignment="1">
      <alignment horizontal="center" vertical="center"/>
    </xf>
    <xf numFmtId="44" fontId="63" fillId="0" borderId="20" xfId="0" applyNumberFormat="1" applyFont="1" applyBorder="1" applyAlignment="1">
      <alignment horizontal="center" vertical="center"/>
    </xf>
    <xf numFmtId="44" fontId="63" fillId="0" borderId="27" xfId="0" applyNumberFormat="1" applyFont="1" applyBorder="1" applyAlignment="1">
      <alignment horizontal="center" vertical="center"/>
    </xf>
    <xf numFmtId="0" fontId="67" fillId="7" borderId="20" xfId="1" applyFont="1" applyFill="1" applyBorder="1" applyAlignment="1">
      <alignment horizontal="center" vertical="center" wrapText="1"/>
    </xf>
    <xf numFmtId="0" fontId="21" fillId="7" borderId="28" xfId="1" quotePrefix="1" applyFont="1" applyFill="1" applyBorder="1" applyAlignment="1">
      <alignment horizontal="center" vertical="center" wrapText="1"/>
    </xf>
    <xf numFmtId="14" fontId="16" fillId="0" borderId="30" xfId="1" applyNumberFormat="1" applyFont="1" applyBorder="1" applyAlignment="1">
      <alignment horizontal="center" vertical="center"/>
    </xf>
    <xf numFmtId="14" fontId="16" fillId="0" borderId="20" xfId="1" applyNumberFormat="1" applyFont="1" applyBorder="1" applyAlignment="1">
      <alignment horizontal="center" vertical="center"/>
    </xf>
    <xf numFmtId="14" fontId="16" fillId="0" borderId="69" xfId="1" applyNumberFormat="1" applyFont="1" applyBorder="1" applyAlignment="1">
      <alignment horizontal="center" vertical="center"/>
    </xf>
    <xf numFmtId="44" fontId="18" fillId="0" borderId="31" xfId="0" applyNumberFormat="1" applyFont="1" applyBorder="1" applyAlignment="1">
      <alignment horizontal="center" vertical="center"/>
    </xf>
    <xf numFmtId="0" fontId="18" fillId="8" borderId="28" xfId="1" applyFont="1" applyFill="1" applyBorder="1" applyAlignment="1">
      <alignment horizontal="center" vertical="center" wrapText="1"/>
    </xf>
    <xf numFmtId="14" fontId="16" fillId="0" borderId="28" xfId="1" applyNumberFormat="1" applyFont="1" applyBorder="1" applyAlignment="1">
      <alignment horizontal="center" vertical="center"/>
    </xf>
    <xf numFmtId="0" fontId="16" fillId="0" borderId="26" xfId="3" applyFont="1" applyBorder="1" applyAlignment="1">
      <alignment horizontal="center" vertical="center" wrapText="1"/>
    </xf>
    <xf numFmtId="44" fontId="68" fillId="0" borderId="36" xfId="0" applyNumberFormat="1" applyFont="1" applyBorder="1" applyAlignment="1">
      <alignment horizontal="center" vertical="center"/>
    </xf>
    <xf numFmtId="14" fontId="16" fillId="0" borderId="26" xfId="1" applyNumberFormat="1" applyFont="1" applyBorder="1" applyAlignment="1">
      <alignment horizontal="center" vertical="center"/>
    </xf>
    <xf numFmtId="0" fontId="18" fillId="8" borderId="47" xfId="1" applyFont="1" applyFill="1" applyBorder="1" applyAlignment="1">
      <alignment horizontal="center" vertical="center" wrapText="1"/>
    </xf>
    <xf numFmtId="4" fontId="16" fillId="2" borderId="25" xfId="1" applyNumberFormat="1" applyFont="1" applyFill="1" applyBorder="1" applyAlignment="1">
      <alignment horizontal="center" vertical="center" wrapText="1"/>
    </xf>
    <xf numFmtId="0" fontId="16" fillId="2" borderId="25" xfId="1" applyFont="1" applyFill="1" applyBorder="1" applyAlignment="1">
      <alignment horizontal="center" vertical="center"/>
    </xf>
    <xf numFmtId="44" fontId="68" fillId="0" borderId="20" xfId="0" applyNumberFormat="1" applyFont="1" applyBorder="1" applyAlignment="1">
      <alignment horizontal="center" vertical="center"/>
    </xf>
    <xf numFmtId="0" fontId="18" fillId="0" borderId="30" xfId="1" quotePrefix="1" applyFont="1" applyBorder="1" applyAlignment="1">
      <alignment horizontal="center" vertical="center" wrapText="1"/>
    </xf>
    <xf numFmtId="166" fontId="18" fillId="0" borderId="27" xfId="1" applyNumberFormat="1" applyFont="1" applyBorder="1" applyAlignment="1">
      <alignment horizontal="center" vertical="center" wrapText="1"/>
    </xf>
    <xf numFmtId="14" fontId="16" fillId="0" borderId="47" xfId="1" applyNumberFormat="1" applyFont="1" applyBorder="1" applyAlignment="1">
      <alignment horizontal="center" vertical="center"/>
    </xf>
    <xf numFmtId="0" fontId="16" fillId="2" borderId="28" xfId="3" quotePrefix="1" applyFont="1" applyFill="1" applyBorder="1" applyAlignment="1">
      <alignment horizontal="center" vertical="center" wrapText="1"/>
    </xf>
    <xf numFmtId="44" fontId="18" fillId="0" borderId="26" xfId="0" applyNumberFormat="1" applyFont="1" applyBorder="1" applyAlignment="1">
      <alignment horizontal="center" vertical="center"/>
    </xf>
    <xf numFmtId="0" fontId="16" fillId="8" borderId="25" xfId="1" applyFont="1" applyFill="1" applyBorder="1" applyAlignment="1">
      <alignment horizontal="center" vertical="center"/>
    </xf>
    <xf numFmtId="0" fontId="16" fillId="7" borderId="15" xfId="1" applyFont="1" applyFill="1" applyBorder="1" applyAlignment="1">
      <alignment horizontal="center" vertical="center"/>
    </xf>
    <xf numFmtId="0" fontId="16" fillId="7" borderId="20" xfId="1" quotePrefix="1" applyFont="1" applyFill="1" applyBorder="1" applyAlignment="1">
      <alignment horizontal="center" vertical="center" wrapText="1"/>
    </xf>
    <xf numFmtId="16" fontId="16" fillId="7" borderId="20" xfId="1" applyNumberFormat="1" applyFont="1" applyFill="1" applyBorder="1" applyAlignment="1">
      <alignment horizontal="center" vertical="center"/>
    </xf>
    <xf numFmtId="0" fontId="16" fillId="7" borderId="33" xfId="1" applyFont="1" applyFill="1" applyBorder="1" applyAlignment="1">
      <alignment horizontal="center" vertical="center"/>
    </xf>
    <xf numFmtId="0" fontId="16" fillId="0" borderId="94" xfId="3" applyFont="1" applyBorder="1" applyAlignment="1">
      <alignment horizontal="center" vertical="center" wrapText="1"/>
    </xf>
    <xf numFmtId="44" fontId="66" fillId="0" borderId="20" xfId="0" applyNumberFormat="1" applyFont="1" applyBorder="1" applyAlignment="1">
      <alignment horizontal="center" vertical="center"/>
    </xf>
    <xf numFmtId="0" fontId="16" fillId="2" borderId="28" xfId="1" quotePrefix="1" applyFont="1" applyFill="1" applyBorder="1" applyAlignment="1">
      <alignment horizontal="center" vertical="center"/>
    </xf>
    <xf numFmtId="166" fontId="18" fillId="2" borderId="26" xfId="1" applyNumberFormat="1" applyFont="1" applyFill="1" applyBorder="1" applyAlignment="1">
      <alignment horizontal="center" vertical="center" wrapText="1"/>
    </xf>
    <xf numFmtId="0" fontId="18" fillId="2" borderId="34" xfId="1" applyFont="1" applyFill="1" applyBorder="1" applyAlignment="1">
      <alignment horizontal="center" vertical="center"/>
    </xf>
    <xf numFmtId="0" fontId="19" fillId="7" borderId="28" xfId="3" applyFont="1" applyFill="1" applyBorder="1" applyAlignment="1">
      <alignment horizontal="center" vertical="center" wrapText="1"/>
    </xf>
    <xf numFmtId="44" fontId="62" fillId="0" borderId="20" xfId="0" applyNumberFormat="1" applyFont="1" applyBorder="1" applyAlignment="1">
      <alignment horizontal="center" vertical="center"/>
    </xf>
    <xf numFmtId="44" fontId="16" fillId="2" borderId="20" xfId="0" applyNumberFormat="1" applyFont="1" applyFill="1" applyBorder="1" applyAlignment="1">
      <alignment horizontal="center" vertical="center"/>
    </xf>
    <xf numFmtId="44" fontId="16" fillId="2" borderId="26" xfId="0" applyNumberFormat="1" applyFont="1" applyFill="1" applyBorder="1" applyAlignment="1">
      <alignment horizontal="center" vertical="center"/>
    </xf>
    <xf numFmtId="44" fontId="16" fillId="0" borderId="20" xfId="0" applyNumberFormat="1" applyFont="1" applyBorder="1" applyAlignment="1">
      <alignment horizontal="center" vertical="center"/>
    </xf>
    <xf numFmtId="14" fontId="16" fillId="2" borderId="47" xfId="1" applyNumberFormat="1" applyFont="1" applyFill="1" applyBorder="1" applyAlignment="1">
      <alignment horizontal="center" vertical="center"/>
    </xf>
    <xf numFmtId="0" fontId="20" fillId="2" borderId="7" xfId="1" applyFont="1" applyFill="1" applyBorder="1" applyAlignment="1">
      <alignment horizontal="center" vertical="center"/>
    </xf>
    <xf numFmtId="14" fontId="20" fillId="2" borderId="47" xfId="1" applyNumberFormat="1" applyFont="1" applyFill="1" applyBorder="1" applyAlignment="1">
      <alignment horizontal="center" vertical="center"/>
    </xf>
    <xf numFmtId="0" fontId="21" fillId="2" borderId="20" xfId="1" applyFont="1" applyFill="1" applyBorder="1" applyAlignment="1">
      <alignment horizontal="center" vertical="center"/>
    </xf>
    <xf numFmtId="0" fontId="67" fillId="2" borderId="20" xfId="1" applyFont="1" applyFill="1" applyBorder="1" applyAlignment="1">
      <alignment horizontal="center" vertical="center" wrapText="1"/>
    </xf>
    <xf numFmtId="0" fontId="16" fillId="0" borderId="15" xfId="1" applyFont="1" applyBorder="1" applyAlignment="1">
      <alignment horizontal="center" vertical="center"/>
    </xf>
    <xf numFmtId="0" fontId="16" fillId="2" borderId="20" xfId="1" applyFont="1" applyFill="1" applyBorder="1" applyAlignment="1">
      <alignment horizontal="center" vertical="center"/>
    </xf>
    <xf numFmtId="0" fontId="16" fillId="2" borderId="94" xfId="3" applyFont="1" applyFill="1" applyBorder="1" applyAlignment="1">
      <alignment horizontal="center" vertical="center" wrapText="1"/>
    </xf>
    <xf numFmtId="166" fontId="18" fillId="2" borderId="27" xfId="1" applyNumberFormat="1" applyFont="1" applyFill="1" applyBorder="1" applyAlignment="1">
      <alignment horizontal="center" vertical="center" wrapText="1"/>
    </xf>
    <xf numFmtId="44" fontId="68" fillId="2" borderId="20" xfId="0" applyNumberFormat="1" applyFont="1" applyFill="1" applyBorder="1" applyAlignment="1">
      <alignment horizontal="center" vertical="center"/>
    </xf>
    <xf numFmtId="0" fontId="18" fillId="2" borderId="26" xfId="1" quotePrefix="1" applyFont="1" applyFill="1" applyBorder="1" applyAlignment="1">
      <alignment horizontal="center" vertical="center" wrapText="1"/>
    </xf>
    <xf numFmtId="0" fontId="18" fillId="2" borderId="47" xfId="1" quotePrefix="1" applyFont="1" applyFill="1" applyBorder="1" applyAlignment="1">
      <alignment horizontal="center" vertical="center" wrapText="1"/>
    </xf>
    <xf numFmtId="0" fontId="16" fillId="0" borderId="20" xfId="3" quotePrefix="1" applyFont="1" applyBorder="1" applyAlignment="1">
      <alignment horizontal="center" vertical="center" wrapText="1"/>
    </xf>
    <xf numFmtId="166" fontId="16" fillId="0" borderId="20" xfId="1" applyNumberFormat="1" applyFont="1" applyBorder="1" applyAlignment="1">
      <alignment horizontal="center" vertical="center" wrapText="1"/>
    </xf>
    <xf numFmtId="0" fontId="16" fillId="0" borderId="25" xfId="2" applyFont="1" applyBorder="1" applyAlignment="1">
      <alignment horizontal="center" vertical="center" wrapText="1"/>
    </xf>
    <xf numFmtId="0" fontId="16" fillId="7" borderId="24" xfId="1" applyFont="1" applyFill="1" applyBorder="1" applyAlignment="1">
      <alignment horizontal="center" vertical="center" wrapText="1"/>
    </xf>
    <xf numFmtId="0" fontId="16" fillId="7" borderId="22" xfId="1" applyFont="1" applyFill="1" applyBorder="1" applyAlignment="1">
      <alignment horizontal="center" vertical="center" wrapText="1"/>
    </xf>
    <xf numFmtId="0" fontId="69" fillId="0" borderId="20" xfId="0" applyFont="1" applyBorder="1" applyAlignment="1">
      <alignment horizontal="center" vertical="center"/>
    </xf>
    <xf numFmtId="0" fontId="16" fillId="0" borderId="28" xfId="1" applyFont="1" applyBorder="1" applyAlignment="1">
      <alignment horizontal="center" vertical="center" wrapText="1"/>
    </xf>
    <xf numFmtId="0" fontId="16" fillId="18" borderId="27" xfId="3" applyFont="1" applyFill="1" applyBorder="1" applyAlignment="1">
      <alignment horizontal="center" vertical="center" wrapText="1"/>
    </xf>
    <xf numFmtId="0" fontId="18" fillId="27" borderId="0" xfId="1" applyFont="1" applyFill="1"/>
    <xf numFmtId="0" fontId="16" fillId="0" borderId="20" xfId="0" applyFont="1" applyBorder="1" applyAlignment="1">
      <alignment horizontal="center" vertical="center"/>
    </xf>
    <xf numFmtId="0" fontId="70" fillId="0" borderId="20" xfId="0" applyFont="1" applyBorder="1" applyAlignment="1">
      <alignment horizontal="center" vertical="center"/>
    </xf>
    <xf numFmtId="0" fontId="18" fillId="2" borderId="28" xfId="1" applyFont="1" applyFill="1" applyBorder="1" applyAlignment="1">
      <alignment horizontal="center" vertical="center"/>
    </xf>
    <xf numFmtId="0" fontId="70" fillId="0" borderId="26" xfId="0" applyFont="1" applyBorder="1" applyAlignment="1">
      <alignment horizontal="center" vertical="center"/>
    </xf>
    <xf numFmtId="0" fontId="16" fillId="2" borderId="25" xfId="2" applyFont="1" applyFill="1" applyBorder="1" applyAlignment="1">
      <alignment horizontal="center" vertical="center" wrapText="1"/>
    </xf>
    <xf numFmtId="166" fontId="18" fillId="0" borderId="45" xfId="1" applyNumberFormat="1" applyFont="1" applyBorder="1" applyAlignment="1">
      <alignment horizontal="center" vertical="center" wrapText="1"/>
    </xf>
    <xf numFmtId="0" fontId="16" fillId="7" borderId="94" xfId="3" applyFont="1" applyFill="1" applyBorder="1" applyAlignment="1">
      <alignment horizontal="center" vertical="center" wrapText="1"/>
    </xf>
    <xf numFmtId="14" fontId="16" fillId="7" borderId="47" xfId="1" applyNumberFormat="1" applyFont="1" applyFill="1" applyBorder="1" applyAlignment="1">
      <alignment horizontal="center" vertical="center"/>
    </xf>
    <xf numFmtId="4" fontId="16" fillId="0" borderId="25" xfId="1" applyNumberFormat="1" applyFont="1" applyBorder="1" applyAlignment="1">
      <alignment horizontal="center" vertical="center" wrapText="1"/>
    </xf>
    <xf numFmtId="44" fontId="41" fillId="0" borderId="20" xfId="0" applyNumberFormat="1" applyFont="1" applyBorder="1" applyAlignment="1">
      <alignment horizontal="center" vertical="center"/>
    </xf>
    <xf numFmtId="44" fontId="41" fillId="0" borderId="27" xfId="0" applyNumberFormat="1" applyFont="1" applyBorder="1" applyAlignment="1">
      <alignment horizontal="center" vertical="center"/>
    </xf>
    <xf numFmtId="0" fontId="16" fillId="13" borderId="15" xfId="1" applyFont="1" applyFill="1" applyBorder="1" applyAlignment="1">
      <alignment horizontal="center" vertical="center"/>
    </xf>
    <xf numFmtId="0" fontId="16" fillId="13" borderId="20" xfId="3" applyFont="1" applyFill="1" applyBorder="1" applyAlignment="1">
      <alignment horizontal="center" vertical="center" wrapText="1"/>
    </xf>
    <xf numFmtId="0" fontId="16" fillId="13" borderId="28" xfId="1" quotePrefix="1" applyFont="1" applyFill="1" applyBorder="1" applyAlignment="1">
      <alignment horizontal="center" vertical="center" wrapText="1"/>
    </xf>
    <xf numFmtId="0" fontId="16" fillId="13" borderId="20" xfId="1" applyFont="1" applyFill="1" applyBorder="1" applyAlignment="1">
      <alignment horizontal="center" vertical="center" wrapText="1"/>
    </xf>
    <xf numFmtId="166" fontId="16" fillId="13" borderId="20" xfId="1" applyNumberFormat="1" applyFont="1" applyFill="1" applyBorder="1" applyAlignment="1">
      <alignment horizontal="center" vertical="center" wrapText="1"/>
    </xf>
    <xf numFmtId="14" fontId="16" fillId="13" borderId="20" xfId="1" applyNumberFormat="1" applyFont="1" applyFill="1" applyBorder="1" applyAlignment="1">
      <alignment horizontal="center" vertical="center"/>
    </xf>
    <xf numFmtId="0" fontId="16" fillId="13" borderId="25" xfId="1" applyFont="1" applyFill="1" applyBorder="1" applyAlignment="1">
      <alignment horizontal="center" vertical="center"/>
    </xf>
    <xf numFmtId="166" fontId="18" fillId="0" borderId="26" xfId="1" applyNumberFormat="1" applyFont="1" applyBorder="1" applyAlignment="1">
      <alignment horizontal="center" vertical="center" wrapText="1"/>
    </xf>
    <xf numFmtId="44" fontId="16" fillId="0" borderId="20" xfId="3" applyNumberFormat="1" applyFont="1" applyBorder="1" applyAlignment="1">
      <alignment horizontal="center" vertical="center" wrapText="1"/>
    </xf>
    <xf numFmtId="14" fontId="16" fillId="0" borderId="20" xfId="3" applyNumberFormat="1" applyFont="1" applyBorder="1" applyAlignment="1">
      <alignment horizontal="center" vertical="center" wrapText="1"/>
    </xf>
    <xf numFmtId="0" fontId="16" fillId="8" borderId="20" xfId="1" applyFont="1" applyFill="1" applyBorder="1" applyAlignment="1">
      <alignment horizontal="center" vertical="center"/>
    </xf>
    <xf numFmtId="0" fontId="16" fillId="8" borderId="29" xfId="1" applyFont="1" applyFill="1" applyBorder="1" applyAlignment="1">
      <alignment horizontal="center" vertical="center"/>
    </xf>
    <xf numFmtId="4" fontId="18" fillId="2" borderId="20" xfId="1" applyNumberFormat="1" applyFont="1" applyFill="1" applyBorder="1" applyAlignment="1">
      <alignment horizontal="center" vertical="center"/>
    </xf>
    <xf numFmtId="0" fontId="16" fillId="2" borderId="20" xfId="0" applyFont="1" applyFill="1" applyBorder="1" applyAlignment="1">
      <alignment horizontal="center" vertical="center"/>
    </xf>
    <xf numFmtId="164" fontId="0" fillId="4" borderId="95" xfId="0" applyNumberFormat="1" applyFill="1" applyBorder="1" applyAlignment="1">
      <alignment horizontal="center" vertical="center"/>
    </xf>
    <xf numFmtId="164" fontId="0" fillId="4" borderId="96" xfId="0" applyNumberFormat="1" applyFill="1" applyBorder="1" applyAlignment="1">
      <alignment horizontal="center" vertical="center"/>
    </xf>
    <xf numFmtId="0" fontId="20" fillId="5" borderId="20" xfId="3" applyFont="1" applyFill="1" applyBorder="1" applyAlignment="1">
      <alignment horizontal="center" vertical="center" wrapText="1"/>
    </xf>
    <xf numFmtId="0" fontId="20" fillId="5" borderId="20" xfId="3" quotePrefix="1" applyFont="1" applyFill="1" applyBorder="1" applyAlignment="1">
      <alignment horizontal="center" vertical="center" wrapText="1"/>
    </xf>
    <xf numFmtId="0" fontId="20" fillId="5" borderId="20" xfId="2" applyFont="1" applyFill="1" applyBorder="1" applyAlignment="1">
      <alignment horizontal="center" vertical="center" wrapText="1"/>
    </xf>
    <xf numFmtId="0" fontId="20" fillId="5" borderId="20" xfId="1" applyFont="1" applyFill="1" applyBorder="1" applyAlignment="1">
      <alignment horizontal="center" vertical="center" wrapText="1"/>
    </xf>
    <xf numFmtId="166" fontId="19" fillId="5" borderId="20" xfId="1" applyNumberFormat="1" applyFont="1" applyFill="1" applyBorder="1" applyAlignment="1">
      <alignment horizontal="center" vertical="center" wrapText="1"/>
    </xf>
    <xf numFmtId="14" fontId="20" fillId="5" borderId="20" xfId="1" applyNumberFormat="1" applyFont="1" applyFill="1" applyBorder="1" applyAlignment="1">
      <alignment horizontal="center" vertical="center"/>
    </xf>
    <xf numFmtId="0" fontId="20" fillId="5" borderId="25" xfId="2" applyFont="1" applyFill="1" applyBorder="1" applyAlignment="1">
      <alignment horizontal="center" vertical="center" wrapText="1"/>
    </xf>
    <xf numFmtId="0" fontId="21" fillId="5" borderId="0" xfId="1" applyFont="1" applyFill="1"/>
    <xf numFmtId="164" fontId="0" fillId="4" borderId="8" xfId="0" applyNumberFormat="1" applyFill="1" applyBorder="1" applyAlignment="1">
      <alignment horizontal="center" vertical="center" wrapText="1"/>
    </xf>
    <xf numFmtId="0" fontId="16" fillId="8" borderId="20" xfId="1" quotePrefix="1" applyFont="1" applyFill="1" applyBorder="1" applyAlignment="1">
      <alignment horizontal="center" vertical="center" wrapText="1"/>
    </xf>
    <xf numFmtId="166" fontId="16" fillId="8" borderId="20" xfId="1" applyNumberFormat="1" applyFont="1" applyFill="1" applyBorder="1" applyAlignment="1">
      <alignment horizontal="center" vertical="center" wrapText="1"/>
    </xf>
    <xf numFmtId="0" fontId="19" fillId="0" borderId="28" xfId="1" applyFont="1" applyBorder="1"/>
    <xf numFmtId="0" fontId="19" fillId="0" borderId="20" xfId="1" applyFont="1" applyBorder="1"/>
    <xf numFmtId="0" fontId="16" fillId="8" borderId="30" xfId="1" quotePrefix="1" applyFont="1" applyFill="1" applyBorder="1" applyAlignment="1">
      <alignment horizontal="center" vertical="center" wrapText="1"/>
    </xf>
    <xf numFmtId="0" fontId="18" fillId="0" borderId="47" xfId="1" quotePrefix="1" applyFont="1" applyBorder="1" applyAlignment="1">
      <alignment horizontal="center" vertical="center" wrapText="1"/>
    </xf>
    <xf numFmtId="0" fontId="16" fillId="0" borderId="26" xfId="1" applyFont="1" applyBorder="1" applyAlignment="1">
      <alignment horizontal="center" vertical="center" wrapText="1"/>
    </xf>
    <xf numFmtId="4" fontId="16" fillId="0" borderId="31" xfId="1" applyNumberFormat="1" applyFont="1" applyBorder="1" applyAlignment="1">
      <alignment horizontal="center" vertical="center" wrapText="1"/>
    </xf>
    <xf numFmtId="44" fontId="41" fillId="0" borderId="26" xfId="0" applyNumberFormat="1" applyFont="1" applyBorder="1" applyAlignment="1">
      <alignment horizontal="center" vertical="center"/>
    </xf>
    <xf numFmtId="14" fontId="18" fillId="0" borderId="47" xfId="1" applyNumberFormat="1" applyFont="1" applyBorder="1" applyAlignment="1">
      <alignment horizontal="center" vertical="center"/>
    </xf>
    <xf numFmtId="0" fontId="61" fillId="0" borderId="20" xfId="0" applyFont="1" applyBorder="1" applyAlignment="1">
      <alignment horizontal="center" vertical="center"/>
    </xf>
    <xf numFmtId="14" fontId="16" fillId="26" borderId="20" xfId="1" applyNumberFormat="1" applyFont="1" applyFill="1" applyBorder="1" applyAlignment="1">
      <alignment horizontal="center" vertical="center" wrapText="1"/>
    </xf>
    <xf numFmtId="44" fontId="16" fillId="26" borderId="20" xfId="1" applyNumberFormat="1" applyFont="1" applyFill="1" applyBorder="1" applyAlignment="1">
      <alignment horizontal="center" vertical="center"/>
    </xf>
    <xf numFmtId="44" fontId="16" fillId="0" borderId="20" xfId="1" applyNumberFormat="1" applyFont="1" applyBorder="1" applyAlignment="1">
      <alignment horizontal="center" vertical="center"/>
    </xf>
    <xf numFmtId="14" fontId="16" fillId="26" borderId="20" xfId="1" quotePrefix="1" applyNumberFormat="1" applyFont="1" applyFill="1" applyBorder="1" applyAlignment="1">
      <alignment horizontal="center" vertical="center" wrapText="1"/>
    </xf>
    <xf numFmtId="44" fontId="20" fillId="7" borderId="20" xfId="1" applyNumberFormat="1" applyFont="1" applyFill="1" applyBorder="1" applyAlignment="1">
      <alignment horizontal="center" vertical="center"/>
    </xf>
    <xf numFmtId="0" fontId="20" fillId="7" borderId="27" xfId="1" applyFont="1" applyFill="1" applyBorder="1" applyAlignment="1">
      <alignment horizontal="center" vertical="center" wrapText="1"/>
    </xf>
    <xf numFmtId="0" fontId="18" fillId="0" borderId="94" xfId="1" applyFont="1" applyBorder="1" applyAlignment="1">
      <alignment horizontal="center" vertical="center"/>
    </xf>
    <xf numFmtId="0" fontId="16" fillId="0" borderId="94" xfId="1" quotePrefix="1" applyFont="1" applyBorder="1" applyAlignment="1">
      <alignment horizontal="center" vertical="center" wrapText="1"/>
    </xf>
    <xf numFmtId="0" fontId="53" fillId="0" borderId="20" xfId="0" applyFont="1" applyBorder="1" applyAlignment="1">
      <alignment horizontal="center" vertical="center"/>
    </xf>
    <xf numFmtId="0" fontId="58" fillId="0" borderId="26" xfId="1" applyFont="1" applyBorder="1" applyAlignment="1">
      <alignment horizontal="center" vertical="center" wrapText="1"/>
    </xf>
    <xf numFmtId="0" fontId="18" fillId="0" borderId="16" xfId="1" applyFont="1" applyBorder="1" applyAlignment="1">
      <alignment horizontal="center" vertical="center" wrapText="1"/>
    </xf>
    <xf numFmtId="166" fontId="15" fillId="0" borderId="94" xfId="1" applyNumberFormat="1" applyFont="1" applyBorder="1" applyAlignment="1">
      <alignment horizontal="center" vertical="center" wrapText="1"/>
    </xf>
    <xf numFmtId="14" fontId="18" fillId="0" borderId="94" xfId="1" applyNumberFormat="1" applyFont="1" applyBorder="1" applyAlignment="1">
      <alignment horizontal="center" vertical="center"/>
    </xf>
    <xf numFmtId="0" fontId="18" fillId="0" borderId="94" xfId="1" applyFont="1" applyBorder="1" applyAlignment="1">
      <alignment horizontal="center" vertical="center" wrapText="1"/>
    </xf>
    <xf numFmtId="0" fontId="60" fillId="0" borderId="20" xfId="1" applyFont="1" applyBorder="1" applyAlignment="1">
      <alignment horizontal="center" vertical="center" wrapText="1"/>
    </xf>
    <xf numFmtId="0" fontId="60" fillId="0" borderId="20" xfId="0" applyFont="1" applyBorder="1" applyAlignment="1">
      <alignment horizontal="center" vertical="center" wrapText="1"/>
    </xf>
    <xf numFmtId="0" fontId="16" fillId="0" borderId="20" xfId="0" applyFont="1" applyBorder="1" applyAlignment="1">
      <alignment horizontal="center" vertical="center" wrapText="1"/>
    </xf>
    <xf numFmtId="0" fontId="16" fillId="26" borderId="20" xfId="0" applyFont="1" applyFill="1" applyBorder="1" applyAlignment="1">
      <alignment horizontal="center" vertical="center"/>
    </xf>
    <xf numFmtId="14" fontId="16" fillId="26" borderId="25" xfId="1" applyNumberFormat="1" applyFont="1" applyFill="1" applyBorder="1" applyAlignment="1">
      <alignment horizontal="center" vertical="center" wrapText="1"/>
    </xf>
    <xf numFmtId="0" fontId="16" fillId="0" borderId="27" xfId="1" applyFont="1" applyBorder="1" applyAlignment="1">
      <alignment horizontal="center" vertical="center" wrapText="1"/>
    </xf>
    <xf numFmtId="14" fontId="16" fillId="0" borderId="25" xfId="1" applyNumberFormat="1" applyFont="1" applyBorder="1" applyAlignment="1">
      <alignment horizontal="center" vertical="center" wrapText="1"/>
    </xf>
    <xf numFmtId="0" fontId="16" fillId="2" borderId="29" xfId="2" applyFont="1" applyFill="1" applyBorder="1" applyAlignment="1">
      <alignment horizontal="center" vertical="center" wrapText="1"/>
    </xf>
    <xf numFmtId="0" fontId="16" fillId="0" borderId="20" xfId="1" quotePrefix="1" applyFont="1" applyBorder="1" applyAlignment="1">
      <alignment horizontal="center" vertical="center" wrapText="1"/>
    </xf>
    <xf numFmtId="14" fontId="18" fillId="0" borderId="25" xfId="1" applyNumberFormat="1" applyFont="1" applyBorder="1" applyAlignment="1">
      <alignment horizontal="center" vertical="center"/>
    </xf>
    <xf numFmtId="164" fontId="27" fillId="4" borderId="41" xfId="0" applyNumberFormat="1" applyFont="1" applyFill="1" applyBorder="1" applyAlignment="1">
      <alignment horizontal="center" vertical="center" wrapText="1"/>
    </xf>
    <xf numFmtId="44" fontId="68" fillId="0" borderId="27" xfId="0" applyNumberFormat="1" applyFont="1" applyBorder="1" applyAlignment="1">
      <alignment horizontal="center" vertical="center"/>
    </xf>
    <xf numFmtId="14" fontId="18" fillId="2" borderId="25" xfId="1" applyNumberFormat="1" applyFont="1" applyFill="1" applyBorder="1" applyAlignment="1">
      <alignment horizontal="center" vertical="center"/>
    </xf>
    <xf numFmtId="0" fontId="72" fillId="7" borderId="20" xfId="0" applyFont="1" applyFill="1" applyBorder="1" applyAlignment="1">
      <alignment horizontal="center" wrapText="1"/>
    </xf>
    <xf numFmtId="44" fontId="41" fillId="0" borderId="0" xfId="0" applyNumberFormat="1" applyFont="1" applyAlignment="1">
      <alignment horizontal="center" vertical="center"/>
    </xf>
    <xf numFmtId="44" fontId="18" fillId="7" borderId="27" xfId="0" applyNumberFormat="1" applyFont="1" applyFill="1" applyBorder="1" applyAlignment="1">
      <alignment horizontal="center" vertical="center"/>
    </xf>
    <xf numFmtId="44" fontId="66" fillId="7" borderId="20" xfId="0" applyNumberFormat="1" applyFont="1" applyFill="1" applyBorder="1" applyAlignment="1">
      <alignment horizontal="center" vertical="center"/>
    </xf>
    <xf numFmtId="0" fontId="16" fillId="0" borderId="25" xfId="1" applyFont="1" applyBorder="1" applyAlignment="1">
      <alignment horizontal="center" vertical="center"/>
    </xf>
    <xf numFmtId="0" fontId="18" fillId="18" borderId="20" xfId="1" applyFont="1" applyFill="1" applyBorder="1" applyAlignment="1">
      <alignment horizontal="center" vertical="center"/>
    </xf>
    <xf numFmtId="164" fontId="73" fillId="4" borderId="8" xfId="0" applyNumberFormat="1" applyFont="1" applyFill="1" applyBorder="1" applyAlignment="1">
      <alignment horizontal="center" vertical="center"/>
    </xf>
    <xf numFmtId="164" fontId="0" fillId="2" borderId="0" xfId="0" applyNumberFormat="1" applyFill="1" applyAlignment="1">
      <alignment horizontal="center" vertical="center" wrapText="1"/>
    </xf>
    <xf numFmtId="0" fontId="70" fillId="0" borderId="27" xfId="0" applyFont="1" applyBorder="1" applyAlignment="1">
      <alignment horizontal="center" vertical="center"/>
    </xf>
    <xf numFmtId="0" fontId="19" fillId="2" borderId="20" xfId="1" applyFont="1" applyFill="1" applyBorder="1" applyAlignment="1">
      <alignment horizontal="center" vertical="center" wrapText="1"/>
    </xf>
    <xf numFmtId="0" fontId="74" fillId="0" borderId="20" xfId="1" applyFont="1" applyBorder="1" applyAlignment="1">
      <alignment horizontal="center" vertical="center" wrapText="1"/>
    </xf>
    <xf numFmtId="0" fontId="74" fillId="2" borderId="20" xfId="1" applyFont="1" applyFill="1" applyBorder="1" applyAlignment="1">
      <alignment horizontal="center" vertical="center" wrapText="1"/>
    </xf>
    <xf numFmtId="0" fontId="16" fillId="8" borderId="20" xfId="1" applyFont="1" applyFill="1" applyBorder="1" applyAlignment="1">
      <alignment horizontal="center" vertical="center" wrapText="1"/>
    </xf>
    <xf numFmtId="0" fontId="75" fillId="0" borderId="20" xfId="1" applyFont="1" applyBorder="1" applyAlignment="1">
      <alignment horizontal="center" vertical="center" wrapText="1"/>
    </xf>
    <xf numFmtId="0" fontId="75" fillId="2" borderId="20" xfId="1" applyFont="1" applyFill="1" applyBorder="1" applyAlignment="1">
      <alignment horizontal="center" vertical="center" wrapText="1"/>
    </xf>
    <xf numFmtId="0" fontId="18" fillId="18" borderId="27" xfId="1" applyFont="1" applyFill="1" applyBorder="1" applyAlignment="1">
      <alignment horizontal="center" vertical="center" wrapText="1"/>
    </xf>
    <xf numFmtId="0" fontId="16" fillId="2" borderId="26" xfId="3" applyFont="1" applyFill="1" applyBorder="1" applyAlignment="1">
      <alignment horizontal="center" vertical="center" wrapText="1"/>
    </xf>
    <xf numFmtId="0" fontId="16" fillId="2" borderId="29" xfId="1" applyFont="1" applyFill="1" applyBorder="1" applyAlignment="1">
      <alignment horizontal="center" vertical="center"/>
    </xf>
    <xf numFmtId="166" fontId="18" fillId="0" borderId="28" xfId="1" applyNumberFormat="1" applyFont="1" applyBorder="1" applyAlignment="1">
      <alignment horizontal="center" vertical="center" wrapText="1"/>
    </xf>
    <xf numFmtId="0" fontId="18" fillId="18" borderId="26" xfId="1" applyFont="1" applyFill="1" applyBorder="1" applyAlignment="1">
      <alignment horizontal="center" vertical="center" wrapText="1"/>
    </xf>
    <xf numFmtId="0" fontId="18" fillId="18" borderId="7" xfId="1" applyFont="1" applyFill="1" applyBorder="1" applyAlignment="1">
      <alignment horizontal="center" vertical="center"/>
    </xf>
    <xf numFmtId="0" fontId="18" fillId="18" borderId="27" xfId="3" applyFont="1" applyFill="1" applyBorder="1" applyAlignment="1">
      <alignment horizontal="center" vertical="center" wrapText="1"/>
    </xf>
    <xf numFmtId="0" fontId="18" fillId="18" borderId="30" xfId="1" quotePrefix="1" applyFont="1" applyFill="1" applyBorder="1" applyAlignment="1">
      <alignment horizontal="center" vertical="center" wrapText="1"/>
    </xf>
    <xf numFmtId="0" fontId="18" fillId="0" borderId="26" xfId="1" quotePrefix="1" applyFont="1" applyBorder="1" applyAlignment="1">
      <alignment horizontal="center" vertical="center" wrapText="1"/>
    </xf>
    <xf numFmtId="44" fontId="71" fillId="0" borderId="20" xfId="0" applyNumberFormat="1" applyFont="1" applyBorder="1" applyAlignment="1">
      <alignment horizontal="center" vertical="center"/>
    </xf>
    <xf numFmtId="44" fontId="18" fillId="0" borderId="28" xfId="1" quotePrefix="1" applyNumberFormat="1" applyFont="1" applyBorder="1" applyAlignment="1">
      <alignment horizontal="center" vertical="center" wrapText="1"/>
    </xf>
    <xf numFmtId="14" fontId="18" fillId="0" borderId="28" xfId="1" quotePrefix="1" applyNumberFormat="1" applyFont="1" applyBorder="1" applyAlignment="1">
      <alignment horizontal="center" vertical="center" wrapText="1"/>
    </xf>
    <xf numFmtId="14" fontId="18" fillId="0" borderId="28" xfId="1" applyNumberFormat="1" applyFont="1" applyBorder="1" applyAlignment="1">
      <alignment horizontal="center" vertical="center" wrapText="1"/>
    </xf>
    <xf numFmtId="0" fontId="60" fillId="2" borderId="20" xfId="0" applyFont="1" applyFill="1" applyBorder="1" applyAlignment="1">
      <alignment horizontal="center" vertical="center" wrapText="1"/>
    </xf>
    <xf numFmtId="0" fontId="16" fillId="0" borderId="33" xfId="1" quotePrefix="1" applyFont="1" applyBorder="1" applyAlignment="1">
      <alignment horizontal="center" vertical="center" wrapText="1"/>
    </xf>
    <xf numFmtId="44" fontId="16" fillId="0" borderId="26" xfId="0" applyNumberFormat="1" applyFont="1" applyBorder="1" applyAlignment="1">
      <alignment horizontal="center" vertical="center"/>
    </xf>
    <xf numFmtId="0" fontId="18" fillId="0" borderId="97" xfId="1" applyFont="1" applyBorder="1" applyAlignment="1">
      <alignment horizontal="center" vertical="center"/>
    </xf>
    <xf numFmtId="0" fontId="16" fillId="0" borderId="45" xfId="1" applyFont="1" applyBorder="1" applyAlignment="1">
      <alignment horizontal="center" vertical="center"/>
    </xf>
    <xf numFmtId="0" fontId="16" fillId="0" borderId="45" xfId="3" applyFont="1" applyBorder="1" applyAlignment="1">
      <alignment horizontal="center" vertical="center" wrapText="1"/>
    </xf>
    <xf numFmtId="0" fontId="16" fillId="0" borderId="45" xfId="1" quotePrefix="1" applyFont="1" applyBorder="1" applyAlignment="1">
      <alignment horizontal="center" vertical="center" wrapText="1"/>
    </xf>
    <xf numFmtId="0" fontId="16" fillId="0" borderId="36" xfId="2" applyFont="1" applyBorder="1" applyAlignment="1">
      <alignment horizontal="center" vertical="center" wrapText="1"/>
    </xf>
    <xf numFmtId="14" fontId="18" fillId="0" borderId="26" xfId="1" applyNumberFormat="1" applyFont="1" applyBorder="1" applyAlignment="1">
      <alignment horizontal="center" vertical="center"/>
    </xf>
    <xf numFmtId="0" fontId="16" fillId="0" borderId="47" xfId="0" applyFont="1" applyBorder="1" applyAlignment="1">
      <alignment horizontal="center" vertical="center"/>
    </xf>
    <xf numFmtId="44" fontId="66" fillId="0" borderId="26" xfId="0" applyNumberFormat="1" applyFont="1" applyBorder="1" applyAlignment="1">
      <alignment horizontal="center" vertical="center"/>
    </xf>
    <xf numFmtId="0" fontId="18" fillId="0" borderId="0" xfId="0" applyFont="1" applyAlignment="1">
      <alignment horizontal="center" vertical="center"/>
    </xf>
    <xf numFmtId="0" fontId="19" fillId="0" borderId="26" xfId="1" applyFont="1" applyBorder="1" applyAlignment="1">
      <alignment horizontal="center" vertical="center" wrapText="1"/>
    </xf>
    <xf numFmtId="0" fontId="18" fillId="7" borderId="26" xfId="1" applyFont="1" applyFill="1" applyBorder="1" applyAlignment="1">
      <alignment horizontal="center" vertical="center"/>
    </xf>
    <xf numFmtId="0" fontId="18" fillId="7" borderId="26" xfId="3" quotePrefix="1" applyFont="1" applyFill="1" applyBorder="1" applyAlignment="1">
      <alignment horizontal="center" vertical="center" wrapText="1"/>
    </xf>
    <xf numFmtId="0" fontId="18" fillId="7" borderId="26" xfId="2" applyFont="1" applyFill="1" applyBorder="1" applyAlignment="1">
      <alignment horizontal="center" vertical="center" wrapText="1"/>
    </xf>
    <xf numFmtId="14" fontId="18" fillId="7" borderId="26" xfId="1" applyNumberFormat="1" applyFont="1" applyFill="1" applyBorder="1" applyAlignment="1">
      <alignment horizontal="center" vertical="center"/>
    </xf>
    <xf numFmtId="0" fontId="18" fillId="7" borderId="27" xfId="0" applyFont="1" applyFill="1" applyBorder="1" applyAlignment="1">
      <alignment horizontal="center" vertical="center" wrapText="1"/>
    </xf>
    <xf numFmtId="0" fontId="18" fillId="7" borderId="27" xfId="1" quotePrefix="1" applyFont="1" applyFill="1" applyBorder="1" applyAlignment="1">
      <alignment horizontal="center" vertical="center" wrapText="1"/>
    </xf>
    <xf numFmtId="0" fontId="19" fillId="0" borderId="15" xfId="1" applyFont="1" applyBorder="1" applyAlignment="1">
      <alignment horizontal="center" vertical="center"/>
    </xf>
    <xf numFmtId="0" fontId="19" fillId="0" borderId="20" xfId="3" applyFont="1" applyBorder="1" applyAlignment="1">
      <alignment horizontal="center" vertical="center" wrapText="1"/>
    </xf>
    <xf numFmtId="0" fontId="19" fillId="8" borderId="28" xfId="1" quotePrefix="1" applyFont="1" applyFill="1" applyBorder="1" applyAlignment="1">
      <alignment horizontal="center" vertical="center" wrapText="1"/>
    </xf>
    <xf numFmtId="166" fontId="19" fillId="8" borderId="20" xfId="1" applyNumberFormat="1" applyFont="1" applyFill="1" applyBorder="1" applyAlignment="1">
      <alignment horizontal="center" vertical="center" wrapText="1"/>
    </xf>
    <xf numFmtId="14" fontId="19" fillId="8" borderId="20" xfId="1" applyNumberFormat="1" applyFont="1" applyFill="1" applyBorder="1" applyAlignment="1">
      <alignment horizontal="center" vertical="center"/>
    </xf>
    <xf numFmtId="0" fontId="19" fillId="8" borderId="25" xfId="1" applyFont="1" applyFill="1" applyBorder="1" applyAlignment="1">
      <alignment horizontal="center" vertical="center"/>
    </xf>
    <xf numFmtId="0" fontId="19" fillId="8" borderId="20" xfId="1" applyFont="1" applyFill="1" applyBorder="1" applyAlignment="1">
      <alignment horizontal="center" vertical="center" wrapText="1"/>
    </xf>
    <xf numFmtId="0" fontId="76" fillId="0" borderId="20" xfId="0" applyFont="1" applyBorder="1" applyAlignment="1">
      <alignment horizontal="center" vertical="center" wrapText="1"/>
    </xf>
    <xf numFmtId="44" fontId="18" fillId="0" borderId="20" xfId="1" applyNumberFormat="1" applyFont="1" applyBorder="1" applyAlignment="1">
      <alignment horizontal="center" vertical="center"/>
    </xf>
    <xf numFmtId="0" fontId="16" fillId="0" borderId="98" xfId="3" applyFont="1" applyBorder="1" applyAlignment="1">
      <alignment horizontal="center" vertical="center" wrapText="1"/>
    </xf>
    <xf numFmtId="0" fontId="18" fillId="2" borderId="30" xfId="1" quotePrefix="1" applyFont="1" applyFill="1" applyBorder="1" applyAlignment="1">
      <alignment horizontal="center" vertical="center" wrapText="1"/>
    </xf>
    <xf numFmtId="0" fontId="16" fillId="2" borderId="98" xfId="3" applyFont="1" applyFill="1" applyBorder="1" applyAlignment="1">
      <alignment horizontal="center" vertical="center" wrapText="1"/>
    </xf>
    <xf numFmtId="44" fontId="16" fillId="2" borderId="20" xfId="1" applyNumberFormat="1" applyFont="1" applyFill="1" applyBorder="1" applyAlignment="1">
      <alignment horizontal="center" vertical="center" wrapText="1"/>
    </xf>
    <xf numFmtId="44" fontId="71" fillId="2" borderId="20" xfId="0" applyNumberFormat="1" applyFont="1" applyFill="1" applyBorder="1" applyAlignment="1">
      <alignment vertical="center"/>
    </xf>
    <xf numFmtId="44" fontId="18" fillId="2" borderId="20" xfId="1" applyNumberFormat="1" applyFont="1" applyFill="1" applyBorder="1" applyAlignment="1">
      <alignment horizontal="center" vertical="center"/>
    </xf>
    <xf numFmtId="0" fontId="16" fillId="2" borderId="47" xfId="1" quotePrefix="1" applyFont="1" applyFill="1" applyBorder="1" applyAlignment="1">
      <alignment horizontal="center" vertical="center" wrapText="1"/>
    </xf>
    <xf numFmtId="0" fontId="16" fillId="2" borderId="26" xfId="1" applyFont="1" applyFill="1" applyBorder="1" applyAlignment="1">
      <alignment horizontal="center" vertical="center" wrapText="1"/>
    </xf>
    <xf numFmtId="0" fontId="16" fillId="18" borderId="98" xfId="3" applyFont="1" applyFill="1" applyBorder="1" applyAlignment="1">
      <alignment horizontal="center" vertical="center" wrapText="1"/>
    </xf>
    <xf numFmtId="0" fontId="18" fillId="2" borderId="46" xfId="1" applyFont="1" applyFill="1" applyBorder="1" applyAlignment="1">
      <alignment horizontal="center" vertical="center"/>
    </xf>
    <xf numFmtId="0" fontId="18" fillId="2" borderId="7" xfId="1" applyFont="1" applyFill="1" applyBorder="1" applyAlignment="1">
      <alignment horizontal="center" vertical="center"/>
    </xf>
    <xf numFmtId="0" fontId="41" fillId="0" borderId="20" xfId="1" applyFont="1" applyBorder="1" applyAlignment="1">
      <alignment horizontal="center" vertical="center" wrapText="1"/>
    </xf>
    <xf numFmtId="0" fontId="76" fillId="2" borderId="20" xfId="0" applyFont="1" applyFill="1" applyBorder="1" applyAlignment="1">
      <alignment horizontal="center" vertical="center" wrapText="1"/>
    </xf>
    <xf numFmtId="0" fontId="16" fillId="15" borderId="15" xfId="1" applyFont="1" applyFill="1" applyBorder="1" applyAlignment="1">
      <alignment horizontal="center" vertical="center"/>
    </xf>
    <xf numFmtId="0" fontId="16" fillId="15" borderId="20" xfId="3" applyFont="1" applyFill="1" applyBorder="1" applyAlignment="1">
      <alignment horizontal="center" vertical="center" wrapText="1"/>
    </xf>
    <xf numFmtId="14" fontId="16" fillId="15" borderId="28" xfId="1" quotePrefix="1" applyNumberFormat="1" applyFont="1" applyFill="1" applyBorder="1" applyAlignment="1">
      <alignment horizontal="center" vertical="center" wrapText="1"/>
    </xf>
    <xf numFmtId="0" fontId="16" fillId="15" borderId="20" xfId="1" applyFont="1" applyFill="1" applyBorder="1" applyAlignment="1">
      <alignment horizontal="center" vertical="center" wrapText="1"/>
    </xf>
    <xf numFmtId="166" fontId="16" fillId="15" borderId="26" xfId="1" applyNumberFormat="1" applyFont="1" applyFill="1" applyBorder="1" applyAlignment="1">
      <alignment horizontal="center" vertical="center" wrapText="1"/>
    </xf>
    <xf numFmtId="14" fontId="16" fillId="15" borderId="20" xfId="1" applyNumberFormat="1" applyFont="1" applyFill="1" applyBorder="1" applyAlignment="1">
      <alignment horizontal="center" vertical="center"/>
    </xf>
    <xf numFmtId="0" fontId="16" fillId="15" borderId="25" xfId="1" applyFont="1" applyFill="1" applyBorder="1" applyAlignment="1">
      <alignment horizontal="center" vertical="center"/>
    </xf>
    <xf numFmtId="0" fontId="16" fillId="15" borderId="28" xfId="1" quotePrefix="1" applyFont="1" applyFill="1" applyBorder="1" applyAlignment="1">
      <alignment horizontal="center" vertical="center" wrapText="1"/>
    </xf>
    <xf numFmtId="166" fontId="16" fillId="15" borderId="20" xfId="1" applyNumberFormat="1" applyFont="1" applyFill="1" applyBorder="1" applyAlignment="1">
      <alignment horizontal="center" vertical="center" wrapText="1"/>
    </xf>
    <xf numFmtId="0" fontId="16" fillId="15" borderId="20" xfId="1" quotePrefix="1" applyFont="1" applyFill="1" applyBorder="1" applyAlignment="1">
      <alignment horizontal="center" vertical="center" wrapText="1"/>
    </xf>
    <xf numFmtId="44" fontId="16" fillId="15" borderId="20" xfId="1" quotePrefix="1" applyNumberFormat="1" applyFont="1" applyFill="1" applyBorder="1" applyAlignment="1">
      <alignment horizontal="center" vertical="center" wrapText="1"/>
    </xf>
    <xf numFmtId="14" fontId="16" fillId="15" borderId="20" xfId="1" quotePrefix="1" applyNumberFormat="1" applyFont="1" applyFill="1" applyBorder="1" applyAlignment="1">
      <alignment horizontal="center" vertical="center" wrapText="1"/>
    </xf>
    <xf numFmtId="0" fontId="16" fillId="15" borderId="25" xfId="1" applyFont="1" applyFill="1" applyBorder="1" applyAlignment="1">
      <alignment horizontal="center" vertical="center" wrapText="1"/>
    </xf>
    <xf numFmtId="44" fontId="16" fillId="15" borderId="25" xfId="1" applyNumberFormat="1" applyFont="1" applyFill="1" applyBorder="1" applyAlignment="1">
      <alignment horizontal="center" vertical="center"/>
    </xf>
    <xf numFmtId="14" fontId="16" fillId="15" borderId="25" xfId="1" applyNumberFormat="1" applyFont="1" applyFill="1" applyBorder="1" applyAlignment="1">
      <alignment horizontal="center" vertical="center"/>
    </xf>
    <xf numFmtId="44" fontId="72" fillId="15" borderId="20" xfId="0" applyNumberFormat="1" applyFont="1" applyFill="1" applyBorder="1" applyAlignment="1">
      <alignment horizontal="center" vertical="center" wrapText="1"/>
    </xf>
    <xf numFmtId="0" fontId="16" fillId="13" borderId="20" xfId="1" quotePrefix="1" applyFont="1" applyFill="1" applyBorder="1" applyAlignment="1">
      <alignment horizontal="center" vertical="center" wrapText="1"/>
    </xf>
    <xf numFmtId="0" fontId="21" fillId="0" borderId="15" xfId="1" applyFont="1" applyBorder="1" applyAlignment="1">
      <alignment horizontal="center" vertical="center"/>
    </xf>
    <xf numFmtId="0" fontId="21" fillId="0" borderId="27" xfId="1" applyFont="1" applyBorder="1" applyAlignment="1">
      <alignment horizontal="center" vertical="center" wrapText="1"/>
    </xf>
    <xf numFmtId="0" fontId="21" fillId="2" borderId="26" xfId="1" applyFont="1" applyFill="1" applyBorder="1" applyAlignment="1">
      <alignment horizontal="center" vertical="center"/>
    </xf>
    <xf numFmtId="0" fontId="21" fillId="2" borderId="26" xfId="1" applyFont="1" applyFill="1" applyBorder="1" applyAlignment="1">
      <alignment horizontal="center" vertical="center" wrapText="1"/>
    </xf>
    <xf numFmtId="14" fontId="21" fillId="2" borderId="25" xfId="1" applyNumberFormat="1" applyFont="1" applyFill="1" applyBorder="1" applyAlignment="1">
      <alignment horizontal="center" vertical="center"/>
    </xf>
    <xf numFmtId="0" fontId="12" fillId="28" borderId="8" xfId="0" applyFont="1" applyFill="1" applyBorder="1" applyAlignment="1">
      <alignment wrapText="1"/>
    </xf>
    <xf numFmtId="3" fontId="11" fillId="28" borderId="8" xfId="0" applyNumberFormat="1" applyFont="1" applyFill="1" applyBorder="1" applyAlignment="1">
      <alignment horizontal="center" vertical="center"/>
    </xf>
    <xf numFmtId="0" fontId="17" fillId="7" borderId="20" xfId="3" applyFont="1" applyFill="1" applyBorder="1" applyAlignment="1">
      <alignment horizontal="center" vertical="center" wrapText="1"/>
    </xf>
    <xf numFmtId="0" fontId="67" fillId="7" borderId="28" xfId="1" quotePrefix="1" applyFont="1" applyFill="1" applyBorder="1" applyAlignment="1">
      <alignment horizontal="center" vertical="center" wrapText="1"/>
    </xf>
    <xf numFmtId="166" fontId="17" fillId="7" borderId="20" xfId="1" applyNumberFormat="1" applyFont="1" applyFill="1" applyBorder="1" applyAlignment="1">
      <alignment horizontal="center" vertical="center" wrapText="1"/>
    </xf>
    <xf numFmtId="0" fontId="67" fillId="7" borderId="20" xfId="3" applyFont="1" applyFill="1" applyBorder="1" applyAlignment="1">
      <alignment horizontal="center" vertical="center" wrapText="1"/>
    </xf>
    <xf numFmtId="44" fontId="17" fillId="7" borderId="20" xfId="1" applyNumberFormat="1" applyFont="1" applyFill="1" applyBorder="1" applyAlignment="1">
      <alignment horizontal="center" vertical="center" wrapText="1"/>
    </xf>
    <xf numFmtId="44" fontId="21" fillId="7" borderId="0" xfId="0" applyNumberFormat="1" applyFont="1" applyFill="1" applyAlignment="1">
      <alignment horizontal="center" vertical="center"/>
    </xf>
    <xf numFmtId="44" fontId="16" fillId="0" borderId="20" xfId="1" applyNumberFormat="1" applyFont="1" applyBorder="1" applyAlignment="1">
      <alignment horizontal="center" vertical="center" wrapText="1"/>
    </xf>
    <xf numFmtId="0" fontId="17" fillId="18" borderId="20" xfId="3" applyFont="1" applyFill="1" applyBorder="1" applyAlignment="1">
      <alignment horizontal="center" vertical="center" wrapText="1"/>
    </xf>
    <xf numFmtId="0" fontId="67" fillId="18" borderId="20" xfId="1" quotePrefix="1" applyFont="1" applyFill="1" applyBorder="1" applyAlignment="1">
      <alignment horizontal="center" vertical="center" wrapText="1"/>
    </xf>
    <xf numFmtId="0" fontId="67" fillId="18" borderId="20" xfId="3" applyFont="1" applyFill="1" applyBorder="1" applyAlignment="1">
      <alignment horizontal="center" vertical="center" wrapText="1"/>
    </xf>
    <xf numFmtId="0" fontId="67" fillId="18" borderId="20" xfId="1" applyFont="1" applyFill="1" applyBorder="1" applyAlignment="1">
      <alignment horizontal="center" vertical="center" wrapText="1"/>
    </xf>
    <xf numFmtId="0" fontId="17" fillId="18" borderId="20" xfId="1" applyFont="1" applyFill="1" applyBorder="1" applyAlignment="1">
      <alignment horizontal="center" vertical="center" wrapText="1"/>
    </xf>
    <xf numFmtId="166" fontId="17" fillId="18" borderId="20" xfId="1" applyNumberFormat="1" applyFont="1" applyFill="1" applyBorder="1" applyAlignment="1">
      <alignment horizontal="center" vertical="center" wrapText="1"/>
    </xf>
    <xf numFmtId="14" fontId="21" fillId="18" borderId="28" xfId="1" applyNumberFormat="1" applyFont="1" applyFill="1" applyBorder="1" applyAlignment="1">
      <alignment horizontal="center" vertical="center"/>
    </xf>
    <xf numFmtId="0" fontId="21" fillId="18" borderId="25" xfId="1" applyFont="1" applyFill="1" applyBorder="1" applyAlignment="1">
      <alignment horizontal="center" vertical="center"/>
    </xf>
    <xf numFmtId="0" fontId="21" fillId="18" borderId="20" xfId="1" applyFont="1" applyFill="1" applyBorder="1" applyAlignment="1">
      <alignment horizontal="center" vertical="center" wrapText="1"/>
    </xf>
    <xf numFmtId="0" fontId="21" fillId="18" borderId="15" xfId="1" applyFont="1" applyFill="1" applyBorder="1" applyAlignment="1">
      <alignment horizontal="center" vertical="center"/>
    </xf>
    <xf numFmtId="0" fontId="67" fillId="18" borderId="28" xfId="1" quotePrefix="1" applyFont="1" applyFill="1" applyBorder="1" applyAlignment="1">
      <alignment horizontal="center" vertical="center" wrapText="1"/>
    </xf>
    <xf numFmtId="0" fontId="21" fillId="18" borderId="25" xfId="1" applyFont="1" applyFill="1" applyBorder="1" applyAlignment="1">
      <alignment horizontal="center" vertical="center" wrapText="1"/>
    </xf>
    <xf numFmtId="14" fontId="21" fillId="18" borderId="20" xfId="1" applyNumberFormat="1" applyFont="1" applyFill="1" applyBorder="1" applyAlignment="1">
      <alignment horizontal="center" vertical="center"/>
    </xf>
    <xf numFmtId="0" fontId="21" fillId="7" borderId="27" xfId="1" applyFont="1" applyFill="1" applyBorder="1" applyAlignment="1">
      <alignment horizontal="center" vertical="center" wrapText="1"/>
    </xf>
    <xf numFmtId="44" fontId="16" fillId="2" borderId="20" xfId="1" applyNumberFormat="1" applyFont="1" applyFill="1" applyBorder="1" applyAlignment="1">
      <alignment horizontal="center" vertical="center"/>
    </xf>
    <xf numFmtId="164" fontId="3" fillId="29" borderId="0" xfId="0" applyNumberFormat="1" applyFont="1" applyFill="1" applyAlignment="1">
      <alignment horizontal="center" vertical="center"/>
    </xf>
    <xf numFmtId="169" fontId="3" fillId="7" borderId="0" xfId="0" applyNumberFormat="1" applyFont="1" applyFill="1" applyAlignment="1">
      <alignment horizontal="center" vertical="center"/>
    </xf>
    <xf numFmtId="164" fontId="3" fillId="30" borderId="0" xfId="0" applyNumberFormat="1" applyFont="1" applyFill="1" applyAlignment="1">
      <alignment horizontal="center" vertical="center"/>
    </xf>
    <xf numFmtId="164" fontId="0" fillId="30" borderId="0" xfId="0" applyNumberFormat="1" applyFill="1" applyAlignment="1">
      <alignment horizontal="center" vertical="center"/>
    </xf>
    <xf numFmtId="164" fontId="0" fillId="29" borderId="0" xfId="0" applyNumberFormat="1" applyFill="1" applyAlignment="1">
      <alignment horizontal="center" vertical="center"/>
    </xf>
    <xf numFmtId="164" fontId="3" fillId="24" borderId="0" xfId="0" applyNumberFormat="1" applyFont="1" applyFill="1" applyAlignment="1">
      <alignment horizontal="center" vertical="center"/>
    </xf>
    <xf numFmtId="164" fontId="0" fillId="24" borderId="0" xfId="0" applyNumberFormat="1" applyFill="1" applyAlignment="1">
      <alignment horizontal="center" vertical="center"/>
    </xf>
    <xf numFmtId="167" fontId="3" fillId="7" borderId="0" xfId="0" applyNumberFormat="1" applyFont="1" applyFill="1" applyAlignment="1">
      <alignment horizontal="center" vertical="center"/>
    </xf>
    <xf numFmtId="177" fontId="3" fillId="2" borderId="0" xfId="0" applyNumberFormat="1" applyFont="1" applyFill="1" applyAlignment="1">
      <alignment horizontal="center" vertical="center"/>
    </xf>
    <xf numFmtId="164" fontId="3" fillId="20" borderId="0" xfId="0" applyNumberFormat="1" applyFont="1" applyFill="1" applyAlignment="1">
      <alignment horizontal="center" vertical="center"/>
    </xf>
    <xf numFmtId="164" fontId="0" fillId="20" borderId="0" xfId="0" applyNumberFormat="1" applyFill="1" applyAlignment="1">
      <alignment horizontal="center" vertical="center"/>
    </xf>
    <xf numFmtId="164" fontId="0" fillId="31" borderId="0" xfId="0" applyNumberFormat="1" applyFill="1" applyAlignment="1">
      <alignment horizontal="center" vertical="center"/>
    </xf>
    <xf numFmtId="164" fontId="3" fillId="32" borderId="0" xfId="0" applyNumberFormat="1" applyFont="1" applyFill="1" applyAlignment="1">
      <alignment horizontal="center" vertical="center"/>
    </xf>
    <xf numFmtId="164" fontId="0" fillId="32" borderId="0" xfId="0" applyNumberFormat="1" applyFill="1" applyAlignment="1">
      <alignment horizontal="center" vertical="center"/>
    </xf>
    <xf numFmtId="164" fontId="3" fillId="33" borderId="0" xfId="0" applyNumberFormat="1" applyFont="1" applyFill="1" applyAlignment="1">
      <alignment horizontal="center" vertical="center"/>
    </xf>
    <xf numFmtId="164" fontId="0" fillId="33" borderId="0" xfId="0" applyNumberFormat="1" applyFill="1" applyAlignment="1">
      <alignment horizontal="center" vertical="center"/>
    </xf>
    <xf numFmtId="172" fontId="29" fillId="2" borderId="40" xfId="0" applyNumberFormat="1" applyFont="1" applyFill="1" applyBorder="1" applyAlignment="1">
      <alignment horizontal="left" vertical="center"/>
    </xf>
    <xf numFmtId="164" fontId="29" fillId="4" borderId="41" xfId="0" applyNumberFormat="1" applyFont="1" applyFill="1" applyBorder="1" applyAlignment="1">
      <alignment horizontal="center" vertical="center"/>
    </xf>
    <xf numFmtId="164" fontId="29" fillId="2" borderId="42" xfId="0" applyNumberFormat="1" applyFont="1" applyFill="1" applyBorder="1" applyAlignment="1">
      <alignment horizontal="left" vertical="center"/>
    </xf>
    <xf numFmtId="0" fontId="11" fillId="0" borderId="0" xfId="0" applyFont="1"/>
    <xf numFmtId="164" fontId="3" fillId="2" borderId="0" xfId="0" applyNumberFormat="1" applyFont="1" applyFill="1" applyAlignment="1">
      <alignment horizontal="center" vertical="center" wrapText="1"/>
    </xf>
    <xf numFmtId="164" fontId="0" fillId="34" borderId="0" xfId="0" applyNumberFormat="1" applyFill="1" applyAlignment="1">
      <alignment horizontal="center" vertical="center"/>
    </xf>
    <xf numFmtId="164" fontId="3" fillId="34" borderId="0" xfId="0" applyNumberFormat="1" applyFont="1" applyFill="1" applyAlignment="1">
      <alignment horizontal="center" vertical="center"/>
    </xf>
    <xf numFmtId="164" fontId="12" fillId="6" borderId="0" xfId="0" applyNumberFormat="1" applyFont="1" applyFill="1" applyAlignment="1">
      <alignment horizontal="center" vertical="center"/>
    </xf>
    <xf numFmtId="164" fontId="12" fillId="6" borderId="14" xfId="0" applyNumberFormat="1" applyFont="1" applyFill="1" applyBorder="1" applyAlignment="1">
      <alignment horizontal="center" vertical="center"/>
    </xf>
    <xf numFmtId="164" fontId="12" fillId="2" borderId="14" xfId="0" applyNumberFormat="1" applyFont="1" applyFill="1" applyBorder="1" applyAlignment="1">
      <alignment horizontal="center" vertical="center"/>
    </xf>
    <xf numFmtId="164" fontId="14" fillId="2" borderId="14" xfId="0" applyNumberFormat="1" applyFont="1" applyFill="1" applyBorder="1" applyAlignment="1">
      <alignment horizontal="center" vertical="center"/>
    </xf>
    <xf numFmtId="176" fontId="14" fillId="2" borderId="14" xfId="0" applyNumberFormat="1" applyFont="1" applyFill="1" applyBorder="1" applyAlignment="1">
      <alignment horizontal="center" vertical="center"/>
    </xf>
    <xf numFmtId="176" fontId="14" fillId="2" borderId="0" xfId="0" applyNumberFormat="1" applyFont="1" applyFill="1" applyAlignment="1">
      <alignment horizontal="center" vertical="center"/>
    </xf>
    <xf numFmtId="176" fontId="14" fillId="0" borderId="0" xfId="0" applyNumberFormat="1" applyFont="1" applyAlignment="1">
      <alignment horizontal="center" vertical="center"/>
    </xf>
    <xf numFmtId="164" fontId="12" fillId="0" borderId="0" xfId="0" applyNumberFormat="1" applyFont="1" applyAlignment="1">
      <alignment horizontal="center" vertical="center"/>
    </xf>
    <xf numFmtId="165" fontId="14" fillId="2" borderId="14" xfId="0" applyNumberFormat="1" applyFont="1" applyFill="1" applyBorder="1" applyAlignment="1">
      <alignment horizontal="center" vertical="center"/>
    </xf>
    <xf numFmtId="165" fontId="14" fillId="2" borderId="0" xfId="0" applyNumberFormat="1" applyFont="1" applyFill="1" applyAlignment="1">
      <alignment horizontal="center" vertical="center"/>
    </xf>
    <xf numFmtId="164" fontId="0" fillId="31" borderId="0" xfId="0" applyNumberFormat="1" applyFill="1" applyAlignment="1">
      <alignment horizontal="left" vertical="center"/>
    </xf>
    <xf numFmtId="164" fontId="0" fillId="2" borderId="20" xfId="0" applyNumberFormat="1" applyFill="1" applyBorder="1" applyAlignment="1">
      <alignment horizontal="center" vertical="center"/>
    </xf>
    <xf numFmtId="165" fontId="3" fillId="2" borderId="20" xfId="0" applyNumberFormat="1" applyFont="1" applyFill="1" applyBorder="1" applyAlignment="1">
      <alignment horizontal="center" vertical="center"/>
    </xf>
    <xf numFmtId="164" fontId="24" fillId="3" borderId="1" xfId="0" applyNumberFormat="1" applyFont="1" applyFill="1" applyBorder="1" applyAlignment="1">
      <alignment horizontal="left" vertical="center" wrapText="1"/>
    </xf>
    <xf numFmtId="164" fontId="26" fillId="2" borderId="99" xfId="0" applyNumberFormat="1" applyFont="1" applyFill="1" applyBorder="1" applyAlignment="1">
      <alignment horizontal="center" vertical="center"/>
    </xf>
    <xf numFmtId="164" fontId="26" fillId="4" borderId="100" xfId="0" applyNumberFormat="1" applyFont="1" applyFill="1" applyBorder="1" applyAlignment="1">
      <alignment horizontal="center" vertical="center"/>
    </xf>
    <xf numFmtId="164" fontId="77" fillId="2" borderId="42" xfId="0" applyNumberFormat="1" applyFont="1" applyFill="1" applyBorder="1" applyAlignment="1">
      <alignment horizontal="left" vertical="center"/>
    </xf>
    <xf numFmtId="164" fontId="0" fillId="31" borderId="0" xfId="0" applyNumberFormat="1" applyFill="1" applyAlignment="1">
      <alignment horizontal="left" vertical="center" wrapText="1"/>
    </xf>
    <xf numFmtId="0" fontId="18" fillId="35" borderId="15" xfId="1" applyFont="1" applyFill="1" applyBorder="1" applyAlignment="1">
      <alignment horizontal="center" vertical="center"/>
    </xf>
    <xf numFmtId="0" fontId="18" fillId="35" borderId="28" xfId="1" quotePrefix="1" applyFont="1" applyFill="1" applyBorder="1" applyAlignment="1">
      <alignment horizontal="center" vertical="center" wrapText="1"/>
    </xf>
    <xf numFmtId="0" fontId="18" fillId="35" borderId="20" xfId="1" applyFont="1" applyFill="1" applyBorder="1" applyAlignment="1">
      <alignment horizontal="center" vertical="center" wrapText="1"/>
    </xf>
    <xf numFmtId="14" fontId="18" fillId="35" borderId="20" xfId="1" applyNumberFormat="1" applyFont="1" applyFill="1" applyBorder="1" applyAlignment="1">
      <alignment horizontal="center" vertical="center"/>
    </xf>
    <xf numFmtId="0" fontId="18" fillId="35" borderId="26" xfId="1" applyFont="1" applyFill="1" applyBorder="1" applyAlignment="1">
      <alignment horizontal="center" vertical="center" wrapText="1"/>
    </xf>
    <xf numFmtId="0" fontId="16" fillId="2" borderId="27" xfId="1" applyFont="1" applyFill="1" applyBorder="1" applyAlignment="1">
      <alignment horizontal="center" vertical="center" wrapText="1"/>
    </xf>
    <xf numFmtId="166" fontId="18" fillId="35" borderId="20" xfId="1" applyNumberFormat="1" applyFont="1" applyFill="1" applyBorder="1" applyAlignment="1">
      <alignment horizontal="center" vertical="center" wrapText="1"/>
    </xf>
    <xf numFmtId="0" fontId="18" fillId="35" borderId="25" xfId="1" applyFont="1" applyFill="1" applyBorder="1" applyAlignment="1">
      <alignment horizontal="center" vertical="center"/>
    </xf>
    <xf numFmtId="0" fontId="21" fillId="2" borderId="20" xfId="2" applyFont="1" applyFill="1" applyBorder="1" applyAlignment="1">
      <alignment horizontal="center" vertical="center" wrapText="1"/>
    </xf>
    <xf numFmtId="166" fontId="21" fillId="8" borderId="20" xfId="1" applyNumberFormat="1" applyFont="1" applyFill="1" applyBorder="1" applyAlignment="1">
      <alignment horizontal="center" vertical="center" wrapText="1"/>
    </xf>
    <xf numFmtId="14" fontId="21" fillId="0" borderId="20" xfId="1" applyNumberFormat="1" applyFont="1" applyBorder="1" applyAlignment="1">
      <alignment horizontal="center" vertical="center"/>
    </xf>
    <xf numFmtId="0" fontId="18" fillId="36" borderId="20" xfId="3" applyFont="1" applyFill="1" applyBorder="1" applyAlignment="1">
      <alignment horizontal="center" vertical="center" wrapText="1"/>
    </xf>
    <xf numFmtId="0" fontId="18" fillId="36" borderId="20" xfId="3" quotePrefix="1" applyFont="1" applyFill="1" applyBorder="1" applyAlignment="1">
      <alignment horizontal="center" vertical="center" wrapText="1"/>
    </xf>
    <xf numFmtId="0" fontId="18" fillId="36" borderId="20" xfId="2" applyFont="1" applyFill="1" applyBorder="1" applyAlignment="1">
      <alignment horizontal="center" vertical="center" wrapText="1"/>
    </xf>
    <xf numFmtId="0" fontId="18" fillId="36" borderId="20" xfId="1" applyFont="1" applyFill="1" applyBorder="1" applyAlignment="1">
      <alignment horizontal="center" vertical="center" wrapText="1"/>
    </xf>
    <xf numFmtId="166" fontId="18" fillId="36" borderId="20" xfId="1" applyNumberFormat="1" applyFont="1" applyFill="1" applyBorder="1" applyAlignment="1">
      <alignment horizontal="center" vertical="center" wrapText="1"/>
    </xf>
    <xf numFmtId="14" fontId="18" fillId="36" borderId="20" xfId="1" applyNumberFormat="1" applyFont="1" applyFill="1" applyBorder="1" applyAlignment="1">
      <alignment horizontal="center" vertical="center"/>
    </xf>
    <xf numFmtId="0" fontId="18" fillId="36" borderId="25" xfId="2" applyFont="1" applyFill="1" applyBorder="1" applyAlignment="1">
      <alignment horizontal="center" vertical="center" wrapText="1"/>
    </xf>
    <xf numFmtId="4" fontId="16" fillId="2" borderId="31" xfId="1" applyNumberFormat="1" applyFont="1" applyFill="1" applyBorder="1" applyAlignment="1">
      <alignment horizontal="center" vertical="center" wrapText="1"/>
    </xf>
    <xf numFmtId="43" fontId="0" fillId="4" borderId="8" xfId="0" applyNumberFormat="1" applyFill="1" applyBorder="1" applyAlignment="1">
      <alignment horizontal="center" vertical="center"/>
    </xf>
    <xf numFmtId="0" fontId="16" fillId="35" borderId="20" xfId="3" applyFont="1" applyFill="1" applyBorder="1" applyAlignment="1">
      <alignment horizontal="center" vertical="center" wrapText="1"/>
    </xf>
    <xf numFmtId="0" fontId="18" fillId="35" borderId="25" xfId="1" applyFont="1" applyFill="1" applyBorder="1" applyAlignment="1">
      <alignment horizontal="center" vertical="center" wrapText="1"/>
    </xf>
    <xf numFmtId="0" fontId="16" fillId="35" borderId="15" xfId="1" applyFont="1" applyFill="1" applyBorder="1" applyAlignment="1">
      <alignment horizontal="center" vertical="center"/>
    </xf>
    <xf numFmtId="0" fontId="16" fillId="35" borderId="28" xfId="1" quotePrefix="1" applyFont="1" applyFill="1" applyBorder="1" applyAlignment="1">
      <alignment horizontal="center" vertical="center" wrapText="1"/>
    </xf>
    <xf numFmtId="0" fontId="16" fillId="35" borderId="20" xfId="1" applyFont="1" applyFill="1" applyBorder="1" applyAlignment="1">
      <alignment horizontal="center" vertical="center" wrapText="1"/>
    </xf>
    <xf numFmtId="166" fontId="16" fillId="35" borderId="20" xfId="1" applyNumberFormat="1" applyFont="1" applyFill="1" applyBorder="1" applyAlignment="1">
      <alignment horizontal="center" vertical="center" wrapText="1"/>
    </xf>
    <xf numFmtId="0" fontId="16" fillId="35" borderId="25" xfId="1" applyFont="1" applyFill="1" applyBorder="1" applyAlignment="1">
      <alignment horizontal="center" vertical="center" wrapText="1"/>
    </xf>
    <xf numFmtId="168" fontId="3" fillId="24" borderId="0" xfId="0" applyNumberFormat="1" applyFont="1" applyFill="1" applyAlignment="1">
      <alignment horizontal="center" vertical="center"/>
    </xf>
    <xf numFmtId="0" fontId="55" fillId="7" borderId="20" xfId="0" applyFont="1" applyFill="1" applyBorder="1" applyAlignment="1">
      <alignment horizontal="center" vertical="center" wrapText="1"/>
    </xf>
    <xf numFmtId="44" fontId="45" fillId="7" borderId="34" xfId="0" applyNumberFormat="1" applyFont="1" applyFill="1" applyBorder="1" applyAlignment="1">
      <alignment horizontal="center" vertical="center"/>
    </xf>
    <xf numFmtId="0" fontId="55" fillId="0" borderId="27" xfId="0" applyFont="1" applyBorder="1" applyAlignment="1">
      <alignment horizontal="center" vertical="center" wrapText="1"/>
    </xf>
    <xf numFmtId="0" fontId="16" fillId="7" borderId="20" xfId="0" applyFont="1" applyFill="1" applyBorder="1" applyAlignment="1">
      <alignment horizontal="center" vertical="center" wrapText="1"/>
    </xf>
    <xf numFmtId="0" fontId="61" fillId="7" borderId="20" xfId="0" applyFont="1" applyFill="1" applyBorder="1" applyAlignment="1">
      <alignment horizontal="center" vertical="center"/>
    </xf>
    <xf numFmtId="0" fontId="18" fillId="7" borderId="28" xfId="3" applyFont="1" applyFill="1" applyBorder="1" applyAlignment="1">
      <alignment horizontal="center" vertical="center" wrapText="1"/>
    </xf>
    <xf numFmtId="44" fontId="22" fillId="7" borderId="20" xfId="0" applyNumberFormat="1" applyFont="1" applyFill="1" applyBorder="1" applyAlignment="1">
      <alignment horizontal="center" vertical="center"/>
    </xf>
    <xf numFmtId="0" fontId="16" fillId="7" borderId="26" xfId="1" applyFont="1" applyFill="1" applyBorder="1" applyAlignment="1">
      <alignment horizontal="center" vertical="center" wrapText="1"/>
    </xf>
    <xf numFmtId="0" fontId="16" fillId="7" borderId="31" xfId="1" applyFont="1" applyFill="1" applyBorder="1" applyAlignment="1">
      <alignment horizontal="center" vertical="center"/>
    </xf>
    <xf numFmtId="0" fontId="60" fillId="7" borderId="20" xfId="0" applyFont="1" applyFill="1" applyBorder="1" applyAlignment="1">
      <alignment horizontal="center" vertical="center" wrapText="1"/>
    </xf>
    <xf numFmtId="0" fontId="18" fillId="37" borderId="22" xfId="1" applyFont="1" applyFill="1" applyBorder="1" applyAlignment="1">
      <alignment horizontal="center" vertical="center"/>
    </xf>
    <xf numFmtId="0" fontId="18" fillId="37" borderId="20" xfId="1" applyFont="1" applyFill="1" applyBorder="1" applyAlignment="1">
      <alignment horizontal="center" vertical="center" wrapText="1"/>
    </xf>
    <xf numFmtId="0" fontId="18" fillId="37" borderId="20" xfId="1" quotePrefix="1" applyFont="1" applyFill="1" applyBorder="1" applyAlignment="1">
      <alignment horizontal="center" vertical="center" wrapText="1"/>
    </xf>
    <xf numFmtId="166" fontId="18" fillId="37" borderId="20" xfId="1" applyNumberFormat="1" applyFont="1" applyFill="1" applyBorder="1" applyAlignment="1">
      <alignment horizontal="center" vertical="center" wrapText="1"/>
    </xf>
    <xf numFmtId="14" fontId="18" fillId="37" borderId="20" xfId="1" applyNumberFormat="1" applyFont="1" applyFill="1" applyBorder="1" applyAlignment="1">
      <alignment horizontal="center" vertical="center"/>
    </xf>
    <xf numFmtId="0" fontId="18" fillId="37" borderId="25" xfId="1" applyFont="1" applyFill="1" applyBorder="1" applyAlignment="1">
      <alignment horizontal="center" vertical="center"/>
    </xf>
    <xf numFmtId="43" fontId="3" fillId="32" borderId="0" xfId="0" applyNumberFormat="1" applyFont="1" applyFill="1" applyAlignment="1">
      <alignment horizontal="center" vertical="center"/>
    </xf>
    <xf numFmtId="0" fontId="16" fillId="18" borderId="26" xfId="3" applyFont="1" applyFill="1" applyBorder="1" applyAlignment="1">
      <alignment horizontal="center" vertical="center" wrapText="1"/>
    </xf>
    <xf numFmtId="0" fontId="18" fillId="13" borderId="15" xfId="1" applyFont="1" applyFill="1" applyBorder="1" applyAlignment="1">
      <alignment horizontal="center" vertical="center"/>
    </xf>
    <xf numFmtId="0" fontId="18" fillId="13" borderId="20" xfId="3" applyFont="1" applyFill="1" applyBorder="1" applyAlignment="1">
      <alignment horizontal="center" vertical="center" wrapText="1"/>
    </xf>
    <xf numFmtId="0" fontId="18" fillId="13" borderId="28" xfId="1" quotePrefix="1" applyFont="1" applyFill="1" applyBorder="1" applyAlignment="1">
      <alignment horizontal="center" vertical="center" wrapText="1"/>
    </xf>
    <xf numFmtId="0" fontId="16" fillId="13" borderId="26" xfId="1" applyFont="1" applyFill="1" applyBorder="1" applyAlignment="1">
      <alignment horizontal="center" vertical="center" wrapText="1"/>
    </xf>
    <xf numFmtId="166" fontId="18" fillId="13" borderId="20" xfId="1" applyNumberFormat="1" applyFont="1" applyFill="1" applyBorder="1" applyAlignment="1">
      <alignment horizontal="center" vertical="center" wrapText="1"/>
    </xf>
    <xf numFmtId="0" fontId="18" fillId="13" borderId="26" xfId="1" applyFont="1" applyFill="1" applyBorder="1" applyAlignment="1">
      <alignment horizontal="center" vertical="center" wrapText="1"/>
    </xf>
    <xf numFmtId="0" fontId="16" fillId="2" borderId="26" xfId="1" quotePrefix="1" applyFont="1" applyFill="1" applyBorder="1" applyAlignment="1">
      <alignment horizontal="center" vertical="center" wrapText="1"/>
    </xf>
    <xf numFmtId="166" fontId="16" fillId="2" borderId="26" xfId="1" applyNumberFormat="1" applyFont="1" applyFill="1" applyBorder="1" applyAlignment="1">
      <alignment horizontal="center" vertical="center" wrapText="1"/>
    </xf>
    <xf numFmtId="0" fontId="18" fillId="2" borderId="26" xfId="1" applyFont="1" applyFill="1" applyBorder="1" applyAlignment="1">
      <alignment horizontal="center" vertical="center"/>
    </xf>
    <xf numFmtId="0" fontId="18" fillId="18" borderId="25" xfId="3" applyFont="1" applyFill="1" applyBorder="1" applyAlignment="1">
      <alignment horizontal="center" vertical="center" wrapText="1"/>
    </xf>
    <xf numFmtId="0" fontId="16" fillId="2" borderId="101" xfId="3" applyFont="1" applyFill="1" applyBorder="1" applyAlignment="1">
      <alignment horizontal="center" vertical="center" wrapText="1"/>
    </xf>
    <xf numFmtId="44" fontId="16" fillId="2" borderId="27" xfId="1" applyNumberFormat="1" applyFont="1" applyFill="1" applyBorder="1" applyAlignment="1">
      <alignment horizontal="center" vertical="center"/>
    </xf>
    <xf numFmtId="164" fontId="1" fillId="3" borderId="63" xfId="0" applyNumberFormat="1" applyFont="1" applyFill="1" applyBorder="1" applyAlignment="1">
      <alignment horizontal="center" vertical="center"/>
    </xf>
    <xf numFmtId="164" fontId="1" fillId="3" borderId="2" xfId="0" applyNumberFormat="1" applyFont="1" applyFill="1" applyBorder="1" applyAlignment="1">
      <alignment horizontal="center" vertical="center"/>
    </xf>
    <xf numFmtId="164" fontId="1" fillId="3" borderId="64" xfId="0" applyNumberFormat="1" applyFont="1" applyFill="1" applyBorder="1" applyAlignment="1">
      <alignment horizontal="center" vertical="center"/>
    </xf>
    <xf numFmtId="0" fontId="46" fillId="22" borderId="81" xfId="0" applyFont="1" applyFill="1" applyBorder="1" applyAlignment="1">
      <alignment horizontal="center"/>
    </xf>
    <xf numFmtId="0" fontId="46" fillId="22" borderId="82" xfId="0" applyFont="1" applyFill="1" applyBorder="1" applyAlignment="1">
      <alignment horizontal="center"/>
    </xf>
  </cellXfs>
  <cellStyles count="5">
    <cellStyle name="Currency 2" xfId="4" xr:uid="{8F21188E-4EF8-4C49-A50F-9085603A599D}"/>
    <cellStyle name="Normal" xfId="0" builtinId="0"/>
    <cellStyle name="Normal 2" xfId="2" xr:uid="{CE82666F-2623-488B-ADB3-E63DD8828EDC}"/>
    <cellStyle name="Normal 3" xfId="3" xr:uid="{D37F87DA-47DB-4355-906F-FA9EBD7BFB93}"/>
    <cellStyle name="Normal 5" xfId="1" xr:uid="{A1FBB859-A21D-4E0C-9521-4AABCF9672C8}"/>
  </cellStyles>
  <dxfs count="0"/>
  <tableStyles count="0" defaultTableStyle="TableStyleMedium2" defaultPivotStyle="PivotStyleLight16"/>
  <colors>
    <mruColors>
      <color rgb="FFF5C1E6"/>
      <color rgb="FFD3FFAD"/>
      <color rgb="FFA5C4CF"/>
      <color rgb="FFD61E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AA5D2707-A71F-4B31-AEAF-D41CE06BD2E4}"/>
  <namedSheetView name="Exibir1" id="{7999E872-6675-4FFC-9FBD-E682A1358E82}"/>
  <namedSheetView name="Exibir2" id="{43577194-CE85-4F0D-AA45-D5ACE75E1DA3}"/>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74E9-A940-4EF2-AF6C-63964D87641A}">
  <sheetPr codeName="Sheet1">
    <tabColor rgb="FF002060"/>
  </sheetPr>
  <dimension ref="B1:M75"/>
  <sheetViews>
    <sheetView topLeftCell="A3" zoomScale="115" zoomScaleNormal="115" workbookViewId="0">
      <selection activeCell="K75" sqref="K75"/>
    </sheetView>
  </sheetViews>
  <sheetFormatPr defaultColWidth="9.33203125" defaultRowHeight="10.5"/>
  <cols>
    <col min="1" max="1" width="1.5" style="2" customWidth="1"/>
    <col min="2" max="2" width="6" style="2" bestFit="1" customWidth="1"/>
    <col min="3" max="3" width="16.5" style="2" bestFit="1" customWidth="1"/>
    <col min="4" max="4" width="17.5" style="2" bestFit="1" customWidth="1"/>
    <col min="5" max="5" width="9.1640625" style="2" bestFit="1" customWidth="1"/>
    <col min="6" max="6" width="6.33203125" style="2" bestFit="1" customWidth="1"/>
    <col min="7" max="7" width="10.83203125" style="2" customWidth="1"/>
    <col min="8" max="8" width="11.5" style="2" bestFit="1" customWidth="1"/>
    <col min="9" max="9" width="13.1640625" style="2" customWidth="1"/>
    <col min="10" max="10" width="11.5" style="2" bestFit="1" customWidth="1"/>
    <col min="11" max="11" width="11.1640625" style="2" customWidth="1"/>
    <col min="12" max="12" width="1.33203125" style="2" customWidth="1"/>
    <col min="13" max="13" width="56.33203125" style="2" bestFit="1" customWidth="1"/>
    <col min="14" max="16384" width="9.33203125" style="2"/>
  </cols>
  <sheetData>
    <row r="1" spans="2:13" ht="11.25">
      <c r="B1" s="422"/>
      <c r="C1" s="423"/>
      <c r="D1" s="423"/>
      <c r="E1" s="423"/>
      <c r="F1" s="423"/>
      <c r="G1" s="423"/>
      <c r="H1" s="423"/>
      <c r="I1" s="423"/>
      <c r="J1" s="423"/>
      <c r="K1" s="424"/>
    </row>
    <row r="2" spans="2:13" ht="11.25">
      <c r="B2" s="1107" t="s">
        <v>0</v>
      </c>
      <c r="C2" s="1108"/>
      <c r="D2" s="1108"/>
      <c r="E2" s="1108"/>
      <c r="F2" s="1108"/>
      <c r="G2" s="1108"/>
      <c r="H2" s="1108"/>
      <c r="I2" s="1108"/>
      <c r="J2" s="1108"/>
      <c r="K2" s="1109"/>
      <c r="M2" s="443" t="s">
        <v>1</v>
      </c>
    </row>
    <row r="3" spans="2:13" ht="11.25">
      <c r="B3" s="425" t="s">
        <v>2</v>
      </c>
      <c r="C3" s="1" t="s">
        <v>3</v>
      </c>
      <c r="D3" s="19" t="s">
        <v>4</v>
      </c>
      <c r="E3" s="19" t="s">
        <v>5</v>
      </c>
      <c r="F3" s="19" t="s">
        <v>6</v>
      </c>
      <c r="G3" s="19" t="s">
        <v>7</v>
      </c>
      <c r="H3" s="19" t="s">
        <v>8</v>
      </c>
      <c r="I3" s="19" t="s">
        <v>9</v>
      </c>
      <c r="J3" s="19" t="s">
        <v>10</v>
      </c>
      <c r="K3" s="426" t="s">
        <v>11</v>
      </c>
      <c r="L3" s="4"/>
      <c r="M3" s="444" t="s">
        <v>12</v>
      </c>
    </row>
    <row r="4" spans="2:13" ht="11.25">
      <c r="B4" s="427">
        <v>1</v>
      </c>
      <c r="C4" s="25" t="s">
        <v>13</v>
      </c>
      <c r="D4" s="18" t="s">
        <v>14</v>
      </c>
      <c r="E4" s="18" t="s">
        <v>15</v>
      </c>
      <c r="F4" s="18">
        <v>3</v>
      </c>
      <c r="G4" s="18" t="s">
        <v>16</v>
      </c>
      <c r="H4" s="20">
        <f>SUMIFS('Controle Projetos_Ciclo2'!$O:$O,'Controle Projetos_Ciclo2'!$B:$B,$C4,'Controle Projetos_Ciclo2'!$F:$F,"Total")</f>
        <v>0</v>
      </c>
      <c r="I4" s="20">
        <f>SUMIFS('Controle Projetos_Ciclo2'!$R:$R,'Controle Projetos_Ciclo2'!$B:$B,$C4,'Controle Projetos_Ciclo2'!$F:$F,"Total")</f>
        <v>0</v>
      </c>
      <c r="J4" s="20">
        <f>SUMIFS('Controle Projetos_Ciclo2'!S:S,'Controle Projetos_Ciclo2'!$B:$B,$C4,'Controle Projetos_Ciclo2'!$F:$F,"Total")</f>
        <v>0</v>
      </c>
      <c r="K4" s="428">
        <f t="shared" ref="K4:K35" si="0">IFERROR(I4/H4,0)</f>
        <v>0</v>
      </c>
      <c r="M4" s="845" t="s">
        <v>17</v>
      </c>
    </row>
    <row r="5" spans="2:13" ht="11.25">
      <c r="B5" s="429">
        <f t="shared" ref="B5:B36" si="1">B4+1</f>
        <v>2</v>
      </c>
      <c r="C5" s="6" t="s">
        <v>18</v>
      </c>
      <c r="D5" s="2" t="s">
        <v>14</v>
      </c>
      <c r="E5" s="2" t="s">
        <v>15</v>
      </c>
      <c r="F5" s="2">
        <v>3</v>
      </c>
      <c r="G5" s="2" t="s">
        <v>16</v>
      </c>
      <c r="H5" s="5">
        <f>SUMIFS('Controle Projetos_Ciclo2'!$O:$O,'Controle Projetos_Ciclo2'!$B:$B,$C5,'Controle Projetos_Ciclo2'!$F:$F,"Total")</f>
        <v>2348118.75</v>
      </c>
      <c r="I5" s="5">
        <f>SUMIFS('Controle Projetos_Ciclo2'!$R:$R,'Controle Projetos_Ciclo2'!$B:$B,$C5,'Controle Projetos_Ciclo2'!$F:$F,"Total")</f>
        <v>2290918.75</v>
      </c>
      <c r="J5" s="5">
        <f>SUMIFS('Controle Projetos_Ciclo2'!S:S,'Controle Projetos_Ciclo2'!$B:$B,$C5,'Controle Projetos_Ciclo2'!$F:$F,"Total")</f>
        <v>57200</v>
      </c>
      <c r="K5" s="430">
        <f t="shared" si="0"/>
        <v>0.97564007356953308</v>
      </c>
      <c r="M5" s="445" t="s">
        <v>19</v>
      </c>
    </row>
    <row r="6" spans="2:13" ht="11.25">
      <c r="B6" s="429">
        <f t="shared" si="1"/>
        <v>3</v>
      </c>
      <c r="C6" s="6" t="s">
        <v>20</v>
      </c>
      <c r="D6" s="2" t="s">
        <v>14</v>
      </c>
      <c r="E6" s="2" t="s">
        <v>15</v>
      </c>
      <c r="F6" s="2" t="s">
        <v>21</v>
      </c>
      <c r="G6" s="2" t="s">
        <v>16</v>
      </c>
      <c r="H6" s="5">
        <f>SUMIFS('Controle Projetos_Ciclo2'!$O:$O,'Controle Projetos_Ciclo2'!$B:$B,$C6,'Controle Projetos_Ciclo2'!$F:$F,"Total")</f>
        <v>0</v>
      </c>
      <c r="I6" s="5">
        <f>SUMIFS('Controle Projetos_Ciclo2'!$R:$R,'Controle Projetos_Ciclo2'!$B:$B,$C6,'Controle Projetos_Ciclo2'!$F:$F,"Total")</f>
        <v>0</v>
      </c>
      <c r="J6" s="5">
        <f>SUMIFS('Controle Projetos_Ciclo2'!S:S,'Controle Projetos_Ciclo2'!$B:$B,$C6,'Controle Projetos_Ciclo2'!$F:$F,"Total")</f>
        <v>0</v>
      </c>
      <c r="K6" s="430">
        <f t="shared" si="0"/>
        <v>0</v>
      </c>
      <c r="M6" s="445" t="s">
        <v>22</v>
      </c>
    </row>
    <row r="7" spans="2:13" ht="11.25">
      <c r="B7" s="429">
        <f t="shared" si="1"/>
        <v>4</v>
      </c>
      <c r="C7" s="6" t="s">
        <v>23</v>
      </c>
      <c r="D7" s="2" t="s">
        <v>14</v>
      </c>
      <c r="E7" s="2" t="s">
        <v>15</v>
      </c>
      <c r="F7" s="2">
        <v>1</v>
      </c>
      <c r="G7" s="2" t="s">
        <v>16</v>
      </c>
      <c r="H7" s="5">
        <f>SUMIFS('Controle Projetos_Ciclo2'!$O:$O,'Controle Projetos_Ciclo2'!$B:$B,$C7,'Controle Projetos_Ciclo2'!$F:$F,"Total")</f>
        <v>0</v>
      </c>
      <c r="I7" s="5">
        <f>SUMIFS('Controle Projetos_Ciclo2'!$R:$R,'Controle Projetos_Ciclo2'!$B:$B,$C7,'Controle Projetos_Ciclo2'!$F:$F,"Total")</f>
        <v>0</v>
      </c>
      <c r="J7" s="5">
        <f>SUMIFS('Controle Projetos_Ciclo2'!S:S,'Controle Projetos_Ciclo2'!$B:$B,$C7,'Controle Projetos_Ciclo2'!$F:$F,"Total")</f>
        <v>0</v>
      </c>
      <c r="K7" s="430">
        <f t="shared" si="0"/>
        <v>0</v>
      </c>
      <c r="M7" s="445" t="s">
        <v>24</v>
      </c>
    </row>
    <row r="8" spans="2:13" ht="11.25">
      <c r="B8" s="429">
        <f t="shared" si="1"/>
        <v>5</v>
      </c>
      <c r="C8" s="6" t="s">
        <v>25</v>
      </c>
      <c r="D8" s="2" t="s">
        <v>14</v>
      </c>
      <c r="E8" s="2" t="s">
        <v>15</v>
      </c>
      <c r="F8" s="2" t="s">
        <v>21</v>
      </c>
      <c r="G8" s="2" t="s">
        <v>16</v>
      </c>
      <c r="H8" s="5">
        <f>SUMIFS('Controle Projetos_Ciclo2'!$O:$O,'Controle Projetos_Ciclo2'!$B:$B,$C8,'Controle Projetos_Ciclo2'!$F:$F,"Total")</f>
        <v>0</v>
      </c>
      <c r="I8" s="5">
        <f>SUMIFS('Controle Projetos_Ciclo2'!$R:$R,'Controle Projetos_Ciclo2'!$B:$B,$C8,'Controle Projetos_Ciclo2'!$F:$F,"Total")</f>
        <v>0</v>
      </c>
      <c r="J8" s="5">
        <f>SUMIFS('Controle Projetos_Ciclo2'!S:S,'Controle Projetos_Ciclo2'!$B:$B,$C8,'Controle Projetos_Ciclo2'!$F:$F,"Total")</f>
        <v>0</v>
      </c>
      <c r="K8" s="430">
        <f t="shared" si="0"/>
        <v>0</v>
      </c>
      <c r="M8" s="445" t="s">
        <v>26</v>
      </c>
    </row>
    <row r="9" spans="2:13" ht="11.25">
      <c r="B9" s="429">
        <f t="shared" si="1"/>
        <v>6</v>
      </c>
      <c r="C9" s="6" t="s">
        <v>27</v>
      </c>
      <c r="D9" s="2" t="s">
        <v>14</v>
      </c>
      <c r="E9" s="2" t="s">
        <v>15</v>
      </c>
      <c r="F9" s="2" t="s">
        <v>21</v>
      </c>
      <c r="G9" s="2" t="s">
        <v>16</v>
      </c>
      <c r="H9" s="5">
        <f>SUMIFS('Controle Projetos_Ciclo2'!$O:$O,'Controle Projetos_Ciclo2'!$B:$B,$C9,'Controle Projetos_Ciclo2'!$F:$F,"Total")</f>
        <v>0</v>
      </c>
      <c r="I9" s="5">
        <f>SUMIFS('Controle Projetos_Ciclo2'!$R:$R,'Controle Projetos_Ciclo2'!$B:$B,$C9,'Controle Projetos_Ciclo2'!$F:$F,"Total")</f>
        <v>0</v>
      </c>
      <c r="J9" s="5">
        <f>SUMIFS('Controle Projetos_Ciclo2'!S:S,'Controle Projetos_Ciclo2'!$B:$B,$C9,'Controle Projetos_Ciclo2'!$F:$F,"Total")</f>
        <v>0</v>
      </c>
      <c r="K9" s="430">
        <f t="shared" si="0"/>
        <v>0</v>
      </c>
      <c r="M9" s="445" t="s">
        <v>28</v>
      </c>
    </row>
    <row r="10" spans="2:13" ht="11.25">
      <c r="B10" s="429">
        <f t="shared" si="1"/>
        <v>7</v>
      </c>
      <c r="C10" s="6" t="s">
        <v>29</v>
      </c>
      <c r="D10" s="2" t="s">
        <v>14</v>
      </c>
      <c r="E10" s="2" t="s">
        <v>15</v>
      </c>
      <c r="F10" s="2">
        <v>1</v>
      </c>
      <c r="G10" s="2" t="s">
        <v>16</v>
      </c>
      <c r="H10" s="5">
        <f>SUMIFS('Controle Projetos_Ciclo2'!$O:$O,'Controle Projetos_Ciclo2'!$B:$B,$C10,'Controle Projetos_Ciclo2'!$F:$F,"Total")</f>
        <v>0</v>
      </c>
      <c r="I10" s="5">
        <f>SUMIFS('Controle Projetos_Ciclo2'!$R:$R,'Controle Projetos_Ciclo2'!$B:$B,$C10,'Controle Projetos_Ciclo2'!$F:$F,"Total")</f>
        <v>0</v>
      </c>
      <c r="J10" s="5">
        <f>SUMIFS('Controle Projetos_Ciclo2'!S:S,'Controle Projetos_Ciclo2'!$B:$B,$C10,'Controle Projetos_Ciclo2'!$F:$F,"Total")</f>
        <v>0</v>
      </c>
      <c r="K10" s="430">
        <f t="shared" si="0"/>
        <v>0</v>
      </c>
      <c r="M10" s="445" t="s">
        <v>30</v>
      </c>
    </row>
    <row r="11" spans="2:13" ht="11.25">
      <c r="B11" s="429">
        <f t="shared" si="1"/>
        <v>8</v>
      </c>
      <c r="C11" s="6" t="s">
        <v>31</v>
      </c>
      <c r="D11" s="2" t="s">
        <v>14</v>
      </c>
      <c r="E11" s="2" t="s">
        <v>15</v>
      </c>
      <c r="F11" s="2">
        <v>2</v>
      </c>
      <c r="G11" s="2" t="s">
        <v>16</v>
      </c>
      <c r="H11" s="5">
        <f>SUMIFS('Controle Projetos_Ciclo2'!$O:$O,'Controle Projetos_Ciclo2'!$B:$B,$C11,'Controle Projetos_Ciclo2'!$F:$F,"Total")</f>
        <v>0</v>
      </c>
      <c r="I11" s="5">
        <f>SUMIFS('Controle Projetos_Ciclo2'!$R:$R,'Controle Projetos_Ciclo2'!$B:$B,$C11,'Controle Projetos_Ciclo2'!$F:$F,"Total")</f>
        <v>0</v>
      </c>
      <c r="J11" s="5">
        <f>SUMIFS('Controle Projetos_Ciclo2'!S:S,'Controle Projetos_Ciclo2'!$B:$B,$C11,'Controle Projetos_Ciclo2'!$F:$F,"Total")</f>
        <v>0</v>
      </c>
      <c r="K11" s="430">
        <f t="shared" si="0"/>
        <v>0</v>
      </c>
      <c r="M11" s="445" t="s">
        <v>32</v>
      </c>
    </row>
    <row r="12" spans="2:13" ht="11.25">
      <c r="B12" s="429">
        <f t="shared" si="1"/>
        <v>9</v>
      </c>
      <c r="C12" s="6" t="s">
        <v>33</v>
      </c>
      <c r="D12" s="2" t="s">
        <v>14</v>
      </c>
      <c r="E12" s="2" t="s">
        <v>15</v>
      </c>
      <c r="F12" s="2">
        <v>1</v>
      </c>
      <c r="G12" s="2" t="s">
        <v>16</v>
      </c>
      <c r="H12" s="5">
        <f>SUMIFS('Controle Projetos_Ciclo2'!$O:$O,'Controle Projetos_Ciclo2'!$B:$B,$C12,'Controle Projetos_Ciclo2'!$F:$F,"Total")</f>
        <v>0</v>
      </c>
      <c r="I12" s="5">
        <f>SUMIFS('Controle Projetos_Ciclo2'!$R:$R,'Controle Projetos_Ciclo2'!$B:$B,$C12,'Controle Projetos_Ciclo2'!$F:$F,"Total")</f>
        <v>0</v>
      </c>
      <c r="J12" s="5">
        <f>SUMIFS('Controle Projetos_Ciclo2'!S:S,'Controle Projetos_Ciclo2'!$B:$B,$C12,'Controle Projetos_Ciclo2'!$F:$F,"Total")</f>
        <v>0</v>
      </c>
      <c r="K12" s="430">
        <f t="shared" si="0"/>
        <v>0</v>
      </c>
      <c r="M12" s="445" t="s">
        <v>34</v>
      </c>
    </row>
    <row r="13" spans="2:13" ht="11.25">
      <c r="B13" s="429">
        <f t="shared" si="1"/>
        <v>10</v>
      </c>
      <c r="C13" s="6" t="s">
        <v>35</v>
      </c>
      <c r="D13" s="2" t="s">
        <v>14</v>
      </c>
      <c r="E13" s="2" t="s">
        <v>15</v>
      </c>
      <c r="F13" s="2">
        <v>1</v>
      </c>
      <c r="G13" s="2" t="s">
        <v>16</v>
      </c>
      <c r="H13" s="5">
        <f>SUMIFS('Controle Projetos_Ciclo2'!$O:$O,'Controle Projetos_Ciclo2'!$B:$B,$C13,'Controle Projetos_Ciclo2'!$F:$F,"Total")</f>
        <v>0</v>
      </c>
      <c r="I13" s="5">
        <f>SUMIFS('Controle Projetos_Ciclo2'!$R:$R,'Controle Projetos_Ciclo2'!$B:$B,$C13,'Controle Projetos_Ciclo2'!$F:$F,"Total")</f>
        <v>0</v>
      </c>
      <c r="J13" s="5">
        <f>SUMIFS('Controle Projetos_Ciclo2'!S:S,'Controle Projetos_Ciclo2'!$B:$B,$C13,'Controle Projetos_Ciclo2'!$F:$F,"Total")</f>
        <v>0</v>
      </c>
      <c r="K13" s="430">
        <f t="shared" si="0"/>
        <v>0</v>
      </c>
      <c r="M13" s="445" t="s">
        <v>36</v>
      </c>
    </row>
    <row r="14" spans="2:13" ht="11.25">
      <c r="B14" s="429">
        <f t="shared" si="1"/>
        <v>11</v>
      </c>
      <c r="C14" s="6" t="s">
        <v>37</v>
      </c>
      <c r="D14" s="2" t="s">
        <v>14</v>
      </c>
      <c r="E14" s="2" t="s">
        <v>15</v>
      </c>
      <c r="F14" s="2">
        <v>1</v>
      </c>
      <c r="G14" s="2" t="s">
        <v>16</v>
      </c>
      <c r="H14" s="5">
        <f>SUMIFS('Controle Projetos_Ciclo2'!$O:$O,'Controle Projetos_Ciclo2'!$B:$B,$C14,'Controle Projetos_Ciclo2'!$F:$F,"Total")</f>
        <v>0</v>
      </c>
      <c r="I14" s="5">
        <f>SUMIFS('Controle Projetos_Ciclo2'!$R:$R,'Controle Projetos_Ciclo2'!$B:$B,$C14,'Controle Projetos_Ciclo2'!$F:$F,"Total")</f>
        <v>0</v>
      </c>
      <c r="J14" s="5">
        <f>SUMIFS('Controle Projetos_Ciclo2'!S:S,'Controle Projetos_Ciclo2'!$B:$B,$C14,'Controle Projetos_Ciclo2'!$F:$F,"Total")</f>
        <v>0</v>
      </c>
      <c r="K14" s="430">
        <f t="shared" si="0"/>
        <v>0</v>
      </c>
      <c r="M14" s="445" t="s">
        <v>38</v>
      </c>
    </row>
    <row r="15" spans="2:13" ht="11.25">
      <c r="B15" s="429">
        <f t="shared" si="1"/>
        <v>12</v>
      </c>
      <c r="C15" s="6" t="s">
        <v>39</v>
      </c>
      <c r="D15" s="2" t="s">
        <v>14</v>
      </c>
      <c r="E15" s="2" t="s">
        <v>15</v>
      </c>
      <c r="F15" s="2">
        <v>1</v>
      </c>
      <c r="G15" s="2" t="s">
        <v>16</v>
      </c>
      <c r="H15" s="5">
        <f>SUMIFS('Controle Projetos_Ciclo2'!$O:$O,'Controle Projetos_Ciclo2'!$B:$B,$C15,'Controle Projetos_Ciclo2'!$F:$F,"Total")</f>
        <v>0</v>
      </c>
      <c r="I15" s="5">
        <f>SUMIFS('Controle Projetos_Ciclo2'!$R:$R,'Controle Projetos_Ciclo2'!$B:$B,$C15,'Controle Projetos_Ciclo2'!$F:$F,"Total")</f>
        <v>0</v>
      </c>
      <c r="J15" s="5">
        <f>SUMIFS('Controle Projetos_Ciclo2'!S:S,'Controle Projetos_Ciclo2'!$B:$B,$C15,'Controle Projetos_Ciclo2'!$F:$F,"Total")</f>
        <v>0</v>
      </c>
      <c r="K15" s="430">
        <f t="shared" si="0"/>
        <v>0</v>
      </c>
      <c r="M15" s="445" t="s">
        <v>40</v>
      </c>
    </row>
    <row r="16" spans="2:13" ht="11.25">
      <c r="B16" s="429">
        <f t="shared" si="1"/>
        <v>13</v>
      </c>
      <c r="C16" s="6" t="s">
        <v>41</v>
      </c>
      <c r="D16" s="2" t="s">
        <v>14</v>
      </c>
      <c r="E16" s="2" t="s">
        <v>15</v>
      </c>
      <c r="F16" s="2">
        <v>1</v>
      </c>
      <c r="G16" s="2" t="s">
        <v>16</v>
      </c>
      <c r="H16" s="5">
        <f>SUMIFS('Controle Projetos_Ciclo2'!$O:$O,'Controle Projetos_Ciclo2'!$B:$B,$C16,'Controle Projetos_Ciclo2'!$F:$F,"Total")</f>
        <v>0</v>
      </c>
      <c r="I16" s="5">
        <f>SUMIFS('Controle Projetos_Ciclo2'!$R:$R,'Controle Projetos_Ciclo2'!$B:$B,$C16,'Controle Projetos_Ciclo2'!$F:$F,"Total")</f>
        <v>0</v>
      </c>
      <c r="J16" s="5">
        <f>SUMIFS('Controle Projetos_Ciclo2'!S:S,'Controle Projetos_Ciclo2'!$B:$B,$C16,'Controle Projetos_Ciclo2'!$F:$F,"Total")</f>
        <v>0</v>
      </c>
      <c r="K16" s="430">
        <f t="shared" si="0"/>
        <v>0</v>
      </c>
      <c r="M16" s="445" t="s">
        <v>42</v>
      </c>
    </row>
    <row r="17" spans="2:13" ht="11.25">
      <c r="B17" s="429">
        <f t="shared" si="1"/>
        <v>14</v>
      </c>
      <c r="C17" s="6" t="s">
        <v>43</v>
      </c>
      <c r="D17" s="2" t="s">
        <v>14</v>
      </c>
      <c r="E17" s="2" t="s">
        <v>15</v>
      </c>
      <c r="F17" s="2" t="s">
        <v>21</v>
      </c>
      <c r="G17" s="2" t="s">
        <v>16</v>
      </c>
      <c r="H17" s="5">
        <f>SUMIFS('Controle Projetos_Ciclo2'!$O:$O,'Controle Projetos_Ciclo2'!$B:$B,$C17,'Controle Projetos_Ciclo2'!$F:$F,"Total")</f>
        <v>0</v>
      </c>
      <c r="I17" s="5">
        <f>SUMIFS('Controle Projetos_Ciclo2'!$R:$R,'Controle Projetos_Ciclo2'!$B:$B,$C17,'Controle Projetos_Ciclo2'!$F:$F,"Total")</f>
        <v>0</v>
      </c>
      <c r="J17" s="5">
        <f>SUMIFS('Controle Projetos_Ciclo2'!S:S,'Controle Projetos_Ciclo2'!$B:$B,$C17,'Controle Projetos_Ciclo2'!$F:$F,"Total")</f>
        <v>0</v>
      </c>
      <c r="K17" s="430">
        <f t="shared" si="0"/>
        <v>0</v>
      </c>
      <c r="M17" s="445" t="s">
        <v>44</v>
      </c>
    </row>
    <row r="18" spans="2:13" ht="11.25">
      <c r="B18" s="429">
        <f t="shared" si="1"/>
        <v>15</v>
      </c>
      <c r="C18" s="6" t="s">
        <v>45</v>
      </c>
      <c r="D18" s="2" t="s">
        <v>14</v>
      </c>
      <c r="E18" s="2" t="s">
        <v>15</v>
      </c>
      <c r="F18" s="2">
        <v>2</v>
      </c>
      <c r="G18" s="2" t="s">
        <v>16</v>
      </c>
      <c r="H18" s="5">
        <f>SUMIFS('Controle Projetos_Ciclo2'!$O:$O,'Controle Projetos_Ciclo2'!$B:$B,$C18,'Controle Projetos_Ciclo2'!$F:$F,"Total")</f>
        <v>0</v>
      </c>
      <c r="I18" s="5">
        <f>SUMIFS('Controle Projetos_Ciclo2'!$R:$R,'Controle Projetos_Ciclo2'!$B:$B,$C18,'Controle Projetos_Ciclo2'!$F:$F,"Total")</f>
        <v>0</v>
      </c>
      <c r="J18" s="5">
        <f>SUMIFS('Controle Projetos_Ciclo2'!S:S,'Controle Projetos_Ciclo2'!$B:$B,$C18,'Controle Projetos_Ciclo2'!$F:$F,"Total")</f>
        <v>0</v>
      </c>
      <c r="K18" s="430">
        <f t="shared" si="0"/>
        <v>0</v>
      </c>
      <c r="M18" s="445" t="s">
        <v>46</v>
      </c>
    </row>
    <row r="19" spans="2:13" ht="11.25">
      <c r="B19" s="429">
        <f t="shared" si="1"/>
        <v>16</v>
      </c>
      <c r="C19" s="6" t="s">
        <v>47</v>
      </c>
      <c r="D19" s="2" t="s">
        <v>48</v>
      </c>
      <c r="E19" s="2" t="s">
        <v>49</v>
      </c>
      <c r="F19" s="2">
        <v>1</v>
      </c>
      <c r="G19" s="2" t="s">
        <v>50</v>
      </c>
      <c r="H19" s="5">
        <f>SUMIFS('Controle Projetos_Ciclo2'!$O:$O,'Controle Projetos_Ciclo2'!$B:$B,$C19,'Controle Projetos_Ciclo2'!$F:$F,"Total")</f>
        <v>0</v>
      </c>
      <c r="I19" s="5">
        <f>SUMIFS('Controle Projetos_Ciclo2'!$R:$R,'Controle Projetos_Ciclo2'!$B:$B,$C19,'Controle Projetos_Ciclo2'!$F:$F,"Total")</f>
        <v>0</v>
      </c>
      <c r="J19" s="5">
        <f>SUMIFS('Controle Projetos_Ciclo2'!S:S,'Controle Projetos_Ciclo2'!$B:$B,$C19,'Controle Projetos_Ciclo2'!$F:$F,"Total")</f>
        <v>0</v>
      </c>
      <c r="K19" s="430">
        <f t="shared" si="0"/>
        <v>0</v>
      </c>
      <c r="M19" s="445" t="s">
        <v>51</v>
      </c>
    </row>
    <row r="20" spans="2:13" ht="11.25">
      <c r="B20" s="429">
        <f t="shared" si="1"/>
        <v>17</v>
      </c>
      <c r="C20" s="6" t="s">
        <v>52</v>
      </c>
      <c r="D20" s="2" t="s">
        <v>48</v>
      </c>
      <c r="E20" s="2" t="s">
        <v>49</v>
      </c>
      <c r="F20" s="2">
        <v>1</v>
      </c>
      <c r="G20" s="2" t="s">
        <v>50</v>
      </c>
      <c r="H20" s="5">
        <f>SUMIFS('Controle Projetos_Ciclo2'!$O:$O,'Controle Projetos_Ciclo2'!$B:$B,$C20,'Controle Projetos_Ciclo2'!$F:$F,"Total")</f>
        <v>0</v>
      </c>
      <c r="I20" s="5">
        <f>SUMIFS('Controle Projetos_Ciclo2'!$R:$R,'Controle Projetos_Ciclo2'!$B:$B,$C20,'Controle Projetos_Ciclo2'!$F:$F,"Total")</f>
        <v>0</v>
      </c>
      <c r="J20" s="5">
        <f>SUMIFS('Controle Projetos_Ciclo2'!S:S,'Controle Projetos_Ciclo2'!$B:$B,$C20,'Controle Projetos_Ciclo2'!$F:$F,"Total")</f>
        <v>0</v>
      </c>
      <c r="K20" s="430">
        <f t="shared" si="0"/>
        <v>0</v>
      </c>
      <c r="M20" s="445" t="s">
        <v>53</v>
      </c>
    </row>
    <row r="21" spans="2:13" ht="11.25">
      <c r="B21" s="429">
        <f t="shared" si="1"/>
        <v>18</v>
      </c>
      <c r="C21" s="6" t="s">
        <v>54</v>
      </c>
      <c r="D21" s="2" t="s">
        <v>48</v>
      </c>
      <c r="E21" s="2" t="s">
        <v>49</v>
      </c>
      <c r="F21" s="2" t="s">
        <v>21</v>
      </c>
      <c r="G21" s="2" t="s">
        <v>50</v>
      </c>
      <c r="H21" s="5">
        <f>SUMIFS('Controle Projetos_Ciclo2'!$O:$O,'Controle Projetos_Ciclo2'!$B:$B,$C21,'Controle Projetos_Ciclo2'!$F:$F,"Total")</f>
        <v>0</v>
      </c>
      <c r="I21" s="5">
        <f>SUMIFS('Controle Projetos_Ciclo2'!$R:$R,'Controle Projetos_Ciclo2'!$B:$B,$C21,'Controle Projetos_Ciclo2'!$F:$F,"Total")</f>
        <v>0</v>
      </c>
      <c r="J21" s="5">
        <f>SUMIFS('Controle Projetos_Ciclo2'!S:S,'Controle Projetos_Ciclo2'!$B:$B,$C21,'Controle Projetos_Ciclo2'!$F:$F,"Total")</f>
        <v>0</v>
      </c>
      <c r="K21" s="430">
        <f t="shared" si="0"/>
        <v>0</v>
      </c>
      <c r="M21" s="445" t="s">
        <v>55</v>
      </c>
    </row>
    <row r="22" spans="2:13" ht="11.25">
      <c r="B22" s="429">
        <f t="shared" si="1"/>
        <v>19</v>
      </c>
      <c r="C22" s="6" t="s">
        <v>56</v>
      </c>
      <c r="D22" s="2" t="s">
        <v>48</v>
      </c>
      <c r="E22" s="2" t="s">
        <v>49</v>
      </c>
      <c r="F22" s="2" t="s">
        <v>21</v>
      </c>
      <c r="G22" s="2" t="s">
        <v>50</v>
      </c>
      <c r="H22" s="5">
        <f>SUMIFS('Controle Projetos_Ciclo2'!$O:$O,'Controle Projetos_Ciclo2'!$B:$B,$C22,'Controle Projetos_Ciclo2'!$F:$F,"Total")</f>
        <v>0</v>
      </c>
      <c r="I22" s="5">
        <f>SUMIFS('Controle Projetos_Ciclo2'!$R:$R,'Controle Projetos_Ciclo2'!$B:$B,$C22,'Controle Projetos_Ciclo2'!$F:$F,"Total")</f>
        <v>0</v>
      </c>
      <c r="J22" s="5">
        <f>SUMIFS('Controle Projetos_Ciclo2'!S:S,'Controle Projetos_Ciclo2'!$B:$B,$C22,'Controle Projetos_Ciclo2'!$F:$F,"Total")</f>
        <v>0</v>
      </c>
      <c r="K22" s="430">
        <f t="shared" si="0"/>
        <v>0</v>
      </c>
      <c r="M22" s="445" t="s">
        <v>57</v>
      </c>
    </row>
    <row r="23" spans="2:13" ht="11.25">
      <c r="B23" s="429">
        <f t="shared" si="1"/>
        <v>20</v>
      </c>
      <c r="C23" s="6" t="s">
        <v>58</v>
      </c>
      <c r="D23" s="2" t="s">
        <v>48</v>
      </c>
      <c r="E23" s="2" t="s">
        <v>49</v>
      </c>
      <c r="F23" s="2" t="s">
        <v>21</v>
      </c>
      <c r="G23" s="2" t="s">
        <v>50</v>
      </c>
      <c r="H23" s="5">
        <f>SUMIFS('Controle Projetos_Ciclo2'!$O:$O,'Controle Projetos_Ciclo2'!$B:$B,$C23,'Controle Projetos_Ciclo2'!$F:$F,"Total")</f>
        <v>0</v>
      </c>
      <c r="I23" s="5">
        <f>SUMIFS('Controle Projetos_Ciclo2'!$R:$R,'Controle Projetos_Ciclo2'!$B:$B,$C23,'Controle Projetos_Ciclo2'!$F:$F,"Total")</f>
        <v>0</v>
      </c>
      <c r="J23" s="5">
        <f>SUMIFS('Controle Projetos_Ciclo2'!S:S,'Controle Projetos_Ciclo2'!$B:$B,$C23,'Controle Projetos_Ciclo2'!$F:$F,"Total")</f>
        <v>0</v>
      </c>
      <c r="K23" s="430">
        <f t="shared" si="0"/>
        <v>0</v>
      </c>
      <c r="M23" s="445" t="s">
        <v>59</v>
      </c>
    </row>
    <row r="24" spans="2:13" ht="11.25">
      <c r="B24" s="429">
        <f t="shared" si="1"/>
        <v>21</v>
      </c>
      <c r="C24" s="6" t="s">
        <v>60</v>
      </c>
      <c r="D24" s="2" t="s">
        <v>48</v>
      </c>
      <c r="E24" s="2" t="s">
        <v>49</v>
      </c>
      <c r="F24" s="2">
        <v>1</v>
      </c>
      <c r="G24" s="2" t="s">
        <v>50</v>
      </c>
      <c r="H24" s="5">
        <f>SUMIFS('Controle Projetos_Ciclo2'!$O:$O,'Controle Projetos_Ciclo2'!$B:$B,$C24,'Controle Projetos_Ciclo2'!$F:$F,"Total")</f>
        <v>0</v>
      </c>
      <c r="I24" s="5">
        <f>SUMIFS('Controle Projetos_Ciclo2'!$R:$R,'Controle Projetos_Ciclo2'!$B:$B,$C24,'Controle Projetos_Ciclo2'!$F:$F,"Total")</f>
        <v>0</v>
      </c>
      <c r="J24" s="5">
        <f>SUMIFS('Controle Projetos_Ciclo2'!S:S,'Controle Projetos_Ciclo2'!$B:$B,$C24,'Controle Projetos_Ciclo2'!$F:$F,"Total")</f>
        <v>0</v>
      </c>
      <c r="K24" s="430">
        <f t="shared" si="0"/>
        <v>0</v>
      </c>
      <c r="M24" s="445" t="s">
        <v>61</v>
      </c>
    </row>
    <row r="25" spans="2:13" ht="11.25">
      <c r="B25" s="429">
        <f t="shared" si="1"/>
        <v>22</v>
      </c>
      <c r="C25" s="6" t="s">
        <v>62</v>
      </c>
      <c r="D25" s="2" t="s">
        <v>48</v>
      </c>
      <c r="E25" s="2" t="s">
        <v>49</v>
      </c>
      <c r="F25" s="2">
        <v>1</v>
      </c>
      <c r="G25" s="2" t="s">
        <v>50</v>
      </c>
      <c r="H25" s="5">
        <f>SUMIFS('Controle Projetos_Ciclo2'!$O:$O,'Controle Projetos_Ciclo2'!$B:$B,$C25,'Controle Projetos_Ciclo2'!$F:$F,"Total")</f>
        <v>0</v>
      </c>
      <c r="I25" s="5">
        <f>SUMIFS('Controle Projetos_Ciclo2'!$R:$R,'Controle Projetos_Ciclo2'!$B:$B,$C25,'Controle Projetos_Ciclo2'!$F:$F,"Total")</f>
        <v>0</v>
      </c>
      <c r="J25" s="5">
        <f>SUMIFS('Controle Projetos_Ciclo2'!S:S,'Controle Projetos_Ciclo2'!$B:$B,$C25,'Controle Projetos_Ciclo2'!$F:$F,"Total")</f>
        <v>0</v>
      </c>
      <c r="K25" s="430">
        <f t="shared" si="0"/>
        <v>0</v>
      </c>
      <c r="M25" s="445" t="s">
        <v>63</v>
      </c>
    </row>
    <row r="26" spans="2:13" ht="11.25">
      <c r="B26" s="429">
        <f t="shared" si="1"/>
        <v>23</v>
      </c>
      <c r="C26" s="6" t="s">
        <v>64</v>
      </c>
      <c r="D26" s="2" t="s">
        <v>48</v>
      </c>
      <c r="E26" s="2" t="s">
        <v>49</v>
      </c>
      <c r="F26" s="2">
        <v>3</v>
      </c>
      <c r="G26" s="2" t="s">
        <v>50</v>
      </c>
      <c r="H26" s="5">
        <f>SUMIFS('Controle Projetos_Ciclo2'!$O:$O,'Controle Projetos_Ciclo2'!$B:$B,$C26,'Controle Projetos_Ciclo2'!$F:$F,"Total")</f>
        <v>0</v>
      </c>
      <c r="I26" s="5">
        <f>SUMIFS('Controle Projetos_Ciclo2'!$R:$R,'Controle Projetos_Ciclo2'!$B:$B,$C26,'Controle Projetos_Ciclo2'!$F:$F,"Total")</f>
        <v>0</v>
      </c>
      <c r="J26" s="5">
        <f>SUMIFS('Controle Projetos_Ciclo2'!S:S,'Controle Projetos_Ciclo2'!$B:$B,$C26,'Controle Projetos_Ciclo2'!$F:$F,"Total")</f>
        <v>0</v>
      </c>
      <c r="K26" s="430">
        <f t="shared" si="0"/>
        <v>0</v>
      </c>
      <c r="M26" s="445" t="s">
        <v>65</v>
      </c>
    </row>
    <row r="27" spans="2:13" ht="11.25">
      <c r="B27" s="429">
        <f t="shared" si="1"/>
        <v>24</v>
      </c>
      <c r="C27" s="6" t="s">
        <v>66</v>
      </c>
      <c r="D27" s="2" t="s">
        <v>48</v>
      </c>
      <c r="E27" s="2" t="s">
        <v>49</v>
      </c>
      <c r="F27" s="2">
        <v>3</v>
      </c>
      <c r="G27" s="2" t="s">
        <v>50</v>
      </c>
      <c r="H27" s="5">
        <f>SUMIFS('Controle Projetos_Ciclo2'!$O:$O,'Controle Projetos_Ciclo2'!$B:$B,$C27,'Controle Projetos_Ciclo2'!$F:$F,"Total")</f>
        <v>0</v>
      </c>
      <c r="I27" s="5">
        <f>SUMIFS('Controle Projetos_Ciclo2'!$R:$R,'Controle Projetos_Ciclo2'!$B:$B,$C27,'Controle Projetos_Ciclo2'!$F:$F,"Total")</f>
        <v>0</v>
      </c>
      <c r="J27" s="5">
        <f>SUMIFS('Controle Projetos_Ciclo2'!S:S,'Controle Projetos_Ciclo2'!$B:$B,$C27,'Controle Projetos_Ciclo2'!$F:$F,"Total")</f>
        <v>0</v>
      </c>
      <c r="K27" s="430">
        <f t="shared" si="0"/>
        <v>0</v>
      </c>
      <c r="M27" s="445" t="s">
        <v>67</v>
      </c>
    </row>
    <row r="28" spans="2:13" ht="11.25">
      <c r="B28" s="429">
        <f t="shared" si="1"/>
        <v>25</v>
      </c>
      <c r="C28" s="6" t="s">
        <v>68</v>
      </c>
      <c r="D28" s="2" t="s">
        <v>48</v>
      </c>
      <c r="E28" s="2" t="s">
        <v>49</v>
      </c>
      <c r="F28" s="2">
        <v>2</v>
      </c>
      <c r="G28" s="2" t="s">
        <v>50</v>
      </c>
      <c r="H28" s="5">
        <f>SUMIFS('Controle Projetos_Ciclo2'!$O:$O,'Controle Projetos_Ciclo2'!$B:$B,$C28,'Controle Projetos_Ciclo2'!$F:$F,"Total")</f>
        <v>0</v>
      </c>
      <c r="I28" s="5">
        <f>SUMIFS('Controle Projetos_Ciclo2'!$R:$R,'Controle Projetos_Ciclo2'!$B:$B,$C28,'Controle Projetos_Ciclo2'!$F:$F,"Total")</f>
        <v>0</v>
      </c>
      <c r="J28" s="5">
        <f>SUMIFS('Controle Projetos_Ciclo2'!S:S,'Controle Projetos_Ciclo2'!$B:$B,$C28,'Controle Projetos_Ciclo2'!$F:$F,"Total")</f>
        <v>0</v>
      </c>
      <c r="K28" s="430">
        <f t="shared" si="0"/>
        <v>0</v>
      </c>
      <c r="M28" s="445" t="s">
        <v>69</v>
      </c>
    </row>
    <row r="29" spans="2:13" ht="11.25">
      <c r="B29" s="429">
        <f t="shared" si="1"/>
        <v>26</v>
      </c>
      <c r="C29" s="6" t="s">
        <v>70</v>
      </c>
      <c r="D29" s="2" t="s">
        <v>48</v>
      </c>
      <c r="E29" s="2" t="s">
        <v>49</v>
      </c>
      <c r="F29" s="2">
        <v>2</v>
      </c>
      <c r="G29" s="2" t="s">
        <v>50</v>
      </c>
      <c r="H29" s="5">
        <f>SUMIFS('Controle Projetos_Ciclo2'!$O:$O,'Controle Projetos_Ciclo2'!$B:$B,$C29,'Controle Projetos_Ciclo2'!$F:$F,"Total")</f>
        <v>0</v>
      </c>
      <c r="I29" s="5">
        <f>SUMIFS('Controle Projetos_Ciclo2'!$R:$R,'Controle Projetos_Ciclo2'!$B:$B,$C29,'Controle Projetos_Ciclo2'!$F:$F,"Total")</f>
        <v>0</v>
      </c>
      <c r="J29" s="5">
        <f>SUMIFS('Controle Projetos_Ciclo2'!S:S,'Controle Projetos_Ciclo2'!$B:$B,$C29,'Controle Projetos_Ciclo2'!$F:$F,"Total")</f>
        <v>0</v>
      </c>
      <c r="K29" s="430">
        <f t="shared" si="0"/>
        <v>0</v>
      </c>
      <c r="M29" s="445" t="s">
        <v>71</v>
      </c>
    </row>
    <row r="30" spans="2:13" ht="11.25">
      <c r="B30" s="429">
        <f t="shared" si="1"/>
        <v>27</v>
      </c>
      <c r="C30" s="6" t="s">
        <v>72</v>
      </c>
      <c r="D30" s="2" t="s">
        <v>48</v>
      </c>
      <c r="E30" s="2" t="s">
        <v>49</v>
      </c>
      <c r="F30" s="2">
        <v>1</v>
      </c>
      <c r="G30" s="2" t="s">
        <v>50</v>
      </c>
      <c r="H30" s="5">
        <f>SUMIFS('Controle Projetos_Ciclo2'!$O:$O,'Controle Projetos_Ciclo2'!$B:$B,$C30,'Controle Projetos_Ciclo2'!$F:$F,"Total")</f>
        <v>0</v>
      </c>
      <c r="I30" s="5">
        <f>SUMIFS('Controle Projetos_Ciclo2'!$R:$R,'Controle Projetos_Ciclo2'!$B:$B,$C30,'Controle Projetos_Ciclo2'!$F:$F,"Total")</f>
        <v>0</v>
      </c>
      <c r="J30" s="5">
        <f>SUMIFS('Controle Projetos_Ciclo2'!S:S,'Controle Projetos_Ciclo2'!$B:$B,$C30,'Controle Projetos_Ciclo2'!$F:$F,"Total")</f>
        <v>0</v>
      </c>
      <c r="K30" s="430">
        <f t="shared" si="0"/>
        <v>0</v>
      </c>
      <c r="M30" s="445" t="s">
        <v>73</v>
      </c>
    </row>
    <row r="31" spans="2:13" ht="11.25">
      <c r="B31" s="429">
        <f t="shared" si="1"/>
        <v>28</v>
      </c>
      <c r="C31" s="6" t="s">
        <v>74</v>
      </c>
      <c r="D31" s="2" t="s">
        <v>48</v>
      </c>
      <c r="E31" s="2" t="s">
        <v>49</v>
      </c>
      <c r="F31" s="2">
        <v>1</v>
      </c>
      <c r="G31" s="2" t="s">
        <v>50</v>
      </c>
      <c r="H31" s="5">
        <f>SUMIFS('Controle Projetos_Ciclo2'!$O:$O,'Controle Projetos_Ciclo2'!$B:$B,$C31,'Controle Projetos_Ciclo2'!$F:$F,"Total")</f>
        <v>0</v>
      </c>
      <c r="I31" s="5">
        <f>SUMIFS('Controle Projetos_Ciclo2'!$R:$R,'Controle Projetos_Ciclo2'!$B:$B,$C31,'Controle Projetos_Ciclo2'!$F:$F,"Total")</f>
        <v>0</v>
      </c>
      <c r="J31" s="5">
        <f>SUMIFS('Controle Projetos_Ciclo2'!S:S,'Controle Projetos_Ciclo2'!$B:$B,$C31,'Controle Projetos_Ciclo2'!$F:$F,"Total")</f>
        <v>0</v>
      </c>
      <c r="K31" s="430">
        <f t="shared" si="0"/>
        <v>0</v>
      </c>
      <c r="M31" s="445" t="s">
        <v>75</v>
      </c>
    </row>
    <row r="32" spans="2:13" ht="11.25">
      <c r="B32" s="429">
        <f t="shared" si="1"/>
        <v>29</v>
      </c>
      <c r="C32" s="6" t="s">
        <v>76</v>
      </c>
      <c r="D32" s="2" t="s">
        <v>48</v>
      </c>
      <c r="E32" s="2" t="s">
        <v>49</v>
      </c>
      <c r="F32" s="2">
        <v>1</v>
      </c>
      <c r="G32" s="2" t="s">
        <v>50</v>
      </c>
      <c r="H32" s="5">
        <f>SUMIFS('Controle Projetos_Ciclo2'!$O:$O,'Controle Projetos_Ciclo2'!$B:$B,$C32,'Controle Projetos_Ciclo2'!$F:$F,"Total")</f>
        <v>0</v>
      </c>
      <c r="I32" s="5">
        <f>SUMIFS('Controle Projetos_Ciclo2'!$R:$R,'Controle Projetos_Ciclo2'!$B:$B,$C32,'Controle Projetos_Ciclo2'!$F:$F,"Total")</f>
        <v>0</v>
      </c>
      <c r="J32" s="5">
        <f>SUMIFS('Controle Projetos_Ciclo2'!S:S,'Controle Projetos_Ciclo2'!$B:$B,$C32,'Controle Projetos_Ciclo2'!$F:$F,"Total")</f>
        <v>0</v>
      </c>
      <c r="K32" s="430">
        <f t="shared" si="0"/>
        <v>0</v>
      </c>
      <c r="M32" s="445" t="s">
        <v>77</v>
      </c>
    </row>
    <row r="33" spans="2:13" ht="11.25">
      <c r="B33" s="429">
        <f t="shared" si="1"/>
        <v>30</v>
      </c>
      <c r="C33" s="6" t="s">
        <v>78</v>
      </c>
      <c r="D33" s="2" t="s">
        <v>48</v>
      </c>
      <c r="E33" s="2" t="s">
        <v>49</v>
      </c>
      <c r="F33" s="2">
        <v>1</v>
      </c>
      <c r="G33" s="2" t="s">
        <v>50</v>
      </c>
      <c r="H33" s="5">
        <f>SUMIFS('Controle Projetos_Ciclo2'!$O:$O,'Controle Projetos_Ciclo2'!$B:$B,$C33,'Controle Projetos_Ciclo2'!$F:$F,"Total")</f>
        <v>0</v>
      </c>
      <c r="I33" s="5">
        <f>SUMIFS('Controle Projetos_Ciclo2'!$R:$R,'Controle Projetos_Ciclo2'!$B:$B,$C33,'Controle Projetos_Ciclo2'!$F:$F,"Total")</f>
        <v>0</v>
      </c>
      <c r="J33" s="5">
        <f>SUMIFS('Controle Projetos_Ciclo2'!S:S,'Controle Projetos_Ciclo2'!$B:$B,$C33,'Controle Projetos_Ciclo2'!$F:$F,"Total")</f>
        <v>0</v>
      </c>
      <c r="K33" s="430">
        <f t="shared" si="0"/>
        <v>0</v>
      </c>
      <c r="M33" s="445" t="s">
        <v>79</v>
      </c>
    </row>
    <row r="34" spans="2:13" ht="11.25">
      <c r="B34" s="429">
        <f t="shared" si="1"/>
        <v>31</v>
      </c>
      <c r="C34" s="6" t="s">
        <v>80</v>
      </c>
      <c r="D34" s="2" t="s">
        <v>48</v>
      </c>
      <c r="E34" s="2" t="s">
        <v>49</v>
      </c>
      <c r="F34" s="2">
        <v>3</v>
      </c>
      <c r="G34" s="2" t="s">
        <v>50</v>
      </c>
      <c r="H34" s="5">
        <f>SUMIFS('Controle Projetos_Ciclo2'!$O:$O,'Controle Projetos_Ciclo2'!$B:$B,$C34,'Controle Projetos_Ciclo2'!$F:$F,"Total")</f>
        <v>0</v>
      </c>
      <c r="I34" s="5">
        <f>SUMIFS('Controle Projetos_Ciclo2'!$R:$R,'Controle Projetos_Ciclo2'!$B:$B,$C34,'Controle Projetos_Ciclo2'!$F:$F,"Total")</f>
        <v>0</v>
      </c>
      <c r="J34" s="5">
        <f>SUMIFS('Controle Projetos_Ciclo2'!S:S,'Controle Projetos_Ciclo2'!$B:$B,$C34,'Controle Projetos_Ciclo2'!$F:$F,"Total")</f>
        <v>0</v>
      </c>
      <c r="K34" s="430">
        <f t="shared" si="0"/>
        <v>0</v>
      </c>
      <c r="M34" s="446" t="s">
        <v>81</v>
      </c>
    </row>
    <row r="35" spans="2:13" ht="11.25">
      <c r="B35" s="429">
        <f t="shared" si="1"/>
        <v>32</v>
      </c>
      <c r="C35" s="6" t="s">
        <v>82</v>
      </c>
      <c r="D35" s="2" t="s">
        <v>48</v>
      </c>
      <c r="E35" s="2" t="s">
        <v>49</v>
      </c>
      <c r="F35" s="2">
        <v>3</v>
      </c>
      <c r="G35" s="2" t="s">
        <v>50</v>
      </c>
      <c r="H35" s="5">
        <f>SUMIFS('Controle Projetos_Ciclo2'!$O:$O,'Controle Projetos_Ciclo2'!$B:$B,$C35,'Controle Projetos_Ciclo2'!$F:$F,"Total")</f>
        <v>0</v>
      </c>
      <c r="I35" s="5">
        <f>SUMIFS('Controle Projetos_Ciclo2'!$R:$R,'Controle Projetos_Ciclo2'!$B:$B,$C35,'Controle Projetos_Ciclo2'!$F:$F,"Total")</f>
        <v>0</v>
      </c>
      <c r="J35" s="5">
        <f>SUMIFS('Controle Projetos_Ciclo2'!S:S,'Controle Projetos_Ciclo2'!$B:$B,$C35,'Controle Projetos_Ciclo2'!$F:$F,"Total")</f>
        <v>0</v>
      </c>
      <c r="K35" s="430">
        <f t="shared" si="0"/>
        <v>0</v>
      </c>
      <c r="M35" s="447" t="s">
        <v>83</v>
      </c>
    </row>
    <row r="36" spans="2:13" ht="11.25">
      <c r="B36" s="429">
        <f t="shared" si="1"/>
        <v>33</v>
      </c>
      <c r="C36" s="6" t="s">
        <v>84</v>
      </c>
      <c r="D36" s="2" t="s">
        <v>48</v>
      </c>
      <c r="E36" s="2" t="s">
        <v>49</v>
      </c>
      <c r="F36" s="2">
        <v>2</v>
      </c>
      <c r="G36" s="2" t="s">
        <v>50</v>
      </c>
      <c r="H36" s="5">
        <f>SUMIFS('Controle Projetos_Ciclo2'!$O:$O,'Controle Projetos_Ciclo2'!$B:$B,$C36,'Controle Projetos_Ciclo2'!$F:$F,"Total")</f>
        <v>0</v>
      </c>
      <c r="I36" s="5">
        <f>SUMIFS('Controle Projetos_Ciclo2'!$R:$R,'Controle Projetos_Ciclo2'!$B:$B,$C36,'Controle Projetos_Ciclo2'!$F:$F,"Total")</f>
        <v>0</v>
      </c>
      <c r="J36" s="5">
        <f>SUMIFS('Controle Projetos_Ciclo2'!S:S,'Controle Projetos_Ciclo2'!$B:$B,$C36,'Controle Projetos_Ciclo2'!$F:$F,"Total")</f>
        <v>0</v>
      </c>
      <c r="K36" s="430">
        <f t="shared" ref="K36:K62" si="2">IFERROR(I36/H36,0)</f>
        <v>0</v>
      </c>
      <c r="M36" s="448" t="s">
        <v>85</v>
      </c>
    </row>
    <row r="37" spans="2:13" ht="11.25">
      <c r="B37" s="429">
        <f t="shared" ref="B37:B62" si="3">B36+1</f>
        <v>34</v>
      </c>
      <c r="C37" s="6" t="s">
        <v>86</v>
      </c>
      <c r="D37" s="2" t="s">
        <v>48</v>
      </c>
      <c r="E37" s="2" t="s">
        <v>49</v>
      </c>
      <c r="F37" s="2">
        <v>3</v>
      </c>
      <c r="G37" s="2" t="s">
        <v>50</v>
      </c>
      <c r="H37" s="5">
        <f>SUMIFS('Controle Projetos_Ciclo2'!$O:$O,'Controle Projetos_Ciclo2'!$B:$B,$C37,'Controle Projetos_Ciclo2'!$F:$F,"Total")</f>
        <v>0</v>
      </c>
      <c r="I37" s="5">
        <f>SUMIFS('Controle Projetos_Ciclo2'!$R:$R,'Controle Projetos_Ciclo2'!$B:$B,$C37,'Controle Projetos_Ciclo2'!$F:$F,"Total")</f>
        <v>0</v>
      </c>
      <c r="J37" s="5">
        <f>SUMIFS('Controle Projetos_Ciclo2'!S:S,'Controle Projetos_Ciclo2'!$B:$B,$C37,'Controle Projetos_Ciclo2'!$F:$F,"Total")</f>
        <v>0</v>
      </c>
      <c r="K37" s="430">
        <f t="shared" si="2"/>
        <v>0</v>
      </c>
      <c r="M37" s="448" t="s">
        <v>87</v>
      </c>
    </row>
    <row r="38" spans="2:13" ht="11.25">
      <c r="B38" s="429">
        <f t="shared" si="3"/>
        <v>35</v>
      </c>
      <c r="C38" s="6" t="s">
        <v>88</v>
      </c>
      <c r="D38" s="2" t="s">
        <v>89</v>
      </c>
      <c r="E38" s="2" t="s">
        <v>90</v>
      </c>
      <c r="F38" s="2">
        <v>3</v>
      </c>
      <c r="G38" s="2" t="s">
        <v>91</v>
      </c>
      <c r="H38" s="5">
        <f>SUMIFS('Controle Projetos_Ciclo2'!$O:$O,'Controle Projetos_Ciclo2'!$B:$B,$C38,'Controle Projetos_Ciclo2'!$F:$F,"Total")</f>
        <v>0</v>
      </c>
      <c r="I38" s="5">
        <f>SUMIFS('Controle Projetos_Ciclo2'!$R:$R,'Controle Projetos_Ciclo2'!$B:$B,$C38,'Controle Projetos_Ciclo2'!$F:$F,"Total")</f>
        <v>0</v>
      </c>
      <c r="J38" s="5">
        <f>SUMIFS('Controle Projetos_Ciclo2'!S:S,'Controle Projetos_Ciclo2'!$B:$B,$C38,'Controle Projetos_Ciclo2'!$F:$F,"Total")</f>
        <v>0</v>
      </c>
      <c r="K38" s="430">
        <f t="shared" si="2"/>
        <v>0</v>
      </c>
      <c r="M38" s="447" t="s">
        <v>92</v>
      </c>
    </row>
    <row r="39" spans="2:13" ht="11.25">
      <c r="B39" s="429">
        <f t="shared" si="3"/>
        <v>36</v>
      </c>
      <c r="C39" s="6" t="s">
        <v>93</v>
      </c>
      <c r="D39" s="2" t="s">
        <v>48</v>
      </c>
      <c r="E39" s="2" t="s">
        <v>49</v>
      </c>
      <c r="F39" s="2">
        <v>3</v>
      </c>
      <c r="G39" s="2" t="s">
        <v>50</v>
      </c>
      <c r="H39" s="5">
        <f>SUMIFS('Controle Projetos_Ciclo2'!$O:$O,'Controle Projetos_Ciclo2'!$B:$B,$C39,'Controle Projetos_Ciclo2'!$F:$F,"Total")</f>
        <v>0</v>
      </c>
      <c r="I39" s="5">
        <f>SUMIFS('Controle Projetos_Ciclo2'!$R:$R,'Controle Projetos_Ciclo2'!$B:$B,$C39,'Controle Projetos_Ciclo2'!$F:$F,"Total")</f>
        <v>0</v>
      </c>
      <c r="J39" s="5">
        <f>SUMIFS('Controle Projetos_Ciclo2'!S:S,'Controle Projetos_Ciclo2'!$B:$B,$C39,'Controle Projetos_Ciclo2'!$F:$F,"Total")</f>
        <v>0</v>
      </c>
      <c r="K39" s="430">
        <f t="shared" si="2"/>
        <v>0</v>
      </c>
      <c r="M39" s="447" t="s">
        <v>94</v>
      </c>
    </row>
    <row r="40" spans="2:13" ht="11.25">
      <c r="B40" s="429">
        <f t="shared" si="3"/>
        <v>37</v>
      </c>
      <c r="C40" s="6" t="s">
        <v>95</v>
      </c>
      <c r="D40" s="2" t="s">
        <v>48</v>
      </c>
      <c r="E40" s="2" t="s">
        <v>49</v>
      </c>
      <c r="F40" s="2">
        <v>3</v>
      </c>
      <c r="G40" s="2" t="s">
        <v>50</v>
      </c>
      <c r="H40" s="5">
        <f>SUMIFS('Controle Projetos_Ciclo2'!$O:$O,'Controle Projetos_Ciclo2'!$B:$B,$C40,'Controle Projetos_Ciclo2'!$F:$F,"Total")</f>
        <v>0</v>
      </c>
      <c r="I40" s="5">
        <f>SUMIFS('Controle Projetos_Ciclo2'!$R:$R,'Controle Projetos_Ciclo2'!$B:$B,$C40,'Controle Projetos_Ciclo2'!$F:$F,"Total")</f>
        <v>0</v>
      </c>
      <c r="J40" s="5">
        <f>SUMIFS('Controle Projetos_Ciclo2'!S:S,'Controle Projetos_Ciclo2'!$B:$B,$C40,'Controle Projetos_Ciclo2'!$F:$F,"Total")</f>
        <v>0</v>
      </c>
      <c r="K40" s="430">
        <f t="shared" si="2"/>
        <v>0</v>
      </c>
      <c r="M40" s="844" t="s">
        <v>96</v>
      </c>
    </row>
    <row r="41" spans="2:13" ht="11.25">
      <c r="B41" s="429">
        <f t="shared" si="3"/>
        <v>38</v>
      </c>
      <c r="C41" s="6" t="s">
        <v>97</v>
      </c>
      <c r="D41" s="2" t="s">
        <v>98</v>
      </c>
      <c r="E41" s="2" t="s">
        <v>99</v>
      </c>
      <c r="F41" s="2">
        <v>2</v>
      </c>
      <c r="G41" s="2" t="s">
        <v>91</v>
      </c>
      <c r="H41" s="5">
        <f>SUMIFS('Controle Projetos_Ciclo2'!$O:$O,'Controle Projetos_Ciclo2'!$B:$B,$C41,'Controle Projetos_Ciclo2'!$F:$F,"Total")</f>
        <v>2771538.7199999997</v>
      </c>
      <c r="I41" s="5">
        <f>SUMIFS('Controle Projetos_Ciclo2'!$R:$R,'Controle Projetos_Ciclo2'!$B:$B,$C41,'Controle Projetos_Ciclo2'!$F:$F,"Total")</f>
        <v>2686059.88</v>
      </c>
      <c r="J41" s="5">
        <f>SUMIFS('Controle Projetos_Ciclo2'!S:S,'Controle Projetos_Ciclo2'!$B:$B,$C41,'Controle Projetos_Ciclo2'!$F:$F,"Total")</f>
        <v>85478.839999999851</v>
      </c>
      <c r="K41" s="430">
        <f t="shared" si="2"/>
        <v>0.96915834536852519</v>
      </c>
    </row>
    <row r="42" spans="2:13" ht="11.25">
      <c r="B42" s="429">
        <f t="shared" si="3"/>
        <v>39</v>
      </c>
      <c r="C42" s="6" t="s">
        <v>100</v>
      </c>
      <c r="D42" s="2" t="s">
        <v>89</v>
      </c>
      <c r="E42" s="2" t="s">
        <v>90</v>
      </c>
      <c r="F42" s="2">
        <v>1</v>
      </c>
      <c r="G42" s="2" t="s">
        <v>91</v>
      </c>
      <c r="H42" s="5">
        <f>SUMIFS('Controle Projetos_Ciclo2'!$O:$O,'Controle Projetos_Ciclo2'!$B:$B,$C42,'Controle Projetos_Ciclo2'!$F:$F,"Total")</f>
        <v>0</v>
      </c>
      <c r="I42" s="5">
        <f>SUMIFS('Controle Projetos_Ciclo2'!$R:$R,'Controle Projetos_Ciclo2'!$B:$B,$C42,'Controle Projetos_Ciclo2'!$F:$F,"Total")</f>
        <v>0</v>
      </c>
      <c r="J42" s="5">
        <f>SUMIFS('Controle Projetos_Ciclo2'!S:S,'Controle Projetos_Ciclo2'!$B:$B,$C42,'Controle Projetos_Ciclo2'!$F:$F,"Total")</f>
        <v>0</v>
      </c>
      <c r="K42" s="430">
        <f t="shared" si="2"/>
        <v>0</v>
      </c>
    </row>
    <row r="43" spans="2:13" ht="11.25">
      <c r="B43" s="429">
        <f t="shared" si="3"/>
        <v>40</v>
      </c>
      <c r="C43" s="6" t="s">
        <v>101</v>
      </c>
      <c r="D43" s="2" t="s">
        <v>89</v>
      </c>
      <c r="E43" s="2" t="s">
        <v>90</v>
      </c>
      <c r="F43" s="2" t="s">
        <v>21</v>
      </c>
      <c r="G43" s="2" t="s">
        <v>91</v>
      </c>
      <c r="H43" s="5">
        <f>SUMIFS('Controle Projetos_Ciclo2'!$O:$O,'Controle Projetos_Ciclo2'!$B:$B,$C43,'Controle Projetos_Ciclo2'!$F:$F,"Total")</f>
        <v>0</v>
      </c>
      <c r="I43" s="5">
        <f>SUMIFS('Controle Projetos_Ciclo2'!$R:$R,'Controle Projetos_Ciclo2'!$B:$B,$C43,'Controle Projetos_Ciclo2'!$F:$F,"Total")</f>
        <v>0</v>
      </c>
      <c r="J43" s="5">
        <f>SUMIFS('Controle Projetos_Ciclo2'!S:S,'Controle Projetos_Ciclo2'!$B:$B,$C43,'Controle Projetos_Ciclo2'!$F:$F,"Total")</f>
        <v>0</v>
      </c>
      <c r="K43" s="430">
        <f t="shared" si="2"/>
        <v>0</v>
      </c>
    </row>
    <row r="44" spans="2:13" ht="11.25">
      <c r="B44" s="429">
        <f t="shared" si="3"/>
        <v>41</v>
      </c>
      <c r="C44" s="6" t="s">
        <v>102</v>
      </c>
      <c r="D44" s="2" t="s">
        <v>98</v>
      </c>
      <c r="E44" s="2" t="s">
        <v>99</v>
      </c>
      <c r="F44" s="2" t="s">
        <v>21</v>
      </c>
      <c r="G44" s="2" t="s">
        <v>91</v>
      </c>
      <c r="H44" s="5">
        <f>SUMIFS('Controle Projetos_Ciclo2'!$O:$O,'Controle Projetos_Ciclo2'!$B:$B,$C44,'Controle Projetos_Ciclo2'!$F:$F,"Total")</f>
        <v>0</v>
      </c>
      <c r="I44" s="5">
        <f>SUMIFS('Controle Projetos_Ciclo2'!$R:$R,'Controle Projetos_Ciclo2'!$B:$B,$C44,'Controle Projetos_Ciclo2'!$F:$F,"Total")</f>
        <v>0</v>
      </c>
      <c r="J44" s="5">
        <f>SUMIFS('Controle Projetos_Ciclo2'!S:S,'Controle Projetos_Ciclo2'!$B:$B,$C44,'Controle Projetos_Ciclo2'!$F:$F,"Total")</f>
        <v>0</v>
      </c>
      <c r="K44" s="430">
        <f t="shared" si="2"/>
        <v>0</v>
      </c>
    </row>
    <row r="45" spans="2:13" ht="11.25">
      <c r="B45" s="429">
        <f t="shared" si="3"/>
        <v>42</v>
      </c>
      <c r="C45" s="6" t="s">
        <v>103</v>
      </c>
      <c r="D45" s="2" t="s">
        <v>89</v>
      </c>
      <c r="E45" s="2" t="s">
        <v>90</v>
      </c>
      <c r="F45" s="2">
        <v>2</v>
      </c>
      <c r="G45" s="2" t="s">
        <v>91</v>
      </c>
      <c r="H45" s="5">
        <f>SUMIFS('Controle Projetos_Ciclo2'!$O:$O,'Controle Projetos_Ciclo2'!$B:$B,$C45,'Controle Projetos_Ciclo2'!$F:$F,"Total")</f>
        <v>0</v>
      </c>
      <c r="I45" s="5">
        <f>SUMIFS('Controle Projetos_Ciclo2'!$R:$R,'Controle Projetos_Ciclo2'!$B:$B,$C45,'Controle Projetos_Ciclo2'!$F:$F,"Total")</f>
        <v>0</v>
      </c>
      <c r="J45" s="5">
        <f>SUMIFS('Controle Projetos_Ciclo2'!S:S,'Controle Projetos_Ciclo2'!$B:$B,$C45,'Controle Projetos_Ciclo2'!$F:$F,"Total")</f>
        <v>0</v>
      </c>
      <c r="K45" s="430">
        <f t="shared" si="2"/>
        <v>0</v>
      </c>
    </row>
    <row r="46" spans="2:13" ht="11.25">
      <c r="B46" s="429">
        <f t="shared" si="3"/>
        <v>43</v>
      </c>
      <c r="C46" s="6" t="s">
        <v>104</v>
      </c>
      <c r="D46" s="2" t="s">
        <v>98</v>
      </c>
      <c r="E46" s="2" t="s">
        <v>99</v>
      </c>
      <c r="F46" s="2">
        <v>2</v>
      </c>
      <c r="G46" s="2" t="s">
        <v>91</v>
      </c>
      <c r="H46" s="5">
        <f>SUMIFS('Controle Projetos_Ciclo2'!$O:$O,'Controle Projetos_Ciclo2'!$B:$B,$C46,'Controle Projetos_Ciclo2'!$F:$F,"Total")</f>
        <v>0</v>
      </c>
      <c r="I46" s="5">
        <f>SUMIFS('Controle Projetos_Ciclo2'!$R:$R,'Controle Projetos_Ciclo2'!$B:$B,$C46,'Controle Projetos_Ciclo2'!$F:$F,"Total")</f>
        <v>0</v>
      </c>
      <c r="J46" s="5">
        <f>SUMIFS('Controle Projetos_Ciclo2'!S:S,'Controle Projetos_Ciclo2'!$B:$B,$C46,'Controle Projetos_Ciclo2'!$F:$F,"Total")</f>
        <v>0</v>
      </c>
      <c r="K46" s="430">
        <f t="shared" si="2"/>
        <v>0</v>
      </c>
    </row>
    <row r="47" spans="2:13" ht="11.25">
      <c r="B47" s="429">
        <f t="shared" si="3"/>
        <v>44</v>
      </c>
      <c r="C47" s="6" t="s">
        <v>105</v>
      </c>
      <c r="D47" s="2" t="s">
        <v>89</v>
      </c>
      <c r="E47" s="2" t="s">
        <v>90</v>
      </c>
      <c r="F47" s="2" t="s">
        <v>21</v>
      </c>
      <c r="G47" s="2" t="s">
        <v>91</v>
      </c>
      <c r="H47" s="5">
        <f>SUMIFS('Controle Projetos_Ciclo2'!$O:$O,'Controle Projetos_Ciclo2'!$B:$B,$C47,'Controle Projetos_Ciclo2'!$F:$F,"Total")</f>
        <v>0</v>
      </c>
      <c r="I47" s="5">
        <f>SUMIFS('Controle Projetos_Ciclo2'!$R:$R,'Controle Projetos_Ciclo2'!$B:$B,$C47,'Controle Projetos_Ciclo2'!$F:$F,"Total")</f>
        <v>0</v>
      </c>
      <c r="J47" s="5">
        <f>SUMIFS('Controle Projetos_Ciclo2'!S:S,'Controle Projetos_Ciclo2'!$B:$B,$C47,'Controle Projetos_Ciclo2'!$F:$F,"Total")</f>
        <v>0</v>
      </c>
      <c r="K47" s="430">
        <f t="shared" si="2"/>
        <v>0</v>
      </c>
    </row>
    <row r="48" spans="2:13" ht="11.25">
      <c r="B48" s="429">
        <f t="shared" si="3"/>
        <v>45</v>
      </c>
      <c r="C48" s="6" t="s">
        <v>106</v>
      </c>
      <c r="D48" s="2" t="s">
        <v>98</v>
      </c>
      <c r="E48" s="2" t="s">
        <v>99</v>
      </c>
      <c r="F48" s="2" t="s">
        <v>21</v>
      </c>
      <c r="G48" s="2" t="s">
        <v>91</v>
      </c>
      <c r="H48" s="5">
        <f>SUMIFS('Controle Projetos_Ciclo2'!$O:$O,'Controle Projetos_Ciclo2'!$B:$B,$C48,'Controle Projetos_Ciclo2'!$F:$F,"Total")</f>
        <v>0</v>
      </c>
      <c r="I48" s="5">
        <f>SUMIFS('Controle Projetos_Ciclo2'!$R:$R,'Controle Projetos_Ciclo2'!$B:$B,$C48,'Controle Projetos_Ciclo2'!$F:$F,"Total")</f>
        <v>0</v>
      </c>
      <c r="J48" s="5">
        <f>SUMIFS('Controle Projetos_Ciclo2'!S:S,'Controle Projetos_Ciclo2'!$B:$B,$C48,'Controle Projetos_Ciclo2'!$F:$F,"Total")</f>
        <v>0</v>
      </c>
      <c r="K48" s="430">
        <f t="shared" si="2"/>
        <v>0</v>
      </c>
    </row>
    <row r="49" spans="2:11" ht="11.25">
      <c r="B49" s="429">
        <f t="shared" si="3"/>
        <v>46</v>
      </c>
      <c r="C49" s="6" t="s">
        <v>107</v>
      </c>
      <c r="D49" s="2" t="s">
        <v>89</v>
      </c>
      <c r="E49" s="2" t="s">
        <v>90</v>
      </c>
      <c r="F49" s="2">
        <v>1</v>
      </c>
      <c r="G49" s="2" t="s">
        <v>91</v>
      </c>
      <c r="H49" s="5">
        <f>SUMIFS('Controle Projetos_Ciclo2'!$O:$O,'Controle Projetos_Ciclo2'!$B:$B,$C49,'Controle Projetos_Ciclo2'!$F:$F,"Total")</f>
        <v>2390751.19</v>
      </c>
      <c r="I49" s="5">
        <f>SUMIFS('Controle Projetos_Ciclo2'!$R:$R,'Controle Projetos_Ciclo2'!$B:$B,$C49,'Controle Projetos_Ciclo2'!$F:$F,"Total")</f>
        <v>2330205.15</v>
      </c>
      <c r="J49" s="5">
        <f>SUMIFS('Controle Projetos_Ciclo2'!S:S,'Controle Projetos_Ciclo2'!$B:$B,$C49,'Controle Projetos_Ciclo2'!$F:$F,"Total")</f>
        <v>60546.040000000037</v>
      </c>
      <c r="K49" s="430">
        <f t="shared" si="2"/>
        <v>0.9746748886905291</v>
      </c>
    </row>
    <row r="50" spans="2:11" ht="11.25">
      <c r="B50" s="429">
        <f t="shared" si="3"/>
        <v>47</v>
      </c>
      <c r="C50" s="6" t="s">
        <v>108</v>
      </c>
      <c r="D50" s="2" t="s">
        <v>89</v>
      </c>
      <c r="E50" s="2" t="s">
        <v>90</v>
      </c>
      <c r="F50" s="2" t="s">
        <v>21</v>
      </c>
      <c r="G50" s="2" t="s">
        <v>91</v>
      </c>
      <c r="H50" s="5">
        <f>SUMIFS('Controle Projetos_Ciclo2'!$O:$O,'Controle Projetos_Ciclo2'!$B:$B,$C50,'Controle Projetos_Ciclo2'!$F:$F,"Total")</f>
        <v>0</v>
      </c>
      <c r="I50" s="5">
        <f>SUMIFS('Controle Projetos_Ciclo2'!$R:$R,'Controle Projetos_Ciclo2'!$B:$B,$C50,'Controle Projetos_Ciclo2'!$F:$F,"Total")</f>
        <v>0</v>
      </c>
      <c r="J50" s="5">
        <f>SUMIFS('Controle Projetos_Ciclo2'!S:S,'Controle Projetos_Ciclo2'!$B:$B,$C50,'Controle Projetos_Ciclo2'!$F:$F,"Total")</f>
        <v>0</v>
      </c>
      <c r="K50" s="430">
        <f t="shared" si="2"/>
        <v>0</v>
      </c>
    </row>
    <row r="51" spans="2:11" ht="11.25">
      <c r="B51" s="429">
        <f t="shared" si="3"/>
        <v>48</v>
      </c>
      <c r="C51" s="6" t="s">
        <v>109</v>
      </c>
      <c r="D51" s="2" t="s">
        <v>98</v>
      </c>
      <c r="E51" s="2" t="s">
        <v>99</v>
      </c>
      <c r="F51" s="2" t="s">
        <v>21</v>
      </c>
      <c r="G51" s="2" t="s">
        <v>91</v>
      </c>
      <c r="H51" s="5">
        <f>SUMIFS('Controle Projetos_Ciclo2'!$O:$O,'Controle Projetos_Ciclo2'!$B:$B,$C51,'Controle Projetos_Ciclo2'!$F:$F,"Total")</f>
        <v>0</v>
      </c>
      <c r="I51" s="5">
        <f>SUMIFS('Controle Projetos_Ciclo2'!$R:$R,'Controle Projetos_Ciclo2'!$B:$B,$C51,'Controle Projetos_Ciclo2'!$F:$F,"Total")</f>
        <v>0</v>
      </c>
      <c r="J51" s="5">
        <f>SUMIFS('Controle Projetos_Ciclo2'!S:S,'Controle Projetos_Ciclo2'!$B:$B,$C51,'Controle Projetos_Ciclo2'!$F:$F,"Total")</f>
        <v>0</v>
      </c>
      <c r="K51" s="430">
        <f t="shared" si="2"/>
        <v>0</v>
      </c>
    </row>
    <row r="52" spans="2:11" ht="11.25">
      <c r="B52" s="429">
        <f t="shared" si="3"/>
        <v>49</v>
      </c>
      <c r="C52" s="6" t="s">
        <v>110</v>
      </c>
      <c r="D52" s="2" t="s">
        <v>98</v>
      </c>
      <c r="E52" s="2" t="s">
        <v>99</v>
      </c>
      <c r="F52" s="2">
        <v>1</v>
      </c>
      <c r="G52" s="2" t="s">
        <v>91</v>
      </c>
      <c r="H52" s="5">
        <f>SUMIFS('Controle Projetos_Ciclo2'!$O:$O,'Controle Projetos_Ciclo2'!$B:$B,$C52,'Controle Projetos_Ciclo2'!$F:$F,"Total")</f>
        <v>0</v>
      </c>
      <c r="I52" s="5">
        <f>SUMIFS('Controle Projetos_Ciclo2'!$R:$R,'Controle Projetos_Ciclo2'!$B:$B,$C52,'Controle Projetos_Ciclo2'!$F:$F,"Total")</f>
        <v>0</v>
      </c>
      <c r="J52" s="5">
        <f>SUMIFS('Controle Projetos_Ciclo2'!S:S,'Controle Projetos_Ciclo2'!$B:$B,$C52,'Controle Projetos_Ciclo2'!$F:$F,"Total")</f>
        <v>0</v>
      </c>
      <c r="K52" s="430">
        <f t="shared" si="2"/>
        <v>0</v>
      </c>
    </row>
    <row r="53" spans="2:11" ht="11.25">
      <c r="B53" s="429">
        <f t="shared" si="3"/>
        <v>50</v>
      </c>
      <c r="C53" s="6" t="s">
        <v>111</v>
      </c>
      <c r="D53" s="2" t="s">
        <v>98</v>
      </c>
      <c r="E53" s="2" t="s">
        <v>99</v>
      </c>
      <c r="F53" s="2">
        <v>3</v>
      </c>
      <c r="G53" s="2" t="s">
        <v>91</v>
      </c>
      <c r="H53" s="5">
        <f>SUMIFS('Controle Projetos_Ciclo2'!$O:$O,'Controle Projetos_Ciclo2'!$B:$B,$C53,'Controle Projetos_Ciclo2'!$F:$F,"Total")</f>
        <v>0</v>
      </c>
      <c r="I53" s="5">
        <f>SUMIFS('Controle Projetos_Ciclo2'!$R:$R,'Controle Projetos_Ciclo2'!$B:$B,$C53,'Controle Projetos_Ciclo2'!$F:$F,"Total")</f>
        <v>0</v>
      </c>
      <c r="J53" s="5">
        <f>SUMIFS('Controle Projetos_Ciclo2'!S:S,'Controle Projetos_Ciclo2'!$B:$B,$C53,'Controle Projetos_Ciclo2'!$F:$F,"Total")</f>
        <v>0</v>
      </c>
      <c r="K53" s="430">
        <f t="shared" si="2"/>
        <v>0</v>
      </c>
    </row>
    <row r="54" spans="2:11" ht="11.25">
      <c r="B54" s="429">
        <f t="shared" si="3"/>
        <v>51</v>
      </c>
      <c r="C54" s="6" t="s">
        <v>112</v>
      </c>
      <c r="D54" s="2" t="s">
        <v>89</v>
      </c>
      <c r="E54" s="2" t="s">
        <v>90</v>
      </c>
      <c r="F54" s="2">
        <v>3</v>
      </c>
      <c r="G54" s="2" t="s">
        <v>91</v>
      </c>
      <c r="H54" s="5">
        <f>SUMIFS('Controle Projetos_Ciclo2'!$O:$O,'Controle Projetos_Ciclo2'!$B:$B,$C54,'Controle Projetos_Ciclo2'!$F:$F,"Total")</f>
        <v>0</v>
      </c>
      <c r="I54" s="5">
        <f>SUMIFS('Controle Projetos_Ciclo2'!$R:$R,'Controle Projetos_Ciclo2'!$B:$B,$C54,'Controle Projetos_Ciclo2'!$F:$F,"Total")</f>
        <v>0</v>
      </c>
      <c r="J54" s="5">
        <f>SUMIFS('Controle Projetos_Ciclo2'!S:S,'Controle Projetos_Ciclo2'!$B:$B,$C54,'Controle Projetos_Ciclo2'!$F:$F,"Total")</f>
        <v>0</v>
      </c>
      <c r="K54" s="430">
        <f t="shared" si="2"/>
        <v>0</v>
      </c>
    </row>
    <row r="55" spans="2:11" ht="11.25">
      <c r="B55" s="429">
        <f t="shared" si="3"/>
        <v>52</v>
      </c>
      <c r="C55" s="6" t="s">
        <v>113</v>
      </c>
      <c r="D55" s="2" t="s">
        <v>89</v>
      </c>
      <c r="E55" s="2" t="s">
        <v>90</v>
      </c>
      <c r="F55" s="2">
        <v>2</v>
      </c>
      <c r="G55" s="2" t="s">
        <v>91</v>
      </c>
      <c r="H55" s="5">
        <f>SUMIFS('Controle Projetos_Ciclo2'!$O:$O,'Controle Projetos_Ciclo2'!$B:$B,$C55,'Controle Projetos_Ciclo2'!$F:$F,"Total")</f>
        <v>2350720.54</v>
      </c>
      <c r="I55" s="5">
        <f>SUMIFS('Controle Projetos_Ciclo2'!$R:$R,'Controle Projetos_Ciclo2'!$B:$B,$C55,'Controle Projetos_Ciclo2'!$F:$F,"Total")</f>
        <v>2241416.13</v>
      </c>
      <c r="J55" s="5">
        <f>SUMIFS('Controle Projetos_Ciclo2'!S:S,'Controle Projetos_Ciclo2'!$B:$B,$C55,'Controle Projetos_Ciclo2'!$F:$F,"Total")</f>
        <v>109304.41000000015</v>
      </c>
      <c r="K55" s="430">
        <f t="shared" si="2"/>
        <v>0.95350174206586036</v>
      </c>
    </row>
    <row r="56" spans="2:11" ht="11.25">
      <c r="B56" s="429">
        <f t="shared" si="3"/>
        <v>53</v>
      </c>
      <c r="C56" s="6" t="s">
        <v>114</v>
      </c>
      <c r="D56" s="2" t="s">
        <v>89</v>
      </c>
      <c r="E56" s="2" t="s">
        <v>90</v>
      </c>
      <c r="F56" s="2" t="s">
        <v>115</v>
      </c>
      <c r="G56" s="2" t="s">
        <v>91</v>
      </c>
      <c r="H56" s="5">
        <f>SUMIFS('Controle Projetos_Ciclo2'!$O:$O,'Controle Projetos_Ciclo2'!$B:$B,$C56,'Controle Projetos_Ciclo2'!$F:$F,"Total")</f>
        <v>0</v>
      </c>
      <c r="I56" s="5">
        <f>SUMIFS('Controle Projetos_Ciclo2'!$R:$R,'Controle Projetos_Ciclo2'!$B:$B,$C56,'Controle Projetos_Ciclo2'!$F:$F,"Total")</f>
        <v>0</v>
      </c>
      <c r="J56" s="5">
        <f>SUMIFS('Controle Projetos_Ciclo2'!S:S,'Controle Projetos_Ciclo2'!$B:$B,$C56,'Controle Projetos_Ciclo2'!$F:$F,"Total")</f>
        <v>0</v>
      </c>
      <c r="K56" s="430">
        <f t="shared" si="2"/>
        <v>0</v>
      </c>
    </row>
    <row r="57" spans="2:11" ht="11.25">
      <c r="B57" s="429">
        <f t="shared" si="3"/>
        <v>54</v>
      </c>
      <c r="C57" s="6" t="s">
        <v>116</v>
      </c>
      <c r="D57" s="2" t="s">
        <v>98</v>
      </c>
      <c r="E57" s="2" t="s">
        <v>99</v>
      </c>
      <c r="F57" s="2" t="s">
        <v>115</v>
      </c>
      <c r="G57" s="2" t="s">
        <v>91</v>
      </c>
      <c r="H57" s="5">
        <f>SUMIFS('Controle Projetos_Ciclo2'!$O:$O,'Controle Projetos_Ciclo2'!$B:$B,$C57,'Controle Projetos_Ciclo2'!$F:$F,"Total")</f>
        <v>0</v>
      </c>
      <c r="I57" s="5">
        <f>SUMIFS('Controle Projetos_Ciclo2'!$R:$R,'Controle Projetos_Ciclo2'!$B:$B,$C57,'Controle Projetos_Ciclo2'!$F:$F,"Total")</f>
        <v>0</v>
      </c>
      <c r="J57" s="5">
        <f>SUMIFS('Controle Projetos_Ciclo2'!S:S,'Controle Projetos_Ciclo2'!$B:$B,$C57,'Controle Projetos_Ciclo2'!$F:$F,"Total")</f>
        <v>0</v>
      </c>
      <c r="K57" s="430">
        <f t="shared" si="2"/>
        <v>0</v>
      </c>
    </row>
    <row r="58" spans="2:11" ht="11.25">
      <c r="B58" s="429">
        <f t="shared" si="3"/>
        <v>55</v>
      </c>
      <c r="C58" s="6" t="s">
        <v>117</v>
      </c>
      <c r="D58" s="2" t="s">
        <v>89</v>
      </c>
      <c r="E58" s="2" t="s">
        <v>90</v>
      </c>
      <c r="F58" s="2">
        <v>3</v>
      </c>
      <c r="G58" s="2" t="s">
        <v>91</v>
      </c>
      <c r="H58" s="5">
        <f>SUMIFS('Controle Projetos_Ciclo2'!$O:$O,'Controle Projetos_Ciclo2'!$B:$B,$C58,'Controle Projetos_Ciclo2'!$F:$F,"Total")</f>
        <v>0</v>
      </c>
      <c r="I58" s="5">
        <f>SUMIFS('Controle Projetos_Ciclo2'!$R:$R,'Controle Projetos_Ciclo2'!$B:$B,$C58,'Controle Projetos_Ciclo2'!$F:$F,"Total")</f>
        <v>0</v>
      </c>
      <c r="J58" s="5">
        <f>SUMIFS('Controle Projetos_Ciclo2'!S:S,'Controle Projetos_Ciclo2'!$B:$B,$C58,'Controle Projetos_Ciclo2'!$F:$F,"Total")</f>
        <v>0</v>
      </c>
      <c r="K58" s="430">
        <f t="shared" si="2"/>
        <v>0</v>
      </c>
    </row>
    <row r="59" spans="2:11" ht="11.25">
      <c r="B59" s="429">
        <f t="shared" si="3"/>
        <v>56</v>
      </c>
      <c r="C59" s="6" t="s">
        <v>118</v>
      </c>
      <c r="D59" s="2" t="s">
        <v>98</v>
      </c>
      <c r="E59" s="2" t="s">
        <v>99</v>
      </c>
      <c r="F59" s="2" t="s">
        <v>21</v>
      </c>
      <c r="G59" s="2" t="s">
        <v>91</v>
      </c>
      <c r="H59" s="5">
        <f>SUMIFS('Controle Projetos_Ciclo2'!$O:$O,'Controle Projetos_Ciclo2'!$B:$B,$C59,'Controle Projetos_Ciclo2'!$F:$F,"Total")</f>
        <v>0</v>
      </c>
      <c r="I59" s="5">
        <f>SUMIFS('Controle Projetos_Ciclo2'!$R:$R,'Controle Projetos_Ciclo2'!$B:$B,$C59,'Controle Projetos_Ciclo2'!$F:$F,"Total")</f>
        <v>0</v>
      </c>
      <c r="J59" s="5">
        <f>SUMIFS('Controle Projetos_Ciclo2'!S:S,'Controle Projetos_Ciclo2'!$B:$B,$C59,'Controle Projetos_Ciclo2'!$F:$F,"Total")</f>
        <v>0</v>
      </c>
      <c r="K59" s="430">
        <f t="shared" si="2"/>
        <v>0</v>
      </c>
    </row>
    <row r="60" spans="2:11" ht="11.25">
      <c r="B60" s="429">
        <f t="shared" si="3"/>
        <v>57</v>
      </c>
      <c r="C60" s="6" t="s">
        <v>119</v>
      </c>
      <c r="D60" s="2" t="s">
        <v>89</v>
      </c>
      <c r="E60" s="2" t="s">
        <v>90</v>
      </c>
      <c r="F60" s="2">
        <v>1</v>
      </c>
      <c r="G60" s="2" t="s">
        <v>91</v>
      </c>
      <c r="H60" s="5">
        <f>SUMIFS('Controle Projetos_Ciclo2'!$O:$O,'Controle Projetos_Ciclo2'!$B:$B,$C60,'Controle Projetos_Ciclo2'!$F:$F,"Total")</f>
        <v>0</v>
      </c>
      <c r="I60" s="5">
        <f>SUMIFS('Controle Projetos_Ciclo2'!$R:$R,'Controle Projetos_Ciclo2'!$B:$B,$C60,'Controle Projetos_Ciclo2'!$F:$F,"Total")</f>
        <v>0</v>
      </c>
      <c r="J60" s="5">
        <f>SUMIFS('Controle Projetos_Ciclo2'!S:S,'Controle Projetos_Ciclo2'!$B:$B,$C60,'Controle Projetos_Ciclo2'!$F:$F,"Total")</f>
        <v>0</v>
      </c>
      <c r="K60" s="430">
        <f t="shared" si="2"/>
        <v>0</v>
      </c>
    </row>
    <row r="61" spans="2:11" ht="11.25">
      <c r="B61" s="429">
        <f t="shared" si="3"/>
        <v>58</v>
      </c>
      <c r="C61" s="6" t="s">
        <v>120</v>
      </c>
      <c r="D61" s="2" t="s">
        <v>98</v>
      </c>
      <c r="E61" s="2" t="s">
        <v>99</v>
      </c>
      <c r="F61" s="2">
        <v>1</v>
      </c>
      <c r="G61" s="2" t="s">
        <v>91</v>
      </c>
      <c r="H61" s="5">
        <f>SUMIFS('Controle Projetos_Ciclo2'!$O:$O,'Controle Projetos_Ciclo2'!$B:$B,$C61,'Controle Projetos_Ciclo2'!$F:$F,"Total")</f>
        <v>0</v>
      </c>
      <c r="I61" s="5">
        <f>SUMIFS('Controle Projetos_Ciclo2'!$R:$R,'Controle Projetos_Ciclo2'!$B:$B,$C61,'Controle Projetos_Ciclo2'!$F:$F,"Total")</f>
        <v>0</v>
      </c>
      <c r="J61" s="5">
        <f>SUMIFS('Controle Projetos_Ciclo2'!S:S,'Controle Projetos_Ciclo2'!$B:$B,$C61,'Controle Projetos_Ciclo2'!$F:$F,"Total")</f>
        <v>0</v>
      </c>
      <c r="K61" s="430">
        <f t="shared" si="2"/>
        <v>0</v>
      </c>
    </row>
    <row r="62" spans="2:11" ht="11.25">
      <c r="B62" s="429">
        <f t="shared" si="3"/>
        <v>59</v>
      </c>
      <c r="C62" s="6" t="s">
        <v>121</v>
      </c>
      <c r="D62" s="2" t="s">
        <v>89</v>
      </c>
      <c r="E62" s="2" t="s">
        <v>90</v>
      </c>
      <c r="F62" s="2">
        <v>1</v>
      </c>
      <c r="G62" s="2" t="s">
        <v>91</v>
      </c>
      <c r="H62" s="5">
        <f>SUMIFS('Controle Projetos_Ciclo2'!$O:$O,'Controle Projetos_Ciclo2'!$B:$B,$C62,'Controle Projetos_Ciclo2'!$F:$F,"Total")</f>
        <v>0</v>
      </c>
      <c r="I62" s="5">
        <f>SUMIFS('Controle Projetos_Ciclo2'!$R:$R,'Controle Projetos_Ciclo2'!$B:$B,$C62,'Controle Projetos_Ciclo2'!$F:$F,"Total")</f>
        <v>0</v>
      </c>
      <c r="J62" s="5">
        <f>SUMIFS('Controle Projetos_Ciclo2'!S:S,'Controle Projetos_Ciclo2'!$B:$B,$C62,'Controle Projetos_Ciclo2'!$F:$F,"Total")</f>
        <v>0</v>
      </c>
      <c r="K62" s="430">
        <f t="shared" si="2"/>
        <v>0</v>
      </c>
    </row>
    <row r="63" spans="2:11" ht="11.25">
      <c r="B63" s="429">
        <f t="shared" ref="B63:B68" si="4">B62+1</f>
        <v>60</v>
      </c>
      <c r="C63" s="6" t="s">
        <v>122</v>
      </c>
      <c r="D63" s="2" t="s">
        <v>89</v>
      </c>
      <c r="E63" s="2" t="s">
        <v>90</v>
      </c>
      <c r="F63" s="2">
        <v>3</v>
      </c>
      <c r="G63" s="2" t="s">
        <v>91</v>
      </c>
      <c r="H63" s="5">
        <f>SUMIFS('Controle Projetos_Ciclo2'!$O:$O,'Controle Projetos_Ciclo2'!$B:$B,$C63,'Controle Projetos_Ciclo2'!$F:$F,"Total")</f>
        <v>2856667</v>
      </c>
      <c r="I63" s="5">
        <f>SUMIFS('Controle Projetos_Ciclo2'!$R:$R,'Controle Projetos_Ciclo2'!$B:$B,$C63,'Controle Projetos_Ciclo2'!$F:$F,"Total")</f>
        <v>2653487.5599999996</v>
      </c>
      <c r="J63" s="5">
        <f>SUMIFS('Controle Projetos_Ciclo2'!S:S,'Controle Projetos_Ciclo2'!$B:$B,$C63,'Controle Projetos_Ciclo2'!$F:$F,"Total")</f>
        <v>203179.44000000041</v>
      </c>
      <c r="K63" s="430">
        <f t="shared" ref="K63:K68" si="5">IFERROR(I63/H63,0)</f>
        <v>0.9288753501895739</v>
      </c>
    </row>
    <row r="64" spans="2:11" ht="11.25">
      <c r="B64" s="429">
        <f t="shared" si="4"/>
        <v>61</v>
      </c>
      <c r="C64" s="6" t="s">
        <v>123</v>
      </c>
      <c r="D64" s="2" t="s">
        <v>89</v>
      </c>
      <c r="E64" s="2" t="s">
        <v>90</v>
      </c>
      <c r="F64" s="2">
        <v>3</v>
      </c>
      <c r="G64" s="2" t="s">
        <v>91</v>
      </c>
      <c r="H64" s="5">
        <f>SUMIFS('Controle Projetos_Ciclo2'!$O:$O,'Controle Projetos_Ciclo2'!$B:$B,$C64,'Controle Projetos_Ciclo2'!$F:$F,"Total")</f>
        <v>0</v>
      </c>
      <c r="I64" s="5">
        <f>SUMIFS('Controle Projetos_Ciclo2'!$R:$R,'Controle Projetos_Ciclo2'!$B:$B,$C64,'Controle Projetos_Ciclo2'!$F:$F,"Total")</f>
        <v>0</v>
      </c>
      <c r="J64" s="5">
        <f>SUMIFS('Controle Projetos_Ciclo2'!S:S,'Controle Projetos_Ciclo2'!$B:$B,$C64,'Controle Projetos_Ciclo2'!$F:$F,"Total")</f>
        <v>0</v>
      </c>
      <c r="K64" s="430">
        <f t="shared" si="5"/>
        <v>0</v>
      </c>
    </row>
    <row r="65" spans="2:11" ht="11.25">
      <c r="B65" s="429">
        <f t="shared" si="4"/>
        <v>62</v>
      </c>
      <c r="C65" s="41" t="s">
        <v>15</v>
      </c>
      <c r="D65" s="16" t="s">
        <v>14</v>
      </c>
      <c r="E65" s="16" t="str">
        <f t="shared" ref="E65:E68" si="6">C65</f>
        <v>Mori II</v>
      </c>
      <c r="F65" s="16">
        <v>0</v>
      </c>
      <c r="G65" s="16" t="s">
        <v>16</v>
      </c>
      <c r="H65" s="42">
        <f>SUMIFS('Controle Projetos_Ciclo2'!$O:$O,'Controle Projetos_Ciclo2'!$B:$B,$C65,'Controle Projetos_Ciclo2'!$F:$F,"Total")</f>
        <v>0</v>
      </c>
      <c r="I65" s="42">
        <f>SUMIFS('Controle Projetos_Ciclo2'!$R:$R,'Controle Projetos_Ciclo2'!$B:$B,$C65,'Controle Projetos_Ciclo2'!$F:$F,"Total")</f>
        <v>0</v>
      </c>
      <c r="J65" s="42">
        <f>SUMIFS('Controle Projetos_Ciclo2'!S:S,'Controle Projetos_Ciclo2'!$B:$B,$C65,'Controle Projetos_Ciclo2'!$F:$F,"Total")</f>
        <v>0</v>
      </c>
      <c r="K65" s="431">
        <f t="shared" si="5"/>
        <v>0</v>
      </c>
    </row>
    <row r="66" spans="2:11" ht="11.25">
      <c r="B66" s="429">
        <f t="shared" si="4"/>
        <v>63</v>
      </c>
      <c r="C66" s="7" t="s">
        <v>90</v>
      </c>
      <c r="D66" s="2" t="s">
        <v>89</v>
      </c>
      <c r="E66" s="2" t="str">
        <f t="shared" si="6"/>
        <v>NewCo IV</v>
      </c>
      <c r="F66" s="2">
        <v>0</v>
      </c>
      <c r="G66" s="2" t="s">
        <v>91</v>
      </c>
      <c r="H66" s="17">
        <f>SUMIFS('Controle Projetos_Ciclo2'!$O:$O,'Controle Projetos_Ciclo2'!$B:$B,$C66,'Controle Projetos_Ciclo2'!$F:$F,"Total")</f>
        <v>0</v>
      </c>
      <c r="I66" s="17">
        <f>SUMIFS('Controle Projetos_Ciclo2'!$R:$R,'Controle Projetos_Ciclo2'!$B:$B,$C66,'Controle Projetos_Ciclo2'!$F:$F,"Total")</f>
        <v>0</v>
      </c>
      <c r="J66" s="17">
        <f>SUMIFS('Controle Projetos_Ciclo2'!S:S,'Controle Projetos_Ciclo2'!$B:$B,$C66,'Controle Projetos_Ciclo2'!$F:$F,"Total")</f>
        <v>0</v>
      </c>
      <c r="K66" s="430">
        <f t="shared" si="5"/>
        <v>0</v>
      </c>
    </row>
    <row r="67" spans="2:11" ht="11.25">
      <c r="B67" s="429">
        <f t="shared" si="4"/>
        <v>64</v>
      </c>
      <c r="C67" s="7" t="s">
        <v>99</v>
      </c>
      <c r="D67" s="2" t="s">
        <v>98</v>
      </c>
      <c r="E67" s="2" t="str">
        <f t="shared" si="6"/>
        <v>NewCo V</v>
      </c>
      <c r="F67" s="2">
        <v>0</v>
      </c>
      <c r="G67" s="2" t="s">
        <v>91</v>
      </c>
      <c r="H67" s="17">
        <f>SUMIFS('Controle Projetos_Ciclo2'!$O:$O,'Controle Projetos_Ciclo2'!$B:$B,$C67,'Controle Projetos_Ciclo2'!$F:$F,"Total")</f>
        <v>0</v>
      </c>
      <c r="I67" s="17">
        <f>SUMIFS('Controle Projetos_Ciclo2'!$R:$R,'Controle Projetos_Ciclo2'!$B:$B,$C67,'Controle Projetos_Ciclo2'!$F:$F,"Total")</f>
        <v>0</v>
      </c>
      <c r="J67" s="17">
        <f>SUMIFS('Controle Projetos_Ciclo2'!S:S,'Controle Projetos_Ciclo2'!$B:$B,$C67,'Controle Projetos_Ciclo2'!$F:$F,"Total")</f>
        <v>0</v>
      </c>
      <c r="K67" s="430">
        <f t="shared" si="5"/>
        <v>0</v>
      </c>
    </row>
    <row r="68" spans="2:11" ht="11.25">
      <c r="B68" s="429">
        <f t="shared" si="4"/>
        <v>65</v>
      </c>
      <c r="C68" s="26" t="s">
        <v>49</v>
      </c>
      <c r="D68" s="2" t="s">
        <v>48</v>
      </c>
      <c r="E68" s="2" t="str">
        <f t="shared" si="6"/>
        <v>EDN</v>
      </c>
      <c r="F68" s="2">
        <v>0</v>
      </c>
      <c r="G68" s="2" t="s">
        <v>50</v>
      </c>
      <c r="H68" s="17">
        <f>SUMIFS('Controle Projetos_Ciclo2'!$O:$O,'Controle Projetos_Ciclo2'!$B:$B,$C68,'Controle Projetos_Ciclo2'!$F:$F,"Total")</f>
        <v>0</v>
      </c>
      <c r="I68" s="17">
        <f>SUMIFS('Controle Projetos_Ciclo2'!$R:$R,'Controle Projetos_Ciclo2'!$B:$B,$C68,'Controle Projetos_Ciclo2'!$F:$F,"Total")</f>
        <v>0</v>
      </c>
      <c r="J68" s="17">
        <f>SUMIFS('Controle Projetos_Ciclo2'!S:S,'Controle Projetos_Ciclo2'!$B:$B,$C68,'Controle Projetos_Ciclo2'!$F:$F,"Total")</f>
        <v>0</v>
      </c>
      <c r="K68" s="430">
        <f t="shared" si="5"/>
        <v>0</v>
      </c>
    </row>
    <row r="69" spans="2:11" ht="11.25">
      <c r="B69" s="432">
        <v>0</v>
      </c>
      <c r="C69" s="22">
        <v>0</v>
      </c>
      <c r="D69" s="22">
        <v>0</v>
      </c>
      <c r="E69" s="18" t="s">
        <v>15</v>
      </c>
      <c r="F69" s="22">
        <v>0</v>
      </c>
      <c r="G69" s="22">
        <v>0</v>
      </c>
      <c r="H69" s="18">
        <f>SUMIFS(H$4:H$68,$E$4:$E$68,$E69)</f>
        <v>2348118.75</v>
      </c>
      <c r="I69" s="18">
        <f t="shared" ref="I69:J72" si="7">SUMIFS(I$4:I$68,$E$4:$E$68,$E69)</f>
        <v>2290918.75</v>
      </c>
      <c r="J69" s="18">
        <f t="shared" si="7"/>
        <v>57200</v>
      </c>
      <c r="K69" s="428">
        <f t="shared" ref="K69:K73" si="8">IFERROR(I69/H69,0)</f>
        <v>0.97564007356953308</v>
      </c>
    </row>
    <row r="70" spans="2:11" ht="11.25">
      <c r="B70" s="433">
        <v>0</v>
      </c>
      <c r="C70" s="15">
        <v>0</v>
      </c>
      <c r="D70" s="15">
        <v>0</v>
      </c>
      <c r="E70" s="2" t="s">
        <v>90</v>
      </c>
      <c r="F70" s="15">
        <v>0</v>
      </c>
      <c r="G70" s="15">
        <v>0</v>
      </c>
      <c r="H70" s="2">
        <f>SUMIFS(H$4:H$68,$E$4:$E$68,$E70)</f>
        <v>7598138.7300000004</v>
      </c>
      <c r="I70" s="2">
        <f t="shared" si="7"/>
        <v>7225108.8399999989</v>
      </c>
      <c r="J70" s="2">
        <f t="shared" si="7"/>
        <v>373029.8900000006</v>
      </c>
      <c r="K70" s="430">
        <f t="shared" si="8"/>
        <v>0.95090509620110586</v>
      </c>
    </row>
    <row r="71" spans="2:11" ht="11.25">
      <c r="B71" s="433">
        <v>0</v>
      </c>
      <c r="C71" s="15">
        <v>0</v>
      </c>
      <c r="D71" s="15">
        <v>0</v>
      </c>
      <c r="E71" s="2" t="s">
        <v>99</v>
      </c>
      <c r="F71" s="15">
        <v>0</v>
      </c>
      <c r="G71" s="15">
        <v>0</v>
      </c>
      <c r="H71" s="2">
        <f>SUMIFS(H$4:H$68,$E$4:$E$68,$E71)</f>
        <v>2771538.7199999997</v>
      </c>
      <c r="I71" s="2">
        <f t="shared" si="7"/>
        <v>2686059.88</v>
      </c>
      <c r="J71" s="2">
        <f t="shared" si="7"/>
        <v>85478.839999999851</v>
      </c>
      <c r="K71" s="430">
        <f t="shared" si="8"/>
        <v>0.96915834536852519</v>
      </c>
    </row>
    <row r="72" spans="2:11" ht="11.25">
      <c r="B72" s="433">
        <v>0</v>
      </c>
      <c r="C72" s="15">
        <v>0</v>
      </c>
      <c r="D72" s="15">
        <v>0</v>
      </c>
      <c r="E72" s="2" t="s">
        <v>49</v>
      </c>
      <c r="F72" s="15">
        <v>0</v>
      </c>
      <c r="G72" s="15">
        <v>0</v>
      </c>
      <c r="H72" s="21">
        <f>SUMIFS(H$4:H$68,$E$4:$E$68,$E72)</f>
        <v>0</v>
      </c>
      <c r="I72" s="21">
        <f t="shared" si="7"/>
        <v>0</v>
      </c>
      <c r="J72" s="21">
        <f t="shared" si="7"/>
        <v>0</v>
      </c>
      <c r="K72" s="430">
        <f t="shared" si="8"/>
        <v>0</v>
      </c>
    </row>
    <row r="73" spans="2:11" ht="11.25">
      <c r="B73" s="434"/>
      <c r="C73" s="435"/>
      <c r="D73" s="435"/>
      <c r="E73" s="435" t="s">
        <v>124</v>
      </c>
      <c r="F73" s="435"/>
      <c r="G73" s="435"/>
      <c r="H73" s="435">
        <f>SUM(H69:H72)</f>
        <v>12717796.199999999</v>
      </c>
      <c r="I73" s="435">
        <f t="shared" ref="I73:J73" si="9">SUM(I69:I72)</f>
        <v>12202087.469999999</v>
      </c>
      <c r="J73" s="435">
        <f t="shared" si="9"/>
        <v>515708.73000000045</v>
      </c>
      <c r="K73" s="436">
        <f>IFERROR(I73/H73,0)</f>
        <v>0.95944983534175521</v>
      </c>
    </row>
    <row r="74" spans="2:11" ht="11.25"/>
    <row r="75" spans="2:11" ht="11.25">
      <c r="G75" s="2" t="s">
        <v>125</v>
      </c>
      <c r="H75" s="1042">
        <v>824572985.71577728</v>
      </c>
      <c r="I75" s="1042">
        <v>759475402.46276534</v>
      </c>
      <c r="J75" s="1042">
        <v>65097583.253011949</v>
      </c>
      <c r="K75" s="1043">
        <v>0.92105297604856229</v>
      </c>
    </row>
  </sheetData>
  <mergeCells count="1">
    <mergeCell ref="B2:K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65F5D-C5A0-44C3-A17B-421684046A02}">
  <dimension ref="A1:V34"/>
  <sheetViews>
    <sheetView workbookViewId="0"/>
  </sheetViews>
  <sheetFormatPr defaultRowHeight="11.25"/>
  <cols>
    <col min="1" max="1" width="3.1640625" bestFit="1" customWidth="1"/>
  </cols>
  <sheetData>
    <row r="1" spans="1:22">
      <c r="A1" s="4" t="s">
        <v>126</v>
      </c>
      <c r="B1" s="4" t="s">
        <v>3</v>
      </c>
      <c r="C1" s="4" t="s">
        <v>4</v>
      </c>
      <c r="D1" s="4" t="s">
        <v>5</v>
      </c>
      <c r="E1" s="4" t="s">
        <v>6</v>
      </c>
      <c r="F1" s="4" t="s">
        <v>12</v>
      </c>
      <c r="G1" s="4" t="s">
        <v>7</v>
      </c>
      <c r="H1" s="4" t="s">
        <v>127</v>
      </c>
      <c r="I1" s="4" t="s">
        <v>128</v>
      </c>
      <c r="J1" s="4" t="s">
        <v>129</v>
      </c>
      <c r="K1" s="4" t="s">
        <v>130</v>
      </c>
      <c r="L1" s="4" t="s">
        <v>131</v>
      </c>
      <c r="M1" s="4" t="s">
        <v>132</v>
      </c>
      <c r="N1" s="4" t="s">
        <v>133</v>
      </c>
      <c r="O1" s="4" t="s">
        <v>134</v>
      </c>
      <c r="P1" s="4" t="s">
        <v>135</v>
      </c>
      <c r="Q1" s="4" t="s">
        <v>9</v>
      </c>
      <c r="R1" s="4" t="s">
        <v>136</v>
      </c>
      <c r="S1" s="4" t="s">
        <v>137</v>
      </c>
      <c r="T1" s="4" t="s">
        <v>138</v>
      </c>
      <c r="U1" s="4" t="s">
        <v>139</v>
      </c>
      <c r="V1" s="4" t="s">
        <v>140</v>
      </c>
    </row>
    <row r="2" spans="1:22">
      <c r="A2">
        <v>1</v>
      </c>
      <c r="B2" t="s">
        <v>13</v>
      </c>
      <c r="C2" t="s">
        <v>14</v>
      </c>
      <c r="D2" t="s">
        <v>15</v>
      </c>
      <c r="E2">
        <v>3</v>
      </c>
      <c r="F2" t="s">
        <v>17</v>
      </c>
      <c r="G2" t="s">
        <v>16</v>
      </c>
      <c r="H2" t="s">
        <v>141</v>
      </c>
      <c r="I2">
        <v>308990.19</v>
      </c>
      <c r="J2">
        <v>0</v>
      </c>
      <c r="K2">
        <v>0</v>
      </c>
      <c r="L2">
        <v>0</v>
      </c>
      <c r="M2">
        <v>0</v>
      </c>
      <c r="N2">
        <v>0</v>
      </c>
      <c r="O2">
        <v>308990.19</v>
      </c>
    </row>
    <row r="3" spans="1:22">
      <c r="A3">
        <v>1</v>
      </c>
      <c r="B3" t="s">
        <v>13</v>
      </c>
      <c r="C3" t="s">
        <v>14</v>
      </c>
      <c r="D3" t="s">
        <v>15</v>
      </c>
      <c r="E3">
        <v>3</v>
      </c>
      <c r="F3" t="s">
        <v>19</v>
      </c>
      <c r="G3" t="s">
        <v>16</v>
      </c>
      <c r="H3" t="s">
        <v>141</v>
      </c>
      <c r="I3">
        <v>735500</v>
      </c>
      <c r="J3">
        <v>0</v>
      </c>
      <c r="K3">
        <v>0</v>
      </c>
      <c r="L3">
        <v>0</v>
      </c>
      <c r="M3">
        <v>0</v>
      </c>
      <c r="N3">
        <v>0</v>
      </c>
      <c r="O3">
        <v>735500</v>
      </c>
    </row>
    <row r="4" spans="1:22">
      <c r="A4">
        <v>1</v>
      </c>
      <c r="B4" t="s">
        <v>13</v>
      </c>
      <c r="C4" t="s">
        <v>14</v>
      </c>
      <c r="D4" t="s">
        <v>15</v>
      </c>
      <c r="E4">
        <v>3</v>
      </c>
      <c r="F4" t="s">
        <v>22</v>
      </c>
      <c r="G4" t="s">
        <v>16</v>
      </c>
      <c r="H4" t="s">
        <v>142</v>
      </c>
      <c r="I4">
        <v>2556450</v>
      </c>
      <c r="J4">
        <v>157000</v>
      </c>
      <c r="K4">
        <v>91704.15</v>
      </c>
      <c r="L4">
        <v>251404.62</v>
      </c>
      <c r="M4">
        <v>44129.95</v>
      </c>
      <c r="N4">
        <v>0</v>
      </c>
      <c r="O4">
        <v>3100688.72</v>
      </c>
    </row>
    <row r="5" spans="1:22">
      <c r="A5">
        <v>1</v>
      </c>
      <c r="B5" t="s">
        <v>13</v>
      </c>
      <c r="C5" t="s">
        <v>14</v>
      </c>
      <c r="D5" t="s">
        <v>15</v>
      </c>
      <c r="E5">
        <v>3</v>
      </c>
      <c r="F5" t="s">
        <v>24</v>
      </c>
      <c r="G5" t="s">
        <v>16</v>
      </c>
      <c r="H5">
        <v>0</v>
      </c>
      <c r="I5">
        <v>0</v>
      </c>
      <c r="J5">
        <v>0</v>
      </c>
      <c r="K5">
        <v>0</v>
      </c>
      <c r="L5">
        <v>0</v>
      </c>
      <c r="M5">
        <v>0</v>
      </c>
      <c r="N5">
        <v>0</v>
      </c>
      <c r="O5">
        <v>0</v>
      </c>
    </row>
    <row r="6" spans="1:22">
      <c r="A6">
        <v>1</v>
      </c>
      <c r="B6" t="s">
        <v>13</v>
      </c>
      <c r="C6" t="s">
        <v>14</v>
      </c>
      <c r="D6" t="s">
        <v>15</v>
      </c>
      <c r="E6">
        <v>3</v>
      </c>
      <c r="F6" t="s">
        <v>26</v>
      </c>
      <c r="G6" t="s">
        <v>16</v>
      </c>
      <c r="H6" t="s">
        <v>143</v>
      </c>
      <c r="I6">
        <v>402477.3</v>
      </c>
      <c r="J6">
        <v>6400</v>
      </c>
      <c r="K6">
        <v>7304.5454</v>
      </c>
      <c r="L6">
        <v>0</v>
      </c>
      <c r="M6">
        <v>0</v>
      </c>
      <c r="N6">
        <v>0</v>
      </c>
      <c r="O6">
        <v>416182.01</v>
      </c>
    </row>
    <row r="7" spans="1:22">
      <c r="A7">
        <v>1</v>
      </c>
      <c r="B7" t="s">
        <v>13</v>
      </c>
      <c r="C7" t="s">
        <v>14</v>
      </c>
      <c r="D7" t="s">
        <v>15</v>
      </c>
      <c r="E7">
        <v>3</v>
      </c>
      <c r="F7" t="s">
        <v>28</v>
      </c>
      <c r="G7" t="s">
        <v>16</v>
      </c>
      <c r="H7">
        <v>0</v>
      </c>
      <c r="I7">
        <v>0</v>
      </c>
      <c r="J7">
        <v>0</v>
      </c>
      <c r="K7">
        <v>0</v>
      </c>
      <c r="L7">
        <v>0</v>
      </c>
      <c r="M7">
        <v>0</v>
      </c>
      <c r="N7">
        <v>0</v>
      </c>
      <c r="O7">
        <v>0</v>
      </c>
    </row>
    <row r="8" spans="1:22">
      <c r="A8">
        <v>1</v>
      </c>
      <c r="B8" t="s">
        <v>13</v>
      </c>
      <c r="C8" t="s">
        <v>14</v>
      </c>
      <c r="D8" t="s">
        <v>15</v>
      </c>
      <c r="E8">
        <v>3</v>
      </c>
      <c r="F8" t="s">
        <v>30</v>
      </c>
      <c r="G8" t="s">
        <v>16</v>
      </c>
      <c r="H8">
        <v>0</v>
      </c>
      <c r="I8">
        <v>0</v>
      </c>
      <c r="J8">
        <v>0</v>
      </c>
      <c r="K8">
        <v>0</v>
      </c>
      <c r="L8">
        <v>0</v>
      </c>
      <c r="M8">
        <v>0</v>
      </c>
      <c r="N8">
        <v>0</v>
      </c>
      <c r="O8">
        <v>0</v>
      </c>
    </row>
    <row r="9" spans="1:22">
      <c r="A9">
        <v>1</v>
      </c>
      <c r="B9" t="s">
        <v>13</v>
      </c>
      <c r="C9" t="s">
        <v>14</v>
      </c>
      <c r="D9" t="s">
        <v>15</v>
      </c>
      <c r="E9">
        <v>3</v>
      </c>
      <c r="F9" t="s">
        <v>32</v>
      </c>
      <c r="G9" t="s">
        <v>16</v>
      </c>
      <c r="H9">
        <v>0</v>
      </c>
      <c r="I9">
        <v>0</v>
      </c>
      <c r="J9">
        <v>0</v>
      </c>
      <c r="K9">
        <v>0</v>
      </c>
      <c r="L9">
        <v>0</v>
      </c>
      <c r="M9">
        <v>0</v>
      </c>
      <c r="N9">
        <v>0</v>
      </c>
      <c r="O9">
        <v>0</v>
      </c>
    </row>
    <row r="10" spans="1:22">
      <c r="A10">
        <v>1</v>
      </c>
      <c r="B10" t="s">
        <v>13</v>
      </c>
      <c r="C10" t="s">
        <v>14</v>
      </c>
      <c r="D10" t="s">
        <v>15</v>
      </c>
      <c r="E10">
        <v>3</v>
      </c>
      <c r="F10" t="s">
        <v>34</v>
      </c>
      <c r="G10" t="s">
        <v>16</v>
      </c>
      <c r="H10" t="s">
        <v>144</v>
      </c>
      <c r="I10">
        <v>1200784.6885655141</v>
      </c>
      <c r="J10">
        <v>0</v>
      </c>
      <c r="K10">
        <v>0</v>
      </c>
      <c r="L10">
        <v>0</v>
      </c>
      <c r="M10">
        <v>0</v>
      </c>
      <c r="N10">
        <v>0</v>
      </c>
      <c r="O10">
        <v>1200784.6885655141</v>
      </c>
    </row>
    <row r="11" spans="1:22">
      <c r="A11">
        <v>1</v>
      </c>
      <c r="B11" t="s">
        <v>13</v>
      </c>
      <c r="C11" t="s">
        <v>14</v>
      </c>
      <c r="D11" t="s">
        <v>15</v>
      </c>
      <c r="E11">
        <v>3</v>
      </c>
      <c r="F11" t="s">
        <v>36</v>
      </c>
      <c r="G11" t="s">
        <v>16</v>
      </c>
      <c r="H11" t="s">
        <v>145</v>
      </c>
      <c r="I11">
        <v>0</v>
      </c>
      <c r="J11">
        <v>0</v>
      </c>
      <c r="K11">
        <v>0</v>
      </c>
      <c r="L11">
        <v>0</v>
      </c>
      <c r="M11">
        <v>0</v>
      </c>
      <c r="N11">
        <v>0</v>
      </c>
      <c r="O11">
        <v>0</v>
      </c>
    </row>
    <row r="12" spans="1:22">
      <c r="A12">
        <v>1</v>
      </c>
      <c r="B12" t="s">
        <v>13</v>
      </c>
      <c r="C12" t="s">
        <v>14</v>
      </c>
      <c r="D12" t="s">
        <v>15</v>
      </c>
      <c r="E12">
        <v>3</v>
      </c>
      <c r="F12" t="s">
        <v>38</v>
      </c>
      <c r="G12" t="s">
        <v>16</v>
      </c>
      <c r="H12" t="s">
        <v>146</v>
      </c>
      <c r="I12">
        <v>36466.699999999997</v>
      </c>
      <c r="J12">
        <v>0</v>
      </c>
      <c r="K12">
        <v>0</v>
      </c>
      <c r="L12">
        <v>0</v>
      </c>
      <c r="M12">
        <v>0</v>
      </c>
      <c r="N12">
        <v>0</v>
      </c>
      <c r="O12">
        <v>36466.699999999997</v>
      </c>
    </row>
    <row r="13" spans="1:22">
      <c r="A13">
        <v>1</v>
      </c>
      <c r="B13" t="s">
        <v>13</v>
      </c>
      <c r="C13" t="s">
        <v>14</v>
      </c>
      <c r="D13" t="s">
        <v>15</v>
      </c>
      <c r="E13">
        <v>3</v>
      </c>
      <c r="F13" t="s">
        <v>40</v>
      </c>
      <c r="G13" t="s">
        <v>16</v>
      </c>
      <c r="H13">
        <v>0</v>
      </c>
      <c r="I13">
        <v>0</v>
      </c>
      <c r="J13">
        <v>0</v>
      </c>
      <c r="K13">
        <v>0</v>
      </c>
      <c r="L13">
        <v>0</v>
      </c>
      <c r="M13">
        <v>0</v>
      </c>
      <c r="N13">
        <v>0</v>
      </c>
      <c r="O13">
        <v>0</v>
      </c>
    </row>
    <row r="14" spans="1:22">
      <c r="A14">
        <v>1</v>
      </c>
      <c r="B14" t="s">
        <v>13</v>
      </c>
      <c r="C14" t="s">
        <v>14</v>
      </c>
      <c r="D14" t="s">
        <v>15</v>
      </c>
      <c r="E14">
        <v>3</v>
      </c>
      <c r="F14" t="s">
        <v>42</v>
      </c>
      <c r="G14" t="s">
        <v>16</v>
      </c>
      <c r="H14" t="s">
        <v>147</v>
      </c>
      <c r="I14">
        <v>93783</v>
      </c>
      <c r="J14">
        <v>42026.46</v>
      </c>
      <c r="K14">
        <v>0</v>
      </c>
      <c r="L14">
        <v>0</v>
      </c>
      <c r="M14">
        <v>0</v>
      </c>
      <c r="N14">
        <v>0</v>
      </c>
      <c r="O14">
        <v>135809.46</v>
      </c>
    </row>
    <row r="15" spans="1:22">
      <c r="A15">
        <v>1</v>
      </c>
      <c r="B15" t="s">
        <v>13</v>
      </c>
      <c r="C15" t="s">
        <v>14</v>
      </c>
      <c r="D15" t="s">
        <v>15</v>
      </c>
      <c r="E15">
        <v>3</v>
      </c>
      <c r="F15" t="s">
        <v>44</v>
      </c>
      <c r="G15" t="s">
        <v>16</v>
      </c>
      <c r="H15" t="s">
        <v>148</v>
      </c>
      <c r="I15">
        <v>155757.91000000006</v>
      </c>
      <c r="J15">
        <v>0</v>
      </c>
      <c r="K15">
        <v>0</v>
      </c>
      <c r="L15">
        <v>0</v>
      </c>
      <c r="M15">
        <v>0</v>
      </c>
      <c r="N15">
        <v>0</v>
      </c>
      <c r="O15">
        <v>155757.91000000006</v>
      </c>
    </row>
    <row r="16" spans="1:22">
      <c r="A16">
        <v>1</v>
      </c>
      <c r="B16" t="s">
        <v>13</v>
      </c>
      <c r="C16" t="s">
        <v>14</v>
      </c>
      <c r="D16" t="s">
        <v>15</v>
      </c>
      <c r="E16">
        <v>3</v>
      </c>
      <c r="F16" t="s">
        <v>46</v>
      </c>
      <c r="G16" t="s">
        <v>16</v>
      </c>
      <c r="H16" t="s">
        <v>149</v>
      </c>
      <c r="I16">
        <v>6207</v>
      </c>
      <c r="J16">
        <v>0</v>
      </c>
      <c r="K16">
        <v>0</v>
      </c>
      <c r="L16">
        <v>0</v>
      </c>
      <c r="M16">
        <v>0</v>
      </c>
      <c r="N16">
        <v>0</v>
      </c>
      <c r="O16">
        <v>6207</v>
      </c>
    </row>
    <row r="17" spans="1:15">
      <c r="A17">
        <v>1</v>
      </c>
      <c r="B17" t="s">
        <v>13</v>
      </c>
      <c r="C17" t="s">
        <v>14</v>
      </c>
      <c r="D17" t="s">
        <v>15</v>
      </c>
      <c r="E17">
        <v>3</v>
      </c>
      <c r="F17" t="s">
        <v>51</v>
      </c>
      <c r="G17" t="s">
        <v>16</v>
      </c>
      <c r="H17" t="s">
        <v>150</v>
      </c>
      <c r="I17">
        <v>136693.98000000001</v>
      </c>
      <c r="K17">
        <v>0</v>
      </c>
      <c r="L17">
        <v>0</v>
      </c>
      <c r="M17">
        <v>0</v>
      </c>
      <c r="N17">
        <v>0</v>
      </c>
      <c r="O17">
        <v>136693.98000000001</v>
      </c>
    </row>
    <row r="18" spans="1:15">
      <c r="A18">
        <v>1</v>
      </c>
      <c r="B18" t="s">
        <v>13</v>
      </c>
      <c r="C18" t="s">
        <v>14</v>
      </c>
      <c r="D18" t="s">
        <v>15</v>
      </c>
      <c r="E18">
        <v>3</v>
      </c>
      <c r="F18" t="s">
        <v>53</v>
      </c>
      <c r="G18" t="s">
        <v>16</v>
      </c>
      <c r="H18" t="s">
        <v>151</v>
      </c>
      <c r="I18">
        <v>48276.516000000003</v>
      </c>
      <c r="J18">
        <v>0</v>
      </c>
      <c r="K18">
        <v>0</v>
      </c>
      <c r="L18">
        <v>0</v>
      </c>
      <c r="M18">
        <v>0</v>
      </c>
      <c r="N18">
        <v>0</v>
      </c>
      <c r="O18">
        <v>48276.516000000003</v>
      </c>
    </row>
    <row r="19" spans="1:15">
      <c r="A19">
        <v>1</v>
      </c>
      <c r="B19" t="s">
        <v>13</v>
      </c>
      <c r="C19" t="s">
        <v>14</v>
      </c>
      <c r="D19" t="s">
        <v>15</v>
      </c>
      <c r="E19">
        <v>3</v>
      </c>
      <c r="F19" t="s">
        <v>55</v>
      </c>
      <c r="G19" t="s">
        <v>16</v>
      </c>
      <c r="H19" t="s">
        <v>152</v>
      </c>
      <c r="I19">
        <v>248414.57</v>
      </c>
      <c r="J19">
        <v>0</v>
      </c>
      <c r="K19">
        <v>0</v>
      </c>
      <c r="L19">
        <v>0</v>
      </c>
      <c r="M19">
        <v>0</v>
      </c>
      <c r="N19">
        <v>0</v>
      </c>
      <c r="O19">
        <v>248414.57</v>
      </c>
    </row>
    <row r="20" spans="1:15">
      <c r="A20">
        <v>1</v>
      </c>
      <c r="B20" t="s">
        <v>13</v>
      </c>
      <c r="C20" t="s">
        <v>14</v>
      </c>
      <c r="D20" t="s">
        <v>15</v>
      </c>
      <c r="E20">
        <v>3</v>
      </c>
      <c r="F20" t="s">
        <v>57</v>
      </c>
      <c r="G20" t="s">
        <v>16</v>
      </c>
      <c r="H20" t="s">
        <v>153</v>
      </c>
      <c r="I20">
        <v>839026.26</v>
      </c>
      <c r="J20">
        <v>293286.3</v>
      </c>
      <c r="K20">
        <v>188709</v>
      </c>
      <c r="L20">
        <v>0</v>
      </c>
      <c r="M20">
        <v>0</v>
      </c>
      <c r="N20">
        <v>0</v>
      </c>
      <c r="O20">
        <v>1321021.56</v>
      </c>
    </row>
    <row r="21" spans="1:15">
      <c r="A21">
        <v>1</v>
      </c>
      <c r="B21" t="s">
        <v>13</v>
      </c>
      <c r="C21" t="s">
        <v>14</v>
      </c>
      <c r="D21" t="s">
        <v>15</v>
      </c>
      <c r="E21">
        <v>3</v>
      </c>
      <c r="F21" t="s">
        <v>59</v>
      </c>
      <c r="G21" t="s">
        <v>16</v>
      </c>
      <c r="H21" t="s">
        <v>154</v>
      </c>
      <c r="I21">
        <v>1108130.56</v>
      </c>
      <c r="J21">
        <v>0</v>
      </c>
      <c r="K21">
        <v>0</v>
      </c>
      <c r="L21">
        <v>0</v>
      </c>
      <c r="M21">
        <v>0</v>
      </c>
      <c r="N21">
        <v>0</v>
      </c>
      <c r="O21">
        <v>1108130.56</v>
      </c>
    </row>
    <row r="22" spans="1:15">
      <c r="A22">
        <v>1</v>
      </c>
      <c r="B22" t="s">
        <v>13</v>
      </c>
      <c r="C22" t="s">
        <v>14</v>
      </c>
      <c r="D22" t="s">
        <v>15</v>
      </c>
      <c r="E22">
        <v>3</v>
      </c>
      <c r="F22" t="s">
        <v>61</v>
      </c>
      <c r="G22" t="s">
        <v>16</v>
      </c>
      <c r="H22" t="s">
        <v>155</v>
      </c>
      <c r="I22">
        <v>50000</v>
      </c>
      <c r="J22">
        <v>3500</v>
      </c>
      <c r="K22">
        <v>30000</v>
      </c>
      <c r="L22">
        <v>0</v>
      </c>
      <c r="M22">
        <v>0</v>
      </c>
      <c r="N22">
        <v>0</v>
      </c>
      <c r="O22">
        <v>83500</v>
      </c>
    </row>
    <row r="23" spans="1:15">
      <c r="A23">
        <v>1</v>
      </c>
      <c r="B23" t="s">
        <v>13</v>
      </c>
      <c r="C23" t="s">
        <v>14</v>
      </c>
      <c r="D23" t="s">
        <v>15</v>
      </c>
      <c r="E23">
        <v>3</v>
      </c>
      <c r="F23" t="s">
        <v>63</v>
      </c>
      <c r="G23" t="s">
        <v>16</v>
      </c>
      <c r="H23">
        <v>0</v>
      </c>
      <c r="I23">
        <v>0</v>
      </c>
      <c r="J23">
        <v>0</v>
      </c>
      <c r="K23">
        <v>0</v>
      </c>
      <c r="L23">
        <v>0</v>
      </c>
      <c r="M23">
        <v>0</v>
      </c>
      <c r="N23">
        <v>0</v>
      </c>
      <c r="O23">
        <v>0</v>
      </c>
    </row>
    <row r="24" spans="1:15">
      <c r="A24">
        <v>1</v>
      </c>
      <c r="B24" t="s">
        <v>13</v>
      </c>
      <c r="C24" t="s">
        <v>14</v>
      </c>
      <c r="D24" t="s">
        <v>15</v>
      </c>
      <c r="E24">
        <v>3</v>
      </c>
      <c r="F24" t="s">
        <v>65</v>
      </c>
      <c r="G24" t="s">
        <v>16</v>
      </c>
      <c r="H24">
        <v>0</v>
      </c>
      <c r="I24">
        <v>352962.83</v>
      </c>
      <c r="J24">
        <v>538750</v>
      </c>
      <c r="K24">
        <v>0</v>
      </c>
      <c r="L24">
        <v>0</v>
      </c>
      <c r="M24">
        <v>0</v>
      </c>
      <c r="N24">
        <v>0</v>
      </c>
      <c r="O24">
        <v>891712.83000000007</v>
      </c>
    </row>
    <row r="25" spans="1:15">
      <c r="A25">
        <v>1</v>
      </c>
      <c r="B25" t="s">
        <v>13</v>
      </c>
      <c r="C25" t="s">
        <v>14</v>
      </c>
      <c r="D25" t="s">
        <v>15</v>
      </c>
      <c r="E25">
        <v>3</v>
      </c>
      <c r="F25" t="s">
        <v>71</v>
      </c>
      <c r="G25" t="s">
        <v>16</v>
      </c>
      <c r="H25">
        <v>0</v>
      </c>
      <c r="I25">
        <v>94500</v>
      </c>
      <c r="J25">
        <v>0</v>
      </c>
      <c r="K25">
        <v>0</v>
      </c>
      <c r="L25">
        <v>0</v>
      </c>
      <c r="M25">
        <v>0</v>
      </c>
      <c r="N25">
        <v>0</v>
      </c>
      <c r="O25">
        <v>94500</v>
      </c>
    </row>
    <row r="26" spans="1:15">
      <c r="A26">
        <v>1</v>
      </c>
      <c r="B26" t="s">
        <v>13</v>
      </c>
      <c r="C26" t="s">
        <v>14</v>
      </c>
      <c r="D26" t="s">
        <v>15</v>
      </c>
      <c r="E26">
        <v>3</v>
      </c>
      <c r="F26" t="s">
        <v>73</v>
      </c>
      <c r="G26" t="s">
        <v>16</v>
      </c>
      <c r="H26" t="s">
        <v>156</v>
      </c>
      <c r="I26">
        <v>3677500</v>
      </c>
      <c r="J26">
        <v>0</v>
      </c>
      <c r="K26">
        <v>0</v>
      </c>
      <c r="L26">
        <v>0</v>
      </c>
      <c r="M26">
        <v>0</v>
      </c>
      <c r="N26">
        <v>0</v>
      </c>
      <c r="O26">
        <v>3677500</v>
      </c>
    </row>
    <row r="27" spans="1:15">
      <c r="A27">
        <v>1</v>
      </c>
      <c r="B27" t="s">
        <v>13</v>
      </c>
      <c r="C27" t="s">
        <v>14</v>
      </c>
      <c r="D27" t="s">
        <v>15</v>
      </c>
      <c r="E27">
        <v>3</v>
      </c>
      <c r="F27" t="s">
        <v>75</v>
      </c>
      <c r="G27" t="s">
        <v>16</v>
      </c>
      <c r="H27">
        <v>0</v>
      </c>
      <c r="I27">
        <v>0</v>
      </c>
      <c r="J27">
        <v>0</v>
      </c>
      <c r="K27">
        <v>0</v>
      </c>
      <c r="L27">
        <v>0</v>
      </c>
      <c r="M27">
        <v>0</v>
      </c>
      <c r="N27">
        <v>0</v>
      </c>
      <c r="O27">
        <v>0</v>
      </c>
    </row>
    <row r="28" spans="1:15">
      <c r="A28">
        <v>1</v>
      </c>
      <c r="B28" t="s">
        <v>13</v>
      </c>
      <c r="C28" t="s">
        <v>14</v>
      </c>
      <c r="D28" t="s">
        <v>15</v>
      </c>
      <c r="E28">
        <v>3</v>
      </c>
      <c r="F28" t="s">
        <v>77</v>
      </c>
      <c r="G28" t="s">
        <v>16</v>
      </c>
      <c r="H28">
        <v>0</v>
      </c>
      <c r="I28">
        <v>0</v>
      </c>
      <c r="J28">
        <v>0</v>
      </c>
      <c r="K28">
        <v>0</v>
      </c>
      <c r="L28">
        <v>0</v>
      </c>
      <c r="M28">
        <v>0</v>
      </c>
      <c r="N28">
        <v>0</v>
      </c>
      <c r="O28">
        <v>0</v>
      </c>
    </row>
    <row r="29" spans="1:15">
      <c r="A29">
        <v>1</v>
      </c>
      <c r="B29" t="s">
        <v>13</v>
      </c>
      <c r="C29" t="s">
        <v>14</v>
      </c>
      <c r="D29" t="s">
        <v>15</v>
      </c>
      <c r="E29">
        <v>3</v>
      </c>
      <c r="F29" t="s">
        <v>79</v>
      </c>
      <c r="G29" t="s">
        <v>16</v>
      </c>
      <c r="H29">
        <v>0</v>
      </c>
      <c r="I29">
        <v>0</v>
      </c>
      <c r="J29">
        <v>0</v>
      </c>
      <c r="K29">
        <v>0</v>
      </c>
      <c r="L29">
        <v>0</v>
      </c>
      <c r="M29">
        <v>0</v>
      </c>
      <c r="N29">
        <v>0</v>
      </c>
      <c r="O29">
        <v>0</v>
      </c>
    </row>
    <row r="30" spans="1:15">
      <c r="A30">
        <v>1</v>
      </c>
      <c r="B30" t="s">
        <v>13</v>
      </c>
      <c r="C30" t="s">
        <v>14</v>
      </c>
      <c r="D30" t="s">
        <v>15</v>
      </c>
      <c r="E30">
        <v>3</v>
      </c>
      <c r="F30" t="s">
        <v>81</v>
      </c>
      <c r="G30" t="s">
        <v>16</v>
      </c>
      <c r="H30">
        <v>0</v>
      </c>
      <c r="I30">
        <v>0</v>
      </c>
      <c r="J30">
        <v>0</v>
      </c>
      <c r="K30">
        <v>0</v>
      </c>
      <c r="L30">
        <v>0</v>
      </c>
      <c r="M30">
        <v>0</v>
      </c>
      <c r="N30">
        <v>0</v>
      </c>
      <c r="O30">
        <v>0</v>
      </c>
    </row>
    <row r="31" spans="1:15">
      <c r="A31">
        <v>1</v>
      </c>
      <c r="B31" t="s">
        <v>13</v>
      </c>
      <c r="C31" t="s">
        <v>14</v>
      </c>
      <c r="D31" t="s">
        <v>15</v>
      </c>
      <c r="E31">
        <v>3</v>
      </c>
      <c r="F31" t="s">
        <v>157</v>
      </c>
      <c r="G31" t="s">
        <v>16</v>
      </c>
      <c r="H31">
        <v>0</v>
      </c>
      <c r="I31">
        <v>0</v>
      </c>
      <c r="J31">
        <v>0</v>
      </c>
      <c r="K31">
        <v>0</v>
      </c>
      <c r="L31">
        <v>0</v>
      </c>
      <c r="M31">
        <v>0</v>
      </c>
      <c r="N31">
        <v>0</v>
      </c>
      <c r="O31">
        <v>0</v>
      </c>
    </row>
    <row r="32" spans="1:15">
      <c r="A32">
        <v>1</v>
      </c>
      <c r="B32" t="s">
        <v>13</v>
      </c>
      <c r="C32" t="s">
        <v>14</v>
      </c>
      <c r="D32" t="s">
        <v>15</v>
      </c>
      <c r="E32">
        <v>3</v>
      </c>
      <c r="F32" t="s">
        <v>157</v>
      </c>
      <c r="G32" t="s">
        <v>16</v>
      </c>
      <c r="H32">
        <v>0</v>
      </c>
      <c r="I32">
        <v>0</v>
      </c>
      <c r="J32">
        <v>0</v>
      </c>
      <c r="K32">
        <v>0</v>
      </c>
      <c r="L32">
        <v>0</v>
      </c>
      <c r="M32">
        <v>0</v>
      </c>
      <c r="N32">
        <v>0</v>
      </c>
      <c r="O32">
        <v>0</v>
      </c>
    </row>
    <row r="33" spans="1:15">
      <c r="A33">
        <v>1</v>
      </c>
      <c r="B33" t="s">
        <v>13</v>
      </c>
      <c r="C33" t="s">
        <v>14</v>
      </c>
      <c r="D33" t="s">
        <v>15</v>
      </c>
      <c r="E33">
        <v>3</v>
      </c>
      <c r="F33" t="s">
        <v>157</v>
      </c>
      <c r="G33" t="s">
        <v>16</v>
      </c>
      <c r="H33">
        <v>0</v>
      </c>
      <c r="I33">
        <v>0</v>
      </c>
      <c r="J33">
        <v>0</v>
      </c>
      <c r="K33">
        <v>0</v>
      </c>
      <c r="L33">
        <v>0</v>
      </c>
      <c r="M33">
        <v>0</v>
      </c>
      <c r="N33">
        <v>0</v>
      </c>
      <c r="O33">
        <v>0</v>
      </c>
    </row>
    <row r="34" spans="1:15">
      <c r="A34">
        <v>1</v>
      </c>
      <c r="B34" t="s">
        <v>13</v>
      </c>
      <c r="C34" t="s">
        <v>14</v>
      </c>
      <c r="D34" t="s">
        <v>15</v>
      </c>
      <c r="E34">
        <v>3</v>
      </c>
      <c r="F34" t="s">
        <v>158</v>
      </c>
      <c r="G34" t="s">
        <v>16</v>
      </c>
      <c r="I34">
        <v>3677500</v>
      </c>
      <c r="J34">
        <v>0</v>
      </c>
      <c r="K34">
        <v>0</v>
      </c>
      <c r="L34">
        <v>0</v>
      </c>
      <c r="M34">
        <v>0</v>
      </c>
      <c r="N34">
        <v>0</v>
      </c>
      <c r="O34">
        <v>3677500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E4BC4-86F5-4061-BE10-25182A71EC0E}">
  <dimension ref="D3:F24"/>
  <sheetViews>
    <sheetView workbookViewId="0">
      <selection activeCell="F8" sqref="F8"/>
    </sheetView>
  </sheetViews>
  <sheetFormatPr defaultRowHeight="10.5"/>
  <cols>
    <col min="4" max="4" width="20" customWidth="1"/>
    <col min="5" max="5" width="12" bestFit="1" customWidth="1"/>
    <col min="6" max="6" width="13.6640625" bestFit="1" customWidth="1"/>
  </cols>
  <sheetData>
    <row r="3" spans="4:6">
      <c r="D3" t="s">
        <v>147</v>
      </c>
    </row>
    <row r="4" spans="4:6">
      <c r="D4" t="s">
        <v>14</v>
      </c>
      <c r="E4" s="192">
        <v>111378.32000000007</v>
      </c>
      <c r="F4" s="193">
        <f>E4</f>
        <v>111378.32000000007</v>
      </c>
    </row>
    <row r="5" spans="4:6">
      <c r="D5" t="s">
        <v>49</v>
      </c>
      <c r="E5" s="192">
        <v>4828</v>
      </c>
      <c r="F5" s="192"/>
    </row>
    <row r="6" spans="4:6">
      <c r="D6" t="s">
        <v>49</v>
      </c>
      <c r="E6" s="192">
        <v>4346.359999999404</v>
      </c>
      <c r="F6" s="192"/>
    </row>
    <row r="7" spans="4:6">
      <c r="D7" t="s">
        <v>49</v>
      </c>
      <c r="E7" s="192">
        <v>40104.260000000708</v>
      </c>
      <c r="F7" s="192"/>
    </row>
    <row r="8" spans="4:6">
      <c r="D8" t="s">
        <v>49</v>
      </c>
      <c r="E8" s="192">
        <v>122496.81000000052</v>
      </c>
      <c r="F8" s="193">
        <f>SUM(E5:E8)</f>
        <v>171775.43000000063</v>
      </c>
    </row>
    <row r="9" spans="4:6">
      <c r="D9" t="s">
        <v>90</v>
      </c>
      <c r="E9" s="192">
        <v>50084.369999999646</v>
      </c>
      <c r="F9" s="192"/>
    </row>
    <row r="10" spans="4:6">
      <c r="D10" t="s">
        <v>90</v>
      </c>
      <c r="E10" s="192">
        <v>5373.5600000009872</v>
      </c>
      <c r="F10" s="192"/>
    </row>
    <row r="11" spans="4:6">
      <c r="D11" t="s">
        <v>90</v>
      </c>
      <c r="E11" s="192">
        <v>9928.5600000005215</v>
      </c>
      <c r="F11" s="192"/>
    </row>
    <row r="12" spans="4:6">
      <c r="D12" t="s">
        <v>90</v>
      </c>
      <c r="E12" s="192">
        <v>88298.30999999959</v>
      </c>
      <c r="F12" s="192"/>
    </row>
    <row r="13" spans="4:6">
      <c r="D13" t="s">
        <v>90</v>
      </c>
      <c r="E13" s="192">
        <v>5893.7400000006892</v>
      </c>
      <c r="F13" s="192"/>
    </row>
    <row r="14" spans="4:6">
      <c r="D14" t="s">
        <v>90</v>
      </c>
      <c r="E14" s="192">
        <v>78094.069999999832</v>
      </c>
      <c r="F14" s="192"/>
    </row>
    <row r="15" spans="4:6">
      <c r="D15" t="s">
        <v>90</v>
      </c>
      <c r="E15" s="192">
        <v>9.9999997764825821E-3</v>
      </c>
      <c r="F15" s="192"/>
    </row>
    <row r="16" spans="4:6">
      <c r="D16" t="s">
        <v>90</v>
      </c>
      <c r="E16" s="192">
        <v>10.009999999776483</v>
      </c>
      <c r="F16" s="192"/>
    </row>
    <row r="17" spans="4:6">
      <c r="D17" t="s">
        <v>90</v>
      </c>
      <c r="E17" s="192">
        <v>688958.08999999985</v>
      </c>
      <c r="F17" s="192"/>
    </row>
    <row r="18" spans="4:6">
      <c r="D18" t="s">
        <v>90</v>
      </c>
      <c r="E18" s="192">
        <v>578091.13000000035</v>
      </c>
      <c r="F18" s="193">
        <f>SUM(E9:E18)</f>
        <v>1504731.850000001</v>
      </c>
    </row>
    <row r="19" spans="4:6">
      <c r="D19" t="s">
        <v>99</v>
      </c>
      <c r="E19" s="192">
        <v>10769.85999999987</v>
      </c>
      <c r="F19" s="192"/>
    </row>
    <row r="20" spans="4:6">
      <c r="D20" t="s">
        <v>99</v>
      </c>
      <c r="E20" s="192">
        <v>7230.0400000005029</v>
      </c>
      <c r="F20" s="192"/>
    </row>
    <row r="21" spans="4:6">
      <c r="D21" t="s">
        <v>99</v>
      </c>
      <c r="E21" s="192">
        <v>424454.62000000011</v>
      </c>
      <c r="F21" s="192"/>
    </row>
    <row r="22" spans="4:6">
      <c r="D22" t="s">
        <v>99</v>
      </c>
      <c r="E22" s="192">
        <v>0</v>
      </c>
      <c r="F22" s="193">
        <f>SUM(E19:E22)</f>
        <v>442454.52000000048</v>
      </c>
    </row>
    <row r="23" spans="4:6">
      <c r="E23" s="192"/>
      <c r="F23" s="192"/>
    </row>
    <row r="24" spans="4:6">
      <c r="E24" s="192" t="s">
        <v>159</v>
      </c>
      <c r="F24" s="192">
        <f>SUM(F4:F22)</f>
        <v>2230340.120000002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9E60B-5397-4E5C-B1ED-0CBE66DC075B}">
  <sheetPr codeName="Sheet2" filterMode="1">
    <tabColor rgb="FF00B0F0"/>
  </sheetPr>
  <dimension ref="A1:AC10731"/>
  <sheetViews>
    <sheetView showGridLines="0" zoomScale="80" zoomScaleNormal="80" workbookViewId="0">
      <selection activeCell="K1805" activeCellId="4" sqref="L55 J1315 J1595 K2085 K1805"/>
    </sheetView>
  </sheetViews>
  <sheetFormatPr defaultColWidth="9.33203125" defaultRowHeight="11.25" customHeight="1"/>
  <cols>
    <col min="1" max="1" width="15.5" style="2" bestFit="1" customWidth="1"/>
    <col min="2" max="2" width="15.1640625" style="2" bestFit="1" customWidth="1"/>
    <col min="3" max="3" width="16.83203125" style="2" bestFit="1" customWidth="1"/>
    <col min="4" max="4" width="10.5" style="2" bestFit="1" customWidth="1"/>
    <col min="5" max="5" width="9" style="2" bestFit="1" customWidth="1"/>
    <col min="6" max="6" width="42.1640625" style="2" customWidth="1"/>
    <col min="7" max="7" width="10.6640625" style="2" customWidth="1"/>
    <col min="8" max="8" width="24.5" style="2" customWidth="1"/>
    <col min="9" max="9" width="18" style="2" customWidth="1"/>
    <col min="10" max="14" width="10.83203125" style="2" customWidth="1"/>
    <col min="15" max="15" width="20.6640625" style="2" customWidth="1"/>
    <col min="16" max="16" width="12.33203125" style="2" bestFit="1" customWidth="1"/>
    <col min="17" max="17" width="11.6640625" style="2" bestFit="1" customWidth="1"/>
    <col min="18" max="18" width="13.5" style="2" bestFit="1" customWidth="1"/>
    <col min="19" max="19" width="19.6640625" style="2" customWidth="1"/>
    <col min="20" max="20" width="19.5" style="2" bestFit="1" customWidth="1"/>
    <col min="21" max="21" width="16.33203125" style="2" bestFit="1" customWidth="1"/>
    <col min="22" max="22" width="37.33203125" style="2" bestFit="1" customWidth="1"/>
    <col min="23" max="24" width="9.33203125" style="2"/>
    <col min="25" max="29" width="9.33203125" style="34"/>
    <col min="30" max="16384" width="9.33203125" style="2"/>
  </cols>
  <sheetData>
    <row r="1" spans="1:29" ht="25.5" customHeight="1">
      <c r="A1" s="4" t="s">
        <v>160</v>
      </c>
      <c r="B1" s="4" t="s">
        <v>3</v>
      </c>
      <c r="C1" s="4" t="s">
        <v>4</v>
      </c>
      <c r="D1" s="4" t="s">
        <v>5</v>
      </c>
      <c r="E1" s="4" t="s">
        <v>6</v>
      </c>
      <c r="F1" s="4" t="s">
        <v>12</v>
      </c>
      <c r="G1" s="4" t="s">
        <v>7</v>
      </c>
      <c r="H1" s="4" t="s">
        <v>127</v>
      </c>
      <c r="I1" s="4" t="s">
        <v>128</v>
      </c>
      <c r="J1" s="4" t="s">
        <v>129</v>
      </c>
      <c r="K1" s="4" t="s">
        <v>130</v>
      </c>
      <c r="L1" s="4" t="s">
        <v>131</v>
      </c>
      <c r="M1" s="4" t="s">
        <v>132</v>
      </c>
      <c r="N1" s="4" t="s">
        <v>133</v>
      </c>
      <c r="O1" s="4" t="s">
        <v>134</v>
      </c>
      <c r="P1" s="4" t="s">
        <v>135</v>
      </c>
      <c r="Q1" s="4" t="s">
        <v>9</v>
      </c>
      <c r="R1" s="4" t="s">
        <v>136</v>
      </c>
      <c r="S1" s="4" t="s">
        <v>137</v>
      </c>
      <c r="T1" s="4" t="s">
        <v>138</v>
      </c>
      <c r="U1" s="1028" t="s">
        <v>161</v>
      </c>
      <c r="V1" s="4" t="s">
        <v>140</v>
      </c>
    </row>
    <row r="2" spans="1:29" ht="10.5" hidden="1">
      <c r="A2" s="2">
        <v>1</v>
      </c>
      <c r="B2" s="2" t="str">
        <f>VLOOKUP($A2,Controle!$B$4:$F$68,2,FALSE)</f>
        <v>Diamantina 1</v>
      </c>
      <c r="C2" s="2" t="str">
        <f>VLOOKUP($A2,Controle!$B$4:$F$68,3,FALSE)</f>
        <v xml:space="preserve">MORI GERACAO II </v>
      </c>
      <c r="D2" s="2" t="str">
        <f>VLOOKUP($A2,Controle!$B$4:$F$68,4,FALSE)</f>
        <v>Mori II</v>
      </c>
      <c r="E2" s="2">
        <f>VLOOKUP($A2,Controle!$B$4:$F$68,5,FALSE)</f>
        <v>3</v>
      </c>
      <c r="F2" s="14" t="s">
        <v>17</v>
      </c>
      <c r="G2" s="2" t="str">
        <f>VLOOKUP($A2,Controle!$B$4:$G$68,6,FALSE)</f>
        <v>Mori</v>
      </c>
      <c r="H2" s="6" t="s">
        <v>141</v>
      </c>
      <c r="I2" s="29">
        <v>308990.19</v>
      </c>
      <c r="J2" s="6">
        <v>0</v>
      </c>
      <c r="K2" s="6">
        <v>0</v>
      </c>
      <c r="L2" s="6">
        <v>0</v>
      </c>
      <c r="M2" s="6">
        <v>0</v>
      </c>
      <c r="N2" s="6">
        <v>0</v>
      </c>
      <c r="O2" s="4">
        <f t="shared" ref="O2:O35" si="0">SUM(I2:N2)</f>
        <v>308990.19</v>
      </c>
      <c r="P2" s="5">
        <f>SUMIFS('Desenvolvimento diário'!$H:$H,'Desenvolvimento diário'!$Q:$Q,$B2,'Desenvolvimento diário'!$P:$P,$F2,'Desenvolvimento diário'!$R:$R,"Sim")</f>
        <v>99490.19</v>
      </c>
      <c r="Q2" s="5">
        <f>SUMIFS('Desenvolvimento diário'!$H:$H,'Desenvolvimento diário'!$Q:$Q,$B2,'Desenvolvimento diário'!$P:$P,$F2,'Desenvolvimento diário'!$R:$R,"Não")</f>
        <v>209500</v>
      </c>
      <c r="R2" s="4">
        <f t="shared" ref="R2:R35" si="1">SUM(P2:Q2)</f>
        <v>308990.19</v>
      </c>
      <c r="S2" s="4">
        <f t="shared" ref="S2:S35" si="2">O2-R2</f>
        <v>0</v>
      </c>
      <c r="T2" s="12">
        <f>IFERROR(R2/O2,0)</f>
        <v>1</v>
      </c>
      <c r="Y2" s="2"/>
      <c r="Z2" s="2"/>
      <c r="AA2" s="2"/>
      <c r="AB2" s="2"/>
      <c r="AC2" s="2"/>
    </row>
    <row r="3" spans="1:29" ht="10.5" hidden="1">
      <c r="A3" s="2">
        <f t="shared" ref="A3:A32" si="3">A2</f>
        <v>1</v>
      </c>
      <c r="B3" s="2" t="str">
        <f>VLOOKUP($A3,Controle!$B$4:$F$68,2,FALSE)</f>
        <v>Diamantina 1</v>
      </c>
      <c r="C3" s="2" t="str">
        <f>VLOOKUP($A3,Controle!$B$4:$F$68,3,FALSE)</f>
        <v xml:space="preserve">MORI GERACAO II </v>
      </c>
      <c r="D3" s="2" t="str">
        <f>VLOOKUP($A3,Controle!$B$4:$F$68,4,FALSE)</f>
        <v>Mori II</v>
      </c>
      <c r="E3" s="2">
        <f>VLOOKUP($A3,Controle!$B$4:$F$68,5,FALSE)</f>
        <v>3</v>
      </c>
      <c r="F3" s="14" t="s">
        <v>19</v>
      </c>
      <c r="G3" s="2" t="str">
        <f>VLOOKUP($A3,Controle!$B$4:$G$68,6,FALSE)</f>
        <v>Mori</v>
      </c>
      <c r="H3" s="6" t="s">
        <v>141</v>
      </c>
      <c r="I3" s="6">
        <v>735500</v>
      </c>
      <c r="J3" s="6">
        <f>(-78468+0.23)</f>
        <v>-78467.77</v>
      </c>
      <c r="K3" s="6">
        <v>0</v>
      </c>
      <c r="L3" s="6">
        <v>0</v>
      </c>
      <c r="M3" s="6">
        <v>0</v>
      </c>
      <c r="N3" s="6">
        <v>0</v>
      </c>
      <c r="O3" s="4">
        <f t="shared" si="0"/>
        <v>657032.23</v>
      </c>
      <c r="P3" s="5">
        <f>SUMIFS('Desenvolvimento diário'!$H:$H,'Desenvolvimento diário'!$Q:$Q,$B3,'Desenvolvimento diário'!$P:$P,$F3,'Desenvolvimento diário'!$R:$R,"Sim")</f>
        <v>197032.22999999998</v>
      </c>
      <c r="Q3" s="5">
        <f>SUMIFS('Desenvolvimento diário'!$H:$H,'Desenvolvimento diário'!$Q:$Q,$B3,'Desenvolvimento diário'!$P:$P,$F3,'Desenvolvimento diário'!$R:$R,"Não")</f>
        <v>460000</v>
      </c>
      <c r="R3" s="4">
        <f t="shared" si="1"/>
        <v>657032.23</v>
      </c>
      <c r="S3" s="4">
        <f t="shared" si="2"/>
        <v>0</v>
      </c>
      <c r="T3" s="12">
        <f t="shared" ref="T2:T35" si="4">IFERROR(R3/O3,0)</f>
        <v>1</v>
      </c>
      <c r="Y3" s="2"/>
      <c r="Z3" s="2"/>
      <c r="AA3" s="2"/>
      <c r="AB3" s="2"/>
      <c r="AC3" s="2"/>
    </row>
    <row r="4" spans="1:29" ht="10.5" hidden="1">
      <c r="A4" s="2">
        <f t="shared" si="3"/>
        <v>1</v>
      </c>
      <c r="B4" s="2" t="str">
        <f>VLOOKUP($A4,Controle!$B$4:$F$68,2,FALSE)</f>
        <v>Diamantina 1</v>
      </c>
      <c r="C4" s="2" t="str">
        <f>VLOOKUP($A4,Controle!$B$4:$F$68,3,FALSE)</f>
        <v xml:space="preserve">MORI GERACAO II </v>
      </c>
      <c r="D4" s="2" t="str">
        <f>VLOOKUP($A4,Controle!$B$4:$F$68,4,FALSE)</f>
        <v>Mori II</v>
      </c>
      <c r="E4" s="2">
        <f>VLOOKUP($A4,Controle!$B$4:$F$68,5,FALSE)</f>
        <v>3</v>
      </c>
      <c r="F4" s="14" t="s">
        <v>22</v>
      </c>
      <c r="G4" s="2" t="str">
        <f>VLOOKUP($A4,Controle!$B$4:$G$68,6,FALSE)</f>
        <v>Mori</v>
      </c>
      <c r="H4" s="6" t="s">
        <v>142</v>
      </c>
      <c r="I4" s="6">
        <v>2556450</v>
      </c>
      <c r="J4" s="6">
        <v>157000</v>
      </c>
      <c r="K4" s="6">
        <v>91704.15</v>
      </c>
      <c r="L4" s="6">
        <v>251404.62</v>
      </c>
      <c r="M4" s="6">
        <v>44129.95</v>
      </c>
      <c r="N4" s="6">
        <v>0</v>
      </c>
      <c r="O4" s="4">
        <f t="shared" si="0"/>
        <v>3100688.72</v>
      </c>
      <c r="P4" s="5">
        <f>SUMIFS('Desenvolvimento diário'!$H:$H,'Desenvolvimento diário'!$Q:$Q,$B4,'Desenvolvimento diário'!$P:$P,$F4,'Desenvolvimento diário'!$R:$R,"Sim")</f>
        <v>1313672.68</v>
      </c>
      <c r="Q4" s="5">
        <f>SUMIFS('Desenvolvimento diário'!$H:$H,'Desenvolvimento diário'!$Q:$Q,$B4,'Desenvolvimento diário'!$P:$P,$F4,'Desenvolvimento diário'!$R:$R,"Não")</f>
        <v>1778347.14</v>
      </c>
      <c r="R4" s="4">
        <f t="shared" si="1"/>
        <v>3092019.82</v>
      </c>
      <c r="S4" s="33">
        <f t="shared" si="2"/>
        <v>8668.9000000003725</v>
      </c>
      <c r="T4" s="12">
        <f t="shared" si="4"/>
        <v>0.99720420178133828</v>
      </c>
      <c r="U4" s="510" t="s">
        <v>162</v>
      </c>
      <c r="V4" s="510" t="s">
        <v>163</v>
      </c>
      <c r="Y4" s="2"/>
      <c r="Z4" s="2"/>
      <c r="AA4" s="2"/>
      <c r="AB4" s="2"/>
      <c r="AC4" s="2"/>
    </row>
    <row r="5" spans="1:29" ht="10.5" hidden="1">
      <c r="A5" s="2">
        <f t="shared" si="3"/>
        <v>1</v>
      </c>
      <c r="B5" s="2" t="str">
        <f>VLOOKUP($A5,Controle!$B$4:$F$68,2,FALSE)</f>
        <v>Diamantina 1</v>
      </c>
      <c r="C5" s="2" t="str">
        <f>VLOOKUP($A5,Controle!$B$4:$F$68,3,FALSE)</f>
        <v xml:space="preserve">MORI GERACAO II </v>
      </c>
      <c r="D5" s="2" t="str">
        <f>VLOOKUP($A5,Controle!$B$4:$F$68,4,FALSE)</f>
        <v>Mori II</v>
      </c>
      <c r="E5" s="2">
        <f>VLOOKUP($A5,Controle!$B$4:$F$68,5,FALSE)</f>
        <v>3</v>
      </c>
      <c r="F5" s="14" t="s">
        <v>24</v>
      </c>
      <c r="G5" s="2" t="str">
        <f>VLOOKUP($A5,Controle!$B$4:$G$68,6,FALSE)</f>
        <v>Mori</v>
      </c>
      <c r="H5" s="6">
        <v>0</v>
      </c>
      <c r="I5" s="6">
        <v>0</v>
      </c>
      <c r="J5" s="6">
        <v>0</v>
      </c>
      <c r="K5" s="6">
        <v>0</v>
      </c>
      <c r="L5" s="6">
        <v>0</v>
      </c>
      <c r="M5" s="6">
        <v>0</v>
      </c>
      <c r="N5" s="6">
        <v>0</v>
      </c>
      <c r="O5" s="4">
        <f t="shared" si="0"/>
        <v>0</v>
      </c>
      <c r="P5" s="5">
        <f>SUMIFS('Desenvolvimento diário'!$H:$H,'Desenvolvimento diário'!$Q:$Q,$B5,'Desenvolvimento diário'!$P:$P,$F5,'Desenvolvimento diário'!$R:$R,"Sim")</f>
        <v>0</v>
      </c>
      <c r="Q5" s="5">
        <f>SUMIFS('Desenvolvimento diário'!$H:$H,'Desenvolvimento diário'!$Q:$Q,$B5,'Desenvolvimento diário'!$P:$P,$F5,'Desenvolvimento diário'!$R:$R,"Não")</f>
        <v>0</v>
      </c>
      <c r="R5" s="4">
        <f t="shared" si="1"/>
        <v>0</v>
      </c>
      <c r="S5" s="4">
        <f t="shared" si="2"/>
        <v>0</v>
      </c>
      <c r="T5" s="12">
        <f t="shared" si="4"/>
        <v>0</v>
      </c>
      <c r="Y5" s="2"/>
      <c r="Z5" s="2"/>
      <c r="AA5" s="2"/>
      <c r="AB5" s="2"/>
      <c r="AC5" s="2"/>
    </row>
    <row r="6" spans="1:29" ht="10.5" hidden="1">
      <c r="A6" s="2">
        <f t="shared" si="3"/>
        <v>1</v>
      </c>
      <c r="B6" s="34" t="str">
        <f>VLOOKUP($A6,Controle!$B$4:$F$68,2,FALSE)</f>
        <v>Diamantina 1</v>
      </c>
      <c r="C6" s="2" t="str">
        <f>VLOOKUP($A6,Controle!$B$4:$F$68,3,FALSE)</f>
        <v xml:space="preserve">MORI GERACAO II </v>
      </c>
      <c r="D6" s="2" t="str">
        <f>VLOOKUP($A6,Controle!$B$4:$F$68,4,FALSE)</f>
        <v>Mori II</v>
      </c>
      <c r="E6" s="2">
        <f>VLOOKUP($A6,Controle!$B$4:$F$68,5,FALSE)</f>
        <v>3</v>
      </c>
      <c r="F6" s="14" t="s">
        <v>26</v>
      </c>
      <c r="G6" s="2" t="str">
        <f>VLOOKUP($A6,Controle!$B$4:$G$68,6,FALSE)</f>
        <v>Mori</v>
      </c>
      <c r="H6" s="6" t="s">
        <v>143</v>
      </c>
      <c r="I6" s="6">
        <v>402477.3</v>
      </c>
      <c r="J6" s="6">
        <v>6400</v>
      </c>
      <c r="K6" s="6">
        <v>7304.5454</v>
      </c>
      <c r="L6" s="6">
        <v>0</v>
      </c>
      <c r="M6" s="6">
        <v>0</v>
      </c>
      <c r="N6" s="6">
        <v>0</v>
      </c>
      <c r="O6" s="4">
        <f>SUM(I6:N6)+0.1646</f>
        <v>416182.01</v>
      </c>
      <c r="P6" s="5">
        <f>SUMIFS('Desenvolvimento diário'!$H:$H,'Desenvolvimento diário'!$Q:$Q,$B6,'Desenvolvimento diário'!$P:$P,$F6,'Desenvolvimento diário'!$R:$R,"Sim")</f>
        <v>0</v>
      </c>
      <c r="Q6" s="5">
        <f>SUMIFS('Desenvolvimento diário'!$H:$H,'Desenvolvimento diário'!$Q:$Q,$B6,'Desenvolvimento diário'!$P:$P,$F6,'Desenvolvimento diário'!$R:$R,"Não")</f>
        <v>416182.00999999995</v>
      </c>
      <c r="R6" s="4">
        <f t="shared" si="1"/>
        <v>416182.00999999995</v>
      </c>
      <c r="S6" s="175">
        <f t="shared" si="2"/>
        <v>0</v>
      </c>
      <c r="T6" s="12">
        <f t="shared" si="4"/>
        <v>0.99999999999999989</v>
      </c>
      <c r="Y6" s="2"/>
      <c r="Z6" s="2"/>
      <c r="AA6" s="2"/>
      <c r="AB6" s="2"/>
      <c r="AC6" s="2"/>
    </row>
    <row r="7" spans="1:29" ht="10.5" hidden="1">
      <c r="A7" s="2">
        <f t="shared" si="3"/>
        <v>1</v>
      </c>
      <c r="B7" s="2" t="str">
        <f>VLOOKUP($A7,Controle!$B$4:$F$68,2,FALSE)</f>
        <v>Diamantina 1</v>
      </c>
      <c r="C7" s="2" t="str">
        <f>VLOOKUP($A7,Controle!$B$4:$F$68,3,FALSE)</f>
        <v xml:space="preserve">MORI GERACAO II </v>
      </c>
      <c r="D7" s="2" t="str">
        <f>VLOOKUP($A7,Controle!$B$4:$F$68,4,FALSE)</f>
        <v>Mori II</v>
      </c>
      <c r="E7" s="2">
        <f>VLOOKUP($A7,Controle!$B$4:$F$68,5,FALSE)</f>
        <v>3</v>
      </c>
      <c r="F7" s="14" t="s">
        <v>28</v>
      </c>
      <c r="G7" s="2" t="str">
        <f>VLOOKUP($A7,Controle!$B$4:$G$68,6,FALSE)</f>
        <v>Mori</v>
      </c>
      <c r="H7" s="6">
        <v>0</v>
      </c>
      <c r="I7" s="6">
        <v>0</v>
      </c>
      <c r="J7" s="6">
        <v>0</v>
      </c>
      <c r="K7" s="6">
        <v>0</v>
      </c>
      <c r="L7" s="6">
        <v>0</v>
      </c>
      <c r="M7" s="6">
        <v>0</v>
      </c>
      <c r="N7" s="6">
        <v>0</v>
      </c>
      <c r="O7" s="4">
        <f t="shared" si="0"/>
        <v>0</v>
      </c>
      <c r="P7" s="5">
        <f>SUMIFS('Desenvolvimento diário'!$H:$H,'Desenvolvimento diário'!$Q:$Q,$B7,'Desenvolvimento diário'!$P:$P,$F7,'Desenvolvimento diário'!$R:$R,"Sim")</f>
        <v>0</v>
      </c>
      <c r="Q7" s="5">
        <f>SUMIFS('Desenvolvimento diário'!$H:$H,'Desenvolvimento diário'!$Q:$Q,$B7,'Desenvolvimento diário'!$P:$P,$F7,'Desenvolvimento diário'!$R:$R,"Não")</f>
        <v>0</v>
      </c>
      <c r="R7" s="4">
        <f t="shared" si="1"/>
        <v>0</v>
      </c>
      <c r="S7" s="4">
        <f t="shared" si="2"/>
        <v>0</v>
      </c>
      <c r="T7" s="12">
        <f t="shared" si="4"/>
        <v>0</v>
      </c>
      <c r="Y7" s="2"/>
      <c r="Z7" s="2"/>
      <c r="AA7" s="2"/>
      <c r="AB7" s="2"/>
      <c r="AC7" s="2"/>
    </row>
    <row r="8" spans="1:29" ht="10.5" hidden="1">
      <c r="A8" s="2">
        <f t="shared" si="3"/>
        <v>1</v>
      </c>
      <c r="B8" s="2" t="str">
        <f>VLOOKUP($A8,Controle!$B$4:$F$68,2,FALSE)</f>
        <v>Diamantina 1</v>
      </c>
      <c r="C8" s="2" t="str">
        <f>VLOOKUP($A8,Controle!$B$4:$F$68,3,FALSE)</f>
        <v xml:space="preserve">MORI GERACAO II </v>
      </c>
      <c r="D8" s="2" t="str">
        <f>VLOOKUP($A8,Controle!$B$4:$F$68,4,FALSE)</f>
        <v>Mori II</v>
      </c>
      <c r="E8" s="2">
        <f>VLOOKUP($A8,Controle!$B$4:$F$68,5,FALSE)</f>
        <v>3</v>
      </c>
      <c r="F8" s="14" t="s">
        <v>30</v>
      </c>
      <c r="G8" s="2" t="str">
        <f>VLOOKUP($A8,Controle!$B$4:$G$68,6,FALSE)</f>
        <v>Mori</v>
      </c>
      <c r="H8" s="6">
        <v>0</v>
      </c>
      <c r="I8" s="6">
        <v>0</v>
      </c>
      <c r="J8" s="6">
        <v>0</v>
      </c>
      <c r="K8" s="6">
        <v>0</v>
      </c>
      <c r="L8" s="6">
        <v>0</v>
      </c>
      <c r="M8" s="6">
        <v>0</v>
      </c>
      <c r="N8" s="6">
        <v>0</v>
      </c>
      <c r="O8" s="4">
        <f t="shared" si="0"/>
        <v>0</v>
      </c>
      <c r="P8" s="5">
        <f>SUMIFS('Desenvolvimento diário'!$H:$H,'Desenvolvimento diário'!$Q:$Q,$B8,'Desenvolvimento diário'!$P:$P,$F8,'Desenvolvimento diário'!$R:$R,"Sim")</f>
        <v>0</v>
      </c>
      <c r="Q8" s="5">
        <f>SUMIFS('Desenvolvimento diário'!$H:$H,'Desenvolvimento diário'!$Q:$Q,$B8,'Desenvolvimento diário'!$P:$P,$F8,'Desenvolvimento diário'!$R:$R,"Não")</f>
        <v>0</v>
      </c>
      <c r="R8" s="4">
        <f t="shared" si="1"/>
        <v>0</v>
      </c>
      <c r="S8" s="4">
        <f t="shared" si="2"/>
        <v>0</v>
      </c>
      <c r="T8" s="12">
        <f t="shared" si="4"/>
        <v>0</v>
      </c>
      <c r="Y8" s="2"/>
      <c r="Z8" s="2"/>
      <c r="AA8" s="2"/>
      <c r="AB8" s="2"/>
      <c r="AC8" s="2"/>
    </row>
    <row r="9" spans="1:29" ht="10.5" hidden="1">
      <c r="A9" s="2">
        <f t="shared" si="3"/>
        <v>1</v>
      </c>
      <c r="B9" s="2" t="str">
        <f>VLOOKUP($A9,Controle!$B$4:$F$68,2,FALSE)</f>
        <v>Diamantina 1</v>
      </c>
      <c r="C9" s="2" t="str">
        <f>VLOOKUP($A9,Controle!$B$4:$F$68,3,FALSE)</f>
        <v xml:space="preserve">MORI GERACAO II </v>
      </c>
      <c r="D9" s="2" t="str">
        <f>VLOOKUP($A9,Controle!$B$4:$F$68,4,FALSE)</f>
        <v>Mori II</v>
      </c>
      <c r="E9" s="2">
        <f>VLOOKUP($A9,Controle!$B$4:$F$68,5,FALSE)</f>
        <v>3</v>
      </c>
      <c r="F9" s="14" t="s">
        <v>32</v>
      </c>
      <c r="G9" s="2" t="str">
        <f>VLOOKUP($A9,Controle!$B$4:$G$68,6,FALSE)</f>
        <v>Mori</v>
      </c>
      <c r="H9" s="6">
        <v>0</v>
      </c>
      <c r="I9" s="6">
        <v>0</v>
      </c>
      <c r="J9" s="6">
        <v>0</v>
      </c>
      <c r="K9" s="6">
        <v>0</v>
      </c>
      <c r="L9" s="6">
        <v>0</v>
      </c>
      <c r="M9" s="6">
        <v>0</v>
      </c>
      <c r="N9" s="6">
        <v>0</v>
      </c>
      <c r="O9" s="4">
        <f t="shared" si="0"/>
        <v>0</v>
      </c>
      <c r="P9" s="5">
        <f>SUMIFS('Desenvolvimento diário'!$H:$H,'Desenvolvimento diário'!$Q:$Q,$B9,'Desenvolvimento diário'!$P:$P,$F9,'Desenvolvimento diário'!$R:$R,"Sim")</f>
        <v>0</v>
      </c>
      <c r="Q9" s="5">
        <f>SUMIFS('Desenvolvimento diário'!$H:$H,'Desenvolvimento diário'!$Q:$Q,$B9,'Desenvolvimento diário'!$P:$P,$F9,'Desenvolvimento diário'!$R:$R,"Não")</f>
        <v>0</v>
      </c>
      <c r="R9" s="4">
        <f t="shared" si="1"/>
        <v>0</v>
      </c>
      <c r="S9" s="4">
        <f t="shared" si="2"/>
        <v>0</v>
      </c>
      <c r="T9" s="12">
        <f t="shared" si="4"/>
        <v>0</v>
      </c>
      <c r="Y9" s="2"/>
      <c r="Z9" s="2"/>
      <c r="AA9" s="2"/>
      <c r="AB9" s="2"/>
      <c r="AC9" s="2"/>
    </row>
    <row r="10" spans="1:29" ht="10.5" hidden="1">
      <c r="A10" s="2">
        <f>A9</f>
        <v>1</v>
      </c>
      <c r="B10" s="2" t="str">
        <f>VLOOKUP($A10,Controle!$B$4:$F$68,2,FALSE)</f>
        <v>Diamantina 1</v>
      </c>
      <c r="C10" s="2" t="str">
        <f>VLOOKUP($A10,Controle!$B$4:$F$68,3,FALSE)</f>
        <v xml:space="preserve">MORI GERACAO II </v>
      </c>
      <c r="D10" s="2" t="str">
        <f>VLOOKUP($A10,Controle!$B$4:$F$68,4,FALSE)</f>
        <v>Mori II</v>
      </c>
      <c r="E10" s="2">
        <f>VLOOKUP($A10,Controle!$B$4:$F$68,5,FALSE)</f>
        <v>3</v>
      </c>
      <c r="F10" s="14" t="s">
        <v>34</v>
      </c>
      <c r="G10" s="2" t="str">
        <f>VLOOKUP($A10,Controle!$B$4:$G$68,6,FALSE)</f>
        <v>Mori</v>
      </c>
      <c r="H10" s="6" t="s">
        <v>144</v>
      </c>
      <c r="I10" s="6">
        <v>1200784.6885655141</v>
      </c>
      <c r="J10" s="6">
        <v>0</v>
      </c>
      <c r="K10" s="6">
        <v>0</v>
      </c>
      <c r="L10" s="6">
        <v>0</v>
      </c>
      <c r="M10" s="6">
        <v>0</v>
      </c>
      <c r="N10" s="6">
        <v>0</v>
      </c>
      <c r="O10" s="4">
        <f t="shared" si="0"/>
        <v>1200784.6885655141</v>
      </c>
      <c r="P10" s="5">
        <f>SUMIFS('Desenvolvimento diário'!$H:$H,'Desenvolvimento diário'!$Q:$Q,$B10,'Desenvolvimento diário'!$P:$P,$F10,'Desenvolvimento diário'!$R:$R,"Sim")</f>
        <v>0</v>
      </c>
      <c r="Q10" s="5">
        <f>SUMIFS('Desenvolvimento diário'!$H:$H,'Desenvolvimento diário'!$Q:$Q,$B10,'Desenvolvimento diário'!$P:$P,$F10,'Desenvolvimento diário'!$R:$R,"Não")</f>
        <v>1200784.6885655141</v>
      </c>
      <c r="R10" s="4">
        <f t="shared" si="1"/>
        <v>1200784.6885655141</v>
      </c>
      <c r="S10" s="4">
        <f t="shared" si="2"/>
        <v>0</v>
      </c>
      <c r="T10" s="12">
        <f t="shared" si="4"/>
        <v>1</v>
      </c>
      <c r="Y10" s="2"/>
      <c r="Z10" s="2"/>
      <c r="AA10" s="2"/>
      <c r="AB10" s="2"/>
      <c r="AC10" s="2"/>
    </row>
    <row r="11" spans="1:29" ht="10.5" hidden="1">
      <c r="A11" s="2">
        <f t="shared" si="3"/>
        <v>1</v>
      </c>
      <c r="B11" s="2" t="str">
        <f>VLOOKUP($A11,Controle!$B$4:$F$68,2,FALSE)</f>
        <v>Diamantina 1</v>
      </c>
      <c r="C11" s="2" t="str">
        <f>VLOOKUP($A11,Controle!$B$4:$F$68,3,FALSE)</f>
        <v xml:space="preserve">MORI GERACAO II </v>
      </c>
      <c r="D11" s="2" t="str">
        <f>VLOOKUP($A11,Controle!$B$4:$F$68,4,FALSE)</f>
        <v>Mori II</v>
      </c>
      <c r="E11" s="2">
        <f>VLOOKUP($A11,Controle!$B$4:$F$68,5,FALSE)</f>
        <v>3</v>
      </c>
      <c r="F11" s="14" t="s">
        <v>36</v>
      </c>
      <c r="G11" s="2" t="str">
        <f>VLOOKUP($A11,Controle!$B$4:$G$68,6,FALSE)</f>
        <v>Mori</v>
      </c>
      <c r="H11" s="6" t="s">
        <v>145</v>
      </c>
      <c r="I11" s="6">
        <v>0</v>
      </c>
      <c r="J11" s="6">
        <v>0</v>
      </c>
      <c r="K11" s="6">
        <v>0</v>
      </c>
      <c r="L11" s="6">
        <v>0</v>
      </c>
      <c r="M11" s="6">
        <v>0</v>
      </c>
      <c r="N11" s="6">
        <v>0</v>
      </c>
      <c r="O11" s="4">
        <f t="shared" si="0"/>
        <v>0</v>
      </c>
      <c r="P11" s="5">
        <f>SUMIFS('Desenvolvimento diário'!$H:$H,'Desenvolvimento diário'!$Q:$Q,$B11,'Desenvolvimento diário'!$P:$P,$F11,'Desenvolvimento diário'!$R:$R,"Sim")</f>
        <v>0</v>
      </c>
      <c r="Q11" s="5">
        <f>SUMIFS('Desenvolvimento diário'!$H:$H,'Desenvolvimento diário'!$Q:$Q,$B11,'Desenvolvimento diário'!$P:$P,$F11,'Desenvolvimento diário'!$R:$R,"Não")</f>
        <v>0</v>
      </c>
      <c r="R11" s="4">
        <f t="shared" si="1"/>
        <v>0</v>
      </c>
      <c r="S11" s="4">
        <f t="shared" si="2"/>
        <v>0</v>
      </c>
      <c r="T11" s="12">
        <f t="shared" si="4"/>
        <v>0</v>
      </c>
      <c r="Y11" s="2"/>
      <c r="Z11" s="2"/>
      <c r="AA11" s="2"/>
      <c r="AB11" s="2"/>
      <c r="AC11" s="2"/>
    </row>
    <row r="12" spans="1:29" ht="10.5" hidden="1">
      <c r="A12" s="2">
        <f t="shared" si="3"/>
        <v>1</v>
      </c>
      <c r="B12" s="2" t="str">
        <f>VLOOKUP($A12,Controle!$B$4:$F$68,2,FALSE)</f>
        <v>Diamantina 1</v>
      </c>
      <c r="C12" s="2" t="str">
        <f>VLOOKUP($A12,Controle!$B$4:$F$68,3,FALSE)</f>
        <v xml:space="preserve">MORI GERACAO II </v>
      </c>
      <c r="D12" s="2" t="str">
        <f>VLOOKUP($A12,Controle!$B$4:$F$68,4,FALSE)</f>
        <v>Mori II</v>
      </c>
      <c r="E12" s="2">
        <f>VLOOKUP($A12,Controle!$B$4:$F$68,5,FALSE)</f>
        <v>3</v>
      </c>
      <c r="F12" s="14" t="s">
        <v>38</v>
      </c>
      <c r="G12" s="2" t="str">
        <f>VLOOKUP($A12,Controle!$B$4:$G$68,6,FALSE)</f>
        <v>Mori</v>
      </c>
      <c r="H12" s="6" t="s">
        <v>146</v>
      </c>
      <c r="I12" s="6" t="s">
        <v>164</v>
      </c>
      <c r="J12" s="6">
        <v>0</v>
      </c>
      <c r="K12" s="6">
        <v>0</v>
      </c>
      <c r="L12" s="6">
        <v>0</v>
      </c>
      <c r="M12" s="6">
        <v>0</v>
      </c>
      <c r="N12" s="6">
        <v>0</v>
      </c>
      <c r="O12" s="4">
        <f t="shared" si="0"/>
        <v>0</v>
      </c>
      <c r="P12" s="5">
        <f>SUMIFS('Desenvolvimento diário'!$H:$H,'Desenvolvimento diário'!$Q:$Q,$B12,'Desenvolvimento diário'!$P:$P,$F12,'Desenvolvimento diário'!$R:$R,"Sim")</f>
        <v>0</v>
      </c>
      <c r="Q12" s="5">
        <f>SUMIFS('Desenvolvimento diário'!$H:$H,'Desenvolvimento diário'!$Q:$Q,$B12,'Desenvolvimento diário'!$P:$P,$F12,'Desenvolvimento diário'!$R:$R,"Não")</f>
        <v>0</v>
      </c>
      <c r="R12" s="4">
        <f t="shared" si="1"/>
        <v>0</v>
      </c>
      <c r="S12" s="4">
        <f t="shared" si="2"/>
        <v>0</v>
      </c>
      <c r="T12" s="12">
        <f t="shared" si="4"/>
        <v>0</v>
      </c>
      <c r="Y12" s="2"/>
      <c r="Z12" s="2"/>
      <c r="AA12" s="2"/>
      <c r="AB12" s="2"/>
      <c r="AC12" s="2"/>
    </row>
    <row r="13" spans="1:29" ht="10.5" hidden="1">
      <c r="A13" s="2">
        <f t="shared" si="3"/>
        <v>1</v>
      </c>
      <c r="B13" s="2" t="str">
        <f>VLOOKUP($A13,Controle!$B$4:$F$68,2,FALSE)</f>
        <v>Diamantina 1</v>
      </c>
      <c r="C13" s="2" t="str">
        <f>VLOOKUP($A13,Controle!$B$4:$F$68,3,FALSE)</f>
        <v xml:space="preserve">MORI GERACAO II </v>
      </c>
      <c r="D13" s="2" t="str">
        <f>VLOOKUP($A13,Controle!$B$4:$F$68,4,FALSE)</f>
        <v>Mori II</v>
      </c>
      <c r="E13" s="2">
        <f>VLOOKUP($A13,Controle!$B$4:$F$68,5,FALSE)</f>
        <v>3</v>
      </c>
      <c r="F13" s="14" t="s">
        <v>40</v>
      </c>
      <c r="G13" s="2" t="str">
        <f>VLOOKUP($A13,Controle!$B$4:$G$68,6,FALSE)</f>
        <v>Mori</v>
      </c>
      <c r="H13" s="6">
        <v>0</v>
      </c>
      <c r="I13" s="6">
        <v>0</v>
      </c>
      <c r="J13" s="6">
        <v>0</v>
      </c>
      <c r="K13" s="6">
        <v>0</v>
      </c>
      <c r="L13" s="6">
        <v>0</v>
      </c>
      <c r="M13" s="6">
        <v>0</v>
      </c>
      <c r="N13" s="6">
        <v>0</v>
      </c>
      <c r="O13" s="4">
        <f t="shared" si="0"/>
        <v>0</v>
      </c>
      <c r="P13" s="5">
        <f>SUMIFS('Desenvolvimento diário'!$H:$H,'Desenvolvimento diário'!$Q:$Q,$B13,'Desenvolvimento diário'!$P:$P,$F13,'Desenvolvimento diário'!$R:$R,"Sim")</f>
        <v>0</v>
      </c>
      <c r="Q13" s="5">
        <f>SUMIFS('Desenvolvimento diário'!$H:$H,'Desenvolvimento diário'!$Q:$Q,$B13,'Desenvolvimento diário'!$P:$P,$F13,'Desenvolvimento diário'!$R:$R,"Não")</f>
        <v>0</v>
      </c>
      <c r="R13" s="4">
        <f t="shared" si="1"/>
        <v>0</v>
      </c>
      <c r="S13" s="4">
        <f t="shared" si="2"/>
        <v>0</v>
      </c>
      <c r="T13" s="12">
        <f t="shared" si="4"/>
        <v>0</v>
      </c>
      <c r="Y13" s="2"/>
      <c r="Z13" s="2"/>
      <c r="AA13" s="2"/>
      <c r="AB13" s="2"/>
      <c r="AC13" s="2"/>
    </row>
    <row r="14" spans="1:29" ht="10.5" hidden="1">
      <c r="A14" s="2">
        <f t="shared" si="3"/>
        <v>1</v>
      </c>
      <c r="B14" s="2" t="str">
        <f>VLOOKUP($A14,Controle!$B$4:$F$68,2,FALSE)</f>
        <v>Diamantina 1</v>
      </c>
      <c r="C14" s="2" t="str">
        <f>VLOOKUP($A14,Controle!$B$4:$F$68,3,FALSE)</f>
        <v xml:space="preserve">MORI GERACAO II </v>
      </c>
      <c r="D14" s="2" t="str">
        <f>VLOOKUP($A14,Controle!$B$4:$F$68,4,FALSE)</f>
        <v>Mori II</v>
      </c>
      <c r="E14" s="2">
        <f>VLOOKUP($A14,Controle!$B$4:$F$68,5,FALSE)</f>
        <v>3</v>
      </c>
      <c r="F14" s="14" t="s">
        <v>42</v>
      </c>
      <c r="G14" s="2" t="str">
        <f>VLOOKUP($A14,Controle!$B$4:$G$68,6,FALSE)</f>
        <v>Mori</v>
      </c>
      <c r="H14" s="6" t="s">
        <v>147</v>
      </c>
      <c r="I14" s="6">
        <v>93783</v>
      </c>
      <c r="J14" s="6">
        <v>42026.46</v>
      </c>
      <c r="K14" s="6">
        <v>0</v>
      </c>
      <c r="L14" s="6">
        <v>0</v>
      </c>
      <c r="M14" s="6">
        <v>0</v>
      </c>
      <c r="N14" s="6">
        <v>0</v>
      </c>
      <c r="O14" s="4">
        <f t="shared" si="0"/>
        <v>135809.46</v>
      </c>
      <c r="P14" s="5">
        <f>SUMIFS('Desenvolvimento diário'!$H:$H,'Desenvolvimento diário'!$Q:$Q,$B14,'Desenvolvimento diário'!$P:$P,$F14,'Desenvolvimento diário'!$R:$R,"Sim")</f>
        <v>0</v>
      </c>
      <c r="Q14" s="5">
        <f>SUMIFS('Desenvolvimento diário'!$H:$H,'Desenvolvimento diário'!$Q:$Q,$B14,'Desenvolvimento diário'!$P:$P,$F14,'Desenvolvimento diário'!$R:$R,"Não")</f>
        <v>135809.46</v>
      </c>
      <c r="R14" s="4">
        <f t="shared" si="1"/>
        <v>135809.46</v>
      </c>
      <c r="S14" s="4">
        <f t="shared" si="2"/>
        <v>0</v>
      </c>
      <c r="T14" s="12">
        <f t="shared" si="4"/>
        <v>1</v>
      </c>
      <c r="Y14" s="2"/>
      <c r="Z14" s="2"/>
      <c r="AA14" s="2"/>
      <c r="AB14" s="2"/>
      <c r="AC14" s="2"/>
    </row>
    <row r="15" spans="1:29" ht="10.5" hidden="1">
      <c r="A15" s="2">
        <f t="shared" si="3"/>
        <v>1</v>
      </c>
      <c r="B15" s="2" t="str">
        <f>VLOOKUP($A15,Controle!$B$4:$F$68,2,FALSE)</f>
        <v>Diamantina 1</v>
      </c>
      <c r="C15" s="2" t="str">
        <f>VLOOKUP($A15,Controle!$B$4:$F$68,3,FALSE)</f>
        <v xml:space="preserve">MORI GERACAO II </v>
      </c>
      <c r="D15" s="2" t="str">
        <f>VLOOKUP($A15,Controle!$B$4:$F$68,4,FALSE)</f>
        <v>Mori II</v>
      </c>
      <c r="E15" s="2">
        <f>VLOOKUP($A15,Controle!$B$4:$F$68,5,FALSE)</f>
        <v>3</v>
      </c>
      <c r="F15" s="14" t="s">
        <v>44</v>
      </c>
      <c r="G15" s="2" t="str">
        <f>VLOOKUP($A15,Controle!$B$4:$G$68,6,FALSE)</f>
        <v>Mori</v>
      </c>
      <c r="H15" s="6" t="s">
        <v>148</v>
      </c>
      <c r="I15" s="6">
        <f>R15</f>
        <v>177481.41000000006</v>
      </c>
      <c r="J15" s="6">
        <v>0</v>
      </c>
      <c r="K15" s="6">
        <v>0</v>
      </c>
      <c r="L15" s="6">
        <v>0</v>
      </c>
      <c r="M15" s="6">
        <v>0</v>
      </c>
      <c r="N15" s="6">
        <v>0</v>
      </c>
      <c r="O15" s="4">
        <f t="shared" si="0"/>
        <v>177481.41000000006</v>
      </c>
      <c r="P15" s="5">
        <f>SUMIFS('Desenvolvimento diário'!$H:$H,'Desenvolvimento diário'!$Q:$Q,$B15,'Desenvolvimento diário'!$P:$P,$F15,'Desenvolvimento diário'!$R:$R,"Sim")</f>
        <v>0</v>
      </c>
      <c r="Q15" s="5">
        <f>SUMIFS('Desenvolvimento diário'!$H:$H,'Desenvolvimento diário'!$Q:$Q,$B15,'Desenvolvimento diário'!$P:$P,$F15,'Desenvolvimento diário'!$R:$R,"Não")</f>
        <v>177481.41000000006</v>
      </c>
      <c r="R15" s="4">
        <f t="shared" si="1"/>
        <v>177481.41000000006</v>
      </c>
      <c r="S15" s="4">
        <f t="shared" si="2"/>
        <v>0</v>
      </c>
      <c r="T15" s="12">
        <f t="shared" si="4"/>
        <v>1</v>
      </c>
      <c r="Y15" s="2"/>
      <c r="Z15" s="2"/>
      <c r="AA15" s="2"/>
      <c r="AB15" s="2"/>
      <c r="AC15" s="2"/>
    </row>
    <row r="16" spans="1:29" hidden="1">
      <c r="A16" s="2">
        <f t="shared" si="3"/>
        <v>1</v>
      </c>
      <c r="B16" s="34" t="str">
        <f>VLOOKUP($A16,Controle!$B$4:$F$68,2,FALSE)</f>
        <v>Diamantina 1</v>
      </c>
      <c r="C16" s="2" t="str">
        <f>VLOOKUP($A16,Controle!$B$4:$F$68,3,FALSE)</f>
        <v xml:space="preserve">MORI GERACAO II </v>
      </c>
      <c r="D16" s="2" t="str">
        <f>VLOOKUP($A16,Controle!$B$4:$F$68,4,FALSE)</f>
        <v>Mori II</v>
      </c>
      <c r="E16" s="2">
        <f>VLOOKUP($A16,Controle!$B$4:$F$68,5,FALSE)</f>
        <v>3</v>
      </c>
      <c r="F16" s="14" t="s">
        <v>46</v>
      </c>
      <c r="G16" s="2" t="str">
        <f>VLOOKUP($A16,Controle!$B$4:$G$68,6,FALSE)</f>
        <v>Mori</v>
      </c>
      <c r="H16" s="31" t="s">
        <v>149</v>
      </c>
      <c r="I16" s="31">
        <v>6206.9</v>
      </c>
      <c r="J16" s="31">
        <v>0</v>
      </c>
      <c r="K16" s="31">
        <v>0</v>
      </c>
      <c r="L16" s="6">
        <v>0</v>
      </c>
      <c r="M16" s="6">
        <v>0</v>
      </c>
      <c r="N16" s="6">
        <v>0</v>
      </c>
      <c r="O16" s="4">
        <f t="shared" si="0"/>
        <v>6206.9</v>
      </c>
      <c r="P16" s="5">
        <f>SUMIFS('Desenvolvimento diário'!$H:$H,'Desenvolvimento diário'!$Q:$Q,$B16,'Desenvolvimento diário'!$P:$P,$F16,'Desenvolvimento diário'!$R:$R,"Sim")</f>
        <v>0</v>
      </c>
      <c r="Q16" s="5">
        <f>SUMIFS('Desenvolvimento diário'!$H:$H,'Desenvolvimento diário'!$Q:$Q,$B16,'Desenvolvimento diário'!$P:$P,$F16,'Desenvolvimento diário'!$R:$R,"Não")</f>
        <v>6206.9</v>
      </c>
      <c r="R16" s="4">
        <f t="shared" si="1"/>
        <v>6206.9</v>
      </c>
      <c r="S16" s="93">
        <f t="shared" si="2"/>
        <v>0</v>
      </c>
      <c r="T16" s="12">
        <f t="shared" si="4"/>
        <v>1</v>
      </c>
      <c r="Y16" s="2"/>
      <c r="Z16" s="2"/>
      <c r="AA16" s="2"/>
      <c r="AB16" s="2"/>
      <c r="AC16" s="2"/>
    </row>
    <row r="17" spans="1:29" ht="10.5" hidden="1">
      <c r="A17" s="2">
        <f>A16</f>
        <v>1</v>
      </c>
      <c r="B17" s="2" t="str">
        <f>VLOOKUP($A17,Controle!$B$4:$F$68,2,FALSE)</f>
        <v>Diamantina 1</v>
      </c>
      <c r="C17" s="2" t="str">
        <f>VLOOKUP($A17,Controle!$B$4:$F$68,3,FALSE)</f>
        <v xml:space="preserve">MORI GERACAO II </v>
      </c>
      <c r="D17" s="2" t="str">
        <f>VLOOKUP($A17,Controle!$B$4:$F$68,4,FALSE)</f>
        <v>Mori II</v>
      </c>
      <c r="E17" s="2">
        <f>VLOOKUP($A17,Controle!$B$4:$F$68,5,FALSE)</f>
        <v>3</v>
      </c>
      <c r="F17" s="14" t="s">
        <v>51</v>
      </c>
      <c r="G17" s="2" t="str">
        <f>VLOOKUP($A17,Controle!$B$4:$G$68,6,FALSE)</f>
        <v>Mori</v>
      </c>
      <c r="H17" s="6" t="s">
        <v>150</v>
      </c>
      <c r="I17" s="6">
        <f>136155.01-0.02</f>
        <v>136154.99000000002</v>
      </c>
      <c r="J17" s="6"/>
      <c r="K17" s="6">
        <v>0</v>
      </c>
      <c r="L17" s="6">
        <v>0</v>
      </c>
      <c r="M17" s="6">
        <v>0</v>
      </c>
      <c r="N17" s="6">
        <v>0</v>
      </c>
      <c r="O17" s="4">
        <f t="shared" si="0"/>
        <v>136154.99000000002</v>
      </c>
      <c r="P17" s="5">
        <f>SUMIFS('Desenvolvimento diário'!$H:$H,'Desenvolvimento diário'!$Q:$Q,$B17,'Desenvolvimento diário'!$P:$P,$F17,'Desenvolvimento diário'!$R:$R,"Sim")</f>
        <v>5821.02</v>
      </c>
      <c r="Q17" s="5">
        <f>SUMIFS('Desenvolvimento diário'!$H:$H,'Desenvolvimento diário'!$Q:$Q,$B17,'Desenvolvimento diário'!$P:$P,$F17,'Desenvolvimento diário'!$R:$R,"Não")</f>
        <v>130333.97000000002</v>
      </c>
      <c r="R17" s="4">
        <f t="shared" si="1"/>
        <v>136154.99000000002</v>
      </c>
      <c r="S17" s="93">
        <f>O17-R17</f>
        <v>0</v>
      </c>
      <c r="T17" s="12">
        <f t="shared" si="4"/>
        <v>1</v>
      </c>
      <c r="Y17" s="2"/>
      <c r="Z17" s="2"/>
      <c r="AA17" s="2"/>
      <c r="AB17" s="2"/>
      <c r="AC17" s="2"/>
    </row>
    <row r="18" spans="1:29" ht="10.5" hidden="1">
      <c r="A18" s="2">
        <f t="shared" si="3"/>
        <v>1</v>
      </c>
      <c r="B18" s="2" t="str">
        <f>VLOOKUP($A18,Controle!$B$4:$F$68,2,FALSE)</f>
        <v>Diamantina 1</v>
      </c>
      <c r="C18" s="2" t="str">
        <f>VLOOKUP($A18,Controle!$B$4:$F$68,3,FALSE)</f>
        <v xml:space="preserve">MORI GERACAO II </v>
      </c>
      <c r="D18" s="2" t="str">
        <f>VLOOKUP($A18,Controle!$B$4:$F$68,4,FALSE)</f>
        <v>Mori II</v>
      </c>
      <c r="E18" s="2">
        <f>VLOOKUP($A18,Controle!$B$4:$F$68,5,FALSE)</f>
        <v>3</v>
      </c>
      <c r="F18" s="14" t="s">
        <v>53</v>
      </c>
      <c r="G18" s="2" t="str">
        <f>VLOOKUP($A18,Controle!$B$4:$G$68,6,FALSE)</f>
        <v>Mori</v>
      </c>
      <c r="H18" s="6" t="s">
        <v>151</v>
      </c>
      <c r="I18" s="6">
        <v>48276.516000000003</v>
      </c>
      <c r="J18" s="6">
        <v>0</v>
      </c>
      <c r="K18" s="6">
        <v>0</v>
      </c>
      <c r="L18" s="6">
        <v>0</v>
      </c>
      <c r="M18" s="6">
        <v>0</v>
      </c>
      <c r="N18" s="6">
        <v>0</v>
      </c>
      <c r="O18" s="4">
        <f t="shared" si="0"/>
        <v>48276.516000000003</v>
      </c>
      <c r="P18" s="5">
        <f>SUMIFS('Desenvolvimento diário'!$H:$H,'Desenvolvimento diário'!$Q:$Q,$B18,'Desenvolvimento diário'!$P:$P,$F18,'Desenvolvimento diário'!$R:$R,"Sim")</f>
        <v>0</v>
      </c>
      <c r="Q18" s="5">
        <f>SUMIFS('Desenvolvimento diário'!$H:$H,'Desenvolvimento diário'!$Q:$Q,$B18,'Desenvolvimento diário'!$P:$P,$F18,'Desenvolvimento diário'!$R:$R,"Não")</f>
        <v>48276.516000000003</v>
      </c>
      <c r="R18" s="4">
        <f t="shared" si="1"/>
        <v>48276.516000000003</v>
      </c>
      <c r="S18" s="4">
        <f t="shared" si="2"/>
        <v>0</v>
      </c>
      <c r="T18" s="12">
        <f t="shared" si="4"/>
        <v>1</v>
      </c>
      <c r="Y18" s="2"/>
      <c r="Z18" s="2"/>
      <c r="AA18" s="2"/>
      <c r="AB18" s="2"/>
      <c r="AC18" s="2"/>
    </row>
    <row r="19" spans="1:29" hidden="1">
      <c r="A19" s="2">
        <f t="shared" si="3"/>
        <v>1</v>
      </c>
      <c r="B19" s="2" t="str">
        <f>VLOOKUP($A19,Controle!$B$4:$F$68,2,FALSE)</f>
        <v>Diamantina 1</v>
      </c>
      <c r="C19" s="2" t="str">
        <f>VLOOKUP($A19,Controle!$B$4:$F$68,3,FALSE)</f>
        <v xml:space="preserve">MORI GERACAO II </v>
      </c>
      <c r="D19" s="2" t="str">
        <f>VLOOKUP($A19,Controle!$B$4:$F$68,4,FALSE)</f>
        <v>Mori II</v>
      </c>
      <c r="E19" s="2">
        <f>VLOOKUP($A19,Controle!$B$4:$F$68,5,FALSE)</f>
        <v>3</v>
      </c>
      <c r="F19" s="14" t="s">
        <v>55</v>
      </c>
      <c r="G19" s="2" t="str">
        <f>VLOOKUP($A19,Controle!$B$4:$G$68,6,FALSE)</f>
        <v>Mori</v>
      </c>
      <c r="H19" s="31" t="s">
        <v>152</v>
      </c>
      <c r="I19" s="6">
        <v>248414.57</v>
      </c>
      <c r="J19" s="6">
        <v>0</v>
      </c>
      <c r="K19" s="28">
        <v>10913.68</v>
      </c>
      <c r="L19" s="6">
        <v>0</v>
      </c>
      <c r="M19" s="6">
        <v>0</v>
      </c>
      <c r="N19" s="6">
        <v>0</v>
      </c>
      <c r="O19" s="4">
        <f t="shared" si="0"/>
        <v>259328.25</v>
      </c>
      <c r="P19" s="5">
        <f>SUMIFS('Desenvolvimento diário'!$H:$H,'Desenvolvimento diário'!$Q:$Q,$B19,'Desenvolvimento diário'!$P:$P,$F19,'Desenvolvimento diário'!$R:$R,"Sim")</f>
        <v>0</v>
      </c>
      <c r="Q19" s="5">
        <f>SUMIFS('Desenvolvimento diário'!$H:$H,'Desenvolvimento diário'!$Q:$Q,$B19,'Desenvolvimento diário'!$P:$P,$F19,'Desenvolvimento diário'!$R:$R,"Não")</f>
        <v>259328.25</v>
      </c>
      <c r="R19" s="4">
        <f t="shared" si="1"/>
        <v>259328.25</v>
      </c>
      <c r="S19" s="4">
        <f t="shared" si="2"/>
        <v>0</v>
      </c>
      <c r="T19" s="12">
        <f t="shared" si="4"/>
        <v>1</v>
      </c>
      <c r="Y19" s="2"/>
      <c r="Z19" s="2"/>
      <c r="AA19" s="2"/>
      <c r="AB19" s="2"/>
      <c r="AC19" s="2"/>
    </row>
    <row r="20" spans="1:29" hidden="1">
      <c r="A20" s="2">
        <f t="shared" si="3"/>
        <v>1</v>
      </c>
      <c r="B20" s="2" t="str">
        <f>VLOOKUP($A20,Controle!$B$4:$F$68,2,FALSE)</f>
        <v>Diamantina 1</v>
      </c>
      <c r="C20" s="2" t="str">
        <f>VLOOKUP($A20,Controle!$B$4:$F$68,3,FALSE)</f>
        <v xml:space="preserve">MORI GERACAO II </v>
      </c>
      <c r="D20" s="2" t="str">
        <f>VLOOKUP($A20,Controle!$B$4:$F$68,4,FALSE)</f>
        <v>Mori II</v>
      </c>
      <c r="E20" s="2">
        <f>VLOOKUP($A20,Controle!$B$4:$F$68,5,FALSE)</f>
        <v>3</v>
      </c>
      <c r="F20" s="14" t="s">
        <v>57</v>
      </c>
      <c r="G20" s="2" t="str">
        <f>VLOOKUP($A20,Controle!$B$4:$G$68,6,FALSE)</f>
        <v>Mori</v>
      </c>
      <c r="H20" s="984" t="s">
        <v>165</v>
      </c>
      <c r="I20" s="31">
        <v>839026.26</v>
      </c>
      <c r="J20" s="6">
        <v>293286.3</v>
      </c>
      <c r="K20" s="6">
        <v>188709</v>
      </c>
      <c r="L20" s="6">
        <f>82625+14190</f>
        <v>96815</v>
      </c>
      <c r="M20" s="6">
        <v>0</v>
      </c>
      <c r="N20" s="6">
        <v>0</v>
      </c>
      <c r="O20" s="4">
        <f t="shared" si="0"/>
        <v>1417836.56</v>
      </c>
      <c r="P20" s="5">
        <f>SUMIFS('Desenvolvimento diário'!$H:$H,'Desenvolvimento diário'!$Q:$Q,$B20,'Desenvolvimento diário'!$P:$P,$F20,'Desenvolvimento diário'!$R:$R,"Sim")</f>
        <v>94354.5</v>
      </c>
      <c r="Q20" s="5">
        <f>SUMIFS('Desenvolvimento diário'!$H:$H,'Desenvolvimento diário'!$Q:$Q,$B20,'Desenvolvimento diário'!$P:$P,$F20,'Desenvolvimento diário'!$R:$R,"Não")</f>
        <v>1323482.06</v>
      </c>
      <c r="R20" s="4">
        <f t="shared" si="1"/>
        <v>1417836.56</v>
      </c>
      <c r="S20" s="4">
        <f>O20-R20</f>
        <v>0</v>
      </c>
      <c r="T20" s="12">
        <f t="shared" si="4"/>
        <v>1</v>
      </c>
      <c r="Y20" s="2"/>
      <c r="Z20" s="2"/>
      <c r="AA20" s="2"/>
      <c r="AB20" s="2"/>
      <c r="AC20" s="2"/>
    </row>
    <row r="21" spans="1:29" ht="10.5" hidden="1">
      <c r="A21" s="2">
        <f t="shared" si="3"/>
        <v>1</v>
      </c>
      <c r="B21" s="2" t="str">
        <f>VLOOKUP($A21,Controle!$B$4:$F$68,2,FALSE)</f>
        <v>Diamantina 1</v>
      </c>
      <c r="C21" s="2" t="str">
        <f>VLOOKUP($A21,Controle!$B$4:$F$68,3,FALSE)</f>
        <v xml:space="preserve">MORI GERACAO II </v>
      </c>
      <c r="D21" s="2" t="str">
        <f>VLOOKUP($A21,Controle!$B$4:$F$68,4,FALSE)</f>
        <v>Mori II</v>
      </c>
      <c r="E21" s="2">
        <f>VLOOKUP($A21,Controle!$B$4:$F$68,5,FALSE)</f>
        <v>3</v>
      </c>
      <c r="F21" s="14" t="s">
        <v>59</v>
      </c>
      <c r="G21" s="2" t="str">
        <f>VLOOKUP($A21,Controle!$B$4:$G$68,6,FALSE)</f>
        <v>Mori</v>
      </c>
      <c r="H21" s="6" t="s">
        <v>154</v>
      </c>
      <c r="I21" s="6">
        <v>1108130.56</v>
      </c>
      <c r="J21" s="6">
        <v>0</v>
      </c>
      <c r="K21" s="6">
        <v>0</v>
      </c>
      <c r="L21" s="6">
        <v>0</v>
      </c>
      <c r="M21" s="6">
        <v>0</v>
      </c>
      <c r="N21" s="6">
        <v>0</v>
      </c>
      <c r="O21" s="4">
        <f t="shared" si="0"/>
        <v>1108130.56</v>
      </c>
      <c r="P21" s="5">
        <f>SUMIFS('Desenvolvimento diário'!$H:$H,'Desenvolvimento diário'!$Q:$Q,$B21,'Desenvolvimento diário'!$P:$P,$F21,'Desenvolvimento diário'!$R:$R,"Sim")</f>
        <v>0</v>
      </c>
      <c r="Q21" s="5">
        <f>SUMIFS('Desenvolvimento diário'!$H:$H,'Desenvolvimento diário'!$Q:$Q,$B21,'Desenvolvimento diário'!$P:$P,$F21,'Desenvolvimento diário'!$R:$R,"Não")</f>
        <v>1108130.56</v>
      </c>
      <c r="R21" s="4">
        <f t="shared" si="1"/>
        <v>1108130.56</v>
      </c>
      <c r="S21" s="4">
        <f t="shared" si="2"/>
        <v>0</v>
      </c>
      <c r="T21" s="12">
        <f t="shared" si="4"/>
        <v>1</v>
      </c>
      <c r="Y21" s="2"/>
      <c r="Z21" s="2"/>
      <c r="AA21" s="2"/>
      <c r="AB21" s="2"/>
      <c r="AC21" s="2"/>
    </row>
    <row r="22" spans="1:29" ht="10.5" hidden="1">
      <c r="A22" s="2">
        <f>A21</f>
        <v>1</v>
      </c>
      <c r="B22" s="2" t="str">
        <f>VLOOKUP($A22,Controle!$B$4:$F$68,2,FALSE)</f>
        <v>Diamantina 1</v>
      </c>
      <c r="C22" s="2" t="str">
        <f>VLOOKUP($A22,Controle!$B$4:$F$68,3,FALSE)</f>
        <v xml:space="preserve">MORI GERACAO II </v>
      </c>
      <c r="D22" s="2" t="str">
        <f>VLOOKUP($A22,Controle!$B$4:$F$68,4,FALSE)</f>
        <v>Mori II</v>
      </c>
      <c r="E22" s="2">
        <f>VLOOKUP($A22,Controle!$B$4:$F$68,5,FALSE)</f>
        <v>3</v>
      </c>
      <c r="F22" s="14" t="s">
        <v>61</v>
      </c>
      <c r="G22" s="2" t="str">
        <f>VLOOKUP($A22,Controle!$B$4:$G$68,6,FALSE)</f>
        <v>Mori</v>
      </c>
      <c r="H22" s="6" t="s">
        <v>155</v>
      </c>
      <c r="I22" s="6">
        <v>50000</v>
      </c>
      <c r="J22" s="6">
        <v>3500</v>
      </c>
      <c r="K22" s="6">
        <v>30000</v>
      </c>
      <c r="L22" s="6">
        <v>0</v>
      </c>
      <c r="M22" s="6">
        <v>0</v>
      </c>
      <c r="N22" s="6">
        <v>0</v>
      </c>
      <c r="O22" s="4">
        <f t="shared" si="0"/>
        <v>83500</v>
      </c>
      <c r="P22" s="5">
        <f>SUMIFS('Desenvolvimento diário'!$H:$H,'Desenvolvimento diário'!$Q:$Q,$B22,'Desenvolvimento diário'!$P:$P,$F22,'Desenvolvimento diário'!$R:$R,"Sim")</f>
        <v>0</v>
      </c>
      <c r="Q22" s="5">
        <f>SUMIFS('Desenvolvimento diário'!$H:$H,'Desenvolvimento diário'!$Q:$Q,$B22,'Desenvolvimento diário'!$P:$P,$F22,'Desenvolvimento diário'!$R:$R,"Não")</f>
        <v>83500</v>
      </c>
      <c r="R22" s="4">
        <f t="shared" si="1"/>
        <v>83500</v>
      </c>
      <c r="S22" s="27">
        <f t="shared" si="2"/>
        <v>0</v>
      </c>
      <c r="T22" s="36">
        <f t="shared" si="4"/>
        <v>1</v>
      </c>
      <c r="U22" s="34"/>
      <c r="V22" s="34"/>
      <c r="Y22" s="2"/>
      <c r="Z22" s="2"/>
      <c r="AA22" s="2"/>
      <c r="AB22" s="2"/>
      <c r="AC22" s="2"/>
    </row>
    <row r="23" spans="1:29" ht="10.5" hidden="1">
      <c r="A23" s="2">
        <f t="shared" si="3"/>
        <v>1</v>
      </c>
      <c r="B23" s="2" t="str">
        <f>VLOOKUP($A23,Controle!$B$4:$F$68,2,FALSE)</f>
        <v>Diamantina 1</v>
      </c>
      <c r="C23" s="2" t="str">
        <f>VLOOKUP($A23,Controle!$B$4:$F$68,3,FALSE)</f>
        <v xml:space="preserve">MORI GERACAO II </v>
      </c>
      <c r="D23" s="2" t="str">
        <f>VLOOKUP($A23,Controle!$B$4:$F$68,4,FALSE)</f>
        <v>Mori II</v>
      </c>
      <c r="E23" s="2">
        <f>VLOOKUP($A23,Controle!$B$4:$F$68,5,FALSE)</f>
        <v>3</v>
      </c>
      <c r="F23" s="14" t="s">
        <v>63</v>
      </c>
      <c r="G23" s="2" t="str">
        <f>VLOOKUP($A23,Controle!$B$4:$G$68,6,FALSE)</f>
        <v>Mori</v>
      </c>
      <c r="H23" s="6">
        <v>0</v>
      </c>
      <c r="I23" s="6">
        <v>0</v>
      </c>
      <c r="J23" s="6">
        <v>0</v>
      </c>
      <c r="K23" s="6">
        <v>0</v>
      </c>
      <c r="L23" s="6">
        <v>0</v>
      </c>
      <c r="M23" s="6">
        <v>0</v>
      </c>
      <c r="N23" s="6">
        <v>0</v>
      </c>
      <c r="O23" s="4">
        <f t="shared" si="0"/>
        <v>0</v>
      </c>
      <c r="P23" s="5">
        <f>SUMIFS('Desenvolvimento diário'!$H:$H,'Desenvolvimento diário'!$Q:$Q,$B23,'Desenvolvimento diário'!$P:$P,$F23,'Desenvolvimento diário'!$R:$R,"Sim")</f>
        <v>0</v>
      </c>
      <c r="Q23" s="5">
        <f>SUMIFS('Desenvolvimento diário'!$H:$H,'Desenvolvimento diário'!$Q:$Q,$B23,'Desenvolvimento diário'!$P:$P,$F23,'Desenvolvimento diário'!$R:$R,"Não")</f>
        <v>0</v>
      </c>
      <c r="R23" s="4">
        <f t="shared" si="1"/>
        <v>0</v>
      </c>
      <c r="S23" s="4">
        <f t="shared" si="2"/>
        <v>0</v>
      </c>
      <c r="T23" s="12">
        <f t="shared" si="4"/>
        <v>0</v>
      </c>
      <c r="Y23" s="2"/>
      <c r="Z23" s="2"/>
      <c r="AA23" s="2"/>
      <c r="AB23" s="2"/>
      <c r="AC23" s="2"/>
    </row>
    <row r="24" spans="1:29" hidden="1">
      <c r="A24" s="2">
        <f>A23</f>
        <v>1</v>
      </c>
      <c r="B24" s="2" t="str">
        <f>VLOOKUP($A24,Controle!$B$4:$F$68,2,FALSE)</f>
        <v>Diamantina 1</v>
      </c>
      <c r="C24" s="2" t="str">
        <f>VLOOKUP($A24,Controle!$B$4:$F$68,3,FALSE)</f>
        <v xml:space="preserve">MORI GERACAO II </v>
      </c>
      <c r="D24" s="2" t="str">
        <f>VLOOKUP($A24,Controle!$B$4:$F$68,4,FALSE)</f>
        <v>Mori II</v>
      </c>
      <c r="E24" s="2">
        <f>VLOOKUP($A24,Controle!$B$4:$F$68,5,FALSE)</f>
        <v>3</v>
      </c>
      <c r="F24" s="14" t="s">
        <v>65</v>
      </c>
      <c r="G24" s="2" t="str">
        <f>VLOOKUP($A24,Controle!$B$4:$G$68,6,FALSE)</f>
        <v>Mori</v>
      </c>
      <c r="H24" s="6">
        <v>0</v>
      </c>
      <c r="I24" s="6">
        <v>552033.58000000007</v>
      </c>
      <c r="J24" s="29">
        <v>59000</v>
      </c>
      <c r="K24" s="6">
        <v>0</v>
      </c>
      <c r="L24" s="6">
        <v>0</v>
      </c>
      <c r="M24" s="6">
        <v>0</v>
      </c>
      <c r="N24" s="6">
        <v>0</v>
      </c>
      <c r="O24" s="4">
        <f t="shared" si="0"/>
        <v>611033.58000000007</v>
      </c>
      <c r="P24" s="5">
        <f>SUMIFS('Desenvolvimento diário'!$H:$H,'Desenvolvimento diário'!$Q:$Q,$B24,'Desenvolvimento diário'!$P:$P,$F24,'Desenvolvimento diário'!$R:$R,"Sim")</f>
        <v>61688.6</v>
      </c>
      <c r="Q24" s="5">
        <f>SUMIFS('Desenvolvimento diário'!$H:$H,'Desenvolvimento diário'!$Q:$Q,$B24,'Desenvolvimento diário'!$P:$P,$F24,'Desenvolvimento diário'!$R:$R,"Não")</f>
        <v>491343.76000000007</v>
      </c>
      <c r="R24" s="4">
        <f t="shared" si="1"/>
        <v>553032.3600000001</v>
      </c>
      <c r="S24" s="1010">
        <f t="shared" si="2"/>
        <v>58001.219999999972</v>
      </c>
      <c r="T24" s="12">
        <f t="shared" si="4"/>
        <v>0.90507686991605274</v>
      </c>
      <c r="U24" s="1011" t="s">
        <v>166</v>
      </c>
      <c r="V24" s="1011" t="s">
        <v>167</v>
      </c>
      <c r="Y24" s="2"/>
      <c r="Z24" s="2"/>
      <c r="AA24" s="2"/>
      <c r="AB24" s="2"/>
      <c r="AC24" s="2"/>
    </row>
    <row r="25" spans="1:29" ht="10.5" hidden="1">
      <c r="A25" s="2">
        <f t="shared" si="3"/>
        <v>1</v>
      </c>
      <c r="B25" s="2" t="str">
        <f>VLOOKUP($A25,Controle!$B$4:$F$68,2,FALSE)</f>
        <v>Diamantina 1</v>
      </c>
      <c r="C25" s="2" t="str">
        <f>VLOOKUP($A25,Controle!$B$4:$F$68,3,FALSE)</f>
        <v xml:space="preserve">MORI GERACAO II </v>
      </c>
      <c r="D25" s="2" t="str">
        <f>VLOOKUP($A25,Controle!$B$4:$F$68,4,FALSE)</f>
        <v>Mori II</v>
      </c>
      <c r="E25" s="2">
        <f>VLOOKUP($A25,Controle!$B$4:$F$68,5,FALSE)</f>
        <v>3</v>
      </c>
      <c r="F25" s="14" t="s">
        <v>71</v>
      </c>
      <c r="G25" s="2" t="str">
        <f>VLOOKUP($A25,Controle!$B$4:$G$68,6,FALSE)</f>
        <v>Mori</v>
      </c>
      <c r="H25" s="6">
        <v>0</v>
      </c>
      <c r="I25" s="6">
        <f>R25</f>
        <v>231000</v>
      </c>
      <c r="J25" s="6">
        <v>0</v>
      </c>
      <c r="K25" s="6">
        <v>0</v>
      </c>
      <c r="L25" s="6">
        <v>0</v>
      </c>
      <c r="M25" s="6">
        <v>0</v>
      </c>
      <c r="N25" s="6">
        <v>0</v>
      </c>
      <c r="O25" s="4">
        <f t="shared" si="0"/>
        <v>231000</v>
      </c>
      <c r="P25" s="5">
        <f>SUMIFS('Desenvolvimento diário'!$H:$H,'Desenvolvimento diário'!$Q:$Q,$B25,'Desenvolvimento diário'!$P:$P,$F25,'Desenvolvimento diário'!$R:$R,"Sim")</f>
        <v>0</v>
      </c>
      <c r="Q25" s="5">
        <f>SUMIFS('Desenvolvimento diário'!$H:$H,'Desenvolvimento diário'!$Q:$Q,$B25,'Desenvolvimento diário'!$P:$P,$F25,'Desenvolvimento diário'!$R:$R,"Não")</f>
        <v>231000</v>
      </c>
      <c r="R25" s="4">
        <f t="shared" si="1"/>
        <v>231000</v>
      </c>
      <c r="S25" s="4">
        <f t="shared" si="2"/>
        <v>0</v>
      </c>
      <c r="T25" s="12">
        <f t="shared" si="4"/>
        <v>1</v>
      </c>
      <c r="Y25" s="2"/>
      <c r="Z25" s="2"/>
      <c r="AA25" s="2"/>
      <c r="AB25" s="2"/>
      <c r="AC25" s="2"/>
    </row>
    <row r="26" spans="1:29" hidden="1">
      <c r="A26" s="2">
        <f t="shared" si="3"/>
        <v>1</v>
      </c>
      <c r="B26" s="2" t="str">
        <f>VLOOKUP($A26,Controle!$B$4:$F$68,2,FALSE)</f>
        <v>Diamantina 1</v>
      </c>
      <c r="C26" s="2" t="str">
        <f>VLOOKUP($A26,Controle!$B$4:$F$68,3,FALSE)</f>
        <v xml:space="preserve">MORI GERACAO II </v>
      </c>
      <c r="D26" s="2" t="str">
        <f>VLOOKUP($A26,Controle!$B$4:$F$68,4,FALSE)</f>
        <v>Mori II</v>
      </c>
      <c r="E26" s="2">
        <f>VLOOKUP($A26,Controle!$B$4:$F$68,5,FALSE)</f>
        <v>3</v>
      </c>
      <c r="F26" s="14" t="s">
        <v>73</v>
      </c>
      <c r="G26" s="2" t="str">
        <f>VLOOKUP($A26,Controle!$B$4:$G$68,6,FALSE)</f>
        <v>Mori</v>
      </c>
      <c r="H26" s="6" t="s">
        <v>168</v>
      </c>
      <c r="I26" s="6">
        <v>3677500</v>
      </c>
      <c r="J26" s="31">
        <v>1070080.3999999999</v>
      </c>
      <c r="K26" s="6">
        <v>0</v>
      </c>
      <c r="L26" s="6">
        <v>0</v>
      </c>
      <c r="M26" s="6">
        <v>0</v>
      </c>
      <c r="N26" s="6">
        <v>0</v>
      </c>
      <c r="O26" s="43">
        <f t="shared" si="0"/>
        <v>4747580.4000000004</v>
      </c>
      <c r="P26" s="5">
        <f>SUMIFS('Desenvolvimento diário'!$H:$H,'Desenvolvimento diário'!$Q:$Q,$B26,'Desenvolvimento diário'!$P:$P,$F26,'Desenvolvimento diário'!$R:$R,"Sim")</f>
        <v>1711832.92</v>
      </c>
      <c r="Q26" s="719">
        <f>SUMIFS('Desenvolvimento diário'!$H:$H,'Desenvolvimento diário'!$Q:$Q,$B26,'Desenvolvimento diário'!$P:$P,$F26,'Desenvolvimento diário'!$R:$R,"Não")</f>
        <v>3035747.48</v>
      </c>
      <c r="R26" s="43">
        <f>SUM(P26:Q26)</f>
        <v>4747580.4000000004</v>
      </c>
      <c r="S26" s="93">
        <f t="shared" si="2"/>
        <v>0</v>
      </c>
      <c r="T26" s="12">
        <f t="shared" si="4"/>
        <v>1</v>
      </c>
      <c r="Y26" s="2"/>
      <c r="Z26" s="2"/>
      <c r="AA26" s="2"/>
      <c r="AB26" s="2"/>
      <c r="AC26" s="2"/>
    </row>
    <row r="27" spans="1:29" ht="10.5" hidden="1">
      <c r="A27" s="2">
        <f t="shared" si="3"/>
        <v>1</v>
      </c>
      <c r="B27" s="2" t="str">
        <f>VLOOKUP($A27,Controle!$B$4:$F$68,2,FALSE)</f>
        <v>Diamantina 1</v>
      </c>
      <c r="C27" s="2" t="str">
        <f>VLOOKUP($A27,Controle!$B$4:$F$68,3,FALSE)</f>
        <v xml:space="preserve">MORI GERACAO II </v>
      </c>
      <c r="D27" s="2" t="str">
        <f>VLOOKUP($A27,Controle!$B$4:$F$68,4,FALSE)</f>
        <v>Mori II</v>
      </c>
      <c r="E27" s="2">
        <f>VLOOKUP($A27,Controle!$B$4:$F$68,5,FALSE)</f>
        <v>3</v>
      </c>
      <c r="F27" s="14" t="s">
        <v>75</v>
      </c>
      <c r="G27" s="2" t="str">
        <f>VLOOKUP($A27,Controle!$B$4:$G$68,6,FALSE)</f>
        <v>Mori</v>
      </c>
      <c r="H27" s="6">
        <v>0</v>
      </c>
      <c r="I27" s="6">
        <v>0</v>
      </c>
      <c r="J27" s="6">
        <v>0</v>
      </c>
      <c r="K27" s="6">
        <v>0</v>
      </c>
      <c r="L27" s="6">
        <v>0</v>
      </c>
      <c r="M27" s="6">
        <v>0</v>
      </c>
      <c r="N27" s="6">
        <v>0</v>
      </c>
      <c r="O27" s="4">
        <f t="shared" si="0"/>
        <v>0</v>
      </c>
      <c r="P27" s="5">
        <f>SUMIFS('Desenvolvimento diário'!$H:$H,'Desenvolvimento diário'!$Q:$Q,$B27,'Desenvolvimento diário'!$P:$P,$F27,'Desenvolvimento diário'!$R:$R,"Sim")</f>
        <v>0</v>
      </c>
      <c r="Q27" s="5">
        <f>SUMIFS('Desenvolvimento diário'!$H:$H,'Desenvolvimento diário'!$Q:$Q,$B27,'Desenvolvimento diário'!$P:$P,$F27,'Desenvolvimento diário'!$R:$R,"Não")</f>
        <v>0</v>
      </c>
      <c r="R27" s="4">
        <f t="shared" si="1"/>
        <v>0</v>
      </c>
      <c r="S27" s="4">
        <f t="shared" si="2"/>
        <v>0</v>
      </c>
      <c r="T27" s="12">
        <f t="shared" si="4"/>
        <v>0</v>
      </c>
      <c r="Y27" s="2"/>
      <c r="Z27" s="2"/>
      <c r="AA27" s="2"/>
      <c r="AB27" s="2"/>
      <c r="AC27" s="2"/>
    </row>
    <row r="28" spans="1:29" ht="10.5" hidden="1">
      <c r="A28" s="2">
        <f t="shared" si="3"/>
        <v>1</v>
      </c>
      <c r="B28" s="2" t="str">
        <f>VLOOKUP($A28,Controle!$B$4:$F$68,2,FALSE)</f>
        <v>Diamantina 1</v>
      </c>
      <c r="C28" s="2" t="str">
        <f>VLOOKUP($A28,Controle!$B$4:$F$68,3,FALSE)</f>
        <v xml:space="preserve">MORI GERACAO II </v>
      </c>
      <c r="D28" s="2" t="str">
        <f>VLOOKUP($A28,Controle!$B$4:$F$68,4,FALSE)</f>
        <v>Mori II</v>
      </c>
      <c r="E28" s="2">
        <f>VLOOKUP($A28,Controle!$B$4:$F$68,5,FALSE)</f>
        <v>3</v>
      </c>
      <c r="F28" s="14" t="s">
        <v>77</v>
      </c>
      <c r="G28" s="2" t="str">
        <f>VLOOKUP($A28,Controle!$B$4:$G$68,6,FALSE)</f>
        <v>Mori</v>
      </c>
      <c r="H28" s="6">
        <v>0</v>
      </c>
      <c r="I28" s="6">
        <v>0</v>
      </c>
      <c r="J28" s="6">
        <v>0</v>
      </c>
      <c r="K28" s="6">
        <v>0</v>
      </c>
      <c r="L28" s="6">
        <v>0</v>
      </c>
      <c r="M28" s="6">
        <v>0</v>
      </c>
      <c r="N28" s="6">
        <v>0</v>
      </c>
      <c r="O28" s="4">
        <f t="shared" si="0"/>
        <v>0</v>
      </c>
      <c r="P28" s="5">
        <f>SUMIFS('Desenvolvimento diário'!$H:$H,'Desenvolvimento diário'!$Q:$Q,$B28,'Desenvolvimento diário'!$P:$P,$F28,'Desenvolvimento diário'!$R:$R,"Sim")</f>
        <v>0</v>
      </c>
      <c r="Q28" s="5">
        <f>SUMIFS('Desenvolvimento diário'!$H:$H,'Desenvolvimento diário'!$Q:$Q,$B28,'Desenvolvimento diário'!$P:$P,$F28,'Desenvolvimento diário'!$R:$R,"Não")</f>
        <v>0</v>
      </c>
      <c r="R28" s="4">
        <f t="shared" si="1"/>
        <v>0</v>
      </c>
      <c r="S28" s="4">
        <f t="shared" si="2"/>
        <v>0</v>
      </c>
      <c r="T28" s="12">
        <f t="shared" si="4"/>
        <v>0</v>
      </c>
      <c r="Y28" s="2"/>
      <c r="Z28" s="2"/>
      <c r="AA28" s="2"/>
      <c r="AB28" s="2"/>
      <c r="AC28" s="2"/>
    </row>
    <row r="29" spans="1:29" ht="10.5" hidden="1">
      <c r="A29" s="2">
        <f t="shared" si="3"/>
        <v>1</v>
      </c>
      <c r="B29" s="2" t="str">
        <f>VLOOKUP($A29,Controle!$B$4:$F$68,2,FALSE)</f>
        <v>Diamantina 1</v>
      </c>
      <c r="C29" s="2" t="str">
        <f>VLOOKUP($A29,Controle!$B$4:$F$68,3,FALSE)</f>
        <v xml:space="preserve">MORI GERACAO II </v>
      </c>
      <c r="D29" s="2" t="str">
        <f>VLOOKUP($A29,Controle!$B$4:$F$68,4,FALSE)</f>
        <v>Mori II</v>
      </c>
      <c r="E29" s="2">
        <f>VLOOKUP($A29,Controle!$B$4:$F$68,5,FALSE)</f>
        <v>3</v>
      </c>
      <c r="F29" s="14" t="s">
        <v>79</v>
      </c>
      <c r="G29" s="2" t="str">
        <f>VLOOKUP($A29,Controle!$B$4:$G$68,6,FALSE)</f>
        <v>Mori</v>
      </c>
      <c r="H29" s="6">
        <v>0</v>
      </c>
      <c r="I29" s="6">
        <v>0</v>
      </c>
      <c r="J29" s="6">
        <v>0</v>
      </c>
      <c r="K29" s="6">
        <v>0</v>
      </c>
      <c r="L29" s="6">
        <v>0</v>
      </c>
      <c r="M29" s="6">
        <v>0</v>
      </c>
      <c r="N29" s="6">
        <v>0</v>
      </c>
      <c r="O29" s="4">
        <f t="shared" si="0"/>
        <v>0</v>
      </c>
      <c r="P29" s="5">
        <f>SUMIFS('Desenvolvimento diário'!$H:$H,'Desenvolvimento diário'!$Q:$Q,$B29,'Desenvolvimento diário'!$P:$P,$F29,'Desenvolvimento diário'!$R:$R,"Sim")</f>
        <v>0</v>
      </c>
      <c r="Q29" s="5">
        <f>SUMIFS('Desenvolvimento diário'!$H:$H,'Desenvolvimento diário'!$Q:$Q,$B29,'Desenvolvimento diário'!$P:$P,$F29,'Desenvolvimento diário'!$R:$R,"Não")</f>
        <v>0</v>
      </c>
      <c r="R29" s="4">
        <f t="shared" si="1"/>
        <v>0</v>
      </c>
      <c r="S29" s="4">
        <f t="shared" si="2"/>
        <v>0</v>
      </c>
      <c r="T29" s="12">
        <f t="shared" si="4"/>
        <v>0</v>
      </c>
      <c r="Y29" s="2"/>
      <c r="Z29" s="2"/>
      <c r="AA29" s="2"/>
      <c r="AB29" s="2"/>
      <c r="AC29" s="2"/>
    </row>
    <row r="30" spans="1:29" ht="10.5" hidden="1">
      <c r="A30" s="2">
        <f t="shared" si="3"/>
        <v>1</v>
      </c>
      <c r="B30" s="2" t="str">
        <f>VLOOKUP($A30,Controle!$B$4:$F$68,2,FALSE)</f>
        <v>Diamantina 1</v>
      </c>
      <c r="C30" s="2" t="str">
        <f>VLOOKUP($A30,Controle!$B$4:$F$68,3,FALSE)</f>
        <v xml:space="preserve">MORI GERACAO II </v>
      </c>
      <c r="D30" s="2" t="str">
        <f>VLOOKUP($A30,Controle!$B$4:$F$68,4,FALSE)</f>
        <v>Mori II</v>
      </c>
      <c r="E30" s="2">
        <f>VLOOKUP($A30,Controle!$B$4:$F$68,5,FALSE)</f>
        <v>3</v>
      </c>
      <c r="F30" s="14" t="s">
        <v>81</v>
      </c>
      <c r="G30" s="2" t="str">
        <f>VLOOKUP($A30,Controle!$B$4:$G$68,6,FALSE)</f>
        <v>Mori</v>
      </c>
      <c r="H30" s="6">
        <v>0</v>
      </c>
      <c r="I30" s="6">
        <v>0</v>
      </c>
      <c r="J30" s="6">
        <v>0</v>
      </c>
      <c r="K30" s="6">
        <v>0</v>
      </c>
      <c r="L30" s="6">
        <v>0</v>
      </c>
      <c r="M30" s="6">
        <v>0</v>
      </c>
      <c r="N30" s="6">
        <v>0</v>
      </c>
      <c r="O30" s="4">
        <f t="shared" si="0"/>
        <v>0</v>
      </c>
      <c r="P30" s="5">
        <f>SUMIFS('Desenvolvimento diário'!$H:$H,'Desenvolvimento diário'!$Q:$Q,$B30,'Desenvolvimento diário'!$P:$P,$F30,'Desenvolvimento diário'!$R:$R,"Sim")</f>
        <v>0</v>
      </c>
      <c r="Q30" s="5">
        <f>SUMIFS('Desenvolvimento diário'!$H:$H,'Desenvolvimento diário'!$Q:$Q,$B30,'Desenvolvimento diário'!$P:$P,$F30,'Desenvolvimento diário'!$R:$R,"Não")</f>
        <v>0</v>
      </c>
      <c r="R30" s="4">
        <f t="shared" si="1"/>
        <v>0</v>
      </c>
      <c r="S30" s="4">
        <f t="shared" si="2"/>
        <v>0</v>
      </c>
      <c r="T30" s="12">
        <f t="shared" si="4"/>
        <v>0</v>
      </c>
      <c r="Y30" s="2"/>
      <c r="Z30" s="2"/>
      <c r="AA30" s="2"/>
      <c r="AB30" s="2"/>
      <c r="AC30" s="2"/>
    </row>
    <row r="31" spans="1:29" ht="10.5" hidden="1">
      <c r="A31" s="2">
        <f t="shared" si="3"/>
        <v>1</v>
      </c>
      <c r="B31" s="2" t="str">
        <f>VLOOKUP($A31,Controle!$B$4:$F$68,2,FALSE)</f>
        <v>Diamantina 1</v>
      </c>
      <c r="C31" s="2" t="str">
        <f>VLOOKUP($A31,Controle!$B$4:$F$68,3,FALSE)</f>
        <v xml:space="preserve">MORI GERACAO II </v>
      </c>
      <c r="D31" s="2" t="str">
        <f>VLOOKUP($A31,Controle!$B$4:$F$68,4,FALSE)</f>
        <v>Mori II</v>
      </c>
      <c r="E31" s="2">
        <f>VLOOKUP($A31,Controle!$B$4:$F$68,5,FALSE)</f>
        <v>3</v>
      </c>
      <c r="F31" s="14" t="s">
        <v>83</v>
      </c>
      <c r="G31" s="2" t="str">
        <f>VLOOKUP($A31,Controle!$B$4:$G$68,6,FALSE)</f>
        <v>Mori</v>
      </c>
      <c r="H31" s="6">
        <v>0</v>
      </c>
      <c r="I31" s="6">
        <v>0</v>
      </c>
      <c r="J31" s="6">
        <v>0</v>
      </c>
      <c r="K31" s="6">
        <v>0</v>
      </c>
      <c r="L31" s="6">
        <v>0</v>
      </c>
      <c r="M31" s="6">
        <v>0</v>
      </c>
      <c r="N31" s="6">
        <v>0</v>
      </c>
      <c r="O31" s="4">
        <f t="shared" si="0"/>
        <v>0</v>
      </c>
      <c r="P31" s="5">
        <f>SUMIFS('Desenvolvimento diário'!$H:$H,'Desenvolvimento diário'!$Q:$Q,$B31,'Desenvolvimento diário'!$P:$P,$F31,'Desenvolvimento diário'!$R:$R,"Sim")</f>
        <v>0</v>
      </c>
      <c r="Q31" s="5">
        <f>SUMIFS('Desenvolvimento diário'!$H:$H,'Desenvolvimento diário'!$Q:$Q,$B31,'Desenvolvimento diário'!$P:$P,$F31,'Desenvolvimento diário'!$R:$R,"Não")</f>
        <v>0</v>
      </c>
      <c r="R31" s="4">
        <f t="shared" si="1"/>
        <v>0</v>
      </c>
      <c r="S31" s="4">
        <f t="shared" si="2"/>
        <v>0</v>
      </c>
      <c r="T31" s="12">
        <f t="shared" si="4"/>
        <v>0</v>
      </c>
      <c r="Y31" s="2"/>
      <c r="Z31" s="2"/>
      <c r="AA31" s="2"/>
      <c r="AB31" s="2"/>
      <c r="AC31" s="2"/>
    </row>
    <row r="32" spans="1:29" hidden="1">
      <c r="A32" s="2">
        <f t="shared" si="3"/>
        <v>1</v>
      </c>
      <c r="B32" s="2" t="str">
        <f>VLOOKUP($A32,Controle!$B$4:$F$68,2,FALSE)</f>
        <v>Diamantina 1</v>
      </c>
      <c r="C32" s="2" t="str">
        <f>VLOOKUP($A32,Controle!$B$4:$F$68,3,FALSE)</f>
        <v xml:space="preserve">MORI GERACAO II </v>
      </c>
      <c r="D32" s="2" t="str">
        <f>VLOOKUP($A32,Controle!$B$4:$F$68,4,FALSE)</f>
        <v>Mori II</v>
      </c>
      <c r="E32" s="2">
        <f>VLOOKUP($A32,Controle!$B$4:$F$68,5,FALSE)</f>
        <v>3</v>
      </c>
      <c r="F32" s="14" t="s">
        <v>85</v>
      </c>
      <c r="G32" s="2" t="str">
        <f>VLOOKUP($A32,Controle!$B$4:$G$68,6,FALSE)</f>
        <v>Mori</v>
      </c>
      <c r="H32" s="6">
        <v>0</v>
      </c>
      <c r="I32" s="6">
        <v>0</v>
      </c>
      <c r="J32" s="6">
        <v>0</v>
      </c>
      <c r="K32" s="6">
        <v>0</v>
      </c>
      <c r="L32" s="6">
        <v>0</v>
      </c>
      <c r="M32" s="6">
        <v>0</v>
      </c>
      <c r="N32" s="6">
        <v>0</v>
      </c>
      <c r="O32" s="4">
        <f t="shared" si="0"/>
        <v>0</v>
      </c>
      <c r="P32" s="5">
        <f>SUMIFS('Desenvolvimento diário'!$H:$H,'Desenvolvimento diário'!$Q:$Q,$B32,'Desenvolvimento diário'!$P:$P,$F32,'Desenvolvimento diário'!$R:$R,"Sim")</f>
        <v>0</v>
      </c>
      <c r="Q32" s="5">
        <f>SUMIFS('Desenvolvimento diário'!$H:$H,'Desenvolvimento diário'!$Q:$Q,$B32,'Desenvolvimento diário'!$P:$P,$F32,'Desenvolvimento diário'!$R:$R,"Não")</f>
        <v>0</v>
      </c>
      <c r="R32" s="4">
        <f t="shared" si="1"/>
        <v>0</v>
      </c>
      <c r="S32" s="4">
        <f t="shared" si="2"/>
        <v>0</v>
      </c>
      <c r="T32" s="12">
        <f t="shared" si="4"/>
        <v>0</v>
      </c>
      <c r="Y32" s="2"/>
      <c r="Z32" s="2"/>
      <c r="AA32" s="2"/>
      <c r="AB32" s="2"/>
      <c r="AC32" s="2"/>
    </row>
    <row r="33" spans="1:29" hidden="1">
      <c r="A33" s="2">
        <f>A30</f>
        <v>1</v>
      </c>
      <c r="B33" s="94" t="str">
        <f>VLOOKUP($A33,Controle!$B$4:$F$68,2,FALSE)</f>
        <v>Diamantina 1</v>
      </c>
      <c r="C33" s="94" t="str">
        <f>VLOOKUP($A33,Controle!$B$4:$F$68,3,FALSE)</f>
        <v xml:space="preserve">MORI GERACAO II </v>
      </c>
      <c r="D33" s="94" t="str">
        <f>VLOOKUP($A33,Controle!$B$4:$F$68,4,FALSE)</f>
        <v>Mori II</v>
      </c>
      <c r="E33" s="94">
        <f>VLOOKUP($A33,Controle!$B$4:$F$68,5,FALSE)</f>
        <v>3</v>
      </c>
      <c r="F33" s="14" t="s">
        <v>87</v>
      </c>
      <c r="G33" s="94" t="str">
        <f>VLOOKUP($A33,Controle!$B$4:$G$68,6,FALSE)</f>
        <v>Mori</v>
      </c>
      <c r="H33" s="506" t="s">
        <v>169</v>
      </c>
      <c r="I33" s="506">
        <v>72399.64</v>
      </c>
      <c r="J33" s="506">
        <v>90503.03</v>
      </c>
      <c r="K33" s="506">
        <v>0</v>
      </c>
      <c r="L33" s="506">
        <v>0</v>
      </c>
      <c r="M33" s="506">
        <v>0</v>
      </c>
      <c r="N33" s="506">
        <v>0</v>
      </c>
      <c r="O33" s="39">
        <f t="shared" ref="O33:O34" si="5">SUM(I33:N33)</f>
        <v>162902.66999999998</v>
      </c>
      <c r="P33" s="17">
        <f>SUMIFS('Desenvolvimento diário'!$H:$H,'Desenvolvimento diário'!$Q:$Q,$B33,'Desenvolvimento diário'!$P:$P,$F33,'Desenvolvimento diário'!$R:$R,"Sim")</f>
        <v>0</v>
      </c>
      <c r="Q33" s="17">
        <f>SUMIFS('Desenvolvimento diário'!$H:$H,'Desenvolvimento diário'!$Q:$Q,$B33,'Desenvolvimento diário'!$P:$P,$F33,'Desenvolvimento diário'!$R:$R,"Não")</f>
        <v>162902.66999999998</v>
      </c>
      <c r="R33" s="4">
        <f t="shared" ref="R33:R34" si="6">SUM(P33:Q33)</f>
        <v>162902.66999999998</v>
      </c>
      <c r="S33" s="4">
        <f t="shared" ref="S33:S34" si="7">O33-R33</f>
        <v>0</v>
      </c>
      <c r="T33" s="12">
        <f t="shared" ref="T33:T34" si="8">IFERROR(R33/O33,0)</f>
        <v>1</v>
      </c>
      <c r="Y33" s="2"/>
      <c r="Z33" s="2"/>
      <c r="AA33" s="2"/>
      <c r="AB33" s="2"/>
      <c r="AC33" s="2"/>
    </row>
    <row r="34" spans="1:29" ht="12" hidden="1" customHeight="1">
      <c r="A34" s="2">
        <f>A31</f>
        <v>1</v>
      </c>
      <c r="B34" s="94" t="str">
        <f>VLOOKUP($A34,Controle!$B$4:$F$68,2,FALSE)</f>
        <v>Diamantina 1</v>
      </c>
      <c r="C34" s="94" t="str">
        <f>VLOOKUP($A34,Controle!$B$4:$F$68,3,FALSE)</f>
        <v xml:space="preserve">MORI GERACAO II </v>
      </c>
      <c r="D34" s="94" t="str">
        <f>VLOOKUP($A34,Controle!$B$4:$F$68,4,FALSE)</f>
        <v>Mori II</v>
      </c>
      <c r="E34" s="94">
        <f>VLOOKUP($A34,Controle!$B$4:$F$68,5,FALSE)</f>
        <v>3</v>
      </c>
      <c r="F34" s="14" t="s">
        <v>92</v>
      </c>
      <c r="G34" s="94" t="str">
        <f>VLOOKUP($A34,Controle!$B$4:$G$68,6,FALSE)</f>
        <v>Mori</v>
      </c>
      <c r="H34" s="506" t="s">
        <v>170</v>
      </c>
      <c r="I34" s="6">
        <v>426240</v>
      </c>
      <c r="J34" s="506"/>
      <c r="K34" s="506">
        <v>0</v>
      </c>
      <c r="L34" s="506">
        <v>0</v>
      </c>
      <c r="M34" s="506">
        <v>0</v>
      </c>
      <c r="N34" s="506">
        <v>0</v>
      </c>
      <c r="O34" s="39">
        <f t="shared" si="5"/>
        <v>426240</v>
      </c>
      <c r="P34" s="17">
        <f>SUMIFS('Desenvolvimento diário'!$H:$H,'Desenvolvimento diário'!$Q:$Q,$B34,'Desenvolvimento diário'!$P:$P,$F34,'Desenvolvimento diário'!$R:$R,"Sim")</f>
        <v>0</v>
      </c>
      <c r="Q34" s="17">
        <f>SUMIFS('Desenvolvimento diário'!$H:$H,'Desenvolvimento diário'!$Q:$Q,$B34,'Desenvolvimento diário'!$P:$P,$F34,'Desenvolvimento diário'!$R:$R,"Não")</f>
        <v>426240</v>
      </c>
      <c r="R34" s="4">
        <f t="shared" si="6"/>
        <v>426240</v>
      </c>
      <c r="S34" s="1019">
        <f t="shared" si="7"/>
        <v>0</v>
      </c>
      <c r="T34" s="12">
        <f t="shared" si="8"/>
        <v>1</v>
      </c>
      <c r="U34" s="1019" t="s">
        <v>166</v>
      </c>
      <c r="V34" s="1048" t="s">
        <v>171</v>
      </c>
      <c r="Y34" s="2"/>
      <c r="Z34" s="2"/>
      <c r="AA34" s="2"/>
      <c r="AB34" s="2"/>
      <c r="AC34" s="2"/>
    </row>
    <row r="35" spans="1:29" hidden="1">
      <c r="A35" s="2">
        <f>A32</f>
        <v>1</v>
      </c>
      <c r="B35" s="94" t="str">
        <f>VLOOKUP($A35,Controle!$B$4:$F$68,2,FALSE)</f>
        <v>Diamantina 1</v>
      </c>
      <c r="C35" s="94" t="str">
        <f>VLOOKUP($A35,Controle!$B$4:$F$68,3,FALSE)</f>
        <v xml:space="preserve">MORI GERACAO II </v>
      </c>
      <c r="D35" s="94" t="str">
        <f>VLOOKUP($A35,Controle!$B$4:$F$68,4,FALSE)</f>
        <v>Mori II</v>
      </c>
      <c r="E35" s="94">
        <f>VLOOKUP($A35,Controle!$B$4:$F$68,5,FALSE)</f>
        <v>3</v>
      </c>
      <c r="F35" s="505" t="s">
        <v>94</v>
      </c>
      <c r="G35" s="94" t="str">
        <f>VLOOKUP($A35,Controle!$B$4:$G$68,6,FALSE)</f>
        <v>Mori</v>
      </c>
      <c r="H35" s="506" t="s">
        <v>172</v>
      </c>
      <c r="I35" s="6"/>
      <c r="J35" s="506"/>
      <c r="K35" s="506">
        <v>0</v>
      </c>
      <c r="L35" s="506">
        <v>0</v>
      </c>
      <c r="M35" s="506">
        <v>0</v>
      </c>
      <c r="N35" s="506">
        <v>0</v>
      </c>
      <c r="O35" s="39">
        <f t="shared" si="0"/>
        <v>0</v>
      </c>
      <c r="P35" s="17">
        <f>SUMIFS('Desenvolvimento diário'!$H:$H,'Desenvolvimento diário'!$Q:$Q,$B35,'Desenvolvimento diário'!$P:$P,$F35,'Desenvolvimento diário'!$R:$R,"Sim")</f>
        <v>0</v>
      </c>
      <c r="Q35" s="17">
        <f>SUMIFS('Desenvolvimento diário'!$H:$H,'Desenvolvimento diário'!$Q:$Q,$B35,'Desenvolvimento diário'!$P:$P,$F35,'Desenvolvimento diário'!$R:$R,"Não")</f>
        <v>0</v>
      </c>
      <c r="R35" s="4">
        <f t="shared" si="1"/>
        <v>0</v>
      </c>
      <c r="S35" s="1030">
        <f t="shared" si="2"/>
        <v>0</v>
      </c>
      <c r="T35" s="12">
        <f t="shared" si="4"/>
        <v>0</v>
      </c>
      <c r="U35" s="1029" t="s">
        <v>166</v>
      </c>
      <c r="V35" s="1029" t="s">
        <v>94</v>
      </c>
      <c r="Y35" s="2"/>
      <c r="Z35" s="2"/>
      <c r="AA35" s="2"/>
      <c r="AB35" s="2"/>
      <c r="AC35" s="2"/>
    </row>
    <row r="36" spans="1:29" s="4" customFormat="1" hidden="1">
      <c r="A36" s="8">
        <f t="shared" ref="A36:E36" si="9">A35</f>
        <v>1</v>
      </c>
      <c r="B36" s="9" t="str">
        <f t="shared" si="9"/>
        <v>Diamantina 1</v>
      </c>
      <c r="C36" s="9" t="str">
        <f t="shared" si="9"/>
        <v xml:space="preserve">MORI GERACAO II </v>
      </c>
      <c r="D36" s="9" t="str">
        <f t="shared" si="9"/>
        <v>Mori II</v>
      </c>
      <c r="E36" s="9">
        <f t="shared" si="9"/>
        <v>3</v>
      </c>
      <c r="F36" s="10" t="s">
        <v>158</v>
      </c>
      <c r="G36" s="9" t="str">
        <f>G35</f>
        <v>Mori</v>
      </c>
      <c r="H36" s="9"/>
      <c r="I36" s="9">
        <f>SUBTOTAL(9,I2:I35)</f>
        <v>0</v>
      </c>
      <c r="J36" s="9">
        <f>SUBTOTAL(9,J2:J35)</f>
        <v>0</v>
      </c>
      <c r="K36" s="9">
        <f>SUBTOTAL(9,K2:K35)</f>
        <v>0</v>
      </c>
      <c r="L36" s="9">
        <f>SUBTOTAL(9,L2:L35)</f>
        <v>0</v>
      </c>
      <c r="M36" s="9">
        <f>SUBTOTAL(9,M2:M35)</f>
        <v>0</v>
      </c>
      <c r="N36" s="9">
        <f>SUBTOTAL(9,N2:N35)</f>
        <v>0</v>
      </c>
      <c r="O36" s="9">
        <f>SUBTOTAL(9,O2:O35)</f>
        <v>0</v>
      </c>
      <c r="P36" s="9">
        <f>SUBTOTAL(9,P2:P35)</f>
        <v>0</v>
      </c>
      <c r="Q36" s="9">
        <f>SUBTOTAL(9,Q2:Q35)</f>
        <v>0</v>
      </c>
      <c r="R36" s="9">
        <f>SUBTOTAL(9,R2:R35)</f>
        <v>0</v>
      </c>
      <c r="S36" s="9">
        <f>SUBTOTAL(9,S2:S35)</f>
        <v>0</v>
      </c>
      <c r="T36" s="13">
        <f>IFERROR(R36/O36,0)</f>
        <v>0</v>
      </c>
      <c r="U36" s="11">
        <f>SUBTOTAL(9,U2:U35)</f>
        <v>0</v>
      </c>
    </row>
    <row r="37" spans="1:29" hidden="1">
      <c r="A37" s="2">
        <f>A2+1</f>
        <v>2</v>
      </c>
      <c r="B37" s="2" t="str">
        <f>VLOOKUP($A37,Controle!$B$4:$F$68,2,FALSE)</f>
        <v>Diamantina 2</v>
      </c>
      <c r="C37" s="2" t="str">
        <f>VLOOKUP($A37,Controle!$B$4:$F$68,3,FALSE)</f>
        <v xml:space="preserve">MORI GERACAO II </v>
      </c>
      <c r="D37" s="2" t="str">
        <f>VLOOKUP($A37,Controle!$B$4:$F$68,4,FALSE)</f>
        <v>Mori II</v>
      </c>
      <c r="E37" s="2">
        <f>VLOOKUP($A37,Controle!$B$4:$F$68,5,FALSE)</f>
        <v>3</v>
      </c>
      <c r="F37" s="3" t="str">
        <f t="shared" ref="F37:F58" si="10">F2</f>
        <v>Conexão AT - Obras</v>
      </c>
      <c r="G37" s="2" t="str">
        <f>VLOOKUP($A37,Controle!$B$4:$G$68,6,FALSE)</f>
        <v>Mori</v>
      </c>
      <c r="H37" s="6" t="s">
        <v>141</v>
      </c>
      <c r="I37" s="29">
        <v>302420</v>
      </c>
      <c r="J37" s="6">
        <v>0</v>
      </c>
      <c r="K37" s="6">
        <v>0</v>
      </c>
      <c r="L37" s="6">
        <v>0</v>
      </c>
      <c r="M37" s="6">
        <v>0</v>
      </c>
      <c r="N37" s="6">
        <v>0</v>
      </c>
      <c r="O37" s="4">
        <f t="shared" ref="O37:O70" si="11">SUM(I37:N37)</f>
        <v>302420</v>
      </c>
      <c r="P37" s="5">
        <f>SUMIFS('Desenvolvimento diário'!$H:$H,'Desenvolvimento diário'!$Q:$Q,$B37,'Desenvolvimento diário'!$P:$P,$F37,'Desenvolvimento diário'!$R:$R,"Sim")</f>
        <v>30000</v>
      </c>
      <c r="Q37" s="5">
        <f>SUMIFS('Desenvolvimento diário'!$H:$H,'Desenvolvimento diário'!$Q:$Q,$B37,'Desenvolvimento diário'!$P:$P,$F37,'Desenvolvimento diário'!$R:$R,"Não")</f>
        <v>272420</v>
      </c>
      <c r="R37" s="4">
        <f t="shared" ref="R37:R70" si="12">SUM(P37:Q37)</f>
        <v>302420</v>
      </c>
      <c r="S37" s="27">
        <f>O37-R37</f>
        <v>0</v>
      </c>
      <c r="T37" s="12">
        <f t="shared" ref="T37:T71" si="13">IFERROR(R37/O37,0)</f>
        <v>1</v>
      </c>
      <c r="Y37" s="2"/>
      <c r="Z37" s="2"/>
      <c r="AA37" s="2"/>
      <c r="AB37" s="2"/>
      <c r="AC37" s="2"/>
    </row>
    <row r="38" spans="1:29" ht="10.5" hidden="1">
      <c r="A38" s="2">
        <f t="shared" ref="A38:A68" si="14">A37</f>
        <v>2</v>
      </c>
      <c r="B38" s="2" t="str">
        <f>VLOOKUP($A38,Controle!$B$4:$F$68,2,FALSE)</f>
        <v>Diamantina 2</v>
      </c>
      <c r="C38" s="2" t="str">
        <f>VLOOKUP($A38,Controle!$B$4:$F$68,3,FALSE)</f>
        <v xml:space="preserve">MORI GERACAO II </v>
      </c>
      <c r="D38" s="2" t="str">
        <f>VLOOKUP($A38,Controle!$B$4:$F$68,4,FALSE)</f>
        <v>Mori II</v>
      </c>
      <c r="E38" s="2">
        <f>VLOOKUP($A38,Controle!$B$4:$F$68,5,FALSE)</f>
        <v>3</v>
      </c>
      <c r="F38" s="3" t="str">
        <f t="shared" si="10"/>
        <v>Conexão MT - Obras</v>
      </c>
      <c r="G38" s="2" t="str">
        <f>VLOOKUP($A38,Controle!$B$4:$G$68,6,FALSE)</f>
        <v>Mori</v>
      </c>
      <c r="H38" s="6" t="s">
        <v>141</v>
      </c>
      <c r="I38" s="6">
        <f>I61*20%</f>
        <v>733091.34400000004</v>
      </c>
      <c r="J38" s="6">
        <f>51135+80355</f>
        <v>131490</v>
      </c>
      <c r="K38" s="28">
        <v>492542.21600000001</v>
      </c>
      <c r="L38" s="6">
        <v>0</v>
      </c>
      <c r="M38" s="6">
        <v>0</v>
      </c>
      <c r="N38" s="6">
        <v>0</v>
      </c>
      <c r="O38" s="4">
        <f t="shared" si="11"/>
        <v>1357123.56</v>
      </c>
      <c r="P38" s="5">
        <f>SUMIFS('Desenvolvimento diário'!$H:$H,'Desenvolvimento diário'!$Q:$Q,$B38,'Desenvolvimento diário'!$P:$P,$F38,'Desenvolvimento diário'!$R:$R,"Sim")</f>
        <v>137032.22</v>
      </c>
      <c r="Q38" s="5">
        <f>SUMIFS('Desenvolvimento diário'!$H:$H,'Desenvolvimento diário'!$Q:$Q,$B38,'Desenvolvimento diário'!$P:$P,$F38,'Desenvolvimento diário'!$R:$R,"Não")</f>
        <v>1220091.3399999999</v>
      </c>
      <c r="R38" s="4">
        <f t="shared" si="12"/>
        <v>1357123.5599999998</v>
      </c>
      <c r="S38" s="4">
        <f t="shared" ref="S38:S70" si="15">O38-R38</f>
        <v>0</v>
      </c>
      <c r="T38" s="12">
        <f t="shared" si="13"/>
        <v>0.99999999999999978</v>
      </c>
      <c r="V38" s="30"/>
      <c r="W38" s="34"/>
      <c r="X38" s="34"/>
    </row>
    <row r="39" spans="1:29" ht="10.5" hidden="1">
      <c r="A39" s="2">
        <f t="shared" si="14"/>
        <v>2</v>
      </c>
      <c r="B39" s="2" t="str">
        <f>VLOOKUP($A39,Controle!$B$4:$F$68,2,FALSE)</f>
        <v>Diamantina 2</v>
      </c>
      <c r="C39" s="2" t="str">
        <f>VLOOKUP($A39,Controle!$B$4:$F$68,3,FALSE)</f>
        <v xml:space="preserve">MORI GERACAO II </v>
      </c>
      <c r="D39" s="2" t="str">
        <f>VLOOKUP($A39,Controle!$B$4:$F$68,4,FALSE)</f>
        <v>Mori II</v>
      </c>
      <c r="E39" s="2">
        <f>VLOOKUP($A39,Controle!$B$4:$F$68,5,FALSE)</f>
        <v>3</v>
      </c>
      <c r="F39" s="3" t="str">
        <f t="shared" si="10"/>
        <v>Construção - Serviços de Construção</v>
      </c>
      <c r="G39" s="2" t="str">
        <f>VLOOKUP($A39,Controle!$B$4:$G$68,6,FALSE)</f>
        <v>Mori</v>
      </c>
      <c r="H39" s="6" t="s">
        <v>142</v>
      </c>
      <c r="I39" s="6">
        <v>2556450</v>
      </c>
      <c r="J39" s="6">
        <v>157000</v>
      </c>
      <c r="K39" s="29">
        <v>0</v>
      </c>
      <c r="L39" s="6">
        <v>0</v>
      </c>
      <c r="M39" s="6">
        <v>0</v>
      </c>
      <c r="N39" s="6">
        <v>0</v>
      </c>
      <c r="O39" s="4">
        <f t="shared" si="11"/>
        <v>2713450</v>
      </c>
      <c r="P39" s="5">
        <f>SUMIFS('Desenvolvimento diário'!$H:$H,'Desenvolvimento diário'!$Q:$Q,$B39,'Desenvolvimento diário'!$P:$P,$F39,'Desenvolvimento diário'!$R:$R,"Sim")</f>
        <v>1642553.6400000001</v>
      </c>
      <c r="Q39" s="5">
        <f>SUMIFS('Desenvolvimento diário'!$H:$H,'Desenvolvimento diário'!$Q:$Q,$B39,'Desenvolvimento diário'!$P:$P,$F39,'Desenvolvimento diário'!$R:$R,"Não")</f>
        <v>1038444.77</v>
      </c>
      <c r="R39" s="4">
        <f t="shared" si="12"/>
        <v>2680998.41</v>
      </c>
      <c r="S39" s="33">
        <f t="shared" si="15"/>
        <v>32451.589999999851</v>
      </c>
      <c r="T39" s="12">
        <f t="shared" si="13"/>
        <v>0.98804046877591267</v>
      </c>
      <c r="U39" s="510" t="s">
        <v>162</v>
      </c>
      <c r="V39" s="510" t="s">
        <v>163</v>
      </c>
      <c r="Y39" s="2"/>
      <c r="Z39" s="2"/>
      <c r="AA39" s="2"/>
      <c r="AB39" s="2"/>
      <c r="AC39" s="2"/>
    </row>
    <row r="40" spans="1:29" ht="10.5" hidden="1">
      <c r="A40" s="2">
        <f t="shared" si="14"/>
        <v>2</v>
      </c>
      <c r="B40" s="2" t="str">
        <f>VLOOKUP($A40,Controle!$B$4:$F$68,2,FALSE)</f>
        <v>Diamantina 2</v>
      </c>
      <c r="C40" s="2" t="str">
        <f>VLOOKUP($A40,Controle!$B$4:$F$68,3,FALSE)</f>
        <v xml:space="preserve">MORI GERACAO II </v>
      </c>
      <c r="D40" s="2" t="str">
        <f>VLOOKUP($A40,Controle!$B$4:$F$68,4,FALSE)</f>
        <v>Mori II</v>
      </c>
      <c r="E40" s="2">
        <f>VLOOKUP($A40,Controle!$B$4:$F$68,5,FALSE)</f>
        <v>3</v>
      </c>
      <c r="F40" s="3" t="str">
        <f t="shared" si="10"/>
        <v>Construção - Serviços de Construção - Substituição</v>
      </c>
      <c r="G40" s="2" t="str">
        <f>VLOOKUP($A40,Controle!$B$4:$G$68,6,FALSE)</f>
        <v>Mori</v>
      </c>
      <c r="H40" s="6">
        <v>0</v>
      </c>
      <c r="I40" s="6">
        <v>0</v>
      </c>
      <c r="J40" s="6">
        <v>0</v>
      </c>
      <c r="K40" s="6">
        <v>0</v>
      </c>
      <c r="L40" s="6">
        <v>0</v>
      </c>
      <c r="M40" s="6">
        <v>0</v>
      </c>
      <c r="N40" s="6">
        <v>0</v>
      </c>
      <c r="O40" s="4">
        <f t="shared" si="11"/>
        <v>0</v>
      </c>
      <c r="P40" s="5">
        <f>SUMIFS('Desenvolvimento diário'!$H:$H,'Desenvolvimento diário'!$Q:$Q,$B40,'Desenvolvimento diário'!$P:$P,$F40,'Desenvolvimento diário'!$R:$R,"Sim")</f>
        <v>0</v>
      </c>
      <c r="Q40" s="5">
        <f>SUMIFS('Desenvolvimento diário'!$H:$H,'Desenvolvimento diário'!$Q:$Q,$B40,'Desenvolvimento diário'!$P:$P,$F40,'Desenvolvimento diário'!$R:$R,"Não")</f>
        <v>0</v>
      </c>
      <c r="R40" s="4">
        <f t="shared" si="12"/>
        <v>0</v>
      </c>
      <c r="S40" s="4">
        <f t="shared" si="15"/>
        <v>0</v>
      </c>
      <c r="T40" s="12">
        <f t="shared" si="13"/>
        <v>0</v>
      </c>
      <c r="Y40" s="2"/>
      <c r="Z40" s="2"/>
      <c r="AA40" s="2"/>
      <c r="AB40" s="2"/>
      <c r="AC40" s="2"/>
    </row>
    <row r="41" spans="1:29" ht="10.5" hidden="1">
      <c r="A41" s="2">
        <f t="shared" si="14"/>
        <v>2</v>
      </c>
      <c r="B41" s="34" t="str">
        <f>VLOOKUP($A41,Controle!$B$4:$F$68,2,FALSE)</f>
        <v>Diamantina 2</v>
      </c>
      <c r="C41" s="2" t="str">
        <f>VLOOKUP($A41,Controle!$B$4:$F$68,3,FALSE)</f>
        <v xml:space="preserve">MORI GERACAO II </v>
      </c>
      <c r="D41" s="2" t="str">
        <f>VLOOKUP($A41,Controle!$B$4:$F$68,4,FALSE)</f>
        <v>Mori II</v>
      </c>
      <c r="E41" s="2">
        <f>VLOOKUP($A41,Controle!$B$4:$F$68,5,FALSE)</f>
        <v>3</v>
      </c>
      <c r="F41" s="3" t="str">
        <f t="shared" si="10"/>
        <v>Construção - RDA Interno</v>
      </c>
      <c r="G41" s="2" t="str">
        <f>VLOOKUP($A41,Controle!$B$4:$G$68,6,FALSE)</f>
        <v>Mori</v>
      </c>
      <c r="H41" s="6" t="s">
        <v>143</v>
      </c>
      <c r="I41" s="6">
        <v>700085</v>
      </c>
      <c r="J41" s="6">
        <v>6400</v>
      </c>
      <c r="K41" s="6">
        <v>7304.5454</v>
      </c>
      <c r="L41" s="6">
        <v>0</v>
      </c>
      <c r="M41" s="6">
        <v>0</v>
      </c>
      <c r="N41" s="6">
        <v>0</v>
      </c>
      <c r="O41" s="4">
        <f>SUM(I41:N41)+0.0046</f>
        <v>713789.54999999993</v>
      </c>
      <c r="P41" s="5">
        <f>SUMIFS('Desenvolvimento diário'!$H:$H,'Desenvolvimento diário'!$Q:$Q,$B41,'Desenvolvimento diário'!$P:$P,$F41,'Desenvolvimento diário'!$R:$R,"Sim")</f>
        <v>0</v>
      </c>
      <c r="Q41" s="5">
        <f>SUMIFS('Desenvolvimento diário'!$H:$H,'Desenvolvimento diário'!$Q:$Q,$B41,'Desenvolvimento diário'!$P:$P,$F41,'Desenvolvimento diário'!$R:$R,"Não")</f>
        <v>713789.55</v>
      </c>
      <c r="R41" s="4">
        <f t="shared" si="12"/>
        <v>713789.55</v>
      </c>
      <c r="S41" s="175">
        <f t="shared" si="15"/>
        <v>0</v>
      </c>
      <c r="T41" s="12">
        <f t="shared" si="13"/>
        <v>1.0000000000000002</v>
      </c>
      <c r="Y41" s="2"/>
      <c r="Z41" s="2"/>
      <c r="AA41" s="2"/>
      <c r="AB41" s="2"/>
      <c r="AC41" s="2"/>
    </row>
    <row r="42" spans="1:29" ht="10.5" hidden="1">
      <c r="A42" s="2">
        <f t="shared" si="14"/>
        <v>2</v>
      </c>
      <c r="B42" s="2" t="str">
        <f>VLOOKUP($A42,Controle!$B$4:$F$68,2,FALSE)</f>
        <v>Diamantina 2</v>
      </c>
      <c r="C42" s="2" t="str">
        <f>VLOOKUP($A42,Controle!$B$4:$F$68,3,FALSE)</f>
        <v xml:space="preserve">MORI GERACAO II </v>
      </c>
      <c r="D42" s="2" t="str">
        <f>VLOOKUP($A42,Controle!$B$4:$F$68,4,FALSE)</f>
        <v>Mori II</v>
      </c>
      <c r="E42" s="2">
        <f>VLOOKUP($A42,Controle!$B$4:$F$68,5,FALSE)</f>
        <v>3</v>
      </c>
      <c r="F42" s="3" t="str">
        <f t="shared" si="10"/>
        <v>Full EPC - Contrato</v>
      </c>
      <c r="G42" s="2" t="str">
        <f>VLOOKUP($A42,Controle!$B$4:$G$68,6,FALSE)</f>
        <v>Mori</v>
      </c>
      <c r="H42" s="6">
        <v>0</v>
      </c>
      <c r="I42" s="6">
        <v>0</v>
      </c>
      <c r="J42" s="6">
        <v>0</v>
      </c>
      <c r="K42" s="6">
        <v>0</v>
      </c>
      <c r="L42" s="6">
        <v>0</v>
      </c>
      <c r="M42" s="6">
        <v>0</v>
      </c>
      <c r="N42" s="6">
        <v>0</v>
      </c>
      <c r="O42" s="4">
        <f t="shared" si="11"/>
        <v>0</v>
      </c>
      <c r="P42" s="5">
        <f>SUMIFS('Desenvolvimento diário'!$H:$H,'Desenvolvimento diário'!$Q:$Q,$B42,'Desenvolvimento diário'!$P:$P,$F42,'Desenvolvimento diário'!$R:$R,"Sim")</f>
        <v>0</v>
      </c>
      <c r="Q42" s="5">
        <f>SUMIFS('Desenvolvimento diário'!$H:$H,'Desenvolvimento diário'!$Q:$Q,$B42,'Desenvolvimento diário'!$P:$P,$F42,'Desenvolvimento diário'!$R:$R,"Não")</f>
        <v>0</v>
      </c>
      <c r="R42" s="4">
        <f t="shared" si="12"/>
        <v>0</v>
      </c>
      <c r="S42" s="4">
        <f t="shared" si="15"/>
        <v>0</v>
      </c>
      <c r="T42" s="12">
        <f t="shared" si="13"/>
        <v>0</v>
      </c>
      <c r="Y42" s="2"/>
      <c r="Z42" s="2"/>
      <c r="AA42" s="2"/>
      <c r="AB42" s="2"/>
      <c r="AC42" s="2"/>
    </row>
    <row r="43" spans="1:29" ht="10.5" hidden="1">
      <c r="A43" s="2">
        <f t="shared" si="14"/>
        <v>2</v>
      </c>
      <c r="B43" s="2" t="str">
        <f>VLOOKUP($A43,Controle!$B$4:$F$68,2,FALSE)</f>
        <v>Diamantina 2</v>
      </c>
      <c r="C43" s="2" t="str">
        <f>VLOOKUP($A43,Controle!$B$4:$F$68,3,FALSE)</f>
        <v xml:space="preserve">MORI GERACAO II </v>
      </c>
      <c r="D43" s="2" t="str">
        <f>VLOOKUP($A43,Controle!$B$4:$F$68,4,FALSE)</f>
        <v>Mori II</v>
      </c>
      <c r="E43" s="2">
        <f>VLOOKUP($A43,Controle!$B$4:$F$68,5,FALSE)</f>
        <v>3</v>
      </c>
      <c r="F43" s="3" t="str">
        <f t="shared" si="10"/>
        <v>Equipamentos Curva A - Outros (Transformadores)</v>
      </c>
      <c r="G43" s="2" t="str">
        <f>VLOOKUP($A43,Controle!$B$4:$G$68,6,FALSE)</f>
        <v>Mori</v>
      </c>
      <c r="H43" s="6">
        <v>0</v>
      </c>
      <c r="I43" s="6">
        <v>0</v>
      </c>
      <c r="J43" s="6">
        <v>0</v>
      </c>
      <c r="K43" s="6">
        <v>0</v>
      </c>
      <c r="L43" s="6">
        <v>0</v>
      </c>
      <c r="M43" s="6">
        <v>0</v>
      </c>
      <c r="N43" s="6">
        <v>0</v>
      </c>
      <c r="O43" s="4">
        <f t="shared" si="11"/>
        <v>0</v>
      </c>
      <c r="P43" s="5">
        <f>SUMIFS('Desenvolvimento diário'!$H:$H,'Desenvolvimento diário'!$Q:$Q,$B43,'Desenvolvimento diário'!$P:$P,$F43,'Desenvolvimento diário'!$R:$R,"Sim")</f>
        <v>0</v>
      </c>
      <c r="Q43" s="5">
        <f>SUMIFS('Desenvolvimento diário'!$H:$H,'Desenvolvimento diário'!$Q:$Q,$B43,'Desenvolvimento diário'!$P:$P,$F43,'Desenvolvimento diário'!$R:$R,"Não")</f>
        <v>0</v>
      </c>
      <c r="R43" s="4">
        <f t="shared" si="12"/>
        <v>0</v>
      </c>
      <c r="S43" s="4">
        <f t="shared" si="15"/>
        <v>0</v>
      </c>
      <c r="T43" s="12">
        <f t="shared" si="13"/>
        <v>0</v>
      </c>
      <c r="Y43" s="2"/>
      <c r="Z43" s="2"/>
      <c r="AA43" s="2"/>
      <c r="AB43" s="2"/>
      <c r="AC43" s="2"/>
    </row>
    <row r="44" spans="1:29" ht="10.5" hidden="1">
      <c r="A44" s="2">
        <f t="shared" si="14"/>
        <v>2</v>
      </c>
      <c r="B44" s="2" t="str">
        <f>VLOOKUP($A44,Controle!$B$4:$F$68,2,FALSE)</f>
        <v>Diamantina 2</v>
      </c>
      <c r="C44" s="2" t="str">
        <f>VLOOKUP($A44,Controle!$B$4:$F$68,3,FALSE)</f>
        <v xml:space="preserve">MORI GERACAO II </v>
      </c>
      <c r="D44" s="2" t="str">
        <f>VLOOKUP($A44,Controle!$B$4:$F$68,4,FALSE)</f>
        <v>Mori II</v>
      </c>
      <c r="E44" s="2">
        <f>VLOOKUP($A44,Controle!$B$4:$F$68,5,FALSE)</f>
        <v>3</v>
      </c>
      <c r="F44" s="3" t="str">
        <f t="shared" si="10"/>
        <v>Equipamentos Curva A - Outros (Cabine + Skid)</v>
      </c>
      <c r="G44" s="2" t="str">
        <f>VLOOKUP($A44,Controle!$B$4:$G$68,6,FALSE)</f>
        <v>Mori</v>
      </c>
      <c r="H44" s="6">
        <v>0</v>
      </c>
      <c r="I44" s="6">
        <v>0</v>
      </c>
      <c r="J44" s="6">
        <v>0</v>
      </c>
      <c r="K44" s="6">
        <v>0</v>
      </c>
      <c r="L44" s="6">
        <v>0</v>
      </c>
      <c r="M44" s="6">
        <v>0</v>
      </c>
      <c r="N44" s="6">
        <v>0</v>
      </c>
      <c r="O44" s="4">
        <f t="shared" si="11"/>
        <v>0</v>
      </c>
      <c r="P44" s="5">
        <f>SUMIFS('Desenvolvimento diário'!$H:$H,'Desenvolvimento diário'!$Q:$Q,$B44,'Desenvolvimento diário'!$P:$P,$F44,'Desenvolvimento diário'!$R:$R,"Sim")</f>
        <v>0</v>
      </c>
      <c r="Q44" s="5">
        <f>SUMIFS('Desenvolvimento diário'!$H:$H,'Desenvolvimento diário'!$Q:$Q,$B44,'Desenvolvimento diário'!$P:$P,$F44,'Desenvolvimento diário'!$R:$R,"Não")</f>
        <v>0</v>
      </c>
      <c r="R44" s="4">
        <f t="shared" si="12"/>
        <v>0</v>
      </c>
      <c r="S44" s="4">
        <f t="shared" si="15"/>
        <v>0</v>
      </c>
      <c r="T44" s="12">
        <f t="shared" si="13"/>
        <v>0</v>
      </c>
      <c r="Y44" s="2"/>
      <c r="Z44" s="2"/>
      <c r="AA44" s="2"/>
      <c r="AB44" s="2"/>
      <c r="AC44" s="2"/>
    </row>
    <row r="45" spans="1:29" ht="10.5" hidden="1">
      <c r="A45" s="2">
        <f t="shared" si="14"/>
        <v>2</v>
      </c>
      <c r="B45" s="2" t="str">
        <f>VLOOKUP($A45,Controle!$B$4:$F$68,2,FALSE)</f>
        <v>Diamantina 2</v>
      </c>
      <c r="C45" s="2" t="str">
        <f>VLOOKUP($A45,Controle!$B$4:$F$68,3,FALSE)</f>
        <v xml:space="preserve">MORI GERACAO II </v>
      </c>
      <c r="D45" s="2" t="str">
        <f>VLOOKUP($A45,Controle!$B$4:$F$68,4,FALSE)</f>
        <v>Mori II</v>
      </c>
      <c r="E45" s="2">
        <f>VLOOKUP($A45,Controle!$B$4:$F$68,5,FALSE)</f>
        <v>3</v>
      </c>
      <c r="F45" s="3" t="str">
        <f t="shared" si="10"/>
        <v>Equipamentos Curva A - Outros (Cabine + Skid + Transformador)</v>
      </c>
      <c r="G45" s="2" t="str">
        <f>VLOOKUP($A45,Controle!$B$4:$G$68,6,FALSE)</f>
        <v>Mori</v>
      </c>
      <c r="H45" s="6" t="s">
        <v>144</v>
      </c>
      <c r="I45" s="6">
        <v>1199784.6885655141</v>
      </c>
      <c r="J45" s="6">
        <v>0</v>
      </c>
      <c r="K45" s="6">
        <v>0</v>
      </c>
      <c r="L45" s="6">
        <v>0</v>
      </c>
      <c r="M45" s="6">
        <v>0</v>
      </c>
      <c r="N45" s="6">
        <v>0</v>
      </c>
      <c r="O45" s="4">
        <f t="shared" si="11"/>
        <v>1199784.6885655141</v>
      </c>
      <c r="P45" s="5">
        <f>SUMIFS('Desenvolvimento diário'!$H:$H,'Desenvolvimento diário'!$Q:$Q,$B45,'Desenvolvimento diário'!$P:$P,$F45,'Desenvolvimento diário'!$R:$R,"Sim")</f>
        <v>0</v>
      </c>
      <c r="Q45" s="5">
        <f>SUMIFS('Desenvolvimento diário'!$H:$H,'Desenvolvimento diário'!$Q:$Q,$B45,'Desenvolvimento diário'!$P:$P,$F45,'Desenvolvimento diário'!$R:$R,"Não")</f>
        <v>1199784.6885655141</v>
      </c>
      <c r="R45" s="4">
        <f t="shared" si="12"/>
        <v>1199784.6885655141</v>
      </c>
      <c r="S45" s="4">
        <f t="shared" si="15"/>
        <v>0</v>
      </c>
      <c r="T45" s="12">
        <f t="shared" si="13"/>
        <v>1</v>
      </c>
      <c r="Y45" s="2"/>
      <c r="Z45" s="2"/>
      <c r="AA45" s="2"/>
      <c r="AB45" s="2"/>
      <c r="AC45" s="2"/>
    </row>
    <row r="46" spans="1:29" ht="10.5" hidden="1">
      <c r="A46" s="2">
        <f t="shared" si="14"/>
        <v>2</v>
      </c>
      <c r="B46" s="2" t="str">
        <f>VLOOKUP($A46,Controle!$B$4:$F$68,2,FALSE)</f>
        <v>Diamantina 2</v>
      </c>
      <c r="C46" s="2" t="str">
        <f>VLOOKUP($A46,Controle!$B$4:$F$68,3,FALSE)</f>
        <v xml:space="preserve">MORI GERACAO II </v>
      </c>
      <c r="D46" s="2" t="str">
        <f>VLOOKUP($A46,Controle!$B$4:$F$68,4,FALSE)</f>
        <v>Mori II</v>
      </c>
      <c r="E46" s="2">
        <f>VLOOKUP($A46,Controle!$B$4:$F$68,5,FALSE)</f>
        <v>3</v>
      </c>
      <c r="F46" s="3" t="str">
        <f t="shared" si="10"/>
        <v>Desenvolvimento de projeto - Projetos - (Eng° Proprietario)</v>
      </c>
      <c r="G46" s="2" t="str">
        <f>VLOOKUP($A46,Controle!$B$4:$G$68,6,FALSE)</f>
        <v>Mori</v>
      </c>
      <c r="H46" s="6" t="s">
        <v>145</v>
      </c>
      <c r="I46" s="6">
        <v>0</v>
      </c>
      <c r="J46" s="6">
        <v>0</v>
      </c>
      <c r="K46" s="6">
        <v>0</v>
      </c>
      <c r="L46" s="6">
        <v>0</v>
      </c>
      <c r="M46" s="6">
        <v>0</v>
      </c>
      <c r="N46" s="6">
        <v>0</v>
      </c>
      <c r="O46" s="4">
        <f t="shared" si="11"/>
        <v>0</v>
      </c>
      <c r="P46" s="5">
        <f>SUMIFS('Desenvolvimento diário'!$H:$H,'Desenvolvimento diário'!$Q:$Q,$B46,'Desenvolvimento diário'!$P:$P,$F46,'Desenvolvimento diário'!$R:$R,"Sim")</f>
        <v>0</v>
      </c>
      <c r="Q46" s="5">
        <f>SUMIFS('Desenvolvimento diário'!$H:$H,'Desenvolvimento diário'!$Q:$Q,$B46,'Desenvolvimento diário'!$P:$P,$F46,'Desenvolvimento diário'!$R:$R,"Não")</f>
        <v>0</v>
      </c>
      <c r="R46" s="4">
        <f t="shared" si="12"/>
        <v>0</v>
      </c>
      <c r="S46" s="4">
        <f t="shared" si="15"/>
        <v>0</v>
      </c>
      <c r="T46" s="12">
        <f t="shared" si="13"/>
        <v>0</v>
      </c>
      <c r="Y46" s="2"/>
      <c r="Z46" s="2"/>
      <c r="AA46" s="2"/>
      <c r="AB46" s="2"/>
      <c r="AC46" s="2"/>
    </row>
    <row r="47" spans="1:29" ht="10.5" hidden="1">
      <c r="A47" s="2">
        <f t="shared" si="14"/>
        <v>2</v>
      </c>
      <c r="B47" s="2" t="str">
        <f>VLOOKUP($A47,Controle!$B$4:$F$68,2,FALSE)</f>
        <v>Diamantina 2</v>
      </c>
      <c r="C47" s="2" t="str">
        <f>VLOOKUP($A47,Controle!$B$4:$F$68,3,FALSE)</f>
        <v xml:space="preserve">MORI GERACAO II </v>
      </c>
      <c r="D47" s="2" t="str">
        <f>VLOOKUP($A47,Controle!$B$4:$F$68,4,FALSE)</f>
        <v>Mori II</v>
      </c>
      <c r="E47" s="2">
        <f>VLOOKUP($A47,Controle!$B$4:$F$68,5,FALSE)</f>
        <v>3</v>
      </c>
      <c r="F47" s="3" t="str">
        <f t="shared" si="10"/>
        <v>Desenvolvimento de projeto - Projetos - Executivos</v>
      </c>
      <c r="G47" s="2" t="str">
        <f>VLOOKUP($A47,Controle!$B$4:$G$68,6,FALSE)</f>
        <v>Mori</v>
      </c>
      <c r="H47" s="6" t="s">
        <v>146</v>
      </c>
      <c r="I47" s="6" t="s">
        <v>164</v>
      </c>
      <c r="J47" s="6">
        <v>0</v>
      </c>
      <c r="K47" s="6">
        <v>0</v>
      </c>
      <c r="L47" s="6">
        <v>0</v>
      </c>
      <c r="M47" s="6">
        <v>0</v>
      </c>
      <c r="N47" s="6">
        <v>0</v>
      </c>
      <c r="O47" s="4">
        <f t="shared" si="11"/>
        <v>0</v>
      </c>
      <c r="P47" s="5">
        <f>SUMIFS('Desenvolvimento diário'!$H:$H,'Desenvolvimento diário'!$Q:$Q,$B47,'Desenvolvimento diário'!$P:$P,$F47,'Desenvolvimento diário'!$R:$R,"Sim")</f>
        <v>0</v>
      </c>
      <c r="Q47" s="5">
        <f>SUMIFS('Desenvolvimento diário'!$H:$H,'Desenvolvimento diário'!$Q:$Q,$B47,'Desenvolvimento diário'!$P:$P,$F47,'Desenvolvimento diário'!$R:$R,"Não")</f>
        <v>0</v>
      </c>
      <c r="R47" s="4">
        <f t="shared" si="12"/>
        <v>0</v>
      </c>
      <c r="S47" s="4">
        <f t="shared" si="15"/>
        <v>0</v>
      </c>
      <c r="T47" s="12">
        <f t="shared" si="13"/>
        <v>0</v>
      </c>
      <c r="Y47" s="2"/>
      <c r="Z47" s="2"/>
      <c r="AA47" s="2"/>
      <c r="AB47" s="2"/>
      <c r="AC47" s="2"/>
    </row>
    <row r="48" spans="1:29" ht="10.5" hidden="1">
      <c r="A48" s="2">
        <f t="shared" si="14"/>
        <v>2</v>
      </c>
      <c r="B48" s="2" t="str">
        <f>VLOOKUP($A48,Controle!$B$4:$F$68,2,FALSE)</f>
        <v>Diamantina 2</v>
      </c>
      <c r="C48" s="2" t="str">
        <f>VLOOKUP($A48,Controle!$B$4:$F$68,3,FALSE)</f>
        <v xml:space="preserve">MORI GERACAO II </v>
      </c>
      <c r="D48" s="2" t="str">
        <f>VLOOKUP($A48,Controle!$B$4:$F$68,4,FALSE)</f>
        <v>Mori II</v>
      </c>
      <c r="E48" s="2">
        <f>VLOOKUP($A48,Controle!$B$4:$F$68,5,FALSE)</f>
        <v>3</v>
      </c>
      <c r="F48" s="3" t="str">
        <f t="shared" si="10"/>
        <v>Desenvolvimento de projeto - Projetos Básica</v>
      </c>
      <c r="G48" s="2" t="str">
        <f>VLOOKUP($A48,Controle!$B$4:$G$68,6,FALSE)</f>
        <v>Mori</v>
      </c>
      <c r="H48" s="6">
        <v>0</v>
      </c>
      <c r="I48" s="6">
        <v>0</v>
      </c>
      <c r="J48" s="6">
        <v>0</v>
      </c>
      <c r="K48" s="6">
        <v>0</v>
      </c>
      <c r="L48" s="6">
        <v>0</v>
      </c>
      <c r="M48" s="6">
        <v>0</v>
      </c>
      <c r="N48" s="6">
        <v>0</v>
      </c>
      <c r="O48" s="4">
        <f t="shared" si="11"/>
        <v>0</v>
      </c>
      <c r="P48" s="5">
        <f>SUMIFS('Desenvolvimento diário'!$H:$H,'Desenvolvimento diário'!$Q:$Q,$B48,'Desenvolvimento diário'!$P:$P,$F48,'Desenvolvimento diário'!$R:$R,"Sim")</f>
        <v>0</v>
      </c>
      <c r="Q48" s="5">
        <f>SUMIFS('Desenvolvimento diário'!$H:$H,'Desenvolvimento diário'!$Q:$Q,$B48,'Desenvolvimento diário'!$P:$P,$F48,'Desenvolvimento diário'!$R:$R,"Não")</f>
        <v>0</v>
      </c>
      <c r="R48" s="4">
        <f t="shared" si="12"/>
        <v>0</v>
      </c>
      <c r="S48" s="4">
        <f t="shared" si="15"/>
        <v>0</v>
      </c>
      <c r="T48" s="12">
        <f t="shared" si="13"/>
        <v>0</v>
      </c>
      <c r="Y48" s="2"/>
      <c r="Z48" s="2"/>
      <c r="AA48" s="2"/>
      <c r="AB48" s="2"/>
      <c r="AC48" s="2"/>
    </row>
    <row r="49" spans="1:29" ht="10.5" hidden="1">
      <c r="A49" s="2">
        <f t="shared" si="14"/>
        <v>2</v>
      </c>
      <c r="B49" s="2" t="str">
        <f>VLOOKUP($A49,Controle!$B$4:$F$68,2,FALSE)</f>
        <v>Diamantina 2</v>
      </c>
      <c r="C49" s="2" t="str">
        <f>VLOOKUP($A49,Controle!$B$4:$F$68,3,FALSE)</f>
        <v xml:space="preserve">MORI GERACAO II </v>
      </c>
      <c r="D49" s="2" t="str">
        <f>VLOOKUP($A49,Controle!$B$4:$F$68,4,FALSE)</f>
        <v>Mori II</v>
      </c>
      <c r="E49" s="2">
        <f>VLOOKUP($A49,Controle!$B$4:$F$68,5,FALSE)</f>
        <v>3</v>
      </c>
      <c r="F49" s="3" t="str">
        <f t="shared" si="10"/>
        <v>Desenvolvimento de projeto - Projetos Detalhada</v>
      </c>
      <c r="G49" s="2" t="str">
        <f>VLOOKUP($A49,Controle!$B$4:$G$68,6,FALSE)</f>
        <v>Mori</v>
      </c>
      <c r="H49" s="6" t="s">
        <v>147</v>
      </c>
      <c r="I49" s="6">
        <v>93783</v>
      </c>
      <c r="J49" s="6">
        <v>34676.160000000003</v>
      </c>
      <c r="K49" s="6">
        <v>0</v>
      </c>
      <c r="L49" s="6">
        <v>0</v>
      </c>
      <c r="M49" s="6">
        <v>0</v>
      </c>
      <c r="N49" s="6">
        <v>0</v>
      </c>
      <c r="O49" s="4">
        <f t="shared" si="11"/>
        <v>128459.16</v>
      </c>
      <c r="P49" s="5">
        <f>SUMIFS('Desenvolvimento diário'!$H:$H,'Desenvolvimento diário'!$Q:$Q,$B49,'Desenvolvimento diário'!$P:$P,$F49,'Desenvolvimento diário'!$R:$R,"Sim")</f>
        <v>0</v>
      </c>
      <c r="Q49" s="5">
        <f>SUMIFS('Desenvolvimento diário'!$H:$H,'Desenvolvimento diário'!$Q:$Q,$B49,'Desenvolvimento diário'!$P:$P,$F49,'Desenvolvimento diário'!$R:$R,"Não")</f>
        <v>128459.16</v>
      </c>
      <c r="R49" s="4">
        <f t="shared" si="12"/>
        <v>128459.16</v>
      </c>
      <c r="S49" s="4">
        <f t="shared" si="15"/>
        <v>0</v>
      </c>
      <c r="T49" s="12">
        <f t="shared" si="13"/>
        <v>1</v>
      </c>
      <c r="Y49" s="2"/>
      <c r="Z49" s="2"/>
      <c r="AA49" s="2"/>
      <c r="AB49" s="2"/>
      <c r="AC49" s="2"/>
    </row>
    <row r="50" spans="1:29" ht="10.5" hidden="1">
      <c r="A50" s="2">
        <f t="shared" si="14"/>
        <v>2</v>
      </c>
      <c r="B50" s="2" t="str">
        <f>VLOOKUP($A50,Controle!$B$4:$F$68,2,FALSE)</f>
        <v>Diamantina 2</v>
      </c>
      <c r="C50" s="2" t="str">
        <f>VLOOKUP($A50,Controle!$B$4:$F$68,3,FALSE)</f>
        <v xml:space="preserve">MORI GERACAO II </v>
      </c>
      <c r="D50" s="2" t="str">
        <f>VLOOKUP($A50,Controle!$B$4:$F$68,4,FALSE)</f>
        <v>Mori II</v>
      </c>
      <c r="E50" s="2">
        <f>VLOOKUP($A50,Controle!$B$4:$F$68,5,FALSE)</f>
        <v>3</v>
      </c>
      <c r="F50" s="3" t="str">
        <f t="shared" si="10"/>
        <v>Desenvolvimento de projeto - Ambiental / Outros</v>
      </c>
      <c r="G50" s="2" t="str">
        <f>VLOOKUP($A50,Controle!$B$4:$G$68,6,FALSE)</f>
        <v>Mori</v>
      </c>
      <c r="H50" s="6" t="s">
        <v>148</v>
      </c>
      <c r="I50" s="6">
        <f>R50</f>
        <v>163687.34</v>
      </c>
      <c r="J50" s="6">
        <v>0</v>
      </c>
      <c r="K50" s="6">
        <v>0</v>
      </c>
      <c r="L50" s="6">
        <v>0</v>
      </c>
      <c r="M50" s="6">
        <v>0</v>
      </c>
      <c r="N50" s="6">
        <v>0</v>
      </c>
      <c r="O50" s="4">
        <f t="shared" si="11"/>
        <v>163687.34</v>
      </c>
      <c r="P50" s="5">
        <f>SUMIFS('Desenvolvimento diário'!$H:$H,'Desenvolvimento diário'!$Q:$Q,$B50,'Desenvolvimento diário'!$P:$P,$F50,'Desenvolvimento diário'!$R:$R,"Sim")</f>
        <v>0</v>
      </c>
      <c r="Q50" s="5">
        <f>SUMIFS('Desenvolvimento diário'!$H:$H,'Desenvolvimento diário'!$Q:$Q,$B50,'Desenvolvimento diário'!$P:$P,$F50,'Desenvolvimento diário'!$R:$R,"Não")</f>
        <v>163687.34</v>
      </c>
      <c r="R50" s="4">
        <f t="shared" si="12"/>
        <v>163687.34</v>
      </c>
      <c r="S50" s="4">
        <f t="shared" si="15"/>
        <v>0</v>
      </c>
      <c r="T50" s="12">
        <f t="shared" si="13"/>
        <v>1</v>
      </c>
      <c r="Y50" s="2"/>
      <c r="Z50" s="2"/>
      <c r="AA50" s="2"/>
      <c r="AB50" s="2"/>
      <c r="AC50" s="2"/>
    </row>
    <row r="51" spans="1:29" hidden="1">
      <c r="A51" s="2">
        <f t="shared" si="14"/>
        <v>2</v>
      </c>
      <c r="B51" s="34" t="str">
        <f>VLOOKUP($A51,Controle!$B$4:$F$68,2,FALSE)</f>
        <v>Diamantina 2</v>
      </c>
      <c r="C51" s="2" t="str">
        <f>VLOOKUP($A51,Controle!$B$4:$F$68,3,FALSE)</f>
        <v xml:space="preserve">MORI GERACAO II </v>
      </c>
      <c r="D51" s="2" t="str">
        <f>VLOOKUP($A51,Controle!$B$4:$F$68,4,FALSE)</f>
        <v>Mori II</v>
      </c>
      <c r="E51" s="2">
        <f>VLOOKUP($A51,Controle!$B$4:$F$68,5,FALSE)</f>
        <v>3</v>
      </c>
      <c r="F51" s="3" t="str">
        <f t="shared" si="10"/>
        <v>Desenvolvimento de projeto - Coordenograma</v>
      </c>
      <c r="G51" s="2" t="str">
        <f>VLOOKUP($A51,Controle!$B$4:$G$68,6,FALSE)</f>
        <v>Mori</v>
      </c>
      <c r="H51" s="31" t="s">
        <v>149</v>
      </c>
      <c r="I51" s="31">
        <v>6206.9</v>
      </c>
      <c r="J51" s="31">
        <v>0</v>
      </c>
      <c r="K51" s="31">
        <v>0</v>
      </c>
      <c r="L51" s="6">
        <v>0</v>
      </c>
      <c r="M51" s="6">
        <v>0</v>
      </c>
      <c r="N51" s="6">
        <v>0</v>
      </c>
      <c r="O51" s="4">
        <f t="shared" si="11"/>
        <v>6206.9</v>
      </c>
      <c r="P51" s="5">
        <f>SUMIFS('Desenvolvimento diário'!$H:$H,'Desenvolvimento diário'!$Q:$Q,$B51,'Desenvolvimento diário'!$P:$P,$F51,'Desenvolvimento diário'!$R:$R,"Sim")</f>
        <v>0</v>
      </c>
      <c r="Q51" s="5">
        <f>SUMIFS('Desenvolvimento diário'!$H:$H,'Desenvolvimento diário'!$Q:$Q,$B51,'Desenvolvimento diário'!$P:$P,$F51,'Desenvolvimento diário'!$R:$R,"Não")</f>
        <v>6206.9</v>
      </c>
      <c r="R51" s="4">
        <f t="shared" si="12"/>
        <v>6206.9</v>
      </c>
      <c r="S51" s="4">
        <f t="shared" si="15"/>
        <v>0</v>
      </c>
      <c r="T51" s="12">
        <f t="shared" si="13"/>
        <v>1</v>
      </c>
      <c r="Y51" s="2"/>
      <c r="Z51" s="2"/>
      <c r="AA51" s="2"/>
      <c r="AB51" s="2"/>
      <c r="AC51" s="2"/>
    </row>
    <row r="52" spans="1:29" ht="10.5" hidden="1">
      <c r="A52" s="2">
        <f t="shared" si="14"/>
        <v>2</v>
      </c>
      <c r="B52" s="2" t="str">
        <f>VLOOKUP($A52,Controle!$B$4:$F$68,2,FALSE)</f>
        <v>Diamantina 2</v>
      </c>
      <c r="C52" s="2" t="str">
        <f>VLOOKUP($A52,Controle!$B$4:$F$68,3,FALSE)</f>
        <v xml:space="preserve">MORI GERACAO II </v>
      </c>
      <c r="D52" s="2" t="str">
        <f>VLOOKUP($A52,Controle!$B$4:$F$68,4,FALSE)</f>
        <v>Mori II</v>
      </c>
      <c r="E52" s="2">
        <f>VLOOKUP($A52,Controle!$B$4:$F$68,5,FALSE)</f>
        <v>3</v>
      </c>
      <c r="F52" s="3" t="str">
        <f t="shared" si="10"/>
        <v>Sistemas de Monitoramento - Supervisório</v>
      </c>
      <c r="G52" s="2" t="str">
        <f>VLOOKUP($A52,Controle!$B$4:$G$68,6,FALSE)</f>
        <v>Mori</v>
      </c>
      <c r="H52" s="6" t="s">
        <v>150</v>
      </c>
      <c r="I52" s="6">
        <v>136155</v>
      </c>
      <c r="J52" s="6"/>
      <c r="K52" s="6">
        <v>0</v>
      </c>
      <c r="L52" s="6">
        <v>0</v>
      </c>
      <c r="M52" s="6">
        <v>0</v>
      </c>
      <c r="N52" s="6">
        <v>0</v>
      </c>
      <c r="O52" s="4">
        <f t="shared" si="11"/>
        <v>136155</v>
      </c>
      <c r="P52" s="5">
        <f>SUMIFS('Desenvolvimento diário'!$H:$H,'Desenvolvimento diário'!$Q:$Q,$B52,'Desenvolvimento diário'!$P:$P,$F52,'Desenvolvimento diário'!$R:$R,"Sim")</f>
        <v>5821.02</v>
      </c>
      <c r="Q52" s="5">
        <f>SUMIFS('Desenvolvimento diário'!$H:$H,'Desenvolvimento diário'!$Q:$Q,$B52,'Desenvolvimento diário'!$P:$P,$F52,'Desenvolvimento diário'!$R:$R,"Não")</f>
        <v>130333.98000000001</v>
      </c>
      <c r="R52" s="4">
        <f t="shared" si="12"/>
        <v>136155</v>
      </c>
      <c r="S52" s="4">
        <f t="shared" si="15"/>
        <v>0</v>
      </c>
      <c r="T52" s="12">
        <f t="shared" si="13"/>
        <v>1</v>
      </c>
      <c r="Y52" s="2"/>
      <c r="Z52" s="2"/>
      <c r="AA52" s="2"/>
      <c r="AB52" s="2"/>
      <c r="AC52" s="2"/>
    </row>
    <row r="53" spans="1:29" ht="10.5" hidden="1">
      <c r="A53" s="2">
        <f t="shared" si="14"/>
        <v>2</v>
      </c>
      <c r="B53" s="2" t="str">
        <f>VLOOKUP($A53,Controle!$B$4:$F$68,2,FALSE)</f>
        <v>Diamantina 2</v>
      </c>
      <c r="C53" s="2" t="str">
        <f>VLOOKUP($A53,Controle!$B$4:$F$68,3,FALSE)</f>
        <v xml:space="preserve">MORI GERACAO II </v>
      </c>
      <c r="D53" s="2" t="str">
        <f>VLOOKUP($A53,Controle!$B$4:$F$68,4,FALSE)</f>
        <v>Mori II</v>
      </c>
      <c r="E53" s="2">
        <f>VLOOKUP($A53,Controle!$B$4:$F$68,5,FALSE)</f>
        <v>3</v>
      </c>
      <c r="F53" s="3" t="str">
        <f t="shared" si="10"/>
        <v>Sistemas de Monitoramento - Estações Solarimétricas</v>
      </c>
      <c r="G53" s="2" t="str">
        <f>VLOOKUP($A53,Controle!$B$4:$G$68,6,FALSE)</f>
        <v>Mori</v>
      </c>
      <c r="H53" s="6" t="s">
        <v>151</v>
      </c>
      <c r="I53" s="6">
        <v>48276.516000000003</v>
      </c>
      <c r="J53" s="6">
        <v>0</v>
      </c>
      <c r="K53" s="6">
        <v>0</v>
      </c>
      <c r="L53" s="6">
        <v>0</v>
      </c>
      <c r="M53" s="6">
        <v>0</v>
      </c>
      <c r="N53" s="6">
        <v>0</v>
      </c>
      <c r="O53" s="4">
        <f t="shared" si="11"/>
        <v>48276.516000000003</v>
      </c>
      <c r="P53" s="5">
        <f>SUMIFS('Desenvolvimento diário'!$H:$H,'Desenvolvimento diário'!$Q:$Q,$B53,'Desenvolvimento diário'!$P:$P,$F53,'Desenvolvimento diário'!$R:$R,"Sim")</f>
        <v>0</v>
      </c>
      <c r="Q53" s="5">
        <f>SUMIFS('Desenvolvimento diário'!$H:$H,'Desenvolvimento diário'!$Q:$Q,$B53,'Desenvolvimento diário'!$P:$P,$F53,'Desenvolvimento diário'!$R:$R,"Não")</f>
        <v>48276.516000000003</v>
      </c>
      <c r="R53" s="4">
        <f t="shared" si="12"/>
        <v>48276.516000000003</v>
      </c>
      <c r="S53" s="4">
        <f t="shared" si="15"/>
        <v>0</v>
      </c>
      <c r="T53" s="12">
        <f t="shared" si="13"/>
        <v>1</v>
      </c>
      <c r="Y53" s="2"/>
      <c r="Z53" s="2"/>
      <c r="AA53" s="2"/>
      <c r="AB53" s="2"/>
      <c r="AC53" s="2"/>
    </row>
    <row r="54" spans="1:29" hidden="1">
      <c r="A54" s="2">
        <f t="shared" si="14"/>
        <v>2</v>
      </c>
      <c r="B54" s="2" t="str">
        <f>VLOOKUP($A54,Controle!$B$4:$F$68,2,FALSE)</f>
        <v>Diamantina 2</v>
      </c>
      <c r="C54" s="2" t="str">
        <f>VLOOKUP($A54,Controle!$B$4:$F$68,3,FALSE)</f>
        <v xml:space="preserve">MORI GERACAO II </v>
      </c>
      <c r="D54" s="2" t="str">
        <f>VLOOKUP($A54,Controle!$B$4:$F$68,4,FALSE)</f>
        <v>Mori II</v>
      </c>
      <c r="E54" s="2">
        <f>VLOOKUP($A54,Controle!$B$4:$F$68,5,FALSE)</f>
        <v>3</v>
      </c>
      <c r="F54" s="3" t="str">
        <f t="shared" si="10"/>
        <v>Sistemas de Monitoramento - CFTV</v>
      </c>
      <c r="G54" s="2" t="str">
        <f>VLOOKUP($A54,Controle!$B$4:$G$68,6,FALSE)</f>
        <v>Mori</v>
      </c>
      <c r="H54" s="31" t="s">
        <v>152</v>
      </c>
      <c r="I54" s="6">
        <v>261668.28</v>
      </c>
      <c r="J54" s="6">
        <v>0</v>
      </c>
      <c r="K54" s="6">
        <v>0</v>
      </c>
      <c r="L54" s="6">
        <v>0</v>
      </c>
      <c r="M54" s="6">
        <v>0</v>
      </c>
      <c r="N54" s="6">
        <v>0</v>
      </c>
      <c r="O54" s="4">
        <f t="shared" si="11"/>
        <v>261668.28</v>
      </c>
      <c r="P54" s="5">
        <f>SUMIFS('Desenvolvimento diário'!$H:$H,'Desenvolvimento diário'!$Q:$Q,$B54,'Desenvolvimento diário'!$P:$P,$F54,'Desenvolvimento diário'!$R:$R,"Sim")</f>
        <v>0</v>
      </c>
      <c r="Q54" s="5">
        <f>SUMIFS('Desenvolvimento diário'!$H:$H,'Desenvolvimento diário'!$Q:$Q,$B54,'Desenvolvimento diário'!$P:$P,$F54,'Desenvolvimento diário'!$R:$R,"Não")</f>
        <v>261668.28</v>
      </c>
      <c r="R54" s="4">
        <f t="shared" si="12"/>
        <v>261668.28</v>
      </c>
      <c r="S54" s="4">
        <f t="shared" si="15"/>
        <v>0</v>
      </c>
      <c r="T54" s="12">
        <f t="shared" si="13"/>
        <v>1</v>
      </c>
      <c r="Y54" s="2"/>
      <c r="Z54" s="2"/>
      <c r="AA54" s="2"/>
      <c r="AB54" s="2"/>
      <c r="AC54" s="2"/>
    </row>
    <row r="55" spans="1:29" ht="10.5">
      <c r="A55" s="2">
        <f t="shared" si="14"/>
        <v>2</v>
      </c>
      <c r="B55" s="2" t="str">
        <f>VLOOKUP($A55,Controle!$B$4:$F$68,2,FALSE)</f>
        <v>Diamantina 2</v>
      </c>
      <c r="C55" s="2" t="str">
        <f>VLOOKUP($A55,Controle!$B$4:$F$68,3,FALSE)</f>
        <v xml:space="preserve">MORI GERACAO II </v>
      </c>
      <c r="D55" s="2" t="str">
        <f>VLOOKUP($A55,Controle!$B$4:$F$68,4,FALSE)</f>
        <v>Mori II</v>
      </c>
      <c r="E55" s="2">
        <f>VLOOKUP($A55,Controle!$B$4:$F$68,5,FALSE)</f>
        <v>3</v>
      </c>
      <c r="F55" s="3" t="str">
        <f t="shared" si="10"/>
        <v>Serviços Auxiliares - Drenagem</v>
      </c>
      <c r="G55" s="2" t="str">
        <f>VLOOKUP($A55,Controle!$B$4:$G$68,6,FALSE)</f>
        <v>Mori</v>
      </c>
      <c r="H55" s="31" t="s">
        <v>173</v>
      </c>
      <c r="I55" s="31">
        <v>686107.5</v>
      </c>
      <c r="J55" s="6">
        <v>164771.5</v>
      </c>
      <c r="K55" s="854">
        <v>14900</v>
      </c>
      <c r="L55" s="28">
        <v>1482339.75</v>
      </c>
      <c r="M55" s="6">
        <v>0</v>
      </c>
      <c r="N55" s="6">
        <v>0</v>
      </c>
      <c r="O55" s="4">
        <f t="shared" si="11"/>
        <v>2348118.75</v>
      </c>
      <c r="P55" s="5">
        <f>SUMIFS('Desenvolvimento diário'!$H:$H,'Desenvolvimento diário'!$Q:$Q,$B55,'Desenvolvimento diário'!$P:$P,$F55,'Desenvolvimento diário'!$R:$R,"Sim")</f>
        <v>686107.5</v>
      </c>
      <c r="Q55" s="5">
        <f>SUMIFS('Desenvolvimento diário'!$H:$H,'Desenvolvimento diário'!$Q:$Q,$B55,'Desenvolvimento diário'!$P:$P,$F55,'Desenvolvimento diário'!$R:$R,"Não")</f>
        <v>1604811.25</v>
      </c>
      <c r="R55" s="4">
        <f t="shared" si="12"/>
        <v>2290918.75</v>
      </c>
      <c r="S55" s="1008">
        <f t="shared" si="15"/>
        <v>57200</v>
      </c>
      <c r="T55" s="12">
        <f t="shared" si="13"/>
        <v>0.97564007356953308</v>
      </c>
      <c r="U55" s="1012" t="s">
        <v>166</v>
      </c>
      <c r="V55" s="1012" t="s">
        <v>174</v>
      </c>
      <c r="Y55" s="2"/>
      <c r="Z55" s="2"/>
      <c r="AA55" s="2"/>
      <c r="AB55" s="2"/>
      <c r="AC55" s="2"/>
    </row>
    <row r="56" spans="1:29" ht="10.5" hidden="1">
      <c r="A56" s="2">
        <f t="shared" si="14"/>
        <v>2</v>
      </c>
      <c r="B56" s="2" t="str">
        <f>VLOOKUP($A56,Controle!$B$4:$F$68,2,FALSE)</f>
        <v>Diamantina 2</v>
      </c>
      <c r="C56" s="2" t="str">
        <f>VLOOKUP($A56,Controle!$B$4:$F$68,3,FALSE)</f>
        <v xml:space="preserve">MORI GERACAO II </v>
      </c>
      <c r="D56" s="2" t="str">
        <f>VLOOKUP($A56,Controle!$B$4:$F$68,4,FALSE)</f>
        <v>Mori II</v>
      </c>
      <c r="E56" s="2">
        <f>VLOOKUP($A56,Controle!$B$4:$F$68,5,FALSE)</f>
        <v>3</v>
      </c>
      <c r="F56" s="3" t="str">
        <f t="shared" si="10"/>
        <v>Serviços Auxiliares - Terraplanagem</v>
      </c>
      <c r="G56" s="2" t="str">
        <f>VLOOKUP($A56,Controle!$B$4:$G$68,6,FALSE)</f>
        <v>Mori</v>
      </c>
      <c r="H56" s="6" t="s">
        <v>175</v>
      </c>
      <c r="I56" s="6">
        <v>1205985.6000000001</v>
      </c>
      <c r="J56" s="6"/>
      <c r="K56" s="6">
        <v>0</v>
      </c>
      <c r="L56" s="6">
        <v>0</v>
      </c>
      <c r="M56" s="6">
        <v>0</v>
      </c>
      <c r="N56" s="6">
        <v>0</v>
      </c>
      <c r="O56" s="4">
        <f t="shared" si="11"/>
        <v>1205985.6000000001</v>
      </c>
      <c r="P56" s="5">
        <f>SUMIFS('Desenvolvimento diário'!$H:$H,'Desenvolvimento diário'!$Q:$Q,$B56,'Desenvolvimento diário'!$P:$P,$F56,'Desenvolvimento diário'!$R:$R,"Sim")</f>
        <v>780000</v>
      </c>
      <c r="Q56" s="5">
        <f>SUMIFS('Desenvolvimento diário'!$H:$H,'Desenvolvimento diário'!$Q:$Q,$B56,'Desenvolvimento diário'!$P:$P,$F56,'Desenvolvimento diário'!$R:$R,"Não")-(0.53)</f>
        <v>425985.6</v>
      </c>
      <c r="R56" s="4">
        <f t="shared" si="12"/>
        <v>1205985.6000000001</v>
      </c>
      <c r="S56" s="4">
        <f t="shared" si="15"/>
        <v>0</v>
      </c>
      <c r="T56" s="12">
        <f t="shared" si="13"/>
        <v>1</v>
      </c>
      <c r="Y56" s="2"/>
      <c r="Z56" s="2"/>
      <c r="AA56" s="2"/>
      <c r="AB56" s="2"/>
      <c r="AC56" s="2"/>
    </row>
    <row r="57" spans="1:29" ht="10.5" hidden="1">
      <c r="A57" s="2">
        <f t="shared" si="14"/>
        <v>2</v>
      </c>
      <c r="B57" s="2" t="str">
        <f>VLOOKUP($A57,Controle!$B$4:$F$68,2,FALSE)</f>
        <v>Diamantina 2</v>
      </c>
      <c r="C57" s="2" t="str">
        <f>VLOOKUP($A57,Controle!$B$4:$F$68,3,FALSE)</f>
        <v xml:space="preserve">MORI GERACAO II </v>
      </c>
      <c r="D57" s="2" t="str">
        <f>VLOOKUP($A57,Controle!$B$4:$F$68,4,FALSE)</f>
        <v>Mori II</v>
      </c>
      <c r="E57" s="2">
        <f>VLOOKUP($A57,Controle!$B$4:$F$68,5,FALSE)</f>
        <v>3</v>
      </c>
      <c r="F57" s="3" t="str">
        <f t="shared" si="10"/>
        <v>Serviços Auxiliares - Supressão Vegetal</v>
      </c>
      <c r="G57" s="2" t="str">
        <f>VLOOKUP($A57,Controle!$B$4:$G$68,6,FALSE)</f>
        <v>Mori</v>
      </c>
      <c r="H57" s="6" t="s">
        <v>155</v>
      </c>
      <c r="I57" s="6">
        <v>50000</v>
      </c>
      <c r="J57" s="6">
        <f>23665.47-0.02</f>
        <v>23665.45</v>
      </c>
      <c r="K57" s="6">
        <v>0</v>
      </c>
      <c r="L57" s="6">
        <v>0</v>
      </c>
      <c r="M57" s="6">
        <v>0</v>
      </c>
      <c r="N57" s="6">
        <v>0</v>
      </c>
      <c r="O57" s="4">
        <f t="shared" si="11"/>
        <v>73665.45</v>
      </c>
      <c r="P57" s="5">
        <f>SUMIFS('Desenvolvimento diário'!$H:$H,'Desenvolvimento diário'!$Q:$Q,$B57,'Desenvolvimento diário'!$P:$P,$F57,'Desenvolvimento diário'!$R:$R,"Sim")</f>
        <v>2366.54</v>
      </c>
      <c r="Q57" s="5">
        <f>SUMIFS('Desenvolvimento diário'!$H:$H,'Desenvolvimento diário'!$Q:$Q,$B57,'Desenvolvimento diário'!$P:$P,$F57,'Desenvolvimento diário'!$R:$R,"Não")</f>
        <v>71298.91</v>
      </c>
      <c r="R57" s="4">
        <f t="shared" si="12"/>
        <v>73665.45</v>
      </c>
      <c r="S57" s="190">
        <f t="shared" si="15"/>
        <v>0</v>
      </c>
      <c r="T57" s="36">
        <f t="shared" si="13"/>
        <v>1</v>
      </c>
      <c r="U57" s="34"/>
      <c r="Y57" s="2"/>
      <c r="Z57" s="2"/>
      <c r="AA57" s="2"/>
      <c r="AB57" s="2"/>
      <c r="AC57" s="2"/>
    </row>
    <row r="58" spans="1:29" ht="10.5" hidden="1">
      <c r="A58" s="2">
        <f t="shared" si="14"/>
        <v>2</v>
      </c>
      <c r="B58" s="2" t="str">
        <f>VLOOKUP($A58,Controle!$B$4:$F$68,2,FALSE)</f>
        <v>Diamantina 2</v>
      </c>
      <c r="C58" s="2" t="str">
        <f>VLOOKUP($A58,Controle!$B$4:$F$68,3,FALSE)</f>
        <v xml:space="preserve">MORI GERACAO II </v>
      </c>
      <c r="D58" s="2" t="str">
        <f>VLOOKUP($A58,Controle!$B$4:$F$68,4,FALSE)</f>
        <v>Mori II</v>
      </c>
      <c r="E58" s="2">
        <f>VLOOKUP($A58,Controle!$B$4:$F$68,5,FALSE)</f>
        <v>3</v>
      </c>
      <c r="F58" s="3" t="str">
        <f t="shared" si="10"/>
        <v>RDR-Rede de Distribuição Rural</v>
      </c>
      <c r="G58" s="2" t="str">
        <f>VLOOKUP($A58,Controle!$B$4:$G$68,6,FALSE)</f>
        <v>Mori</v>
      </c>
      <c r="H58" s="6">
        <v>0</v>
      </c>
      <c r="I58" s="6">
        <v>0</v>
      </c>
      <c r="J58" s="6">
        <v>0</v>
      </c>
      <c r="K58" s="6">
        <v>0</v>
      </c>
      <c r="L58" s="6">
        <v>0</v>
      </c>
      <c r="M58" s="6">
        <v>0</v>
      </c>
      <c r="N58" s="6">
        <v>0</v>
      </c>
      <c r="O58" s="4">
        <f t="shared" si="11"/>
        <v>0</v>
      </c>
      <c r="P58" s="5">
        <f>SUMIFS('Desenvolvimento diário'!$H:$H,'Desenvolvimento diário'!$Q:$Q,$B58,'Desenvolvimento diário'!$P:$P,$F58,'Desenvolvimento diário'!$R:$R,"Sim")</f>
        <v>0</v>
      </c>
      <c r="Q58" s="5">
        <f>SUMIFS('Desenvolvimento diário'!$H:$H,'Desenvolvimento diário'!$Q:$Q,$B58,'Desenvolvimento diário'!$P:$P,$F58,'Desenvolvimento diário'!$R:$R,"Não")</f>
        <v>0</v>
      </c>
      <c r="R58" s="4">
        <f t="shared" si="12"/>
        <v>0</v>
      </c>
      <c r="S58" s="4">
        <f t="shared" si="15"/>
        <v>0</v>
      </c>
      <c r="T58" s="12">
        <f t="shared" si="13"/>
        <v>0</v>
      </c>
      <c r="Y58" s="2"/>
      <c r="Z58" s="2"/>
      <c r="AA58" s="2"/>
      <c r="AB58" s="2"/>
      <c r="AC58" s="2"/>
    </row>
    <row r="59" spans="1:29" ht="10.5" hidden="1">
      <c r="A59" s="2">
        <f t="shared" si="14"/>
        <v>2</v>
      </c>
      <c r="B59" s="2" t="str">
        <f>VLOOKUP($A59,Controle!$B$4:$F$68,2,FALSE)</f>
        <v>Diamantina 2</v>
      </c>
      <c r="C59" s="2" t="str">
        <f>VLOOKUP($A59,Controle!$B$4:$F$68,3,FALSE)</f>
        <v xml:space="preserve">MORI GERACAO II </v>
      </c>
      <c r="D59" s="2" t="str">
        <f>VLOOKUP($A59,Controle!$B$4:$F$68,4,FALSE)</f>
        <v>Mori II</v>
      </c>
      <c r="E59" s="2">
        <f>VLOOKUP($A59,Controle!$B$4:$F$68,5,FALSE)</f>
        <v>3</v>
      </c>
      <c r="F59" s="3" t="str">
        <f>F24</f>
        <v>Escopo COMERC</v>
      </c>
      <c r="G59" s="2" t="str">
        <f>VLOOKUP($A59,Controle!$B$4:$G$68,6,FALSE)</f>
        <v>Mori</v>
      </c>
      <c r="H59" s="6">
        <v>0</v>
      </c>
      <c r="I59" s="6">
        <v>495077.31</v>
      </c>
      <c r="J59" s="29">
        <v>46000</v>
      </c>
      <c r="K59" s="29"/>
      <c r="L59" s="6">
        <v>0</v>
      </c>
      <c r="M59" s="6">
        <v>0</v>
      </c>
      <c r="N59" s="6">
        <v>0</v>
      </c>
      <c r="O59" s="4">
        <f t="shared" si="11"/>
        <v>541077.31000000006</v>
      </c>
      <c r="P59" s="5">
        <f>SUMIFS('Desenvolvimento diário'!$H:$H,'Desenvolvimento diário'!$Q:$Q,$B59,'Desenvolvimento diário'!$P:$P,$F59,'Desenvolvimento diário'!$R:$R,"Sim")</f>
        <v>1459</v>
      </c>
      <c r="Q59" s="5">
        <f>SUMIFS('Desenvolvimento diário'!$H:$H,'Desenvolvimento diário'!$Q:$Q,$B59,'Desenvolvimento diário'!$P:$P,$F59,'Desenvolvimento diário'!$R:$R,"Não")</f>
        <v>494617.09</v>
      </c>
      <c r="R59" s="4">
        <f t="shared" si="12"/>
        <v>496076.09</v>
      </c>
      <c r="S59" s="1010">
        <f t="shared" si="15"/>
        <v>45001.22000000003</v>
      </c>
      <c r="T59" s="12">
        <f t="shared" si="13"/>
        <v>0.91683033243437984</v>
      </c>
      <c r="U59" s="1011" t="s">
        <v>166</v>
      </c>
      <c r="V59" s="1011" t="s">
        <v>167</v>
      </c>
      <c r="Y59" s="2"/>
      <c r="Z59" s="2"/>
      <c r="AA59" s="2"/>
      <c r="AB59" s="2"/>
      <c r="AC59" s="2"/>
    </row>
    <row r="60" spans="1:29" ht="10.5" hidden="1">
      <c r="A60" s="2">
        <f t="shared" si="14"/>
        <v>2</v>
      </c>
      <c r="B60" s="2" t="str">
        <f>VLOOKUP($A60,Controle!$B$4:$F$68,2,FALSE)</f>
        <v>Diamantina 2</v>
      </c>
      <c r="C60" s="2" t="str">
        <f>VLOOKUP($A60,Controle!$B$4:$F$68,3,FALSE)</f>
        <v xml:space="preserve">MORI GERACAO II </v>
      </c>
      <c r="D60" s="2" t="str">
        <f>VLOOKUP($A60,Controle!$B$4:$F$68,4,FALSE)</f>
        <v>Mori II</v>
      </c>
      <c r="E60" s="2">
        <f>VLOOKUP($A60,Controle!$B$4:$F$68,5,FALSE)</f>
        <v>3</v>
      </c>
      <c r="F60" s="3" t="str">
        <f>F25</f>
        <v>Escopo COMERC - Segurança</v>
      </c>
      <c r="G60" s="2" t="str">
        <f>VLOOKUP($A60,Controle!$B$4:$G$68,6,FALSE)</f>
        <v>Mori</v>
      </c>
      <c r="H60" s="6">
        <v>0</v>
      </c>
      <c r="I60" s="6">
        <f t="shared" ref="I59:I60" si="16">R60</f>
        <v>135780</v>
      </c>
      <c r="J60" s="6">
        <v>0</v>
      </c>
      <c r="K60" s="6">
        <v>0</v>
      </c>
      <c r="L60" s="6">
        <v>0</v>
      </c>
      <c r="M60" s="6">
        <v>0</v>
      </c>
      <c r="N60" s="6">
        <v>0</v>
      </c>
      <c r="O60" s="4">
        <f t="shared" si="11"/>
        <v>135780</v>
      </c>
      <c r="P60" s="5">
        <f>SUMIFS('Desenvolvimento diário'!$H:$H,'Desenvolvimento diário'!$Q:$Q,$B60,'Desenvolvimento diário'!$P:$P,$F60,'Desenvolvimento diário'!$R:$R,"Sim")</f>
        <v>0</v>
      </c>
      <c r="Q60" s="5">
        <f>SUMIFS('Desenvolvimento diário'!$H:$H,'Desenvolvimento diário'!$Q:$Q,$B60,'Desenvolvimento diário'!$P:$P,$F60,'Desenvolvimento diário'!$R:$R,"Não")</f>
        <v>135780</v>
      </c>
      <c r="R60" s="4">
        <f t="shared" si="12"/>
        <v>135780</v>
      </c>
      <c r="S60" s="4">
        <f t="shared" si="15"/>
        <v>0</v>
      </c>
      <c r="T60" s="12">
        <f t="shared" si="13"/>
        <v>1</v>
      </c>
      <c r="Y60" s="2"/>
      <c r="Z60" s="2"/>
      <c r="AA60" s="2"/>
      <c r="AB60" s="2"/>
      <c r="AC60" s="2"/>
    </row>
    <row r="61" spans="1:29" ht="10.5" hidden="1">
      <c r="A61" s="2">
        <f t="shared" si="14"/>
        <v>2</v>
      </c>
      <c r="B61" s="2" t="str">
        <f>VLOOKUP($A61,Controle!$B$4:$F$68,2,FALSE)</f>
        <v>Diamantina 2</v>
      </c>
      <c r="C61" s="2" t="str">
        <f>VLOOKUP($A61,Controle!$B$4:$F$68,3,FALSE)</f>
        <v xml:space="preserve">MORI GERACAO II </v>
      </c>
      <c r="D61" s="2" t="str">
        <f>VLOOKUP($A61,Controle!$B$4:$F$68,4,FALSE)</f>
        <v>Mori II</v>
      </c>
      <c r="E61" s="2">
        <f>VLOOKUP($A61,Controle!$B$4:$F$68,5,FALSE)</f>
        <v>3</v>
      </c>
      <c r="F61" s="3" t="str">
        <f>F26</f>
        <v>Conexão MT - Obras Transferencia</v>
      </c>
      <c r="G61" s="2" t="str">
        <f>VLOOKUP($A61,Controle!$B$4:$G$68,6,FALSE)</f>
        <v>Mori</v>
      </c>
      <c r="H61" s="6" t="s">
        <v>168</v>
      </c>
      <c r="I61" s="6">
        <v>3665456.7199999997</v>
      </c>
      <c r="J61" s="6">
        <v>0</v>
      </c>
      <c r="K61" s="6">
        <v>0</v>
      </c>
      <c r="L61" s="6">
        <v>0</v>
      </c>
      <c r="M61" s="6">
        <v>0</v>
      </c>
      <c r="N61" s="6">
        <v>0</v>
      </c>
      <c r="O61" s="4">
        <f t="shared" si="11"/>
        <v>3665456.7199999997</v>
      </c>
      <c r="P61" s="719">
        <f>SUMIFS('Desenvolvimento diário'!$H:$H,'Desenvolvimento diário'!$Q:$Q,$B61,'Desenvolvimento diário'!$P:$P,$F61,'Desenvolvimento diário'!$R:$R,"Sim")</f>
        <v>1743736.1099999999</v>
      </c>
      <c r="Q61" s="5">
        <f>SUMIFS('Desenvolvimento diário'!$H:$H,'Desenvolvimento diário'!$Q:$Q,$B61,'Desenvolvimento diário'!$P:$P,$F61,'Desenvolvimento diário'!$R:$R,"Não")</f>
        <v>1921720.61</v>
      </c>
      <c r="R61" s="4">
        <f t="shared" si="12"/>
        <v>3665456.7199999997</v>
      </c>
      <c r="S61" s="43">
        <f t="shared" si="15"/>
        <v>0</v>
      </c>
      <c r="T61" s="12">
        <f t="shared" si="13"/>
        <v>1</v>
      </c>
      <c r="Y61" s="2"/>
      <c r="Z61" s="2"/>
      <c r="AA61" s="2"/>
      <c r="AB61" s="2"/>
      <c r="AC61" s="2"/>
    </row>
    <row r="62" spans="1:29" ht="10.5" hidden="1">
      <c r="A62" s="2">
        <f t="shared" si="14"/>
        <v>2</v>
      </c>
      <c r="B62" s="2" t="str">
        <f>VLOOKUP($A62,Controle!$B$4:$F$68,2,FALSE)</f>
        <v>Diamantina 2</v>
      </c>
      <c r="C62" s="2" t="str">
        <f>VLOOKUP($A62,Controle!$B$4:$F$68,3,FALSE)</f>
        <v xml:space="preserve">MORI GERACAO II </v>
      </c>
      <c r="D62" s="2" t="str">
        <f>VLOOKUP($A62,Controle!$B$4:$F$68,4,FALSE)</f>
        <v>Mori II</v>
      </c>
      <c r="E62" s="2">
        <f>VLOOKUP($A62,Controle!$B$4:$F$68,5,FALSE)</f>
        <v>3</v>
      </c>
      <c r="F62" s="3" t="str">
        <f>F27</f>
        <v>Bases de Contaniers</v>
      </c>
      <c r="G62" s="2" t="str">
        <f>VLOOKUP($A62,Controle!$B$4:$G$68,6,FALSE)</f>
        <v>Mori</v>
      </c>
      <c r="H62" s="6">
        <v>0</v>
      </c>
      <c r="I62" s="6">
        <v>0</v>
      </c>
      <c r="J62" s="6">
        <v>0</v>
      </c>
      <c r="K62" s="6">
        <v>0</v>
      </c>
      <c r="L62" s="6">
        <v>0</v>
      </c>
      <c r="M62" s="6">
        <v>0</v>
      </c>
      <c r="N62" s="6">
        <v>0</v>
      </c>
      <c r="O62" s="4">
        <f t="shared" si="11"/>
        <v>0</v>
      </c>
      <c r="P62" s="5">
        <f>SUMIFS('Desenvolvimento diário'!$H:$H,'Desenvolvimento diário'!$Q:$Q,$B62,'Desenvolvimento diário'!$P:$P,$F62,'Desenvolvimento diário'!$R:$R,"Sim")</f>
        <v>0</v>
      </c>
      <c r="Q62" s="5">
        <f>SUMIFS('Desenvolvimento diário'!$H:$H,'Desenvolvimento diário'!$Q:$Q,$B62,'Desenvolvimento diário'!$P:$P,$F62,'Desenvolvimento diário'!$R:$R,"Não")</f>
        <v>0</v>
      </c>
      <c r="R62" s="4">
        <f t="shared" si="12"/>
        <v>0</v>
      </c>
      <c r="S62" s="4">
        <f t="shared" si="15"/>
        <v>0</v>
      </c>
      <c r="T62" s="12">
        <f t="shared" si="13"/>
        <v>0</v>
      </c>
      <c r="Y62" s="2"/>
      <c r="Z62" s="2"/>
      <c r="AA62" s="2"/>
      <c r="AB62" s="2"/>
      <c r="AC62" s="2"/>
    </row>
    <row r="63" spans="1:29" ht="10.5" hidden="1">
      <c r="A63" s="2">
        <f t="shared" si="14"/>
        <v>2</v>
      </c>
      <c r="B63" s="2" t="str">
        <f>VLOOKUP($A63,Controle!$B$4:$F$68,2,FALSE)</f>
        <v>Diamantina 2</v>
      </c>
      <c r="C63" s="2" t="str">
        <f>VLOOKUP($A63,Controle!$B$4:$F$68,3,FALSE)</f>
        <v xml:space="preserve">MORI GERACAO II </v>
      </c>
      <c r="D63" s="2" t="str">
        <f>VLOOKUP($A63,Controle!$B$4:$F$68,4,FALSE)</f>
        <v>Mori II</v>
      </c>
      <c r="E63" s="2">
        <f>VLOOKUP($A63,Controle!$B$4:$F$68,5,FALSE)</f>
        <v>3</v>
      </c>
      <c r="F63" s="3" t="str">
        <f>F28</f>
        <v>Construção - Serviços de Construção - Ase Engenharia</v>
      </c>
      <c r="G63" s="2" t="str">
        <f>VLOOKUP($A63,Controle!$B$4:$G$68,6,FALSE)</f>
        <v>Mori</v>
      </c>
      <c r="H63" s="6">
        <v>0</v>
      </c>
      <c r="I63" s="6">
        <v>0</v>
      </c>
      <c r="J63" s="6">
        <v>0</v>
      </c>
      <c r="K63" s="6">
        <v>0</v>
      </c>
      <c r="L63" s="6">
        <v>0</v>
      </c>
      <c r="M63" s="6">
        <v>0</v>
      </c>
      <c r="N63" s="6">
        <v>0</v>
      </c>
      <c r="O63" s="4">
        <f t="shared" si="11"/>
        <v>0</v>
      </c>
      <c r="P63" s="5">
        <f>SUMIFS('Desenvolvimento diário'!$H:$H,'Desenvolvimento diário'!$Q:$Q,$B63,'Desenvolvimento diário'!$P:$P,$F63,'Desenvolvimento diário'!$R:$R,"Sim")</f>
        <v>0</v>
      </c>
      <c r="Q63" s="5">
        <f>SUMIFS('Desenvolvimento diário'!$H:$H,'Desenvolvimento diário'!$Q:$Q,$B63,'Desenvolvimento diário'!$P:$P,$F63,'Desenvolvimento diário'!$R:$R,"Não")</f>
        <v>0</v>
      </c>
      <c r="R63" s="4">
        <f t="shared" si="12"/>
        <v>0</v>
      </c>
      <c r="S63" s="4">
        <f t="shared" si="15"/>
        <v>0</v>
      </c>
      <c r="T63" s="12">
        <f t="shared" si="13"/>
        <v>0</v>
      </c>
      <c r="Y63" s="2"/>
      <c r="Z63" s="2"/>
      <c r="AA63" s="2"/>
      <c r="AB63" s="2"/>
      <c r="AC63" s="2"/>
    </row>
    <row r="64" spans="1:29" ht="10.5" hidden="1">
      <c r="A64" s="2">
        <f t="shared" si="14"/>
        <v>2</v>
      </c>
      <c r="B64" s="2" t="str">
        <f>VLOOKUP($A64,Controle!$B$4:$F$68,2,FALSE)</f>
        <v>Diamantina 2</v>
      </c>
      <c r="C64" s="2" t="str">
        <f>VLOOKUP($A64,Controle!$B$4:$F$68,3,FALSE)</f>
        <v xml:space="preserve">MORI GERACAO II </v>
      </c>
      <c r="D64" s="2" t="str">
        <f>VLOOKUP($A64,Controle!$B$4:$F$68,4,FALSE)</f>
        <v>Mori II</v>
      </c>
      <c r="E64" s="2">
        <f>VLOOKUP($A64,Controle!$B$4:$F$68,5,FALSE)</f>
        <v>3</v>
      </c>
      <c r="F64" s="3" t="str">
        <f>F29</f>
        <v>Full EPC - Contrato Sobressalentes</v>
      </c>
      <c r="G64" s="2" t="str">
        <f>VLOOKUP($A64,Controle!$B$4:$G$68,6,FALSE)</f>
        <v>Mori</v>
      </c>
      <c r="H64" s="6">
        <v>0</v>
      </c>
      <c r="I64" s="6">
        <v>0</v>
      </c>
      <c r="J64" s="6">
        <v>0</v>
      </c>
      <c r="K64" s="6">
        <v>0</v>
      </c>
      <c r="L64" s="6">
        <v>0</v>
      </c>
      <c r="M64" s="6">
        <v>0</v>
      </c>
      <c r="N64" s="6">
        <v>0</v>
      </c>
      <c r="O64" s="4">
        <f t="shared" si="11"/>
        <v>0</v>
      </c>
      <c r="P64" s="5">
        <f>SUMIFS('Desenvolvimento diário'!$H:$H,'Desenvolvimento diário'!$Q:$Q,$B64,'Desenvolvimento diário'!$P:$P,$F64,'Desenvolvimento diário'!$R:$R,"Sim")</f>
        <v>0</v>
      </c>
      <c r="Q64" s="5">
        <f>SUMIFS('Desenvolvimento diário'!$H:$H,'Desenvolvimento diário'!$Q:$Q,$B64,'Desenvolvimento diário'!$P:$P,$F64,'Desenvolvimento diário'!$R:$R,"Não")</f>
        <v>0</v>
      </c>
      <c r="R64" s="4">
        <f t="shared" si="12"/>
        <v>0</v>
      </c>
      <c r="S64" s="4">
        <f t="shared" si="15"/>
        <v>0</v>
      </c>
      <c r="T64" s="12">
        <f t="shared" si="13"/>
        <v>0</v>
      </c>
      <c r="Y64" s="2"/>
      <c r="Z64" s="2"/>
      <c r="AA64" s="2"/>
      <c r="AB64" s="2"/>
      <c r="AC64" s="2"/>
    </row>
    <row r="65" spans="1:29" ht="10.5" hidden="1">
      <c r="A65" s="2">
        <f t="shared" si="14"/>
        <v>2</v>
      </c>
      <c r="B65" s="2" t="str">
        <f>VLOOKUP($A65,Controle!$B$4:$F$68,2,FALSE)</f>
        <v>Diamantina 2</v>
      </c>
      <c r="C65" s="2" t="str">
        <f>VLOOKUP($A65,Controle!$B$4:$F$68,3,FALSE)</f>
        <v xml:space="preserve">MORI GERACAO II </v>
      </c>
      <c r="D65" s="2" t="str">
        <f>VLOOKUP($A65,Controle!$B$4:$F$68,4,FALSE)</f>
        <v>Mori II</v>
      </c>
      <c r="E65" s="2">
        <f>VLOOKUP($A65,Controle!$B$4:$F$68,5,FALSE)</f>
        <v>3</v>
      </c>
      <c r="F65" s="3" t="str">
        <f>F30</f>
        <v>Construção - Serviços de Construção - NOVA MORADA</v>
      </c>
      <c r="G65" s="2" t="str">
        <f>VLOOKUP($A65,Controle!$B$4:$G$68,6,FALSE)</f>
        <v>Mori</v>
      </c>
      <c r="H65" s="6">
        <v>0</v>
      </c>
      <c r="I65" s="6">
        <v>0</v>
      </c>
      <c r="J65" s="6">
        <v>0</v>
      </c>
      <c r="K65" s="6">
        <v>0</v>
      </c>
      <c r="L65" s="6">
        <v>0</v>
      </c>
      <c r="M65" s="6">
        <v>0</v>
      </c>
      <c r="N65" s="6">
        <v>0</v>
      </c>
      <c r="O65" s="4">
        <f t="shared" si="11"/>
        <v>0</v>
      </c>
      <c r="P65" s="5">
        <f>SUMIFS('Desenvolvimento diário'!$H:$H,'Desenvolvimento diário'!$Q:$Q,$B65,'Desenvolvimento diário'!$P:$P,$F65,'Desenvolvimento diário'!$R:$R,"Sim")</f>
        <v>0</v>
      </c>
      <c r="Q65" s="5">
        <f>SUMIFS('Desenvolvimento diário'!$H:$H,'Desenvolvimento diário'!$Q:$Q,$B65,'Desenvolvimento diário'!$P:$P,$F65,'Desenvolvimento diário'!$R:$R,"Não")</f>
        <v>0</v>
      </c>
      <c r="R65" s="4">
        <f t="shared" si="12"/>
        <v>0</v>
      </c>
      <c r="S65" s="4">
        <f t="shared" si="15"/>
        <v>0</v>
      </c>
      <c r="T65" s="12">
        <f t="shared" si="13"/>
        <v>0</v>
      </c>
      <c r="Y65" s="2"/>
      <c r="Z65" s="2"/>
      <c r="AA65" s="2"/>
      <c r="AB65" s="2"/>
      <c r="AC65" s="2"/>
    </row>
    <row r="66" spans="1:29" ht="10.5" hidden="1">
      <c r="A66" s="2">
        <f t="shared" si="14"/>
        <v>2</v>
      </c>
      <c r="B66" s="2" t="str">
        <f>VLOOKUP($A66,Controle!$B$4:$F$68,2,FALSE)</f>
        <v>Diamantina 2</v>
      </c>
      <c r="C66" s="2" t="str">
        <f>VLOOKUP($A66,Controle!$B$4:$F$68,3,FALSE)</f>
        <v xml:space="preserve">MORI GERACAO II </v>
      </c>
      <c r="D66" s="2" t="str">
        <f>VLOOKUP($A66,Controle!$B$4:$F$68,4,FALSE)</f>
        <v>Mori II</v>
      </c>
      <c r="E66" s="2">
        <f>VLOOKUP($A66,Controle!$B$4:$F$68,5,FALSE)</f>
        <v>3</v>
      </c>
      <c r="F66" s="3" t="str">
        <f t="shared" ref="F66:F70" si="17">F31</f>
        <v>Equipamentos Curva A -  Contrato Sobressalentes - SETTA</v>
      </c>
      <c r="G66" s="2" t="str">
        <f>VLOOKUP($A66,Controle!$B$4:$G$68,6,FALSE)</f>
        <v>Mori</v>
      </c>
      <c r="H66" s="6">
        <v>0</v>
      </c>
      <c r="I66" s="6">
        <v>0</v>
      </c>
      <c r="J66" s="6">
        <v>0</v>
      </c>
      <c r="K66" s="6">
        <v>0</v>
      </c>
      <c r="L66" s="6">
        <v>0</v>
      </c>
      <c r="M66" s="6">
        <v>0</v>
      </c>
      <c r="N66" s="6">
        <v>0</v>
      </c>
      <c r="O66" s="4">
        <f t="shared" si="11"/>
        <v>0</v>
      </c>
      <c r="P66" s="5">
        <f>SUMIFS('Desenvolvimento diário'!$H:$H,'Desenvolvimento diário'!$Q:$Q,$B66,'Desenvolvimento diário'!$P:$P,$F66,'Desenvolvimento diário'!$R:$R,"Sim")</f>
        <v>0</v>
      </c>
      <c r="Q66" s="5">
        <f>SUMIFS('Desenvolvimento diário'!$H:$H,'Desenvolvimento diário'!$Q:$Q,$B66,'Desenvolvimento diário'!$P:$P,$F66,'Desenvolvimento diário'!$R:$R,"Não")</f>
        <v>0</v>
      </c>
      <c r="R66" s="4">
        <f t="shared" si="12"/>
        <v>0</v>
      </c>
      <c r="S66" s="4">
        <f t="shared" si="15"/>
        <v>0</v>
      </c>
      <c r="T66" s="12">
        <f t="shared" si="13"/>
        <v>0</v>
      </c>
      <c r="Y66" s="2"/>
      <c r="Z66" s="2"/>
      <c r="AA66" s="2"/>
      <c r="AB66" s="2"/>
      <c r="AC66" s="2"/>
    </row>
    <row r="67" spans="1:29" ht="10.5" hidden="1">
      <c r="A67" s="2">
        <f t="shared" si="14"/>
        <v>2</v>
      </c>
      <c r="B67" s="2" t="str">
        <f>VLOOKUP($A67,Controle!$B$4:$F$68,2,FALSE)</f>
        <v>Diamantina 2</v>
      </c>
      <c r="C67" s="2" t="str">
        <f>VLOOKUP($A67,Controle!$B$4:$F$68,3,FALSE)</f>
        <v xml:space="preserve">MORI GERACAO II </v>
      </c>
      <c r="D67" s="2" t="str">
        <f>VLOOKUP($A67,Controle!$B$4:$F$68,4,FALSE)</f>
        <v>Mori II</v>
      </c>
      <c r="E67" s="2">
        <f>VLOOKUP($A67,Controle!$B$4:$F$68,5,FALSE)</f>
        <v>3</v>
      </c>
      <c r="F67" s="3" t="str">
        <f t="shared" si="17"/>
        <v>Equipamentos Curva A -  Contrato Sobressalentes - Arctech</v>
      </c>
      <c r="G67" s="2" t="str">
        <f>VLOOKUP($A67,Controle!$B$4:$G$68,6,FALSE)</f>
        <v>Mori</v>
      </c>
      <c r="H67" s="6">
        <v>0</v>
      </c>
      <c r="I67" s="6">
        <v>0</v>
      </c>
      <c r="J67" s="6">
        <v>0</v>
      </c>
      <c r="K67" s="6">
        <v>0</v>
      </c>
      <c r="L67" s="6">
        <v>0</v>
      </c>
      <c r="M67" s="6">
        <v>0</v>
      </c>
      <c r="N67" s="6">
        <v>0</v>
      </c>
      <c r="O67" s="4">
        <f t="shared" si="11"/>
        <v>0</v>
      </c>
      <c r="P67" s="5">
        <f>SUMIFS('Desenvolvimento diário'!$H:$H,'Desenvolvimento diário'!$Q:$Q,$B67,'Desenvolvimento diário'!$P:$P,$F67,'Desenvolvimento diário'!$R:$R,"Sim")</f>
        <v>0</v>
      </c>
      <c r="Q67" s="5">
        <f>SUMIFS('Desenvolvimento diário'!$H:$H,'Desenvolvimento diário'!$Q:$Q,$B67,'Desenvolvimento diário'!$P:$P,$F67,'Desenvolvimento diário'!$R:$R,"Não")</f>
        <v>0</v>
      </c>
      <c r="R67" s="4">
        <f t="shared" si="12"/>
        <v>0</v>
      </c>
      <c r="S67" s="4">
        <f t="shared" si="15"/>
        <v>0</v>
      </c>
      <c r="T67" s="12">
        <f t="shared" si="13"/>
        <v>0</v>
      </c>
      <c r="Y67" s="2"/>
      <c r="Z67" s="2"/>
      <c r="AA67" s="2"/>
      <c r="AB67" s="2"/>
      <c r="AC67" s="2"/>
    </row>
    <row r="68" spans="1:29" hidden="1">
      <c r="A68" s="2">
        <f t="shared" si="14"/>
        <v>2</v>
      </c>
      <c r="B68" s="2" t="str">
        <f>VLOOKUP($A68,Controle!$B$4:$F$68,2,FALSE)</f>
        <v>Diamantina 2</v>
      </c>
      <c r="C68" s="2" t="str">
        <f>VLOOKUP($A68,Controle!$B$4:$F$68,3,FALSE)</f>
        <v xml:space="preserve">MORI GERACAO II </v>
      </c>
      <c r="D68" s="2" t="str">
        <f>VLOOKUP($A68,Controle!$B$4:$F$68,4,FALSE)</f>
        <v>Mori II</v>
      </c>
      <c r="E68" s="2">
        <f>VLOOKUP($A68,Controle!$B$4:$F$68,5,FALSE)</f>
        <v>3</v>
      </c>
      <c r="F68" s="3" t="str">
        <f t="shared" si="17"/>
        <v>Equipamentos Curva A -  Contrato Sobressalentes - Romagnole</v>
      </c>
      <c r="G68" s="2" t="str">
        <f>VLOOKUP($A68,Controle!$B$4:$G$68,6,FALSE)</f>
        <v>Mori</v>
      </c>
      <c r="H68" s="7">
        <v>0</v>
      </c>
      <c r="I68" s="7">
        <v>0</v>
      </c>
      <c r="J68" s="7">
        <v>0</v>
      </c>
      <c r="K68" s="7">
        <v>0</v>
      </c>
      <c r="L68" s="7">
        <v>0</v>
      </c>
      <c r="M68" s="7">
        <v>0</v>
      </c>
      <c r="N68" s="7">
        <v>0</v>
      </c>
      <c r="O68" s="4">
        <f t="shared" si="11"/>
        <v>0</v>
      </c>
      <c r="P68" s="17">
        <f>SUMIFS('Desenvolvimento diário'!$H:$H,'Desenvolvimento diário'!$Q:$Q,$B68,'Desenvolvimento diário'!$P:$P,$F68,'Desenvolvimento diário'!$R:$R,"Sim")</f>
        <v>0</v>
      </c>
      <c r="Q68" s="17">
        <f>SUMIFS('Desenvolvimento diário'!$H:$H,'Desenvolvimento diário'!$Q:$Q,$B68,'Desenvolvimento diário'!$P:$P,$F68,'Desenvolvimento diário'!$R:$R,"Não")</f>
        <v>0</v>
      </c>
      <c r="R68" s="4">
        <f t="shared" si="12"/>
        <v>0</v>
      </c>
      <c r="S68" s="4">
        <f t="shared" si="15"/>
        <v>0</v>
      </c>
      <c r="T68" s="12">
        <f t="shared" si="13"/>
        <v>0</v>
      </c>
      <c r="Y68" s="2"/>
      <c r="Z68" s="2"/>
      <c r="AA68" s="2"/>
      <c r="AB68" s="2"/>
      <c r="AC68" s="2"/>
    </row>
    <row r="69" spans="1:29" hidden="1">
      <c r="A69" s="2">
        <f>A66</f>
        <v>2</v>
      </c>
      <c r="B69" s="94" t="str">
        <f>VLOOKUP($A69,Controle!$B$4:$F$68,2,FALSE)</f>
        <v>Diamantina 2</v>
      </c>
      <c r="C69" s="94" t="str">
        <f>VLOOKUP($A69,Controle!$B$4:$F$68,3,FALSE)</f>
        <v xml:space="preserve">MORI GERACAO II </v>
      </c>
      <c r="D69" s="94" t="str">
        <f>VLOOKUP($A69,Controle!$B$4:$F$68,4,FALSE)</f>
        <v>Mori II</v>
      </c>
      <c r="E69" s="94">
        <f>VLOOKUP($A69,Controle!$B$4:$F$68,5,FALSE)</f>
        <v>3</v>
      </c>
      <c r="F69" s="3" t="str">
        <f t="shared" si="17"/>
        <v>GOS FLORESTAL - (PRAD - Recuperação Area Ambiental)</v>
      </c>
      <c r="G69" s="94" t="str">
        <f>VLOOKUP($A69,Controle!$B$4:$G$68,6,FALSE)</f>
        <v>Mori</v>
      </c>
      <c r="H69" s="506" t="s">
        <v>170</v>
      </c>
      <c r="I69" s="6">
        <v>339840</v>
      </c>
      <c r="J69" s="506"/>
      <c r="K69" s="506">
        <v>0</v>
      </c>
      <c r="L69" s="506">
        <v>0</v>
      </c>
      <c r="M69" s="506">
        <v>0</v>
      </c>
      <c r="N69" s="506">
        <v>0</v>
      </c>
      <c r="O69" s="39">
        <f t="shared" si="11"/>
        <v>339840</v>
      </c>
      <c r="P69" s="17">
        <f>SUMIFS('Desenvolvimento diário'!$H:$H,'Desenvolvimento diário'!$Q:$Q,$B69,'Desenvolvimento diário'!$P:$P,$F69,'Desenvolvimento diário'!$R:$R,"Sim")</f>
        <v>0</v>
      </c>
      <c r="Q69" s="17">
        <f>SUMIFS('Desenvolvimento diário'!$H:$H,'Desenvolvimento diário'!$Q:$Q,$B69,'Desenvolvimento diário'!$P:$P,$F69,'Desenvolvimento diário'!$R:$R,"Não")</f>
        <v>339840</v>
      </c>
      <c r="R69" s="4">
        <f t="shared" si="12"/>
        <v>339840</v>
      </c>
      <c r="S69" s="1019">
        <f t="shared" si="15"/>
        <v>0</v>
      </c>
      <c r="T69" s="12">
        <f t="shared" si="13"/>
        <v>1</v>
      </c>
      <c r="U69" s="1019" t="s">
        <v>166</v>
      </c>
      <c r="V69" s="1041" t="s">
        <v>171</v>
      </c>
      <c r="Y69" s="2"/>
      <c r="Z69" s="2"/>
      <c r="AA69" s="2"/>
      <c r="AB69" s="2"/>
      <c r="AC69" s="2"/>
    </row>
    <row r="70" spans="1:29" hidden="1">
      <c r="A70" s="2">
        <f>A67</f>
        <v>2</v>
      </c>
      <c r="B70" s="94" t="str">
        <f>VLOOKUP($A70,Controle!$B$4:$F$68,2,FALSE)</f>
        <v>Diamantina 2</v>
      </c>
      <c r="C70" s="94" t="str">
        <f>VLOOKUP($A70,Controle!$B$4:$F$68,3,FALSE)</f>
        <v xml:space="preserve">MORI GERACAO II </v>
      </c>
      <c r="D70" s="94" t="str">
        <f>VLOOKUP($A70,Controle!$B$4:$F$68,4,FALSE)</f>
        <v>Mori II</v>
      </c>
      <c r="E70" s="94">
        <f>VLOOKUP($A70,Controle!$B$4:$F$68,5,FALSE)</f>
        <v>3</v>
      </c>
      <c r="F70" s="3" t="str">
        <f t="shared" si="17"/>
        <v>Cercamento das bacias de contenção ciclo 2</v>
      </c>
      <c r="G70" s="94" t="str">
        <f>VLOOKUP($A70,Controle!$B$4:$G$68,6,FALSE)</f>
        <v>Mori</v>
      </c>
      <c r="H70" s="506" t="s">
        <v>172</v>
      </c>
      <c r="I70" s="6"/>
      <c r="J70" s="506"/>
      <c r="K70" s="506">
        <v>0</v>
      </c>
      <c r="L70" s="506">
        <v>0</v>
      </c>
      <c r="M70" s="506">
        <v>0</v>
      </c>
      <c r="N70" s="506">
        <v>0</v>
      </c>
      <c r="O70" s="39">
        <f t="shared" si="11"/>
        <v>0</v>
      </c>
      <c r="P70" s="17">
        <f>SUMIFS('Desenvolvimento diário'!$H:$H,'Desenvolvimento diário'!$Q:$Q,$B70,'Desenvolvimento diário'!$P:$P,$F70,'Desenvolvimento diário'!$R:$R,"Sim")</f>
        <v>0</v>
      </c>
      <c r="Q70" s="17">
        <f>SUMIFS('Desenvolvimento diário'!$H:$H,'Desenvolvimento diário'!$Q:$Q,$B70,'Desenvolvimento diário'!$P:$P,$F70,'Desenvolvimento diário'!$R:$R,"Não")</f>
        <v>0</v>
      </c>
      <c r="R70" s="4">
        <f t="shared" si="12"/>
        <v>0</v>
      </c>
      <c r="S70" s="1030">
        <f t="shared" si="15"/>
        <v>0</v>
      </c>
      <c r="T70" s="12">
        <f t="shared" si="13"/>
        <v>0</v>
      </c>
      <c r="U70" s="1029" t="s">
        <v>166</v>
      </c>
      <c r="V70" s="1029" t="s">
        <v>94</v>
      </c>
      <c r="Y70" s="2"/>
      <c r="Z70" s="2"/>
      <c r="AA70" s="2"/>
      <c r="AB70" s="2"/>
      <c r="AC70" s="2"/>
    </row>
    <row r="71" spans="1:29" hidden="1">
      <c r="A71" s="8">
        <f>A68</f>
        <v>2</v>
      </c>
      <c r="B71" s="9" t="str">
        <f t="shared" ref="B71" si="18">B68</f>
        <v>Diamantina 2</v>
      </c>
      <c r="C71" s="9" t="str">
        <f t="shared" ref="C71" si="19">C68</f>
        <v xml:space="preserve">MORI GERACAO II </v>
      </c>
      <c r="D71" s="9" t="str">
        <f t="shared" ref="D71" si="20">D68</f>
        <v>Mori II</v>
      </c>
      <c r="E71" s="9">
        <f t="shared" ref="E71" si="21">E68</f>
        <v>3</v>
      </c>
      <c r="F71" s="10" t="s">
        <v>158</v>
      </c>
      <c r="G71" s="9" t="str">
        <f>G68</f>
        <v>Mori</v>
      </c>
      <c r="H71" s="9"/>
      <c r="I71" s="9">
        <f>SUBTOTAL(9,I37:I70)</f>
        <v>686107.5</v>
      </c>
      <c r="J71" s="9">
        <f>SUBTOTAL(9,J37:J70)</f>
        <v>164771.5</v>
      </c>
      <c r="K71" s="9">
        <f>SUBTOTAL(9,K37:K70)</f>
        <v>14900</v>
      </c>
      <c r="L71" s="9">
        <f>SUBTOTAL(9,L37:L70)</f>
        <v>1482339.75</v>
      </c>
      <c r="M71" s="9">
        <f>SUBTOTAL(9,M37:M70)</f>
        <v>0</v>
      </c>
      <c r="N71" s="9">
        <f>SUBTOTAL(9,N37:N70)</f>
        <v>0</v>
      </c>
      <c r="O71" s="9">
        <f>SUBTOTAL(9,O37:O70)</f>
        <v>2348118.75</v>
      </c>
      <c r="P71" s="9">
        <f>SUBTOTAL(9,P37:P70)</f>
        <v>686107.5</v>
      </c>
      <c r="Q71" s="9">
        <f>SUBTOTAL(9,Q37:Q70)</f>
        <v>1604811.25</v>
      </c>
      <c r="R71" s="9">
        <f>SUBTOTAL(9,R37:R70)</f>
        <v>2290918.75</v>
      </c>
      <c r="S71" s="9">
        <f>SUBTOTAL(9,S37:S70)</f>
        <v>57200</v>
      </c>
      <c r="T71" s="13">
        <f>IFERROR(R71/O71,0)</f>
        <v>0.97564007356953308</v>
      </c>
      <c r="U71" s="11">
        <f>SUBTOTAL(9,U37:U70)</f>
        <v>0</v>
      </c>
      <c r="Y71" s="2"/>
      <c r="Z71" s="2"/>
      <c r="AA71" s="2"/>
      <c r="AB71" s="2"/>
      <c r="AC71" s="2"/>
    </row>
    <row r="72" spans="1:29" ht="10.5" hidden="1">
      <c r="A72" s="2">
        <f>A37+1</f>
        <v>3</v>
      </c>
      <c r="B72" s="2" t="str">
        <f>VLOOKUP($A72,Controle!$B$4:$F$68,2,FALSE)</f>
        <v>Frei Inocêncio 1</v>
      </c>
      <c r="C72" s="2" t="str">
        <f>VLOOKUP($A72,Controle!$B$4:$F$68,3,FALSE)</f>
        <v xml:space="preserve">MORI GERACAO II </v>
      </c>
      <c r="D72" s="2" t="str">
        <f>VLOOKUP($A72,Controle!$B$4:$F$68,4,FALSE)</f>
        <v>Mori II</v>
      </c>
      <c r="E72" s="2" t="str">
        <f>VLOOKUP($A72,Controle!$B$4:$F$68,5,FALSE)</f>
        <v>Weg</v>
      </c>
      <c r="F72" s="3" t="str">
        <f>F37</f>
        <v>Conexão AT - Obras</v>
      </c>
      <c r="G72" s="2" t="str">
        <f>VLOOKUP($A72,Controle!$B$4:$G$68,6,FALSE)</f>
        <v>Mori</v>
      </c>
      <c r="H72" s="6" t="s">
        <v>141</v>
      </c>
      <c r="I72" s="29">
        <v>460000</v>
      </c>
      <c r="J72" s="6">
        <v>0</v>
      </c>
      <c r="K72" s="6">
        <v>0</v>
      </c>
      <c r="L72" s="6">
        <v>0</v>
      </c>
      <c r="M72" s="6">
        <v>0</v>
      </c>
      <c r="N72" s="6">
        <v>0</v>
      </c>
      <c r="O72" s="4">
        <f t="shared" ref="O72:O105" si="22">SUM(I72:N72)</f>
        <v>460000</v>
      </c>
      <c r="P72" s="5">
        <f>SUMIFS('Desenvolvimento diário'!$H:$H,'Desenvolvimento diário'!$Q:$Q,$B72,'Desenvolvimento diário'!$P:$P,$F72,'Desenvolvimento diário'!$R:$R,"Sim")</f>
        <v>86000</v>
      </c>
      <c r="Q72" s="5">
        <f>SUMIFS('Desenvolvimento diário'!$H:$H,'Desenvolvimento diário'!$Q:$Q,$B72,'Desenvolvimento diário'!$P:$P,$F72,'Desenvolvimento diário'!$R:$R,"Não")</f>
        <v>374000</v>
      </c>
      <c r="R72" s="4">
        <f t="shared" ref="R72:R105" si="23">SUM(P72:Q72)</f>
        <v>460000</v>
      </c>
      <c r="S72" s="4">
        <f t="shared" ref="S72:S105" si="24">O72-R72</f>
        <v>0</v>
      </c>
      <c r="T72" s="12">
        <f t="shared" ref="T72:T137" si="25">IFERROR(R72/O72,0)</f>
        <v>1</v>
      </c>
      <c r="Y72" s="2"/>
      <c r="Z72" s="2"/>
      <c r="AA72" s="2"/>
      <c r="AB72" s="2"/>
      <c r="AC72" s="2"/>
    </row>
    <row r="73" spans="1:29" ht="10.5" hidden="1">
      <c r="A73" s="2">
        <f t="shared" ref="A73:A103" si="26">A72</f>
        <v>3</v>
      </c>
      <c r="B73" s="2" t="str">
        <f>VLOOKUP($A73,Controle!$B$4:$F$68,2,FALSE)</f>
        <v>Frei Inocêncio 1</v>
      </c>
      <c r="C73" s="2" t="str">
        <f>VLOOKUP($A73,Controle!$B$4:$F$68,3,FALSE)</f>
        <v xml:space="preserve">MORI GERACAO II </v>
      </c>
      <c r="D73" s="2" t="str">
        <f>VLOOKUP($A73,Controle!$B$4:$F$68,4,FALSE)</f>
        <v>Mori II</v>
      </c>
      <c r="E73" s="2" t="str">
        <f>VLOOKUP($A73,Controle!$B$4:$F$68,5,FALSE)</f>
        <v>Weg</v>
      </c>
      <c r="F73" s="3" t="str">
        <f>F38</f>
        <v>Conexão MT - Obras</v>
      </c>
      <c r="G73" s="2" t="str">
        <f>VLOOKUP($A73,Controle!$B$4:$G$68,6,FALSE)</f>
        <v>Mori</v>
      </c>
      <c r="H73" s="6" t="s">
        <v>141</v>
      </c>
      <c r="I73" s="6">
        <v>1425000</v>
      </c>
      <c r="J73" s="6">
        <v>412000</v>
      </c>
      <c r="K73" s="6">
        <v>709786</v>
      </c>
      <c r="L73" s="6">
        <v>0</v>
      </c>
      <c r="M73" s="6">
        <v>0</v>
      </c>
      <c r="N73" s="6">
        <v>0</v>
      </c>
      <c r="O73" s="4">
        <f t="shared" si="22"/>
        <v>2546786</v>
      </c>
      <c r="P73" s="5">
        <f>SUMIFS('Desenvolvimento diário'!$H:$H,'Desenvolvimento diário'!$Q:$Q,$B73,'Desenvolvimento diário'!$P:$P,$F73,'Desenvolvimento diário'!$R:$R,"Sim")</f>
        <v>915361.03</v>
      </c>
      <c r="Q73" s="5">
        <f>SUMIFS('Desenvolvimento diário'!$H:$H,'Desenvolvimento diário'!$Q:$Q,$B73,'Desenvolvimento diário'!$P:$P,$F73,'Desenvolvimento diário'!$R:$R,"Não")</f>
        <v>1631424.97</v>
      </c>
      <c r="R73" s="4">
        <f t="shared" si="23"/>
        <v>2546786</v>
      </c>
      <c r="S73" s="27">
        <f t="shared" si="24"/>
        <v>0</v>
      </c>
      <c r="T73" s="12">
        <f t="shared" si="25"/>
        <v>1</v>
      </c>
      <c r="V73" s="3"/>
      <c r="Y73" s="2"/>
      <c r="Z73" s="2"/>
      <c r="AA73" s="2"/>
      <c r="AB73" s="2"/>
      <c r="AC73" s="2"/>
    </row>
    <row r="74" spans="1:29" ht="10.5" hidden="1">
      <c r="A74" s="2">
        <f t="shared" si="26"/>
        <v>3</v>
      </c>
      <c r="B74" s="2" t="str">
        <f>VLOOKUP($A74,Controle!$B$4:$F$68,2,FALSE)</f>
        <v>Frei Inocêncio 1</v>
      </c>
      <c r="C74" s="2" t="str">
        <f>VLOOKUP($A74,Controle!$B$4:$F$68,3,FALSE)</f>
        <v xml:space="preserve">MORI GERACAO II </v>
      </c>
      <c r="D74" s="2" t="str">
        <f>VLOOKUP($A74,Controle!$B$4:$F$68,4,FALSE)</f>
        <v>Mori II</v>
      </c>
      <c r="E74" s="2" t="str">
        <f>VLOOKUP($A74,Controle!$B$4:$F$68,5,FALSE)</f>
        <v>Weg</v>
      </c>
      <c r="F74" s="3" t="str">
        <f>F39</f>
        <v>Construção - Serviços de Construção</v>
      </c>
      <c r="G74" s="2" t="str">
        <f>VLOOKUP($A74,Controle!$B$4:$G$68,6,FALSE)</f>
        <v>Mori</v>
      </c>
      <c r="H74" s="6">
        <v>0</v>
      </c>
      <c r="I74" s="6">
        <v>0</v>
      </c>
      <c r="J74" s="6">
        <v>0</v>
      </c>
      <c r="K74" s="6">
        <v>0</v>
      </c>
      <c r="L74" s="6">
        <v>0</v>
      </c>
      <c r="M74" s="6">
        <v>0</v>
      </c>
      <c r="N74" s="6">
        <v>0</v>
      </c>
      <c r="O74" s="4">
        <f t="shared" si="22"/>
        <v>0</v>
      </c>
      <c r="P74" s="5">
        <f>SUMIFS('Desenvolvimento diário'!$H:$H,'Desenvolvimento diário'!$Q:$Q,$B74,'Desenvolvimento diário'!$P:$P,$F74,'Desenvolvimento diário'!$R:$R,"Sim")</f>
        <v>0</v>
      </c>
      <c r="Q74" s="5">
        <f>SUMIFS('Desenvolvimento diário'!$H:$H,'Desenvolvimento diário'!$Q:$Q,$B74,'Desenvolvimento diário'!$P:$P,$F74,'Desenvolvimento diário'!$R:$R,"Não")</f>
        <v>0</v>
      </c>
      <c r="R74" s="4">
        <f t="shared" si="23"/>
        <v>0</v>
      </c>
      <c r="S74" s="4">
        <f t="shared" si="24"/>
        <v>0</v>
      </c>
      <c r="T74" s="12">
        <f t="shared" si="25"/>
        <v>0</v>
      </c>
      <c r="Y74" s="2"/>
      <c r="Z74" s="2"/>
      <c r="AA74" s="2"/>
      <c r="AB74" s="2"/>
      <c r="AC74" s="2"/>
    </row>
    <row r="75" spans="1:29" ht="10.5" hidden="1">
      <c r="A75" s="2">
        <f t="shared" si="26"/>
        <v>3</v>
      </c>
      <c r="B75" s="2" t="str">
        <f>VLOOKUP($A75,Controle!$B$4:$F$68,2,FALSE)</f>
        <v>Frei Inocêncio 1</v>
      </c>
      <c r="C75" s="2" t="str">
        <f>VLOOKUP($A75,Controle!$B$4:$F$68,3,FALSE)</f>
        <v xml:space="preserve">MORI GERACAO II </v>
      </c>
      <c r="D75" s="2" t="str">
        <f>VLOOKUP($A75,Controle!$B$4:$F$68,4,FALSE)</f>
        <v>Mori II</v>
      </c>
      <c r="E75" s="2" t="str">
        <f>VLOOKUP($A75,Controle!$B$4:$F$68,5,FALSE)</f>
        <v>Weg</v>
      </c>
      <c r="F75" s="3" t="str">
        <f>F40</f>
        <v>Construção - Serviços de Construção - Substituição</v>
      </c>
      <c r="G75" s="2" t="str">
        <f>VLOOKUP($A75,Controle!$B$4:$G$68,6,FALSE)</f>
        <v>Mori</v>
      </c>
      <c r="H75" s="6">
        <v>0</v>
      </c>
      <c r="I75" s="6">
        <v>0</v>
      </c>
      <c r="J75" s="6">
        <v>0</v>
      </c>
      <c r="K75" s="6">
        <v>0</v>
      </c>
      <c r="L75" s="6">
        <v>0</v>
      </c>
      <c r="M75" s="6">
        <v>0</v>
      </c>
      <c r="N75" s="6">
        <v>0</v>
      </c>
      <c r="O75" s="4">
        <f t="shared" si="22"/>
        <v>0</v>
      </c>
      <c r="P75" s="5">
        <f>SUMIFS('Desenvolvimento diário'!$H:$H,'Desenvolvimento diário'!$Q:$Q,$B75,'Desenvolvimento diário'!$P:$P,$F75,'Desenvolvimento diário'!$R:$R,"Sim")</f>
        <v>0</v>
      </c>
      <c r="Q75" s="5">
        <f>SUMIFS('Desenvolvimento diário'!$H:$H,'Desenvolvimento diário'!$Q:$Q,$B75,'Desenvolvimento diário'!$P:$P,$F75,'Desenvolvimento diário'!$R:$R,"Não")</f>
        <v>0</v>
      </c>
      <c r="R75" s="4">
        <f t="shared" si="23"/>
        <v>0</v>
      </c>
      <c r="S75" s="4">
        <f t="shared" si="24"/>
        <v>0</v>
      </c>
      <c r="T75" s="12">
        <f t="shared" si="25"/>
        <v>0</v>
      </c>
      <c r="Y75" s="2"/>
      <c r="Z75" s="2"/>
      <c r="AA75" s="2"/>
      <c r="AB75" s="2"/>
      <c r="AC75" s="2"/>
    </row>
    <row r="76" spans="1:29" ht="10.5" hidden="1">
      <c r="A76" s="2">
        <f t="shared" si="26"/>
        <v>3</v>
      </c>
      <c r="B76" s="2" t="str">
        <f>VLOOKUP($A76,Controle!$B$4:$F$68,2,FALSE)</f>
        <v>Frei Inocêncio 1</v>
      </c>
      <c r="C76" s="2" t="str">
        <f>VLOOKUP($A76,Controle!$B$4:$F$68,3,FALSE)</f>
        <v xml:space="preserve">MORI GERACAO II </v>
      </c>
      <c r="D76" s="2" t="str">
        <f>VLOOKUP($A76,Controle!$B$4:$F$68,4,FALSE)</f>
        <v>Mori II</v>
      </c>
      <c r="E76" s="2" t="str">
        <f>VLOOKUP($A76,Controle!$B$4:$F$68,5,FALSE)</f>
        <v>Weg</v>
      </c>
      <c r="F76" s="3" t="str">
        <f>F41</f>
        <v>Construção - RDA Interno</v>
      </c>
      <c r="G76" s="2" t="str">
        <f>VLOOKUP($A76,Controle!$B$4:$G$68,6,FALSE)</f>
        <v>Mori</v>
      </c>
      <c r="H76" s="6">
        <v>0</v>
      </c>
      <c r="I76" s="6">
        <v>0</v>
      </c>
      <c r="J76" s="6">
        <v>0</v>
      </c>
      <c r="K76" s="6">
        <v>0</v>
      </c>
      <c r="L76" s="6">
        <v>0</v>
      </c>
      <c r="M76" s="6">
        <v>0</v>
      </c>
      <c r="N76" s="6">
        <v>0</v>
      </c>
      <c r="O76" s="4">
        <f t="shared" si="22"/>
        <v>0</v>
      </c>
      <c r="P76" s="5">
        <f>SUMIFS('Desenvolvimento diário'!$H:$H,'Desenvolvimento diário'!$Q:$Q,$B76,'Desenvolvimento diário'!$P:$P,$F76,'Desenvolvimento diário'!$R:$R,"Sim")</f>
        <v>0</v>
      </c>
      <c r="Q76" s="5">
        <f>SUMIFS('Desenvolvimento diário'!$H:$H,'Desenvolvimento diário'!$Q:$Q,$B76,'Desenvolvimento diário'!$P:$P,$F76,'Desenvolvimento diário'!$R:$R,"Não")</f>
        <v>0</v>
      </c>
      <c r="R76" s="4">
        <f t="shared" si="23"/>
        <v>0</v>
      </c>
      <c r="S76" s="4">
        <f t="shared" si="24"/>
        <v>0</v>
      </c>
      <c r="T76" s="12">
        <f t="shared" si="25"/>
        <v>0</v>
      </c>
      <c r="Y76" s="2"/>
      <c r="Z76" s="2"/>
      <c r="AA76" s="2"/>
      <c r="AB76" s="2"/>
      <c r="AC76" s="2"/>
    </row>
    <row r="77" spans="1:29" ht="10.5" hidden="1">
      <c r="A77" s="2">
        <f t="shared" si="26"/>
        <v>3</v>
      </c>
      <c r="B77" s="2" t="str">
        <f>VLOOKUP($A77,Controle!$B$4:$F$68,2,FALSE)</f>
        <v>Frei Inocêncio 1</v>
      </c>
      <c r="C77" s="2" t="str">
        <f>VLOOKUP($A77,Controle!$B$4:$F$68,3,FALSE)</f>
        <v xml:space="preserve">MORI GERACAO II </v>
      </c>
      <c r="D77" s="2" t="str">
        <f>VLOOKUP($A77,Controle!$B$4:$F$68,4,FALSE)</f>
        <v>Mori II</v>
      </c>
      <c r="E77" s="2" t="str">
        <f>VLOOKUP($A77,Controle!$B$4:$F$68,5,FALSE)</f>
        <v>Weg</v>
      </c>
      <c r="F77" s="3" t="str">
        <f>F42</f>
        <v>Full EPC - Contrato</v>
      </c>
      <c r="G77" s="2" t="str">
        <f>VLOOKUP($A77,Controle!$B$4:$G$68,6,FALSE)</f>
        <v>Mori</v>
      </c>
      <c r="H77" s="6" t="s">
        <v>21</v>
      </c>
      <c r="I77" s="6">
        <f>11753510.62-0.049</f>
        <v>11753510.570999999</v>
      </c>
      <c r="J77" s="6"/>
      <c r="K77" s="6">
        <v>0</v>
      </c>
      <c r="L77" s="6">
        <v>0</v>
      </c>
      <c r="M77" s="6">
        <v>0</v>
      </c>
      <c r="N77" s="6">
        <v>0</v>
      </c>
      <c r="O77" s="4">
        <f t="shared" si="22"/>
        <v>11753510.570999999</v>
      </c>
      <c r="P77" s="5">
        <f>SUMIFS('Desenvolvimento diário'!$H:$H,'Desenvolvimento diário'!$Q:$Q,$B77,'Desenvolvimento diário'!$P:$P,$F77,'Desenvolvimento diário'!$R:$R,"Sim")</f>
        <v>0</v>
      </c>
      <c r="Q77" s="5">
        <f>SUMIFS('Desenvolvimento diário'!$H:$H,'Desenvolvimento diário'!$Q:$Q,$B77,'Desenvolvimento diário'!$P:$P,$F77,'Desenvolvimento diário'!$R:$R,"Não")</f>
        <v>11753510.571</v>
      </c>
      <c r="R77" s="4">
        <f t="shared" si="23"/>
        <v>11753510.571</v>
      </c>
      <c r="S77" s="175">
        <f t="shared" si="24"/>
        <v>0</v>
      </c>
      <c r="T77" s="12">
        <f t="shared" si="25"/>
        <v>1.0000000000000002</v>
      </c>
      <c r="Y77" s="2"/>
      <c r="Z77" s="2"/>
      <c r="AA77" s="2"/>
      <c r="AB77" s="2"/>
      <c r="AC77" s="2"/>
    </row>
    <row r="78" spans="1:29" ht="10.5" hidden="1">
      <c r="A78" s="2">
        <f t="shared" si="26"/>
        <v>3</v>
      </c>
      <c r="B78" s="2" t="str">
        <f>VLOOKUP($A78,Controle!$B$4:$F$68,2,FALSE)</f>
        <v>Frei Inocêncio 1</v>
      </c>
      <c r="C78" s="2" t="str">
        <f>VLOOKUP($A78,Controle!$B$4:$F$68,3,FALSE)</f>
        <v xml:space="preserve">MORI GERACAO II </v>
      </c>
      <c r="D78" s="2" t="str">
        <f>VLOOKUP($A78,Controle!$B$4:$F$68,4,FALSE)</f>
        <v>Mori II</v>
      </c>
      <c r="E78" s="2" t="str">
        <f>VLOOKUP($A78,Controle!$B$4:$F$68,5,FALSE)</f>
        <v>Weg</v>
      </c>
      <c r="F78" s="3" t="str">
        <f>F43</f>
        <v>Equipamentos Curva A - Outros (Transformadores)</v>
      </c>
      <c r="G78" s="2" t="str">
        <f>VLOOKUP($A78,Controle!$B$4:$G$68,6,FALSE)</f>
        <v>Mori</v>
      </c>
      <c r="H78" s="6">
        <v>0</v>
      </c>
      <c r="I78" s="6">
        <v>0</v>
      </c>
      <c r="J78" s="6">
        <v>0</v>
      </c>
      <c r="K78" s="6">
        <v>0</v>
      </c>
      <c r="L78" s="6">
        <v>0</v>
      </c>
      <c r="M78" s="6">
        <v>0</v>
      </c>
      <c r="N78" s="6">
        <v>0</v>
      </c>
      <c r="O78" s="4">
        <f t="shared" si="22"/>
        <v>0</v>
      </c>
      <c r="P78" s="5">
        <f>SUMIFS('Desenvolvimento diário'!$H:$H,'Desenvolvimento diário'!$Q:$Q,$B78,'Desenvolvimento diário'!$P:$P,$F78,'Desenvolvimento diário'!$R:$R,"Sim")</f>
        <v>0</v>
      </c>
      <c r="Q78" s="5">
        <f>SUMIFS('Desenvolvimento diário'!$H:$H,'Desenvolvimento diário'!$Q:$Q,$B78,'Desenvolvimento diário'!$P:$P,$F78,'Desenvolvimento diário'!$R:$R,"Não")</f>
        <v>0</v>
      </c>
      <c r="R78" s="4">
        <f t="shared" si="23"/>
        <v>0</v>
      </c>
      <c r="S78" s="4">
        <f t="shared" si="24"/>
        <v>0</v>
      </c>
      <c r="T78" s="12">
        <f t="shared" si="25"/>
        <v>0</v>
      </c>
      <c r="Y78" s="2"/>
      <c r="Z78" s="2"/>
      <c r="AA78" s="2"/>
      <c r="AB78" s="2"/>
      <c r="AC78" s="2"/>
    </row>
    <row r="79" spans="1:29" ht="10.5" hidden="1">
      <c r="A79" s="2">
        <f t="shared" si="26"/>
        <v>3</v>
      </c>
      <c r="B79" s="2" t="str">
        <f>VLOOKUP($A79,Controle!$B$4:$F$68,2,FALSE)</f>
        <v>Frei Inocêncio 1</v>
      </c>
      <c r="C79" s="2" t="str">
        <f>VLOOKUP($A79,Controle!$B$4:$F$68,3,FALSE)</f>
        <v xml:space="preserve">MORI GERACAO II </v>
      </c>
      <c r="D79" s="2" t="str">
        <f>VLOOKUP($A79,Controle!$B$4:$F$68,4,FALSE)</f>
        <v>Mori II</v>
      </c>
      <c r="E79" s="2" t="str">
        <f>VLOOKUP($A79,Controle!$B$4:$F$68,5,FALSE)</f>
        <v>Weg</v>
      </c>
      <c r="F79" s="3" t="str">
        <f>F44</f>
        <v>Equipamentos Curva A - Outros (Cabine + Skid)</v>
      </c>
      <c r="G79" s="2" t="str">
        <f>VLOOKUP($A79,Controle!$B$4:$G$68,6,FALSE)</f>
        <v>Mori</v>
      </c>
      <c r="H79" s="6">
        <v>0</v>
      </c>
      <c r="I79" s="6">
        <v>0</v>
      </c>
      <c r="J79" s="6">
        <v>0</v>
      </c>
      <c r="K79" s="6">
        <v>0</v>
      </c>
      <c r="L79" s="6">
        <v>0</v>
      </c>
      <c r="M79" s="6">
        <v>0</v>
      </c>
      <c r="N79" s="6">
        <v>0</v>
      </c>
      <c r="O79" s="4">
        <f t="shared" si="22"/>
        <v>0</v>
      </c>
      <c r="P79" s="5">
        <f>SUMIFS('Desenvolvimento diário'!$H:$H,'Desenvolvimento diário'!$Q:$Q,$B79,'Desenvolvimento diário'!$P:$P,$F79,'Desenvolvimento diário'!$R:$R,"Sim")</f>
        <v>0</v>
      </c>
      <c r="Q79" s="5">
        <f>SUMIFS('Desenvolvimento diário'!$H:$H,'Desenvolvimento diário'!$Q:$Q,$B79,'Desenvolvimento diário'!$P:$P,$F79,'Desenvolvimento diário'!$R:$R,"Não")</f>
        <v>0</v>
      </c>
      <c r="R79" s="4">
        <f t="shared" si="23"/>
        <v>0</v>
      </c>
      <c r="S79" s="4">
        <f t="shared" si="24"/>
        <v>0</v>
      </c>
      <c r="T79" s="12">
        <f t="shared" si="25"/>
        <v>0</v>
      </c>
      <c r="Y79" s="2"/>
      <c r="Z79" s="2"/>
      <c r="AA79" s="2"/>
      <c r="AB79" s="2"/>
      <c r="AC79" s="2"/>
    </row>
    <row r="80" spans="1:29" ht="10.5" hidden="1">
      <c r="A80" s="2">
        <f t="shared" si="26"/>
        <v>3</v>
      </c>
      <c r="B80" s="2" t="str">
        <f>VLOOKUP($A80,Controle!$B$4:$F$68,2,FALSE)</f>
        <v>Frei Inocêncio 1</v>
      </c>
      <c r="C80" s="2" t="str">
        <f>VLOOKUP($A80,Controle!$B$4:$F$68,3,FALSE)</f>
        <v xml:space="preserve">MORI GERACAO II </v>
      </c>
      <c r="D80" s="2" t="str">
        <f>VLOOKUP($A80,Controle!$B$4:$F$68,4,FALSE)</f>
        <v>Mori II</v>
      </c>
      <c r="E80" s="2" t="str">
        <f>VLOOKUP($A80,Controle!$B$4:$F$68,5,FALSE)</f>
        <v>Weg</v>
      </c>
      <c r="F80" s="3" t="str">
        <f>F45</f>
        <v>Equipamentos Curva A - Outros (Cabine + Skid + Transformador)</v>
      </c>
      <c r="G80" s="2" t="str">
        <f>VLOOKUP($A80,Controle!$B$4:$G$68,6,FALSE)</f>
        <v>Mori</v>
      </c>
      <c r="H80" s="6" t="s">
        <v>144</v>
      </c>
      <c r="I80" s="6">
        <v>223422.3186</v>
      </c>
      <c r="J80" s="6">
        <v>0</v>
      </c>
      <c r="K80" s="6">
        <v>0</v>
      </c>
      <c r="L80" s="6">
        <v>0</v>
      </c>
      <c r="M80" s="6">
        <v>0</v>
      </c>
      <c r="N80" s="6">
        <v>0</v>
      </c>
      <c r="O80" s="4">
        <f t="shared" si="22"/>
        <v>223422.3186</v>
      </c>
      <c r="P80" s="5">
        <f>SUMIFS('Desenvolvimento diário'!$H:$H,'Desenvolvimento diário'!$Q:$Q,$B80,'Desenvolvimento diário'!$P:$P,$F80,'Desenvolvimento diário'!$R:$R,"Sim")</f>
        <v>0</v>
      </c>
      <c r="Q80" s="5">
        <f>SUMIFS('Desenvolvimento diário'!$H:$H,'Desenvolvimento diário'!$Q:$Q,$B80,'Desenvolvimento diário'!$P:$P,$F80,'Desenvolvimento diário'!$R:$R,"Não")</f>
        <v>223422.3186</v>
      </c>
      <c r="R80" s="4">
        <f t="shared" si="23"/>
        <v>223422.3186</v>
      </c>
      <c r="S80" s="4">
        <f t="shared" si="24"/>
        <v>0</v>
      </c>
      <c r="T80" s="12">
        <f t="shared" si="25"/>
        <v>1</v>
      </c>
      <c r="Y80" s="2"/>
      <c r="Z80" s="2"/>
      <c r="AA80" s="2"/>
      <c r="AB80" s="2"/>
      <c r="AC80" s="2"/>
    </row>
    <row r="81" spans="1:29" ht="10.5" hidden="1">
      <c r="A81" s="2">
        <f t="shared" si="26"/>
        <v>3</v>
      </c>
      <c r="B81" s="2" t="str">
        <f>VLOOKUP($A81,Controle!$B$4:$F$68,2,FALSE)</f>
        <v>Frei Inocêncio 1</v>
      </c>
      <c r="C81" s="2" t="str">
        <f>VLOOKUP($A81,Controle!$B$4:$F$68,3,FALSE)</f>
        <v xml:space="preserve">MORI GERACAO II </v>
      </c>
      <c r="D81" s="2" t="str">
        <f>VLOOKUP($A81,Controle!$B$4:$F$68,4,FALSE)</f>
        <v>Mori II</v>
      </c>
      <c r="E81" s="2" t="str">
        <f>VLOOKUP($A81,Controle!$B$4:$F$68,5,FALSE)</f>
        <v>Weg</v>
      </c>
      <c r="F81" s="3" t="str">
        <f>F46</f>
        <v>Desenvolvimento de projeto - Projetos - (Eng° Proprietario)</v>
      </c>
      <c r="G81" s="2" t="str">
        <f>VLOOKUP($A81,Controle!$B$4:$G$68,6,FALSE)</f>
        <v>Mori</v>
      </c>
      <c r="H81" s="6" t="s">
        <v>176</v>
      </c>
      <c r="I81" s="6">
        <f>R81</f>
        <v>151743.28</v>
      </c>
      <c r="J81" s="6">
        <v>0</v>
      </c>
      <c r="K81" s="6">
        <v>0</v>
      </c>
      <c r="L81" s="6">
        <v>0</v>
      </c>
      <c r="M81" s="6">
        <v>0</v>
      </c>
      <c r="N81" s="6">
        <v>0</v>
      </c>
      <c r="O81" s="4">
        <f t="shared" si="22"/>
        <v>151743.28</v>
      </c>
      <c r="P81" s="5">
        <f>SUMIFS('Desenvolvimento diário'!$H:$H,'Desenvolvimento diário'!$Q:$Q,$B81,'Desenvolvimento diário'!$P:$P,$F81,'Desenvolvimento diário'!$R:$R,"Sim")</f>
        <v>0</v>
      </c>
      <c r="Q81" s="5">
        <f>SUMIFS('Desenvolvimento diário'!$H:$H,'Desenvolvimento diário'!$Q:$Q,$B81,'Desenvolvimento diário'!$P:$P,$F81,'Desenvolvimento diário'!$R:$R,"Não")</f>
        <v>151743.28</v>
      </c>
      <c r="R81" s="4">
        <f t="shared" si="23"/>
        <v>151743.28</v>
      </c>
      <c r="S81" s="4">
        <f t="shared" si="24"/>
        <v>0</v>
      </c>
      <c r="T81" s="12">
        <f t="shared" si="25"/>
        <v>1</v>
      </c>
      <c r="Y81" s="2"/>
      <c r="Z81" s="2"/>
      <c r="AA81" s="2"/>
      <c r="AB81" s="2"/>
      <c r="AC81" s="2"/>
    </row>
    <row r="82" spans="1:29" ht="10.5" hidden="1">
      <c r="A82" s="2">
        <f t="shared" si="26"/>
        <v>3</v>
      </c>
      <c r="B82" s="2" t="str">
        <f>VLOOKUP($A82,Controle!$B$4:$F$68,2,FALSE)</f>
        <v>Frei Inocêncio 1</v>
      </c>
      <c r="C82" s="2" t="str">
        <f>VLOOKUP($A82,Controle!$B$4:$F$68,3,FALSE)</f>
        <v xml:space="preserve">MORI GERACAO II </v>
      </c>
      <c r="D82" s="2" t="str">
        <f>VLOOKUP($A82,Controle!$B$4:$F$68,4,FALSE)</f>
        <v>Mori II</v>
      </c>
      <c r="E82" s="2" t="str">
        <f>VLOOKUP($A82,Controle!$B$4:$F$68,5,FALSE)</f>
        <v>Weg</v>
      </c>
      <c r="F82" s="3" t="str">
        <f>F47</f>
        <v>Desenvolvimento de projeto - Projetos - Executivos</v>
      </c>
      <c r="G82" s="2" t="str">
        <f>VLOOKUP($A82,Controle!$B$4:$G$68,6,FALSE)</f>
        <v>Mori</v>
      </c>
      <c r="H82" s="6">
        <v>0</v>
      </c>
      <c r="I82" s="6">
        <v>0</v>
      </c>
      <c r="J82" s="6">
        <v>0</v>
      </c>
      <c r="K82" s="6">
        <v>0</v>
      </c>
      <c r="L82" s="6">
        <v>0</v>
      </c>
      <c r="M82" s="6">
        <v>0</v>
      </c>
      <c r="N82" s="6">
        <v>0</v>
      </c>
      <c r="O82" s="4">
        <f t="shared" si="22"/>
        <v>0</v>
      </c>
      <c r="P82" s="5">
        <f>SUMIFS('Desenvolvimento diário'!$H:$H,'Desenvolvimento diário'!$Q:$Q,$B82,'Desenvolvimento diário'!$P:$P,$F82,'Desenvolvimento diário'!$R:$R,"Sim")</f>
        <v>0</v>
      </c>
      <c r="Q82" s="5">
        <f>SUMIFS('Desenvolvimento diário'!$H:$H,'Desenvolvimento diário'!$Q:$Q,$B82,'Desenvolvimento diário'!$P:$P,$F82,'Desenvolvimento diário'!$R:$R,"Não")</f>
        <v>0</v>
      </c>
      <c r="R82" s="4">
        <f t="shared" si="23"/>
        <v>0</v>
      </c>
      <c r="S82" s="4">
        <f t="shared" si="24"/>
        <v>0</v>
      </c>
      <c r="T82" s="12">
        <f t="shared" si="25"/>
        <v>0</v>
      </c>
      <c r="Y82" s="2"/>
      <c r="Z82" s="2"/>
      <c r="AA82" s="2"/>
      <c r="AB82" s="2"/>
      <c r="AC82" s="2"/>
    </row>
    <row r="83" spans="1:29" ht="10.5" hidden="1">
      <c r="A83" s="2">
        <f t="shared" si="26"/>
        <v>3</v>
      </c>
      <c r="B83" s="2" t="str">
        <f>VLOOKUP($A83,Controle!$B$4:$F$68,2,FALSE)</f>
        <v>Frei Inocêncio 1</v>
      </c>
      <c r="C83" s="2" t="str">
        <f>VLOOKUP($A83,Controle!$B$4:$F$68,3,FALSE)</f>
        <v xml:space="preserve">MORI GERACAO II </v>
      </c>
      <c r="D83" s="2" t="str">
        <f>VLOOKUP($A83,Controle!$B$4:$F$68,4,FALSE)</f>
        <v>Mori II</v>
      </c>
      <c r="E83" s="2" t="str">
        <f>VLOOKUP($A83,Controle!$B$4:$F$68,5,FALSE)</f>
        <v>Weg</v>
      </c>
      <c r="F83" s="3" t="str">
        <f>F48</f>
        <v>Desenvolvimento de projeto - Projetos Básica</v>
      </c>
      <c r="G83" s="2" t="str">
        <f>VLOOKUP($A83,Controle!$B$4:$G$68,6,FALSE)</f>
        <v>Mori</v>
      </c>
      <c r="H83" s="6">
        <v>0</v>
      </c>
      <c r="I83" s="6">
        <v>0</v>
      </c>
      <c r="J83" s="6">
        <v>0</v>
      </c>
      <c r="K83" s="6">
        <v>0</v>
      </c>
      <c r="L83" s="6">
        <v>0</v>
      </c>
      <c r="M83" s="6">
        <v>0</v>
      </c>
      <c r="N83" s="6">
        <v>0</v>
      </c>
      <c r="O83" s="4">
        <f t="shared" si="22"/>
        <v>0</v>
      </c>
      <c r="P83" s="5">
        <f>SUMIFS('Desenvolvimento diário'!$H:$H,'Desenvolvimento diário'!$Q:$Q,$B83,'Desenvolvimento diário'!$P:$P,$F83,'Desenvolvimento diário'!$R:$R,"Sim")</f>
        <v>0</v>
      </c>
      <c r="Q83" s="5">
        <f>SUMIFS('Desenvolvimento diário'!$H:$H,'Desenvolvimento diário'!$Q:$Q,$B83,'Desenvolvimento diário'!$P:$P,$F83,'Desenvolvimento diário'!$R:$R,"Não")</f>
        <v>0</v>
      </c>
      <c r="R83" s="4">
        <f t="shared" si="23"/>
        <v>0</v>
      </c>
      <c r="S83" s="4">
        <f t="shared" si="24"/>
        <v>0</v>
      </c>
      <c r="T83" s="12">
        <f t="shared" si="25"/>
        <v>0</v>
      </c>
      <c r="Y83" s="2"/>
      <c r="Z83" s="2"/>
      <c r="AA83" s="2"/>
      <c r="AB83" s="2"/>
      <c r="AC83" s="2"/>
    </row>
    <row r="84" spans="1:29" ht="10.5" hidden="1">
      <c r="A84" s="2">
        <f t="shared" si="26"/>
        <v>3</v>
      </c>
      <c r="B84" s="2" t="str">
        <f>VLOOKUP($A84,Controle!$B$4:$F$68,2,FALSE)</f>
        <v>Frei Inocêncio 1</v>
      </c>
      <c r="C84" s="2" t="str">
        <f>VLOOKUP($A84,Controle!$B$4:$F$68,3,FALSE)</f>
        <v xml:space="preserve">MORI GERACAO II </v>
      </c>
      <c r="D84" s="2" t="str">
        <f>VLOOKUP($A84,Controle!$B$4:$F$68,4,FALSE)</f>
        <v>Mori II</v>
      </c>
      <c r="E84" s="2" t="str">
        <f>VLOOKUP($A84,Controle!$B$4:$F$68,5,FALSE)</f>
        <v>Weg</v>
      </c>
      <c r="F84" s="3" t="str">
        <f>F49</f>
        <v>Desenvolvimento de projeto - Projetos Detalhada</v>
      </c>
      <c r="G84" s="2" t="str">
        <f>VLOOKUP($A84,Controle!$B$4:$G$68,6,FALSE)</f>
        <v>Mori</v>
      </c>
      <c r="H84" s="6">
        <v>0</v>
      </c>
      <c r="I84" s="6">
        <v>0</v>
      </c>
      <c r="J84" s="6">
        <v>0</v>
      </c>
      <c r="K84" s="6">
        <v>0</v>
      </c>
      <c r="L84" s="6">
        <v>0</v>
      </c>
      <c r="M84" s="6">
        <v>0</v>
      </c>
      <c r="N84" s="6">
        <v>0</v>
      </c>
      <c r="O84" s="4">
        <f t="shared" si="22"/>
        <v>0</v>
      </c>
      <c r="P84" s="5">
        <f>SUMIFS('Desenvolvimento diário'!$H:$H,'Desenvolvimento diário'!$Q:$Q,$B84,'Desenvolvimento diário'!$P:$P,$F84,'Desenvolvimento diário'!$R:$R,"Sim")</f>
        <v>0</v>
      </c>
      <c r="Q84" s="5">
        <f>SUMIFS('Desenvolvimento diário'!$H:$H,'Desenvolvimento diário'!$Q:$Q,$B84,'Desenvolvimento diário'!$P:$P,$F84,'Desenvolvimento diário'!$R:$R,"Não")</f>
        <v>0</v>
      </c>
      <c r="R84" s="4">
        <f t="shared" si="23"/>
        <v>0</v>
      </c>
      <c r="S84" s="4">
        <f t="shared" si="24"/>
        <v>0</v>
      </c>
      <c r="T84" s="12">
        <f t="shared" si="25"/>
        <v>0</v>
      </c>
      <c r="Y84" s="2"/>
      <c r="Z84" s="2"/>
      <c r="AA84" s="2"/>
      <c r="AB84" s="2"/>
      <c r="AC84" s="2"/>
    </row>
    <row r="85" spans="1:29" ht="10.5" hidden="1">
      <c r="A85" s="2">
        <f t="shared" si="26"/>
        <v>3</v>
      </c>
      <c r="B85" s="2" t="str">
        <f>VLOOKUP($A85,Controle!$B$4:$F$68,2,FALSE)</f>
        <v>Frei Inocêncio 1</v>
      </c>
      <c r="C85" s="2" t="str">
        <f>VLOOKUP($A85,Controle!$B$4:$F$68,3,FALSE)</f>
        <v xml:space="preserve">MORI GERACAO II </v>
      </c>
      <c r="D85" s="2" t="str">
        <f>VLOOKUP($A85,Controle!$B$4:$F$68,4,FALSE)</f>
        <v>Mori II</v>
      </c>
      <c r="E85" s="2" t="str">
        <f>VLOOKUP($A85,Controle!$B$4:$F$68,5,FALSE)</f>
        <v>Weg</v>
      </c>
      <c r="F85" s="3" t="str">
        <f>F50</f>
        <v>Desenvolvimento de projeto - Ambiental / Outros</v>
      </c>
      <c r="G85" s="2" t="str">
        <f>VLOOKUP($A85,Controle!$B$4:$G$68,6,FALSE)</f>
        <v>Mori</v>
      </c>
      <c r="H85" s="6" t="s">
        <v>148</v>
      </c>
      <c r="I85" s="6">
        <f>R85</f>
        <v>210312.58000000002</v>
      </c>
      <c r="J85" s="6">
        <v>0</v>
      </c>
      <c r="K85" s="6">
        <v>0</v>
      </c>
      <c r="L85" s="6">
        <v>0</v>
      </c>
      <c r="M85" s="6">
        <v>0</v>
      </c>
      <c r="N85" s="6">
        <v>0</v>
      </c>
      <c r="O85" s="4">
        <f t="shared" si="22"/>
        <v>210312.58000000002</v>
      </c>
      <c r="P85" s="5">
        <f>SUMIFS('Desenvolvimento diário'!$H:$H,'Desenvolvimento diário'!$Q:$Q,$B85,'Desenvolvimento diário'!$P:$P,$F85,'Desenvolvimento diário'!$R:$R,"Sim")</f>
        <v>0</v>
      </c>
      <c r="Q85" s="5">
        <f>SUMIFS('Desenvolvimento diário'!$H:$H,'Desenvolvimento diário'!$Q:$Q,$B85,'Desenvolvimento diário'!$P:$P,$F85,'Desenvolvimento diário'!$R:$R,"Não")</f>
        <v>210312.58000000002</v>
      </c>
      <c r="R85" s="4">
        <f t="shared" si="23"/>
        <v>210312.58000000002</v>
      </c>
      <c r="S85" s="4">
        <f t="shared" si="24"/>
        <v>0</v>
      </c>
      <c r="T85" s="12">
        <f t="shared" si="25"/>
        <v>1</v>
      </c>
      <c r="Y85" s="2"/>
      <c r="Z85" s="2"/>
      <c r="AA85" s="2"/>
      <c r="AB85" s="2"/>
      <c r="AC85" s="2"/>
    </row>
    <row r="86" spans="1:29" hidden="1">
      <c r="A86" s="2">
        <f t="shared" si="26"/>
        <v>3</v>
      </c>
      <c r="B86" s="2" t="str">
        <f>VLOOKUP($A86,Controle!$B$4:$F$68,2,FALSE)</f>
        <v>Frei Inocêncio 1</v>
      </c>
      <c r="C86" s="2" t="str">
        <f>VLOOKUP($A86,Controle!$B$4:$F$68,3,FALSE)</f>
        <v xml:space="preserve">MORI GERACAO II </v>
      </c>
      <c r="D86" s="2" t="str">
        <f>VLOOKUP($A86,Controle!$B$4:$F$68,4,FALSE)</f>
        <v>Mori II</v>
      </c>
      <c r="E86" s="2" t="str">
        <f>VLOOKUP($A86,Controle!$B$4:$F$68,5,FALSE)</f>
        <v>Weg</v>
      </c>
      <c r="F86" s="3" t="str">
        <f>F51</f>
        <v>Desenvolvimento de projeto - Coordenograma</v>
      </c>
      <c r="G86" s="2" t="str">
        <f>VLOOKUP($A86,Controle!$B$4:$G$68,6,FALSE)</f>
        <v>Mori</v>
      </c>
      <c r="H86" s="31" t="s">
        <v>149</v>
      </c>
      <c r="I86" s="31">
        <v>6206.9</v>
      </c>
      <c r="J86" s="31">
        <v>2281.25</v>
      </c>
      <c r="K86" s="31">
        <v>0</v>
      </c>
      <c r="L86" s="6">
        <v>0</v>
      </c>
      <c r="M86" s="6">
        <v>0</v>
      </c>
      <c r="N86" s="6">
        <v>0</v>
      </c>
      <c r="O86" s="4">
        <f t="shared" si="22"/>
        <v>8488.15</v>
      </c>
      <c r="P86" s="5">
        <f>SUMIFS('Desenvolvimento diário'!$H:$H,'Desenvolvimento diário'!$Q:$Q,$B86,'Desenvolvimento diário'!$P:$P,$F86,'Desenvolvimento diário'!$R:$R,"Sim")</f>
        <v>0</v>
      </c>
      <c r="Q86" s="5">
        <f>SUMIFS('Desenvolvimento diário'!$H:$H,'Desenvolvimento diário'!$Q:$Q,$B86,'Desenvolvimento diário'!$P:$P,$F86,'Desenvolvimento diário'!$R:$R,"Não")</f>
        <v>8488.15</v>
      </c>
      <c r="R86" s="4">
        <f t="shared" si="23"/>
        <v>8488.15</v>
      </c>
      <c r="S86" s="4">
        <f t="shared" si="24"/>
        <v>0</v>
      </c>
      <c r="T86" s="12">
        <f t="shared" si="25"/>
        <v>1</v>
      </c>
      <c r="Y86" s="2"/>
      <c r="Z86" s="2"/>
      <c r="AA86" s="2"/>
      <c r="AB86" s="2"/>
      <c r="AC86" s="2"/>
    </row>
    <row r="87" spans="1:29" ht="10.5" hidden="1">
      <c r="A87" s="2">
        <f t="shared" si="26"/>
        <v>3</v>
      </c>
      <c r="B87" s="2" t="str">
        <f>VLOOKUP($A87,Controle!$B$4:$F$68,2,FALSE)</f>
        <v>Frei Inocêncio 1</v>
      </c>
      <c r="C87" s="2" t="str">
        <f>VLOOKUP($A87,Controle!$B$4:$F$68,3,FALSE)</f>
        <v xml:space="preserve">MORI GERACAO II </v>
      </c>
      <c r="D87" s="2" t="str">
        <f>VLOOKUP($A87,Controle!$B$4:$F$68,4,FALSE)</f>
        <v>Mori II</v>
      </c>
      <c r="E87" s="2" t="str">
        <f>VLOOKUP($A87,Controle!$B$4:$F$68,5,FALSE)</f>
        <v>Weg</v>
      </c>
      <c r="F87" s="3" t="str">
        <f>F52</f>
        <v>Sistemas de Monitoramento - Supervisório</v>
      </c>
      <c r="G87" s="2" t="str">
        <f>VLOOKUP($A87,Controle!$B$4:$G$68,6,FALSE)</f>
        <v>Mori</v>
      </c>
      <c r="H87" s="6" t="s">
        <v>150</v>
      </c>
      <c r="I87" s="6">
        <v>126513.54</v>
      </c>
      <c r="J87" s="6"/>
      <c r="K87" s="6">
        <v>0</v>
      </c>
      <c r="L87" s="6">
        <v>0</v>
      </c>
      <c r="M87" s="6">
        <v>0</v>
      </c>
      <c r="N87" s="6">
        <v>0</v>
      </c>
      <c r="O87" s="4">
        <f t="shared" si="22"/>
        <v>126513.54</v>
      </c>
      <c r="P87" s="5">
        <f>SUMIFS('Desenvolvimento diário'!$H:$H,'Desenvolvimento diário'!$Q:$Q,$B87,'Desenvolvimento diário'!$P:$P,$F87,'Desenvolvimento diário'!$R:$R,"Sim")</f>
        <v>14032</v>
      </c>
      <c r="Q87" s="5">
        <f>SUMIFS('Desenvolvimento diário'!$H:$H,'Desenvolvimento diário'!$Q:$Q,$B87,'Desenvolvimento diário'!$P:$P,$F87,'Desenvolvimento diário'!$R:$R,"Não")</f>
        <v>112481.54000000001</v>
      </c>
      <c r="R87" s="4">
        <f t="shared" si="23"/>
        <v>126513.54000000001</v>
      </c>
      <c r="S87" s="4">
        <f t="shared" si="24"/>
        <v>0</v>
      </c>
      <c r="T87" s="12">
        <f t="shared" si="25"/>
        <v>1.0000000000000002</v>
      </c>
      <c r="Y87" s="2"/>
      <c r="Z87" s="2"/>
      <c r="AA87" s="2"/>
      <c r="AB87" s="2"/>
      <c r="AC87" s="2"/>
    </row>
    <row r="88" spans="1:29" ht="10.5" hidden="1">
      <c r="A88" s="2">
        <f t="shared" si="26"/>
        <v>3</v>
      </c>
      <c r="B88" s="2" t="str">
        <f>VLOOKUP($A88,Controle!$B$4:$F$68,2,FALSE)</f>
        <v>Frei Inocêncio 1</v>
      </c>
      <c r="C88" s="2" t="str">
        <f>VLOOKUP($A88,Controle!$B$4:$F$68,3,FALSE)</f>
        <v xml:space="preserve">MORI GERACAO II </v>
      </c>
      <c r="D88" s="2" t="str">
        <f>VLOOKUP($A88,Controle!$B$4:$F$68,4,FALSE)</f>
        <v>Mori II</v>
      </c>
      <c r="E88" s="2" t="str">
        <f>VLOOKUP($A88,Controle!$B$4:$F$68,5,FALSE)</f>
        <v>Weg</v>
      </c>
      <c r="F88" s="3" t="str">
        <f>F53</f>
        <v>Sistemas de Monitoramento - Estações Solarimétricas</v>
      </c>
      <c r="G88" s="2" t="str">
        <f>VLOOKUP($A88,Controle!$B$4:$G$68,6,FALSE)</f>
        <v>Mori</v>
      </c>
      <c r="H88" s="6">
        <v>0</v>
      </c>
      <c r="I88" s="6">
        <v>0</v>
      </c>
      <c r="J88" s="6">
        <v>0</v>
      </c>
      <c r="K88" s="6">
        <v>0</v>
      </c>
      <c r="L88" s="6">
        <v>0</v>
      </c>
      <c r="M88" s="6">
        <v>0</v>
      </c>
      <c r="N88" s="6">
        <v>0</v>
      </c>
      <c r="O88" s="4">
        <f t="shared" si="22"/>
        <v>0</v>
      </c>
      <c r="P88" s="5">
        <f>SUMIFS('Desenvolvimento diário'!$H:$H,'Desenvolvimento diário'!$Q:$Q,$B88,'Desenvolvimento diário'!$P:$P,$F88,'Desenvolvimento diário'!$R:$R,"Sim")</f>
        <v>0</v>
      </c>
      <c r="Q88" s="5">
        <f>SUMIFS('Desenvolvimento diário'!$H:$H,'Desenvolvimento diário'!$Q:$Q,$B88,'Desenvolvimento diário'!$P:$P,$F88,'Desenvolvimento diário'!$R:$R,"Não")</f>
        <v>0</v>
      </c>
      <c r="R88" s="4">
        <f t="shared" si="23"/>
        <v>0</v>
      </c>
      <c r="S88" s="4">
        <f t="shared" si="24"/>
        <v>0</v>
      </c>
      <c r="T88" s="12">
        <f t="shared" si="25"/>
        <v>0</v>
      </c>
      <c r="Y88" s="2"/>
      <c r="Z88" s="2"/>
      <c r="AA88" s="2"/>
      <c r="AB88" s="2"/>
      <c r="AC88" s="2"/>
    </row>
    <row r="89" spans="1:29" hidden="1">
      <c r="A89" s="2">
        <f t="shared" si="26"/>
        <v>3</v>
      </c>
      <c r="B89" s="2" t="str">
        <f>VLOOKUP($A89,Controle!$B$4:$F$68,2,FALSE)</f>
        <v>Frei Inocêncio 1</v>
      </c>
      <c r="C89" s="2" t="str">
        <f>VLOOKUP($A89,Controle!$B$4:$F$68,3,FALSE)</f>
        <v xml:space="preserve">MORI GERACAO II </v>
      </c>
      <c r="D89" s="2" t="str">
        <f>VLOOKUP($A89,Controle!$B$4:$F$68,4,FALSE)</f>
        <v>Mori II</v>
      </c>
      <c r="E89" s="2" t="str">
        <f>VLOOKUP($A89,Controle!$B$4:$F$68,5,FALSE)</f>
        <v>Weg</v>
      </c>
      <c r="F89" s="3" t="str">
        <f>F54</f>
        <v>Sistemas de Monitoramento - CFTV</v>
      </c>
      <c r="G89" s="2" t="str">
        <f>VLOOKUP($A89,Controle!$B$4:$G$68,6,FALSE)</f>
        <v>Mori</v>
      </c>
      <c r="H89" s="31" t="s">
        <v>152</v>
      </c>
      <c r="I89" s="6">
        <v>289840.90000000002</v>
      </c>
      <c r="J89" s="6">
        <v>0</v>
      </c>
      <c r="K89" s="28">
        <v>9336.84</v>
      </c>
      <c r="L89" s="6">
        <v>0</v>
      </c>
      <c r="M89" s="6">
        <v>0</v>
      </c>
      <c r="N89" s="6">
        <v>0</v>
      </c>
      <c r="O89" s="4">
        <f t="shared" si="22"/>
        <v>299177.74000000005</v>
      </c>
      <c r="P89" s="5">
        <f>SUMIFS('Desenvolvimento diário'!$H:$H,'Desenvolvimento diário'!$Q:$Q,$B89,'Desenvolvimento diário'!$P:$P,$F89,'Desenvolvimento diário'!$R:$R,"Sim")</f>
        <v>12905.67</v>
      </c>
      <c r="Q89" s="5">
        <f>SUMIFS('Desenvolvimento diário'!$H:$H,'Desenvolvimento diário'!$Q:$Q,$B89,'Desenvolvimento diário'!$P:$P,$F89,'Desenvolvimento diário'!$R:$R,"Não")</f>
        <v>286272.07</v>
      </c>
      <c r="R89" s="4">
        <f t="shared" si="23"/>
        <v>299177.74</v>
      </c>
      <c r="S89" s="4">
        <f t="shared" si="24"/>
        <v>0</v>
      </c>
      <c r="T89" s="12">
        <f t="shared" si="25"/>
        <v>0.99999999999999978</v>
      </c>
      <c r="Y89" s="2"/>
      <c r="Z89" s="2"/>
      <c r="AA89" s="2"/>
      <c r="AB89" s="2"/>
      <c r="AC89" s="2"/>
    </row>
    <row r="90" spans="1:29" ht="10.5" hidden="1">
      <c r="A90" s="2">
        <f t="shared" si="26"/>
        <v>3</v>
      </c>
      <c r="B90" s="2" t="str">
        <f>VLOOKUP($A90,Controle!$B$4:$F$68,2,FALSE)</f>
        <v>Frei Inocêncio 1</v>
      </c>
      <c r="C90" s="2" t="str">
        <f>VLOOKUP($A90,Controle!$B$4:$F$68,3,FALSE)</f>
        <v xml:space="preserve">MORI GERACAO II </v>
      </c>
      <c r="D90" s="2" t="str">
        <f>VLOOKUP($A90,Controle!$B$4:$F$68,4,FALSE)</f>
        <v>Mori II</v>
      </c>
      <c r="E90" s="2" t="str">
        <f>VLOOKUP($A90,Controle!$B$4:$F$68,5,FALSE)</f>
        <v>Weg</v>
      </c>
      <c r="F90" s="3" t="str">
        <f>F55</f>
        <v>Serviços Auxiliares - Drenagem</v>
      </c>
      <c r="G90" s="2" t="str">
        <f>VLOOKUP($A90,Controle!$B$4:$G$68,6,FALSE)</f>
        <v>Mori</v>
      </c>
      <c r="H90" s="6" t="s">
        <v>154</v>
      </c>
      <c r="I90" s="6">
        <v>472621.43</v>
      </c>
      <c r="J90" s="6">
        <v>0</v>
      </c>
      <c r="K90" s="6">
        <v>0</v>
      </c>
      <c r="L90" s="6">
        <v>0</v>
      </c>
      <c r="M90" s="6">
        <v>0</v>
      </c>
      <c r="N90" s="6">
        <v>0</v>
      </c>
      <c r="O90" s="4">
        <f t="shared" si="22"/>
        <v>472621.43</v>
      </c>
      <c r="P90" s="5">
        <f>SUMIFS('Desenvolvimento diário'!$H:$H,'Desenvolvimento diário'!$Q:$Q,$B90,'Desenvolvimento diário'!$P:$P,$F90,'Desenvolvimento diário'!$R:$R,"Sim")</f>
        <v>0</v>
      </c>
      <c r="Q90" s="5">
        <f>SUMIFS('Desenvolvimento diário'!$H:$H,'Desenvolvimento diário'!$Q:$Q,$B90,'Desenvolvimento diário'!$P:$P,$F90,'Desenvolvimento diário'!$R:$R,"Não")</f>
        <v>472621.43</v>
      </c>
      <c r="R90" s="4">
        <f t="shared" si="23"/>
        <v>472621.43</v>
      </c>
      <c r="S90" s="4">
        <f t="shared" si="24"/>
        <v>0</v>
      </c>
      <c r="T90" s="12">
        <f t="shared" si="25"/>
        <v>1</v>
      </c>
      <c r="Y90" s="2"/>
      <c r="Z90" s="2"/>
      <c r="AA90" s="2"/>
      <c r="AB90" s="2"/>
      <c r="AC90" s="2"/>
    </row>
    <row r="91" spans="1:29" ht="10.5" hidden="1">
      <c r="A91" s="2">
        <f t="shared" si="26"/>
        <v>3</v>
      </c>
      <c r="B91" s="2" t="str">
        <f>VLOOKUP($A91,Controle!$B$4:$F$68,2,FALSE)</f>
        <v>Frei Inocêncio 1</v>
      </c>
      <c r="C91" s="2" t="str">
        <f>VLOOKUP($A91,Controle!$B$4:$F$68,3,FALSE)</f>
        <v xml:space="preserve">MORI GERACAO II </v>
      </c>
      <c r="D91" s="2" t="str">
        <f>VLOOKUP($A91,Controle!$B$4:$F$68,4,FALSE)</f>
        <v>Mori II</v>
      </c>
      <c r="E91" s="2" t="str">
        <f>VLOOKUP($A91,Controle!$B$4:$F$68,5,FALSE)</f>
        <v>Weg</v>
      </c>
      <c r="F91" s="3" t="str">
        <f>F56</f>
        <v>Serviços Auxiliares - Terraplanagem</v>
      </c>
      <c r="G91" s="2" t="str">
        <f>VLOOKUP($A91,Controle!$B$4:$G$68,6,FALSE)</f>
        <v>Mori</v>
      </c>
      <c r="H91" s="6" t="s">
        <v>154</v>
      </c>
      <c r="I91" s="6">
        <f>497631.51+(0.003)</f>
        <v>497631.51300000004</v>
      </c>
      <c r="J91" s="6">
        <v>0</v>
      </c>
      <c r="K91" s="6">
        <v>0</v>
      </c>
      <c r="L91" s="6">
        <v>0</v>
      </c>
      <c r="M91" s="6">
        <v>0</v>
      </c>
      <c r="N91" s="6">
        <v>0</v>
      </c>
      <c r="O91" s="4">
        <f t="shared" si="22"/>
        <v>497631.51300000004</v>
      </c>
      <c r="P91" s="5">
        <f>SUMIFS('Desenvolvimento diário'!$H:$H,'Desenvolvimento diário'!$Q:$Q,$B91,'Desenvolvimento diário'!$P:$P,$F91,'Desenvolvimento diário'!$R:$R,"Sim")</f>
        <v>0</v>
      </c>
      <c r="Q91" s="5">
        <f>SUMIFS('Desenvolvimento diário'!$H:$H,'Desenvolvimento diário'!$Q:$Q,$B91,'Desenvolvimento diário'!$P:$P,$F91,'Desenvolvimento diário'!$R:$R,"Não")</f>
        <v>497631.51300000004</v>
      </c>
      <c r="R91" s="4">
        <f t="shared" si="23"/>
        <v>497631.51300000004</v>
      </c>
      <c r="S91" s="175">
        <f>O91-R91</f>
        <v>0</v>
      </c>
      <c r="T91" s="12">
        <f t="shared" si="25"/>
        <v>1</v>
      </c>
      <c r="Y91" s="2"/>
      <c r="Z91" s="2"/>
      <c r="AA91" s="2"/>
      <c r="AB91" s="2"/>
      <c r="AC91" s="2"/>
    </row>
    <row r="92" spans="1:29" ht="10.5" hidden="1">
      <c r="A92" s="2">
        <f t="shared" si="26"/>
        <v>3</v>
      </c>
      <c r="B92" s="2" t="str">
        <f>VLOOKUP($A92,Controle!$B$4:$F$68,2,FALSE)</f>
        <v>Frei Inocêncio 1</v>
      </c>
      <c r="C92" s="2" t="str">
        <f>VLOOKUP($A92,Controle!$B$4:$F$68,3,FALSE)</f>
        <v xml:space="preserve">MORI GERACAO II </v>
      </c>
      <c r="D92" s="2" t="str">
        <f>VLOOKUP($A92,Controle!$B$4:$F$68,4,FALSE)</f>
        <v>Mori II</v>
      </c>
      <c r="E92" s="2" t="str">
        <f>VLOOKUP($A92,Controle!$B$4:$F$68,5,FALSE)</f>
        <v>Weg</v>
      </c>
      <c r="F92" s="3" t="str">
        <f>F57</f>
        <v>Serviços Auxiliares - Supressão Vegetal</v>
      </c>
      <c r="G92" s="2" t="str">
        <f>VLOOKUP($A92,Controle!$B$4:$G$68,6,FALSE)</f>
        <v>Mori</v>
      </c>
      <c r="H92" s="6">
        <v>0</v>
      </c>
      <c r="I92" s="6">
        <v>0</v>
      </c>
      <c r="J92" s="6">
        <v>0</v>
      </c>
      <c r="K92" s="6">
        <v>0</v>
      </c>
      <c r="L92" s="6">
        <v>0</v>
      </c>
      <c r="M92" s="6">
        <v>0</v>
      </c>
      <c r="N92" s="6">
        <v>0</v>
      </c>
      <c r="O92" s="4">
        <f t="shared" si="22"/>
        <v>0</v>
      </c>
      <c r="P92" s="5">
        <f>SUMIFS('Desenvolvimento diário'!$H:$H,'Desenvolvimento diário'!$Q:$Q,$B92,'Desenvolvimento diário'!$P:$P,$F92,'Desenvolvimento diário'!$R:$R,"Sim")</f>
        <v>0</v>
      </c>
      <c r="Q92" s="5">
        <f>SUMIFS('Desenvolvimento diário'!$H:$H,'Desenvolvimento diário'!$Q:$Q,$B92,'Desenvolvimento diário'!$P:$P,$F92,'Desenvolvimento diário'!$R:$R,"Não")</f>
        <v>0</v>
      </c>
      <c r="R92" s="4">
        <f t="shared" si="23"/>
        <v>0</v>
      </c>
      <c r="S92" s="4">
        <f t="shared" si="24"/>
        <v>0</v>
      </c>
      <c r="T92" s="12">
        <f t="shared" si="25"/>
        <v>0</v>
      </c>
      <c r="Y92" s="2"/>
      <c r="Z92" s="2"/>
      <c r="AA92" s="2"/>
      <c r="AB92" s="2"/>
      <c r="AC92" s="2"/>
    </row>
    <row r="93" spans="1:29" ht="10.5" hidden="1">
      <c r="A93" s="2">
        <f t="shared" si="26"/>
        <v>3</v>
      </c>
      <c r="B93" s="2" t="str">
        <f>VLOOKUP($A93,Controle!$B$4:$F$68,2,FALSE)</f>
        <v>Frei Inocêncio 1</v>
      </c>
      <c r="C93" s="2" t="str">
        <f>VLOOKUP($A93,Controle!$B$4:$F$68,3,FALSE)</f>
        <v xml:space="preserve">MORI GERACAO II </v>
      </c>
      <c r="D93" s="2" t="str">
        <f>VLOOKUP($A93,Controle!$B$4:$F$68,4,FALSE)</f>
        <v>Mori II</v>
      </c>
      <c r="E93" s="2" t="str">
        <f>VLOOKUP($A93,Controle!$B$4:$F$68,5,FALSE)</f>
        <v>Weg</v>
      </c>
      <c r="F93" s="3" t="str">
        <f>F58</f>
        <v>RDR-Rede de Distribuição Rural</v>
      </c>
      <c r="G93" s="2" t="str">
        <f>VLOOKUP($A93,Controle!$B$4:$G$68,6,FALSE)</f>
        <v>Mori</v>
      </c>
      <c r="H93" s="6">
        <v>0</v>
      </c>
      <c r="I93" s="6">
        <v>0</v>
      </c>
      <c r="J93" s="6">
        <v>0</v>
      </c>
      <c r="K93" s="6">
        <v>0</v>
      </c>
      <c r="L93" s="6">
        <v>0</v>
      </c>
      <c r="M93" s="6">
        <v>0</v>
      </c>
      <c r="N93" s="6">
        <v>0</v>
      </c>
      <c r="O93" s="4">
        <f t="shared" si="22"/>
        <v>0</v>
      </c>
      <c r="P93" s="5">
        <f>SUMIFS('Desenvolvimento diário'!$H:$H,'Desenvolvimento diário'!$Q:$Q,$B93,'Desenvolvimento diário'!$P:$P,$F93,'Desenvolvimento diário'!$R:$R,"Sim")</f>
        <v>0</v>
      </c>
      <c r="Q93" s="5">
        <f>SUMIFS('Desenvolvimento diário'!$H:$H,'Desenvolvimento diário'!$Q:$Q,$B93,'Desenvolvimento diário'!$P:$P,$F93,'Desenvolvimento diário'!$R:$R,"Não")</f>
        <v>0</v>
      </c>
      <c r="R93" s="4">
        <f t="shared" si="23"/>
        <v>0</v>
      </c>
      <c r="S93" s="4">
        <f t="shared" si="24"/>
        <v>0</v>
      </c>
      <c r="T93" s="12">
        <f t="shared" si="25"/>
        <v>0</v>
      </c>
      <c r="Y93" s="2"/>
      <c r="Z93" s="2"/>
      <c r="AA93" s="2"/>
      <c r="AB93" s="2"/>
      <c r="AC93" s="2"/>
    </row>
    <row r="94" spans="1:29" ht="10.5" hidden="1">
      <c r="A94" s="2">
        <f t="shared" si="26"/>
        <v>3</v>
      </c>
      <c r="B94" s="2" t="str">
        <f>VLOOKUP($A94,Controle!$B$4:$F$68,2,FALSE)</f>
        <v>Frei Inocêncio 1</v>
      </c>
      <c r="C94" s="2" t="str">
        <f>VLOOKUP($A94,Controle!$B$4:$F$68,3,FALSE)</f>
        <v xml:space="preserve">MORI GERACAO II </v>
      </c>
      <c r="D94" s="2" t="str">
        <f>VLOOKUP($A94,Controle!$B$4:$F$68,4,FALSE)</f>
        <v>Mori II</v>
      </c>
      <c r="E94" s="2" t="str">
        <f>VLOOKUP($A94,Controle!$B$4:$F$68,5,FALSE)</f>
        <v>Weg</v>
      </c>
      <c r="F94" s="3" t="str">
        <f>F59</f>
        <v>Escopo COMERC</v>
      </c>
      <c r="G94" s="2" t="str">
        <f>VLOOKUP($A94,Controle!$B$4:$G$68,6,FALSE)</f>
        <v>Mori</v>
      </c>
      <c r="H94" s="6">
        <v>0</v>
      </c>
      <c r="I94" s="6">
        <v>145160</v>
      </c>
      <c r="J94" s="29">
        <v>13000</v>
      </c>
      <c r="K94" s="29"/>
      <c r="L94" s="6">
        <v>0</v>
      </c>
      <c r="M94" s="6">
        <v>0</v>
      </c>
      <c r="N94" s="6">
        <v>0</v>
      </c>
      <c r="O94" s="4">
        <f t="shared" si="22"/>
        <v>158160</v>
      </c>
      <c r="P94" s="5">
        <f>SUMIFS('Desenvolvimento diário'!$H:$H,'Desenvolvimento diário'!$Q:$Q,$B94,'Desenvolvimento diário'!$P:$P,$F94,'Desenvolvimento diário'!$R:$R,"Sim")</f>
        <v>118860</v>
      </c>
      <c r="Q94" s="5">
        <f>SUMIFS('Desenvolvimento diário'!$H:$H,'Desenvolvimento diário'!$Q:$Q,$B94,'Desenvolvimento diário'!$P:$P,$F94,'Desenvolvimento diário'!$R:$R,"Não")</f>
        <v>26300</v>
      </c>
      <c r="R94" s="4">
        <f t="shared" si="23"/>
        <v>145160</v>
      </c>
      <c r="S94" s="1010">
        <f t="shared" si="24"/>
        <v>13000</v>
      </c>
      <c r="T94" s="12">
        <f t="shared" si="25"/>
        <v>0.91780475467880629</v>
      </c>
      <c r="U94" s="1011" t="s">
        <v>166</v>
      </c>
      <c r="V94" s="1011" t="s">
        <v>167</v>
      </c>
      <c r="Y94" s="2"/>
      <c r="Z94" s="2"/>
      <c r="AA94" s="2"/>
      <c r="AB94" s="2"/>
      <c r="AC94" s="2"/>
    </row>
    <row r="95" spans="1:29" ht="10.5" hidden="1">
      <c r="A95" s="2">
        <f t="shared" si="26"/>
        <v>3</v>
      </c>
      <c r="B95" s="2" t="str">
        <f>VLOOKUP($A95,Controle!$B$4:$F$68,2,FALSE)</f>
        <v>Frei Inocêncio 1</v>
      </c>
      <c r="C95" s="2" t="str">
        <f>VLOOKUP($A95,Controle!$B$4:$F$68,3,FALSE)</f>
        <v xml:space="preserve">MORI GERACAO II </v>
      </c>
      <c r="D95" s="2" t="str">
        <f>VLOOKUP($A95,Controle!$B$4:$F$68,4,FALSE)</f>
        <v>Mori II</v>
      </c>
      <c r="E95" s="2" t="str">
        <f>VLOOKUP($A95,Controle!$B$4:$F$68,5,FALSE)</f>
        <v>Weg</v>
      </c>
      <c r="F95" s="3" t="str">
        <f>F60</f>
        <v>Escopo COMERC - Segurança</v>
      </c>
      <c r="G95" s="2" t="str">
        <f>VLOOKUP($A95,Controle!$B$4:$G$68,6,FALSE)</f>
        <v>Mori</v>
      </c>
      <c r="H95" s="6">
        <v>0</v>
      </c>
      <c r="I95" s="6">
        <f t="shared" ref="I94:I95" si="27">R95</f>
        <v>173663.78999999998</v>
      </c>
      <c r="J95" s="6">
        <v>0</v>
      </c>
      <c r="K95" s="6">
        <v>0</v>
      </c>
      <c r="L95" s="6">
        <v>0</v>
      </c>
      <c r="M95" s="6">
        <v>0</v>
      </c>
      <c r="N95" s="6">
        <v>0</v>
      </c>
      <c r="O95" s="4">
        <f t="shared" si="22"/>
        <v>173663.78999999998</v>
      </c>
      <c r="P95" s="5">
        <f>SUMIFS('Desenvolvimento diário'!$H:$H,'Desenvolvimento diário'!$Q:$Q,$B95,'Desenvolvimento diário'!$P:$P,$F95,'Desenvolvimento diário'!$R:$R,"Sim")</f>
        <v>0</v>
      </c>
      <c r="Q95" s="5">
        <f>SUMIFS('Desenvolvimento diário'!$H:$H,'Desenvolvimento diário'!$Q:$Q,$B95,'Desenvolvimento diário'!$P:$P,$F95,'Desenvolvimento diário'!$R:$R,"Não")</f>
        <v>173663.78999999998</v>
      </c>
      <c r="R95" s="4">
        <f t="shared" si="23"/>
        <v>173663.78999999998</v>
      </c>
      <c r="S95" s="4">
        <f t="shared" si="24"/>
        <v>0</v>
      </c>
      <c r="T95" s="12">
        <f t="shared" si="25"/>
        <v>1</v>
      </c>
      <c r="Y95" s="2"/>
      <c r="Z95" s="2"/>
      <c r="AA95" s="2"/>
      <c r="AB95" s="2"/>
      <c r="AC95" s="2"/>
    </row>
    <row r="96" spans="1:29" ht="10.5" hidden="1">
      <c r="A96" s="2">
        <f t="shared" si="26"/>
        <v>3</v>
      </c>
      <c r="B96" s="2" t="str">
        <f>VLOOKUP($A96,Controle!$B$4:$F$68,2,FALSE)</f>
        <v>Frei Inocêncio 1</v>
      </c>
      <c r="C96" s="2" t="str">
        <f>VLOOKUP($A96,Controle!$B$4:$F$68,3,FALSE)</f>
        <v xml:space="preserve">MORI GERACAO II </v>
      </c>
      <c r="D96" s="2" t="str">
        <f>VLOOKUP($A96,Controle!$B$4:$F$68,4,FALSE)</f>
        <v>Mori II</v>
      </c>
      <c r="E96" s="2" t="str">
        <f>VLOOKUP($A96,Controle!$B$4:$F$68,5,FALSE)</f>
        <v>Weg</v>
      </c>
      <c r="F96" s="3" t="str">
        <f>F61</f>
        <v>Conexão MT - Obras Transferencia</v>
      </c>
      <c r="G96" s="2" t="str">
        <f>VLOOKUP($A96,Controle!$B$4:$G$68,6,FALSE)</f>
        <v>Mori</v>
      </c>
      <c r="H96" s="6">
        <v>0</v>
      </c>
      <c r="I96" s="6">
        <v>0</v>
      </c>
      <c r="J96" s="6">
        <v>0</v>
      </c>
      <c r="K96" s="6">
        <v>0</v>
      </c>
      <c r="L96" s="6">
        <v>0</v>
      </c>
      <c r="M96" s="6">
        <v>0</v>
      </c>
      <c r="N96" s="6">
        <v>0</v>
      </c>
      <c r="O96" s="4">
        <f t="shared" si="22"/>
        <v>0</v>
      </c>
      <c r="P96" s="5">
        <f>SUMIFS('Desenvolvimento diário'!$H:$H,'Desenvolvimento diário'!$Q:$Q,$B96,'Desenvolvimento diário'!$P:$P,$F96,'Desenvolvimento diário'!$R:$R,"Sim")</f>
        <v>0</v>
      </c>
      <c r="Q96" s="5">
        <f>SUMIFS('Desenvolvimento diário'!$H:$H,'Desenvolvimento diário'!$Q:$Q,$B96,'Desenvolvimento diário'!$P:$P,$F96,'Desenvolvimento diário'!$R:$R,"Não")</f>
        <v>0</v>
      </c>
      <c r="R96" s="4">
        <f t="shared" si="23"/>
        <v>0</v>
      </c>
      <c r="S96" s="4">
        <f t="shared" si="24"/>
        <v>0</v>
      </c>
      <c r="T96" s="12">
        <f t="shared" si="25"/>
        <v>0</v>
      </c>
      <c r="Y96" s="2"/>
      <c r="Z96" s="2"/>
      <c r="AA96" s="2"/>
      <c r="AB96" s="2"/>
      <c r="AC96" s="2"/>
    </row>
    <row r="97" spans="1:29" ht="10.5" hidden="1">
      <c r="A97" s="2">
        <f t="shared" si="26"/>
        <v>3</v>
      </c>
      <c r="B97" s="2" t="str">
        <f>VLOOKUP($A97,Controle!$B$4:$F$68,2,FALSE)</f>
        <v>Frei Inocêncio 1</v>
      </c>
      <c r="C97" s="2" t="str">
        <f>VLOOKUP($A97,Controle!$B$4:$F$68,3,FALSE)</f>
        <v xml:space="preserve">MORI GERACAO II </v>
      </c>
      <c r="D97" s="2" t="str">
        <f>VLOOKUP($A97,Controle!$B$4:$F$68,4,FALSE)</f>
        <v>Mori II</v>
      </c>
      <c r="E97" s="2" t="str">
        <f>VLOOKUP($A97,Controle!$B$4:$F$68,5,FALSE)</f>
        <v>Weg</v>
      </c>
      <c r="F97" s="3" t="str">
        <f>F62</f>
        <v>Bases de Contaniers</v>
      </c>
      <c r="G97" s="2" t="str">
        <f>VLOOKUP($A97,Controle!$B$4:$G$68,6,FALSE)</f>
        <v>Mori</v>
      </c>
      <c r="H97" s="6" t="s">
        <v>177</v>
      </c>
      <c r="I97" s="6">
        <v>99192.67</v>
      </c>
      <c r="J97" s="6">
        <v>0</v>
      </c>
      <c r="K97" s="6">
        <v>0</v>
      </c>
      <c r="L97" s="6">
        <v>0</v>
      </c>
      <c r="M97" s="6">
        <v>0</v>
      </c>
      <c r="N97" s="6">
        <v>0</v>
      </c>
      <c r="O97" s="4">
        <f>SUM(I97:N97)+0.11</f>
        <v>99192.78</v>
      </c>
      <c r="P97" s="5">
        <f>SUMIFS('Desenvolvimento diário'!$H:$H,'Desenvolvimento diário'!$Q:$Q,$B97,'Desenvolvimento diário'!$P:$P,$F97,'Desenvolvimento diário'!$R:$R,"Sim")</f>
        <v>0</v>
      </c>
      <c r="Q97" s="5">
        <f>SUMIFS('Desenvolvimento diário'!$H:$H,'Desenvolvimento diário'!$Q:$Q,$B97,'Desenvolvimento diário'!$P:$P,$F97,'Desenvolvimento diário'!$R:$R,"Não")</f>
        <v>99192.78</v>
      </c>
      <c r="R97" s="4">
        <f t="shared" si="23"/>
        <v>99192.78</v>
      </c>
      <c r="S97" s="93">
        <f t="shared" si="24"/>
        <v>0</v>
      </c>
      <c r="T97" s="12">
        <f t="shared" si="25"/>
        <v>1</v>
      </c>
      <c r="Y97" s="2"/>
      <c r="Z97" s="2"/>
      <c r="AA97" s="2"/>
      <c r="AB97" s="2"/>
      <c r="AC97" s="2"/>
    </row>
    <row r="98" spans="1:29" ht="10.5" hidden="1">
      <c r="A98" s="2">
        <f t="shared" si="26"/>
        <v>3</v>
      </c>
      <c r="B98" s="2" t="str">
        <f>VLOOKUP($A98,Controle!$B$4:$F$68,2,FALSE)</f>
        <v>Frei Inocêncio 1</v>
      </c>
      <c r="C98" s="2" t="str">
        <f>VLOOKUP($A98,Controle!$B$4:$F$68,3,FALSE)</f>
        <v xml:space="preserve">MORI GERACAO II </v>
      </c>
      <c r="D98" s="2" t="str">
        <f>VLOOKUP($A98,Controle!$B$4:$F$68,4,FALSE)</f>
        <v>Mori II</v>
      </c>
      <c r="E98" s="2" t="str">
        <f>VLOOKUP($A98,Controle!$B$4:$F$68,5,FALSE)</f>
        <v>Weg</v>
      </c>
      <c r="F98" s="3" t="str">
        <f>F63</f>
        <v>Construção - Serviços de Construção - Ase Engenharia</v>
      </c>
      <c r="G98" s="2" t="str">
        <f>VLOOKUP($A98,Controle!$B$4:$G$68,6,FALSE)</f>
        <v>Mori</v>
      </c>
      <c r="H98" s="6">
        <v>0</v>
      </c>
      <c r="I98" s="6">
        <v>0</v>
      </c>
      <c r="J98" s="6">
        <v>0</v>
      </c>
      <c r="K98" s="6">
        <v>0</v>
      </c>
      <c r="L98" s="6">
        <v>0</v>
      </c>
      <c r="M98" s="6">
        <v>0</v>
      </c>
      <c r="N98" s="6">
        <v>0</v>
      </c>
      <c r="O98" s="4">
        <f t="shared" si="22"/>
        <v>0</v>
      </c>
      <c r="P98" s="5">
        <f>SUMIFS('Desenvolvimento diário'!$H:$H,'Desenvolvimento diário'!$Q:$Q,$B98,'Desenvolvimento diário'!$P:$P,$F98,'Desenvolvimento diário'!$R:$R,"Sim")</f>
        <v>0</v>
      </c>
      <c r="Q98" s="5">
        <f>SUMIFS('Desenvolvimento diário'!$H:$H,'Desenvolvimento diário'!$Q:$Q,$B98,'Desenvolvimento diário'!$P:$P,$F98,'Desenvolvimento diário'!$R:$R,"Não")</f>
        <v>0</v>
      </c>
      <c r="R98" s="4">
        <f t="shared" si="23"/>
        <v>0</v>
      </c>
      <c r="S98" s="4">
        <f t="shared" si="24"/>
        <v>0</v>
      </c>
      <c r="T98" s="12">
        <f t="shared" si="25"/>
        <v>0</v>
      </c>
      <c r="Y98" s="2"/>
      <c r="Z98" s="2"/>
      <c r="AA98" s="2"/>
      <c r="AB98" s="2"/>
      <c r="AC98" s="2"/>
    </row>
    <row r="99" spans="1:29" ht="10.5" hidden="1">
      <c r="A99" s="2">
        <f t="shared" si="26"/>
        <v>3</v>
      </c>
      <c r="B99" s="2" t="str">
        <f>VLOOKUP($A99,Controle!$B$4:$F$68,2,FALSE)</f>
        <v>Frei Inocêncio 1</v>
      </c>
      <c r="C99" s="2" t="str">
        <f>VLOOKUP($A99,Controle!$B$4:$F$68,3,FALSE)</f>
        <v xml:space="preserve">MORI GERACAO II </v>
      </c>
      <c r="D99" s="2" t="str">
        <f>VLOOKUP($A99,Controle!$B$4:$F$68,4,FALSE)</f>
        <v>Mori II</v>
      </c>
      <c r="E99" s="2" t="str">
        <f>VLOOKUP($A99,Controle!$B$4:$F$68,5,FALSE)</f>
        <v>Weg</v>
      </c>
      <c r="F99" s="3" t="str">
        <f>F64</f>
        <v>Full EPC - Contrato Sobressalentes</v>
      </c>
      <c r="G99" s="2" t="str">
        <f>VLOOKUP($A99,Controle!$B$4:$G$68,6,FALSE)</f>
        <v>Mori</v>
      </c>
      <c r="H99" s="6" t="s">
        <v>21</v>
      </c>
      <c r="I99" s="6">
        <f>199511.98-0.01</f>
        <v>199511.97</v>
      </c>
      <c r="J99" s="6">
        <v>0</v>
      </c>
      <c r="K99" s="6">
        <v>0</v>
      </c>
      <c r="L99" s="6">
        <v>0</v>
      </c>
      <c r="M99" s="6">
        <v>0</v>
      </c>
      <c r="N99" s="6">
        <v>0</v>
      </c>
      <c r="O99" s="4">
        <f>SUM(I99:N99)+0.01</f>
        <v>199511.98</v>
      </c>
      <c r="P99" s="5">
        <f>SUMIFS('Desenvolvimento diário'!$H:$H,'Desenvolvimento diário'!$Q:$Q,$B99,'Desenvolvimento diário'!$P:$P,$F99,'Desenvolvimento diário'!$R:$R,"Sim")</f>
        <v>0</v>
      </c>
      <c r="Q99" s="5">
        <f>SUMIFS('Desenvolvimento diário'!$H:$H,'Desenvolvimento diário'!$Q:$Q,$B99,'Desenvolvimento diário'!$P:$P,$F99,'Desenvolvimento diário'!$R:$R,"Não")</f>
        <v>199511.98</v>
      </c>
      <c r="R99" s="4">
        <f t="shared" si="23"/>
        <v>199511.98</v>
      </c>
      <c r="S99" s="137">
        <f t="shared" si="24"/>
        <v>0</v>
      </c>
      <c r="T99" s="12">
        <f t="shared" si="25"/>
        <v>1</v>
      </c>
      <c r="Y99" s="2"/>
      <c r="Z99" s="2"/>
      <c r="AA99" s="2"/>
      <c r="AB99" s="2"/>
      <c r="AC99" s="2"/>
    </row>
    <row r="100" spans="1:29" ht="10.5" hidden="1">
      <c r="A100" s="2">
        <f t="shared" si="26"/>
        <v>3</v>
      </c>
      <c r="B100" s="2" t="str">
        <f>VLOOKUP($A100,Controle!$B$4:$F$68,2,FALSE)</f>
        <v>Frei Inocêncio 1</v>
      </c>
      <c r="C100" s="2" t="str">
        <f>VLOOKUP($A100,Controle!$B$4:$F$68,3,FALSE)</f>
        <v xml:space="preserve">MORI GERACAO II </v>
      </c>
      <c r="D100" s="2" t="str">
        <f>VLOOKUP($A100,Controle!$B$4:$F$68,4,FALSE)</f>
        <v>Mori II</v>
      </c>
      <c r="E100" s="2" t="str">
        <f>VLOOKUP($A100,Controle!$B$4:$F$68,5,FALSE)</f>
        <v>Weg</v>
      </c>
      <c r="F100" s="3" t="str">
        <f t="shared" ref="F100:F105" si="28">F65</f>
        <v>Construção - Serviços de Construção - NOVA MORADA</v>
      </c>
      <c r="G100" s="2" t="str">
        <f>VLOOKUP($A100,Controle!$B$4:$G$68,6,FALSE)</f>
        <v>Mori</v>
      </c>
      <c r="H100" s="6">
        <v>0</v>
      </c>
      <c r="I100" s="6">
        <v>0</v>
      </c>
      <c r="J100" s="6">
        <v>0</v>
      </c>
      <c r="K100" s="6">
        <v>0</v>
      </c>
      <c r="L100" s="6">
        <v>0</v>
      </c>
      <c r="M100" s="6">
        <v>0</v>
      </c>
      <c r="N100" s="6">
        <v>0</v>
      </c>
      <c r="O100" s="4">
        <f t="shared" si="22"/>
        <v>0</v>
      </c>
      <c r="P100" s="5">
        <f>SUMIFS('Desenvolvimento diário'!$H:$H,'Desenvolvimento diário'!$Q:$Q,$B100,'Desenvolvimento diário'!$P:$P,$F100,'Desenvolvimento diário'!$R:$R,"Sim")</f>
        <v>0</v>
      </c>
      <c r="Q100" s="5">
        <f>SUMIFS('Desenvolvimento diário'!$H:$H,'Desenvolvimento diário'!$Q:$Q,$B100,'Desenvolvimento diário'!$P:$P,$F100,'Desenvolvimento diário'!$R:$R,"Não")</f>
        <v>0</v>
      </c>
      <c r="R100" s="4">
        <f t="shared" si="23"/>
        <v>0</v>
      </c>
      <c r="S100" s="4">
        <f t="shared" si="24"/>
        <v>0</v>
      </c>
      <c r="T100" s="12">
        <f t="shared" si="25"/>
        <v>0</v>
      </c>
      <c r="Y100" s="2"/>
      <c r="Z100" s="2"/>
      <c r="AA100" s="2"/>
      <c r="AB100" s="2"/>
      <c r="AC100" s="2"/>
    </row>
    <row r="101" spans="1:29" ht="10.5" hidden="1">
      <c r="A101" s="2">
        <f t="shared" si="26"/>
        <v>3</v>
      </c>
      <c r="B101" s="2" t="str">
        <f>VLOOKUP($A101,Controle!$B$4:$F$68,2,FALSE)</f>
        <v>Frei Inocêncio 1</v>
      </c>
      <c r="C101" s="2" t="str">
        <f>VLOOKUP($A101,Controle!$B$4:$F$68,3,FALSE)</f>
        <v xml:space="preserve">MORI GERACAO II </v>
      </c>
      <c r="D101" s="2" t="str">
        <f>VLOOKUP($A101,Controle!$B$4:$F$68,4,FALSE)</f>
        <v>Mori II</v>
      </c>
      <c r="E101" s="2" t="str">
        <f>VLOOKUP($A101,Controle!$B$4:$F$68,5,FALSE)</f>
        <v>Weg</v>
      </c>
      <c r="F101" s="3" t="str">
        <f t="shared" si="28"/>
        <v>Equipamentos Curva A -  Contrato Sobressalentes - SETTA</v>
      </c>
      <c r="G101" s="2" t="str">
        <f>VLOOKUP($A101,Controle!$B$4:$G$68,6,FALSE)</f>
        <v>Mori</v>
      </c>
      <c r="H101" s="6">
        <v>0</v>
      </c>
      <c r="I101" s="6">
        <v>0</v>
      </c>
      <c r="J101" s="6">
        <v>0</v>
      </c>
      <c r="K101" s="6">
        <v>0</v>
      </c>
      <c r="L101" s="6">
        <v>0</v>
      </c>
      <c r="M101" s="6">
        <v>0</v>
      </c>
      <c r="N101" s="6">
        <v>0</v>
      </c>
      <c r="O101" s="4">
        <f t="shared" si="22"/>
        <v>0</v>
      </c>
      <c r="P101" s="5">
        <f>SUMIFS('Desenvolvimento diário'!$H:$H,'Desenvolvimento diário'!$Q:$Q,$B101,'Desenvolvimento diário'!$P:$P,$F101,'Desenvolvimento diário'!$R:$R,"Sim")</f>
        <v>0</v>
      </c>
      <c r="Q101" s="5">
        <f>SUMIFS('Desenvolvimento diário'!$H:$H,'Desenvolvimento diário'!$Q:$Q,$B101,'Desenvolvimento diário'!$P:$P,$F101,'Desenvolvimento diário'!$R:$R,"Não")</f>
        <v>0</v>
      </c>
      <c r="R101" s="4">
        <f t="shared" si="23"/>
        <v>0</v>
      </c>
      <c r="S101" s="4">
        <f t="shared" si="24"/>
        <v>0</v>
      </c>
      <c r="T101" s="12">
        <f t="shared" si="25"/>
        <v>0</v>
      </c>
      <c r="Y101" s="2"/>
      <c r="Z101" s="2"/>
      <c r="AA101" s="2"/>
      <c r="AB101" s="2"/>
      <c r="AC101" s="2"/>
    </row>
    <row r="102" spans="1:29" ht="10.5" hidden="1">
      <c r="A102" s="2">
        <f t="shared" si="26"/>
        <v>3</v>
      </c>
      <c r="B102" s="2" t="str">
        <f>VLOOKUP($A102,Controle!$B$4:$F$68,2,FALSE)</f>
        <v>Frei Inocêncio 1</v>
      </c>
      <c r="C102" s="2" t="str">
        <f>VLOOKUP($A102,Controle!$B$4:$F$68,3,FALSE)</f>
        <v xml:space="preserve">MORI GERACAO II </v>
      </c>
      <c r="D102" s="2" t="str">
        <f>VLOOKUP($A102,Controle!$B$4:$F$68,4,FALSE)</f>
        <v>Mori II</v>
      </c>
      <c r="E102" s="2" t="str">
        <f>VLOOKUP($A102,Controle!$B$4:$F$68,5,FALSE)</f>
        <v>Weg</v>
      </c>
      <c r="F102" s="3" t="str">
        <f t="shared" si="28"/>
        <v>Equipamentos Curva A -  Contrato Sobressalentes - Arctech</v>
      </c>
      <c r="G102" s="2" t="str">
        <f>VLOOKUP($A102,Controle!$B$4:$G$68,6,FALSE)</f>
        <v>Mori</v>
      </c>
      <c r="H102" s="6">
        <v>0</v>
      </c>
      <c r="I102" s="6">
        <v>0</v>
      </c>
      <c r="J102" s="6">
        <v>0</v>
      </c>
      <c r="K102" s="6">
        <v>0</v>
      </c>
      <c r="L102" s="6">
        <v>0</v>
      </c>
      <c r="M102" s="6">
        <v>0</v>
      </c>
      <c r="N102" s="6">
        <v>0</v>
      </c>
      <c r="O102" s="4">
        <f t="shared" si="22"/>
        <v>0</v>
      </c>
      <c r="P102" s="5">
        <f>SUMIFS('Desenvolvimento diário'!$H:$H,'Desenvolvimento diário'!$Q:$Q,$B102,'Desenvolvimento diário'!$P:$P,$F102,'Desenvolvimento diário'!$R:$R,"Sim")</f>
        <v>0</v>
      </c>
      <c r="Q102" s="5">
        <f>SUMIFS('Desenvolvimento diário'!$H:$H,'Desenvolvimento diário'!$Q:$Q,$B102,'Desenvolvimento diário'!$P:$P,$F102,'Desenvolvimento diário'!$R:$R,"Não")</f>
        <v>0</v>
      </c>
      <c r="R102" s="4">
        <f t="shared" si="23"/>
        <v>0</v>
      </c>
      <c r="S102" s="4">
        <f t="shared" si="24"/>
        <v>0</v>
      </c>
      <c r="T102" s="12">
        <f t="shared" si="25"/>
        <v>0</v>
      </c>
      <c r="Y102" s="2"/>
      <c r="Z102" s="2"/>
      <c r="AA102" s="2"/>
      <c r="AB102" s="2"/>
      <c r="AC102" s="2"/>
    </row>
    <row r="103" spans="1:29" hidden="1">
      <c r="A103" s="2">
        <f t="shared" si="26"/>
        <v>3</v>
      </c>
      <c r="B103" s="94" t="str">
        <f>VLOOKUP($A103,Controle!$B$4:$F$68,2,FALSE)</f>
        <v>Frei Inocêncio 1</v>
      </c>
      <c r="C103" s="94" t="str">
        <f>VLOOKUP($A103,Controle!$B$4:$F$68,3,FALSE)</f>
        <v xml:space="preserve">MORI GERACAO II </v>
      </c>
      <c r="D103" s="94" t="str">
        <f>VLOOKUP($A103,Controle!$B$4:$F$68,4,FALSE)</f>
        <v>Mori II</v>
      </c>
      <c r="E103" s="94" t="str">
        <f>VLOOKUP($A103,Controle!$B$4:$F$68,5,FALSE)</f>
        <v>Weg</v>
      </c>
      <c r="F103" s="3" t="str">
        <f t="shared" si="28"/>
        <v>Equipamentos Curva A -  Contrato Sobressalentes - Romagnole</v>
      </c>
      <c r="G103" s="94" t="str">
        <f>VLOOKUP($A103,Controle!$B$4:$G$68,6,FALSE)</f>
        <v>Mori</v>
      </c>
      <c r="H103" s="506" t="s">
        <v>169</v>
      </c>
      <c r="I103" s="506">
        <v>62318.97</v>
      </c>
      <c r="J103" s="506">
        <v>0</v>
      </c>
      <c r="K103" s="506">
        <v>0</v>
      </c>
      <c r="L103" s="506">
        <v>0</v>
      </c>
      <c r="M103" s="506">
        <v>0</v>
      </c>
      <c r="N103" s="506">
        <v>0</v>
      </c>
      <c r="O103" s="39">
        <f t="shared" si="22"/>
        <v>62318.97</v>
      </c>
      <c r="P103" s="17">
        <f>SUMIFS('Desenvolvimento diário'!$H:$H,'Desenvolvimento diário'!$Q:$Q,$B103,'Desenvolvimento diário'!$P:$P,$F103,'Desenvolvimento diário'!$R:$R,"Sim")</f>
        <v>0</v>
      </c>
      <c r="Q103" s="17">
        <f>SUMIFS('Desenvolvimento diário'!$H:$H,'Desenvolvimento diário'!$Q:$Q,$B103,'Desenvolvimento diário'!$P:$P,$F103,'Desenvolvimento diário'!$R:$R,"Não")</f>
        <v>62318.97</v>
      </c>
      <c r="R103" s="4">
        <f t="shared" si="23"/>
        <v>62318.97</v>
      </c>
      <c r="S103" s="4">
        <f t="shared" si="24"/>
        <v>0</v>
      </c>
      <c r="T103" s="12">
        <f t="shared" si="25"/>
        <v>1</v>
      </c>
      <c r="Y103" s="2"/>
      <c r="Z103" s="2"/>
      <c r="AA103" s="2"/>
      <c r="AB103" s="2"/>
      <c r="AC103" s="2"/>
    </row>
    <row r="104" spans="1:29" hidden="1">
      <c r="A104" s="2">
        <f>A101</f>
        <v>3</v>
      </c>
      <c r="B104" s="94" t="str">
        <f>VLOOKUP($A104,Controle!$B$4:$F$68,2,FALSE)</f>
        <v>Frei Inocêncio 1</v>
      </c>
      <c r="C104" s="94" t="str">
        <f>VLOOKUP($A104,Controle!$B$4:$F$68,3,FALSE)</f>
        <v xml:space="preserve">MORI GERACAO II </v>
      </c>
      <c r="D104" s="94" t="str">
        <f>VLOOKUP($A104,Controle!$B$4:$F$68,4,FALSE)</f>
        <v>Mori II</v>
      </c>
      <c r="E104" s="94" t="str">
        <f>VLOOKUP($A104,Controle!$B$4:$F$68,5,FALSE)</f>
        <v>Weg</v>
      </c>
      <c r="F104" s="3" t="str">
        <f t="shared" si="28"/>
        <v>GOS FLORESTAL - (PRAD - Recuperação Area Ambiental)</v>
      </c>
      <c r="G104" s="94" t="str">
        <f>VLOOKUP($A104,Controle!$B$4:$G$68,6,FALSE)</f>
        <v>Mori</v>
      </c>
      <c r="H104" s="506" t="s">
        <v>170</v>
      </c>
      <c r="I104" s="6">
        <v>0</v>
      </c>
      <c r="J104" s="506"/>
      <c r="K104" s="506">
        <v>0</v>
      </c>
      <c r="L104" s="506">
        <v>0</v>
      </c>
      <c r="M104" s="506">
        <v>0</v>
      </c>
      <c r="N104" s="506">
        <v>0</v>
      </c>
      <c r="O104" s="39">
        <f t="shared" si="22"/>
        <v>0</v>
      </c>
      <c r="P104" s="17">
        <f>SUMIFS('Desenvolvimento diário'!$H:$H,'Desenvolvimento diário'!$Q:$Q,$B104,'Desenvolvimento diário'!$P:$P,$F104,'Desenvolvimento diário'!$R:$R,"Sim")</f>
        <v>0</v>
      </c>
      <c r="Q104" s="17">
        <f>SUMIFS('Desenvolvimento diário'!$H:$H,'Desenvolvimento diário'!$Q:$Q,$B104,'Desenvolvimento diário'!$P:$P,$F104,'Desenvolvimento diário'!$R:$R,"Não")</f>
        <v>0</v>
      </c>
      <c r="R104" s="4">
        <f t="shared" si="23"/>
        <v>0</v>
      </c>
      <c r="S104" s="4">
        <f t="shared" si="24"/>
        <v>0</v>
      </c>
      <c r="T104" s="12">
        <f t="shared" si="25"/>
        <v>0</v>
      </c>
      <c r="Y104" s="2"/>
      <c r="Z104" s="2"/>
      <c r="AA104" s="2"/>
      <c r="AB104" s="2"/>
      <c r="AC104" s="2"/>
    </row>
    <row r="105" spans="1:29" hidden="1">
      <c r="A105" s="2">
        <f>A102</f>
        <v>3</v>
      </c>
      <c r="B105" s="94" t="str">
        <f>VLOOKUP($A105,Controle!$B$4:$F$68,2,FALSE)</f>
        <v>Frei Inocêncio 1</v>
      </c>
      <c r="C105" s="94" t="str">
        <f>VLOOKUP($A105,Controle!$B$4:$F$68,3,FALSE)</f>
        <v xml:space="preserve">MORI GERACAO II </v>
      </c>
      <c r="D105" s="94" t="str">
        <f>VLOOKUP($A105,Controle!$B$4:$F$68,4,FALSE)</f>
        <v>Mori II</v>
      </c>
      <c r="E105" s="94" t="str">
        <f>VLOOKUP($A105,Controle!$B$4:$F$68,5,FALSE)</f>
        <v>Weg</v>
      </c>
      <c r="F105" s="3" t="str">
        <f t="shared" si="28"/>
        <v>Cercamento das bacias de contenção ciclo 2</v>
      </c>
      <c r="G105" s="94" t="str">
        <f>VLOOKUP($A105,Controle!$B$4:$G$68,6,FALSE)</f>
        <v>Mori</v>
      </c>
      <c r="H105" s="506" t="s">
        <v>172</v>
      </c>
      <c r="I105" s="6"/>
      <c r="J105" s="506"/>
      <c r="K105" s="506">
        <v>0</v>
      </c>
      <c r="L105" s="506">
        <v>0</v>
      </c>
      <c r="M105" s="506">
        <v>0</v>
      </c>
      <c r="N105" s="506">
        <v>0</v>
      </c>
      <c r="O105" s="39">
        <f t="shared" si="22"/>
        <v>0</v>
      </c>
      <c r="P105" s="17">
        <f>SUMIFS('Desenvolvimento diário'!$H:$H,'Desenvolvimento diário'!$Q:$Q,$B105,'Desenvolvimento diário'!$P:$P,$F105,'Desenvolvimento diário'!$R:$R,"Sim")</f>
        <v>0</v>
      </c>
      <c r="Q105" s="17">
        <f>SUMIFS('Desenvolvimento diário'!$H:$H,'Desenvolvimento diário'!$Q:$Q,$B105,'Desenvolvimento diário'!$P:$P,$F105,'Desenvolvimento diário'!$R:$R,"Não")</f>
        <v>0</v>
      </c>
      <c r="R105" s="4">
        <f t="shared" si="23"/>
        <v>0</v>
      </c>
      <c r="S105" s="1030">
        <f t="shared" si="24"/>
        <v>0</v>
      </c>
      <c r="T105" s="12">
        <f t="shared" si="25"/>
        <v>0</v>
      </c>
      <c r="U105" s="1029" t="s">
        <v>166</v>
      </c>
      <c r="V105" s="1029" t="s">
        <v>94</v>
      </c>
      <c r="Y105" s="2"/>
      <c r="Z105" s="2"/>
      <c r="AA105" s="2"/>
      <c r="AB105" s="2"/>
      <c r="AC105" s="2"/>
    </row>
    <row r="106" spans="1:29" hidden="1">
      <c r="A106" s="8">
        <f>A103</f>
        <v>3</v>
      </c>
      <c r="B106" s="9" t="str">
        <f t="shared" ref="B106" si="29">B103</f>
        <v>Frei Inocêncio 1</v>
      </c>
      <c r="C106" s="9" t="str">
        <f t="shared" ref="C106" si="30">C103</f>
        <v xml:space="preserve">MORI GERACAO II </v>
      </c>
      <c r="D106" s="9" t="str">
        <f t="shared" ref="D106" si="31">D103</f>
        <v>Mori II</v>
      </c>
      <c r="E106" s="9" t="str">
        <f t="shared" ref="E106" si="32">E103</f>
        <v>Weg</v>
      </c>
      <c r="F106" s="10" t="s">
        <v>158</v>
      </c>
      <c r="G106" s="9" t="str">
        <f>G103</f>
        <v>Mori</v>
      </c>
      <c r="H106" s="9"/>
      <c r="I106" s="9">
        <f>SUBTOTAL(9,I72:I105)</f>
        <v>0</v>
      </c>
      <c r="J106" s="9">
        <f>SUBTOTAL(9,J72:J105)</f>
        <v>0</v>
      </c>
      <c r="K106" s="9">
        <f>SUBTOTAL(9,K72:K105)</f>
        <v>0</v>
      </c>
      <c r="L106" s="9">
        <f>SUBTOTAL(9,L72:L105)</f>
        <v>0</v>
      </c>
      <c r="M106" s="9">
        <f>SUBTOTAL(9,M72:M105)</f>
        <v>0</v>
      </c>
      <c r="N106" s="9">
        <f>SUBTOTAL(9,N72:N105)</f>
        <v>0</v>
      </c>
      <c r="O106" s="9">
        <f>SUBTOTAL(9,O72:O105)</f>
        <v>0</v>
      </c>
      <c r="P106" s="9">
        <f>SUBTOTAL(9,P72:P105)</f>
        <v>0</v>
      </c>
      <c r="Q106" s="9">
        <f>SUBTOTAL(9,Q72:Q105)</f>
        <v>0</v>
      </c>
      <c r="R106" s="9">
        <f>SUBTOTAL(9,R72:R105)</f>
        <v>0</v>
      </c>
      <c r="S106" s="9">
        <f>SUBTOTAL(9,S72:S105)</f>
        <v>0</v>
      </c>
      <c r="T106" s="13">
        <f>IFERROR(R106/O106,0)</f>
        <v>0</v>
      </c>
      <c r="U106" s="11">
        <f>SUBTOTAL(9,U72:U105)</f>
        <v>0</v>
      </c>
      <c r="Y106" s="2"/>
      <c r="Z106" s="2"/>
      <c r="AA106" s="2"/>
      <c r="AB106" s="2"/>
      <c r="AC106" s="2"/>
    </row>
    <row r="107" spans="1:29" hidden="1">
      <c r="A107" s="2">
        <f>A72+1</f>
        <v>4</v>
      </c>
      <c r="B107" s="2" t="str">
        <f>VLOOKUP($A107,Controle!$B$4:$F$68,2,FALSE)</f>
        <v>Lagoa Formosa 1</v>
      </c>
      <c r="C107" s="2" t="str">
        <f>VLOOKUP($A107,Controle!$B$4:$F$68,3,FALSE)</f>
        <v xml:space="preserve">MORI GERACAO II </v>
      </c>
      <c r="D107" s="2" t="str">
        <f>VLOOKUP($A107,Controle!$B$4:$F$68,4,FALSE)</f>
        <v>Mori II</v>
      </c>
      <c r="E107" s="2">
        <f>VLOOKUP($A107,Controle!$B$4:$F$68,5,FALSE)</f>
        <v>1</v>
      </c>
      <c r="F107" s="3" t="str">
        <f>F72</f>
        <v>Conexão AT - Obras</v>
      </c>
      <c r="G107" s="2" t="str">
        <f>VLOOKUP($A107,Controle!$B$4:$G$68,6,FALSE)</f>
        <v>Mori</v>
      </c>
      <c r="H107" s="6" t="s">
        <v>141</v>
      </c>
      <c r="I107" s="32">
        <v>400000</v>
      </c>
      <c r="J107" s="6">
        <v>0</v>
      </c>
      <c r="K107" s="6">
        <v>0</v>
      </c>
      <c r="L107" s="6">
        <v>0</v>
      </c>
      <c r="M107" s="6">
        <v>0</v>
      </c>
      <c r="N107" s="6">
        <v>0</v>
      </c>
      <c r="O107" s="4">
        <f t="shared" ref="O107:O140" si="33">SUM(I107:N107)</f>
        <v>400000</v>
      </c>
      <c r="P107" s="5">
        <f>SUMIFS('Desenvolvimento diário'!$H:$H,'Desenvolvimento diário'!$Q:$Q,$B107,'Desenvolvimento diário'!$P:$P,$F107,'Desenvolvimento diário'!$R:$R,"Sim")</f>
        <v>82000</v>
      </c>
      <c r="Q107" s="5">
        <f>SUMIFS('Desenvolvimento diário'!$H:$H,'Desenvolvimento diário'!$Q:$Q,$B107,'Desenvolvimento diário'!$P:$P,$F107,'Desenvolvimento diário'!$R:$R,"Não")</f>
        <v>318000</v>
      </c>
      <c r="R107" s="4">
        <f t="shared" ref="R107:R140" si="34">SUM(P107:Q107)</f>
        <v>400000</v>
      </c>
      <c r="S107" s="27">
        <f t="shared" ref="S107:S140" si="35">O107-R107</f>
        <v>0</v>
      </c>
      <c r="T107" s="12">
        <f t="shared" si="25"/>
        <v>1</v>
      </c>
      <c r="Y107" s="2"/>
      <c r="Z107" s="2"/>
      <c r="AA107" s="2"/>
      <c r="AB107" s="2"/>
      <c r="AC107" s="2"/>
    </row>
    <row r="108" spans="1:29" ht="10.5" hidden="1">
      <c r="A108" s="2">
        <f t="shared" ref="A108:A138" si="36">A107</f>
        <v>4</v>
      </c>
      <c r="B108" s="2" t="str">
        <f>VLOOKUP($A108,Controle!$B$4:$F$68,2,FALSE)</f>
        <v>Lagoa Formosa 1</v>
      </c>
      <c r="C108" s="2" t="str">
        <f>VLOOKUP($A108,Controle!$B$4:$F$68,3,FALSE)</f>
        <v xml:space="preserve">MORI GERACAO II </v>
      </c>
      <c r="D108" s="2" t="str">
        <f>VLOOKUP($A108,Controle!$B$4:$F$68,4,FALSE)</f>
        <v>Mori II</v>
      </c>
      <c r="E108" s="2">
        <f>VLOOKUP($A108,Controle!$B$4:$F$68,5,FALSE)</f>
        <v>1</v>
      </c>
      <c r="F108" s="3" t="str">
        <f>F73</f>
        <v>Conexão MT - Obras</v>
      </c>
      <c r="G108" s="2" t="str">
        <f>VLOOKUP($A108,Controle!$B$4:$G$68,6,FALSE)</f>
        <v>Mori</v>
      </c>
      <c r="H108" s="6" t="s">
        <v>168</v>
      </c>
      <c r="I108" s="6">
        <v>642127.5</v>
      </c>
      <c r="J108" s="6">
        <v>278928.57</v>
      </c>
      <c r="K108" s="6">
        <v>0</v>
      </c>
      <c r="L108" s="6">
        <v>0</v>
      </c>
      <c r="M108" s="6">
        <v>0</v>
      </c>
      <c r="N108" s="6">
        <v>0</v>
      </c>
      <c r="O108" s="4">
        <f t="shared" si="33"/>
        <v>921056.07000000007</v>
      </c>
      <c r="P108" s="5">
        <f>SUMIFS('Desenvolvimento diário'!$H:$H,'Desenvolvimento diário'!$Q:$Q,$B108,'Desenvolvimento diário'!$P:$P,$F108,'Desenvolvimento diário'!$R:$R,"Sim")</f>
        <v>571195.74</v>
      </c>
      <c r="Q108" s="5">
        <f>SUMIFS('Desenvolvimento diário'!$H:$H,'Desenvolvimento diário'!$Q:$Q,$B108,'Desenvolvimento diário'!$P:$P,$F108,'Desenvolvimento diário'!$R:$R,"Não")</f>
        <v>349860.33</v>
      </c>
      <c r="R108" s="4">
        <f t="shared" si="34"/>
        <v>921056.07000000007</v>
      </c>
      <c r="S108" s="4">
        <f t="shared" si="35"/>
        <v>0</v>
      </c>
      <c r="T108" s="12">
        <f t="shared" si="25"/>
        <v>1</v>
      </c>
      <c r="Y108" s="2"/>
      <c r="Z108" s="2"/>
      <c r="AA108" s="2"/>
      <c r="AB108" s="2"/>
      <c r="AC108" s="2"/>
    </row>
    <row r="109" spans="1:29" ht="10.5" hidden="1">
      <c r="A109" s="2">
        <f t="shared" si="36"/>
        <v>4</v>
      </c>
      <c r="B109" s="2" t="str">
        <f>VLOOKUP($A109,Controle!$B$4:$F$68,2,FALSE)</f>
        <v>Lagoa Formosa 1</v>
      </c>
      <c r="C109" s="2" t="str">
        <f>VLOOKUP($A109,Controle!$B$4:$F$68,3,FALSE)</f>
        <v xml:space="preserve">MORI GERACAO II </v>
      </c>
      <c r="D109" s="2" t="str">
        <f>VLOOKUP($A109,Controle!$B$4:$F$68,4,FALSE)</f>
        <v>Mori II</v>
      </c>
      <c r="E109" s="2">
        <f>VLOOKUP($A109,Controle!$B$4:$F$68,5,FALSE)</f>
        <v>1</v>
      </c>
      <c r="F109" s="3" t="str">
        <f>F74</f>
        <v>Construção - Serviços de Construção</v>
      </c>
      <c r="G109" s="2" t="str">
        <f>VLOOKUP($A109,Controle!$B$4:$G$68,6,FALSE)</f>
        <v>Mori</v>
      </c>
      <c r="H109" s="6">
        <v>0</v>
      </c>
      <c r="I109" s="6">
        <v>0</v>
      </c>
      <c r="J109" s="6">
        <v>0</v>
      </c>
      <c r="K109" s="6">
        <v>0</v>
      </c>
      <c r="L109" s="6">
        <v>0</v>
      </c>
      <c r="M109" s="6">
        <v>0</v>
      </c>
      <c r="N109" s="6">
        <v>0</v>
      </c>
      <c r="O109" s="4">
        <f t="shared" si="33"/>
        <v>0</v>
      </c>
      <c r="P109" s="5">
        <f>SUMIFS('Desenvolvimento diário'!$H:$H,'Desenvolvimento diário'!$Q:$Q,$B109,'Desenvolvimento diário'!$P:$P,$F109,'Desenvolvimento diário'!$R:$R,"Sim")</f>
        <v>0</v>
      </c>
      <c r="Q109" s="5">
        <f>SUMIFS('Desenvolvimento diário'!$H:$H,'Desenvolvimento diário'!$Q:$Q,$B109,'Desenvolvimento diário'!$P:$P,$F109,'Desenvolvimento diário'!$R:$R,"Não")</f>
        <v>0</v>
      </c>
      <c r="R109" s="4">
        <f t="shared" si="34"/>
        <v>0</v>
      </c>
      <c r="S109" s="4">
        <f t="shared" si="35"/>
        <v>0</v>
      </c>
      <c r="T109" s="12">
        <f t="shared" si="25"/>
        <v>0</v>
      </c>
      <c r="Y109" s="2"/>
      <c r="Z109" s="2"/>
      <c r="AA109" s="2"/>
      <c r="AB109" s="2"/>
      <c r="AC109" s="2"/>
    </row>
    <row r="110" spans="1:29" ht="10.5" hidden="1">
      <c r="A110" s="2">
        <f t="shared" si="36"/>
        <v>4</v>
      </c>
      <c r="B110" s="2" t="str">
        <f>VLOOKUP($A110,Controle!$B$4:$F$68,2,FALSE)</f>
        <v>Lagoa Formosa 1</v>
      </c>
      <c r="C110" s="2" t="str">
        <f>VLOOKUP($A110,Controle!$B$4:$F$68,3,FALSE)</f>
        <v xml:space="preserve">MORI GERACAO II </v>
      </c>
      <c r="D110" s="2" t="str">
        <f>VLOOKUP($A110,Controle!$B$4:$F$68,4,FALSE)</f>
        <v>Mori II</v>
      </c>
      <c r="E110" s="2">
        <f>VLOOKUP($A110,Controle!$B$4:$F$68,5,FALSE)</f>
        <v>1</v>
      </c>
      <c r="F110" s="3" t="str">
        <f>F75</f>
        <v>Construção - Serviços de Construção - Substituição</v>
      </c>
      <c r="G110" s="2" t="str">
        <f>VLOOKUP($A110,Controle!$B$4:$G$68,6,FALSE)</f>
        <v>Mori</v>
      </c>
      <c r="H110" s="6" t="s">
        <v>178</v>
      </c>
      <c r="I110" s="6">
        <v>1167400</v>
      </c>
      <c r="J110" s="6">
        <v>176826.3</v>
      </c>
      <c r="K110" s="6">
        <v>0</v>
      </c>
      <c r="L110" s="6">
        <v>0</v>
      </c>
      <c r="M110" s="6">
        <v>0</v>
      </c>
      <c r="N110" s="6">
        <v>0</v>
      </c>
      <c r="O110" s="4">
        <f t="shared" si="33"/>
        <v>1344226.3</v>
      </c>
      <c r="P110" s="5">
        <f>SUMIFS('Desenvolvimento diário'!$H:$H,'Desenvolvimento diário'!$Q:$Q,$B110,'Desenvolvimento diário'!$P:$P,$F110,'Desenvolvimento diário'!$R:$R,"Sim")</f>
        <v>849467.01000000013</v>
      </c>
      <c r="Q110" s="5">
        <f>SUMIFS('Desenvolvimento diário'!$H:$H,'Desenvolvimento diário'!$Q:$Q,$B110,'Desenvolvimento diário'!$P:$P,$F110,'Desenvolvimento diário'!$R:$R,"Não")</f>
        <v>791752.07</v>
      </c>
      <c r="R110" s="4">
        <f t="shared" si="34"/>
        <v>1641219.08</v>
      </c>
      <c r="S110" s="33">
        <f>O110-R110</f>
        <v>-296992.78000000003</v>
      </c>
      <c r="T110" s="12">
        <f t="shared" si="25"/>
        <v>1.2209395694757645</v>
      </c>
      <c r="U110" s="510" t="s">
        <v>162</v>
      </c>
      <c r="V110" s="510" t="s">
        <v>163</v>
      </c>
      <c r="Y110" s="2"/>
      <c r="Z110" s="2"/>
      <c r="AA110" s="2"/>
      <c r="AB110" s="2"/>
      <c r="AC110" s="2"/>
    </row>
    <row r="111" spans="1:29" ht="10.5" hidden="1">
      <c r="A111" s="2">
        <f t="shared" si="36"/>
        <v>4</v>
      </c>
      <c r="B111" s="2" t="str">
        <f>VLOOKUP($A111,Controle!$B$4:$F$68,2,FALSE)</f>
        <v>Lagoa Formosa 1</v>
      </c>
      <c r="C111" s="2" t="str">
        <f>VLOOKUP($A111,Controle!$B$4:$F$68,3,FALSE)</f>
        <v xml:space="preserve">MORI GERACAO II </v>
      </c>
      <c r="D111" s="2" t="str">
        <f>VLOOKUP($A111,Controle!$B$4:$F$68,4,FALSE)</f>
        <v>Mori II</v>
      </c>
      <c r="E111" s="2">
        <f>VLOOKUP($A111,Controle!$B$4:$F$68,5,FALSE)</f>
        <v>1</v>
      </c>
      <c r="F111" s="3" t="str">
        <f>F76</f>
        <v>Construção - RDA Interno</v>
      </c>
      <c r="G111" s="2" t="str">
        <f>VLOOKUP($A111,Controle!$B$4:$G$68,6,FALSE)</f>
        <v>Mori</v>
      </c>
      <c r="H111" s="6" t="s">
        <v>168</v>
      </c>
      <c r="I111" s="6">
        <v>330000</v>
      </c>
      <c r="J111" s="6">
        <v>32600</v>
      </c>
      <c r="K111" s="6">
        <v>0</v>
      </c>
      <c r="L111" s="6">
        <v>0</v>
      </c>
      <c r="M111" s="6">
        <v>0</v>
      </c>
      <c r="N111" s="6">
        <v>0</v>
      </c>
      <c r="O111" s="4">
        <f t="shared" si="33"/>
        <v>362600</v>
      </c>
      <c r="P111" s="5">
        <f>SUMIFS('Desenvolvimento diário'!$H:$H,'Desenvolvimento diário'!$Q:$Q,$B111,'Desenvolvimento diário'!$P:$P,$F111,'Desenvolvimento diário'!$R:$R,"Sim")</f>
        <v>0</v>
      </c>
      <c r="Q111" s="5">
        <f>SUMIFS('Desenvolvimento diário'!$H:$H,'Desenvolvimento diário'!$Q:$Q,$B111,'Desenvolvimento diário'!$P:$P,$F111,'Desenvolvimento diário'!$R:$R,"Não")</f>
        <v>362600</v>
      </c>
      <c r="R111" s="4">
        <f t="shared" si="34"/>
        <v>362600</v>
      </c>
      <c r="S111" s="4">
        <f t="shared" si="35"/>
        <v>0</v>
      </c>
      <c r="T111" s="12">
        <f t="shared" si="25"/>
        <v>1</v>
      </c>
      <c r="Y111" s="2"/>
      <c r="Z111" s="2"/>
      <c r="AA111" s="2"/>
      <c r="AB111" s="2"/>
      <c r="AC111" s="2"/>
    </row>
    <row r="112" spans="1:29" ht="10.5" hidden="1">
      <c r="A112" s="2">
        <f t="shared" si="36"/>
        <v>4</v>
      </c>
      <c r="B112" s="2" t="str">
        <f>VLOOKUP($A112,Controle!$B$4:$F$68,2,FALSE)</f>
        <v>Lagoa Formosa 1</v>
      </c>
      <c r="C112" s="2" t="str">
        <f>VLOOKUP($A112,Controle!$B$4:$F$68,3,FALSE)</f>
        <v xml:space="preserve">MORI GERACAO II </v>
      </c>
      <c r="D112" s="2" t="str">
        <f>VLOOKUP($A112,Controle!$B$4:$F$68,4,FALSE)</f>
        <v>Mori II</v>
      </c>
      <c r="E112" s="2">
        <f>VLOOKUP($A112,Controle!$B$4:$F$68,5,FALSE)</f>
        <v>1</v>
      </c>
      <c r="F112" s="3" t="str">
        <f>F77</f>
        <v>Full EPC - Contrato</v>
      </c>
      <c r="G112" s="2" t="str">
        <f>VLOOKUP($A112,Controle!$B$4:$G$68,6,FALSE)</f>
        <v>Mori</v>
      </c>
      <c r="H112" s="6">
        <v>0</v>
      </c>
      <c r="I112" s="6">
        <v>0</v>
      </c>
      <c r="J112" s="6">
        <v>0</v>
      </c>
      <c r="K112" s="6">
        <v>0</v>
      </c>
      <c r="L112" s="6">
        <v>0</v>
      </c>
      <c r="M112" s="6">
        <v>0</v>
      </c>
      <c r="N112" s="6">
        <v>0</v>
      </c>
      <c r="O112" s="4">
        <f t="shared" si="33"/>
        <v>0</v>
      </c>
      <c r="P112" s="5">
        <f>SUMIFS('Desenvolvimento diário'!$H:$H,'Desenvolvimento diário'!$Q:$Q,$B112,'Desenvolvimento diário'!$P:$P,$F112,'Desenvolvimento diário'!$R:$R,"Sim")</f>
        <v>0</v>
      </c>
      <c r="Q112" s="5">
        <f>SUMIFS('Desenvolvimento diário'!$H:$H,'Desenvolvimento diário'!$Q:$Q,$B112,'Desenvolvimento diário'!$P:$P,$F112,'Desenvolvimento diário'!$R:$R,"Não")</f>
        <v>0</v>
      </c>
      <c r="R112" s="4">
        <f t="shared" si="34"/>
        <v>0</v>
      </c>
      <c r="S112" s="4">
        <f t="shared" si="35"/>
        <v>0</v>
      </c>
      <c r="T112" s="12">
        <f t="shared" si="25"/>
        <v>0</v>
      </c>
      <c r="Y112" s="2"/>
      <c r="Z112" s="2"/>
      <c r="AA112" s="2"/>
      <c r="AB112" s="2"/>
      <c r="AC112" s="2"/>
    </row>
    <row r="113" spans="1:29" ht="10.5" hidden="1">
      <c r="A113" s="2">
        <f t="shared" si="36"/>
        <v>4</v>
      </c>
      <c r="B113" s="2" t="str">
        <f>VLOOKUP($A113,Controle!$B$4:$F$68,2,FALSE)</f>
        <v>Lagoa Formosa 1</v>
      </c>
      <c r="C113" s="2" t="str">
        <f>VLOOKUP($A113,Controle!$B$4:$F$68,3,FALSE)</f>
        <v xml:space="preserve">MORI GERACAO II </v>
      </c>
      <c r="D113" s="2" t="str">
        <f>VLOOKUP($A113,Controle!$B$4:$F$68,4,FALSE)</f>
        <v>Mori II</v>
      </c>
      <c r="E113" s="2">
        <f>VLOOKUP($A113,Controle!$B$4:$F$68,5,FALSE)</f>
        <v>1</v>
      </c>
      <c r="F113" s="3" t="str">
        <f>F78</f>
        <v>Equipamentos Curva A - Outros (Transformadores)</v>
      </c>
      <c r="G113" s="2" t="str">
        <f>VLOOKUP($A113,Controle!$B$4:$G$68,6,FALSE)</f>
        <v>Mori</v>
      </c>
      <c r="H113" s="6">
        <v>0</v>
      </c>
      <c r="I113" s="6">
        <v>0</v>
      </c>
      <c r="J113" s="6">
        <v>0</v>
      </c>
      <c r="K113" s="6">
        <v>0</v>
      </c>
      <c r="L113" s="6">
        <v>0</v>
      </c>
      <c r="M113" s="6">
        <v>0</v>
      </c>
      <c r="N113" s="6">
        <v>0</v>
      </c>
      <c r="O113" s="4">
        <f t="shared" si="33"/>
        <v>0</v>
      </c>
      <c r="P113" s="5">
        <f>SUMIFS('Desenvolvimento diário'!$H:$H,'Desenvolvimento diário'!$Q:$Q,$B113,'Desenvolvimento diário'!$P:$P,$F113,'Desenvolvimento diário'!$R:$R,"Sim")</f>
        <v>0</v>
      </c>
      <c r="Q113" s="5">
        <f>SUMIFS('Desenvolvimento diário'!$H:$H,'Desenvolvimento diário'!$Q:$Q,$B113,'Desenvolvimento diário'!$P:$P,$F113,'Desenvolvimento diário'!$R:$R,"Não")</f>
        <v>0</v>
      </c>
      <c r="R113" s="4">
        <f t="shared" si="34"/>
        <v>0</v>
      </c>
      <c r="S113" s="4">
        <f t="shared" si="35"/>
        <v>0</v>
      </c>
      <c r="T113" s="12">
        <f t="shared" si="25"/>
        <v>0</v>
      </c>
      <c r="Y113" s="2"/>
      <c r="Z113" s="2"/>
      <c r="AA113" s="2"/>
      <c r="AB113" s="2"/>
      <c r="AC113" s="2"/>
    </row>
    <row r="114" spans="1:29" ht="10.5" hidden="1">
      <c r="A114" s="2">
        <f t="shared" si="36"/>
        <v>4</v>
      </c>
      <c r="B114" s="2" t="str">
        <f>VLOOKUP($A114,Controle!$B$4:$F$68,2,FALSE)</f>
        <v>Lagoa Formosa 1</v>
      </c>
      <c r="C114" s="2" t="str">
        <f>VLOOKUP($A114,Controle!$B$4:$F$68,3,FALSE)</f>
        <v xml:space="preserve">MORI GERACAO II </v>
      </c>
      <c r="D114" s="2" t="str">
        <f>VLOOKUP($A114,Controle!$B$4:$F$68,4,FALSE)</f>
        <v>Mori II</v>
      </c>
      <c r="E114" s="2">
        <f>VLOOKUP($A114,Controle!$B$4:$F$68,5,FALSE)</f>
        <v>1</v>
      </c>
      <c r="F114" s="3" t="str">
        <f>F79</f>
        <v>Equipamentos Curva A - Outros (Cabine + Skid)</v>
      </c>
      <c r="G114" s="2" t="str">
        <f>VLOOKUP($A114,Controle!$B$4:$G$68,6,FALSE)</f>
        <v>Mori</v>
      </c>
      <c r="H114" s="6">
        <v>0</v>
      </c>
      <c r="I114" s="6">
        <v>0</v>
      </c>
      <c r="J114" s="6">
        <v>0</v>
      </c>
      <c r="K114" s="6">
        <v>0</v>
      </c>
      <c r="L114" s="6">
        <v>0</v>
      </c>
      <c r="M114" s="6">
        <v>0</v>
      </c>
      <c r="N114" s="6">
        <v>0</v>
      </c>
      <c r="O114" s="4">
        <f t="shared" si="33"/>
        <v>0</v>
      </c>
      <c r="P114" s="5">
        <f>SUMIFS('Desenvolvimento diário'!$H:$H,'Desenvolvimento diário'!$Q:$Q,$B114,'Desenvolvimento diário'!$P:$P,$F114,'Desenvolvimento diário'!$R:$R,"Sim")</f>
        <v>0</v>
      </c>
      <c r="Q114" s="5">
        <f>SUMIFS('Desenvolvimento diário'!$H:$H,'Desenvolvimento diário'!$Q:$Q,$B114,'Desenvolvimento diário'!$P:$P,$F114,'Desenvolvimento diário'!$R:$R,"Não")</f>
        <v>0</v>
      </c>
      <c r="R114" s="4">
        <f t="shared" si="34"/>
        <v>0</v>
      </c>
      <c r="S114" s="4">
        <f t="shared" si="35"/>
        <v>0</v>
      </c>
      <c r="T114" s="12">
        <f t="shared" si="25"/>
        <v>0</v>
      </c>
      <c r="Y114" s="2"/>
      <c r="Z114" s="2"/>
      <c r="AA114" s="2"/>
      <c r="AB114" s="2"/>
      <c r="AC114" s="2"/>
    </row>
    <row r="115" spans="1:29" ht="10.5" hidden="1">
      <c r="A115" s="2">
        <f t="shared" si="36"/>
        <v>4</v>
      </c>
      <c r="B115" s="2" t="str">
        <f>VLOOKUP($A115,Controle!$B$4:$F$68,2,FALSE)</f>
        <v>Lagoa Formosa 1</v>
      </c>
      <c r="C115" s="2" t="str">
        <f>VLOOKUP($A115,Controle!$B$4:$F$68,3,FALSE)</f>
        <v xml:space="preserve">MORI GERACAO II </v>
      </c>
      <c r="D115" s="2" t="str">
        <f>VLOOKUP($A115,Controle!$B$4:$F$68,4,FALSE)</f>
        <v>Mori II</v>
      </c>
      <c r="E115" s="2">
        <f>VLOOKUP($A115,Controle!$B$4:$F$68,5,FALSE)</f>
        <v>1</v>
      </c>
      <c r="F115" s="3" t="str">
        <f>F80</f>
        <v>Equipamentos Curva A - Outros (Cabine + Skid + Transformador)</v>
      </c>
      <c r="G115" s="2" t="str">
        <f>VLOOKUP($A115,Controle!$B$4:$G$68,6,FALSE)</f>
        <v>Mori</v>
      </c>
      <c r="H115" s="6" t="s">
        <v>144</v>
      </c>
      <c r="I115" s="6">
        <v>390174.26396499999</v>
      </c>
      <c r="J115" s="6">
        <v>0</v>
      </c>
      <c r="K115" s="6">
        <v>0</v>
      </c>
      <c r="L115" s="6">
        <v>0</v>
      </c>
      <c r="M115" s="6">
        <v>0</v>
      </c>
      <c r="N115" s="6">
        <v>0</v>
      </c>
      <c r="O115" s="4">
        <f t="shared" si="33"/>
        <v>390174.26396499999</v>
      </c>
      <c r="P115" s="5">
        <f>SUMIFS('Desenvolvimento diário'!$H:$H,'Desenvolvimento diário'!$Q:$Q,$B115,'Desenvolvimento diário'!$P:$P,$F115,'Desenvolvimento diário'!$R:$R,"Sim")</f>
        <v>0</v>
      </c>
      <c r="Q115" s="5">
        <f>SUMIFS('Desenvolvimento diário'!$H:$H,'Desenvolvimento diário'!$Q:$Q,$B115,'Desenvolvimento diário'!$P:$P,$F115,'Desenvolvimento diário'!$R:$R,"Não")</f>
        <v>390174.26396499999</v>
      </c>
      <c r="R115" s="4">
        <f t="shared" si="34"/>
        <v>390174.26396499999</v>
      </c>
      <c r="S115" s="4">
        <f t="shared" si="35"/>
        <v>0</v>
      </c>
      <c r="T115" s="12">
        <f t="shared" si="25"/>
        <v>1</v>
      </c>
      <c r="Y115" s="2"/>
      <c r="Z115" s="2"/>
      <c r="AA115" s="2"/>
      <c r="AB115" s="2"/>
      <c r="AC115" s="2"/>
    </row>
    <row r="116" spans="1:29" ht="10.5" hidden="1">
      <c r="A116" s="2">
        <f t="shared" si="36"/>
        <v>4</v>
      </c>
      <c r="B116" s="2" t="str">
        <f>VLOOKUP($A116,Controle!$B$4:$F$68,2,FALSE)</f>
        <v>Lagoa Formosa 1</v>
      </c>
      <c r="C116" s="2" t="str">
        <f>VLOOKUP($A116,Controle!$B$4:$F$68,3,FALSE)</f>
        <v xml:space="preserve">MORI GERACAO II </v>
      </c>
      <c r="D116" s="2" t="str">
        <f>VLOOKUP($A116,Controle!$B$4:$F$68,4,FALSE)</f>
        <v>Mori II</v>
      </c>
      <c r="E116" s="2">
        <f>VLOOKUP($A116,Controle!$B$4:$F$68,5,FALSE)</f>
        <v>1</v>
      </c>
      <c r="F116" s="3" t="str">
        <f>F81</f>
        <v>Desenvolvimento de projeto - Projetos - (Eng° Proprietario)</v>
      </c>
      <c r="G116" s="2" t="str">
        <f>VLOOKUP($A116,Controle!$B$4:$G$68,6,FALSE)</f>
        <v>Mori</v>
      </c>
      <c r="H116" s="6" t="s">
        <v>145</v>
      </c>
      <c r="I116" s="6">
        <v>0</v>
      </c>
      <c r="J116" s="6">
        <v>0</v>
      </c>
      <c r="K116" s="6">
        <v>0</v>
      </c>
      <c r="L116" s="6">
        <v>0</v>
      </c>
      <c r="M116" s="6">
        <v>0</v>
      </c>
      <c r="N116" s="6">
        <v>0</v>
      </c>
      <c r="O116" s="4">
        <f t="shared" si="33"/>
        <v>0</v>
      </c>
      <c r="P116" s="5">
        <f>SUMIFS('Desenvolvimento diário'!$H:$H,'Desenvolvimento diário'!$Q:$Q,$B116,'Desenvolvimento diário'!$P:$P,$F116,'Desenvolvimento diário'!$R:$R,"Sim")</f>
        <v>0</v>
      </c>
      <c r="Q116" s="5">
        <f>SUMIFS('Desenvolvimento diário'!$H:$H,'Desenvolvimento diário'!$Q:$Q,$B116,'Desenvolvimento diário'!$P:$P,$F116,'Desenvolvimento diário'!$R:$R,"Não")</f>
        <v>0</v>
      </c>
      <c r="R116" s="4">
        <f t="shared" si="34"/>
        <v>0</v>
      </c>
      <c r="S116" s="4">
        <f t="shared" si="35"/>
        <v>0</v>
      </c>
      <c r="T116" s="12">
        <f t="shared" si="25"/>
        <v>0</v>
      </c>
      <c r="Y116" s="2"/>
      <c r="Z116" s="2"/>
      <c r="AA116" s="2"/>
      <c r="AB116" s="2"/>
      <c r="AC116" s="2"/>
    </row>
    <row r="117" spans="1:29" ht="10.5" hidden="1">
      <c r="A117" s="2">
        <f t="shared" si="36"/>
        <v>4</v>
      </c>
      <c r="B117" s="2" t="str">
        <f>VLOOKUP($A117,Controle!$B$4:$F$68,2,FALSE)</f>
        <v>Lagoa Formosa 1</v>
      </c>
      <c r="C117" s="2" t="str">
        <f>VLOOKUP($A117,Controle!$B$4:$F$68,3,FALSE)</f>
        <v xml:space="preserve">MORI GERACAO II </v>
      </c>
      <c r="D117" s="2" t="str">
        <f>VLOOKUP($A117,Controle!$B$4:$F$68,4,FALSE)</f>
        <v>Mori II</v>
      </c>
      <c r="E117" s="2">
        <f>VLOOKUP($A117,Controle!$B$4:$F$68,5,FALSE)</f>
        <v>1</v>
      </c>
      <c r="F117" s="3" t="str">
        <f>F82</f>
        <v>Desenvolvimento de projeto - Projetos - Executivos</v>
      </c>
      <c r="G117" s="2" t="str">
        <f>VLOOKUP($A117,Controle!$B$4:$G$68,6,FALSE)</f>
        <v>Mori</v>
      </c>
      <c r="H117" s="6" t="s">
        <v>146</v>
      </c>
      <c r="I117" s="6">
        <v>41966.7</v>
      </c>
      <c r="J117" s="6">
        <v>0</v>
      </c>
      <c r="K117" s="6">
        <v>0</v>
      </c>
      <c r="L117" s="6">
        <v>0</v>
      </c>
      <c r="M117" s="6">
        <v>0</v>
      </c>
      <c r="N117" s="6">
        <v>0</v>
      </c>
      <c r="O117" s="4">
        <f t="shared" si="33"/>
        <v>41966.7</v>
      </c>
      <c r="P117" s="5">
        <f>SUMIFS('Desenvolvimento diário'!$H:$H,'Desenvolvimento diário'!$Q:$Q,$B117,'Desenvolvimento diário'!$P:$P,$F117,'Desenvolvimento diário'!$R:$R,"Sim")</f>
        <v>0</v>
      </c>
      <c r="Q117" s="5">
        <f>SUMIFS('Desenvolvimento diário'!$H:$H,'Desenvolvimento diário'!$Q:$Q,$B117,'Desenvolvimento diário'!$P:$P,$F117,'Desenvolvimento diário'!$R:$R,"Não")</f>
        <v>41966.7</v>
      </c>
      <c r="R117" s="4">
        <f t="shared" si="34"/>
        <v>41966.7</v>
      </c>
      <c r="S117" s="4">
        <f t="shared" si="35"/>
        <v>0</v>
      </c>
      <c r="T117" s="12">
        <f t="shared" si="25"/>
        <v>1</v>
      </c>
      <c r="Y117" s="2"/>
      <c r="Z117" s="2"/>
      <c r="AA117" s="2"/>
      <c r="AB117" s="2"/>
      <c r="AC117" s="2"/>
    </row>
    <row r="118" spans="1:29" ht="10.5" hidden="1">
      <c r="A118" s="2">
        <f t="shared" si="36"/>
        <v>4</v>
      </c>
      <c r="B118" s="2" t="str">
        <f>VLOOKUP($A118,Controle!$B$4:$F$68,2,FALSE)</f>
        <v>Lagoa Formosa 1</v>
      </c>
      <c r="C118" s="2" t="str">
        <f>VLOOKUP($A118,Controle!$B$4:$F$68,3,FALSE)</f>
        <v xml:space="preserve">MORI GERACAO II </v>
      </c>
      <c r="D118" s="2" t="str">
        <f>VLOOKUP($A118,Controle!$B$4:$F$68,4,FALSE)</f>
        <v>Mori II</v>
      </c>
      <c r="E118" s="2">
        <f>VLOOKUP($A118,Controle!$B$4:$F$68,5,FALSE)</f>
        <v>1</v>
      </c>
      <c r="F118" s="3" t="str">
        <f>F83</f>
        <v>Desenvolvimento de projeto - Projetos Básica</v>
      </c>
      <c r="G118" s="2" t="str">
        <f>VLOOKUP($A118,Controle!$B$4:$G$68,6,FALSE)</f>
        <v>Mori</v>
      </c>
      <c r="H118" s="6">
        <v>0</v>
      </c>
      <c r="I118" s="6">
        <v>0</v>
      </c>
      <c r="J118" s="6">
        <v>0</v>
      </c>
      <c r="K118" s="6">
        <v>0</v>
      </c>
      <c r="L118" s="6">
        <v>0</v>
      </c>
      <c r="M118" s="6">
        <v>0</v>
      </c>
      <c r="N118" s="6">
        <v>0</v>
      </c>
      <c r="O118" s="4">
        <f t="shared" si="33"/>
        <v>0</v>
      </c>
      <c r="P118" s="5">
        <f>SUMIFS('Desenvolvimento diário'!$H:$H,'Desenvolvimento diário'!$Q:$Q,$B118,'Desenvolvimento diário'!$P:$P,$F118,'Desenvolvimento diário'!$R:$R,"Sim")</f>
        <v>0</v>
      </c>
      <c r="Q118" s="5">
        <f>SUMIFS('Desenvolvimento diário'!$H:$H,'Desenvolvimento diário'!$Q:$Q,$B118,'Desenvolvimento diário'!$P:$P,$F118,'Desenvolvimento diário'!$R:$R,"Não")</f>
        <v>0</v>
      </c>
      <c r="R118" s="4">
        <f t="shared" si="34"/>
        <v>0</v>
      </c>
      <c r="S118" s="4">
        <f t="shared" si="35"/>
        <v>0</v>
      </c>
      <c r="T118" s="12">
        <f t="shared" si="25"/>
        <v>0</v>
      </c>
      <c r="Y118" s="2"/>
      <c r="Z118" s="2"/>
      <c r="AA118" s="2"/>
      <c r="AB118" s="2"/>
      <c r="AC118" s="2"/>
    </row>
    <row r="119" spans="1:29" ht="10.5" hidden="1">
      <c r="A119" s="2">
        <f t="shared" si="36"/>
        <v>4</v>
      </c>
      <c r="B119" s="2" t="str">
        <f>VLOOKUP($A119,Controle!$B$4:$F$68,2,FALSE)</f>
        <v>Lagoa Formosa 1</v>
      </c>
      <c r="C119" s="2" t="str">
        <f>VLOOKUP($A119,Controle!$B$4:$F$68,3,FALSE)</f>
        <v xml:space="preserve">MORI GERACAO II </v>
      </c>
      <c r="D119" s="2" t="str">
        <f>VLOOKUP($A119,Controle!$B$4:$F$68,4,FALSE)</f>
        <v>Mori II</v>
      </c>
      <c r="E119" s="2">
        <f>VLOOKUP($A119,Controle!$B$4:$F$68,5,FALSE)</f>
        <v>1</v>
      </c>
      <c r="F119" s="3" t="str">
        <f>F84</f>
        <v>Desenvolvimento de projeto - Projetos Detalhada</v>
      </c>
      <c r="G119" s="2" t="str">
        <f>VLOOKUP($A119,Controle!$B$4:$G$68,6,FALSE)</f>
        <v>Mori</v>
      </c>
      <c r="H119" s="6">
        <v>0</v>
      </c>
      <c r="I119" s="6">
        <v>0</v>
      </c>
      <c r="J119" s="6">
        <v>0</v>
      </c>
      <c r="K119" s="6">
        <v>0</v>
      </c>
      <c r="L119" s="6">
        <v>0</v>
      </c>
      <c r="M119" s="6">
        <v>0</v>
      </c>
      <c r="N119" s="6">
        <v>0</v>
      </c>
      <c r="O119" s="4">
        <f t="shared" si="33"/>
        <v>0</v>
      </c>
      <c r="P119" s="5">
        <f>SUMIFS('Desenvolvimento diário'!$H:$H,'Desenvolvimento diário'!$Q:$Q,$B119,'Desenvolvimento diário'!$P:$P,$F119,'Desenvolvimento diário'!$R:$R,"Sim")</f>
        <v>0</v>
      </c>
      <c r="Q119" s="5">
        <f>SUMIFS('Desenvolvimento diário'!$H:$H,'Desenvolvimento diário'!$Q:$Q,$B119,'Desenvolvimento diário'!$P:$P,$F119,'Desenvolvimento diário'!$R:$R,"Não")</f>
        <v>0</v>
      </c>
      <c r="R119" s="4">
        <f t="shared" si="34"/>
        <v>0</v>
      </c>
      <c r="S119" s="4">
        <f t="shared" si="35"/>
        <v>0</v>
      </c>
      <c r="T119" s="12">
        <f t="shared" si="25"/>
        <v>0</v>
      </c>
      <c r="Y119" s="2"/>
      <c r="Z119" s="2"/>
      <c r="AA119" s="2"/>
      <c r="AB119" s="2"/>
      <c r="AC119" s="2"/>
    </row>
    <row r="120" spans="1:29" ht="10.5" hidden="1">
      <c r="A120" s="2">
        <f t="shared" si="36"/>
        <v>4</v>
      </c>
      <c r="B120" s="2" t="str">
        <f>VLOOKUP($A120,Controle!$B$4:$F$68,2,FALSE)</f>
        <v>Lagoa Formosa 1</v>
      </c>
      <c r="C120" s="2" t="str">
        <f>VLOOKUP($A120,Controle!$B$4:$F$68,3,FALSE)</f>
        <v xml:space="preserve">MORI GERACAO II </v>
      </c>
      <c r="D120" s="2" t="str">
        <f>VLOOKUP($A120,Controle!$B$4:$F$68,4,FALSE)</f>
        <v>Mori II</v>
      </c>
      <c r="E120" s="2">
        <f>VLOOKUP($A120,Controle!$B$4:$F$68,5,FALSE)</f>
        <v>1</v>
      </c>
      <c r="F120" s="3" t="str">
        <f>F85</f>
        <v>Desenvolvimento de projeto - Ambiental / Outros</v>
      </c>
      <c r="G120" s="2" t="str">
        <f>VLOOKUP($A120,Controle!$B$4:$G$68,6,FALSE)</f>
        <v>Mori</v>
      </c>
      <c r="H120" s="6" t="s">
        <v>148</v>
      </c>
      <c r="I120" s="6">
        <f>R120</f>
        <v>166876.85</v>
      </c>
      <c r="J120" s="6">
        <v>0</v>
      </c>
      <c r="K120" s="6">
        <v>0</v>
      </c>
      <c r="L120" s="6">
        <v>0</v>
      </c>
      <c r="M120" s="6">
        <v>0</v>
      </c>
      <c r="N120" s="6">
        <v>0</v>
      </c>
      <c r="O120" s="4">
        <f t="shared" si="33"/>
        <v>166876.85</v>
      </c>
      <c r="P120" s="5">
        <f>SUMIFS('Desenvolvimento diário'!$H:$H,'Desenvolvimento diário'!$Q:$Q,$B120,'Desenvolvimento diário'!$P:$P,$F120,'Desenvolvimento diário'!$R:$R,"Sim")</f>
        <v>0</v>
      </c>
      <c r="Q120" s="5">
        <f>SUMIFS('Desenvolvimento diário'!$H:$H,'Desenvolvimento diário'!$Q:$Q,$B120,'Desenvolvimento diário'!$P:$P,$F120,'Desenvolvimento diário'!$R:$R,"Não")</f>
        <v>166876.85</v>
      </c>
      <c r="R120" s="4">
        <f t="shared" si="34"/>
        <v>166876.85</v>
      </c>
      <c r="S120" s="4">
        <f t="shared" si="35"/>
        <v>0</v>
      </c>
      <c r="T120" s="12">
        <f t="shared" si="25"/>
        <v>1</v>
      </c>
      <c r="Y120" s="2"/>
      <c r="Z120" s="2"/>
      <c r="AA120" s="2"/>
      <c r="AB120" s="2"/>
      <c r="AC120" s="2"/>
    </row>
    <row r="121" spans="1:29" hidden="1">
      <c r="A121" s="2">
        <f t="shared" si="36"/>
        <v>4</v>
      </c>
      <c r="B121" s="2" t="str">
        <f>VLOOKUP($A121,Controle!$B$4:$F$68,2,FALSE)</f>
        <v>Lagoa Formosa 1</v>
      </c>
      <c r="C121" s="2" t="str">
        <f>VLOOKUP($A121,Controle!$B$4:$F$68,3,FALSE)</f>
        <v xml:space="preserve">MORI GERACAO II </v>
      </c>
      <c r="D121" s="2" t="str">
        <f>VLOOKUP($A121,Controle!$B$4:$F$68,4,FALSE)</f>
        <v>Mori II</v>
      </c>
      <c r="E121" s="2">
        <f>VLOOKUP($A121,Controle!$B$4:$F$68,5,FALSE)</f>
        <v>1</v>
      </c>
      <c r="F121" s="3" t="str">
        <f>F86</f>
        <v>Desenvolvimento de projeto - Coordenograma</v>
      </c>
      <c r="G121" s="2" t="str">
        <f>VLOOKUP($A121,Controle!$B$4:$G$68,6,FALSE)</f>
        <v>Mori</v>
      </c>
      <c r="H121" s="31" t="s">
        <v>149</v>
      </c>
      <c r="I121" s="31">
        <v>6206.9</v>
      </c>
      <c r="J121" s="31">
        <v>0</v>
      </c>
      <c r="K121" s="31">
        <v>0</v>
      </c>
      <c r="L121" s="6">
        <v>0</v>
      </c>
      <c r="M121" s="6">
        <v>0</v>
      </c>
      <c r="N121" s="6">
        <v>0</v>
      </c>
      <c r="O121" s="4">
        <f t="shared" si="33"/>
        <v>6206.9</v>
      </c>
      <c r="P121" s="5">
        <f>SUMIFS('Desenvolvimento diário'!$H:$H,'Desenvolvimento diário'!$Q:$Q,$B121,'Desenvolvimento diário'!$P:$P,$F121,'Desenvolvimento diário'!$R:$R,"Sim")</f>
        <v>0</v>
      </c>
      <c r="Q121" s="5">
        <f>SUMIFS('Desenvolvimento diário'!$H:$H,'Desenvolvimento diário'!$Q:$Q,$B121,'Desenvolvimento diário'!$P:$P,$F121,'Desenvolvimento diário'!$R:$R,"Não")</f>
        <v>6206.9</v>
      </c>
      <c r="R121" s="4">
        <f t="shared" si="34"/>
        <v>6206.9</v>
      </c>
      <c r="S121" s="4">
        <f t="shared" si="35"/>
        <v>0</v>
      </c>
      <c r="T121" s="12">
        <f t="shared" si="25"/>
        <v>1</v>
      </c>
      <c r="Y121" s="2"/>
      <c r="Z121" s="2"/>
      <c r="AA121" s="2"/>
      <c r="AB121" s="2"/>
      <c r="AC121" s="2"/>
    </row>
    <row r="122" spans="1:29" ht="10.5" hidden="1">
      <c r="A122" s="2">
        <f t="shared" si="36"/>
        <v>4</v>
      </c>
      <c r="B122" s="2" t="str">
        <f>VLOOKUP($A122,Controle!$B$4:$F$68,2,FALSE)</f>
        <v>Lagoa Formosa 1</v>
      </c>
      <c r="C122" s="2" t="str">
        <f>VLOOKUP($A122,Controle!$B$4:$F$68,3,FALSE)</f>
        <v xml:space="preserve">MORI GERACAO II </v>
      </c>
      <c r="D122" s="2" t="str">
        <f>VLOOKUP($A122,Controle!$B$4:$F$68,4,FALSE)</f>
        <v>Mori II</v>
      </c>
      <c r="E122" s="2">
        <f>VLOOKUP($A122,Controle!$B$4:$F$68,5,FALSE)</f>
        <v>1</v>
      </c>
      <c r="F122" s="3" t="str">
        <f>F87</f>
        <v>Sistemas de Monitoramento - Supervisório</v>
      </c>
      <c r="G122" s="2" t="str">
        <f>VLOOKUP($A122,Controle!$B$4:$G$68,6,FALSE)</f>
        <v>Mori</v>
      </c>
      <c r="H122" s="6" t="s">
        <v>150</v>
      </c>
      <c r="I122" s="6">
        <v>115880.35</v>
      </c>
      <c r="J122" s="6"/>
      <c r="K122" s="6">
        <v>0</v>
      </c>
      <c r="L122" s="6">
        <v>0</v>
      </c>
      <c r="M122" s="6">
        <v>0</v>
      </c>
      <c r="N122" s="6">
        <v>0</v>
      </c>
      <c r="O122" s="4">
        <f t="shared" si="33"/>
        <v>115880.35</v>
      </c>
      <c r="P122" s="5">
        <f>SUMIFS('Desenvolvimento diário'!$H:$H,'Desenvolvimento diário'!$Q:$Q,$B122,'Desenvolvimento diário'!$P:$P,$F122,'Desenvolvimento diário'!$R:$R,"Sim")</f>
        <v>5821.02</v>
      </c>
      <c r="Q122" s="5">
        <f>SUMIFS('Desenvolvimento diário'!$H:$H,'Desenvolvimento diário'!$Q:$Q,$B122,'Desenvolvimento diário'!$P:$P,$F122,'Desenvolvimento diário'!$R:$R,"Não")</f>
        <v>110059.32999999999</v>
      </c>
      <c r="R122" s="4">
        <f t="shared" si="34"/>
        <v>115880.34999999999</v>
      </c>
      <c r="S122" s="4">
        <f t="shared" si="35"/>
        <v>0</v>
      </c>
      <c r="T122" s="12">
        <f t="shared" si="25"/>
        <v>0.99999999999999989</v>
      </c>
      <c r="Y122" s="2"/>
      <c r="Z122" s="2"/>
      <c r="AA122" s="2"/>
      <c r="AB122" s="2"/>
      <c r="AC122" s="2"/>
    </row>
    <row r="123" spans="1:29" ht="10.5" hidden="1">
      <c r="A123" s="2">
        <f t="shared" si="36"/>
        <v>4</v>
      </c>
      <c r="B123" s="2" t="str">
        <f>VLOOKUP($A123,Controle!$B$4:$F$68,2,FALSE)</f>
        <v>Lagoa Formosa 1</v>
      </c>
      <c r="C123" s="2" t="str">
        <f>VLOOKUP($A123,Controle!$B$4:$F$68,3,FALSE)</f>
        <v xml:space="preserve">MORI GERACAO II </v>
      </c>
      <c r="D123" s="2" t="str">
        <f>VLOOKUP($A123,Controle!$B$4:$F$68,4,FALSE)</f>
        <v>Mori II</v>
      </c>
      <c r="E123" s="2">
        <f>VLOOKUP($A123,Controle!$B$4:$F$68,5,FALSE)</f>
        <v>1</v>
      </c>
      <c r="F123" s="3" t="str">
        <f>F88</f>
        <v>Sistemas de Monitoramento - Estações Solarimétricas</v>
      </c>
      <c r="G123" s="2" t="str">
        <f>VLOOKUP($A123,Controle!$B$4:$G$68,6,FALSE)</f>
        <v>Mori</v>
      </c>
      <c r="H123" s="6" t="s">
        <v>151</v>
      </c>
      <c r="I123" s="6">
        <v>48276.516000000003</v>
      </c>
      <c r="J123" s="6">
        <v>0</v>
      </c>
      <c r="K123" s="6">
        <v>0</v>
      </c>
      <c r="L123" s="6">
        <v>0</v>
      </c>
      <c r="M123" s="6">
        <v>0</v>
      </c>
      <c r="N123" s="6">
        <v>0</v>
      </c>
      <c r="O123" s="4">
        <f t="shared" si="33"/>
        <v>48276.516000000003</v>
      </c>
      <c r="P123" s="5">
        <f>SUMIFS('Desenvolvimento diário'!$H:$H,'Desenvolvimento diário'!$Q:$Q,$B123,'Desenvolvimento diário'!$P:$P,$F123,'Desenvolvimento diário'!$R:$R,"Sim")</f>
        <v>0</v>
      </c>
      <c r="Q123" s="5">
        <f>SUMIFS('Desenvolvimento diário'!$H:$H,'Desenvolvimento diário'!$Q:$Q,$B123,'Desenvolvimento diário'!$P:$P,$F123,'Desenvolvimento diário'!$R:$R,"Não")</f>
        <v>48276.516000000003</v>
      </c>
      <c r="R123" s="4">
        <f t="shared" si="34"/>
        <v>48276.516000000003</v>
      </c>
      <c r="S123" s="4">
        <f t="shared" si="35"/>
        <v>0</v>
      </c>
      <c r="T123" s="12">
        <f t="shared" si="25"/>
        <v>1</v>
      </c>
      <c r="Y123" s="2"/>
      <c r="Z123" s="2"/>
      <c r="AA123" s="2"/>
      <c r="AB123" s="2"/>
      <c r="AC123" s="2"/>
    </row>
    <row r="124" spans="1:29" hidden="1">
      <c r="A124" s="2">
        <f t="shared" si="36"/>
        <v>4</v>
      </c>
      <c r="B124" s="2" t="str">
        <f>VLOOKUP($A124,Controle!$B$4:$F$68,2,FALSE)</f>
        <v>Lagoa Formosa 1</v>
      </c>
      <c r="C124" s="2" t="str">
        <f>VLOOKUP($A124,Controle!$B$4:$F$68,3,FALSE)</f>
        <v xml:space="preserve">MORI GERACAO II </v>
      </c>
      <c r="D124" s="2" t="str">
        <f>VLOOKUP($A124,Controle!$B$4:$F$68,4,FALSE)</f>
        <v>Mori II</v>
      </c>
      <c r="E124" s="2">
        <f>VLOOKUP($A124,Controle!$B$4:$F$68,5,FALSE)</f>
        <v>1</v>
      </c>
      <c r="F124" s="3" t="str">
        <f>F89</f>
        <v>Sistemas de Monitoramento - CFTV</v>
      </c>
      <c r="G124" s="2" t="str">
        <f>VLOOKUP($A124,Controle!$B$4:$G$68,6,FALSE)</f>
        <v>Mori</v>
      </c>
      <c r="H124" s="31" t="s">
        <v>152</v>
      </c>
      <c r="I124" s="6">
        <v>207717.46</v>
      </c>
      <c r="J124" s="28">
        <v>3153.68</v>
      </c>
      <c r="K124" s="6">
        <v>0</v>
      </c>
      <c r="L124" s="6">
        <v>0</v>
      </c>
      <c r="M124" s="6">
        <v>0</v>
      </c>
      <c r="N124" s="6">
        <v>0</v>
      </c>
      <c r="O124" s="4">
        <f t="shared" si="33"/>
        <v>210871.13999999998</v>
      </c>
      <c r="P124" s="5">
        <f>SUMIFS('Desenvolvimento diário'!$H:$H,'Desenvolvimento diário'!$Q:$Q,$B124,'Desenvolvimento diário'!$P:$P,$F124,'Desenvolvimento diário'!$R:$R,"Sim")</f>
        <v>17578.09</v>
      </c>
      <c r="Q124" s="5">
        <f>SUMIFS('Desenvolvimento diário'!$H:$H,'Desenvolvimento diário'!$Q:$Q,$B124,'Desenvolvimento diário'!$P:$P,$F124,'Desenvolvimento diário'!$R:$R,"Não")</f>
        <v>193293.05</v>
      </c>
      <c r="R124" s="4">
        <f t="shared" si="34"/>
        <v>210871.13999999998</v>
      </c>
      <c r="S124" s="4">
        <f t="shared" si="35"/>
        <v>0</v>
      </c>
      <c r="T124" s="12">
        <f t="shared" si="25"/>
        <v>1</v>
      </c>
      <c r="Y124" s="2"/>
      <c r="Z124" s="2"/>
      <c r="AA124" s="2"/>
      <c r="AB124" s="2"/>
      <c r="AC124" s="2"/>
    </row>
    <row r="125" spans="1:29" ht="10.5" hidden="1">
      <c r="A125" s="2">
        <f t="shared" si="36"/>
        <v>4</v>
      </c>
      <c r="B125" s="2" t="str">
        <f>VLOOKUP($A125,Controle!$B$4:$F$68,2,FALSE)</f>
        <v>Lagoa Formosa 1</v>
      </c>
      <c r="C125" s="2" t="str">
        <f>VLOOKUP($A125,Controle!$B$4:$F$68,3,FALSE)</f>
        <v xml:space="preserve">MORI GERACAO II </v>
      </c>
      <c r="D125" s="2" t="str">
        <f>VLOOKUP($A125,Controle!$B$4:$F$68,4,FALSE)</f>
        <v>Mori II</v>
      </c>
      <c r="E125" s="2">
        <f>VLOOKUP($A125,Controle!$B$4:$F$68,5,FALSE)</f>
        <v>1</v>
      </c>
      <c r="F125" s="3" t="str">
        <f>F90</f>
        <v>Serviços Auxiliares - Drenagem</v>
      </c>
      <c r="G125" s="2" t="str">
        <f>VLOOKUP($A125,Controle!$B$4:$G$68,6,FALSE)</f>
        <v>Mori</v>
      </c>
      <c r="H125" s="6" t="s">
        <v>179</v>
      </c>
      <c r="I125" s="6">
        <v>267445.81</v>
      </c>
      <c r="J125" s="6">
        <v>62590</v>
      </c>
      <c r="K125" s="6">
        <v>0</v>
      </c>
      <c r="L125" s="6">
        <v>0</v>
      </c>
      <c r="M125" s="6">
        <v>0</v>
      </c>
      <c r="N125" s="6">
        <v>0</v>
      </c>
      <c r="O125" s="4">
        <f t="shared" si="33"/>
        <v>330035.81</v>
      </c>
      <c r="P125" s="5">
        <f>SUMIFS('Desenvolvimento diário'!$H:$H,'Desenvolvimento diário'!$Q:$Q,$B125,'Desenvolvimento diário'!$P:$P,$F125,'Desenvolvimento diário'!$R:$R,"Sim")</f>
        <v>0</v>
      </c>
      <c r="Q125" s="5">
        <f>SUMIFS('Desenvolvimento diário'!$H:$H,'Desenvolvimento diário'!$Q:$Q,$B125,'Desenvolvimento diário'!$P:$P,$F125,'Desenvolvimento diário'!$R:$R,"Não")</f>
        <v>330035.81</v>
      </c>
      <c r="R125" s="4">
        <f t="shared" si="34"/>
        <v>330035.81</v>
      </c>
      <c r="S125" s="4">
        <f t="shared" si="35"/>
        <v>0</v>
      </c>
      <c r="T125" s="12">
        <f t="shared" si="25"/>
        <v>1</v>
      </c>
      <c r="Y125" s="2"/>
      <c r="Z125" s="2"/>
      <c r="AA125" s="2"/>
      <c r="AB125" s="2"/>
      <c r="AC125" s="2"/>
    </row>
    <row r="126" spans="1:29" ht="10.5" hidden="1">
      <c r="A126" s="2">
        <f t="shared" si="36"/>
        <v>4</v>
      </c>
      <c r="B126" s="2" t="str">
        <f>VLOOKUP($A126,Controle!$B$4:$F$68,2,FALSE)</f>
        <v>Lagoa Formosa 1</v>
      </c>
      <c r="C126" s="2" t="str">
        <f>VLOOKUP($A126,Controle!$B$4:$F$68,3,FALSE)</f>
        <v xml:space="preserve">MORI GERACAO II </v>
      </c>
      <c r="D126" s="2" t="str">
        <f>VLOOKUP($A126,Controle!$B$4:$F$68,4,FALSE)</f>
        <v>Mori II</v>
      </c>
      <c r="E126" s="2">
        <f>VLOOKUP($A126,Controle!$B$4:$F$68,5,FALSE)</f>
        <v>1</v>
      </c>
      <c r="F126" s="3" t="str">
        <f>F91</f>
        <v>Serviços Auxiliares - Terraplanagem</v>
      </c>
      <c r="G126" s="2" t="str">
        <f>VLOOKUP($A126,Controle!$B$4:$G$68,6,FALSE)</f>
        <v>Mori</v>
      </c>
      <c r="H126" s="28" t="s">
        <v>180</v>
      </c>
      <c r="I126" s="6">
        <v>0</v>
      </c>
      <c r="J126" s="6">
        <v>0</v>
      </c>
      <c r="K126" s="6">
        <v>0</v>
      </c>
      <c r="L126" s="6">
        <v>0</v>
      </c>
      <c r="M126" s="6">
        <v>0</v>
      </c>
      <c r="N126" s="6">
        <v>0</v>
      </c>
      <c r="O126" s="4">
        <f t="shared" si="33"/>
        <v>0</v>
      </c>
      <c r="P126" s="5">
        <f>SUMIFS('Desenvolvimento diário'!$H:$H,'Desenvolvimento diário'!$Q:$Q,$B126,'Desenvolvimento diário'!$P:$P,$F126,'Desenvolvimento diário'!$R:$R,"Sim")</f>
        <v>0</v>
      </c>
      <c r="Q126" s="5">
        <f>SUMIFS('Desenvolvimento diário'!$H:$H,'Desenvolvimento diário'!$Q:$Q,$B126,'Desenvolvimento diário'!$P:$P,$F126,'Desenvolvimento diário'!$R:$R,"Não")</f>
        <v>0</v>
      </c>
      <c r="R126" s="4">
        <f t="shared" si="34"/>
        <v>0</v>
      </c>
      <c r="S126" s="4">
        <f t="shared" si="35"/>
        <v>0</v>
      </c>
      <c r="T126" s="12">
        <f t="shared" si="25"/>
        <v>0</v>
      </c>
      <c r="Y126" s="2"/>
      <c r="Z126" s="2"/>
      <c r="AA126" s="2"/>
      <c r="AB126" s="2"/>
      <c r="AC126" s="2"/>
    </row>
    <row r="127" spans="1:29" ht="10.5" hidden="1">
      <c r="A127" s="2">
        <f t="shared" si="36"/>
        <v>4</v>
      </c>
      <c r="B127" s="2" t="str">
        <f>VLOOKUP($A127,Controle!$B$4:$F$68,2,FALSE)</f>
        <v>Lagoa Formosa 1</v>
      </c>
      <c r="C127" s="2" t="str">
        <f>VLOOKUP($A127,Controle!$B$4:$F$68,3,FALSE)</f>
        <v xml:space="preserve">MORI GERACAO II </v>
      </c>
      <c r="D127" s="2" t="str">
        <f>VLOOKUP($A127,Controle!$B$4:$F$68,4,FALSE)</f>
        <v>Mori II</v>
      </c>
      <c r="E127" s="2">
        <f>VLOOKUP($A127,Controle!$B$4:$F$68,5,FALSE)</f>
        <v>1</v>
      </c>
      <c r="F127" s="3" t="str">
        <f>F92</f>
        <v>Serviços Auxiliares - Supressão Vegetal</v>
      </c>
      <c r="G127" s="2" t="str">
        <f>VLOOKUP($A127,Controle!$B$4:$G$68,6,FALSE)</f>
        <v>Mori</v>
      </c>
      <c r="H127" s="6">
        <v>0</v>
      </c>
      <c r="I127" s="6">
        <v>0</v>
      </c>
      <c r="J127" s="6">
        <v>0</v>
      </c>
      <c r="K127" s="6">
        <v>0</v>
      </c>
      <c r="L127" s="6">
        <v>0</v>
      </c>
      <c r="M127" s="6">
        <v>0</v>
      </c>
      <c r="N127" s="6">
        <v>0</v>
      </c>
      <c r="O127" s="4">
        <f t="shared" si="33"/>
        <v>0</v>
      </c>
      <c r="P127" s="5">
        <f>SUMIFS('Desenvolvimento diário'!$H:$H,'Desenvolvimento diário'!$Q:$Q,$B127,'Desenvolvimento diário'!$P:$P,$F127,'Desenvolvimento diário'!$R:$R,"Sim")</f>
        <v>0</v>
      </c>
      <c r="Q127" s="5">
        <f>SUMIFS('Desenvolvimento diário'!$H:$H,'Desenvolvimento diário'!$Q:$Q,$B127,'Desenvolvimento diário'!$P:$P,$F127,'Desenvolvimento diário'!$R:$R,"Não")</f>
        <v>0</v>
      </c>
      <c r="R127" s="4">
        <f t="shared" si="34"/>
        <v>0</v>
      </c>
      <c r="S127" s="4">
        <f t="shared" si="35"/>
        <v>0</v>
      </c>
      <c r="T127" s="12">
        <f t="shared" si="25"/>
        <v>0</v>
      </c>
      <c r="Y127" s="2"/>
      <c r="Z127" s="2"/>
      <c r="AA127" s="2"/>
      <c r="AB127" s="2"/>
      <c r="AC127" s="2"/>
    </row>
    <row r="128" spans="1:29" ht="10.5" hidden="1">
      <c r="A128" s="2">
        <f t="shared" si="36"/>
        <v>4</v>
      </c>
      <c r="B128" s="2" t="str">
        <f>VLOOKUP($A128,Controle!$B$4:$F$68,2,FALSE)</f>
        <v>Lagoa Formosa 1</v>
      </c>
      <c r="C128" s="2" t="str">
        <f>VLOOKUP($A128,Controle!$B$4:$F$68,3,FALSE)</f>
        <v xml:space="preserve">MORI GERACAO II </v>
      </c>
      <c r="D128" s="2" t="str">
        <f>VLOOKUP($A128,Controle!$B$4:$F$68,4,FALSE)</f>
        <v>Mori II</v>
      </c>
      <c r="E128" s="2">
        <f>VLOOKUP($A128,Controle!$B$4:$F$68,5,FALSE)</f>
        <v>1</v>
      </c>
      <c r="F128" s="3" t="str">
        <f>F93</f>
        <v>RDR-Rede de Distribuição Rural</v>
      </c>
      <c r="G128" s="2" t="str">
        <f>VLOOKUP($A128,Controle!$B$4:$G$68,6,FALSE)</f>
        <v>Mori</v>
      </c>
      <c r="H128" s="6">
        <v>0</v>
      </c>
      <c r="I128" s="6">
        <v>0</v>
      </c>
      <c r="J128" s="6">
        <v>0</v>
      </c>
      <c r="K128" s="6">
        <v>0</v>
      </c>
      <c r="L128" s="6">
        <v>0</v>
      </c>
      <c r="M128" s="6">
        <v>0</v>
      </c>
      <c r="N128" s="6">
        <v>0</v>
      </c>
      <c r="O128" s="4">
        <f t="shared" si="33"/>
        <v>0</v>
      </c>
      <c r="P128" s="5">
        <f>SUMIFS('Desenvolvimento diário'!$H:$H,'Desenvolvimento diário'!$Q:$Q,$B128,'Desenvolvimento diário'!$P:$P,$F128,'Desenvolvimento diário'!$R:$R,"Sim")</f>
        <v>0</v>
      </c>
      <c r="Q128" s="5">
        <f>SUMIFS('Desenvolvimento diário'!$H:$H,'Desenvolvimento diário'!$Q:$Q,$B128,'Desenvolvimento diário'!$P:$P,$F128,'Desenvolvimento diário'!$R:$R,"Não")</f>
        <v>0</v>
      </c>
      <c r="R128" s="4">
        <f t="shared" si="34"/>
        <v>0</v>
      </c>
      <c r="S128" s="4">
        <f t="shared" si="35"/>
        <v>0</v>
      </c>
      <c r="T128" s="12">
        <f t="shared" si="25"/>
        <v>0</v>
      </c>
      <c r="Y128" s="2"/>
      <c r="Z128" s="2"/>
      <c r="AA128" s="2"/>
      <c r="AB128" s="2"/>
      <c r="AC128" s="2"/>
    </row>
    <row r="129" spans="1:29" ht="10.5" hidden="1">
      <c r="A129" s="2">
        <f t="shared" si="36"/>
        <v>4</v>
      </c>
      <c r="B129" s="2" t="str">
        <f>VLOOKUP($A129,Controle!$B$4:$F$68,2,FALSE)</f>
        <v>Lagoa Formosa 1</v>
      </c>
      <c r="C129" s="2" t="str">
        <f>VLOOKUP($A129,Controle!$B$4:$F$68,3,FALSE)</f>
        <v xml:space="preserve">MORI GERACAO II </v>
      </c>
      <c r="D129" s="2" t="str">
        <f>VLOOKUP($A129,Controle!$B$4:$F$68,4,FALSE)</f>
        <v>Mori II</v>
      </c>
      <c r="E129" s="2">
        <f>VLOOKUP($A129,Controle!$B$4:$F$68,5,FALSE)</f>
        <v>1</v>
      </c>
      <c r="F129" s="3" t="str">
        <f>F94</f>
        <v>Escopo COMERC</v>
      </c>
      <c r="G129" s="2" t="str">
        <f>VLOOKUP($A129,Controle!$B$4:$G$68,6,FALSE)</f>
        <v>Mori</v>
      </c>
      <c r="H129" s="6">
        <v>0</v>
      </c>
      <c r="I129" s="6">
        <v>175352.46</v>
      </c>
      <c r="J129" s="29">
        <v>26000</v>
      </c>
      <c r="K129" s="29"/>
      <c r="L129" s="6">
        <v>0</v>
      </c>
      <c r="M129" s="6">
        <v>0</v>
      </c>
      <c r="N129" s="6">
        <v>0</v>
      </c>
      <c r="O129" s="4">
        <f t="shared" si="33"/>
        <v>201352.46</v>
      </c>
      <c r="P129" s="5">
        <f>SUMIFS('Desenvolvimento diário'!$H:$H,'Desenvolvimento diário'!$Q:$Q,$B129,'Desenvolvimento diário'!$P:$P,$F129,'Desenvolvimento diário'!$R:$R,"Sim")</f>
        <v>2900</v>
      </c>
      <c r="Q129" s="5">
        <f>SUMIFS('Desenvolvimento diário'!$H:$H,'Desenvolvimento diário'!$Q:$Q,$B129,'Desenvolvimento diário'!$P:$P,$F129,'Desenvolvimento diário'!$R:$R,"Não")</f>
        <v>173451.24</v>
      </c>
      <c r="R129" s="4">
        <f t="shared" si="34"/>
        <v>176351.24</v>
      </c>
      <c r="S129" s="1010">
        <f t="shared" si="35"/>
        <v>25001.22</v>
      </c>
      <c r="T129" s="12">
        <f t="shared" si="25"/>
        <v>0.87583355077956337</v>
      </c>
      <c r="U129" s="1011" t="s">
        <v>166</v>
      </c>
      <c r="V129" s="1011" t="s">
        <v>167</v>
      </c>
      <c r="Y129" s="2"/>
      <c r="Z129" s="2"/>
      <c r="AA129" s="2"/>
      <c r="AB129" s="2"/>
      <c r="AC129" s="2"/>
    </row>
    <row r="130" spans="1:29" ht="10.5" hidden="1">
      <c r="A130" s="2">
        <f t="shared" si="36"/>
        <v>4</v>
      </c>
      <c r="B130" s="2" t="str">
        <f>VLOOKUP($A130,Controle!$B$4:$F$68,2,FALSE)</f>
        <v>Lagoa Formosa 1</v>
      </c>
      <c r="C130" s="2" t="str">
        <f>VLOOKUP($A130,Controle!$B$4:$F$68,3,FALSE)</f>
        <v xml:space="preserve">MORI GERACAO II </v>
      </c>
      <c r="D130" s="2" t="str">
        <f>VLOOKUP($A130,Controle!$B$4:$F$68,4,FALSE)</f>
        <v>Mori II</v>
      </c>
      <c r="E130" s="2">
        <f>VLOOKUP($A130,Controle!$B$4:$F$68,5,FALSE)</f>
        <v>1</v>
      </c>
      <c r="F130" s="3" t="str">
        <f>F95</f>
        <v>Escopo COMERC - Segurança</v>
      </c>
      <c r="G130" s="2" t="str">
        <f>VLOOKUP($A130,Controle!$B$4:$G$68,6,FALSE)</f>
        <v>Mori</v>
      </c>
      <c r="H130" s="6">
        <v>0</v>
      </c>
      <c r="I130" s="6">
        <f t="shared" ref="I129:I130" si="37">R130</f>
        <v>262946.84000000003</v>
      </c>
      <c r="J130" s="6">
        <v>0</v>
      </c>
      <c r="K130" s="6">
        <v>0</v>
      </c>
      <c r="L130" s="6">
        <v>0</v>
      </c>
      <c r="M130" s="6">
        <v>0</v>
      </c>
      <c r="N130" s="6">
        <v>0</v>
      </c>
      <c r="O130" s="4">
        <f t="shared" si="33"/>
        <v>262946.84000000003</v>
      </c>
      <c r="P130" s="5">
        <f>SUMIFS('Desenvolvimento diário'!$H:$H,'Desenvolvimento diário'!$Q:$Q,$B130,'Desenvolvimento diário'!$P:$P,$F130,'Desenvolvimento diário'!$R:$R,"Sim")</f>
        <v>0</v>
      </c>
      <c r="Q130" s="5">
        <f>SUMIFS('Desenvolvimento diário'!$H:$H,'Desenvolvimento diário'!$Q:$Q,$B130,'Desenvolvimento diário'!$P:$P,$F130,'Desenvolvimento diário'!$R:$R,"Não")</f>
        <v>262946.84000000003</v>
      </c>
      <c r="R130" s="4">
        <f t="shared" si="34"/>
        <v>262946.84000000003</v>
      </c>
      <c r="S130" s="4">
        <f t="shared" si="35"/>
        <v>0</v>
      </c>
      <c r="T130" s="12">
        <f t="shared" si="25"/>
        <v>1</v>
      </c>
      <c r="Y130" s="2"/>
      <c r="Z130" s="2"/>
      <c r="AA130" s="2"/>
      <c r="AB130" s="2"/>
      <c r="AC130" s="2"/>
    </row>
    <row r="131" spans="1:29" ht="10.5" hidden="1">
      <c r="A131" s="2">
        <f t="shared" si="36"/>
        <v>4</v>
      </c>
      <c r="B131" s="2" t="str">
        <f>VLOOKUP($A131,Controle!$B$4:$F$68,2,FALSE)</f>
        <v>Lagoa Formosa 1</v>
      </c>
      <c r="C131" s="2" t="str">
        <f>VLOOKUP($A131,Controle!$B$4:$F$68,3,FALSE)</f>
        <v xml:space="preserve">MORI GERACAO II </v>
      </c>
      <c r="D131" s="2" t="str">
        <f>VLOOKUP($A131,Controle!$B$4:$F$68,4,FALSE)</f>
        <v>Mori II</v>
      </c>
      <c r="E131" s="2">
        <f>VLOOKUP($A131,Controle!$B$4:$F$68,5,FALSE)</f>
        <v>1</v>
      </c>
      <c r="F131" s="3" t="str">
        <f>F96</f>
        <v>Conexão MT - Obras Transferencia</v>
      </c>
      <c r="G131" s="2" t="str">
        <f>VLOOKUP($A131,Controle!$B$4:$G$68,6,FALSE)</f>
        <v>Mori</v>
      </c>
      <c r="H131" s="6">
        <v>0</v>
      </c>
      <c r="I131" s="6">
        <v>0</v>
      </c>
      <c r="J131" s="6">
        <v>0</v>
      </c>
      <c r="K131" s="6">
        <v>0</v>
      </c>
      <c r="L131" s="6">
        <v>0</v>
      </c>
      <c r="M131" s="6">
        <v>0</v>
      </c>
      <c r="N131" s="6">
        <v>0</v>
      </c>
      <c r="O131" s="4">
        <f t="shared" si="33"/>
        <v>0</v>
      </c>
      <c r="P131" s="5">
        <f>SUMIFS('Desenvolvimento diário'!$H:$H,'Desenvolvimento diário'!$Q:$Q,$B131,'Desenvolvimento diário'!$P:$P,$F131,'Desenvolvimento diário'!$R:$R,"Sim")</f>
        <v>0</v>
      </c>
      <c r="Q131" s="5">
        <f>SUMIFS('Desenvolvimento diário'!$H:$H,'Desenvolvimento diário'!$Q:$Q,$B131,'Desenvolvimento diário'!$P:$P,$F131,'Desenvolvimento diário'!$R:$R,"Não")</f>
        <v>0</v>
      </c>
      <c r="R131" s="4">
        <f t="shared" si="34"/>
        <v>0</v>
      </c>
      <c r="S131" s="4">
        <f t="shared" si="35"/>
        <v>0</v>
      </c>
      <c r="T131" s="12">
        <f t="shared" si="25"/>
        <v>0</v>
      </c>
      <c r="Y131" s="2"/>
      <c r="Z131" s="2"/>
      <c r="AA131" s="2"/>
      <c r="AB131" s="2"/>
      <c r="AC131" s="2"/>
    </row>
    <row r="132" spans="1:29" ht="10.5" hidden="1">
      <c r="A132" s="2">
        <f t="shared" si="36"/>
        <v>4</v>
      </c>
      <c r="B132" s="2" t="str">
        <f>VLOOKUP($A132,Controle!$B$4:$F$68,2,FALSE)</f>
        <v>Lagoa Formosa 1</v>
      </c>
      <c r="C132" s="2" t="str">
        <f>VLOOKUP($A132,Controle!$B$4:$F$68,3,FALSE)</f>
        <v xml:space="preserve">MORI GERACAO II </v>
      </c>
      <c r="D132" s="2" t="str">
        <f>VLOOKUP($A132,Controle!$B$4:$F$68,4,FALSE)</f>
        <v>Mori II</v>
      </c>
      <c r="E132" s="2">
        <f>VLOOKUP($A132,Controle!$B$4:$F$68,5,FALSE)</f>
        <v>1</v>
      </c>
      <c r="F132" s="3" t="str">
        <f>F97</f>
        <v>Bases de Contaniers</v>
      </c>
      <c r="G132" s="2" t="str">
        <f>VLOOKUP($A132,Controle!$B$4:$G$68,6,FALSE)</f>
        <v>Mori</v>
      </c>
      <c r="H132" s="6" t="s">
        <v>181</v>
      </c>
      <c r="I132" s="6">
        <v>295409.38</v>
      </c>
      <c r="J132" s="6">
        <v>0</v>
      </c>
      <c r="K132" s="6">
        <v>0</v>
      </c>
      <c r="L132" s="6">
        <v>0</v>
      </c>
      <c r="M132" s="6">
        <v>0</v>
      </c>
      <c r="N132" s="6">
        <v>0</v>
      </c>
      <c r="O132" s="4">
        <f t="shared" si="33"/>
        <v>295409.38</v>
      </c>
      <c r="P132" s="5">
        <f>SUMIFS('Desenvolvimento diário'!$H:$H,'Desenvolvimento diário'!$Q:$Q,$B132,'Desenvolvimento diário'!$P:$P,$F132,'Desenvolvimento diário'!$R:$R,"Sim")</f>
        <v>195199.64</v>
      </c>
      <c r="Q132" s="5">
        <f>SUMIFS('Desenvolvimento diário'!$H:$H,'Desenvolvimento diário'!$Q:$Q,$B132,'Desenvolvimento diário'!$P:$P,$F132,'Desenvolvimento diário'!$R:$R,"Não")</f>
        <v>100209.74</v>
      </c>
      <c r="R132" s="4">
        <f t="shared" si="34"/>
        <v>295409.38</v>
      </c>
      <c r="S132" s="4">
        <f t="shared" si="35"/>
        <v>0</v>
      </c>
      <c r="T132" s="12">
        <f t="shared" si="25"/>
        <v>1</v>
      </c>
      <c r="Y132" s="2"/>
      <c r="Z132" s="2"/>
      <c r="AA132" s="2"/>
      <c r="AB132" s="2"/>
      <c r="AC132" s="2"/>
    </row>
    <row r="133" spans="1:29" ht="10.5" hidden="1">
      <c r="A133" s="2">
        <f t="shared" si="36"/>
        <v>4</v>
      </c>
      <c r="B133" s="2" t="str">
        <f>VLOOKUP($A133,Controle!$B$4:$F$68,2,FALSE)</f>
        <v>Lagoa Formosa 1</v>
      </c>
      <c r="C133" s="2" t="str">
        <f>VLOOKUP($A133,Controle!$B$4:$F$68,3,FALSE)</f>
        <v xml:space="preserve">MORI GERACAO II </v>
      </c>
      <c r="D133" s="2" t="str">
        <f>VLOOKUP($A133,Controle!$B$4:$F$68,4,FALSE)</f>
        <v>Mori II</v>
      </c>
      <c r="E133" s="2">
        <f>VLOOKUP($A133,Controle!$B$4:$F$68,5,FALSE)</f>
        <v>1</v>
      </c>
      <c r="F133" s="3" t="str">
        <f>F98</f>
        <v>Construção - Serviços de Construção - Ase Engenharia</v>
      </c>
      <c r="G133" s="2" t="str">
        <f>VLOOKUP($A133,Controle!$B$4:$G$68,6,FALSE)</f>
        <v>Mori</v>
      </c>
      <c r="H133" s="6">
        <v>0</v>
      </c>
      <c r="I133" s="6">
        <v>0</v>
      </c>
      <c r="J133" s="6">
        <v>0</v>
      </c>
      <c r="K133" s="6">
        <v>0</v>
      </c>
      <c r="L133" s="6">
        <v>0</v>
      </c>
      <c r="M133" s="6">
        <v>0</v>
      </c>
      <c r="N133" s="6">
        <v>0</v>
      </c>
      <c r="O133" s="4">
        <f t="shared" si="33"/>
        <v>0</v>
      </c>
      <c r="P133" s="5">
        <f>SUMIFS('Desenvolvimento diário'!$H:$H,'Desenvolvimento diário'!$Q:$Q,$B133,'Desenvolvimento diário'!$P:$P,$F133,'Desenvolvimento diário'!$R:$R,"Sim")</f>
        <v>0</v>
      </c>
      <c r="Q133" s="5">
        <f>SUMIFS('Desenvolvimento diário'!$H:$H,'Desenvolvimento diário'!$Q:$Q,$B133,'Desenvolvimento diário'!$P:$P,$F133,'Desenvolvimento diário'!$R:$R,"Não")</f>
        <v>0</v>
      </c>
      <c r="R133" s="4">
        <f t="shared" si="34"/>
        <v>0</v>
      </c>
      <c r="S133" s="4">
        <f t="shared" si="35"/>
        <v>0</v>
      </c>
      <c r="T133" s="12">
        <f t="shared" si="25"/>
        <v>0</v>
      </c>
      <c r="Y133" s="2"/>
      <c r="Z133" s="2"/>
      <c r="AA133" s="2"/>
      <c r="AB133" s="2"/>
      <c r="AC133" s="2"/>
    </row>
    <row r="134" spans="1:29" ht="10.5" hidden="1">
      <c r="A134" s="2">
        <f t="shared" si="36"/>
        <v>4</v>
      </c>
      <c r="B134" s="2" t="str">
        <f>VLOOKUP($A134,Controle!$B$4:$F$68,2,FALSE)</f>
        <v>Lagoa Formosa 1</v>
      </c>
      <c r="C134" s="2" t="str">
        <f>VLOOKUP($A134,Controle!$B$4:$F$68,3,FALSE)</f>
        <v xml:space="preserve">MORI GERACAO II </v>
      </c>
      <c r="D134" s="2" t="str">
        <f>VLOOKUP($A134,Controle!$B$4:$F$68,4,FALSE)</f>
        <v>Mori II</v>
      </c>
      <c r="E134" s="2">
        <f>VLOOKUP($A134,Controle!$B$4:$F$68,5,FALSE)</f>
        <v>1</v>
      </c>
      <c r="F134" s="3" t="str">
        <f>F99</f>
        <v>Full EPC - Contrato Sobressalentes</v>
      </c>
      <c r="G134" s="2" t="str">
        <f>VLOOKUP($A134,Controle!$B$4:$G$68,6,FALSE)</f>
        <v>Mori</v>
      </c>
      <c r="H134" s="6">
        <v>0</v>
      </c>
      <c r="I134" s="6">
        <v>0</v>
      </c>
      <c r="J134" s="6">
        <v>0</v>
      </c>
      <c r="K134" s="6">
        <v>0</v>
      </c>
      <c r="L134" s="6">
        <v>0</v>
      </c>
      <c r="M134" s="6">
        <v>0</v>
      </c>
      <c r="N134" s="6">
        <v>0</v>
      </c>
      <c r="O134" s="4">
        <f t="shared" si="33"/>
        <v>0</v>
      </c>
      <c r="P134" s="5">
        <f>SUMIFS('Desenvolvimento diário'!$H:$H,'Desenvolvimento diário'!$Q:$Q,$B134,'Desenvolvimento diário'!$P:$P,$F134,'Desenvolvimento diário'!$R:$R,"Sim")</f>
        <v>0</v>
      </c>
      <c r="Q134" s="5">
        <f>SUMIFS('Desenvolvimento diário'!$H:$H,'Desenvolvimento diário'!$Q:$Q,$B134,'Desenvolvimento diário'!$P:$P,$F134,'Desenvolvimento diário'!$R:$R,"Não")</f>
        <v>0</v>
      </c>
      <c r="R134" s="4">
        <f t="shared" si="34"/>
        <v>0</v>
      </c>
      <c r="S134" s="4">
        <f t="shared" si="35"/>
        <v>0</v>
      </c>
      <c r="T134" s="12">
        <f t="shared" si="25"/>
        <v>0</v>
      </c>
      <c r="Y134" s="2"/>
      <c r="Z134" s="2"/>
      <c r="AA134" s="2"/>
      <c r="AB134" s="2"/>
      <c r="AC134" s="2"/>
    </row>
    <row r="135" spans="1:29" ht="10.5" hidden="1">
      <c r="A135" s="2">
        <f t="shared" si="36"/>
        <v>4</v>
      </c>
      <c r="B135" s="2" t="str">
        <f>VLOOKUP($A135,Controle!$B$4:$F$68,2,FALSE)</f>
        <v>Lagoa Formosa 1</v>
      </c>
      <c r="C135" s="2" t="str">
        <f>VLOOKUP($A135,Controle!$B$4:$F$68,3,FALSE)</f>
        <v xml:space="preserve">MORI GERACAO II </v>
      </c>
      <c r="D135" s="2" t="str">
        <f>VLOOKUP($A135,Controle!$B$4:$F$68,4,FALSE)</f>
        <v>Mori II</v>
      </c>
      <c r="E135" s="2">
        <f>VLOOKUP($A135,Controle!$B$4:$F$68,5,FALSE)</f>
        <v>1</v>
      </c>
      <c r="F135" s="3" t="str">
        <f>F100</f>
        <v>Construção - Serviços de Construção - NOVA MORADA</v>
      </c>
      <c r="G135" s="2" t="str">
        <f>VLOOKUP($A135,Controle!$B$4:$G$68,6,FALSE)</f>
        <v>Mori</v>
      </c>
      <c r="H135" s="6">
        <v>0</v>
      </c>
      <c r="I135" s="6">
        <v>0</v>
      </c>
      <c r="J135" s="6">
        <v>0</v>
      </c>
      <c r="K135" s="6">
        <v>0</v>
      </c>
      <c r="L135" s="6">
        <v>0</v>
      </c>
      <c r="M135" s="6">
        <v>0</v>
      </c>
      <c r="N135" s="6">
        <v>0</v>
      </c>
      <c r="O135" s="4">
        <f t="shared" si="33"/>
        <v>0</v>
      </c>
      <c r="P135" s="5">
        <f>SUMIFS('Desenvolvimento diário'!$H:$H,'Desenvolvimento diário'!$Q:$Q,$B135,'Desenvolvimento diário'!$P:$P,$F135,'Desenvolvimento diário'!$R:$R,"Sim")</f>
        <v>0</v>
      </c>
      <c r="Q135" s="5">
        <f>SUMIFS('Desenvolvimento diário'!$H:$H,'Desenvolvimento diário'!$Q:$Q,$B135,'Desenvolvimento diário'!$P:$P,$F135,'Desenvolvimento diário'!$R:$R,"Não")</f>
        <v>0</v>
      </c>
      <c r="R135" s="4">
        <f t="shared" si="34"/>
        <v>0</v>
      </c>
      <c r="S135" s="4">
        <f t="shared" si="35"/>
        <v>0</v>
      </c>
      <c r="T135" s="12">
        <f t="shared" si="25"/>
        <v>0</v>
      </c>
      <c r="Y135" s="2"/>
      <c r="Z135" s="2"/>
      <c r="AA135" s="2"/>
      <c r="AB135" s="2"/>
      <c r="AC135" s="2"/>
    </row>
    <row r="136" spans="1:29" ht="10.5" hidden="1">
      <c r="A136" s="2">
        <f t="shared" si="36"/>
        <v>4</v>
      </c>
      <c r="B136" s="2" t="str">
        <f>VLOOKUP($A136,Controle!$B$4:$F$68,2,FALSE)</f>
        <v>Lagoa Formosa 1</v>
      </c>
      <c r="C136" s="2" t="str">
        <f>VLOOKUP($A136,Controle!$B$4:$F$68,3,FALSE)</f>
        <v xml:space="preserve">MORI GERACAO II </v>
      </c>
      <c r="D136" s="2" t="str">
        <f>VLOOKUP($A136,Controle!$B$4:$F$68,4,FALSE)</f>
        <v>Mori II</v>
      </c>
      <c r="E136" s="2">
        <f>VLOOKUP($A136,Controle!$B$4:$F$68,5,FALSE)</f>
        <v>1</v>
      </c>
      <c r="F136" s="3" t="str">
        <f>F101</f>
        <v>Equipamentos Curva A -  Contrato Sobressalentes - SETTA</v>
      </c>
      <c r="G136" s="2" t="str">
        <f>VLOOKUP($A136,Controle!$B$4:$G$68,6,FALSE)</f>
        <v>Mori</v>
      </c>
      <c r="H136" s="6">
        <v>0</v>
      </c>
      <c r="I136" s="6">
        <v>0</v>
      </c>
      <c r="J136" s="6">
        <v>0</v>
      </c>
      <c r="K136" s="6">
        <v>0</v>
      </c>
      <c r="L136" s="6">
        <v>0</v>
      </c>
      <c r="M136" s="6">
        <v>0</v>
      </c>
      <c r="N136" s="6">
        <v>0</v>
      </c>
      <c r="O136" s="4">
        <f t="shared" si="33"/>
        <v>0</v>
      </c>
      <c r="P136" s="5">
        <f>SUMIFS('Desenvolvimento diário'!$H:$H,'Desenvolvimento diário'!$Q:$Q,$B136,'Desenvolvimento diário'!$P:$P,$F136,'Desenvolvimento diário'!$R:$R,"Sim")</f>
        <v>0</v>
      </c>
      <c r="Q136" s="5">
        <f>SUMIFS('Desenvolvimento diário'!$H:$H,'Desenvolvimento diário'!$Q:$Q,$B136,'Desenvolvimento diário'!$P:$P,$F136,'Desenvolvimento diário'!$R:$R,"Não")</f>
        <v>0</v>
      </c>
      <c r="R136" s="4">
        <f t="shared" si="34"/>
        <v>0</v>
      </c>
      <c r="S136" s="4">
        <f t="shared" si="35"/>
        <v>0</v>
      </c>
      <c r="T136" s="12">
        <f t="shared" si="25"/>
        <v>0</v>
      </c>
      <c r="Y136" s="2"/>
      <c r="Z136" s="2"/>
      <c r="AA136" s="2"/>
      <c r="AB136" s="2"/>
      <c r="AC136" s="2"/>
    </row>
    <row r="137" spans="1:29" ht="10.5" hidden="1">
      <c r="A137" s="2">
        <f t="shared" si="36"/>
        <v>4</v>
      </c>
      <c r="B137" s="2" t="str">
        <f>VLOOKUP($A137,Controle!$B$4:$F$68,2,FALSE)</f>
        <v>Lagoa Formosa 1</v>
      </c>
      <c r="C137" s="2" t="str">
        <f>VLOOKUP($A137,Controle!$B$4:$F$68,3,FALSE)</f>
        <v xml:space="preserve">MORI GERACAO II </v>
      </c>
      <c r="D137" s="2" t="str">
        <f>VLOOKUP($A137,Controle!$B$4:$F$68,4,FALSE)</f>
        <v>Mori II</v>
      </c>
      <c r="E137" s="2">
        <f>VLOOKUP($A137,Controle!$B$4:$F$68,5,FALSE)</f>
        <v>1</v>
      </c>
      <c r="F137" s="3" t="str">
        <f>F102</f>
        <v>Equipamentos Curva A -  Contrato Sobressalentes - Arctech</v>
      </c>
      <c r="G137" s="2" t="str">
        <f>VLOOKUP($A137,Controle!$B$4:$G$68,6,FALSE)</f>
        <v>Mori</v>
      </c>
      <c r="H137" s="6">
        <v>0</v>
      </c>
      <c r="I137" s="6">
        <v>0</v>
      </c>
      <c r="J137" s="6">
        <v>0</v>
      </c>
      <c r="K137" s="6">
        <v>0</v>
      </c>
      <c r="L137" s="6">
        <v>0</v>
      </c>
      <c r="M137" s="6">
        <v>0</v>
      </c>
      <c r="N137" s="6">
        <v>0</v>
      </c>
      <c r="O137" s="4">
        <f t="shared" si="33"/>
        <v>0</v>
      </c>
      <c r="P137" s="5">
        <f>SUMIFS('Desenvolvimento diário'!$H:$H,'Desenvolvimento diário'!$Q:$Q,$B137,'Desenvolvimento diário'!$P:$P,$F137,'Desenvolvimento diário'!$R:$R,"Sim")</f>
        <v>0</v>
      </c>
      <c r="Q137" s="5">
        <f>SUMIFS('Desenvolvimento diário'!$H:$H,'Desenvolvimento diário'!$Q:$Q,$B137,'Desenvolvimento diário'!$P:$P,$F137,'Desenvolvimento diário'!$R:$R,"Não")</f>
        <v>0</v>
      </c>
      <c r="R137" s="4">
        <f t="shared" si="34"/>
        <v>0</v>
      </c>
      <c r="S137" s="4">
        <f t="shared" si="35"/>
        <v>0</v>
      </c>
      <c r="T137" s="12">
        <f t="shared" si="25"/>
        <v>0</v>
      </c>
      <c r="Y137" s="2"/>
      <c r="Z137" s="2"/>
      <c r="AA137" s="2"/>
      <c r="AB137" s="2"/>
      <c r="AC137" s="2"/>
    </row>
    <row r="138" spans="1:29" ht="10.5" hidden="1">
      <c r="A138" s="2">
        <f t="shared" si="36"/>
        <v>4</v>
      </c>
      <c r="B138" s="2" t="str">
        <f>VLOOKUP($A138,Controle!$B$4:$F$68,2,FALSE)</f>
        <v>Lagoa Formosa 1</v>
      </c>
      <c r="C138" s="2" t="str">
        <f>VLOOKUP($A138,Controle!$B$4:$F$68,3,FALSE)</f>
        <v xml:space="preserve">MORI GERACAO II </v>
      </c>
      <c r="D138" s="2" t="str">
        <f>VLOOKUP($A138,Controle!$B$4:$F$68,4,FALSE)</f>
        <v>Mori II</v>
      </c>
      <c r="E138" s="2">
        <f>VLOOKUP($A138,Controle!$B$4:$F$68,5,FALSE)</f>
        <v>1</v>
      </c>
      <c r="F138" s="3" t="str">
        <f>F103</f>
        <v>Equipamentos Curva A -  Contrato Sobressalentes - Romagnole</v>
      </c>
      <c r="G138" s="2" t="str">
        <f>VLOOKUP($A138,Controle!$B$4:$G$68,6,FALSE)</f>
        <v>Mori</v>
      </c>
      <c r="H138" s="7">
        <v>0</v>
      </c>
      <c r="I138" s="7">
        <v>0</v>
      </c>
      <c r="J138" s="7">
        <v>0</v>
      </c>
      <c r="K138" s="7">
        <v>0</v>
      </c>
      <c r="L138" s="7">
        <v>0</v>
      </c>
      <c r="M138" s="7">
        <v>0</v>
      </c>
      <c r="N138" s="7">
        <v>0</v>
      </c>
      <c r="O138" s="4">
        <f t="shared" si="33"/>
        <v>0</v>
      </c>
      <c r="P138" s="17">
        <f>SUMIFS('Desenvolvimento diário'!$H:$H,'Desenvolvimento diário'!$Q:$Q,$B138,'Desenvolvimento diário'!$P:$P,$F138,'Desenvolvimento diário'!$R:$R,"Sim")</f>
        <v>0</v>
      </c>
      <c r="Q138" s="17">
        <f>SUMIFS('Desenvolvimento diário'!$H:$H,'Desenvolvimento diário'!$Q:$Q,$B138,'Desenvolvimento diário'!$P:$P,$F138,'Desenvolvimento diário'!$R:$R,"Não")</f>
        <v>0</v>
      </c>
      <c r="R138" s="4">
        <f t="shared" si="34"/>
        <v>0</v>
      </c>
      <c r="S138" s="4">
        <f t="shared" si="35"/>
        <v>0</v>
      </c>
      <c r="T138" s="12">
        <f t="shared" ref="T138:T205" si="38">IFERROR(R138/O138,0)</f>
        <v>0</v>
      </c>
      <c r="Y138" s="2"/>
      <c r="Z138" s="2"/>
      <c r="AA138" s="2"/>
      <c r="AB138" s="2"/>
      <c r="AC138" s="2"/>
    </row>
    <row r="139" spans="1:29" hidden="1">
      <c r="A139" s="2">
        <f>A136</f>
        <v>4</v>
      </c>
      <c r="B139" s="94" t="str">
        <f>VLOOKUP($A139,Controle!$B$4:$F$68,2,FALSE)</f>
        <v>Lagoa Formosa 1</v>
      </c>
      <c r="C139" s="94" t="str">
        <f>VLOOKUP($A139,Controle!$B$4:$F$68,3,FALSE)</f>
        <v xml:space="preserve">MORI GERACAO II </v>
      </c>
      <c r="D139" s="94" t="str">
        <f>VLOOKUP($A139,Controle!$B$4:$F$68,4,FALSE)</f>
        <v>Mori II</v>
      </c>
      <c r="E139" s="94">
        <f>VLOOKUP($A139,Controle!$B$4:$F$68,5,FALSE)</f>
        <v>1</v>
      </c>
      <c r="F139" s="3" t="str">
        <f>F104</f>
        <v>GOS FLORESTAL - (PRAD - Recuperação Area Ambiental)</v>
      </c>
      <c r="G139" s="94" t="str">
        <f>VLOOKUP($A139,Controle!$B$4:$G$68,6,FALSE)</f>
        <v>Mori</v>
      </c>
      <c r="H139" s="506" t="s">
        <v>170</v>
      </c>
      <c r="I139" s="6">
        <v>0</v>
      </c>
      <c r="J139" s="506"/>
      <c r="K139" s="506">
        <v>0</v>
      </c>
      <c r="L139" s="506">
        <v>0</v>
      </c>
      <c r="M139" s="506">
        <v>0</v>
      </c>
      <c r="N139" s="506">
        <v>0</v>
      </c>
      <c r="O139" s="39">
        <f t="shared" si="33"/>
        <v>0</v>
      </c>
      <c r="P139" s="17">
        <f>SUMIFS('Desenvolvimento diário'!$H:$H,'Desenvolvimento diário'!$Q:$Q,$B139,'Desenvolvimento diário'!$P:$P,$F139,'Desenvolvimento diário'!$R:$R,"Sim")</f>
        <v>0</v>
      </c>
      <c r="Q139" s="17">
        <f>SUMIFS('Desenvolvimento diário'!$H:$H,'Desenvolvimento diário'!$Q:$Q,$B139,'Desenvolvimento diário'!$P:$P,$F139,'Desenvolvimento diário'!$R:$R,"Não")</f>
        <v>0</v>
      </c>
      <c r="R139" s="4">
        <f t="shared" si="34"/>
        <v>0</v>
      </c>
      <c r="S139" s="4">
        <f t="shared" si="35"/>
        <v>0</v>
      </c>
      <c r="T139" s="12">
        <f t="shared" si="38"/>
        <v>0</v>
      </c>
      <c r="Y139" s="2"/>
      <c r="Z139" s="2"/>
      <c r="AA139" s="2"/>
      <c r="AB139" s="2"/>
      <c r="AC139" s="2"/>
    </row>
    <row r="140" spans="1:29" hidden="1">
      <c r="A140" s="2">
        <f>A137</f>
        <v>4</v>
      </c>
      <c r="B140" s="94" t="str">
        <f>VLOOKUP($A140,Controle!$B$4:$F$68,2,FALSE)</f>
        <v>Lagoa Formosa 1</v>
      </c>
      <c r="C140" s="94" t="str">
        <f>VLOOKUP($A140,Controle!$B$4:$F$68,3,FALSE)</f>
        <v xml:space="preserve">MORI GERACAO II </v>
      </c>
      <c r="D140" s="94" t="str">
        <f>VLOOKUP($A140,Controle!$B$4:$F$68,4,FALSE)</f>
        <v>Mori II</v>
      </c>
      <c r="E140" s="94">
        <f>VLOOKUP($A140,Controle!$B$4:$F$68,5,FALSE)</f>
        <v>1</v>
      </c>
      <c r="F140" s="3" t="str">
        <f>F105</f>
        <v>Cercamento das bacias de contenção ciclo 2</v>
      </c>
      <c r="G140" s="94" t="str">
        <f>VLOOKUP($A140,Controle!$B$4:$G$68,6,FALSE)</f>
        <v>Mori</v>
      </c>
      <c r="H140" s="506" t="s">
        <v>172</v>
      </c>
      <c r="I140" s="6"/>
      <c r="J140" s="506"/>
      <c r="K140" s="506">
        <v>0</v>
      </c>
      <c r="L140" s="506">
        <v>0</v>
      </c>
      <c r="M140" s="506">
        <v>0</v>
      </c>
      <c r="N140" s="506">
        <v>0</v>
      </c>
      <c r="O140" s="39">
        <f t="shared" si="33"/>
        <v>0</v>
      </c>
      <c r="P140" s="17">
        <f>SUMIFS('Desenvolvimento diário'!$H:$H,'Desenvolvimento diário'!$Q:$Q,$B140,'Desenvolvimento diário'!$P:$P,$F140,'Desenvolvimento diário'!$R:$R,"Sim")</f>
        <v>0</v>
      </c>
      <c r="Q140" s="17">
        <f>SUMIFS('Desenvolvimento diário'!$H:$H,'Desenvolvimento diário'!$Q:$Q,$B140,'Desenvolvimento diário'!$P:$P,$F140,'Desenvolvimento diário'!$R:$R,"Não")</f>
        <v>0</v>
      </c>
      <c r="R140" s="4">
        <f t="shared" si="34"/>
        <v>0</v>
      </c>
      <c r="S140" s="1030">
        <f t="shared" si="35"/>
        <v>0</v>
      </c>
      <c r="T140" s="12">
        <f t="shared" si="38"/>
        <v>0</v>
      </c>
      <c r="U140" s="1029" t="s">
        <v>166</v>
      </c>
      <c r="V140" s="1029" t="s">
        <v>94</v>
      </c>
      <c r="Y140" s="2"/>
      <c r="Z140" s="2"/>
      <c r="AA140" s="2"/>
      <c r="AB140" s="2"/>
      <c r="AC140" s="2"/>
    </row>
    <row r="141" spans="1:29" ht="10.5" hidden="1">
      <c r="A141" s="8">
        <f>A138</f>
        <v>4</v>
      </c>
      <c r="B141" s="9" t="str">
        <f t="shared" ref="B141" si="39">B138</f>
        <v>Lagoa Formosa 1</v>
      </c>
      <c r="C141" s="9" t="str">
        <f t="shared" ref="C141" si="40">C138</f>
        <v xml:space="preserve">MORI GERACAO II </v>
      </c>
      <c r="D141" s="9" t="str">
        <f t="shared" ref="D141" si="41">D138</f>
        <v>Mori II</v>
      </c>
      <c r="E141" s="9">
        <f t="shared" ref="E141" si="42">E138</f>
        <v>1</v>
      </c>
      <c r="F141" s="10" t="s">
        <v>158</v>
      </c>
      <c r="G141" s="9" t="str">
        <f>G138</f>
        <v>Mori</v>
      </c>
      <c r="H141" s="9"/>
      <c r="I141" s="9">
        <f>SUBTOTAL(9,I107:I140)</f>
        <v>0</v>
      </c>
      <c r="J141" s="9">
        <f>SUBTOTAL(9,J107:J140)</f>
        <v>0</v>
      </c>
      <c r="K141" s="9">
        <f>SUBTOTAL(9,K107:K140)</f>
        <v>0</v>
      </c>
      <c r="L141" s="9">
        <f>SUBTOTAL(9,L107:L140)</f>
        <v>0</v>
      </c>
      <c r="M141" s="9">
        <f>SUBTOTAL(9,M107:M140)</f>
        <v>0</v>
      </c>
      <c r="N141" s="9">
        <f>SUBTOTAL(9,N107:N140)</f>
        <v>0</v>
      </c>
      <c r="O141" s="9">
        <f>SUBTOTAL(9,O107:O140)</f>
        <v>0</v>
      </c>
      <c r="P141" s="9">
        <f>SUBTOTAL(9,P107:P140)</f>
        <v>0</v>
      </c>
      <c r="Q141" s="9">
        <f>SUBTOTAL(9,Q107:Q140)</f>
        <v>0</v>
      </c>
      <c r="R141" s="9">
        <f t="shared" ref="R141:S141" si="43">SUBTOTAL(9,R107:R140)</f>
        <v>0</v>
      </c>
      <c r="S141" s="9">
        <f t="shared" si="43"/>
        <v>0</v>
      </c>
      <c r="T141" s="13">
        <f>IFERROR(R141/O141,0)</f>
        <v>0</v>
      </c>
      <c r="U141" s="11">
        <f>SUBTOTAL(9,U107:U141)</f>
        <v>0</v>
      </c>
      <c r="Y141" s="2"/>
      <c r="Z141" s="2"/>
      <c r="AA141" s="2"/>
      <c r="AB141" s="2"/>
      <c r="AC141" s="2"/>
    </row>
    <row r="142" spans="1:29" ht="10.5" hidden="1">
      <c r="A142" s="2">
        <f>A107+1</f>
        <v>5</v>
      </c>
      <c r="B142" s="2" t="str">
        <f>VLOOKUP($A142,Controle!$B$4:$F$68,2,FALSE)</f>
        <v>Nova Ponte 1</v>
      </c>
      <c r="C142" s="2" t="str">
        <f>VLOOKUP($A142,Controle!$B$4:$F$68,3,FALSE)</f>
        <v xml:space="preserve">MORI GERACAO II </v>
      </c>
      <c r="D142" s="2" t="str">
        <f>VLOOKUP($A142,Controle!$B$4:$F$68,4,FALSE)</f>
        <v>Mori II</v>
      </c>
      <c r="E142" s="2" t="str">
        <f>VLOOKUP($A142,Controle!$B$4:$F$68,5,FALSE)</f>
        <v>Weg</v>
      </c>
      <c r="F142" s="3" t="str">
        <f>F107</f>
        <v>Conexão AT - Obras</v>
      </c>
      <c r="G142" s="2" t="str">
        <f>VLOOKUP($A142,Controle!$B$4:$G$68,6,FALSE)</f>
        <v>Mori</v>
      </c>
      <c r="H142" s="6" t="s">
        <v>182</v>
      </c>
      <c r="I142" s="6">
        <v>0</v>
      </c>
      <c r="J142" s="6">
        <v>0</v>
      </c>
      <c r="K142" s="6">
        <v>0</v>
      </c>
      <c r="L142" s="6">
        <v>0</v>
      </c>
      <c r="M142" s="6">
        <v>0</v>
      </c>
      <c r="N142" s="6">
        <v>0</v>
      </c>
      <c r="O142" s="4">
        <f t="shared" ref="O142:O175" si="44">SUM(I142:N142)</f>
        <v>0</v>
      </c>
      <c r="P142" s="5">
        <f>SUMIFS('Desenvolvimento diário'!$H:$H,'Desenvolvimento diário'!$Q:$Q,$B142,'Desenvolvimento diário'!$P:$P,$F142,'Desenvolvimento diário'!$R:$R,"Sim")</f>
        <v>0</v>
      </c>
      <c r="Q142" s="5">
        <f>SUMIFS('Desenvolvimento diário'!$H:$H,'Desenvolvimento diário'!$Q:$Q,$B142,'Desenvolvimento diário'!$P:$P,$F142,'Desenvolvimento diário'!$R:$R,"Não")</f>
        <v>0</v>
      </c>
      <c r="R142" s="4">
        <f t="shared" ref="R142:R175" si="45">SUM(P142:Q142)</f>
        <v>0</v>
      </c>
      <c r="S142" s="4">
        <f t="shared" ref="S142:S175" si="46">O142-R142</f>
        <v>0</v>
      </c>
      <c r="T142" s="12">
        <f t="shared" si="38"/>
        <v>0</v>
      </c>
      <c r="Y142" s="2"/>
      <c r="Z142" s="2"/>
      <c r="AA142" s="2"/>
      <c r="AB142" s="2"/>
      <c r="AC142" s="2"/>
    </row>
    <row r="143" spans="1:29" ht="10.5" hidden="1">
      <c r="A143" s="2">
        <f t="shared" ref="A143:A175" si="47">A142</f>
        <v>5</v>
      </c>
      <c r="B143" s="2" t="str">
        <f>VLOOKUP($A143,Controle!$B$4:$F$68,2,FALSE)</f>
        <v>Nova Ponte 1</v>
      </c>
      <c r="C143" s="2" t="str">
        <f>VLOOKUP($A143,Controle!$B$4:$F$68,3,FALSE)</f>
        <v xml:space="preserve">MORI GERACAO II </v>
      </c>
      <c r="D143" s="2" t="str">
        <f>VLOOKUP($A143,Controle!$B$4:$F$68,4,FALSE)</f>
        <v>Mori II</v>
      </c>
      <c r="E143" s="2" t="str">
        <f>VLOOKUP($A143,Controle!$B$4:$F$68,5,FALSE)</f>
        <v>Weg</v>
      </c>
      <c r="F143" s="3" t="str">
        <f>F108</f>
        <v>Conexão MT - Obras</v>
      </c>
      <c r="G143" s="2" t="str">
        <f>VLOOKUP($A143,Controle!$B$4:$G$68,6,FALSE)</f>
        <v>Mori</v>
      </c>
      <c r="H143" s="6" t="s">
        <v>141</v>
      </c>
      <c r="I143" s="6">
        <v>510000</v>
      </c>
      <c r="J143" s="6">
        <v>89000</v>
      </c>
      <c r="K143" s="6">
        <v>0</v>
      </c>
      <c r="L143" s="6">
        <v>0</v>
      </c>
      <c r="M143" s="6">
        <v>0</v>
      </c>
      <c r="N143" s="6">
        <v>0</v>
      </c>
      <c r="O143" s="4">
        <f t="shared" si="44"/>
        <v>599000</v>
      </c>
      <c r="P143" s="5">
        <f>SUMIFS('Desenvolvimento diário'!$H:$H,'Desenvolvimento diário'!$Q:$Q,$B143,'Desenvolvimento diário'!$P:$P,$F143,'Desenvolvimento diário'!$R:$R,"Sim")</f>
        <v>151203.23000000001</v>
      </c>
      <c r="Q143" s="5">
        <f>SUMIFS('Desenvolvimento diário'!$H:$H,'Desenvolvimento diário'!$Q:$Q,$B143,'Desenvolvimento diário'!$P:$P,$F143,'Desenvolvimento diário'!$R:$R,"Não")</f>
        <v>447796.77</v>
      </c>
      <c r="R143" s="4">
        <f t="shared" si="45"/>
        <v>599000</v>
      </c>
      <c r="S143" s="4">
        <f t="shared" si="46"/>
        <v>0</v>
      </c>
      <c r="T143" s="12">
        <f t="shared" si="38"/>
        <v>1</v>
      </c>
      <c r="Y143" s="2"/>
      <c r="Z143" s="2"/>
      <c r="AA143" s="2"/>
      <c r="AB143" s="2"/>
      <c r="AC143" s="2"/>
    </row>
    <row r="144" spans="1:29" ht="10.5" hidden="1">
      <c r="A144" s="2">
        <f t="shared" si="47"/>
        <v>5</v>
      </c>
      <c r="B144" s="2" t="str">
        <f>VLOOKUP($A144,Controle!$B$4:$F$68,2,FALSE)</f>
        <v>Nova Ponte 1</v>
      </c>
      <c r="C144" s="2" t="str">
        <f>VLOOKUP($A144,Controle!$B$4:$F$68,3,FALSE)</f>
        <v xml:space="preserve">MORI GERACAO II </v>
      </c>
      <c r="D144" s="2" t="str">
        <f>VLOOKUP($A144,Controle!$B$4:$F$68,4,FALSE)</f>
        <v>Mori II</v>
      </c>
      <c r="E144" s="2" t="str">
        <f>VLOOKUP($A144,Controle!$B$4:$F$68,5,FALSE)</f>
        <v>Weg</v>
      </c>
      <c r="F144" s="3" t="str">
        <f>F109</f>
        <v>Construção - Serviços de Construção</v>
      </c>
      <c r="G144" s="2" t="str">
        <f>VLOOKUP($A144,Controle!$B$4:$G$68,6,FALSE)</f>
        <v>Mori</v>
      </c>
      <c r="H144" s="6">
        <v>0</v>
      </c>
      <c r="I144" s="6">
        <v>0</v>
      </c>
      <c r="J144" s="6">
        <v>0</v>
      </c>
      <c r="K144" s="6">
        <v>0</v>
      </c>
      <c r="L144" s="6">
        <v>0</v>
      </c>
      <c r="M144" s="6">
        <v>0</v>
      </c>
      <c r="N144" s="6">
        <v>0</v>
      </c>
      <c r="O144" s="4">
        <f t="shared" si="44"/>
        <v>0</v>
      </c>
      <c r="P144" s="5">
        <f>SUMIFS('Desenvolvimento diário'!$H:$H,'Desenvolvimento diário'!$Q:$Q,$B144,'Desenvolvimento diário'!$P:$P,$F144,'Desenvolvimento diário'!$R:$R,"Sim")</f>
        <v>0</v>
      </c>
      <c r="Q144" s="5">
        <f>SUMIFS('Desenvolvimento diário'!$H:$H,'Desenvolvimento diário'!$Q:$Q,$B144,'Desenvolvimento diário'!$P:$P,$F144,'Desenvolvimento diário'!$R:$R,"Não")</f>
        <v>0</v>
      </c>
      <c r="R144" s="4">
        <f t="shared" si="45"/>
        <v>0</v>
      </c>
      <c r="S144" s="4">
        <f t="shared" si="46"/>
        <v>0</v>
      </c>
      <c r="T144" s="12">
        <f t="shared" si="38"/>
        <v>0</v>
      </c>
      <c r="Y144" s="2"/>
      <c r="Z144" s="2"/>
      <c r="AA144" s="2"/>
      <c r="AB144" s="2"/>
      <c r="AC144" s="2"/>
    </row>
    <row r="145" spans="1:29" ht="10.5" hidden="1">
      <c r="A145" s="2">
        <f t="shared" si="47"/>
        <v>5</v>
      </c>
      <c r="B145" s="2" t="str">
        <f>VLOOKUP($A145,Controle!$B$4:$F$68,2,FALSE)</f>
        <v>Nova Ponte 1</v>
      </c>
      <c r="C145" s="2" t="str">
        <f>VLOOKUP($A145,Controle!$B$4:$F$68,3,FALSE)</f>
        <v xml:space="preserve">MORI GERACAO II </v>
      </c>
      <c r="D145" s="2" t="str">
        <f>VLOOKUP($A145,Controle!$B$4:$F$68,4,FALSE)</f>
        <v>Mori II</v>
      </c>
      <c r="E145" s="2" t="str">
        <f>VLOOKUP($A145,Controle!$B$4:$F$68,5,FALSE)</f>
        <v>Weg</v>
      </c>
      <c r="F145" s="3" t="str">
        <f>F110</f>
        <v>Construção - Serviços de Construção - Substituição</v>
      </c>
      <c r="G145" s="2" t="str">
        <f>VLOOKUP($A145,Controle!$B$4:$G$68,6,FALSE)</f>
        <v>Mori</v>
      </c>
      <c r="H145" s="6">
        <v>0</v>
      </c>
      <c r="I145" s="6">
        <v>0</v>
      </c>
      <c r="J145" s="6">
        <v>0</v>
      </c>
      <c r="K145" s="6">
        <v>0</v>
      </c>
      <c r="L145" s="6">
        <v>0</v>
      </c>
      <c r="M145" s="6">
        <v>0</v>
      </c>
      <c r="N145" s="6">
        <v>0</v>
      </c>
      <c r="O145" s="4">
        <f t="shared" si="44"/>
        <v>0</v>
      </c>
      <c r="P145" s="5">
        <f>SUMIFS('Desenvolvimento diário'!$H:$H,'Desenvolvimento diário'!$Q:$Q,$B145,'Desenvolvimento diário'!$P:$P,$F145,'Desenvolvimento diário'!$R:$R,"Sim")</f>
        <v>0</v>
      </c>
      <c r="Q145" s="5">
        <f>SUMIFS('Desenvolvimento diário'!$H:$H,'Desenvolvimento diário'!$Q:$Q,$B145,'Desenvolvimento diário'!$P:$P,$F145,'Desenvolvimento diário'!$R:$R,"Não")</f>
        <v>0</v>
      </c>
      <c r="R145" s="4">
        <f t="shared" si="45"/>
        <v>0</v>
      </c>
      <c r="S145" s="4">
        <f t="shared" si="46"/>
        <v>0</v>
      </c>
      <c r="T145" s="12">
        <f t="shared" si="38"/>
        <v>0</v>
      </c>
      <c r="Y145" s="2"/>
      <c r="Z145" s="2"/>
      <c r="AA145" s="2"/>
      <c r="AB145" s="2"/>
      <c r="AC145" s="2"/>
    </row>
    <row r="146" spans="1:29" ht="10.5" hidden="1">
      <c r="A146" s="2">
        <f t="shared" si="47"/>
        <v>5</v>
      </c>
      <c r="B146" s="2" t="str">
        <f>VLOOKUP($A146,Controle!$B$4:$F$68,2,FALSE)</f>
        <v>Nova Ponte 1</v>
      </c>
      <c r="C146" s="2" t="str">
        <f>VLOOKUP($A146,Controle!$B$4:$F$68,3,FALSE)</f>
        <v xml:space="preserve">MORI GERACAO II </v>
      </c>
      <c r="D146" s="2" t="str">
        <f>VLOOKUP($A146,Controle!$B$4:$F$68,4,FALSE)</f>
        <v>Mori II</v>
      </c>
      <c r="E146" s="2" t="str">
        <f>VLOOKUP($A146,Controle!$B$4:$F$68,5,FALSE)</f>
        <v>Weg</v>
      </c>
      <c r="F146" s="3" t="str">
        <f>F111</f>
        <v>Construção - RDA Interno</v>
      </c>
      <c r="G146" s="2" t="str">
        <f>VLOOKUP($A146,Controle!$B$4:$G$68,6,FALSE)</f>
        <v>Mori</v>
      </c>
      <c r="H146" s="6">
        <v>0</v>
      </c>
      <c r="I146" s="6">
        <v>0</v>
      </c>
      <c r="J146" s="6">
        <v>0</v>
      </c>
      <c r="K146" s="6">
        <v>0</v>
      </c>
      <c r="L146" s="6">
        <v>0</v>
      </c>
      <c r="M146" s="6">
        <v>0</v>
      </c>
      <c r="N146" s="6">
        <v>0</v>
      </c>
      <c r="O146" s="4">
        <f t="shared" si="44"/>
        <v>0</v>
      </c>
      <c r="P146" s="5">
        <f>SUMIFS('Desenvolvimento diário'!$H:$H,'Desenvolvimento diário'!$Q:$Q,$B146,'Desenvolvimento diário'!$P:$P,$F146,'Desenvolvimento diário'!$R:$R,"Sim")</f>
        <v>0</v>
      </c>
      <c r="Q146" s="5">
        <f>SUMIFS('Desenvolvimento diário'!$H:$H,'Desenvolvimento diário'!$Q:$Q,$B146,'Desenvolvimento diário'!$P:$P,$F146,'Desenvolvimento diário'!$R:$R,"Não")</f>
        <v>0</v>
      </c>
      <c r="R146" s="4">
        <f t="shared" si="45"/>
        <v>0</v>
      </c>
      <c r="S146" s="4">
        <f t="shared" si="46"/>
        <v>0</v>
      </c>
      <c r="T146" s="12">
        <f t="shared" si="38"/>
        <v>0</v>
      </c>
      <c r="Y146" s="2"/>
      <c r="Z146" s="2"/>
      <c r="AA146" s="2"/>
      <c r="AB146" s="2"/>
      <c r="AC146" s="2"/>
    </row>
    <row r="147" spans="1:29" ht="10.5" hidden="1">
      <c r="A147" s="2">
        <f t="shared" si="47"/>
        <v>5</v>
      </c>
      <c r="B147" s="2" t="str">
        <f>VLOOKUP($A147,Controle!$B$4:$F$68,2,FALSE)</f>
        <v>Nova Ponte 1</v>
      </c>
      <c r="C147" s="2" t="str">
        <f>VLOOKUP($A147,Controle!$B$4:$F$68,3,FALSE)</f>
        <v xml:space="preserve">MORI GERACAO II </v>
      </c>
      <c r="D147" s="2" t="str">
        <f>VLOOKUP($A147,Controle!$B$4:$F$68,4,FALSE)</f>
        <v>Mori II</v>
      </c>
      <c r="E147" s="2" t="str">
        <f>VLOOKUP($A147,Controle!$B$4:$F$68,5,FALSE)</f>
        <v>Weg</v>
      </c>
      <c r="F147" s="3" t="str">
        <f>F112</f>
        <v>Full EPC - Contrato</v>
      </c>
      <c r="G147" s="2" t="str">
        <f>VLOOKUP($A147,Controle!$B$4:$G$68,6,FALSE)</f>
        <v>Mori</v>
      </c>
      <c r="H147" s="6" t="s">
        <v>21</v>
      </c>
      <c r="I147" s="6">
        <f>8769927.16+(0.018)</f>
        <v>8769927.1779999994</v>
      </c>
      <c r="J147" s="6">
        <v>0</v>
      </c>
      <c r="K147" s="6"/>
      <c r="L147" s="6">
        <v>0</v>
      </c>
      <c r="M147" s="6">
        <v>0</v>
      </c>
      <c r="N147" s="6">
        <v>0</v>
      </c>
      <c r="O147" s="4">
        <f t="shared" si="44"/>
        <v>8769927.1779999994</v>
      </c>
      <c r="P147" s="5">
        <f>SUMIFS('Desenvolvimento diário'!$H:$H,'Desenvolvimento diário'!$Q:$Q,$B147,'Desenvolvimento diário'!$P:$P,$F147,'Desenvolvimento diário'!$R:$R,"Sim")</f>
        <v>0</v>
      </c>
      <c r="Q147" s="5">
        <f>SUMIFS('Desenvolvimento diário'!$H:$H,'Desenvolvimento diário'!$Q:$Q,$B147,'Desenvolvimento diário'!$P:$P,$F147,'Desenvolvimento diário'!$R:$R,"Não")</f>
        <v>8769927.1779999994</v>
      </c>
      <c r="R147" s="4">
        <f t="shared" si="45"/>
        <v>8769927.1779999994</v>
      </c>
      <c r="S147" s="93">
        <f>O147-R147</f>
        <v>0</v>
      </c>
      <c r="T147" s="12">
        <f t="shared" si="38"/>
        <v>1</v>
      </c>
      <c r="Y147" s="2"/>
      <c r="Z147" s="2"/>
      <c r="AA147" s="2"/>
      <c r="AB147" s="2"/>
      <c r="AC147" s="2"/>
    </row>
    <row r="148" spans="1:29" ht="10.5" hidden="1">
      <c r="A148" s="2">
        <f t="shared" si="47"/>
        <v>5</v>
      </c>
      <c r="B148" s="2" t="str">
        <f>VLOOKUP($A148,Controle!$B$4:$F$68,2,FALSE)</f>
        <v>Nova Ponte 1</v>
      </c>
      <c r="C148" s="2" t="str">
        <f>VLOOKUP($A148,Controle!$B$4:$F$68,3,FALSE)</f>
        <v xml:space="preserve">MORI GERACAO II </v>
      </c>
      <c r="D148" s="2" t="str">
        <f>VLOOKUP($A148,Controle!$B$4:$F$68,4,FALSE)</f>
        <v>Mori II</v>
      </c>
      <c r="E148" s="2" t="str">
        <f>VLOOKUP($A148,Controle!$B$4:$F$68,5,FALSE)</f>
        <v>Weg</v>
      </c>
      <c r="F148" s="3" t="str">
        <f>F113</f>
        <v>Equipamentos Curva A - Outros (Transformadores)</v>
      </c>
      <c r="G148" s="2" t="str">
        <f>VLOOKUP($A148,Controle!$B$4:$G$68,6,FALSE)</f>
        <v>Mori</v>
      </c>
      <c r="H148" s="6">
        <v>0</v>
      </c>
      <c r="I148" s="6">
        <v>0</v>
      </c>
      <c r="J148" s="6">
        <v>0</v>
      </c>
      <c r="K148" s="6">
        <v>0</v>
      </c>
      <c r="L148" s="6">
        <v>0</v>
      </c>
      <c r="M148" s="6">
        <v>0</v>
      </c>
      <c r="N148" s="6">
        <v>0</v>
      </c>
      <c r="O148" s="4">
        <f t="shared" si="44"/>
        <v>0</v>
      </c>
      <c r="P148" s="5">
        <f>SUMIFS('Desenvolvimento diário'!$H:$H,'Desenvolvimento diário'!$Q:$Q,$B148,'Desenvolvimento diário'!$P:$P,$F148,'Desenvolvimento diário'!$R:$R,"Sim")</f>
        <v>0</v>
      </c>
      <c r="Q148" s="5">
        <f>SUMIFS('Desenvolvimento diário'!$H:$H,'Desenvolvimento diário'!$Q:$Q,$B148,'Desenvolvimento diário'!$P:$P,$F148,'Desenvolvimento diário'!$R:$R,"Não")</f>
        <v>0</v>
      </c>
      <c r="R148" s="4">
        <f t="shared" si="45"/>
        <v>0</v>
      </c>
      <c r="S148" s="4">
        <f t="shared" si="46"/>
        <v>0</v>
      </c>
      <c r="T148" s="12">
        <f t="shared" si="38"/>
        <v>0</v>
      </c>
      <c r="Y148" s="2"/>
      <c r="Z148" s="2"/>
      <c r="AA148" s="2"/>
      <c r="AB148" s="2"/>
      <c r="AC148" s="2"/>
    </row>
    <row r="149" spans="1:29" ht="10.5" hidden="1">
      <c r="A149" s="2">
        <f t="shared" si="47"/>
        <v>5</v>
      </c>
      <c r="B149" s="2" t="str">
        <f>VLOOKUP($A149,Controle!$B$4:$F$68,2,FALSE)</f>
        <v>Nova Ponte 1</v>
      </c>
      <c r="C149" s="2" t="str">
        <f>VLOOKUP($A149,Controle!$B$4:$F$68,3,FALSE)</f>
        <v xml:space="preserve">MORI GERACAO II </v>
      </c>
      <c r="D149" s="2" t="str">
        <f>VLOOKUP($A149,Controle!$B$4:$F$68,4,FALSE)</f>
        <v>Mori II</v>
      </c>
      <c r="E149" s="2" t="str">
        <f>VLOOKUP($A149,Controle!$B$4:$F$68,5,FALSE)</f>
        <v>Weg</v>
      </c>
      <c r="F149" s="3" t="str">
        <f>F114</f>
        <v>Equipamentos Curva A - Outros (Cabine + Skid)</v>
      </c>
      <c r="G149" s="2" t="str">
        <f>VLOOKUP($A149,Controle!$B$4:$G$68,6,FALSE)</f>
        <v>Mori</v>
      </c>
      <c r="H149" s="6">
        <v>0</v>
      </c>
      <c r="I149" s="6">
        <v>0</v>
      </c>
      <c r="J149" s="6">
        <v>0</v>
      </c>
      <c r="K149" s="6">
        <v>0</v>
      </c>
      <c r="L149" s="6">
        <v>0</v>
      </c>
      <c r="M149" s="6">
        <v>0</v>
      </c>
      <c r="N149" s="6">
        <v>0</v>
      </c>
      <c r="O149" s="4">
        <f t="shared" si="44"/>
        <v>0</v>
      </c>
      <c r="P149" s="5">
        <f>SUMIFS('Desenvolvimento diário'!$H:$H,'Desenvolvimento diário'!$Q:$Q,$B149,'Desenvolvimento diário'!$P:$P,$F149,'Desenvolvimento diário'!$R:$R,"Sim")</f>
        <v>0</v>
      </c>
      <c r="Q149" s="5">
        <f>SUMIFS('Desenvolvimento diário'!$H:$H,'Desenvolvimento diário'!$Q:$Q,$B149,'Desenvolvimento diário'!$P:$P,$F149,'Desenvolvimento diário'!$R:$R,"Não")</f>
        <v>0</v>
      </c>
      <c r="R149" s="4">
        <f t="shared" si="45"/>
        <v>0</v>
      </c>
      <c r="S149" s="4">
        <f t="shared" si="46"/>
        <v>0</v>
      </c>
      <c r="T149" s="12">
        <f t="shared" si="38"/>
        <v>0</v>
      </c>
      <c r="Y149" s="2"/>
      <c r="Z149" s="2"/>
      <c r="AA149" s="2"/>
      <c r="AB149" s="2"/>
      <c r="AC149" s="2"/>
    </row>
    <row r="150" spans="1:29" ht="10.5" hidden="1">
      <c r="A150" s="2">
        <f t="shared" si="47"/>
        <v>5</v>
      </c>
      <c r="B150" s="2" t="str">
        <f>VLOOKUP($A150,Controle!$B$4:$F$68,2,FALSE)</f>
        <v>Nova Ponte 1</v>
      </c>
      <c r="C150" s="2" t="str">
        <f>VLOOKUP($A150,Controle!$B$4:$F$68,3,FALSE)</f>
        <v xml:space="preserve">MORI GERACAO II </v>
      </c>
      <c r="D150" s="2" t="str">
        <f>VLOOKUP($A150,Controle!$B$4:$F$68,4,FALSE)</f>
        <v>Mori II</v>
      </c>
      <c r="E150" s="2" t="str">
        <f>VLOOKUP($A150,Controle!$B$4:$F$68,5,FALSE)</f>
        <v>Weg</v>
      </c>
      <c r="F150" s="3" t="str">
        <f>F115</f>
        <v>Equipamentos Curva A - Outros (Cabine + Skid + Transformador)</v>
      </c>
      <c r="G150" s="2" t="str">
        <f>VLOOKUP($A150,Controle!$B$4:$G$68,6,FALSE)</f>
        <v>Mori</v>
      </c>
      <c r="H150" s="6" t="s">
        <v>144</v>
      </c>
      <c r="I150" s="6">
        <v>235216.608848</v>
      </c>
      <c r="J150" s="6">
        <v>0</v>
      </c>
      <c r="K150" s="6">
        <v>0</v>
      </c>
      <c r="L150" s="6">
        <v>0</v>
      </c>
      <c r="M150" s="6">
        <v>0</v>
      </c>
      <c r="N150" s="6">
        <v>0</v>
      </c>
      <c r="O150" s="4">
        <f t="shared" si="44"/>
        <v>235216.608848</v>
      </c>
      <c r="P150" s="5">
        <f>SUMIFS('Desenvolvimento diário'!$H:$H,'Desenvolvimento diário'!$Q:$Q,$B150,'Desenvolvimento diário'!$P:$P,$F150,'Desenvolvimento diário'!$R:$R,"Sim")</f>
        <v>0</v>
      </c>
      <c r="Q150" s="5">
        <f>SUMIFS('Desenvolvimento diário'!$H:$H,'Desenvolvimento diário'!$Q:$Q,$B150,'Desenvolvimento diário'!$P:$P,$F150,'Desenvolvimento diário'!$R:$R,"Não")</f>
        <v>235216.608848</v>
      </c>
      <c r="R150" s="4">
        <f t="shared" si="45"/>
        <v>235216.608848</v>
      </c>
      <c r="S150" s="4">
        <f t="shared" si="46"/>
        <v>0</v>
      </c>
      <c r="T150" s="12">
        <f t="shared" si="38"/>
        <v>1</v>
      </c>
      <c r="Y150" s="2"/>
      <c r="Z150" s="2"/>
      <c r="AA150" s="2"/>
      <c r="AB150" s="2"/>
      <c r="AC150" s="2"/>
    </row>
    <row r="151" spans="1:29" ht="10.5" hidden="1">
      <c r="A151" s="2">
        <f t="shared" si="47"/>
        <v>5</v>
      </c>
      <c r="B151" s="2" t="str">
        <f>VLOOKUP($A151,Controle!$B$4:$F$68,2,FALSE)</f>
        <v>Nova Ponte 1</v>
      </c>
      <c r="C151" s="2" t="str">
        <f>VLOOKUP($A151,Controle!$B$4:$F$68,3,FALSE)</f>
        <v xml:space="preserve">MORI GERACAO II </v>
      </c>
      <c r="D151" s="2" t="str">
        <f>VLOOKUP($A151,Controle!$B$4:$F$68,4,FALSE)</f>
        <v>Mori II</v>
      </c>
      <c r="E151" s="2" t="str">
        <f>VLOOKUP($A151,Controle!$B$4:$F$68,5,FALSE)</f>
        <v>Weg</v>
      </c>
      <c r="F151" s="3" t="str">
        <f>F116</f>
        <v>Desenvolvimento de projeto - Projetos - (Eng° Proprietario)</v>
      </c>
      <c r="G151" s="2" t="str">
        <f>VLOOKUP($A151,Controle!$B$4:$G$68,6,FALSE)</f>
        <v>Mori</v>
      </c>
      <c r="H151" s="6" t="s">
        <v>176</v>
      </c>
      <c r="I151" s="6">
        <f>R151</f>
        <v>89384.459999999992</v>
      </c>
      <c r="J151" s="6">
        <v>0</v>
      </c>
      <c r="K151" s="6">
        <v>0</v>
      </c>
      <c r="L151" s="6">
        <v>0</v>
      </c>
      <c r="M151" s="6">
        <v>0</v>
      </c>
      <c r="N151" s="6">
        <v>0</v>
      </c>
      <c r="O151" s="4">
        <f t="shared" si="44"/>
        <v>89384.459999999992</v>
      </c>
      <c r="P151" s="5">
        <f>SUMIFS('Desenvolvimento diário'!$H:$H,'Desenvolvimento diário'!$Q:$Q,$B151,'Desenvolvimento diário'!$P:$P,$F151,'Desenvolvimento diário'!$R:$R,"Sim")</f>
        <v>0</v>
      </c>
      <c r="Q151" s="5">
        <f>SUMIFS('Desenvolvimento diário'!$H:$H,'Desenvolvimento diário'!$Q:$Q,$B151,'Desenvolvimento diário'!$P:$P,$F151,'Desenvolvimento diário'!$R:$R,"Não")</f>
        <v>89384.459999999992</v>
      </c>
      <c r="R151" s="4">
        <f t="shared" si="45"/>
        <v>89384.459999999992</v>
      </c>
      <c r="S151" s="4">
        <f t="shared" si="46"/>
        <v>0</v>
      </c>
      <c r="T151" s="12">
        <f t="shared" si="38"/>
        <v>1</v>
      </c>
      <c r="Y151" s="2"/>
      <c r="Z151" s="2"/>
      <c r="AA151" s="2"/>
      <c r="AB151" s="2"/>
      <c r="AC151" s="2"/>
    </row>
    <row r="152" spans="1:29" ht="10.5" hidden="1">
      <c r="A152" s="2">
        <f t="shared" si="47"/>
        <v>5</v>
      </c>
      <c r="B152" s="2" t="str">
        <f>VLOOKUP($A152,Controle!$B$4:$F$68,2,FALSE)</f>
        <v>Nova Ponte 1</v>
      </c>
      <c r="C152" s="2" t="str">
        <f>VLOOKUP($A152,Controle!$B$4:$F$68,3,FALSE)</f>
        <v xml:space="preserve">MORI GERACAO II </v>
      </c>
      <c r="D152" s="2" t="str">
        <f>VLOOKUP($A152,Controle!$B$4:$F$68,4,FALSE)</f>
        <v>Mori II</v>
      </c>
      <c r="E152" s="2" t="str">
        <f>VLOOKUP($A152,Controle!$B$4:$F$68,5,FALSE)</f>
        <v>Weg</v>
      </c>
      <c r="F152" s="3" t="str">
        <f>F117</f>
        <v>Desenvolvimento de projeto - Projetos - Executivos</v>
      </c>
      <c r="G152" s="2" t="str">
        <f>VLOOKUP($A152,Controle!$B$4:$G$68,6,FALSE)</f>
        <v>Mori</v>
      </c>
      <c r="H152" s="6">
        <v>0</v>
      </c>
      <c r="I152" s="6">
        <v>0</v>
      </c>
      <c r="J152" s="6">
        <v>0</v>
      </c>
      <c r="K152" s="6">
        <v>0</v>
      </c>
      <c r="L152" s="6">
        <v>0</v>
      </c>
      <c r="M152" s="6">
        <v>0</v>
      </c>
      <c r="N152" s="6">
        <v>0</v>
      </c>
      <c r="O152" s="4">
        <f t="shared" si="44"/>
        <v>0</v>
      </c>
      <c r="P152" s="5">
        <f>SUMIFS('Desenvolvimento diário'!$H:$H,'Desenvolvimento diário'!$Q:$Q,$B152,'Desenvolvimento diário'!$P:$P,$F152,'Desenvolvimento diário'!$R:$R,"Sim")</f>
        <v>0</v>
      </c>
      <c r="Q152" s="5">
        <f>SUMIFS('Desenvolvimento diário'!$H:$H,'Desenvolvimento diário'!$Q:$Q,$B152,'Desenvolvimento diário'!$P:$P,$F152,'Desenvolvimento diário'!$R:$R,"Não")</f>
        <v>0</v>
      </c>
      <c r="R152" s="4">
        <f t="shared" si="45"/>
        <v>0</v>
      </c>
      <c r="S152" s="4">
        <f t="shared" si="46"/>
        <v>0</v>
      </c>
      <c r="T152" s="12">
        <f t="shared" si="38"/>
        <v>0</v>
      </c>
      <c r="Y152" s="2"/>
      <c r="Z152" s="2"/>
      <c r="AA152" s="2"/>
      <c r="AB152" s="2"/>
      <c r="AC152" s="2"/>
    </row>
    <row r="153" spans="1:29" ht="10.5" hidden="1">
      <c r="A153" s="2">
        <f t="shared" si="47"/>
        <v>5</v>
      </c>
      <c r="B153" s="2" t="str">
        <f>VLOOKUP($A153,Controle!$B$4:$F$68,2,FALSE)</f>
        <v>Nova Ponte 1</v>
      </c>
      <c r="C153" s="2" t="str">
        <f>VLOOKUP($A153,Controle!$B$4:$F$68,3,FALSE)</f>
        <v xml:space="preserve">MORI GERACAO II </v>
      </c>
      <c r="D153" s="2" t="str">
        <f>VLOOKUP($A153,Controle!$B$4:$F$68,4,FALSE)</f>
        <v>Mori II</v>
      </c>
      <c r="E153" s="2" t="str">
        <f>VLOOKUP($A153,Controle!$B$4:$F$68,5,FALSE)</f>
        <v>Weg</v>
      </c>
      <c r="F153" s="3" t="str">
        <f>F118</f>
        <v>Desenvolvimento de projeto - Projetos Básica</v>
      </c>
      <c r="G153" s="2" t="str">
        <f>VLOOKUP($A153,Controle!$B$4:$G$68,6,FALSE)</f>
        <v>Mori</v>
      </c>
      <c r="H153" s="6">
        <v>0</v>
      </c>
      <c r="I153" s="6">
        <v>0</v>
      </c>
      <c r="J153" s="6">
        <v>0</v>
      </c>
      <c r="K153" s="6">
        <v>0</v>
      </c>
      <c r="L153" s="6">
        <v>0</v>
      </c>
      <c r="M153" s="6">
        <v>0</v>
      </c>
      <c r="N153" s="6">
        <v>0</v>
      </c>
      <c r="O153" s="4">
        <f t="shared" si="44"/>
        <v>0</v>
      </c>
      <c r="P153" s="5">
        <f>SUMIFS('Desenvolvimento diário'!$H:$H,'Desenvolvimento diário'!$Q:$Q,$B153,'Desenvolvimento diário'!$P:$P,$F153,'Desenvolvimento diário'!$R:$R,"Sim")</f>
        <v>0</v>
      </c>
      <c r="Q153" s="5">
        <f>SUMIFS('Desenvolvimento diário'!$H:$H,'Desenvolvimento diário'!$Q:$Q,$B153,'Desenvolvimento diário'!$P:$P,$F153,'Desenvolvimento diário'!$R:$R,"Não")</f>
        <v>0</v>
      </c>
      <c r="R153" s="4">
        <f t="shared" si="45"/>
        <v>0</v>
      </c>
      <c r="S153" s="4">
        <f t="shared" si="46"/>
        <v>0</v>
      </c>
      <c r="T153" s="12">
        <f t="shared" si="38"/>
        <v>0</v>
      </c>
      <c r="Y153" s="2"/>
      <c r="Z153" s="2"/>
      <c r="AA153" s="2"/>
      <c r="AB153" s="2"/>
      <c r="AC153" s="2"/>
    </row>
    <row r="154" spans="1:29" ht="10.5" hidden="1">
      <c r="A154" s="2">
        <f t="shared" si="47"/>
        <v>5</v>
      </c>
      <c r="B154" s="2" t="str">
        <f>VLOOKUP($A154,Controle!$B$4:$F$68,2,FALSE)</f>
        <v>Nova Ponte 1</v>
      </c>
      <c r="C154" s="2" t="str">
        <f>VLOOKUP($A154,Controle!$B$4:$F$68,3,FALSE)</f>
        <v xml:space="preserve">MORI GERACAO II </v>
      </c>
      <c r="D154" s="2" t="str">
        <f>VLOOKUP($A154,Controle!$B$4:$F$68,4,FALSE)</f>
        <v>Mori II</v>
      </c>
      <c r="E154" s="2" t="str">
        <f>VLOOKUP($A154,Controle!$B$4:$F$68,5,FALSE)</f>
        <v>Weg</v>
      </c>
      <c r="F154" s="3" t="str">
        <f>F119</f>
        <v>Desenvolvimento de projeto - Projetos Detalhada</v>
      </c>
      <c r="G154" s="2" t="str">
        <f>VLOOKUP($A154,Controle!$B$4:$G$68,6,FALSE)</f>
        <v>Mori</v>
      </c>
      <c r="H154" s="6">
        <v>0</v>
      </c>
      <c r="I154" s="6">
        <v>0</v>
      </c>
      <c r="J154" s="6">
        <v>0</v>
      </c>
      <c r="K154" s="6">
        <v>0</v>
      </c>
      <c r="L154" s="6">
        <v>0</v>
      </c>
      <c r="M154" s="6">
        <v>0</v>
      </c>
      <c r="N154" s="6">
        <v>0</v>
      </c>
      <c r="O154" s="4">
        <f t="shared" si="44"/>
        <v>0</v>
      </c>
      <c r="P154" s="5">
        <f>SUMIFS('Desenvolvimento diário'!$H:$H,'Desenvolvimento diário'!$Q:$Q,$B154,'Desenvolvimento diário'!$P:$P,$F154,'Desenvolvimento diário'!$R:$R,"Sim")</f>
        <v>0</v>
      </c>
      <c r="Q154" s="5">
        <f>SUMIFS('Desenvolvimento diário'!$H:$H,'Desenvolvimento diário'!$Q:$Q,$B154,'Desenvolvimento diário'!$P:$P,$F154,'Desenvolvimento diário'!$R:$R,"Não")</f>
        <v>0</v>
      </c>
      <c r="R154" s="4">
        <f t="shared" si="45"/>
        <v>0</v>
      </c>
      <c r="S154" s="4">
        <f t="shared" si="46"/>
        <v>0</v>
      </c>
      <c r="T154" s="12">
        <f t="shared" si="38"/>
        <v>0</v>
      </c>
      <c r="Y154" s="2"/>
      <c r="Z154" s="2"/>
      <c r="AA154" s="2"/>
      <c r="AB154" s="2"/>
      <c r="AC154" s="2"/>
    </row>
    <row r="155" spans="1:29" ht="10.5" hidden="1">
      <c r="A155" s="2">
        <f t="shared" si="47"/>
        <v>5</v>
      </c>
      <c r="B155" s="2" t="str">
        <f>VLOOKUP($A155,Controle!$B$4:$F$68,2,FALSE)</f>
        <v>Nova Ponte 1</v>
      </c>
      <c r="C155" s="2" t="str">
        <f>VLOOKUP($A155,Controle!$B$4:$F$68,3,FALSE)</f>
        <v xml:space="preserve">MORI GERACAO II </v>
      </c>
      <c r="D155" s="2" t="str">
        <f>VLOOKUP($A155,Controle!$B$4:$F$68,4,FALSE)</f>
        <v>Mori II</v>
      </c>
      <c r="E155" s="2" t="str">
        <f>VLOOKUP($A155,Controle!$B$4:$F$68,5,FALSE)</f>
        <v>Weg</v>
      </c>
      <c r="F155" s="3" t="str">
        <f>F120</f>
        <v>Desenvolvimento de projeto - Ambiental / Outros</v>
      </c>
      <c r="G155" s="2" t="str">
        <f>VLOOKUP($A155,Controle!$B$4:$G$68,6,FALSE)</f>
        <v>Mori</v>
      </c>
      <c r="H155" s="6" t="s">
        <v>148</v>
      </c>
      <c r="I155" s="6">
        <f>R155</f>
        <v>131745.42000000001</v>
      </c>
      <c r="J155" s="6">
        <v>0</v>
      </c>
      <c r="K155" s="6">
        <v>0</v>
      </c>
      <c r="L155" s="6">
        <v>0</v>
      </c>
      <c r="M155" s="6">
        <v>0</v>
      </c>
      <c r="N155" s="6">
        <v>0</v>
      </c>
      <c r="O155" s="4">
        <f t="shared" si="44"/>
        <v>131745.42000000001</v>
      </c>
      <c r="P155" s="5">
        <f>SUMIFS('Desenvolvimento diário'!$H:$H,'Desenvolvimento diário'!$Q:$Q,$B155,'Desenvolvimento diário'!$P:$P,$F155,'Desenvolvimento diário'!$R:$R,"Sim")</f>
        <v>0</v>
      </c>
      <c r="Q155" s="5">
        <f>SUMIFS('Desenvolvimento diário'!$H:$H,'Desenvolvimento diário'!$Q:$Q,$B155,'Desenvolvimento diário'!$P:$P,$F155,'Desenvolvimento diário'!$R:$R,"Não")</f>
        <v>131745.42000000001</v>
      </c>
      <c r="R155" s="4">
        <f t="shared" si="45"/>
        <v>131745.42000000001</v>
      </c>
      <c r="S155" s="4">
        <f t="shared" si="46"/>
        <v>0</v>
      </c>
      <c r="T155" s="12">
        <f t="shared" si="38"/>
        <v>1</v>
      </c>
      <c r="Y155" s="2"/>
      <c r="Z155" s="2"/>
      <c r="AA155" s="2"/>
      <c r="AB155" s="2"/>
      <c r="AC155" s="2"/>
    </row>
    <row r="156" spans="1:29" hidden="1">
      <c r="A156" s="2">
        <f t="shared" si="47"/>
        <v>5</v>
      </c>
      <c r="B156" s="2" t="str">
        <f>VLOOKUP($A156,Controle!$B$4:$F$68,2,FALSE)</f>
        <v>Nova Ponte 1</v>
      </c>
      <c r="C156" s="2" t="str">
        <f>VLOOKUP($A156,Controle!$B$4:$F$68,3,FALSE)</f>
        <v xml:space="preserve">MORI GERACAO II </v>
      </c>
      <c r="D156" s="2" t="str">
        <f>VLOOKUP($A156,Controle!$B$4:$F$68,4,FALSE)</f>
        <v>Mori II</v>
      </c>
      <c r="E156" s="2" t="str">
        <f>VLOOKUP($A156,Controle!$B$4:$F$68,5,FALSE)</f>
        <v>Weg</v>
      </c>
      <c r="F156" s="3" t="str">
        <f>F121</f>
        <v>Desenvolvimento de projeto - Coordenograma</v>
      </c>
      <c r="G156" s="2" t="str">
        <f>VLOOKUP($A156,Controle!$B$4:$G$68,6,FALSE)</f>
        <v>Mori</v>
      </c>
      <c r="H156" s="31" t="s">
        <v>149</v>
      </c>
      <c r="I156" s="31">
        <v>6206.9</v>
      </c>
      <c r="J156" s="31">
        <v>2281.25</v>
      </c>
      <c r="K156" s="31">
        <v>2281.25</v>
      </c>
      <c r="L156" s="6">
        <v>0</v>
      </c>
      <c r="M156" s="6">
        <v>0</v>
      </c>
      <c r="N156" s="6">
        <v>0</v>
      </c>
      <c r="O156" s="4">
        <f t="shared" si="44"/>
        <v>10769.4</v>
      </c>
      <c r="P156" s="5">
        <f>SUMIFS('Desenvolvimento diário'!$H:$H,'Desenvolvimento diário'!$Q:$Q,$B156,'Desenvolvimento diário'!$P:$P,$F156,'Desenvolvimento diário'!$R:$R,"Sim")</f>
        <v>0</v>
      </c>
      <c r="Q156" s="5">
        <f>SUMIFS('Desenvolvimento diário'!$H:$H,'Desenvolvimento diário'!$Q:$Q,$B156,'Desenvolvimento diário'!$P:$P,$F156,'Desenvolvimento diário'!$R:$R,"Não")</f>
        <v>10769.4</v>
      </c>
      <c r="R156" s="4">
        <f t="shared" si="45"/>
        <v>10769.4</v>
      </c>
      <c r="S156" s="4">
        <f t="shared" si="46"/>
        <v>0</v>
      </c>
      <c r="T156" s="12">
        <f t="shared" si="38"/>
        <v>1</v>
      </c>
      <c r="Y156" s="2"/>
      <c r="Z156" s="2"/>
      <c r="AA156" s="2"/>
      <c r="AB156" s="2"/>
      <c r="AC156" s="2"/>
    </row>
    <row r="157" spans="1:29" ht="10.5" hidden="1">
      <c r="A157" s="2">
        <f t="shared" si="47"/>
        <v>5</v>
      </c>
      <c r="B157" s="2" t="str">
        <f>VLOOKUP($A157,Controle!$B$4:$F$68,2,FALSE)</f>
        <v>Nova Ponte 1</v>
      </c>
      <c r="C157" s="2" t="str">
        <f>VLOOKUP($A157,Controle!$B$4:$F$68,3,FALSE)</f>
        <v xml:space="preserve">MORI GERACAO II </v>
      </c>
      <c r="D157" s="2" t="str">
        <f>VLOOKUP($A157,Controle!$B$4:$F$68,4,FALSE)</f>
        <v>Mori II</v>
      </c>
      <c r="E157" s="2" t="str">
        <f>VLOOKUP($A157,Controle!$B$4:$F$68,5,FALSE)</f>
        <v>Weg</v>
      </c>
      <c r="F157" s="3" t="str">
        <f>F122</f>
        <v>Sistemas de Monitoramento - Supervisório</v>
      </c>
      <c r="G157" s="2" t="str">
        <f>VLOOKUP($A157,Controle!$B$4:$G$68,6,FALSE)</f>
        <v>Mori</v>
      </c>
      <c r="H157" s="6" t="s">
        <v>150</v>
      </c>
      <c r="I157" s="6">
        <v>126513.54</v>
      </c>
      <c r="J157" s="6"/>
      <c r="K157" s="6">
        <v>0</v>
      </c>
      <c r="L157" s="6">
        <v>0</v>
      </c>
      <c r="M157" s="6">
        <v>0</v>
      </c>
      <c r="N157" s="6">
        <v>0</v>
      </c>
      <c r="O157" s="4">
        <f t="shared" si="44"/>
        <v>126513.54</v>
      </c>
      <c r="P157" s="5">
        <f>SUMIFS('Desenvolvimento diário'!$H:$H,'Desenvolvimento diário'!$Q:$Q,$B157,'Desenvolvimento diário'!$P:$P,$F157,'Desenvolvimento diário'!$R:$R,"Sim")</f>
        <v>14032</v>
      </c>
      <c r="Q157" s="5">
        <f>SUMIFS('Desenvolvimento diário'!$H:$H,'Desenvolvimento diário'!$Q:$Q,$B157,'Desenvolvimento diário'!$P:$P,$F157,'Desenvolvimento diário'!$R:$R,"Não")</f>
        <v>112481.54000000001</v>
      </c>
      <c r="R157" s="4">
        <f t="shared" si="45"/>
        <v>126513.54000000001</v>
      </c>
      <c r="S157" s="4">
        <f t="shared" si="46"/>
        <v>0</v>
      </c>
      <c r="T157" s="12">
        <f t="shared" si="38"/>
        <v>1.0000000000000002</v>
      </c>
      <c r="Y157" s="2"/>
      <c r="Z157" s="2"/>
      <c r="AA157" s="2"/>
      <c r="AB157" s="2"/>
      <c r="AC157" s="2"/>
    </row>
    <row r="158" spans="1:29" ht="10.5" hidden="1">
      <c r="A158" s="2">
        <f t="shared" si="47"/>
        <v>5</v>
      </c>
      <c r="B158" s="2" t="str">
        <f>VLOOKUP($A158,Controle!$B$4:$F$68,2,FALSE)</f>
        <v>Nova Ponte 1</v>
      </c>
      <c r="C158" s="2" t="str">
        <f>VLOOKUP($A158,Controle!$B$4:$F$68,3,FALSE)</f>
        <v xml:space="preserve">MORI GERACAO II </v>
      </c>
      <c r="D158" s="2" t="str">
        <f>VLOOKUP($A158,Controle!$B$4:$F$68,4,FALSE)</f>
        <v>Mori II</v>
      </c>
      <c r="E158" s="2" t="str">
        <f>VLOOKUP($A158,Controle!$B$4:$F$68,5,FALSE)</f>
        <v>Weg</v>
      </c>
      <c r="F158" s="3" t="str">
        <f>F123</f>
        <v>Sistemas de Monitoramento - Estações Solarimétricas</v>
      </c>
      <c r="G158" s="2" t="str">
        <f>VLOOKUP($A158,Controle!$B$4:$G$68,6,FALSE)</f>
        <v>Mori</v>
      </c>
      <c r="H158" s="6">
        <v>0</v>
      </c>
      <c r="I158" s="6">
        <v>0</v>
      </c>
      <c r="J158" s="6">
        <v>0</v>
      </c>
      <c r="K158" s="6">
        <v>0</v>
      </c>
      <c r="L158" s="6">
        <v>0</v>
      </c>
      <c r="M158" s="6">
        <v>0</v>
      </c>
      <c r="N158" s="6">
        <v>0</v>
      </c>
      <c r="O158" s="4">
        <f t="shared" si="44"/>
        <v>0</v>
      </c>
      <c r="P158" s="5">
        <f>SUMIFS('Desenvolvimento diário'!$H:$H,'Desenvolvimento diário'!$Q:$Q,$B158,'Desenvolvimento diário'!$P:$P,$F158,'Desenvolvimento diário'!$R:$R,"Sim")</f>
        <v>0</v>
      </c>
      <c r="Q158" s="5">
        <f>SUMIFS('Desenvolvimento diário'!$H:$H,'Desenvolvimento diário'!$Q:$Q,$B158,'Desenvolvimento diário'!$P:$P,$F158,'Desenvolvimento diário'!$R:$R,"Não")</f>
        <v>0</v>
      </c>
      <c r="R158" s="4">
        <f t="shared" si="45"/>
        <v>0</v>
      </c>
      <c r="S158" s="4">
        <f t="shared" si="46"/>
        <v>0</v>
      </c>
      <c r="T158" s="12">
        <f t="shared" si="38"/>
        <v>0</v>
      </c>
      <c r="Y158" s="2"/>
      <c r="Z158" s="2"/>
      <c r="AA158" s="2"/>
      <c r="AB158" s="2"/>
      <c r="AC158" s="2"/>
    </row>
    <row r="159" spans="1:29" hidden="1">
      <c r="A159" s="2">
        <f t="shared" si="47"/>
        <v>5</v>
      </c>
      <c r="B159" s="2" t="str">
        <f>VLOOKUP($A159,Controle!$B$4:$F$68,2,FALSE)</f>
        <v>Nova Ponte 1</v>
      </c>
      <c r="C159" s="2" t="str">
        <f>VLOOKUP($A159,Controle!$B$4:$F$68,3,FALSE)</f>
        <v xml:space="preserve">MORI GERACAO II </v>
      </c>
      <c r="D159" s="2" t="str">
        <f>VLOOKUP($A159,Controle!$B$4:$F$68,4,FALSE)</f>
        <v>Mori II</v>
      </c>
      <c r="E159" s="2" t="str">
        <f>VLOOKUP($A159,Controle!$B$4:$F$68,5,FALSE)</f>
        <v>Weg</v>
      </c>
      <c r="F159" s="3" t="str">
        <f>F124</f>
        <v>Sistemas de Monitoramento - CFTV</v>
      </c>
      <c r="G159" s="2" t="str">
        <f>VLOOKUP($A159,Controle!$B$4:$G$68,6,FALSE)</f>
        <v>Mori</v>
      </c>
      <c r="H159" s="31" t="s">
        <v>152</v>
      </c>
      <c r="I159" s="6">
        <v>238984.98</v>
      </c>
      <c r="J159" s="29">
        <v>56389.87</v>
      </c>
      <c r="K159" s="6">
        <v>0</v>
      </c>
      <c r="L159" s="6">
        <v>0</v>
      </c>
      <c r="M159" s="6">
        <v>0</v>
      </c>
      <c r="N159" s="6">
        <v>0</v>
      </c>
      <c r="O159" s="4">
        <f t="shared" si="44"/>
        <v>295374.85000000003</v>
      </c>
      <c r="P159" s="5">
        <f>SUMIFS('Desenvolvimento diário'!$H:$H,'Desenvolvimento diário'!$Q:$Q,$B159,'Desenvolvimento diário'!$P:$P,$F159,'Desenvolvimento diário'!$R:$R,"Sim")</f>
        <v>0</v>
      </c>
      <c r="Q159" s="5">
        <f>SUMIFS('Desenvolvimento diário'!$H:$H,'Desenvolvimento diário'!$Q:$Q,$B159,'Desenvolvimento diário'!$P:$P,$F159,'Desenvolvimento diário'!$R:$R,"Não")</f>
        <v>295374.84999999998</v>
      </c>
      <c r="R159" s="4">
        <f t="shared" si="45"/>
        <v>295374.84999999998</v>
      </c>
      <c r="S159" s="4">
        <f t="shared" si="46"/>
        <v>0</v>
      </c>
      <c r="T159" s="12">
        <f t="shared" si="38"/>
        <v>0.99999999999999978</v>
      </c>
    </row>
    <row r="160" spans="1:29" ht="10.5" hidden="1">
      <c r="A160" s="2">
        <f t="shared" si="47"/>
        <v>5</v>
      </c>
      <c r="B160" s="2" t="str">
        <f>VLOOKUP($A160,Controle!$B$4:$F$68,2,FALSE)</f>
        <v>Nova Ponte 1</v>
      </c>
      <c r="C160" s="2" t="str">
        <f>VLOOKUP($A160,Controle!$B$4:$F$68,3,FALSE)</f>
        <v xml:space="preserve">MORI GERACAO II </v>
      </c>
      <c r="D160" s="2" t="str">
        <f>VLOOKUP($A160,Controle!$B$4:$F$68,4,FALSE)</f>
        <v>Mori II</v>
      </c>
      <c r="E160" s="2" t="str">
        <f>VLOOKUP($A160,Controle!$B$4:$F$68,5,FALSE)</f>
        <v>Weg</v>
      </c>
      <c r="F160" s="3" t="str">
        <f>F125</f>
        <v>Serviços Auxiliares - Drenagem</v>
      </c>
      <c r="G160" s="2" t="str">
        <f>VLOOKUP($A160,Controle!$B$4:$G$68,6,FALSE)</f>
        <v>Mori</v>
      </c>
      <c r="H160" s="6" t="s">
        <v>183</v>
      </c>
      <c r="I160" s="6">
        <v>448611.67</v>
      </c>
      <c r="J160" s="6">
        <v>0</v>
      </c>
      <c r="K160" s="6">
        <v>0</v>
      </c>
      <c r="L160" s="6">
        <v>0</v>
      </c>
      <c r="M160" s="6">
        <v>0</v>
      </c>
      <c r="N160" s="6">
        <v>0</v>
      </c>
      <c r="O160" s="4">
        <f t="shared" si="44"/>
        <v>448611.67</v>
      </c>
      <c r="P160" s="5">
        <f>SUMIFS('Desenvolvimento diário'!$H:$H,'Desenvolvimento diário'!$Q:$Q,$B160,'Desenvolvimento diário'!$P:$P,$F160,'Desenvolvimento diário'!$R:$R,"Sim")</f>
        <v>0</v>
      </c>
      <c r="Q160" s="5">
        <f>SUMIFS('Desenvolvimento diário'!$H:$H,'Desenvolvimento diário'!$Q:$Q,$B160,'Desenvolvimento diário'!$P:$P,$F160,'Desenvolvimento diário'!$R:$R,"Não")</f>
        <v>448611.67</v>
      </c>
      <c r="R160" s="4">
        <f t="shared" si="45"/>
        <v>448611.67</v>
      </c>
      <c r="S160" s="4">
        <f t="shared" si="46"/>
        <v>0</v>
      </c>
      <c r="T160" s="12">
        <f t="shared" si="38"/>
        <v>1</v>
      </c>
      <c r="Y160" s="2"/>
      <c r="Z160" s="2"/>
      <c r="AA160" s="2"/>
      <c r="AB160" s="2"/>
      <c r="AC160" s="2"/>
    </row>
    <row r="161" spans="1:29" ht="10.5" hidden="1">
      <c r="A161" s="2">
        <f t="shared" si="47"/>
        <v>5</v>
      </c>
      <c r="B161" s="2" t="str">
        <f>VLOOKUP($A161,Controle!$B$4:$F$68,2,FALSE)</f>
        <v>Nova Ponte 1</v>
      </c>
      <c r="C161" s="2" t="str">
        <f>VLOOKUP($A161,Controle!$B$4:$F$68,3,FALSE)</f>
        <v xml:space="preserve">MORI GERACAO II </v>
      </c>
      <c r="D161" s="2" t="str">
        <f>VLOOKUP($A161,Controle!$B$4:$F$68,4,FALSE)</f>
        <v>Mori II</v>
      </c>
      <c r="E161" s="2" t="str">
        <f>VLOOKUP($A161,Controle!$B$4:$F$68,5,FALSE)</f>
        <v>Weg</v>
      </c>
      <c r="F161" s="3" t="str">
        <f>F126</f>
        <v>Serviços Auxiliares - Terraplanagem</v>
      </c>
      <c r="G161" s="2" t="str">
        <f>VLOOKUP($A161,Controle!$B$4:$G$68,6,FALSE)</f>
        <v>Mori</v>
      </c>
      <c r="H161" s="6" t="s">
        <v>154</v>
      </c>
      <c r="I161" s="6">
        <v>695115.07</v>
      </c>
      <c r="J161" s="6">
        <v>0</v>
      </c>
      <c r="K161" s="6">
        <v>0</v>
      </c>
      <c r="L161" s="6">
        <v>0</v>
      </c>
      <c r="M161" s="6">
        <v>0</v>
      </c>
      <c r="N161" s="6">
        <v>0</v>
      </c>
      <c r="O161" s="4">
        <f t="shared" si="44"/>
        <v>695115.07</v>
      </c>
      <c r="P161" s="5">
        <f>SUMIFS('Desenvolvimento diário'!$H:$H,'Desenvolvimento diário'!$Q:$Q,$B161,'Desenvolvimento diário'!$P:$P,$F161,'Desenvolvimento diário'!$R:$R,"Sim")</f>
        <v>0</v>
      </c>
      <c r="Q161" s="5">
        <f>SUMIFS('Desenvolvimento diário'!$H:$H,'Desenvolvimento diário'!$Q:$Q,$B161,'Desenvolvimento diário'!$P:$P,$F161,'Desenvolvimento diário'!$R:$R,"Não")</f>
        <v>695115.07</v>
      </c>
      <c r="R161" s="4">
        <f t="shared" si="45"/>
        <v>695115.07</v>
      </c>
      <c r="S161" s="4">
        <f t="shared" si="46"/>
        <v>0</v>
      </c>
      <c r="T161" s="12">
        <f t="shared" si="38"/>
        <v>1</v>
      </c>
      <c r="Y161" s="2"/>
      <c r="Z161" s="2"/>
      <c r="AA161" s="2"/>
      <c r="AB161" s="2"/>
      <c r="AC161" s="2"/>
    </row>
    <row r="162" spans="1:29" ht="10.5" hidden="1">
      <c r="A162" s="2">
        <f t="shared" si="47"/>
        <v>5</v>
      </c>
      <c r="B162" s="2" t="str">
        <f>VLOOKUP($A162,Controle!$B$4:$F$68,2,FALSE)</f>
        <v>Nova Ponte 1</v>
      </c>
      <c r="C162" s="2" t="str">
        <f>VLOOKUP($A162,Controle!$B$4:$F$68,3,FALSE)</f>
        <v xml:space="preserve">MORI GERACAO II </v>
      </c>
      <c r="D162" s="2" t="str">
        <f>VLOOKUP($A162,Controle!$B$4:$F$68,4,FALSE)</f>
        <v>Mori II</v>
      </c>
      <c r="E162" s="2" t="str">
        <f>VLOOKUP($A162,Controle!$B$4:$F$68,5,FALSE)</f>
        <v>Weg</v>
      </c>
      <c r="F162" s="3" t="str">
        <f>F127</f>
        <v>Serviços Auxiliares - Supressão Vegetal</v>
      </c>
      <c r="G162" s="2" t="str">
        <f>VLOOKUP($A162,Controle!$B$4:$G$68,6,FALSE)</f>
        <v>Mori</v>
      </c>
      <c r="H162" s="6">
        <v>0</v>
      </c>
      <c r="I162" s="6">
        <v>0</v>
      </c>
      <c r="J162" s="6">
        <v>0</v>
      </c>
      <c r="K162" s="6">
        <v>0</v>
      </c>
      <c r="L162" s="6">
        <v>0</v>
      </c>
      <c r="M162" s="6">
        <v>0</v>
      </c>
      <c r="N162" s="6">
        <v>0</v>
      </c>
      <c r="O162" s="4">
        <f t="shared" si="44"/>
        <v>0</v>
      </c>
      <c r="P162" s="5">
        <f>SUMIFS('Desenvolvimento diário'!$H:$H,'Desenvolvimento diário'!$Q:$Q,$B162,'Desenvolvimento diário'!$P:$P,$F162,'Desenvolvimento diário'!$R:$R,"Sim")</f>
        <v>0</v>
      </c>
      <c r="Q162" s="5">
        <f>SUMIFS('Desenvolvimento diário'!$H:$H,'Desenvolvimento diário'!$Q:$Q,$B162,'Desenvolvimento diário'!$P:$P,$F162,'Desenvolvimento diário'!$R:$R,"Não")</f>
        <v>0</v>
      </c>
      <c r="R162" s="4">
        <f t="shared" si="45"/>
        <v>0</v>
      </c>
      <c r="S162" s="4">
        <f t="shared" si="46"/>
        <v>0</v>
      </c>
      <c r="T162" s="12">
        <f t="shared" si="38"/>
        <v>0</v>
      </c>
      <c r="Y162" s="2"/>
      <c r="Z162" s="2"/>
      <c r="AA162" s="2"/>
      <c r="AB162" s="2"/>
      <c r="AC162" s="2"/>
    </row>
    <row r="163" spans="1:29" ht="10.5" hidden="1">
      <c r="A163" s="2">
        <f t="shared" si="47"/>
        <v>5</v>
      </c>
      <c r="B163" s="2" t="str">
        <f>VLOOKUP($A163,Controle!$B$4:$F$68,2,FALSE)</f>
        <v>Nova Ponte 1</v>
      </c>
      <c r="C163" s="2" t="str">
        <f>VLOOKUP($A163,Controle!$B$4:$F$68,3,FALSE)</f>
        <v xml:space="preserve">MORI GERACAO II </v>
      </c>
      <c r="D163" s="2" t="str">
        <f>VLOOKUP($A163,Controle!$B$4:$F$68,4,FALSE)</f>
        <v>Mori II</v>
      </c>
      <c r="E163" s="2" t="str">
        <f>VLOOKUP($A163,Controle!$B$4:$F$68,5,FALSE)</f>
        <v>Weg</v>
      </c>
      <c r="F163" s="3" t="str">
        <f>F128</f>
        <v>RDR-Rede de Distribuição Rural</v>
      </c>
      <c r="G163" s="2" t="str">
        <f>VLOOKUP($A163,Controle!$B$4:$G$68,6,FALSE)</f>
        <v>Mori</v>
      </c>
      <c r="H163" s="6">
        <v>0</v>
      </c>
      <c r="I163" s="6">
        <v>0</v>
      </c>
      <c r="J163" s="6">
        <v>0</v>
      </c>
      <c r="K163" s="6">
        <v>0</v>
      </c>
      <c r="L163" s="6">
        <v>0</v>
      </c>
      <c r="M163" s="6">
        <v>0</v>
      </c>
      <c r="N163" s="6">
        <v>0</v>
      </c>
      <c r="O163" s="4">
        <f t="shared" si="44"/>
        <v>0</v>
      </c>
      <c r="P163" s="5">
        <f>SUMIFS('Desenvolvimento diário'!$H:$H,'Desenvolvimento diário'!$Q:$Q,$B163,'Desenvolvimento diário'!$P:$P,$F163,'Desenvolvimento diário'!$R:$R,"Sim")</f>
        <v>0</v>
      </c>
      <c r="Q163" s="5">
        <f>SUMIFS('Desenvolvimento diário'!$H:$H,'Desenvolvimento diário'!$Q:$Q,$B163,'Desenvolvimento diário'!$P:$P,$F163,'Desenvolvimento diário'!$R:$R,"Não")</f>
        <v>0</v>
      </c>
      <c r="R163" s="4">
        <f t="shared" si="45"/>
        <v>0</v>
      </c>
      <c r="S163" s="4">
        <f t="shared" si="46"/>
        <v>0</v>
      </c>
      <c r="T163" s="12">
        <f t="shared" si="38"/>
        <v>0</v>
      </c>
      <c r="Y163" s="2"/>
      <c r="Z163" s="2"/>
      <c r="AA163" s="2"/>
      <c r="AB163" s="2"/>
      <c r="AC163" s="2"/>
    </row>
    <row r="164" spans="1:29" ht="10.5" hidden="1">
      <c r="A164" s="2">
        <f t="shared" si="47"/>
        <v>5</v>
      </c>
      <c r="B164" s="2" t="str">
        <f>VLOOKUP($A164,Controle!$B$4:$F$68,2,FALSE)</f>
        <v>Nova Ponte 1</v>
      </c>
      <c r="C164" s="2" t="str">
        <f>VLOOKUP($A164,Controle!$B$4:$F$68,3,FALSE)</f>
        <v xml:space="preserve">MORI GERACAO II </v>
      </c>
      <c r="D164" s="2" t="str">
        <f>VLOOKUP($A164,Controle!$B$4:$F$68,4,FALSE)</f>
        <v>Mori II</v>
      </c>
      <c r="E164" s="2" t="str">
        <f>VLOOKUP($A164,Controle!$B$4:$F$68,5,FALSE)</f>
        <v>Weg</v>
      </c>
      <c r="F164" s="3" t="str">
        <f>F129</f>
        <v>Escopo COMERC</v>
      </c>
      <c r="G164" s="2" t="str">
        <f>VLOOKUP($A164,Controle!$B$4:$G$68,6,FALSE)</f>
        <v>Mori</v>
      </c>
      <c r="H164" s="6">
        <v>0</v>
      </c>
      <c r="I164" s="6">
        <v>18500</v>
      </c>
      <c r="J164" s="29">
        <v>13000</v>
      </c>
      <c r="K164" s="29"/>
      <c r="L164" s="6">
        <v>0</v>
      </c>
      <c r="M164" s="6">
        <v>0</v>
      </c>
      <c r="N164" s="6">
        <v>0</v>
      </c>
      <c r="O164" s="4">
        <f t="shared" si="44"/>
        <v>31500</v>
      </c>
      <c r="P164" s="5">
        <f>SUMIFS('Desenvolvimento diário'!$H:$H,'Desenvolvimento diário'!$Q:$Q,$B164,'Desenvolvimento diário'!$P:$P,$F164,'Desenvolvimento diário'!$R:$R,"Sim")</f>
        <v>0</v>
      </c>
      <c r="Q164" s="5">
        <f>SUMIFS('Desenvolvimento diário'!$H:$H,'Desenvolvimento diário'!$Q:$Q,$B164,'Desenvolvimento diário'!$P:$P,$F164,'Desenvolvimento diário'!$R:$R,"Não")</f>
        <v>18500</v>
      </c>
      <c r="R164" s="4">
        <f t="shared" si="45"/>
        <v>18500</v>
      </c>
      <c r="S164" s="1010">
        <f t="shared" si="46"/>
        <v>13000</v>
      </c>
      <c r="T164" s="12">
        <f t="shared" si="38"/>
        <v>0.58730158730158732</v>
      </c>
      <c r="U164" s="1011" t="s">
        <v>166</v>
      </c>
      <c r="V164" s="1011" t="s">
        <v>167</v>
      </c>
      <c r="Y164" s="2"/>
      <c r="Z164" s="2"/>
      <c r="AA164" s="2"/>
      <c r="AB164" s="2"/>
      <c r="AC164" s="2"/>
    </row>
    <row r="165" spans="1:29" ht="10.5" hidden="1">
      <c r="A165" s="2">
        <f t="shared" si="47"/>
        <v>5</v>
      </c>
      <c r="B165" s="2" t="str">
        <f>VLOOKUP($A165,Controle!$B$4:$F$68,2,FALSE)</f>
        <v>Nova Ponte 1</v>
      </c>
      <c r="C165" s="2" t="str">
        <f>VLOOKUP($A165,Controle!$B$4:$F$68,3,FALSE)</f>
        <v xml:space="preserve">MORI GERACAO II </v>
      </c>
      <c r="D165" s="2" t="str">
        <f>VLOOKUP($A165,Controle!$B$4:$F$68,4,FALSE)</f>
        <v>Mori II</v>
      </c>
      <c r="E165" s="2" t="str">
        <f>VLOOKUP($A165,Controle!$B$4:$F$68,5,FALSE)</f>
        <v>Weg</v>
      </c>
      <c r="F165" s="3" t="str">
        <f>F130</f>
        <v>Escopo COMERC - Segurança</v>
      </c>
      <c r="G165" s="2" t="str">
        <f>VLOOKUP($A165,Controle!$B$4:$G$68,6,FALSE)</f>
        <v>Mori</v>
      </c>
      <c r="H165" s="6">
        <v>0</v>
      </c>
      <c r="I165" s="6">
        <f t="shared" ref="I164:I165" si="48">R165</f>
        <v>59115.270000000004</v>
      </c>
      <c r="J165" s="6">
        <v>0</v>
      </c>
      <c r="K165" s="6">
        <v>0</v>
      </c>
      <c r="L165" s="6">
        <v>0</v>
      </c>
      <c r="M165" s="6">
        <v>0</v>
      </c>
      <c r="N165" s="6">
        <v>0</v>
      </c>
      <c r="O165" s="4">
        <f t="shared" si="44"/>
        <v>59115.270000000004</v>
      </c>
      <c r="P165" s="5">
        <f>SUMIFS('Desenvolvimento diário'!$H:$H,'Desenvolvimento diário'!$Q:$Q,$B165,'Desenvolvimento diário'!$P:$P,$F165,'Desenvolvimento diário'!$R:$R,"Sim")</f>
        <v>0</v>
      </c>
      <c r="Q165" s="5">
        <f>SUMIFS('Desenvolvimento diário'!$H:$H,'Desenvolvimento diário'!$Q:$Q,$B165,'Desenvolvimento diário'!$P:$P,$F165,'Desenvolvimento diário'!$R:$R,"Não")</f>
        <v>59115.270000000004</v>
      </c>
      <c r="R165" s="4">
        <f t="shared" si="45"/>
        <v>59115.270000000004</v>
      </c>
      <c r="S165" s="4">
        <f t="shared" si="46"/>
        <v>0</v>
      </c>
      <c r="T165" s="12">
        <f t="shared" si="38"/>
        <v>1</v>
      </c>
      <c r="Y165" s="2"/>
      <c r="Z165" s="2"/>
      <c r="AA165" s="2"/>
      <c r="AB165" s="2"/>
      <c r="AC165" s="2"/>
    </row>
    <row r="166" spans="1:29" ht="10.5" hidden="1">
      <c r="A166" s="2">
        <f t="shared" si="47"/>
        <v>5</v>
      </c>
      <c r="B166" s="2" t="str">
        <f>VLOOKUP($A166,Controle!$B$4:$F$68,2,FALSE)</f>
        <v>Nova Ponte 1</v>
      </c>
      <c r="C166" s="2" t="str">
        <f>VLOOKUP($A166,Controle!$B$4:$F$68,3,FALSE)</f>
        <v xml:space="preserve">MORI GERACAO II </v>
      </c>
      <c r="D166" s="2" t="str">
        <f>VLOOKUP($A166,Controle!$B$4:$F$68,4,FALSE)</f>
        <v>Mori II</v>
      </c>
      <c r="E166" s="2" t="str">
        <f>VLOOKUP($A166,Controle!$B$4:$F$68,5,FALSE)</f>
        <v>Weg</v>
      </c>
      <c r="F166" s="3" t="str">
        <f>F131</f>
        <v>Conexão MT - Obras Transferencia</v>
      </c>
      <c r="G166" s="2" t="str">
        <f>VLOOKUP($A166,Controle!$B$4:$G$68,6,FALSE)</f>
        <v>Mori</v>
      </c>
      <c r="H166" s="6">
        <v>0</v>
      </c>
      <c r="I166" s="6">
        <v>0</v>
      </c>
      <c r="J166" s="6">
        <v>0</v>
      </c>
      <c r="K166" s="6">
        <v>0</v>
      </c>
      <c r="L166" s="6">
        <v>0</v>
      </c>
      <c r="M166" s="6">
        <v>0</v>
      </c>
      <c r="N166" s="6">
        <v>0</v>
      </c>
      <c r="O166" s="4">
        <f t="shared" si="44"/>
        <v>0</v>
      </c>
      <c r="P166" s="5">
        <f>SUMIFS('Desenvolvimento diário'!$H:$H,'Desenvolvimento diário'!$Q:$Q,$B166,'Desenvolvimento diário'!$P:$P,$F166,'Desenvolvimento diário'!$R:$R,"Sim")</f>
        <v>0</v>
      </c>
      <c r="Q166" s="5">
        <f>SUMIFS('Desenvolvimento diário'!$H:$H,'Desenvolvimento diário'!$Q:$Q,$B166,'Desenvolvimento diário'!$P:$P,$F166,'Desenvolvimento diário'!$R:$R,"Não")</f>
        <v>0</v>
      </c>
      <c r="R166" s="4">
        <f t="shared" si="45"/>
        <v>0</v>
      </c>
      <c r="S166" s="4">
        <f t="shared" si="46"/>
        <v>0</v>
      </c>
      <c r="T166" s="12">
        <f t="shared" si="38"/>
        <v>0</v>
      </c>
      <c r="Y166" s="2"/>
      <c r="Z166" s="2"/>
      <c r="AA166" s="2"/>
      <c r="AB166" s="2"/>
      <c r="AC166" s="2"/>
    </row>
    <row r="167" spans="1:29" ht="10.5" hidden="1">
      <c r="A167" s="2">
        <f t="shared" si="47"/>
        <v>5</v>
      </c>
      <c r="B167" s="2" t="str">
        <f>VLOOKUP($A167,Controle!$B$4:$F$68,2,FALSE)</f>
        <v>Nova Ponte 1</v>
      </c>
      <c r="C167" s="2" t="str">
        <f>VLOOKUP($A167,Controle!$B$4:$F$68,3,FALSE)</f>
        <v xml:space="preserve">MORI GERACAO II </v>
      </c>
      <c r="D167" s="2" t="str">
        <f>VLOOKUP($A167,Controle!$B$4:$F$68,4,FALSE)</f>
        <v>Mori II</v>
      </c>
      <c r="E167" s="2" t="str">
        <f>VLOOKUP($A167,Controle!$B$4:$F$68,5,FALSE)</f>
        <v>Weg</v>
      </c>
      <c r="F167" s="3" t="str">
        <f>F132</f>
        <v>Bases de Contaniers</v>
      </c>
      <c r="G167" s="2" t="str">
        <f>VLOOKUP($A167,Controle!$B$4:$G$68,6,FALSE)</f>
        <v>Mori</v>
      </c>
      <c r="H167" s="6" t="s">
        <v>181</v>
      </c>
      <c r="I167" s="6">
        <v>147704.69</v>
      </c>
      <c r="J167" s="6">
        <v>0</v>
      </c>
      <c r="K167" s="6">
        <v>0</v>
      </c>
      <c r="L167" s="6">
        <v>0</v>
      </c>
      <c r="M167" s="6">
        <v>0</v>
      </c>
      <c r="N167" s="6">
        <v>0</v>
      </c>
      <c r="O167" s="4">
        <f t="shared" si="44"/>
        <v>147704.69</v>
      </c>
      <c r="P167" s="5">
        <f>SUMIFS('Desenvolvimento diário'!$H:$H,'Desenvolvimento diário'!$Q:$Q,$B167,'Desenvolvimento diário'!$P:$P,$F167,'Desenvolvimento diário'!$R:$R,"Sim")</f>
        <v>88000</v>
      </c>
      <c r="Q167" s="5">
        <f>SUMIFS('Desenvolvimento diário'!$H:$H,'Desenvolvimento diário'!$Q:$Q,$B167,'Desenvolvimento diário'!$P:$P,$F167,'Desenvolvimento diário'!$R:$R,"Não")</f>
        <v>59704.69</v>
      </c>
      <c r="R167" s="4">
        <f t="shared" si="45"/>
        <v>147704.69</v>
      </c>
      <c r="S167" s="27">
        <f t="shared" si="46"/>
        <v>0</v>
      </c>
      <c r="T167" s="12">
        <f t="shared" si="38"/>
        <v>1</v>
      </c>
      <c r="Y167" s="2"/>
      <c r="Z167" s="2"/>
      <c r="AA167" s="2"/>
      <c r="AB167" s="2"/>
      <c r="AC167" s="2"/>
    </row>
    <row r="168" spans="1:29" ht="10.5" hidden="1">
      <c r="A168" s="2">
        <f t="shared" si="47"/>
        <v>5</v>
      </c>
      <c r="B168" s="2" t="str">
        <f>VLOOKUP($A168,Controle!$B$4:$F$68,2,FALSE)</f>
        <v>Nova Ponte 1</v>
      </c>
      <c r="C168" s="2" t="str">
        <f>VLOOKUP($A168,Controle!$B$4:$F$68,3,FALSE)</f>
        <v xml:space="preserve">MORI GERACAO II </v>
      </c>
      <c r="D168" s="2" t="str">
        <f>VLOOKUP($A168,Controle!$B$4:$F$68,4,FALSE)</f>
        <v>Mori II</v>
      </c>
      <c r="E168" s="2" t="str">
        <f>VLOOKUP($A168,Controle!$B$4:$F$68,5,FALSE)</f>
        <v>Weg</v>
      </c>
      <c r="F168" s="3" t="str">
        <f>F133</f>
        <v>Construção - Serviços de Construção - Ase Engenharia</v>
      </c>
      <c r="G168" s="2" t="str">
        <f>VLOOKUP($A168,Controle!$B$4:$G$68,6,FALSE)</f>
        <v>Mori</v>
      </c>
      <c r="H168" s="6">
        <v>0</v>
      </c>
      <c r="I168" s="6">
        <v>0</v>
      </c>
      <c r="J168" s="6">
        <v>0</v>
      </c>
      <c r="K168" s="6">
        <v>0</v>
      </c>
      <c r="L168" s="6">
        <v>0</v>
      </c>
      <c r="M168" s="6">
        <v>0</v>
      </c>
      <c r="N168" s="6">
        <v>0</v>
      </c>
      <c r="O168" s="4">
        <f t="shared" si="44"/>
        <v>0</v>
      </c>
      <c r="P168" s="5">
        <f>SUMIFS('Desenvolvimento diário'!$H:$H,'Desenvolvimento diário'!$Q:$Q,$B168,'Desenvolvimento diário'!$P:$P,$F168,'Desenvolvimento diário'!$R:$R,"Sim")</f>
        <v>0</v>
      </c>
      <c r="Q168" s="5">
        <f>SUMIFS('Desenvolvimento diário'!$H:$H,'Desenvolvimento diário'!$Q:$Q,$B168,'Desenvolvimento diário'!$P:$P,$F168,'Desenvolvimento diário'!$R:$R,"Não")</f>
        <v>0</v>
      </c>
      <c r="R168" s="4">
        <f t="shared" si="45"/>
        <v>0</v>
      </c>
      <c r="S168" s="4">
        <f t="shared" si="46"/>
        <v>0</v>
      </c>
      <c r="T168" s="12">
        <f t="shared" si="38"/>
        <v>0</v>
      </c>
      <c r="Y168" s="2"/>
      <c r="Z168" s="2"/>
      <c r="AA168" s="2"/>
      <c r="AB168" s="2"/>
      <c r="AC168" s="2"/>
    </row>
    <row r="169" spans="1:29" ht="10.5" hidden="1">
      <c r="A169" s="2">
        <f t="shared" si="47"/>
        <v>5</v>
      </c>
      <c r="B169" s="2" t="str">
        <f>VLOOKUP($A169,Controle!$B$4:$F$68,2,FALSE)</f>
        <v>Nova Ponte 1</v>
      </c>
      <c r="C169" s="2" t="str">
        <f>VLOOKUP($A169,Controle!$B$4:$F$68,3,FALSE)</f>
        <v xml:space="preserve">MORI GERACAO II </v>
      </c>
      <c r="D169" s="2" t="str">
        <f>VLOOKUP($A169,Controle!$B$4:$F$68,4,FALSE)</f>
        <v>Mori II</v>
      </c>
      <c r="E169" s="2" t="str">
        <f>VLOOKUP($A169,Controle!$B$4:$F$68,5,FALSE)</f>
        <v>Weg</v>
      </c>
      <c r="F169" s="3" t="str">
        <f>F134</f>
        <v>Full EPC - Contrato Sobressalentes</v>
      </c>
      <c r="G169" s="2" t="str">
        <f>VLOOKUP($A169,Controle!$B$4:$G$68,6,FALSE)</f>
        <v>Mori</v>
      </c>
      <c r="H169" s="6" t="s">
        <v>21</v>
      </c>
      <c r="I169" s="6">
        <v>130023.64</v>
      </c>
      <c r="J169" s="6">
        <v>0</v>
      </c>
      <c r="K169" s="6">
        <v>0</v>
      </c>
      <c r="L169" s="6">
        <v>0</v>
      </c>
      <c r="M169" s="6">
        <v>0</v>
      </c>
      <c r="N169" s="6">
        <v>0</v>
      </c>
      <c r="O169" s="4">
        <f t="shared" si="44"/>
        <v>130023.64</v>
      </c>
      <c r="P169" s="5">
        <f>SUMIFS('Desenvolvimento diário'!$H:$H,'Desenvolvimento diário'!$Q:$Q,$B169,'Desenvolvimento diário'!$P:$P,$F169,'Desenvolvimento diário'!$R:$R,"Sim")</f>
        <v>0</v>
      </c>
      <c r="Q169" s="5">
        <f>SUMIFS('Desenvolvimento diário'!$H:$H,'Desenvolvimento diário'!$Q:$Q,$B169,'Desenvolvimento diário'!$P:$P,$F169,'Desenvolvimento diário'!$R:$R,"Não")</f>
        <v>130023.64</v>
      </c>
      <c r="R169" s="4">
        <f t="shared" si="45"/>
        <v>130023.64</v>
      </c>
      <c r="S169" s="4">
        <f t="shared" si="46"/>
        <v>0</v>
      </c>
      <c r="T169" s="12">
        <f t="shared" si="38"/>
        <v>1</v>
      </c>
      <c r="Y169" s="2"/>
      <c r="Z169" s="2"/>
      <c r="AA169" s="2"/>
      <c r="AB169" s="2"/>
      <c r="AC169" s="2"/>
    </row>
    <row r="170" spans="1:29" ht="10.5" hidden="1">
      <c r="A170" s="2">
        <f t="shared" si="47"/>
        <v>5</v>
      </c>
      <c r="B170" s="2" t="str">
        <f>VLOOKUP($A170,Controle!$B$4:$F$68,2,FALSE)</f>
        <v>Nova Ponte 1</v>
      </c>
      <c r="C170" s="2" t="str">
        <f>VLOOKUP($A170,Controle!$B$4:$F$68,3,FALSE)</f>
        <v xml:space="preserve">MORI GERACAO II </v>
      </c>
      <c r="D170" s="2" t="str">
        <f>VLOOKUP($A170,Controle!$B$4:$F$68,4,FALSE)</f>
        <v>Mori II</v>
      </c>
      <c r="E170" s="2" t="str">
        <f>VLOOKUP($A170,Controle!$B$4:$F$68,5,FALSE)</f>
        <v>Weg</v>
      </c>
      <c r="F170" s="3" t="str">
        <f>F135</f>
        <v>Construção - Serviços de Construção - NOVA MORADA</v>
      </c>
      <c r="G170" s="2" t="str">
        <f>VLOOKUP($A170,Controle!$B$4:$G$68,6,FALSE)</f>
        <v>Mori</v>
      </c>
      <c r="H170" s="6">
        <v>0</v>
      </c>
      <c r="I170" s="6">
        <v>0</v>
      </c>
      <c r="J170" s="6">
        <v>0</v>
      </c>
      <c r="K170" s="6">
        <v>0</v>
      </c>
      <c r="L170" s="6">
        <v>0</v>
      </c>
      <c r="M170" s="6">
        <v>0</v>
      </c>
      <c r="N170" s="6">
        <v>0</v>
      </c>
      <c r="O170" s="4">
        <f t="shared" si="44"/>
        <v>0</v>
      </c>
      <c r="P170" s="5">
        <f>SUMIFS('Desenvolvimento diário'!$H:$H,'Desenvolvimento diário'!$Q:$Q,$B170,'Desenvolvimento diário'!$P:$P,$F170,'Desenvolvimento diário'!$R:$R,"Sim")</f>
        <v>0</v>
      </c>
      <c r="Q170" s="5">
        <f>SUMIFS('Desenvolvimento diário'!$H:$H,'Desenvolvimento diário'!$Q:$Q,$B170,'Desenvolvimento diário'!$P:$P,$F170,'Desenvolvimento diário'!$R:$R,"Não")</f>
        <v>0</v>
      </c>
      <c r="R170" s="4">
        <f t="shared" si="45"/>
        <v>0</v>
      </c>
      <c r="S170" s="4">
        <f t="shared" si="46"/>
        <v>0</v>
      </c>
      <c r="T170" s="12">
        <f t="shared" si="38"/>
        <v>0</v>
      </c>
      <c r="Y170" s="2"/>
      <c r="Z170" s="2"/>
      <c r="AA170" s="2"/>
      <c r="AB170" s="2"/>
      <c r="AC170" s="2"/>
    </row>
    <row r="171" spans="1:29" hidden="1">
      <c r="A171" s="2">
        <f t="shared" si="47"/>
        <v>5</v>
      </c>
      <c r="B171" s="2" t="str">
        <f>VLOOKUP($A171,Controle!$B$4:$F$68,2,FALSE)</f>
        <v>Nova Ponte 1</v>
      </c>
      <c r="C171" s="2" t="str">
        <f>VLOOKUP($A171,Controle!$B$4:$F$68,3,FALSE)</f>
        <v xml:space="preserve">MORI GERACAO II </v>
      </c>
      <c r="D171" s="2" t="str">
        <f>VLOOKUP($A171,Controle!$B$4:$F$68,4,FALSE)</f>
        <v>Mori II</v>
      </c>
      <c r="E171" s="2" t="str">
        <f>VLOOKUP($A171,Controle!$B$4:$F$68,5,FALSE)</f>
        <v>Weg</v>
      </c>
      <c r="F171" s="3" t="str">
        <f>F136</f>
        <v>Equipamentos Curva A -  Contrato Sobressalentes - SETTA</v>
      </c>
      <c r="G171" s="2" t="str">
        <f>VLOOKUP($A171,Controle!$B$4:$G$68,6,FALSE)</f>
        <v>Mori</v>
      </c>
      <c r="H171" s="6">
        <v>0</v>
      </c>
      <c r="I171" s="6">
        <v>0</v>
      </c>
      <c r="J171" s="6">
        <v>0</v>
      </c>
      <c r="K171" s="6">
        <v>0</v>
      </c>
      <c r="L171" s="6">
        <v>0</v>
      </c>
      <c r="M171" s="6">
        <v>0</v>
      </c>
      <c r="N171" s="6">
        <v>0</v>
      </c>
      <c r="O171" s="4">
        <f t="shared" si="44"/>
        <v>0</v>
      </c>
      <c r="P171" s="5">
        <f>SUMIFS('Desenvolvimento diário'!$H:$H,'Desenvolvimento diário'!$Q:$Q,$B171,'Desenvolvimento diário'!$P:$P,$F171,'Desenvolvimento diário'!$R:$R,"Sim")</f>
        <v>0</v>
      </c>
      <c r="Q171" s="5">
        <f>SUMIFS('Desenvolvimento diário'!$H:$H,'Desenvolvimento diário'!$Q:$Q,$B171,'Desenvolvimento diário'!$P:$P,$F171,'Desenvolvimento diário'!$R:$R,"Não")</f>
        <v>0</v>
      </c>
      <c r="R171" s="4">
        <f t="shared" si="45"/>
        <v>0</v>
      </c>
      <c r="S171" s="4">
        <f t="shared" si="46"/>
        <v>0</v>
      </c>
      <c r="T171" s="12">
        <f t="shared" si="38"/>
        <v>0</v>
      </c>
      <c r="Y171" s="2"/>
      <c r="Z171" s="2"/>
      <c r="AA171" s="2"/>
      <c r="AB171" s="2"/>
      <c r="AC171" s="2"/>
    </row>
    <row r="172" spans="1:29" hidden="1">
      <c r="A172" s="2">
        <f t="shared" si="47"/>
        <v>5</v>
      </c>
      <c r="B172" s="2" t="str">
        <f>VLOOKUP($A172,Controle!$B$4:$F$68,2,FALSE)</f>
        <v>Nova Ponte 1</v>
      </c>
      <c r="C172" s="2" t="str">
        <f>VLOOKUP($A172,Controle!$B$4:$F$68,3,FALSE)</f>
        <v xml:space="preserve">MORI GERACAO II </v>
      </c>
      <c r="D172" s="2" t="str">
        <f>VLOOKUP($A172,Controle!$B$4:$F$68,4,FALSE)</f>
        <v>Mori II</v>
      </c>
      <c r="E172" s="2" t="str">
        <f>VLOOKUP($A172,Controle!$B$4:$F$68,5,FALSE)</f>
        <v>Weg</v>
      </c>
      <c r="F172" s="3" t="str">
        <f t="shared" ref="F172:F175" si="49">F137</f>
        <v>Equipamentos Curva A -  Contrato Sobressalentes - Arctech</v>
      </c>
      <c r="G172" s="2" t="str">
        <f>VLOOKUP($A172,Controle!$B$4:$G$68,6,FALSE)</f>
        <v>Mori</v>
      </c>
      <c r="H172" s="6">
        <v>0</v>
      </c>
      <c r="I172" s="6">
        <v>0</v>
      </c>
      <c r="J172" s="6">
        <v>0</v>
      </c>
      <c r="K172" s="6">
        <v>0</v>
      </c>
      <c r="L172" s="6">
        <v>0</v>
      </c>
      <c r="M172" s="6">
        <v>0</v>
      </c>
      <c r="N172" s="6">
        <v>0</v>
      </c>
      <c r="O172" s="4">
        <f t="shared" si="44"/>
        <v>0</v>
      </c>
      <c r="P172" s="5">
        <f>SUMIFS('Desenvolvimento diário'!$H:$H,'Desenvolvimento diário'!$Q:$Q,$B172,'Desenvolvimento diário'!$P:$P,$F172,'Desenvolvimento diário'!$R:$R,"Sim")</f>
        <v>0</v>
      </c>
      <c r="Q172" s="5">
        <f>SUMIFS('Desenvolvimento diário'!$H:$H,'Desenvolvimento diário'!$Q:$Q,$B172,'Desenvolvimento diário'!$P:$P,$F172,'Desenvolvimento diário'!$R:$R,"Não")</f>
        <v>0</v>
      </c>
      <c r="R172" s="4">
        <f t="shared" si="45"/>
        <v>0</v>
      </c>
      <c r="S172" s="4">
        <f t="shared" si="46"/>
        <v>0</v>
      </c>
      <c r="T172" s="12">
        <f t="shared" si="38"/>
        <v>0</v>
      </c>
      <c r="Y172" s="2"/>
      <c r="Z172" s="2"/>
      <c r="AA172" s="2"/>
      <c r="AB172" s="2"/>
      <c r="AC172" s="2"/>
    </row>
    <row r="173" spans="1:29" hidden="1">
      <c r="A173" s="2">
        <f t="shared" si="47"/>
        <v>5</v>
      </c>
      <c r="B173" s="2" t="str">
        <f>VLOOKUP($A173,Controle!$B$4:$F$68,2,FALSE)</f>
        <v>Nova Ponte 1</v>
      </c>
      <c r="C173" s="2" t="str">
        <f>VLOOKUP($A173,Controle!$B$4:$F$68,3,FALSE)</f>
        <v xml:space="preserve">MORI GERACAO II </v>
      </c>
      <c r="D173" s="2" t="str">
        <f>VLOOKUP($A173,Controle!$B$4:$F$68,4,FALSE)</f>
        <v>Mori II</v>
      </c>
      <c r="E173" s="2" t="str">
        <f>VLOOKUP($A173,Controle!$B$4:$F$68,5,FALSE)</f>
        <v>Weg</v>
      </c>
      <c r="F173" s="3" t="str">
        <f t="shared" si="49"/>
        <v>Equipamentos Curva A -  Contrato Sobressalentes - Romagnole</v>
      </c>
      <c r="G173" s="2" t="str">
        <f>VLOOKUP($A173,Controle!$B$4:$G$68,6,FALSE)</f>
        <v>Mori</v>
      </c>
      <c r="H173" s="7">
        <v>0</v>
      </c>
      <c r="I173" s="7">
        <v>0</v>
      </c>
      <c r="J173" s="7">
        <v>0</v>
      </c>
      <c r="K173" s="7">
        <v>0</v>
      </c>
      <c r="L173" s="7">
        <v>0</v>
      </c>
      <c r="M173" s="7">
        <v>0</v>
      </c>
      <c r="N173" s="7">
        <v>0</v>
      </c>
      <c r="O173" s="4">
        <f t="shared" si="44"/>
        <v>0</v>
      </c>
      <c r="P173" s="17">
        <f>SUMIFS('Desenvolvimento diário'!$H:$H,'Desenvolvimento diário'!$Q:$Q,$B173,'Desenvolvimento diário'!$P:$P,$F173,'Desenvolvimento diário'!$R:$R,"Sim")</f>
        <v>0</v>
      </c>
      <c r="Q173" s="17">
        <f>SUMIFS('Desenvolvimento diário'!$H:$H,'Desenvolvimento diário'!$Q:$Q,$B173,'Desenvolvimento diário'!$P:$P,$F173,'Desenvolvimento diário'!$R:$R,"Não")</f>
        <v>0</v>
      </c>
      <c r="R173" s="4">
        <f t="shared" si="45"/>
        <v>0</v>
      </c>
      <c r="S173" s="4">
        <f t="shared" si="46"/>
        <v>0</v>
      </c>
      <c r="T173" s="12">
        <f t="shared" si="38"/>
        <v>0</v>
      </c>
      <c r="Y173" s="2"/>
      <c r="Z173" s="2"/>
      <c r="AA173" s="2"/>
      <c r="AB173" s="2"/>
      <c r="AC173" s="2"/>
    </row>
    <row r="174" spans="1:29" hidden="1">
      <c r="A174" s="2">
        <f t="shared" si="47"/>
        <v>5</v>
      </c>
      <c r="B174" s="2" t="str">
        <f>VLOOKUP($A174,Controle!$B$4:$F$68,2,FALSE)</f>
        <v>Nova Ponte 1</v>
      </c>
      <c r="C174" s="2" t="str">
        <f>VLOOKUP($A174,Controle!$B$4:$F$68,3,FALSE)</f>
        <v xml:space="preserve">MORI GERACAO II </v>
      </c>
      <c r="D174" s="2" t="str">
        <f>VLOOKUP($A174,Controle!$B$4:$F$68,4,FALSE)</f>
        <v>Mori II</v>
      </c>
      <c r="E174" s="2" t="str">
        <f>VLOOKUP($A174,Controle!$B$4:$F$68,5,FALSE)</f>
        <v>Weg</v>
      </c>
      <c r="F174" s="3" t="str">
        <f t="shared" si="49"/>
        <v>GOS FLORESTAL - (PRAD - Recuperação Area Ambiental)</v>
      </c>
      <c r="G174" s="94" t="str">
        <f>VLOOKUP($A174,Controle!$B$4:$G$68,6,FALSE)</f>
        <v>Mori</v>
      </c>
      <c r="H174" s="506" t="s">
        <v>170</v>
      </c>
      <c r="I174" s="6">
        <v>0</v>
      </c>
      <c r="J174" s="506"/>
      <c r="K174" s="506">
        <v>0</v>
      </c>
      <c r="L174" s="506">
        <v>0</v>
      </c>
      <c r="M174" s="506">
        <v>0</v>
      </c>
      <c r="N174" s="506">
        <v>0</v>
      </c>
      <c r="O174" s="39">
        <f t="shared" si="44"/>
        <v>0</v>
      </c>
      <c r="P174" s="17">
        <f>SUMIFS('Desenvolvimento diário'!$H:$H,'Desenvolvimento diário'!$Q:$Q,$B174,'Desenvolvimento diário'!$P:$P,$F174,'Desenvolvimento diário'!$R:$R,"Sim")</f>
        <v>0</v>
      </c>
      <c r="Q174" s="17">
        <f>SUMIFS('Desenvolvimento diário'!$H:$H,'Desenvolvimento diário'!$Q:$Q,$B174,'Desenvolvimento diário'!$P:$P,$F174,'Desenvolvimento diário'!$R:$R,"Não")</f>
        <v>0</v>
      </c>
      <c r="R174" s="4">
        <f t="shared" si="45"/>
        <v>0</v>
      </c>
      <c r="S174" s="4">
        <f t="shared" si="46"/>
        <v>0</v>
      </c>
      <c r="T174" s="12">
        <f t="shared" ref="T174:T175" si="50">IFERROR(R174/O174,0)</f>
        <v>0</v>
      </c>
      <c r="Y174" s="2"/>
      <c r="Z174" s="2"/>
      <c r="AA174" s="2"/>
      <c r="AB174" s="2"/>
      <c r="AC174" s="2"/>
    </row>
    <row r="175" spans="1:29" hidden="1">
      <c r="A175" s="2">
        <f t="shared" si="47"/>
        <v>5</v>
      </c>
      <c r="B175" s="2" t="str">
        <f>VLOOKUP($A175,Controle!$B$4:$F$68,2,FALSE)</f>
        <v>Nova Ponte 1</v>
      </c>
      <c r="C175" s="2" t="str">
        <f>VLOOKUP($A175,Controle!$B$4:$F$68,3,FALSE)</f>
        <v xml:space="preserve">MORI GERACAO II </v>
      </c>
      <c r="D175" s="2" t="str">
        <f>VLOOKUP($A175,Controle!$B$4:$F$68,4,FALSE)</f>
        <v>Mori II</v>
      </c>
      <c r="E175" s="2" t="str">
        <f>VLOOKUP($A175,Controle!$B$4:$F$68,5,FALSE)</f>
        <v>Weg</v>
      </c>
      <c r="F175" s="3" t="str">
        <f t="shared" si="49"/>
        <v>Cercamento das bacias de contenção ciclo 2</v>
      </c>
      <c r="G175" s="94" t="str">
        <f>VLOOKUP($A175,Controle!$B$4:$G$68,6,FALSE)</f>
        <v>Mori</v>
      </c>
      <c r="H175" s="506" t="s">
        <v>172</v>
      </c>
      <c r="I175" s="6"/>
      <c r="J175" s="506"/>
      <c r="K175" s="506">
        <v>0</v>
      </c>
      <c r="L175" s="506">
        <v>0</v>
      </c>
      <c r="M175" s="506">
        <v>0</v>
      </c>
      <c r="N175" s="506">
        <v>0</v>
      </c>
      <c r="O175" s="39">
        <f t="shared" si="44"/>
        <v>0</v>
      </c>
      <c r="P175" s="17">
        <f>SUMIFS('Desenvolvimento diário'!$H:$H,'Desenvolvimento diário'!$Q:$Q,$B175,'Desenvolvimento diário'!$P:$P,$F175,'Desenvolvimento diário'!$R:$R,"Sim")</f>
        <v>0</v>
      </c>
      <c r="Q175" s="17">
        <f>SUMIFS('Desenvolvimento diário'!$H:$H,'Desenvolvimento diário'!$Q:$Q,$B175,'Desenvolvimento diário'!$P:$P,$F175,'Desenvolvimento diário'!$R:$R,"Não")</f>
        <v>0</v>
      </c>
      <c r="R175" s="4">
        <f t="shared" si="45"/>
        <v>0</v>
      </c>
      <c r="S175" s="1030">
        <f t="shared" si="46"/>
        <v>0</v>
      </c>
      <c r="T175" s="12">
        <f t="shared" si="50"/>
        <v>0</v>
      </c>
      <c r="U175" s="1029" t="s">
        <v>166</v>
      </c>
      <c r="V175" s="1029" t="s">
        <v>94</v>
      </c>
      <c r="Y175" s="2"/>
      <c r="Z175" s="2"/>
      <c r="AA175" s="2"/>
      <c r="AB175" s="2"/>
      <c r="AC175" s="2"/>
    </row>
    <row r="176" spans="1:29" hidden="1">
      <c r="A176" s="8">
        <f>A173</f>
        <v>5</v>
      </c>
      <c r="B176" s="9" t="str">
        <f t="shared" ref="B176" si="51">B173</f>
        <v>Nova Ponte 1</v>
      </c>
      <c r="C176" s="9" t="str">
        <f t="shared" ref="C176" si="52">C173</f>
        <v xml:space="preserve">MORI GERACAO II </v>
      </c>
      <c r="D176" s="9" t="str">
        <f t="shared" ref="D176" si="53">D173</f>
        <v>Mori II</v>
      </c>
      <c r="E176" s="9" t="str">
        <f t="shared" ref="E176" si="54">E173</f>
        <v>Weg</v>
      </c>
      <c r="F176" s="10" t="s">
        <v>158</v>
      </c>
      <c r="G176" s="9" t="str">
        <f>G173</f>
        <v>Mori</v>
      </c>
      <c r="H176" s="9"/>
      <c r="I176" s="9">
        <f>SUBTOTAL(9,I142:I175)</f>
        <v>0</v>
      </c>
      <c r="J176" s="9">
        <f t="shared" ref="J176:S176" si="55">SUBTOTAL(9,J142:J175)</f>
        <v>0</v>
      </c>
      <c r="K176" s="9">
        <f t="shared" si="55"/>
        <v>0</v>
      </c>
      <c r="L176" s="9">
        <f t="shared" si="55"/>
        <v>0</v>
      </c>
      <c r="M176" s="9">
        <f t="shared" si="55"/>
        <v>0</v>
      </c>
      <c r="N176" s="9">
        <f t="shared" si="55"/>
        <v>0</v>
      </c>
      <c r="O176" s="9">
        <f t="shared" si="55"/>
        <v>0</v>
      </c>
      <c r="P176" s="9">
        <f t="shared" si="55"/>
        <v>0</v>
      </c>
      <c r="Q176" s="9">
        <f t="shared" si="55"/>
        <v>0</v>
      </c>
      <c r="R176" s="9">
        <f t="shared" si="55"/>
        <v>0</v>
      </c>
      <c r="S176" s="9">
        <f t="shared" si="55"/>
        <v>0</v>
      </c>
      <c r="T176" s="13">
        <f t="shared" si="38"/>
        <v>0</v>
      </c>
      <c r="U176" s="11">
        <f>SUBTOTAL(9,U142:U175)</f>
        <v>0</v>
      </c>
      <c r="Y176" s="2"/>
      <c r="Z176" s="2"/>
      <c r="AA176" s="2"/>
      <c r="AB176" s="2"/>
      <c r="AC176" s="2"/>
    </row>
    <row r="177" spans="1:29" hidden="1">
      <c r="A177" s="2">
        <f>A142+1</f>
        <v>6</v>
      </c>
      <c r="B177" s="2" t="str">
        <f>VLOOKUP($A177,Controle!$B$4:$F$68,2,FALSE)</f>
        <v>Paracatu 8</v>
      </c>
      <c r="C177" s="2" t="str">
        <f>VLOOKUP($A177,Controle!$B$4:$F$68,3,FALSE)</f>
        <v xml:space="preserve">MORI GERACAO II </v>
      </c>
      <c r="D177" s="2" t="str">
        <f>VLOOKUP($A177,Controle!$B$4:$F$68,4,FALSE)</f>
        <v>Mori II</v>
      </c>
      <c r="E177" s="2" t="str">
        <f>VLOOKUP($A177,Controle!$B$4:$F$68,5,FALSE)</f>
        <v>Weg</v>
      </c>
      <c r="F177" s="3" t="str">
        <f>F142</f>
        <v>Conexão AT - Obras</v>
      </c>
      <c r="G177" s="2" t="str">
        <f>VLOOKUP($A177,Controle!$B$4:$G$68,6,FALSE)</f>
        <v>Mori</v>
      </c>
      <c r="H177" s="6" t="s">
        <v>141</v>
      </c>
      <c r="I177" s="29">
        <v>410000</v>
      </c>
      <c r="J177" s="6">
        <v>0</v>
      </c>
      <c r="K177" s="6">
        <v>0</v>
      </c>
      <c r="L177" s="6">
        <v>0</v>
      </c>
      <c r="M177" s="6">
        <v>0</v>
      </c>
      <c r="N177" s="6">
        <v>0</v>
      </c>
      <c r="O177" s="4">
        <f t="shared" ref="O177:O208" si="56">SUM(I177:N177)</f>
        <v>410000</v>
      </c>
      <c r="P177" s="5">
        <f>SUMIFS('Desenvolvimento diário'!$H:$H,'Desenvolvimento diário'!$Q:$Q,$B177,'Desenvolvimento diário'!$P:$P,$F177,'Desenvolvimento diário'!$R:$R,"Sim")</f>
        <v>82500</v>
      </c>
      <c r="Q177" s="5">
        <f>SUMIFS('Desenvolvimento diário'!$H:$H,'Desenvolvimento diário'!$Q:$Q,$B177,'Desenvolvimento diário'!$P:$P,$F177,'Desenvolvimento diário'!$R:$R,"Não")</f>
        <v>327500</v>
      </c>
      <c r="R177" s="4">
        <f t="shared" ref="R177:R210" si="57">SUM(P177:Q177)</f>
        <v>410000</v>
      </c>
      <c r="S177" s="27">
        <f t="shared" ref="S177:S210" si="58">O177-R177</f>
        <v>0</v>
      </c>
      <c r="T177" s="12">
        <f t="shared" si="38"/>
        <v>1</v>
      </c>
      <c r="Y177" s="2"/>
      <c r="Z177" s="2"/>
      <c r="AA177" s="2"/>
      <c r="AB177" s="2"/>
      <c r="AC177" s="2"/>
    </row>
    <row r="178" spans="1:29" ht="10.5" hidden="1">
      <c r="A178" s="2">
        <f t="shared" ref="A178:A210" si="59">A177</f>
        <v>6</v>
      </c>
      <c r="B178" s="2" t="str">
        <f>VLOOKUP($A178,Controle!$B$4:$F$68,2,FALSE)</f>
        <v>Paracatu 8</v>
      </c>
      <c r="C178" s="2" t="str">
        <f>VLOOKUP($A178,Controle!$B$4:$F$68,3,FALSE)</f>
        <v xml:space="preserve">MORI GERACAO II </v>
      </c>
      <c r="D178" s="2" t="str">
        <f>VLOOKUP($A178,Controle!$B$4:$F$68,4,FALSE)</f>
        <v>Mori II</v>
      </c>
      <c r="E178" s="2" t="str">
        <f>VLOOKUP($A178,Controle!$B$4:$F$68,5,FALSE)</f>
        <v>Weg</v>
      </c>
      <c r="F178" s="3" t="str">
        <f>F143</f>
        <v>Conexão MT - Obras</v>
      </c>
      <c r="G178" s="2" t="str">
        <f>VLOOKUP($A178,Controle!$B$4:$G$68,6,FALSE)</f>
        <v>Mori</v>
      </c>
      <c r="H178" s="6" t="s">
        <v>141</v>
      </c>
      <c r="I178" s="6">
        <v>1210000</v>
      </c>
      <c r="J178" s="6">
        <v>1222100</v>
      </c>
      <c r="K178" s="6">
        <v>130000</v>
      </c>
      <c r="L178" s="6">
        <v>0</v>
      </c>
      <c r="M178" s="6">
        <v>0</v>
      </c>
      <c r="N178" s="6">
        <v>0</v>
      </c>
      <c r="O178" s="4">
        <f t="shared" si="56"/>
        <v>2562100</v>
      </c>
      <c r="P178" s="5">
        <f>SUMIFS('Desenvolvimento diário'!$H:$H,'Desenvolvimento diário'!$Q:$Q,$B178,'Desenvolvimento diário'!$P:$P,$F178,'Desenvolvimento diário'!$R:$R,"Sim")</f>
        <v>1474820.6499999997</v>
      </c>
      <c r="Q178" s="5">
        <f>SUMIFS('Desenvolvimento diário'!$H:$H,'Desenvolvimento diário'!$Q:$Q,$B178,'Desenvolvimento diário'!$P:$P,$F178,'Desenvolvimento diário'!$R:$R,"Não")</f>
        <v>1087279.3500000001</v>
      </c>
      <c r="R178" s="4">
        <f t="shared" si="57"/>
        <v>2562100</v>
      </c>
      <c r="S178" s="43">
        <f t="shared" si="58"/>
        <v>0</v>
      </c>
      <c r="T178" s="12">
        <f t="shared" si="38"/>
        <v>1</v>
      </c>
      <c r="Y178" s="2"/>
      <c r="Z178" s="2"/>
      <c r="AA178" s="2"/>
      <c r="AB178" s="2"/>
      <c r="AC178" s="2"/>
    </row>
    <row r="179" spans="1:29" ht="10.5" hidden="1">
      <c r="A179" s="2">
        <f t="shared" si="59"/>
        <v>6</v>
      </c>
      <c r="B179" s="2" t="str">
        <f>VLOOKUP($A179,Controle!$B$4:$F$68,2,FALSE)</f>
        <v>Paracatu 8</v>
      </c>
      <c r="C179" s="2" t="str">
        <f>VLOOKUP($A179,Controle!$B$4:$F$68,3,FALSE)</f>
        <v xml:space="preserve">MORI GERACAO II </v>
      </c>
      <c r="D179" s="2" t="str">
        <f>VLOOKUP($A179,Controle!$B$4:$F$68,4,FALSE)</f>
        <v>Mori II</v>
      </c>
      <c r="E179" s="2" t="str">
        <f>VLOOKUP($A179,Controle!$B$4:$F$68,5,FALSE)</f>
        <v>Weg</v>
      </c>
      <c r="F179" s="3" t="str">
        <f>F144</f>
        <v>Construção - Serviços de Construção</v>
      </c>
      <c r="G179" s="2" t="str">
        <f>VLOOKUP($A179,Controle!$B$4:$G$68,6,FALSE)</f>
        <v>Mori</v>
      </c>
      <c r="H179" s="6">
        <v>0</v>
      </c>
      <c r="I179" s="6">
        <v>0</v>
      </c>
      <c r="J179" s="6">
        <v>0</v>
      </c>
      <c r="K179" s="6">
        <v>0</v>
      </c>
      <c r="L179" s="6">
        <v>0</v>
      </c>
      <c r="M179" s="6">
        <v>0</v>
      </c>
      <c r="N179" s="6">
        <v>0</v>
      </c>
      <c r="O179" s="4">
        <f t="shared" si="56"/>
        <v>0</v>
      </c>
      <c r="P179" s="5">
        <f>SUMIFS('Desenvolvimento diário'!$H:$H,'Desenvolvimento diário'!$Q:$Q,$B179,'Desenvolvimento diário'!$P:$P,$F179,'Desenvolvimento diário'!$R:$R,"Sim")</f>
        <v>0</v>
      </c>
      <c r="Q179" s="5">
        <f>SUMIFS('Desenvolvimento diário'!$H:$H,'Desenvolvimento diário'!$Q:$Q,$B179,'Desenvolvimento diário'!$P:$P,$F179,'Desenvolvimento diário'!$R:$R,"Não")</f>
        <v>0</v>
      </c>
      <c r="R179" s="4">
        <f t="shared" si="57"/>
        <v>0</v>
      </c>
      <c r="S179" s="27">
        <f t="shared" si="58"/>
        <v>0</v>
      </c>
      <c r="T179" s="12">
        <f t="shared" si="38"/>
        <v>0</v>
      </c>
      <c r="Y179" s="2"/>
      <c r="Z179" s="2"/>
      <c r="AA179" s="2"/>
      <c r="AB179" s="2"/>
      <c r="AC179" s="2"/>
    </row>
    <row r="180" spans="1:29" ht="10.5" hidden="1">
      <c r="A180" s="2">
        <f t="shared" si="59"/>
        <v>6</v>
      </c>
      <c r="B180" s="2" t="str">
        <f>VLOOKUP($A180,Controle!$B$4:$F$68,2,FALSE)</f>
        <v>Paracatu 8</v>
      </c>
      <c r="C180" s="2" t="str">
        <f>VLOOKUP($A180,Controle!$B$4:$F$68,3,FALSE)</f>
        <v xml:space="preserve">MORI GERACAO II </v>
      </c>
      <c r="D180" s="2" t="str">
        <f>VLOOKUP($A180,Controle!$B$4:$F$68,4,FALSE)</f>
        <v>Mori II</v>
      </c>
      <c r="E180" s="2" t="str">
        <f>VLOOKUP($A180,Controle!$B$4:$F$68,5,FALSE)</f>
        <v>Weg</v>
      </c>
      <c r="F180" s="3" t="str">
        <f>F145</f>
        <v>Construção - Serviços de Construção - Substituição</v>
      </c>
      <c r="G180" s="2" t="str">
        <f>VLOOKUP($A180,Controle!$B$4:$G$68,6,FALSE)</f>
        <v>Mori</v>
      </c>
      <c r="H180" s="6">
        <v>0</v>
      </c>
      <c r="I180" s="6">
        <v>0</v>
      </c>
      <c r="J180" s="6">
        <v>0</v>
      </c>
      <c r="K180" s="6">
        <v>0</v>
      </c>
      <c r="L180" s="6">
        <v>0</v>
      </c>
      <c r="M180" s="6">
        <v>0</v>
      </c>
      <c r="N180" s="6">
        <v>0</v>
      </c>
      <c r="O180" s="4">
        <f t="shared" si="56"/>
        <v>0</v>
      </c>
      <c r="P180" s="5">
        <f>SUMIFS('Desenvolvimento diário'!$H:$H,'Desenvolvimento diário'!$Q:$Q,$B180,'Desenvolvimento diário'!$P:$P,$F180,'Desenvolvimento diário'!$R:$R,"Sim")</f>
        <v>0</v>
      </c>
      <c r="Q180" s="5">
        <f>SUMIFS('Desenvolvimento diário'!$H:$H,'Desenvolvimento diário'!$Q:$Q,$B180,'Desenvolvimento diário'!$P:$P,$F180,'Desenvolvimento diário'!$R:$R,"Não")</f>
        <v>0</v>
      </c>
      <c r="R180" s="4">
        <f t="shared" si="57"/>
        <v>0</v>
      </c>
      <c r="S180" s="4">
        <f t="shared" si="58"/>
        <v>0</v>
      </c>
      <c r="T180" s="12">
        <f t="shared" si="38"/>
        <v>0</v>
      </c>
      <c r="Y180" s="2"/>
      <c r="Z180" s="2"/>
      <c r="AA180" s="2"/>
      <c r="AB180" s="2"/>
      <c r="AC180" s="2"/>
    </row>
    <row r="181" spans="1:29" ht="10.5" hidden="1">
      <c r="A181" s="2">
        <f t="shared" si="59"/>
        <v>6</v>
      </c>
      <c r="B181" s="2" t="str">
        <f>VLOOKUP($A181,Controle!$B$4:$F$68,2,FALSE)</f>
        <v>Paracatu 8</v>
      </c>
      <c r="C181" s="2" t="str">
        <f>VLOOKUP($A181,Controle!$B$4:$F$68,3,FALSE)</f>
        <v xml:space="preserve">MORI GERACAO II </v>
      </c>
      <c r="D181" s="2" t="str">
        <f>VLOOKUP($A181,Controle!$B$4:$F$68,4,FALSE)</f>
        <v>Mori II</v>
      </c>
      <c r="E181" s="2" t="str">
        <f>VLOOKUP($A181,Controle!$B$4:$F$68,5,FALSE)</f>
        <v>Weg</v>
      </c>
      <c r="F181" s="3" t="str">
        <f>F146</f>
        <v>Construção - RDA Interno</v>
      </c>
      <c r="G181" s="2" t="str">
        <f>VLOOKUP($A181,Controle!$B$4:$G$68,6,FALSE)</f>
        <v>Mori</v>
      </c>
      <c r="H181" s="6">
        <v>0</v>
      </c>
      <c r="I181" s="6">
        <v>0</v>
      </c>
      <c r="J181" s="6">
        <v>0</v>
      </c>
      <c r="K181" s="6">
        <v>0</v>
      </c>
      <c r="L181" s="6">
        <v>0</v>
      </c>
      <c r="M181" s="6">
        <v>0</v>
      </c>
      <c r="N181" s="6">
        <v>0</v>
      </c>
      <c r="O181" s="4">
        <f t="shared" si="56"/>
        <v>0</v>
      </c>
      <c r="P181" s="5">
        <f>SUMIFS('Desenvolvimento diário'!$H:$H,'Desenvolvimento diário'!$Q:$Q,$B181,'Desenvolvimento diário'!$P:$P,$F181,'Desenvolvimento diário'!$R:$R,"Sim")</f>
        <v>0</v>
      </c>
      <c r="Q181" s="5">
        <f>SUMIFS('Desenvolvimento diário'!$H:$H,'Desenvolvimento diário'!$Q:$Q,$B181,'Desenvolvimento diário'!$P:$P,$F181,'Desenvolvimento diário'!$R:$R,"Não")</f>
        <v>0</v>
      </c>
      <c r="R181" s="4">
        <f t="shared" si="57"/>
        <v>0</v>
      </c>
      <c r="S181" s="4">
        <f t="shared" si="58"/>
        <v>0</v>
      </c>
      <c r="T181" s="12">
        <f t="shared" si="38"/>
        <v>0</v>
      </c>
      <c r="Y181" s="2"/>
      <c r="Z181" s="2"/>
      <c r="AA181" s="2"/>
      <c r="AB181" s="2"/>
      <c r="AC181" s="2"/>
    </row>
    <row r="182" spans="1:29" ht="10.5" hidden="1">
      <c r="A182" s="2">
        <f t="shared" si="59"/>
        <v>6</v>
      </c>
      <c r="B182" s="2" t="str">
        <f>VLOOKUP($A182,Controle!$B$4:$F$68,2,FALSE)</f>
        <v>Paracatu 8</v>
      </c>
      <c r="C182" s="2" t="str">
        <f>VLOOKUP($A182,Controle!$B$4:$F$68,3,FALSE)</f>
        <v xml:space="preserve">MORI GERACAO II </v>
      </c>
      <c r="D182" s="2" t="str">
        <f>VLOOKUP($A182,Controle!$B$4:$F$68,4,FALSE)</f>
        <v>Mori II</v>
      </c>
      <c r="E182" s="2" t="str">
        <f>VLOOKUP($A182,Controle!$B$4:$F$68,5,FALSE)</f>
        <v>Weg</v>
      </c>
      <c r="F182" s="3" t="str">
        <f>F147</f>
        <v>Full EPC - Contrato</v>
      </c>
      <c r="G182" s="2" t="str">
        <f>VLOOKUP($A182,Controle!$B$4:$G$68,6,FALSE)</f>
        <v>Mori</v>
      </c>
      <c r="H182" s="6" t="s">
        <v>21</v>
      </c>
      <c r="I182" s="6">
        <v>11753510.619999999</v>
      </c>
      <c r="J182" s="6">
        <v>0</v>
      </c>
      <c r="K182" s="6">
        <v>0</v>
      </c>
      <c r="L182" s="6">
        <v>0</v>
      </c>
      <c r="M182" s="6">
        <v>0</v>
      </c>
      <c r="N182" s="6">
        <v>0</v>
      </c>
      <c r="O182" s="4">
        <f t="shared" si="56"/>
        <v>11753510.619999999</v>
      </c>
      <c r="P182" s="5">
        <f>SUMIFS('Desenvolvimento diário'!$H:$H,'Desenvolvimento diário'!$Q:$Q,$B182,'Desenvolvimento diário'!$P:$P,$F182,'Desenvolvimento diário'!$R:$R,"Sim")</f>
        <v>0</v>
      </c>
      <c r="Q182" s="5">
        <f>SUMIFS('Desenvolvimento diário'!$H:$H,'Desenvolvimento diário'!$Q:$Q,$B182,'Desenvolvimento diário'!$P:$P,$F182,'Desenvolvimento diário'!$R:$R,"Não")</f>
        <v>11753510.619999999</v>
      </c>
      <c r="R182" s="4">
        <f t="shared" si="57"/>
        <v>11753510.619999999</v>
      </c>
      <c r="S182" s="1013">
        <f t="shared" si="58"/>
        <v>0</v>
      </c>
      <c r="T182" s="12">
        <f t="shared" si="38"/>
        <v>1</v>
      </c>
      <c r="U182" s="1014" t="s">
        <v>166</v>
      </c>
      <c r="V182" s="1014" t="s">
        <v>184</v>
      </c>
      <c r="Y182" s="2"/>
      <c r="Z182" s="2"/>
      <c r="AA182" s="2"/>
      <c r="AB182" s="2"/>
      <c r="AC182" s="2"/>
    </row>
    <row r="183" spans="1:29" ht="10.5" hidden="1">
      <c r="A183" s="2">
        <f t="shared" si="59"/>
        <v>6</v>
      </c>
      <c r="B183" s="2" t="str">
        <f>VLOOKUP($A183,Controle!$B$4:$F$68,2,FALSE)</f>
        <v>Paracatu 8</v>
      </c>
      <c r="C183" s="2" t="str">
        <f>VLOOKUP($A183,Controle!$B$4:$F$68,3,FALSE)</f>
        <v xml:space="preserve">MORI GERACAO II </v>
      </c>
      <c r="D183" s="2" t="str">
        <f>VLOOKUP($A183,Controle!$B$4:$F$68,4,FALSE)</f>
        <v>Mori II</v>
      </c>
      <c r="E183" s="2" t="str">
        <f>VLOOKUP($A183,Controle!$B$4:$F$68,5,FALSE)</f>
        <v>Weg</v>
      </c>
      <c r="F183" s="3" t="str">
        <f>F148</f>
        <v>Equipamentos Curva A - Outros (Transformadores)</v>
      </c>
      <c r="G183" s="2" t="str">
        <f>VLOOKUP($A183,Controle!$B$4:$G$68,6,FALSE)</f>
        <v>Mori</v>
      </c>
      <c r="H183" s="6">
        <v>0</v>
      </c>
      <c r="I183" s="6">
        <v>0</v>
      </c>
      <c r="J183" s="6">
        <v>0</v>
      </c>
      <c r="K183" s="6">
        <v>0</v>
      </c>
      <c r="L183" s="6">
        <v>0</v>
      </c>
      <c r="M183" s="6">
        <v>0</v>
      </c>
      <c r="N183" s="6">
        <v>0</v>
      </c>
      <c r="O183" s="4">
        <f t="shared" si="56"/>
        <v>0</v>
      </c>
      <c r="P183" s="5">
        <f>SUMIFS('Desenvolvimento diário'!$H:$H,'Desenvolvimento diário'!$Q:$Q,$B183,'Desenvolvimento diário'!$P:$P,$F183,'Desenvolvimento diário'!$R:$R,"Sim")</f>
        <v>0</v>
      </c>
      <c r="Q183" s="5">
        <f>SUMIFS('Desenvolvimento diário'!$H:$H,'Desenvolvimento diário'!$Q:$Q,$B183,'Desenvolvimento diário'!$P:$P,$F183,'Desenvolvimento diário'!$R:$R,"Não")</f>
        <v>0</v>
      </c>
      <c r="R183" s="4">
        <f t="shared" si="57"/>
        <v>0</v>
      </c>
      <c r="S183" s="4">
        <f t="shared" si="58"/>
        <v>0</v>
      </c>
      <c r="T183" s="12">
        <f t="shared" si="38"/>
        <v>0</v>
      </c>
      <c r="Y183" s="2"/>
      <c r="Z183" s="2"/>
      <c r="AA183" s="2"/>
      <c r="AB183" s="2"/>
      <c r="AC183" s="2"/>
    </row>
    <row r="184" spans="1:29" ht="10.5" hidden="1">
      <c r="A184" s="2">
        <f t="shared" si="59"/>
        <v>6</v>
      </c>
      <c r="B184" s="2" t="str">
        <f>VLOOKUP($A184,Controle!$B$4:$F$68,2,FALSE)</f>
        <v>Paracatu 8</v>
      </c>
      <c r="C184" s="2" t="str">
        <f>VLOOKUP($A184,Controle!$B$4:$F$68,3,FALSE)</f>
        <v xml:space="preserve">MORI GERACAO II </v>
      </c>
      <c r="D184" s="2" t="str">
        <f>VLOOKUP($A184,Controle!$B$4:$F$68,4,FALSE)</f>
        <v>Mori II</v>
      </c>
      <c r="E184" s="2" t="str">
        <f>VLOOKUP($A184,Controle!$B$4:$F$68,5,FALSE)</f>
        <v>Weg</v>
      </c>
      <c r="F184" s="3" t="str">
        <f>F149</f>
        <v>Equipamentos Curva A - Outros (Cabine + Skid)</v>
      </c>
      <c r="G184" s="2" t="str">
        <f>VLOOKUP($A184,Controle!$B$4:$G$68,6,FALSE)</f>
        <v>Mori</v>
      </c>
      <c r="H184" s="6">
        <v>0</v>
      </c>
      <c r="I184" s="6">
        <v>0</v>
      </c>
      <c r="J184" s="6">
        <v>0</v>
      </c>
      <c r="K184" s="6">
        <v>0</v>
      </c>
      <c r="L184" s="6">
        <v>0</v>
      </c>
      <c r="M184" s="6">
        <v>0</v>
      </c>
      <c r="N184" s="6">
        <v>0</v>
      </c>
      <c r="O184" s="4">
        <f t="shared" si="56"/>
        <v>0</v>
      </c>
      <c r="P184" s="5">
        <f>SUMIFS('Desenvolvimento diário'!$H:$H,'Desenvolvimento diário'!$Q:$Q,$B184,'Desenvolvimento diário'!$P:$P,$F184,'Desenvolvimento diário'!$R:$R,"Sim")</f>
        <v>0</v>
      </c>
      <c r="Q184" s="5">
        <f>SUMIFS('Desenvolvimento diário'!$H:$H,'Desenvolvimento diário'!$Q:$Q,$B184,'Desenvolvimento diário'!$P:$P,$F184,'Desenvolvimento diário'!$R:$R,"Não")</f>
        <v>0</v>
      </c>
      <c r="R184" s="4">
        <f t="shared" si="57"/>
        <v>0</v>
      </c>
      <c r="S184" s="4">
        <f t="shared" si="58"/>
        <v>0</v>
      </c>
      <c r="T184" s="12">
        <f t="shared" si="38"/>
        <v>0</v>
      </c>
      <c r="Y184" s="2"/>
      <c r="Z184" s="2"/>
      <c r="AA184" s="2"/>
      <c r="AB184" s="2"/>
      <c r="AC184" s="2"/>
    </row>
    <row r="185" spans="1:29" ht="10.5" hidden="1">
      <c r="A185" s="2">
        <f t="shared" si="59"/>
        <v>6</v>
      </c>
      <c r="B185" s="2" t="str">
        <f>VLOOKUP($A185,Controle!$B$4:$F$68,2,FALSE)</f>
        <v>Paracatu 8</v>
      </c>
      <c r="C185" s="2" t="str">
        <f>VLOOKUP($A185,Controle!$B$4:$F$68,3,FALSE)</f>
        <v xml:space="preserve">MORI GERACAO II </v>
      </c>
      <c r="D185" s="2" t="str">
        <f>VLOOKUP($A185,Controle!$B$4:$F$68,4,FALSE)</f>
        <v>Mori II</v>
      </c>
      <c r="E185" s="2" t="str">
        <f>VLOOKUP($A185,Controle!$B$4:$F$68,5,FALSE)</f>
        <v>Weg</v>
      </c>
      <c r="F185" s="3" t="str">
        <f>F150</f>
        <v>Equipamentos Curva A - Outros (Cabine + Skid + Transformador)</v>
      </c>
      <c r="G185" s="2" t="str">
        <f>VLOOKUP($A185,Controle!$B$4:$G$68,6,FALSE)</f>
        <v>Mori</v>
      </c>
      <c r="H185" s="6" t="s">
        <v>144</v>
      </c>
      <c r="I185" s="6">
        <v>223422.3186</v>
      </c>
      <c r="J185" s="6">
        <v>0</v>
      </c>
      <c r="K185" s="6">
        <v>0</v>
      </c>
      <c r="L185" s="6">
        <v>0</v>
      </c>
      <c r="M185" s="6">
        <v>0</v>
      </c>
      <c r="N185" s="6">
        <v>0</v>
      </c>
      <c r="O185" s="4">
        <f t="shared" si="56"/>
        <v>223422.3186</v>
      </c>
      <c r="P185" s="5">
        <f>SUMIFS('Desenvolvimento diário'!$H:$H,'Desenvolvimento diário'!$Q:$Q,$B185,'Desenvolvimento diário'!$P:$P,$F185,'Desenvolvimento diário'!$R:$R,"Sim")</f>
        <v>0</v>
      </c>
      <c r="Q185" s="5">
        <f>SUMIFS('Desenvolvimento diário'!$H:$H,'Desenvolvimento diário'!$Q:$Q,$B185,'Desenvolvimento diário'!$P:$P,$F185,'Desenvolvimento diário'!$R:$R,"Não")</f>
        <v>223422.3186</v>
      </c>
      <c r="R185" s="4">
        <f t="shared" si="57"/>
        <v>223422.3186</v>
      </c>
      <c r="S185" s="4">
        <f t="shared" si="58"/>
        <v>0</v>
      </c>
      <c r="T185" s="12">
        <f t="shared" si="38"/>
        <v>1</v>
      </c>
      <c r="Y185" s="2"/>
      <c r="Z185" s="2"/>
      <c r="AA185" s="2"/>
      <c r="AB185" s="2"/>
      <c r="AC185" s="2"/>
    </row>
    <row r="186" spans="1:29" ht="10.5" hidden="1">
      <c r="A186" s="2">
        <f t="shared" si="59"/>
        <v>6</v>
      </c>
      <c r="B186" s="2" t="str">
        <f>VLOOKUP($A186,Controle!$B$4:$F$68,2,FALSE)</f>
        <v>Paracatu 8</v>
      </c>
      <c r="C186" s="2" t="str">
        <f>VLOOKUP($A186,Controle!$B$4:$F$68,3,FALSE)</f>
        <v xml:space="preserve">MORI GERACAO II </v>
      </c>
      <c r="D186" s="2" t="str">
        <f>VLOOKUP($A186,Controle!$B$4:$F$68,4,FALSE)</f>
        <v>Mori II</v>
      </c>
      <c r="E186" s="2" t="str">
        <f>VLOOKUP($A186,Controle!$B$4:$F$68,5,FALSE)</f>
        <v>Weg</v>
      </c>
      <c r="F186" s="3" t="str">
        <f>F151</f>
        <v>Desenvolvimento de projeto - Projetos - (Eng° Proprietario)</v>
      </c>
      <c r="G186" s="2" t="str">
        <f>VLOOKUP($A186,Controle!$B$4:$G$68,6,FALSE)</f>
        <v>Mori</v>
      </c>
      <c r="H186" s="6" t="s">
        <v>176</v>
      </c>
      <c r="I186" s="6">
        <f>R186</f>
        <v>248642.83000000002</v>
      </c>
      <c r="J186" s="6">
        <v>0</v>
      </c>
      <c r="K186" s="6">
        <v>0</v>
      </c>
      <c r="L186" s="6">
        <v>0</v>
      </c>
      <c r="M186" s="6">
        <v>0</v>
      </c>
      <c r="N186" s="6">
        <v>0</v>
      </c>
      <c r="O186" s="4">
        <f t="shared" si="56"/>
        <v>248642.83000000002</v>
      </c>
      <c r="P186" s="5">
        <f>SUMIFS('Desenvolvimento diário'!$H:$H,'Desenvolvimento diário'!$Q:$Q,$B186,'Desenvolvimento diário'!$P:$P,$F186,'Desenvolvimento diário'!$R:$R,"Sim")</f>
        <v>0</v>
      </c>
      <c r="Q186" s="5">
        <f>SUMIFS('Desenvolvimento diário'!$H:$H,'Desenvolvimento diário'!$Q:$Q,$B186,'Desenvolvimento diário'!$P:$P,$F186,'Desenvolvimento diário'!$R:$R,"Não")</f>
        <v>248642.83000000002</v>
      </c>
      <c r="R186" s="4">
        <f t="shared" si="57"/>
        <v>248642.83000000002</v>
      </c>
      <c r="S186" s="4">
        <f t="shared" si="58"/>
        <v>0</v>
      </c>
      <c r="T186" s="12">
        <f t="shared" si="38"/>
        <v>1</v>
      </c>
      <c r="Y186" s="2"/>
      <c r="Z186" s="2"/>
      <c r="AA186" s="2"/>
      <c r="AB186" s="2"/>
      <c r="AC186" s="2"/>
    </row>
    <row r="187" spans="1:29" ht="10.5" hidden="1">
      <c r="A187" s="2">
        <f t="shared" si="59"/>
        <v>6</v>
      </c>
      <c r="B187" s="2" t="str">
        <f>VLOOKUP($A187,Controle!$B$4:$F$68,2,FALSE)</f>
        <v>Paracatu 8</v>
      </c>
      <c r="C187" s="2" t="str">
        <f>VLOOKUP($A187,Controle!$B$4:$F$68,3,FALSE)</f>
        <v xml:space="preserve">MORI GERACAO II </v>
      </c>
      <c r="D187" s="2" t="str">
        <f>VLOOKUP($A187,Controle!$B$4:$F$68,4,FALSE)</f>
        <v>Mori II</v>
      </c>
      <c r="E187" s="2" t="str">
        <f>VLOOKUP($A187,Controle!$B$4:$F$68,5,FALSE)</f>
        <v>Weg</v>
      </c>
      <c r="F187" s="3" t="str">
        <f>F152</f>
        <v>Desenvolvimento de projeto - Projetos - Executivos</v>
      </c>
      <c r="G187" s="2" t="str">
        <f>VLOOKUP($A187,Controle!$B$4:$G$68,6,FALSE)</f>
        <v>Mori</v>
      </c>
      <c r="H187" s="6">
        <v>0</v>
      </c>
      <c r="I187" s="6">
        <v>0</v>
      </c>
      <c r="J187" s="6">
        <v>0</v>
      </c>
      <c r="K187" s="6">
        <v>0</v>
      </c>
      <c r="L187" s="6">
        <v>0</v>
      </c>
      <c r="M187" s="6">
        <v>0</v>
      </c>
      <c r="N187" s="6">
        <v>0</v>
      </c>
      <c r="O187" s="4">
        <f t="shared" si="56"/>
        <v>0</v>
      </c>
      <c r="P187" s="5">
        <f>SUMIFS('Desenvolvimento diário'!$H:$H,'Desenvolvimento diário'!$Q:$Q,$B187,'Desenvolvimento diário'!$P:$P,$F187,'Desenvolvimento diário'!$R:$R,"Sim")</f>
        <v>0</v>
      </c>
      <c r="Q187" s="5">
        <f>SUMIFS('Desenvolvimento diário'!$H:$H,'Desenvolvimento diário'!$Q:$Q,$B187,'Desenvolvimento diário'!$P:$P,$F187,'Desenvolvimento diário'!$R:$R,"Não")</f>
        <v>0</v>
      </c>
      <c r="R187" s="4">
        <f t="shared" si="57"/>
        <v>0</v>
      </c>
      <c r="S187" s="4">
        <f t="shared" si="58"/>
        <v>0</v>
      </c>
      <c r="T187" s="12">
        <f t="shared" si="38"/>
        <v>0</v>
      </c>
      <c r="Y187" s="2"/>
      <c r="Z187" s="2"/>
      <c r="AA187" s="2"/>
      <c r="AB187" s="2"/>
      <c r="AC187" s="2"/>
    </row>
    <row r="188" spans="1:29" ht="10.5" hidden="1">
      <c r="A188" s="2">
        <f t="shared" si="59"/>
        <v>6</v>
      </c>
      <c r="B188" s="2" t="str">
        <f>VLOOKUP($A188,Controle!$B$4:$F$68,2,FALSE)</f>
        <v>Paracatu 8</v>
      </c>
      <c r="C188" s="2" t="str">
        <f>VLOOKUP($A188,Controle!$B$4:$F$68,3,FALSE)</f>
        <v xml:space="preserve">MORI GERACAO II </v>
      </c>
      <c r="D188" s="2" t="str">
        <f>VLOOKUP($A188,Controle!$B$4:$F$68,4,FALSE)</f>
        <v>Mori II</v>
      </c>
      <c r="E188" s="2" t="str">
        <f>VLOOKUP($A188,Controle!$B$4:$F$68,5,FALSE)</f>
        <v>Weg</v>
      </c>
      <c r="F188" s="3" t="str">
        <f>F153</f>
        <v>Desenvolvimento de projeto - Projetos Básica</v>
      </c>
      <c r="G188" s="2" t="str">
        <f>VLOOKUP($A188,Controle!$B$4:$G$68,6,FALSE)</f>
        <v>Mori</v>
      </c>
      <c r="H188" s="6">
        <v>0</v>
      </c>
      <c r="I188" s="6">
        <v>0</v>
      </c>
      <c r="J188" s="6">
        <v>0</v>
      </c>
      <c r="K188" s="6">
        <v>0</v>
      </c>
      <c r="L188" s="6">
        <v>0</v>
      </c>
      <c r="M188" s="6">
        <v>0</v>
      </c>
      <c r="N188" s="6">
        <v>0</v>
      </c>
      <c r="O188" s="4">
        <f t="shared" si="56"/>
        <v>0</v>
      </c>
      <c r="P188" s="5">
        <f>SUMIFS('Desenvolvimento diário'!$H:$H,'Desenvolvimento diário'!$Q:$Q,$B188,'Desenvolvimento diário'!$P:$P,$F188,'Desenvolvimento diário'!$R:$R,"Sim")</f>
        <v>0</v>
      </c>
      <c r="Q188" s="5">
        <f>SUMIFS('Desenvolvimento diário'!$H:$H,'Desenvolvimento diário'!$Q:$Q,$B188,'Desenvolvimento diário'!$P:$P,$F188,'Desenvolvimento diário'!$R:$R,"Não")</f>
        <v>0</v>
      </c>
      <c r="R188" s="4">
        <f t="shared" si="57"/>
        <v>0</v>
      </c>
      <c r="S188" s="4">
        <f t="shared" si="58"/>
        <v>0</v>
      </c>
      <c r="T188" s="12">
        <f t="shared" si="38"/>
        <v>0</v>
      </c>
      <c r="Y188" s="2"/>
      <c r="Z188" s="2"/>
      <c r="AA188" s="2"/>
      <c r="AB188" s="2"/>
      <c r="AC188" s="2"/>
    </row>
    <row r="189" spans="1:29" ht="10.5" hidden="1">
      <c r="A189" s="2">
        <f t="shared" si="59"/>
        <v>6</v>
      </c>
      <c r="B189" s="2" t="str">
        <f>VLOOKUP($A189,Controle!$B$4:$F$68,2,FALSE)</f>
        <v>Paracatu 8</v>
      </c>
      <c r="C189" s="2" t="str">
        <f>VLOOKUP($A189,Controle!$B$4:$F$68,3,FALSE)</f>
        <v xml:space="preserve">MORI GERACAO II </v>
      </c>
      <c r="D189" s="2" t="str">
        <f>VLOOKUP($A189,Controle!$B$4:$F$68,4,FALSE)</f>
        <v>Mori II</v>
      </c>
      <c r="E189" s="2" t="str">
        <f>VLOOKUP($A189,Controle!$B$4:$F$68,5,FALSE)</f>
        <v>Weg</v>
      </c>
      <c r="F189" s="3" t="str">
        <f>F154</f>
        <v>Desenvolvimento de projeto - Projetos Detalhada</v>
      </c>
      <c r="G189" s="2" t="str">
        <f>VLOOKUP($A189,Controle!$B$4:$G$68,6,FALSE)</f>
        <v>Mori</v>
      </c>
      <c r="H189" s="6">
        <v>0</v>
      </c>
      <c r="I189" s="6">
        <v>0</v>
      </c>
      <c r="J189" s="6">
        <v>0</v>
      </c>
      <c r="K189" s="6">
        <v>0</v>
      </c>
      <c r="L189" s="6">
        <v>0</v>
      </c>
      <c r="M189" s="6">
        <v>0</v>
      </c>
      <c r="N189" s="6">
        <v>0</v>
      </c>
      <c r="O189" s="4">
        <f t="shared" si="56"/>
        <v>0</v>
      </c>
      <c r="P189" s="5">
        <f>SUMIFS('Desenvolvimento diário'!$H:$H,'Desenvolvimento diário'!$Q:$Q,$B189,'Desenvolvimento diário'!$P:$P,$F189,'Desenvolvimento diário'!$R:$R,"Sim")</f>
        <v>0</v>
      </c>
      <c r="Q189" s="5">
        <f>SUMIFS('Desenvolvimento diário'!$H:$H,'Desenvolvimento diário'!$Q:$Q,$B189,'Desenvolvimento diário'!$P:$P,$F189,'Desenvolvimento diário'!$R:$R,"Não")</f>
        <v>0</v>
      </c>
      <c r="R189" s="4">
        <f t="shared" si="57"/>
        <v>0</v>
      </c>
      <c r="S189" s="4">
        <f t="shared" si="58"/>
        <v>0</v>
      </c>
      <c r="T189" s="12">
        <f t="shared" si="38"/>
        <v>0</v>
      </c>
      <c r="Y189" s="2"/>
      <c r="Z189" s="2"/>
      <c r="AA189" s="2"/>
      <c r="AB189" s="2"/>
      <c r="AC189" s="2"/>
    </row>
    <row r="190" spans="1:29" ht="10.5" hidden="1">
      <c r="A190" s="2">
        <f t="shared" si="59"/>
        <v>6</v>
      </c>
      <c r="B190" s="2" t="str">
        <f>VLOOKUP($A190,Controle!$B$4:$F$68,2,FALSE)</f>
        <v>Paracatu 8</v>
      </c>
      <c r="C190" s="2" t="str">
        <f>VLOOKUP($A190,Controle!$B$4:$F$68,3,FALSE)</f>
        <v xml:space="preserve">MORI GERACAO II </v>
      </c>
      <c r="D190" s="2" t="str">
        <f>VLOOKUP($A190,Controle!$B$4:$F$68,4,FALSE)</f>
        <v>Mori II</v>
      </c>
      <c r="E190" s="2" t="str">
        <f>VLOOKUP($A190,Controle!$B$4:$F$68,5,FALSE)</f>
        <v>Weg</v>
      </c>
      <c r="F190" s="3" t="str">
        <f>F155</f>
        <v>Desenvolvimento de projeto - Ambiental / Outros</v>
      </c>
      <c r="G190" s="2" t="str">
        <f>VLOOKUP($A190,Controle!$B$4:$G$68,6,FALSE)</f>
        <v>Mori</v>
      </c>
      <c r="H190" s="6" t="s">
        <v>148</v>
      </c>
      <c r="I190" s="6">
        <f>R190</f>
        <v>357983.25000000006</v>
      </c>
      <c r="J190" s="6">
        <v>0</v>
      </c>
      <c r="K190" s="6">
        <v>0</v>
      </c>
      <c r="L190" s="6">
        <v>0</v>
      </c>
      <c r="M190" s="6">
        <v>0</v>
      </c>
      <c r="N190" s="6">
        <v>0</v>
      </c>
      <c r="O190" s="4">
        <f t="shared" si="56"/>
        <v>357983.25000000006</v>
      </c>
      <c r="P190" s="5">
        <f>SUMIFS('Desenvolvimento diário'!$H:$H,'Desenvolvimento diário'!$Q:$Q,$B190,'Desenvolvimento diário'!$P:$P,$F190,'Desenvolvimento diário'!$R:$R,"Sim")</f>
        <v>0</v>
      </c>
      <c r="Q190" s="5">
        <f>SUMIFS('Desenvolvimento diário'!$H:$H,'Desenvolvimento diário'!$Q:$Q,$B190,'Desenvolvimento diário'!$P:$P,$F190,'Desenvolvimento diário'!$R:$R,"Não")</f>
        <v>357983.25000000006</v>
      </c>
      <c r="R190" s="4">
        <f t="shared" si="57"/>
        <v>357983.25000000006</v>
      </c>
      <c r="S190" s="4">
        <f t="shared" si="58"/>
        <v>0</v>
      </c>
      <c r="T190" s="12">
        <f t="shared" si="38"/>
        <v>1</v>
      </c>
      <c r="Y190" s="2"/>
      <c r="Z190" s="2"/>
      <c r="AA190" s="2"/>
      <c r="AB190" s="2"/>
      <c r="AC190" s="2"/>
    </row>
    <row r="191" spans="1:29" hidden="1">
      <c r="A191" s="2">
        <f t="shared" si="59"/>
        <v>6</v>
      </c>
      <c r="B191" s="2" t="str">
        <f>VLOOKUP($A191,Controle!$B$4:$F$68,2,FALSE)</f>
        <v>Paracatu 8</v>
      </c>
      <c r="C191" s="2" t="str">
        <f>VLOOKUP($A191,Controle!$B$4:$F$68,3,FALSE)</f>
        <v xml:space="preserve">MORI GERACAO II </v>
      </c>
      <c r="D191" s="2" t="str">
        <f>VLOOKUP($A191,Controle!$B$4:$F$68,4,FALSE)</f>
        <v>Mori II</v>
      </c>
      <c r="E191" s="2" t="str">
        <f>VLOOKUP($A191,Controle!$B$4:$F$68,5,FALSE)</f>
        <v>Weg</v>
      </c>
      <c r="F191" s="3" t="str">
        <f>F156</f>
        <v>Desenvolvimento de projeto - Coordenograma</v>
      </c>
      <c r="G191" s="2" t="str">
        <f>VLOOKUP($A191,Controle!$B$4:$G$68,6,FALSE)</f>
        <v>Mori</v>
      </c>
      <c r="H191" s="31" t="s">
        <v>149</v>
      </c>
      <c r="I191" s="31">
        <v>6206.9</v>
      </c>
      <c r="J191" s="31">
        <v>2281.25</v>
      </c>
      <c r="K191" s="31">
        <v>6206.9</v>
      </c>
      <c r="L191" s="6">
        <v>0</v>
      </c>
      <c r="M191" s="6">
        <v>0</v>
      </c>
      <c r="N191" s="6">
        <v>0</v>
      </c>
      <c r="O191" s="4">
        <f t="shared" si="56"/>
        <v>14695.05</v>
      </c>
      <c r="P191" s="5">
        <f>SUMIFS('Desenvolvimento diário'!$H:$H,'Desenvolvimento diário'!$Q:$Q,$B191,'Desenvolvimento diário'!$P:$P,$F191,'Desenvolvimento diário'!$R:$R,"Sim")</f>
        <v>0</v>
      </c>
      <c r="Q191" s="5">
        <f>SUMIFS('Desenvolvimento diário'!$H:$H,'Desenvolvimento diário'!$Q:$Q,$B191,'Desenvolvimento diário'!$P:$P,$F191,'Desenvolvimento diário'!$R:$R,"Não")</f>
        <v>14695.05</v>
      </c>
      <c r="R191" s="4">
        <f t="shared" si="57"/>
        <v>14695.05</v>
      </c>
      <c r="S191" s="4">
        <f t="shared" si="58"/>
        <v>0</v>
      </c>
      <c r="T191" s="12">
        <f t="shared" si="38"/>
        <v>1</v>
      </c>
      <c r="Y191" s="2"/>
      <c r="Z191" s="2"/>
      <c r="AA191" s="2"/>
      <c r="AB191" s="2"/>
      <c r="AC191" s="2"/>
    </row>
    <row r="192" spans="1:29" ht="10.5" hidden="1">
      <c r="A192" s="2">
        <f t="shared" si="59"/>
        <v>6</v>
      </c>
      <c r="B192" s="2" t="str">
        <f>VLOOKUP($A192,Controle!$B$4:$F$68,2,FALSE)</f>
        <v>Paracatu 8</v>
      </c>
      <c r="C192" s="2" t="str">
        <f>VLOOKUP($A192,Controle!$B$4:$F$68,3,FALSE)</f>
        <v xml:space="preserve">MORI GERACAO II </v>
      </c>
      <c r="D192" s="2" t="str">
        <f>VLOOKUP($A192,Controle!$B$4:$F$68,4,FALSE)</f>
        <v>Mori II</v>
      </c>
      <c r="E192" s="2" t="str">
        <f>VLOOKUP($A192,Controle!$B$4:$F$68,5,FALSE)</f>
        <v>Weg</v>
      </c>
      <c r="F192" s="3" t="str">
        <f>F157</f>
        <v>Sistemas de Monitoramento - Supervisório</v>
      </c>
      <c r="G192" s="2" t="str">
        <f>VLOOKUP($A192,Controle!$B$4:$G$68,6,FALSE)</f>
        <v>Mori</v>
      </c>
      <c r="H192" s="6" t="s">
        <v>150</v>
      </c>
      <c r="I192" s="6">
        <f>126513.54+(0.01)</f>
        <v>126513.54999999999</v>
      </c>
      <c r="J192" s="6"/>
      <c r="K192" s="6">
        <v>0</v>
      </c>
      <c r="L192" s="6">
        <v>0</v>
      </c>
      <c r="M192" s="6">
        <v>0</v>
      </c>
      <c r="N192" s="6">
        <v>0</v>
      </c>
      <c r="O192" s="4">
        <f t="shared" si="56"/>
        <v>126513.54999999999</v>
      </c>
      <c r="P192" s="5">
        <f>SUMIFS('Desenvolvimento diário'!$H:$H,'Desenvolvimento diário'!$Q:$Q,$B192,'Desenvolvimento diário'!$P:$P,$F192,'Desenvolvimento diário'!$R:$R,"Sim")</f>
        <v>5821.02</v>
      </c>
      <c r="Q192" s="5">
        <f>SUMIFS('Desenvolvimento diário'!$H:$H,'Desenvolvimento diário'!$Q:$Q,$B192,'Desenvolvimento diário'!$P:$P,$F192,'Desenvolvimento diário'!$R:$R,"Não")</f>
        <v>120692.52999999998</v>
      </c>
      <c r="R192" s="4">
        <f t="shared" si="57"/>
        <v>126513.54999999999</v>
      </c>
      <c r="S192" s="93">
        <f t="shared" si="58"/>
        <v>0</v>
      </c>
      <c r="T192" s="12">
        <f t="shared" si="38"/>
        <v>1</v>
      </c>
      <c r="Y192" s="2"/>
      <c r="Z192" s="2"/>
      <c r="AA192" s="2"/>
      <c r="AB192" s="2"/>
      <c r="AC192" s="2"/>
    </row>
    <row r="193" spans="1:29" ht="10.5" hidden="1">
      <c r="A193" s="2">
        <f t="shared" si="59"/>
        <v>6</v>
      </c>
      <c r="B193" s="2" t="str">
        <f>VLOOKUP($A193,Controle!$B$4:$F$68,2,FALSE)</f>
        <v>Paracatu 8</v>
      </c>
      <c r="C193" s="2" t="str">
        <f>VLOOKUP($A193,Controle!$B$4:$F$68,3,FALSE)</f>
        <v xml:space="preserve">MORI GERACAO II </v>
      </c>
      <c r="D193" s="2" t="str">
        <f>VLOOKUP($A193,Controle!$B$4:$F$68,4,FALSE)</f>
        <v>Mori II</v>
      </c>
      <c r="E193" s="2" t="str">
        <f>VLOOKUP($A193,Controle!$B$4:$F$68,5,FALSE)</f>
        <v>Weg</v>
      </c>
      <c r="F193" s="3" t="str">
        <f>F158</f>
        <v>Sistemas de Monitoramento - Estações Solarimétricas</v>
      </c>
      <c r="G193" s="2" t="str">
        <f>VLOOKUP($A193,Controle!$B$4:$G$68,6,FALSE)</f>
        <v>Mori</v>
      </c>
      <c r="H193" s="6">
        <v>0</v>
      </c>
      <c r="I193" s="6">
        <v>0</v>
      </c>
      <c r="J193" s="6">
        <v>0</v>
      </c>
      <c r="K193" s="6">
        <v>0</v>
      </c>
      <c r="L193" s="6">
        <v>0</v>
      </c>
      <c r="M193" s="6">
        <v>0</v>
      </c>
      <c r="N193" s="6">
        <v>0</v>
      </c>
      <c r="O193" s="4">
        <f t="shared" si="56"/>
        <v>0</v>
      </c>
      <c r="P193" s="5">
        <f>SUMIFS('Desenvolvimento diário'!$H:$H,'Desenvolvimento diário'!$Q:$Q,$B193,'Desenvolvimento diário'!$P:$P,$F193,'Desenvolvimento diário'!$R:$R,"Sim")</f>
        <v>0</v>
      </c>
      <c r="Q193" s="5">
        <f>SUMIFS('Desenvolvimento diário'!$H:$H,'Desenvolvimento diário'!$Q:$Q,$B193,'Desenvolvimento diário'!$P:$P,$F193,'Desenvolvimento diário'!$R:$R,"Não")</f>
        <v>0</v>
      </c>
      <c r="R193" s="4">
        <f t="shared" si="57"/>
        <v>0</v>
      </c>
      <c r="S193" s="4">
        <f t="shared" si="58"/>
        <v>0</v>
      </c>
      <c r="T193" s="12">
        <f t="shared" si="38"/>
        <v>0</v>
      </c>
      <c r="Y193" s="2"/>
      <c r="Z193" s="2"/>
      <c r="AA193" s="2"/>
      <c r="AB193" s="2"/>
      <c r="AC193" s="2"/>
    </row>
    <row r="194" spans="1:29" hidden="1">
      <c r="A194" s="2">
        <f t="shared" si="59"/>
        <v>6</v>
      </c>
      <c r="B194" s="2" t="str">
        <f>VLOOKUP($A194,Controle!$B$4:$F$68,2,FALSE)</f>
        <v>Paracatu 8</v>
      </c>
      <c r="C194" s="2" t="str">
        <f>VLOOKUP($A194,Controle!$B$4:$F$68,3,FALSE)</f>
        <v xml:space="preserve">MORI GERACAO II </v>
      </c>
      <c r="D194" s="2" t="str">
        <f>VLOOKUP($A194,Controle!$B$4:$F$68,4,FALSE)</f>
        <v>Mori II</v>
      </c>
      <c r="E194" s="2" t="str">
        <f>VLOOKUP($A194,Controle!$B$4:$F$68,5,FALSE)</f>
        <v>Weg</v>
      </c>
      <c r="F194" s="3" t="str">
        <f>F159</f>
        <v>Sistemas de Monitoramento - CFTV</v>
      </c>
      <c r="G194" s="2" t="str">
        <f>VLOOKUP($A194,Controle!$B$4:$G$68,6,FALSE)</f>
        <v>Mori</v>
      </c>
      <c r="H194" s="31" t="s">
        <v>152</v>
      </c>
      <c r="I194" s="6">
        <v>207717.46</v>
      </c>
      <c r="J194" s="6">
        <v>0</v>
      </c>
      <c r="K194" s="6">
        <v>0</v>
      </c>
      <c r="L194" s="6">
        <v>0</v>
      </c>
      <c r="M194" s="6">
        <v>0</v>
      </c>
      <c r="N194" s="6">
        <v>0</v>
      </c>
      <c r="O194" s="4">
        <f t="shared" si="56"/>
        <v>207717.46</v>
      </c>
      <c r="P194" s="5">
        <f>SUMIFS('Desenvolvimento diário'!$H:$H,'Desenvolvimento diário'!$Q:$Q,$B194,'Desenvolvimento diário'!$P:$P,$F194,'Desenvolvimento diário'!$R:$R,"Sim")</f>
        <v>0</v>
      </c>
      <c r="Q194" s="5">
        <f>SUMIFS('Desenvolvimento diário'!$H:$H,'Desenvolvimento diário'!$Q:$Q,$B194,'Desenvolvimento diário'!$P:$P,$F194,'Desenvolvimento diário'!$R:$R,"Não")</f>
        <v>207717.46</v>
      </c>
      <c r="R194" s="4">
        <f t="shared" si="57"/>
        <v>207717.46</v>
      </c>
      <c r="S194" s="4">
        <f t="shared" si="58"/>
        <v>0</v>
      </c>
      <c r="T194" s="12">
        <f t="shared" si="38"/>
        <v>1</v>
      </c>
      <c r="Y194" s="2"/>
      <c r="Z194" s="2"/>
      <c r="AA194" s="2"/>
      <c r="AB194" s="2"/>
      <c r="AC194" s="2"/>
    </row>
    <row r="195" spans="1:29" ht="10.5" hidden="1">
      <c r="A195" s="2">
        <f t="shared" si="59"/>
        <v>6</v>
      </c>
      <c r="B195" s="2" t="str">
        <f>VLOOKUP($A195,Controle!$B$4:$F$68,2,FALSE)</f>
        <v>Paracatu 8</v>
      </c>
      <c r="C195" s="2" t="str">
        <f>VLOOKUP($A195,Controle!$B$4:$F$68,3,FALSE)</f>
        <v xml:space="preserve">MORI GERACAO II </v>
      </c>
      <c r="D195" s="2" t="str">
        <f>VLOOKUP($A195,Controle!$B$4:$F$68,4,FALSE)</f>
        <v>Mori II</v>
      </c>
      <c r="E195" s="2" t="str">
        <f>VLOOKUP($A195,Controle!$B$4:$F$68,5,FALSE)</f>
        <v>Weg</v>
      </c>
      <c r="F195" s="3" t="str">
        <f>F160</f>
        <v>Serviços Auxiliares - Drenagem</v>
      </c>
      <c r="G195" s="2" t="str">
        <f>VLOOKUP($A195,Controle!$B$4:$G$68,6,FALSE)</f>
        <v>Mori</v>
      </c>
      <c r="H195" s="6" t="s">
        <v>185</v>
      </c>
      <c r="I195" s="6">
        <v>222517.12</v>
      </c>
      <c r="J195" s="6">
        <v>0</v>
      </c>
      <c r="K195" s="6">
        <v>0</v>
      </c>
      <c r="L195" s="6">
        <v>0</v>
      </c>
      <c r="M195" s="6">
        <v>0</v>
      </c>
      <c r="N195" s="6">
        <v>0</v>
      </c>
      <c r="O195" s="4">
        <f t="shared" si="56"/>
        <v>222517.12</v>
      </c>
      <c r="P195" s="5">
        <f>SUMIFS('Desenvolvimento diário'!$H:$H,'Desenvolvimento diário'!$Q:$Q,$B195,'Desenvolvimento diário'!$P:$P,$F195,'Desenvolvimento diário'!$R:$R,"Sim")</f>
        <v>0</v>
      </c>
      <c r="Q195" s="5">
        <f>SUMIFS('Desenvolvimento diário'!$H:$H,'Desenvolvimento diário'!$Q:$Q,$B195,'Desenvolvimento diário'!$P:$P,$F195,'Desenvolvimento diário'!$R:$R,"Não")</f>
        <v>222517.12</v>
      </c>
      <c r="R195" s="4">
        <f t="shared" si="57"/>
        <v>222517.12</v>
      </c>
      <c r="S195" s="4">
        <f t="shared" si="58"/>
        <v>0</v>
      </c>
      <c r="T195" s="12">
        <f t="shared" si="38"/>
        <v>1</v>
      </c>
      <c r="Y195" s="2"/>
      <c r="Z195" s="2"/>
      <c r="AA195" s="2"/>
      <c r="AB195" s="2"/>
      <c r="AC195" s="2"/>
    </row>
    <row r="196" spans="1:29" ht="10.5" hidden="1">
      <c r="A196" s="2">
        <f t="shared" si="59"/>
        <v>6</v>
      </c>
      <c r="B196" s="2" t="str">
        <f>VLOOKUP($A196,Controle!$B$4:$F$68,2,FALSE)</f>
        <v>Paracatu 8</v>
      </c>
      <c r="C196" s="2" t="str">
        <f>VLOOKUP($A196,Controle!$B$4:$F$68,3,FALSE)</f>
        <v xml:space="preserve">MORI GERACAO II </v>
      </c>
      <c r="D196" s="2" t="str">
        <f>VLOOKUP($A196,Controle!$B$4:$F$68,4,FALSE)</f>
        <v>Mori II</v>
      </c>
      <c r="E196" s="2" t="str">
        <f>VLOOKUP($A196,Controle!$B$4:$F$68,5,FALSE)</f>
        <v>Weg</v>
      </c>
      <c r="F196" s="3" t="str">
        <f>F161</f>
        <v>Serviços Auxiliares - Terraplanagem</v>
      </c>
      <c r="G196" s="2" t="str">
        <f>VLOOKUP($A196,Controle!$B$4:$G$68,6,FALSE)</f>
        <v>Mori</v>
      </c>
      <c r="H196" s="6" t="s">
        <v>154</v>
      </c>
      <c r="I196" s="6">
        <v>497063.63</v>
      </c>
      <c r="J196" s="6"/>
      <c r="K196" s="6">
        <v>0</v>
      </c>
      <c r="L196" s="6">
        <v>0</v>
      </c>
      <c r="M196" s="6">
        <v>0</v>
      </c>
      <c r="N196" s="6">
        <v>0</v>
      </c>
      <c r="O196" s="4">
        <f t="shared" si="56"/>
        <v>497063.63</v>
      </c>
      <c r="P196" s="5">
        <f>SUMIFS('Desenvolvimento diário'!$H:$H,'Desenvolvimento diário'!$Q:$Q,$B196,'Desenvolvimento diário'!$P:$P,$F196,'Desenvolvimento diário'!$R:$R,"Sim")</f>
        <v>0</v>
      </c>
      <c r="Q196" s="5">
        <f>SUMIFS('Desenvolvimento diário'!$H:$H,'Desenvolvimento diário'!$Q:$Q,$B196,'Desenvolvimento diário'!$P:$P,$F196,'Desenvolvimento diário'!$R:$R,"Não")</f>
        <v>497063.63</v>
      </c>
      <c r="R196" s="4">
        <f t="shared" si="57"/>
        <v>497063.63</v>
      </c>
      <c r="S196" s="4">
        <f t="shared" si="58"/>
        <v>0</v>
      </c>
      <c r="T196" s="12">
        <f t="shared" si="38"/>
        <v>1</v>
      </c>
      <c r="Y196" s="2"/>
      <c r="Z196" s="2"/>
      <c r="AA196" s="2"/>
      <c r="AB196" s="2"/>
      <c r="AC196" s="2"/>
    </row>
    <row r="197" spans="1:29" ht="10.5" hidden="1">
      <c r="A197" s="2">
        <f t="shared" si="59"/>
        <v>6</v>
      </c>
      <c r="B197" s="2" t="str">
        <f>VLOOKUP($A197,Controle!$B$4:$F$68,2,FALSE)</f>
        <v>Paracatu 8</v>
      </c>
      <c r="C197" s="2" t="str">
        <f>VLOOKUP($A197,Controle!$B$4:$F$68,3,FALSE)</f>
        <v xml:space="preserve">MORI GERACAO II </v>
      </c>
      <c r="D197" s="2" t="str">
        <f>VLOOKUP($A197,Controle!$B$4:$F$68,4,FALSE)</f>
        <v>Mori II</v>
      </c>
      <c r="E197" s="2" t="str">
        <f>VLOOKUP($A197,Controle!$B$4:$F$68,5,FALSE)</f>
        <v>Weg</v>
      </c>
      <c r="F197" s="3" t="str">
        <f>F162</f>
        <v>Serviços Auxiliares - Supressão Vegetal</v>
      </c>
      <c r="G197" s="2" t="str">
        <f>VLOOKUP($A197,Controle!$B$4:$G$68,6,FALSE)</f>
        <v>Mori</v>
      </c>
      <c r="H197" s="6">
        <v>0</v>
      </c>
      <c r="I197" s="6">
        <v>0</v>
      </c>
      <c r="J197" s="6">
        <v>0</v>
      </c>
      <c r="K197" s="6">
        <v>0</v>
      </c>
      <c r="L197" s="6">
        <v>0</v>
      </c>
      <c r="M197" s="6">
        <v>0</v>
      </c>
      <c r="N197" s="6">
        <v>0</v>
      </c>
      <c r="O197" s="4">
        <f t="shared" si="56"/>
        <v>0</v>
      </c>
      <c r="P197" s="5">
        <f>SUMIFS('Desenvolvimento diário'!$H:$H,'Desenvolvimento diário'!$Q:$Q,$B197,'Desenvolvimento diário'!$P:$P,$F197,'Desenvolvimento diário'!$R:$R,"Sim")</f>
        <v>0</v>
      </c>
      <c r="Q197" s="5">
        <f>SUMIFS('Desenvolvimento diário'!$H:$H,'Desenvolvimento diário'!$Q:$Q,$B197,'Desenvolvimento diário'!$P:$P,$F197,'Desenvolvimento diário'!$R:$R,"Não")</f>
        <v>0</v>
      </c>
      <c r="R197" s="4">
        <f t="shared" si="57"/>
        <v>0</v>
      </c>
      <c r="S197" s="4">
        <f t="shared" si="58"/>
        <v>0</v>
      </c>
      <c r="T197" s="12">
        <f t="shared" si="38"/>
        <v>0</v>
      </c>
      <c r="Y197" s="2"/>
      <c r="Z197" s="2"/>
      <c r="AA197" s="2"/>
      <c r="AB197" s="2"/>
      <c r="AC197" s="2"/>
    </row>
    <row r="198" spans="1:29" ht="10.5" hidden="1">
      <c r="A198" s="2">
        <f t="shared" si="59"/>
        <v>6</v>
      </c>
      <c r="B198" s="2" t="str">
        <f>VLOOKUP($A198,Controle!$B$4:$F$68,2,FALSE)</f>
        <v>Paracatu 8</v>
      </c>
      <c r="C198" s="2" t="str">
        <f>VLOOKUP($A198,Controle!$B$4:$F$68,3,FALSE)</f>
        <v xml:space="preserve">MORI GERACAO II </v>
      </c>
      <c r="D198" s="2" t="str">
        <f>VLOOKUP($A198,Controle!$B$4:$F$68,4,FALSE)</f>
        <v>Mori II</v>
      </c>
      <c r="E198" s="2" t="str">
        <f>VLOOKUP($A198,Controle!$B$4:$F$68,5,FALSE)</f>
        <v>Weg</v>
      </c>
      <c r="F198" s="3" t="str">
        <f>F163</f>
        <v>RDR-Rede de Distribuição Rural</v>
      </c>
      <c r="G198" s="2" t="str">
        <f>VLOOKUP($A198,Controle!$B$4:$G$68,6,FALSE)</f>
        <v>Mori</v>
      </c>
      <c r="H198" s="6">
        <v>0</v>
      </c>
      <c r="I198" s="6">
        <v>0</v>
      </c>
      <c r="J198" s="6">
        <v>0</v>
      </c>
      <c r="K198" s="6">
        <v>0</v>
      </c>
      <c r="L198" s="6">
        <v>0</v>
      </c>
      <c r="M198" s="6">
        <v>0</v>
      </c>
      <c r="N198" s="6">
        <v>0</v>
      </c>
      <c r="O198" s="4">
        <f t="shared" si="56"/>
        <v>0</v>
      </c>
      <c r="P198" s="5">
        <f>SUMIFS('Desenvolvimento diário'!$H:$H,'Desenvolvimento diário'!$Q:$Q,$B198,'Desenvolvimento diário'!$P:$P,$F198,'Desenvolvimento diário'!$R:$R,"Sim")</f>
        <v>0</v>
      </c>
      <c r="Q198" s="5">
        <f>SUMIFS('Desenvolvimento diário'!$H:$H,'Desenvolvimento diário'!$Q:$Q,$B198,'Desenvolvimento diário'!$P:$P,$F198,'Desenvolvimento diário'!$R:$R,"Não")</f>
        <v>0</v>
      </c>
      <c r="R198" s="4">
        <f t="shared" si="57"/>
        <v>0</v>
      </c>
      <c r="S198" s="4">
        <f t="shared" si="58"/>
        <v>0</v>
      </c>
      <c r="T198" s="12">
        <f t="shared" si="38"/>
        <v>0</v>
      </c>
      <c r="Y198" s="2"/>
      <c r="Z198" s="2"/>
      <c r="AA198" s="2"/>
      <c r="AB198" s="2"/>
      <c r="AC198" s="2"/>
    </row>
    <row r="199" spans="1:29" ht="10.5" hidden="1">
      <c r="A199" s="2">
        <f t="shared" si="59"/>
        <v>6</v>
      </c>
      <c r="B199" s="2" t="str">
        <f>VLOOKUP($A199,Controle!$B$4:$F$68,2,FALSE)</f>
        <v>Paracatu 8</v>
      </c>
      <c r="C199" s="2" t="str">
        <f>VLOOKUP($A199,Controle!$B$4:$F$68,3,FALSE)</f>
        <v xml:space="preserve">MORI GERACAO II </v>
      </c>
      <c r="D199" s="2" t="str">
        <f>VLOOKUP($A199,Controle!$B$4:$F$68,4,FALSE)</f>
        <v>Mori II</v>
      </c>
      <c r="E199" s="2" t="str">
        <f>VLOOKUP($A199,Controle!$B$4:$F$68,5,FALSE)</f>
        <v>Weg</v>
      </c>
      <c r="F199" s="3" t="str">
        <f>F164</f>
        <v>Escopo COMERC</v>
      </c>
      <c r="G199" s="2" t="str">
        <f>VLOOKUP($A199,Controle!$B$4:$G$68,6,FALSE)</f>
        <v>Mori</v>
      </c>
      <c r="H199" s="6">
        <v>0</v>
      </c>
      <c r="I199" s="6">
        <v>36220.71</v>
      </c>
      <c r="J199" s="29">
        <v>15000</v>
      </c>
      <c r="K199" s="29"/>
      <c r="L199" s="6">
        <v>0</v>
      </c>
      <c r="M199" s="6">
        <v>0</v>
      </c>
      <c r="N199" s="6">
        <v>0</v>
      </c>
      <c r="O199" s="4">
        <f t="shared" si="56"/>
        <v>51220.71</v>
      </c>
      <c r="P199" s="5">
        <f>SUMIFS('Desenvolvimento diário'!$H:$H,'Desenvolvimento diário'!$Q:$Q,$B199,'Desenvolvimento diário'!$P:$P,$F199,'Desenvolvimento diário'!$R:$R,"Sim")</f>
        <v>0</v>
      </c>
      <c r="Q199" s="5">
        <f>SUMIFS('Desenvolvimento diário'!$H:$H,'Desenvolvimento diário'!$Q:$Q,$B199,'Desenvolvimento diário'!$P:$P,$F199,'Desenvolvimento diário'!$R:$R,"Não")</f>
        <v>36220.71</v>
      </c>
      <c r="R199" s="4">
        <f t="shared" si="57"/>
        <v>36220.71</v>
      </c>
      <c r="S199" s="1010">
        <f t="shared" si="58"/>
        <v>15000</v>
      </c>
      <c r="T199" s="12">
        <f t="shared" si="38"/>
        <v>0.70714970565616919</v>
      </c>
      <c r="U199" s="1011" t="s">
        <v>166</v>
      </c>
      <c r="V199" s="1011" t="s">
        <v>167</v>
      </c>
      <c r="Y199" s="2"/>
      <c r="Z199" s="2"/>
      <c r="AA199" s="2"/>
      <c r="AB199" s="2"/>
      <c r="AC199" s="2"/>
    </row>
    <row r="200" spans="1:29" ht="10.5" hidden="1">
      <c r="A200" s="2">
        <f t="shared" si="59"/>
        <v>6</v>
      </c>
      <c r="B200" s="2" t="str">
        <f>VLOOKUP($A200,Controle!$B$4:$F$68,2,FALSE)</f>
        <v>Paracatu 8</v>
      </c>
      <c r="C200" s="2" t="str">
        <f>VLOOKUP($A200,Controle!$B$4:$F$68,3,FALSE)</f>
        <v xml:space="preserve">MORI GERACAO II </v>
      </c>
      <c r="D200" s="2" t="str">
        <f>VLOOKUP($A200,Controle!$B$4:$F$68,4,FALSE)</f>
        <v>Mori II</v>
      </c>
      <c r="E200" s="2" t="str">
        <f>VLOOKUP($A200,Controle!$B$4:$F$68,5,FALSE)</f>
        <v>Weg</v>
      </c>
      <c r="F200" s="3" t="str">
        <f>F165</f>
        <v>Escopo COMERC - Segurança</v>
      </c>
      <c r="G200" s="2" t="str">
        <f>VLOOKUP($A200,Controle!$B$4:$G$68,6,FALSE)</f>
        <v>Mori</v>
      </c>
      <c r="H200" s="6">
        <v>0</v>
      </c>
      <c r="I200" s="6">
        <f t="shared" ref="I199:I200" si="60">R200</f>
        <v>88487.25</v>
      </c>
      <c r="J200" s="6">
        <v>0</v>
      </c>
      <c r="K200" s="6">
        <v>0</v>
      </c>
      <c r="L200" s="6">
        <v>0</v>
      </c>
      <c r="M200" s="6">
        <v>0</v>
      </c>
      <c r="N200" s="6">
        <v>0</v>
      </c>
      <c r="O200" s="4">
        <f t="shared" si="56"/>
        <v>88487.25</v>
      </c>
      <c r="P200" s="5">
        <f>SUMIFS('Desenvolvimento diário'!$H:$H,'Desenvolvimento diário'!$Q:$Q,$B200,'Desenvolvimento diário'!$P:$P,$F200,'Desenvolvimento diário'!$R:$R,"Sim")</f>
        <v>0</v>
      </c>
      <c r="Q200" s="5">
        <f>SUMIFS('Desenvolvimento diário'!$H:$H,'Desenvolvimento diário'!$Q:$Q,$B200,'Desenvolvimento diário'!$P:$P,$F200,'Desenvolvimento diário'!$R:$R,"Não")</f>
        <v>88487.25</v>
      </c>
      <c r="R200" s="4">
        <f t="shared" si="57"/>
        <v>88487.25</v>
      </c>
      <c r="S200" s="4">
        <f t="shared" si="58"/>
        <v>0</v>
      </c>
      <c r="T200" s="12">
        <f t="shared" si="38"/>
        <v>1</v>
      </c>
      <c r="Y200" s="2"/>
      <c r="Z200" s="2"/>
      <c r="AA200" s="2"/>
      <c r="AB200" s="2"/>
      <c r="AC200" s="2"/>
    </row>
    <row r="201" spans="1:29" ht="10.5" hidden="1">
      <c r="A201" s="2">
        <f t="shared" si="59"/>
        <v>6</v>
      </c>
      <c r="B201" s="2" t="str">
        <f>VLOOKUP($A201,Controle!$B$4:$F$68,2,FALSE)</f>
        <v>Paracatu 8</v>
      </c>
      <c r="C201" s="2" t="str">
        <f>VLOOKUP($A201,Controle!$B$4:$F$68,3,FALSE)</f>
        <v xml:space="preserve">MORI GERACAO II </v>
      </c>
      <c r="D201" s="2" t="str">
        <f>VLOOKUP($A201,Controle!$B$4:$F$68,4,FALSE)</f>
        <v>Mori II</v>
      </c>
      <c r="E201" s="2" t="str">
        <f>VLOOKUP($A201,Controle!$B$4:$F$68,5,FALSE)</f>
        <v>Weg</v>
      </c>
      <c r="F201" s="3" t="str">
        <f>F166</f>
        <v>Conexão MT - Obras Transferencia</v>
      </c>
      <c r="G201" s="2" t="str">
        <f>VLOOKUP($A201,Controle!$B$4:$G$68,6,FALSE)</f>
        <v>Mori</v>
      </c>
      <c r="H201" s="6">
        <v>0</v>
      </c>
      <c r="I201" s="6">
        <v>0</v>
      </c>
      <c r="J201" s="6">
        <v>0</v>
      </c>
      <c r="K201" s="6">
        <v>0</v>
      </c>
      <c r="L201" s="6">
        <v>0</v>
      </c>
      <c r="M201" s="6">
        <v>0</v>
      </c>
      <c r="N201" s="6">
        <v>0</v>
      </c>
      <c r="O201" s="4">
        <f t="shared" si="56"/>
        <v>0</v>
      </c>
      <c r="P201" s="5">
        <f>SUMIFS('Desenvolvimento diário'!$H:$H,'Desenvolvimento diário'!$Q:$Q,$B201,'Desenvolvimento diário'!$P:$P,$F201,'Desenvolvimento diário'!$R:$R,"Sim")</f>
        <v>0</v>
      </c>
      <c r="Q201" s="5">
        <f>SUMIFS('Desenvolvimento diário'!$H:$H,'Desenvolvimento diário'!$Q:$Q,$B201,'Desenvolvimento diário'!$P:$P,$F201,'Desenvolvimento diário'!$R:$R,"Não")</f>
        <v>0</v>
      </c>
      <c r="R201" s="4">
        <f t="shared" si="57"/>
        <v>0</v>
      </c>
      <c r="S201" s="4">
        <f t="shared" si="58"/>
        <v>0</v>
      </c>
      <c r="T201" s="12">
        <f t="shared" si="38"/>
        <v>0</v>
      </c>
      <c r="Y201" s="2"/>
      <c r="Z201" s="2"/>
      <c r="AA201" s="2"/>
      <c r="AB201" s="2"/>
      <c r="AC201" s="2"/>
    </row>
    <row r="202" spans="1:29" ht="10.5" hidden="1">
      <c r="A202" s="2">
        <f t="shared" si="59"/>
        <v>6</v>
      </c>
      <c r="B202" s="2" t="str">
        <f>VLOOKUP($A202,Controle!$B$4:$F$68,2,FALSE)</f>
        <v>Paracatu 8</v>
      </c>
      <c r="C202" s="2" t="str">
        <f>VLOOKUP($A202,Controle!$B$4:$F$68,3,FALSE)</f>
        <v xml:space="preserve">MORI GERACAO II </v>
      </c>
      <c r="D202" s="2" t="str">
        <f>VLOOKUP($A202,Controle!$B$4:$F$68,4,FALSE)</f>
        <v>Mori II</v>
      </c>
      <c r="E202" s="2" t="str">
        <f>VLOOKUP($A202,Controle!$B$4:$F$68,5,FALSE)</f>
        <v>Weg</v>
      </c>
      <c r="F202" s="3" t="str">
        <f>F167</f>
        <v>Bases de Contaniers</v>
      </c>
      <c r="G202" s="2" t="str">
        <f>VLOOKUP($A202,Controle!$B$4:$G$68,6,FALSE)</f>
        <v>Mori</v>
      </c>
      <c r="H202" s="6" t="s">
        <v>181</v>
      </c>
      <c r="I202" s="6">
        <v>147704.69</v>
      </c>
      <c r="J202" s="6">
        <v>0</v>
      </c>
      <c r="K202" s="6">
        <v>0</v>
      </c>
      <c r="L202" s="6">
        <v>0</v>
      </c>
      <c r="M202" s="6">
        <v>0</v>
      </c>
      <c r="N202" s="6">
        <v>0</v>
      </c>
      <c r="O202" s="4">
        <f t="shared" si="56"/>
        <v>147704.69</v>
      </c>
      <c r="P202" s="5">
        <f>SUMIFS('Desenvolvimento diário'!$H:$H,'Desenvolvimento diário'!$Q:$Q,$B202,'Desenvolvimento diário'!$P:$P,$F202,'Desenvolvimento diário'!$R:$R,"Sim")</f>
        <v>88000</v>
      </c>
      <c r="Q202" s="5">
        <f>SUMIFS('Desenvolvimento diário'!$H:$H,'Desenvolvimento diário'!$Q:$Q,$B202,'Desenvolvimento diário'!$P:$P,$F202,'Desenvolvimento diário'!$R:$R,"Não")</f>
        <v>59704.69</v>
      </c>
      <c r="R202" s="4">
        <f t="shared" si="57"/>
        <v>147704.69</v>
      </c>
      <c r="S202" s="4">
        <f t="shared" si="58"/>
        <v>0</v>
      </c>
      <c r="T202" s="12">
        <f t="shared" si="38"/>
        <v>1</v>
      </c>
      <c r="Y202" s="2"/>
      <c r="Z202" s="2"/>
      <c r="AA202" s="2"/>
      <c r="AB202" s="2"/>
      <c r="AC202" s="2"/>
    </row>
    <row r="203" spans="1:29" ht="10.5" hidden="1">
      <c r="A203" s="2">
        <f t="shared" si="59"/>
        <v>6</v>
      </c>
      <c r="B203" s="2" t="str">
        <f>VLOOKUP($A203,Controle!$B$4:$F$68,2,FALSE)</f>
        <v>Paracatu 8</v>
      </c>
      <c r="C203" s="2" t="str">
        <f>VLOOKUP($A203,Controle!$B$4:$F$68,3,FALSE)</f>
        <v xml:space="preserve">MORI GERACAO II </v>
      </c>
      <c r="D203" s="2" t="str">
        <f>VLOOKUP($A203,Controle!$B$4:$F$68,4,FALSE)</f>
        <v>Mori II</v>
      </c>
      <c r="E203" s="2" t="str">
        <f>VLOOKUP($A203,Controle!$B$4:$F$68,5,FALSE)</f>
        <v>Weg</v>
      </c>
      <c r="F203" s="3" t="str">
        <f>F168</f>
        <v>Construção - Serviços de Construção - Ase Engenharia</v>
      </c>
      <c r="G203" s="2" t="str">
        <f>VLOOKUP($A203,Controle!$B$4:$G$68,6,FALSE)</f>
        <v>Mori</v>
      </c>
      <c r="H203" s="6">
        <v>0</v>
      </c>
      <c r="I203" s="6">
        <v>0</v>
      </c>
      <c r="J203" s="6">
        <v>0</v>
      </c>
      <c r="K203" s="6">
        <v>0</v>
      </c>
      <c r="L203" s="6">
        <v>0</v>
      </c>
      <c r="M203" s="6">
        <v>0</v>
      </c>
      <c r="N203" s="6">
        <v>0</v>
      </c>
      <c r="O203" s="4">
        <f t="shared" si="56"/>
        <v>0</v>
      </c>
      <c r="P203" s="5">
        <f>SUMIFS('Desenvolvimento diário'!$H:$H,'Desenvolvimento diário'!$Q:$Q,$B203,'Desenvolvimento diário'!$P:$P,$F203,'Desenvolvimento diário'!$R:$R,"Sim")</f>
        <v>0</v>
      </c>
      <c r="Q203" s="5">
        <f>SUMIFS('Desenvolvimento diário'!$H:$H,'Desenvolvimento diário'!$Q:$Q,$B203,'Desenvolvimento diário'!$P:$P,$F203,'Desenvolvimento diário'!$R:$R,"Não")</f>
        <v>0</v>
      </c>
      <c r="R203" s="4">
        <f t="shared" si="57"/>
        <v>0</v>
      </c>
      <c r="S203" s="4">
        <f t="shared" si="58"/>
        <v>0</v>
      </c>
      <c r="T203" s="12">
        <f t="shared" si="38"/>
        <v>0</v>
      </c>
      <c r="Y203" s="2"/>
      <c r="Z203" s="2"/>
      <c r="AA203" s="2"/>
      <c r="AB203" s="2"/>
      <c r="AC203" s="2"/>
    </row>
    <row r="204" spans="1:29" ht="10.5" hidden="1">
      <c r="A204" s="2">
        <f t="shared" si="59"/>
        <v>6</v>
      </c>
      <c r="B204" s="2" t="str">
        <f>VLOOKUP($A204,Controle!$B$4:$F$68,2,FALSE)</f>
        <v>Paracatu 8</v>
      </c>
      <c r="C204" s="2" t="str">
        <f>VLOOKUP($A204,Controle!$B$4:$F$68,3,FALSE)</f>
        <v xml:space="preserve">MORI GERACAO II </v>
      </c>
      <c r="D204" s="2" t="str">
        <f>VLOOKUP($A204,Controle!$B$4:$F$68,4,FALSE)</f>
        <v>Mori II</v>
      </c>
      <c r="E204" s="2" t="str">
        <f>VLOOKUP($A204,Controle!$B$4:$F$68,5,FALSE)</f>
        <v>Weg</v>
      </c>
      <c r="F204" s="3" t="str">
        <f>F169</f>
        <v>Full EPC - Contrato Sobressalentes</v>
      </c>
      <c r="G204" s="2" t="str">
        <f>VLOOKUP($A204,Controle!$B$4:$G$68,6,FALSE)</f>
        <v>Mori</v>
      </c>
      <c r="H204" s="6" t="s">
        <v>21</v>
      </c>
      <c r="I204" s="6">
        <v>146812.34</v>
      </c>
      <c r="J204" s="6">
        <v>0</v>
      </c>
      <c r="K204" s="6">
        <v>0</v>
      </c>
      <c r="L204" s="6">
        <v>0</v>
      </c>
      <c r="M204" s="6">
        <v>0</v>
      </c>
      <c r="N204" s="6">
        <v>0</v>
      </c>
      <c r="O204" s="4">
        <f t="shared" si="56"/>
        <v>146812.34</v>
      </c>
      <c r="P204" s="5">
        <f>SUMIFS('Desenvolvimento diário'!$H:$H,'Desenvolvimento diário'!$Q:$Q,$B204,'Desenvolvimento diário'!$P:$P,$F204,'Desenvolvimento diário'!$R:$R,"Sim")</f>
        <v>0</v>
      </c>
      <c r="Q204" s="5">
        <f>SUMIFS('Desenvolvimento diário'!$H:$H,'Desenvolvimento diário'!$Q:$Q,$B204,'Desenvolvimento diário'!$P:$P,$F204,'Desenvolvimento diário'!$R:$R,"Não")</f>
        <v>146812.34</v>
      </c>
      <c r="R204" s="4">
        <f t="shared" si="57"/>
        <v>146812.34</v>
      </c>
      <c r="S204" s="4">
        <f t="shared" si="58"/>
        <v>0</v>
      </c>
      <c r="T204" s="12">
        <f t="shared" si="38"/>
        <v>1</v>
      </c>
      <c r="Y204" s="2"/>
      <c r="Z204" s="2"/>
      <c r="AA204" s="2"/>
      <c r="AB204" s="2"/>
      <c r="AC204" s="2"/>
    </row>
    <row r="205" spans="1:29" ht="10.5" hidden="1">
      <c r="A205" s="2">
        <f t="shared" si="59"/>
        <v>6</v>
      </c>
      <c r="B205" s="2" t="str">
        <f>VLOOKUP($A205,Controle!$B$4:$F$68,2,FALSE)</f>
        <v>Paracatu 8</v>
      </c>
      <c r="C205" s="2" t="str">
        <f>VLOOKUP($A205,Controle!$B$4:$F$68,3,FALSE)</f>
        <v xml:space="preserve">MORI GERACAO II </v>
      </c>
      <c r="D205" s="2" t="str">
        <f>VLOOKUP($A205,Controle!$B$4:$F$68,4,FALSE)</f>
        <v>Mori II</v>
      </c>
      <c r="E205" s="2" t="str">
        <f>VLOOKUP($A205,Controle!$B$4:$F$68,5,FALSE)</f>
        <v>Weg</v>
      </c>
      <c r="F205" s="3" t="str">
        <f>F170</f>
        <v>Construção - Serviços de Construção - NOVA MORADA</v>
      </c>
      <c r="G205" s="2" t="str">
        <f>VLOOKUP($A205,Controle!$B$4:$G$68,6,FALSE)</f>
        <v>Mori</v>
      </c>
      <c r="H205" s="6">
        <v>0</v>
      </c>
      <c r="I205" s="6">
        <v>0</v>
      </c>
      <c r="J205" s="6">
        <v>0</v>
      </c>
      <c r="K205" s="6">
        <v>0</v>
      </c>
      <c r="L205" s="6">
        <v>0</v>
      </c>
      <c r="M205" s="6">
        <v>0</v>
      </c>
      <c r="N205" s="6">
        <v>0</v>
      </c>
      <c r="O205" s="4">
        <f t="shared" si="56"/>
        <v>0</v>
      </c>
      <c r="P205" s="5">
        <f>SUMIFS('Desenvolvimento diário'!$H:$H,'Desenvolvimento diário'!$Q:$Q,$B205,'Desenvolvimento diário'!$P:$P,$F205,'Desenvolvimento diário'!$R:$R,"Sim")</f>
        <v>0</v>
      </c>
      <c r="Q205" s="5">
        <f>SUMIFS('Desenvolvimento diário'!$H:$H,'Desenvolvimento diário'!$Q:$Q,$B205,'Desenvolvimento diário'!$P:$P,$F205,'Desenvolvimento diário'!$R:$R,"Não")</f>
        <v>0</v>
      </c>
      <c r="R205" s="4">
        <f t="shared" si="57"/>
        <v>0</v>
      </c>
      <c r="S205" s="4">
        <f t="shared" si="58"/>
        <v>0</v>
      </c>
      <c r="T205" s="12">
        <f t="shared" si="38"/>
        <v>0</v>
      </c>
      <c r="Y205" s="2"/>
      <c r="Z205" s="2"/>
      <c r="AA205" s="2"/>
      <c r="AB205" s="2"/>
      <c r="AC205" s="2"/>
    </row>
    <row r="206" spans="1:29" ht="10.5" hidden="1">
      <c r="A206" s="2">
        <f t="shared" si="59"/>
        <v>6</v>
      </c>
      <c r="B206" s="2" t="str">
        <f>VLOOKUP($A206,Controle!$B$4:$F$68,2,FALSE)</f>
        <v>Paracatu 8</v>
      </c>
      <c r="C206" s="2" t="str">
        <f>VLOOKUP($A206,Controle!$B$4:$F$68,3,FALSE)</f>
        <v xml:space="preserve">MORI GERACAO II </v>
      </c>
      <c r="D206" s="2" t="str">
        <f>VLOOKUP($A206,Controle!$B$4:$F$68,4,FALSE)</f>
        <v>Mori II</v>
      </c>
      <c r="E206" s="2" t="str">
        <f>VLOOKUP($A206,Controle!$B$4:$F$68,5,FALSE)</f>
        <v>Weg</v>
      </c>
      <c r="F206" s="3" t="str">
        <f t="shared" ref="F206:F210" si="61">F171</f>
        <v>Equipamentos Curva A -  Contrato Sobressalentes - SETTA</v>
      </c>
      <c r="G206" s="2" t="str">
        <f>VLOOKUP($A206,Controle!$B$4:$G$68,6,FALSE)</f>
        <v>Mori</v>
      </c>
      <c r="H206" s="6">
        <v>0</v>
      </c>
      <c r="I206" s="6">
        <v>0</v>
      </c>
      <c r="J206" s="6">
        <v>0</v>
      </c>
      <c r="K206" s="6">
        <v>0</v>
      </c>
      <c r="L206" s="6">
        <v>0</v>
      </c>
      <c r="M206" s="6">
        <v>0</v>
      </c>
      <c r="N206" s="6">
        <v>0</v>
      </c>
      <c r="O206" s="4">
        <f t="shared" si="56"/>
        <v>0</v>
      </c>
      <c r="P206" s="5">
        <f>SUMIFS('Desenvolvimento diário'!$H:$H,'Desenvolvimento diário'!$Q:$Q,$B206,'Desenvolvimento diário'!$P:$P,$F206,'Desenvolvimento diário'!$R:$R,"Sim")</f>
        <v>0</v>
      </c>
      <c r="Q206" s="5">
        <f>SUMIFS('Desenvolvimento diário'!$H:$H,'Desenvolvimento diário'!$Q:$Q,$B206,'Desenvolvimento diário'!$P:$P,$F206,'Desenvolvimento diário'!$R:$R,"Não")</f>
        <v>0</v>
      </c>
      <c r="R206" s="4">
        <f t="shared" si="57"/>
        <v>0</v>
      </c>
      <c r="S206" s="4">
        <f t="shared" si="58"/>
        <v>0</v>
      </c>
      <c r="T206" s="12">
        <f t="shared" ref="T206:T273" si="62">IFERROR(R206/O206,0)</f>
        <v>0</v>
      </c>
      <c r="Y206" s="2"/>
      <c r="Z206" s="2"/>
      <c r="AA206" s="2"/>
      <c r="AB206" s="2"/>
      <c r="AC206" s="2"/>
    </row>
    <row r="207" spans="1:29" ht="10.5" hidden="1">
      <c r="A207" s="2">
        <f t="shared" si="59"/>
        <v>6</v>
      </c>
      <c r="B207" s="2" t="str">
        <f>VLOOKUP($A207,Controle!$B$4:$F$68,2,FALSE)</f>
        <v>Paracatu 8</v>
      </c>
      <c r="C207" s="2" t="str">
        <f>VLOOKUP($A207,Controle!$B$4:$F$68,3,FALSE)</f>
        <v xml:space="preserve">MORI GERACAO II </v>
      </c>
      <c r="D207" s="2" t="str">
        <f>VLOOKUP($A207,Controle!$B$4:$F$68,4,FALSE)</f>
        <v>Mori II</v>
      </c>
      <c r="E207" s="2" t="str">
        <f>VLOOKUP($A207,Controle!$B$4:$F$68,5,FALSE)</f>
        <v>Weg</v>
      </c>
      <c r="F207" s="3" t="str">
        <f t="shared" si="61"/>
        <v>Equipamentos Curva A -  Contrato Sobressalentes - Arctech</v>
      </c>
      <c r="G207" s="2" t="str">
        <f>VLOOKUP($A207,Controle!$B$4:$G$68,6,FALSE)</f>
        <v>Mori</v>
      </c>
      <c r="H207" s="6">
        <v>0</v>
      </c>
      <c r="I207" s="6">
        <v>0</v>
      </c>
      <c r="J207" s="6">
        <v>0</v>
      </c>
      <c r="K207" s="6">
        <v>0</v>
      </c>
      <c r="L207" s="6">
        <v>0</v>
      </c>
      <c r="M207" s="6">
        <v>0</v>
      </c>
      <c r="N207" s="6">
        <v>0</v>
      </c>
      <c r="O207" s="4">
        <f t="shared" si="56"/>
        <v>0</v>
      </c>
      <c r="P207" s="5">
        <f>SUMIFS('Desenvolvimento diário'!$H:$H,'Desenvolvimento diário'!$Q:$Q,$B207,'Desenvolvimento diário'!$P:$P,$F207,'Desenvolvimento diário'!$R:$R,"Sim")</f>
        <v>0</v>
      </c>
      <c r="Q207" s="5">
        <f>SUMIFS('Desenvolvimento diário'!$H:$H,'Desenvolvimento diário'!$Q:$Q,$B207,'Desenvolvimento diário'!$P:$P,$F207,'Desenvolvimento diário'!$R:$R,"Não")</f>
        <v>0</v>
      </c>
      <c r="R207" s="4">
        <f t="shared" si="57"/>
        <v>0</v>
      </c>
      <c r="S207" s="4">
        <f t="shared" si="58"/>
        <v>0</v>
      </c>
      <c r="T207" s="12">
        <f t="shared" si="62"/>
        <v>0</v>
      </c>
      <c r="Y207" s="2"/>
      <c r="Z207" s="2"/>
      <c r="AA207" s="2"/>
      <c r="AB207" s="2"/>
      <c r="AC207" s="2"/>
    </row>
    <row r="208" spans="1:29" hidden="1">
      <c r="A208" s="2">
        <f t="shared" si="59"/>
        <v>6</v>
      </c>
      <c r="B208" s="2" t="str">
        <f>VLOOKUP($A208,Controle!$B$4:$F$68,2,FALSE)</f>
        <v>Paracatu 8</v>
      </c>
      <c r="C208" s="2" t="str">
        <f>VLOOKUP($A208,Controle!$B$4:$F$68,3,FALSE)</f>
        <v xml:space="preserve">MORI GERACAO II </v>
      </c>
      <c r="D208" s="2" t="str">
        <f>VLOOKUP($A208,Controle!$B$4:$F$68,4,FALSE)</f>
        <v>Mori II</v>
      </c>
      <c r="E208" s="2" t="str">
        <f>VLOOKUP($A208,Controle!$B$4:$F$68,5,FALSE)</f>
        <v>Weg</v>
      </c>
      <c r="F208" s="3" t="str">
        <f t="shared" si="61"/>
        <v>Equipamentos Curva A -  Contrato Sobressalentes - Romagnole</v>
      </c>
      <c r="G208" s="2" t="str">
        <f>VLOOKUP($A208,Controle!$B$4:$G$68,6,FALSE)</f>
        <v>Mori</v>
      </c>
      <c r="H208" s="506" t="s">
        <v>169</v>
      </c>
      <c r="I208" s="506">
        <v>112376.29</v>
      </c>
      <c r="J208" s="506">
        <f>74065.89-0.01</f>
        <v>74065.88</v>
      </c>
      <c r="K208" s="506">
        <v>0</v>
      </c>
      <c r="L208" s="506">
        <v>0</v>
      </c>
      <c r="M208" s="506">
        <v>0</v>
      </c>
      <c r="N208" s="506">
        <v>0</v>
      </c>
      <c r="O208" s="39">
        <f>SUM(I208:N208)</f>
        <v>186442.16999999998</v>
      </c>
      <c r="P208" s="17">
        <f>SUMIFS('Desenvolvimento diário'!$H:$H,'Desenvolvimento diário'!$Q:$Q,$B208,'Desenvolvimento diário'!$P:$P,$F208,'Desenvolvimento diário'!$R:$R,"Sim")</f>
        <v>0</v>
      </c>
      <c r="Q208" s="17">
        <f>SUMIFS('Desenvolvimento diário'!$H:$H,'Desenvolvimento diário'!$Q:$Q,$B208,'Desenvolvimento diário'!$P:$P,$F208,'Desenvolvimento diário'!$R:$R,"Não")</f>
        <v>186442.16999999998</v>
      </c>
      <c r="R208" s="4">
        <f t="shared" si="57"/>
        <v>186442.16999999998</v>
      </c>
      <c r="S208" s="43">
        <f t="shared" si="58"/>
        <v>0</v>
      </c>
      <c r="T208" s="12">
        <f t="shared" si="62"/>
        <v>1</v>
      </c>
      <c r="Y208" s="2"/>
      <c r="Z208" s="2"/>
      <c r="AA208" s="2"/>
      <c r="AB208" s="2"/>
      <c r="AC208" s="2"/>
    </row>
    <row r="209" spans="1:29" hidden="1">
      <c r="A209" s="2">
        <f t="shared" si="59"/>
        <v>6</v>
      </c>
      <c r="B209" s="2" t="str">
        <f>VLOOKUP($A209,Controle!$B$4:$F$68,2,FALSE)</f>
        <v>Paracatu 8</v>
      </c>
      <c r="C209" s="2" t="str">
        <f>VLOOKUP($A209,Controle!$B$4:$F$68,3,FALSE)</f>
        <v xml:space="preserve">MORI GERACAO II </v>
      </c>
      <c r="D209" s="2" t="str">
        <f>VLOOKUP($A209,Controle!$B$4:$F$68,4,FALSE)</f>
        <v>Mori II</v>
      </c>
      <c r="E209" s="2" t="str">
        <f>VLOOKUP($A209,Controle!$B$4:$F$68,5,FALSE)</f>
        <v>Weg</v>
      </c>
      <c r="F209" s="3" t="str">
        <f t="shared" si="61"/>
        <v>GOS FLORESTAL - (PRAD - Recuperação Area Ambiental)</v>
      </c>
      <c r="G209" s="2" t="str">
        <f>VLOOKUP($A209,Controle!$B$4:$G$68,6,FALSE)</f>
        <v>Mori</v>
      </c>
      <c r="H209" s="506" t="s">
        <v>170</v>
      </c>
      <c r="I209" s="6">
        <v>0</v>
      </c>
      <c r="J209" s="506"/>
      <c r="K209" s="506">
        <v>0</v>
      </c>
      <c r="L209" s="506">
        <v>0</v>
      </c>
      <c r="M209" s="506">
        <v>0</v>
      </c>
      <c r="N209" s="506">
        <v>0</v>
      </c>
      <c r="O209" s="39">
        <f t="shared" ref="O209:O210" si="63">SUM(I209:N209)</f>
        <v>0</v>
      </c>
      <c r="P209" s="17">
        <f>SUMIFS('Desenvolvimento diário'!$H:$H,'Desenvolvimento diário'!$Q:$Q,$B209,'Desenvolvimento diário'!$P:$P,$F209,'Desenvolvimento diário'!$R:$R,"Sim")</f>
        <v>0</v>
      </c>
      <c r="Q209" s="17">
        <f>SUMIFS('Desenvolvimento diário'!$H:$H,'Desenvolvimento diário'!$Q:$Q,$B209,'Desenvolvimento diário'!$P:$P,$F209,'Desenvolvimento diário'!$R:$R,"Não")</f>
        <v>0</v>
      </c>
      <c r="R209" s="4">
        <f t="shared" si="57"/>
        <v>0</v>
      </c>
      <c r="S209" s="4">
        <f t="shared" si="58"/>
        <v>0</v>
      </c>
      <c r="T209" s="12">
        <f t="shared" si="62"/>
        <v>0</v>
      </c>
      <c r="Y209" s="2"/>
      <c r="Z209" s="2"/>
      <c r="AA209" s="2"/>
      <c r="AB209" s="2"/>
      <c r="AC209" s="2"/>
    </row>
    <row r="210" spans="1:29" hidden="1">
      <c r="A210" s="2">
        <f t="shared" si="59"/>
        <v>6</v>
      </c>
      <c r="B210" s="2" t="str">
        <f>VLOOKUP($A210,Controle!$B$4:$F$68,2,FALSE)</f>
        <v>Paracatu 8</v>
      </c>
      <c r="C210" s="2" t="str">
        <f>VLOOKUP($A210,Controle!$B$4:$F$68,3,FALSE)</f>
        <v xml:space="preserve">MORI GERACAO II </v>
      </c>
      <c r="D210" s="2" t="str">
        <f>VLOOKUP($A210,Controle!$B$4:$F$68,4,FALSE)</f>
        <v>Mori II</v>
      </c>
      <c r="E210" s="2" t="str">
        <f>VLOOKUP($A210,Controle!$B$4:$F$68,5,FALSE)</f>
        <v>Weg</v>
      </c>
      <c r="F210" s="3" t="str">
        <f t="shared" si="61"/>
        <v>Cercamento das bacias de contenção ciclo 2</v>
      </c>
      <c r="G210" s="2" t="str">
        <f>VLOOKUP($A210,Controle!$B$4:$G$68,6,FALSE)</f>
        <v>Mori</v>
      </c>
      <c r="H210" s="506" t="s">
        <v>172</v>
      </c>
      <c r="I210" s="6"/>
      <c r="J210" s="506"/>
      <c r="K210" s="506">
        <v>0</v>
      </c>
      <c r="L210" s="506">
        <v>0</v>
      </c>
      <c r="M210" s="506">
        <v>0</v>
      </c>
      <c r="N210" s="506">
        <v>0</v>
      </c>
      <c r="O210" s="39">
        <f t="shared" si="63"/>
        <v>0</v>
      </c>
      <c r="P210" s="17">
        <f>SUMIFS('Desenvolvimento diário'!$H:$H,'Desenvolvimento diário'!$Q:$Q,$B210,'Desenvolvimento diário'!$P:$P,$F210,'Desenvolvimento diário'!$R:$R,"Sim")</f>
        <v>0</v>
      </c>
      <c r="Q210" s="17">
        <f>SUMIFS('Desenvolvimento diário'!$H:$H,'Desenvolvimento diário'!$Q:$Q,$B210,'Desenvolvimento diário'!$P:$P,$F210,'Desenvolvimento diário'!$R:$R,"Não")</f>
        <v>0</v>
      </c>
      <c r="R210" s="4">
        <f t="shared" si="57"/>
        <v>0</v>
      </c>
      <c r="S210" s="1030">
        <f t="shared" si="58"/>
        <v>0</v>
      </c>
      <c r="T210" s="12">
        <f t="shared" si="62"/>
        <v>0</v>
      </c>
      <c r="U210" s="1029" t="s">
        <v>166</v>
      </c>
      <c r="V210" s="1029" t="s">
        <v>94</v>
      </c>
      <c r="Y210" s="2"/>
      <c r="Z210" s="2"/>
      <c r="AA210" s="2"/>
      <c r="AB210" s="2"/>
      <c r="AC210" s="2"/>
    </row>
    <row r="211" spans="1:29" hidden="1">
      <c r="A211" s="8">
        <f>A208</f>
        <v>6</v>
      </c>
      <c r="B211" s="9" t="str">
        <f t="shared" ref="B211" si="64">B208</f>
        <v>Paracatu 8</v>
      </c>
      <c r="C211" s="9" t="str">
        <f t="shared" ref="C211" si="65">C208</f>
        <v xml:space="preserve">MORI GERACAO II </v>
      </c>
      <c r="D211" s="9" t="str">
        <f t="shared" ref="D211" si="66">D208</f>
        <v>Mori II</v>
      </c>
      <c r="E211" s="9" t="str">
        <f t="shared" ref="E211" si="67">E208</f>
        <v>Weg</v>
      </c>
      <c r="F211" s="10" t="s">
        <v>158</v>
      </c>
      <c r="G211" s="9" t="str">
        <f>G208</f>
        <v>Mori</v>
      </c>
      <c r="H211" s="9"/>
      <c r="I211" s="9">
        <f>SUBTOTAL(9,I177:I210)</f>
        <v>0</v>
      </c>
      <c r="J211" s="9">
        <f t="shared" ref="J211:S211" si="68">SUBTOTAL(9,J177:J210)</f>
        <v>0</v>
      </c>
      <c r="K211" s="9">
        <f t="shared" si="68"/>
        <v>0</v>
      </c>
      <c r="L211" s="9">
        <f t="shared" si="68"/>
        <v>0</v>
      </c>
      <c r="M211" s="9">
        <f t="shared" si="68"/>
        <v>0</v>
      </c>
      <c r="N211" s="9">
        <f t="shared" si="68"/>
        <v>0</v>
      </c>
      <c r="O211" s="9">
        <f t="shared" si="68"/>
        <v>0</v>
      </c>
      <c r="P211" s="9">
        <f t="shared" si="68"/>
        <v>0</v>
      </c>
      <c r="Q211" s="9">
        <f t="shared" si="68"/>
        <v>0</v>
      </c>
      <c r="R211" s="9">
        <f t="shared" si="68"/>
        <v>0</v>
      </c>
      <c r="S211" s="9">
        <f t="shared" si="68"/>
        <v>0</v>
      </c>
      <c r="T211" s="13">
        <f t="shared" si="62"/>
        <v>0</v>
      </c>
      <c r="U211" s="11">
        <f>SUBTOTAL(9,U177:U210)</f>
        <v>0</v>
      </c>
      <c r="Y211" s="2"/>
      <c r="Z211" s="2"/>
      <c r="AA211" s="2"/>
      <c r="AB211" s="2"/>
      <c r="AC211" s="2"/>
    </row>
    <row r="212" spans="1:29" ht="10.5" hidden="1">
      <c r="A212" s="2">
        <f>A177+1</f>
        <v>7</v>
      </c>
      <c r="B212" s="2" t="str">
        <f>VLOOKUP($A212,Controle!$B$4:$F$68,2,FALSE)</f>
        <v>Patos de Minas 1</v>
      </c>
      <c r="C212" s="2" t="str">
        <f>VLOOKUP($A212,Controle!$B$4:$F$68,3,FALSE)</f>
        <v xml:space="preserve">MORI GERACAO II </v>
      </c>
      <c r="D212" s="2" t="str">
        <f>VLOOKUP($A212,Controle!$B$4:$F$68,4,FALSE)</f>
        <v>Mori II</v>
      </c>
      <c r="E212" s="2">
        <f>VLOOKUP($A212,Controle!$B$4:$F$68,5,FALSE)</f>
        <v>1</v>
      </c>
      <c r="F212" s="3" t="str">
        <f>F177</f>
        <v>Conexão AT - Obras</v>
      </c>
      <c r="G212" s="2" t="str">
        <f>VLOOKUP($A212,Controle!$B$4:$G$68,6,FALSE)</f>
        <v>Mori</v>
      </c>
      <c r="H212" s="6" t="s">
        <v>141</v>
      </c>
      <c r="I212" s="29">
        <v>400000</v>
      </c>
      <c r="J212" s="6">
        <v>0</v>
      </c>
      <c r="K212" s="6">
        <v>0</v>
      </c>
      <c r="L212" s="6">
        <v>0</v>
      </c>
      <c r="M212" s="6">
        <v>0</v>
      </c>
      <c r="N212" s="6">
        <v>0</v>
      </c>
      <c r="O212" s="4">
        <f t="shared" ref="O212:O245" si="69">SUM(I212:N212)</f>
        <v>400000</v>
      </c>
      <c r="P212" s="5">
        <f>SUMIFS('Desenvolvimento diário'!$H:$H,'Desenvolvimento diário'!$Q:$Q,$B212,'Desenvolvimento diário'!$P:$P,$F212,'Desenvolvimento diário'!$R:$R,"Sim")</f>
        <v>15000</v>
      </c>
      <c r="Q212" s="5">
        <f>SUMIFS('Desenvolvimento diário'!$H:$H,'Desenvolvimento diário'!$Q:$Q,$B212,'Desenvolvimento diário'!$P:$P,$F212,'Desenvolvimento diário'!$R:$R,"Não")</f>
        <v>385000</v>
      </c>
      <c r="R212" s="4">
        <f t="shared" ref="R212:R245" si="70">SUM(P212:Q212)</f>
        <v>400000</v>
      </c>
      <c r="S212" s="4">
        <f t="shared" ref="S212:S245" si="71">O212-R212</f>
        <v>0</v>
      </c>
      <c r="T212" s="12">
        <f t="shared" si="62"/>
        <v>1</v>
      </c>
      <c r="Y212" s="2"/>
      <c r="Z212" s="2"/>
      <c r="AA212" s="2"/>
      <c r="AB212" s="2"/>
      <c r="AC212" s="2"/>
    </row>
    <row r="213" spans="1:29" ht="10.5" hidden="1">
      <c r="A213" s="2">
        <f t="shared" ref="A213:A245" si="72">A212</f>
        <v>7</v>
      </c>
      <c r="B213" s="2" t="str">
        <f>VLOOKUP($A213,Controle!$B$4:$F$68,2,FALSE)</f>
        <v>Patos de Minas 1</v>
      </c>
      <c r="C213" s="2" t="str">
        <f>VLOOKUP($A213,Controle!$B$4:$F$68,3,FALSE)</f>
        <v xml:space="preserve">MORI GERACAO II </v>
      </c>
      <c r="D213" s="2" t="str">
        <f>VLOOKUP($A213,Controle!$B$4:$F$68,4,FALSE)</f>
        <v>Mori II</v>
      </c>
      <c r="E213" s="2">
        <f>VLOOKUP($A213,Controle!$B$4:$F$68,5,FALSE)</f>
        <v>1</v>
      </c>
      <c r="F213" s="3" t="str">
        <f>F178</f>
        <v>Conexão MT - Obras</v>
      </c>
      <c r="G213" s="2" t="str">
        <f>VLOOKUP($A213,Controle!$B$4:$G$68,6,FALSE)</f>
        <v>Mori</v>
      </c>
      <c r="H213" s="6" t="s">
        <v>168</v>
      </c>
      <c r="I213" s="6">
        <v>1338750</v>
      </c>
      <c r="J213" s="6">
        <v>1000000</v>
      </c>
      <c r="K213" s="6">
        <v>0</v>
      </c>
      <c r="L213" s="6">
        <v>0</v>
      </c>
      <c r="M213" s="6">
        <v>0</v>
      </c>
      <c r="N213" s="6">
        <v>0</v>
      </c>
      <c r="O213" s="4">
        <f t="shared" si="69"/>
        <v>2338750</v>
      </c>
      <c r="P213" s="5">
        <f>SUMIFS('Desenvolvimento diário'!$H:$H,'Desenvolvimento diário'!$Q:$Q,$B213,'Desenvolvimento diário'!$P:$P,$F213,'Desenvolvimento diário'!$R:$R,"Sim")</f>
        <v>1213621.6399999999</v>
      </c>
      <c r="Q213" s="5">
        <f>SUMIFS('Desenvolvimento diário'!$H:$H,'Desenvolvimento diário'!$Q:$Q,$B213,'Desenvolvimento diário'!$P:$P,$F213,'Desenvolvimento diário'!$R:$R,"Não")</f>
        <v>1125128.3600000001</v>
      </c>
      <c r="R213" s="4">
        <f t="shared" si="70"/>
        <v>2338750</v>
      </c>
      <c r="S213" s="4">
        <f t="shared" si="71"/>
        <v>0</v>
      </c>
      <c r="T213" s="12">
        <f t="shared" si="62"/>
        <v>1</v>
      </c>
      <c r="Y213" s="2"/>
      <c r="Z213" s="2"/>
      <c r="AA213" s="2"/>
      <c r="AB213" s="2"/>
      <c r="AC213" s="2"/>
    </row>
    <row r="214" spans="1:29" ht="10.5" hidden="1">
      <c r="A214" s="2">
        <f t="shared" si="72"/>
        <v>7</v>
      </c>
      <c r="B214" s="2" t="str">
        <f>VLOOKUP($A214,Controle!$B$4:$F$68,2,FALSE)</f>
        <v>Patos de Minas 1</v>
      </c>
      <c r="C214" s="2" t="str">
        <f>VLOOKUP($A214,Controle!$B$4:$F$68,3,FALSE)</f>
        <v xml:space="preserve">MORI GERACAO II </v>
      </c>
      <c r="D214" s="2" t="str">
        <f>VLOOKUP($A214,Controle!$B$4:$F$68,4,FALSE)</f>
        <v>Mori II</v>
      </c>
      <c r="E214" s="2">
        <f>VLOOKUP($A214,Controle!$B$4:$F$68,5,FALSE)</f>
        <v>1</v>
      </c>
      <c r="F214" s="3" t="str">
        <f>F179</f>
        <v>Construção - Serviços de Construção</v>
      </c>
      <c r="G214" s="2" t="str">
        <f>VLOOKUP($A214,Controle!$B$4:$G$68,6,FALSE)</f>
        <v>Mori</v>
      </c>
      <c r="H214" s="6" t="s">
        <v>142</v>
      </c>
      <c r="I214" s="6">
        <v>2250500</v>
      </c>
      <c r="J214" s="6">
        <v>194220</v>
      </c>
      <c r="K214" s="6">
        <v>0</v>
      </c>
      <c r="L214" s="6">
        <v>0</v>
      </c>
      <c r="M214" s="6">
        <v>0</v>
      </c>
      <c r="N214" s="6">
        <v>0</v>
      </c>
      <c r="O214" s="4">
        <f t="shared" si="69"/>
        <v>2444720</v>
      </c>
      <c r="P214" s="5">
        <f>SUMIFS('Desenvolvimento diário'!$H:$H,'Desenvolvimento diário'!$Q:$Q,$B214,'Desenvolvimento diário'!$P:$P,$F214,'Desenvolvimento diário'!$R:$R,"Sim")</f>
        <v>1313874.24</v>
      </c>
      <c r="Q214" s="5">
        <f>SUMIFS('Desenvolvimento diário'!$H:$H,'Desenvolvimento diário'!$Q:$Q,$B214,'Desenvolvimento diário'!$P:$P,$F214,'Desenvolvimento diário'!$R:$R,"Não")</f>
        <v>963893.57000000007</v>
      </c>
      <c r="R214" s="4">
        <f t="shared" si="70"/>
        <v>2277767.81</v>
      </c>
      <c r="S214" s="33">
        <f t="shared" si="71"/>
        <v>166952.18999999994</v>
      </c>
      <c r="T214" s="12">
        <f t="shared" si="62"/>
        <v>0.93170907506790146</v>
      </c>
      <c r="U214" s="510" t="s">
        <v>162</v>
      </c>
      <c r="V214" s="510" t="s">
        <v>163</v>
      </c>
      <c r="Y214" s="2"/>
      <c r="Z214" s="2"/>
      <c r="AA214" s="2"/>
      <c r="AB214" s="2"/>
      <c r="AC214" s="2"/>
    </row>
    <row r="215" spans="1:29" ht="10.5" hidden="1">
      <c r="A215" s="2">
        <f t="shared" si="72"/>
        <v>7</v>
      </c>
      <c r="B215" s="2" t="str">
        <f>VLOOKUP($A215,Controle!$B$4:$F$68,2,FALSE)</f>
        <v>Patos de Minas 1</v>
      </c>
      <c r="C215" s="2" t="str">
        <f>VLOOKUP($A215,Controle!$B$4:$F$68,3,FALSE)</f>
        <v xml:space="preserve">MORI GERACAO II </v>
      </c>
      <c r="D215" s="2" t="str">
        <f>VLOOKUP($A215,Controle!$B$4:$F$68,4,FALSE)</f>
        <v>Mori II</v>
      </c>
      <c r="E215" s="2">
        <f>VLOOKUP($A215,Controle!$B$4:$F$68,5,FALSE)</f>
        <v>1</v>
      </c>
      <c r="F215" s="3" t="str">
        <f>F180</f>
        <v>Construção - Serviços de Construção - Substituição</v>
      </c>
      <c r="G215" s="2" t="str">
        <f>VLOOKUP($A215,Controle!$B$4:$G$68,6,FALSE)</f>
        <v>Mori</v>
      </c>
      <c r="H215" s="6" t="s">
        <v>178</v>
      </c>
      <c r="I215" s="6">
        <v>2772575</v>
      </c>
      <c r="J215" s="6">
        <v>422035.92000000004</v>
      </c>
      <c r="K215" s="6">
        <v>0</v>
      </c>
      <c r="L215" s="6">
        <v>0</v>
      </c>
      <c r="M215" s="6">
        <v>0</v>
      </c>
      <c r="N215" s="6">
        <v>0</v>
      </c>
      <c r="O215" s="4">
        <f t="shared" si="69"/>
        <v>3194610.92</v>
      </c>
      <c r="P215" s="5">
        <f>SUMIFS('Desenvolvimento diário'!$H:$H,'Desenvolvimento diário'!$Q:$Q,$B215,'Desenvolvimento diário'!$P:$P,$F215,'Desenvolvimento diário'!$R:$R,"Sim")</f>
        <v>1013162.0900000001</v>
      </c>
      <c r="Q215" s="5">
        <f>SUMIFS('Desenvolvimento diário'!$H:$H,'Desenvolvimento diário'!$Q:$Q,$B215,'Desenvolvimento diário'!$P:$P,$F215,'Desenvolvimento diário'!$R:$R,"Não")</f>
        <v>1344694.88</v>
      </c>
      <c r="R215" s="4">
        <f t="shared" si="70"/>
        <v>2357856.9699999997</v>
      </c>
      <c r="S215" s="33">
        <f t="shared" si="71"/>
        <v>836753.95000000019</v>
      </c>
      <c r="T215" s="12">
        <f t="shared" si="62"/>
        <v>0.73807328311517817</v>
      </c>
      <c r="U215" s="510" t="s">
        <v>162</v>
      </c>
      <c r="V215" s="510" t="s">
        <v>163</v>
      </c>
      <c r="Y215" s="2"/>
      <c r="Z215" s="2"/>
      <c r="AA215" s="2"/>
      <c r="AB215" s="2"/>
      <c r="AC215" s="2"/>
    </row>
    <row r="216" spans="1:29" ht="10.5" hidden="1">
      <c r="A216" s="2">
        <f t="shared" si="72"/>
        <v>7</v>
      </c>
      <c r="B216" s="2" t="str">
        <f>VLOOKUP($A216,Controle!$B$4:$F$68,2,FALSE)</f>
        <v>Patos de Minas 1</v>
      </c>
      <c r="C216" s="2" t="str">
        <f>VLOOKUP($A216,Controle!$B$4:$F$68,3,FALSE)</f>
        <v xml:space="preserve">MORI GERACAO II </v>
      </c>
      <c r="D216" s="2" t="str">
        <f>VLOOKUP($A216,Controle!$B$4:$F$68,4,FALSE)</f>
        <v>Mori II</v>
      </c>
      <c r="E216" s="2">
        <f>VLOOKUP($A216,Controle!$B$4:$F$68,5,FALSE)</f>
        <v>1</v>
      </c>
      <c r="F216" s="3" t="str">
        <f>F181</f>
        <v>Construção - RDA Interno</v>
      </c>
      <c r="G216" s="2" t="str">
        <f>VLOOKUP($A216,Controle!$B$4:$G$68,6,FALSE)</f>
        <v>Mori</v>
      </c>
      <c r="H216" s="6" t="s">
        <v>168</v>
      </c>
      <c r="I216" s="6">
        <v>330000</v>
      </c>
      <c r="J216" s="6">
        <v>0</v>
      </c>
      <c r="K216" s="6">
        <v>0</v>
      </c>
      <c r="L216" s="6">
        <v>0</v>
      </c>
      <c r="M216" s="6">
        <v>0</v>
      </c>
      <c r="N216" s="6">
        <v>0</v>
      </c>
      <c r="O216" s="4">
        <f t="shared" si="69"/>
        <v>330000</v>
      </c>
      <c r="P216" s="5">
        <f>SUMIFS('Desenvolvimento diário'!$H:$H,'Desenvolvimento diário'!$Q:$Q,$B216,'Desenvolvimento diário'!$P:$P,$F216,'Desenvolvimento diário'!$R:$R,"Sim")</f>
        <v>0</v>
      </c>
      <c r="Q216" s="5">
        <f>SUMIFS('Desenvolvimento diário'!$H:$H,'Desenvolvimento diário'!$Q:$Q,$B216,'Desenvolvimento diário'!$P:$P,$F216,'Desenvolvimento diário'!$R:$R,"Não")</f>
        <v>329999.99999999994</v>
      </c>
      <c r="R216" s="4">
        <f t="shared" si="70"/>
        <v>329999.99999999994</v>
      </c>
      <c r="S216" s="4">
        <f t="shared" si="71"/>
        <v>0</v>
      </c>
      <c r="T216" s="12">
        <f t="shared" si="62"/>
        <v>0.99999999999999978</v>
      </c>
      <c r="Y216" s="2"/>
      <c r="Z216" s="2"/>
      <c r="AA216" s="2"/>
      <c r="AB216" s="2"/>
      <c r="AC216" s="2"/>
    </row>
    <row r="217" spans="1:29" ht="10.5" hidden="1">
      <c r="A217" s="2">
        <f t="shared" si="72"/>
        <v>7</v>
      </c>
      <c r="B217" s="2" t="str">
        <f>VLOOKUP($A217,Controle!$B$4:$F$68,2,FALSE)</f>
        <v>Patos de Minas 1</v>
      </c>
      <c r="C217" s="2" t="str">
        <f>VLOOKUP($A217,Controle!$B$4:$F$68,3,FALSE)</f>
        <v xml:space="preserve">MORI GERACAO II </v>
      </c>
      <c r="D217" s="2" t="str">
        <f>VLOOKUP($A217,Controle!$B$4:$F$68,4,FALSE)</f>
        <v>Mori II</v>
      </c>
      <c r="E217" s="2">
        <f>VLOOKUP($A217,Controle!$B$4:$F$68,5,FALSE)</f>
        <v>1</v>
      </c>
      <c r="F217" s="3" t="str">
        <f>F182</f>
        <v>Full EPC - Contrato</v>
      </c>
      <c r="G217" s="2" t="str">
        <f>VLOOKUP($A217,Controle!$B$4:$G$68,6,FALSE)</f>
        <v>Mori</v>
      </c>
      <c r="H217" s="6">
        <v>0</v>
      </c>
      <c r="I217" s="6">
        <v>0</v>
      </c>
      <c r="J217" s="6">
        <v>0</v>
      </c>
      <c r="K217" s="6">
        <v>0</v>
      </c>
      <c r="L217" s="6">
        <v>0</v>
      </c>
      <c r="M217" s="6">
        <v>0</v>
      </c>
      <c r="N217" s="6">
        <v>0</v>
      </c>
      <c r="O217" s="4">
        <f t="shared" si="69"/>
        <v>0</v>
      </c>
      <c r="P217" s="5">
        <f>SUMIFS('Desenvolvimento diário'!$H:$H,'Desenvolvimento diário'!$Q:$Q,$B217,'Desenvolvimento diário'!$P:$P,$F217,'Desenvolvimento diário'!$R:$R,"Sim")</f>
        <v>0</v>
      </c>
      <c r="Q217" s="5">
        <f>SUMIFS('Desenvolvimento diário'!$H:$H,'Desenvolvimento diário'!$Q:$Q,$B217,'Desenvolvimento diário'!$P:$P,$F217,'Desenvolvimento diário'!$R:$R,"Não")</f>
        <v>0</v>
      </c>
      <c r="R217" s="4">
        <f t="shared" si="70"/>
        <v>0</v>
      </c>
      <c r="S217" s="4">
        <f t="shared" si="71"/>
        <v>0</v>
      </c>
      <c r="T217" s="12">
        <f t="shared" si="62"/>
        <v>0</v>
      </c>
      <c r="Y217" s="2"/>
      <c r="Z217" s="2"/>
      <c r="AA217" s="2"/>
      <c r="AB217" s="2"/>
      <c r="AC217" s="2"/>
    </row>
    <row r="218" spans="1:29" ht="10.5" hidden="1">
      <c r="A218" s="2">
        <f t="shared" si="72"/>
        <v>7</v>
      </c>
      <c r="B218" s="2" t="str">
        <f>VLOOKUP($A218,Controle!$B$4:$F$68,2,FALSE)</f>
        <v>Patos de Minas 1</v>
      </c>
      <c r="C218" s="2" t="str">
        <f>VLOOKUP($A218,Controle!$B$4:$F$68,3,FALSE)</f>
        <v xml:space="preserve">MORI GERACAO II </v>
      </c>
      <c r="D218" s="2" t="str">
        <f>VLOOKUP($A218,Controle!$B$4:$F$68,4,FALSE)</f>
        <v>Mori II</v>
      </c>
      <c r="E218" s="2">
        <f>VLOOKUP($A218,Controle!$B$4:$F$68,5,FALSE)</f>
        <v>1</v>
      </c>
      <c r="F218" s="3" t="str">
        <f>F183</f>
        <v>Equipamentos Curva A - Outros (Transformadores)</v>
      </c>
      <c r="G218" s="2" t="str">
        <f>VLOOKUP($A218,Controle!$B$4:$G$68,6,FALSE)</f>
        <v>Mori</v>
      </c>
      <c r="H218" s="6">
        <v>0</v>
      </c>
      <c r="I218" s="6">
        <v>0</v>
      </c>
      <c r="J218" s="6">
        <v>0</v>
      </c>
      <c r="K218" s="6">
        <v>0</v>
      </c>
      <c r="L218" s="6">
        <v>0</v>
      </c>
      <c r="M218" s="6">
        <v>0</v>
      </c>
      <c r="N218" s="6">
        <v>0</v>
      </c>
      <c r="O218" s="4">
        <f t="shared" si="69"/>
        <v>0</v>
      </c>
      <c r="P218" s="5">
        <f>SUMIFS('Desenvolvimento diário'!$H:$H,'Desenvolvimento diário'!$Q:$Q,$B218,'Desenvolvimento diário'!$P:$P,$F218,'Desenvolvimento diário'!$R:$R,"Sim")</f>
        <v>0</v>
      </c>
      <c r="Q218" s="5">
        <f>SUMIFS('Desenvolvimento diário'!$H:$H,'Desenvolvimento diário'!$Q:$Q,$B218,'Desenvolvimento diário'!$P:$P,$F218,'Desenvolvimento diário'!$R:$R,"Não")</f>
        <v>0</v>
      </c>
      <c r="R218" s="4">
        <f t="shared" si="70"/>
        <v>0</v>
      </c>
      <c r="S218" s="4">
        <f t="shared" si="71"/>
        <v>0</v>
      </c>
      <c r="T218" s="12">
        <f t="shared" si="62"/>
        <v>0</v>
      </c>
      <c r="Y218" s="2"/>
      <c r="Z218" s="2"/>
      <c r="AA218" s="2"/>
      <c r="AB218" s="2"/>
      <c r="AC218" s="2"/>
    </row>
    <row r="219" spans="1:29" ht="10.5" hidden="1">
      <c r="A219" s="2">
        <f t="shared" si="72"/>
        <v>7</v>
      </c>
      <c r="B219" s="2" t="str">
        <f>VLOOKUP($A219,Controle!$B$4:$F$68,2,FALSE)</f>
        <v>Patos de Minas 1</v>
      </c>
      <c r="C219" s="2" t="str">
        <f>VLOOKUP($A219,Controle!$B$4:$F$68,3,FALSE)</f>
        <v xml:space="preserve">MORI GERACAO II </v>
      </c>
      <c r="D219" s="2" t="str">
        <f>VLOOKUP($A219,Controle!$B$4:$F$68,4,FALSE)</f>
        <v>Mori II</v>
      </c>
      <c r="E219" s="2">
        <f>VLOOKUP($A219,Controle!$B$4:$F$68,5,FALSE)</f>
        <v>1</v>
      </c>
      <c r="F219" s="3" t="str">
        <f>F184</f>
        <v>Equipamentos Curva A - Outros (Cabine + Skid)</v>
      </c>
      <c r="G219" s="2" t="str">
        <f>VLOOKUP($A219,Controle!$B$4:$G$68,6,FALSE)</f>
        <v>Mori</v>
      </c>
      <c r="H219" s="6">
        <v>0</v>
      </c>
      <c r="I219" s="6">
        <v>0</v>
      </c>
      <c r="J219" s="6">
        <v>0</v>
      </c>
      <c r="K219" s="6">
        <v>0</v>
      </c>
      <c r="L219" s="6">
        <v>0</v>
      </c>
      <c r="M219" s="6">
        <v>0</v>
      </c>
      <c r="N219" s="6">
        <v>0</v>
      </c>
      <c r="O219" s="4">
        <f t="shared" si="69"/>
        <v>0</v>
      </c>
      <c r="P219" s="5">
        <f>SUMIFS('Desenvolvimento diário'!$H:$H,'Desenvolvimento diário'!$Q:$Q,$B219,'Desenvolvimento diário'!$P:$P,$F219,'Desenvolvimento diário'!$R:$R,"Sim")</f>
        <v>0</v>
      </c>
      <c r="Q219" s="5">
        <f>SUMIFS('Desenvolvimento diário'!$H:$H,'Desenvolvimento diário'!$Q:$Q,$B219,'Desenvolvimento diário'!$P:$P,$F219,'Desenvolvimento diário'!$R:$R,"Não")</f>
        <v>0</v>
      </c>
      <c r="R219" s="4">
        <f t="shared" si="70"/>
        <v>0</v>
      </c>
      <c r="S219" s="4">
        <f t="shared" si="71"/>
        <v>0</v>
      </c>
      <c r="T219" s="12">
        <f t="shared" si="62"/>
        <v>0</v>
      </c>
      <c r="Y219" s="2"/>
      <c r="Z219" s="2"/>
      <c r="AA219" s="2"/>
      <c r="AB219" s="2"/>
      <c r="AC219" s="2"/>
    </row>
    <row r="220" spans="1:29" ht="10.5" hidden="1">
      <c r="A220" s="2">
        <f t="shared" si="72"/>
        <v>7</v>
      </c>
      <c r="B220" s="2" t="str">
        <f>VLOOKUP($A220,Controle!$B$4:$F$68,2,FALSE)</f>
        <v>Patos de Minas 1</v>
      </c>
      <c r="C220" s="2" t="str">
        <f>VLOOKUP($A220,Controle!$B$4:$F$68,3,FALSE)</f>
        <v xml:space="preserve">MORI GERACAO II </v>
      </c>
      <c r="D220" s="2" t="str">
        <f>VLOOKUP($A220,Controle!$B$4:$F$68,4,FALSE)</f>
        <v>Mori II</v>
      </c>
      <c r="E220" s="2">
        <f>VLOOKUP($A220,Controle!$B$4:$F$68,5,FALSE)</f>
        <v>1</v>
      </c>
      <c r="F220" s="3" t="str">
        <f>F185</f>
        <v>Equipamentos Curva A - Outros (Cabine + Skid + Transformador)</v>
      </c>
      <c r="G220" s="2" t="str">
        <f>VLOOKUP($A220,Controle!$B$4:$G$68,6,FALSE)</f>
        <v>Mori</v>
      </c>
      <c r="H220" s="6" t="s">
        <v>144</v>
      </c>
      <c r="I220" s="6">
        <v>1184102.7177580001</v>
      </c>
      <c r="J220" s="6">
        <v>0</v>
      </c>
      <c r="K220" s="6">
        <v>0</v>
      </c>
      <c r="L220" s="6">
        <v>0</v>
      </c>
      <c r="M220" s="6">
        <v>0</v>
      </c>
      <c r="N220" s="6">
        <v>0</v>
      </c>
      <c r="O220" s="4">
        <f t="shared" si="69"/>
        <v>1184102.7177580001</v>
      </c>
      <c r="P220" s="5">
        <f>SUMIFS('Desenvolvimento diário'!$H:$H,'Desenvolvimento diário'!$Q:$Q,$B220,'Desenvolvimento diário'!$P:$P,$F220,'Desenvolvimento diário'!$R:$R,"Sim")</f>
        <v>0</v>
      </c>
      <c r="Q220" s="5">
        <f>SUMIFS('Desenvolvimento diário'!$H:$H,'Desenvolvimento diário'!$Q:$Q,$B220,'Desenvolvimento diário'!$P:$P,$F220,'Desenvolvimento diário'!$R:$R,"Não")</f>
        <v>1184102.7177580001</v>
      </c>
      <c r="R220" s="4">
        <f t="shared" si="70"/>
        <v>1184102.7177580001</v>
      </c>
      <c r="S220" s="4">
        <f t="shared" si="71"/>
        <v>0</v>
      </c>
      <c r="T220" s="12">
        <f t="shared" si="62"/>
        <v>1</v>
      </c>
      <c r="Y220" s="2"/>
      <c r="Z220" s="2"/>
      <c r="AA220" s="2"/>
      <c r="AB220" s="2"/>
      <c r="AC220" s="2"/>
    </row>
    <row r="221" spans="1:29" ht="10.5" hidden="1">
      <c r="A221" s="2">
        <f t="shared" si="72"/>
        <v>7</v>
      </c>
      <c r="B221" s="2" t="str">
        <f>VLOOKUP($A221,Controle!$B$4:$F$68,2,FALSE)</f>
        <v>Patos de Minas 1</v>
      </c>
      <c r="C221" s="2" t="str">
        <f>VLOOKUP($A221,Controle!$B$4:$F$68,3,FALSE)</f>
        <v xml:space="preserve">MORI GERACAO II </v>
      </c>
      <c r="D221" s="2" t="str">
        <f>VLOOKUP($A221,Controle!$B$4:$F$68,4,FALSE)</f>
        <v>Mori II</v>
      </c>
      <c r="E221" s="2">
        <f>VLOOKUP($A221,Controle!$B$4:$F$68,5,FALSE)</f>
        <v>1</v>
      </c>
      <c r="F221" s="3" t="str">
        <f>F186</f>
        <v>Desenvolvimento de projeto - Projetos - (Eng° Proprietario)</v>
      </c>
      <c r="G221" s="2" t="str">
        <f>VLOOKUP($A221,Controle!$B$4:$G$68,6,FALSE)</f>
        <v>Mori</v>
      </c>
      <c r="H221" s="6" t="s">
        <v>145</v>
      </c>
      <c r="I221" s="6">
        <v>0</v>
      </c>
      <c r="J221" s="6">
        <v>0</v>
      </c>
      <c r="K221" s="6">
        <v>0</v>
      </c>
      <c r="L221" s="6">
        <v>0</v>
      </c>
      <c r="M221" s="6">
        <v>0</v>
      </c>
      <c r="N221" s="6">
        <v>0</v>
      </c>
      <c r="O221" s="4">
        <f t="shared" si="69"/>
        <v>0</v>
      </c>
      <c r="P221" s="5">
        <f>SUMIFS('Desenvolvimento diário'!$H:$H,'Desenvolvimento diário'!$Q:$Q,$B221,'Desenvolvimento diário'!$P:$P,$F221,'Desenvolvimento diário'!$R:$R,"Sim")</f>
        <v>0</v>
      </c>
      <c r="Q221" s="5">
        <f>SUMIFS('Desenvolvimento diário'!$H:$H,'Desenvolvimento diário'!$Q:$Q,$B221,'Desenvolvimento diário'!$P:$P,$F221,'Desenvolvimento diário'!$R:$R,"Não")</f>
        <v>0</v>
      </c>
      <c r="R221" s="4">
        <f t="shared" si="70"/>
        <v>0</v>
      </c>
      <c r="S221" s="4">
        <f t="shared" si="71"/>
        <v>0</v>
      </c>
      <c r="T221" s="12">
        <f t="shared" si="62"/>
        <v>0</v>
      </c>
      <c r="Y221" s="2"/>
      <c r="Z221" s="2"/>
      <c r="AA221" s="2"/>
      <c r="AB221" s="2"/>
      <c r="AC221" s="2"/>
    </row>
    <row r="222" spans="1:29" ht="10.5" hidden="1">
      <c r="A222" s="2">
        <f t="shared" si="72"/>
        <v>7</v>
      </c>
      <c r="B222" s="2" t="str">
        <f>VLOOKUP($A222,Controle!$B$4:$F$68,2,FALSE)</f>
        <v>Patos de Minas 1</v>
      </c>
      <c r="C222" s="2" t="str">
        <f>VLOOKUP($A222,Controle!$B$4:$F$68,3,FALSE)</f>
        <v xml:space="preserve">MORI GERACAO II </v>
      </c>
      <c r="D222" s="2" t="str">
        <f>VLOOKUP($A222,Controle!$B$4:$F$68,4,FALSE)</f>
        <v>Mori II</v>
      </c>
      <c r="E222" s="2">
        <f>VLOOKUP($A222,Controle!$B$4:$F$68,5,FALSE)</f>
        <v>1</v>
      </c>
      <c r="F222" s="3" t="str">
        <f>F187</f>
        <v>Desenvolvimento de projeto - Projetos - Executivos</v>
      </c>
      <c r="G222" s="2" t="str">
        <f>VLOOKUP($A222,Controle!$B$4:$G$68,6,FALSE)</f>
        <v>Mori</v>
      </c>
      <c r="H222" s="6" t="s">
        <v>146</v>
      </c>
      <c r="I222" s="6">
        <v>36466.699999999997</v>
      </c>
      <c r="J222" s="6">
        <v>5500</v>
      </c>
      <c r="K222" s="6">
        <v>0</v>
      </c>
      <c r="L222" s="6">
        <v>0</v>
      </c>
      <c r="M222" s="6">
        <v>0</v>
      </c>
      <c r="N222" s="6">
        <v>0</v>
      </c>
      <c r="O222" s="4">
        <f t="shared" si="69"/>
        <v>41966.7</v>
      </c>
      <c r="P222" s="5">
        <f>SUMIFS('Desenvolvimento diário'!$H:$H,'Desenvolvimento diário'!$Q:$Q,$B222,'Desenvolvimento diário'!$P:$P,$F222,'Desenvolvimento diário'!$R:$R,"Sim")</f>
        <v>0</v>
      </c>
      <c r="Q222" s="5">
        <f>SUMIFS('Desenvolvimento diário'!$H:$H,'Desenvolvimento diário'!$Q:$Q,$B222,'Desenvolvimento diário'!$P:$P,$F222,'Desenvolvimento diário'!$R:$R,"Não")</f>
        <v>41966.7</v>
      </c>
      <c r="R222" s="4">
        <f t="shared" si="70"/>
        <v>41966.7</v>
      </c>
      <c r="S222" s="4">
        <f t="shared" si="71"/>
        <v>0</v>
      </c>
      <c r="T222" s="12">
        <f t="shared" si="62"/>
        <v>1</v>
      </c>
      <c r="Y222" s="2"/>
      <c r="Z222" s="2"/>
      <c r="AA222" s="2"/>
      <c r="AB222" s="2"/>
      <c r="AC222" s="2"/>
    </row>
    <row r="223" spans="1:29" ht="10.5" hidden="1">
      <c r="A223" s="2">
        <f t="shared" si="72"/>
        <v>7</v>
      </c>
      <c r="B223" s="2" t="str">
        <f>VLOOKUP($A223,Controle!$B$4:$F$68,2,FALSE)</f>
        <v>Patos de Minas 1</v>
      </c>
      <c r="C223" s="2" t="str">
        <f>VLOOKUP($A223,Controle!$B$4:$F$68,3,FALSE)</f>
        <v xml:space="preserve">MORI GERACAO II </v>
      </c>
      <c r="D223" s="2" t="str">
        <f>VLOOKUP($A223,Controle!$B$4:$F$68,4,FALSE)</f>
        <v>Mori II</v>
      </c>
      <c r="E223" s="2">
        <f>VLOOKUP($A223,Controle!$B$4:$F$68,5,FALSE)</f>
        <v>1</v>
      </c>
      <c r="F223" s="3" t="str">
        <f>F188</f>
        <v>Desenvolvimento de projeto - Projetos Básica</v>
      </c>
      <c r="G223" s="2" t="str">
        <f>VLOOKUP($A223,Controle!$B$4:$G$68,6,FALSE)</f>
        <v>Mori</v>
      </c>
      <c r="H223" s="6">
        <v>0</v>
      </c>
      <c r="I223" s="6">
        <v>0</v>
      </c>
      <c r="J223" s="6">
        <v>0</v>
      </c>
      <c r="K223" s="6">
        <v>0</v>
      </c>
      <c r="L223" s="6">
        <v>0</v>
      </c>
      <c r="M223" s="6">
        <v>0</v>
      </c>
      <c r="N223" s="6">
        <v>0</v>
      </c>
      <c r="O223" s="4">
        <f t="shared" si="69"/>
        <v>0</v>
      </c>
      <c r="P223" s="5">
        <f>SUMIFS('Desenvolvimento diário'!$H:$H,'Desenvolvimento diário'!$Q:$Q,$B223,'Desenvolvimento diário'!$P:$P,$F223,'Desenvolvimento diário'!$R:$R,"Sim")</f>
        <v>0</v>
      </c>
      <c r="Q223" s="5">
        <f>SUMIFS('Desenvolvimento diário'!$H:$H,'Desenvolvimento diário'!$Q:$Q,$B223,'Desenvolvimento diário'!$P:$P,$F223,'Desenvolvimento diário'!$R:$R,"Não")</f>
        <v>0</v>
      </c>
      <c r="R223" s="4">
        <f t="shared" si="70"/>
        <v>0</v>
      </c>
      <c r="S223" s="4">
        <f t="shared" si="71"/>
        <v>0</v>
      </c>
      <c r="T223" s="12">
        <f t="shared" si="62"/>
        <v>0</v>
      </c>
      <c r="Y223" s="2"/>
      <c r="Z223" s="2"/>
      <c r="AA223" s="2"/>
      <c r="AB223" s="2"/>
      <c r="AC223" s="2"/>
    </row>
    <row r="224" spans="1:29" ht="10.5" hidden="1">
      <c r="A224" s="2">
        <f t="shared" si="72"/>
        <v>7</v>
      </c>
      <c r="B224" s="2" t="str">
        <f>VLOOKUP($A224,Controle!$B$4:$F$68,2,FALSE)</f>
        <v>Patos de Minas 1</v>
      </c>
      <c r="C224" s="2" t="str">
        <f>VLOOKUP($A224,Controle!$B$4:$F$68,3,FALSE)</f>
        <v xml:space="preserve">MORI GERACAO II </v>
      </c>
      <c r="D224" s="2" t="str">
        <f>VLOOKUP($A224,Controle!$B$4:$F$68,4,FALSE)</f>
        <v>Mori II</v>
      </c>
      <c r="E224" s="2">
        <f>VLOOKUP($A224,Controle!$B$4:$F$68,5,FALSE)</f>
        <v>1</v>
      </c>
      <c r="F224" s="3" t="str">
        <f>F189</f>
        <v>Desenvolvimento de projeto - Projetos Detalhada</v>
      </c>
      <c r="G224" s="2" t="str">
        <f>VLOOKUP($A224,Controle!$B$4:$G$68,6,FALSE)</f>
        <v>Mori</v>
      </c>
      <c r="H224" s="6">
        <v>0</v>
      </c>
      <c r="I224" s="6">
        <v>0</v>
      </c>
      <c r="J224" s="6">
        <v>0</v>
      </c>
      <c r="K224" s="6">
        <v>0</v>
      </c>
      <c r="L224" s="6">
        <v>0</v>
      </c>
      <c r="M224" s="6">
        <v>0</v>
      </c>
      <c r="N224" s="6">
        <v>0</v>
      </c>
      <c r="O224" s="4">
        <f t="shared" si="69"/>
        <v>0</v>
      </c>
      <c r="P224" s="5">
        <f>SUMIFS('Desenvolvimento diário'!$H:$H,'Desenvolvimento diário'!$Q:$Q,$B224,'Desenvolvimento diário'!$P:$P,$F224,'Desenvolvimento diário'!$R:$R,"Sim")</f>
        <v>0</v>
      </c>
      <c r="Q224" s="5">
        <f>SUMIFS('Desenvolvimento diário'!$H:$H,'Desenvolvimento diário'!$Q:$Q,$B224,'Desenvolvimento diário'!$P:$P,$F224,'Desenvolvimento diário'!$R:$R,"Não")</f>
        <v>0</v>
      </c>
      <c r="R224" s="4">
        <f t="shared" si="70"/>
        <v>0</v>
      </c>
      <c r="S224" s="27">
        <f t="shared" si="71"/>
        <v>0</v>
      </c>
      <c r="T224" s="12">
        <f t="shared" si="62"/>
        <v>0</v>
      </c>
      <c r="Y224" s="2"/>
      <c r="Z224" s="2"/>
      <c r="AA224" s="2"/>
      <c r="AB224" s="2"/>
      <c r="AC224" s="2"/>
    </row>
    <row r="225" spans="1:29" ht="10.5" hidden="1">
      <c r="A225" s="2">
        <f t="shared" si="72"/>
        <v>7</v>
      </c>
      <c r="B225" s="2" t="str">
        <f>VLOOKUP($A225,Controle!$B$4:$F$68,2,FALSE)</f>
        <v>Patos de Minas 1</v>
      </c>
      <c r="C225" s="2" t="str">
        <f>VLOOKUP($A225,Controle!$B$4:$F$68,3,FALSE)</f>
        <v xml:space="preserve">MORI GERACAO II </v>
      </c>
      <c r="D225" s="2" t="str">
        <f>VLOOKUP($A225,Controle!$B$4:$F$68,4,FALSE)</f>
        <v>Mori II</v>
      </c>
      <c r="E225" s="2">
        <f>VLOOKUP($A225,Controle!$B$4:$F$68,5,FALSE)</f>
        <v>1</v>
      </c>
      <c r="F225" s="3" t="str">
        <f>F190</f>
        <v>Desenvolvimento de projeto - Ambiental / Outros</v>
      </c>
      <c r="G225" s="2" t="str">
        <f>VLOOKUP($A225,Controle!$B$4:$G$68,6,FALSE)</f>
        <v>Mori</v>
      </c>
      <c r="H225" s="6" t="s">
        <v>148</v>
      </c>
      <c r="I225" s="6">
        <f>R225</f>
        <v>178192.92</v>
      </c>
      <c r="J225" s="6">
        <v>0</v>
      </c>
      <c r="K225" s="6">
        <v>0</v>
      </c>
      <c r="L225" s="6">
        <v>0</v>
      </c>
      <c r="M225" s="6">
        <v>0</v>
      </c>
      <c r="N225" s="6">
        <v>0</v>
      </c>
      <c r="O225" s="4">
        <f t="shared" si="69"/>
        <v>178192.92</v>
      </c>
      <c r="P225" s="5">
        <f>SUMIFS('Desenvolvimento diário'!$H:$H,'Desenvolvimento diário'!$Q:$Q,$B225,'Desenvolvimento diário'!$P:$P,$F225,'Desenvolvimento diário'!$R:$R,"Sim")</f>
        <v>0</v>
      </c>
      <c r="Q225" s="5">
        <f>SUMIFS('Desenvolvimento diário'!$H:$H,'Desenvolvimento diário'!$Q:$Q,$B225,'Desenvolvimento diário'!$P:$P,$F225,'Desenvolvimento diário'!$R:$R,"Não")</f>
        <v>178192.92</v>
      </c>
      <c r="R225" s="4">
        <f t="shared" si="70"/>
        <v>178192.92</v>
      </c>
      <c r="S225" s="4">
        <f t="shared" si="71"/>
        <v>0</v>
      </c>
      <c r="T225" s="12">
        <f t="shared" si="62"/>
        <v>1</v>
      </c>
      <c r="Y225" s="2"/>
      <c r="Z225" s="2"/>
      <c r="AA225" s="2"/>
      <c r="AB225" s="2"/>
      <c r="AC225" s="2"/>
    </row>
    <row r="226" spans="1:29" hidden="1">
      <c r="A226" s="2">
        <f t="shared" si="72"/>
        <v>7</v>
      </c>
      <c r="B226" s="2" t="str">
        <f>VLOOKUP($A226,Controle!$B$4:$F$68,2,FALSE)</f>
        <v>Patos de Minas 1</v>
      </c>
      <c r="C226" s="2" t="str">
        <f>VLOOKUP($A226,Controle!$B$4:$F$68,3,FALSE)</f>
        <v xml:space="preserve">MORI GERACAO II </v>
      </c>
      <c r="D226" s="2" t="str">
        <f>VLOOKUP($A226,Controle!$B$4:$F$68,4,FALSE)</f>
        <v>Mori II</v>
      </c>
      <c r="E226" s="2">
        <f>VLOOKUP($A226,Controle!$B$4:$F$68,5,FALSE)</f>
        <v>1</v>
      </c>
      <c r="F226" s="3" t="str">
        <f>F191</f>
        <v>Desenvolvimento de projeto - Coordenograma</v>
      </c>
      <c r="G226" s="2" t="str">
        <f>VLOOKUP($A226,Controle!$B$4:$G$68,6,FALSE)</f>
        <v>Mori</v>
      </c>
      <c r="H226" s="31" t="s">
        <v>149</v>
      </c>
      <c r="I226" s="31">
        <v>6206.9</v>
      </c>
      <c r="J226" s="31">
        <v>2281.25</v>
      </c>
      <c r="K226" s="31">
        <v>0</v>
      </c>
      <c r="L226" s="6">
        <v>0</v>
      </c>
      <c r="M226" s="6">
        <v>0</v>
      </c>
      <c r="N226" s="6">
        <v>0</v>
      </c>
      <c r="O226" s="4">
        <f t="shared" si="69"/>
        <v>8488.15</v>
      </c>
      <c r="P226" s="5">
        <f>SUMIFS('Desenvolvimento diário'!$H:$H,'Desenvolvimento diário'!$Q:$Q,$B226,'Desenvolvimento diário'!$P:$P,$F226,'Desenvolvimento diário'!$R:$R,"Sim")</f>
        <v>0</v>
      </c>
      <c r="Q226" s="5">
        <f>SUMIFS('Desenvolvimento diário'!$H:$H,'Desenvolvimento diário'!$Q:$Q,$B226,'Desenvolvimento diário'!$P:$P,$F226,'Desenvolvimento diário'!$R:$R,"Não")</f>
        <v>8488.15</v>
      </c>
      <c r="R226" s="4">
        <f t="shared" si="70"/>
        <v>8488.15</v>
      </c>
      <c r="S226" s="4">
        <f t="shared" si="71"/>
        <v>0</v>
      </c>
      <c r="T226" s="12">
        <f t="shared" si="62"/>
        <v>1</v>
      </c>
      <c r="Y226" s="2"/>
      <c r="Z226" s="2"/>
      <c r="AA226" s="2"/>
      <c r="AB226" s="2"/>
      <c r="AC226" s="2"/>
    </row>
    <row r="227" spans="1:29" ht="10.5" hidden="1">
      <c r="A227" s="2">
        <f t="shared" si="72"/>
        <v>7</v>
      </c>
      <c r="B227" s="2" t="str">
        <f>VLOOKUP($A227,Controle!$B$4:$F$68,2,FALSE)</f>
        <v>Patos de Minas 1</v>
      </c>
      <c r="C227" s="2" t="str">
        <f>VLOOKUP($A227,Controle!$B$4:$F$68,3,FALSE)</f>
        <v xml:space="preserve">MORI GERACAO II </v>
      </c>
      <c r="D227" s="2" t="str">
        <f>VLOOKUP($A227,Controle!$B$4:$F$68,4,FALSE)</f>
        <v>Mori II</v>
      </c>
      <c r="E227" s="2">
        <f>VLOOKUP($A227,Controle!$B$4:$F$68,5,FALSE)</f>
        <v>1</v>
      </c>
      <c r="F227" s="3" t="str">
        <f>F192</f>
        <v>Sistemas de Monitoramento - Supervisório</v>
      </c>
      <c r="G227" s="2" t="str">
        <f>VLOOKUP($A227,Controle!$B$4:$G$68,6,FALSE)</f>
        <v>Mori</v>
      </c>
      <c r="H227" s="6" t="s">
        <v>150</v>
      </c>
      <c r="I227" s="6">
        <v>136155</v>
      </c>
      <c r="J227" s="6"/>
      <c r="K227" s="6">
        <v>0</v>
      </c>
      <c r="L227" s="6">
        <v>0</v>
      </c>
      <c r="M227" s="6">
        <v>0</v>
      </c>
      <c r="N227" s="6">
        <v>0</v>
      </c>
      <c r="O227" s="4">
        <f t="shared" si="69"/>
        <v>136155</v>
      </c>
      <c r="P227" s="5">
        <f>SUMIFS('Desenvolvimento diário'!$H:$H,'Desenvolvimento diário'!$Q:$Q,$B227,'Desenvolvimento diário'!$P:$P,$F227,'Desenvolvimento diário'!$R:$R,"Sim")</f>
        <v>5821.02</v>
      </c>
      <c r="Q227" s="5">
        <f>SUMIFS('Desenvolvimento diário'!$H:$H,'Desenvolvimento diário'!$Q:$Q,$B227,'Desenvolvimento diário'!$P:$P,$F227,'Desenvolvimento diário'!$R:$R,"Não")</f>
        <v>130333.98000000001</v>
      </c>
      <c r="R227" s="4">
        <f t="shared" si="70"/>
        <v>136155</v>
      </c>
      <c r="S227" s="4">
        <f t="shared" si="71"/>
        <v>0</v>
      </c>
      <c r="T227" s="12">
        <f t="shared" si="62"/>
        <v>1</v>
      </c>
      <c r="Y227" s="2"/>
      <c r="Z227" s="2"/>
      <c r="AA227" s="2"/>
      <c r="AB227" s="2"/>
      <c r="AC227" s="2"/>
    </row>
    <row r="228" spans="1:29" ht="10.5" hidden="1">
      <c r="A228" s="2">
        <f t="shared" si="72"/>
        <v>7</v>
      </c>
      <c r="B228" s="2" t="str">
        <f>VLOOKUP($A228,Controle!$B$4:$F$68,2,FALSE)</f>
        <v>Patos de Minas 1</v>
      </c>
      <c r="C228" s="2" t="str">
        <f>VLOOKUP($A228,Controle!$B$4:$F$68,3,FALSE)</f>
        <v xml:space="preserve">MORI GERACAO II </v>
      </c>
      <c r="D228" s="2" t="str">
        <f>VLOOKUP($A228,Controle!$B$4:$F$68,4,FALSE)</f>
        <v>Mori II</v>
      </c>
      <c r="E228" s="2">
        <f>VLOOKUP($A228,Controle!$B$4:$F$68,5,FALSE)</f>
        <v>1</v>
      </c>
      <c r="F228" s="3" t="str">
        <f>F193</f>
        <v>Sistemas de Monitoramento - Estações Solarimétricas</v>
      </c>
      <c r="G228" s="2" t="str">
        <f>VLOOKUP($A228,Controle!$B$4:$G$68,6,FALSE)</f>
        <v>Mori</v>
      </c>
      <c r="H228" s="6" t="s">
        <v>151</v>
      </c>
      <c r="I228" s="6">
        <f>48276.516-0.466</f>
        <v>48276.05</v>
      </c>
      <c r="J228" s="6">
        <v>0</v>
      </c>
      <c r="K228" s="6">
        <v>0</v>
      </c>
      <c r="L228" s="6">
        <v>0</v>
      </c>
      <c r="M228" s="6">
        <v>0</v>
      </c>
      <c r="N228" s="6">
        <v>0</v>
      </c>
      <c r="O228" s="4">
        <f t="shared" si="69"/>
        <v>48276.05</v>
      </c>
      <c r="P228" s="5">
        <f>SUMIFS('Desenvolvimento diário'!$H:$H,'Desenvolvimento diário'!$Q:$Q,$B228,'Desenvolvimento diário'!$P:$P,$F228,'Desenvolvimento diário'!$R:$R,"Sim")</f>
        <v>0</v>
      </c>
      <c r="Q228" s="5">
        <f>SUMIFS('Desenvolvimento diário'!$H:$H,'Desenvolvimento diário'!$Q:$Q,$B228,'Desenvolvimento diário'!$P:$P,$F228,'Desenvolvimento diário'!$R:$R,"Não")</f>
        <v>48276.05</v>
      </c>
      <c r="R228" s="4">
        <f t="shared" si="70"/>
        <v>48276.05</v>
      </c>
      <c r="S228" s="175">
        <f t="shared" si="71"/>
        <v>0</v>
      </c>
      <c r="T228" s="12">
        <f t="shared" si="62"/>
        <v>1</v>
      </c>
      <c r="Y228" s="2"/>
      <c r="Z228" s="2"/>
      <c r="AA228" s="2"/>
      <c r="AB228" s="2"/>
      <c r="AC228" s="2"/>
    </row>
    <row r="229" spans="1:29" hidden="1">
      <c r="A229" s="2">
        <f t="shared" si="72"/>
        <v>7</v>
      </c>
      <c r="B229" s="2" t="str">
        <f>VLOOKUP($A229,Controle!$B$4:$F$68,2,FALSE)</f>
        <v>Patos de Minas 1</v>
      </c>
      <c r="C229" s="2" t="str">
        <f>VLOOKUP($A229,Controle!$B$4:$F$68,3,FALSE)</f>
        <v xml:space="preserve">MORI GERACAO II </v>
      </c>
      <c r="D229" s="2" t="str">
        <f>VLOOKUP($A229,Controle!$B$4:$F$68,4,FALSE)</f>
        <v>Mori II</v>
      </c>
      <c r="E229" s="2">
        <f>VLOOKUP($A229,Controle!$B$4:$F$68,5,FALSE)</f>
        <v>1</v>
      </c>
      <c r="F229" s="3" t="str">
        <f>F194</f>
        <v>Sistemas de Monitoramento - CFTV</v>
      </c>
      <c r="G229" s="2" t="str">
        <f>VLOOKUP($A229,Controle!$B$4:$G$68,6,FALSE)</f>
        <v>Mori</v>
      </c>
      <c r="H229" s="31" t="s">
        <v>152</v>
      </c>
      <c r="I229" s="6">
        <v>263261.44</v>
      </c>
      <c r="J229" s="28">
        <v>6307.36</v>
      </c>
      <c r="K229" s="6">
        <v>0</v>
      </c>
      <c r="L229" s="6">
        <v>0</v>
      </c>
      <c r="M229" s="6">
        <v>0</v>
      </c>
      <c r="N229" s="6">
        <v>0</v>
      </c>
      <c r="O229" s="4">
        <f t="shared" si="69"/>
        <v>269568.8</v>
      </c>
      <c r="P229" s="5">
        <f>SUMIFS('Desenvolvimento diário'!$H:$H,'Desenvolvimento diário'!$Q:$Q,$B229,'Desenvolvimento diário'!$P:$P,$F229,'Desenvolvimento diário'!$R:$R,"Sim")</f>
        <v>5676.08</v>
      </c>
      <c r="Q229" s="5">
        <f>SUMIFS('Desenvolvimento diário'!$H:$H,'Desenvolvimento diário'!$Q:$Q,$B229,'Desenvolvimento diário'!$P:$P,$F229,'Desenvolvimento diário'!$R:$R,"Não")</f>
        <v>263892.71999999997</v>
      </c>
      <c r="R229" s="4">
        <f t="shared" si="70"/>
        <v>269568.8</v>
      </c>
      <c r="S229" s="27">
        <f t="shared" si="71"/>
        <v>0</v>
      </c>
      <c r="T229" s="12">
        <f t="shared" si="62"/>
        <v>1</v>
      </c>
      <c r="Y229" s="2"/>
      <c r="Z229" s="2"/>
      <c r="AA229" s="2"/>
      <c r="AB229" s="2"/>
      <c r="AC229" s="2"/>
    </row>
    <row r="230" spans="1:29" ht="10.5" hidden="1">
      <c r="A230" s="2">
        <f t="shared" si="72"/>
        <v>7</v>
      </c>
      <c r="B230" s="2" t="str">
        <f>VLOOKUP($A230,Controle!$B$4:$F$68,2,FALSE)</f>
        <v>Patos de Minas 1</v>
      </c>
      <c r="C230" s="2" t="str">
        <f>VLOOKUP($A230,Controle!$B$4:$F$68,3,FALSE)</f>
        <v xml:space="preserve">MORI GERACAO II </v>
      </c>
      <c r="D230" s="2" t="str">
        <f>VLOOKUP($A230,Controle!$B$4:$F$68,4,FALSE)</f>
        <v>Mori II</v>
      </c>
      <c r="E230" s="2">
        <f>VLOOKUP($A230,Controle!$B$4:$F$68,5,FALSE)</f>
        <v>1</v>
      </c>
      <c r="F230" s="3" t="str">
        <f>F195</f>
        <v>Serviços Auxiliares - Drenagem</v>
      </c>
      <c r="G230" s="2" t="str">
        <f>VLOOKUP($A230,Controle!$B$4:$G$68,6,FALSE)</f>
        <v>Mori</v>
      </c>
      <c r="H230" s="6" t="s">
        <v>186</v>
      </c>
      <c r="I230" s="6">
        <v>531019.21</v>
      </c>
      <c r="J230" s="6">
        <v>0</v>
      </c>
      <c r="K230" s="6">
        <v>0</v>
      </c>
      <c r="L230" s="6">
        <v>0</v>
      </c>
      <c r="M230" s="6">
        <v>0</v>
      </c>
      <c r="N230" s="6">
        <v>0</v>
      </c>
      <c r="O230" s="4">
        <f t="shared" si="69"/>
        <v>531019.21</v>
      </c>
      <c r="P230" s="5">
        <f>SUMIFS('Desenvolvimento diário'!$H:$H,'Desenvolvimento diário'!$Q:$Q,$B230,'Desenvolvimento diário'!$P:$P,$F230,'Desenvolvimento diário'!$R:$R,"Sim")</f>
        <v>0</v>
      </c>
      <c r="Q230" s="5">
        <f>SUMIFS('Desenvolvimento diário'!$H:$H,'Desenvolvimento diário'!$Q:$Q,$B230,'Desenvolvimento diário'!$P:$P,$F230,'Desenvolvimento diário'!$R:$R,"Não")</f>
        <v>531019.21</v>
      </c>
      <c r="R230" s="4">
        <f t="shared" si="70"/>
        <v>531019.21</v>
      </c>
      <c r="S230" s="4">
        <f t="shared" si="71"/>
        <v>0</v>
      </c>
      <c r="T230" s="12">
        <f t="shared" si="62"/>
        <v>1</v>
      </c>
      <c r="Y230" s="2"/>
      <c r="Z230" s="2"/>
      <c r="AA230" s="2"/>
      <c r="AB230" s="2"/>
      <c r="AC230" s="2"/>
    </row>
    <row r="231" spans="1:29" ht="10.5" hidden="1">
      <c r="A231" s="2">
        <f t="shared" si="72"/>
        <v>7</v>
      </c>
      <c r="B231" s="2" t="str">
        <f>VLOOKUP($A231,Controle!$B$4:$F$68,2,FALSE)</f>
        <v>Patos de Minas 1</v>
      </c>
      <c r="C231" s="2" t="str">
        <f>VLOOKUP($A231,Controle!$B$4:$F$68,3,FALSE)</f>
        <v xml:space="preserve">MORI GERACAO II </v>
      </c>
      <c r="D231" s="2" t="str">
        <f>VLOOKUP($A231,Controle!$B$4:$F$68,4,FALSE)</f>
        <v>Mori II</v>
      </c>
      <c r="E231" s="2">
        <f>VLOOKUP($A231,Controle!$B$4:$F$68,5,FALSE)</f>
        <v>1</v>
      </c>
      <c r="F231" s="3" t="str">
        <f>F196</f>
        <v>Serviços Auxiliares - Terraplanagem</v>
      </c>
      <c r="G231" s="2" t="str">
        <f>VLOOKUP($A231,Controle!$B$4:$G$68,6,FALSE)</f>
        <v>Mori</v>
      </c>
      <c r="H231" s="28" t="s">
        <v>180</v>
      </c>
      <c r="I231" s="6">
        <v>0</v>
      </c>
      <c r="J231" s="6">
        <v>0</v>
      </c>
      <c r="K231" s="6">
        <v>0</v>
      </c>
      <c r="L231" s="6">
        <v>0</v>
      </c>
      <c r="M231" s="6">
        <v>0</v>
      </c>
      <c r="N231" s="6">
        <v>0</v>
      </c>
      <c r="O231" s="4">
        <f t="shared" si="69"/>
        <v>0</v>
      </c>
      <c r="P231" s="5">
        <f>SUMIFS('Desenvolvimento diário'!$H:$H,'Desenvolvimento diário'!$Q:$Q,$B231,'Desenvolvimento diário'!$P:$P,$F231,'Desenvolvimento diário'!$R:$R,"Sim")</f>
        <v>0</v>
      </c>
      <c r="Q231" s="5">
        <f>SUMIFS('Desenvolvimento diário'!$H:$H,'Desenvolvimento diário'!$Q:$Q,$B231,'Desenvolvimento diário'!$P:$P,$F231,'Desenvolvimento diário'!$R:$R,"Não")</f>
        <v>0</v>
      </c>
      <c r="R231" s="4">
        <f t="shared" si="70"/>
        <v>0</v>
      </c>
      <c r="S231" s="4">
        <f t="shared" si="71"/>
        <v>0</v>
      </c>
      <c r="T231" s="12">
        <f t="shared" si="62"/>
        <v>0</v>
      </c>
      <c r="Y231" s="2"/>
      <c r="Z231" s="2"/>
      <c r="AA231" s="2"/>
      <c r="AB231" s="2"/>
      <c r="AC231" s="2"/>
    </row>
    <row r="232" spans="1:29" ht="10.5" hidden="1">
      <c r="A232" s="2">
        <f t="shared" si="72"/>
        <v>7</v>
      </c>
      <c r="B232" s="2" t="str">
        <f>VLOOKUP($A232,Controle!$B$4:$F$68,2,FALSE)</f>
        <v>Patos de Minas 1</v>
      </c>
      <c r="C232" s="2" t="str">
        <f>VLOOKUP($A232,Controle!$B$4:$F$68,3,FALSE)</f>
        <v xml:space="preserve">MORI GERACAO II </v>
      </c>
      <c r="D232" s="2" t="str">
        <f>VLOOKUP($A232,Controle!$B$4:$F$68,4,FALSE)</f>
        <v>Mori II</v>
      </c>
      <c r="E232" s="2">
        <f>VLOOKUP($A232,Controle!$B$4:$F$68,5,FALSE)</f>
        <v>1</v>
      </c>
      <c r="F232" s="3" t="str">
        <f>F197</f>
        <v>Serviços Auxiliares - Supressão Vegetal</v>
      </c>
      <c r="G232" s="2" t="str">
        <f>VLOOKUP($A232,Controle!$B$4:$G$68,6,FALSE)</f>
        <v>Mori</v>
      </c>
      <c r="H232" s="6">
        <v>0</v>
      </c>
      <c r="I232" s="6">
        <v>0</v>
      </c>
      <c r="J232" s="6">
        <v>0</v>
      </c>
      <c r="K232" s="6">
        <v>0</v>
      </c>
      <c r="L232" s="6">
        <v>0</v>
      </c>
      <c r="M232" s="6">
        <v>0</v>
      </c>
      <c r="N232" s="6">
        <v>0</v>
      </c>
      <c r="O232" s="4">
        <f t="shared" si="69"/>
        <v>0</v>
      </c>
      <c r="P232" s="5">
        <f>SUMIFS('Desenvolvimento diário'!$H:$H,'Desenvolvimento diário'!$Q:$Q,$B232,'Desenvolvimento diário'!$P:$P,$F232,'Desenvolvimento diário'!$R:$R,"Sim")</f>
        <v>0</v>
      </c>
      <c r="Q232" s="5">
        <f>SUMIFS('Desenvolvimento diário'!$H:$H,'Desenvolvimento diário'!$Q:$Q,$B232,'Desenvolvimento diário'!$P:$P,$F232,'Desenvolvimento diário'!$R:$R,"Não")</f>
        <v>0</v>
      </c>
      <c r="R232" s="4">
        <f t="shared" si="70"/>
        <v>0</v>
      </c>
      <c r="S232" s="4">
        <f t="shared" si="71"/>
        <v>0</v>
      </c>
      <c r="T232" s="12">
        <f t="shared" si="62"/>
        <v>0</v>
      </c>
      <c r="Y232" s="2"/>
      <c r="Z232" s="2"/>
      <c r="AA232" s="2"/>
      <c r="AB232" s="2"/>
      <c r="AC232" s="2"/>
    </row>
    <row r="233" spans="1:29" ht="10.5" hidden="1">
      <c r="A233" s="2">
        <f t="shared" si="72"/>
        <v>7</v>
      </c>
      <c r="B233" s="2" t="str">
        <f>VLOOKUP($A233,Controle!$B$4:$F$68,2,FALSE)</f>
        <v>Patos de Minas 1</v>
      </c>
      <c r="C233" s="2" t="str">
        <f>VLOOKUP($A233,Controle!$B$4:$F$68,3,FALSE)</f>
        <v xml:space="preserve">MORI GERACAO II </v>
      </c>
      <c r="D233" s="2" t="str">
        <f>VLOOKUP($A233,Controle!$B$4:$F$68,4,FALSE)</f>
        <v>Mori II</v>
      </c>
      <c r="E233" s="2">
        <f>VLOOKUP($A233,Controle!$B$4:$F$68,5,FALSE)</f>
        <v>1</v>
      </c>
      <c r="F233" s="3" t="str">
        <f>F198</f>
        <v>RDR-Rede de Distribuição Rural</v>
      </c>
      <c r="G233" s="2" t="str">
        <f>VLOOKUP($A233,Controle!$B$4:$G$68,6,FALSE)</f>
        <v>Mori</v>
      </c>
      <c r="H233" s="6">
        <v>0</v>
      </c>
      <c r="I233" s="6">
        <v>0</v>
      </c>
      <c r="J233" s="6">
        <v>0</v>
      </c>
      <c r="K233" s="6">
        <v>0</v>
      </c>
      <c r="L233" s="6">
        <v>0</v>
      </c>
      <c r="M233" s="6">
        <v>0</v>
      </c>
      <c r="N233" s="6">
        <v>0</v>
      </c>
      <c r="O233" s="4">
        <f t="shared" si="69"/>
        <v>0</v>
      </c>
      <c r="P233" s="5">
        <f>SUMIFS('Desenvolvimento diário'!$H:$H,'Desenvolvimento diário'!$Q:$Q,$B233,'Desenvolvimento diário'!$P:$P,$F233,'Desenvolvimento diário'!$R:$R,"Sim")</f>
        <v>0</v>
      </c>
      <c r="Q233" s="5">
        <f>SUMIFS('Desenvolvimento diário'!$H:$H,'Desenvolvimento diário'!$Q:$Q,$B233,'Desenvolvimento diário'!$P:$P,$F233,'Desenvolvimento diário'!$R:$R,"Não")</f>
        <v>0</v>
      </c>
      <c r="R233" s="4">
        <f t="shared" si="70"/>
        <v>0</v>
      </c>
      <c r="S233" s="4">
        <f t="shared" si="71"/>
        <v>0</v>
      </c>
      <c r="T233" s="12">
        <f t="shared" si="62"/>
        <v>0</v>
      </c>
      <c r="Y233" s="2"/>
      <c r="Z233" s="2"/>
      <c r="AA233" s="2"/>
      <c r="AB233" s="2"/>
      <c r="AC233" s="2"/>
    </row>
    <row r="234" spans="1:29" ht="10.5" hidden="1">
      <c r="A234" s="2">
        <f t="shared" si="72"/>
        <v>7</v>
      </c>
      <c r="B234" s="2" t="str">
        <f>VLOOKUP($A234,Controle!$B$4:$F$68,2,FALSE)</f>
        <v>Patos de Minas 1</v>
      </c>
      <c r="C234" s="2" t="str">
        <f>VLOOKUP($A234,Controle!$B$4:$F$68,3,FALSE)</f>
        <v xml:space="preserve">MORI GERACAO II </v>
      </c>
      <c r="D234" s="2" t="str">
        <f>VLOOKUP($A234,Controle!$B$4:$F$68,4,FALSE)</f>
        <v>Mori II</v>
      </c>
      <c r="E234" s="2">
        <f>VLOOKUP($A234,Controle!$B$4:$F$68,5,FALSE)</f>
        <v>1</v>
      </c>
      <c r="F234" s="3" t="str">
        <f>F199</f>
        <v>Escopo COMERC</v>
      </c>
      <c r="G234" s="2" t="str">
        <f>VLOOKUP($A234,Controle!$B$4:$G$68,6,FALSE)</f>
        <v>Mori</v>
      </c>
      <c r="H234" s="6">
        <v>0</v>
      </c>
      <c r="I234" s="6">
        <v>121793.41</v>
      </c>
      <c r="J234" s="29">
        <v>111000</v>
      </c>
      <c r="K234" s="29"/>
      <c r="L234" s="6">
        <v>0</v>
      </c>
      <c r="M234" s="6">
        <v>0</v>
      </c>
      <c r="N234" s="6">
        <v>0</v>
      </c>
      <c r="O234" s="4">
        <f t="shared" si="69"/>
        <v>232793.41</v>
      </c>
      <c r="P234" s="5">
        <f>SUMIFS('Desenvolvimento diário'!$H:$H,'Desenvolvimento diário'!$Q:$Q,$B234,'Desenvolvimento diário'!$P:$P,$F234,'Desenvolvimento diário'!$R:$R,"Sim")</f>
        <v>0</v>
      </c>
      <c r="Q234" s="5">
        <f>SUMIFS('Desenvolvimento diário'!$H:$H,'Desenvolvimento diário'!$Q:$Q,$B234,'Desenvolvimento diário'!$P:$P,$F234,'Desenvolvimento diário'!$R:$R,"Não")</f>
        <v>161292.19</v>
      </c>
      <c r="R234" s="4">
        <f t="shared" si="70"/>
        <v>161292.19</v>
      </c>
      <c r="S234" s="1010">
        <f t="shared" si="71"/>
        <v>71501.22</v>
      </c>
      <c r="T234" s="12">
        <f t="shared" si="62"/>
        <v>0.69285548074578229</v>
      </c>
      <c r="U234" s="1011" t="s">
        <v>166</v>
      </c>
      <c r="V234" s="1011" t="s">
        <v>167</v>
      </c>
      <c r="Y234" s="2"/>
      <c r="Z234" s="2"/>
      <c r="AA234" s="2"/>
      <c r="AB234" s="2"/>
      <c r="AC234" s="2"/>
    </row>
    <row r="235" spans="1:29" ht="10.5" hidden="1">
      <c r="A235" s="2">
        <f t="shared" si="72"/>
        <v>7</v>
      </c>
      <c r="B235" s="2" t="str">
        <f>VLOOKUP($A235,Controle!$B$4:$F$68,2,FALSE)</f>
        <v>Patos de Minas 1</v>
      </c>
      <c r="C235" s="2" t="str">
        <f>VLOOKUP($A235,Controle!$B$4:$F$68,3,FALSE)</f>
        <v xml:space="preserve">MORI GERACAO II </v>
      </c>
      <c r="D235" s="2" t="str">
        <f>VLOOKUP($A235,Controle!$B$4:$F$68,4,FALSE)</f>
        <v>Mori II</v>
      </c>
      <c r="E235" s="2">
        <f>VLOOKUP($A235,Controle!$B$4:$F$68,5,FALSE)</f>
        <v>1</v>
      </c>
      <c r="F235" s="3" t="str">
        <f>F200</f>
        <v>Escopo COMERC - Segurança</v>
      </c>
      <c r="G235" s="2" t="str">
        <f>VLOOKUP($A235,Controle!$B$4:$G$68,6,FALSE)</f>
        <v>Mori</v>
      </c>
      <c r="H235" s="6">
        <v>0</v>
      </c>
      <c r="I235" s="6">
        <f t="shared" ref="I234:I235" si="73">R235</f>
        <v>156932.39000000001</v>
      </c>
      <c r="J235" s="6">
        <v>0</v>
      </c>
      <c r="K235" s="6">
        <v>0</v>
      </c>
      <c r="L235" s="6">
        <v>0</v>
      </c>
      <c r="M235" s="6">
        <v>0</v>
      </c>
      <c r="N235" s="6">
        <v>0</v>
      </c>
      <c r="O235" s="4">
        <f t="shared" si="69"/>
        <v>156932.39000000001</v>
      </c>
      <c r="P235" s="5">
        <f>SUMIFS('Desenvolvimento diário'!$H:$H,'Desenvolvimento diário'!$Q:$Q,$B235,'Desenvolvimento diário'!$P:$P,$F235,'Desenvolvimento diário'!$R:$R,"Sim")</f>
        <v>0</v>
      </c>
      <c r="Q235" s="5">
        <f>SUMIFS('Desenvolvimento diário'!$H:$H,'Desenvolvimento diário'!$Q:$Q,$B235,'Desenvolvimento diário'!$P:$P,$F235,'Desenvolvimento diário'!$R:$R,"Não")</f>
        <v>156932.39000000001</v>
      </c>
      <c r="R235" s="4">
        <f t="shared" si="70"/>
        <v>156932.39000000001</v>
      </c>
      <c r="S235" s="4">
        <f t="shared" si="71"/>
        <v>0</v>
      </c>
      <c r="T235" s="12">
        <f t="shared" si="62"/>
        <v>1</v>
      </c>
      <c r="Y235" s="2"/>
      <c r="Z235" s="2"/>
      <c r="AA235" s="2"/>
      <c r="AB235" s="2"/>
      <c r="AC235" s="2"/>
    </row>
    <row r="236" spans="1:29" ht="10.5" hidden="1">
      <c r="A236" s="2">
        <f t="shared" si="72"/>
        <v>7</v>
      </c>
      <c r="B236" s="2" t="str">
        <f>VLOOKUP($A236,Controle!$B$4:$F$68,2,FALSE)</f>
        <v>Patos de Minas 1</v>
      </c>
      <c r="C236" s="2" t="str">
        <f>VLOOKUP($A236,Controle!$B$4:$F$68,3,FALSE)</f>
        <v xml:space="preserve">MORI GERACAO II </v>
      </c>
      <c r="D236" s="2" t="str">
        <f>VLOOKUP($A236,Controle!$B$4:$F$68,4,FALSE)</f>
        <v>Mori II</v>
      </c>
      <c r="E236" s="2">
        <f>VLOOKUP($A236,Controle!$B$4:$F$68,5,FALSE)</f>
        <v>1</v>
      </c>
      <c r="F236" s="3" t="str">
        <f>F201</f>
        <v>Conexão MT - Obras Transferencia</v>
      </c>
      <c r="G236" s="2" t="str">
        <f>VLOOKUP($A236,Controle!$B$4:$G$68,6,FALSE)</f>
        <v>Mori</v>
      </c>
      <c r="H236" s="6">
        <v>0</v>
      </c>
      <c r="I236" s="6">
        <v>0</v>
      </c>
      <c r="J236" s="6">
        <v>0</v>
      </c>
      <c r="K236" s="6">
        <v>0</v>
      </c>
      <c r="L236" s="6">
        <v>0</v>
      </c>
      <c r="M236" s="6">
        <v>0</v>
      </c>
      <c r="N236" s="6">
        <v>0</v>
      </c>
      <c r="O236" s="4">
        <f t="shared" si="69"/>
        <v>0</v>
      </c>
      <c r="P236" s="5">
        <f>SUMIFS('Desenvolvimento diário'!$H:$H,'Desenvolvimento diário'!$Q:$Q,$B236,'Desenvolvimento diário'!$P:$P,$F236,'Desenvolvimento diário'!$R:$R,"Sim")</f>
        <v>0</v>
      </c>
      <c r="Q236" s="5">
        <f>SUMIFS('Desenvolvimento diário'!$H:$H,'Desenvolvimento diário'!$Q:$Q,$B236,'Desenvolvimento diário'!$P:$P,$F236,'Desenvolvimento diário'!$R:$R,"Não")</f>
        <v>0</v>
      </c>
      <c r="R236" s="4">
        <f t="shared" si="70"/>
        <v>0</v>
      </c>
      <c r="S236" s="4">
        <f t="shared" si="71"/>
        <v>0</v>
      </c>
      <c r="T236" s="12">
        <f t="shared" si="62"/>
        <v>0</v>
      </c>
      <c r="Y236" s="2"/>
      <c r="Z236" s="2"/>
      <c r="AA236" s="2"/>
      <c r="AB236" s="2"/>
      <c r="AC236" s="2"/>
    </row>
    <row r="237" spans="1:29" ht="10.5" hidden="1">
      <c r="A237" s="2">
        <f t="shared" si="72"/>
        <v>7</v>
      </c>
      <c r="B237" s="2" t="str">
        <f>VLOOKUP($A237,Controle!$B$4:$F$68,2,FALSE)</f>
        <v>Patos de Minas 1</v>
      </c>
      <c r="C237" s="2" t="str">
        <f>VLOOKUP($A237,Controle!$B$4:$F$68,3,FALSE)</f>
        <v xml:space="preserve">MORI GERACAO II </v>
      </c>
      <c r="D237" s="2" t="str">
        <f>VLOOKUP($A237,Controle!$B$4:$F$68,4,FALSE)</f>
        <v>Mori II</v>
      </c>
      <c r="E237" s="2">
        <f>VLOOKUP($A237,Controle!$B$4:$F$68,5,FALSE)</f>
        <v>1</v>
      </c>
      <c r="F237" s="3" t="str">
        <f>F202</f>
        <v>Bases de Contaniers</v>
      </c>
      <c r="G237" s="2" t="str">
        <f>VLOOKUP($A237,Controle!$B$4:$G$68,6,FALSE)</f>
        <v>Mori</v>
      </c>
      <c r="H237" s="6">
        <v>0</v>
      </c>
      <c r="I237" s="6">
        <v>0</v>
      </c>
      <c r="J237" s="6">
        <v>0</v>
      </c>
      <c r="K237" s="6">
        <v>0</v>
      </c>
      <c r="L237" s="6">
        <v>0</v>
      </c>
      <c r="M237" s="6">
        <v>0</v>
      </c>
      <c r="N237" s="6">
        <v>0</v>
      </c>
      <c r="O237" s="4">
        <f t="shared" si="69"/>
        <v>0</v>
      </c>
      <c r="P237" s="5">
        <f>SUMIFS('Desenvolvimento diário'!$H:$H,'Desenvolvimento diário'!$Q:$Q,$B237,'Desenvolvimento diário'!$P:$P,$F237,'Desenvolvimento diário'!$R:$R,"Sim")</f>
        <v>0</v>
      </c>
      <c r="Q237" s="5">
        <f>SUMIFS('Desenvolvimento diário'!$H:$H,'Desenvolvimento diário'!$Q:$Q,$B237,'Desenvolvimento diário'!$P:$P,$F237,'Desenvolvimento diário'!$R:$R,"Não")</f>
        <v>0</v>
      </c>
      <c r="R237" s="4">
        <f t="shared" si="70"/>
        <v>0</v>
      </c>
      <c r="S237" s="4">
        <f t="shared" si="71"/>
        <v>0</v>
      </c>
      <c r="T237" s="12">
        <f t="shared" si="62"/>
        <v>0</v>
      </c>
      <c r="Y237" s="2"/>
      <c r="Z237" s="2"/>
      <c r="AA237" s="2"/>
      <c r="AB237" s="2"/>
      <c r="AC237" s="2"/>
    </row>
    <row r="238" spans="1:29" ht="10.5" hidden="1">
      <c r="A238" s="2">
        <f t="shared" si="72"/>
        <v>7</v>
      </c>
      <c r="B238" s="2" t="str">
        <f>VLOOKUP($A238,Controle!$B$4:$F$68,2,FALSE)</f>
        <v>Patos de Minas 1</v>
      </c>
      <c r="C238" s="2" t="str">
        <f>VLOOKUP($A238,Controle!$B$4:$F$68,3,FALSE)</f>
        <v xml:space="preserve">MORI GERACAO II </v>
      </c>
      <c r="D238" s="2" t="str">
        <f>VLOOKUP($A238,Controle!$B$4:$F$68,4,FALSE)</f>
        <v>Mori II</v>
      </c>
      <c r="E238" s="2">
        <f>VLOOKUP($A238,Controle!$B$4:$F$68,5,FALSE)</f>
        <v>1</v>
      </c>
      <c r="F238" s="3" t="str">
        <f>F203</f>
        <v>Construção - Serviços de Construção - Ase Engenharia</v>
      </c>
      <c r="G238" s="2" t="str">
        <f>VLOOKUP($A238,Controle!$B$4:$G$68,6,FALSE)</f>
        <v>Mori</v>
      </c>
      <c r="H238" s="6">
        <v>0</v>
      </c>
      <c r="I238" s="6">
        <v>0</v>
      </c>
      <c r="J238" s="6">
        <v>0</v>
      </c>
      <c r="K238" s="6">
        <v>0</v>
      </c>
      <c r="L238" s="6">
        <v>0</v>
      </c>
      <c r="M238" s="6">
        <v>0</v>
      </c>
      <c r="N238" s="6">
        <v>0</v>
      </c>
      <c r="O238" s="4">
        <f t="shared" si="69"/>
        <v>0</v>
      </c>
      <c r="P238" s="5">
        <f>SUMIFS('Desenvolvimento diário'!$H:$H,'Desenvolvimento diário'!$Q:$Q,$B238,'Desenvolvimento diário'!$P:$P,$F238,'Desenvolvimento diário'!$R:$R,"Sim")</f>
        <v>0</v>
      </c>
      <c r="Q238" s="5">
        <f>SUMIFS('Desenvolvimento diário'!$H:$H,'Desenvolvimento diário'!$Q:$Q,$B238,'Desenvolvimento diário'!$P:$P,$F238,'Desenvolvimento diário'!$R:$R,"Não")</f>
        <v>0</v>
      </c>
      <c r="R238" s="4">
        <f t="shared" si="70"/>
        <v>0</v>
      </c>
      <c r="S238" s="4">
        <f t="shared" si="71"/>
        <v>0</v>
      </c>
      <c r="T238" s="12">
        <f t="shared" si="62"/>
        <v>0</v>
      </c>
      <c r="Y238" s="2"/>
      <c r="Z238" s="2"/>
      <c r="AA238" s="2"/>
      <c r="AB238" s="2"/>
      <c r="AC238" s="2"/>
    </row>
    <row r="239" spans="1:29" ht="10.5" hidden="1">
      <c r="A239" s="2">
        <f t="shared" si="72"/>
        <v>7</v>
      </c>
      <c r="B239" s="2" t="str">
        <f>VLOOKUP($A239,Controle!$B$4:$F$68,2,FALSE)</f>
        <v>Patos de Minas 1</v>
      </c>
      <c r="C239" s="2" t="str">
        <f>VLOOKUP($A239,Controle!$B$4:$F$68,3,FALSE)</f>
        <v xml:space="preserve">MORI GERACAO II </v>
      </c>
      <c r="D239" s="2" t="str">
        <f>VLOOKUP($A239,Controle!$B$4:$F$68,4,FALSE)</f>
        <v>Mori II</v>
      </c>
      <c r="E239" s="2">
        <f>VLOOKUP($A239,Controle!$B$4:$F$68,5,FALSE)</f>
        <v>1</v>
      </c>
      <c r="F239" s="3" t="str">
        <f>F204</f>
        <v>Full EPC - Contrato Sobressalentes</v>
      </c>
      <c r="G239" s="2" t="str">
        <f>VLOOKUP($A239,Controle!$B$4:$G$68,6,FALSE)</f>
        <v>Mori</v>
      </c>
      <c r="H239" s="6">
        <v>0</v>
      </c>
      <c r="I239" s="6">
        <v>0</v>
      </c>
      <c r="J239" s="6">
        <v>0</v>
      </c>
      <c r="K239" s="6">
        <v>0</v>
      </c>
      <c r="L239" s="6">
        <v>0</v>
      </c>
      <c r="M239" s="6">
        <v>0</v>
      </c>
      <c r="N239" s="6">
        <v>0</v>
      </c>
      <c r="O239" s="4">
        <f t="shared" si="69"/>
        <v>0</v>
      </c>
      <c r="P239" s="5">
        <f>SUMIFS('Desenvolvimento diário'!$H:$H,'Desenvolvimento diário'!$Q:$Q,$B239,'Desenvolvimento diário'!$P:$P,$F239,'Desenvolvimento diário'!$R:$R,"Sim")</f>
        <v>0</v>
      </c>
      <c r="Q239" s="5">
        <f>SUMIFS('Desenvolvimento diário'!$H:$H,'Desenvolvimento diário'!$Q:$Q,$B239,'Desenvolvimento diário'!$P:$P,$F239,'Desenvolvimento diário'!$R:$R,"Não")</f>
        <v>0</v>
      </c>
      <c r="R239" s="4">
        <f t="shared" si="70"/>
        <v>0</v>
      </c>
      <c r="S239" s="4">
        <f t="shared" si="71"/>
        <v>0</v>
      </c>
      <c r="T239" s="12">
        <f t="shared" si="62"/>
        <v>0</v>
      </c>
      <c r="Y239" s="2"/>
      <c r="Z239" s="2"/>
      <c r="AA239" s="2"/>
      <c r="AB239" s="2"/>
      <c r="AC239" s="2"/>
    </row>
    <row r="240" spans="1:29" ht="10.5" hidden="1">
      <c r="A240" s="2">
        <f t="shared" si="72"/>
        <v>7</v>
      </c>
      <c r="B240" s="2" t="str">
        <f>VLOOKUP($A240,Controle!$B$4:$F$68,2,FALSE)</f>
        <v>Patos de Minas 1</v>
      </c>
      <c r="C240" s="2" t="str">
        <f>VLOOKUP($A240,Controle!$B$4:$F$68,3,FALSE)</f>
        <v xml:space="preserve">MORI GERACAO II </v>
      </c>
      <c r="D240" s="2" t="str">
        <f>VLOOKUP($A240,Controle!$B$4:$F$68,4,FALSE)</f>
        <v>Mori II</v>
      </c>
      <c r="E240" s="2">
        <f>VLOOKUP($A240,Controle!$B$4:$F$68,5,FALSE)</f>
        <v>1</v>
      </c>
      <c r="F240" s="3" t="str">
        <f>F205</f>
        <v>Construção - Serviços de Construção - NOVA MORADA</v>
      </c>
      <c r="G240" s="2" t="str">
        <f>VLOOKUP($A240,Controle!$B$4:$G$68,6,FALSE)</f>
        <v>Mori</v>
      </c>
      <c r="H240" s="6">
        <v>0</v>
      </c>
      <c r="I240" s="6">
        <v>0</v>
      </c>
      <c r="J240" s="6">
        <v>0</v>
      </c>
      <c r="K240" s="6">
        <v>0</v>
      </c>
      <c r="L240" s="6">
        <v>0</v>
      </c>
      <c r="M240" s="6">
        <v>0</v>
      </c>
      <c r="N240" s="6">
        <v>0</v>
      </c>
      <c r="O240" s="4">
        <f t="shared" si="69"/>
        <v>0</v>
      </c>
      <c r="P240" s="5">
        <f>SUMIFS('Desenvolvimento diário'!$H:$H,'Desenvolvimento diário'!$Q:$Q,$B240,'Desenvolvimento diário'!$P:$P,$F240,'Desenvolvimento diário'!$R:$R,"Sim")</f>
        <v>0</v>
      </c>
      <c r="Q240" s="5">
        <f>SUMIFS('Desenvolvimento diário'!$H:$H,'Desenvolvimento diário'!$Q:$Q,$B240,'Desenvolvimento diário'!$P:$P,$F240,'Desenvolvimento diário'!$R:$R,"Não")</f>
        <v>0</v>
      </c>
      <c r="R240" s="4">
        <f t="shared" si="70"/>
        <v>0</v>
      </c>
      <c r="S240" s="4">
        <f t="shared" si="71"/>
        <v>0</v>
      </c>
      <c r="T240" s="12">
        <f t="shared" si="62"/>
        <v>0</v>
      </c>
      <c r="Y240" s="2"/>
      <c r="Z240" s="2"/>
      <c r="AA240" s="2"/>
      <c r="AB240" s="2"/>
      <c r="AC240" s="2"/>
    </row>
    <row r="241" spans="1:29" ht="10.5" hidden="1">
      <c r="A241" s="2">
        <f t="shared" si="72"/>
        <v>7</v>
      </c>
      <c r="B241" s="2" t="str">
        <f>VLOOKUP($A241,Controle!$B$4:$F$68,2,FALSE)</f>
        <v>Patos de Minas 1</v>
      </c>
      <c r="C241" s="2" t="str">
        <f>VLOOKUP($A241,Controle!$B$4:$F$68,3,FALSE)</f>
        <v xml:space="preserve">MORI GERACAO II </v>
      </c>
      <c r="D241" s="2" t="str">
        <f>VLOOKUP($A241,Controle!$B$4:$F$68,4,FALSE)</f>
        <v>Mori II</v>
      </c>
      <c r="E241" s="2">
        <f>VLOOKUP($A241,Controle!$B$4:$F$68,5,FALSE)</f>
        <v>1</v>
      </c>
      <c r="F241" s="3" t="str">
        <f>F206</f>
        <v>Equipamentos Curva A -  Contrato Sobressalentes - SETTA</v>
      </c>
      <c r="G241" s="2" t="str">
        <f>VLOOKUP($A241,Controle!$B$4:$G$68,6,FALSE)</f>
        <v>Mori</v>
      </c>
      <c r="H241" s="6">
        <v>0</v>
      </c>
      <c r="I241" s="6">
        <v>0</v>
      </c>
      <c r="J241" s="6">
        <v>0</v>
      </c>
      <c r="K241" s="6">
        <v>0</v>
      </c>
      <c r="L241" s="6">
        <v>0</v>
      </c>
      <c r="M241" s="6">
        <v>0</v>
      </c>
      <c r="N241" s="6">
        <v>0</v>
      </c>
      <c r="O241" s="4">
        <f t="shared" si="69"/>
        <v>0</v>
      </c>
      <c r="P241" s="5">
        <f>SUMIFS('Desenvolvimento diário'!$H:$H,'Desenvolvimento diário'!$Q:$Q,$B241,'Desenvolvimento diário'!$P:$P,$F241,'Desenvolvimento diário'!$R:$R,"Sim")</f>
        <v>0</v>
      </c>
      <c r="Q241" s="5">
        <f>SUMIFS('Desenvolvimento diário'!$H:$H,'Desenvolvimento diário'!$Q:$Q,$B241,'Desenvolvimento diário'!$P:$P,$F241,'Desenvolvimento diário'!$R:$R,"Não")</f>
        <v>0</v>
      </c>
      <c r="R241" s="4">
        <f t="shared" si="70"/>
        <v>0</v>
      </c>
      <c r="S241" s="4">
        <f t="shared" si="71"/>
        <v>0</v>
      </c>
      <c r="T241" s="12">
        <f t="shared" si="62"/>
        <v>0</v>
      </c>
      <c r="Y241" s="2"/>
      <c r="Z241" s="2"/>
      <c r="AA241" s="2"/>
      <c r="AB241" s="2"/>
      <c r="AC241" s="2"/>
    </row>
    <row r="242" spans="1:29" ht="10.5" hidden="1">
      <c r="A242" s="2">
        <f t="shared" si="72"/>
        <v>7</v>
      </c>
      <c r="B242" s="2" t="str">
        <f>VLOOKUP($A242,Controle!$B$4:$F$68,2,FALSE)</f>
        <v>Patos de Minas 1</v>
      </c>
      <c r="C242" s="2" t="str">
        <f>VLOOKUP($A242,Controle!$B$4:$F$68,3,FALSE)</f>
        <v xml:space="preserve">MORI GERACAO II </v>
      </c>
      <c r="D242" s="2" t="str">
        <f>VLOOKUP($A242,Controle!$B$4:$F$68,4,FALSE)</f>
        <v>Mori II</v>
      </c>
      <c r="E242" s="2">
        <f>VLOOKUP($A242,Controle!$B$4:$F$68,5,FALSE)</f>
        <v>1</v>
      </c>
      <c r="F242" s="3" t="str">
        <f>F207</f>
        <v>Equipamentos Curva A -  Contrato Sobressalentes - Arctech</v>
      </c>
      <c r="G242" s="2" t="str">
        <f>VLOOKUP($A242,Controle!$B$4:$G$68,6,FALSE)</f>
        <v>Mori</v>
      </c>
      <c r="H242" s="6">
        <v>0</v>
      </c>
      <c r="I242" s="6">
        <v>0</v>
      </c>
      <c r="J242" s="6">
        <v>0</v>
      </c>
      <c r="K242" s="6">
        <v>0</v>
      </c>
      <c r="L242" s="6">
        <v>0</v>
      </c>
      <c r="M242" s="6">
        <v>0</v>
      </c>
      <c r="N242" s="6">
        <v>0</v>
      </c>
      <c r="O242" s="4">
        <f t="shared" si="69"/>
        <v>0</v>
      </c>
      <c r="P242" s="5">
        <f>SUMIFS('Desenvolvimento diário'!$H:$H,'Desenvolvimento diário'!$Q:$Q,$B242,'Desenvolvimento diário'!$P:$P,$F242,'Desenvolvimento diário'!$R:$R,"Sim")</f>
        <v>0</v>
      </c>
      <c r="Q242" s="5">
        <f>SUMIFS('Desenvolvimento diário'!$H:$H,'Desenvolvimento diário'!$Q:$Q,$B242,'Desenvolvimento diário'!$P:$P,$F242,'Desenvolvimento diário'!$R:$R,"Não")</f>
        <v>0</v>
      </c>
      <c r="R242" s="4">
        <f t="shared" si="70"/>
        <v>0</v>
      </c>
      <c r="S242" s="4">
        <f t="shared" si="71"/>
        <v>0</v>
      </c>
      <c r="T242" s="12">
        <f t="shared" si="62"/>
        <v>0</v>
      </c>
      <c r="Y242" s="2"/>
      <c r="Z242" s="2"/>
      <c r="AA242" s="2"/>
      <c r="AB242" s="2"/>
      <c r="AC242" s="2"/>
    </row>
    <row r="243" spans="1:29" hidden="1">
      <c r="A243" s="2">
        <f t="shared" si="72"/>
        <v>7</v>
      </c>
      <c r="B243" s="94" t="str">
        <f>VLOOKUP($A243,Controle!$B$4:$F$68,2,FALSE)</f>
        <v>Patos de Minas 1</v>
      </c>
      <c r="C243" s="94" t="str">
        <f>VLOOKUP($A243,Controle!$B$4:$F$68,3,FALSE)</f>
        <v xml:space="preserve">MORI GERACAO II </v>
      </c>
      <c r="D243" s="94" t="str">
        <f>VLOOKUP($A243,Controle!$B$4:$F$68,4,FALSE)</f>
        <v>Mori II</v>
      </c>
      <c r="E243" s="94">
        <f>VLOOKUP($A243,Controle!$B$4:$F$68,5,FALSE)</f>
        <v>1</v>
      </c>
      <c r="F243" s="37" t="str">
        <f>F208</f>
        <v>Equipamentos Curva A -  Contrato Sobressalentes - Romagnole</v>
      </c>
      <c r="G243" s="94" t="str">
        <f>VLOOKUP($A243,Controle!$B$4:$G$68,6,FALSE)</f>
        <v>Mori</v>
      </c>
      <c r="H243" s="506" t="s">
        <v>187</v>
      </c>
      <c r="I243" s="506">
        <f>149589.46-0.01</f>
        <v>149589.44999999998</v>
      </c>
      <c r="J243" s="506">
        <v>204444.66</v>
      </c>
      <c r="K243" s="506">
        <v>199609.76</v>
      </c>
      <c r="L243" s="506">
        <v>0</v>
      </c>
      <c r="M243" s="506">
        <v>0</v>
      </c>
      <c r="N243" s="506">
        <v>0</v>
      </c>
      <c r="O243" s="39">
        <f t="shared" si="69"/>
        <v>553643.87</v>
      </c>
      <c r="P243" s="17">
        <f>SUMIFS('Desenvolvimento diário'!$H:$H,'Desenvolvimento diário'!$Q:$Q,$B243,'Desenvolvimento diário'!$P:$P,$F243,'Desenvolvimento diário'!$R:$R,"Sim")</f>
        <v>0</v>
      </c>
      <c r="Q243" s="17">
        <f>SUMIFS('Desenvolvimento diário'!$H:$H,'Desenvolvimento diário'!$Q:$Q,$B243,'Desenvolvimento diário'!$P:$P,$F243,'Desenvolvimento diário'!$R:$R,"Não")</f>
        <v>553643.87</v>
      </c>
      <c r="R243" s="4">
        <f t="shared" si="70"/>
        <v>553643.87</v>
      </c>
      <c r="S243" s="175">
        <f t="shared" si="71"/>
        <v>0</v>
      </c>
      <c r="T243" s="12">
        <f t="shared" si="62"/>
        <v>1</v>
      </c>
      <c r="Y243" s="2"/>
      <c r="Z243" s="2"/>
      <c r="AA243" s="2"/>
      <c r="AB243" s="2"/>
      <c r="AC243" s="2"/>
    </row>
    <row r="244" spans="1:29" hidden="1">
      <c r="A244" s="2">
        <f t="shared" si="72"/>
        <v>7</v>
      </c>
      <c r="B244" s="94" t="str">
        <f>VLOOKUP($A244,Controle!$B$4:$F$68,2,FALSE)</f>
        <v>Patos de Minas 1</v>
      </c>
      <c r="C244" s="94" t="str">
        <f>VLOOKUP($A244,Controle!$B$4:$F$68,3,FALSE)</f>
        <v xml:space="preserve">MORI GERACAO II </v>
      </c>
      <c r="D244" s="94" t="str">
        <f>VLOOKUP($A244,Controle!$B$4:$F$68,4,FALSE)</f>
        <v>Mori II</v>
      </c>
      <c r="E244" s="94">
        <f>VLOOKUP($A244,Controle!$B$4:$F$68,5,FALSE)</f>
        <v>1</v>
      </c>
      <c r="F244" s="37" t="str">
        <f t="shared" ref="F244:F245" si="74">F209</f>
        <v>GOS FLORESTAL - (PRAD - Recuperação Area Ambiental)</v>
      </c>
      <c r="G244" s="94" t="str">
        <f>VLOOKUP($A244,Controle!$B$4:$G$68,6,FALSE)</f>
        <v>Mori</v>
      </c>
      <c r="H244" s="506" t="s">
        <v>170</v>
      </c>
      <c r="I244" s="6">
        <v>0</v>
      </c>
      <c r="J244" s="506"/>
      <c r="K244" s="506">
        <v>0</v>
      </c>
      <c r="L244" s="506">
        <v>0</v>
      </c>
      <c r="M244" s="506">
        <v>0</v>
      </c>
      <c r="N244" s="506">
        <v>0</v>
      </c>
      <c r="O244" s="39">
        <f t="shared" si="69"/>
        <v>0</v>
      </c>
      <c r="P244" s="17">
        <f>SUMIFS('Desenvolvimento diário'!$H:$H,'Desenvolvimento diário'!$Q:$Q,$B244,'Desenvolvimento diário'!$P:$P,$F244,'Desenvolvimento diário'!$R:$R,"Sim")</f>
        <v>0</v>
      </c>
      <c r="Q244" s="17">
        <f>SUMIFS('Desenvolvimento diário'!$H:$H,'Desenvolvimento diário'!$Q:$Q,$B244,'Desenvolvimento diário'!$P:$P,$F244,'Desenvolvimento diário'!$R:$R,"Não")</f>
        <v>0</v>
      </c>
      <c r="R244" s="4">
        <f t="shared" si="70"/>
        <v>0</v>
      </c>
      <c r="S244" s="4">
        <f t="shared" si="71"/>
        <v>0</v>
      </c>
      <c r="T244" s="12">
        <f t="shared" ref="T244:T245" si="75">IFERROR(R244/O244,0)</f>
        <v>0</v>
      </c>
      <c r="Y244" s="2"/>
      <c r="Z244" s="2"/>
      <c r="AA244" s="2"/>
      <c r="AB244" s="2"/>
      <c r="AC244" s="2"/>
    </row>
    <row r="245" spans="1:29" hidden="1">
      <c r="A245" s="2">
        <f t="shared" si="72"/>
        <v>7</v>
      </c>
      <c r="B245" s="94" t="str">
        <f>VLOOKUP($A245,Controle!$B$4:$F$68,2,FALSE)</f>
        <v>Patos de Minas 1</v>
      </c>
      <c r="C245" s="94" t="str">
        <f>VLOOKUP($A245,Controle!$B$4:$F$68,3,FALSE)</f>
        <v xml:space="preserve">MORI GERACAO II </v>
      </c>
      <c r="D245" s="94" t="str">
        <f>VLOOKUP($A245,Controle!$B$4:$F$68,4,FALSE)</f>
        <v>Mori II</v>
      </c>
      <c r="E245" s="94">
        <f>VLOOKUP($A245,Controle!$B$4:$F$68,5,FALSE)</f>
        <v>1</v>
      </c>
      <c r="F245" s="37" t="str">
        <f t="shared" si="74"/>
        <v>Cercamento das bacias de contenção ciclo 2</v>
      </c>
      <c r="G245" s="94" t="str">
        <f>VLOOKUP($A245,Controle!$B$4:$G$68,6,FALSE)</f>
        <v>Mori</v>
      </c>
      <c r="H245" s="506" t="s">
        <v>172</v>
      </c>
      <c r="I245" s="6"/>
      <c r="J245" s="506"/>
      <c r="K245" s="506">
        <v>0</v>
      </c>
      <c r="L245" s="506">
        <v>0</v>
      </c>
      <c r="M245" s="506">
        <v>0</v>
      </c>
      <c r="N245" s="506">
        <v>0</v>
      </c>
      <c r="O245" s="39">
        <f t="shared" si="69"/>
        <v>0</v>
      </c>
      <c r="P245" s="17">
        <f>SUMIFS('Desenvolvimento diário'!$H:$H,'Desenvolvimento diário'!$Q:$Q,$B245,'Desenvolvimento diário'!$P:$P,$F245,'Desenvolvimento diário'!$R:$R,"Sim")</f>
        <v>0</v>
      </c>
      <c r="Q245" s="17">
        <f>SUMIFS('Desenvolvimento diário'!$H:$H,'Desenvolvimento diário'!$Q:$Q,$B245,'Desenvolvimento diário'!$P:$P,$F245,'Desenvolvimento diário'!$R:$R,"Não")</f>
        <v>0</v>
      </c>
      <c r="R245" s="4">
        <f t="shared" si="70"/>
        <v>0</v>
      </c>
      <c r="S245" s="1030">
        <f t="shared" si="71"/>
        <v>0</v>
      </c>
      <c r="T245" s="12">
        <f t="shared" si="75"/>
        <v>0</v>
      </c>
      <c r="U245" s="1029" t="s">
        <v>166</v>
      </c>
      <c r="V245" s="1029" t="s">
        <v>94</v>
      </c>
      <c r="Y245" s="2"/>
      <c r="Z245" s="2"/>
      <c r="AA245" s="2"/>
      <c r="AB245" s="2"/>
      <c r="AC245" s="2"/>
    </row>
    <row r="246" spans="1:29" hidden="1">
      <c r="A246" s="8">
        <f>A243</f>
        <v>7</v>
      </c>
      <c r="B246" s="9" t="str">
        <f t="shared" ref="B246" si="76">B243</f>
        <v>Patos de Minas 1</v>
      </c>
      <c r="C246" s="9" t="str">
        <f t="shared" ref="C246" si="77">C243</f>
        <v xml:space="preserve">MORI GERACAO II </v>
      </c>
      <c r="D246" s="9" t="str">
        <f t="shared" ref="D246" si="78">D243</f>
        <v>Mori II</v>
      </c>
      <c r="E246" s="9">
        <f t="shared" ref="E246" si="79">E243</f>
        <v>1</v>
      </c>
      <c r="F246" s="10" t="s">
        <v>158</v>
      </c>
      <c r="G246" s="9" t="str">
        <f>G243</f>
        <v>Mori</v>
      </c>
      <c r="H246" s="9"/>
      <c r="I246" s="9">
        <f>SUBTOTAL(9,I212:I245)</f>
        <v>0</v>
      </c>
      <c r="J246" s="9">
        <f t="shared" ref="J246:S246" si="80">SUBTOTAL(9,J212:J245)</f>
        <v>0</v>
      </c>
      <c r="K246" s="9">
        <f t="shared" si="80"/>
        <v>0</v>
      </c>
      <c r="L246" s="9">
        <f t="shared" si="80"/>
        <v>0</v>
      </c>
      <c r="M246" s="9">
        <f t="shared" si="80"/>
        <v>0</v>
      </c>
      <c r="N246" s="9">
        <f t="shared" si="80"/>
        <v>0</v>
      </c>
      <c r="O246" s="9">
        <f t="shared" si="80"/>
        <v>0</v>
      </c>
      <c r="P246" s="9">
        <f t="shared" si="80"/>
        <v>0</v>
      </c>
      <c r="Q246" s="9">
        <f t="shared" si="80"/>
        <v>0</v>
      </c>
      <c r="R246" s="9">
        <f t="shared" si="80"/>
        <v>0</v>
      </c>
      <c r="S246" s="9">
        <f t="shared" si="80"/>
        <v>0</v>
      </c>
      <c r="T246" s="13">
        <f t="shared" si="62"/>
        <v>0</v>
      </c>
      <c r="U246" s="11">
        <f>SUBTOTAL(9,U212:U246)</f>
        <v>0</v>
      </c>
      <c r="Y246" s="2"/>
      <c r="Z246" s="2"/>
      <c r="AA246" s="2"/>
      <c r="AB246" s="2"/>
      <c r="AC246" s="2"/>
    </row>
    <row r="247" spans="1:29" ht="10.5" hidden="1">
      <c r="A247" s="2">
        <f>A212+1</f>
        <v>8</v>
      </c>
      <c r="B247" s="2" t="str">
        <f>VLOOKUP($A247,Controle!$B$4:$F$68,2,FALSE)</f>
        <v>Patos de Minas 3</v>
      </c>
      <c r="C247" s="2" t="str">
        <f>VLOOKUP($A247,Controle!$B$4:$F$68,3,FALSE)</f>
        <v xml:space="preserve">MORI GERACAO II </v>
      </c>
      <c r="D247" s="2" t="str">
        <f>VLOOKUP($A247,Controle!$B$4:$F$68,4,FALSE)</f>
        <v>Mori II</v>
      </c>
      <c r="E247" s="2">
        <f>VLOOKUP($A247,Controle!$B$4:$F$68,5,FALSE)</f>
        <v>2</v>
      </c>
      <c r="F247" s="3" t="str">
        <f>F212</f>
        <v>Conexão AT - Obras</v>
      </c>
      <c r="G247" s="2" t="str">
        <f>VLOOKUP($A247,Controle!$B$4:$G$68,6,FALSE)</f>
        <v>Mori</v>
      </c>
      <c r="H247" s="6" t="s">
        <v>141</v>
      </c>
      <c r="I247" s="29">
        <v>400000</v>
      </c>
      <c r="J247" s="6">
        <v>0</v>
      </c>
      <c r="K247" s="6">
        <v>0</v>
      </c>
      <c r="L247" s="6">
        <v>0</v>
      </c>
      <c r="M247" s="6">
        <v>0</v>
      </c>
      <c r="N247" s="6">
        <v>0</v>
      </c>
      <c r="O247" s="4">
        <f t="shared" ref="O247:O280" si="81">SUM(I247:N247)</f>
        <v>400000</v>
      </c>
      <c r="P247" s="5">
        <f>SUMIFS('Desenvolvimento diário'!$H:$H,'Desenvolvimento diário'!$Q:$Q,$B247,'Desenvolvimento diário'!$P:$P,$F247,'Desenvolvimento diário'!$R:$R,"Sim")</f>
        <v>0</v>
      </c>
      <c r="Q247" s="5">
        <f>SUMIFS('Desenvolvimento diário'!$H:$H,'Desenvolvimento diário'!$Q:$Q,$B247,'Desenvolvimento diário'!$P:$P,$F247,'Desenvolvimento diário'!$R:$R,"Não")</f>
        <v>400000</v>
      </c>
      <c r="R247" s="4">
        <f t="shared" ref="R247:R280" si="82">SUM(P247:Q247)</f>
        <v>400000</v>
      </c>
      <c r="S247" s="27">
        <f t="shared" ref="S247:S280" si="83">O247-R247</f>
        <v>0</v>
      </c>
      <c r="T247" s="12">
        <f t="shared" si="62"/>
        <v>1</v>
      </c>
      <c r="Y247" s="2"/>
      <c r="Z247" s="2"/>
      <c r="AA247" s="2"/>
      <c r="AB247" s="2"/>
      <c r="AC247" s="2"/>
    </row>
    <row r="248" spans="1:29" ht="10.5" hidden="1">
      <c r="A248" s="2">
        <f t="shared" ref="A248:A280" si="84">A247</f>
        <v>8</v>
      </c>
      <c r="B248" s="2" t="str">
        <f>VLOOKUP($A248,Controle!$B$4:$F$68,2,FALSE)</f>
        <v>Patos de Minas 3</v>
      </c>
      <c r="C248" s="2" t="str">
        <f>VLOOKUP($A248,Controle!$B$4:$F$68,3,FALSE)</f>
        <v xml:space="preserve">MORI GERACAO II </v>
      </c>
      <c r="D248" s="2" t="str">
        <f>VLOOKUP($A248,Controle!$B$4:$F$68,4,FALSE)</f>
        <v>Mori II</v>
      </c>
      <c r="E248" s="2">
        <f>VLOOKUP($A248,Controle!$B$4:$F$68,5,FALSE)</f>
        <v>2</v>
      </c>
      <c r="F248" s="3" t="str">
        <f>F213</f>
        <v>Conexão MT - Obras</v>
      </c>
      <c r="G248" s="2" t="str">
        <f>VLOOKUP($A248,Controle!$B$4:$G$68,6,FALSE)</f>
        <v>Mori</v>
      </c>
      <c r="H248" s="6" t="s">
        <v>168</v>
      </c>
      <c r="I248" s="6">
        <v>2366818.08</v>
      </c>
      <c r="J248" s="6">
        <v>1633181.89</v>
      </c>
      <c r="K248" s="6">
        <v>0</v>
      </c>
      <c r="L248" s="6">
        <v>0</v>
      </c>
      <c r="M248" s="6">
        <v>0</v>
      </c>
      <c r="N248" s="6">
        <v>0</v>
      </c>
      <c r="O248" s="4">
        <f t="shared" si="81"/>
        <v>3999999.9699999997</v>
      </c>
      <c r="P248" s="5">
        <f>SUMIFS('Desenvolvimento diário'!$H:$H,'Desenvolvimento diário'!$Q:$Q,$B248,'Desenvolvimento diário'!$P:$P,$F248,'Desenvolvimento diário'!$R:$R,"Sim")</f>
        <v>2188284.2299999995</v>
      </c>
      <c r="Q248" s="5">
        <f>SUMIFS('Desenvolvimento diário'!$H:$H,'Desenvolvimento diário'!$Q:$Q,$B248,'Desenvolvimento diário'!$P:$P,$F248,'Desenvolvimento diário'!$R:$R,"Não")</f>
        <v>1811715.74</v>
      </c>
      <c r="R248" s="4">
        <f t="shared" si="82"/>
        <v>3999999.9699999997</v>
      </c>
      <c r="S248" s="4">
        <f>O248-R248</f>
        <v>0</v>
      </c>
      <c r="T248" s="12">
        <f t="shared" si="62"/>
        <v>1</v>
      </c>
      <c r="Y248" s="2"/>
      <c r="Z248" s="2"/>
      <c r="AA248" s="2"/>
      <c r="AB248" s="2"/>
      <c r="AC248" s="2"/>
    </row>
    <row r="249" spans="1:29" ht="10.5" hidden="1">
      <c r="A249" s="2">
        <f t="shared" si="84"/>
        <v>8</v>
      </c>
      <c r="B249" s="2" t="str">
        <f>VLOOKUP($A249,Controle!$B$4:$F$68,2,FALSE)</f>
        <v>Patos de Minas 3</v>
      </c>
      <c r="C249" s="2" t="str">
        <f>VLOOKUP($A249,Controle!$B$4:$F$68,3,FALSE)</f>
        <v xml:space="preserve">MORI GERACAO II </v>
      </c>
      <c r="D249" s="2" t="str">
        <f>VLOOKUP($A249,Controle!$B$4:$F$68,4,FALSE)</f>
        <v>Mori II</v>
      </c>
      <c r="E249" s="2">
        <f>VLOOKUP($A249,Controle!$B$4:$F$68,5,FALSE)</f>
        <v>2</v>
      </c>
      <c r="F249" s="3" t="str">
        <f>F214</f>
        <v>Construção - Serviços de Construção</v>
      </c>
      <c r="G249" s="2" t="str">
        <f>VLOOKUP($A249,Controle!$B$4:$G$68,6,FALSE)</f>
        <v>Mori</v>
      </c>
      <c r="H249" s="6" t="s">
        <v>142</v>
      </c>
      <c r="I249" s="6">
        <v>2874300</v>
      </c>
      <c r="J249" s="31">
        <v>349352.64</v>
      </c>
      <c r="K249" s="6">
        <v>0</v>
      </c>
      <c r="L249" s="6">
        <v>0</v>
      </c>
      <c r="M249" s="6">
        <v>0</v>
      </c>
      <c r="N249" s="6">
        <v>0</v>
      </c>
      <c r="O249" s="4">
        <f t="shared" si="81"/>
        <v>3223652.64</v>
      </c>
      <c r="P249" s="5">
        <f>SUMIFS('Desenvolvimento diário'!$H:$H,'Desenvolvimento diário'!$Q:$Q,$B249,'Desenvolvimento diário'!$P:$P,$F249,'Desenvolvimento diário'!$R:$R,"Sim")</f>
        <v>2379224.7800000003</v>
      </c>
      <c r="Q249" s="5">
        <f>SUMIFS('Desenvolvimento diário'!$H:$H,'Desenvolvimento diário'!$Q:$Q,$B249,'Desenvolvimento diário'!$P:$P,$F249,'Desenvolvimento diário'!$R:$R,"Não")</f>
        <v>843642.07000000007</v>
      </c>
      <c r="R249" s="4">
        <f t="shared" si="82"/>
        <v>3222866.8500000006</v>
      </c>
      <c r="S249" s="33">
        <f t="shared" si="83"/>
        <v>785.78999999957159</v>
      </c>
      <c r="T249" s="12">
        <f t="shared" si="62"/>
        <v>0.99975624234750071</v>
      </c>
      <c r="U249" s="510" t="s">
        <v>162</v>
      </c>
      <c r="V249" s="510" t="s">
        <v>163</v>
      </c>
      <c r="Y249" s="2"/>
      <c r="Z249" s="2"/>
      <c r="AA249" s="2"/>
      <c r="AB249" s="2"/>
      <c r="AC249" s="2"/>
    </row>
    <row r="250" spans="1:29" ht="10.5" hidden="1">
      <c r="A250" s="2">
        <f t="shared" si="84"/>
        <v>8</v>
      </c>
      <c r="B250" s="2" t="str">
        <f>VLOOKUP($A250,Controle!$B$4:$F$68,2,FALSE)</f>
        <v>Patos de Minas 3</v>
      </c>
      <c r="C250" s="2" t="str">
        <f>VLOOKUP($A250,Controle!$B$4:$F$68,3,FALSE)</f>
        <v xml:space="preserve">MORI GERACAO II </v>
      </c>
      <c r="D250" s="2" t="str">
        <f>VLOOKUP($A250,Controle!$B$4:$F$68,4,FALSE)</f>
        <v>Mori II</v>
      </c>
      <c r="E250" s="2">
        <f>VLOOKUP($A250,Controle!$B$4:$F$68,5,FALSE)</f>
        <v>2</v>
      </c>
      <c r="F250" s="3" t="str">
        <f>F215</f>
        <v>Construção - Serviços de Construção - Substituição</v>
      </c>
      <c r="G250" s="2" t="str">
        <f>VLOOKUP($A250,Controle!$B$4:$G$68,6,FALSE)</f>
        <v>Mori</v>
      </c>
      <c r="H250" s="6" t="s">
        <v>178</v>
      </c>
      <c r="I250" s="6">
        <v>2772575</v>
      </c>
      <c r="J250" s="6">
        <v>0</v>
      </c>
      <c r="K250" s="6">
        <v>0</v>
      </c>
      <c r="L250" s="6">
        <v>0</v>
      </c>
      <c r="M250" s="6">
        <v>0</v>
      </c>
      <c r="N250" s="6">
        <v>0</v>
      </c>
      <c r="O250" s="4">
        <f t="shared" si="81"/>
        <v>2772575</v>
      </c>
      <c r="P250" s="5">
        <f>SUMIFS('Desenvolvimento diário'!$H:$H,'Desenvolvimento diário'!$Q:$Q,$B250,'Desenvolvimento diário'!$P:$P,$F250,'Desenvolvimento diário'!$R:$R,"Sim")</f>
        <v>587408.64999999991</v>
      </c>
      <c r="Q250" s="5">
        <f>SUMIFS('Desenvolvimento diário'!$H:$H,'Desenvolvimento diário'!$Q:$Q,$B250,'Desenvolvimento diário'!$P:$P,$F250,'Desenvolvimento diário'!$R:$R,"Não")</f>
        <v>415886.25</v>
      </c>
      <c r="R250" s="4">
        <f t="shared" si="82"/>
        <v>1003294.8999999999</v>
      </c>
      <c r="S250" s="33">
        <f t="shared" si="83"/>
        <v>1769280.1</v>
      </c>
      <c r="T250" s="12">
        <f t="shared" si="62"/>
        <v>0.36186393515053694</v>
      </c>
      <c r="U250" s="510" t="s">
        <v>162</v>
      </c>
      <c r="V250" s="510" t="s">
        <v>163</v>
      </c>
      <c r="Y250" s="2"/>
      <c r="Z250" s="2"/>
      <c r="AA250" s="2"/>
      <c r="AB250" s="2"/>
      <c r="AC250" s="2"/>
    </row>
    <row r="251" spans="1:29" ht="10.5" hidden="1">
      <c r="A251" s="2">
        <f t="shared" si="84"/>
        <v>8</v>
      </c>
      <c r="B251" s="2" t="str">
        <f>VLOOKUP($A251,Controle!$B$4:$F$68,2,FALSE)</f>
        <v>Patos de Minas 3</v>
      </c>
      <c r="C251" s="2" t="str">
        <f>VLOOKUP($A251,Controle!$B$4:$F$68,3,FALSE)</f>
        <v xml:space="preserve">MORI GERACAO II </v>
      </c>
      <c r="D251" s="2" t="str">
        <f>VLOOKUP($A251,Controle!$B$4:$F$68,4,FALSE)</f>
        <v>Mori II</v>
      </c>
      <c r="E251" s="2">
        <f>VLOOKUP($A251,Controle!$B$4:$F$68,5,FALSE)</f>
        <v>2</v>
      </c>
      <c r="F251" s="3" t="str">
        <f>F216</f>
        <v>Construção - RDA Interno</v>
      </c>
      <c r="G251" s="2" t="str">
        <f>VLOOKUP($A251,Controle!$B$4:$G$68,6,FALSE)</f>
        <v>Mori</v>
      </c>
      <c r="H251" s="6" t="s">
        <v>168</v>
      </c>
      <c r="I251" s="6">
        <v>485909.01</v>
      </c>
      <c r="J251" s="6">
        <f>13800-0.1</f>
        <v>13799.9</v>
      </c>
      <c r="K251" s="6">
        <v>0</v>
      </c>
      <c r="L251" s="6">
        <v>0</v>
      </c>
      <c r="M251" s="6">
        <v>0</v>
      </c>
      <c r="N251" s="6">
        <v>0</v>
      </c>
      <c r="O251" s="4">
        <f t="shared" si="81"/>
        <v>499708.91000000003</v>
      </c>
      <c r="P251" s="5">
        <f>SUMIFS('Desenvolvimento diário'!$H:$H,'Desenvolvimento diário'!$Q:$Q,$B251,'Desenvolvimento diário'!$P:$P,$F251,'Desenvolvimento diário'!$R:$R,"Sim")</f>
        <v>83851.929999999993</v>
      </c>
      <c r="Q251" s="5">
        <f>SUMIFS('Desenvolvimento diário'!$H:$H,'Desenvolvimento diário'!$Q:$Q,$B251,'Desenvolvimento diário'!$P:$P,$F251,'Desenvolvimento diário'!$R:$R,"Não")</f>
        <v>415856.98</v>
      </c>
      <c r="R251" s="4">
        <f t="shared" si="82"/>
        <v>499708.91</v>
      </c>
      <c r="S251" s="93">
        <f t="shared" si="83"/>
        <v>0</v>
      </c>
      <c r="T251" s="12">
        <f t="shared" si="62"/>
        <v>0.99999999999999989</v>
      </c>
      <c r="Y251" s="2"/>
      <c r="Z251" s="2"/>
      <c r="AA251" s="2"/>
      <c r="AB251" s="2"/>
      <c r="AC251" s="2"/>
    </row>
    <row r="252" spans="1:29" ht="10.5" hidden="1">
      <c r="A252" s="2">
        <f t="shared" si="84"/>
        <v>8</v>
      </c>
      <c r="B252" s="2" t="str">
        <f>VLOOKUP($A252,Controle!$B$4:$F$68,2,FALSE)</f>
        <v>Patos de Minas 3</v>
      </c>
      <c r="C252" s="2" t="str">
        <f>VLOOKUP($A252,Controle!$B$4:$F$68,3,FALSE)</f>
        <v xml:space="preserve">MORI GERACAO II </v>
      </c>
      <c r="D252" s="2" t="str">
        <f>VLOOKUP($A252,Controle!$B$4:$F$68,4,FALSE)</f>
        <v>Mori II</v>
      </c>
      <c r="E252" s="2">
        <f>VLOOKUP($A252,Controle!$B$4:$F$68,5,FALSE)</f>
        <v>2</v>
      </c>
      <c r="F252" s="3" t="str">
        <f>F217</f>
        <v>Full EPC - Contrato</v>
      </c>
      <c r="G252" s="2" t="str">
        <f>VLOOKUP($A252,Controle!$B$4:$G$68,6,FALSE)</f>
        <v>Mori</v>
      </c>
      <c r="H252" s="6">
        <v>0</v>
      </c>
      <c r="I252" s="6">
        <v>0</v>
      </c>
      <c r="J252" s="6">
        <v>0</v>
      </c>
      <c r="K252" s="6">
        <v>0</v>
      </c>
      <c r="L252" s="6">
        <v>0</v>
      </c>
      <c r="M252" s="6">
        <v>0</v>
      </c>
      <c r="N252" s="6">
        <v>0</v>
      </c>
      <c r="O252" s="4">
        <f t="shared" si="81"/>
        <v>0</v>
      </c>
      <c r="P252" s="5">
        <f>SUMIFS('Desenvolvimento diário'!$H:$H,'Desenvolvimento diário'!$Q:$Q,$B252,'Desenvolvimento diário'!$P:$P,$F252,'Desenvolvimento diário'!$R:$R,"Sim")</f>
        <v>0</v>
      </c>
      <c r="Q252" s="5">
        <f>SUMIFS('Desenvolvimento diário'!$H:$H,'Desenvolvimento diário'!$Q:$Q,$B252,'Desenvolvimento diário'!$P:$P,$F252,'Desenvolvimento diário'!$R:$R,"Não")</f>
        <v>0</v>
      </c>
      <c r="R252" s="4">
        <f t="shared" si="82"/>
        <v>0</v>
      </c>
      <c r="S252" s="4">
        <f t="shared" si="83"/>
        <v>0</v>
      </c>
      <c r="T252" s="12">
        <f t="shared" si="62"/>
        <v>0</v>
      </c>
      <c r="Y252" s="2"/>
      <c r="Z252" s="2"/>
      <c r="AA252" s="2"/>
      <c r="AB252" s="2"/>
      <c r="AC252" s="2"/>
    </row>
    <row r="253" spans="1:29" ht="10.5" hidden="1">
      <c r="A253" s="2">
        <f t="shared" si="84"/>
        <v>8</v>
      </c>
      <c r="B253" s="2" t="str">
        <f>VLOOKUP($A253,Controle!$B$4:$F$68,2,FALSE)</f>
        <v>Patos de Minas 3</v>
      </c>
      <c r="C253" s="2" t="str">
        <f>VLOOKUP($A253,Controle!$B$4:$F$68,3,FALSE)</f>
        <v xml:space="preserve">MORI GERACAO II </v>
      </c>
      <c r="D253" s="2" t="str">
        <f>VLOOKUP($A253,Controle!$B$4:$F$68,4,FALSE)</f>
        <v>Mori II</v>
      </c>
      <c r="E253" s="2">
        <f>VLOOKUP($A253,Controle!$B$4:$F$68,5,FALSE)</f>
        <v>2</v>
      </c>
      <c r="F253" s="3" t="str">
        <f>F218</f>
        <v>Equipamentos Curva A - Outros (Transformadores)</v>
      </c>
      <c r="G253" s="2" t="str">
        <f>VLOOKUP($A253,Controle!$B$4:$G$68,6,FALSE)</f>
        <v>Mori</v>
      </c>
      <c r="H253" s="6">
        <v>0</v>
      </c>
      <c r="I253" s="6">
        <v>0</v>
      </c>
      <c r="J253" s="6">
        <v>0</v>
      </c>
      <c r="K253" s="6">
        <v>0</v>
      </c>
      <c r="L253" s="6">
        <v>0</v>
      </c>
      <c r="M253" s="6">
        <v>0</v>
      </c>
      <c r="N253" s="6">
        <v>0</v>
      </c>
      <c r="O253" s="4">
        <f t="shared" si="81"/>
        <v>0</v>
      </c>
      <c r="P253" s="5">
        <f>SUMIFS('Desenvolvimento diário'!$H:$H,'Desenvolvimento diário'!$Q:$Q,$B253,'Desenvolvimento diário'!$P:$P,$F253,'Desenvolvimento diário'!$R:$R,"Sim")</f>
        <v>0</v>
      </c>
      <c r="Q253" s="5">
        <f>SUMIFS('Desenvolvimento diário'!$H:$H,'Desenvolvimento diário'!$Q:$Q,$B253,'Desenvolvimento diário'!$P:$P,$F253,'Desenvolvimento diário'!$R:$R,"Não")</f>
        <v>0</v>
      </c>
      <c r="R253" s="4">
        <f t="shared" si="82"/>
        <v>0</v>
      </c>
      <c r="S253" s="4">
        <f t="shared" si="83"/>
        <v>0</v>
      </c>
      <c r="T253" s="12">
        <f t="shared" si="62"/>
        <v>0</v>
      </c>
      <c r="Y253" s="2"/>
      <c r="Z253" s="2"/>
      <c r="AA253" s="2"/>
      <c r="AB253" s="2"/>
      <c r="AC253" s="2"/>
    </row>
    <row r="254" spans="1:29" ht="10.5" hidden="1">
      <c r="A254" s="2">
        <f t="shared" si="84"/>
        <v>8</v>
      </c>
      <c r="B254" s="2" t="str">
        <f>VLOOKUP($A254,Controle!$B$4:$F$68,2,FALSE)</f>
        <v>Patos de Minas 3</v>
      </c>
      <c r="C254" s="2" t="str">
        <f>VLOOKUP($A254,Controle!$B$4:$F$68,3,FALSE)</f>
        <v xml:space="preserve">MORI GERACAO II </v>
      </c>
      <c r="D254" s="2" t="str">
        <f>VLOOKUP($A254,Controle!$B$4:$F$68,4,FALSE)</f>
        <v>Mori II</v>
      </c>
      <c r="E254" s="2">
        <f>VLOOKUP($A254,Controle!$B$4:$F$68,5,FALSE)</f>
        <v>2</v>
      </c>
      <c r="F254" s="3" t="str">
        <f>F219</f>
        <v>Equipamentos Curva A - Outros (Cabine + Skid)</v>
      </c>
      <c r="G254" s="2" t="str">
        <f>VLOOKUP($A254,Controle!$B$4:$G$68,6,FALSE)</f>
        <v>Mori</v>
      </c>
      <c r="H254" s="6">
        <v>0</v>
      </c>
      <c r="I254" s="6">
        <v>0</v>
      </c>
      <c r="J254" s="6">
        <v>0</v>
      </c>
      <c r="K254" s="6">
        <v>0</v>
      </c>
      <c r="L254" s="6">
        <v>0</v>
      </c>
      <c r="M254" s="6">
        <v>0</v>
      </c>
      <c r="N254" s="6">
        <v>0</v>
      </c>
      <c r="O254" s="4">
        <f t="shared" si="81"/>
        <v>0</v>
      </c>
      <c r="P254" s="5">
        <f>SUMIFS('Desenvolvimento diário'!$H:$H,'Desenvolvimento diário'!$Q:$Q,$B254,'Desenvolvimento diário'!$P:$P,$F254,'Desenvolvimento diário'!$R:$R,"Sim")</f>
        <v>0</v>
      </c>
      <c r="Q254" s="5">
        <f>SUMIFS('Desenvolvimento diário'!$H:$H,'Desenvolvimento diário'!$Q:$Q,$B254,'Desenvolvimento diário'!$P:$P,$F254,'Desenvolvimento diário'!$R:$R,"Não")</f>
        <v>0</v>
      </c>
      <c r="R254" s="4">
        <f t="shared" si="82"/>
        <v>0</v>
      </c>
      <c r="S254" s="4">
        <f t="shared" si="83"/>
        <v>0</v>
      </c>
      <c r="T254" s="12">
        <f t="shared" si="62"/>
        <v>0</v>
      </c>
      <c r="Y254" s="2"/>
      <c r="Z254" s="2"/>
      <c r="AA254" s="2"/>
      <c r="AB254" s="2"/>
      <c r="AC254" s="2"/>
    </row>
    <row r="255" spans="1:29" ht="10.5" hidden="1">
      <c r="A255" s="2">
        <f t="shared" si="84"/>
        <v>8</v>
      </c>
      <c r="B255" s="2" t="str">
        <f>VLOOKUP($A255,Controle!$B$4:$F$68,2,FALSE)</f>
        <v>Patos de Minas 3</v>
      </c>
      <c r="C255" s="2" t="str">
        <f>VLOOKUP($A255,Controle!$B$4:$F$68,3,FALSE)</f>
        <v xml:space="preserve">MORI GERACAO II </v>
      </c>
      <c r="D255" s="2" t="str">
        <f>VLOOKUP($A255,Controle!$B$4:$F$68,4,FALSE)</f>
        <v>Mori II</v>
      </c>
      <c r="E255" s="2">
        <f>VLOOKUP($A255,Controle!$B$4:$F$68,5,FALSE)</f>
        <v>2</v>
      </c>
      <c r="F255" s="3" t="str">
        <f>F220</f>
        <v>Equipamentos Curva A - Outros (Cabine + Skid + Transformador)</v>
      </c>
      <c r="G255" s="2" t="str">
        <f>VLOOKUP($A255,Controle!$B$4:$G$68,6,FALSE)</f>
        <v>Mori</v>
      </c>
      <c r="H255" s="6" t="s">
        <v>144</v>
      </c>
      <c r="I255" s="6">
        <v>1244318.5876750001</v>
      </c>
      <c r="J255" s="6">
        <v>0</v>
      </c>
      <c r="K255" s="6">
        <v>0</v>
      </c>
      <c r="L255" s="6">
        <v>0</v>
      </c>
      <c r="M255" s="6">
        <v>0</v>
      </c>
      <c r="N255" s="6">
        <v>0</v>
      </c>
      <c r="O255" s="4">
        <f t="shared" si="81"/>
        <v>1244318.5876750001</v>
      </c>
      <c r="P255" s="5">
        <f>SUMIFS('Desenvolvimento diário'!$H:$H,'Desenvolvimento diário'!$Q:$Q,$B255,'Desenvolvimento diário'!$P:$P,$F255,'Desenvolvimento diário'!$R:$R,"Sim")</f>
        <v>0</v>
      </c>
      <c r="Q255" s="5">
        <f>SUMIFS('Desenvolvimento diário'!$H:$H,'Desenvolvimento diário'!$Q:$Q,$B255,'Desenvolvimento diário'!$P:$P,$F255,'Desenvolvimento diário'!$R:$R,"Não")</f>
        <v>1244318.5876750001</v>
      </c>
      <c r="R255" s="4">
        <f t="shared" si="82"/>
        <v>1244318.5876750001</v>
      </c>
      <c r="S255" s="4">
        <f t="shared" si="83"/>
        <v>0</v>
      </c>
      <c r="T255" s="12">
        <f t="shared" si="62"/>
        <v>1</v>
      </c>
      <c r="Y255" s="2"/>
      <c r="Z255" s="2"/>
      <c r="AA255" s="2"/>
      <c r="AB255" s="2"/>
      <c r="AC255" s="2"/>
    </row>
    <row r="256" spans="1:29" ht="10.5" hidden="1">
      <c r="A256" s="2">
        <f t="shared" si="84"/>
        <v>8</v>
      </c>
      <c r="B256" s="2" t="str">
        <f>VLOOKUP($A256,Controle!$B$4:$F$68,2,FALSE)</f>
        <v>Patos de Minas 3</v>
      </c>
      <c r="C256" s="2" t="str">
        <f>VLOOKUP($A256,Controle!$B$4:$F$68,3,FALSE)</f>
        <v xml:space="preserve">MORI GERACAO II </v>
      </c>
      <c r="D256" s="2" t="str">
        <f>VLOOKUP($A256,Controle!$B$4:$F$68,4,FALSE)</f>
        <v>Mori II</v>
      </c>
      <c r="E256" s="2">
        <f>VLOOKUP($A256,Controle!$B$4:$F$68,5,FALSE)</f>
        <v>2</v>
      </c>
      <c r="F256" s="3" t="str">
        <f>F221</f>
        <v>Desenvolvimento de projeto - Projetos - (Eng° Proprietario)</v>
      </c>
      <c r="G256" s="2" t="str">
        <f>VLOOKUP($A256,Controle!$B$4:$G$68,6,FALSE)</f>
        <v>Mori</v>
      </c>
      <c r="H256" s="6" t="s">
        <v>145</v>
      </c>
      <c r="I256" s="6">
        <v>0</v>
      </c>
      <c r="J256" s="6">
        <v>0</v>
      </c>
      <c r="K256" s="6">
        <v>0</v>
      </c>
      <c r="L256" s="6">
        <v>0</v>
      </c>
      <c r="M256" s="6">
        <v>0</v>
      </c>
      <c r="N256" s="6">
        <v>0</v>
      </c>
      <c r="O256" s="4">
        <f t="shared" si="81"/>
        <v>0</v>
      </c>
      <c r="P256" s="5">
        <f>SUMIFS('Desenvolvimento diário'!$H:$H,'Desenvolvimento diário'!$Q:$Q,$B256,'Desenvolvimento diário'!$P:$P,$F256,'Desenvolvimento diário'!$R:$R,"Sim")</f>
        <v>0</v>
      </c>
      <c r="Q256" s="5">
        <f>SUMIFS('Desenvolvimento diário'!$H:$H,'Desenvolvimento diário'!$Q:$Q,$B256,'Desenvolvimento diário'!$P:$P,$F256,'Desenvolvimento diário'!$R:$R,"Não")</f>
        <v>0</v>
      </c>
      <c r="R256" s="4">
        <f t="shared" si="82"/>
        <v>0</v>
      </c>
      <c r="S256" s="4">
        <f t="shared" si="83"/>
        <v>0</v>
      </c>
      <c r="T256" s="12">
        <f t="shared" si="62"/>
        <v>0</v>
      </c>
      <c r="Y256" s="2"/>
      <c r="Z256" s="2"/>
      <c r="AA256" s="2"/>
      <c r="AB256" s="2"/>
      <c r="AC256" s="2"/>
    </row>
    <row r="257" spans="1:29" ht="10.5" hidden="1">
      <c r="A257" s="2">
        <f t="shared" si="84"/>
        <v>8</v>
      </c>
      <c r="B257" s="2" t="str">
        <f>VLOOKUP($A257,Controle!$B$4:$F$68,2,FALSE)</f>
        <v>Patos de Minas 3</v>
      </c>
      <c r="C257" s="2" t="str">
        <f>VLOOKUP($A257,Controle!$B$4:$F$68,3,FALSE)</f>
        <v xml:space="preserve">MORI GERACAO II </v>
      </c>
      <c r="D257" s="2" t="str">
        <f>VLOOKUP($A257,Controle!$B$4:$F$68,4,FALSE)</f>
        <v>Mori II</v>
      </c>
      <c r="E257" s="2">
        <f>VLOOKUP($A257,Controle!$B$4:$F$68,5,FALSE)</f>
        <v>2</v>
      </c>
      <c r="F257" s="3" t="str">
        <f>F222</f>
        <v>Desenvolvimento de projeto - Projetos - Executivos</v>
      </c>
      <c r="G257" s="2" t="str">
        <f>VLOOKUP($A257,Controle!$B$4:$G$68,6,FALSE)</f>
        <v>Mori</v>
      </c>
      <c r="H257" s="6" t="s">
        <v>146</v>
      </c>
      <c r="I257" s="6">
        <v>51350</v>
      </c>
      <c r="J257" s="6">
        <v>0</v>
      </c>
      <c r="K257" s="6">
        <v>0</v>
      </c>
      <c r="L257" s="6">
        <v>0</v>
      </c>
      <c r="M257" s="6">
        <v>0</v>
      </c>
      <c r="N257" s="6">
        <v>0</v>
      </c>
      <c r="O257" s="4">
        <f t="shared" si="81"/>
        <v>51350</v>
      </c>
      <c r="P257" s="5">
        <f>SUMIFS('Desenvolvimento diário'!$H:$H,'Desenvolvimento diário'!$Q:$Q,$B257,'Desenvolvimento diário'!$P:$P,$F257,'Desenvolvimento diário'!$R:$R,"Sim")</f>
        <v>0</v>
      </c>
      <c r="Q257" s="5">
        <f>SUMIFS('Desenvolvimento diário'!$H:$H,'Desenvolvimento diário'!$Q:$Q,$B257,'Desenvolvimento diário'!$P:$P,$F257,'Desenvolvimento diário'!$R:$R,"Não")</f>
        <v>51350</v>
      </c>
      <c r="R257" s="4">
        <f t="shared" si="82"/>
        <v>51350</v>
      </c>
      <c r="S257" s="4">
        <f t="shared" si="83"/>
        <v>0</v>
      </c>
      <c r="T257" s="12">
        <f t="shared" si="62"/>
        <v>1</v>
      </c>
      <c r="Y257" s="2"/>
      <c r="Z257" s="2"/>
      <c r="AA257" s="2"/>
      <c r="AB257" s="2"/>
      <c r="AC257" s="2"/>
    </row>
    <row r="258" spans="1:29" ht="10.5" hidden="1">
      <c r="A258" s="2">
        <f t="shared" si="84"/>
        <v>8</v>
      </c>
      <c r="B258" s="2" t="str">
        <f>VLOOKUP($A258,Controle!$B$4:$F$68,2,FALSE)</f>
        <v>Patos de Minas 3</v>
      </c>
      <c r="C258" s="2" t="str">
        <f>VLOOKUP($A258,Controle!$B$4:$F$68,3,FALSE)</f>
        <v xml:space="preserve">MORI GERACAO II </v>
      </c>
      <c r="D258" s="2" t="str">
        <f>VLOOKUP($A258,Controle!$B$4:$F$68,4,FALSE)</f>
        <v>Mori II</v>
      </c>
      <c r="E258" s="2">
        <f>VLOOKUP($A258,Controle!$B$4:$F$68,5,FALSE)</f>
        <v>2</v>
      </c>
      <c r="F258" s="3" t="str">
        <f>F223</f>
        <v>Desenvolvimento de projeto - Projetos Básica</v>
      </c>
      <c r="G258" s="2" t="str">
        <f>VLOOKUP($A258,Controle!$B$4:$G$68,6,FALSE)</f>
        <v>Mori</v>
      </c>
      <c r="H258" s="6" t="s">
        <v>147</v>
      </c>
      <c r="I258" s="6">
        <f>20000+15000</f>
        <v>35000</v>
      </c>
      <c r="J258" s="6">
        <v>4661.17</v>
      </c>
      <c r="K258" s="6">
        <v>0</v>
      </c>
      <c r="L258" s="6">
        <v>0</v>
      </c>
      <c r="M258" s="6">
        <v>0</v>
      </c>
      <c r="N258" s="6">
        <v>0</v>
      </c>
      <c r="O258" s="4">
        <f t="shared" si="81"/>
        <v>39661.17</v>
      </c>
      <c r="P258" s="5">
        <f>SUMIFS('Desenvolvimento diário'!$H:$H,'Desenvolvimento diário'!$Q:$Q,$B258,'Desenvolvimento diário'!$P:$P,$F258,'Desenvolvimento diário'!$R:$R,"Sim")</f>
        <v>0</v>
      </c>
      <c r="Q258" s="5">
        <f>SUMIFS('Desenvolvimento diário'!$H:$H,'Desenvolvimento diário'!$Q:$Q,$B258,'Desenvolvimento diário'!$P:$P,$F258,'Desenvolvimento diário'!$R:$R,"Não")</f>
        <v>39661.17</v>
      </c>
      <c r="R258" s="4">
        <f t="shared" si="82"/>
        <v>39661.17</v>
      </c>
      <c r="S258" s="4">
        <f t="shared" si="83"/>
        <v>0</v>
      </c>
      <c r="T258" s="12">
        <f t="shared" si="62"/>
        <v>1</v>
      </c>
      <c r="Y258" s="2"/>
      <c r="Z258" s="2"/>
      <c r="AA258" s="2"/>
      <c r="AB258" s="2"/>
      <c r="AC258" s="2"/>
    </row>
    <row r="259" spans="1:29" ht="10.5" hidden="1">
      <c r="A259" s="2">
        <f t="shared" si="84"/>
        <v>8</v>
      </c>
      <c r="B259" s="2" t="str">
        <f>VLOOKUP($A259,Controle!$B$4:$F$68,2,FALSE)</f>
        <v>Patos de Minas 3</v>
      </c>
      <c r="C259" s="2" t="str">
        <f>VLOOKUP($A259,Controle!$B$4:$F$68,3,FALSE)</f>
        <v xml:space="preserve">MORI GERACAO II </v>
      </c>
      <c r="D259" s="2" t="str">
        <f>VLOOKUP($A259,Controle!$B$4:$F$68,4,FALSE)</f>
        <v>Mori II</v>
      </c>
      <c r="E259" s="2">
        <f>VLOOKUP($A259,Controle!$B$4:$F$68,5,FALSE)</f>
        <v>2</v>
      </c>
      <c r="F259" s="3" t="str">
        <f>F224</f>
        <v>Desenvolvimento de projeto - Projetos Detalhada</v>
      </c>
      <c r="G259" s="2" t="str">
        <f>VLOOKUP($A259,Controle!$B$4:$G$68,6,FALSE)</f>
        <v>Mori</v>
      </c>
      <c r="H259" s="6">
        <v>0</v>
      </c>
      <c r="I259" s="6">
        <v>0</v>
      </c>
      <c r="J259" s="6">
        <v>0</v>
      </c>
      <c r="K259" s="6">
        <v>0</v>
      </c>
      <c r="L259" s="6">
        <v>0</v>
      </c>
      <c r="M259" s="6">
        <v>0</v>
      </c>
      <c r="N259" s="6">
        <v>0</v>
      </c>
      <c r="O259" s="4">
        <f t="shared" si="81"/>
        <v>0</v>
      </c>
      <c r="P259" s="5">
        <f>SUMIFS('Desenvolvimento diário'!$H:$H,'Desenvolvimento diário'!$Q:$Q,$B259,'Desenvolvimento diário'!$P:$P,$F259,'Desenvolvimento diário'!$R:$R,"Sim")</f>
        <v>0</v>
      </c>
      <c r="Q259" s="5">
        <f>SUMIFS('Desenvolvimento diário'!$H:$H,'Desenvolvimento diário'!$Q:$Q,$B259,'Desenvolvimento diário'!$P:$P,$F259,'Desenvolvimento diário'!$R:$R,"Não")</f>
        <v>0</v>
      </c>
      <c r="R259" s="4">
        <f t="shared" si="82"/>
        <v>0</v>
      </c>
      <c r="S259" s="27">
        <f t="shared" si="83"/>
        <v>0</v>
      </c>
      <c r="T259" s="12">
        <f t="shared" si="62"/>
        <v>0</v>
      </c>
      <c r="Y259" s="2"/>
      <c r="Z259" s="2"/>
      <c r="AA259" s="2"/>
      <c r="AB259" s="2"/>
      <c r="AC259" s="2"/>
    </row>
    <row r="260" spans="1:29" ht="10.5" hidden="1">
      <c r="A260" s="2">
        <f t="shared" si="84"/>
        <v>8</v>
      </c>
      <c r="B260" s="2" t="str">
        <f>VLOOKUP($A260,Controle!$B$4:$F$68,2,FALSE)</f>
        <v>Patos de Minas 3</v>
      </c>
      <c r="C260" s="2" t="str">
        <f>VLOOKUP($A260,Controle!$B$4:$F$68,3,FALSE)</f>
        <v xml:space="preserve">MORI GERACAO II </v>
      </c>
      <c r="D260" s="2" t="str">
        <f>VLOOKUP($A260,Controle!$B$4:$F$68,4,FALSE)</f>
        <v>Mori II</v>
      </c>
      <c r="E260" s="2">
        <f>VLOOKUP($A260,Controle!$B$4:$F$68,5,FALSE)</f>
        <v>2</v>
      </c>
      <c r="F260" s="3" t="str">
        <f>F225</f>
        <v>Desenvolvimento de projeto - Ambiental / Outros</v>
      </c>
      <c r="G260" s="2" t="str">
        <f>VLOOKUP($A260,Controle!$B$4:$G$68,6,FALSE)</f>
        <v>Mori</v>
      </c>
      <c r="H260" s="6" t="s">
        <v>148</v>
      </c>
      <c r="I260" s="6">
        <f>R260</f>
        <v>187281.85000000003</v>
      </c>
      <c r="J260" s="6">
        <v>0</v>
      </c>
      <c r="K260" s="6">
        <v>0</v>
      </c>
      <c r="L260" s="6">
        <v>0</v>
      </c>
      <c r="M260" s="6">
        <v>0</v>
      </c>
      <c r="N260" s="6">
        <v>0</v>
      </c>
      <c r="O260" s="4">
        <f t="shared" si="81"/>
        <v>187281.85000000003</v>
      </c>
      <c r="P260" s="5">
        <f>SUMIFS('Desenvolvimento diário'!$H:$H,'Desenvolvimento diário'!$Q:$Q,$B260,'Desenvolvimento diário'!$P:$P,$F260,'Desenvolvimento diário'!$R:$R,"Sim")</f>
        <v>0</v>
      </c>
      <c r="Q260" s="5">
        <f>SUMIFS('Desenvolvimento diário'!$H:$H,'Desenvolvimento diário'!$Q:$Q,$B260,'Desenvolvimento diário'!$P:$P,$F260,'Desenvolvimento diário'!$R:$R,"Não")</f>
        <v>187281.85000000003</v>
      </c>
      <c r="R260" s="4">
        <f t="shared" si="82"/>
        <v>187281.85000000003</v>
      </c>
      <c r="S260" s="4">
        <f t="shared" si="83"/>
        <v>0</v>
      </c>
      <c r="T260" s="12">
        <f t="shared" si="62"/>
        <v>1</v>
      </c>
      <c r="Y260" s="2"/>
      <c r="Z260" s="2"/>
      <c r="AA260" s="2"/>
      <c r="AB260" s="2"/>
      <c r="AC260" s="2"/>
    </row>
    <row r="261" spans="1:29" hidden="1">
      <c r="A261" s="2">
        <f t="shared" si="84"/>
        <v>8</v>
      </c>
      <c r="B261" s="2" t="str">
        <f>VLOOKUP($A261,Controle!$B$4:$F$68,2,FALSE)</f>
        <v>Patos de Minas 3</v>
      </c>
      <c r="C261" s="2" t="str">
        <f>VLOOKUP($A261,Controle!$B$4:$F$68,3,FALSE)</f>
        <v xml:space="preserve">MORI GERACAO II </v>
      </c>
      <c r="D261" s="2" t="str">
        <f>VLOOKUP($A261,Controle!$B$4:$F$68,4,FALSE)</f>
        <v>Mori II</v>
      </c>
      <c r="E261" s="2">
        <f>VLOOKUP($A261,Controle!$B$4:$F$68,5,FALSE)</f>
        <v>2</v>
      </c>
      <c r="F261" s="3" t="str">
        <f>F226</f>
        <v>Desenvolvimento de projeto - Coordenograma</v>
      </c>
      <c r="G261" s="2" t="str">
        <f>VLOOKUP($A261,Controle!$B$4:$G$68,6,FALSE)</f>
        <v>Mori</v>
      </c>
      <c r="H261" s="31" t="s">
        <v>149</v>
      </c>
      <c r="I261" s="31">
        <v>6206.9</v>
      </c>
      <c r="J261" s="31">
        <v>2281.25</v>
      </c>
      <c r="K261" s="31">
        <v>6206.9</v>
      </c>
      <c r="L261" s="6">
        <v>0</v>
      </c>
      <c r="M261" s="6">
        <v>0</v>
      </c>
      <c r="N261" s="6">
        <v>0</v>
      </c>
      <c r="O261" s="4">
        <f t="shared" si="81"/>
        <v>14695.05</v>
      </c>
      <c r="P261" s="5">
        <f>SUMIFS('Desenvolvimento diário'!$H:$H,'Desenvolvimento diário'!$Q:$Q,$B261,'Desenvolvimento diário'!$P:$P,$F261,'Desenvolvimento diário'!$R:$R,"Sim")</f>
        <v>0</v>
      </c>
      <c r="Q261" s="5">
        <f>SUMIFS('Desenvolvimento diário'!$H:$H,'Desenvolvimento diário'!$Q:$Q,$B261,'Desenvolvimento diário'!$P:$P,$F261,'Desenvolvimento diário'!$R:$R,"Não")</f>
        <v>14695.05</v>
      </c>
      <c r="R261" s="4">
        <f t="shared" si="82"/>
        <v>14695.05</v>
      </c>
      <c r="S261" s="4">
        <f t="shared" si="83"/>
        <v>0</v>
      </c>
      <c r="T261" s="12">
        <f t="shared" si="62"/>
        <v>1</v>
      </c>
      <c r="Y261" s="2"/>
      <c r="Z261" s="2"/>
      <c r="AA261" s="2"/>
      <c r="AB261" s="2"/>
      <c r="AC261" s="2"/>
    </row>
    <row r="262" spans="1:29" ht="10.5" hidden="1">
      <c r="A262" s="2">
        <f t="shared" si="84"/>
        <v>8</v>
      </c>
      <c r="B262" s="2" t="str">
        <f>VLOOKUP($A262,Controle!$B$4:$F$68,2,FALSE)</f>
        <v>Patos de Minas 3</v>
      </c>
      <c r="C262" s="2" t="str">
        <f>VLOOKUP($A262,Controle!$B$4:$F$68,3,FALSE)</f>
        <v xml:space="preserve">MORI GERACAO II </v>
      </c>
      <c r="D262" s="2" t="str">
        <f>VLOOKUP($A262,Controle!$B$4:$F$68,4,FALSE)</f>
        <v>Mori II</v>
      </c>
      <c r="E262" s="2">
        <f>VLOOKUP($A262,Controle!$B$4:$F$68,5,FALSE)</f>
        <v>2</v>
      </c>
      <c r="F262" s="3" t="str">
        <f>F227</f>
        <v>Sistemas de Monitoramento - Supervisório</v>
      </c>
      <c r="G262" s="2" t="str">
        <f>VLOOKUP($A262,Controle!$B$4:$G$68,6,FALSE)</f>
        <v>Mori</v>
      </c>
      <c r="H262" s="6" t="s">
        <v>150</v>
      </c>
      <c r="I262" s="6">
        <v>136155</v>
      </c>
      <c r="J262" s="6"/>
      <c r="K262" s="6">
        <v>0</v>
      </c>
      <c r="L262" s="6">
        <v>0</v>
      </c>
      <c r="M262" s="6">
        <v>0</v>
      </c>
      <c r="N262" s="6">
        <v>0</v>
      </c>
      <c r="O262" s="4">
        <f t="shared" si="81"/>
        <v>136155</v>
      </c>
      <c r="P262" s="5">
        <f>SUMIFS('Desenvolvimento diário'!$H:$H,'Desenvolvimento diário'!$Q:$Q,$B262,'Desenvolvimento diário'!$P:$P,$F262,'Desenvolvimento diário'!$R:$R,"Sim")</f>
        <v>5821.02</v>
      </c>
      <c r="Q262" s="5">
        <f>SUMIFS('Desenvolvimento diário'!$H:$H,'Desenvolvimento diário'!$Q:$Q,$B262,'Desenvolvimento diário'!$P:$P,$F262,'Desenvolvimento diário'!$R:$R,"Não")</f>
        <v>130333.98000000001</v>
      </c>
      <c r="R262" s="4">
        <f t="shared" si="82"/>
        <v>136155</v>
      </c>
      <c r="S262" s="4">
        <f t="shared" si="83"/>
        <v>0</v>
      </c>
      <c r="T262" s="12">
        <f t="shared" si="62"/>
        <v>1</v>
      </c>
      <c r="Y262" s="2"/>
      <c r="Z262" s="2"/>
      <c r="AA262" s="2"/>
      <c r="AB262" s="2"/>
      <c r="AC262" s="2"/>
    </row>
    <row r="263" spans="1:29" ht="10.5" hidden="1">
      <c r="A263" s="2">
        <f t="shared" si="84"/>
        <v>8</v>
      </c>
      <c r="B263" s="2" t="str">
        <f>VLOOKUP($A263,Controle!$B$4:$F$68,2,FALSE)</f>
        <v>Patos de Minas 3</v>
      </c>
      <c r="C263" s="2" t="str">
        <f>VLOOKUP($A263,Controle!$B$4:$F$68,3,FALSE)</f>
        <v xml:space="preserve">MORI GERACAO II </v>
      </c>
      <c r="D263" s="2" t="str">
        <f>VLOOKUP($A263,Controle!$B$4:$F$68,4,FALSE)</f>
        <v>Mori II</v>
      </c>
      <c r="E263" s="2">
        <f>VLOOKUP($A263,Controle!$B$4:$F$68,5,FALSE)</f>
        <v>2</v>
      </c>
      <c r="F263" s="3" t="str">
        <f>F228</f>
        <v>Sistemas de Monitoramento - Estações Solarimétricas</v>
      </c>
      <c r="G263" s="2" t="str">
        <f>VLOOKUP($A263,Controle!$B$4:$G$68,6,FALSE)</f>
        <v>Mori</v>
      </c>
      <c r="H263" s="6" t="s">
        <v>151</v>
      </c>
      <c r="I263" s="6">
        <v>48276.516000000003</v>
      </c>
      <c r="J263" s="6">
        <v>0</v>
      </c>
      <c r="K263" s="6">
        <v>0</v>
      </c>
      <c r="L263" s="6">
        <v>0</v>
      </c>
      <c r="M263" s="6">
        <v>0</v>
      </c>
      <c r="N263" s="6">
        <v>0</v>
      </c>
      <c r="O263" s="4">
        <f t="shared" si="81"/>
        <v>48276.516000000003</v>
      </c>
      <c r="P263" s="5">
        <f>SUMIFS('Desenvolvimento diário'!$H:$H,'Desenvolvimento diário'!$Q:$Q,$B263,'Desenvolvimento diário'!$P:$P,$F263,'Desenvolvimento diário'!$R:$R,"Sim")</f>
        <v>0</v>
      </c>
      <c r="Q263" s="5">
        <f>SUMIFS('Desenvolvimento diário'!$H:$H,'Desenvolvimento diário'!$Q:$Q,$B263,'Desenvolvimento diário'!$P:$P,$F263,'Desenvolvimento diário'!$R:$R,"Não")</f>
        <v>48276.516000000003</v>
      </c>
      <c r="R263" s="4">
        <f t="shared" si="82"/>
        <v>48276.516000000003</v>
      </c>
      <c r="S263" s="4">
        <f t="shared" si="83"/>
        <v>0</v>
      </c>
      <c r="T263" s="12">
        <f t="shared" si="62"/>
        <v>1</v>
      </c>
      <c r="Y263" s="2"/>
      <c r="Z263" s="2"/>
      <c r="AA263" s="2"/>
      <c r="AB263" s="2"/>
      <c r="AC263" s="2"/>
    </row>
    <row r="264" spans="1:29" hidden="1">
      <c r="A264" s="2">
        <f t="shared" si="84"/>
        <v>8</v>
      </c>
      <c r="B264" s="2" t="str">
        <f>VLOOKUP($A264,Controle!$B$4:$F$68,2,FALSE)</f>
        <v>Patos de Minas 3</v>
      </c>
      <c r="C264" s="2" t="str">
        <f>VLOOKUP($A264,Controle!$B$4:$F$68,3,FALSE)</f>
        <v xml:space="preserve">MORI GERACAO II </v>
      </c>
      <c r="D264" s="2" t="str">
        <f>VLOOKUP($A264,Controle!$B$4:$F$68,4,FALSE)</f>
        <v>Mori II</v>
      </c>
      <c r="E264" s="2">
        <f>VLOOKUP($A264,Controle!$B$4:$F$68,5,FALSE)</f>
        <v>2</v>
      </c>
      <c r="F264" s="3" t="str">
        <f>F229</f>
        <v>Sistemas de Monitoramento - CFTV</v>
      </c>
      <c r="G264" s="2" t="str">
        <f>VLOOKUP($A264,Controle!$B$4:$G$68,6,FALSE)</f>
        <v>Mori</v>
      </c>
      <c r="H264" s="31" t="s">
        <v>152</v>
      </c>
      <c r="I264" s="6">
        <v>289678.39</v>
      </c>
      <c r="J264" s="28">
        <v>7884.2</v>
      </c>
      <c r="K264" s="6">
        <v>0</v>
      </c>
      <c r="L264" s="6">
        <v>0</v>
      </c>
      <c r="M264" s="6">
        <v>0</v>
      </c>
      <c r="N264" s="6">
        <v>0</v>
      </c>
      <c r="O264" s="4">
        <f t="shared" si="81"/>
        <v>297562.59000000003</v>
      </c>
      <c r="P264" s="5">
        <f>SUMIFS('Desenvolvimento diário'!$H:$H,'Desenvolvimento diário'!$Q:$Q,$B264,'Desenvolvimento diário'!$P:$P,$F264,'Desenvolvimento diário'!$R:$R,"Sim")</f>
        <v>10623.79</v>
      </c>
      <c r="Q264" s="5">
        <f>SUMIFS('Desenvolvimento diário'!$H:$H,'Desenvolvimento diário'!$Q:$Q,$B264,'Desenvolvimento diário'!$P:$P,$F264,'Desenvolvimento diário'!$R:$R,"Não")</f>
        <v>286938.8</v>
      </c>
      <c r="R264" s="4">
        <f t="shared" si="82"/>
        <v>297562.58999999997</v>
      </c>
      <c r="S264" s="4">
        <f t="shared" si="83"/>
        <v>0</v>
      </c>
      <c r="T264" s="12">
        <f t="shared" si="62"/>
        <v>0.99999999999999978</v>
      </c>
      <c r="Y264" s="2"/>
      <c r="Z264" s="2"/>
      <c r="AA264" s="2"/>
      <c r="AB264" s="2"/>
      <c r="AC264" s="2"/>
    </row>
    <row r="265" spans="1:29" ht="10.5" hidden="1">
      <c r="A265" s="2">
        <f t="shared" si="84"/>
        <v>8</v>
      </c>
      <c r="B265" s="2" t="str">
        <f>VLOOKUP($A265,Controle!$B$4:$F$68,2,FALSE)</f>
        <v>Patos de Minas 3</v>
      </c>
      <c r="C265" s="2" t="str">
        <f>VLOOKUP($A265,Controle!$B$4:$F$68,3,FALSE)</f>
        <v xml:space="preserve">MORI GERACAO II </v>
      </c>
      <c r="D265" s="2" t="str">
        <f>VLOOKUP($A265,Controle!$B$4:$F$68,4,FALSE)</f>
        <v>Mori II</v>
      </c>
      <c r="E265" s="2">
        <f>VLOOKUP($A265,Controle!$B$4:$F$68,5,FALSE)</f>
        <v>2</v>
      </c>
      <c r="F265" s="3" t="str">
        <f>F230</f>
        <v>Serviços Auxiliares - Drenagem</v>
      </c>
      <c r="G265" s="2" t="str">
        <f>VLOOKUP($A265,Controle!$B$4:$G$68,6,FALSE)</f>
        <v>Mori</v>
      </c>
      <c r="H265" s="6" t="s">
        <v>188</v>
      </c>
      <c r="I265" s="6">
        <v>768581.08</v>
      </c>
      <c r="J265" s="6">
        <v>148750</v>
      </c>
      <c r="K265" s="6">
        <v>0</v>
      </c>
      <c r="L265" s="6">
        <v>0</v>
      </c>
      <c r="M265" s="6">
        <v>0</v>
      </c>
      <c r="N265" s="6">
        <v>0</v>
      </c>
      <c r="O265" s="4">
        <f t="shared" si="81"/>
        <v>917331.08</v>
      </c>
      <c r="P265" s="5">
        <f>SUMIFS('Desenvolvimento diário'!$H:$H,'Desenvolvimento diário'!$Q:$Q,$B265,'Desenvolvimento diário'!$P:$P,$F265,'Desenvolvimento diário'!$R:$R,"Sim")</f>
        <v>0</v>
      </c>
      <c r="Q265" s="5">
        <f>SUMIFS('Desenvolvimento diário'!$H:$H,'Desenvolvimento diário'!$Q:$Q,$B265,'Desenvolvimento diário'!$P:$P,$F265,'Desenvolvimento diário'!$R:$R,"Não")</f>
        <v>917331.08</v>
      </c>
      <c r="R265" s="4">
        <f t="shared" si="82"/>
        <v>917331.08</v>
      </c>
      <c r="S265" s="4">
        <f t="shared" si="83"/>
        <v>0</v>
      </c>
      <c r="T265" s="12">
        <f t="shared" si="62"/>
        <v>1</v>
      </c>
      <c r="Y265" s="2"/>
      <c r="Z265" s="2"/>
      <c r="AA265" s="2"/>
      <c r="AB265" s="2"/>
      <c r="AC265" s="2"/>
    </row>
    <row r="266" spans="1:29" ht="10.5" hidden="1">
      <c r="A266" s="2">
        <f t="shared" si="84"/>
        <v>8</v>
      </c>
      <c r="B266" s="2" t="str">
        <f>VLOOKUP($A266,Controle!$B$4:$F$68,2,FALSE)</f>
        <v>Patos de Minas 3</v>
      </c>
      <c r="C266" s="2" t="str">
        <f>VLOOKUP($A266,Controle!$B$4:$F$68,3,FALSE)</f>
        <v xml:space="preserve">MORI GERACAO II </v>
      </c>
      <c r="D266" s="2" t="str">
        <f>VLOOKUP($A266,Controle!$B$4:$F$68,4,FALSE)</f>
        <v>Mori II</v>
      </c>
      <c r="E266" s="2">
        <f>VLOOKUP($A266,Controle!$B$4:$F$68,5,FALSE)</f>
        <v>2</v>
      </c>
      <c r="F266" s="3" t="str">
        <f>F231</f>
        <v>Serviços Auxiliares - Terraplanagem</v>
      </c>
      <c r="G266" s="2" t="str">
        <f>VLOOKUP($A266,Controle!$B$4:$G$68,6,FALSE)</f>
        <v>Mori</v>
      </c>
      <c r="H266" s="28" t="s">
        <v>180</v>
      </c>
      <c r="I266" s="6">
        <v>0</v>
      </c>
      <c r="J266" s="6">
        <v>0</v>
      </c>
      <c r="K266" s="6">
        <v>0</v>
      </c>
      <c r="L266" s="6">
        <v>0</v>
      </c>
      <c r="M266" s="6">
        <v>0</v>
      </c>
      <c r="N266" s="6">
        <v>0</v>
      </c>
      <c r="O266" s="4">
        <f t="shared" si="81"/>
        <v>0</v>
      </c>
      <c r="P266" s="5">
        <f>SUMIFS('Desenvolvimento diário'!$H:$H,'Desenvolvimento diário'!$Q:$Q,$B266,'Desenvolvimento diário'!$P:$P,$F266,'Desenvolvimento diário'!$R:$R,"Sim")</f>
        <v>0</v>
      </c>
      <c r="Q266" s="5">
        <f>SUMIFS('Desenvolvimento diário'!$H:$H,'Desenvolvimento diário'!$Q:$Q,$B266,'Desenvolvimento diário'!$P:$P,$F266,'Desenvolvimento diário'!$R:$R,"Não")</f>
        <v>0</v>
      </c>
      <c r="R266" s="4">
        <f t="shared" si="82"/>
        <v>0</v>
      </c>
      <c r="S266" s="4">
        <f t="shared" si="83"/>
        <v>0</v>
      </c>
      <c r="T266" s="12">
        <f t="shared" si="62"/>
        <v>0</v>
      </c>
      <c r="Y266" s="2"/>
      <c r="Z266" s="2"/>
      <c r="AA266" s="2"/>
      <c r="AB266" s="2"/>
      <c r="AC266" s="2"/>
    </row>
    <row r="267" spans="1:29" ht="10.5" hidden="1">
      <c r="A267" s="2">
        <f t="shared" si="84"/>
        <v>8</v>
      </c>
      <c r="B267" s="2" t="str">
        <f>VLOOKUP($A267,Controle!$B$4:$F$68,2,FALSE)</f>
        <v>Patos de Minas 3</v>
      </c>
      <c r="C267" s="2" t="str">
        <f>VLOOKUP($A267,Controle!$B$4:$F$68,3,FALSE)</f>
        <v xml:space="preserve">MORI GERACAO II </v>
      </c>
      <c r="D267" s="2" t="str">
        <f>VLOOKUP($A267,Controle!$B$4:$F$68,4,FALSE)</f>
        <v>Mori II</v>
      </c>
      <c r="E267" s="2">
        <f>VLOOKUP($A267,Controle!$B$4:$F$68,5,FALSE)</f>
        <v>2</v>
      </c>
      <c r="F267" s="3" t="str">
        <f>F232</f>
        <v>Serviços Auxiliares - Supressão Vegetal</v>
      </c>
      <c r="G267" s="2" t="str">
        <f>VLOOKUP($A267,Controle!$B$4:$G$68,6,FALSE)</f>
        <v>Mori</v>
      </c>
      <c r="H267" s="6">
        <v>0</v>
      </c>
      <c r="I267" s="6">
        <v>0</v>
      </c>
      <c r="J267" s="6">
        <v>0</v>
      </c>
      <c r="K267" s="6">
        <v>0</v>
      </c>
      <c r="L267" s="6">
        <v>0</v>
      </c>
      <c r="M267" s="6">
        <v>0</v>
      </c>
      <c r="N267" s="6">
        <v>0</v>
      </c>
      <c r="O267" s="4">
        <f t="shared" si="81"/>
        <v>0</v>
      </c>
      <c r="P267" s="5">
        <f>SUMIFS('Desenvolvimento diário'!$H:$H,'Desenvolvimento diário'!$Q:$Q,$B267,'Desenvolvimento diário'!$P:$P,$F267,'Desenvolvimento diário'!$R:$R,"Sim")</f>
        <v>0</v>
      </c>
      <c r="Q267" s="5">
        <f>SUMIFS('Desenvolvimento diário'!$H:$H,'Desenvolvimento diário'!$Q:$Q,$B267,'Desenvolvimento diário'!$P:$P,$F267,'Desenvolvimento diário'!$R:$R,"Não")</f>
        <v>0</v>
      </c>
      <c r="R267" s="4">
        <f t="shared" si="82"/>
        <v>0</v>
      </c>
      <c r="S267" s="4">
        <f t="shared" si="83"/>
        <v>0</v>
      </c>
      <c r="T267" s="12">
        <f t="shared" si="62"/>
        <v>0</v>
      </c>
      <c r="Y267" s="2"/>
      <c r="Z267" s="2"/>
      <c r="AA267" s="2"/>
      <c r="AB267" s="2"/>
      <c r="AC267" s="2"/>
    </row>
    <row r="268" spans="1:29" ht="10.5" hidden="1">
      <c r="A268" s="2">
        <f t="shared" si="84"/>
        <v>8</v>
      </c>
      <c r="B268" s="2" t="str">
        <f>VLOOKUP($A268,Controle!$B$4:$F$68,2,FALSE)</f>
        <v>Patos de Minas 3</v>
      </c>
      <c r="C268" s="2" t="str">
        <f>VLOOKUP($A268,Controle!$B$4:$F$68,3,FALSE)</f>
        <v xml:space="preserve">MORI GERACAO II </v>
      </c>
      <c r="D268" s="2" t="str">
        <f>VLOOKUP($A268,Controle!$B$4:$F$68,4,FALSE)</f>
        <v>Mori II</v>
      </c>
      <c r="E268" s="2">
        <f>VLOOKUP($A268,Controle!$B$4:$F$68,5,FALSE)</f>
        <v>2</v>
      </c>
      <c r="F268" s="3" t="str">
        <f>F233</f>
        <v>RDR-Rede de Distribuição Rural</v>
      </c>
      <c r="G268" s="2" t="str">
        <f>VLOOKUP($A268,Controle!$B$4:$G$68,6,FALSE)</f>
        <v>Mori</v>
      </c>
      <c r="H268" s="6">
        <v>0</v>
      </c>
      <c r="I268" s="6">
        <v>0</v>
      </c>
      <c r="J268" s="6">
        <v>0</v>
      </c>
      <c r="K268" s="6">
        <v>0</v>
      </c>
      <c r="L268" s="6">
        <v>0</v>
      </c>
      <c r="M268" s="6">
        <v>0</v>
      </c>
      <c r="N268" s="6">
        <v>0</v>
      </c>
      <c r="O268" s="4">
        <f t="shared" si="81"/>
        <v>0</v>
      </c>
      <c r="P268" s="5">
        <f>SUMIFS('Desenvolvimento diário'!$H:$H,'Desenvolvimento diário'!$Q:$Q,$B268,'Desenvolvimento diário'!$P:$P,$F268,'Desenvolvimento diário'!$R:$R,"Sim")</f>
        <v>0</v>
      </c>
      <c r="Q268" s="5">
        <f>SUMIFS('Desenvolvimento diário'!$H:$H,'Desenvolvimento diário'!$Q:$Q,$B268,'Desenvolvimento diário'!$P:$P,$F268,'Desenvolvimento diário'!$R:$R,"Não")</f>
        <v>0</v>
      </c>
      <c r="R268" s="4">
        <f t="shared" si="82"/>
        <v>0</v>
      </c>
      <c r="S268" s="4">
        <f t="shared" si="83"/>
        <v>0</v>
      </c>
      <c r="T268" s="12">
        <f t="shared" si="62"/>
        <v>0</v>
      </c>
      <c r="Y268" s="2"/>
      <c r="Z268" s="2"/>
      <c r="AA268" s="2"/>
      <c r="AB268" s="2"/>
      <c r="AC268" s="2"/>
    </row>
    <row r="269" spans="1:29" ht="10.5" hidden="1">
      <c r="A269" s="2">
        <f t="shared" si="84"/>
        <v>8</v>
      </c>
      <c r="B269" s="2" t="str">
        <f>VLOOKUP($A269,Controle!$B$4:$F$68,2,FALSE)</f>
        <v>Patos de Minas 3</v>
      </c>
      <c r="C269" s="2" t="str">
        <f>VLOOKUP($A269,Controle!$B$4:$F$68,3,FALSE)</f>
        <v xml:space="preserve">MORI GERACAO II </v>
      </c>
      <c r="D269" s="2" t="str">
        <f>VLOOKUP($A269,Controle!$B$4:$F$68,4,FALSE)</f>
        <v>Mori II</v>
      </c>
      <c r="E269" s="2">
        <f>VLOOKUP($A269,Controle!$B$4:$F$68,5,FALSE)</f>
        <v>2</v>
      </c>
      <c r="F269" s="3" t="str">
        <f>F234</f>
        <v>Escopo COMERC</v>
      </c>
      <c r="G269" s="2" t="str">
        <f>VLOOKUP($A269,Controle!$B$4:$G$68,6,FALSE)</f>
        <v>Mori</v>
      </c>
      <c r="H269" s="6">
        <v>0</v>
      </c>
      <c r="I269" s="6">
        <v>187809.78</v>
      </c>
      <c r="J269" s="29">
        <v>39500</v>
      </c>
      <c r="K269" s="29"/>
      <c r="L269" s="6">
        <v>0</v>
      </c>
      <c r="M269" s="6">
        <v>0</v>
      </c>
      <c r="N269" s="6">
        <v>0</v>
      </c>
      <c r="O269" s="4">
        <f t="shared" si="81"/>
        <v>227309.78</v>
      </c>
      <c r="P269" s="5">
        <f>SUMIFS('Desenvolvimento diário'!$H:$H,'Desenvolvimento diário'!$Q:$Q,$B269,'Desenvolvimento diário'!$P:$P,$F269,'Desenvolvimento diário'!$R:$R,"Sim")</f>
        <v>0</v>
      </c>
      <c r="Q269" s="5">
        <f>SUMIFS('Desenvolvimento diário'!$H:$H,'Desenvolvimento diário'!$Q:$Q,$B269,'Desenvolvimento diário'!$P:$P,$F269,'Desenvolvimento diário'!$R:$R,"Não")</f>
        <v>188808.56</v>
      </c>
      <c r="R269" s="4">
        <f t="shared" si="82"/>
        <v>188808.56</v>
      </c>
      <c r="S269" s="1010">
        <f t="shared" si="83"/>
        <v>38501.22</v>
      </c>
      <c r="T269" s="12">
        <f t="shared" si="62"/>
        <v>0.83062224599399115</v>
      </c>
      <c r="U269" s="1011" t="s">
        <v>166</v>
      </c>
      <c r="V269" s="1011" t="s">
        <v>167</v>
      </c>
      <c r="Y269" s="2"/>
      <c r="Z269" s="2"/>
      <c r="AA269" s="2"/>
      <c r="AB269" s="2"/>
      <c r="AC269" s="2"/>
    </row>
    <row r="270" spans="1:29" ht="10.5" hidden="1">
      <c r="A270" s="2">
        <f t="shared" si="84"/>
        <v>8</v>
      </c>
      <c r="B270" s="2" t="str">
        <f>VLOOKUP($A270,Controle!$B$4:$F$68,2,FALSE)</f>
        <v>Patos de Minas 3</v>
      </c>
      <c r="C270" s="2" t="str">
        <f>VLOOKUP($A270,Controle!$B$4:$F$68,3,FALSE)</f>
        <v xml:space="preserve">MORI GERACAO II </v>
      </c>
      <c r="D270" s="2" t="str">
        <f>VLOOKUP($A270,Controle!$B$4:$F$68,4,FALSE)</f>
        <v>Mori II</v>
      </c>
      <c r="E270" s="2">
        <f>VLOOKUP($A270,Controle!$B$4:$F$68,5,FALSE)</f>
        <v>2</v>
      </c>
      <c r="F270" s="3" t="str">
        <f>F235</f>
        <v>Escopo COMERC - Segurança</v>
      </c>
      <c r="G270" s="2" t="str">
        <f>VLOOKUP($A270,Controle!$B$4:$G$68,6,FALSE)</f>
        <v>Mori</v>
      </c>
      <c r="H270" s="6">
        <v>0</v>
      </c>
      <c r="I270" s="6">
        <f t="shared" ref="I269:I270" si="85">R270</f>
        <v>210901.32999999993</v>
      </c>
      <c r="J270" s="6">
        <v>0</v>
      </c>
      <c r="K270" s="6">
        <v>0</v>
      </c>
      <c r="L270" s="6">
        <v>0</v>
      </c>
      <c r="M270" s="6">
        <v>0</v>
      </c>
      <c r="N270" s="6">
        <v>0</v>
      </c>
      <c r="O270" s="4">
        <f t="shared" si="81"/>
        <v>210901.32999999993</v>
      </c>
      <c r="P270" s="5">
        <f>SUMIFS('Desenvolvimento diário'!$H:$H,'Desenvolvimento diário'!$Q:$Q,$B270,'Desenvolvimento diário'!$P:$P,$F270,'Desenvolvimento diário'!$R:$R,"Sim")</f>
        <v>0</v>
      </c>
      <c r="Q270" s="5">
        <f>SUMIFS('Desenvolvimento diário'!$H:$H,'Desenvolvimento diário'!$Q:$Q,$B270,'Desenvolvimento diário'!$P:$P,$F270,'Desenvolvimento diário'!$R:$R,"Não")</f>
        <v>210901.32999999993</v>
      </c>
      <c r="R270" s="4">
        <f t="shared" si="82"/>
        <v>210901.32999999993</v>
      </c>
      <c r="S270" s="4">
        <f t="shared" si="83"/>
        <v>0</v>
      </c>
      <c r="T270" s="12">
        <f t="shared" si="62"/>
        <v>1</v>
      </c>
      <c r="Y270" s="2"/>
      <c r="Z270" s="2"/>
      <c r="AA270" s="2"/>
      <c r="AB270" s="2"/>
      <c r="AC270" s="2"/>
    </row>
    <row r="271" spans="1:29" ht="10.5" hidden="1">
      <c r="A271" s="2">
        <f t="shared" si="84"/>
        <v>8</v>
      </c>
      <c r="B271" s="2" t="str">
        <f>VLOOKUP($A271,Controle!$B$4:$F$68,2,FALSE)</f>
        <v>Patos de Minas 3</v>
      </c>
      <c r="C271" s="2" t="str">
        <f>VLOOKUP($A271,Controle!$B$4:$F$68,3,FALSE)</f>
        <v xml:space="preserve">MORI GERACAO II </v>
      </c>
      <c r="D271" s="2" t="str">
        <f>VLOOKUP($A271,Controle!$B$4:$F$68,4,FALSE)</f>
        <v>Mori II</v>
      </c>
      <c r="E271" s="2">
        <f>VLOOKUP($A271,Controle!$B$4:$F$68,5,FALSE)</f>
        <v>2</v>
      </c>
      <c r="F271" s="3" t="str">
        <f>F236</f>
        <v>Conexão MT - Obras Transferencia</v>
      </c>
      <c r="G271" s="2" t="str">
        <f>VLOOKUP($A271,Controle!$B$4:$G$68,6,FALSE)</f>
        <v>Mori</v>
      </c>
      <c r="H271" s="6">
        <v>0</v>
      </c>
      <c r="I271" s="6">
        <v>0</v>
      </c>
      <c r="J271" s="6">
        <v>0</v>
      </c>
      <c r="K271" s="6">
        <v>0</v>
      </c>
      <c r="L271" s="6">
        <v>0</v>
      </c>
      <c r="M271" s="6">
        <v>0</v>
      </c>
      <c r="N271" s="6">
        <v>0</v>
      </c>
      <c r="O271" s="4">
        <f t="shared" si="81"/>
        <v>0</v>
      </c>
      <c r="P271" s="5">
        <f>SUMIFS('Desenvolvimento diário'!$H:$H,'Desenvolvimento diário'!$Q:$Q,$B271,'Desenvolvimento diário'!$P:$P,$F271,'Desenvolvimento diário'!$R:$R,"Sim")</f>
        <v>0</v>
      </c>
      <c r="Q271" s="5">
        <f>SUMIFS('Desenvolvimento diário'!$H:$H,'Desenvolvimento diário'!$Q:$Q,$B271,'Desenvolvimento diário'!$P:$P,$F271,'Desenvolvimento diário'!$R:$R,"Não")</f>
        <v>0</v>
      </c>
      <c r="R271" s="4">
        <f t="shared" si="82"/>
        <v>0</v>
      </c>
      <c r="S271" s="4">
        <f t="shared" si="83"/>
        <v>0</v>
      </c>
      <c r="T271" s="12">
        <f t="shared" si="62"/>
        <v>0</v>
      </c>
      <c r="Y271" s="2"/>
      <c r="Z271" s="2"/>
      <c r="AA271" s="2"/>
      <c r="AB271" s="2"/>
      <c r="AC271" s="2"/>
    </row>
    <row r="272" spans="1:29" ht="10.5" hidden="1">
      <c r="A272" s="2">
        <f t="shared" si="84"/>
        <v>8</v>
      </c>
      <c r="B272" s="2" t="str">
        <f>VLOOKUP($A272,Controle!$B$4:$F$68,2,FALSE)</f>
        <v>Patos de Minas 3</v>
      </c>
      <c r="C272" s="2" t="str">
        <f>VLOOKUP($A272,Controle!$B$4:$F$68,3,FALSE)</f>
        <v xml:space="preserve">MORI GERACAO II </v>
      </c>
      <c r="D272" s="2" t="str">
        <f>VLOOKUP($A272,Controle!$B$4:$F$68,4,FALSE)</f>
        <v>Mori II</v>
      </c>
      <c r="E272" s="2">
        <f>VLOOKUP($A272,Controle!$B$4:$F$68,5,FALSE)</f>
        <v>2</v>
      </c>
      <c r="F272" s="3" t="str">
        <f>F237</f>
        <v>Bases de Contaniers</v>
      </c>
      <c r="G272" s="2" t="str">
        <f>VLOOKUP($A272,Controle!$B$4:$G$68,6,FALSE)</f>
        <v>Mori</v>
      </c>
      <c r="H272" s="6">
        <v>0</v>
      </c>
      <c r="I272" s="6">
        <v>0</v>
      </c>
      <c r="J272" s="6">
        <v>0</v>
      </c>
      <c r="K272" s="6">
        <v>0</v>
      </c>
      <c r="L272" s="6">
        <v>0</v>
      </c>
      <c r="M272" s="6">
        <v>0</v>
      </c>
      <c r="N272" s="6">
        <v>0</v>
      </c>
      <c r="O272" s="4">
        <f t="shared" si="81"/>
        <v>0</v>
      </c>
      <c r="P272" s="5">
        <f>SUMIFS('Desenvolvimento diário'!$H:$H,'Desenvolvimento diário'!$Q:$Q,$B272,'Desenvolvimento diário'!$P:$P,$F272,'Desenvolvimento diário'!$R:$R,"Sim")</f>
        <v>0</v>
      </c>
      <c r="Q272" s="5">
        <f>SUMIFS('Desenvolvimento diário'!$H:$H,'Desenvolvimento diário'!$Q:$Q,$B272,'Desenvolvimento diário'!$P:$P,$F272,'Desenvolvimento diário'!$R:$R,"Não")</f>
        <v>0</v>
      </c>
      <c r="R272" s="4">
        <f t="shared" si="82"/>
        <v>0</v>
      </c>
      <c r="S272" s="4">
        <f t="shared" si="83"/>
        <v>0</v>
      </c>
      <c r="T272" s="12">
        <f t="shared" si="62"/>
        <v>0</v>
      </c>
      <c r="Y272" s="2"/>
      <c r="Z272" s="2"/>
      <c r="AA272" s="2"/>
      <c r="AB272" s="2"/>
      <c r="AC272" s="2"/>
    </row>
    <row r="273" spans="1:29" ht="10.5" hidden="1">
      <c r="A273" s="2">
        <f t="shared" si="84"/>
        <v>8</v>
      </c>
      <c r="B273" s="2" t="str">
        <f>VLOOKUP($A273,Controle!$B$4:$F$68,2,FALSE)</f>
        <v>Patos de Minas 3</v>
      </c>
      <c r="C273" s="2" t="str">
        <f>VLOOKUP($A273,Controle!$B$4:$F$68,3,FALSE)</f>
        <v xml:space="preserve">MORI GERACAO II </v>
      </c>
      <c r="D273" s="2" t="str">
        <f>VLOOKUP($A273,Controle!$B$4:$F$68,4,FALSE)</f>
        <v>Mori II</v>
      </c>
      <c r="E273" s="2">
        <f>VLOOKUP($A273,Controle!$B$4:$F$68,5,FALSE)</f>
        <v>2</v>
      </c>
      <c r="F273" s="3" t="str">
        <f>F238</f>
        <v>Construção - Serviços de Construção - Ase Engenharia</v>
      </c>
      <c r="G273" s="2" t="str">
        <f>VLOOKUP($A273,Controle!$B$4:$G$68,6,FALSE)</f>
        <v>Mori</v>
      </c>
      <c r="H273" s="6">
        <v>0</v>
      </c>
      <c r="I273" s="6">
        <v>0</v>
      </c>
      <c r="J273" s="6">
        <v>0</v>
      </c>
      <c r="K273" s="6">
        <v>0</v>
      </c>
      <c r="L273" s="6">
        <v>0</v>
      </c>
      <c r="M273" s="6">
        <v>0</v>
      </c>
      <c r="N273" s="6">
        <v>0</v>
      </c>
      <c r="O273" s="4">
        <f t="shared" si="81"/>
        <v>0</v>
      </c>
      <c r="P273" s="5">
        <f>SUMIFS('Desenvolvimento diário'!$H:$H,'Desenvolvimento diário'!$Q:$Q,$B273,'Desenvolvimento diário'!$P:$P,$F273,'Desenvolvimento diário'!$R:$R,"Sim")</f>
        <v>0</v>
      </c>
      <c r="Q273" s="5">
        <f>SUMIFS('Desenvolvimento diário'!$H:$H,'Desenvolvimento diário'!$Q:$Q,$B273,'Desenvolvimento diário'!$P:$P,$F273,'Desenvolvimento diário'!$R:$R,"Não")</f>
        <v>0</v>
      </c>
      <c r="R273" s="4">
        <f t="shared" si="82"/>
        <v>0</v>
      </c>
      <c r="S273" s="4">
        <f t="shared" si="83"/>
        <v>0</v>
      </c>
      <c r="T273" s="12">
        <f t="shared" si="62"/>
        <v>0</v>
      </c>
      <c r="Y273" s="2"/>
      <c r="Z273" s="2"/>
      <c r="AA273" s="2"/>
      <c r="AB273" s="2"/>
      <c r="AC273" s="2"/>
    </row>
    <row r="274" spans="1:29" ht="10.5" hidden="1">
      <c r="A274" s="2">
        <f t="shared" si="84"/>
        <v>8</v>
      </c>
      <c r="B274" s="2" t="str">
        <f>VLOOKUP($A274,Controle!$B$4:$F$68,2,FALSE)</f>
        <v>Patos de Minas 3</v>
      </c>
      <c r="C274" s="2" t="str">
        <f>VLOOKUP($A274,Controle!$B$4:$F$68,3,FALSE)</f>
        <v xml:space="preserve">MORI GERACAO II </v>
      </c>
      <c r="D274" s="2" t="str">
        <f>VLOOKUP($A274,Controle!$B$4:$F$68,4,FALSE)</f>
        <v>Mori II</v>
      </c>
      <c r="E274" s="2">
        <f>VLOOKUP($A274,Controle!$B$4:$F$68,5,FALSE)</f>
        <v>2</v>
      </c>
      <c r="F274" s="3" t="str">
        <f>F239</f>
        <v>Full EPC - Contrato Sobressalentes</v>
      </c>
      <c r="G274" s="2" t="str">
        <f>VLOOKUP($A274,Controle!$B$4:$G$68,6,FALSE)</f>
        <v>Mori</v>
      </c>
      <c r="H274" s="6">
        <v>0</v>
      </c>
      <c r="I274" s="6">
        <v>0</v>
      </c>
      <c r="J274" s="6">
        <v>0</v>
      </c>
      <c r="K274" s="6">
        <v>0</v>
      </c>
      <c r="L274" s="6">
        <v>0</v>
      </c>
      <c r="M274" s="6">
        <v>0</v>
      </c>
      <c r="N274" s="6">
        <v>0</v>
      </c>
      <c r="O274" s="4">
        <f t="shared" si="81"/>
        <v>0</v>
      </c>
      <c r="P274" s="5">
        <f>SUMIFS('Desenvolvimento diário'!$H:$H,'Desenvolvimento diário'!$Q:$Q,$B274,'Desenvolvimento diário'!$P:$P,$F274,'Desenvolvimento diário'!$R:$R,"Sim")</f>
        <v>0</v>
      </c>
      <c r="Q274" s="5">
        <f>SUMIFS('Desenvolvimento diário'!$H:$H,'Desenvolvimento diário'!$Q:$Q,$B274,'Desenvolvimento diário'!$P:$P,$F274,'Desenvolvimento diário'!$R:$R,"Não")</f>
        <v>0</v>
      </c>
      <c r="R274" s="4">
        <f t="shared" si="82"/>
        <v>0</v>
      </c>
      <c r="S274" s="4">
        <f t="shared" si="83"/>
        <v>0</v>
      </c>
      <c r="T274" s="12">
        <f t="shared" ref="T274:T341" si="86">IFERROR(R274/O274,0)</f>
        <v>0</v>
      </c>
      <c r="Y274" s="2"/>
      <c r="Z274" s="2"/>
      <c r="AA274" s="2"/>
      <c r="AB274" s="2"/>
      <c r="AC274" s="2"/>
    </row>
    <row r="275" spans="1:29" ht="10.5" hidden="1">
      <c r="A275" s="2">
        <f t="shared" si="84"/>
        <v>8</v>
      </c>
      <c r="B275" s="2" t="str">
        <f>VLOOKUP($A275,Controle!$B$4:$F$68,2,FALSE)</f>
        <v>Patos de Minas 3</v>
      </c>
      <c r="C275" s="2" t="str">
        <f>VLOOKUP($A275,Controle!$B$4:$F$68,3,FALSE)</f>
        <v xml:space="preserve">MORI GERACAO II </v>
      </c>
      <c r="D275" s="2" t="str">
        <f>VLOOKUP($A275,Controle!$B$4:$F$68,4,FALSE)</f>
        <v>Mori II</v>
      </c>
      <c r="E275" s="2">
        <f>VLOOKUP($A275,Controle!$B$4:$F$68,5,FALSE)</f>
        <v>2</v>
      </c>
      <c r="F275" s="3" t="str">
        <f>F240</f>
        <v>Construção - Serviços de Construção - NOVA MORADA</v>
      </c>
      <c r="G275" s="2" t="str">
        <f>VLOOKUP($A275,Controle!$B$4:$G$68,6,FALSE)</f>
        <v>Mori</v>
      </c>
      <c r="H275" s="6">
        <v>0</v>
      </c>
      <c r="I275" s="6">
        <v>0</v>
      </c>
      <c r="J275" s="6">
        <v>0</v>
      </c>
      <c r="K275" s="6">
        <v>0</v>
      </c>
      <c r="L275" s="6">
        <v>0</v>
      </c>
      <c r="M275" s="6">
        <v>0</v>
      </c>
      <c r="N275" s="6">
        <v>0</v>
      </c>
      <c r="O275" s="4">
        <f t="shared" si="81"/>
        <v>0</v>
      </c>
      <c r="P275" s="5">
        <f>SUMIFS('Desenvolvimento diário'!$H:$H,'Desenvolvimento diário'!$Q:$Q,$B275,'Desenvolvimento diário'!$P:$P,$F275,'Desenvolvimento diário'!$R:$R,"Sim")</f>
        <v>0</v>
      </c>
      <c r="Q275" s="5">
        <f>SUMIFS('Desenvolvimento diário'!$H:$H,'Desenvolvimento diário'!$Q:$Q,$B275,'Desenvolvimento diário'!$P:$P,$F275,'Desenvolvimento diário'!$R:$R,"Não")</f>
        <v>0</v>
      </c>
      <c r="R275" s="4">
        <f t="shared" si="82"/>
        <v>0</v>
      </c>
      <c r="S275" s="4">
        <f t="shared" si="83"/>
        <v>0</v>
      </c>
      <c r="T275" s="12">
        <f t="shared" si="86"/>
        <v>0</v>
      </c>
      <c r="Y275" s="2"/>
      <c r="Z275" s="2"/>
      <c r="AA275" s="2"/>
      <c r="AB275" s="2"/>
      <c r="AC275" s="2"/>
    </row>
    <row r="276" spans="1:29" ht="10.5" hidden="1">
      <c r="A276" s="2">
        <f t="shared" si="84"/>
        <v>8</v>
      </c>
      <c r="B276" s="2" t="str">
        <f>VLOOKUP($A276,Controle!$B$4:$F$68,2,FALSE)</f>
        <v>Patos de Minas 3</v>
      </c>
      <c r="C276" s="2" t="str">
        <f>VLOOKUP($A276,Controle!$B$4:$F$68,3,FALSE)</f>
        <v xml:space="preserve">MORI GERACAO II </v>
      </c>
      <c r="D276" s="2" t="str">
        <f>VLOOKUP($A276,Controle!$B$4:$F$68,4,FALSE)</f>
        <v>Mori II</v>
      </c>
      <c r="E276" s="2">
        <f>VLOOKUP($A276,Controle!$B$4:$F$68,5,FALSE)</f>
        <v>2</v>
      </c>
      <c r="F276" s="3" t="str">
        <f>F241</f>
        <v>Equipamentos Curva A -  Contrato Sobressalentes - SETTA</v>
      </c>
      <c r="G276" s="2" t="str">
        <f>VLOOKUP($A276,Controle!$B$4:$G$68,6,FALSE)</f>
        <v>Mori</v>
      </c>
      <c r="H276" s="6">
        <v>0</v>
      </c>
      <c r="I276" s="6">
        <v>0</v>
      </c>
      <c r="J276" s="6">
        <v>0</v>
      </c>
      <c r="K276" s="6">
        <v>0</v>
      </c>
      <c r="L276" s="6">
        <v>0</v>
      </c>
      <c r="M276" s="6">
        <v>0</v>
      </c>
      <c r="N276" s="6">
        <v>0</v>
      </c>
      <c r="O276" s="4">
        <f t="shared" si="81"/>
        <v>0</v>
      </c>
      <c r="P276" s="5">
        <f>SUMIFS('Desenvolvimento diário'!$H:$H,'Desenvolvimento diário'!$Q:$Q,$B276,'Desenvolvimento diário'!$P:$P,$F276,'Desenvolvimento diário'!$R:$R,"Sim")</f>
        <v>0</v>
      </c>
      <c r="Q276" s="5">
        <f>SUMIFS('Desenvolvimento diário'!$H:$H,'Desenvolvimento diário'!$Q:$Q,$B276,'Desenvolvimento diário'!$P:$P,$F276,'Desenvolvimento diário'!$R:$R,"Não")</f>
        <v>0</v>
      </c>
      <c r="R276" s="4">
        <f t="shared" si="82"/>
        <v>0</v>
      </c>
      <c r="S276" s="4">
        <f t="shared" si="83"/>
        <v>0</v>
      </c>
      <c r="T276" s="12">
        <f t="shared" si="86"/>
        <v>0</v>
      </c>
      <c r="Y276" s="2"/>
      <c r="Z276" s="2"/>
      <c r="AA276" s="2"/>
      <c r="AB276" s="2"/>
      <c r="AC276" s="2"/>
    </row>
    <row r="277" spans="1:29" ht="10.5" hidden="1">
      <c r="A277" s="2">
        <f t="shared" si="84"/>
        <v>8</v>
      </c>
      <c r="B277" s="2" t="str">
        <f>VLOOKUP($A277,Controle!$B$4:$F$68,2,FALSE)</f>
        <v>Patos de Minas 3</v>
      </c>
      <c r="C277" s="2" t="str">
        <f>VLOOKUP($A277,Controle!$B$4:$F$68,3,FALSE)</f>
        <v xml:space="preserve">MORI GERACAO II </v>
      </c>
      <c r="D277" s="2" t="str">
        <f>VLOOKUP($A277,Controle!$B$4:$F$68,4,FALSE)</f>
        <v>Mori II</v>
      </c>
      <c r="E277" s="2">
        <f>VLOOKUP($A277,Controle!$B$4:$F$68,5,FALSE)</f>
        <v>2</v>
      </c>
      <c r="F277" s="3" t="str">
        <f>F242</f>
        <v>Equipamentos Curva A -  Contrato Sobressalentes - Arctech</v>
      </c>
      <c r="G277" s="2" t="str">
        <f>VLOOKUP($A277,Controle!$B$4:$G$68,6,FALSE)</f>
        <v>Mori</v>
      </c>
      <c r="H277" s="6">
        <v>0</v>
      </c>
      <c r="I277" s="6">
        <v>0</v>
      </c>
      <c r="J277" s="6">
        <v>0</v>
      </c>
      <c r="K277" s="6">
        <v>0</v>
      </c>
      <c r="L277" s="6">
        <v>0</v>
      </c>
      <c r="M277" s="6">
        <v>0</v>
      </c>
      <c r="N277" s="6">
        <v>0</v>
      </c>
      <c r="O277" s="4">
        <f t="shared" si="81"/>
        <v>0</v>
      </c>
      <c r="P277" s="5">
        <f>SUMIFS('Desenvolvimento diário'!$H:$H,'Desenvolvimento diário'!$Q:$Q,$B277,'Desenvolvimento diário'!$P:$P,$F277,'Desenvolvimento diário'!$R:$R,"Sim")</f>
        <v>0</v>
      </c>
      <c r="Q277" s="5">
        <f>SUMIFS('Desenvolvimento diário'!$H:$H,'Desenvolvimento diário'!$Q:$Q,$B277,'Desenvolvimento diário'!$P:$P,$F277,'Desenvolvimento diário'!$R:$R,"Não")</f>
        <v>0</v>
      </c>
      <c r="R277" s="4">
        <f t="shared" si="82"/>
        <v>0</v>
      </c>
      <c r="S277" s="4">
        <f t="shared" si="83"/>
        <v>0</v>
      </c>
      <c r="T277" s="12">
        <f t="shared" si="86"/>
        <v>0</v>
      </c>
      <c r="Y277" s="2"/>
      <c r="Z277" s="2"/>
      <c r="AA277" s="2"/>
      <c r="AB277" s="2"/>
      <c r="AC277" s="2"/>
    </row>
    <row r="278" spans="1:29" hidden="1">
      <c r="A278" s="2">
        <f t="shared" si="84"/>
        <v>8</v>
      </c>
      <c r="B278" s="2" t="str">
        <f>VLOOKUP($A278,Controle!$B$4:$F$68,2,FALSE)</f>
        <v>Patos de Minas 3</v>
      </c>
      <c r="C278" s="2" t="str">
        <f>VLOOKUP($A278,Controle!$B$4:$F$68,3,FALSE)</f>
        <v xml:space="preserve">MORI GERACAO II </v>
      </c>
      <c r="D278" s="2" t="str">
        <f>VLOOKUP($A278,Controle!$B$4:$F$68,4,FALSE)</f>
        <v>Mori II</v>
      </c>
      <c r="E278" s="2">
        <f>VLOOKUP($A278,Controle!$B$4:$F$68,5,FALSE)</f>
        <v>2</v>
      </c>
      <c r="F278" s="3" t="str">
        <f t="shared" ref="F278:F280" si="87">F243</f>
        <v>Equipamentos Curva A -  Contrato Sobressalentes - Romagnole</v>
      </c>
      <c r="G278" s="2" t="str">
        <f>VLOOKUP($A278,Controle!$B$4:$G$68,6,FALSE)</f>
        <v>Mori</v>
      </c>
      <c r="H278" s="7">
        <v>0</v>
      </c>
      <c r="I278" s="7">
        <v>0</v>
      </c>
      <c r="J278" s="7">
        <v>0</v>
      </c>
      <c r="K278" s="7">
        <v>0</v>
      </c>
      <c r="L278" s="7">
        <v>0</v>
      </c>
      <c r="M278" s="7">
        <v>0</v>
      </c>
      <c r="N278" s="7">
        <v>0</v>
      </c>
      <c r="O278" s="4">
        <f t="shared" si="81"/>
        <v>0</v>
      </c>
      <c r="P278" s="17">
        <f>SUMIFS('Desenvolvimento diário'!$H:$H,'Desenvolvimento diário'!$Q:$Q,$B278,'Desenvolvimento diário'!$P:$P,$F278,'Desenvolvimento diário'!$R:$R,"Sim")</f>
        <v>0</v>
      </c>
      <c r="Q278" s="17">
        <f>SUMIFS('Desenvolvimento diário'!$H:$H,'Desenvolvimento diário'!$Q:$Q,$B278,'Desenvolvimento diário'!$P:$P,$F278,'Desenvolvimento diário'!$R:$R,"Não")</f>
        <v>0</v>
      </c>
      <c r="R278" s="4">
        <f t="shared" si="82"/>
        <v>0</v>
      </c>
      <c r="S278" s="4">
        <f t="shared" si="83"/>
        <v>0</v>
      </c>
      <c r="T278" s="12">
        <f t="shared" si="86"/>
        <v>0</v>
      </c>
      <c r="Y278" s="2"/>
      <c r="Z278" s="2"/>
      <c r="AA278" s="2"/>
      <c r="AB278" s="2"/>
      <c r="AC278" s="2"/>
    </row>
    <row r="279" spans="1:29" hidden="1">
      <c r="A279" s="2">
        <f t="shared" si="84"/>
        <v>8</v>
      </c>
      <c r="B279" s="2" t="str">
        <f>VLOOKUP($A279,Controle!$B$4:$F$68,2,FALSE)</f>
        <v>Patos de Minas 3</v>
      </c>
      <c r="C279" s="2" t="str">
        <f>VLOOKUP($A279,Controle!$B$4:$F$68,3,FALSE)</f>
        <v xml:space="preserve">MORI GERACAO II </v>
      </c>
      <c r="D279" s="2" t="str">
        <f>VLOOKUP($A279,Controle!$B$4:$F$68,4,FALSE)</f>
        <v>Mori II</v>
      </c>
      <c r="E279" s="2">
        <f>VLOOKUP($A279,Controle!$B$4:$F$68,5,FALSE)</f>
        <v>2</v>
      </c>
      <c r="F279" s="3" t="str">
        <f t="shared" si="87"/>
        <v>GOS FLORESTAL - (PRAD - Recuperação Area Ambiental)</v>
      </c>
      <c r="G279" s="2" t="str">
        <f>VLOOKUP($A279,Controle!$B$4:$G$68,6,FALSE)</f>
        <v>Mori</v>
      </c>
      <c r="H279" s="506" t="s">
        <v>170</v>
      </c>
      <c r="I279" s="6">
        <v>0</v>
      </c>
      <c r="J279" s="506"/>
      <c r="K279" s="506">
        <v>0</v>
      </c>
      <c r="L279" s="506">
        <v>0</v>
      </c>
      <c r="M279" s="506">
        <v>0</v>
      </c>
      <c r="N279" s="506">
        <v>0</v>
      </c>
      <c r="O279" s="39">
        <f t="shared" si="81"/>
        <v>0</v>
      </c>
      <c r="P279" s="17">
        <f>SUMIFS('Desenvolvimento diário'!$H:$H,'Desenvolvimento diário'!$Q:$Q,$B279,'Desenvolvimento diário'!$P:$P,$F279,'Desenvolvimento diário'!$R:$R,"Sim")</f>
        <v>0</v>
      </c>
      <c r="Q279" s="17">
        <f>SUMIFS('Desenvolvimento diário'!$H:$H,'Desenvolvimento diário'!$Q:$Q,$B279,'Desenvolvimento diário'!$P:$P,$F279,'Desenvolvimento diário'!$R:$R,"Não")</f>
        <v>0</v>
      </c>
      <c r="R279" s="4">
        <f t="shared" si="82"/>
        <v>0</v>
      </c>
      <c r="S279" s="4">
        <f t="shared" si="83"/>
        <v>0</v>
      </c>
      <c r="T279" s="12">
        <f t="shared" si="86"/>
        <v>0</v>
      </c>
      <c r="Y279" s="2"/>
      <c r="Z279" s="2"/>
      <c r="AA279" s="2"/>
      <c r="AB279" s="2"/>
      <c r="AC279" s="2"/>
    </row>
    <row r="280" spans="1:29" hidden="1">
      <c r="A280" s="2">
        <f t="shared" si="84"/>
        <v>8</v>
      </c>
      <c r="B280" s="2" t="str">
        <f>VLOOKUP($A280,Controle!$B$4:$F$68,2,FALSE)</f>
        <v>Patos de Minas 3</v>
      </c>
      <c r="C280" s="2" t="str">
        <f>VLOOKUP($A280,Controle!$B$4:$F$68,3,FALSE)</f>
        <v xml:space="preserve">MORI GERACAO II </v>
      </c>
      <c r="D280" s="2" t="str">
        <f>VLOOKUP($A280,Controle!$B$4:$F$68,4,FALSE)</f>
        <v>Mori II</v>
      </c>
      <c r="E280" s="2">
        <f>VLOOKUP($A280,Controle!$B$4:$F$68,5,FALSE)</f>
        <v>2</v>
      </c>
      <c r="F280" s="3" t="str">
        <f t="shared" si="87"/>
        <v>Cercamento das bacias de contenção ciclo 2</v>
      </c>
      <c r="G280" s="2" t="str">
        <f>VLOOKUP($A280,Controle!$B$4:$G$68,6,FALSE)</f>
        <v>Mori</v>
      </c>
      <c r="H280" s="506" t="s">
        <v>172</v>
      </c>
      <c r="I280" s="6"/>
      <c r="J280" s="506"/>
      <c r="K280" s="506">
        <v>0</v>
      </c>
      <c r="L280" s="506">
        <v>0</v>
      </c>
      <c r="M280" s="506">
        <v>0</v>
      </c>
      <c r="N280" s="506">
        <v>0</v>
      </c>
      <c r="O280" s="39">
        <f t="shared" si="81"/>
        <v>0</v>
      </c>
      <c r="P280" s="17">
        <f>SUMIFS('Desenvolvimento diário'!$H:$H,'Desenvolvimento diário'!$Q:$Q,$B280,'Desenvolvimento diário'!$P:$P,$F280,'Desenvolvimento diário'!$R:$R,"Sim")</f>
        <v>0</v>
      </c>
      <c r="Q280" s="17">
        <f>SUMIFS('Desenvolvimento diário'!$H:$H,'Desenvolvimento diário'!$Q:$Q,$B280,'Desenvolvimento diário'!$P:$P,$F280,'Desenvolvimento diário'!$R:$R,"Não")</f>
        <v>0</v>
      </c>
      <c r="R280" s="4">
        <f t="shared" si="82"/>
        <v>0</v>
      </c>
      <c r="S280" s="1030">
        <f t="shared" si="83"/>
        <v>0</v>
      </c>
      <c r="T280" s="12">
        <f t="shared" si="86"/>
        <v>0</v>
      </c>
      <c r="U280" s="1029" t="s">
        <v>166</v>
      </c>
      <c r="V280" s="1029" t="s">
        <v>94</v>
      </c>
      <c r="Y280" s="2"/>
      <c r="Z280" s="2"/>
      <c r="AA280" s="2"/>
      <c r="AB280" s="2"/>
      <c r="AC280" s="2"/>
    </row>
    <row r="281" spans="1:29" hidden="1">
      <c r="A281" s="8">
        <f>A278</f>
        <v>8</v>
      </c>
      <c r="B281" s="9" t="str">
        <f t="shared" ref="B281" si="88">B278</f>
        <v>Patos de Minas 3</v>
      </c>
      <c r="C281" s="9" t="str">
        <f t="shared" ref="C281" si="89">C278</f>
        <v xml:space="preserve">MORI GERACAO II </v>
      </c>
      <c r="D281" s="9" t="str">
        <f t="shared" ref="D281" si="90">D278</f>
        <v>Mori II</v>
      </c>
      <c r="E281" s="9">
        <f t="shared" ref="E281" si="91">E278</f>
        <v>2</v>
      </c>
      <c r="F281" s="10" t="s">
        <v>158</v>
      </c>
      <c r="G281" s="9" t="str">
        <f>G278</f>
        <v>Mori</v>
      </c>
      <c r="H281" s="9"/>
      <c r="I281" s="9">
        <f>SUBTOTAL(9,I247:I280)</f>
        <v>0</v>
      </c>
      <c r="J281" s="9">
        <f t="shared" ref="J281:S281" si="92">SUBTOTAL(9,J247:J280)</f>
        <v>0</v>
      </c>
      <c r="K281" s="9">
        <f t="shared" si="92"/>
        <v>0</v>
      </c>
      <c r="L281" s="9">
        <f t="shared" si="92"/>
        <v>0</v>
      </c>
      <c r="M281" s="9">
        <f t="shared" si="92"/>
        <v>0</v>
      </c>
      <c r="N281" s="9">
        <f t="shared" si="92"/>
        <v>0</v>
      </c>
      <c r="O281" s="9">
        <f t="shared" si="92"/>
        <v>0</v>
      </c>
      <c r="P281" s="9">
        <f t="shared" si="92"/>
        <v>0</v>
      </c>
      <c r="Q281" s="9">
        <f t="shared" si="92"/>
        <v>0</v>
      </c>
      <c r="R281" s="9">
        <f t="shared" si="92"/>
        <v>0</v>
      </c>
      <c r="S281" s="9">
        <f t="shared" si="92"/>
        <v>0</v>
      </c>
      <c r="T281" s="13">
        <f>IFERROR(R281/O281,0)</f>
        <v>0</v>
      </c>
      <c r="U281" s="11">
        <f>SUBTOTAL(9,U249:U280)</f>
        <v>0</v>
      </c>
      <c r="Y281" s="2"/>
      <c r="Z281" s="2"/>
      <c r="AA281" s="2"/>
      <c r="AB281" s="2"/>
      <c r="AC281" s="2"/>
    </row>
    <row r="282" spans="1:29" ht="10.5" hidden="1">
      <c r="A282" s="2">
        <f>A247+1</f>
        <v>9</v>
      </c>
      <c r="B282" s="2" t="str">
        <f>VLOOKUP($A282,Controle!$B$4:$F$68,2,FALSE)</f>
        <v>Patos de Minas 4</v>
      </c>
      <c r="C282" s="2" t="str">
        <f>VLOOKUP($A282,Controle!$B$4:$F$68,3,FALSE)</f>
        <v xml:space="preserve">MORI GERACAO II </v>
      </c>
      <c r="D282" s="2" t="str">
        <f>VLOOKUP($A282,Controle!$B$4:$F$68,4,FALSE)</f>
        <v>Mori II</v>
      </c>
      <c r="E282" s="2">
        <f>VLOOKUP($A282,Controle!$B$4:$F$68,5,FALSE)</f>
        <v>1</v>
      </c>
      <c r="F282" s="3" t="str">
        <f t="shared" ref="F282:F315" si="93">F247</f>
        <v>Conexão AT - Obras</v>
      </c>
      <c r="G282" s="2" t="str">
        <f>VLOOKUP($A282,Controle!$B$4:$G$68,6,FALSE)</f>
        <v>Mori</v>
      </c>
      <c r="H282" s="6" t="s">
        <v>141</v>
      </c>
      <c r="I282" s="6">
        <v>0</v>
      </c>
      <c r="J282" s="6">
        <v>0</v>
      </c>
      <c r="K282" s="6">
        <v>0</v>
      </c>
      <c r="L282" s="6">
        <v>0</v>
      </c>
      <c r="M282" s="6">
        <v>0</v>
      </c>
      <c r="N282" s="6">
        <v>0</v>
      </c>
      <c r="O282" s="4">
        <f t="shared" ref="O282:O313" si="94">SUM(I282:N282)</f>
        <v>0</v>
      </c>
      <c r="P282" s="5">
        <f>SUMIFS('Desenvolvimento diário'!$H:$H,'Desenvolvimento diário'!$Q:$Q,$B282,'Desenvolvimento diário'!$P:$P,$F282,'Desenvolvimento diário'!$R:$R,"Sim")</f>
        <v>0</v>
      </c>
      <c r="Q282" s="5">
        <f>SUMIFS('Desenvolvimento diário'!$H:$H,'Desenvolvimento diário'!$Q:$Q,$B282,'Desenvolvimento diário'!$P:$P,$F282,'Desenvolvimento diário'!$R:$R,"Não")</f>
        <v>0</v>
      </c>
      <c r="R282" s="4">
        <f t="shared" ref="R282:R315" si="95">SUM(P282:Q282)</f>
        <v>0</v>
      </c>
      <c r="S282" s="4">
        <f t="shared" ref="S282:S315" si="96">O282-R282</f>
        <v>0</v>
      </c>
      <c r="T282" s="12">
        <f t="shared" si="86"/>
        <v>0</v>
      </c>
      <c r="Y282" s="2"/>
      <c r="Z282" s="2"/>
      <c r="AA282" s="2"/>
      <c r="AB282" s="2"/>
      <c r="AC282" s="2"/>
    </row>
    <row r="283" spans="1:29" ht="10.5" hidden="1">
      <c r="A283" s="2">
        <f t="shared" ref="A283:A315" si="97">A282</f>
        <v>9</v>
      </c>
      <c r="B283" s="2" t="str">
        <f>VLOOKUP($A283,Controle!$B$4:$F$68,2,FALSE)</f>
        <v>Patos de Minas 4</v>
      </c>
      <c r="C283" s="2" t="str">
        <f>VLOOKUP($A283,Controle!$B$4:$F$68,3,FALSE)</f>
        <v xml:space="preserve">MORI GERACAO II </v>
      </c>
      <c r="D283" s="2" t="str">
        <f>VLOOKUP($A283,Controle!$B$4:$F$68,4,FALSE)</f>
        <v>Mori II</v>
      </c>
      <c r="E283" s="2">
        <f>VLOOKUP($A283,Controle!$B$4:$F$68,5,FALSE)</f>
        <v>1</v>
      </c>
      <c r="F283" s="3" t="str">
        <f t="shared" si="93"/>
        <v>Conexão MT - Obras</v>
      </c>
      <c r="G283" s="2" t="str">
        <f>VLOOKUP($A283,Controle!$B$4:$G$68,6,FALSE)</f>
        <v>Mori</v>
      </c>
      <c r="H283" s="6" t="s">
        <v>168</v>
      </c>
      <c r="I283" s="6">
        <v>842100</v>
      </c>
      <c r="J283" s="6">
        <v>450000</v>
      </c>
      <c r="K283" s="6">
        <v>0</v>
      </c>
      <c r="L283" s="6">
        <v>0</v>
      </c>
      <c r="M283" s="6">
        <v>0</v>
      </c>
      <c r="N283" s="6">
        <v>0</v>
      </c>
      <c r="O283" s="4">
        <f t="shared" si="94"/>
        <v>1292100</v>
      </c>
      <c r="P283" s="5">
        <f>SUMIFS('Desenvolvimento diário'!$H:$H,'Desenvolvimento diário'!$Q:$Q,$B283,'Desenvolvimento diário'!$P:$P,$F283,'Desenvolvimento diário'!$R:$R,"Sim")</f>
        <v>591312.87</v>
      </c>
      <c r="Q283" s="5">
        <f>SUMIFS('Desenvolvimento diário'!$H:$H,'Desenvolvimento diário'!$Q:$Q,$B283,'Desenvolvimento diário'!$P:$P,$F283,'Desenvolvimento diário'!$R:$R,"Não")</f>
        <v>700787.13</v>
      </c>
      <c r="R283" s="4">
        <f t="shared" si="95"/>
        <v>1292100</v>
      </c>
      <c r="S283" s="4">
        <f t="shared" si="96"/>
        <v>0</v>
      </c>
      <c r="T283" s="12">
        <f t="shared" si="86"/>
        <v>1</v>
      </c>
      <c r="Y283" s="2"/>
      <c r="Z283" s="2"/>
      <c r="AA283" s="2"/>
      <c r="AB283" s="2"/>
      <c r="AC283" s="2"/>
    </row>
    <row r="284" spans="1:29" ht="10.5" hidden="1">
      <c r="A284" s="2">
        <f t="shared" si="97"/>
        <v>9</v>
      </c>
      <c r="B284" s="2" t="str">
        <f>VLOOKUP($A284,Controle!$B$4:$F$68,2,FALSE)</f>
        <v>Patos de Minas 4</v>
      </c>
      <c r="C284" s="2" t="str">
        <f>VLOOKUP($A284,Controle!$B$4:$F$68,3,FALSE)</f>
        <v xml:space="preserve">MORI GERACAO II </v>
      </c>
      <c r="D284" s="2" t="str">
        <f>VLOOKUP($A284,Controle!$B$4:$F$68,4,FALSE)</f>
        <v>Mori II</v>
      </c>
      <c r="E284" s="2">
        <f>VLOOKUP($A284,Controle!$B$4:$F$68,5,FALSE)</f>
        <v>1</v>
      </c>
      <c r="F284" s="3" t="str">
        <f t="shared" si="93"/>
        <v>Construção - Serviços de Construção</v>
      </c>
      <c r="G284" s="2" t="str">
        <f>VLOOKUP($A284,Controle!$B$4:$G$68,6,FALSE)</f>
        <v>Mori</v>
      </c>
      <c r="H284" s="6" t="s">
        <v>142</v>
      </c>
      <c r="I284" s="6">
        <v>2474000</v>
      </c>
      <c r="J284" s="31">
        <v>335577.48</v>
      </c>
      <c r="K284" s="6">
        <v>0</v>
      </c>
      <c r="L284" s="6">
        <v>0</v>
      </c>
      <c r="M284" s="6">
        <v>0</v>
      </c>
      <c r="N284" s="6">
        <v>0</v>
      </c>
      <c r="O284" s="4">
        <f t="shared" si="94"/>
        <v>2809577.48</v>
      </c>
      <c r="P284" s="5">
        <f>SUMIFS('Desenvolvimento diário'!$H:$H,'Desenvolvimento diário'!$Q:$Q,$B284,'Desenvolvimento diário'!$P:$P,$F284,'Desenvolvimento diário'!$R:$R,"Sim")</f>
        <v>1138808.4700000002</v>
      </c>
      <c r="Q284" s="5">
        <f>SUMIFS('Desenvolvimento diário'!$H:$H,'Desenvolvimento diário'!$Q:$Q,$B284,'Desenvolvimento diário'!$P:$P,$F284,'Desenvolvimento diário'!$R:$R,"Não")</f>
        <v>1611054.4500000002</v>
      </c>
      <c r="R284" s="4">
        <f t="shared" si="95"/>
        <v>2749862.9200000004</v>
      </c>
      <c r="S284" s="33">
        <f t="shared" si="96"/>
        <v>59714.55999999959</v>
      </c>
      <c r="T284" s="12">
        <f t="shared" si="86"/>
        <v>0.97874607109963041</v>
      </c>
      <c r="U284" s="510" t="s">
        <v>162</v>
      </c>
      <c r="V284" s="510" t="s">
        <v>163</v>
      </c>
      <c r="Y284" s="2"/>
      <c r="Z284" s="2"/>
      <c r="AA284" s="2"/>
      <c r="AB284" s="2"/>
      <c r="AC284" s="2"/>
    </row>
    <row r="285" spans="1:29" ht="10.5" hidden="1">
      <c r="A285" s="2">
        <f t="shared" si="97"/>
        <v>9</v>
      </c>
      <c r="B285" s="2" t="str">
        <f>VLOOKUP($A285,Controle!$B$4:$F$68,2,FALSE)</f>
        <v>Patos de Minas 4</v>
      </c>
      <c r="C285" s="2" t="str">
        <f>VLOOKUP($A285,Controle!$B$4:$F$68,3,FALSE)</f>
        <v xml:space="preserve">MORI GERACAO II </v>
      </c>
      <c r="D285" s="2" t="str">
        <f>VLOOKUP($A285,Controle!$B$4:$F$68,4,FALSE)</f>
        <v>Mori II</v>
      </c>
      <c r="E285" s="2">
        <f>VLOOKUP($A285,Controle!$B$4:$F$68,5,FALSE)</f>
        <v>1</v>
      </c>
      <c r="F285" s="3" t="str">
        <f t="shared" si="93"/>
        <v>Construção - Serviços de Construção - Substituição</v>
      </c>
      <c r="G285" s="2" t="str">
        <f>VLOOKUP($A285,Controle!$B$4:$G$68,6,FALSE)</f>
        <v>Mori</v>
      </c>
      <c r="H285" s="6" t="s">
        <v>178</v>
      </c>
      <c r="I285" s="6">
        <v>2772575</v>
      </c>
      <c r="J285" s="6">
        <v>729587.28</v>
      </c>
      <c r="K285" s="6">
        <v>0</v>
      </c>
      <c r="L285" s="6">
        <v>0</v>
      </c>
      <c r="M285" s="6">
        <v>0</v>
      </c>
      <c r="N285" s="6">
        <v>0</v>
      </c>
      <c r="O285" s="4">
        <f t="shared" si="94"/>
        <v>3502162.2800000003</v>
      </c>
      <c r="P285" s="5">
        <f>SUMIFS('Desenvolvimento diário'!$H:$H,'Desenvolvimento diário'!$Q:$Q,$B285,'Desenvolvimento diário'!$P:$P,$F285,'Desenvolvimento diário'!$R:$R,"Sim")</f>
        <v>760370.67000000016</v>
      </c>
      <c r="Q285" s="5">
        <f>SUMIFS('Desenvolvimento diário'!$H:$H,'Desenvolvimento diário'!$Q:$Q,$B285,'Desenvolvimento diário'!$P:$P,$F285,'Desenvolvimento diário'!$R:$R,"Não")</f>
        <v>729768.21000000008</v>
      </c>
      <c r="R285" s="4">
        <f t="shared" si="95"/>
        <v>1490138.8800000004</v>
      </c>
      <c r="S285" s="33">
        <f t="shared" si="96"/>
        <v>2012023.4</v>
      </c>
      <c r="T285" s="12">
        <f t="shared" si="86"/>
        <v>0.42549109974424149</v>
      </c>
      <c r="U285" s="510" t="s">
        <v>162</v>
      </c>
      <c r="V285" s="510" t="s">
        <v>163</v>
      </c>
      <c r="Y285" s="2"/>
      <c r="Z285" s="2"/>
      <c r="AA285" s="2"/>
      <c r="AB285" s="2"/>
      <c r="AC285" s="2"/>
    </row>
    <row r="286" spans="1:29" ht="10.5" hidden="1">
      <c r="A286" s="2">
        <f t="shared" si="97"/>
        <v>9</v>
      </c>
      <c r="B286" s="2" t="str">
        <f>VLOOKUP($A286,Controle!$B$4:$F$68,2,FALSE)</f>
        <v>Patos de Minas 4</v>
      </c>
      <c r="C286" s="2" t="str">
        <f>VLOOKUP($A286,Controle!$B$4:$F$68,3,FALSE)</f>
        <v xml:space="preserve">MORI GERACAO II </v>
      </c>
      <c r="D286" s="2" t="str">
        <f>VLOOKUP($A286,Controle!$B$4:$F$68,4,FALSE)</f>
        <v>Mori II</v>
      </c>
      <c r="E286" s="2">
        <f>VLOOKUP($A286,Controle!$B$4:$F$68,5,FALSE)</f>
        <v>1</v>
      </c>
      <c r="F286" s="3" t="str">
        <f t="shared" si="93"/>
        <v>Construção - RDA Interno</v>
      </c>
      <c r="G286" s="2" t="str">
        <f>VLOOKUP($A286,Controle!$B$4:$G$68,6,FALSE)</f>
        <v>Mori</v>
      </c>
      <c r="H286" s="6" t="s">
        <v>168</v>
      </c>
      <c r="I286" s="6">
        <v>330000</v>
      </c>
      <c r="J286" s="6">
        <v>0</v>
      </c>
      <c r="K286" s="6">
        <v>0</v>
      </c>
      <c r="L286" s="6">
        <v>0</v>
      </c>
      <c r="M286" s="6">
        <v>0</v>
      </c>
      <c r="N286" s="6">
        <v>0</v>
      </c>
      <c r="O286" s="4">
        <f t="shared" si="94"/>
        <v>330000</v>
      </c>
      <c r="P286" s="5">
        <f>SUMIFS('Desenvolvimento diário'!$H:$H,'Desenvolvimento diário'!$Q:$Q,$B286,'Desenvolvimento diário'!$P:$P,$F286,'Desenvolvimento diário'!$R:$R,"Sim")</f>
        <v>0</v>
      </c>
      <c r="Q286" s="5">
        <f>SUMIFS('Desenvolvimento diário'!$H:$H,'Desenvolvimento diário'!$Q:$Q,$B286,'Desenvolvimento diário'!$P:$P,$F286,'Desenvolvimento diário'!$R:$R,"Não")</f>
        <v>330000</v>
      </c>
      <c r="R286" s="4">
        <f t="shared" si="95"/>
        <v>330000</v>
      </c>
      <c r="S286" s="4">
        <f t="shared" si="96"/>
        <v>0</v>
      </c>
      <c r="T286" s="12">
        <f t="shared" si="86"/>
        <v>1</v>
      </c>
      <c r="Y286" s="2"/>
      <c r="Z286" s="2"/>
      <c r="AA286" s="2"/>
      <c r="AB286" s="2"/>
      <c r="AC286" s="2"/>
    </row>
    <row r="287" spans="1:29" ht="10.5" hidden="1">
      <c r="A287" s="2">
        <f t="shared" si="97"/>
        <v>9</v>
      </c>
      <c r="B287" s="2" t="str">
        <f>VLOOKUP($A287,Controle!$B$4:$F$68,2,FALSE)</f>
        <v>Patos de Minas 4</v>
      </c>
      <c r="C287" s="2" t="str">
        <f>VLOOKUP($A287,Controle!$B$4:$F$68,3,FALSE)</f>
        <v xml:space="preserve">MORI GERACAO II </v>
      </c>
      <c r="D287" s="2" t="str">
        <f>VLOOKUP($A287,Controle!$B$4:$F$68,4,FALSE)</f>
        <v>Mori II</v>
      </c>
      <c r="E287" s="2">
        <f>VLOOKUP($A287,Controle!$B$4:$F$68,5,FALSE)</f>
        <v>1</v>
      </c>
      <c r="F287" s="3" t="str">
        <f t="shared" si="93"/>
        <v>Full EPC - Contrato</v>
      </c>
      <c r="G287" s="2" t="str">
        <f>VLOOKUP($A287,Controle!$B$4:$G$68,6,FALSE)</f>
        <v>Mori</v>
      </c>
      <c r="H287" s="6">
        <v>0</v>
      </c>
      <c r="I287" s="6">
        <v>0</v>
      </c>
      <c r="J287" s="6">
        <v>0</v>
      </c>
      <c r="K287" s="6">
        <v>0</v>
      </c>
      <c r="L287" s="6">
        <v>0</v>
      </c>
      <c r="M287" s="6">
        <v>0</v>
      </c>
      <c r="N287" s="6">
        <v>0</v>
      </c>
      <c r="O287" s="4">
        <f t="shared" si="94"/>
        <v>0</v>
      </c>
      <c r="P287" s="5">
        <f>SUMIFS('Desenvolvimento diário'!$H:$H,'Desenvolvimento diário'!$Q:$Q,$B287,'Desenvolvimento diário'!$P:$P,$F287,'Desenvolvimento diário'!$R:$R,"Sim")</f>
        <v>0</v>
      </c>
      <c r="Q287" s="5">
        <f>SUMIFS('Desenvolvimento diário'!$H:$H,'Desenvolvimento diário'!$Q:$Q,$B287,'Desenvolvimento diário'!$P:$P,$F287,'Desenvolvimento diário'!$R:$R,"Não")</f>
        <v>0</v>
      </c>
      <c r="R287" s="4">
        <f t="shared" si="95"/>
        <v>0</v>
      </c>
      <c r="S287" s="4">
        <f t="shared" si="96"/>
        <v>0</v>
      </c>
      <c r="T287" s="12">
        <f t="shared" si="86"/>
        <v>0</v>
      </c>
      <c r="Y287" s="2"/>
      <c r="Z287" s="2"/>
      <c r="AA287" s="2"/>
      <c r="AB287" s="2"/>
      <c r="AC287" s="2"/>
    </row>
    <row r="288" spans="1:29" ht="10.5" hidden="1">
      <c r="A288" s="2">
        <f t="shared" si="97"/>
        <v>9</v>
      </c>
      <c r="B288" s="2" t="str">
        <f>VLOOKUP($A288,Controle!$B$4:$F$68,2,FALSE)</f>
        <v>Patos de Minas 4</v>
      </c>
      <c r="C288" s="2" t="str">
        <f>VLOOKUP($A288,Controle!$B$4:$F$68,3,FALSE)</f>
        <v xml:space="preserve">MORI GERACAO II </v>
      </c>
      <c r="D288" s="2" t="str">
        <f>VLOOKUP($A288,Controle!$B$4:$F$68,4,FALSE)</f>
        <v>Mori II</v>
      </c>
      <c r="E288" s="2">
        <f>VLOOKUP($A288,Controle!$B$4:$F$68,5,FALSE)</f>
        <v>1</v>
      </c>
      <c r="F288" s="3" t="str">
        <f t="shared" si="93"/>
        <v>Equipamentos Curva A - Outros (Transformadores)</v>
      </c>
      <c r="G288" s="2" t="str">
        <f>VLOOKUP($A288,Controle!$B$4:$G$68,6,FALSE)</f>
        <v>Mori</v>
      </c>
      <c r="H288" s="6">
        <v>0</v>
      </c>
      <c r="I288" s="6">
        <v>0</v>
      </c>
      <c r="J288" s="6">
        <v>0</v>
      </c>
      <c r="K288" s="6">
        <v>0</v>
      </c>
      <c r="L288" s="6">
        <v>0</v>
      </c>
      <c r="M288" s="6">
        <v>0</v>
      </c>
      <c r="N288" s="6">
        <v>0</v>
      </c>
      <c r="O288" s="4">
        <f t="shared" si="94"/>
        <v>0</v>
      </c>
      <c r="P288" s="5">
        <f>SUMIFS('Desenvolvimento diário'!$H:$H,'Desenvolvimento diário'!$Q:$Q,$B288,'Desenvolvimento diário'!$P:$P,$F288,'Desenvolvimento diário'!$R:$R,"Sim")</f>
        <v>0</v>
      </c>
      <c r="Q288" s="5">
        <f>SUMIFS('Desenvolvimento diário'!$H:$H,'Desenvolvimento diário'!$Q:$Q,$B288,'Desenvolvimento diário'!$P:$P,$F288,'Desenvolvimento diário'!$R:$R,"Não")</f>
        <v>0</v>
      </c>
      <c r="R288" s="4">
        <f t="shared" si="95"/>
        <v>0</v>
      </c>
      <c r="S288" s="4">
        <f t="shared" si="96"/>
        <v>0</v>
      </c>
      <c r="T288" s="12">
        <f t="shared" si="86"/>
        <v>0</v>
      </c>
      <c r="Y288" s="2"/>
      <c r="Z288" s="2"/>
      <c r="AA288" s="2"/>
      <c r="AB288" s="2"/>
      <c r="AC288" s="2"/>
    </row>
    <row r="289" spans="1:29" ht="10.5" hidden="1">
      <c r="A289" s="2">
        <f t="shared" si="97"/>
        <v>9</v>
      </c>
      <c r="B289" s="2" t="str">
        <f>VLOOKUP($A289,Controle!$B$4:$F$68,2,FALSE)</f>
        <v>Patos de Minas 4</v>
      </c>
      <c r="C289" s="2" t="str">
        <f>VLOOKUP($A289,Controle!$B$4:$F$68,3,FALSE)</f>
        <v xml:space="preserve">MORI GERACAO II </v>
      </c>
      <c r="D289" s="2" t="str">
        <f>VLOOKUP($A289,Controle!$B$4:$F$68,4,FALSE)</f>
        <v>Mori II</v>
      </c>
      <c r="E289" s="2">
        <f>VLOOKUP($A289,Controle!$B$4:$F$68,5,FALSE)</f>
        <v>1</v>
      </c>
      <c r="F289" s="3" t="str">
        <f t="shared" si="93"/>
        <v>Equipamentos Curva A - Outros (Cabine + Skid)</v>
      </c>
      <c r="G289" s="2" t="str">
        <f>VLOOKUP($A289,Controle!$B$4:$G$68,6,FALSE)</f>
        <v>Mori</v>
      </c>
      <c r="H289" s="6">
        <v>0</v>
      </c>
      <c r="I289" s="6">
        <v>0</v>
      </c>
      <c r="J289" s="6">
        <v>0</v>
      </c>
      <c r="K289" s="6">
        <v>0</v>
      </c>
      <c r="L289" s="6">
        <v>0</v>
      </c>
      <c r="M289" s="6">
        <v>0</v>
      </c>
      <c r="N289" s="6">
        <v>0</v>
      </c>
      <c r="O289" s="4">
        <f t="shared" si="94"/>
        <v>0</v>
      </c>
      <c r="P289" s="5">
        <f>SUMIFS('Desenvolvimento diário'!$H:$H,'Desenvolvimento diário'!$Q:$Q,$B289,'Desenvolvimento diário'!$P:$P,$F289,'Desenvolvimento diário'!$R:$R,"Sim")</f>
        <v>0</v>
      </c>
      <c r="Q289" s="5">
        <f>SUMIFS('Desenvolvimento diário'!$H:$H,'Desenvolvimento diário'!$Q:$Q,$B289,'Desenvolvimento diário'!$P:$P,$F289,'Desenvolvimento diário'!$R:$R,"Não")</f>
        <v>0</v>
      </c>
      <c r="R289" s="4">
        <f t="shared" si="95"/>
        <v>0</v>
      </c>
      <c r="S289" s="4">
        <f t="shared" si="96"/>
        <v>0</v>
      </c>
      <c r="T289" s="12">
        <f t="shared" si="86"/>
        <v>0</v>
      </c>
      <c r="Y289" s="2"/>
      <c r="Z289" s="2"/>
      <c r="AA289" s="2"/>
      <c r="AB289" s="2"/>
      <c r="AC289" s="2"/>
    </row>
    <row r="290" spans="1:29" ht="10.5" hidden="1">
      <c r="A290" s="2">
        <f t="shared" si="97"/>
        <v>9</v>
      </c>
      <c r="B290" s="2" t="str">
        <f>VLOOKUP($A290,Controle!$B$4:$F$68,2,FALSE)</f>
        <v>Patos de Minas 4</v>
      </c>
      <c r="C290" s="2" t="str">
        <f>VLOOKUP($A290,Controle!$B$4:$F$68,3,FALSE)</f>
        <v xml:space="preserve">MORI GERACAO II </v>
      </c>
      <c r="D290" s="2" t="str">
        <f>VLOOKUP($A290,Controle!$B$4:$F$68,4,FALSE)</f>
        <v>Mori II</v>
      </c>
      <c r="E290" s="2">
        <f>VLOOKUP($A290,Controle!$B$4:$F$68,5,FALSE)</f>
        <v>1</v>
      </c>
      <c r="F290" s="3" t="str">
        <f t="shared" si="93"/>
        <v>Equipamentos Curva A - Outros (Cabine + Skid + Transformador)</v>
      </c>
      <c r="G290" s="2" t="str">
        <f>VLOOKUP($A290,Controle!$B$4:$G$68,6,FALSE)</f>
        <v>Mori</v>
      </c>
      <c r="H290" s="6" t="s">
        <v>144</v>
      </c>
      <c r="I290" s="6">
        <v>1190102.7177580001</v>
      </c>
      <c r="J290" s="6">
        <v>0</v>
      </c>
      <c r="K290" s="6">
        <v>0</v>
      </c>
      <c r="L290" s="6">
        <v>0</v>
      </c>
      <c r="M290" s="6">
        <v>0</v>
      </c>
      <c r="N290" s="6">
        <v>0</v>
      </c>
      <c r="O290" s="4">
        <f t="shared" si="94"/>
        <v>1190102.7177580001</v>
      </c>
      <c r="P290" s="5">
        <f>SUMIFS('Desenvolvimento diário'!$H:$H,'Desenvolvimento diário'!$Q:$Q,$B290,'Desenvolvimento diário'!$P:$P,$F290,'Desenvolvimento diário'!$R:$R,"Sim")</f>
        <v>0</v>
      </c>
      <c r="Q290" s="5">
        <f>SUMIFS('Desenvolvimento diário'!$H:$H,'Desenvolvimento diário'!$Q:$Q,$B290,'Desenvolvimento diário'!$P:$P,$F290,'Desenvolvimento diário'!$R:$R,"Não")</f>
        <v>1190102.7177580001</v>
      </c>
      <c r="R290" s="4">
        <f t="shared" si="95"/>
        <v>1190102.7177580001</v>
      </c>
      <c r="S290" s="4">
        <f t="shared" si="96"/>
        <v>0</v>
      </c>
      <c r="T290" s="12">
        <f t="shared" si="86"/>
        <v>1</v>
      </c>
      <c r="Y290" s="2"/>
      <c r="Z290" s="2"/>
      <c r="AA290" s="2"/>
      <c r="AB290" s="2"/>
      <c r="AC290" s="2"/>
    </row>
    <row r="291" spans="1:29" ht="10.5" hidden="1">
      <c r="A291" s="2">
        <f t="shared" si="97"/>
        <v>9</v>
      </c>
      <c r="B291" s="2" t="str">
        <f>VLOOKUP($A291,Controle!$B$4:$F$68,2,FALSE)</f>
        <v>Patos de Minas 4</v>
      </c>
      <c r="C291" s="2" t="str">
        <f>VLOOKUP($A291,Controle!$B$4:$F$68,3,FALSE)</f>
        <v xml:space="preserve">MORI GERACAO II </v>
      </c>
      <c r="D291" s="2" t="str">
        <f>VLOOKUP($A291,Controle!$B$4:$F$68,4,FALSE)</f>
        <v>Mori II</v>
      </c>
      <c r="E291" s="2">
        <f>VLOOKUP($A291,Controle!$B$4:$F$68,5,FALSE)</f>
        <v>1</v>
      </c>
      <c r="F291" s="3" t="str">
        <f t="shared" si="93"/>
        <v>Desenvolvimento de projeto - Projetos - (Eng° Proprietario)</v>
      </c>
      <c r="G291" s="2" t="str">
        <f>VLOOKUP($A291,Controle!$B$4:$G$68,6,FALSE)</f>
        <v>Mori</v>
      </c>
      <c r="H291" s="6" t="s">
        <v>145</v>
      </c>
      <c r="I291" s="6">
        <v>0</v>
      </c>
      <c r="J291" s="6">
        <v>0</v>
      </c>
      <c r="K291" s="6">
        <v>0</v>
      </c>
      <c r="L291" s="6">
        <v>0</v>
      </c>
      <c r="M291" s="6">
        <v>0</v>
      </c>
      <c r="N291" s="6">
        <v>0</v>
      </c>
      <c r="O291" s="4">
        <f t="shared" si="94"/>
        <v>0</v>
      </c>
      <c r="P291" s="5">
        <f>SUMIFS('Desenvolvimento diário'!$H:$H,'Desenvolvimento diário'!$Q:$Q,$B291,'Desenvolvimento diário'!$P:$P,$F291,'Desenvolvimento diário'!$R:$R,"Sim")</f>
        <v>0</v>
      </c>
      <c r="Q291" s="5">
        <f>SUMIFS('Desenvolvimento diário'!$H:$H,'Desenvolvimento diário'!$Q:$Q,$B291,'Desenvolvimento diário'!$P:$P,$F291,'Desenvolvimento diário'!$R:$R,"Não")</f>
        <v>0</v>
      </c>
      <c r="R291" s="4">
        <f t="shared" si="95"/>
        <v>0</v>
      </c>
      <c r="S291" s="4">
        <f t="shared" si="96"/>
        <v>0</v>
      </c>
      <c r="T291" s="12">
        <f t="shared" si="86"/>
        <v>0</v>
      </c>
      <c r="Y291" s="2"/>
      <c r="Z291" s="2"/>
      <c r="AA291" s="2"/>
      <c r="AB291" s="2"/>
      <c r="AC291" s="2"/>
    </row>
    <row r="292" spans="1:29" ht="10.5" hidden="1">
      <c r="A292" s="2">
        <f t="shared" si="97"/>
        <v>9</v>
      </c>
      <c r="B292" s="2" t="str">
        <f>VLOOKUP($A292,Controle!$B$4:$F$68,2,FALSE)</f>
        <v>Patos de Minas 4</v>
      </c>
      <c r="C292" s="2" t="str">
        <f>VLOOKUP($A292,Controle!$B$4:$F$68,3,FALSE)</f>
        <v xml:space="preserve">MORI GERACAO II </v>
      </c>
      <c r="D292" s="2" t="str">
        <f>VLOOKUP($A292,Controle!$B$4:$F$68,4,FALSE)</f>
        <v>Mori II</v>
      </c>
      <c r="E292" s="2">
        <f>VLOOKUP($A292,Controle!$B$4:$F$68,5,FALSE)</f>
        <v>1</v>
      </c>
      <c r="F292" s="3" t="str">
        <f t="shared" si="93"/>
        <v>Desenvolvimento de projeto - Projetos - Executivos</v>
      </c>
      <c r="G292" s="2" t="str">
        <f>VLOOKUP($A292,Controle!$B$4:$G$68,6,FALSE)</f>
        <v>Mori</v>
      </c>
      <c r="H292" s="6" t="s">
        <v>146</v>
      </c>
      <c r="I292" s="6">
        <v>36466</v>
      </c>
      <c r="J292" s="6">
        <v>5500</v>
      </c>
      <c r="K292" s="6">
        <v>0</v>
      </c>
      <c r="L292" s="6">
        <v>0</v>
      </c>
      <c r="M292" s="6">
        <v>0</v>
      </c>
      <c r="N292" s="6">
        <v>0</v>
      </c>
      <c r="O292" s="4">
        <f>SUM(I292:N292)+0.7</f>
        <v>41966.7</v>
      </c>
      <c r="P292" s="5">
        <f>SUMIFS('Desenvolvimento diário'!$H:$H,'Desenvolvimento diário'!$Q:$Q,$B292,'Desenvolvimento diário'!$P:$P,$F292,'Desenvolvimento diário'!$R:$R,"Sim")</f>
        <v>0</v>
      </c>
      <c r="Q292" s="5">
        <f>SUMIFS('Desenvolvimento diário'!$H:$H,'Desenvolvimento diário'!$Q:$Q,$B292,'Desenvolvimento diário'!$P:$P,$F292,'Desenvolvimento diário'!$R:$R,"Não")</f>
        <v>41966.7</v>
      </c>
      <c r="R292" s="4">
        <f t="shared" si="95"/>
        <v>41966.7</v>
      </c>
      <c r="S292" s="137">
        <f t="shared" si="96"/>
        <v>0</v>
      </c>
      <c r="T292" s="12">
        <f t="shared" si="86"/>
        <v>1</v>
      </c>
      <c r="Y292" s="2"/>
      <c r="Z292" s="2"/>
      <c r="AA292" s="2"/>
      <c r="AB292" s="2"/>
      <c r="AC292" s="2"/>
    </row>
    <row r="293" spans="1:29" ht="10.5" hidden="1">
      <c r="A293" s="2">
        <f t="shared" si="97"/>
        <v>9</v>
      </c>
      <c r="B293" s="2" t="str">
        <f>VLOOKUP($A293,Controle!$B$4:$F$68,2,FALSE)</f>
        <v>Patos de Minas 4</v>
      </c>
      <c r="C293" s="2" t="str">
        <f>VLOOKUP($A293,Controle!$B$4:$F$68,3,FALSE)</f>
        <v xml:space="preserve">MORI GERACAO II </v>
      </c>
      <c r="D293" s="2" t="str">
        <f>VLOOKUP($A293,Controle!$B$4:$F$68,4,FALSE)</f>
        <v>Mori II</v>
      </c>
      <c r="E293" s="2">
        <f>VLOOKUP($A293,Controle!$B$4:$F$68,5,FALSE)</f>
        <v>1</v>
      </c>
      <c r="F293" s="3" t="str">
        <f t="shared" si="93"/>
        <v>Desenvolvimento de projeto - Projetos Básica</v>
      </c>
      <c r="G293" s="2" t="str">
        <f>VLOOKUP($A293,Controle!$B$4:$G$68,6,FALSE)</f>
        <v>Mori</v>
      </c>
      <c r="H293" s="6">
        <v>0</v>
      </c>
      <c r="I293" s="6">
        <v>0</v>
      </c>
      <c r="J293" s="6">
        <v>0</v>
      </c>
      <c r="K293" s="6">
        <v>0</v>
      </c>
      <c r="L293" s="6">
        <v>0</v>
      </c>
      <c r="M293" s="6">
        <v>0</v>
      </c>
      <c r="N293" s="6">
        <v>0</v>
      </c>
      <c r="O293" s="4">
        <f t="shared" si="94"/>
        <v>0</v>
      </c>
      <c r="P293" s="5">
        <f>SUMIFS('Desenvolvimento diário'!$H:$H,'Desenvolvimento diário'!$Q:$Q,$B293,'Desenvolvimento diário'!$P:$P,$F293,'Desenvolvimento diário'!$R:$R,"Sim")</f>
        <v>0</v>
      </c>
      <c r="Q293" s="5">
        <f>SUMIFS('Desenvolvimento diário'!$H:$H,'Desenvolvimento diário'!$Q:$Q,$B293,'Desenvolvimento diário'!$P:$P,$F293,'Desenvolvimento diário'!$R:$R,"Não")</f>
        <v>0</v>
      </c>
      <c r="R293" s="4">
        <f t="shared" si="95"/>
        <v>0</v>
      </c>
      <c r="S293" s="4">
        <f t="shared" si="96"/>
        <v>0</v>
      </c>
      <c r="T293" s="12">
        <f t="shared" si="86"/>
        <v>0</v>
      </c>
      <c r="Y293" s="2"/>
      <c r="Z293" s="2"/>
      <c r="AA293" s="2"/>
      <c r="AB293" s="2"/>
      <c r="AC293" s="2"/>
    </row>
    <row r="294" spans="1:29" ht="10.5" hidden="1">
      <c r="A294" s="2">
        <f t="shared" si="97"/>
        <v>9</v>
      </c>
      <c r="B294" s="2" t="str">
        <f>VLOOKUP($A294,Controle!$B$4:$F$68,2,FALSE)</f>
        <v>Patos de Minas 4</v>
      </c>
      <c r="C294" s="2" t="str">
        <f>VLOOKUP($A294,Controle!$B$4:$F$68,3,FALSE)</f>
        <v xml:space="preserve">MORI GERACAO II </v>
      </c>
      <c r="D294" s="2" t="str">
        <f>VLOOKUP($A294,Controle!$B$4:$F$68,4,FALSE)</f>
        <v>Mori II</v>
      </c>
      <c r="E294" s="2">
        <f>VLOOKUP($A294,Controle!$B$4:$F$68,5,FALSE)</f>
        <v>1</v>
      </c>
      <c r="F294" s="3" t="str">
        <f t="shared" si="93"/>
        <v>Desenvolvimento de projeto - Projetos Detalhada</v>
      </c>
      <c r="G294" s="2" t="str">
        <f>VLOOKUP($A294,Controle!$B$4:$G$68,6,FALSE)</f>
        <v>Mori</v>
      </c>
      <c r="H294" s="6">
        <v>0</v>
      </c>
      <c r="I294" s="6">
        <v>0</v>
      </c>
      <c r="J294" s="6">
        <v>0</v>
      </c>
      <c r="K294" s="6">
        <v>0</v>
      </c>
      <c r="L294" s="6">
        <v>0</v>
      </c>
      <c r="M294" s="6">
        <v>0</v>
      </c>
      <c r="N294" s="6">
        <v>0</v>
      </c>
      <c r="O294" s="4">
        <f t="shared" si="94"/>
        <v>0</v>
      </c>
      <c r="P294" s="5">
        <f>SUMIFS('Desenvolvimento diário'!$H:$H,'Desenvolvimento diário'!$Q:$Q,$B294,'Desenvolvimento diário'!$P:$P,$F294,'Desenvolvimento diário'!$R:$R,"Sim")</f>
        <v>0</v>
      </c>
      <c r="Q294" s="5">
        <f>SUMIFS('Desenvolvimento diário'!$H:$H,'Desenvolvimento diário'!$Q:$Q,$B294,'Desenvolvimento diário'!$P:$P,$F294,'Desenvolvimento diário'!$R:$R,"Não")</f>
        <v>0</v>
      </c>
      <c r="R294" s="4">
        <f t="shared" si="95"/>
        <v>0</v>
      </c>
      <c r="S294" s="4">
        <f t="shared" si="96"/>
        <v>0</v>
      </c>
      <c r="T294" s="12">
        <f t="shared" si="86"/>
        <v>0</v>
      </c>
      <c r="Y294" s="2"/>
      <c r="Z294" s="2"/>
      <c r="AA294" s="2"/>
      <c r="AB294" s="2"/>
      <c r="AC294" s="2"/>
    </row>
    <row r="295" spans="1:29" ht="10.5" hidden="1">
      <c r="A295" s="2">
        <f t="shared" si="97"/>
        <v>9</v>
      </c>
      <c r="B295" s="2" t="str">
        <f>VLOOKUP($A295,Controle!$B$4:$F$68,2,FALSE)</f>
        <v>Patos de Minas 4</v>
      </c>
      <c r="C295" s="2" t="str">
        <f>VLOOKUP($A295,Controle!$B$4:$F$68,3,FALSE)</f>
        <v xml:space="preserve">MORI GERACAO II </v>
      </c>
      <c r="D295" s="2" t="str">
        <f>VLOOKUP($A295,Controle!$B$4:$F$68,4,FALSE)</f>
        <v>Mori II</v>
      </c>
      <c r="E295" s="2">
        <f>VLOOKUP($A295,Controle!$B$4:$F$68,5,FALSE)</f>
        <v>1</v>
      </c>
      <c r="F295" s="3" t="str">
        <f t="shared" si="93"/>
        <v>Desenvolvimento de projeto - Ambiental / Outros</v>
      </c>
      <c r="G295" s="2" t="str">
        <f>VLOOKUP($A295,Controle!$B$4:$G$68,6,FALSE)</f>
        <v>Mori</v>
      </c>
      <c r="H295" s="6" t="s">
        <v>148</v>
      </c>
      <c r="I295" s="6">
        <f>R295</f>
        <v>201276.62</v>
      </c>
      <c r="J295" s="6">
        <v>0</v>
      </c>
      <c r="K295" s="6">
        <v>0</v>
      </c>
      <c r="L295" s="6">
        <v>0</v>
      </c>
      <c r="M295" s="6">
        <v>0</v>
      </c>
      <c r="N295" s="6">
        <v>0</v>
      </c>
      <c r="O295" s="4">
        <f t="shared" si="94"/>
        <v>201276.62</v>
      </c>
      <c r="P295" s="5">
        <f>SUMIFS('Desenvolvimento diário'!$H:$H,'Desenvolvimento diário'!$Q:$Q,$B295,'Desenvolvimento diário'!$P:$P,$F295,'Desenvolvimento diário'!$R:$R,"Sim")</f>
        <v>0</v>
      </c>
      <c r="Q295" s="5">
        <f>SUMIFS('Desenvolvimento diário'!$H:$H,'Desenvolvimento diário'!$Q:$Q,$B295,'Desenvolvimento diário'!$P:$P,$F295,'Desenvolvimento diário'!$R:$R,"Não")</f>
        <v>201276.62</v>
      </c>
      <c r="R295" s="4">
        <f t="shared" si="95"/>
        <v>201276.62</v>
      </c>
      <c r="S295" s="4">
        <f t="shared" si="96"/>
        <v>0</v>
      </c>
      <c r="T295" s="12">
        <f t="shared" si="86"/>
        <v>1</v>
      </c>
      <c r="Y295" s="2"/>
      <c r="Z295" s="2"/>
      <c r="AA295" s="2"/>
      <c r="AB295" s="2"/>
      <c r="AC295" s="2"/>
    </row>
    <row r="296" spans="1:29" hidden="1">
      <c r="A296" s="2">
        <f t="shared" si="97"/>
        <v>9</v>
      </c>
      <c r="B296" s="2" t="str">
        <f>VLOOKUP($A296,Controle!$B$4:$F$68,2,FALSE)</f>
        <v>Patos de Minas 4</v>
      </c>
      <c r="C296" s="2" t="str">
        <f>VLOOKUP($A296,Controle!$B$4:$F$68,3,FALSE)</f>
        <v xml:space="preserve">MORI GERACAO II </v>
      </c>
      <c r="D296" s="2" t="str">
        <f>VLOOKUP($A296,Controle!$B$4:$F$68,4,FALSE)</f>
        <v>Mori II</v>
      </c>
      <c r="E296" s="2">
        <f>VLOOKUP($A296,Controle!$B$4:$F$68,5,FALSE)</f>
        <v>1</v>
      </c>
      <c r="F296" s="3" t="str">
        <f t="shared" si="93"/>
        <v>Desenvolvimento de projeto - Coordenograma</v>
      </c>
      <c r="G296" s="2" t="str">
        <f>VLOOKUP($A296,Controle!$B$4:$G$68,6,FALSE)</f>
        <v>Mori</v>
      </c>
      <c r="H296" s="31" t="s">
        <v>149</v>
      </c>
      <c r="I296" s="31">
        <v>6206.9</v>
      </c>
      <c r="J296" s="31">
        <v>2281.25</v>
      </c>
      <c r="K296" s="31">
        <v>6206.9</v>
      </c>
      <c r="L296" s="6">
        <v>0</v>
      </c>
      <c r="M296" s="6">
        <v>0</v>
      </c>
      <c r="N296" s="6">
        <v>0</v>
      </c>
      <c r="O296" s="4">
        <f t="shared" si="94"/>
        <v>14695.05</v>
      </c>
      <c r="P296" s="5">
        <f>SUMIFS('Desenvolvimento diário'!$H:$H,'Desenvolvimento diário'!$Q:$Q,$B296,'Desenvolvimento diário'!$P:$P,$F296,'Desenvolvimento diário'!$R:$R,"Sim")</f>
        <v>0</v>
      </c>
      <c r="Q296" s="5">
        <f>SUMIFS('Desenvolvimento diário'!$H:$H,'Desenvolvimento diário'!$Q:$Q,$B296,'Desenvolvimento diário'!$P:$P,$F296,'Desenvolvimento diário'!$R:$R,"Não")</f>
        <v>14695.05</v>
      </c>
      <c r="R296" s="4">
        <f t="shared" si="95"/>
        <v>14695.05</v>
      </c>
      <c r="S296" s="4">
        <f t="shared" si="96"/>
        <v>0</v>
      </c>
      <c r="T296" s="12">
        <f t="shared" si="86"/>
        <v>1</v>
      </c>
      <c r="Y296" s="2"/>
      <c r="Z296" s="2"/>
      <c r="AA296" s="2"/>
      <c r="AB296" s="2"/>
      <c r="AC296" s="2"/>
    </row>
    <row r="297" spans="1:29" ht="10.5" hidden="1">
      <c r="A297" s="2">
        <f t="shared" si="97"/>
        <v>9</v>
      </c>
      <c r="B297" s="2" t="str">
        <f>VLOOKUP($A297,Controle!$B$4:$F$68,2,FALSE)</f>
        <v>Patos de Minas 4</v>
      </c>
      <c r="C297" s="2" t="str">
        <f>VLOOKUP($A297,Controle!$B$4:$F$68,3,FALSE)</f>
        <v xml:space="preserve">MORI GERACAO II </v>
      </c>
      <c r="D297" s="2" t="str">
        <f>VLOOKUP($A297,Controle!$B$4:$F$68,4,FALSE)</f>
        <v>Mori II</v>
      </c>
      <c r="E297" s="2">
        <f>VLOOKUP($A297,Controle!$B$4:$F$68,5,FALSE)</f>
        <v>1</v>
      </c>
      <c r="F297" s="3" t="str">
        <f t="shared" si="93"/>
        <v>Sistemas de Monitoramento - Supervisório</v>
      </c>
      <c r="G297" s="2" t="str">
        <f>VLOOKUP($A297,Controle!$B$4:$G$68,6,FALSE)</f>
        <v>Mori</v>
      </c>
      <c r="H297" s="6" t="s">
        <v>150</v>
      </c>
      <c r="I297" s="6">
        <v>135915.85</v>
      </c>
      <c r="J297" s="6"/>
      <c r="K297" s="6">
        <v>0</v>
      </c>
      <c r="L297" s="6">
        <v>0</v>
      </c>
      <c r="M297" s="6">
        <v>0</v>
      </c>
      <c r="N297" s="6">
        <v>0</v>
      </c>
      <c r="O297" s="4">
        <f t="shared" si="94"/>
        <v>135915.85</v>
      </c>
      <c r="P297" s="5">
        <f>SUMIFS('Desenvolvimento diário'!$H:$H,'Desenvolvimento diário'!$Q:$Q,$B297,'Desenvolvimento diário'!$P:$P,$F297,'Desenvolvimento diário'!$R:$R,"Sim")</f>
        <v>5821.02</v>
      </c>
      <c r="Q297" s="5">
        <f>SUMIFS('Desenvolvimento diário'!$H:$H,'Desenvolvimento diário'!$Q:$Q,$B297,'Desenvolvimento diário'!$P:$P,$F297,'Desenvolvimento diário'!$R:$R,"Não")</f>
        <v>130094.83000000002</v>
      </c>
      <c r="R297" s="4">
        <f t="shared" si="95"/>
        <v>135915.85</v>
      </c>
      <c r="S297" s="4">
        <f t="shared" si="96"/>
        <v>0</v>
      </c>
      <c r="T297" s="12">
        <f t="shared" si="86"/>
        <v>1</v>
      </c>
      <c r="Y297" s="2"/>
      <c r="Z297" s="2"/>
      <c r="AA297" s="2"/>
      <c r="AB297" s="2"/>
      <c r="AC297" s="2"/>
    </row>
    <row r="298" spans="1:29" ht="10.5" hidden="1">
      <c r="A298" s="2">
        <f t="shared" si="97"/>
        <v>9</v>
      </c>
      <c r="B298" s="2" t="str">
        <f>VLOOKUP($A298,Controle!$B$4:$F$68,2,FALSE)</f>
        <v>Patos de Minas 4</v>
      </c>
      <c r="C298" s="2" t="str">
        <f>VLOOKUP($A298,Controle!$B$4:$F$68,3,FALSE)</f>
        <v xml:space="preserve">MORI GERACAO II </v>
      </c>
      <c r="D298" s="2" t="str">
        <f>VLOOKUP($A298,Controle!$B$4:$F$68,4,FALSE)</f>
        <v>Mori II</v>
      </c>
      <c r="E298" s="2">
        <f>VLOOKUP($A298,Controle!$B$4:$F$68,5,FALSE)</f>
        <v>1</v>
      </c>
      <c r="F298" s="3" t="str">
        <f t="shared" si="93"/>
        <v>Sistemas de Monitoramento - Estações Solarimétricas</v>
      </c>
      <c r="G298" s="2" t="str">
        <f>VLOOKUP($A298,Controle!$B$4:$G$68,6,FALSE)</f>
        <v>Mori</v>
      </c>
      <c r="H298" s="6" t="s">
        <v>151</v>
      </c>
      <c r="I298" s="6">
        <v>48276.516000000003</v>
      </c>
      <c r="J298" s="6">
        <v>0</v>
      </c>
      <c r="K298" s="6">
        <v>0</v>
      </c>
      <c r="L298" s="6">
        <v>0</v>
      </c>
      <c r="M298" s="6">
        <v>0</v>
      </c>
      <c r="N298" s="6">
        <v>0</v>
      </c>
      <c r="O298" s="4">
        <f t="shared" si="94"/>
        <v>48276.516000000003</v>
      </c>
      <c r="P298" s="5">
        <f>SUMIFS('Desenvolvimento diário'!$H:$H,'Desenvolvimento diário'!$Q:$Q,$B298,'Desenvolvimento diário'!$P:$P,$F298,'Desenvolvimento diário'!$R:$R,"Sim")</f>
        <v>0</v>
      </c>
      <c r="Q298" s="5">
        <f>SUMIFS('Desenvolvimento diário'!$H:$H,'Desenvolvimento diário'!$Q:$Q,$B298,'Desenvolvimento diário'!$P:$P,$F298,'Desenvolvimento diário'!$R:$R,"Não")</f>
        <v>48276.516000000003</v>
      </c>
      <c r="R298" s="4">
        <f t="shared" si="95"/>
        <v>48276.516000000003</v>
      </c>
      <c r="S298" s="4">
        <f t="shared" si="96"/>
        <v>0</v>
      </c>
      <c r="T298" s="12">
        <f t="shared" si="86"/>
        <v>1</v>
      </c>
      <c r="Y298" s="2"/>
      <c r="Z298" s="2"/>
      <c r="AA298" s="2"/>
      <c r="AB298" s="2"/>
      <c r="AC298" s="2"/>
    </row>
    <row r="299" spans="1:29" hidden="1">
      <c r="A299" s="2">
        <f t="shared" si="97"/>
        <v>9</v>
      </c>
      <c r="B299" s="2" t="str">
        <f>VLOOKUP($A299,Controle!$B$4:$F$68,2,FALSE)</f>
        <v>Patos de Minas 4</v>
      </c>
      <c r="C299" s="2" t="str">
        <f>VLOOKUP($A299,Controle!$B$4:$F$68,3,FALSE)</f>
        <v xml:space="preserve">MORI GERACAO II </v>
      </c>
      <c r="D299" s="2" t="str">
        <f>VLOOKUP($A299,Controle!$B$4:$F$68,4,FALSE)</f>
        <v>Mori II</v>
      </c>
      <c r="E299" s="2">
        <f>VLOOKUP($A299,Controle!$B$4:$F$68,5,FALSE)</f>
        <v>1</v>
      </c>
      <c r="F299" s="3" t="str">
        <f t="shared" si="93"/>
        <v>Sistemas de Monitoramento - CFTV</v>
      </c>
      <c r="G299" s="2" t="str">
        <f>VLOOKUP($A299,Controle!$B$4:$G$68,6,FALSE)</f>
        <v>Mori</v>
      </c>
      <c r="H299" s="31" t="s">
        <v>152</v>
      </c>
      <c r="I299" s="6">
        <v>248414.57</v>
      </c>
      <c r="J299" s="28">
        <v>1576.84</v>
      </c>
      <c r="K299" s="6">
        <v>0</v>
      </c>
      <c r="L299" s="6">
        <v>0</v>
      </c>
      <c r="M299" s="6">
        <v>0</v>
      </c>
      <c r="N299" s="6">
        <v>0</v>
      </c>
      <c r="O299" s="4">
        <f t="shared" si="94"/>
        <v>249991.41</v>
      </c>
      <c r="P299" s="5">
        <f>SUMIFS('Desenvolvimento diário'!$H:$H,'Desenvolvimento diário'!$Q:$Q,$B299,'Desenvolvimento diário'!$P:$P,$F299,'Desenvolvimento diário'!$R:$R,"Sim")</f>
        <v>14610.93</v>
      </c>
      <c r="Q299" s="5">
        <f>SUMIFS('Desenvolvimento diário'!$H:$H,'Desenvolvimento diário'!$Q:$Q,$B299,'Desenvolvimento diário'!$P:$P,$F299,'Desenvolvimento diário'!$R:$R,"Não")</f>
        <v>235380.48000000001</v>
      </c>
      <c r="R299" s="4">
        <f t="shared" si="95"/>
        <v>249991.41</v>
      </c>
      <c r="S299" s="4">
        <f t="shared" si="96"/>
        <v>0</v>
      </c>
      <c r="T299" s="12">
        <f t="shared" si="86"/>
        <v>1</v>
      </c>
      <c r="Y299" s="2"/>
      <c r="Z299" s="2"/>
      <c r="AA299" s="2"/>
      <c r="AB299" s="2"/>
      <c r="AC299" s="2"/>
    </row>
    <row r="300" spans="1:29" ht="10.5" hidden="1">
      <c r="A300" s="2">
        <f t="shared" si="97"/>
        <v>9</v>
      </c>
      <c r="B300" s="2" t="str">
        <f>VLOOKUP($A300,Controle!$B$4:$F$68,2,FALSE)</f>
        <v>Patos de Minas 4</v>
      </c>
      <c r="C300" s="2" t="str">
        <f>VLOOKUP($A300,Controle!$B$4:$F$68,3,FALSE)</f>
        <v xml:space="preserve">MORI GERACAO II </v>
      </c>
      <c r="D300" s="2" t="str">
        <f>VLOOKUP($A300,Controle!$B$4:$F$68,4,FALSE)</f>
        <v>Mori II</v>
      </c>
      <c r="E300" s="2">
        <f>VLOOKUP($A300,Controle!$B$4:$F$68,5,FALSE)</f>
        <v>1</v>
      </c>
      <c r="F300" s="3" t="str">
        <f t="shared" si="93"/>
        <v>Serviços Auxiliares - Drenagem</v>
      </c>
      <c r="G300" s="2" t="str">
        <f>VLOOKUP($A300,Controle!$B$4:$G$68,6,FALSE)</f>
        <v>Mori</v>
      </c>
      <c r="H300" s="6" t="s">
        <v>189</v>
      </c>
      <c r="I300" s="6">
        <v>610000</v>
      </c>
      <c r="J300" s="6">
        <v>174920</v>
      </c>
      <c r="K300" s="6">
        <v>0</v>
      </c>
      <c r="L300" s="6">
        <v>0</v>
      </c>
      <c r="M300" s="6">
        <v>0</v>
      </c>
      <c r="N300" s="6">
        <v>0</v>
      </c>
      <c r="O300" s="4">
        <f t="shared" si="94"/>
        <v>784920</v>
      </c>
      <c r="P300" s="5">
        <f>SUMIFS('Desenvolvimento diário'!$H:$H,'Desenvolvimento diário'!$Q:$Q,$B300,'Desenvolvimento diário'!$P:$P,$F300,'Desenvolvimento diário'!$R:$R,"Sim")</f>
        <v>0</v>
      </c>
      <c r="Q300" s="5">
        <f>SUMIFS('Desenvolvimento diário'!$H:$H,'Desenvolvimento diário'!$Q:$Q,$B300,'Desenvolvimento diário'!$P:$P,$F300,'Desenvolvimento diário'!$R:$R,"Não")</f>
        <v>784920</v>
      </c>
      <c r="R300" s="4">
        <f t="shared" si="95"/>
        <v>784920</v>
      </c>
      <c r="S300" s="4">
        <f t="shared" si="96"/>
        <v>0</v>
      </c>
      <c r="T300" s="12">
        <f t="shared" si="86"/>
        <v>1</v>
      </c>
      <c r="Y300" s="2"/>
      <c r="Z300" s="2"/>
      <c r="AA300" s="2"/>
      <c r="AB300" s="2"/>
      <c r="AC300" s="2"/>
    </row>
    <row r="301" spans="1:29" ht="10.5" hidden="1">
      <c r="A301" s="2">
        <f t="shared" si="97"/>
        <v>9</v>
      </c>
      <c r="B301" s="2" t="str">
        <f>VLOOKUP($A301,Controle!$B$4:$F$68,2,FALSE)</f>
        <v>Patos de Minas 4</v>
      </c>
      <c r="C301" s="2" t="str">
        <f>VLOOKUP($A301,Controle!$B$4:$F$68,3,FALSE)</f>
        <v xml:space="preserve">MORI GERACAO II </v>
      </c>
      <c r="D301" s="2" t="str">
        <f>VLOOKUP($A301,Controle!$B$4:$F$68,4,FALSE)</f>
        <v>Mori II</v>
      </c>
      <c r="E301" s="2">
        <f>VLOOKUP($A301,Controle!$B$4:$F$68,5,FALSE)</f>
        <v>1</v>
      </c>
      <c r="F301" s="3" t="str">
        <f t="shared" si="93"/>
        <v>Serviços Auxiliares - Terraplanagem</v>
      </c>
      <c r="G301" s="2" t="str">
        <f>VLOOKUP($A301,Controle!$B$4:$G$68,6,FALSE)</f>
        <v>Mori</v>
      </c>
      <c r="H301" s="28" t="s">
        <v>180</v>
      </c>
      <c r="I301" s="6">
        <v>0</v>
      </c>
      <c r="J301" s="6">
        <v>0</v>
      </c>
      <c r="K301" s="6">
        <v>0</v>
      </c>
      <c r="L301" s="6">
        <v>0</v>
      </c>
      <c r="M301" s="6">
        <v>0</v>
      </c>
      <c r="N301" s="6">
        <v>0</v>
      </c>
      <c r="O301" s="4">
        <f t="shared" si="94"/>
        <v>0</v>
      </c>
      <c r="P301" s="5">
        <f>SUMIFS('Desenvolvimento diário'!$H:$H,'Desenvolvimento diário'!$Q:$Q,$B301,'Desenvolvimento diário'!$P:$P,$F301,'Desenvolvimento diário'!$R:$R,"Sim")</f>
        <v>0</v>
      </c>
      <c r="Q301" s="5">
        <f>SUMIFS('Desenvolvimento diário'!$H:$H,'Desenvolvimento diário'!$Q:$Q,$B301,'Desenvolvimento diário'!$P:$P,$F301,'Desenvolvimento diário'!$R:$R,"Não")</f>
        <v>0</v>
      </c>
      <c r="R301" s="4">
        <f t="shared" si="95"/>
        <v>0</v>
      </c>
      <c r="S301" s="4">
        <f t="shared" si="96"/>
        <v>0</v>
      </c>
      <c r="T301" s="12">
        <f t="shared" si="86"/>
        <v>0</v>
      </c>
      <c r="Y301" s="2"/>
      <c r="Z301" s="2"/>
      <c r="AA301" s="2"/>
      <c r="AB301" s="2"/>
      <c r="AC301" s="2"/>
    </row>
    <row r="302" spans="1:29" ht="10.5" hidden="1">
      <c r="A302" s="2">
        <f t="shared" si="97"/>
        <v>9</v>
      </c>
      <c r="B302" s="2" t="str">
        <f>VLOOKUP($A302,Controle!$B$4:$F$68,2,FALSE)</f>
        <v>Patos de Minas 4</v>
      </c>
      <c r="C302" s="2" t="str">
        <f>VLOOKUP($A302,Controle!$B$4:$F$68,3,FALSE)</f>
        <v xml:space="preserve">MORI GERACAO II </v>
      </c>
      <c r="D302" s="2" t="str">
        <f>VLOOKUP($A302,Controle!$B$4:$F$68,4,FALSE)</f>
        <v>Mori II</v>
      </c>
      <c r="E302" s="2">
        <f>VLOOKUP($A302,Controle!$B$4:$F$68,5,FALSE)</f>
        <v>1</v>
      </c>
      <c r="F302" s="3" t="str">
        <f t="shared" si="93"/>
        <v>Serviços Auxiliares - Supressão Vegetal</v>
      </c>
      <c r="G302" s="2" t="str">
        <f>VLOOKUP($A302,Controle!$B$4:$G$68,6,FALSE)</f>
        <v>Mori</v>
      </c>
      <c r="H302" s="6">
        <v>0</v>
      </c>
      <c r="I302" s="6">
        <v>0</v>
      </c>
      <c r="J302" s="6">
        <v>0</v>
      </c>
      <c r="K302" s="6">
        <v>0</v>
      </c>
      <c r="L302" s="6">
        <v>0</v>
      </c>
      <c r="M302" s="6">
        <v>0</v>
      </c>
      <c r="N302" s="6">
        <v>0</v>
      </c>
      <c r="O302" s="4">
        <f t="shared" si="94"/>
        <v>0</v>
      </c>
      <c r="P302" s="5">
        <f>SUMIFS('Desenvolvimento diário'!$H:$H,'Desenvolvimento diário'!$Q:$Q,$B302,'Desenvolvimento diário'!$P:$P,$F302,'Desenvolvimento diário'!$R:$R,"Sim")</f>
        <v>0</v>
      </c>
      <c r="Q302" s="5">
        <f>SUMIFS('Desenvolvimento diário'!$H:$H,'Desenvolvimento diário'!$Q:$Q,$B302,'Desenvolvimento diário'!$P:$P,$F302,'Desenvolvimento diário'!$R:$R,"Não")</f>
        <v>0</v>
      </c>
      <c r="R302" s="4">
        <f t="shared" si="95"/>
        <v>0</v>
      </c>
      <c r="S302" s="4">
        <f t="shared" si="96"/>
        <v>0</v>
      </c>
      <c r="T302" s="12">
        <f t="shared" si="86"/>
        <v>0</v>
      </c>
      <c r="Y302" s="2"/>
      <c r="Z302" s="2"/>
      <c r="AA302" s="2"/>
      <c r="AB302" s="2"/>
      <c r="AC302" s="2"/>
    </row>
    <row r="303" spans="1:29" ht="10.5" hidden="1">
      <c r="A303" s="2">
        <f t="shared" si="97"/>
        <v>9</v>
      </c>
      <c r="B303" s="2" t="str">
        <f>VLOOKUP($A303,Controle!$B$4:$F$68,2,FALSE)</f>
        <v>Patos de Minas 4</v>
      </c>
      <c r="C303" s="2" t="str">
        <f>VLOOKUP($A303,Controle!$B$4:$F$68,3,FALSE)</f>
        <v xml:space="preserve">MORI GERACAO II </v>
      </c>
      <c r="D303" s="2" t="str">
        <f>VLOOKUP($A303,Controle!$B$4:$F$68,4,FALSE)</f>
        <v>Mori II</v>
      </c>
      <c r="E303" s="2">
        <f>VLOOKUP($A303,Controle!$B$4:$F$68,5,FALSE)</f>
        <v>1</v>
      </c>
      <c r="F303" s="3" t="str">
        <f t="shared" si="93"/>
        <v>RDR-Rede de Distribuição Rural</v>
      </c>
      <c r="G303" s="2" t="str">
        <f>VLOOKUP($A303,Controle!$B$4:$G$68,6,FALSE)</f>
        <v>Mori</v>
      </c>
      <c r="H303" s="6" t="s">
        <v>168</v>
      </c>
      <c r="I303" s="6">
        <v>235753</v>
      </c>
      <c r="J303" s="6">
        <v>0</v>
      </c>
      <c r="K303" s="6">
        <v>0</v>
      </c>
      <c r="L303" s="6">
        <v>0</v>
      </c>
      <c r="M303" s="6">
        <v>0</v>
      </c>
      <c r="N303" s="6">
        <v>0</v>
      </c>
      <c r="O303" s="4">
        <f t="shared" si="94"/>
        <v>235753</v>
      </c>
      <c r="P303" s="5">
        <f>SUMIFS('Desenvolvimento diário'!$H:$H,'Desenvolvimento diário'!$Q:$Q,$B303,'Desenvolvimento diário'!$P:$P,$F303,'Desenvolvimento diário'!$R:$R,"Sim")</f>
        <v>0</v>
      </c>
      <c r="Q303" s="5">
        <f>SUMIFS('Desenvolvimento diário'!$H:$H,'Desenvolvimento diário'!$Q:$Q,$B303,'Desenvolvimento diário'!$P:$P,$F303,'Desenvolvimento diário'!$R:$R,"Não")</f>
        <v>235753</v>
      </c>
      <c r="R303" s="4">
        <f t="shared" si="95"/>
        <v>235753</v>
      </c>
      <c r="S303" s="4">
        <f t="shared" si="96"/>
        <v>0</v>
      </c>
      <c r="T303" s="12">
        <f t="shared" si="86"/>
        <v>1</v>
      </c>
      <c r="Y303" s="2"/>
      <c r="Z303" s="2"/>
      <c r="AA303" s="2"/>
      <c r="AB303" s="2"/>
      <c r="AC303" s="2"/>
    </row>
    <row r="304" spans="1:29" ht="10.5" hidden="1">
      <c r="A304" s="2">
        <f t="shared" si="97"/>
        <v>9</v>
      </c>
      <c r="B304" s="2" t="str">
        <f>VLOOKUP($A304,Controle!$B$4:$F$68,2,FALSE)</f>
        <v>Patos de Minas 4</v>
      </c>
      <c r="C304" s="2" t="str">
        <f>VLOOKUP($A304,Controle!$B$4:$F$68,3,FALSE)</f>
        <v xml:space="preserve">MORI GERACAO II </v>
      </c>
      <c r="D304" s="2" t="str">
        <f>VLOOKUP($A304,Controle!$B$4:$F$68,4,FALSE)</f>
        <v>Mori II</v>
      </c>
      <c r="E304" s="2">
        <f>VLOOKUP($A304,Controle!$B$4:$F$68,5,FALSE)</f>
        <v>1</v>
      </c>
      <c r="F304" s="3" t="str">
        <f t="shared" si="93"/>
        <v>Escopo COMERC</v>
      </c>
      <c r="G304" s="2" t="str">
        <f>VLOOKUP($A304,Controle!$B$4:$G$68,6,FALSE)</f>
        <v>Mori</v>
      </c>
      <c r="H304" s="6">
        <v>0</v>
      </c>
      <c r="I304" s="6">
        <v>634475.12</v>
      </c>
      <c r="J304" s="29">
        <v>73000</v>
      </c>
      <c r="K304" s="29"/>
      <c r="L304" s="6">
        <v>0</v>
      </c>
      <c r="M304" s="6">
        <v>0</v>
      </c>
      <c r="N304" s="6">
        <v>0</v>
      </c>
      <c r="O304" s="4">
        <f t="shared" si="94"/>
        <v>707475.12</v>
      </c>
      <c r="P304" s="5">
        <f>SUMIFS('Desenvolvimento diário'!$H:$H,'Desenvolvimento diário'!$Q:$Q,$B304,'Desenvolvimento diário'!$P:$P,$F304,'Desenvolvimento diário'!$R:$R,"Sim")</f>
        <v>377281.2</v>
      </c>
      <c r="Q304" s="5">
        <f>SUMIFS('Desenvolvimento diário'!$H:$H,'Desenvolvimento diário'!$Q:$Q,$B304,'Desenvolvimento diário'!$P:$P,$F304,'Desenvolvimento diário'!$R:$R,"Não")</f>
        <v>304373.92000000004</v>
      </c>
      <c r="R304" s="4">
        <f t="shared" si="95"/>
        <v>681655.12000000011</v>
      </c>
      <c r="S304" s="1010">
        <f t="shared" si="96"/>
        <v>25819.999999999884</v>
      </c>
      <c r="T304" s="12">
        <f t="shared" si="86"/>
        <v>0.96350401693277932</v>
      </c>
      <c r="U304" s="1011" t="s">
        <v>166</v>
      </c>
      <c r="V304" s="1011" t="s">
        <v>167</v>
      </c>
      <c r="Y304" s="2"/>
      <c r="Z304" s="2"/>
      <c r="AA304" s="2"/>
      <c r="AB304" s="2"/>
      <c r="AC304" s="2"/>
    </row>
    <row r="305" spans="1:29" ht="10.5" hidden="1">
      <c r="A305" s="2">
        <f t="shared" si="97"/>
        <v>9</v>
      </c>
      <c r="B305" s="2" t="str">
        <f>VLOOKUP($A305,Controle!$B$4:$F$68,2,FALSE)</f>
        <v>Patos de Minas 4</v>
      </c>
      <c r="C305" s="2" t="str">
        <f>VLOOKUP($A305,Controle!$B$4:$F$68,3,FALSE)</f>
        <v xml:space="preserve">MORI GERACAO II </v>
      </c>
      <c r="D305" s="2" t="str">
        <f>VLOOKUP($A305,Controle!$B$4:$F$68,4,FALSE)</f>
        <v>Mori II</v>
      </c>
      <c r="E305" s="2">
        <f>VLOOKUP($A305,Controle!$B$4:$F$68,5,FALSE)</f>
        <v>1</v>
      </c>
      <c r="F305" s="3" t="str">
        <f t="shared" si="93"/>
        <v>Escopo COMERC - Segurança</v>
      </c>
      <c r="G305" s="2" t="str">
        <f>VLOOKUP($A305,Controle!$B$4:$G$68,6,FALSE)</f>
        <v>Mori</v>
      </c>
      <c r="H305" s="6">
        <v>0</v>
      </c>
      <c r="I305" s="6">
        <f t="shared" ref="I304:I305" si="98">R305</f>
        <v>195463.97000000003</v>
      </c>
      <c r="J305" s="6">
        <v>0</v>
      </c>
      <c r="K305" s="6">
        <v>0</v>
      </c>
      <c r="L305" s="6">
        <v>0</v>
      </c>
      <c r="M305" s="6">
        <v>0</v>
      </c>
      <c r="N305" s="6">
        <v>0</v>
      </c>
      <c r="O305" s="4">
        <f t="shared" si="94"/>
        <v>195463.97000000003</v>
      </c>
      <c r="P305" s="5">
        <f>SUMIFS('Desenvolvimento diário'!$H:$H,'Desenvolvimento diário'!$Q:$Q,$B305,'Desenvolvimento diário'!$P:$P,$F305,'Desenvolvimento diário'!$R:$R,"Sim")</f>
        <v>0</v>
      </c>
      <c r="Q305" s="5">
        <f>SUMIFS('Desenvolvimento diário'!$H:$H,'Desenvolvimento diário'!$Q:$Q,$B305,'Desenvolvimento diário'!$P:$P,$F305,'Desenvolvimento diário'!$R:$R,"Não")</f>
        <v>195463.97000000003</v>
      </c>
      <c r="R305" s="4">
        <f t="shared" si="95"/>
        <v>195463.97000000003</v>
      </c>
      <c r="S305" s="4">
        <f t="shared" si="96"/>
        <v>0</v>
      </c>
      <c r="T305" s="12">
        <f t="shared" si="86"/>
        <v>1</v>
      </c>
      <c r="Y305" s="2"/>
      <c r="Z305" s="2"/>
      <c r="AA305" s="2"/>
      <c r="AB305" s="2"/>
      <c r="AC305" s="2"/>
    </row>
    <row r="306" spans="1:29" ht="10.5" hidden="1">
      <c r="A306" s="2">
        <f t="shared" si="97"/>
        <v>9</v>
      </c>
      <c r="B306" s="2" t="str">
        <f>VLOOKUP($A306,Controle!$B$4:$F$68,2,FALSE)</f>
        <v>Patos de Minas 4</v>
      </c>
      <c r="C306" s="2" t="str">
        <f>VLOOKUP($A306,Controle!$B$4:$F$68,3,FALSE)</f>
        <v xml:space="preserve">MORI GERACAO II </v>
      </c>
      <c r="D306" s="2" t="str">
        <f>VLOOKUP($A306,Controle!$B$4:$F$68,4,FALSE)</f>
        <v>Mori II</v>
      </c>
      <c r="E306" s="2">
        <f>VLOOKUP($A306,Controle!$B$4:$F$68,5,FALSE)</f>
        <v>1</v>
      </c>
      <c r="F306" s="3" t="str">
        <f t="shared" si="93"/>
        <v>Conexão MT - Obras Transferencia</v>
      </c>
      <c r="G306" s="2" t="str">
        <f>VLOOKUP($A306,Controle!$B$4:$G$68,6,FALSE)</f>
        <v>Mori</v>
      </c>
      <c r="H306" s="6">
        <v>0</v>
      </c>
      <c r="I306" s="6">
        <v>0</v>
      </c>
      <c r="J306" s="6">
        <v>0</v>
      </c>
      <c r="K306" s="6">
        <v>0</v>
      </c>
      <c r="L306" s="6">
        <v>0</v>
      </c>
      <c r="M306" s="6">
        <v>0</v>
      </c>
      <c r="N306" s="6">
        <v>0</v>
      </c>
      <c r="O306" s="4">
        <f t="shared" si="94"/>
        <v>0</v>
      </c>
      <c r="P306" s="5">
        <f>SUMIFS('Desenvolvimento diário'!$H:$H,'Desenvolvimento diário'!$Q:$Q,$B306,'Desenvolvimento diário'!$P:$P,$F306,'Desenvolvimento diário'!$R:$R,"Sim")</f>
        <v>0</v>
      </c>
      <c r="Q306" s="5">
        <f>SUMIFS('Desenvolvimento diário'!$H:$H,'Desenvolvimento diário'!$Q:$Q,$B306,'Desenvolvimento diário'!$P:$P,$F306,'Desenvolvimento diário'!$R:$R,"Não")</f>
        <v>0</v>
      </c>
      <c r="R306" s="4">
        <f t="shared" si="95"/>
        <v>0</v>
      </c>
      <c r="S306" s="4">
        <f t="shared" si="96"/>
        <v>0</v>
      </c>
      <c r="T306" s="12">
        <f t="shared" si="86"/>
        <v>0</v>
      </c>
      <c r="Y306" s="2"/>
      <c r="Z306" s="2"/>
      <c r="AA306" s="2"/>
      <c r="AB306" s="2"/>
      <c r="AC306" s="2"/>
    </row>
    <row r="307" spans="1:29" ht="10.5" hidden="1">
      <c r="A307" s="2">
        <f t="shared" si="97"/>
        <v>9</v>
      </c>
      <c r="B307" s="2" t="str">
        <f>VLOOKUP($A307,Controle!$B$4:$F$68,2,FALSE)</f>
        <v>Patos de Minas 4</v>
      </c>
      <c r="C307" s="2" t="str">
        <f>VLOOKUP($A307,Controle!$B$4:$F$68,3,FALSE)</f>
        <v xml:space="preserve">MORI GERACAO II </v>
      </c>
      <c r="D307" s="2" t="str">
        <f>VLOOKUP($A307,Controle!$B$4:$F$68,4,FALSE)</f>
        <v>Mori II</v>
      </c>
      <c r="E307" s="2">
        <f>VLOOKUP($A307,Controle!$B$4:$F$68,5,FALSE)</f>
        <v>1</v>
      </c>
      <c r="F307" s="3" t="str">
        <f t="shared" si="93"/>
        <v>Bases de Contaniers</v>
      </c>
      <c r="G307" s="2" t="str">
        <f>VLOOKUP($A307,Controle!$B$4:$G$68,6,FALSE)</f>
        <v>Mori</v>
      </c>
      <c r="H307" s="6">
        <v>0</v>
      </c>
      <c r="I307" s="6">
        <v>0</v>
      </c>
      <c r="J307" s="6">
        <v>0</v>
      </c>
      <c r="K307" s="6">
        <v>0</v>
      </c>
      <c r="L307" s="6">
        <v>0</v>
      </c>
      <c r="M307" s="6">
        <v>0</v>
      </c>
      <c r="N307" s="6">
        <v>0</v>
      </c>
      <c r="O307" s="4">
        <f t="shared" si="94"/>
        <v>0</v>
      </c>
      <c r="P307" s="5">
        <f>SUMIFS('Desenvolvimento diário'!$H:$H,'Desenvolvimento diário'!$Q:$Q,$B307,'Desenvolvimento diário'!$P:$P,$F307,'Desenvolvimento diário'!$R:$R,"Sim")</f>
        <v>0</v>
      </c>
      <c r="Q307" s="5">
        <f>SUMIFS('Desenvolvimento diário'!$H:$H,'Desenvolvimento diário'!$Q:$Q,$B307,'Desenvolvimento diário'!$P:$P,$F307,'Desenvolvimento diário'!$R:$R,"Não")</f>
        <v>0</v>
      </c>
      <c r="R307" s="4">
        <f t="shared" si="95"/>
        <v>0</v>
      </c>
      <c r="S307" s="4">
        <f t="shared" si="96"/>
        <v>0</v>
      </c>
      <c r="T307" s="12">
        <f t="shared" si="86"/>
        <v>0</v>
      </c>
      <c r="Y307" s="2"/>
      <c r="Z307" s="2"/>
      <c r="AA307" s="2"/>
      <c r="AB307" s="2"/>
      <c r="AC307" s="2"/>
    </row>
    <row r="308" spans="1:29" ht="10.5" hidden="1">
      <c r="A308" s="2">
        <f t="shared" si="97"/>
        <v>9</v>
      </c>
      <c r="B308" s="2" t="str">
        <f>VLOOKUP($A308,Controle!$B$4:$F$68,2,FALSE)</f>
        <v>Patos de Minas 4</v>
      </c>
      <c r="C308" s="2" t="str">
        <f>VLOOKUP($A308,Controle!$B$4:$F$68,3,FALSE)</f>
        <v xml:space="preserve">MORI GERACAO II </v>
      </c>
      <c r="D308" s="2" t="str">
        <f>VLOOKUP($A308,Controle!$B$4:$F$68,4,FALSE)</f>
        <v>Mori II</v>
      </c>
      <c r="E308" s="2">
        <f>VLOOKUP($A308,Controle!$B$4:$F$68,5,FALSE)</f>
        <v>1</v>
      </c>
      <c r="F308" s="3" t="str">
        <f t="shared" si="93"/>
        <v>Construção - Serviços de Construção - Ase Engenharia</v>
      </c>
      <c r="G308" s="2" t="str">
        <f>VLOOKUP($A308,Controle!$B$4:$G$68,6,FALSE)</f>
        <v>Mori</v>
      </c>
      <c r="H308" s="6">
        <v>0</v>
      </c>
      <c r="I308" s="6">
        <v>0</v>
      </c>
      <c r="J308" s="6">
        <v>0</v>
      </c>
      <c r="K308" s="6">
        <v>0</v>
      </c>
      <c r="L308" s="6">
        <v>0</v>
      </c>
      <c r="M308" s="6">
        <v>0</v>
      </c>
      <c r="N308" s="6">
        <v>0</v>
      </c>
      <c r="O308" s="4">
        <f t="shared" si="94"/>
        <v>0</v>
      </c>
      <c r="P308" s="5">
        <f>SUMIFS('Desenvolvimento diário'!$H:$H,'Desenvolvimento diário'!$Q:$Q,$B308,'Desenvolvimento diário'!$P:$P,$F308,'Desenvolvimento diário'!$R:$R,"Sim")</f>
        <v>0</v>
      </c>
      <c r="Q308" s="5">
        <f>SUMIFS('Desenvolvimento diário'!$H:$H,'Desenvolvimento diário'!$Q:$Q,$B308,'Desenvolvimento diário'!$P:$P,$F308,'Desenvolvimento diário'!$R:$R,"Não")</f>
        <v>0</v>
      </c>
      <c r="R308" s="4">
        <f t="shared" si="95"/>
        <v>0</v>
      </c>
      <c r="S308" s="4">
        <f t="shared" si="96"/>
        <v>0</v>
      </c>
      <c r="T308" s="12">
        <f t="shared" si="86"/>
        <v>0</v>
      </c>
      <c r="Y308" s="2"/>
      <c r="Z308" s="2"/>
      <c r="AA308" s="2"/>
      <c r="AB308" s="2"/>
      <c r="AC308" s="2"/>
    </row>
    <row r="309" spans="1:29" ht="10.5" hidden="1">
      <c r="A309" s="2">
        <f t="shared" si="97"/>
        <v>9</v>
      </c>
      <c r="B309" s="2" t="str">
        <f>VLOOKUP($A309,Controle!$B$4:$F$68,2,FALSE)</f>
        <v>Patos de Minas 4</v>
      </c>
      <c r="C309" s="2" t="str">
        <f>VLOOKUP($A309,Controle!$B$4:$F$68,3,FALSE)</f>
        <v xml:space="preserve">MORI GERACAO II </v>
      </c>
      <c r="D309" s="2" t="str">
        <f>VLOOKUP($A309,Controle!$B$4:$F$68,4,FALSE)</f>
        <v>Mori II</v>
      </c>
      <c r="E309" s="2">
        <f>VLOOKUP($A309,Controle!$B$4:$F$68,5,FALSE)</f>
        <v>1</v>
      </c>
      <c r="F309" s="3" t="str">
        <f t="shared" si="93"/>
        <v>Full EPC - Contrato Sobressalentes</v>
      </c>
      <c r="G309" s="2" t="str">
        <f>VLOOKUP($A309,Controle!$B$4:$G$68,6,FALSE)</f>
        <v>Mori</v>
      </c>
      <c r="H309" s="6">
        <v>0</v>
      </c>
      <c r="I309" s="6">
        <v>0</v>
      </c>
      <c r="J309" s="6">
        <v>0</v>
      </c>
      <c r="K309" s="6">
        <v>0</v>
      </c>
      <c r="L309" s="6">
        <v>0</v>
      </c>
      <c r="M309" s="6">
        <v>0</v>
      </c>
      <c r="N309" s="6">
        <v>0</v>
      </c>
      <c r="O309" s="4">
        <f t="shared" si="94"/>
        <v>0</v>
      </c>
      <c r="P309" s="5">
        <f>SUMIFS('Desenvolvimento diário'!$H:$H,'Desenvolvimento diário'!$Q:$Q,$B309,'Desenvolvimento diário'!$P:$P,$F309,'Desenvolvimento diário'!$R:$R,"Sim")</f>
        <v>0</v>
      </c>
      <c r="Q309" s="5">
        <f>SUMIFS('Desenvolvimento diário'!$H:$H,'Desenvolvimento diário'!$Q:$Q,$B309,'Desenvolvimento diário'!$P:$P,$F309,'Desenvolvimento diário'!$R:$R,"Não")</f>
        <v>0</v>
      </c>
      <c r="R309" s="4">
        <f t="shared" si="95"/>
        <v>0</v>
      </c>
      <c r="S309" s="4">
        <f t="shared" si="96"/>
        <v>0</v>
      </c>
      <c r="T309" s="12">
        <f t="shared" si="86"/>
        <v>0</v>
      </c>
      <c r="Y309" s="2"/>
      <c r="Z309" s="2"/>
      <c r="AA309" s="2"/>
      <c r="AB309" s="2"/>
      <c r="AC309" s="2"/>
    </row>
    <row r="310" spans="1:29" ht="10.5" hidden="1">
      <c r="A310" s="2">
        <f t="shared" si="97"/>
        <v>9</v>
      </c>
      <c r="B310" s="2" t="str">
        <f>VLOOKUP($A310,Controle!$B$4:$F$68,2,FALSE)</f>
        <v>Patos de Minas 4</v>
      </c>
      <c r="C310" s="2" t="str">
        <f>VLOOKUP($A310,Controle!$B$4:$F$68,3,FALSE)</f>
        <v xml:space="preserve">MORI GERACAO II </v>
      </c>
      <c r="D310" s="2" t="str">
        <f>VLOOKUP($A310,Controle!$B$4:$F$68,4,FALSE)</f>
        <v>Mori II</v>
      </c>
      <c r="E310" s="2">
        <f>VLOOKUP($A310,Controle!$B$4:$F$68,5,FALSE)</f>
        <v>1</v>
      </c>
      <c r="F310" s="3" t="str">
        <f t="shared" si="93"/>
        <v>Construção - Serviços de Construção - NOVA MORADA</v>
      </c>
      <c r="G310" s="2" t="str">
        <f>VLOOKUP($A310,Controle!$B$4:$G$68,6,FALSE)</f>
        <v>Mori</v>
      </c>
      <c r="H310" s="6">
        <v>0</v>
      </c>
      <c r="I310" s="6">
        <v>0</v>
      </c>
      <c r="J310" s="6">
        <v>0</v>
      </c>
      <c r="K310" s="6">
        <v>0</v>
      </c>
      <c r="L310" s="6">
        <v>0</v>
      </c>
      <c r="M310" s="6">
        <v>0</v>
      </c>
      <c r="N310" s="6">
        <v>0</v>
      </c>
      <c r="O310" s="4">
        <f t="shared" si="94"/>
        <v>0</v>
      </c>
      <c r="P310" s="5">
        <f>SUMIFS('Desenvolvimento diário'!$H:$H,'Desenvolvimento diário'!$Q:$Q,$B310,'Desenvolvimento diário'!$P:$P,$F310,'Desenvolvimento diário'!$R:$R,"Sim")</f>
        <v>0</v>
      </c>
      <c r="Q310" s="5">
        <f>SUMIFS('Desenvolvimento diário'!$H:$H,'Desenvolvimento diário'!$Q:$Q,$B310,'Desenvolvimento diário'!$P:$P,$F310,'Desenvolvimento diário'!$R:$R,"Não")</f>
        <v>0</v>
      </c>
      <c r="R310" s="4">
        <f t="shared" si="95"/>
        <v>0</v>
      </c>
      <c r="S310" s="4">
        <f t="shared" si="96"/>
        <v>0</v>
      </c>
      <c r="T310" s="12">
        <f t="shared" si="86"/>
        <v>0</v>
      </c>
      <c r="Y310" s="2"/>
      <c r="Z310" s="2"/>
      <c r="AA310" s="2"/>
      <c r="AB310" s="2"/>
      <c r="AC310" s="2"/>
    </row>
    <row r="311" spans="1:29" ht="10.5" hidden="1">
      <c r="A311" s="2">
        <f t="shared" si="97"/>
        <v>9</v>
      </c>
      <c r="B311" s="2" t="str">
        <f>VLOOKUP($A311,Controle!$B$4:$F$68,2,FALSE)</f>
        <v>Patos de Minas 4</v>
      </c>
      <c r="C311" s="2" t="str">
        <f>VLOOKUP($A311,Controle!$B$4:$F$68,3,FALSE)</f>
        <v xml:space="preserve">MORI GERACAO II </v>
      </c>
      <c r="D311" s="2" t="str">
        <f>VLOOKUP($A311,Controle!$B$4:$F$68,4,FALSE)</f>
        <v>Mori II</v>
      </c>
      <c r="E311" s="2">
        <f>VLOOKUP($A311,Controle!$B$4:$F$68,5,FALSE)</f>
        <v>1</v>
      </c>
      <c r="F311" s="3" t="str">
        <f t="shared" si="93"/>
        <v>Equipamentos Curva A -  Contrato Sobressalentes - SETTA</v>
      </c>
      <c r="G311" s="2" t="str">
        <f>VLOOKUP($A311,Controle!$B$4:$G$68,6,FALSE)</f>
        <v>Mori</v>
      </c>
      <c r="H311" s="6">
        <v>0</v>
      </c>
      <c r="I311" s="6">
        <v>0</v>
      </c>
      <c r="J311" s="6">
        <v>0</v>
      </c>
      <c r="K311" s="6">
        <v>0</v>
      </c>
      <c r="L311" s="6">
        <v>0</v>
      </c>
      <c r="M311" s="6">
        <v>0</v>
      </c>
      <c r="N311" s="6">
        <v>0</v>
      </c>
      <c r="O311" s="4">
        <f t="shared" si="94"/>
        <v>0</v>
      </c>
      <c r="P311" s="5">
        <f>SUMIFS('Desenvolvimento diário'!$H:$H,'Desenvolvimento diário'!$Q:$Q,$B311,'Desenvolvimento diário'!$P:$P,$F311,'Desenvolvimento diário'!$R:$R,"Sim")</f>
        <v>0</v>
      </c>
      <c r="Q311" s="5">
        <f>SUMIFS('Desenvolvimento diário'!$H:$H,'Desenvolvimento diário'!$Q:$Q,$B311,'Desenvolvimento diário'!$P:$P,$F311,'Desenvolvimento diário'!$R:$R,"Não")</f>
        <v>0</v>
      </c>
      <c r="R311" s="4">
        <f t="shared" si="95"/>
        <v>0</v>
      </c>
      <c r="S311" s="4">
        <f t="shared" si="96"/>
        <v>0</v>
      </c>
      <c r="T311" s="12">
        <f t="shared" si="86"/>
        <v>0</v>
      </c>
      <c r="Y311" s="2"/>
      <c r="Z311" s="2"/>
      <c r="AA311" s="2"/>
      <c r="AB311" s="2"/>
      <c r="AC311" s="2"/>
    </row>
    <row r="312" spans="1:29" ht="10.5" hidden="1">
      <c r="A312" s="2">
        <f t="shared" si="97"/>
        <v>9</v>
      </c>
      <c r="B312" s="2" t="str">
        <f>VLOOKUP($A312,Controle!$B$4:$F$68,2,FALSE)</f>
        <v>Patos de Minas 4</v>
      </c>
      <c r="C312" s="2" t="str">
        <f>VLOOKUP($A312,Controle!$B$4:$F$68,3,FALSE)</f>
        <v xml:space="preserve">MORI GERACAO II </v>
      </c>
      <c r="D312" s="2" t="str">
        <f>VLOOKUP($A312,Controle!$B$4:$F$68,4,FALSE)</f>
        <v>Mori II</v>
      </c>
      <c r="E312" s="2">
        <f>VLOOKUP($A312,Controle!$B$4:$F$68,5,FALSE)</f>
        <v>1</v>
      </c>
      <c r="F312" s="3" t="str">
        <f t="shared" si="93"/>
        <v>Equipamentos Curva A -  Contrato Sobressalentes - Arctech</v>
      </c>
      <c r="G312" s="2" t="str">
        <f>VLOOKUP($A312,Controle!$B$4:$G$68,6,FALSE)</f>
        <v>Mori</v>
      </c>
      <c r="H312" s="6">
        <v>0</v>
      </c>
      <c r="I312" s="6">
        <v>0</v>
      </c>
      <c r="J312" s="6">
        <v>0</v>
      </c>
      <c r="K312" s="6">
        <v>0</v>
      </c>
      <c r="L312" s="6">
        <v>0</v>
      </c>
      <c r="M312" s="6">
        <v>0</v>
      </c>
      <c r="N312" s="6">
        <v>0</v>
      </c>
      <c r="O312" s="4">
        <f t="shared" si="94"/>
        <v>0</v>
      </c>
      <c r="P312" s="5">
        <f>SUMIFS('Desenvolvimento diário'!$H:$H,'Desenvolvimento diário'!$Q:$Q,$B312,'Desenvolvimento diário'!$P:$P,$F312,'Desenvolvimento diário'!$R:$R,"Sim")</f>
        <v>0</v>
      </c>
      <c r="Q312" s="5">
        <f>SUMIFS('Desenvolvimento diário'!$H:$H,'Desenvolvimento diário'!$Q:$Q,$B312,'Desenvolvimento diário'!$P:$P,$F312,'Desenvolvimento diário'!$R:$R,"Não")</f>
        <v>0</v>
      </c>
      <c r="R312" s="4">
        <f t="shared" si="95"/>
        <v>0</v>
      </c>
      <c r="S312" s="4">
        <f t="shared" si="96"/>
        <v>0</v>
      </c>
      <c r="T312" s="12">
        <f t="shared" si="86"/>
        <v>0</v>
      </c>
      <c r="Y312" s="2"/>
      <c r="Z312" s="2"/>
      <c r="AA312" s="2"/>
      <c r="AB312" s="2"/>
      <c r="AC312" s="2"/>
    </row>
    <row r="313" spans="1:29" hidden="1">
      <c r="A313" s="2">
        <f t="shared" si="97"/>
        <v>9</v>
      </c>
      <c r="B313" s="2" t="str">
        <f>VLOOKUP($A313,Controle!$B$4:$F$68,2,FALSE)</f>
        <v>Patos de Minas 4</v>
      </c>
      <c r="C313" s="2" t="str">
        <f>VLOOKUP($A313,Controle!$B$4:$F$68,3,FALSE)</f>
        <v xml:space="preserve">MORI GERACAO II </v>
      </c>
      <c r="D313" s="2" t="str">
        <f>VLOOKUP($A313,Controle!$B$4:$F$68,4,FALSE)</f>
        <v>Mori II</v>
      </c>
      <c r="E313" s="2">
        <f>VLOOKUP($A313,Controle!$B$4:$F$68,5,FALSE)</f>
        <v>1</v>
      </c>
      <c r="F313" s="3" t="str">
        <f t="shared" si="93"/>
        <v>Equipamentos Curva A -  Contrato Sobressalentes - Romagnole</v>
      </c>
      <c r="G313" s="2" t="str">
        <f>VLOOKUP($A313,Controle!$B$4:$G$68,6,FALSE)</f>
        <v>Mori</v>
      </c>
      <c r="H313" s="7">
        <v>0</v>
      </c>
      <c r="I313" s="7">
        <v>0</v>
      </c>
      <c r="J313" s="7">
        <v>0</v>
      </c>
      <c r="K313" s="7">
        <v>0</v>
      </c>
      <c r="L313" s="7">
        <v>0</v>
      </c>
      <c r="M313" s="7">
        <v>0</v>
      </c>
      <c r="N313" s="7">
        <v>0</v>
      </c>
      <c r="O313" s="4">
        <f>SUM(I313:N313)</f>
        <v>0</v>
      </c>
      <c r="P313" s="17">
        <f>SUMIFS('Desenvolvimento diário'!$H:$H,'Desenvolvimento diário'!$Q:$Q,$B313,'Desenvolvimento diário'!$P:$P,$F313,'Desenvolvimento diário'!$R:$R,"Sim")</f>
        <v>0</v>
      </c>
      <c r="Q313" s="17">
        <f>SUMIFS('Desenvolvimento diário'!$H:$H,'Desenvolvimento diário'!$Q:$Q,$B313,'Desenvolvimento diário'!$P:$P,$F313,'Desenvolvimento diário'!$R:$R,"Não")</f>
        <v>0</v>
      </c>
      <c r="R313" s="4">
        <f t="shared" si="95"/>
        <v>0</v>
      </c>
      <c r="S313" s="4">
        <f t="shared" si="96"/>
        <v>0</v>
      </c>
      <c r="T313" s="12">
        <f t="shared" si="86"/>
        <v>0</v>
      </c>
      <c r="Y313" s="2"/>
      <c r="Z313" s="2"/>
      <c r="AA313" s="2"/>
      <c r="AB313" s="2"/>
      <c r="AC313" s="2"/>
    </row>
    <row r="314" spans="1:29" hidden="1">
      <c r="A314" s="2">
        <f t="shared" si="97"/>
        <v>9</v>
      </c>
      <c r="B314" s="2" t="str">
        <f>VLOOKUP($A314,Controle!$B$4:$F$68,2,FALSE)</f>
        <v>Patos de Minas 4</v>
      </c>
      <c r="C314" s="2" t="str">
        <f>VLOOKUP($A314,Controle!$B$4:$F$68,3,FALSE)</f>
        <v xml:space="preserve">MORI GERACAO II </v>
      </c>
      <c r="D314" s="2" t="str">
        <f>VLOOKUP($A314,Controle!$B$4:$F$68,4,FALSE)</f>
        <v>Mori II</v>
      </c>
      <c r="E314" s="2">
        <f>VLOOKUP($A314,Controle!$B$4:$F$68,5,FALSE)</f>
        <v>1</v>
      </c>
      <c r="F314" s="3" t="str">
        <f t="shared" si="93"/>
        <v>GOS FLORESTAL - (PRAD - Recuperação Area Ambiental)</v>
      </c>
      <c r="G314" s="2" t="str">
        <f>VLOOKUP($A314,Controle!$B$4:$G$68,6,FALSE)</f>
        <v>Mori</v>
      </c>
      <c r="H314" s="506" t="s">
        <v>170</v>
      </c>
      <c r="I314" s="6">
        <v>0</v>
      </c>
      <c r="J314" s="506"/>
      <c r="K314" s="506">
        <v>0</v>
      </c>
      <c r="L314" s="506">
        <v>0</v>
      </c>
      <c r="M314" s="506">
        <v>0</v>
      </c>
      <c r="N314" s="506">
        <v>0</v>
      </c>
      <c r="O314" s="39">
        <f t="shared" ref="O314:O315" si="99">SUM(I314:N314)</f>
        <v>0</v>
      </c>
      <c r="P314" s="17">
        <f>SUMIFS('Desenvolvimento diário'!$H:$H,'Desenvolvimento diário'!$Q:$Q,$B314,'Desenvolvimento diário'!$P:$P,$F314,'Desenvolvimento diário'!$R:$R,"Sim")</f>
        <v>0</v>
      </c>
      <c r="Q314" s="17">
        <f>SUMIFS('Desenvolvimento diário'!$H:$H,'Desenvolvimento diário'!$Q:$Q,$B314,'Desenvolvimento diário'!$P:$P,$F314,'Desenvolvimento diário'!$R:$R,"Não")</f>
        <v>0</v>
      </c>
      <c r="R314" s="4">
        <f t="shared" si="95"/>
        <v>0</v>
      </c>
      <c r="S314" s="4">
        <f t="shared" si="96"/>
        <v>0</v>
      </c>
      <c r="T314" s="12">
        <f t="shared" ref="T314:T315" si="100">IFERROR(R314/O314,0)</f>
        <v>0</v>
      </c>
      <c r="Y314" s="2"/>
      <c r="Z314" s="2"/>
      <c r="AA314" s="2"/>
      <c r="AB314" s="2"/>
      <c r="AC314" s="2"/>
    </row>
    <row r="315" spans="1:29" hidden="1">
      <c r="A315" s="2">
        <f t="shared" si="97"/>
        <v>9</v>
      </c>
      <c r="B315" s="2" t="str">
        <f>VLOOKUP($A315,Controle!$B$4:$F$68,2,FALSE)</f>
        <v>Patos de Minas 4</v>
      </c>
      <c r="C315" s="2" t="str">
        <f>VLOOKUP($A315,Controle!$B$4:$F$68,3,FALSE)</f>
        <v xml:space="preserve">MORI GERACAO II </v>
      </c>
      <c r="D315" s="2" t="str">
        <f>VLOOKUP($A315,Controle!$B$4:$F$68,4,FALSE)</f>
        <v>Mori II</v>
      </c>
      <c r="E315" s="2">
        <f>VLOOKUP($A315,Controle!$B$4:$F$68,5,FALSE)</f>
        <v>1</v>
      </c>
      <c r="F315" s="3" t="str">
        <f t="shared" si="93"/>
        <v>Cercamento das bacias de contenção ciclo 2</v>
      </c>
      <c r="G315" s="2" t="str">
        <f>VLOOKUP($A315,Controle!$B$4:$G$68,6,FALSE)</f>
        <v>Mori</v>
      </c>
      <c r="H315" s="506" t="s">
        <v>172</v>
      </c>
      <c r="I315" s="6"/>
      <c r="J315" s="506"/>
      <c r="K315" s="506">
        <v>0</v>
      </c>
      <c r="L315" s="506">
        <v>0</v>
      </c>
      <c r="M315" s="506">
        <v>0</v>
      </c>
      <c r="N315" s="506">
        <v>0</v>
      </c>
      <c r="O315" s="39">
        <f t="shared" si="99"/>
        <v>0</v>
      </c>
      <c r="P315" s="17">
        <f>SUMIFS('Desenvolvimento diário'!$H:$H,'Desenvolvimento diário'!$Q:$Q,$B315,'Desenvolvimento diário'!$P:$P,$F315,'Desenvolvimento diário'!$R:$R,"Sim")</f>
        <v>0</v>
      </c>
      <c r="Q315" s="17">
        <f>SUMIFS('Desenvolvimento diário'!$H:$H,'Desenvolvimento diário'!$Q:$Q,$B315,'Desenvolvimento diário'!$P:$P,$F315,'Desenvolvimento diário'!$R:$R,"Não")</f>
        <v>0</v>
      </c>
      <c r="R315" s="4">
        <f t="shared" si="95"/>
        <v>0</v>
      </c>
      <c r="S315" s="1030">
        <f t="shared" si="96"/>
        <v>0</v>
      </c>
      <c r="T315" s="12">
        <f t="shared" si="100"/>
        <v>0</v>
      </c>
      <c r="U315" s="1029" t="s">
        <v>166</v>
      </c>
      <c r="V315" s="1029" t="s">
        <v>94</v>
      </c>
      <c r="Y315" s="2"/>
      <c r="Z315" s="2"/>
      <c r="AA315" s="2"/>
      <c r="AB315" s="2"/>
      <c r="AC315" s="2"/>
    </row>
    <row r="316" spans="1:29" hidden="1">
      <c r="A316" s="8">
        <f>A313</f>
        <v>9</v>
      </c>
      <c r="B316" s="9" t="str">
        <f t="shared" ref="B316" si="101">B313</f>
        <v>Patos de Minas 4</v>
      </c>
      <c r="C316" s="9" t="str">
        <f t="shared" ref="C316" si="102">C313</f>
        <v xml:space="preserve">MORI GERACAO II </v>
      </c>
      <c r="D316" s="9" t="str">
        <f t="shared" ref="D316" si="103">D313</f>
        <v>Mori II</v>
      </c>
      <c r="E316" s="9">
        <f t="shared" ref="E316" si="104">E313</f>
        <v>1</v>
      </c>
      <c r="F316" s="10" t="s">
        <v>158</v>
      </c>
      <c r="G316" s="9" t="str">
        <f>G313</f>
        <v>Mori</v>
      </c>
      <c r="H316" s="9"/>
      <c r="I316" s="9">
        <f>SUBTOTAL(9,I282:I315)</f>
        <v>0</v>
      </c>
      <c r="J316" s="9">
        <f t="shared" ref="J316:S316" si="105">SUBTOTAL(9,J282:J315)</f>
        <v>0</v>
      </c>
      <c r="K316" s="9">
        <f t="shared" si="105"/>
        <v>0</v>
      </c>
      <c r="L316" s="9">
        <f t="shared" si="105"/>
        <v>0</v>
      </c>
      <c r="M316" s="9">
        <f t="shared" si="105"/>
        <v>0</v>
      </c>
      <c r="N316" s="9">
        <f t="shared" si="105"/>
        <v>0</v>
      </c>
      <c r="O316" s="9">
        <f t="shared" si="105"/>
        <v>0</v>
      </c>
      <c r="P316" s="9">
        <f t="shared" si="105"/>
        <v>0</v>
      </c>
      <c r="Q316" s="9">
        <f t="shared" si="105"/>
        <v>0</v>
      </c>
      <c r="R316" s="9">
        <f t="shared" si="105"/>
        <v>0</v>
      </c>
      <c r="S316" s="9">
        <f t="shared" si="105"/>
        <v>0</v>
      </c>
      <c r="T316" s="13">
        <f>IFERROR(R316/O316,0)</f>
        <v>0</v>
      </c>
      <c r="U316" s="11">
        <f>SUBTOTAL(9,U282:U315)</f>
        <v>0</v>
      </c>
      <c r="Y316" s="2"/>
      <c r="Z316" s="2"/>
      <c r="AA316" s="2"/>
      <c r="AB316" s="2"/>
      <c r="AC316" s="2"/>
    </row>
    <row r="317" spans="1:29" ht="10.5" hidden="1">
      <c r="A317" s="2">
        <f>A282+1</f>
        <v>10</v>
      </c>
      <c r="B317" s="2" t="str">
        <f>VLOOKUP($A317,Controle!$B$4:$F$68,2,FALSE)</f>
        <v>Patos de Minas 7</v>
      </c>
      <c r="C317" s="2" t="str">
        <f>VLOOKUP($A317,Controle!$B$4:$F$68,3,FALSE)</f>
        <v xml:space="preserve">MORI GERACAO II </v>
      </c>
      <c r="D317" s="2" t="str">
        <f>VLOOKUP($A317,Controle!$B$4:$F$68,4,FALSE)</f>
        <v>Mori II</v>
      </c>
      <c r="E317" s="2">
        <f>VLOOKUP($A317,Controle!$B$4:$F$68,5,FALSE)</f>
        <v>1</v>
      </c>
      <c r="F317" s="3" t="str">
        <f t="shared" ref="F317:F350" si="106">F282</f>
        <v>Conexão AT - Obras</v>
      </c>
      <c r="G317" s="2" t="str">
        <f>VLOOKUP($A317,Controle!$B$4:$G$68,6,FALSE)</f>
        <v>Mori</v>
      </c>
      <c r="H317" s="6" t="s">
        <v>141</v>
      </c>
      <c r="I317" s="29">
        <v>400000</v>
      </c>
      <c r="J317" s="6">
        <v>0</v>
      </c>
      <c r="K317" s="6">
        <v>0</v>
      </c>
      <c r="L317" s="6">
        <v>0</v>
      </c>
      <c r="M317" s="6">
        <v>0</v>
      </c>
      <c r="N317" s="6">
        <v>0</v>
      </c>
      <c r="O317" s="4">
        <f t="shared" ref="O317:O350" si="107">SUM(I317:N317)</f>
        <v>400000</v>
      </c>
      <c r="P317" s="5">
        <f>SUMIFS('Desenvolvimento diário'!$H:$H,'Desenvolvimento diário'!$Q:$Q,$B317,'Desenvolvimento diário'!$P:$P,$F317,'Desenvolvimento diário'!$R:$R,"Sim")</f>
        <v>15000</v>
      </c>
      <c r="Q317" s="5">
        <f>SUMIFS('Desenvolvimento diário'!$H:$H,'Desenvolvimento diário'!$Q:$Q,$B317,'Desenvolvimento diário'!$P:$P,$F317,'Desenvolvimento diário'!$R:$R,"Não")</f>
        <v>385000</v>
      </c>
      <c r="R317" s="4">
        <f t="shared" ref="R317:R350" si="108">SUM(P317:Q317)</f>
        <v>400000</v>
      </c>
      <c r="S317" s="27">
        <f t="shared" ref="S317:S350" si="109">O317-R317</f>
        <v>0</v>
      </c>
      <c r="T317" s="12">
        <f t="shared" si="86"/>
        <v>1</v>
      </c>
      <c r="Y317" s="2"/>
      <c r="Z317" s="2"/>
      <c r="AA317" s="2"/>
      <c r="AB317" s="2"/>
      <c r="AC317" s="2"/>
    </row>
    <row r="318" spans="1:29" ht="10.5" hidden="1">
      <c r="A318" s="2">
        <f t="shared" ref="A318:A350" si="110">A317</f>
        <v>10</v>
      </c>
      <c r="B318" s="2" t="str">
        <f>VLOOKUP($A318,Controle!$B$4:$F$68,2,FALSE)</f>
        <v>Patos de Minas 7</v>
      </c>
      <c r="C318" s="2" t="str">
        <f>VLOOKUP($A318,Controle!$B$4:$F$68,3,FALSE)</f>
        <v xml:space="preserve">MORI GERACAO II </v>
      </c>
      <c r="D318" s="2" t="str">
        <f>VLOOKUP($A318,Controle!$B$4:$F$68,4,FALSE)</f>
        <v>Mori II</v>
      </c>
      <c r="E318" s="2">
        <f>VLOOKUP($A318,Controle!$B$4:$F$68,5,FALSE)</f>
        <v>1</v>
      </c>
      <c r="F318" s="3" t="str">
        <f t="shared" si="106"/>
        <v>Conexão MT - Obras</v>
      </c>
      <c r="G318" s="2" t="str">
        <f>VLOOKUP($A318,Controle!$B$4:$G$68,6,FALSE)</f>
        <v>Mori</v>
      </c>
      <c r="H318" s="6" t="s">
        <v>168</v>
      </c>
      <c r="I318" s="6">
        <v>1281000</v>
      </c>
      <c r="J318" s="6">
        <v>1919000</v>
      </c>
      <c r="K318" s="6">
        <v>0</v>
      </c>
      <c r="L318" s="6">
        <v>0</v>
      </c>
      <c r="M318" s="6">
        <v>0</v>
      </c>
      <c r="N318" s="6">
        <v>0</v>
      </c>
      <c r="O318" s="4">
        <f t="shared" si="107"/>
        <v>3200000</v>
      </c>
      <c r="P318" s="5">
        <f>SUMIFS('Desenvolvimento diário'!$H:$H,'Desenvolvimento diário'!$Q:$Q,$B318,'Desenvolvimento diário'!$P:$P,$F318,'Desenvolvimento diário'!$R:$R,"Sim")</f>
        <v>1874597.4400000002</v>
      </c>
      <c r="Q318" s="5">
        <f>SUMIFS('Desenvolvimento diário'!$H:$H,'Desenvolvimento diário'!$Q:$Q,$B318,'Desenvolvimento diário'!$P:$P,$F318,'Desenvolvimento diário'!$R:$R,"Não")</f>
        <v>1325402.56</v>
      </c>
      <c r="R318" s="4">
        <f t="shared" si="108"/>
        <v>3200000</v>
      </c>
      <c r="S318" s="27">
        <f t="shared" si="109"/>
        <v>0</v>
      </c>
      <c r="T318" s="12">
        <f t="shared" si="86"/>
        <v>1</v>
      </c>
      <c r="Y318" s="2"/>
      <c r="Z318" s="2"/>
      <c r="AA318" s="2"/>
      <c r="AB318" s="2"/>
      <c r="AC318" s="2"/>
    </row>
    <row r="319" spans="1:29" ht="10.5" hidden="1">
      <c r="A319" s="2">
        <f t="shared" si="110"/>
        <v>10</v>
      </c>
      <c r="B319" s="2" t="str">
        <f>VLOOKUP($A319,Controle!$B$4:$F$68,2,FALSE)</f>
        <v>Patos de Minas 7</v>
      </c>
      <c r="C319" s="2" t="str">
        <f>VLOOKUP($A319,Controle!$B$4:$F$68,3,FALSE)</f>
        <v xml:space="preserve">MORI GERACAO II </v>
      </c>
      <c r="D319" s="2" t="str">
        <f>VLOOKUP($A319,Controle!$B$4:$F$68,4,FALSE)</f>
        <v>Mori II</v>
      </c>
      <c r="E319" s="2">
        <f>VLOOKUP($A319,Controle!$B$4:$F$68,5,FALSE)</f>
        <v>1</v>
      </c>
      <c r="F319" s="3" t="str">
        <f t="shared" si="106"/>
        <v>Construção - Serviços de Construção</v>
      </c>
      <c r="G319" s="2" t="str">
        <f>VLOOKUP($A319,Controle!$B$4:$G$68,6,FALSE)</f>
        <v>Mori</v>
      </c>
      <c r="H319" s="6" t="s">
        <v>142</v>
      </c>
      <c r="I319" s="6">
        <v>1338240</v>
      </c>
      <c r="J319" s="6">
        <v>0</v>
      </c>
      <c r="K319" s="6">
        <v>0</v>
      </c>
      <c r="L319" s="6">
        <v>0</v>
      </c>
      <c r="M319" s="6">
        <v>0</v>
      </c>
      <c r="N319" s="6">
        <v>0</v>
      </c>
      <c r="O319" s="4">
        <f t="shared" si="107"/>
        <v>1338240</v>
      </c>
      <c r="P319" s="5">
        <f>SUMIFS('Desenvolvimento diário'!$H:$H,'Desenvolvimento diário'!$Q:$Q,$B319,'Desenvolvimento diário'!$P:$P,$F319,'Desenvolvimento diário'!$R:$R,"Sim")</f>
        <v>456475.81999999995</v>
      </c>
      <c r="Q319" s="5">
        <f>SUMIFS('Desenvolvimento diário'!$H:$H,'Desenvolvimento diário'!$Q:$Q,$B319,'Desenvolvimento diário'!$P:$P,$F319,'Desenvolvimento diário'!$R:$R,"Não")</f>
        <v>878852.26</v>
      </c>
      <c r="R319" s="4">
        <f t="shared" si="108"/>
        <v>1335328.08</v>
      </c>
      <c r="S319" s="33">
        <f t="shared" si="109"/>
        <v>2911.9199999999255</v>
      </c>
      <c r="T319" s="12">
        <f t="shared" si="86"/>
        <v>0.99782406743185081</v>
      </c>
      <c r="U319" s="510" t="s">
        <v>162</v>
      </c>
      <c r="V319" s="510" t="s">
        <v>163</v>
      </c>
      <c r="Y319" s="2"/>
      <c r="Z319" s="2"/>
      <c r="AA319" s="2"/>
      <c r="AB319" s="2"/>
      <c r="AC319" s="2"/>
    </row>
    <row r="320" spans="1:29" ht="10.5" hidden="1">
      <c r="A320" s="2">
        <f t="shared" si="110"/>
        <v>10</v>
      </c>
      <c r="B320" s="2" t="str">
        <f>VLOOKUP($A320,Controle!$B$4:$F$68,2,FALSE)</f>
        <v>Patos de Minas 7</v>
      </c>
      <c r="C320" s="2" t="str">
        <f>VLOOKUP($A320,Controle!$B$4:$F$68,3,FALSE)</f>
        <v xml:space="preserve">MORI GERACAO II </v>
      </c>
      <c r="D320" s="2" t="str">
        <f>VLOOKUP($A320,Controle!$B$4:$F$68,4,FALSE)</f>
        <v>Mori II</v>
      </c>
      <c r="E320" s="2">
        <f>VLOOKUP($A320,Controle!$B$4:$F$68,5,FALSE)</f>
        <v>1</v>
      </c>
      <c r="F320" s="3" t="str">
        <f t="shared" si="106"/>
        <v>Construção - Serviços de Construção - Substituição</v>
      </c>
      <c r="G320" s="2" t="str">
        <f>VLOOKUP($A320,Controle!$B$4:$G$68,6,FALSE)</f>
        <v>Mori</v>
      </c>
      <c r="H320" s="6" t="s">
        <v>178</v>
      </c>
      <c r="I320" s="6">
        <v>2334800</v>
      </c>
      <c r="J320" s="6">
        <v>361581.72</v>
      </c>
      <c r="K320" s="6">
        <v>0</v>
      </c>
      <c r="L320" s="6">
        <v>0</v>
      </c>
      <c r="M320" s="6">
        <v>0</v>
      </c>
      <c r="N320" s="6">
        <v>0</v>
      </c>
      <c r="O320" s="4">
        <f t="shared" si="107"/>
        <v>2696381.7199999997</v>
      </c>
      <c r="P320" s="5">
        <f>SUMIFS('Desenvolvimento diário'!$H:$H,'Desenvolvimento diário'!$Q:$Q,$B320,'Desenvolvimento diário'!$P:$P,$F320,'Desenvolvimento diário'!$R:$R,"Sim")</f>
        <v>879891.57000000018</v>
      </c>
      <c r="Q320" s="5">
        <f>SUMIFS('Desenvolvimento diário'!$H:$H,'Desenvolvimento diário'!$Q:$Q,$B320,'Desenvolvimento diário'!$P:$P,$F320,'Desenvolvimento diário'!$R:$R,"Não")</f>
        <v>1473963.99</v>
      </c>
      <c r="R320" s="4">
        <f t="shared" si="108"/>
        <v>2353855.56</v>
      </c>
      <c r="S320" s="33">
        <f t="shared" si="109"/>
        <v>342526.15999999968</v>
      </c>
      <c r="T320" s="12">
        <f t="shared" si="86"/>
        <v>0.87296822350509051</v>
      </c>
      <c r="U320" s="510" t="s">
        <v>162</v>
      </c>
      <c r="V320" s="510" t="s">
        <v>163</v>
      </c>
      <c r="Y320" s="2"/>
      <c r="Z320" s="2"/>
      <c r="AA320" s="2"/>
      <c r="AB320" s="2"/>
      <c r="AC320" s="2"/>
    </row>
    <row r="321" spans="1:29" s="34" customFormat="1" ht="10.5" hidden="1">
      <c r="A321" s="2">
        <f t="shared" si="110"/>
        <v>10</v>
      </c>
      <c r="B321" s="2" t="str">
        <f>VLOOKUP($A321,Controle!$B$4:$F$68,2,FALSE)</f>
        <v>Patos de Minas 7</v>
      </c>
      <c r="C321" s="2" t="str">
        <f>VLOOKUP($A321,Controle!$B$4:$F$68,3,FALSE)</f>
        <v xml:space="preserve">MORI GERACAO II </v>
      </c>
      <c r="D321" s="2" t="str">
        <f>VLOOKUP($A321,Controle!$B$4:$F$68,4,FALSE)</f>
        <v>Mori II</v>
      </c>
      <c r="E321" s="2">
        <f>VLOOKUP($A321,Controle!$B$4:$F$68,5,FALSE)</f>
        <v>1</v>
      </c>
      <c r="F321" s="3" t="str">
        <f t="shared" si="106"/>
        <v>Construção - RDA Interno</v>
      </c>
      <c r="G321" s="2" t="str">
        <f>VLOOKUP($A321,Controle!$B$4:$G$68,6,FALSE)</f>
        <v>Mori</v>
      </c>
      <c r="H321" s="6" t="s">
        <v>168</v>
      </c>
      <c r="I321" s="6">
        <v>330000</v>
      </c>
      <c r="J321" s="6">
        <v>0</v>
      </c>
      <c r="K321" s="6">
        <v>0</v>
      </c>
      <c r="L321" s="6">
        <v>0</v>
      </c>
      <c r="M321" s="6">
        <v>0</v>
      </c>
      <c r="N321" s="6">
        <v>0</v>
      </c>
      <c r="O321" s="4">
        <f t="shared" si="107"/>
        <v>330000</v>
      </c>
      <c r="P321" s="5">
        <f>SUMIFS('Desenvolvimento diário'!$H:$H,'Desenvolvimento diário'!$Q:$Q,$B321,'Desenvolvimento diário'!$P:$P,$F321,'Desenvolvimento diário'!$R:$R,"Sim")</f>
        <v>140698.23000000001</v>
      </c>
      <c r="Q321" s="5">
        <f>SUMIFS('Desenvolvimento diário'!$H:$H,'Desenvolvimento diário'!$Q:$Q,$B321,'Desenvolvimento diário'!$P:$P,$F321,'Desenvolvimento diário'!$R:$R,"Não")</f>
        <v>189301.77</v>
      </c>
      <c r="R321" s="4">
        <f t="shared" si="108"/>
        <v>330000</v>
      </c>
      <c r="S321" s="4">
        <f t="shared" si="109"/>
        <v>0</v>
      </c>
      <c r="T321" s="12">
        <f t="shared" si="86"/>
        <v>1</v>
      </c>
      <c r="U321" s="2"/>
    </row>
    <row r="322" spans="1:29" ht="10.5" hidden="1">
      <c r="A322" s="2">
        <f t="shared" si="110"/>
        <v>10</v>
      </c>
      <c r="B322" s="2" t="str">
        <f>VLOOKUP($A322,Controle!$B$4:$F$68,2,FALSE)</f>
        <v>Patos de Minas 7</v>
      </c>
      <c r="C322" s="2" t="str">
        <f>VLOOKUP($A322,Controle!$B$4:$F$68,3,FALSE)</f>
        <v xml:space="preserve">MORI GERACAO II </v>
      </c>
      <c r="D322" s="2" t="str">
        <f>VLOOKUP($A322,Controle!$B$4:$F$68,4,FALSE)</f>
        <v>Mori II</v>
      </c>
      <c r="E322" s="2">
        <f>VLOOKUP($A322,Controle!$B$4:$F$68,5,FALSE)</f>
        <v>1</v>
      </c>
      <c r="F322" s="3" t="str">
        <f t="shared" si="106"/>
        <v>Full EPC - Contrato</v>
      </c>
      <c r="G322" s="2" t="str">
        <f>VLOOKUP($A322,Controle!$B$4:$G$68,6,FALSE)</f>
        <v>Mori</v>
      </c>
      <c r="H322" s="6">
        <v>0</v>
      </c>
      <c r="I322" s="6">
        <v>0</v>
      </c>
      <c r="J322" s="6">
        <v>0</v>
      </c>
      <c r="K322" s="6">
        <v>0</v>
      </c>
      <c r="L322" s="6">
        <v>0</v>
      </c>
      <c r="M322" s="6">
        <v>0</v>
      </c>
      <c r="N322" s="6">
        <v>0</v>
      </c>
      <c r="O322" s="4">
        <f t="shared" si="107"/>
        <v>0</v>
      </c>
      <c r="P322" s="5">
        <f>SUMIFS('Desenvolvimento diário'!$H:$H,'Desenvolvimento diário'!$Q:$Q,$B322,'Desenvolvimento diário'!$P:$P,$F322,'Desenvolvimento diário'!$R:$R,"Sim")</f>
        <v>0</v>
      </c>
      <c r="Q322" s="5">
        <f>SUMIFS('Desenvolvimento diário'!$H:$H,'Desenvolvimento diário'!$Q:$Q,$B322,'Desenvolvimento diário'!$P:$P,$F322,'Desenvolvimento diário'!$R:$R,"Não")</f>
        <v>0</v>
      </c>
      <c r="R322" s="4">
        <f t="shared" si="108"/>
        <v>0</v>
      </c>
      <c r="S322" s="4">
        <f t="shared" si="109"/>
        <v>0</v>
      </c>
      <c r="T322" s="12">
        <f t="shared" si="86"/>
        <v>0</v>
      </c>
      <c r="Y322" s="2"/>
      <c r="Z322" s="2"/>
      <c r="AA322" s="2"/>
      <c r="AB322" s="2"/>
      <c r="AC322" s="2"/>
    </row>
    <row r="323" spans="1:29" ht="10.5" hidden="1">
      <c r="A323" s="2">
        <f t="shared" si="110"/>
        <v>10</v>
      </c>
      <c r="B323" s="2" t="str">
        <f>VLOOKUP($A323,Controle!$B$4:$F$68,2,FALSE)</f>
        <v>Patos de Minas 7</v>
      </c>
      <c r="C323" s="2" t="str">
        <f>VLOOKUP($A323,Controle!$B$4:$F$68,3,FALSE)</f>
        <v xml:space="preserve">MORI GERACAO II </v>
      </c>
      <c r="D323" s="2" t="str">
        <f>VLOOKUP($A323,Controle!$B$4:$F$68,4,FALSE)</f>
        <v>Mori II</v>
      </c>
      <c r="E323" s="2">
        <f>VLOOKUP($A323,Controle!$B$4:$F$68,5,FALSE)</f>
        <v>1</v>
      </c>
      <c r="F323" s="3" t="str">
        <f t="shared" si="106"/>
        <v>Equipamentos Curva A - Outros (Transformadores)</v>
      </c>
      <c r="G323" s="2" t="str">
        <f>VLOOKUP($A323,Controle!$B$4:$G$68,6,FALSE)</f>
        <v>Mori</v>
      </c>
      <c r="H323" s="6">
        <v>0</v>
      </c>
      <c r="I323" s="6">
        <v>0</v>
      </c>
      <c r="J323" s="6">
        <v>0</v>
      </c>
      <c r="K323" s="6">
        <v>0</v>
      </c>
      <c r="L323" s="6">
        <v>0</v>
      </c>
      <c r="M323" s="6">
        <v>0</v>
      </c>
      <c r="N323" s="6">
        <v>0</v>
      </c>
      <c r="O323" s="4">
        <f t="shared" si="107"/>
        <v>0</v>
      </c>
      <c r="P323" s="5">
        <f>SUMIFS('Desenvolvimento diário'!$H:$H,'Desenvolvimento diário'!$Q:$Q,$B323,'Desenvolvimento diário'!$P:$P,$F323,'Desenvolvimento diário'!$R:$R,"Sim")</f>
        <v>0</v>
      </c>
      <c r="Q323" s="5">
        <f>SUMIFS('Desenvolvimento diário'!$H:$H,'Desenvolvimento diário'!$Q:$Q,$B323,'Desenvolvimento diário'!$P:$P,$F323,'Desenvolvimento diário'!$R:$R,"Não")</f>
        <v>0</v>
      </c>
      <c r="R323" s="4">
        <f t="shared" si="108"/>
        <v>0</v>
      </c>
      <c r="S323" s="4">
        <f t="shared" si="109"/>
        <v>0</v>
      </c>
      <c r="T323" s="12">
        <f t="shared" si="86"/>
        <v>0</v>
      </c>
      <c r="Y323" s="2"/>
      <c r="Z323" s="2"/>
      <c r="AA323" s="2"/>
      <c r="AB323" s="2"/>
      <c r="AC323" s="2"/>
    </row>
    <row r="324" spans="1:29" ht="10.5" hidden="1">
      <c r="A324" s="2">
        <f t="shared" si="110"/>
        <v>10</v>
      </c>
      <c r="B324" s="2" t="str">
        <f>VLOOKUP($A324,Controle!$B$4:$F$68,2,FALSE)</f>
        <v>Patos de Minas 7</v>
      </c>
      <c r="C324" s="2" t="str">
        <f>VLOOKUP($A324,Controle!$B$4:$F$68,3,FALSE)</f>
        <v xml:space="preserve">MORI GERACAO II </v>
      </c>
      <c r="D324" s="2" t="str">
        <f>VLOOKUP($A324,Controle!$B$4:$F$68,4,FALSE)</f>
        <v>Mori II</v>
      </c>
      <c r="E324" s="2">
        <f>VLOOKUP($A324,Controle!$B$4:$F$68,5,FALSE)</f>
        <v>1</v>
      </c>
      <c r="F324" s="3" t="str">
        <f t="shared" si="106"/>
        <v>Equipamentos Curva A - Outros (Cabine + Skid)</v>
      </c>
      <c r="G324" s="2" t="str">
        <f>VLOOKUP($A324,Controle!$B$4:$G$68,6,FALSE)</f>
        <v>Mori</v>
      </c>
      <c r="H324" s="6">
        <v>0</v>
      </c>
      <c r="I324" s="6">
        <v>0</v>
      </c>
      <c r="J324" s="6">
        <v>0</v>
      </c>
      <c r="K324" s="6">
        <v>0</v>
      </c>
      <c r="L324" s="6">
        <v>0</v>
      </c>
      <c r="M324" s="6">
        <v>0</v>
      </c>
      <c r="N324" s="6">
        <v>0</v>
      </c>
      <c r="O324" s="4">
        <f t="shared" si="107"/>
        <v>0</v>
      </c>
      <c r="P324" s="5">
        <f>SUMIFS('Desenvolvimento diário'!$H:$H,'Desenvolvimento diário'!$Q:$Q,$B324,'Desenvolvimento diário'!$P:$P,$F324,'Desenvolvimento diário'!$R:$R,"Sim")</f>
        <v>0</v>
      </c>
      <c r="Q324" s="5">
        <f>SUMIFS('Desenvolvimento diário'!$H:$H,'Desenvolvimento diário'!$Q:$Q,$B324,'Desenvolvimento diário'!$P:$P,$F324,'Desenvolvimento diário'!$R:$R,"Não")</f>
        <v>0</v>
      </c>
      <c r="R324" s="4">
        <f t="shared" si="108"/>
        <v>0</v>
      </c>
      <c r="S324" s="4">
        <f t="shared" si="109"/>
        <v>0</v>
      </c>
      <c r="T324" s="12">
        <f t="shared" si="86"/>
        <v>0</v>
      </c>
      <c r="Y324" s="2"/>
      <c r="Z324" s="2"/>
      <c r="AA324" s="2"/>
      <c r="AB324" s="2"/>
      <c r="AC324" s="2"/>
    </row>
    <row r="325" spans="1:29" ht="10.5" hidden="1">
      <c r="A325" s="2">
        <f t="shared" si="110"/>
        <v>10</v>
      </c>
      <c r="B325" s="2" t="str">
        <f>VLOOKUP($A325,Controle!$B$4:$F$68,2,FALSE)</f>
        <v>Patos de Minas 7</v>
      </c>
      <c r="C325" s="2" t="str">
        <f>VLOOKUP($A325,Controle!$B$4:$F$68,3,FALSE)</f>
        <v xml:space="preserve">MORI GERACAO II </v>
      </c>
      <c r="D325" s="2" t="str">
        <f>VLOOKUP($A325,Controle!$B$4:$F$68,4,FALSE)</f>
        <v>Mori II</v>
      </c>
      <c r="E325" s="2">
        <f>VLOOKUP($A325,Controle!$B$4:$F$68,5,FALSE)</f>
        <v>1</v>
      </c>
      <c r="F325" s="3" t="str">
        <f t="shared" si="106"/>
        <v>Equipamentos Curva A - Outros (Cabine + Skid + Transformador)</v>
      </c>
      <c r="G325" s="2" t="str">
        <f>VLOOKUP($A325,Controle!$B$4:$G$68,6,FALSE)</f>
        <v>Mori</v>
      </c>
      <c r="H325" s="6" t="s">
        <v>144</v>
      </c>
      <c r="I325" s="6">
        <v>842190.89677800005</v>
      </c>
      <c r="J325" s="6">
        <v>0</v>
      </c>
      <c r="K325" s="6">
        <v>0</v>
      </c>
      <c r="L325" s="6">
        <v>0</v>
      </c>
      <c r="M325" s="6">
        <v>0</v>
      </c>
      <c r="N325" s="6">
        <v>0</v>
      </c>
      <c r="O325" s="4">
        <f t="shared" si="107"/>
        <v>842190.89677800005</v>
      </c>
      <c r="P325" s="5">
        <f>SUMIFS('Desenvolvimento diário'!$H:$H,'Desenvolvimento diário'!$Q:$Q,$B325,'Desenvolvimento diário'!$P:$P,$F325,'Desenvolvimento diário'!$R:$R,"Sim")</f>
        <v>0</v>
      </c>
      <c r="Q325" s="5">
        <f>SUMIFS('Desenvolvimento diário'!$H:$H,'Desenvolvimento diário'!$Q:$Q,$B325,'Desenvolvimento diário'!$P:$P,$F325,'Desenvolvimento diário'!$R:$R,"Não")</f>
        <v>842190.89677800005</v>
      </c>
      <c r="R325" s="4">
        <f t="shared" si="108"/>
        <v>842190.89677800005</v>
      </c>
      <c r="S325" s="4">
        <f t="shared" si="109"/>
        <v>0</v>
      </c>
      <c r="T325" s="12">
        <f t="shared" si="86"/>
        <v>1</v>
      </c>
      <c r="Y325" s="2"/>
      <c r="Z325" s="2"/>
      <c r="AA325" s="2"/>
      <c r="AB325" s="2"/>
      <c r="AC325" s="2"/>
    </row>
    <row r="326" spans="1:29" ht="10.5" hidden="1">
      <c r="A326" s="2">
        <f t="shared" si="110"/>
        <v>10</v>
      </c>
      <c r="B326" s="2" t="str">
        <f>VLOOKUP($A326,Controle!$B$4:$F$68,2,FALSE)</f>
        <v>Patos de Minas 7</v>
      </c>
      <c r="C326" s="2" t="str">
        <f>VLOOKUP($A326,Controle!$B$4:$F$68,3,FALSE)</f>
        <v xml:space="preserve">MORI GERACAO II </v>
      </c>
      <c r="D326" s="2" t="str">
        <f>VLOOKUP($A326,Controle!$B$4:$F$68,4,FALSE)</f>
        <v>Mori II</v>
      </c>
      <c r="E326" s="2">
        <f>VLOOKUP($A326,Controle!$B$4:$F$68,5,FALSE)</f>
        <v>1</v>
      </c>
      <c r="F326" s="3" t="str">
        <f t="shared" si="106"/>
        <v>Desenvolvimento de projeto - Projetos - (Eng° Proprietario)</v>
      </c>
      <c r="G326" s="2" t="str">
        <f>VLOOKUP($A326,Controle!$B$4:$G$68,6,FALSE)</f>
        <v>Mori</v>
      </c>
      <c r="H326" s="6" t="s">
        <v>145</v>
      </c>
      <c r="I326" s="6">
        <v>0</v>
      </c>
      <c r="J326" s="6">
        <v>0</v>
      </c>
      <c r="K326" s="6">
        <v>0</v>
      </c>
      <c r="L326" s="6">
        <v>0</v>
      </c>
      <c r="M326" s="6">
        <v>0</v>
      </c>
      <c r="N326" s="6">
        <v>0</v>
      </c>
      <c r="O326" s="4">
        <f t="shared" si="107"/>
        <v>0</v>
      </c>
      <c r="P326" s="5">
        <f>SUMIFS('Desenvolvimento diário'!$H:$H,'Desenvolvimento diário'!$Q:$Q,$B326,'Desenvolvimento diário'!$P:$P,$F326,'Desenvolvimento diário'!$R:$R,"Sim")</f>
        <v>0</v>
      </c>
      <c r="Q326" s="5">
        <f>SUMIFS('Desenvolvimento diário'!$H:$H,'Desenvolvimento diário'!$Q:$Q,$B326,'Desenvolvimento diário'!$P:$P,$F326,'Desenvolvimento diário'!$R:$R,"Não")</f>
        <v>0</v>
      </c>
      <c r="R326" s="4">
        <f t="shared" si="108"/>
        <v>0</v>
      </c>
      <c r="S326" s="4">
        <f t="shared" si="109"/>
        <v>0</v>
      </c>
      <c r="T326" s="12">
        <f t="shared" si="86"/>
        <v>0</v>
      </c>
      <c r="Y326" s="2"/>
      <c r="Z326" s="2"/>
      <c r="AA326" s="2"/>
      <c r="AB326" s="2"/>
      <c r="AC326" s="2"/>
    </row>
    <row r="327" spans="1:29" ht="10.5" hidden="1">
      <c r="A327" s="2">
        <f t="shared" si="110"/>
        <v>10</v>
      </c>
      <c r="B327" s="2" t="str">
        <f>VLOOKUP($A327,Controle!$B$4:$F$68,2,FALSE)</f>
        <v>Patos de Minas 7</v>
      </c>
      <c r="C327" s="2" t="str">
        <f>VLOOKUP($A327,Controle!$B$4:$F$68,3,FALSE)</f>
        <v xml:space="preserve">MORI GERACAO II </v>
      </c>
      <c r="D327" s="2" t="str">
        <f>VLOOKUP($A327,Controle!$B$4:$F$68,4,FALSE)</f>
        <v>Mori II</v>
      </c>
      <c r="E327" s="2">
        <f>VLOOKUP($A327,Controle!$B$4:$F$68,5,FALSE)</f>
        <v>1</v>
      </c>
      <c r="F327" s="3" t="str">
        <f t="shared" si="106"/>
        <v>Desenvolvimento de projeto - Projetos - Executivos</v>
      </c>
      <c r="G327" s="2" t="str">
        <f>VLOOKUP($A327,Controle!$B$4:$G$68,6,FALSE)</f>
        <v>Mori</v>
      </c>
      <c r="H327" s="6" t="s">
        <v>146</v>
      </c>
      <c r="I327" s="6">
        <v>36466</v>
      </c>
      <c r="J327" s="6">
        <v>0</v>
      </c>
      <c r="K327" s="6">
        <v>0</v>
      </c>
      <c r="L327" s="6">
        <v>0</v>
      </c>
      <c r="M327" s="6">
        <v>0</v>
      </c>
      <c r="N327" s="6">
        <v>0</v>
      </c>
      <c r="O327" s="4">
        <f>SUM(I327:N327)+0.7</f>
        <v>36466.699999999997</v>
      </c>
      <c r="P327" s="5">
        <f>SUMIFS('Desenvolvimento diário'!$H:$H,'Desenvolvimento diário'!$Q:$Q,$B327,'Desenvolvimento diário'!$P:$P,$F327,'Desenvolvimento diário'!$R:$R,"Sim")</f>
        <v>0</v>
      </c>
      <c r="Q327" s="5">
        <f>SUMIFS('Desenvolvimento diário'!$H:$H,'Desenvolvimento diário'!$Q:$Q,$B327,'Desenvolvimento diário'!$P:$P,$F327,'Desenvolvimento diário'!$R:$R,"Não")</f>
        <v>36466.699999999997</v>
      </c>
      <c r="R327" s="4">
        <f t="shared" si="108"/>
        <v>36466.699999999997</v>
      </c>
      <c r="S327" s="93">
        <f t="shared" si="109"/>
        <v>0</v>
      </c>
      <c r="T327" s="12">
        <f t="shared" si="86"/>
        <v>1</v>
      </c>
      <c r="Y327" s="2"/>
      <c r="Z327" s="2"/>
      <c r="AA327" s="2"/>
      <c r="AB327" s="2"/>
      <c r="AC327" s="2"/>
    </row>
    <row r="328" spans="1:29" ht="10.5" hidden="1">
      <c r="A328" s="2">
        <f t="shared" si="110"/>
        <v>10</v>
      </c>
      <c r="B328" s="2" t="str">
        <f>VLOOKUP($A328,Controle!$B$4:$F$68,2,FALSE)</f>
        <v>Patos de Minas 7</v>
      </c>
      <c r="C328" s="2" t="str">
        <f>VLOOKUP($A328,Controle!$B$4:$F$68,3,FALSE)</f>
        <v xml:space="preserve">MORI GERACAO II </v>
      </c>
      <c r="D328" s="2" t="str">
        <f>VLOOKUP($A328,Controle!$B$4:$F$68,4,FALSE)</f>
        <v>Mori II</v>
      </c>
      <c r="E328" s="2">
        <f>VLOOKUP($A328,Controle!$B$4:$F$68,5,FALSE)</f>
        <v>1</v>
      </c>
      <c r="F328" s="3" t="str">
        <f t="shared" si="106"/>
        <v>Desenvolvimento de projeto - Projetos Básica</v>
      </c>
      <c r="G328" s="2" t="str">
        <f>VLOOKUP($A328,Controle!$B$4:$G$68,6,FALSE)</f>
        <v>Mori</v>
      </c>
      <c r="H328" s="6">
        <v>0</v>
      </c>
      <c r="I328" s="6">
        <v>0</v>
      </c>
      <c r="J328" s="6">
        <v>0</v>
      </c>
      <c r="K328" s="6">
        <v>0</v>
      </c>
      <c r="L328" s="6">
        <v>0</v>
      </c>
      <c r="M328" s="6">
        <v>0</v>
      </c>
      <c r="N328" s="6">
        <v>0</v>
      </c>
      <c r="O328" s="4">
        <f t="shared" si="107"/>
        <v>0</v>
      </c>
      <c r="P328" s="5">
        <f>SUMIFS('Desenvolvimento diário'!$H:$H,'Desenvolvimento diário'!$Q:$Q,$B328,'Desenvolvimento diário'!$P:$P,$F328,'Desenvolvimento diário'!$R:$R,"Sim")</f>
        <v>0</v>
      </c>
      <c r="Q328" s="5">
        <f>SUMIFS('Desenvolvimento diário'!$H:$H,'Desenvolvimento diário'!$Q:$Q,$B328,'Desenvolvimento diário'!$P:$P,$F328,'Desenvolvimento diário'!$R:$R,"Não")</f>
        <v>0</v>
      </c>
      <c r="R328" s="4">
        <f t="shared" si="108"/>
        <v>0</v>
      </c>
      <c r="S328" s="4">
        <f t="shared" si="109"/>
        <v>0</v>
      </c>
      <c r="T328" s="12">
        <f t="shared" si="86"/>
        <v>0</v>
      </c>
      <c r="Y328" s="2"/>
      <c r="Z328" s="2"/>
      <c r="AA328" s="2"/>
      <c r="AB328" s="2"/>
      <c r="AC328" s="2"/>
    </row>
    <row r="329" spans="1:29" ht="10.5" hidden="1">
      <c r="A329" s="2">
        <f t="shared" si="110"/>
        <v>10</v>
      </c>
      <c r="B329" s="2" t="str">
        <f>VLOOKUP($A329,Controle!$B$4:$F$68,2,FALSE)</f>
        <v>Patos de Minas 7</v>
      </c>
      <c r="C329" s="2" t="str">
        <f>VLOOKUP($A329,Controle!$B$4:$F$68,3,FALSE)</f>
        <v xml:space="preserve">MORI GERACAO II </v>
      </c>
      <c r="D329" s="2" t="str">
        <f>VLOOKUP($A329,Controle!$B$4:$F$68,4,FALSE)</f>
        <v>Mori II</v>
      </c>
      <c r="E329" s="2">
        <f>VLOOKUP($A329,Controle!$B$4:$F$68,5,FALSE)</f>
        <v>1</v>
      </c>
      <c r="F329" s="3" t="str">
        <f t="shared" si="106"/>
        <v>Desenvolvimento de projeto - Projetos Detalhada</v>
      </c>
      <c r="G329" s="2" t="str">
        <f>VLOOKUP($A329,Controle!$B$4:$G$68,6,FALSE)</f>
        <v>Mori</v>
      </c>
      <c r="H329" s="6">
        <v>0</v>
      </c>
      <c r="I329" s="6">
        <v>0</v>
      </c>
      <c r="J329" s="6">
        <v>0</v>
      </c>
      <c r="K329" s="6">
        <v>0</v>
      </c>
      <c r="L329" s="6">
        <v>0</v>
      </c>
      <c r="M329" s="6">
        <v>0</v>
      </c>
      <c r="N329" s="6">
        <v>0</v>
      </c>
      <c r="O329" s="4">
        <f t="shared" si="107"/>
        <v>0</v>
      </c>
      <c r="P329" s="5">
        <f>SUMIFS('Desenvolvimento diário'!$H:$H,'Desenvolvimento diário'!$Q:$Q,$B329,'Desenvolvimento diário'!$P:$P,$F329,'Desenvolvimento diário'!$R:$R,"Sim")</f>
        <v>0</v>
      </c>
      <c r="Q329" s="5">
        <f>SUMIFS('Desenvolvimento diário'!$H:$H,'Desenvolvimento diário'!$Q:$Q,$B329,'Desenvolvimento diário'!$P:$P,$F329,'Desenvolvimento diário'!$R:$R,"Não")</f>
        <v>0</v>
      </c>
      <c r="R329" s="4">
        <f t="shared" si="108"/>
        <v>0</v>
      </c>
      <c r="S329" s="4">
        <f t="shared" si="109"/>
        <v>0</v>
      </c>
      <c r="T329" s="12">
        <f t="shared" si="86"/>
        <v>0</v>
      </c>
      <c r="Y329" s="2"/>
      <c r="Z329" s="2"/>
      <c r="AA329" s="2"/>
      <c r="AB329" s="2"/>
      <c r="AC329" s="2"/>
    </row>
    <row r="330" spans="1:29" ht="10.5" hidden="1">
      <c r="A330" s="2">
        <f t="shared" si="110"/>
        <v>10</v>
      </c>
      <c r="B330" s="2" t="str">
        <f>VLOOKUP($A330,Controle!$B$4:$F$68,2,FALSE)</f>
        <v>Patos de Minas 7</v>
      </c>
      <c r="C330" s="2" t="str">
        <f>VLOOKUP($A330,Controle!$B$4:$F$68,3,FALSE)</f>
        <v xml:space="preserve">MORI GERACAO II </v>
      </c>
      <c r="D330" s="2" t="str">
        <f>VLOOKUP($A330,Controle!$B$4:$F$68,4,FALSE)</f>
        <v>Mori II</v>
      </c>
      <c r="E330" s="2">
        <f>VLOOKUP($A330,Controle!$B$4:$F$68,5,FALSE)</f>
        <v>1</v>
      </c>
      <c r="F330" s="3" t="str">
        <f t="shared" si="106"/>
        <v>Desenvolvimento de projeto - Ambiental / Outros</v>
      </c>
      <c r="G330" s="2" t="str">
        <f>VLOOKUP($A330,Controle!$B$4:$G$68,6,FALSE)</f>
        <v>Mori</v>
      </c>
      <c r="H330" s="6" t="s">
        <v>148</v>
      </c>
      <c r="I330" s="6">
        <f>R330</f>
        <v>136782.78</v>
      </c>
      <c r="J330" s="6">
        <v>0</v>
      </c>
      <c r="K330" s="6">
        <v>0</v>
      </c>
      <c r="L330" s="6">
        <v>0</v>
      </c>
      <c r="M330" s="6">
        <v>0</v>
      </c>
      <c r="N330" s="6">
        <v>0</v>
      </c>
      <c r="O330" s="4">
        <f t="shared" si="107"/>
        <v>136782.78</v>
      </c>
      <c r="P330" s="5">
        <f>SUMIFS('Desenvolvimento diário'!$H:$H,'Desenvolvimento diário'!$Q:$Q,$B330,'Desenvolvimento diário'!$P:$P,$F330,'Desenvolvimento diário'!$R:$R,"Sim")</f>
        <v>0</v>
      </c>
      <c r="Q330" s="5">
        <f>SUMIFS('Desenvolvimento diário'!$H:$H,'Desenvolvimento diário'!$Q:$Q,$B330,'Desenvolvimento diário'!$P:$P,$F330,'Desenvolvimento diário'!$R:$R,"Não")</f>
        <v>136782.78</v>
      </c>
      <c r="R330" s="4">
        <f t="shared" si="108"/>
        <v>136782.78</v>
      </c>
      <c r="S330" s="4">
        <f t="shared" si="109"/>
        <v>0</v>
      </c>
      <c r="T330" s="12">
        <f t="shared" si="86"/>
        <v>1</v>
      </c>
      <c r="Y330" s="2"/>
      <c r="Z330" s="2"/>
      <c r="AA330" s="2"/>
      <c r="AB330" s="2"/>
      <c r="AC330" s="2"/>
    </row>
    <row r="331" spans="1:29" hidden="1">
      <c r="A331" s="2">
        <f t="shared" si="110"/>
        <v>10</v>
      </c>
      <c r="B331" s="2" t="str">
        <f>VLOOKUP($A331,Controle!$B$4:$F$68,2,FALSE)</f>
        <v>Patos de Minas 7</v>
      </c>
      <c r="C331" s="2" t="str">
        <f>VLOOKUP($A331,Controle!$B$4:$F$68,3,FALSE)</f>
        <v xml:space="preserve">MORI GERACAO II </v>
      </c>
      <c r="D331" s="2" t="str">
        <f>VLOOKUP($A331,Controle!$B$4:$F$68,4,FALSE)</f>
        <v>Mori II</v>
      </c>
      <c r="E331" s="2">
        <f>VLOOKUP($A331,Controle!$B$4:$F$68,5,FALSE)</f>
        <v>1</v>
      </c>
      <c r="F331" s="3" t="str">
        <f t="shared" si="106"/>
        <v>Desenvolvimento de projeto - Coordenograma</v>
      </c>
      <c r="G331" s="2" t="str">
        <f>VLOOKUP($A331,Controle!$B$4:$G$68,6,FALSE)</f>
        <v>Mori</v>
      </c>
      <c r="H331" s="31" t="s">
        <v>149</v>
      </c>
      <c r="I331" s="31">
        <v>6206.9</v>
      </c>
      <c r="J331" s="31">
        <v>0</v>
      </c>
      <c r="K331" s="31">
        <v>0</v>
      </c>
      <c r="L331" s="6">
        <v>0</v>
      </c>
      <c r="M331" s="6">
        <v>0</v>
      </c>
      <c r="N331" s="6">
        <v>0</v>
      </c>
      <c r="O331" s="4">
        <f t="shared" si="107"/>
        <v>6206.9</v>
      </c>
      <c r="P331" s="5">
        <f>SUMIFS('Desenvolvimento diário'!$H:$H,'Desenvolvimento diário'!$Q:$Q,$B331,'Desenvolvimento diário'!$P:$P,$F331,'Desenvolvimento diário'!$R:$R,"Sim")</f>
        <v>0</v>
      </c>
      <c r="Q331" s="5">
        <f>SUMIFS('Desenvolvimento diário'!$H:$H,'Desenvolvimento diário'!$Q:$Q,$B331,'Desenvolvimento diário'!$P:$P,$F331,'Desenvolvimento diário'!$R:$R,"Não")</f>
        <v>6206.9</v>
      </c>
      <c r="R331" s="4">
        <f t="shared" si="108"/>
        <v>6206.9</v>
      </c>
      <c r="S331" s="4">
        <f t="shared" si="109"/>
        <v>0</v>
      </c>
      <c r="T331" s="12">
        <f t="shared" si="86"/>
        <v>1</v>
      </c>
      <c r="Y331" s="2"/>
      <c r="Z331" s="2"/>
      <c r="AA331" s="2"/>
      <c r="AB331" s="2"/>
      <c r="AC331" s="2"/>
    </row>
    <row r="332" spans="1:29" ht="10.5" hidden="1">
      <c r="A332" s="2">
        <f t="shared" si="110"/>
        <v>10</v>
      </c>
      <c r="B332" s="2" t="str">
        <f>VLOOKUP($A332,Controle!$B$4:$F$68,2,FALSE)</f>
        <v>Patos de Minas 7</v>
      </c>
      <c r="C332" s="2" t="str">
        <f>VLOOKUP($A332,Controle!$B$4:$F$68,3,FALSE)</f>
        <v xml:space="preserve">MORI GERACAO II </v>
      </c>
      <c r="D332" s="2" t="str">
        <f>VLOOKUP($A332,Controle!$B$4:$F$68,4,FALSE)</f>
        <v>Mori II</v>
      </c>
      <c r="E332" s="2">
        <f>VLOOKUP($A332,Controle!$B$4:$F$68,5,FALSE)</f>
        <v>1</v>
      </c>
      <c r="F332" s="3" t="str">
        <f t="shared" si="106"/>
        <v>Sistemas de Monitoramento - Supervisório</v>
      </c>
      <c r="G332" s="2" t="str">
        <f>VLOOKUP($A332,Controle!$B$4:$G$68,6,FALSE)</f>
        <v>Mori</v>
      </c>
      <c r="H332" s="6" t="s">
        <v>150</v>
      </c>
      <c r="I332" s="6">
        <v>126513.39</v>
      </c>
      <c r="J332" s="6"/>
      <c r="K332" s="6">
        <v>0</v>
      </c>
      <c r="L332" s="6">
        <v>0</v>
      </c>
      <c r="M332" s="6">
        <v>0</v>
      </c>
      <c r="N332" s="6">
        <v>0</v>
      </c>
      <c r="O332" s="4">
        <f t="shared" si="107"/>
        <v>126513.39</v>
      </c>
      <c r="P332" s="5">
        <f>SUMIFS('Desenvolvimento diário'!$H:$H,'Desenvolvimento diário'!$Q:$Q,$B332,'Desenvolvimento diário'!$P:$P,$F332,'Desenvolvimento diário'!$R:$R,"Sim")</f>
        <v>5821.02</v>
      </c>
      <c r="Q332" s="5">
        <f>SUMIFS('Desenvolvimento diário'!$H:$H,'Desenvolvimento diário'!$Q:$Q,$B332,'Desenvolvimento diário'!$P:$P,$F332,'Desenvolvimento diário'!$R:$R,"Não")</f>
        <v>120692.37</v>
      </c>
      <c r="R332" s="4">
        <f t="shared" si="108"/>
        <v>126513.39</v>
      </c>
      <c r="S332" s="4">
        <f t="shared" si="109"/>
        <v>0</v>
      </c>
      <c r="T332" s="12">
        <f t="shared" si="86"/>
        <v>1</v>
      </c>
      <c r="Y332" s="2"/>
      <c r="Z332" s="2"/>
      <c r="AA332" s="2"/>
      <c r="AB332" s="2"/>
      <c r="AC332" s="2"/>
    </row>
    <row r="333" spans="1:29" ht="10.5" hidden="1">
      <c r="A333" s="2">
        <f t="shared" si="110"/>
        <v>10</v>
      </c>
      <c r="B333" s="2" t="str">
        <f>VLOOKUP($A333,Controle!$B$4:$F$68,2,FALSE)</f>
        <v>Patos de Minas 7</v>
      </c>
      <c r="C333" s="2" t="str">
        <f>VLOOKUP($A333,Controle!$B$4:$F$68,3,FALSE)</f>
        <v xml:space="preserve">MORI GERACAO II </v>
      </c>
      <c r="D333" s="2" t="str">
        <f>VLOOKUP($A333,Controle!$B$4:$F$68,4,FALSE)</f>
        <v>Mori II</v>
      </c>
      <c r="E333" s="2">
        <f>VLOOKUP($A333,Controle!$B$4:$F$68,5,FALSE)</f>
        <v>1</v>
      </c>
      <c r="F333" s="3" t="str">
        <f t="shared" si="106"/>
        <v>Sistemas de Monitoramento - Estações Solarimétricas</v>
      </c>
      <c r="G333" s="2" t="str">
        <f>VLOOKUP($A333,Controle!$B$4:$G$68,6,FALSE)</f>
        <v>Mori</v>
      </c>
      <c r="H333" s="6" t="s">
        <v>151</v>
      </c>
      <c r="I333" s="6">
        <v>48276.516000000003</v>
      </c>
      <c r="J333" s="6">
        <v>0</v>
      </c>
      <c r="K333" s="6">
        <v>0</v>
      </c>
      <c r="L333" s="6">
        <v>0</v>
      </c>
      <c r="M333" s="6">
        <v>0</v>
      </c>
      <c r="N333" s="6">
        <v>0</v>
      </c>
      <c r="O333" s="4">
        <f t="shared" si="107"/>
        <v>48276.516000000003</v>
      </c>
      <c r="P333" s="5">
        <f>SUMIFS('Desenvolvimento diário'!$H:$H,'Desenvolvimento diário'!$Q:$Q,$B333,'Desenvolvimento diário'!$P:$P,$F333,'Desenvolvimento diário'!$R:$R,"Sim")</f>
        <v>0</v>
      </c>
      <c r="Q333" s="5">
        <f>SUMIFS('Desenvolvimento diário'!$H:$H,'Desenvolvimento diário'!$Q:$Q,$B333,'Desenvolvimento diário'!$P:$P,$F333,'Desenvolvimento diário'!$R:$R,"Não")</f>
        <v>48276.516000000003</v>
      </c>
      <c r="R333" s="4">
        <f t="shared" si="108"/>
        <v>48276.516000000003</v>
      </c>
      <c r="S333" s="4">
        <f t="shared" si="109"/>
        <v>0</v>
      </c>
      <c r="T333" s="12">
        <f t="shared" si="86"/>
        <v>1</v>
      </c>
      <c r="Y333" s="2"/>
      <c r="Z333" s="2"/>
      <c r="AA333" s="2"/>
      <c r="AB333" s="2"/>
      <c r="AC333" s="2"/>
    </row>
    <row r="334" spans="1:29" hidden="1">
      <c r="A334" s="2">
        <f t="shared" si="110"/>
        <v>10</v>
      </c>
      <c r="B334" s="2" t="str">
        <f>VLOOKUP($A334,Controle!$B$4:$F$68,2,FALSE)</f>
        <v>Patos de Minas 7</v>
      </c>
      <c r="C334" s="2" t="str">
        <f>VLOOKUP($A334,Controle!$B$4:$F$68,3,FALSE)</f>
        <v xml:space="preserve">MORI GERACAO II </v>
      </c>
      <c r="D334" s="2" t="str">
        <f>VLOOKUP($A334,Controle!$B$4:$F$68,4,FALSE)</f>
        <v>Mori II</v>
      </c>
      <c r="E334" s="2">
        <f>VLOOKUP($A334,Controle!$B$4:$F$68,5,FALSE)</f>
        <v>1</v>
      </c>
      <c r="F334" s="3" t="str">
        <f t="shared" si="106"/>
        <v>Sistemas de Monitoramento - CFTV</v>
      </c>
      <c r="G334" s="2" t="str">
        <f>VLOOKUP($A334,Controle!$B$4:$G$68,6,FALSE)</f>
        <v>Mori</v>
      </c>
      <c r="H334" s="31" t="s">
        <v>152</v>
      </c>
      <c r="I334" s="6">
        <v>261668.28</v>
      </c>
      <c r="J334" s="28">
        <v>1576.84</v>
      </c>
      <c r="K334" s="6">
        <v>0</v>
      </c>
      <c r="L334" s="6">
        <v>0</v>
      </c>
      <c r="M334" s="6">
        <v>0</v>
      </c>
      <c r="N334" s="6">
        <v>0</v>
      </c>
      <c r="O334" s="4">
        <f t="shared" si="107"/>
        <v>263245.12</v>
      </c>
      <c r="P334" s="5">
        <f>SUMIFS('Desenvolvimento diário'!$H:$H,'Desenvolvimento diário'!$Q:$Q,$B334,'Desenvolvimento diário'!$P:$P,$F334,'Desenvolvimento diário'!$R:$R,"Sim")</f>
        <v>11731.21</v>
      </c>
      <c r="Q334" s="5">
        <f>SUMIFS('Desenvolvimento diário'!$H:$H,'Desenvolvimento diário'!$Q:$Q,$B334,'Desenvolvimento diário'!$P:$P,$F334,'Desenvolvimento diário'!$R:$R,"Não")</f>
        <v>251513.91</v>
      </c>
      <c r="R334" s="4">
        <f t="shared" si="108"/>
        <v>263245.12</v>
      </c>
      <c r="S334" s="4">
        <f t="shared" si="109"/>
        <v>0</v>
      </c>
      <c r="T334" s="12">
        <f t="shared" si="86"/>
        <v>1</v>
      </c>
      <c r="Y334" s="2"/>
      <c r="Z334" s="2"/>
      <c r="AA334" s="2"/>
      <c r="AB334" s="2"/>
      <c r="AC334" s="2"/>
    </row>
    <row r="335" spans="1:29" ht="10.5" hidden="1">
      <c r="A335" s="2">
        <f t="shared" si="110"/>
        <v>10</v>
      </c>
      <c r="B335" s="2" t="str">
        <f>VLOOKUP($A335,Controle!$B$4:$F$68,2,FALSE)</f>
        <v>Patos de Minas 7</v>
      </c>
      <c r="C335" s="2" t="str">
        <f>VLOOKUP($A335,Controle!$B$4:$F$68,3,FALSE)</f>
        <v xml:space="preserve">MORI GERACAO II </v>
      </c>
      <c r="D335" s="2" t="str">
        <f>VLOOKUP($A335,Controle!$B$4:$F$68,4,FALSE)</f>
        <v>Mori II</v>
      </c>
      <c r="E335" s="2">
        <f>VLOOKUP($A335,Controle!$B$4:$F$68,5,FALSE)</f>
        <v>1</v>
      </c>
      <c r="F335" s="3" t="str">
        <f t="shared" si="106"/>
        <v>Serviços Auxiliares - Drenagem</v>
      </c>
      <c r="G335" s="2" t="str">
        <f>VLOOKUP($A335,Controle!$B$4:$G$68,6,FALSE)</f>
        <v>Mori</v>
      </c>
      <c r="H335" s="6" t="s">
        <v>186</v>
      </c>
      <c r="I335" s="6">
        <v>478247.64</v>
      </c>
      <c r="J335" s="6">
        <v>5828.43</v>
      </c>
      <c r="K335" s="6">
        <v>0</v>
      </c>
      <c r="L335" s="6">
        <v>0</v>
      </c>
      <c r="M335" s="6">
        <v>0</v>
      </c>
      <c r="N335" s="6">
        <v>0</v>
      </c>
      <c r="O335" s="4">
        <f t="shared" si="107"/>
        <v>484076.07</v>
      </c>
      <c r="P335" s="5">
        <f>SUMIFS('Desenvolvimento diário'!$H:$H,'Desenvolvimento diário'!$Q:$Q,$B335,'Desenvolvimento diário'!$P:$P,$F335,'Desenvolvimento diário'!$R:$R,"Sim")</f>
        <v>42301.599999999999</v>
      </c>
      <c r="Q335" s="5">
        <f>SUMIFS('Desenvolvimento diário'!$H:$H,'Desenvolvimento diário'!$Q:$Q,$B335,'Desenvolvimento diário'!$P:$P,$F335,'Desenvolvimento diário'!$R:$R,"Não")</f>
        <v>441774.47000000003</v>
      </c>
      <c r="R335" s="4">
        <f t="shared" si="108"/>
        <v>484076.07</v>
      </c>
      <c r="S335" s="4">
        <f t="shared" si="109"/>
        <v>0</v>
      </c>
      <c r="T335" s="12">
        <f t="shared" si="86"/>
        <v>1</v>
      </c>
      <c r="Y335" s="2"/>
      <c r="Z335" s="2"/>
      <c r="AA335" s="2"/>
      <c r="AB335" s="2"/>
      <c r="AC335" s="2"/>
    </row>
    <row r="336" spans="1:29" ht="10.5" hidden="1">
      <c r="A336" s="2">
        <f t="shared" si="110"/>
        <v>10</v>
      </c>
      <c r="B336" s="2" t="str">
        <f>VLOOKUP($A336,Controle!$B$4:$F$68,2,FALSE)</f>
        <v>Patos de Minas 7</v>
      </c>
      <c r="C336" s="2" t="str">
        <f>VLOOKUP($A336,Controle!$B$4:$F$68,3,FALSE)</f>
        <v xml:space="preserve">MORI GERACAO II </v>
      </c>
      <c r="D336" s="2" t="str">
        <f>VLOOKUP($A336,Controle!$B$4:$F$68,4,FALSE)</f>
        <v>Mori II</v>
      </c>
      <c r="E336" s="2">
        <f>VLOOKUP($A336,Controle!$B$4:$F$68,5,FALSE)</f>
        <v>1</v>
      </c>
      <c r="F336" s="3" t="str">
        <f t="shared" si="106"/>
        <v>Serviços Auxiliares - Terraplanagem</v>
      </c>
      <c r="G336" s="2" t="str">
        <f>VLOOKUP($A336,Controle!$B$4:$G$68,6,FALSE)</f>
        <v>Mori</v>
      </c>
      <c r="H336" s="28" t="s">
        <v>180</v>
      </c>
      <c r="I336" s="6">
        <v>0</v>
      </c>
      <c r="J336" s="6">
        <v>0</v>
      </c>
      <c r="K336" s="6">
        <v>0</v>
      </c>
      <c r="L336" s="6">
        <v>0</v>
      </c>
      <c r="M336" s="6">
        <v>0</v>
      </c>
      <c r="N336" s="6">
        <v>0</v>
      </c>
      <c r="O336" s="4">
        <f t="shared" si="107"/>
        <v>0</v>
      </c>
      <c r="P336" s="5">
        <f>SUMIFS('Desenvolvimento diário'!$H:$H,'Desenvolvimento diário'!$Q:$Q,$B336,'Desenvolvimento diário'!$P:$P,$F336,'Desenvolvimento diário'!$R:$R,"Sim")</f>
        <v>0</v>
      </c>
      <c r="Q336" s="5">
        <f>SUMIFS('Desenvolvimento diário'!$H:$H,'Desenvolvimento diário'!$Q:$Q,$B336,'Desenvolvimento diário'!$P:$P,$F336,'Desenvolvimento diário'!$R:$R,"Não")</f>
        <v>0</v>
      </c>
      <c r="R336" s="4">
        <f t="shared" si="108"/>
        <v>0</v>
      </c>
      <c r="S336" s="4">
        <f t="shared" si="109"/>
        <v>0</v>
      </c>
      <c r="T336" s="12">
        <f t="shared" si="86"/>
        <v>0</v>
      </c>
      <c r="Y336" s="2"/>
      <c r="Z336" s="2"/>
      <c r="AA336" s="2"/>
      <c r="AB336" s="2"/>
      <c r="AC336" s="2"/>
    </row>
    <row r="337" spans="1:29" ht="10.5" hidden="1">
      <c r="A337" s="2">
        <f t="shared" si="110"/>
        <v>10</v>
      </c>
      <c r="B337" s="2" t="str">
        <f>VLOOKUP($A337,Controle!$B$4:$F$68,2,FALSE)</f>
        <v>Patos de Minas 7</v>
      </c>
      <c r="C337" s="2" t="str">
        <f>VLOOKUP($A337,Controle!$B$4:$F$68,3,FALSE)</f>
        <v xml:space="preserve">MORI GERACAO II </v>
      </c>
      <c r="D337" s="2" t="str">
        <f>VLOOKUP($A337,Controle!$B$4:$F$68,4,FALSE)</f>
        <v>Mori II</v>
      </c>
      <c r="E337" s="2">
        <f>VLOOKUP($A337,Controle!$B$4:$F$68,5,FALSE)</f>
        <v>1</v>
      </c>
      <c r="F337" s="3" t="str">
        <f t="shared" si="106"/>
        <v>Serviços Auxiliares - Supressão Vegetal</v>
      </c>
      <c r="G337" s="2" t="str">
        <f>VLOOKUP($A337,Controle!$B$4:$G$68,6,FALSE)</f>
        <v>Mori</v>
      </c>
      <c r="H337" s="6">
        <v>0</v>
      </c>
      <c r="I337" s="6">
        <v>0</v>
      </c>
      <c r="J337" s="6">
        <v>0</v>
      </c>
      <c r="K337" s="6">
        <v>0</v>
      </c>
      <c r="L337" s="6">
        <v>0</v>
      </c>
      <c r="M337" s="6">
        <v>0</v>
      </c>
      <c r="N337" s="6">
        <v>0</v>
      </c>
      <c r="O337" s="4">
        <f t="shared" si="107"/>
        <v>0</v>
      </c>
      <c r="P337" s="5">
        <f>SUMIFS('Desenvolvimento diário'!$H:$H,'Desenvolvimento diário'!$Q:$Q,$B337,'Desenvolvimento diário'!$P:$P,$F337,'Desenvolvimento diário'!$R:$R,"Sim")</f>
        <v>0</v>
      </c>
      <c r="Q337" s="5">
        <f>SUMIFS('Desenvolvimento diário'!$H:$H,'Desenvolvimento diário'!$Q:$Q,$B337,'Desenvolvimento diário'!$P:$P,$F337,'Desenvolvimento diário'!$R:$R,"Não")</f>
        <v>0</v>
      </c>
      <c r="R337" s="4">
        <f t="shared" si="108"/>
        <v>0</v>
      </c>
      <c r="S337" s="4">
        <f t="shared" si="109"/>
        <v>0</v>
      </c>
      <c r="T337" s="12">
        <f t="shared" si="86"/>
        <v>0</v>
      </c>
      <c r="Y337" s="2"/>
      <c r="Z337" s="2"/>
      <c r="AA337" s="2"/>
      <c r="AB337" s="2"/>
      <c r="AC337" s="2"/>
    </row>
    <row r="338" spans="1:29" ht="10.5" hidden="1">
      <c r="A338" s="2">
        <f t="shared" si="110"/>
        <v>10</v>
      </c>
      <c r="B338" s="2" t="str">
        <f>VLOOKUP($A338,Controle!$B$4:$F$68,2,FALSE)</f>
        <v>Patos de Minas 7</v>
      </c>
      <c r="C338" s="2" t="str">
        <f>VLOOKUP($A338,Controle!$B$4:$F$68,3,FALSE)</f>
        <v xml:space="preserve">MORI GERACAO II </v>
      </c>
      <c r="D338" s="2" t="str">
        <f>VLOOKUP($A338,Controle!$B$4:$F$68,4,FALSE)</f>
        <v>Mori II</v>
      </c>
      <c r="E338" s="2">
        <f>VLOOKUP($A338,Controle!$B$4:$F$68,5,FALSE)</f>
        <v>1</v>
      </c>
      <c r="F338" s="3" t="str">
        <f t="shared" si="106"/>
        <v>RDR-Rede de Distribuição Rural</v>
      </c>
      <c r="G338" s="2" t="str">
        <f>VLOOKUP($A338,Controle!$B$4:$G$68,6,FALSE)</f>
        <v>Mori</v>
      </c>
      <c r="H338" s="6">
        <v>0</v>
      </c>
      <c r="I338" s="6">
        <v>0</v>
      </c>
      <c r="J338" s="6">
        <v>0</v>
      </c>
      <c r="K338" s="6">
        <v>0</v>
      </c>
      <c r="L338" s="6">
        <v>0</v>
      </c>
      <c r="M338" s="6">
        <v>0</v>
      </c>
      <c r="N338" s="6">
        <v>0</v>
      </c>
      <c r="O338" s="4">
        <f t="shared" si="107"/>
        <v>0</v>
      </c>
      <c r="P338" s="5">
        <f>SUMIFS('Desenvolvimento diário'!$H:$H,'Desenvolvimento diário'!$Q:$Q,$B338,'Desenvolvimento diário'!$P:$P,$F338,'Desenvolvimento diário'!$R:$R,"Sim")</f>
        <v>0</v>
      </c>
      <c r="Q338" s="5">
        <f>SUMIFS('Desenvolvimento diário'!$H:$H,'Desenvolvimento diário'!$Q:$Q,$B338,'Desenvolvimento diário'!$P:$P,$F338,'Desenvolvimento diário'!$R:$R,"Não")</f>
        <v>0</v>
      </c>
      <c r="R338" s="4">
        <f t="shared" si="108"/>
        <v>0</v>
      </c>
      <c r="S338" s="4">
        <f t="shared" si="109"/>
        <v>0</v>
      </c>
      <c r="T338" s="12">
        <f t="shared" si="86"/>
        <v>0</v>
      </c>
      <c r="Y338" s="2"/>
      <c r="Z338" s="2"/>
      <c r="AA338" s="2"/>
      <c r="AB338" s="2"/>
      <c r="AC338" s="2"/>
    </row>
    <row r="339" spans="1:29" ht="10.5" hidden="1">
      <c r="A339" s="2">
        <f t="shared" si="110"/>
        <v>10</v>
      </c>
      <c r="B339" s="2" t="str">
        <f>VLOOKUP($A339,Controle!$B$4:$F$68,2,FALSE)</f>
        <v>Patos de Minas 7</v>
      </c>
      <c r="C339" s="2" t="str">
        <f>VLOOKUP($A339,Controle!$B$4:$F$68,3,FALSE)</f>
        <v xml:space="preserve">MORI GERACAO II </v>
      </c>
      <c r="D339" s="2" t="str">
        <f>VLOOKUP($A339,Controle!$B$4:$F$68,4,FALSE)</f>
        <v>Mori II</v>
      </c>
      <c r="E339" s="2">
        <f>VLOOKUP($A339,Controle!$B$4:$F$68,5,FALSE)</f>
        <v>1</v>
      </c>
      <c r="F339" s="3" t="str">
        <f t="shared" si="106"/>
        <v>Escopo COMERC</v>
      </c>
      <c r="G339" s="2" t="str">
        <f>VLOOKUP($A339,Controle!$B$4:$G$68,6,FALSE)</f>
        <v>Mori</v>
      </c>
      <c r="H339" s="6">
        <v>0</v>
      </c>
      <c r="I339" s="6">
        <v>42503.58</v>
      </c>
      <c r="J339" s="29">
        <v>26000</v>
      </c>
      <c r="K339" s="29"/>
      <c r="L339" s="6">
        <v>0</v>
      </c>
      <c r="M339" s="6">
        <v>0</v>
      </c>
      <c r="N339" s="6">
        <v>0</v>
      </c>
      <c r="O339" s="4">
        <f t="shared" si="107"/>
        <v>68503.58</v>
      </c>
      <c r="P339" s="5">
        <f>SUMIFS('Desenvolvimento diário'!$H:$H,'Desenvolvimento diário'!$Q:$Q,$B339,'Desenvolvimento diário'!$P:$P,$F339,'Desenvolvimento diário'!$R:$R,"Sim")</f>
        <v>0</v>
      </c>
      <c r="Q339" s="5">
        <f>SUMIFS('Desenvolvimento diário'!$H:$H,'Desenvolvimento diário'!$Q:$Q,$B339,'Desenvolvimento diário'!$P:$P,$F339,'Desenvolvimento diário'!$R:$R,"Não")</f>
        <v>42503.58</v>
      </c>
      <c r="R339" s="4">
        <f t="shared" si="108"/>
        <v>42503.58</v>
      </c>
      <c r="S339" s="1010">
        <f t="shared" si="109"/>
        <v>26000</v>
      </c>
      <c r="T339" s="12">
        <f t="shared" si="86"/>
        <v>0.62045779213290753</v>
      </c>
      <c r="U339" s="1011" t="s">
        <v>166</v>
      </c>
      <c r="V339" s="1011" t="s">
        <v>167</v>
      </c>
      <c r="Y339" s="2"/>
      <c r="Z339" s="2"/>
      <c r="AA339" s="2"/>
      <c r="AB339" s="2"/>
      <c r="AC339" s="2"/>
    </row>
    <row r="340" spans="1:29" ht="10.5" hidden="1">
      <c r="A340" s="2">
        <f t="shared" si="110"/>
        <v>10</v>
      </c>
      <c r="B340" s="2" t="str">
        <f>VLOOKUP($A340,Controle!$B$4:$F$68,2,FALSE)</f>
        <v>Patos de Minas 7</v>
      </c>
      <c r="C340" s="2" t="str">
        <f>VLOOKUP($A340,Controle!$B$4:$F$68,3,FALSE)</f>
        <v xml:space="preserve">MORI GERACAO II </v>
      </c>
      <c r="D340" s="2" t="str">
        <f>VLOOKUP($A340,Controle!$B$4:$F$68,4,FALSE)</f>
        <v>Mori II</v>
      </c>
      <c r="E340" s="2">
        <f>VLOOKUP($A340,Controle!$B$4:$F$68,5,FALSE)</f>
        <v>1</v>
      </c>
      <c r="F340" s="3" t="str">
        <f t="shared" si="106"/>
        <v>Escopo COMERC - Segurança</v>
      </c>
      <c r="G340" s="2" t="str">
        <f>VLOOKUP($A340,Controle!$B$4:$G$68,6,FALSE)</f>
        <v>Mori</v>
      </c>
      <c r="H340" s="6">
        <v>0</v>
      </c>
      <c r="I340" s="6">
        <f t="shared" ref="I339:I340" si="111">R340</f>
        <v>150618.31</v>
      </c>
      <c r="J340" s="6">
        <v>0</v>
      </c>
      <c r="K340" s="6">
        <v>0</v>
      </c>
      <c r="L340" s="6">
        <v>0</v>
      </c>
      <c r="M340" s="6">
        <v>0</v>
      </c>
      <c r="N340" s="6">
        <v>0</v>
      </c>
      <c r="O340" s="4">
        <f t="shared" si="107"/>
        <v>150618.31</v>
      </c>
      <c r="P340" s="5">
        <f>SUMIFS('Desenvolvimento diário'!$H:$H,'Desenvolvimento diário'!$Q:$Q,$B340,'Desenvolvimento diário'!$P:$P,$F340,'Desenvolvimento diário'!$R:$R,"Sim")</f>
        <v>0</v>
      </c>
      <c r="Q340" s="5">
        <f>SUMIFS('Desenvolvimento diário'!$H:$H,'Desenvolvimento diário'!$Q:$Q,$B340,'Desenvolvimento diário'!$P:$P,$F340,'Desenvolvimento diário'!$R:$R,"Não")</f>
        <v>150618.31</v>
      </c>
      <c r="R340" s="4">
        <f t="shared" si="108"/>
        <v>150618.31</v>
      </c>
      <c r="S340" s="4">
        <f t="shared" si="109"/>
        <v>0</v>
      </c>
      <c r="T340" s="12">
        <f t="shared" si="86"/>
        <v>1</v>
      </c>
      <c r="Y340" s="2"/>
      <c r="Z340" s="2"/>
      <c r="AA340" s="2"/>
      <c r="AB340" s="2"/>
      <c r="AC340" s="2"/>
    </row>
    <row r="341" spans="1:29" ht="10.5" hidden="1">
      <c r="A341" s="2">
        <f t="shared" si="110"/>
        <v>10</v>
      </c>
      <c r="B341" s="2" t="str">
        <f>VLOOKUP($A341,Controle!$B$4:$F$68,2,FALSE)</f>
        <v>Patos de Minas 7</v>
      </c>
      <c r="C341" s="2" t="str">
        <f>VLOOKUP($A341,Controle!$B$4:$F$68,3,FALSE)</f>
        <v xml:space="preserve">MORI GERACAO II </v>
      </c>
      <c r="D341" s="2" t="str">
        <f>VLOOKUP($A341,Controle!$B$4:$F$68,4,FALSE)</f>
        <v>Mori II</v>
      </c>
      <c r="E341" s="2">
        <f>VLOOKUP($A341,Controle!$B$4:$F$68,5,FALSE)</f>
        <v>1</v>
      </c>
      <c r="F341" s="3" t="str">
        <f t="shared" si="106"/>
        <v>Conexão MT - Obras Transferencia</v>
      </c>
      <c r="G341" s="2" t="str">
        <f>VLOOKUP($A341,Controle!$B$4:$G$68,6,FALSE)</f>
        <v>Mori</v>
      </c>
      <c r="H341" s="6">
        <v>0</v>
      </c>
      <c r="I341" s="6">
        <v>0</v>
      </c>
      <c r="J341" s="6">
        <v>0</v>
      </c>
      <c r="K341" s="6">
        <v>0</v>
      </c>
      <c r="L341" s="6">
        <v>0</v>
      </c>
      <c r="M341" s="6">
        <v>0</v>
      </c>
      <c r="N341" s="6">
        <v>0</v>
      </c>
      <c r="O341" s="4">
        <f t="shared" si="107"/>
        <v>0</v>
      </c>
      <c r="P341" s="5">
        <f>SUMIFS('Desenvolvimento diário'!$H:$H,'Desenvolvimento diário'!$Q:$Q,$B341,'Desenvolvimento diário'!$P:$P,$F341,'Desenvolvimento diário'!$R:$R,"Sim")</f>
        <v>0</v>
      </c>
      <c r="Q341" s="5">
        <f>SUMIFS('Desenvolvimento diário'!$H:$H,'Desenvolvimento diário'!$Q:$Q,$B341,'Desenvolvimento diário'!$P:$P,$F341,'Desenvolvimento diário'!$R:$R,"Não")</f>
        <v>0</v>
      </c>
      <c r="R341" s="4">
        <f t="shared" si="108"/>
        <v>0</v>
      </c>
      <c r="S341" s="4">
        <f t="shared" si="109"/>
        <v>0</v>
      </c>
      <c r="T341" s="12">
        <f t="shared" si="86"/>
        <v>0</v>
      </c>
      <c r="Y341" s="2"/>
      <c r="Z341" s="2"/>
      <c r="AA341" s="2"/>
      <c r="AB341" s="2"/>
      <c r="AC341" s="2"/>
    </row>
    <row r="342" spans="1:29" ht="10.5" hidden="1">
      <c r="A342" s="2">
        <f t="shared" si="110"/>
        <v>10</v>
      </c>
      <c r="B342" s="2" t="str">
        <f>VLOOKUP($A342,Controle!$B$4:$F$68,2,FALSE)</f>
        <v>Patos de Minas 7</v>
      </c>
      <c r="C342" s="2" t="str">
        <f>VLOOKUP($A342,Controle!$B$4:$F$68,3,FALSE)</f>
        <v xml:space="preserve">MORI GERACAO II </v>
      </c>
      <c r="D342" s="2" t="str">
        <f>VLOOKUP($A342,Controle!$B$4:$F$68,4,FALSE)</f>
        <v>Mori II</v>
      </c>
      <c r="E342" s="2">
        <f>VLOOKUP($A342,Controle!$B$4:$F$68,5,FALSE)</f>
        <v>1</v>
      </c>
      <c r="F342" s="3" t="str">
        <f t="shared" si="106"/>
        <v>Bases de Contaniers</v>
      </c>
      <c r="G342" s="2" t="str">
        <f>VLOOKUP($A342,Controle!$B$4:$G$68,6,FALSE)</f>
        <v>Mori</v>
      </c>
      <c r="H342" s="6">
        <v>0</v>
      </c>
      <c r="I342" s="6">
        <v>0</v>
      </c>
      <c r="J342" s="6">
        <v>0</v>
      </c>
      <c r="K342" s="6">
        <v>0</v>
      </c>
      <c r="L342" s="6">
        <v>0</v>
      </c>
      <c r="M342" s="6">
        <v>0</v>
      </c>
      <c r="N342" s="6">
        <v>0</v>
      </c>
      <c r="O342" s="4">
        <f t="shared" si="107"/>
        <v>0</v>
      </c>
      <c r="P342" s="5">
        <f>SUMIFS('Desenvolvimento diário'!$H:$H,'Desenvolvimento diário'!$Q:$Q,$B342,'Desenvolvimento diário'!$P:$P,$F342,'Desenvolvimento diário'!$R:$R,"Sim")</f>
        <v>0</v>
      </c>
      <c r="Q342" s="5">
        <f>SUMIFS('Desenvolvimento diário'!$H:$H,'Desenvolvimento diário'!$Q:$Q,$B342,'Desenvolvimento diário'!$P:$P,$F342,'Desenvolvimento diário'!$R:$R,"Não")</f>
        <v>0</v>
      </c>
      <c r="R342" s="4">
        <f t="shared" si="108"/>
        <v>0</v>
      </c>
      <c r="S342" s="4">
        <f t="shared" si="109"/>
        <v>0</v>
      </c>
      <c r="T342" s="12">
        <f t="shared" ref="T342:T409" si="112">IFERROR(R342/O342,0)</f>
        <v>0</v>
      </c>
      <c r="Y342" s="2"/>
      <c r="Z342" s="2"/>
      <c r="AA342" s="2"/>
      <c r="AB342" s="2"/>
      <c r="AC342" s="2"/>
    </row>
    <row r="343" spans="1:29" ht="10.5" hidden="1">
      <c r="A343" s="2">
        <f t="shared" si="110"/>
        <v>10</v>
      </c>
      <c r="B343" s="2" t="str">
        <f>VLOOKUP($A343,Controle!$B$4:$F$68,2,FALSE)</f>
        <v>Patos de Minas 7</v>
      </c>
      <c r="C343" s="2" t="str">
        <f>VLOOKUP($A343,Controle!$B$4:$F$68,3,FALSE)</f>
        <v xml:space="preserve">MORI GERACAO II </v>
      </c>
      <c r="D343" s="2" t="str">
        <f>VLOOKUP($A343,Controle!$B$4:$F$68,4,FALSE)</f>
        <v>Mori II</v>
      </c>
      <c r="E343" s="2">
        <f>VLOOKUP($A343,Controle!$B$4:$F$68,5,FALSE)</f>
        <v>1</v>
      </c>
      <c r="F343" s="3" t="str">
        <f t="shared" si="106"/>
        <v>Construção - Serviços de Construção - Ase Engenharia</v>
      </c>
      <c r="G343" s="2" t="str">
        <f>VLOOKUP($A343,Controle!$B$4:$G$68,6,FALSE)</f>
        <v>Mori</v>
      </c>
      <c r="H343" s="6">
        <v>0</v>
      </c>
      <c r="I343" s="6">
        <v>0</v>
      </c>
      <c r="J343" s="6">
        <v>0</v>
      </c>
      <c r="K343" s="6">
        <v>0</v>
      </c>
      <c r="L343" s="6">
        <v>0</v>
      </c>
      <c r="M343" s="6">
        <v>0</v>
      </c>
      <c r="N343" s="6">
        <v>0</v>
      </c>
      <c r="O343" s="4">
        <f t="shared" si="107"/>
        <v>0</v>
      </c>
      <c r="P343" s="5">
        <f>SUMIFS('Desenvolvimento diário'!$H:$H,'Desenvolvimento diário'!$Q:$Q,$B343,'Desenvolvimento diário'!$P:$P,$F343,'Desenvolvimento diário'!$R:$R,"Sim")</f>
        <v>0</v>
      </c>
      <c r="Q343" s="5">
        <f>SUMIFS('Desenvolvimento diário'!$H:$H,'Desenvolvimento diário'!$Q:$Q,$B343,'Desenvolvimento diário'!$P:$P,$F343,'Desenvolvimento diário'!$R:$R,"Não")</f>
        <v>0</v>
      </c>
      <c r="R343" s="4">
        <f t="shared" si="108"/>
        <v>0</v>
      </c>
      <c r="S343" s="4">
        <f t="shared" si="109"/>
        <v>0</v>
      </c>
      <c r="T343" s="12">
        <f t="shared" si="112"/>
        <v>0</v>
      </c>
      <c r="Y343" s="2"/>
      <c r="Z343" s="2"/>
      <c r="AA343" s="2"/>
      <c r="AB343" s="2"/>
      <c r="AC343" s="2"/>
    </row>
    <row r="344" spans="1:29" ht="10.5" hidden="1">
      <c r="A344" s="2">
        <f t="shared" si="110"/>
        <v>10</v>
      </c>
      <c r="B344" s="2" t="str">
        <f>VLOOKUP($A344,Controle!$B$4:$F$68,2,FALSE)</f>
        <v>Patos de Minas 7</v>
      </c>
      <c r="C344" s="2" t="str">
        <f>VLOOKUP($A344,Controle!$B$4:$F$68,3,FALSE)</f>
        <v xml:space="preserve">MORI GERACAO II </v>
      </c>
      <c r="D344" s="2" t="str">
        <f>VLOOKUP($A344,Controle!$B$4:$F$68,4,FALSE)</f>
        <v>Mori II</v>
      </c>
      <c r="E344" s="2">
        <f>VLOOKUP($A344,Controle!$B$4:$F$68,5,FALSE)</f>
        <v>1</v>
      </c>
      <c r="F344" s="3" t="str">
        <f t="shared" si="106"/>
        <v>Full EPC - Contrato Sobressalentes</v>
      </c>
      <c r="G344" s="2" t="str">
        <f>VLOOKUP($A344,Controle!$B$4:$G$68,6,FALSE)</f>
        <v>Mori</v>
      </c>
      <c r="H344" s="6">
        <v>0</v>
      </c>
      <c r="I344" s="6">
        <v>0</v>
      </c>
      <c r="J344" s="6">
        <v>0</v>
      </c>
      <c r="K344" s="6">
        <v>0</v>
      </c>
      <c r="L344" s="6">
        <v>0</v>
      </c>
      <c r="M344" s="6">
        <v>0</v>
      </c>
      <c r="N344" s="6">
        <v>0</v>
      </c>
      <c r="O344" s="4">
        <f t="shared" si="107"/>
        <v>0</v>
      </c>
      <c r="P344" s="5">
        <f>SUMIFS('Desenvolvimento diário'!$H:$H,'Desenvolvimento diário'!$Q:$Q,$B344,'Desenvolvimento diário'!$P:$P,$F344,'Desenvolvimento diário'!$R:$R,"Sim")</f>
        <v>0</v>
      </c>
      <c r="Q344" s="5">
        <f>SUMIFS('Desenvolvimento diário'!$H:$H,'Desenvolvimento diário'!$Q:$Q,$B344,'Desenvolvimento diário'!$P:$P,$F344,'Desenvolvimento diário'!$R:$R,"Não")</f>
        <v>0</v>
      </c>
      <c r="R344" s="4">
        <f t="shared" si="108"/>
        <v>0</v>
      </c>
      <c r="S344" s="4">
        <f t="shared" si="109"/>
        <v>0</v>
      </c>
      <c r="T344" s="12">
        <f t="shared" si="112"/>
        <v>0</v>
      </c>
      <c r="Y344" s="2"/>
      <c r="Z344" s="2"/>
      <c r="AA344" s="2"/>
      <c r="AB344" s="2"/>
      <c r="AC344" s="2"/>
    </row>
    <row r="345" spans="1:29" ht="10.5" hidden="1">
      <c r="A345" s="2">
        <f t="shared" si="110"/>
        <v>10</v>
      </c>
      <c r="B345" s="2" t="str">
        <f>VLOOKUP($A345,Controle!$B$4:$F$68,2,FALSE)</f>
        <v>Patos de Minas 7</v>
      </c>
      <c r="C345" s="2" t="str">
        <f>VLOOKUP($A345,Controle!$B$4:$F$68,3,FALSE)</f>
        <v xml:space="preserve">MORI GERACAO II </v>
      </c>
      <c r="D345" s="2" t="str">
        <f>VLOOKUP($A345,Controle!$B$4:$F$68,4,FALSE)</f>
        <v>Mori II</v>
      </c>
      <c r="E345" s="2">
        <f>VLOOKUP($A345,Controle!$B$4:$F$68,5,FALSE)</f>
        <v>1</v>
      </c>
      <c r="F345" s="3" t="str">
        <f t="shared" si="106"/>
        <v>Construção - Serviços de Construção - NOVA MORADA</v>
      </c>
      <c r="G345" s="2" t="str">
        <f>VLOOKUP($A345,Controle!$B$4:$G$68,6,FALSE)</f>
        <v>Mori</v>
      </c>
      <c r="H345" s="6">
        <v>0</v>
      </c>
      <c r="I345" s="6">
        <v>0</v>
      </c>
      <c r="J345" s="6">
        <v>0</v>
      </c>
      <c r="K345" s="6">
        <v>0</v>
      </c>
      <c r="L345" s="6">
        <v>0</v>
      </c>
      <c r="M345" s="6">
        <v>0</v>
      </c>
      <c r="N345" s="6">
        <v>0</v>
      </c>
      <c r="O345" s="4">
        <f t="shared" si="107"/>
        <v>0</v>
      </c>
      <c r="P345" s="5">
        <f>SUMIFS('Desenvolvimento diário'!$H:$H,'Desenvolvimento diário'!$Q:$Q,$B345,'Desenvolvimento diário'!$P:$P,$F345,'Desenvolvimento diário'!$R:$R,"Sim")</f>
        <v>0</v>
      </c>
      <c r="Q345" s="5">
        <f>SUMIFS('Desenvolvimento diário'!$H:$H,'Desenvolvimento diário'!$Q:$Q,$B345,'Desenvolvimento diário'!$P:$P,$F345,'Desenvolvimento diário'!$R:$R,"Não")</f>
        <v>0</v>
      </c>
      <c r="R345" s="4">
        <f t="shared" si="108"/>
        <v>0</v>
      </c>
      <c r="S345" s="4">
        <f t="shared" si="109"/>
        <v>0</v>
      </c>
      <c r="T345" s="12">
        <f t="shared" si="112"/>
        <v>0</v>
      </c>
      <c r="Y345" s="2"/>
      <c r="Z345" s="2"/>
      <c r="AA345" s="2"/>
      <c r="AB345" s="2"/>
      <c r="AC345" s="2"/>
    </row>
    <row r="346" spans="1:29" ht="10.5" hidden="1">
      <c r="A346" s="2">
        <f t="shared" si="110"/>
        <v>10</v>
      </c>
      <c r="B346" s="2" t="str">
        <f>VLOOKUP($A346,Controle!$B$4:$F$68,2,FALSE)</f>
        <v>Patos de Minas 7</v>
      </c>
      <c r="C346" s="2" t="str">
        <f>VLOOKUP($A346,Controle!$B$4:$F$68,3,FALSE)</f>
        <v xml:space="preserve">MORI GERACAO II </v>
      </c>
      <c r="D346" s="2" t="str">
        <f>VLOOKUP($A346,Controle!$B$4:$F$68,4,FALSE)</f>
        <v>Mori II</v>
      </c>
      <c r="E346" s="2">
        <f>VLOOKUP($A346,Controle!$B$4:$F$68,5,FALSE)</f>
        <v>1</v>
      </c>
      <c r="F346" s="3" t="str">
        <f t="shared" si="106"/>
        <v>Equipamentos Curva A -  Contrato Sobressalentes - SETTA</v>
      </c>
      <c r="G346" s="2" t="str">
        <f>VLOOKUP($A346,Controle!$B$4:$G$68,6,FALSE)</f>
        <v>Mori</v>
      </c>
      <c r="H346" s="6">
        <v>0</v>
      </c>
      <c r="I346" s="6">
        <v>0</v>
      </c>
      <c r="J346" s="6">
        <v>0</v>
      </c>
      <c r="K346" s="6">
        <v>0</v>
      </c>
      <c r="L346" s="6">
        <v>0</v>
      </c>
      <c r="M346" s="6">
        <v>0</v>
      </c>
      <c r="N346" s="6">
        <v>0</v>
      </c>
      <c r="O346" s="4">
        <f t="shared" si="107"/>
        <v>0</v>
      </c>
      <c r="P346" s="5">
        <f>SUMIFS('Desenvolvimento diário'!$H:$H,'Desenvolvimento diário'!$Q:$Q,$B346,'Desenvolvimento diário'!$P:$P,$F346,'Desenvolvimento diário'!$R:$R,"Sim")</f>
        <v>0</v>
      </c>
      <c r="Q346" s="5">
        <f>SUMIFS('Desenvolvimento diário'!$H:$H,'Desenvolvimento diário'!$Q:$Q,$B346,'Desenvolvimento diário'!$P:$P,$F346,'Desenvolvimento diário'!$R:$R,"Não")</f>
        <v>0</v>
      </c>
      <c r="R346" s="4">
        <f t="shared" si="108"/>
        <v>0</v>
      </c>
      <c r="S346" s="4">
        <f t="shared" si="109"/>
        <v>0</v>
      </c>
      <c r="T346" s="12">
        <f t="shared" si="112"/>
        <v>0</v>
      </c>
      <c r="Y346" s="2"/>
      <c r="Z346" s="2"/>
      <c r="AA346" s="2"/>
      <c r="AB346" s="2"/>
      <c r="AC346" s="2"/>
    </row>
    <row r="347" spans="1:29" ht="10.5" hidden="1">
      <c r="A347" s="2">
        <f t="shared" si="110"/>
        <v>10</v>
      </c>
      <c r="B347" s="2" t="str">
        <f>VLOOKUP($A347,Controle!$B$4:$F$68,2,FALSE)</f>
        <v>Patos de Minas 7</v>
      </c>
      <c r="C347" s="2" t="str">
        <f>VLOOKUP($A347,Controle!$B$4:$F$68,3,FALSE)</f>
        <v xml:space="preserve">MORI GERACAO II </v>
      </c>
      <c r="D347" s="2" t="str">
        <f>VLOOKUP($A347,Controle!$B$4:$F$68,4,FALSE)</f>
        <v>Mori II</v>
      </c>
      <c r="E347" s="2">
        <f>VLOOKUP($A347,Controle!$B$4:$F$68,5,FALSE)</f>
        <v>1</v>
      </c>
      <c r="F347" s="3" t="str">
        <f t="shared" si="106"/>
        <v>Equipamentos Curva A -  Contrato Sobressalentes - Arctech</v>
      </c>
      <c r="G347" s="2" t="str">
        <f>VLOOKUP($A347,Controle!$B$4:$G$68,6,FALSE)</f>
        <v>Mori</v>
      </c>
      <c r="H347" s="6">
        <v>0</v>
      </c>
      <c r="I347" s="6">
        <v>0</v>
      </c>
      <c r="J347" s="6">
        <v>0</v>
      </c>
      <c r="K347" s="6">
        <v>0</v>
      </c>
      <c r="L347" s="6">
        <v>0</v>
      </c>
      <c r="M347" s="6">
        <v>0</v>
      </c>
      <c r="N347" s="6">
        <v>0</v>
      </c>
      <c r="O347" s="4">
        <f t="shared" si="107"/>
        <v>0</v>
      </c>
      <c r="P347" s="5">
        <f>SUMIFS('Desenvolvimento diário'!$H:$H,'Desenvolvimento diário'!$Q:$Q,$B347,'Desenvolvimento diário'!$P:$P,$F347,'Desenvolvimento diário'!$R:$R,"Sim")</f>
        <v>0</v>
      </c>
      <c r="Q347" s="5">
        <f>SUMIFS('Desenvolvimento diário'!$H:$H,'Desenvolvimento diário'!$Q:$Q,$B347,'Desenvolvimento diário'!$P:$P,$F347,'Desenvolvimento diário'!$R:$R,"Não")</f>
        <v>0</v>
      </c>
      <c r="R347" s="4">
        <f t="shared" si="108"/>
        <v>0</v>
      </c>
      <c r="S347" s="4">
        <f t="shared" si="109"/>
        <v>0</v>
      </c>
      <c r="T347" s="12">
        <f t="shared" si="112"/>
        <v>0</v>
      </c>
      <c r="Y347" s="2"/>
      <c r="Z347" s="2"/>
      <c r="AA347" s="2"/>
      <c r="AB347" s="2"/>
      <c r="AC347" s="2"/>
    </row>
    <row r="348" spans="1:29" hidden="1">
      <c r="A348" s="2">
        <f t="shared" si="110"/>
        <v>10</v>
      </c>
      <c r="B348" s="2" t="str">
        <f>VLOOKUP($A348,Controle!$B$4:$F$68,2,FALSE)</f>
        <v>Patos de Minas 7</v>
      </c>
      <c r="C348" s="2" t="str">
        <f>VLOOKUP($A348,Controle!$B$4:$F$68,3,FALSE)</f>
        <v xml:space="preserve">MORI GERACAO II </v>
      </c>
      <c r="D348" s="2" t="str">
        <f>VLOOKUP($A348,Controle!$B$4:$F$68,4,FALSE)</f>
        <v>Mori II</v>
      </c>
      <c r="E348" s="2">
        <f>VLOOKUP($A348,Controle!$B$4:$F$68,5,FALSE)</f>
        <v>1</v>
      </c>
      <c r="F348" s="3" t="str">
        <f t="shared" si="106"/>
        <v>Equipamentos Curva A -  Contrato Sobressalentes - Romagnole</v>
      </c>
      <c r="G348" s="2" t="str">
        <f>VLOOKUP($A348,Controle!$B$4:$G$68,6,FALSE)</f>
        <v>Mori</v>
      </c>
      <c r="H348" s="7">
        <v>0</v>
      </c>
      <c r="I348" s="7">
        <v>0</v>
      </c>
      <c r="J348" s="7">
        <v>0</v>
      </c>
      <c r="K348" s="506">
        <v>0</v>
      </c>
      <c r="L348" s="506">
        <v>0</v>
      </c>
      <c r="M348" s="506">
        <v>0</v>
      </c>
      <c r="N348" s="506">
        <v>0</v>
      </c>
      <c r="O348" s="39">
        <f t="shared" si="107"/>
        <v>0</v>
      </c>
      <c r="P348" s="17">
        <f>SUMIFS('Desenvolvimento diário'!$H:$H,'Desenvolvimento diário'!$Q:$Q,$B348,'Desenvolvimento diário'!$P:$P,$F348,'Desenvolvimento diário'!$R:$R,"Sim")</f>
        <v>0</v>
      </c>
      <c r="Q348" s="17">
        <f>SUMIFS('Desenvolvimento diário'!$H:$H,'Desenvolvimento diário'!$Q:$Q,$B348,'Desenvolvimento diário'!$P:$P,$F348,'Desenvolvimento diário'!$R:$R,"Não")</f>
        <v>0</v>
      </c>
      <c r="R348" s="4">
        <f t="shared" si="108"/>
        <v>0</v>
      </c>
      <c r="S348" s="4">
        <f t="shared" si="109"/>
        <v>0</v>
      </c>
      <c r="T348" s="12">
        <f t="shared" si="112"/>
        <v>0</v>
      </c>
      <c r="Y348" s="2"/>
      <c r="Z348" s="2"/>
      <c r="AA348" s="2"/>
      <c r="AB348" s="2"/>
      <c r="AC348" s="2"/>
    </row>
    <row r="349" spans="1:29" hidden="1">
      <c r="A349" s="2">
        <f t="shared" si="110"/>
        <v>10</v>
      </c>
      <c r="B349" s="2" t="str">
        <f>VLOOKUP($A349,Controle!$B$4:$F$68,2,FALSE)</f>
        <v>Patos de Minas 7</v>
      </c>
      <c r="C349" s="2" t="str">
        <f>VLOOKUP($A349,Controle!$B$4:$F$68,3,FALSE)</f>
        <v xml:space="preserve">MORI GERACAO II </v>
      </c>
      <c r="D349" s="2" t="str">
        <f>VLOOKUP($A349,Controle!$B$4:$F$68,4,FALSE)</f>
        <v>Mori II</v>
      </c>
      <c r="E349" s="2">
        <f>VLOOKUP($A349,Controle!$B$4:$F$68,5,FALSE)</f>
        <v>1</v>
      </c>
      <c r="F349" s="3" t="str">
        <f t="shared" si="106"/>
        <v>GOS FLORESTAL - (PRAD - Recuperação Area Ambiental)</v>
      </c>
      <c r="G349" s="2" t="str">
        <f>VLOOKUP($A349,Controle!$B$4:$G$68,6,FALSE)</f>
        <v>Mori</v>
      </c>
      <c r="H349" s="506" t="s">
        <v>170</v>
      </c>
      <c r="I349" s="6">
        <v>0</v>
      </c>
      <c r="J349" s="506"/>
      <c r="K349" s="506">
        <v>0</v>
      </c>
      <c r="L349" s="506">
        <v>0</v>
      </c>
      <c r="M349" s="506">
        <v>0</v>
      </c>
      <c r="N349" s="506">
        <v>0</v>
      </c>
      <c r="O349" s="39">
        <f t="shared" si="107"/>
        <v>0</v>
      </c>
      <c r="P349" s="17">
        <f>SUMIFS('Desenvolvimento diário'!$H:$H,'Desenvolvimento diário'!$Q:$Q,$B349,'Desenvolvimento diário'!$P:$P,$F349,'Desenvolvimento diário'!$R:$R,"Sim")</f>
        <v>0</v>
      </c>
      <c r="Q349" s="17">
        <f>SUMIFS('Desenvolvimento diário'!$H:$H,'Desenvolvimento diário'!$Q:$Q,$B349,'Desenvolvimento diário'!$P:$P,$F349,'Desenvolvimento diário'!$R:$R,"Não")</f>
        <v>0</v>
      </c>
      <c r="R349" s="4">
        <f t="shared" si="108"/>
        <v>0</v>
      </c>
      <c r="S349" s="4">
        <f t="shared" si="109"/>
        <v>0</v>
      </c>
      <c r="T349" s="12">
        <f t="shared" si="112"/>
        <v>0</v>
      </c>
      <c r="Y349" s="2"/>
      <c r="Z349" s="2"/>
      <c r="AA349" s="2"/>
      <c r="AB349" s="2"/>
      <c r="AC349" s="2"/>
    </row>
    <row r="350" spans="1:29" hidden="1">
      <c r="A350" s="2">
        <f t="shared" si="110"/>
        <v>10</v>
      </c>
      <c r="B350" s="2" t="str">
        <f>VLOOKUP($A350,Controle!$B$4:$F$68,2,FALSE)</f>
        <v>Patos de Minas 7</v>
      </c>
      <c r="C350" s="2" t="str">
        <f>VLOOKUP($A350,Controle!$B$4:$F$68,3,FALSE)</f>
        <v xml:space="preserve">MORI GERACAO II </v>
      </c>
      <c r="D350" s="2" t="str">
        <f>VLOOKUP($A350,Controle!$B$4:$F$68,4,FALSE)</f>
        <v>Mori II</v>
      </c>
      <c r="E350" s="2">
        <f>VLOOKUP($A350,Controle!$B$4:$F$68,5,FALSE)</f>
        <v>1</v>
      </c>
      <c r="F350" s="3" t="str">
        <f t="shared" si="106"/>
        <v>Cercamento das bacias de contenção ciclo 2</v>
      </c>
      <c r="G350" s="2" t="str">
        <f>VLOOKUP($A350,Controle!$B$4:$G$68,6,FALSE)</f>
        <v>Mori</v>
      </c>
      <c r="H350" s="506" t="s">
        <v>172</v>
      </c>
      <c r="I350" s="6"/>
      <c r="J350" s="506"/>
      <c r="K350" s="506">
        <v>0</v>
      </c>
      <c r="L350" s="506">
        <v>0</v>
      </c>
      <c r="M350" s="506">
        <v>0</v>
      </c>
      <c r="N350" s="506">
        <v>0</v>
      </c>
      <c r="O350" s="39">
        <f t="shared" si="107"/>
        <v>0</v>
      </c>
      <c r="P350" s="17">
        <f>SUMIFS('Desenvolvimento diário'!$H:$H,'Desenvolvimento diário'!$Q:$Q,$B350,'Desenvolvimento diário'!$P:$P,$F350,'Desenvolvimento diário'!$R:$R,"Sim")</f>
        <v>0</v>
      </c>
      <c r="Q350" s="17">
        <f>SUMIFS('Desenvolvimento diário'!$H:$H,'Desenvolvimento diário'!$Q:$Q,$B350,'Desenvolvimento diário'!$P:$P,$F350,'Desenvolvimento diário'!$R:$R,"Não")</f>
        <v>0</v>
      </c>
      <c r="R350" s="4">
        <f t="shared" si="108"/>
        <v>0</v>
      </c>
      <c r="S350" s="1030">
        <f t="shared" si="109"/>
        <v>0</v>
      </c>
      <c r="T350" s="12">
        <f t="shared" si="112"/>
        <v>0</v>
      </c>
      <c r="U350" s="1029" t="s">
        <v>166</v>
      </c>
      <c r="V350" s="1029" t="s">
        <v>94</v>
      </c>
      <c r="Y350" s="2"/>
      <c r="Z350" s="2"/>
      <c r="AA350" s="2"/>
      <c r="AB350" s="2"/>
      <c r="AC350" s="2"/>
    </row>
    <row r="351" spans="1:29" hidden="1">
      <c r="A351" s="8">
        <f>A348</f>
        <v>10</v>
      </c>
      <c r="B351" s="9" t="str">
        <f t="shared" ref="B351" si="113">B348</f>
        <v>Patos de Minas 7</v>
      </c>
      <c r="C351" s="9" t="str">
        <f t="shared" ref="C351" si="114">C348</f>
        <v xml:space="preserve">MORI GERACAO II </v>
      </c>
      <c r="D351" s="9" t="str">
        <f t="shared" ref="D351" si="115">D348</f>
        <v>Mori II</v>
      </c>
      <c r="E351" s="9">
        <f t="shared" ref="E351" si="116">E348</f>
        <v>1</v>
      </c>
      <c r="F351" s="10" t="s">
        <v>158</v>
      </c>
      <c r="G351" s="9" t="str">
        <f>G348</f>
        <v>Mori</v>
      </c>
      <c r="H351" s="9"/>
      <c r="I351" s="9">
        <f>SUBTOTAL(9,I317:I350)</f>
        <v>0</v>
      </c>
      <c r="J351" s="9">
        <f t="shared" ref="J351:S351" si="117">SUBTOTAL(9,J317:J350)</f>
        <v>0</v>
      </c>
      <c r="K351" s="9">
        <f t="shared" si="117"/>
        <v>0</v>
      </c>
      <c r="L351" s="9">
        <f t="shared" si="117"/>
        <v>0</v>
      </c>
      <c r="M351" s="9">
        <f t="shared" si="117"/>
        <v>0</v>
      </c>
      <c r="N351" s="9">
        <f t="shared" si="117"/>
        <v>0</v>
      </c>
      <c r="O351" s="9">
        <f t="shared" si="117"/>
        <v>0</v>
      </c>
      <c r="P351" s="9">
        <f t="shared" si="117"/>
        <v>0</v>
      </c>
      <c r="Q351" s="9">
        <f t="shared" si="117"/>
        <v>0</v>
      </c>
      <c r="R351" s="9">
        <f t="shared" si="117"/>
        <v>0</v>
      </c>
      <c r="S351" s="9">
        <f t="shared" si="117"/>
        <v>0</v>
      </c>
      <c r="T351" s="13">
        <f t="shared" si="112"/>
        <v>0</v>
      </c>
      <c r="U351" s="11">
        <f>SUBTOTAL(9,U317:U350)</f>
        <v>0</v>
      </c>
      <c r="Y351" s="2"/>
      <c r="Z351" s="2"/>
      <c r="AA351" s="2"/>
      <c r="AB351" s="2"/>
      <c r="AC351" s="2"/>
    </row>
    <row r="352" spans="1:29" ht="10.5" hidden="1">
      <c r="A352" s="2">
        <f>A317+1</f>
        <v>11</v>
      </c>
      <c r="B352" s="2" t="str">
        <f>VLOOKUP($A352,Controle!$B$4:$F$68,2,FALSE)</f>
        <v>Patos de Minas 8</v>
      </c>
      <c r="C352" s="2" t="str">
        <f>VLOOKUP($A352,Controle!$B$4:$F$68,3,FALSE)</f>
        <v xml:space="preserve">MORI GERACAO II </v>
      </c>
      <c r="D352" s="2" t="str">
        <f>VLOOKUP($A352,Controle!$B$4:$F$68,4,FALSE)</f>
        <v>Mori II</v>
      </c>
      <c r="E352" s="2">
        <f>VLOOKUP($A352,Controle!$B$4:$F$68,5,FALSE)</f>
        <v>1</v>
      </c>
      <c r="F352" s="3" t="str">
        <f t="shared" ref="F352:F385" si="118">F317</f>
        <v>Conexão AT - Obras</v>
      </c>
      <c r="G352" s="2" t="str">
        <f>VLOOKUP($A352,Controle!$B$4:$G$68,6,FALSE)</f>
        <v>Mori</v>
      </c>
      <c r="H352" s="6" t="s">
        <v>141</v>
      </c>
      <c r="I352" s="32">
        <v>450000</v>
      </c>
      <c r="J352" s="6">
        <v>0</v>
      </c>
      <c r="K352" s="6">
        <v>0</v>
      </c>
      <c r="L352" s="6">
        <v>0</v>
      </c>
      <c r="M352" s="6">
        <v>0</v>
      </c>
      <c r="N352" s="6">
        <v>0</v>
      </c>
      <c r="O352" s="4">
        <f t="shared" ref="O352:O385" si="119">SUM(I352:N352)</f>
        <v>450000</v>
      </c>
      <c r="P352" s="5">
        <f>SUMIFS('Desenvolvimento diário'!$H:$H,'Desenvolvimento diário'!$Q:$Q,$B352,'Desenvolvimento diário'!$P:$P,$F352,'Desenvolvimento diário'!$R:$R,"Sim")</f>
        <v>15000</v>
      </c>
      <c r="Q352" s="5">
        <f>SUMIFS('Desenvolvimento diário'!$H:$H,'Desenvolvimento diário'!$Q:$Q,$B352,'Desenvolvimento diário'!$P:$P,$F352,'Desenvolvimento diário'!$R:$R,"Não")</f>
        <v>435000</v>
      </c>
      <c r="R352" s="4">
        <f t="shared" ref="R352:R385" si="120">SUM(P352:Q352)</f>
        <v>450000</v>
      </c>
      <c r="S352" s="27">
        <f t="shared" ref="S352:S385" si="121">O352-R352</f>
        <v>0</v>
      </c>
      <c r="T352" s="12">
        <f t="shared" si="112"/>
        <v>1</v>
      </c>
      <c r="Y352" s="2"/>
      <c r="Z352" s="2"/>
      <c r="AA352" s="2"/>
      <c r="AB352" s="2"/>
      <c r="AC352" s="2"/>
    </row>
    <row r="353" spans="1:29" ht="10.5" hidden="1">
      <c r="A353" s="2">
        <f t="shared" ref="A353:A385" si="122">A352</f>
        <v>11</v>
      </c>
      <c r="B353" s="2" t="str">
        <f>VLOOKUP($A353,Controle!$B$4:$F$68,2,FALSE)</f>
        <v>Patos de Minas 8</v>
      </c>
      <c r="C353" s="2" t="str">
        <f>VLOOKUP($A353,Controle!$B$4:$F$68,3,FALSE)</f>
        <v xml:space="preserve">MORI GERACAO II </v>
      </c>
      <c r="D353" s="2" t="str">
        <f>VLOOKUP($A353,Controle!$B$4:$F$68,4,FALSE)</f>
        <v>Mori II</v>
      </c>
      <c r="E353" s="2">
        <f>VLOOKUP($A353,Controle!$B$4:$F$68,5,FALSE)</f>
        <v>1</v>
      </c>
      <c r="F353" s="3" t="str">
        <f t="shared" si="118"/>
        <v>Conexão MT - Obras</v>
      </c>
      <c r="G353" s="2" t="str">
        <f>VLOOKUP($A353,Controle!$B$4:$G$68,6,FALSE)</f>
        <v>Mori</v>
      </c>
      <c r="H353" s="6" t="s">
        <v>168</v>
      </c>
      <c r="I353" s="6">
        <v>1116050</v>
      </c>
      <c r="J353" s="6">
        <v>2383950</v>
      </c>
      <c r="K353" s="6">
        <v>0</v>
      </c>
      <c r="L353" s="6">
        <v>0</v>
      </c>
      <c r="M353" s="6">
        <v>0</v>
      </c>
      <c r="N353" s="6">
        <v>0</v>
      </c>
      <c r="O353" s="4">
        <f t="shared" si="119"/>
        <v>3500000</v>
      </c>
      <c r="P353" s="5">
        <f>SUMIFS('Desenvolvimento diário'!$H:$H,'Desenvolvimento diário'!$Q:$Q,$B353,'Desenvolvimento diário'!$P:$P,$F353,'Desenvolvimento diário'!$R:$R,"Sim")</f>
        <v>2108839.29</v>
      </c>
      <c r="Q353" s="5">
        <f>SUMIFS('Desenvolvimento diário'!$H:$H,'Desenvolvimento diário'!$Q:$Q,$B353,'Desenvolvimento diário'!$P:$P,$F353,'Desenvolvimento diário'!$R:$R,"Não")</f>
        <v>1391160.71</v>
      </c>
      <c r="R353" s="4">
        <f t="shared" si="120"/>
        <v>3500000</v>
      </c>
      <c r="S353" s="27">
        <f t="shared" si="121"/>
        <v>0</v>
      </c>
      <c r="T353" s="12">
        <f t="shared" si="112"/>
        <v>1</v>
      </c>
      <c r="Y353" s="2"/>
      <c r="Z353" s="2"/>
      <c r="AA353" s="2"/>
      <c r="AB353" s="2"/>
      <c r="AC353" s="2"/>
    </row>
    <row r="354" spans="1:29" ht="10.5" hidden="1">
      <c r="A354" s="2">
        <f t="shared" si="122"/>
        <v>11</v>
      </c>
      <c r="B354" s="2" t="str">
        <f>VLOOKUP($A354,Controle!$B$4:$F$68,2,FALSE)</f>
        <v>Patos de Minas 8</v>
      </c>
      <c r="C354" s="2" t="str">
        <f>VLOOKUP($A354,Controle!$B$4:$F$68,3,FALSE)</f>
        <v xml:space="preserve">MORI GERACAO II </v>
      </c>
      <c r="D354" s="2" t="str">
        <f>VLOOKUP($A354,Controle!$B$4:$F$68,4,FALSE)</f>
        <v>Mori II</v>
      </c>
      <c r="E354" s="2">
        <f>VLOOKUP($A354,Controle!$B$4:$F$68,5,FALSE)</f>
        <v>1</v>
      </c>
      <c r="F354" s="3" t="str">
        <f t="shared" si="118"/>
        <v>Construção - Serviços de Construção</v>
      </c>
      <c r="G354" s="2" t="str">
        <f>VLOOKUP($A354,Controle!$B$4:$G$68,6,FALSE)</f>
        <v>Mori</v>
      </c>
      <c r="H354" s="6" t="s">
        <v>142</v>
      </c>
      <c r="I354" s="6">
        <v>1353016.4</v>
      </c>
      <c r="J354" s="6">
        <v>51372.82</v>
      </c>
      <c r="K354" s="6">
        <v>0</v>
      </c>
      <c r="L354" s="6">
        <v>0</v>
      </c>
      <c r="M354" s="6">
        <v>0</v>
      </c>
      <c r="N354" s="6">
        <v>0</v>
      </c>
      <c r="O354" s="4">
        <f t="shared" si="119"/>
        <v>1404389.22</v>
      </c>
      <c r="P354" s="5">
        <f>SUMIFS('Desenvolvimento diário'!$H:$H,'Desenvolvimento diário'!$Q:$Q,$B354,'Desenvolvimento diário'!$P:$P,$F354,'Desenvolvimento diário'!$R:$R,"Sim")</f>
        <v>462128.18000000005</v>
      </c>
      <c r="Q354" s="5">
        <f>SUMIFS('Desenvolvimento diário'!$H:$H,'Desenvolvimento diário'!$Q:$Q,$B354,'Desenvolvimento diário'!$P:$P,$F354,'Desenvolvimento diário'!$R:$R,"Não")</f>
        <v>915200.70999999985</v>
      </c>
      <c r="R354" s="4">
        <f t="shared" si="120"/>
        <v>1377328.89</v>
      </c>
      <c r="S354" s="33">
        <f t="shared" si="121"/>
        <v>27060.330000000075</v>
      </c>
      <c r="T354" s="12">
        <f t="shared" si="112"/>
        <v>0.98073160231178647</v>
      </c>
      <c r="U354" s="510" t="s">
        <v>162</v>
      </c>
      <c r="V354" s="510" t="s">
        <v>163</v>
      </c>
      <c r="Y354" s="2"/>
      <c r="Z354" s="2"/>
      <c r="AA354" s="2"/>
      <c r="AB354" s="2"/>
      <c r="AC354" s="2"/>
    </row>
    <row r="355" spans="1:29" ht="10.5" hidden="1">
      <c r="A355" s="2">
        <f t="shared" si="122"/>
        <v>11</v>
      </c>
      <c r="B355" s="2" t="str">
        <f>VLOOKUP($A355,Controle!$B$4:$F$68,2,FALSE)</f>
        <v>Patos de Minas 8</v>
      </c>
      <c r="C355" s="2" t="str">
        <f>VLOOKUP($A355,Controle!$B$4:$F$68,3,FALSE)</f>
        <v xml:space="preserve">MORI GERACAO II </v>
      </c>
      <c r="D355" s="2" t="str">
        <f>VLOOKUP($A355,Controle!$B$4:$F$68,4,FALSE)</f>
        <v>Mori II</v>
      </c>
      <c r="E355" s="2">
        <f>VLOOKUP($A355,Controle!$B$4:$F$68,5,FALSE)</f>
        <v>1</v>
      </c>
      <c r="F355" s="3" t="str">
        <f t="shared" si="118"/>
        <v>Construção - Serviços de Construção - Substituição</v>
      </c>
      <c r="G355" s="2" t="str">
        <f>VLOOKUP($A355,Controle!$B$4:$G$68,6,FALSE)</f>
        <v>Mori</v>
      </c>
      <c r="H355" s="6" t="s">
        <v>178</v>
      </c>
      <c r="I355" s="6">
        <v>2334800</v>
      </c>
      <c r="J355" s="6">
        <v>238886.64</v>
      </c>
      <c r="K355" s="6">
        <v>0</v>
      </c>
      <c r="L355" s="6">
        <v>0</v>
      </c>
      <c r="M355" s="6">
        <v>0</v>
      </c>
      <c r="N355" s="6">
        <v>0</v>
      </c>
      <c r="O355" s="4">
        <f t="shared" si="119"/>
        <v>2573686.64</v>
      </c>
      <c r="P355" s="5">
        <f>SUMIFS('Desenvolvimento diário'!$H:$H,'Desenvolvimento diário'!$Q:$Q,$B355,'Desenvolvimento diário'!$P:$P,$F355,'Desenvolvimento diário'!$R:$R,"Sim")</f>
        <v>705648.26000000013</v>
      </c>
      <c r="Q355" s="5">
        <f>SUMIFS('Desenvolvimento diário'!$H:$H,'Desenvolvimento diário'!$Q:$Q,$B355,'Desenvolvimento diário'!$P:$P,$F355,'Desenvolvimento diário'!$R:$R,"Não")</f>
        <v>846671.76</v>
      </c>
      <c r="R355" s="4">
        <f t="shared" si="120"/>
        <v>1552320.02</v>
      </c>
      <c r="S355" s="33">
        <f t="shared" si="121"/>
        <v>1021366.6200000001</v>
      </c>
      <c r="T355" s="12">
        <f t="shared" si="112"/>
        <v>0.60315035866215627</v>
      </c>
      <c r="U355" s="510" t="s">
        <v>162</v>
      </c>
      <c r="V355" s="510" t="s">
        <v>163</v>
      </c>
      <c r="Y355" s="2"/>
      <c r="Z355" s="2"/>
      <c r="AA355" s="2"/>
      <c r="AB355" s="2"/>
      <c r="AC355" s="2"/>
    </row>
    <row r="356" spans="1:29" ht="10.5" hidden="1">
      <c r="A356" s="2">
        <f t="shared" si="122"/>
        <v>11</v>
      </c>
      <c r="B356" s="2" t="str">
        <f>VLOOKUP($A356,Controle!$B$4:$F$68,2,FALSE)</f>
        <v>Patos de Minas 8</v>
      </c>
      <c r="C356" s="2" t="str">
        <f>VLOOKUP($A356,Controle!$B$4:$F$68,3,FALSE)</f>
        <v xml:space="preserve">MORI GERACAO II </v>
      </c>
      <c r="D356" s="2" t="str">
        <f>VLOOKUP($A356,Controle!$B$4:$F$68,4,FALSE)</f>
        <v>Mori II</v>
      </c>
      <c r="E356" s="2">
        <f>VLOOKUP($A356,Controle!$B$4:$F$68,5,FALSE)</f>
        <v>1</v>
      </c>
      <c r="F356" s="3" t="str">
        <f t="shared" si="118"/>
        <v>Construção - RDA Interno</v>
      </c>
      <c r="G356" s="2" t="str">
        <f>VLOOKUP($A356,Controle!$B$4:$G$68,6,FALSE)</f>
        <v>Mori</v>
      </c>
      <c r="H356" s="6" t="s">
        <v>168</v>
      </c>
      <c r="I356" s="6">
        <v>330000</v>
      </c>
      <c r="J356" s="6">
        <v>0</v>
      </c>
      <c r="K356" s="6">
        <v>0</v>
      </c>
      <c r="L356" s="6">
        <v>0</v>
      </c>
      <c r="M356" s="6">
        <v>0</v>
      </c>
      <c r="N356" s="6">
        <v>0</v>
      </c>
      <c r="O356" s="4">
        <f t="shared" si="119"/>
        <v>330000</v>
      </c>
      <c r="P356" s="5">
        <f>SUMIFS('Desenvolvimento diário'!$H:$H,'Desenvolvimento diário'!$Q:$Q,$B356,'Desenvolvimento diário'!$P:$P,$F356,'Desenvolvimento diário'!$R:$R,"Sim")</f>
        <v>0</v>
      </c>
      <c r="Q356" s="5">
        <f>SUMIFS('Desenvolvimento diário'!$H:$H,'Desenvolvimento diário'!$Q:$Q,$B356,'Desenvolvimento diário'!$P:$P,$F356,'Desenvolvimento diário'!$R:$R,"Não")</f>
        <v>330000</v>
      </c>
      <c r="R356" s="4">
        <f t="shared" si="120"/>
        <v>330000</v>
      </c>
      <c r="S356" s="4">
        <f t="shared" si="121"/>
        <v>0</v>
      </c>
      <c r="T356" s="12">
        <f t="shared" si="112"/>
        <v>1</v>
      </c>
      <c r="Y356" s="2"/>
      <c r="Z356" s="2"/>
      <c r="AA356" s="2"/>
      <c r="AB356" s="2"/>
      <c r="AC356" s="2"/>
    </row>
    <row r="357" spans="1:29" ht="10.5" hidden="1">
      <c r="A357" s="2">
        <f t="shared" si="122"/>
        <v>11</v>
      </c>
      <c r="B357" s="2" t="str">
        <f>VLOOKUP($A357,Controle!$B$4:$F$68,2,FALSE)</f>
        <v>Patos de Minas 8</v>
      </c>
      <c r="C357" s="2" t="str">
        <f>VLOOKUP($A357,Controle!$B$4:$F$68,3,FALSE)</f>
        <v xml:space="preserve">MORI GERACAO II </v>
      </c>
      <c r="D357" s="2" t="str">
        <f>VLOOKUP($A357,Controle!$B$4:$F$68,4,FALSE)</f>
        <v>Mori II</v>
      </c>
      <c r="E357" s="2">
        <f>VLOOKUP($A357,Controle!$B$4:$F$68,5,FALSE)</f>
        <v>1</v>
      </c>
      <c r="F357" s="3" t="str">
        <f t="shared" si="118"/>
        <v>Full EPC - Contrato</v>
      </c>
      <c r="G357" s="2" t="str">
        <f>VLOOKUP($A357,Controle!$B$4:$G$68,6,FALSE)</f>
        <v>Mori</v>
      </c>
      <c r="H357" s="6">
        <v>0</v>
      </c>
      <c r="I357" s="6">
        <v>0</v>
      </c>
      <c r="J357" s="6">
        <v>0</v>
      </c>
      <c r="K357" s="6">
        <v>0</v>
      </c>
      <c r="L357" s="6">
        <v>0</v>
      </c>
      <c r="M357" s="6">
        <v>0</v>
      </c>
      <c r="N357" s="6">
        <v>0</v>
      </c>
      <c r="O357" s="4">
        <f t="shared" si="119"/>
        <v>0</v>
      </c>
      <c r="P357" s="5">
        <f>SUMIFS('Desenvolvimento diário'!$H:$H,'Desenvolvimento diário'!$Q:$Q,$B357,'Desenvolvimento diário'!$P:$P,$F357,'Desenvolvimento diário'!$R:$R,"Sim")</f>
        <v>0</v>
      </c>
      <c r="Q357" s="5">
        <f>SUMIFS('Desenvolvimento diário'!$H:$H,'Desenvolvimento diário'!$Q:$Q,$B357,'Desenvolvimento diário'!$P:$P,$F357,'Desenvolvimento diário'!$R:$R,"Não")</f>
        <v>0</v>
      </c>
      <c r="R357" s="4">
        <f t="shared" si="120"/>
        <v>0</v>
      </c>
      <c r="S357" s="4">
        <f t="shared" si="121"/>
        <v>0</v>
      </c>
      <c r="T357" s="12">
        <f t="shared" si="112"/>
        <v>0</v>
      </c>
      <c r="Y357" s="2"/>
      <c r="Z357" s="2"/>
      <c r="AA357" s="2"/>
      <c r="AB357" s="2"/>
      <c r="AC357" s="2"/>
    </row>
    <row r="358" spans="1:29" ht="10.5" hidden="1">
      <c r="A358" s="2">
        <f t="shared" si="122"/>
        <v>11</v>
      </c>
      <c r="B358" s="2" t="str">
        <f>VLOOKUP($A358,Controle!$B$4:$F$68,2,FALSE)</f>
        <v>Patos de Minas 8</v>
      </c>
      <c r="C358" s="2" t="str">
        <f>VLOOKUP($A358,Controle!$B$4:$F$68,3,FALSE)</f>
        <v xml:space="preserve">MORI GERACAO II </v>
      </c>
      <c r="D358" s="2" t="str">
        <f>VLOOKUP($A358,Controle!$B$4:$F$68,4,FALSE)</f>
        <v>Mori II</v>
      </c>
      <c r="E358" s="2">
        <f>VLOOKUP($A358,Controle!$B$4:$F$68,5,FALSE)</f>
        <v>1</v>
      </c>
      <c r="F358" s="3" t="str">
        <f t="shared" si="118"/>
        <v>Equipamentos Curva A - Outros (Transformadores)</v>
      </c>
      <c r="G358" s="2" t="str">
        <f>VLOOKUP($A358,Controle!$B$4:$G$68,6,FALSE)</f>
        <v>Mori</v>
      </c>
      <c r="H358" s="6">
        <v>0</v>
      </c>
      <c r="I358" s="6">
        <v>0</v>
      </c>
      <c r="J358" s="6">
        <v>0</v>
      </c>
      <c r="K358" s="6">
        <v>0</v>
      </c>
      <c r="L358" s="6">
        <v>0</v>
      </c>
      <c r="M358" s="6">
        <v>0</v>
      </c>
      <c r="N358" s="6">
        <v>0</v>
      </c>
      <c r="O358" s="4">
        <f t="shared" si="119"/>
        <v>0</v>
      </c>
      <c r="P358" s="5">
        <f>SUMIFS('Desenvolvimento diário'!$H:$H,'Desenvolvimento diário'!$Q:$Q,$B358,'Desenvolvimento diário'!$P:$P,$F358,'Desenvolvimento diário'!$R:$R,"Sim")</f>
        <v>0</v>
      </c>
      <c r="Q358" s="5">
        <f>SUMIFS('Desenvolvimento diário'!$H:$H,'Desenvolvimento diário'!$Q:$Q,$B358,'Desenvolvimento diário'!$P:$P,$F358,'Desenvolvimento diário'!$R:$R,"Não")</f>
        <v>0</v>
      </c>
      <c r="R358" s="4">
        <f t="shared" si="120"/>
        <v>0</v>
      </c>
      <c r="S358" s="4">
        <f t="shared" si="121"/>
        <v>0</v>
      </c>
      <c r="T358" s="12">
        <f t="shared" si="112"/>
        <v>0</v>
      </c>
      <c r="Y358" s="2"/>
      <c r="Z358" s="2"/>
      <c r="AA358" s="2"/>
      <c r="AB358" s="2"/>
      <c r="AC358" s="2"/>
    </row>
    <row r="359" spans="1:29" ht="10.5" hidden="1">
      <c r="A359" s="2">
        <f t="shared" si="122"/>
        <v>11</v>
      </c>
      <c r="B359" s="2" t="str">
        <f>VLOOKUP($A359,Controle!$B$4:$F$68,2,FALSE)</f>
        <v>Patos de Minas 8</v>
      </c>
      <c r="C359" s="2" t="str">
        <f>VLOOKUP($A359,Controle!$B$4:$F$68,3,FALSE)</f>
        <v xml:space="preserve">MORI GERACAO II </v>
      </c>
      <c r="D359" s="2" t="str">
        <f>VLOOKUP($A359,Controle!$B$4:$F$68,4,FALSE)</f>
        <v>Mori II</v>
      </c>
      <c r="E359" s="2">
        <f>VLOOKUP($A359,Controle!$B$4:$F$68,5,FALSE)</f>
        <v>1</v>
      </c>
      <c r="F359" s="3" t="str">
        <f t="shared" si="118"/>
        <v>Equipamentos Curva A - Outros (Cabine + Skid)</v>
      </c>
      <c r="G359" s="2" t="str">
        <f>VLOOKUP($A359,Controle!$B$4:$G$68,6,FALSE)</f>
        <v>Mori</v>
      </c>
      <c r="H359" s="6">
        <v>0</v>
      </c>
      <c r="I359" s="6">
        <v>0</v>
      </c>
      <c r="J359" s="6">
        <v>0</v>
      </c>
      <c r="K359" s="6">
        <v>0</v>
      </c>
      <c r="L359" s="6">
        <v>0</v>
      </c>
      <c r="M359" s="6">
        <v>0</v>
      </c>
      <c r="N359" s="6">
        <v>0</v>
      </c>
      <c r="O359" s="4">
        <f t="shared" si="119"/>
        <v>0</v>
      </c>
      <c r="P359" s="5">
        <f>SUMIFS('Desenvolvimento diário'!$H:$H,'Desenvolvimento diário'!$Q:$Q,$B359,'Desenvolvimento diário'!$P:$P,$F359,'Desenvolvimento diário'!$R:$R,"Sim")</f>
        <v>0</v>
      </c>
      <c r="Q359" s="5">
        <f>SUMIFS('Desenvolvimento diário'!$H:$H,'Desenvolvimento diário'!$Q:$Q,$B359,'Desenvolvimento diário'!$P:$P,$F359,'Desenvolvimento diário'!$R:$R,"Não")</f>
        <v>0</v>
      </c>
      <c r="R359" s="4">
        <f t="shared" si="120"/>
        <v>0</v>
      </c>
      <c r="S359" s="4">
        <f t="shared" si="121"/>
        <v>0</v>
      </c>
      <c r="T359" s="12">
        <f t="shared" si="112"/>
        <v>0</v>
      </c>
      <c r="Y359" s="2"/>
      <c r="Z359" s="2"/>
      <c r="AA359" s="2"/>
      <c r="AB359" s="2"/>
      <c r="AC359" s="2"/>
    </row>
    <row r="360" spans="1:29" ht="10.5" hidden="1">
      <c r="A360" s="2">
        <f t="shared" si="122"/>
        <v>11</v>
      </c>
      <c r="B360" s="2" t="str">
        <f>VLOOKUP($A360,Controle!$B$4:$F$68,2,FALSE)</f>
        <v>Patos de Minas 8</v>
      </c>
      <c r="C360" s="2" t="str">
        <f>VLOOKUP($A360,Controle!$B$4:$F$68,3,FALSE)</f>
        <v xml:space="preserve">MORI GERACAO II </v>
      </c>
      <c r="D360" s="2" t="str">
        <f>VLOOKUP($A360,Controle!$B$4:$F$68,4,FALSE)</f>
        <v>Mori II</v>
      </c>
      <c r="E360" s="2">
        <f>VLOOKUP($A360,Controle!$B$4:$F$68,5,FALSE)</f>
        <v>1</v>
      </c>
      <c r="F360" s="3" t="str">
        <f t="shared" si="118"/>
        <v>Equipamentos Curva A - Outros (Cabine + Skid + Transformador)</v>
      </c>
      <c r="G360" s="2" t="str">
        <f>VLOOKUP($A360,Controle!$B$4:$G$68,6,FALSE)</f>
        <v>Mori</v>
      </c>
      <c r="H360" s="6" t="s">
        <v>144</v>
      </c>
      <c r="I360" s="6">
        <v>986545.80325</v>
      </c>
      <c r="J360" s="6">
        <v>0</v>
      </c>
      <c r="K360" s="6">
        <v>0</v>
      </c>
      <c r="L360" s="6">
        <v>0</v>
      </c>
      <c r="M360" s="6">
        <v>0</v>
      </c>
      <c r="N360" s="6">
        <v>0</v>
      </c>
      <c r="O360" s="4">
        <f t="shared" si="119"/>
        <v>986545.80325</v>
      </c>
      <c r="P360" s="5">
        <f>SUMIFS('Desenvolvimento diário'!$H:$H,'Desenvolvimento diário'!$Q:$Q,$B360,'Desenvolvimento diário'!$P:$P,$F360,'Desenvolvimento diário'!$R:$R,"Sim")</f>
        <v>0</v>
      </c>
      <c r="Q360" s="5">
        <f>SUMIFS('Desenvolvimento diário'!$H:$H,'Desenvolvimento diário'!$Q:$Q,$B360,'Desenvolvimento diário'!$P:$P,$F360,'Desenvolvimento diário'!$R:$R,"Não")</f>
        <v>986545.80325</v>
      </c>
      <c r="R360" s="4">
        <f t="shared" si="120"/>
        <v>986545.80325</v>
      </c>
      <c r="S360" s="4">
        <f t="shared" si="121"/>
        <v>0</v>
      </c>
      <c r="T360" s="12">
        <f t="shared" si="112"/>
        <v>1</v>
      </c>
      <c r="Y360" s="2"/>
      <c r="Z360" s="2"/>
      <c r="AA360" s="2"/>
      <c r="AB360" s="2"/>
      <c r="AC360" s="2"/>
    </row>
    <row r="361" spans="1:29" ht="10.5" hidden="1">
      <c r="A361" s="2">
        <f t="shared" si="122"/>
        <v>11</v>
      </c>
      <c r="B361" s="2" t="str">
        <f>VLOOKUP($A361,Controle!$B$4:$F$68,2,FALSE)</f>
        <v>Patos de Minas 8</v>
      </c>
      <c r="C361" s="2" t="str">
        <f>VLOOKUP($A361,Controle!$B$4:$F$68,3,FALSE)</f>
        <v xml:space="preserve">MORI GERACAO II </v>
      </c>
      <c r="D361" s="2" t="str">
        <f>VLOOKUP($A361,Controle!$B$4:$F$68,4,FALSE)</f>
        <v>Mori II</v>
      </c>
      <c r="E361" s="2">
        <f>VLOOKUP($A361,Controle!$B$4:$F$68,5,FALSE)</f>
        <v>1</v>
      </c>
      <c r="F361" s="3" t="str">
        <f t="shared" si="118"/>
        <v>Desenvolvimento de projeto - Projetos - (Eng° Proprietario)</v>
      </c>
      <c r="G361" s="2" t="str">
        <f>VLOOKUP($A361,Controle!$B$4:$G$68,6,FALSE)</f>
        <v>Mori</v>
      </c>
      <c r="H361" s="6" t="s">
        <v>145</v>
      </c>
      <c r="I361" s="6">
        <v>0</v>
      </c>
      <c r="J361" s="6">
        <v>0</v>
      </c>
      <c r="K361" s="6">
        <v>0</v>
      </c>
      <c r="L361" s="6">
        <v>0</v>
      </c>
      <c r="M361" s="6">
        <v>0</v>
      </c>
      <c r="N361" s="6">
        <v>0</v>
      </c>
      <c r="O361" s="4">
        <f t="shared" si="119"/>
        <v>0</v>
      </c>
      <c r="P361" s="5">
        <f>SUMIFS('Desenvolvimento diário'!$H:$H,'Desenvolvimento diário'!$Q:$Q,$B361,'Desenvolvimento diário'!$P:$P,$F361,'Desenvolvimento diário'!$R:$R,"Sim")</f>
        <v>0</v>
      </c>
      <c r="Q361" s="5">
        <f>SUMIFS('Desenvolvimento diário'!$H:$H,'Desenvolvimento diário'!$Q:$Q,$B361,'Desenvolvimento diário'!$P:$P,$F361,'Desenvolvimento diário'!$R:$R,"Não")</f>
        <v>0</v>
      </c>
      <c r="R361" s="4">
        <f t="shared" si="120"/>
        <v>0</v>
      </c>
      <c r="S361" s="4">
        <f t="shared" si="121"/>
        <v>0</v>
      </c>
      <c r="T361" s="12">
        <f t="shared" si="112"/>
        <v>0</v>
      </c>
      <c r="Y361" s="2"/>
      <c r="Z361" s="2"/>
      <c r="AA361" s="2"/>
      <c r="AB361" s="2"/>
      <c r="AC361" s="2"/>
    </row>
    <row r="362" spans="1:29" ht="10.5" hidden="1">
      <c r="A362" s="2">
        <f t="shared" si="122"/>
        <v>11</v>
      </c>
      <c r="B362" s="2" t="str">
        <f>VLOOKUP($A362,Controle!$B$4:$F$68,2,FALSE)</f>
        <v>Patos de Minas 8</v>
      </c>
      <c r="C362" s="2" t="str">
        <f>VLOOKUP($A362,Controle!$B$4:$F$68,3,FALSE)</f>
        <v xml:space="preserve">MORI GERACAO II </v>
      </c>
      <c r="D362" s="2" t="str">
        <f>VLOOKUP($A362,Controle!$B$4:$F$68,4,FALSE)</f>
        <v>Mori II</v>
      </c>
      <c r="E362" s="2">
        <f>VLOOKUP($A362,Controle!$B$4:$F$68,5,FALSE)</f>
        <v>1</v>
      </c>
      <c r="F362" s="3" t="str">
        <f t="shared" si="118"/>
        <v>Desenvolvimento de projeto - Projetos - Executivos</v>
      </c>
      <c r="G362" s="2" t="str">
        <f>VLOOKUP($A362,Controle!$B$4:$G$68,6,FALSE)</f>
        <v>Mori</v>
      </c>
      <c r="H362" s="6" t="s">
        <v>146</v>
      </c>
      <c r="I362" s="6">
        <v>36466</v>
      </c>
      <c r="J362" s="6">
        <v>5500</v>
      </c>
      <c r="K362" s="6">
        <v>0</v>
      </c>
      <c r="L362" s="6">
        <v>0</v>
      </c>
      <c r="M362" s="6">
        <v>0</v>
      </c>
      <c r="N362" s="6">
        <v>0</v>
      </c>
      <c r="O362" s="4">
        <f>SUM(I362:N362)+0.7</f>
        <v>41966.7</v>
      </c>
      <c r="P362" s="5">
        <f>SUMIFS('Desenvolvimento diário'!$H:$H,'Desenvolvimento diário'!$Q:$Q,$B362,'Desenvolvimento diário'!$P:$P,$F362,'Desenvolvimento diário'!$R:$R,"Sim")</f>
        <v>0</v>
      </c>
      <c r="Q362" s="5">
        <f>SUMIFS('Desenvolvimento diário'!$H:$H,'Desenvolvimento diário'!$Q:$Q,$B362,'Desenvolvimento diário'!$P:$P,$F362,'Desenvolvimento diário'!$R:$R,"Não")</f>
        <v>41966.7</v>
      </c>
      <c r="R362" s="4">
        <f t="shared" si="120"/>
        <v>41966.7</v>
      </c>
      <c r="S362" s="93">
        <f t="shared" si="121"/>
        <v>0</v>
      </c>
      <c r="T362" s="12">
        <f t="shared" si="112"/>
        <v>1</v>
      </c>
      <c r="Y362" s="2"/>
      <c r="Z362" s="2"/>
      <c r="AA362" s="2"/>
      <c r="AB362" s="2"/>
      <c r="AC362" s="2"/>
    </row>
    <row r="363" spans="1:29" ht="10.5" hidden="1">
      <c r="A363" s="2">
        <f t="shared" si="122"/>
        <v>11</v>
      </c>
      <c r="B363" s="2" t="str">
        <f>VLOOKUP($A363,Controle!$B$4:$F$68,2,FALSE)</f>
        <v>Patos de Minas 8</v>
      </c>
      <c r="C363" s="2" t="str">
        <f>VLOOKUP($A363,Controle!$B$4:$F$68,3,FALSE)</f>
        <v xml:space="preserve">MORI GERACAO II </v>
      </c>
      <c r="D363" s="2" t="str">
        <f>VLOOKUP($A363,Controle!$B$4:$F$68,4,FALSE)</f>
        <v>Mori II</v>
      </c>
      <c r="E363" s="2">
        <f>VLOOKUP($A363,Controle!$B$4:$F$68,5,FALSE)</f>
        <v>1</v>
      </c>
      <c r="F363" s="3" t="str">
        <f t="shared" si="118"/>
        <v>Desenvolvimento de projeto - Projetos Básica</v>
      </c>
      <c r="G363" s="2" t="str">
        <f>VLOOKUP($A363,Controle!$B$4:$G$68,6,FALSE)</f>
        <v>Mori</v>
      </c>
      <c r="H363" s="6">
        <v>0</v>
      </c>
      <c r="I363" s="6">
        <v>0</v>
      </c>
      <c r="J363" s="6">
        <v>0</v>
      </c>
      <c r="K363" s="6">
        <v>0</v>
      </c>
      <c r="L363" s="6">
        <v>0</v>
      </c>
      <c r="M363" s="6">
        <v>0</v>
      </c>
      <c r="N363" s="6">
        <v>0</v>
      </c>
      <c r="O363" s="4">
        <f t="shared" si="119"/>
        <v>0</v>
      </c>
      <c r="P363" s="5">
        <f>SUMIFS('Desenvolvimento diário'!$H:$H,'Desenvolvimento diário'!$Q:$Q,$B363,'Desenvolvimento diário'!$P:$P,$F363,'Desenvolvimento diário'!$R:$R,"Sim")</f>
        <v>0</v>
      </c>
      <c r="Q363" s="5">
        <f>SUMIFS('Desenvolvimento diário'!$H:$H,'Desenvolvimento diário'!$Q:$Q,$B363,'Desenvolvimento diário'!$P:$P,$F363,'Desenvolvimento diário'!$R:$R,"Não")</f>
        <v>0</v>
      </c>
      <c r="R363" s="4">
        <f t="shared" si="120"/>
        <v>0</v>
      </c>
      <c r="S363" s="4">
        <f t="shared" si="121"/>
        <v>0</v>
      </c>
      <c r="T363" s="12">
        <f t="shared" si="112"/>
        <v>0</v>
      </c>
      <c r="Y363" s="2"/>
      <c r="Z363" s="2"/>
      <c r="AA363" s="2"/>
      <c r="AB363" s="2"/>
      <c r="AC363" s="2"/>
    </row>
    <row r="364" spans="1:29" ht="10.5" hidden="1">
      <c r="A364" s="2">
        <f t="shared" si="122"/>
        <v>11</v>
      </c>
      <c r="B364" s="2" t="str">
        <f>VLOOKUP($A364,Controle!$B$4:$F$68,2,FALSE)</f>
        <v>Patos de Minas 8</v>
      </c>
      <c r="C364" s="2" t="str">
        <f>VLOOKUP($A364,Controle!$B$4:$F$68,3,FALSE)</f>
        <v xml:space="preserve">MORI GERACAO II </v>
      </c>
      <c r="D364" s="2" t="str">
        <f>VLOOKUP($A364,Controle!$B$4:$F$68,4,FALSE)</f>
        <v>Mori II</v>
      </c>
      <c r="E364" s="2">
        <f>VLOOKUP($A364,Controle!$B$4:$F$68,5,FALSE)</f>
        <v>1</v>
      </c>
      <c r="F364" s="3" t="str">
        <f t="shared" si="118"/>
        <v>Desenvolvimento de projeto - Projetos Detalhada</v>
      </c>
      <c r="G364" s="2" t="str">
        <f>VLOOKUP($A364,Controle!$B$4:$G$68,6,FALSE)</f>
        <v>Mori</v>
      </c>
      <c r="H364" s="6">
        <v>0</v>
      </c>
      <c r="I364" s="6">
        <v>0</v>
      </c>
      <c r="J364" s="6">
        <v>0</v>
      </c>
      <c r="K364" s="6">
        <v>0</v>
      </c>
      <c r="L364" s="6">
        <v>0</v>
      </c>
      <c r="M364" s="6">
        <v>0</v>
      </c>
      <c r="N364" s="6">
        <v>0</v>
      </c>
      <c r="O364" s="4">
        <f t="shared" si="119"/>
        <v>0</v>
      </c>
      <c r="P364" s="5">
        <f>SUMIFS('Desenvolvimento diário'!$H:$H,'Desenvolvimento diário'!$Q:$Q,$B364,'Desenvolvimento diário'!$P:$P,$F364,'Desenvolvimento diário'!$R:$R,"Sim")</f>
        <v>0</v>
      </c>
      <c r="Q364" s="5">
        <f>SUMIFS('Desenvolvimento diário'!$H:$H,'Desenvolvimento diário'!$Q:$Q,$B364,'Desenvolvimento diário'!$P:$P,$F364,'Desenvolvimento diário'!$R:$R,"Não")</f>
        <v>0</v>
      </c>
      <c r="R364" s="4">
        <f t="shared" si="120"/>
        <v>0</v>
      </c>
      <c r="S364" s="4">
        <f t="shared" si="121"/>
        <v>0</v>
      </c>
      <c r="T364" s="12">
        <f t="shared" si="112"/>
        <v>0</v>
      </c>
      <c r="Y364" s="2"/>
      <c r="Z364" s="2"/>
      <c r="AA364" s="2"/>
      <c r="AB364" s="2"/>
      <c r="AC364" s="2"/>
    </row>
    <row r="365" spans="1:29" ht="10.5" hidden="1">
      <c r="A365" s="2">
        <f t="shared" si="122"/>
        <v>11</v>
      </c>
      <c r="B365" s="2" t="str">
        <f>VLOOKUP($A365,Controle!$B$4:$F$68,2,FALSE)</f>
        <v>Patos de Minas 8</v>
      </c>
      <c r="C365" s="2" t="str">
        <f>VLOOKUP($A365,Controle!$B$4:$F$68,3,FALSE)</f>
        <v xml:space="preserve">MORI GERACAO II </v>
      </c>
      <c r="D365" s="2" t="str">
        <f>VLOOKUP($A365,Controle!$B$4:$F$68,4,FALSE)</f>
        <v>Mori II</v>
      </c>
      <c r="E365" s="2">
        <f>VLOOKUP($A365,Controle!$B$4:$F$68,5,FALSE)</f>
        <v>1</v>
      </c>
      <c r="F365" s="3" t="str">
        <f t="shared" si="118"/>
        <v>Desenvolvimento de projeto - Ambiental / Outros</v>
      </c>
      <c r="G365" s="2" t="str">
        <f>VLOOKUP($A365,Controle!$B$4:$G$68,6,FALSE)</f>
        <v>Mori</v>
      </c>
      <c r="H365" s="6" t="s">
        <v>148</v>
      </c>
      <c r="I365" s="6">
        <f>R365</f>
        <v>134801.52000000002</v>
      </c>
      <c r="J365" s="6">
        <v>0</v>
      </c>
      <c r="K365" s="6">
        <v>0</v>
      </c>
      <c r="L365" s="6">
        <v>0</v>
      </c>
      <c r="M365" s="6">
        <v>0</v>
      </c>
      <c r="N365" s="6">
        <v>0</v>
      </c>
      <c r="O365" s="4">
        <f t="shared" si="119"/>
        <v>134801.52000000002</v>
      </c>
      <c r="P365" s="5">
        <f>SUMIFS('Desenvolvimento diário'!$H:$H,'Desenvolvimento diário'!$Q:$Q,$B365,'Desenvolvimento diário'!$P:$P,$F365,'Desenvolvimento diário'!$R:$R,"Sim")</f>
        <v>0</v>
      </c>
      <c r="Q365" s="5">
        <f>SUMIFS('Desenvolvimento diário'!$H:$H,'Desenvolvimento diário'!$Q:$Q,$B365,'Desenvolvimento diário'!$P:$P,$F365,'Desenvolvimento diário'!$R:$R,"Não")</f>
        <v>134801.52000000002</v>
      </c>
      <c r="R365" s="4">
        <f t="shared" si="120"/>
        <v>134801.52000000002</v>
      </c>
      <c r="S365" s="4">
        <f t="shared" si="121"/>
        <v>0</v>
      </c>
      <c r="T365" s="12">
        <f t="shared" si="112"/>
        <v>1</v>
      </c>
      <c r="Y365" s="2"/>
      <c r="Z365" s="2"/>
      <c r="AA365" s="2"/>
      <c r="AB365" s="2"/>
      <c r="AC365" s="2"/>
    </row>
    <row r="366" spans="1:29" hidden="1">
      <c r="A366" s="2">
        <f t="shared" si="122"/>
        <v>11</v>
      </c>
      <c r="B366" s="2" t="str">
        <f>VLOOKUP($A366,Controle!$B$4:$F$68,2,FALSE)</f>
        <v>Patos de Minas 8</v>
      </c>
      <c r="C366" s="2" t="str">
        <f>VLOOKUP($A366,Controle!$B$4:$F$68,3,FALSE)</f>
        <v xml:space="preserve">MORI GERACAO II </v>
      </c>
      <c r="D366" s="2" t="str">
        <f>VLOOKUP($A366,Controle!$B$4:$F$68,4,FALSE)</f>
        <v>Mori II</v>
      </c>
      <c r="E366" s="2">
        <f>VLOOKUP($A366,Controle!$B$4:$F$68,5,FALSE)</f>
        <v>1</v>
      </c>
      <c r="F366" s="3" t="str">
        <f t="shared" si="118"/>
        <v>Desenvolvimento de projeto - Coordenograma</v>
      </c>
      <c r="G366" s="2" t="str">
        <f>VLOOKUP($A366,Controle!$B$4:$G$68,6,FALSE)</f>
        <v>Mori</v>
      </c>
      <c r="H366" s="31" t="s">
        <v>149</v>
      </c>
      <c r="I366" s="31">
        <v>6206.9</v>
      </c>
      <c r="J366" s="31">
        <v>0</v>
      </c>
      <c r="K366" s="31">
        <v>0</v>
      </c>
      <c r="L366" s="6">
        <v>0</v>
      </c>
      <c r="M366" s="6">
        <v>0</v>
      </c>
      <c r="N366" s="6">
        <v>0</v>
      </c>
      <c r="O366" s="4">
        <f t="shared" si="119"/>
        <v>6206.9</v>
      </c>
      <c r="P366" s="5">
        <f>SUMIFS('Desenvolvimento diário'!$H:$H,'Desenvolvimento diário'!$Q:$Q,$B366,'Desenvolvimento diário'!$P:$P,$F366,'Desenvolvimento diário'!$R:$R,"Sim")</f>
        <v>0</v>
      </c>
      <c r="Q366" s="5">
        <f>SUMIFS('Desenvolvimento diário'!$H:$H,'Desenvolvimento diário'!$Q:$Q,$B366,'Desenvolvimento diário'!$P:$P,$F366,'Desenvolvimento diário'!$R:$R,"Não")</f>
        <v>6206.9</v>
      </c>
      <c r="R366" s="4">
        <f t="shared" si="120"/>
        <v>6206.9</v>
      </c>
      <c r="S366" s="93">
        <f t="shared" si="121"/>
        <v>0</v>
      </c>
      <c r="T366" s="12">
        <f t="shared" si="112"/>
        <v>1</v>
      </c>
      <c r="Y366" s="2"/>
      <c r="Z366" s="2"/>
      <c r="AA366" s="2"/>
      <c r="AB366" s="2"/>
      <c r="AC366" s="2"/>
    </row>
    <row r="367" spans="1:29" ht="10.5" hidden="1">
      <c r="A367" s="2">
        <f t="shared" si="122"/>
        <v>11</v>
      </c>
      <c r="B367" s="2" t="str">
        <f>VLOOKUP($A367,Controle!$B$4:$F$68,2,FALSE)</f>
        <v>Patos de Minas 8</v>
      </c>
      <c r="C367" s="2" t="str">
        <f>VLOOKUP($A367,Controle!$B$4:$F$68,3,FALSE)</f>
        <v xml:space="preserve">MORI GERACAO II </v>
      </c>
      <c r="D367" s="2" t="str">
        <f>VLOOKUP($A367,Controle!$B$4:$F$68,4,FALSE)</f>
        <v>Mori II</v>
      </c>
      <c r="E367" s="2">
        <f>VLOOKUP($A367,Controle!$B$4:$F$68,5,FALSE)</f>
        <v>1</v>
      </c>
      <c r="F367" s="3" t="str">
        <f t="shared" si="118"/>
        <v>Sistemas de Monitoramento - Supervisório</v>
      </c>
      <c r="G367" s="2" t="str">
        <f>VLOOKUP($A367,Controle!$B$4:$G$68,6,FALSE)</f>
        <v>Mori</v>
      </c>
      <c r="H367" s="6" t="s">
        <v>150</v>
      </c>
      <c r="I367" s="6">
        <v>126513.39</v>
      </c>
      <c r="J367" s="6"/>
      <c r="K367" s="6">
        <v>0</v>
      </c>
      <c r="L367" s="6">
        <v>0</v>
      </c>
      <c r="M367" s="6">
        <v>0</v>
      </c>
      <c r="N367" s="6">
        <v>0</v>
      </c>
      <c r="O367" s="4">
        <f t="shared" si="119"/>
        <v>126513.39</v>
      </c>
      <c r="P367" s="5">
        <f>SUMIFS('Desenvolvimento diário'!$H:$H,'Desenvolvimento diário'!$Q:$Q,$B367,'Desenvolvimento diário'!$P:$P,$F367,'Desenvolvimento diário'!$R:$R,"Sim")</f>
        <v>5821.02</v>
      </c>
      <c r="Q367" s="5">
        <f>SUMIFS('Desenvolvimento diário'!$H:$H,'Desenvolvimento diário'!$Q:$Q,$B367,'Desenvolvimento diário'!$P:$P,$F367,'Desenvolvimento diário'!$R:$R,"Não")</f>
        <v>120692.37</v>
      </c>
      <c r="R367" s="4">
        <f t="shared" si="120"/>
        <v>126513.39</v>
      </c>
      <c r="S367" s="4">
        <f t="shared" si="121"/>
        <v>0</v>
      </c>
      <c r="T367" s="12">
        <f t="shared" si="112"/>
        <v>1</v>
      </c>
      <c r="Y367" s="2"/>
      <c r="Z367" s="2"/>
      <c r="AA367" s="2"/>
      <c r="AB367" s="2"/>
      <c r="AC367" s="2"/>
    </row>
    <row r="368" spans="1:29" ht="10.5" hidden="1">
      <c r="A368" s="2">
        <f t="shared" si="122"/>
        <v>11</v>
      </c>
      <c r="B368" s="2" t="str">
        <f>VLOOKUP($A368,Controle!$B$4:$F$68,2,FALSE)</f>
        <v>Patos de Minas 8</v>
      </c>
      <c r="C368" s="2" t="str">
        <f>VLOOKUP($A368,Controle!$B$4:$F$68,3,FALSE)</f>
        <v xml:space="preserve">MORI GERACAO II </v>
      </c>
      <c r="D368" s="2" t="str">
        <f>VLOOKUP($A368,Controle!$B$4:$F$68,4,FALSE)</f>
        <v>Mori II</v>
      </c>
      <c r="E368" s="2">
        <f>VLOOKUP($A368,Controle!$B$4:$F$68,5,FALSE)</f>
        <v>1</v>
      </c>
      <c r="F368" s="3" t="str">
        <f t="shared" si="118"/>
        <v>Sistemas de Monitoramento - Estações Solarimétricas</v>
      </c>
      <c r="G368" s="2" t="str">
        <f>VLOOKUP($A368,Controle!$B$4:$G$68,6,FALSE)</f>
        <v>Mori</v>
      </c>
      <c r="H368" s="6" t="s">
        <v>151</v>
      </c>
      <c r="I368" s="6">
        <v>48276.516000000003</v>
      </c>
      <c r="J368" s="6">
        <v>0</v>
      </c>
      <c r="K368" s="6">
        <v>0</v>
      </c>
      <c r="L368" s="6">
        <v>0</v>
      </c>
      <c r="M368" s="6">
        <v>0</v>
      </c>
      <c r="N368" s="6">
        <v>0</v>
      </c>
      <c r="O368" s="4">
        <f t="shared" si="119"/>
        <v>48276.516000000003</v>
      </c>
      <c r="P368" s="5">
        <f>SUMIFS('Desenvolvimento diário'!$H:$H,'Desenvolvimento diário'!$Q:$Q,$B368,'Desenvolvimento diário'!$P:$P,$F368,'Desenvolvimento diário'!$R:$R,"Sim")</f>
        <v>0</v>
      </c>
      <c r="Q368" s="5">
        <f>SUMIFS('Desenvolvimento diário'!$H:$H,'Desenvolvimento diário'!$Q:$Q,$B368,'Desenvolvimento diário'!$P:$P,$F368,'Desenvolvimento diário'!$R:$R,"Não")</f>
        <v>48276.516000000003</v>
      </c>
      <c r="R368" s="4">
        <f t="shared" si="120"/>
        <v>48276.516000000003</v>
      </c>
      <c r="S368" s="4">
        <f t="shared" si="121"/>
        <v>0</v>
      </c>
      <c r="T368" s="12">
        <f t="shared" si="112"/>
        <v>1</v>
      </c>
      <c r="Y368" s="2"/>
      <c r="Z368" s="2"/>
      <c r="AA368" s="2"/>
      <c r="AB368" s="2"/>
      <c r="AC368" s="2"/>
    </row>
    <row r="369" spans="1:29" hidden="1">
      <c r="A369" s="2">
        <f t="shared" si="122"/>
        <v>11</v>
      </c>
      <c r="B369" s="2" t="str">
        <f>VLOOKUP($A369,Controle!$B$4:$F$68,2,FALSE)</f>
        <v>Patos de Minas 8</v>
      </c>
      <c r="C369" s="2" t="str">
        <f>VLOOKUP($A369,Controle!$B$4:$F$68,3,FALSE)</f>
        <v xml:space="preserve">MORI GERACAO II </v>
      </c>
      <c r="D369" s="2" t="str">
        <f>VLOOKUP($A369,Controle!$B$4:$F$68,4,FALSE)</f>
        <v>Mori II</v>
      </c>
      <c r="E369" s="2">
        <f>VLOOKUP($A369,Controle!$B$4:$F$68,5,FALSE)</f>
        <v>1</v>
      </c>
      <c r="F369" s="3" t="str">
        <f t="shared" si="118"/>
        <v>Sistemas de Monitoramento - CFTV</v>
      </c>
      <c r="G369" s="2" t="str">
        <f>VLOOKUP($A369,Controle!$B$4:$G$68,6,FALSE)</f>
        <v>Mori</v>
      </c>
      <c r="H369" s="31" t="s">
        <v>152</v>
      </c>
      <c r="I369" s="6">
        <v>238984.98</v>
      </c>
      <c r="J369" s="6">
        <v>0</v>
      </c>
      <c r="K369" s="6">
        <v>0</v>
      </c>
      <c r="L369" s="6">
        <v>0</v>
      </c>
      <c r="M369" s="6">
        <v>0</v>
      </c>
      <c r="N369" s="6">
        <v>0</v>
      </c>
      <c r="O369" s="4">
        <f t="shared" si="119"/>
        <v>238984.98</v>
      </c>
      <c r="P369" s="5">
        <f>SUMIFS('Desenvolvimento diário'!$H:$H,'Desenvolvimento diário'!$Q:$Q,$B369,'Desenvolvimento diário'!$P:$P,$F369,'Desenvolvimento diário'!$R:$R,"Sim")</f>
        <v>6633.73</v>
      </c>
      <c r="Q369" s="5">
        <f>SUMIFS('Desenvolvimento diário'!$H:$H,'Desenvolvimento diário'!$Q:$Q,$B369,'Desenvolvimento diário'!$P:$P,$F369,'Desenvolvimento diário'!$R:$R,"Não")</f>
        <v>232351.25</v>
      </c>
      <c r="R369" s="4">
        <f t="shared" si="120"/>
        <v>238984.98</v>
      </c>
      <c r="S369" s="4">
        <f t="shared" si="121"/>
        <v>0</v>
      </c>
      <c r="T369" s="12">
        <f t="shared" si="112"/>
        <v>1</v>
      </c>
      <c r="Y369" s="2"/>
      <c r="Z369" s="2"/>
      <c r="AA369" s="2"/>
      <c r="AB369" s="2"/>
      <c r="AC369" s="2"/>
    </row>
    <row r="370" spans="1:29" ht="10.5" hidden="1">
      <c r="A370" s="2">
        <f t="shared" si="122"/>
        <v>11</v>
      </c>
      <c r="B370" s="2" t="str">
        <f>VLOOKUP($A370,Controle!$B$4:$F$68,2,FALSE)</f>
        <v>Patos de Minas 8</v>
      </c>
      <c r="C370" s="2" t="str">
        <f>VLOOKUP($A370,Controle!$B$4:$F$68,3,FALSE)</f>
        <v xml:space="preserve">MORI GERACAO II </v>
      </c>
      <c r="D370" s="2" t="str">
        <f>VLOOKUP($A370,Controle!$B$4:$F$68,4,FALSE)</f>
        <v>Mori II</v>
      </c>
      <c r="E370" s="2">
        <f>VLOOKUP($A370,Controle!$B$4:$F$68,5,FALSE)</f>
        <v>1</v>
      </c>
      <c r="F370" s="3" t="str">
        <f t="shared" si="118"/>
        <v>Serviços Auxiliares - Drenagem</v>
      </c>
      <c r="G370" s="2" t="str">
        <f>VLOOKUP($A370,Controle!$B$4:$G$68,6,FALSE)</f>
        <v>Mori</v>
      </c>
      <c r="H370" s="31" t="s">
        <v>181</v>
      </c>
      <c r="I370" s="6">
        <v>575255</v>
      </c>
      <c r="J370" s="6">
        <v>0</v>
      </c>
      <c r="K370" s="6">
        <v>0</v>
      </c>
      <c r="L370" s="6">
        <v>0</v>
      </c>
      <c r="M370" s="6">
        <v>0</v>
      </c>
      <c r="N370" s="6">
        <v>0</v>
      </c>
      <c r="O370" s="4">
        <f t="shared" si="119"/>
        <v>575255</v>
      </c>
      <c r="P370" s="5">
        <f>SUMIFS('Desenvolvimento diário'!$H:$H,'Desenvolvimento diário'!$Q:$Q,$B370,'Desenvolvimento diário'!$P:$P,$F370,'Desenvolvimento diário'!$R:$R,"Sim")</f>
        <v>35000</v>
      </c>
      <c r="Q370" s="5">
        <f>SUMIFS('Desenvolvimento diário'!$H:$H,'Desenvolvimento diário'!$Q:$Q,$B370,'Desenvolvimento diário'!$P:$P,$F370,'Desenvolvimento diário'!$R:$R,"Não")</f>
        <v>540255</v>
      </c>
      <c r="R370" s="4">
        <f t="shared" si="120"/>
        <v>575255</v>
      </c>
      <c r="S370" s="4">
        <f t="shared" si="121"/>
        <v>0</v>
      </c>
      <c r="T370" s="12">
        <f t="shared" si="112"/>
        <v>1</v>
      </c>
      <c r="Y370" s="2"/>
      <c r="Z370" s="2"/>
      <c r="AA370" s="2"/>
      <c r="AB370" s="2"/>
      <c r="AC370" s="2"/>
    </row>
    <row r="371" spans="1:29" ht="10.5" hidden="1">
      <c r="A371" s="2">
        <f t="shared" si="122"/>
        <v>11</v>
      </c>
      <c r="B371" s="2" t="str">
        <f>VLOOKUP($A371,Controle!$B$4:$F$68,2,FALSE)</f>
        <v>Patos de Minas 8</v>
      </c>
      <c r="C371" s="2" t="str">
        <f>VLOOKUP($A371,Controle!$B$4:$F$68,3,FALSE)</f>
        <v xml:space="preserve">MORI GERACAO II </v>
      </c>
      <c r="D371" s="2" t="str">
        <f>VLOOKUP($A371,Controle!$B$4:$F$68,4,FALSE)</f>
        <v>Mori II</v>
      </c>
      <c r="E371" s="2">
        <f>VLOOKUP($A371,Controle!$B$4:$F$68,5,FALSE)</f>
        <v>1</v>
      </c>
      <c r="F371" s="3" t="str">
        <f t="shared" si="118"/>
        <v>Serviços Auxiliares - Terraplanagem</v>
      </c>
      <c r="G371" s="2" t="str">
        <f>VLOOKUP($A371,Controle!$B$4:$G$68,6,FALSE)</f>
        <v>Mori</v>
      </c>
      <c r="H371" s="28" t="s">
        <v>180</v>
      </c>
      <c r="I371" s="6">
        <v>0</v>
      </c>
      <c r="J371" s="6">
        <v>0</v>
      </c>
      <c r="K371" s="6">
        <v>0</v>
      </c>
      <c r="L371" s="6">
        <v>0</v>
      </c>
      <c r="M371" s="6">
        <v>0</v>
      </c>
      <c r="N371" s="6">
        <v>0</v>
      </c>
      <c r="O371" s="4">
        <f t="shared" si="119"/>
        <v>0</v>
      </c>
      <c r="P371" s="5">
        <f>SUMIFS('Desenvolvimento diário'!$H:$H,'Desenvolvimento diário'!$Q:$Q,$B371,'Desenvolvimento diário'!$P:$P,$F371,'Desenvolvimento diário'!$R:$R,"Sim")</f>
        <v>0</v>
      </c>
      <c r="Q371" s="5">
        <f>SUMIFS('Desenvolvimento diário'!$H:$H,'Desenvolvimento diário'!$Q:$Q,$B371,'Desenvolvimento diário'!$P:$P,$F371,'Desenvolvimento diário'!$R:$R,"Não")</f>
        <v>0</v>
      </c>
      <c r="R371" s="4">
        <f t="shared" si="120"/>
        <v>0</v>
      </c>
      <c r="S371" s="4">
        <f t="shared" si="121"/>
        <v>0</v>
      </c>
      <c r="T371" s="12">
        <f t="shared" si="112"/>
        <v>0</v>
      </c>
      <c r="Y371" s="2"/>
      <c r="Z371" s="2"/>
      <c r="AA371" s="2"/>
      <c r="AB371" s="2"/>
      <c r="AC371" s="2"/>
    </row>
    <row r="372" spans="1:29" ht="10.5" hidden="1">
      <c r="A372" s="2">
        <f t="shared" si="122"/>
        <v>11</v>
      </c>
      <c r="B372" s="2" t="str">
        <f>VLOOKUP($A372,Controle!$B$4:$F$68,2,FALSE)</f>
        <v>Patos de Minas 8</v>
      </c>
      <c r="C372" s="2" t="str">
        <f>VLOOKUP($A372,Controle!$B$4:$F$68,3,FALSE)</f>
        <v xml:space="preserve">MORI GERACAO II </v>
      </c>
      <c r="D372" s="2" t="str">
        <f>VLOOKUP($A372,Controle!$B$4:$F$68,4,FALSE)</f>
        <v>Mori II</v>
      </c>
      <c r="E372" s="2">
        <f>VLOOKUP($A372,Controle!$B$4:$F$68,5,FALSE)</f>
        <v>1</v>
      </c>
      <c r="F372" s="3" t="str">
        <f t="shared" si="118"/>
        <v>Serviços Auxiliares - Supressão Vegetal</v>
      </c>
      <c r="G372" s="2" t="str">
        <f>VLOOKUP($A372,Controle!$B$4:$G$68,6,FALSE)</f>
        <v>Mori</v>
      </c>
      <c r="H372" s="6">
        <v>0</v>
      </c>
      <c r="I372" s="6">
        <v>0</v>
      </c>
      <c r="J372" s="6">
        <v>0</v>
      </c>
      <c r="K372" s="6">
        <v>0</v>
      </c>
      <c r="L372" s="6">
        <v>0</v>
      </c>
      <c r="M372" s="6">
        <v>0</v>
      </c>
      <c r="N372" s="6">
        <v>0</v>
      </c>
      <c r="O372" s="4">
        <f t="shared" si="119"/>
        <v>0</v>
      </c>
      <c r="P372" s="5">
        <f>SUMIFS('Desenvolvimento diário'!$H:$H,'Desenvolvimento diário'!$Q:$Q,$B372,'Desenvolvimento diário'!$P:$P,$F372,'Desenvolvimento diário'!$R:$R,"Sim")</f>
        <v>0</v>
      </c>
      <c r="Q372" s="5">
        <f>SUMIFS('Desenvolvimento diário'!$H:$H,'Desenvolvimento diário'!$Q:$Q,$B372,'Desenvolvimento diário'!$P:$P,$F372,'Desenvolvimento diário'!$R:$R,"Não")</f>
        <v>0</v>
      </c>
      <c r="R372" s="4">
        <f t="shared" si="120"/>
        <v>0</v>
      </c>
      <c r="S372" s="4">
        <f t="shared" si="121"/>
        <v>0</v>
      </c>
      <c r="T372" s="12">
        <f t="shared" si="112"/>
        <v>0</v>
      </c>
      <c r="Y372" s="2"/>
      <c r="Z372" s="2"/>
      <c r="AA372" s="2"/>
      <c r="AB372" s="2"/>
      <c r="AC372" s="2"/>
    </row>
    <row r="373" spans="1:29" ht="10.5" hidden="1">
      <c r="A373" s="2">
        <f t="shared" si="122"/>
        <v>11</v>
      </c>
      <c r="B373" s="2" t="str">
        <f>VLOOKUP($A373,Controle!$B$4:$F$68,2,FALSE)</f>
        <v>Patos de Minas 8</v>
      </c>
      <c r="C373" s="2" t="str">
        <f>VLOOKUP($A373,Controle!$B$4:$F$68,3,FALSE)</f>
        <v xml:space="preserve">MORI GERACAO II </v>
      </c>
      <c r="D373" s="2" t="str">
        <f>VLOOKUP($A373,Controle!$B$4:$F$68,4,FALSE)</f>
        <v>Mori II</v>
      </c>
      <c r="E373" s="2">
        <f>VLOOKUP($A373,Controle!$B$4:$F$68,5,FALSE)</f>
        <v>1</v>
      </c>
      <c r="F373" s="3" t="str">
        <f t="shared" si="118"/>
        <v>RDR-Rede de Distribuição Rural</v>
      </c>
      <c r="G373" s="2" t="str">
        <f>VLOOKUP($A373,Controle!$B$4:$G$68,6,FALSE)</f>
        <v>Mori</v>
      </c>
      <c r="H373" s="6">
        <v>0</v>
      </c>
      <c r="I373" s="6">
        <v>0</v>
      </c>
      <c r="J373" s="6">
        <v>0</v>
      </c>
      <c r="K373" s="6">
        <v>0</v>
      </c>
      <c r="L373" s="6">
        <v>0</v>
      </c>
      <c r="M373" s="6">
        <v>0</v>
      </c>
      <c r="N373" s="6">
        <v>0</v>
      </c>
      <c r="O373" s="4">
        <f t="shared" si="119"/>
        <v>0</v>
      </c>
      <c r="P373" s="5">
        <f>SUMIFS('Desenvolvimento diário'!$H:$H,'Desenvolvimento diário'!$Q:$Q,$B373,'Desenvolvimento diário'!$P:$P,$F373,'Desenvolvimento diário'!$R:$R,"Sim")</f>
        <v>0</v>
      </c>
      <c r="Q373" s="5">
        <f>SUMIFS('Desenvolvimento diário'!$H:$H,'Desenvolvimento diário'!$Q:$Q,$B373,'Desenvolvimento diário'!$P:$P,$F373,'Desenvolvimento diário'!$R:$R,"Não")</f>
        <v>0</v>
      </c>
      <c r="R373" s="4">
        <f t="shared" si="120"/>
        <v>0</v>
      </c>
      <c r="S373" s="4">
        <f t="shared" si="121"/>
        <v>0</v>
      </c>
      <c r="T373" s="12">
        <f t="shared" si="112"/>
        <v>0</v>
      </c>
      <c r="Y373" s="2"/>
      <c r="Z373" s="2"/>
      <c r="AA373" s="2"/>
      <c r="AB373" s="2"/>
      <c r="AC373" s="2"/>
    </row>
    <row r="374" spans="1:29" ht="10.5" hidden="1">
      <c r="A374" s="2">
        <f t="shared" si="122"/>
        <v>11</v>
      </c>
      <c r="B374" s="2" t="str">
        <f>VLOOKUP($A374,Controle!$B$4:$F$68,2,FALSE)</f>
        <v>Patos de Minas 8</v>
      </c>
      <c r="C374" s="2" t="str">
        <f>VLOOKUP($A374,Controle!$B$4:$F$68,3,FALSE)</f>
        <v xml:space="preserve">MORI GERACAO II </v>
      </c>
      <c r="D374" s="2" t="str">
        <f>VLOOKUP($A374,Controle!$B$4:$F$68,4,FALSE)</f>
        <v>Mori II</v>
      </c>
      <c r="E374" s="2">
        <f>VLOOKUP($A374,Controle!$B$4:$F$68,5,FALSE)</f>
        <v>1</v>
      </c>
      <c r="F374" s="3" t="str">
        <f t="shared" si="118"/>
        <v>Escopo COMERC</v>
      </c>
      <c r="G374" s="2" t="str">
        <f>VLOOKUP($A374,Controle!$B$4:$G$68,6,FALSE)</f>
        <v>Mori</v>
      </c>
      <c r="H374" s="6">
        <v>0</v>
      </c>
      <c r="I374" s="6">
        <v>139648.4</v>
      </c>
      <c r="J374" s="29">
        <f>13000+1000</f>
        <v>14000</v>
      </c>
      <c r="K374" s="29"/>
      <c r="L374" s="6">
        <v>0</v>
      </c>
      <c r="M374" s="6">
        <v>0</v>
      </c>
      <c r="N374" s="6">
        <v>0</v>
      </c>
      <c r="O374" s="4">
        <f t="shared" si="119"/>
        <v>153648.4</v>
      </c>
      <c r="P374" s="5">
        <f>SUMIFS('Desenvolvimento diário'!$H:$H,'Desenvolvimento diário'!$Q:$Q,$B374,'Desenvolvimento diário'!$P:$P,$F374,'Desenvolvimento diário'!$R:$R,"Sim")</f>
        <v>0</v>
      </c>
      <c r="Q374" s="5">
        <f>SUMIFS('Desenvolvimento diário'!$H:$H,'Desenvolvimento diário'!$Q:$Q,$B374,'Desenvolvimento diário'!$P:$P,$F374,'Desenvolvimento diário'!$R:$R,"Não")</f>
        <v>139648.4</v>
      </c>
      <c r="R374" s="4">
        <f t="shared" si="120"/>
        <v>139648.4</v>
      </c>
      <c r="S374" s="1010">
        <f t="shared" si="121"/>
        <v>14000</v>
      </c>
      <c r="T374" s="12">
        <f t="shared" si="112"/>
        <v>0.9088828780514473</v>
      </c>
      <c r="U374" s="1011" t="s">
        <v>166</v>
      </c>
      <c r="V374" s="1011" t="s">
        <v>167</v>
      </c>
      <c r="Y374" s="2"/>
      <c r="Z374" s="2"/>
      <c r="AA374" s="2"/>
      <c r="AB374" s="2"/>
      <c r="AC374" s="2"/>
    </row>
    <row r="375" spans="1:29" ht="10.5" hidden="1">
      <c r="A375" s="2">
        <f t="shared" si="122"/>
        <v>11</v>
      </c>
      <c r="B375" s="2" t="str">
        <f>VLOOKUP($A375,Controle!$B$4:$F$68,2,FALSE)</f>
        <v>Patos de Minas 8</v>
      </c>
      <c r="C375" s="2" t="str">
        <f>VLOOKUP($A375,Controle!$B$4:$F$68,3,FALSE)</f>
        <v xml:space="preserve">MORI GERACAO II </v>
      </c>
      <c r="D375" s="2" t="str">
        <f>VLOOKUP($A375,Controle!$B$4:$F$68,4,FALSE)</f>
        <v>Mori II</v>
      </c>
      <c r="E375" s="2">
        <f>VLOOKUP($A375,Controle!$B$4:$F$68,5,FALSE)</f>
        <v>1</v>
      </c>
      <c r="F375" s="3" t="str">
        <f t="shared" si="118"/>
        <v>Escopo COMERC - Segurança</v>
      </c>
      <c r="G375" s="2" t="str">
        <f>VLOOKUP($A375,Controle!$B$4:$G$68,6,FALSE)</f>
        <v>Mori</v>
      </c>
      <c r="H375" s="6">
        <v>0</v>
      </c>
      <c r="I375" s="6">
        <f t="shared" ref="I374:I375" si="123">R375</f>
        <v>150618.25</v>
      </c>
      <c r="J375" s="6">
        <v>0</v>
      </c>
      <c r="K375" s="6">
        <v>0</v>
      </c>
      <c r="L375" s="6">
        <v>0</v>
      </c>
      <c r="M375" s="6">
        <v>0</v>
      </c>
      <c r="N375" s="6">
        <v>0</v>
      </c>
      <c r="O375" s="4">
        <f t="shared" si="119"/>
        <v>150618.25</v>
      </c>
      <c r="P375" s="5">
        <f>SUMIFS('Desenvolvimento diário'!$H:$H,'Desenvolvimento diário'!$Q:$Q,$B375,'Desenvolvimento diário'!$P:$P,$F375,'Desenvolvimento diário'!$R:$R,"Sim")</f>
        <v>0</v>
      </c>
      <c r="Q375" s="5">
        <f>SUMIFS('Desenvolvimento diário'!$H:$H,'Desenvolvimento diário'!$Q:$Q,$B375,'Desenvolvimento diário'!$P:$P,$F375,'Desenvolvimento diário'!$R:$R,"Não")</f>
        <v>150618.25</v>
      </c>
      <c r="R375" s="4">
        <f t="shared" si="120"/>
        <v>150618.25</v>
      </c>
      <c r="S375" s="4">
        <f t="shared" si="121"/>
        <v>0</v>
      </c>
      <c r="T375" s="12">
        <f t="shared" si="112"/>
        <v>1</v>
      </c>
      <c r="Y375" s="2"/>
      <c r="Z375" s="2"/>
      <c r="AA375" s="2"/>
      <c r="AB375" s="2"/>
      <c r="AC375" s="2"/>
    </row>
    <row r="376" spans="1:29" ht="10.5" hidden="1">
      <c r="A376" s="2">
        <f t="shared" si="122"/>
        <v>11</v>
      </c>
      <c r="B376" s="2" t="str">
        <f>VLOOKUP($A376,Controle!$B$4:$F$68,2,FALSE)</f>
        <v>Patos de Minas 8</v>
      </c>
      <c r="C376" s="2" t="str">
        <f>VLOOKUP($A376,Controle!$B$4:$F$68,3,FALSE)</f>
        <v xml:space="preserve">MORI GERACAO II </v>
      </c>
      <c r="D376" s="2" t="str">
        <f>VLOOKUP($A376,Controle!$B$4:$F$68,4,FALSE)</f>
        <v>Mori II</v>
      </c>
      <c r="E376" s="2">
        <f>VLOOKUP($A376,Controle!$B$4:$F$68,5,FALSE)</f>
        <v>1</v>
      </c>
      <c r="F376" s="3" t="str">
        <f t="shared" si="118"/>
        <v>Conexão MT - Obras Transferencia</v>
      </c>
      <c r="G376" s="2" t="str">
        <f>VLOOKUP($A376,Controle!$B$4:$G$68,6,FALSE)</f>
        <v>Mori</v>
      </c>
      <c r="H376" s="6">
        <v>0</v>
      </c>
      <c r="I376" s="6">
        <v>0</v>
      </c>
      <c r="J376" s="6">
        <v>0</v>
      </c>
      <c r="K376" s="6">
        <v>0</v>
      </c>
      <c r="L376" s="6">
        <v>0</v>
      </c>
      <c r="M376" s="6">
        <v>0</v>
      </c>
      <c r="N376" s="6">
        <v>0</v>
      </c>
      <c r="O376" s="4">
        <f t="shared" si="119"/>
        <v>0</v>
      </c>
      <c r="P376" s="5">
        <f>SUMIFS('Desenvolvimento diário'!$H:$H,'Desenvolvimento diário'!$Q:$Q,$B376,'Desenvolvimento diário'!$P:$P,$F376,'Desenvolvimento diário'!$R:$R,"Sim")</f>
        <v>0</v>
      </c>
      <c r="Q376" s="5">
        <f>SUMIFS('Desenvolvimento diário'!$H:$H,'Desenvolvimento diário'!$Q:$Q,$B376,'Desenvolvimento diário'!$P:$P,$F376,'Desenvolvimento diário'!$R:$R,"Não")</f>
        <v>0</v>
      </c>
      <c r="R376" s="4">
        <f t="shared" si="120"/>
        <v>0</v>
      </c>
      <c r="S376" s="4">
        <f t="shared" si="121"/>
        <v>0</v>
      </c>
      <c r="T376" s="12">
        <f t="shared" si="112"/>
        <v>0</v>
      </c>
      <c r="Y376" s="2"/>
      <c r="Z376" s="2"/>
      <c r="AA376" s="2"/>
      <c r="AB376" s="2"/>
      <c r="AC376" s="2"/>
    </row>
    <row r="377" spans="1:29" ht="10.5" hidden="1">
      <c r="A377" s="2">
        <f t="shared" si="122"/>
        <v>11</v>
      </c>
      <c r="B377" s="2" t="str">
        <f>VLOOKUP($A377,Controle!$B$4:$F$68,2,FALSE)</f>
        <v>Patos de Minas 8</v>
      </c>
      <c r="C377" s="2" t="str">
        <f>VLOOKUP($A377,Controle!$B$4:$F$68,3,FALSE)</f>
        <v xml:space="preserve">MORI GERACAO II </v>
      </c>
      <c r="D377" s="2" t="str">
        <f>VLOOKUP($A377,Controle!$B$4:$F$68,4,FALSE)</f>
        <v>Mori II</v>
      </c>
      <c r="E377" s="2">
        <f>VLOOKUP($A377,Controle!$B$4:$F$68,5,FALSE)</f>
        <v>1</v>
      </c>
      <c r="F377" s="3" t="str">
        <f t="shared" si="118"/>
        <v>Bases de Contaniers</v>
      </c>
      <c r="G377" s="2" t="str">
        <f>VLOOKUP($A377,Controle!$B$4:$G$68,6,FALSE)</f>
        <v>Mori</v>
      </c>
      <c r="H377" s="6">
        <v>0</v>
      </c>
      <c r="I377" s="6">
        <v>0</v>
      </c>
      <c r="J377" s="6">
        <v>0</v>
      </c>
      <c r="K377" s="6">
        <v>0</v>
      </c>
      <c r="L377" s="6">
        <v>0</v>
      </c>
      <c r="M377" s="6">
        <v>0</v>
      </c>
      <c r="N377" s="6">
        <v>0</v>
      </c>
      <c r="O377" s="4">
        <f t="shared" si="119"/>
        <v>0</v>
      </c>
      <c r="P377" s="5">
        <f>SUMIFS('Desenvolvimento diário'!$H:$H,'Desenvolvimento diário'!$Q:$Q,$B377,'Desenvolvimento diário'!$P:$P,$F377,'Desenvolvimento diário'!$R:$R,"Sim")</f>
        <v>0</v>
      </c>
      <c r="Q377" s="5">
        <f>SUMIFS('Desenvolvimento diário'!$H:$H,'Desenvolvimento diário'!$Q:$Q,$B377,'Desenvolvimento diário'!$P:$P,$F377,'Desenvolvimento diário'!$R:$R,"Não")</f>
        <v>0</v>
      </c>
      <c r="R377" s="4">
        <f t="shared" si="120"/>
        <v>0</v>
      </c>
      <c r="S377" s="4">
        <f t="shared" si="121"/>
        <v>0</v>
      </c>
      <c r="T377" s="12">
        <f t="shared" si="112"/>
        <v>0</v>
      </c>
      <c r="Y377" s="2"/>
      <c r="Z377" s="2"/>
      <c r="AA377" s="2"/>
      <c r="AB377" s="2"/>
      <c r="AC377" s="2"/>
    </row>
    <row r="378" spans="1:29" ht="10.5" hidden="1">
      <c r="A378" s="2">
        <f t="shared" si="122"/>
        <v>11</v>
      </c>
      <c r="B378" s="2" t="str">
        <f>VLOOKUP($A378,Controle!$B$4:$F$68,2,FALSE)</f>
        <v>Patos de Minas 8</v>
      </c>
      <c r="C378" s="2" t="str">
        <f>VLOOKUP($A378,Controle!$B$4:$F$68,3,FALSE)</f>
        <v xml:space="preserve">MORI GERACAO II </v>
      </c>
      <c r="D378" s="2" t="str">
        <f>VLOOKUP($A378,Controle!$B$4:$F$68,4,FALSE)</f>
        <v>Mori II</v>
      </c>
      <c r="E378" s="2">
        <f>VLOOKUP($A378,Controle!$B$4:$F$68,5,FALSE)</f>
        <v>1</v>
      </c>
      <c r="F378" s="3" t="str">
        <f t="shared" si="118"/>
        <v>Construção - Serviços de Construção - Ase Engenharia</v>
      </c>
      <c r="G378" s="2" t="str">
        <f>VLOOKUP($A378,Controle!$B$4:$G$68,6,FALSE)</f>
        <v>Mori</v>
      </c>
      <c r="H378" s="6">
        <v>0</v>
      </c>
      <c r="I378" s="6">
        <v>0</v>
      </c>
      <c r="J378" s="6">
        <v>0</v>
      </c>
      <c r="K378" s="6">
        <v>0</v>
      </c>
      <c r="L378" s="6">
        <v>0</v>
      </c>
      <c r="M378" s="6">
        <v>0</v>
      </c>
      <c r="N378" s="6">
        <v>0</v>
      </c>
      <c r="O378" s="4">
        <f t="shared" si="119"/>
        <v>0</v>
      </c>
      <c r="P378" s="5">
        <f>SUMIFS('Desenvolvimento diário'!$H:$H,'Desenvolvimento diário'!$Q:$Q,$B378,'Desenvolvimento diário'!$P:$P,$F378,'Desenvolvimento diário'!$R:$R,"Sim")</f>
        <v>0</v>
      </c>
      <c r="Q378" s="5">
        <f>SUMIFS('Desenvolvimento diário'!$H:$H,'Desenvolvimento diário'!$Q:$Q,$B378,'Desenvolvimento diário'!$P:$P,$F378,'Desenvolvimento diário'!$R:$R,"Não")</f>
        <v>0</v>
      </c>
      <c r="R378" s="4">
        <f t="shared" si="120"/>
        <v>0</v>
      </c>
      <c r="S378" s="4">
        <f t="shared" si="121"/>
        <v>0</v>
      </c>
      <c r="T378" s="12">
        <f t="shared" si="112"/>
        <v>0</v>
      </c>
      <c r="Y378" s="2"/>
      <c r="Z378" s="2"/>
      <c r="AA378" s="2"/>
      <c r="AB378" s="2"/>
      <c r="AC378" s="2"/>
    </row>
    <row r="379" spans="1:29" ht="10.5" hidden="1">
      <c r="A379" s="2">
        <f t="shared" si="122"/>
        <v>11</v>
      </c>
      <c r="B379" s="2" t="str">
        <f>VLOOKUP($A379,Controle!$B$4:$F$68,2,FALSE)</f>
        <v>Patos de Minas 8</v>
      </c>
      <c r="C379" s="2" t="str">
        <f>VLOOKUP($A379,Controle!$B$4:$F$68,3,FALSE)</f>
        <v xml:space="preserve">MORI GERACAO II </v>
      </c>
      <c r="D379" s="2" t="str">
        <f>VLOOKUP($A379,Controle!$B$4:$F$68,4,FALSE)</f>
        <v>Mori II</v>
      </c>
      <c r="E379" s="2">
        <f>VLOOKUP($A379,Controle!$B$4:$F$68,5,FALSE)</f>
        <v>1</v>
      </c>
      <c r="F379" s="3" t="str">
        <f t="shared" si="118"/>
        <v>Full EPC - Contrato Sobressalentes</v>
      </c>
      <c r="G379" s="2" t="str">
        <f>VLOOKUP($A379,Controle!$B$4:$G$68,6,FALSE)</f>
        <v>Mori</v>
      </c>
      <c r="H379" s="6">
        <v>0</v>
      </c>
      <c r="I379" s="6">
        <v>0</v>
      </c>
      <c r="J379" s="6">
        <v>0</v>
      </c>
      <c r="K379" s="6">
        <v>0</v>
      </c>
      <c r="L379" s="6">
        <v>0</v>
      </c>
      <c r="M379" s="6">
        <v>0</v>
      </c>
      <c r="N379" s="6">
        <v>0</v>
      </c>
      <c r="O379" s="4">
        <f t="shared" si="119"/>
        <v>0</v>
      </c>
      <c r="P379" s="5">
        <f>SUMIFS('Desenvolvimento diário'!$H:$H,'Desenvolvimento diário'!$Q:$Q,$B379,'Desenvolvimento diário'!$P:$P,$F379,'Desenvolvimento diário'!$R:$R,"Sim")</f>
        <v>0</v>
      </c>
      <c r="Q379" s="5">
        <f>SUMIFS('Desenvolvimento diário'!$H:$H,'Desenvolvimento diário'!$Q:$Q,$B379,'Desenvolvimento diário'!$P:$P,$F379,'Desenvolvimento diário'!$R:$R,"Não")</f>
        <v>0</v>
      </c>
      <c r="R379" s="4">
        <f t="shared" si="120"/>
        <v>0</v>
      </c>
      <c r="S379" s="4">
        <f t="shared" si="121"/>
        <v>0</v>
      </c>
      <c r="T379" s="12">
        <f t="shared" si="112"/>
        <v>0</v>
      </c>
      <c r="Y379" s="2"/>
      <c r="Z379" s="2"/>
      <c r="AA379" s="2"/>
      <c r="AB379" s="2"/>
      <c r="AC379" s="2"/>
    </row>
    <row r="380" spans="1:29" ht="10.5" hidden="1">
      <c r="A380" s="2">
        <f t="shared" si="122"/>
        <v>11</v>
      </c>
      <c r="B380" s="2" t="str">
        <f>VLOOKUP($A380,Controle!$B$4:$F$68,2,FALSE)</f>
        <v>Patos de Minas 8</v>
      </c>
      <c r="C380" s="2" t="str">
        <f>VLOOKUP($A380,Controle!$B$4:$F$68,3,FALSE)</f>
        <v xml:space="preserve">MORI GERACAO II </v>
      </c>
      <c r="D380" s="2" t="str">
        <f>VLOOKUP($A380,Controle!$B$4:$F$68,4,FALSE)</f>
        <v>Mori II</v>
      </c>
      <c r="E380" s="2">
        <f>VLOOKUP($A380,Controle!$B$4:$F$68,5,FALSE)</f>
        <v>1</v>
      </c>
      <c r="F380" s="3" t="str">
        <f t="shared" si="118"/>
        <v>Construção - Serviços de Construção - NOVA MORADA</v>
      </c>
      <c r="G380" s="2" t="str">
        <f>VLOOKUP($A380,Controle!$B$4:$G$68,6,FALSE)</f>
        <v>Mori</v>
      </c>
      <c r="H380" s="6">
        <v>0</v>
      </c>
      <c r="I380" s="6">
        <v>0</v>
      </c>
      <c r="J380" s="6">
        <v>0</v>
      </c>
      <c r="K380" s="6">
        <v>0</v>
      </c>
      <c r="L380" s="6">
        <v>0</v>
      </c>
      <c r="M380" s="6">
        <v>0</v>
      </c>
      <c r="N380" s="6">
        <v>0</v>
      </c>
      <c r="O380" s="4">
        <f t="shared" si="119"/>
        <v>0</v>
      </c>
      <c r="P380" s="5">
        <f>SUMIFS('Desenvolvimento diário'!$H:$H,'Desenvolvimento diário'!$Q:$Q,$B380,'Desenvolvimento diário'!$P:$P,$F380,'Desenvolvimento diário'!$R:$R,"Sim")</f>
        <v>0</v>
      </c>
      <c r="Q380" s="5">
        <f>SUMIFS('Desenvolvimento diário'!$H:$H,'Desenvolvimento diário'!$Q:$Q,$B380,'Desenvolvimento diário'!$P:$P,$F380,'Desenvolvimento diário'!$R:$R,"Não")</f>
        <v>0</v>
      </c>
      <c r="R380" s="4">
        <f t="shared" si="120"/>
        <v>0</v>
      </c>
      <c r="S380" s="4">
        <f t="shared" si="121"/>
        <v>0</v>
      </c>
      <c r="T380" s="12">
        <f t="shared" si="112"/>
        <v>0</v>
      </c>
      <c r="Y380" s="2"/>
      <c r="Z380" s="2"/>
      <c r="AA380" s="2"/>
      <c r="AB380" s="2"/>
      <c r="AC380" s="2"/>
    </row>
    <row r="381" spans="1:29" ht="10.5" hidden="1">
      <c r="A381" s="2">
        <f t="shared" si="122"/>
        <v>11</v>
      </c>
      <c r="B381" s="2" t="str">
        <f>VLOOKUP($A381,Controle!$B$4:$F$68,2,FALSE)</f>
        <v>Patos de Minas 8</v>
      </c>
      <c r="C381" s="2" t="str">
        <f>VLOOKUP($A381,Controle!$B$4:$F$68,3,FALSE)</f>
        <v xml:space="preserve">MORI GERACAO II </v>
      </c>
      <c r="D381" s="2" t="str">
        <f>VLOOKUP($A381,Controle!$B$4:$F$68,4,FALSE)</f>
        <v>Mori II</v>
      </c>
      <c r="E381" s="2">
        <f>VLOOKUP($A381,Controle!$B$4:$F$68,5,FALSE)</f>
        <v>1</v>
      </c>
      <c r="F381" s="3" t="str">
        <f t="shared" si="118"/>
        <v>Equipamentos Curva A -  Contrato Sobressalentes - SETTA</v>
      </c>
      <c r="G381" s="2" t="str">
        <f>VLOOKUP($A381,Controle!$B$4:$G$68,6,FALSE)</f>
        <v>Mori</v>
      </c>
      <c r="H381" s="6">
        <v>0</v>
      </c>
      <c r="I381" s="6">
        <v>0</v>
      </c>
      <c r="J381" s="6">
        <v>0</v>
      </c>
      <c r="K381" s="6">
        <v>0</v>
      </c>
      <c r="L381" s="6">
        <v>0</v>
      </c>
      <c r="M381" s="6">
        <v>0</v>
      </c>
      <c r="N381" s="6">
        <v>0</v>
      </c>
      <c r="O381" s="4">
        <f t="shared" si="119"/>
        <v>0</v>
      </c>
      <c r="P381" s="5">
        <f>SUMIFS('Desenvolvimento diário'!$H:$H,'Desenvolvimento diário'!$Q:$Q,$B381,'Desenvolvimento diário'!$P:$P,$F381,'Desenvolvimento diário'!$R:$R,"Sim")</f>
        <v>0</v>
      </c>
      <c r="Q381" s="5">
        <f>SUMIFS('Desenvolvimento diário'!$H:$H,'Desenvolvimento diário'!$Q:$Q,$B381,'Desenvolvimento diário'!$P:$P,$F381,'Desenvolvimento diário'!$R:$R,"Não")</f>
        <v>0</v>
      </c>
      <c r="R381" s="4">
        <f t="shared" si="120"/>
        <v>0</v>
      </c>
      <c r="S381" s="4">
        <f t="shared" si="121"/>
        <v>0</v>
      </c>
      <c r="T381" s="12">
        <f t="shared" si="112"/>
        <v>0</v>
      </c>
      <c r="Y381" s="2"/>
      <c r="Z381" s="2"/>
      <c r="AA381" s="2"/>
      <c r="AB381" s="2"/>
      <c r="AC381" s="2"/>
    </row>
    <row r="382" spans="1:29" ht="10.5" hidden="1">
      <c r="A382" s="2">
        <f t="shared" si="122"/>
        <v>11</v>
      </c>
      <c r="B382" s="2" t="str">
        <f>VLOOKUP($A382,Controle!$B$4:$F$68,2,FALSE)</f>
        <v>Patos de Minas 8</v>
      </c>
      <c r="C382" s="2" t="str">
        <f>VLOOKUP($A382,Controle!$B$4:$F$68,3,FALSE)</f>
        <v xml:space="preserve">MORI GERACAO II </v>
      </c>
      <c r="D382" s="2" t="str">
        <f>VLOOKUP($A382,Controle!$B$4:$F$68,4,FALSE)</f>
        <v>Mori II</v>
      </c>
      <c r="E382" s="2">
        <f>VLOOKUP($A382,Controle!$B$4:$F$68,5,FALSE)</f>
        <v>1</v>
      </c>
      <c r="F382" s="3" t="str">
        <f t="shared" si="118"/>
        <v>Equipamentos Curva A -  Contrato Sobressalentes - Arctech</v>
      </c>
      <c r="G382" s="2" t="str">
        <f>VLOOKUP($A382,Controle!$B$4:$G$68,6,FALSE)</f>
        <v>Mori</v>
      </c>
      <c r="H382" s="6">
        <v>0</v>
      </c>
      <c r="I382" s="6">
        <v>0</v>
      </c>
      <c r="J382" s="6">
        <v>0</v>
      </c>
      <c r="K382" s="6">
        <v>0</v>
      </c>
      <c r="L382" s="6">
        <v>0</v>
      </c>
      <c r="M382" s="6">
        <v>0</v>
      </c>
      <c r="N382" s="6">
        <v>0</v>
      </c>
      <c r="O382" s="4">
        <f t="shared" si="119"/>
        <v>0</v>
      </c>
      <c r="P382" s="5">
        <f>SUMIFS('Desenvolvimento diário'!$H:$H,'Desenvolvimento diário'!$Q:$Q,$B382,'Desenvolvimento diário'!$P:$P,$F382,'Desenvolvimento diário'!$R:$R,"Sim")</f>
        <v>0</v>
      </c>
      <c r="Q382" s="5">
        <f>SUMIFS('Desenvolvimento diário'!$H:$H,'Desenvolvimento diário'!$Q:$Q,$B382,'Desenvolvimento diário'!$P:$P,$F382,'Desenvolvimento diário'!$R:$R,"Não")</f>
        <v>0</v>
      </c>
      <c r="R382" s="4">
        <f t="shared" si="120"/>
        <v>0</v>
      </c>
      <c r="S382" s="4">
        <f t="shared" si="121"/>
        <v>0</v>
      </c>
      <c r="T382" s="12">
        <f t="shared" si="112"/>
        <v>0</v>
      </c>
      <c r="Y382" s="2"/>
      <c r="Z382" s="2"/>
      <c r="AA382" s="2"/>
      <c r="AB382" s="2"/>
      <c r="AC382" s="2"/>
    </row>
    <row r="383" spans="1:29" hidden="1">
      <c r="A383" s="2">
        <f t="shared" si="122"/>
        <v>11</v>
      </c>
      <c r="B383" s="2" t="str">
        <f>VLOOKUP($A383,Controle!$B$4:$F$68,2,FALSE)</f>
        <v>Patos de Minas 8</v>
      </c>
      <c r="C383" s="2" t="str">
        <f>VLOOKUP($A383,Controle!$B$4:$F$68,3,FALSE)</f>
        <v xml:space="preserve">MORI GERACAO II </v>
      </c>
      <c r="D383" s="2" t="str">
        <f>VLOOKUP($A383,Controle!$B$4:$F$68,4,FALSE)</f>
        <v>Mori II</v>
      </c>
      <c r="E383" s="2">
        <f>VLOOKUP($A383,Controle!$B$4:$F$68,5,FALSE)</f>
        <v>1</v>
      </c>
      <c r="F383" s="3" t="str">
        <f t="shared" si="118"/>
        <v>Equipamentos Curva A -  Contrato Sobressalentes - Romagnole</v>
      </c>
      <c r="G383" s="2" t="str">
        <f>VLOOKUP($A383,Controle!$B$4:$G$68,6,FALSE)</f>
        <v>Mori</v>
      </c>
      <c r="H383" s="506" t="s">
        <v>169</v>
      </c>
      <c r="I383" s="506">
        <v>70732.41</v>
      </c>
      <c r="J383" s="506">
        <v>83038.600000000006</v>
      </c>
      <c r="K383" s="506">
        <v>0</v>
      </c>
      <c r="L383" s="506">
        <v>0</v>
      </c>
      <c r="M383" s="506">
        <v>0</v>
      </c>
      <c r="N383" s="506">
        <v>0</v>
      </c>
      <c r="O383" s="39">
        <f t="shared" si="119"/>
        <v>153771.01</v>
      </c>
      <c r="P383" s="17">
        <f>SUMIFS('Desenvolvimento diário'!$H:$H,'Desenvolvimento diário'!$Q:$Q,$B383,'Desenvolvimento diário'!$P:$P,$F383,'Desenvolvimento diário'!$R:$R,"Sim")</f>
        <v>0</v>
      </c>
      <c r="Q383" s="17">
        <f>SUMIFS('Desenvolvimento diário'!$H:$H,'Desenvolvimento diário'!$Q:$Q,$B383,'Desenvolvimento diário'!$P:$P,$F383,'Desenvolvimento diário'!$R:$R,"Não")</f>
        <v>153771.01</v>
      </c>
      <c r="R383" s="4">
        <f t="shared" si="120"/>
        <v>153771.01</v>
      </c>
      <c r="S383" s="4">
        <f t="shared" si="121"/>
        <v>0</v>
      </c>
      <c r="T383" s="12">
        <f t="shared" si="112"/>
        <v>1</v>
      </c>
      <c r="Y383" s="2"/>
      <c r="Z383" s="2"/>
      <c r="AA383" s="2"/>
      <c r="AB383" s="2"/>
      <c r="AC383" s="2"/>
    </row>
    <row r="384" spans="1:29" hidden="1">
      <c r="A384" s="2">
        <f t="shared" si="122"/>
        <v>11</v>
      </c>
      <c r="B384" s="2" t="str">
        <f>VLOOKUP($A384,Controle!$B$4:$F$68,2,FALSE)</f>
        <v>Patos de Minas 8</v>
      </c>
      <c r="C384" s="2" t="str">
        <f>VLOOKUP($A384,Controle!$B$4:$F$68,3,FALSE)</f>
        <v xml:space="preserve">MORI GERACAO II </v>
      </c>
      <c r="D384" s="2" t="str">
        <f>VLOOKUP($A384,Controle!$B$4:$F$68,4,FALSE)</f>
        <v>Mori II</v>
      </c>
      <c r="E384" s="2">
        <f>VLOOKUP($A384,Controle!$B$4:$F$68,5,FALSE)</f>
        <v>1</v>
      </c>
      <c r="F384" s="3" t="str">
        <f t="shared" si="118"/>
        <v>GOS FLORESTAL - (PRAD - Recuperação Area Ambiental)</v>
      </c>
      <c r="G384" s="2" t="str">
        <f>VLOOKUP($A384,Controle!$B$4:$G$68,6,FALSE)</f>
        <v>Mori</v>
      </c>
      <c r="H384" s="506" t="s">
        <v>170</v>
      </c>
      <c r="I384" s="6">
        <v>0</v>
      </c>
      <c r="J384" s="506"/>
      <c r="K384" s="506">
        <v>0</v>
      </c>
      <c r="L384" s="506">
        <v>0</v>
      </c>
      <c r="M384" s="506">
        <v>0</v>
      </c>
      <c r="N384" s="506">
        <v>0</v>
      </c>
      <c r="O384" s="39">
        <f t="shared" si="119"/>
        <v>0</v>
      </c>
      <c r="P384" s="17">
        <f>SUMIFS('Desenvolvimento diário'!$H:$H,'Desenvolvimento diário'!$Q:$Q,$B384,'Desenvolvimento diário'!$P:$P,$F384,'Desenvolvimento diário'!$R:$R,"Sim")</f>
        <v>0</v>
      </c>
      <c r="Q384" s="17">
        <f>SUMIFS('Desenvolvimento diário'!$H:$H,'Desenvolvimento diário'!$Q:$Q,$B384,'Desenvolvimento diário'!$P:$P,$F384,'Desenvolvimento diário'!$R:$R,"Não")</f>
        <v>0</v>
      </c>
      <c r="R384" s="4">
        <f t="shared" si="120"/>
        <v>0</v>
      </c>
      <c r="S384" s="4">
        <f t="shared" si="121"/>
        <v>0</v>
      </c>
      <c r="T384" s="12">
        <f t="shared" ref="T384:T385" si="124">IFERROR(R384/O384,0)</f>
        <v>0</v>
      </c>
      <c r="Y384" s="2"/>
      <c r="Z384" s="2"/>
      <c r="AA384" s="2"/>
      <c r="AB384" s="2"/>
      <c r="AC384" s="2"/>
    </row>
    <row r="385" spans="1:29" hidden="1">
      <c r="A385" s="2">
        <f t="shared" si="122"/>
        <v>11</v>
      </c>
      <c r="B385" s="2" t="str">
        <f>VLOOKUP($A385,Controle!$B$4:$F$68,2,FALSE)</f>
        <v>Patos de Minas 8</v>
      </c>
      <c r="C385" s="2" t="str">
        <f>VLOOKUP($A385,Controle!$B$4:$F$68,3,FALSE)</f>
        <v xml:space="preserve">MORI GERACAO II </v>
      </c>
      <c r="D385" s="2" t="str">
        <f>VLOOKUP($A385,Controle!$B$4:$F$68,4,FALSE)</f>
        <v>Mori II</v>
      </c>
      <c r="E385" s="2">
        <f>VLOOKUP($A385,Controle!$B$4:$F$68,5,FALSE)</f>
        <v>1</v>
      </c>
      <c r="F385" s="3" t="str">
        <f t="shared" si="118"/>
        <v>Cercamento das bacias de contenção ciclo 2</v>
      </c>
      <c r="G385" s="2" t="str">
        <f>VLOOKUP($A385,Controle!$B$4:$G$68,6,FALSE)</f>
        <v>Mori</v>
      </c>
      <c r="H385" s="506" t="s">
        <v>172</v>
      </c>
      <c r="I385" s="6"/>
      <c r="J385" s="506"/>
      <c r="K385" s="506">
        <v>0</v>
      </c>
      <c r="L385" s="506">
        <v>0</v>
      </c>
      <c r="M385" s="506">
        <v>0</v>
      </c>
      <c r="N385" s="506">
        <v>0</v>
      </c>
      <c r="O385" s="39">
        <f t="shared" si="119"/>
        <v>0</v>
      </c>
      <c r="P385" s="17">
        <f>SUMIFS('Desenvolvimento diário'!$H:$H,'Desenvolvimento diário'!$Q:$Q,$B385,'Desenvolvimento diário'!$P:$P,$F385,'Desenvolvimento diário'!$R:$R,"Sim")</f>
        <v>0</v>
      </c>
      <c r="Q385" s="17">
        <f>SUMIFS('Desenvolvimento diário'!$H:$H,'Desenvolvimento diário'!$Q:$Q,$B385,'Desenvolvimento diário'!$P:$P,$F385,'Desenvolvimento diário'!$R:$R,"Não")</f>
        <v>0</v>
      </c>
      <c r="R385" s="4">
        <f t="shared" si="120"/>
        <v>0</v>
      </c>
      <c r="S385" s="1030">
        <f t="shared" si="121"/>
        <v>0</v>
      </c>
      <c r="T385" s="12">
        <f t="shared" si="124"/>
        <v>0</v>
      </c>
      <c r="U385" s="1029" t="s">
        <v>166</v>
      </c>
      <c r="V385" s="1029" t="s">
        <v>94</v>
      </c>
      <c r="Y385" s="2"/>
      <c r="Z385" s="2"/>
      <c r="AA385" s="2"/>
      <c r="AB385" s="2"/>
      <c r="AC385" s="2"/>
    </row>
    <row r="386" spans="1:29" hidden="1">
      <c r="A386" s="8">
        <f>A383</f>
        <v>11</v>
      </c>
      <c r="B386" s="9" t="str">
        <f t="shared" ref="B386" si="125">B383</f>
        <v>Patos de Minas 8</v>
      </c>
      <c r="C386" s="9" t="str">
        <f t="shared" ref="C386" si="126">C383</f>
        <v xml:space="preserve">MORI GERACAO II </v>
      </c>
      <c r="D386" s="9" t="str">
        <f t="shared" ref="D386" si="127">D383</f>
        <v>Mori II</v>
      </c>
      <c r="E386" s="9">
        <f t="shared" ref="E386" si="128">E383</f>
        <v>1</v>
      </c>
      <c r="F386" s="10" t="s">
        <v>158</v>
      </c>
      <c r="G386" s="9" t="str">
        <f>G383</f>
        <v>Mori</v>
      </c>
      <c r="H386" s="9"/>
      <c r="I386" s="9">
        <f>SUBTOTAL(9,I352:I385)</f>
        <v>0</v>
      </c>
      <c r="J386" s="9">
        <f t="shared" ref="J386:S386" si="129">SUBTOTAL(9,J352:J385)</f>
        <v>0</v>
      </c>
      <c r="K386" s="9">
        <f t="shared" si="129"/>
        <v>0</v>
      </c>
      <c r="L386" s="9">
        <f t="shared" si="129"/>
        <v>0</v>
      </c>
      <c r="M386" s="9">
        <f t="shared" si="129"/>
        <v>0</v>
      </c>
      <c r="N386" s="9">
        <f t="shared" si="129"/>
        <v>0</v>
      </c>
      <c r="O386" s="9">
        <f t="shared" si="129"/>
        <v>0</v>
      </c>
      <c r="P386" s="9">
        <f t="shared" si="129"/>
        <v>0</v>
      </c>
      <c r="Q386" s="9">
        <f t="shared" si="129"/>
        <v>0</v>
      </c>
      <c r="R386" s="9">
        <f t="shared" si="129"/>
        <v>0</v>
      </c>
      <c r="S386" s="9">
        <f t="shared" si="129"/>
        <v>0</v>
      </c>
      <c r="T386" s="13">
        <f>IFERROR(R386/O386,0)</f>
        <v>0</v>
      </c>
      <c r="U386" s="11">
        <f>SUBTOTAL(9,U352:U385)</f>
        <v>0</v>
      </c>
      <c r="Y386" s="2"/>
      <c r="Z386" s="2"/>
      <c r="AA386" s="2"/>
      <c r="AB386" s="2"/>
      <c r="AC386" s="2"/>
    </row>
    <row r="387" spans="1:29" ht="10.5" hidden="1">
      <c r="A387" s="2">
        <f>A352+1</f>
        <v>12</v>
      </c>
      <c r="B387" s="2" t="str">
        <f>VLOOKUP($A387,Controle!$B$4:$F$68,2,FALSE)</f>
        <v>Patrocínio 2</v>
      </c>
      <c r="C387" s="2" t="str">
        <f>VLOOKUP($A387,Controle!$B$4:$F$68,3,FALSE)</f>
        <v xml:space="preserve">MORI GERACAO II </v>
      </c>
      <c r="D387" s="2" t="str">
        <f>VLOOKUP($A387,Controle!$B$4:$F$68,4,FALSE)</f>
        <v>Mori II</v>
      </c>
      <c r="E387" s="2">
        <f>VLOOKUP($A387,Controle!$B$4:$F$68,5,FALSE)</f>
        <v>1</v>
      </c>
      <c r="F387" s="3" t="str">
        <f t="shared" ref="F387:F420" si="130">F352</f>
        <v>Conexão AT - Obras</v>
      </c>
      <c r="G387" s="2" t="str">
        <f>VLOOKUP($A387,Controle!$B$4:$G$68,6,FALSE)</f>
        <v>Mori</v>
      </c>
      <c r="H387" s="6" t="s">
        <v>141</v>
      </c>
      <c r="I387" s="29">
        <v>440000.01</v>
      </c>
      <c r="J387" s="6">
        <v>0</v>
      </c>
      <c r="K387" s="6">
        <v>0</v>
      </c>
      <c r="L387" s="6">
        <v>0</v>
      </c>
      <c r="M387" s="6">
        <v>0</v>
      </c>
      <c r="N387" s="6">
        <v>0</v>
      </c>
      <c r="O387" s="4">
        <f t="shared" ref="O387:O420" si="131">SUM(I387:N387)</f>
        <v>440000.01</v>
      </c>
      <c r="P387" s="5">
        <f>SUMIFS('Desenvolvimento diário'!$H:$H,'Desenvolvimento diário'!$Q:$Q,$B387,'Desenvolvimento diário'!$P:$P,$F387,'Desenvolvimento diário'!$R:$R,"Sim")</f>
        <v>113326.76999999999</v>
      </c>
      <c r="Q387" s="5">
        <f>SUMIFS('Desenvolvimento diário'!$H:$H,'Desenvolvimento diário'!$Q:$Q,$B387,'Desenvolvimento diário'!$P:$P,$F387,'Desenvolvimento diário'!$R:$R,"Não")</f>
        <v>326673.24</v>
      </c>
      <c r="R387" s="4">
        <f t="shared" ref="R387:R420" si="132">SUM(P387:Q387)</f>
        <v>440000.01</v>
      </c>
      <c r="S387" s="4">
        <f t="shared" ref="S387:S420" si="133">O387-R387</f>
        <v>0</v>
      </c>
      <c r="T387" s="12">
        <f t="shared" si="112"/>
        <v>1</v>
      </c>
      <c r="Y387" s="2"/>
      <c r="Z387" s="2"/>
      <c r="AA387" s="2"/>
      <c r="AB387" s="2"/>
      <c r="AC387" s="2"/>
    </row>
    <row r="388" spans="1:29" ht="10.5" hidden="1">
      <c r="A388" s="2">
        <f t="shared" ref="A388:A420" si="134">A387</f>
        <v>12</v>
      </c>
      <c r="B388" s="2" t="str">
        <f>VLOOKUP($A388,Controle!$B$4:$F$68,2,FALSE)</f>
        <v>Patrocínio 2</v>
      </c>
      <c r="C388" s="2" t="str">
        <f>VLOOKUP($A388,Controle!$B$4:$F$68,3,FALSE)</f>
        <v xml:space="preserve">MORI GERACAO II </v>
      </c>
      <c r="D388" s="2" t="str">
        <f>VLOOKUP($A388,Controle!$B$4:$F$68,4,FALSE)</f>
        <v>Mori II</v>
      </c>
      <c r="E388" s="2">
        <f>VLOOKUP($A388,Controle!$B$4:$F$68,5,FALSE)</f>
        <v>1</v>
      </c>
      <c r="F388" s="3" t="str">
        <f t="shared" si="130"/>
        <v>Conexão MT - Obras</v>
      </c>
      <c r="G388" s="2" t="str">
        <f>VLOOKUP($A388,Controle!$B$4:$G$68,6,FALSE)</f>
        <v>Mori</v>
      </c>
      <c r="H388" s="6" t="s">
        <v>141</v>
      </c>
      <c r="I388" s="6">
        <v>2400000</v>
      </c>
      <c r="J388" s="6">
        <v>-350000</v>
      </c>
      <c r="K388" s="6">
        <v>0</v>
      </c>
      <c r="L388" s="6">
        <v>0</v>
      </c>
      <c r="M388" s="6">
        <v>0</v>
      </c>
      <c r="N388" s="6">
        <v>0</v>
      </c>
      <c r="O388" s="4">
        <f t="shared" si="131"/>
        <v>2050000</v>
      </c>
      <c r="P388" s="5">
        <f>SUMIFS('Desenvolvimento diário'!$H:$H,'Desenvolvimento diário'!$Q:$Q,$B388,'Desenvolvimento diário'!$P:$P,$F388,'Desenvolvimento diário'!$R:$R,"Sim")</f>
        <v>332128.87</v>
      </c>
      <c r="Q388" s="5">
        <f>SUMIFS('Desenvolvimento diário'!$H:$H,'Desenvolvimento diário'!$Q:$Q,$B388,'Desenvolvimento diário'!$P:$P,$F388,'Desenvolvimento diário'!$R:$R,"Não")</f>
        <v>1717871.13</v>
      </c>
      <c r="R388" s="4">
        <f t="shared" si="132"/>
        <v>2050000</v>
      </c>
      <c r="S388" s="27">
        <f t="shared" si="133"/>
        <v>0</v>
      </c>
      <c r="T388" s="12">
        <f t="shared" si="112"/>
        <v>1</v>
      </c>
      <c r="V388" s="30"/>
      <c r="Y388" s="2"/>
      <c r="Z388" s="2"/>
      <c r="AA388" s="2"/>
      <c r="AB388" s="2"/>
      <c r="AC388" s="2"/>
    </row>
    <row r="389" spans="1:29" ht="10.5" hidden="1">
      <c r="A389" s="2">
        <f t="shared" si="134"/>
        <v>12</v>
      </c>
      <c r="B389" s="2" t="str">
        <f>VLOOKUP($A389,Controle!$B$4:$F$68,2,FALSE)</f>
        <v>Patrocínio 2</v>
      </c>
      <c r="C389" s="2" t="str">
        <f>VLOOKUP($A389,Controle!$B$4:$F$68,3,FALSE)</f>
        <v xml:space="preserve">MORI GERACAO II </v>
      </c>
      <c r="D389" s="2" t="str">
        <f>VLOOKUP($A389,Controle!$B$4:$F$68,4,FALSE)</f>
        <v>Mori II</v>
      </c>
      <c r="E389" s="2">
        <f>VLOOKUP($A389,Controle!$B$4:$F$68,5,FALSE)</f>
        <v>1</v>
      </c>
      <c r="F389" s="3" t="str">
        <f t="shared" si="130"/>
        <v>Construção - Serviços de Construção</v>
      </c>
      <c r="G389" s="2" t="str">
        <f>VLOOKUP($A389,Controle!$B$4:$G$68,6,FALSE)</f>
        <v>Mori</v>
      </c>
      <c r="H389" s="6" t="s">
        <v>190</v>
      </c>
      <c r="I389" s="6">
        <v>581550.82999999996</v>
      </c>
      <c r="J389" s="6">
        <v>0</v>
      </c>
      <c r="K389" s="6">
        <v>0</v>
      </c>
      <c r="L389" s="6">
        <v>0</v>
      </c>
      <c r="M389" s="6">
        <v>0</v>
      </c>
      <c r="N389" s="6">
        <v>0</v>
      </c>
      <c r="O389" s="4">
        <f t="shared" si="131"/>
        <v>581550.82999999996</v>
      </c>
      <c r="P389" s="5">
        <f>SUMIFS('Desenvolvimento diário'!$H:$H,'Desenvolvimento diário'!$Q:$Q,$B389,'Desenvolvimento diário'!$P:$P,$F389,'Desenvolvimento diário'!$R:$R,"Sim")</f>
        <v>0</v>
      </c>
      <c r="Q389" s="5">
        <f>SUMIFS('Desenvolvimento diário'!$H:$H,'Desenvolvimento diário'!$Q:$Q,$B389,'Desenvolvimento diário'!$P:$P,$F389,'Desenvolvimento diário'!$R:$R,"Não")</f>
        <v>581550.82999999996</v>
      </c>
      <c r="R389" s="4">
        <f t="shared" si="132"/>
        <v>581550.82999999996</v>
      </c>
      <c r="S389" s="27">
        <f t="shared" si="133"/>
        <v>0</v>
      </c>
      <c r="T389" s="12">
        <f t="shared" si="112"/>
        <v>1</v>
      </c>
      <c r="Y389" s="2"/>
      <c r="Z389" s="2"/>
      <c r="AA389" s="2"/>
      <c r="AB389" s="2"/>
      <c r="AC389" s="2"/>
    </row>
    <row r="390" spans="1:29" ht="10.5" hidden="1">
      <c r="A390" s="2">
        <f t="shared" si="134"/>
        <v>12</v>
      </c>
      <c r="B390" s="2" t="str">
        <f>VLOOKUP($A390,Controle!$B$4:$F$68,2,FALSE)</f>
        <v>Patrocínio 2</v>
      </c>
      <c r="C390" s="2" t="str">
        <f>VLOOKUP($A390,Controle!$B$4:$F$68,3,FALSE)</f>
        <v xml:space="preserve">MORI GERACAO II </v>
      </c>
      <c r="D390" s="2" t="str">
        <f>VLOOKUP($A390,Controle!$B$4:$F$68,4,FALSE)</f>
        <v>Mori II</v>
      </c>
      <c r="E390" s="2">
        <f>VLOOKUP($A390,Controle!$B$4:$F$68,5,FALSE)</f>
        <v>1</v>
      </c>
      <c r="F390" s="3" t="str">
        <f t="shared" si="130"/>
        <v>Construção - Serviços de Construção - Substituição</v>
      </c>
      <c r="G390" s="2" t="str">
        <f>VLOOKUP($A390,Controle!$B$4:$G$68,6,FALSE)</f>
        <v>Mori</v>
      </c>
      <c r="H390" s="6" t="s">
        <v>178</v>
      </c>
      <c r="I390" s="6">
        <v>2334800</v>
      </c>
      <c r="J390" s="6">
        <v>266303.7</v>
      </c>
      <c r="K390" s="6">
        <v>0</v>
      </c>
      <c r="L390" s="6">
        <v>0</v>
      </c>
      <c r="M390" s="6">
        <v>0</v>
      </c>
      <c r="N390" s="6">
        <v>0</v>
      </c>
      <c r="O390" s="4">
        <f t="shared" si="131"/>
        <v>2601103.7000000002</v>
      </c>
      <c r="P390" s="5">
        <f>SUMIFS('Desenvolvimento diário'!$H:$H,'Desenvolvimento diário'!$Q:$Q,$B390,'Desenvolvimento diário'!$P:$P,$F390,'Desenvolvimento diário'!$R:$R,"Sim")</f>
        <v>1010204.26</v>
      </c>
      <c r="Q390" s="5">
        <f>SUMIFS('Desenvolvimento diário'!$H:$H,'Desenvolvimento diário'!$Q:$Q,$B390,'Desenvolvimento diário'!$P:$P,$F390,'Desenvolvimento diário'!$R:$R,"Não")</f>
        <v>1686313.54</v>
      </c>
      <c r="R390" s="4">
        <f t="shared" si="132"/>
        <v>2696517.8</v>
      </c>
      <c r="S390" s="33">
        <f t="shared" si="133"/>
        <v>-95414.099999999627</v>
      </c>
      <c r="T390" s="12">
        <f t="shared" si="112"/>
        <v>1.0366821591926534</v>
      </c>
      <c r="U390" s="510" t="s">
        <v>162</v>
      </c>
      <c r="V390" s="510" t="s">
        <v>163</v>
      </c>
      <c r="Y390" s="2"/>
      <c r="Z390" s="2"/>
      <c r="AA390" s="2"/>
      <c r="AB390" s="2"/>
      <c r="AC390" s="2"/>
    </row>
    <row r="391" spans="1:29" ht="10.5" hidden="1">
      <c r="A391" s="2">
        <f t="shared" si="134"/>
        <v>12</v>
      </c>
      <c r="B391" s="2" t="str">
        <f>VLOOKUP($A391,Controle!$B$4:$F$68,2,FALSE)</f>
        <v>Patrocínio 2</v>
      </c>
      <c r="C391" s="2" t="str">
        <f>VLOOKUP($A391,Controle!$B$4:$F$68,3,FALSE)</f>
        <v xml:space="preserve">MORI GERACAO II </v>
      </c>
      <c r="D391" s="2" t="str">
        <f>VLOOKUP($A391,Controle!$B$4:$F$68,4,FALSE)</f>
        <v>Mori II</v>
      </c>
      <c r="E391" s="2">
        <f>VLOOKUP($A391,Controle!$B$4:$F$68,5,FALSE)</f>
        <v>1</v>
      </c>
      <c r="F391" s="3" t="str">
        <f t="shared" si="130"/>
        <v>Construção - RDA Interno</v>
      </c>
      <c r="G391" s="2" t="str">
        <f>VLOOKUP($A391,Controle!$B$4:$G$68,6,FALSE)</f>
        <v>Mori</v>
      </c>
      <c r="H391" s="6" t="s">
        <v>168</v>
      </c>
      <c r="I391" s="6">
        <v>330000</v>
      </c>
      <c r="J391" s="6">
        <v>0</v>
      </c>
      <c r="K391" s="6">
        <v>0</v>
      </c>
      <c r="L391" s="6">
        <v>0</v>
      </c>
      <c r="M391" s="6">
        <v>0</v>
      </c>
      <c r="N391" s="6">
        <v>0</v>
      </c>
      <c r="O391" s="4">
        <f t="shared" si="131"/>
        <v>330000</v>
      </c>
      <c r="P391" s="5">
        <f>SUMIFS('Desenvolvimento diário'!$H:$H,'Desenvolvimento diário'!$Q:$Q,$B391,'Desenvolvimento diário'!$P:$P,$F391,'Desenvolvimento diário'!$R:$R,"Sim")</f>
        <v>0</v>
      </c>
      <c r="Q391" s="5">
        <f>SUMIFS('Desenvolvimento diário'!$H:$H,'Desenvolvimento diário'!$Q:$Q,$B391,'Desenvolvimento diário'!$P:$P,$F391,'Desenvolvimento diário'!$R:$R,"Não")</f>
        <v>329999.99999999994</v>
      </c>
      <c r="R391" s="4">
        <f t="shared" si="132"/>
        <v>329999.99999999994</v>
      </c>
      <c r="S391" s="4">
        <f t="shared" si="133"/>
        <v>0</v>
      </c>
      <c r="T391" s="12">
        <f t="shared" si="112"/>
        <v>0.99999999999999978</v>
      </c>
      <c r="Y391" s="2"/>
      <c r="Z391" s="2"/>
      <c r="AA391" s="2"/>
      <c r="AB391" s="2"/>
      <c r="AC391" s="2"/>
    </row>
    <row r="392" spans="1:29" ht="10.5" hidden="1">
      <c r="A392" s="2">
        <f t="shared" si="134"/>
        <v>12</v>
      </c>
      <c r="B392" s="2" t="str">
        <f>VLOOKUP($A392,Controle!$B$4:$F$68,2,FALSE)</f>
        <v>Patrocínio 2</v>
      </c>
      <c r="C392" s="2" t="str">
        <f>VLOOKUP($A392,Controle!$B$4:$F$68,3,FALSE)</f>
        <v xml:space="preserve">MORI GERACAO II </v>
      </c>
      <c r="D392" s="2" t="str">
        <f>VLOOKUP($A392,Controle!$B$4:$F$68,4,FALSE)</f>
        <v>Mori II</v>
      </c>
      <c r="E392" s="2">
        <f>VLOOKUP($A392,Controle!$B$4:$F$68,5,FALSE)</f>
        <v>1</v>
      </c>
      <c r="F392" s="3" t="str">
        <f t="shared" si="130"/>
        <v>Full EPC - Contrato</v>
      </c>
      <c r="G392" s="2" t="str">
        <f>VLOOKUP($A392,Controle!$B$4:$G$68,6,FALSE)</f>
        <v>Mori</v>
      </c>
      <c r="H392" s="6">
        <v>0</v>
      </c>
      <c r="I392" s="6">
        <v>0</v>
      </c>
      <c r="J392" s="6">
        <v>0</v>
      </c>
      <c r="K392" s="6">
        <v>0</v>
      </c>
      <c r="L392" s="6">
        <v>0</v>
      </c>
      <c r="M392" s="6">
        <v>0</v>
      </c>
      <c r="N392" s="6">
        <v>0</v>
      </c>
      <c r="O392" s="4">
        <f t="shared" si="131"/>
        <v>0</v>
      </c>
      <c r="P392" s="5">
        <f>SUMIFS('Desenvolvimento diário'!$H:$H,'Desenvolvimento diário'!$Q:$Q,$B392,'Desenvolvimento diário'!$P:$P,$F392,'Desenvolvimento diário'!$R:$R,"Sim")</f>
        <v>0</v>
      </c>
      <c r="Q392" s="5">
        <f>SUMIFS('Desenvolvimento diário'!$H:$H,'Desenvolvimento diário'!$Q:$Q,$B392,'Desenvolvimento diário'!$P:$P,$F392,'Desenvolvimento diário'!$R:$R,"Não")</f>
        <v>0</v>
      </c>
      <c r="R392" s="4">
        <f t="shared" si="132"/>
        <v>0</v>
      </c>
      <c r="S392" s="4">
        <f t="shared" si="133"/>
        <v>0</v>
      </c>
      <c r="T392" s="12">
        <f t="shared" si="112"/>
        <v>0</v>
      </c>
      <c r="Y392" s="2"/>
      <c r="Z392" s="2"/>
      <c r="AA392" s="2"/>
      <c r="AB392" s="2"/>
      <c r="AC392" s="2"/>
    </row>
    <row r="393" spans="1:29" ht="10.5" hidden="1">
      <c r="A393" s="2">
        <f t="shared" si="134"/>
        <v>12</v>
      </c>
      <c r="B393" s="2" t="str">
        <f>VLOOKUP($A393,Controle!$B$4:$F$68,2,FALSE)</f>
        <v>Patrocínio 2</v>
      </c>
      <c r="C393" s="2" t="str">
        <f>VLOOKUP($A393,Controle!$B$4:$F$68,3,FALSE)</f>
        <v xml:space="preserve">MORI GERACAO II </v>
      </c>
      <c r="D393" s="2" t="str">
        <f>VLOOKUP($A393,Controle!$B$4:$F$68,4,FALSE)</f>
        <v>Mori II</v>
      </c>
      <c r="E393" s="2">
        <f>VLOOKUP($A393,Controle!$B$4:$F$68,5,FALSE)</f>
        <v>1</v>
      </c>
      <c r="F393" s="3" t="str">
        <f t="shared" si="130"/>
        <v>Equipamentos Curva A - Outros (Transformadores)</v>
      </c>
      <c r="G393" s="2" t="str">
        <f>VLOOKUP($A393,Controle!$B$4:$G$68,6,FALSE)</f>
        <v>Mori</v>
      </c>
      <c r="H393" s="6">
        <v>0</v>
      </c>
      <c r="I393" s="6">
        <v>0</v>
      </c>
      <c r="J393" s="6">
        <v>0</v>
      </c>
      <c r="K393" s="6">
        <v>0</v>
      </c>
      <c r="L393" s="6">
        <v>0</v>
      </c>
      <c r="M393" s="6">
        <v>0</v>
      </c>
      <c r="N393" s="6">
        <v>0</v>
      </c>
      <c r="O393" s="4">
        <f t="shared" si="131"/>
        <v>0</v>
      </c>
      <c r="P393" s="5">
        <f>SUMIFS('Desenvolvimento diário'!$H:$H,'Desenvolvimento diário'!$Q:$Q,$B393,'Desenvolvimento diário'!$P:$P,$F393,'Desenvolvimento diário'!$R:$R,"Sim")</f>
        <v>0</v>
      </c>
      <c r="Q393" s="5">
        <f>SUMIFS('Desenvolvimento diário'!$H:$H,'Desenvolvimento diário'!$Q:$Q,$B393,'Desenvolvimento diário'!$P:$P,$F393,'Desenvolvimento diário'!$R:$R,"Não")</f>
        <v>0</v>
      </c>
      <c r="R393" s="4">
        <f t="shared" si="132"/>
        <v>0</v>
      </c>
      <c r="S393" s="4">
        <f t="shared" si="133"/>
        <v>0</v>
      </c>
      <c r="T393" s="12">
        <f t="shared" si="112"/>
        <v>0</v>
      </c>
      <c r="Y393" s="2"/>
      <c r="Z393" s="2"/>
      <c r="AA393" s="2"/>
      <c r="AB393" s="2"/>
      <c r="AC393" s="2"/>
    </row>
    <row r="394" spans="1:29" ht="10.5" hidden="1">
      <c r="A394" s="2">
        <f t="shared" si="134"/>
        <v>12</v>
      </c>
      <c r="B394" s="2" t="str">
        <f>VLOOKUP($A394,Controle!$B$4:$F$68,2,FALSE)</f>
        <v>Patrocínio 2</v>
      </c>
      <c r="C394" s="2" t="str">
        <f>VLOOKUP($A394,Controle!$B$4:$F$68,3,FALSE)</f>
        <v xml:space="preserve">MORI GERACAO II </v>
      </c>
      <c r="D394" s="2" t="str">
        <f>VLOOKUP($A394,Controle!$B$4:$F$68,4,FALSE)</f>
        <v>Mori II</v>
      </c>
      <c r="E394" s="2">
        <f>VLOOKUP($A394,Controle!$B$4:$F$68,5,FALSE)</f>
        <v>1</v>
      </c>
      <c r="F394" s="3" t="str">
        <f t="shared" si="130"/>
        <v>Equipamentos Curva A - Outros (Cabine + Skid)</v>
      </c>
      <c r="G394" s="2" t="str">
        <f>VLOOKUP($A394,Controle!$B$4:$G$68,6,FALSE)</f>
        <v>Mori</v>
      </c>
      <c r="H394" s="6">
        <v>0</v>
      </c>
      <c r="I394" s="6">
        <v>0</v>
      </c>
      <c r="J394" s="6">
        <v>0</v>
      </c>
      <c r="K394" s="6">
        <v>0</v>
      </c>
      <c r="L394" s="6">
        <v>0</v>
      </c>
      <c r="M394" s="6">
        <v>0</v>
      </c>
      <c r="N394" s="6">
        <v>0</v>
      </c>
      <c r="O394" s="4">
        <f t="shared" si="131"/>
        <v>0</v>
      </c>
      <c r="P394" s="5">
        <f>SUMIFS('Desenvolvimento diário'!$H:$H,'Desenvolvimento diário'!$Q:$Q,$B394,'Desenvolvimento diário'!$P:$P,$F394,'Desenvolvimento diário'!$R:$R,"Sim")</f>
        <v>0</v>
      </c>
      <c r="Q394" s="5">
        <f>SUMIFS('Desenvolvimento diário'!$H:$H,'Desenvolvimento diário'!$Q:$Q,$B394,'Desenvolvimento diário'!$P:$P,$F394,'Desenvolvimento diário'!$R:$R,"Não")</f>
        <v>0</v>
      </c>
      <c r="R394" s="4">
        <f t="shared" si="132"/>
        <v>0</v>
      </c>
      <c r="S394" s="4">
        <f t="shared" si="133"/>
        <v>0</v>
      </c>
      <c r="T394" s="12">
        <f t="shared" si="112"/>
        <v>0</v>
      </c>
      <c r="Y394" s="2"/>
      <c r="Z394" s="2"/>
      <c r="AA394" s="2"/>
      <c r="AB394" s="2"/>
      <c r="AC394" s="2"/>
    </row>
    <row r="395" spans="1:29" ht="10.5" hidden="1">
      <c r="A395" s="2">
        <f t="shared" si="134"/>
        <v>12</v>
      </c>
      <c r="B395" s="2" t="str">
        <f>VLOOKUP($A395,Controle!$B$4:$F$68,2,FALSE)</f>
        <v>Patrocínio 2</v>
      </c>
      <c r="C395" s="2" t="str">
        <f>VLOOKUP($A395,Controle!$B$4:$F$68,3,FALSE)</f>
        <v xml:space="preserve">MORI GERACAO II </v>
      </c>
      <c r="D395" s="2" t="str">
        <f>VLOOKUP($A395,Controle!$B$4:$F$68,4,FALSE)</f>
        <v>Mori II</v>
      </c>
      <c r="E395" s="2">
        <f>VLOOKUP($A395,Controle!$B$4:$F$68,5,FALSE)</f>
        <v>1</v>
      </c>
      <c r="F395" s="3" t="str">
        <f t="shared" si="130"/>
        <v>Equipamentos Curva A - Outros (Cabine + Skid + Transformador)</v>
      </c>
      <c r="G395" s="2" t="str">
        <f>VLOOKUP($A395,Controle!$B$4:$G$68,6,FALSE)</f>
        <v>Mori</v>
      </c>
      <c r="H395" s="6" t="s">
        <v>144</v>
      </c>
      <c r="I395" s="6">
        <v>913828.35682400002</v>
      </c>
      <c r="J395" s="6">
        <v>0</v>
      </c>
      <c r="K395" s="6">
        <v>0</v>
      </c>
      <c r="L395" s="6">
        <v>0</v>
      </c>
      <c r="M395" s="6">
        <v>0</v>
      </c>
      <c r="N395" s="6">
        <v>0</v>
      </c>
      <c r="O395" s="4">
        <f t="shared" si="131"/>
        <v>913828.35682400002</v>
      </c>
      <c r="P395" s="5">
        <f>SUMIFS('Desenvolvimento diário'!$H:$H,'Desenvolvimento diário'!$Q:$Q,$B395,'Desenvolvimento diário'!$P:$P,$F395,'Desenvolvimento diário'!$R:$R,"Sim")</f>
        <v>0</v>
      </c>
      <c r="Q395" s="5">
        <f>SUMIFS('Desenvolvimento diário'!$H:$H,'Desenvolvimento diário'!$Q:$Q,$B395,'Desenvolvimento diário'!$P:$P,$F395,'Desenvolvimento diário'!$R:$R,"Não")</f>
        <v>913828.35682400002</v>
      </c>
      <c r="R395" s="4">
        <f t="shared" si="132"/>
        <v>913828.35682400002</v>
      </c>
      <c r="S395" s="4">
        <f t="shared" si="133"/>
        <v>0</v>
      </c>
      <c r="T395" s="12">
        <f t="shared" si="112"/>
        <v>1</v>
      </c>
      <c r="Y395" s="2"/>
      <c r="Z395" s="2"/>
      <c r="AA395" s="2"/>
      <c r="AB395" s="2"/>
      <c r="AC395" s="2"/>
    </row>
    <row r="396" spans="1:29" ht="10.5" hidden="1">
      <c r="A396" s="2">
        <f t="shared" si="134"/>
        <v>12</v>
      </c>
      <c r="B396" s="2" t="str">
        <f>VLOOKUP($A396,Controle!$B$4:$F$68,2,FALSE)</f>
        <v>Patrocínio 2</v>
      </c>
      <c r="C396" s="2" t="str">
        <f>VLOOKUP($A396,Controle!$B$4:$F$68,3,FALSE)</f>
        <v xml:space="preserve">MORI GERACAO II </v>
      </c>
      <c r="D396" s="2" t="str">
        <f>VLOOKUP($A396,Controle!$B$4:$F$68,4,FALSE)</f>
        <v>Mori II</v>
      </c>
      <c r="E396" s="2">
        <f>VLOOKUP($A396,Controle!$B$4:$F$68,5,FALSE)</f>
        <v>1</v>
      </c>
      <c r="F396" s="3" t="str">
        <f t="shared" si="130"/>
        <v>Desenvolvimento de projeto - Projetos - (Eng° Proprietario)</v>
      </c>
      <c r="G396" s="2" t="str">
        <f>VLOOKUP($A396,Controle!$B$4:$G$68,6,FALSE)</f>
        <v>Mori</v>
      </c>
      <c r="H396" s="6" t="s">
        <v>145</v>
      </c>
      <c r="I396" s="6">
        <v>0</v>
      </c>
      <c r="J396" s="6">
        <v>0</v>
      </c>
      <c r="K396" s="6">
        <v>0</v>
      </c>
      <c r="L396" s="6">
        <v>0</v>
      </c>
      <c r="M396" s="6">
        <v>0</v>
      </c>
      <c r="N396" s="6">
        <v>0</v>
      </c>
      <c r="O396" s="4">
        <f t="shared" si="131"/>
        <v>0</v>
      </c>
      <c r="P396" s="5">
        <f>SUMIFS('Desenvolvimento diário'!$H:$H,'Desenvolvimento diário'!$Q:$Q,$B396,'Desenvolvimento diário'!$P:$P,$F396,'Desenvolvimento diário'!$R:$R,"Sim")</f>
        <v>0</v>
      </c>
      <c r="Q396" s="5">
        <f>SUMIFS('Desenvolvimento diário'!$H:$H,'Desenvolvimento diário'!$Q:$Q,$B396,'Desenvolvimento diário'!$P:$P,$F396,'Desenvolvimento diário'!$R:$R,"Não")</f>
        <v>0</v>
      </c>
      <c r="R396" s="4">
        <f t="shared" si="132"/>
        <v>0</v>
      </c>
      <c r="S396" s="4">
        <f t="shared" si="133"/>
        <v>0</v>
      </c>
      <c r="T396" s="12">
        <f t="shared" si="112"/>
        <v>0</v>
      </c>
      <c r="Y396" s="2"/>
      <c r="Z396" s="2"/>
      <c r="AA396" s="2"/>
      <c r="AB396" s="2"/>
      <c r="AC396" s="2"/>
    </row>
    <row r="397" spans="1:29" ht="10.5" hidden="1">
      <c r="A397" s="2">
        <f t="shared" si="134"/>
        <v>12</v>
      </c>
      <c r="B397" s="2" t="str">
        <f>VLOOKUP($A397,Controle!$B$4:$F$68,2,FALSE)</f>
        <v>Patrocínio 2</v>
      </c>
      <c r="C397" s="2" t="str">
        <f>VLOOKUP($A397,Controle!$B$4:$F$68,3,FALSE)</f>
        <v xml:space="preserve">MORI GERACAO II </v>
      </c>
      <c r="D397" s="2" t="str">
        <f>VLOOKUP($A397,Controle!$B$4:$F$68,4,FALSE)</f>
        <v>Mori II</v>
      </c>
      <c r="E397" s="2">
        <f>VLOOKUP($A397,Controle!$B$4:$F$68,5,FALSE)</f>
        <v>1</v>
      </c>
      <c r="F397" s="3" t="str">
        <f t="shared" si="130"/>
        <v>Desenvolvimento de projeto - Projetos - Executivos</v>
      </c>
      <c r="G397" s="2" t="str">
        <f>VLOOKUP($A397,Controle!$B$4:$G$68,6,FALSE)</f>
        <v>Mori</v>
      </c>
      <c r="H397" s="6" t="s">
        <v>146</v>
      </c>
      <c r="I397" s="6">
        <v>36466</v>
      </c>
      <c r="J397" s="6">
        <v>0</v>
      </c>
      <c r="K397" s="6">
        <v>0</v>
      </c>
      <c r="L397" s="6">
        <v>0</v>
      </c>
      <c r="M397" s="6">
        <v>0</v>
      </c>
      <c r="N397" s="6">
        <v>0</v>
      </c>
      <c r="O397" s="4">
        <f>SUM(I397:N397)+0.7</f>
        <v>36466.699999999997</v>
      </c>
      <c r="P397" s="5">
        <f>SUMIFS('Desenvolvimento diário'!$H:$H,'Desenvolvimento diário'!$Q:$Q,$B397,'Desenvolvimento diário'!$P:$P,$F397,'Desenvolvimento diário'!$R:$R,"Sim")</f>
        <v>0</v>
      </c>
      <c r="Q397" s="5">
        <f>SUMIFS('Desenvolvimento diário'!$H:$H,'Desenvolvimento diário'!$Q:$Q,$B397,'Desenvolvimento diário'!$P:$P,$F397,'Desenvolvimento diário'!$R:$R,"Não")</f>
        <v>36466.699999999997</v>
      </c>
      <c r="R397" s="4">
        <f t="shared" si="132"/>
        <v>36466.699999999997</v>
      </c>
      <c r="S397" s="137">
        <f t="shared" si="133"/>
        <v>0</v>
      </c>
      <c r="T397" s="12">
        <f t="shared" si="112"/>
        <v>1</v>
      </c>
      <c r="Y397" s="2"/>
      <c r="Z397" s="2"/>
      <c r="AA397" s="2"/>
      <c r="AB397" s="2"/>
      <c r="AC397" s="2"/>
    </row>
    <row r="398" spans="1:29" ht="10.5" hidden="1">
      <c r="A398" s="2">
        <f t="shared" si="134"/>
        <v>12</v>
      </c>
      <c r="B398" s="2" t="str">
        <f>VLOOKUP($A398,Controle!$B$4:$F$68,2,FALSE)</f>
        <v>Patrocínio 2</v>
      </c>
      <c r="C398" s="2" t="str">
        <f>VLOOKUP($A398,Controle!$B$4:$F$68,3,FALSE)</f>
        <v xml:space="preserve">MORI GERACAO II </v>
      </c>
      <c r="D398" s="2" t="str">
        <f>VLOOKUP($A398,Controle!$B$4:$F$68,4,FALSE)</f>
        <v>Mori II</v>
      </c>
      <c r="E398" s="2">
        <f>VLOOKUP($A398,Controle!$B$4:$F$68,5,FALSE)</f>
        <v>1</v>
      </c>
      <c r="F398" s="3" t="str">
        <f t="shared" si="130"/>
        <v>Desenvolvimento de projeto - Projetos Básica</v>
      </c>
      <c r="G398" s="2" t="str">
        <f>VLOOKUP($A398,Controle!$B$4:$G$68,6,FALSE)</f>
        <v>Mori</v>
      </c>
      <c r="H398" s="6">
        <v>0</v>
      </c>
      <c r="I398" s="6">
        <v>0</v>
      </c>
      <c r="J398" s="6">
        <v>0</v>
      </c>
      <c r="K398" s="6">
        <v>0</v>
      </c>
      <c r="L398" s="6">
        <v>0</v>
      </c>
      <c r="M398" s="6">
        <v>0</v>
      </c>
      <c r="N398" s="6">
        <v>0</v>
      </c>
      <c r="O398" s="4">
        <f t="shared" si="131"/>
        <v>0</v>
      </c>
      <c r="P398" s="5">
        <f>SUMIFS('Desenvolvimento diário'!$H:$H,'Desenvolvimento diário'!$Q:$Q,$B398,'Desenvolvimento diário'!$P:$P,$F398,'Desenvolvimento diário'!$R:$R,"Sim")</f>
        <v>0</v>
      </c>
      <c r="Q398" s="5">
        <f>SUMIFS('Desenvolvimento diário'!$H:$H,'Desenvolvimento diário'!$Q:$Q,$B398,'Desenvolvimento diário'!$P:$P,$F398,'Desenvolvimento diário'!$R:$R,"Não")</f>
        <v>0</v>
      </c>
      <c r="R398" s="4">
        <f t="shared" si="132"/>
        <v>0</v>
      </c>
      <c r="S398" s="4">
        <f t="shared" si="133"/>
        <v>0</v>
      </c>
      <c r="T398" s="12">
        <f t="shared" si="112"/>
        <v>0</v>
      </c>
      <c r="Y398" s="2"/>
      <c r="Z398" s="2"/>
      <c r="AA398" s="2"/>
      <c r="AB398" s="2"/>
      <c r="AC398" s="2"/>
    </row>
    <row r="399" spans="1:29" ht="10.5" hidden="1">
      <c r="A399" s="2">
        <f t="shared" si="134"/>
        <v>12</v>
      </c>
      <c r="B399" s="2" t="str">
        <f>VLOOKUP($A399,Controle!$B$4:$F$68,2,FALSE)</f>
        <v>Patrocínio 2</v>
      </c>
      <c r="C399" s="2" t="str">
        <f>VLOOKUP($A399,Controle!$B$4:$F$68,3,FALSE)</f>
        <v xml:space="preserve">MORI GERACAO II </v>
      </c>
      <c r="D399" s="2" t="str">
        <f>VLOOKUP($A399,Controle!$B$4:$F$68,4,FALSE)</f>
        <v>Mori II</v>
      </c>
      <c r="E399" s="2">
        <f>VLOOKUP($A399,Controle!$B$4:$F$68,5,FALSE)</f>
        <v>1</v>
      </c>
      <c r="F399" s="3" t="str">
        <f t="shared" si="130"/>
        <v>Desenvolvimento de projeto - Projetos Detalhada</v>
      </c>
      <c r="G399" s="2" t="str">
        <f>VLOOKUP($A399,Controle!$B$4:$G$68,6,FALSE)</f>
        <v>Mori</v>
      </c>
      <c r="H399" s="6">
        <v>0</v>
      </c>
      <c r="I399" s="6">
        <v>0</v>
      </c>
      <c r="J399" s="6">
        <v>0</v>
      </c>
      <c r="K399" s="6">
        <v>0</v>
      </c>
      <c r="L399" s="6">
        <v>0</v>
      </c>
      <c r="M399" s="6">
        <v>0</v>
      </c>
      <c r="N399" s="6">
        <v>0</v>
      </c>
      <c r="O399" s="4">
        <f t="shared" si="131"/>
        <v>0</v>
      </c>
      <c r="P399" s="5">
        <f>SUMIFS('Desenvolvimento diário'!$H:$H,'Desenvolvimento diário'!$Q:$Q,$B399,'Desenvolvimento diário'!$P:$P,$F399,'Desenvolvimento diário'!$R:$R,"Sim")</f>
        <v>0</v>
      </c>
      <c r="Q399" s="5">
        <f>SUMIFS('Desenvolvimento diário'!$H:$H,'Desenvolvimento diário'!$Q:$Q,$B399,'Desenvolvimento diário'!$P:$P,$F399,'Desenvolvimento diário'!$R:$R,"Não")</f>
        <v>0</v>
      </c>
      <c r="R399" s="4">
        <f t="shared" si="132"/>
        <v>0</v>
      </c>
      <c r="S399" s="4">
        <f t="shared" si="133"/>
        <v>0</v>
      </c>
      <c r="T399" s="12">
        <f t="shared" si="112"/>
        <v>0</v>
      </c>
      <c r="Y399" s="2"/>
      <c r="Z399" s="2"/>
      <c r="AA399" s="2"/>
      <c r="AB399" s="2"/>
      <c r="AC399" s="2"/>
    </row>
    <row r="400" spans="1:29" ht="10.5" hidden="1">
      <c r="A400" s="2">
        <f t="shared" si="134"/>
        <v>12</v>
      </c>
      <c r="B400" s="2" t="str">
        <f>VLOOKUP($A400,Controle!$B$4:$F$68,2,FALSE)</f>
        <v>Patrocínio 2</v>
      </c>
      <c r="C400" s="2" t="str">
        <f>VLOOKUP($A400,Controle!$B$4:$F$68,3,FALSE)</f>
        <v xml:space="preserve">MORI GERACAO II </v>
      </c>
      <c r="D400" s="2" t="str">
        <f>VLOOKUP($A400,Controle!$B$4:$F$68,4,FALSE)</f>
        <v>Mori II</v>
      </c>
      <c r="E400" s="2">
        <f>VLOOKUP($A400,Controle!$B$4:$F$68,5,FALSE)</f>
        <v>1</v>
      </c>
      <c r="F400" s="3" t="str">
        <f t="shared" si="130"/>
        <v>Desenvolvimento de projeto - Ambiental / Outros</v>
      </c>
      <c r="G400" s="2" t="str">
        <f>VLOOKUP($A400,Controle!$B$4:$G$68,6,FALSE)</f>
        <v>Mori</v>
      </c>
      <c r="H400" s="6" t="s">
        <v>148</v>
      </c>
      <c r="I400" s="6">
        <f>R400</f>
        <v>79010.69</v>
      </c>
      <c r="J400" s="6">
        <v>0</v>
      </c>
      <c r="K400" s="6">
        <v>0</v>
      </c>
      <c r="L400" s="6">
        <v>0</v>
      </c>
      <c r="M400" s="6">
        <v>0</v>
      </c>
      <c r="N400" s="6">
        <v>0</v>
      </c>
      <c r="O400" s="4">
        <f t="shared" si="131"/>
        <v>79010.69</v>
      </c>
      <c r="P400" s="5">
        <f>SUMIFS('Desenvolvimento diário'!$H:$H,'Desenvolvimento diário'!$Q:$Q,$B400,'Desenvolvimento diário'!$P:$P,$F400,'Desenvolvimento diário'!$R:$R,"Sim")</f>
        <v>0</v>
      </c>
      <c r="Q400" s="5">
        <f>SUMIFS('Desenvolvimento diário'!$H:$H,'Desenvolvimento diário'!$Q:$Q,$B400,'Desenvolvimento diário'!$P:$P,$F400,'Desenvolvimento diário'!$R:$R,"Não")</f>
        <v>79010.69</v>
      </c>
      <c r="R400" s="4">
        <f t="shared" si="132"/>
        <v>79010.69</v>
      </c>
      <c r="S400" s="4">
        <f t="shared" si="133"/>
        <v>0</v>
      </c>
      <c r="T400" s="12">
        <f t="shared" si="112"/>
        <v>1</v>
      </c>
      <c r="Y400" s="2"/>
      <c r="Z400" s="2"/>
      <c r="AA400" s="2"/>
      <c r="AB400" s="2"/>
      <c r="AC400" s="2"/>
    </row>
    <row r="401" spans="1:29" hidden="1">
      <c r="A401" s="2">
        <f t="shared" si="134"/>
        <v>12</v>
      </c>
      <c r="B401" s="2" t="str">
        <f>VLOOKUP($A401,Controle!$B$4:$F$68,2,FALSE)</f>
        <v>Patrocínio 2</v>
      </c>
      <c r="C401" s="2" t="str">
        <f>VLOOKUP($A401,Controle!$B$4:$F$68,3,FALSE)</f>
        <v xml:space="preserve">MORI GERACAO II </v>
      </c>
      <c r="D401" s="2" t="str">
        <f>VLOOKUP($A401,Controle!$B$4:$F$68,4,FALSE)</f>
        <v>Mori II</v>
      </c>
      <c r="E401" s="2">
        <f>VLOOKUP($A401,Controle!$B$4:$F$68,5,FALSE)</f>
        <v>1</v>
      </c>
      <c r="F401" s="3" t="str">
        <f t="shared" si="130"/>
        <v>Desenvolvimento de projeto - Coordenograma</v>
      </c>
      <c r="G401" s="2" t="str">
        <f>VLOOKUP($A401,Controle!$B$4:$G$68,6,FALSE)</f>
        <v>Mori</v>
      </c>
      <c r="H401" s="31" t="s">
        <v>149</v>
      </c>
      <c r="I401" s="31">
        <v>6206.9</v>
      </c>
      <c r="J401" s="31">
        <v>0</v>
      </c>
      <c r="K401" s="31">
        <v>0</v>
      </c>
      <c r="L401" s="6">
        <v>0</v>
      </c>
      <c r="M401" s="6">
        <v>0</v>
      </c>
      <c r="N401" s="6">
        <v>0</v>
      </c>
      <c r="O401" s="4">
        <f t="shared" si="131"/>
        <v>6206.9</v>
      </c>
      <c r="P401" s="5">
        <f>SUMIFS('Desenvolvimento diário'!$H:$H,'Desenvolvimento diário'!$Q:$Q,$B401,'Desenvolvimento diário'!$P:$P,$F401,'Desenvolvimento diário'!$R:$R,"Sim")</f>
        <v>0</v>
      </c>
      <c r="Q401" s="5">
        <f>SUMIFS('Desenvolvimento diário'!$H:$H,'Desenvolvimento diário'!$Q:$Q,$B401,'Desenvolvimento diário'!$P:$P,$F401,'Desenvolvimento diário'!$R:$R,"Não")</f>
        <v>6206.9</v>
      </c>
      <c r="R401" s="4">
        <f t="shared" si="132"/>
        <v>6206.9</v>
      </c>
      <c r="S401" s="4">
        <f t="shared" si="133"/>
        <v>0</v>
      </c>
      <c r="T401" s="12">
        <f t="shared" si="112"/>
        <v>1</v>
      </c>
      <c r="Y401" s="2"/>
      <c r="Z401" s="2"/>
      <c r="AA401" s="2"/>
      <c r="AB401" s="2"/>
      <c r="AC401" s="2"/>
    </row>
    <row r="402" spans="1:29" ht="10.5" hidden="1">
      <c r="A402" s="2">
        <f t="shared" si="134"/>
        <v>12</v>
      </c>
      <c r="B402" s="2" t="str">
        <f>VLOOKUP($A402,Controle!$B$4:$F$68,2,FALSE)</f>
        <v>Patrocínio 2</v>
      </c>
      <c r="C402" s="2" t="str">
        <f>VLOOKUP($A402,Controle!$B$4:$F$68,3,FALSE)</f>
        <v xml:space="preserve">MORI GERACAO II </v>
      </c>
      <c r="D402" s="2" t="str">
        <f>VLOOKUP($A402,Controle!$B$4:$F$68,4,FALSE)</f>
        <v>Mori II</v>
      </c>
      <c r="E402" s="2">
        <f>VLOOKUP($A402,Controle!$B$4:$F$68,5,FALSE)</f>
        <v>1</v>
      </c>
      <c r="F402" s="3" t="str">
        <f t="shared" si="130"/>
        <v>Sistemas de Monitoramento - Supervisório</v>
      </c>
      <c r="G402" s="2" t="str">
        <f>VLOOKUP($A402,Controle!$B$4:$G$68,6,FALSE)</f>
        <v>Mori</v>
      </c>
      <c r="H402" s="6" t="s">
        <v>150</v>
      </c>
      <c r="I402" s="6">
        <v>126513.54</v>
      </c>
      <c r="J402" s="6"/>
      <c r="K402" s="6">
        <v>0</v>
      </c>
      <c r="L402" s="6">
        <v>0</v>
      </c>
      <c r="M402" s="6">
        <v>0</v>
      </c>
      <c r="N402" s="6">
        <v>0</v>
      </c>
      <c r="O402" s="4">
        <f t="shared" si="131"/>
        <v>126513.54</v>
      </c>
      <c r="P402" s="5">
        <f>SUMIFS('Desenvolvimento diário'!$H:$H,'Desenvolvimento diário'!$Q:$Q,$B402,'Desenvolvimento diário'!$P:$P,$F402,'Desenvolvimento diário'!$R:$R,"Sim")</f>
        <v>5821.02</v>
      </c>
      <c r="Q402" s="5">
        <f>SUMIFS('Desenvolvimento diário'!$H:$H,'Desenvolvimento diário'!$Q:$Q,$B402,'Desenvolvimento diário'!$P:$P,$F402,'Desenvolvimento diário'!$R:$R,"Não")</f>
        <v>120692.51999999999</v>
      </c>
      <c r="R402" s="4">
        <f t="shared" si="132"/>
        <v>126513.54</v>
      </c>
      <c r="S402" s="4">
        <f t="shared" si="133"/>
        <v>0</v>
      </c>
      <c r="T402" s="12">
        <f t="shared" si="112"/>
        <v>1</v>
      </c>
      <c r="Y402" s="2"/>
      <c r="Z402" s="2"/>
      <c r="AA402" s="2"/>
      <c r="AB402" s="2"/>
      <c r="AC402" s="2"/>
    </row>
    <row r="403" spans="1:29" ht="10.5" hidden="1">
      <c r="A403" s="2">
        <f t="shared" si="134"/>
        <v>12</v>
      </c>
      <c r="B403" s="2" t="str">
        <f>VLOOKUP($A403,Controle!$B$4:$F$68,2,FALSE)</f>
        <v>Patrocínio 2</v>
      </c>
      <c r="C403" s="2" t="str">
        <f>VLOOKUP($A403,Controle!$B$4:$F$68,3,FALSE)</f>
        <v xml:space="preserve">MORI GERACAO II </v>
      </c>
      <c r="D403" s="2" t="str">
        <f>VLOOKUP($A403,Controle!$B$4:$F$68,4,FALSE)</f>
        <v>Mori II</v>
      </c>
      <c r="E403" s="2">
        <f>VLOOKUP($A403,Controle!$B$4:$F$68,5,FALSE)</f>
        <v>1</v>
      </c>
      <c r="F403" s="3" t="str">
        <f t="shared" si="130"/>
        <v>Sistemas de Monitoramento - Estações Solarimétricas</v>
      </c>
      <c r="G403" s="2" t="str">
        <f>VLOOKUP($A403,Controle!$B$4:$G$68,6,FALSE)</f>
        <v>Mori</v>
      </c>
      <c r="H403" s="6" t="s">
        <v>151</v>
      </c>
      <c r="I403" s="6">
        <v>48276.516000000003</v>
      </c>
      <c r="J403" s="6">
        <v>0</v>
      </c>
      <c r="K403" s="6">
        <v>0</v>
      </c>
      <c r="L403" s="6">
        <v>0</v>
      </c>
      <c r="M403" s="6">
        <v>0</v>
      </c>
      <c r="N403" s="6">
        <v>0</v>
      </c>
      <c r="O403" s="4">
        <f t="shared" si="131"/>
        <v>48276.516000000003</v>
      </c>
      <c r="P403" s="5">
        <f>SUMIFS('Desenvolvimento diário'!$H:$H,'Desenvolvimento diário'!$Q:$Q,$B403,'Desenvolvimento diário'!$P:$P,$F403,'Desenvolvimento diário'!$R:$R,"Sim")</f>
        <v>0</v>
      </c>
      <c r="Q403" s="5">
        <f>SUMIFS('Desenvolvimento diário'!$H:$H,'Desenvolvimento diário'!$Q:$Q,$B403,'Desenvolvimento diário'!$P:$P,$F403,'Desenvolvimento diário'!$R:$R,"Não")</f>
        <v>48276.516000000003</v>
      </c>
      <c r="R403" s="4">
        <f t="shared" si="132"/>
        <v>48276.516000000003</v>
      </c>
      <c r="S403" s="4">
        <f t="shared" si="133"/>
        <v>0</v>
      </c>
      <c r="T403" s="12">
        <f t="shared" si="112"/>
        <v>1</v>
      </c>
      <c r="Y403" s="2"/>
      <c r="Z403" s="2"/>
      <c r="AA403" s="2"/>
      <c r="AB403" s="2"/>
      <c r="AC403" s="2"/>
    </row>
    <row r="404" spans="1:29" hidden="1">
      <c r="A404" s="2">
        <f t="shared" si="134"/>
        <v>12</v>
      </c>
      <c r="B404" s="2" t="str">
        <f>VLOOKUP($A404,Controle!$B$4:$F$68,2,FALSE)</f>
        <v>Patrocínio 2</v>
      </c>
      <c r="C404" s="2" t="str">
        <f>VLOOKUP($A404,Controle!$B$4:$F$68,3,FALSE)</f>
        <v xml:space="preserve">MORI GERACAO II </v>
      </c>
      <c r="D404" s="2" t="str">
        <f>VLOOKUP($A404,Controle!$B$4:$F$68,4,FALSE)</f>
        <v>Mori II</v>
      </c>
      <c r="E404" s="2">
        <f>VLOOKUP($A404,Controle!$B$4:$F$68,5,FALSE)</f>
        <v>1</v>
      </c>
      <c r="F404" s="3" t="str">
        <f t="shared" si="130"/>
        <v>Sistemas de Monitoramento - CFTV</v>
      </c>
      <c r="G404" s="2" t="str">
        <f>VLOOKUP($A404,Controle!$B$4:$G$68,6,FALSE)</f>
        <v>Mori</v>
      </c>
      <c r="H404" s="31" t="s">
        <v>152</v>
      </c>
      <c r="I404" s="6">
        <v>261668.28</v>
      </c>
      <c r="J404" s="6">
        <v>0</v>
      </c>
      <c r="K404" s="6">
        <v>0</v>
      </c>
      <c r="L404" s="6">
        <v>0</v>
      </c>
      <c r="M404" s="6">
        <v>0</v>
      </c>
      <c r="N404" s="6">
        <v>0</v>
      </c>
      <c r="O404" s="4">
        <f t="shared" si="131"/>
        <v>261668.28</v>
      </c>
      <c r="P404" s="5">
        <f>SUMIFS('Desenvolvimento diário'!$H:$H,'Desenvolvimento diário'!$Q:$Q,$B404,'Desenvolvimento diário'!$P:$P,$F404,'Desenvolvimento diário'!$R:$R,"Sim")</f>
        <v>15146.21</v>
      </c>
      <c r="Q404" s="5">
        <f>SUMIFS('Desenvolvimento diário'!$H:$H,'Desenvolvimento diário'!$Q:$Q,$B404,'Desenvolvimento diário'!$P:$P,$F404,'Desenvolvimento diário'!$R:$R,"Não")</f>
        <v>246522.07</v>
      </c>
      <c r="R404" s="4">
        <f t="shared" si="132"/>
        <v>261668.28</v>
      </c>
      <c r="S404" s="4">
        <f t="shared" si="133"/>
        <v>0</v>
      </c>
      <c r="T404" s="12">
        <f t="shared" si="112"/>
        <v>1</v>
      </c>
      <c r="Y404" s="2"/>
      <c r="Z404" s="2"/>
      <c r="AA404" s="2"/>
      <c r="AB404" s="2"/>
      <c r="AC404" s="2"/>
    </row>
    <row r="405" spans="1:29" ht="10.5" hidden="1">
      <c r="A405" s="2">
        <f t="shared" si="134"/>
        <v>12</v>
      </c>
      <c r="B405" s="2" t="str">
        <f>VLOOKUP($A405,Controle!$B$4:$F$68,2,FALSE)</f>
        <v>Patrocínio 2</v>
      </c>
      <c r="C405" s="2" t="str">
        <f>VLOOKUP($A405,Controle!$B$4:$F$68,3,FALSE)</f>
        <v xml:space="preserve">MORI GERACAO II </v>
      </c>
      <c r="D405" s="2" t="str">
        <f>VLOOKUP($A405,Controle!$B$4:$F$68,4,FALSE)</f>
        <v>Mori II</v>
      </c>
      <c r="E405" s="2">
        <f>VLOOKUP($A405,Controle!$B$4:$F$68,5,FALSE)</f>
        <v>1</v>
      </c>
      <c r="F405" s="3" t="str">
        <f t="shared" si="130"/>
        <v>Serviços Auxiliares - Drenagem</v>
      </c>
      <c r="G405" s="2" t="str">
        <f>VLOOKUP($A405,Controle!$B$4:$G$68,6,FALSE)</f>
        <v>Mori</v>
      </c>
      <c r="H405" s="6" t="s">
        <v>191</v>
      </c>
      <c r="I405" s="6">
        <v>582000</v>
      </c>
      <c r="J405" s="6">
        <v>0</v>
      </c>
      <c r="K405" s="6">
        <v>0</v>
      </c>
      <c r="L405" s="6">
        <v>0</v>
      </c>
      <c r="M405" s="6">
        <v>0</v>
      </c>
      <c r="N405" s="6">
        <v>0</v>
      </c>
      <c r="O405" s="4">
        <f t="shared" si="131"/>
        <v>582000</v>
      </c>
      <c r="P405" s="5">
        <f>SUMIFS('Desenvolvimento diário'!$H:$H,'Desenvolvimento diário'!$Q:$Q,$B405,'Desenvolvimento diário'!$P:$P,$F405,'Desenvolvimento diário'!$R:$R,"Sim")</f>
        <v>0</v>
      </c>
      <c r="Q405" s="5">
        <f>SUMIFS('Desenvolvimento diário'!$H:$H,'Desenvolvimento diário'!$Q:$Q,$B405,'Desenvolvimento diário'!$P:$P,$F405,'Desenvolvimento diário'!$R:$R,"Não")</f>
        <v>582000</v>
      </c>
      <c r="R405" s="4">
        <f t="shared" si="132"/>
        <v>582000</v>
      </c>
      <c r="S405" s="4">
        <f t="shared" si="133"/>
        <v>0</v>
      </c>
      <c r="T405" s="12">
        <f t="shared" si="112"/>
        <v>1</v>
      </c>
      <c r="Y405" s="2"/>
      <c r="Z405" s="2"/>
      <c r="AA405" s="2"/>
      <c r="AB405" s="2"/>
      <c r="AC405" s="2"/>
    </row>
    <row r="406" spans="1:29" ht="10.5" hidden="1">
      <c r="A406" s="2">
        <f t="shared" si="134"/>
        <v>12</v>
      </c>
      <c r="B406" s="2" t="str">
        <f>VLOOKUP($A406,Controle!$B$4:$F$68,2,FALSE)</f>
        <v>Patrocínio 2</v>
      </c>
      <c r="C406" s="2" t="str">
        <f>VLOOKUP($A406,Controle!$B$4:$F$68,3,FALSE)</f>
        <v xml:space="preserve">MORI GERACAO II </v>
      </c>
      <c r="D406" s="2" t="str">
        <f>VLOOKUP($A406,Controle!$B$4:$F$68,4,FALSE)</f>
        <v>Mori II</v>
      </c>
      <c r="E406" s="2">
        <f>VLOOKUP($A406,Controle!$B$4:$F$68,5,FALSE)</f>
        <v>1</v>
      </c>
      <c r="F406" s="3" t="str">
        <f t="shared" si="130"/>
        <v>Serviços Auxiliares - Terraplanagem</v>
      </c>
      <c r="G406" s="2" t="str">
        <f>VLOOKUP($A406,Controle!$B$4:$G$68,6,FALSE)</f>
        <v>Mori</v>
      </c>
      <c r="H406" s="28" t="s">
        <v>180</v>
      </c>
      <c r="I406" s="6">
        <v>0</v>
      </c>
      <c r="J406" s="6">
        <v>0</v>
      </c>
      <c r="K406" s="6">
        <v>0</v>
      </c>
      <c r="L406" s="6">
        <v>0</v>
      </c>
      <c r="M406" s="6">
        <v>0</v>
      </c>
      <c r="N406" s="6">
        <v>0</v>
      </c>
      <c r="O406" s="4">
        <f t="shared" si="131"/>
        <v>0</v>
      </c>
      <c r="P406" s="5">
        <f>SUMIFS('Desenvolvimento diário'!$H:$H,'Desenvolvimento diário'!$Q:$Q,$B406,'Desenvolvimento diário'!$P:$P,$F406,'Desenvolvimento diário'!$R:$R,"Sim")</f>
        <v>0</v>
      </c>
      <c r="Q406" s="5">
        <f>SUMIFS('Desenvolvimento diário'!$H:$H,'Desenvolvimento diário'!$Q:$Q,$B406,'Desenvolvimento diário'!$P:$P,$F406,'Desenvolvimento diário'!$R:$R,"Não")</f>
        <v>0</v>
      </c>
      <c r="R406" s="4">
        <f t="shared" si="132"/>
        <v>0</v>
      </c>
      <c r="S406" s="4">
        <f t="shared" si="133"/>
        <v>0</v>
      </c>
      <c r="T406" s="12">
        <f t="shared" si="112"/>
        <v>0</v>
      </c>
      <c r="Y406" s="2"/>
      <c r="Z406" s="2"/>
      <c r="AA406" s="2"/>
      <c r="AB406" s="2"/>
      <c r="AC406" s="2"/>
    </row>
    <row r="407" spans="1:29" ht="10.5" hidden="1">
      <c r="A407" s="2">
        <f t="shared" si="134"/>
        <v>12</v>
      </c>
      <c r="B407" s="2" t="str">
        <f>VLOOKUP($A407,Controle!$B$4:$F$68,2,FALSE)</f>
        <v>Patrocínio 2</v>
      </c>
      <c r="C407" s="2" t="str">
        <f>VLOOKUP($A407,Controle!$B$4:$F$68,3,FALSE)</f>
        <v xml:space="preserve">MORI GERACAO II </v>
      </c>
      <c r="D407" s="2" t="str">
        <f>VLOOKUP($A407,Controle!$B$4:$F$68,4,FALSE)</f>
        <v>Mori II</v>
      </c>
      <c r="E407" s="2">
        <f>VLOOKUP($A407,Controle!$B$4:$F$68,5,FALSE)</f>
        <v>1</v>
      </c>
      <c r="F407" s="3" t="str">
        <f t="shared" si="130"/>
        <v>Serviços Auxiliares - Supressão Vegetal</v>
      </c>
      <c r="G407" s="2" t="str">
        <f>VLOOKUP($A407,Controle!$B$4:$G$68,6,FALSE)</f>
        <v>Mori</v>
      </c>
      <c r="H407" s="6">
        <v>0</v>
      </c>
      <c r="I407" s="6">
        <v>0</v>
      </c>
      <c r="J407" s="6">
        <v>0</v>
      </c>
      <c r="K407" s="6">
        <v>0</v>
      </c>
      <c r="L407" s="6">
        <v>0</v>
      </c>
      <c r="M407" s="6">
        <v>0</v>
      </c>
      <c r="N407" s="6">
        <v>0</v>
      </c>
      <c r="O407" s="4">
        <f t="shared" si="131"/>
        <v>0</v>
      </c>
      <c r="P407" s="5">
        <f>SUMIFS('Desenvolvimento diário'!$H:$H,'Desenvolvimento diário'!$Q:$Q,$B407,'Desenvolvimento diário'!$P:$P,$F407,'Desenvolvimento diário'!$R:$R,"Sim")</f>
        <v>0</v>
      </c>
      <c r="Q407" s="5">
        <f>SUMIFS('Desenvolvimento diário'!$H:$H,'Desenvolvimento diário'!$Q:$Q,$B407,'Desenvolvimento diário'!$P:$P,$F407,'Desenvolvimento diário'!$R:$R,"Não")</f>
        <v>0</v>
      </c>
      <c r="R407" s="4">
        <f t="shared" si="132"/>
        <v>0</v>
      </c>
      <c r="S407" s="4">
        <f t="shared" si="133"/>
        <v>0</v>
      </c>
      <c r="T407" s="12">
        <f t="shared" si="112"/>
        <v>0</v>
      </c>
      <c r="Y407" s="2"/>
      <c r="Z407" s="2"/>
      <c r="AA407" s="2"/>
      <c r="AB407" s="2"/>
      <c r="AC407" s="2"/>
    </row>
    <row r="408" spans="1:29" ht="10.5" hidden="1">
      <c r="A408" s="2">
        <f t="shared" si="134"/>
        <v>12</v>
      </c>
      <c r="B408" s="2" t="str">
        <f>VLOOKUP($A408,Controle!$B$4:$F$68,2,FALSE)</f>
        <v>Patrocínio 2</v>
      </c>
      <c r="C408" s="2" t="str">
        <f>VLOOKUP($A408,Controle!$B$4:$F$68,3,FALSE)</f>
        <v xml:space="preserve">MORI GERACAO II </v>
      </c>
      <c r="D408" s="2" t="str">
        <f>VLOOKUP($A408,Controle!$B$4:$F$68,4,FALSE)</f>
        <v>Mori II</v>
      </c>
      <c r="E408" s="2">
        <f>VLOOKUP($A408,Controle!$B$4:$F$68,5,FALSE)</f>
        <v>1</v>
      </c>
      <c r="F408" s="3" t="str">
        <f t="shared" si="130"/>
        <v>RDR-Rede de Distribuição Rural</v>
      </c>
      <c r="G408" s="2" t="str">
        <f>VLOOKUP($A408,Controle!$B$4:$G$68,6,FALSE)</f>
        <v>Mori</v>
      </c>
      <c r="H408" s="6">
        <v>0</v>
      </c>
      <c r="I408" s="6">
        <v>0</v>
      </c>
      <c r="J408" s="6">
        <v>0</v>
      </c>
      <c r="K408" s="6">
        <v>0</v>
      </c>
      <c r="L408" s="6">
        <v>0</v>
      </c>
      <c r="M408" s="6">
        <v>0</v>
      </c>
      <c r="N408" s="6">
        <v>0</v>
      </c>
      <c r="O408" s="4">
        <f t="shared" si="131"/>
        <v>0</v>
      </c>
      <c r="P408" s="5">
        <f>SUMIFS('Desenvolvimento diário'!$H:$H,'Desenvolvimento diário'!$Q:$Q,$B408,'Desenvolvimento diário'!$P:$P,$F408,'Desenvolvimento diário'!$R:$R,"Sim")</f>
        <v>0</v>
      </c>
      <c r="Q408" s="5">
        <f>SUMIFS('Desenvolvimento diário'!$H:$H,'Desenvolvimento diário'!$Q:$Q,$B408,'Desenvolvimento diário'!$P:$P,$F408,'Desenvolvimento diário'!$R:$R,"Não")</f>
        <v>0</v>
      </c>
      <c r="R408" s="4">
        <f t="shared" si="132"/>
        <v>0</v>
      </c>
      <c r="S408" s="4">
        <f t="shared" si="133"/>
        <v>0</v>
      </c>
      <c r="T408" s="12">
        <f t="shared" si="112"/>
        <v>0</v>
      </c>
      <c r="Y408" s="2"/>
      <c r="Z408" s="2"/>
      <c r="AA408" s="2"/>
      <c r="AB408" s="2"/>
      <c r="AC408" s="2"/>
    </row>
    <row r="409" spans="1:29" ht="10.5" hidden="1">
      <c r="A409" s="2">
        <f t="shared" si="134"/>
        <v>12</v>
      </c>
      <c r="B409" s="2" t="str">
        <f>VLOOKUP($A409,Controle!$B$4:$F$68,2,FALSE)</f>
        <v>Patrocínio 2</v>
      </c>
      <c r="C409" s="2" t="str">
        <f>VLOOKUP($A409,Controle!$B$4:$F$68,3,FALSE)</f>
        <v xml:space="preserve">MORI GERACAO II </v>
      </c>
      <c r="D409" s="2" t="str">
        <f>VLOOKUP($A409,Controle!$B$4:$F$68,4,FALSE)</f>
        <v>Mori II</v>
      </c>
      <c r="E409" s="2">
        <f>VLOOKUP($A409,Controle!$B$4:$F$68,5,FALSE)</f>
        <v>1</v>
      </c>
      <c r="F409" s="3" t="str">
        <f t="shared" si="130"/>
        <v>Escopo COMERC</v>
      </c>
      <c r="G409" s="2" t="str">
        <f>VLOOKUP($A409,Controle!$B$4:$G$68,6,FALSE)</f>
        <v>Mori</v>
      </c>
      <c r="H409" s="6">
        <v>0</v>
      </c>
      <c r="I409" s="6">
        <v>241615.60000000003</v>
      </c>
      <c r="J409" s="29">
        <v>22000</v>
      </c>
      <c r="K409" s="29"/>
      <c r="L409" s="6">
        <v>0</v>
      </c>
      <c r="M409" s="6">
        <v>0</v>
      </c>
      <c r="N409" s="6">
        <v>0</v>
      </c>
      <c r="O409" s="4">
        <f t="shared" si="131"/>
        <v>263615.60000000003</v>
      </c>
      <c r="P409" s="5">
        <f>SUMIFS('Desenvolvimento diário'!$H:$H,'Desenvolvimento diário'!$Q:$Q,$B409,'Desenvolvimento diário'!$P:$P,$F409,'Desenvolvimento diário'!$R:$R,"Sim")</f>
        <v>0</v>
      </c>
      <c r="Q409" s="5">
        <f>SUMIFS('Desenvolvimento diário'!$H:$H,'Desenvolvimento diário'!$Q:$Q,$B409,'Desenvolvimento diário'!$P:$P,$F409,'Desenvolvimento diário'!$R:$R,"Não")</f>
        <v>242614.38000000003</v>
      </c>
      <c r="R409" s="4">
        <f t="shared" si="132"/>
        <v>242614.38000000003</v>
      </c>
      <c r="S409" s="1010">
        <f t="shared" si="133"/>
        <v>21001.22</v>
      </c>
      <c r="T409" s="12">
        <f t="shared" si="112"/>
        <v>0.92033392560986527</v>
      </c>
      <c r="U409" s="1011" t="s">
        <v>166</v>
      </c>
      <c r="V409" s="1011" t="s">
        <v>167</v>
      </c>
      <c r="Y409" s="2"/>
      <c r="Z409" s="2"/>
      <c r="AA409" s="2"/>
      <c r="AB409" s="2"/>
      <c r="AC409" s="2"/>
    </row>
    <row r="410" spans="1:29" ht="10.5" hidden="1">
      <c r="A410" s="2">
        <f t="shared" si="134"/>
        <v>12</v>
      </c>
      <c r="B410" s="2" t="str">
        <f>VLOOKUP($A410,Controle!$B$4:$F$68,2,FALSE)</f>
        <v>Patrocínio 2</v>
      </c>
      <c r="C410" s="2" t="str">
        <f>VLOOKUP($A410,Controle!$B$4:$F$68,3,FALSE)</f>
        <v xml:space="preserve">MORI GERACAO II </v>
      </c>
      <c r="D410" s="2" t="str">
        <f>VLOOKUP($A410,Controle!$B$4:$F$68,4,FALSE)</f>
        <v>Mori II</v>
      </c>
      <c r="E410" s="2">
        <f>VLOOKUP($A410,Controle!$B$4:$F$68,5,FALSE)</f>
        <v>1</v>
      </c>
      <c r="F410" s="3" t="str">
        <f t="shared" si="130"/>
        <v>Escopo COMERC - Segurança</v>
      </c>
      <c r="G410" s="2" t="str">
        <f>VLOOKUP($A410,Controle!$B$4:$G$68,6,FALSE)</f>
        <v>Mori</v>
      </c>
      <c r="H410" s="6">
        <v>0</v>
      </c>
      <c r="I410" s="6">
        <f t="shared" ref="I409:I410" si="135">R410</f>
        <v>259659.64000000007</v>
      </c>
      <c r="J410" s="6">
        <v>0</v>
      </c>
      <c r="K410" s="6">
        <v>0</v>
      </c>
      <c r="L410" s="6">
        <v>0</v>
      </c>
      <c r="M410" s="6">
        <v>0</v>
      </c>
      <c r="N410" s="6">
        <v>0</v>
      </c>
      <c r="O410" s="4">
        <f t="shared" si="131"/>
        <v>259659.64000000007</v>
      </c>
      <c r="P410" s="5">
        <f>SUMIFS('Desenvolvimento diário'!$H:$H,'Desenvolvimento diário'!$Q:$Q,$B410,'Desenvolvimento diário'!$P:$P,$F410,'Desenvolvimento diário'!$R:$R,"Sim")</f>
        <v>0</v>
      </c>
      <c r="Q410" s="5">
        <f>SUMIFS('Desenvolvimento diário'!$H:$H,'Desenvolvimento diário'!$Q:$Q,$B410,'Desenvolvimento diário'!$P:$P,$F410,'Desenvolvimento diário'!$R:$R,"Não")</f>
        <v>259659.64000000007</v>
      </c>
      <c r="R410" s="4">
        <f t="shared" si="132"/>
        <v>259659.64000000007</v>
      </c>
      <c r="S410" s="4">
        <f t="shared" si="133"/>
        <v>0</v>
      </c>
      <c r="T410" s="12">
        <f t="shared" ref="T410:T477" si="136">IFERROR(R410/O410,0)</f>
        <v>1</v>
      </c>
      <c r="Y410" s="2"/>
      <c r="Z410" s="2"/>
      <c r="AA410" s="2"/>
      <c r="AB410" s="2"/>
      <c r="AC410" s="2"/>
    </row>
    <row r="411" spans="1:29" ht="10.5" hidden="1">
      <c r="A411" s="2">
        <f t="shared" si="134"/>
        <v>12</v>
      </c>
      <c r="B411" s="2" t="str">
        <f>VLOOKUP($A411,Controle!$B$4:$F$68,2,FALSE)</f>
        <v>Patrocínio 2</v>
      </c>
      <c r="C411" s="2" t="str">
        <f>VLOOKUP($A411,Controle!$B$4:$F$68,3,FALSE)</f>
        <v xml:space="preserve">MORI GERACAO II </v>
      </c>
      <c r="D411" s="2" t="str">
        <f>VLOOKUP($A411,Controle!$B$4:$F$68,4,FALSE)</f>
        <v>Mori II</v>
      </c>
      <c r="E411" s="2">
        <f>VLOOKUP($A411,Controle!$B$4:$F$68,5,FALSE)</f>
        <v>1</v>
      </c>
      <c r="F411" s="3" t="str">
        <f t="shared" si="130"/>
        <v>Conexão MT - Obras Transferencia</v>
      </c>
      <c r="G411" s="2" t="str">
        <f>VLOOKUP($A411,Controle!$B$4:$G$68,6,FALSE)</f>
        <v>Mori</v>
      </c>
      <c r="H411" s="6">
        <v>0</v>
      </c>
      <c r="I411" s="6">
        <v>0</v>
      </c>
      <c r="J411" s="6">
        <v>0</v>
      </c>
      <c r="K411" s="6">
        <v>0</v>
      </c>
      <c r="L411" s="6">
        <v>0</v>
      </c>
      <c r="M411" s="6">
        <v>0</v>
      </c>
      <c r="N411" s="6">
        <v>0</v>
      </c>
      <c r="O411" s="4">
        <f t="shared" si="131"/>
        <v>0</v>
      </c>
      <c r="P411" s="5">
        <f>SUMIFS('Desenvolvimento diário'!$H:$H,'Desenvolvimento diário'!$Q:$Q,$B411,'Desenvolvimento diário'!$P:$P,$F411,'Desenvolvimento diário'!$R:$R,"Sim")</f>
        <v>0</v>
      </c>
      <c r="Q411" s="5">
        <f>SUMIFS('Desenvolvimento diário'!$H:$H,'Desenvolvimento diário'!$Q:$Q,$B411,'Desenvolvimento diário'!$P:$P,$F411,'Desenvolvimento diário'!$R:$R,"Não")</f>
        <v>0</v>
      </c>
      <c r="R411" s="4">
        <f t="shared" si="132"/>
        <v>0</v>
      </c>
      <c r="S411" s="4">
        <f t="shared" si="133"/>
        <v>0</v>
      </c>
      <c r="T411" s="12">
        <f t="shared" si="136"/>
        <v>0</v>
      </c>
      <c r="Y411" s="2"/>
      <c r="Z411" s="2"/>
      <c r="AA411" s="2"/>
      <c r="AB411" s="2"/>
      <c r="AC411" s="2"/>
    </row>
    <row r="412" spans="1:29" ht="10.5" hidden="1">
      <c r="A412" s="2">
        <f t="shared" si="134"/>
        <v>12</v>
      </c>
      <c r="B412" s="2" t="str">
        <f>VLOOKUP($A412,Controle!$B$4:$F$68,2,FALSE)</f>
        <v>Patrocínio 2</v>
      </c>
      <c r="C412" s="2" t="str">
        <f>VLOOKUP($A412,Controle!$B$4:$F$68,3,FALSE)</f>
        <v xml:space="preserve">MORI GERACAO II </v>
      </c>
      <c r="D412" s="2" t="str">
        <f>VLOOKUP($A412,Controle!$B$4:$F$68,4,FALSE)</f>
        <v>Mori II</v>
      </c>
      <c r="E412" s="2">
        <f>VLOOKUP($A412,Controle!$B$4:$F$68,5,FALSE)</f>
        <v>1</v>
      </c>
      <c r="F412" s="3" t="str">
        <f t="shared" si="130"/>
        <v>Bases de Contaniers</v>
      </c>
      <c r="G412" s="2" t="str">
        <f>VLOOKUP($A412,Controle!$B$4:$G$68,6,FALSE)</f>
        <v>Mori</v>
      </c>
      <c r="H412" s="6" t="s">
        <v>181</v>
      </c>
      <c r="I412" s="6">
        <v>295409.38</v>
      </c>
      <c r="J412" s="6">
        <v>86616.4</v>
      </c>
      <c r="K412" s="6">
        <v>0</v>
      </c>
      <c r="L412" s="6">
        <v>0</v>
      </c>
      <c r="M412" s="6">
        <v>0</v>
      </c>
      <c r="N412" s="6">
        <v>0</v>
      </c>
      <c r="O412" s="4">
        <f t="shared" si="131"/>
        <v>382025.78</v>
      </c>
      <c r="P412" s="5">
        <f>SUMIFS('Desenvolvimento diário'!$H:$H,'Desenvolvimento diário'!$Q:$Q,$B412,'Desenvolvimento diário'!$P:$P,$F412,'Desenvolvimento diário'!$R:$R,"Sim")</f>
        <v>149800</v>
      </c>
      <c r="Q412" s="5">
        <f>SUMIFS('Desenvolvimento diário'!$H:$H,'Desenvolvimento diário'!$Q:$Q,$B412,'Desenvolvimento diário'!$P:$P,$F412,'Desenvolvimento diário'!$R:$R,"Não")</f>
        <v>232225.78</v>
      </c>
      <c r="R412" s="4">
        <f t="shared" si="132"/>
        <v>382025.78</v>
      </c>
      <c r="S412" s="4">
        <f t="shared" si="133"/>
        <v>0</v>
      </c>
      <c r="T412" s="12">
        <f t="shared" si="136"/>
        <v>1</v>
      </c>
      <c r="Y412" s="2"/>
      <c r="Z412" s="2"/>
      <c r="AA412" s="2"/>
      <c r="AB412" s="2"/>
      <c r="AC412" s="2"/>
    </row>
    <row r="413" spans="1:29" ht="10.5" hidden="1">
      <c r="A413" s="2">
        <f t="shared" si="134"/>
        <v>12</v>
      </c>
      <c r="B413" s="2" t="str">
        <f>VLOOKUP($A413,Controle!$B$4:$F$68,2,FALSE)</f>
        <v>Patrocínio 2</v>
      </c>
      <c r="C413" s="2" t="str">
        <f>VLOOKUP($A413,Controle!$B$4:$F$68,3,FALSE)</f>
        <v xml:space="preserve">MORI GERACAO II </v>
      </c>
      <c r="D413" s="2" t="str">
        <f>VLOOKUP($A413,Controle!$B$4:$F$68,4,FALSE)</f>
        <v>Mori II</v>
      </c>
      <c r="E413" s="2">
        <f>VLOOKUP($A413,Controle!$B$4:$F$68,5,FALSE)</f>
        <v>1</v>
      </c>
      <c r="F413" s="3" t="str">
        <f t="shared" si="130"/>
        <v>Construção - Serviços de Construção - Ase Engenharia</v>
      </c>
      <c r="G413" s="2" t="str">
        <f>VLOOKUP($A413,Controle!$B$4:$G$68,6,FALSE)</f>
        <v>Mori</v>
      </c>
      <c r="H413" s="6">
        <v>0</v>
      </c>
      <c r="I413" s="6">
        <v>0</v>
      </c>
      <c r="J413" s="6">
        <v>0</v>
      </c>
      <c r="K413" s="6">
        <v>0</v>
      </c>
      <c r="L413" s="6">
        <v>0</v>
      </c>
      <c r="M413" s="6">
        <v>0</v>
      </c>
      <c r="N413" s="6">
        <v>0</v>
      </c>
      <c r="O413" s="4">
        <f t="shared" si="131"/>
        <v>0</v>
      </c>
      <c r="P413" s="5">
        <f>SUMIFS('Desenvolvimento diário'!$H:$H,'Desenvolvimento diário'!$Q:$Q,$B413,'Desenvolvimento diário'!$P:$P,$F413,'Desenvolvimento diário'!$R:$R,"Sim")</f>
        <v>0</v>
      </c>
      <c r="Q413" s="5">
        <f>SUMIFS('Desenvolvimento diário'!$H:$H,'Desenvolvimento diário'!$Q:$Q,$B413,'Desenvolvimento diário'!$P:$P,$F413,'Desenvolvimento diário'!$R:$R,"Não")</f>
        <v>0</v>
      </c>
      <c r="R413" s="4">
        <f t="shared" si="132"/>
        <v>0</v>
      </c>
      <c r="S413" s="4">
        <f t="shared" si="133"/>
        <v>0</v>
      </c>
      <c r="T413" s="12">
        <f t="shared" si="136"/>
        <v>0</v>
      </c>
      <c r="Y413" s="2"/>
      <c r="Z413" s="2"/>
      <c r="AA413" s="2"/>
      <c r="AB413" s="2"/>
      <c r="AC413" s="2"/>
    </row>
    <row r="414" spans="1:29" ht="10.5" hidden="1">
      <c r="A414" s="2">
        <f t="shared" si="134"/>
        <v>12</v>
      </c>
      <c r="B414" s="2" t="str">
        <f>VLOOKUP($A414,Controle!$B$4:$F$68,2,FALSE)</f>
        <v>Patrocínio 2</v>
      </c>
      <c r="C414" s="2" t="str">
        <f>VLOOKUP($A414,Controle!$B$4:$F$68,3,FALSE)</f>
        <v xml:space="preserve">MORI GERACAO II </v>
      </c>
      <c r="D414" s="2" t="str">
        <f>VLOOKUP($A414,Controle!$B$4:$F$68,4,FALSE)</f>
        <v>Mori II</v>
      </c>
      <c r="E414" s="2">
        <f>VLOOKUP($A414,Controle!$B$4:$F$68,5,FALSE)</f>
        <v>1</v>
      </c>
      <c r="F414" s="3" t="str">
        <f t="shared" si="130"/>
        <v>Full EPC - Contrato Sobressalentes</v>
      </c>
      <c r="G414" s="2" t="str">
        <f>VLOOKUP($A414,Controle!$B$4:$G$68,6,FALSE)</f>
        <v>Mori</v>
      </c>
      <c r="H414" s="6">
        <v>0</v>
      </c>
      <c r="I414" s="6">
        <v>0</v>
      </c>
      <c r="J414" s="6">
        <v>0</v>
      </c>
      <c r="K414" s="6">
        <v>0</v>
      </c>
      <c r="L414" s="6">
        <v>0</v>
      </c>
      <c r="M414" s="6">
        <v>0</v>
      </c>
      <c r="N414" s="6">
        <v>0</v>
      </c>
      <c r="O414" s="4">
        <f t="shared" si="131"/>
        <v>0</v>
      </c>
      <c r="P414" s="5">
        <f>SUMIFS('Desenvolvimento diário'!$H:$H,'Desenvolvimento diário'!$Q:$Q,$B414,'Desenvolvimento diário'!$P:$P,$F414,'Desenvolvimento diário'!$R:$R,"Sim")</f>
        <v>0</v>
      </c>
      <c r="Q414" s="5">
        <f>SUMIFS('Desenvolvimento diário'!$H:$H,'Desenvolvimento diário'!$Q:$Q,$B414,'Desenvolvimento diário'!$P:$P,$F414,'Desenvolvimento diário'!$R:$R,"Não")</f>
        <v>0</v>
      </c>
      <c r="R414" s="4">
        <f t="shared" si="132"/>
        <v>0</v>
      </c>
      <c r="S414" s="4">
        <f t="shared" si="133"/>
        <v>0</v>
      </c>
      <c r="T414" s="12">
        <f t="shared" si="136"/>
        <v>0</v>
      </c>
      <c r="Y414" s="2"/>
      <c r="Z414" s="2"/>
      <c r="AA414" s="2"/>
      <c r="AB414" s="2"/>
      <c r="AC414" s="2"/>
    </row>
    <row r="415" spans="1:29" ht="10.5" hidden="1">
      <c r="A415" s="2">
        <f t="shared" si="134"/>
        <v>12</v>
      </c>
      <c r="B415" s="2" t="str">
        <f>VLOOKUP($A415,Controle!$B$4:$F$68,2,FALSE)</f>
        <v>Patrocínio 2</v>
      </c>
      <c r="C415" s="2" t="str">
        <f>VLOOKUP($A415,Controle!$B$4:$F$68,3,FALSE)</f>
        <v xml:space="preserve">MORI GERACAO II </v>
      </c>
      <c r="D415" s="2" t="str">
        <f>VLOOKUP($A415,Controle!$B$4:$F$68,4,FALSE)</f>
        <v>Mori II</v>
      </c>
      <c r="E415" s="2">
        <f>VLOOKUP($A415,Controle!$B$4:$F$68,5,FALSE)</f>
        <v>1</v>
      </c>
      <c r="F415" s="3" t="str">
        <f t="shared" si="130"/>
        <v>Construção - Serviços de Construção - NOVA MORADA</v>
      </c>
      <c r="G415" s="2" t="str">
        <f>VLOOKUP($A415,Controle!$B$4:$G$68,6,FALSE)</f>
        <v>Mori</v>
      </c>
      <c r="H415" s="6">
        <v>0</v>
      </c>
      <c r="I415" s="6">
        <v>0</v>
      </c>
      <c r="J415" s="6">
        <v>0</v>
      </c>
      <c r="K415" s="6">
        <v>0</v>
      </c>
      <c r="L415" s="6">
        <v>0</v>
      </c>
      <c r="M415" s="6">
        <v>0</v>
      </c>
      <c r="N415" s="6">
        <v>0</v>
      </c>
      <c r="O415" s="4">
        <f t="shared" si="131"/>
        <v>0</v>
      </c>
      <c r="P415" s="5">
        <f>SUMIFS('Desenvolvimento diário'!$H:$H,'Desenvolvimento diário'!$Q:$Q,$B415,'Desenvolvimento diário'!$P:$P,$F415,'Desenvolvimento diário'!$R:$R,"Sim")</f>
        <v>0</v>
      </c>
      <c r="Q415" s="5">
        <f>SUMIFS('Desenvolvimento diário'!$H:$H,'Desenvolvimento diário'!$Q:$Q,$B415,'Desenvolvimento diário'!$P:$P,$F415,'Desenvolvimento diário'!$R:$R,"Não")</f>
        <v>0</v>
      </c>
      <c r="R415" s="4">
        <f t="shared" si="132"/>
        <v>0</v>
      </c>
      <c r="S415" s="4">
        <f t="shared" si="133"/>
        <v>0</v>
      </c>
      <c r="T415" s="12">
        <f t="shared" si="136"/>
        <v>0</v>
      </c>
      <c r="Y415" s="2"/>
      <c r="Z415" s="2"/>
      <c r="AA415" s="2"/>
      <c r="AB415" s="2"/>
      <c r="AC415" s="2"/>
    </row>
    <row r="416" spans="1:29" ht="10.5" hidden="1">
      <c r="A416" s="2">
        <f t="shared" si="134"/>
        <v>12</v>
      </c>
      <c r="B416" s="2" t="str">
        <f>VLOOKUP($A416,Controle!$B$4:$F$68,2,FALSE)</f>
        <v>Patrocínio 2</v>
      </c>
      <c r="C416" s="2" t="str">
        <f>VLOOKUP($A416,Controle!$B$4:$F$68,3,FALSE)</f>
        <v xml:space="preserve">MORI GERACAO II </v>
      </c>
      <c r="D416" s="2" t="str">
        <f>VLOOKUP($A416,Controle!$B$4:$F$68,4,FALSE)</f>
        <v>Mori II</v>
      </c>
      <c r="E416" s="2">
        <f>VLOOKUP($A416,Controle!$B$4:$F$68,5,FALSE)</f>
        <v>1</v>
      </c>
      <c r="F416" s="3" t="str">
        <f t="shared" si="130"/>
        <v>Equipamentos Curva A -  Contrato Sobressalentes - SETTA</v>
      </c>
      <c r="G416" s="2" t="str">
        <f>VLOOKUP($A416,Controle!$B$4:$G$68,6,FALSE)</f>
        <v>Mori</v>
      </c>
      <c r="H416" s="6">
        <v>0</v>
      </c>
      <c r="I416" s="6">
        <v>0</v>
      </c>
      <c r="J416" s="6">
        <v>0</v>
      </c>
      <c r="K416" s="6">
        <v>0</v>
      </c>
      <c r="L416" s="6">
        <v>0</v>
      </c>
      <c r="M416" s="6">
        <v>0</v>
      </c>
      <c r="N416" s="6">
        <v>0</v>
      </c>
      <c r="O416" s="4">
        <f t="shared" si="131"/>
        <v>0</v>
      </c>
      <c r="P416" s="5">
        <f>SUMIFS('Desenvolvimento diário'!$H:$H,'Desenvolvimento diário'!$Q:$Q,$B416,'Desenvolvimento diário'!$P:$P,$F416,'Desenvolvimento diário'!$R:$R,"Sim")</f>
        <v>0</v>
      </c>
      <c r="Q416" s="5">
        <f>SUMIFS('Desenvolvimento diário'!$H:$H,'Desenvolvimento diário'!$Q:$Q,$B416,'Desenvolvimento diário'!$P:$P,$F416,'Desenvolvimento diário'!$R:$R,"Não")</f>
        <v>0</v>
      </c>
      <c r="R416" s="4">
        <f t="shared" si="132"/>
        <v>0</v>
      </c>
      <c r="S416" s="4">
        <f t="shared" si="133"/>
        <v>0</v>
      </c>
      <c r="T416" s="12">
        <f t="shared" si="136"/>
        <v>0</v>
      </c>
      <c r="Y416" s="2"/>
      <c r="Z416" s="2"/>
      <c r="AA416" s="2"/>
      <c r="AB416" s="2"/>
      <c r="AC416" s="2"/>
    </row>
    <row r="417" spans="1:29" ht="10.5" hidden="1">
      <c r="A417" s="2">
        <f t="shared" si="134"/>
        <v>12</v>
      </c>
      <c r="B417" s="2" t="str">
        <f>VLOOKUP($A417,Controle!$B$4:$F$68,2,FALSE)</f>
        <v>Patrocínio 2</v>
      </c>
      <c r="C417" s="2" t="str">
        <f>VLOOKUP($A417,Controle!$B$4:$F$68,3,FALSE)</f>
        <v xml:space="preserve">MORI GERACAO II </v>
      </c>
      <c r="D417" s="2" t="str">
        <f>VLOOKUP($A417,Controle!$B$4:$F$68,4,FALSE)</f>
        <v>Mori II</v>
      </c>
      <c r="E417" s="2">
        <f>VLOOKUP($A417,Controle!$B$4:$F$68,5,FALSE)</f>
        <v>1</v>
      </c>
      <c r="F417" s="3" t="str">
        <f t="shared" si="130"/>
        <v>Equipamentos Curva A -  Contrato Sobressalentes - Arctech</v>
      </c>
      <c r="G417" s="2" t="str">
        <f>VLOOKUP($A417,Controle!$B$4:$G$68,6,FALSE)</f>
        <v>Mori</v>
      </c>
      <c r="H417" s="6">
        <v>0</v>
      </c>
      <c r="I417" s="6">
        <v>0</v>
      </c>
      <c r="J417" s="6">
        <v>0</v>
      </c>
      <c r="K417" s="6">
        <v>0</v>
      </c>
      <c r="L417" s="6">
        <v>0</v>
      </c>
      <c r="M417" s="6">
        <v>0</v>
      </c>
      <c r="N417" s="6">
        <v>0</v>
      </c>
      <c r="O417" s="4">
        <f t="shared" si="131"/>
        <v>0</v>
      </c>
      <c r="P417" s="5">
        <f>SUMIFS('Desenvolvimento diário'!$H:$H,'Desenvolvimento diário'!$Q:$Q,$B417,'Desenvolvimento diário'!$P:$P,$F417,'Desenvolvimento diário'!$R:$R,"Sim")</f>
        <v>0</v>
      </c>
      <c r="Q417" s="5">
        <f>SUMIFS('Desenvolvimento diário'!$H:$H,'Desenvolvimento diário'!$Q:$Q,$B417,'Desenvolvimento diário'!$P:$P,$F417,'Desenvolvimento diário'!$R:$R,"Não")</f>
        <v>0</v>
      </c>
      <c r="R417" s="4">
        <f t="shared" si="132"/>
        <v>0</v>
      </c>
      <c r="S417" s="4">
        <f t="shared" si="133"/>
        <v>0</v>
      </c>
      <c r="T417" s="12">
        <f t="shared" si="136"/>
        <v>0</v>
      </c>
      <c r="Y417" s="2"/>
      <c r="Z417" s="2"/>
      <c r="AA417" s="2"/>
      <c r="AB417" s="2"/>
      <c r="AC417" s="2"/>
    </row>
    <row r="418" spans="1:29" hidden="1">
      <c r="A418" s="2">
        <f t="shared" si="134"/>
        <v>12</v>
      </c>
      <c r="B418" s="2" t="str">
        <f>VLOOKUP($A418,Controle!$B$4:$F$68,2,FALSE)</f>
        <v>Patrocínio 2</v>
      </c>
      <c r="C418" s="2" t="str">
        <f>VLOOKUP($A418,Controle!$B$4:$F$68,3,FALSE)</f>
        <v xml:space="preserve">MORI GERACAO II </v>
      </c>
      <c r="D418" s="2" t="str">
        <f>VLOOKUP($A418,Controle!$B$4:$F$68,4,FALSE)</f>
        <v>Mori II</v>
      </c>
      <c r="E418" s="2">
        <f>VLOOKUP($A418,Controle!$B$4:$F$68,5,FALSE)</f>
        <v>1</v>
      </c>
      <c r="F418" s="3" t="str">
        <f t="shared" si="130"/>
        <v>Equipamentos Curva A -  Contrato Sobressalentes - Romagnole</v>
      </c>
      <c r="G418" s="2" t="str">
        <f>VLOOKUP($A418,Controle!$B$4:$G$68,6,FALSE)</f>
        <v>Mori</v>
      </c>
      <c r="H418" s="7">
        <v>0</v>
      </c>
      <c r="I418" s="7">
        <v>0</v>
      </c>
      <c r="J418" s="7">
        <v>0</v>
      </c>
      <c r="K418" s="7">
        <v>0</v>
      </c>
      <c r="L418" s="7">
        <v>0</v>
      </c>
      <c r="M418" s="7">
        <v>0</v>
      </c>
      <c r="N418" s="7">
        <v>0</v>
      </c>
      <c r="O418" s="4">
        <f t="shared" si="131"/>
        <v>0</v>
      </c>
      <c r="P418" s="17">
        <f>SUMIFS('Desenvolvimento diário'!$H:$H,'Desenvolvimento diário'!$Q:$Q,$B418,'Desenvolvimento diário'!$P:$P,$F418,'Desenvolvimento diário'!$R:$R,"Sim")</f>
        <v>0</v>
      </c>
      <c r="Q418" s="17">
        <f>SUMIFS('Desenvolvimento diário'!$H:$H,'Desenvolvimento diário'!$Q:$Q,$B418,'Desenvolvimento diário'!$P:$P,$F418,'Desenvolvimento diário'!$R:$R,"Não")</f>
        <v>0</v>
      </c>
      <c r="R418" s="4">
        <f t="shared" si="132"/>
        <v>0</v>
      </c>
      <c r="S418" s="4">
        <f t="shared" si="133"/>
        <v>0</v>
      </c>
      <c r="T418" s="12">
        <f t="shared" si="136"/>
        <v>0</v>
      </c>
      <c r="Y418" s="2"/>
      <c r="Z418" s="2"/>
      <c r="AA418" s="2"/>
      <c r="AB418" s="2"/>
      <c r="AC418" s="2"/>
    </row>
    <row r="419" spans="1:29" hidden="1">
      <c r="A419" s="2">
        <f t="shared" si="134"/>
        <v>12</v>
      </c>
      <c r="B419" s="2" t="str">
        <f>VLOOKUP($A419,Controle!$B$4:$F$68,2,FALSE)</f>
        <v>Patrocínio 2</v>
      </c>
      <c r="C419" s="2" t="str">
        <f>VLOOKUP($A419,Controle!$B$4:$F$68,3,FALSE)</f>
        <v xml:space="preserve">MORI GERACAO II </v>
      </c>
      <c r="D419" s="2" t="str">
        <f>VLOOKUP($A419,Controle!$B$4:$F$68,4,FALSE)</f>
        <v>Mori II</v>
      </c>
      <c r="E419" s="2">
        <f>VLOOKUP($A419,Controle!$B$4:$F$68,5,FALSE)</f>
        <v>1</v>
      </c>
      <c r="F419" s="3" t="str">
        <f t="shared" si="130"/>
        <v>GOS FLORESTAL - (PRAD - Recuperação Area Ambiental)</v>
      </c>
      <c r="G419" s="2" t="str">
        <f>VLOOKUP($A419,Controle!$B$4:$G$68,6,FALSE)</f>
        <v>Mori</v>
      </c>
      <c r="H419" s="506" t="s">
        <v>170</v>
      </c>
      <c r="I419" s="6">
        <v>0</v>
      </c>
      <c r="J419" s="506"/>
      <c r="K419" s="506">
        <v>0</v>
      </c>
      <c r="L419" s="506">
        <v>0</v>
      </c>
      <c r="M419" s="506">
        <v>0</v>
      </c>
      <c r="N419" s="506">
        <v>0</v>
      </c>
      <c r="O419" s="39">
        <f t="shared" si="131"/>
        <v>0</v>
      </c>
      <c r="P419" s="17">
        <f>SUMIFS('Desenvolvimento diário'!$H:$H,'Desenvolvimento diário'!$Q:$Q,$B419,'Desenvolvimento diário'!$P:$P,$F419,'Desenvolvimento diário'!$R:$R,"Sim")</f>
        <v>0</v>
      </c>
      <c r="Q419" s="17">
        <f>SUMIFS('Desenvolvimento diário'!$H:$H,'Desenvolvimento diário'!$Q:$Q,$B419,'Desenvolvimento diário'!$P:$P,$F419,'Desenvolvimento diário'!$R:$R,"Não")</f>
        <v>0</v>
      </c>
      <c r="R419" s="4">
        <f t="shared" si="132"/>
        <v>0</v>
      </c>
      <c r="S419" s="4">
        <f t="shared" si="133"/>
        <v>0</v>
      </c>
      <c r="T419" s="12">
        <f t="shared" si="136"/>
        <v>0</v>
      </c>
      <c r="Y419" s="2"/>
      <c r="Z419" s="2"/>
      <c r="AA419" s="2"/>
      <c r="AB419" s="2"/>
      <c r="AC419" s="2"/>
    </row>
    <row r="420" spans="1:29" hidden="1">
      <c r="A420" s="2">
        <f t="shared" si="134"/>
        <v>12</v>
      </c>
      <c r="B420" s="2" t="str">
        <f>VLOOKUP($A420,Controle!$B$4:$F$68,2,FALSE)</f>
        <v>Patrocínio 2</v>
      </c>
      <c r="C420" s="2" t="str">
        <f>VLOOKUP($A420,Controle!$B$4:$F$68,3,FALSE)</f>
        <v xml:space="preserve">MORI GERACAO II </v>
      </c>
      <c r="D420" s="2" t="str">
        <f>VLOOKUP($A420,Controle!$B$4:$F$68,4,FALSE)</f>
        <v>Mori II</v>
      </c>
      <c r="E420" s="2">
        <f>VLOOKUP($A420,Controle!$B$4:$F$68,5,FALSE)</f>
        <v>1</v>
      </c>
      <c r="F420" s="3" t="str">
        <f t="shared" si="130"/>
        <v>Cercamento das bacias de contenção ciclo 2</v>
      </c>
      <c r="G420" s="2" t="str">
        <f>VLOOKUP($A420,Controle!$B$4:$G$68,6,FALSE)</f>
        <v>Mori</v>
      </c>
      <c r="H420" s="506" t="s">
        <v>172</v>
      </c>
      <c r="I420" s="6"/>
      <c r="J420" s="506"/>
      <c r="K420" s="506">
        <v>0</v>
      </c>
      <c r="L420" s="506">
        <v>0</v>
      </c>
      <c r="M420" s="506">
        <v>0</v>
      </c>
      <c r="N420" s="506">
        <v>0</v>
      </c>
      <c r="O420" s="39">
        <f t="shared" si="131"/>
        <v>0</v>
      </c>
      <c r="P420" s="17">
        <f>SUMIFS('Desenvolvimento diário'!$H:$H,'Desenvolvimento diário'!$Q:$Q,$B420,'Desenvolvimento diário'!$P:$P,$F420,'Desenvolvimento diário'!$R:$R,"Sim")</f>
        <v>0</v>
      </c>
      <c r="Q420" s="17">
        <f>SUMIFS('Desenvolvimento diário'!$H:$H,'Desenvolvimento diário'!$Q:$Q,$B420,'Desenvolvimento diário'!$P:$P,$F420,'Desenvolvimento diário'!$R:$R,"Não")</f>
        <v>0</v>
      </c>
      <c r="R420" s="4">
        <f t="shared" si="132"/>
        <v>0</v>
      </c>
      <c r="S420" s="1030">
        <f t="shared" si="133"/>
        <v>0</v>
      </c>
      <c r="T420" s="12">
        <f t="shared" si="136"/>
        <v>0</v>
      </c>
      <c r="U420" s="1029" t="s">
        <v>166</v>
      </c>
      <c r="V420" s="1029" t="s">
        <v>94</v>
      </c>
      <c r="Y420" s="2"/>
      <c r="Z420" s="2"/>
      <c r="AA420" s="2"/>
      <c r="AB420" s="2"/>
      <c r="AC420" s="2"/>
    </row>
    <row r="421" spans="1:29" hidden="1">
      <c r="A421" s="8">
        <f>A418</f>
        <v>12</v>
      </c>
      <c r="B421" s="9" t="str">
        <f t="shared" ref="B421" si="137">B418</f>
        <v>Patrocínio 2</v>
      </c>
      <c r="C421" s="9" t="str">
        <f t="shared" ref="C421" si="138">C418</f>
        <v xml:space="preserve">MORI GERACAO II </v>
      </c>
      <c r="D421" s="9" t="str">
        <f t="shared" ref="D421" si="139">D418</f>
        <v>Mori II</v>
      </c>
      <c r="E421" s="9">
        <f t="shared" ref="E421" si="140">E418</f>
        <v>1</v>
      </c>
      <c r="F421" s="10" t="s">
        <v>158</v>
      </c>
      <c r="G421" s="9" t="str">
        <f>G418</f>
        <v>Mori</v>
      </c>
      <c r="H421" s="9"/>
      <c r="I421" s="9">
        <f>SUBTOTAL(9,I387:I420)</f>
        <v>0</v>
      </c>
      <c r="J421" s="9">
        <f t="shared" ref="J421:S421" si="141">SUBTOTAL(9,J387:J420)</f>
        <v>0</v>
      </c>
      <c r="K421" s="9">
        <f t="shared" si="141"/>
        <v>0</v>
      </c>
      <c r="L421" s="9">
        <f t="shared" si="141"/>
        <v>0</v>
      </c>
      <c r="M421" s="9">
        <f t="shared" si="141"/>
        <v>0</v>
      </c>
      <c r="N421" s="9">
        <f t="shared" si="141"/>
        <v>0</v>
      </c>
      <c r="O421" s="9">
        <f t="shared" si="141"/>
        <v>0</v>
      </c>
      <c r="P421" s="9">
        <f t="shared" si="141"/>
        <v>0</v>
      </c>
      <c r="Q421" s="9">
        <f t="shared" si="141"/>
        <v>0</v>
      </c>
      <c r="R421" s="9">
        <f t="shared" si="141"/>
        <v>0</v>
      </c>
      <c r="S421" s="9">
        <f t="shared" si="141"/>
        <v>0</v>
      </c>
      <c r="T421" s="13">
        <f>IFERROR(R421/O421,0)</f>
        <v>0</v>
      </c>
      <c r="U421" s="11">
        <f>SUBTOTAL(9,U387:U420)</f>
        <v>0</v>
      </c>
      <c r="Y421" s="2"/>
      <c r="Z421" s="2"/>
      <c r="AA421" s="2"/>
      <c r="AB421" s="2"/>
      <c r="AC421" s="2"/>
    </row>
    <row r="422" spans="1:29" ht="10.5" hidden="1">
      <c r="A422" s="2">
        <f>A387+1</f>
        <v>13</v>
      </c>
      <c r="B422" s="2" t="str">
        <f>VLOOKUP($A422,Controle!$B$4:$F$68,2,FALSE)</f>
        <v>Patrocínio 3</v>
      </c>
      <c r="C422" s="2" t="str">
        <f>VLOOKUP($A422,Controle!$B$4:$F$68,3,FALSE)</f>
        <v xml:space="preserve">MORI GERACAO II </v>
      </c>
      <c r="D422" s="2" t="str">
        <f>VLOOKUP($A422,Controle!$B$4:$F$68,4,FALSE)</f>
        <v>Mori II</v>
      </c>
      <c r="E422" s="2">
        <f>VLOOKUP($A422,Controle!$B$4:$F$68,5,FALSE)</f>
        <v>1</v>
      </c>
      <c r="F422" s="3" t="str">
        <f t="shared" ref="F422:F455" si="142">F387</f>
        <v>Conexão AT - Obras</v>
      </c>
      <c r="G422" s="2" t="str">
        <f>VLOOKUP($A422,Controle!$B$4:$G$68,6,FALSE)</f>
        <v>Mori</v>
      </c>
      <c r="H422" s="6" t="s">
        <v>141</v>
      </c>
      <c r="I422" s="29">
        <v>170000</v>
      </c>
      <c r="J422" s="6">
        <v>0</v>
      </c>
      <c r="K422" s="6">
        <v>0</v>
      </c>
      <c r="L422" s="6">
        <v>0</v>
      </c>
      <c r="M422" s="6">
        <v>0</v>
      </c>
      <c r="N422" s="6">
        <v>0</v>
      </c>
      <c r="O422" s="4">
        <f t="shared" ref="O422:O455" si="143">SUM(I422:N422)</f>
        <v>170000</v>
      </c>
      <c r="P422" s="5">
        <f>SUMIFS('Desenvolvimento diário'!$H:$H,'Desenvolvimento diário'!$Q:$Q,$B422,'Desenvolvimento diário'!$P:$P,$F422,'Desenvolvimento diário'!$R:$R,"Sim")</f>
        <v>36500</v>
      </c>
      <c r="Q422" s="5">
        <f>SUMIFS('Desenvolvimento diário'!$H:$H,'Desenvolvimento diário'!$Q:$Q,$B422,'Desenvolvimento diário'!$P:$P,$F422,'Desenvolvimento diário'!$R:$R,"Não")</f>
        <v>133500</v>
      </c>
      <c r="R422" s="4">
        <f t="shared" ref="R422:R455" si="144">SUM(P422:Q422)</f>
        <v>170000</v>
      </c>
      <c r="S422" s="27">
        <f t="shared" ref="S422:S455" si="145">O422-R422</f>
        <v>0</v>
      </c>
      <c r="T422" s="12">
        <f t="shared" si="136"/>
        <v>1</v>
      </c>
      <c r="Y422" s="2"/>
      <c r="Z422" s="2"/>
      <c r="AA422" s="2"/>
      <c r="AB422" s="2"/>
      <c r="AC422" s="2"/>
    </row>
    <row r="423" spans="1:29" s="34" customFormat="1" ht="10.5" hidden="1">
      <c r="A423" s="34">
        <f t="shared" ref="A423:A455" si="146">A422</f>
        <v>13</v>
      </c>
      <c r="B423" s="34" t="str">
        <f>VLOOKUP($A423,Controle!$B$4:$F$68,2,FALSE)</f>
        <v>Patrocínio 3</v>
      </c>
      <c r="C423" s="34" t="str">
        <f>VLOOKUP($A423,Controle!$B$4:$F$68,3,FALSE)</f>
        <v xml:space="preserve">MORI GERACAO II </v>
      </c>
      <c r="D423" s="34" t="str">
        <f>VLOOKUP($A423,Controle!$B$4:$F$68,4,FALSE)</f>
        <v>Mori II</v>
      </c>
      <c r="E423" s="34">
        <f>VLOOKUP($A423,Controle!$B$4:$F$68,5,FALSE)</f>
        <v>1</v>
      </c>
      <c r="F423" s="30" t="str">
        <f t="shared" si="142"/>
        <v>Conexão MT - Obras</v>
      </c>
      <c r="G423" s="34" t="str">
        <f>VLOOKUP($A423,Controle!$B$4:$G$68,6,FALSE)</f>
        <v>Mori</v>
      </c>
      <c r="H423" s="6" t="s">
        <v>141</v>
      </c>
      <c r="I423" s="6">
        <v>2200000</v>
      </c>
      <c r="J423" s="6">
        <v>500000</v>
      </c>
      <c r="K423" s="6">
        <v>0</v>
      </c>
      <c r="L423" s="6">
        <v>0</v>
      </c>
      <c r="M423" s="6">
        <v>0</v>
      </c>
      <c r="N423" s="6">
        <v>0</v>
      </c>
      <c r="O423" s="27">
        <f t="shared" si="143"/>
        <v>2700000</v>
      </c>
      <c r="P423" s="35">
        <f>SUMIFS('Desenvolvimento diário'!$H:$H,'Desenvolvimento diário'!$Q:$Q,$B423,'Desenvolvimento diário'!$P:$P,$F423,'Desenvolvimento diário'!$R:$R,"Sim")</f>
        <v>657835.46</v>
      </c>
      <c r="Q423" s="35">
        <f>SUMIFS('Desenvolvimento diário'!$H:$H,'Desenvolvimento diário'!$Q:$Q,$B423,'Desenvolvimento diário'!$P:$P,$F423,'Desenvolvimento diário'!$R:$R,"Não")</f>
        <v>2042164.54</v>
      </c>
      <c r="R423" s="27">
        <f t="shared" si="144"/>
        <v>2700000</v>
      </c>
      <c r="S423" s="27">
        <f t="shared" si="145"/>
        <v>0</v>
      </c>
      <c r="T423" s="36">
        <f t="shared" si="136"/>
        <v>1</v>
      </c>
      <c r="V423" s="30"/>
    </row>
    <row r="424" spans="1:29" ht="10.5" hidden="1">
      <c r="A424" s="2">
        <f t="shared" si="146"/>
        <v>13</v>
      </c>
      <c r="B424" s="2" t="str">
        <f>VLOOKUP($A424,Controle!$B$4:$F$68,2,FALSE)</f>
        <v>Patrocínio 3</v>
      </c>
      <c r="C424" s="2" t="str">
        <f>VLOOKUP($A424,Controle!$B$4:$F$68,3,FALSE)</f>
        <v xml:space="preserve">MORI GERACAO II </v>
      </c>
      <c r="D424" s="2" t="str">
        <f>VLOOKUP($A424,Controle!$B$4:$F$68,4,FALSE)</f>
        <v>Mori II</v>
      </c>
      <c r="E424" s="2">
        <f>VLOOKUP($A424,Controle!$B$4:$F$68,5,FALSE)</f>
        <v>1</v>
      </c>
      <c r="F424" s="3" t="str">
        <f t="shared" si="142"/>
        <v>Construção - Serviços de Construção</v>
      </c>
      <c r="G424" s="2" t="str">
        <f>VLOOKUP($A424,Controle!$B$4:$G$68,6,FALSE)</f>
        <v>Mori</v>
      </c>
      <c r="H424" s="6" t="s">
        <v>190</v>
      </c>
      <c r="I424" s="6">
        <v>578449.47</v>
      </c>
      <c r="J424" s="6">
        <v>0</v>
      </c>
      <c r="K424" s="6">
        <v>0</v>
      </c>
      <c r="L424" s="6">
        <v>0</v>
      </c>
      <c r="M424" s="6">
        <v>0</v>
      </c>
      <c r="N424" s="6">
        <v>0</v>
      </c>
      <c r="O424" s="4">
        <f t="shared" si="143"/>
        <v>578449.47</v>
      </c>
      <c r="P424" s="5">
        <f>SUMIFS('Desenvolvimento diário'!$H:$H,'Desenvolvimento diário'!$Q:$Q,$B424,'Desenvolvimento diário'!$P:$P,$F424,'Desenvolvimento diário'!$R:$R,"Sim")</f>
        <v>0</v>
      </c>
      <c r="Q424" s="5">
        <f>SUMIFS('Desenvolvimento diário'!$H:$H,'Desenvolvimento diário'!$Q:$Q,$B424,'Desenvolvimento diário'!$P:$P,$F424,'Desenvolvimento diário'!$R:$R,"Não")</f>
        <v>578449.47</v>
      </c>
      <c r="R424" s="4">
        <f t="shared" si="144"/>
        <v>578449.47</v>
      </c>
      <c r="S424" s="27">
        <f t="shared" si="145"/>
        <v>0</v>
      </c>
      <c r="T424" s="12">
        <f t="shared" si="136"/>
        <v>1</v>
      </c>
      <c r="Y424" s="2"/>
      <c r="Z424" s="2"/>
      <c r="AA424" s="2"/>
      <c r="AB424" s="2"/>
      <c r="AC424" s="2"/>
    </row>
    <row r="425" spans="1:29" ht="10.5" hidden="1">
      <c r="A425" s="2">
        <f t="shared" si="146"/>
        <v>13</v>
      </c>
      <c r="B425" s="2" t="str">
        <f>VLOOKUP($A425,Controle!$B$4:$F$68,2,FALSE)</f>
        <v>Patrocínio 3</v>
      </c>
      <c r="C425" s="2" t="str">
        <f>VLOOKUP($A425,Controle!$B$4:$F$68,3,FALSE)</f>
        <v xml:space="preserve">MORI GERACAO II </v>
      </c>
      <c r="D425" s="2" t="str">
        <f>VLOOKUP($A425,Controle!$B$4:$F$68,4,FALSE)</f>
        <v>Mori II</v>
      </c>
      <c r="E425" s="2">
        <f>VLOOKUP($A425,Controle!$B$4:$F$68,5,FALSE)</f>
        <v>1</v>
      </c>
      <c r="F425" s="3" t="str">
        <f t="shared" si="142"/>
        <v>Construção - Serviços de Construção - Substituição</v>
      </c>
      <c r="G425" s="2" t="str">
        <f>VLOOKUP($A425,Controle!$B$4:$G$68,6,FALSE)</f>
        <v>Mori</v>
      </c>
      <c r="H425" s="6" t="s">
        <v>178</v>
      </c>
      <c r="I425" s="6">
        <v>2334800</v>
      </c>
      <c r="J425" s="6">
        <v>279956.58</v>
      </c>
      <c r="K425" s="6">
        <v>0</v>
      </c>
      <c r="L425" s="6">
        <v>0</v>
      </c>
      <c r="M425" s="6">
        <v>0</v>
      </c>
      <c r="N425" s="6">
        <v>0</v>
      </c>
      <c r="O425" s="4">
        <f t="shared" si="143"/>
        <v>2614756.58</v>
      </c>
      <c r="P425" s="5">
        <f>SUMIFS('Desenvolvimento diário'!$H:$H,'Desenvolvimento diário'!$Q:$Q,$B425,'Desenvolvimento diário'!$P:$P,$F425,'Desenvolvimento diário'!$R:$R,"Sim")</f>
        <v>849243.72000000009</v>
      </c>
      <c r="Q425" s="5">
        <f>SUMIFS('Desenvolvimento diário'!$H:$H,'Desenvolvimento diário'!$Q:$Q,$B425,'Desenvolvimento diário'!$P:$P,$F425,'Desenvolvimento diário'!$R:$R,"Não")</f>
        <v>1456176.0999999999</v>
      </c>
      <c r="R425" s="4">
        <f t="shared" si="144"/>
        <v>2305419.8199999998</v>
      </c>
      <c r="S425" s="33">
        <f t="shared" si="145"/>
        <v>309336.76000000024</v>
      </c>
      <c r="T425" s="12">
        <f t="shared" si="136"/>
        <v>0.88169577146642075</v>
      </c>
      <c r="U425" s="510" t="s">
        <v>162</v>
      </c>
      <c r="V425" s="510" t="s">
        <v>163</v>
      </c>
      <c r="Y425" s="2"/>
      <c r="Z425" s="2"/>
      <c r="AA425" s="2"/>
      <c r="AB425" s="2"/>
      <c r="AC425" s="2"/>
    </row>
    <row r="426" spans="1:29" ht="10.5" hidden="1">
      <c r="A426" s="2">
        <f t="shared" si="146"/>
        <v>13</v>
      </c>
      <c r="B426" s="2" t="str">
        <f>VLOOKUP($A426,Controle!$B$4:$F$68,2,FALSE)</f>
        <v>Patrocínio 3</v>
      </c>
      <c r="C426" s="2" t="str">
        <f>VLOOKUP($A426,Controle!$B$4:$F$68,3,FALSE)</f>
        <v xml:space="preserve">MORI GERACAO II </v>
      </c>
      <c r="D426" s="2" t="str">
        <f>VLOOKUP($A426,Controle!$B$4:$F$68,4,FALSE)</f>
        <v>Mori II</v>
      </c>
      <c r="E426" s="2">
        <f>VLOOKUP($A426,Controle!$B$4:$F$68,5,FALSE)</f>
        <v>1</v>
      </c>
      <c r="F426" s="3" t="str">
        <f t="shared" si="142"/>
        <v>Construção - RDA Interno</v>
      </c>
      <c r="G426" s="2" t="str">
        <f>VLOOKUP($A426,Controle!$B$4:$G$68,6,FALSE)</f>
        <v>Mori</v>
      </c>
      <c r="H426" s="6" t="s">
        <v>168</v>
      </c>
      <c r="I426" s="6">
        <v>330000</v>
      </c>
      <c r="J426" s="6">
        <v>0</v>
      </c>
      <c r="K426" s="6">
        <v>0</v>
      </c>
      <c r="L426" s="6">
        <v>0</v>
      </c>
      <c r="M426" s="6">
        <v>0</v>
      </c>
      <c r="N426" s="6">
        <v>0</v>
      </c>
      <c r="O426" s="4">
        <f t="shared" si="143"/>
        <v>330000</v>
      </c>
      <c r="P426" s="5">
        <f>SUMIFS('Desenvolvimento diário'!$H:$H,'Desenvolvimento diário'!$Q:$Q,$B426,'Desenvolvimento diário'!$P:$P,$F426,'Desenvolvimento diário'!$R:$R,"Sim")</f>
        <v>0</v>
      </c>
      <c r="Q426" s="5">
        <f>SUMIFS('Desenvolvimento diário'!$H:$H,'Desenvolvimento diário'!$Q:$Q,$B426,'Desenvolvimento diário'!$P:$P,$F426,'Desenvolvimento diário'!$R:$R,"Não")</f>
        <v>330000</v>
      </c>
      <c r="R426" s="4">
        <f t="shared" si="144"/>
        <v>330000</v>
      </c>
      <c r="S426" s="4">
        <f t="shared" si="145"/>
        <v>0</v>
      </c>
      <c r="T426" s="12">
        <f t="shared" si="136"/>
        <v>1</v>
      </c>
      <c r="Y426" s="2"/>
      <c r="Z426" s="2"/>
      <c r="AA426" s="2"/>
      <c r="AB426" s="2"/>
      <c r="AC426" s="2"/>
    </row>
    <row r="427" spans="1:29" ht="10.5" hidden="1">
      <c r="A427" s="2">
        <f t="shared" si="146"/>
        <v>13</v>
      </c>
      <c r="B427" s="2" t="str">
        <f>VLOOKUP($A427,Controle!$B$4:$F$68,2,FALSE)</f>
        <v>Patrocínio 3</v>
      </c>
      <c r="C427" s="2" t="str">
        <f>VLOOKUP($A427,Controle!$B$4:$F$68,3,FALSE)</f>
        <v xml:space="preserve">MORI GERACAO II </v>
      </c>
      <c r="D427" s="2" t="str">
        <f>VLOOKUP($A427,Controle!$B$4:$F$68,4,FALSE)</f>
        <v>Mori II</v>
      </c>
      <c r="E427" s="2">
        <f>VLOOKUP($A427,Controle!$B$4:$F$68,5,FALSE)</f>
        <v>1</v>
      </c>
      <c r="F427" s="3" t="str">
        <f t="shared" si="142"/>
        <v>Full EPC - Contrato</v>
      </c>
      <c r="G427" s="2" t="str">
        <f>VLOOKUP($A427,Controle!$B$4:$G$68,6,FALSE)</f>
        <v>Mori</v>
      </c>
      <c r="H427" s="6">
        <v>0</v>
      </c>
      <c r="I427" s="6">
        <v>0</v>
      </c>
      <c r="J427" s="6">
        <v>0</v>
      </c>
      <c r="K427" s="6">
        <v>0</v>
      </c>
      <c r="L427" s="6">
        <v>0</v>
      </c>
      <c r="M427" s="6">
        <v>0</v>
      </c>
      <c r="N427" s="6">
        <v>0</v>
      </c>
      <c r="O427" s="4">
        <f t="shared" si="143"/>
        <v>0</v>
      </c>
      <c r="P427" s="5">
        <f>SUMIFS('Desenvolvimento diário'!$H:$H,'Desenvolvimento diário'!$Q:$Q,$B427,'Desenvolvimento diário'!$P:$P,$F427,'Desenvolvimento diário'!$R:$R,"Sim")</f>
        <v>0</v>
      </c>
      <c r="Q427" s="5">
        <f>SUMIFS('Desenvolvimento diário'!$H:$H,'Desenvolvimento diário'!$Q:$Q,$B427,'Desenvolvimento diário'!$P:$P,$F427,'Desenvolvimento diário'!$R:$R,"Não")</f>
        <v>0</v>
      </c>
      <c r="R427" s="4">
        <f t="shared" si="144"/>
        <v>0</v>
      </c>
      <c r="S427" s="4">
        <f t="shared" si="145"/>
        <v>0</v>
      </c>
      <c r="T427" s="12">
        <f t="shared" si="136"/>
        <v>0</v>
      </c>
      <c r="Y427" s="2"/>
      <c r="Z427" s="2"/>
      <c r="AA427" s="2"/>
      <c r="AB427" s="2"/>
      <c r="AC427" s="2"/>
    </row>
    <row r="428" spans="1:29" ht="10.5" hidden="1">
      <c r="A428" s="2">
        <f t="shared" si="146"/>
        <v>13</v>
      </c>
      <c r="B428" s="2" t="str">
        <f>VLOOKUP($A428,Controle!$B$4:$F$68,2,FALSE)</f>
        <v>Patrocínio 3</v>
      </c>
      <c r="C428" s="2" t="str">
        <f>VLOOKUP($A428,Controle!$B$4:$F$68,3,FALSE)</f>
        <v xml:space="preserve">MORI GERACAO II </v>
      </c>
      <c r="D428" s="2" t="str">
        <f>VLOOKUP($A428,Controle!$B$4:$F$68,4,FALSE)</f>
        <v>Mori II</v>
      </c>
      <c r="E428" s="2">
        <f>VLOOKUP($A428,Controle!$B$4:$F$68,5,FALSE)</f>
        <v>1</v>
      </c>
      <c r="F428" s="3" t="str">
        <f t="shared" si="142"/>
        <v>Equipamentos Curva A - Outros (Transformadores)</v>
      </c>
      <c r="G428" s="2" t="str">
        <f>VLOOKUP($A428,Controle!$B$4:$G$68,6,FALSE)</f>
        <v>Mori</v>
      </c>
      <c r="H428" s="6">
        <v>0</v>
      </c>
      <c r="I428" s="6">
        <v>0</v>
      </c>
      <c r="J428" s="6">
        <v>0</v>
      </c>
      <c r="K428" s="6">
        <v>0</v>
      </c>
      <c r="L428" s="6">
        <v>0</v>
      </c>
      <c r="M428" s="6">
        <v>0</v>
      </c>
      <c r="N428" s="6">
        <v>0</v>
      </c>
      <c r="O428" s="4">
        <f t="shared" si="143"/>
        <v>0</v>
      </c>
      <c r="P428" s="5">
        <f>SUMIFS('Desenvolvimento diário'!$H:$H,'Desenvolvimento diário'!$Q:$Q,$B428,'Desenvolvimento diário'!$P:$P,$F428,'Desenvolvimento diário'!$R:$R,"Sim")</f>
        <v>0</v>
      </c>
      <c r="Q428" s="5">
        <f>SUMIFS('Desenvolvimento diário'!$H:$H,'Desenvolvimento diário'!$Q:$Q,$B428,'Desenvolvimento diário'!$P:$P,$F428,'Desenvolvimento diário'!$R:$R,"Não")</f>
        <v>0</v>
      </c>
      <c r="R428" s="4">
        <f t="shared" si="144"/>
        <v>0</v>
      </c>
      <c r="S428" s="4">
        <f t="shared" si="145"/>
        <v>0</v>
      </c>
      <c r="T428" s="12">
        <f t="shared" si="136"/>
        <v>0</v>
      </c>
      <c r="Y428" s="2"/>
      <c r="Z428" s="2"/>
      <c r="AA428" s="2"/>
      <c r="AB428" s="2"/>
      <c r="AC428" s="2"/>
    </row>
    <row r="429" spans="1:29" ht="10.5" hidden="1">
      <c r="A429" s="2">
        <f t="shared" si="146"/>
        <v>13</v>
      </c>
      <c r="B429" s="2" t="str">
        <f>VLOOKUP($A429,Controle!$B$4:$F$68,2,FALSE)</f>
        <v>Patrocínio 3</v>
      </c>
      <c r="C429" s="2" t="str">
        <f>VLOOKUP($A429,Controle!$B$4:$F$68,3,FALSE)</f>
        <v xml:space="preserve">MORI GERACAO II </v>
      </c>
      <c r="D429" s="2" t="str">
        <f>VLOOKUP($A429,Controle!$B$4:$F$68,4,FALSE)</f>
        <v>Mori II</v>
      </c>
      <c r="E429" s="2">
        <f>VLOOKUP($A429,Controle!$B$4:$F$68,5,FALSE)</f>
        <v>1</v>
      </c>
      <c r="F429" s="3" t="str">
        <f t="shared" si="142"/>
        <v>Equipamentos Curva A - Outros (Cabine + Skid)</v>
      </c>
      <c r="G429" s="2" t="str">
        <f>VLOOKUP($A429,Controle!$B$4:$G$68,6,FALSE)</f>
        <v>Mori</v>
      </c>
      <c r="H429" s="6">
        <v>0</v>
      </c>
      <c r="I429" s="6">
        <v>0</v>
      </c>
      <c r="J429" s="6">
        <v>0</v>
      </c>
      <c r="K429" s="6">
        <v>0</v>
      </c>
      <c r="L429" s="6">
        <v>0</v>
      </c>
      <c r="M429" s="6">
        <v>0</v>
      </c>
      <c r="N429" s="6">
        <v>0</v>
      </c>
      <c r="O429" s="4">
        <f t="shared" si="143"/>
        <v>0</v>
      </c>
      <c r="P429" s="5">
        <f>SUMIFS('Desenvolvimento diário'!$H:$H,'Desenvolvimento diário'!$Q:$Q,$B429,'Desenvolvimento diário'!$P:$P,$F429,'Desenvolvimento diário'!$R:$R,"Sim")</f>
        <v>0</v>
      </c>
      <c r="Q429" s="5">
        <f>SUMIFS('Desenvolvimento diário'!$H:$H,'Desenvolvimento diário'!$Q:$Q,$B429,'Desenvolvimento diário'!$P:$P,$F429,'Desenvolvimento diário'!$R:$R,"Não")</f>
        <v>0</v>
      </c>
      <c r="R429" s="4">
        <f t="shared" si="144"/>
        <v>0</v>
      </c>
      <c r="S429" s="4">
        <f t="shared" si="145"/>
        <v>0</v>
      </c>
      <c r="T429" s="12">
        <f t="shared" si="136"/>
        <v>0</v>
      </c>
      <c r="Y429" s="2"/>
      <c r="Z429" s="2"/>
      <c r="AA429" s="2"/>
      <c r="AB429" s="2"/>
      <c r="AC429" s="2"/>
    </row>
    <row r="430" spans="1:29" ht="10.5" hidden="1">
      <c r="A430" s="2">
        <f t="shared" si="146"/>
        <v>13</v>
      </c>
      <c r="B430" s="2" t="str">
        <f>VLOOKUP($A430,Controle!$B$4:$F$68,2,FALSE)</f>
        <v>Patrocínio 3</v>
      </c>
      <c r="C430" s="2" t="str">
        <f>VLOOKUP($A430,Controle!$B$4:$F$68,3,FALSE)</f>
        <v xml:space="preserve">MORI GERACAO II </v>
      </c>
      <c r="D430" s="2" t="str">
        <f>VLOOKUP($A430,Controle!$B$4:$F$68,4,FALSE)</f>
        <v>Mori II</v>
      </c>
      <c r="E430" s="2">
        <f>VLOOKUP($A430,Controle!$B$4:$F$68,5,FALSE)</f>
        <v>1</v>
      </c>
      <c r="F430" s="3" t="str">
        <f t="shared" si="142"/>
        <v>Equipamentos Curva A - Outros (Cabine + Skid + Transformador)</v>
      </c>
      <c r="G430" s="2" t="str">
        <f>VLOOKUP($A430,Controle!$B$4:$G$68,6,FALSE)</f>
        <v>Mori</v>
      </c>
      <c r="H430" s="6" t="s">
        <v>144</v>
      </c>
      <c r="I430" s="6">
        <v>876415.09236000001</v>
      </c>
      <c r="J430" s="6">
        <v>0</v>
      </c>
      <c r="K430" s="6">
        <v>0</v>
      </c>
      <c r="L430" s="6">
        <v>0</v>
      </c>
      <c r="M430" s="6">
        <v>0</v>
      </c>
      <c r="N430" s="6">
        <v>0</v>
      </c>
      <c r="O430" s="4">
        <f t="shared" si="143"/>
        <v>876415.09236000001</v>
      </c>
      <c r="P430" s="5">
        <f>SUMIFS('Desenvolvimento diário'!$H:$H,'Desenvolvimento diário'!$Q:$Q,$B430,'Desenvolvimento diário'!$P:$P,$F430,'Desenvolvimento diário'!$R:$R,"Sim")</f>
        <v>0</v>
      </c>
      <c r="Q430" s="5">
        <f>SUMIFS('Desenvolvimento diário'!$H:$H,'Desenvolvimento diário'!$Q:$Q,$B430,'Desenvolvimento diário'!$P:$P,$F430,'Desenvolvimento diário'!$R:$R,"Não")</f>
        <v>876415.09236000001</v>
      </c>
      <c r="R430" s="4">
        <f t="shared" si="144"/>
        <v>876415.09236000001</v>
      </c>
      <c r="S430" s="4">
        <f t="shared" si="145"/>
        <v>0</v>
      </c>
      <c r="T430" s="12">
        <f t="shared" si="136"/>
        <v>1</v>
      </c>
      <c r="Y430" s="2"/>
      <c r="Z430" s="2"/>
      <c r="AA430" s="2"/>
      <c r="AB430" s="2"/>
      <c r="AC430" s="2"/>
    </row>
    <row r="431" spans="1:29" ht="10.5" hidden="1">
      <c r="A431" s="2">
        <f t="shared" si="146"/>
        <v>13</v>
      </c>
      <c r="B431" s="2" t="str">
        <f>VLOOKUP($A431,Controle!$B$4:$F$68,2,FALSE)</f>
        <v>Patrocínio 3</v>
      </c>
      <c r="C431" s="2" t="str">
        <f>VLOOKUP($A431,Controle!$B$4:$F$68,3,FALSE)</f>
        <v xml:space="preserve">MORI GERACAO II </v>
      </c>
      <c r="D431" s="2" t="str">
        <f>VLOOKUP($A431,Controle!$B$4:$F$68,4,FALSE)</f>
        <v>Mori II</v>
      </c>
      <c r="E431" s="2">
        <f>VLOOKUP($A431,Controle!$B$4:$F$68,5,FALSE)</f>
        <v>1</v>
      </c>
      <c r="F431" s="3" t="str">
        <f t="shared" si="142"/>
        <v>Desenvolvimento de projeto - Projetos - (Eng° Proprietario)</v>
      </c>
      <c r="G431" s="2" t="str">
        <f>VLOOKUP($A431,Controle!$B$4:$G$68,6,FALSE)</f>
        <v>Mori</v>
      </c>
      <c r="H431" s="6" t="s">
        <v>145</v>
      </c>
      <c r="I431" s="6">
        <v>0</v>
      </c>
      <c r="J431" s="6">
        <v>0</v>
      </c>
      <c r="K431" s="6">
        <v>0</v>
      </c>
      <c r="L431" s="6">
        <v>0</v>
      </c>
      <c r="M431" s="6">
        <v>0</v>
      </c>
      <c r="N431" s="6">
        <v>0</v>
      </c>
      <c r="O431" s="4">
        <f t="shared" si="143"/>
        <v>0</v>
      </c>
      <c r="P431" s="5">
        <f>SUMIFS('Desenvolvimento diário'!$H:$H,'Desenvolvimento diário'!$Q:$Q,$B431,'Desenvolvimento diário'!$P:$P,$F431,'Desenvolvimento diário'!$R:$R,"Sim")</f>
        <v>0</v>
      </c>
      <c r="Q431" s="5">
        <f>SUMIFS('Desenvolvimento diário'!$H:$H,'Desenvolvimento diário'!$Q:$Q,$B431,'Desenvolvimento diário'!$P:$P,$F431,'Desenvolvimento diário'!$R:$R,"Não")</f>
        <v>0</v>
      </c>
      <c r="R431" s="4">
        <f t="shared" si="144"/>
        <v>0</v>
      </c>
      <c r="S431" s="4">
        <f t="shared" si="145"/>
        <v>0</v>
      </c>
      <c r="T431" s="12">
        <f t="shared" si="136"/>
        <v>0</v>
      </c>
      <c r="Y431" s="2"/>
      <c r="Z431" s="2"/>
      <c r="AA431" s="2"/>
      <c r="AB431" s="2"/>
      <c r="AC431" s="2"/>
    </row>
    <row r="432" spans="1:29" ht="10.5" hidden="1">
      <c r="A432" s="2">
        <f t="shared" si="146"/>
        <v>13</v>
      </c>
      <c r="B432" s="2" t="str">
        <f>VLOOKUP($A432,Controle!$B$4:$F$68,2,FALSE)</f>
        <v>Patrocínio 3</v>
      </c>
      <c r="C432" s="2" t="str">
        <f>VLOOKUP($A432,Controle!$B$4:$F$68,3,FALSE)</f>
        <v xml:space="preserve">MORI GERACAO II </v>
      </c>
      <c r="D432" s="2" t="str">
        <f>VLOOKUP($A432,Controle!$B$4:$F$68,4,FALSE)</f>
        <v>Mori II</v>
      </c>
      <c r="E432" s="2">
        <f>VLOOKUP($A432,Controle!$B$4:$F$68,5,FALSE)</f>
        <v>1</v>
      </c>
      <c r="F432" s="3" t="str">
        <f t="shared" si="142"/>
        <v>Desenvolvimento de projeto - Projetos - Executivos</v>
      </c>
      <c r="G432" s="2" t="str">
        <f>VLOOKUP($A432,Controle!$B$4:$G$68,6,FALSE)</f>
        <v>Mori</v>
      </c>
      <c r="H432" s="6" t="s">
        <v>146</v>
      </c>
      <c r="I432" s="6">
        <v>36466</v>
      </c>
      <c r="J432" s="6">
        <v>0</v>
      </c>
      <c r="K432" s="6">
        <v>0</v>
      </c>
      <c r="L432" s="6">
        <v>0</v>
      </c>
      <c r="M432" s="6">
        <v>0</v>
      </c>
      <c r="N432" s="6">
        <v>0</v>
      </c>
      <c r="O432" s="4">
        <f>SUM(I432:N432)+0.7</f>
        <v>36466.699999999997</v>
      </c>
      <c r="P432" s="5">
        <f>SUMIFS('Desenvolvimento diário'!$H:$H,'Desenvolvimento diário'!$Q:$Q,$B432,'Desenvolvimento diário'!$P:$P,$F432,'Desenvolvimento diário'!$R:$R,"Sim")</f>
        <v>0</v>
      </c>
      <c r="Q432" s="5">
        <f>SUMIFS('Desenvolvimento diário'!$H:$H,'Desenvolvimento diário'!$Q:$Q,$B432,'Desenvolvimento diário'!$P:$P,$F432,'Desenvolvimento diário'!$R:$R,"Não")</f>
        <v>36466.699999999997</v>
      </c>
      <c r="R432" s="4">
        <f t="shared" si="144"/>
        <v>36466.699999999997</v>
      </c>
      <c r="S432" s="93">
        <f t="shared" si="145"/>
        <v>0</v>
      </c>
      <c r="T432" s="12">
        <f t="shared" si="136"/>
        <v>1</v>
      </c>
      <c r="Y432" s="2"/>
      <c r="Z432" s="2"/>
      <c r="AA432" s="2"/>
      <c r="AB432" s="2"/>
      <c r="AC432" s="2"/>
    </row>
    <row r="433" spans="1:29" ht="10.5" hidden="1">
      <c r="A433" s="2">
        <f t="shared" si="146"/>
        <v>13</v>
      </c>
      <c r="B433" s="2" t="str">
        <f>VLOOKUP($A433,Controle!$B$4:$F$68,2,FALSE)</f>
        <v>Patrocínio 3</v>
      </c>
      <c r="C433" s="2" t="str">
        <f>VLOOKUP($A433,Controle!$B$4:$F$68,3,FALSE)</f>
        <v xml:space="preserve">MORI GERACAO II </v>
      </c>
      <c r="D433" s="2" t="str">
        <f>VLOOKUP($A433,Controle!$B$4:$F$68,4,FALSE)</f>
        <v>Mori II</v>
      </c>
      <c r="E433" s="2">
        <f>VLOOKUP($A433,Controle!$B$4:$F$68,5,FALSE)</f>
        <v>1</v>
      </c>
      <c r="F433" s="3" t="str">
        <f t="shared" si="142"/>
        <v>Desenvolvimento de projeto - Projetos Básica</v>
      </c>
      <c r="G433" s="2" t="str">
        <f>VLOOKUP($A433,Controle!$B$4:$G$68,6,FALSE)</f>
        <v>Mori</v>
      </c>
      <c r="H433" s="6">
        <v>0</v>
      </c>
      <c r="I433" s="6">
        <v>0</v>
      </c>
      <c r="J433" s="6">
        <v>0</v>
      </c>
      <c r="K433" s="6">
        <v>0</v>
      </c>
      <c r="L433" s="6">
        <v>0</v>
      </c>
      <c r="M433" s="6">
        <v>0</v>
      </c>
      <c r="N433" s="6">
        <v>0</v>
      </c>
      <c r="O433" s="4">
        <f t="shared" si="143"/>
        <v>0</v>
      </c>
      <c r="P433" s="5">
        <f>SUMIFS('Desenvolvimento diário'!$H:$H,'Desenvolvimento diário'!$Q:$Q,$B433,'Desenvolvimento diário'!$P:$P,$F433,'Desenvolvimento diário'!$R:$R,"Sim")</f>
        <v>0</v>
      </c>
      <c r="Q433" s="5">
        <f>SUMIFS('Desenvolvimento diário'!$H:$H,'Desenvolvimento diário'!$Q:$Q,$B433,'Desenvolvimento diário'!$P:$P,$F433,'Desenvolvimento diário'!$R:$R,"Não")</f>
        <v>0</v>
      </c>
      <c r="R433" s="4">
        <f t="shared" si="144"/>
        <v>0</v>
      </c>
      <c r="S433" s="4">
        <f t="shared" si="145"/>
        <v>0</v>
      </c>
      <c r="T433" s="12">
        <f t="shared" si="136"/>
        <v>0</v>
      </c>
      <c r="Y433" s="2"/>
      <c r="Z433" s="2"/>
      <c r="AA433" s="2"/>
      <c r="AB433" s="2"/>
      <c r="AC433" s="2"/>
    </row>
    <row r="434" spans="1:29" ht="10.5" hidden="1">
      <c r="A434" s="2">
        <f t="shared" si="146"/>
        <v>13</v>
      </c>
      <c r="B434" s="2" t="str">
        <f>VLOOKUP($A434,Controle!$B$4:$F$68,2,FALSE)</f>
        <v>Patrocínio 3</v>
      </c>
      <c r="C434" s="2" t="str">
        <f>VLOOKUP($A434,Controle!$B$4:$F$68,3,FALSE)</f>
        <v xml:space="preserve">MORI GERACAO II </v>
      </c>
      <c r="D434" s="2" t="str">
        <f>VLOOKUP($A434,Controle!$B$4:$F$68,4,FALSE)</f>
        <v>Mori II</v>
      </c>
      <c r="E434" s="2">
        <f>VLOOKUP($A434,Controle!$B$4:$F$68,5,FALSE)</f>
        <v>1</v>
      </c>
      <c r="F434" s="3" t="str">
        <f t="shared" si="142"/>
        <v>Desenvolvimento de projeto - Projetos Detalhada</v>
      </c>
      <c r="G434" s="2" t="str">
        <f>VLOOKUP($A434,Controle!$B$4:$G$68,6,FALSE)</f>
        <v>Mori</v>
      </c>
      <c r="H434" s="6">
        <v>0</v>
      </c>
      <c r="I434" s="6">
        <v>0</v>
      </c>
      <c r="J434" s="6">
        <v>0</v>
      </c>
      <c r="K434" s="6">
        <v>0</v>
      </c>
      <c r="L434" s="6">
        <v>0</v>
      </c>
      <c r="M434" s="6">
        <v>0</v>
      </c>
      <c r="N434" s="6">
        <v>0</v>
      </c>
      <c r="O434" s="4">
        <f t="shared" si="143"/>
        <v>0</v>
      </c>
      <c r="P434" s="5">
        <f>SUMIFS('Desenvolvimento diário'!$H:$H,'Desenvolvimento diário'!$Q:$Q,$B434,'Desenvolvimento diário'!$P:$P,$F434,'Desenvolvimento diário'!$R:$R,"Sim")</f>
        <v>0</v>
      </c>
      <c r="Q434" s="5">
        <f>SUMIFS('Desenvolvimento diário'!$H:$H,'Desenvolvimento diário'!$Q:$Q,$B434,'Desenvolvimento diário'!$P:$P,$F434,'Desenvolvimento diário'!$R:$R,"Não")</f>
        <v>0</v>
      </c>
      <c r="R434" s="4">
        <f t="shared" si="144"/>
        <v>0</v>
      </c>
      <c r="S434" s="4">
        <f t="shared" si="145"/>
        <v>0</v>
      </c>
      <c r="T434" s="12">
        <f t="shared" si="136"/>
        <v>0</v>
      </c>
      <c r="Y434" s="2"/>
      <c r="Z434" s="2"/>
      <c r="AA434" s="2"/>
      <c r="AB434" s="2"/>
      <c r="AC434" s="2"/>
    </row>
    <row r="435" spans="1:29" ht="10.5" hidden="1">
      <c r="A435" s="2">
        <f t="shared" si="146"/>
        <v>13</v>
      </c>
      <c r="B435" s="2" t="str">
        <f>VLOOKUP($A435,Controle!$B$4:$F$68,2,FALSE)</f>
        <v>Patrocínio 3</v>
      </c>
      <c r="C435" s="2" t="str">
        <f>VLOOKUP($A435,Controle!$B$4:$F$68,3,FALSE)</f>
        <v xml:space="preserve">MORI GERACAO II </v>
      </c>
      <c r="D435" s="2" t="str">
        <f>VLOOKUP($A435,Controle!$B$4:$F$68,4,FALSE)</f>
        <v>Mori II</v>
      </c>
      <c r="E435" s="2">
        <f>VLOOKUP($A435,Controle!$B$4:$F$68,5,FALSE)</f>
        <v>1</v>
      </c>
      <c r="F435" s="3" t="str">
        <f t="shared" si="142"/>
        <v>Desenvolvimento de projeto - Ambiental / Outros</v>
      </c>
      <c r="G435" s="2" t="str">
        <f>VLOOKUP($A435,Controle!$B$4:$G$68,6,FALSE)</f>
        <v>Mori</v>
      </c>
      <c r="H435" s="6" t="s">
        <v>148</v>
      </c>
      <c r="I435" s="6">
        <f>R435</f>
        <v>115621.13</v>
      </c>
      <c r="J435" s="6">
        <v>0</v>
      </c>
      <c r="K435" s="6">
        <v>0</v>
      </c>
      <c r="L435" s="6">
        <v>0</v>
      </c>
      <c r="M435" s="6">
        <v>0</v>
      </c>
      <c r="N435" s="6">
        <v>0</v>
      </c>
      <c r="O435" s="4">
        <f t="shared" si="143"/>
        <v>115621.13</v>
      </c>
      <c r="P435" s="5">
        <f>SUMIFS('Desenvolvimento diário'!$H:$H,'Desenvolvimento diário'!$Q:$Q,$B435,'Desenvolvimento diário'!$P:$P,$F435,'Desenvolvimento diário'!$R:$R,"Sim")</f>
        <v>0</v>
      </c>
      <c r="Q435" s="5">
        <f>SUMIFS('Desenvolvimento diário'!$H:$H,'Desenvolvimento diário'!$Q:$Q,$B435,'Desenvolvimento diário'!$P:$P,$F435,'Desenvolvimento diário'!$R:$R,"Não")</f>
        <v>115621.13</v>
      </c>
      <c r="R435" s="4">
        <f t="shared" si="144"/>
        <v>115621.13</v>
      </c>
      <c r="S435" s="4">
        <f t="shared" si="145"/>
        <v>0</v>
      </c>
      <c r="T435" s="12">
        <f t="shared" si="136"/>
        <v>1</v>
      </c>
      <c r="Y435" s="2"/>
      <c r="Z435" s="2"/>
      <c r="AA435" s="2"/>
      <c r="AB435" s="2"/>
      <c r="AC435" s="2"/>
    </row>
    <row r="436" spans="1:29" hidden="1">
      <c r="A436" s="2">
        <f t="shared" si="146"/>
        <v>13</v>
      </c>
      <c r="B436" s="2" t="str">
        <f>VLOOKUP($A436,Controle!$B$4:$F$68,2,FALSE)</f>
        <v>Patrocínio 3</v>
      </c>
      <c r="C436" s="2" t="str">
        <f>VLOOKUP($A436,Controle!$B$4:$F$68,3,FALSE)</f>
        <v xml:space="preserve">MORI GERACAO II </v>
      </c>
      <c r="D436" s="2" t="str">
        <f>VLOOKUP($A436,Controle!$B$4:$F$68,4,FALSE)</f>
        <v>Mori II</v>
      </c>
      <c r="E436" s="2">
        <f>VLOOKUP($A436,Controle!$B$4:$F$68,5,FALSE)</f>
        <v>1</v>
      </c>
      <c r="F436" s="3" t="str">
        <f t="shared" si="142"/>
        <v>Desenvolvimento de projeto - Coordenograma</v>
      </c>
      <c r="G436" s="2" t="str">
        <f>VLOOKUP($A436,Controle!$B$4:$G$68,6,FALSE)</f>
        <v>Mori</v>
      </c>
      <c r="H436" s="31" t="s">
        <v>149</v>
      </c>
      <c r="I436" s="31">
        <v>6206.9</v>
      </c>
      <c r="J436" s="31">
        <v>0</v>
      </c>
      <c r="K436" s="31">
        <v>0</v>
      </c>
      <c r="L436" s="6">
        <v>0</v>
      </c>
      <c r="M436" s="6">
        <v>0</v>
      </c>
      <c r="N436" s="6">
        <v>0</v>
      </c>
      <c r="O436" s="4">
        <f t="shared" si="143"/>
        <v>6206.9</v>
      </c>
      <c r="P436" s="5">
        <f>SUMIFS('Desenvolvimento diário'!$H:$H,'Desenvolvimento diário'!$Q:$Q,$B436,'Desenvolvimento diário'!$P:$P,$F436,'Desenvolvimento diário'!$R:$R,"Sim")</f>
        <v>0</v>
      </c>
      <c r="Q436" s="5">
        <f>SUMIFS('Desenvolvimento diário'!$H:$H,'Desenvolvimento diário'!$Q:$Q,$B436,'Desenvolvimento diário'!$P:$P,$F436,'Desenvolvimento diário'!$R:$R,"Não")</f>
        <v>6206.9</v>
      </c>
      <c r="R436" s="4">
        <f t="shared" si="144"/>
        <v>6206.9</v>
      </c>
      <c r="S436" s="4">
        <f t="shared" si="145"/>
        <v>0</v>
      </c>
      <c r="T436" s="12">
        <f t="shared" si="136"/>
        <v>1</v>
      </c>
      <c r="Y436" s="2"/>
      <c r="Z436" s="2"/>
      <c r="AA436" s="2"/>
      <c r="AB436" s="2"/>
      <c r="AC436" s="2"/>
    </row>
    <row r="437" spans="1:29" ht="10.5" hidden="1">
      <c r="A437" s="2">
        <f t="shared" si="146"/>
        <v>13</v>
      </c>
      <c r="B437" s="2" t="str">
        <f>VLOOKUP($A437,Controle!$B$4:$F$68,2,FALSE)</f>
        <v>Patrocínio 3</v>
      </c>
      <c r="C437" s="2" t="str">
        <f>VLOOKUP($A437,Controle!$B$4:$F$68,3,FALSE)</f>
        <v xml:space="preserve">MORI GERACAO II </v>
      </c>
      <c r="D437" s="2" t="str">
        <f>VLOOKUP($A437,Controle!$B$4:$F$68,4,FALSE)</f>
        <v>Mori II</v>
      </c>
      <c r="E437" s="2">
        <f>VLOOKUP($A437,Controle!$B$4:$F$68,5,FALSE)</f>
        <v>1</v>
      </c>
      <c r="F437" s="3" t="str">
        <f t="shared" si="142"/>
        <v>Sistemas de Monitoramento - Supervisório</v>
      </c>
      <c r="G437" s="2" t="str">
        <f>VLOOKUP($A437,Controle!$B$4:$G$68,6,FALSE)</f>
        <v>Mori</v>
      </c>
      <c r="H437" s="6" t="s">
        <v>150</v>
      </c>
      <c r="I437" s="6">
        <v>126513.54</v>
      </c>
      <c r="J437" s="6"/>
      <c r="K437" s="6">
        <v>0</v>
      </c>
      <c r="L437" s="6">
        <v>0</v>
      </c>
      <c r="M437" s="6">
        <v>0</v>
      </c>
      <c r="N437" s="6">
        <v>0</v>
      </c>
      <c r="O437" s="4">
        <f t="shared" si="143"/>
        <v>126513.54</v>
      </c>
      <c r="P437" s="5">
        <f>SUMIFS('Desenvolvimento diário'!$H:$H,'Desenvolvimento diário'!$Q:$Q,$B437,'Desenvolvimento diário'!$P:$P,$F437,'Desenvolvimento diário'!$R:$R,"Sim")</f>
        <v>5821.02</v>
      </c>
      <c r="Q437" s="5">
        <f>SUMIFS('Desenvolvimento diário'!$H:$H,'Desenvolvimento diário'!$Q:$Q,$B437,'Desenvolvimento diário'!$P:$P,$F437,'Desenvolvimento diário'!$R:$R,"Não")</f>
        <v>120692.51999999999</v>
      </c>
      <c r="R437" s="4">
        <f t="shared" si="144"/>
        <v>126513.54</v>
      </c>
      <c r="S437" s="4">
        <f t="shared" si="145"/>
        <v>0</v>
      </c>
      <c r="T437" s="12">
        <f t="shared" si="136"/>
        <v>1</v>
      </c>
      <c r="Y437" s="2"/>
      <c r="Z437" s="2"/>
      <c r="AA437" s="2"/>
      <c r="AB437" s="2"/>
      <c r="AC437" s="2"/>
    </row>
    <row r="438" spans="1:29" ht="10.5" hidden="1">
      <c r="A438" s="2">
        <f t="shared" si="146"/>
        <v>13</v>
      </c>
      <c r="B438" s="2" t="str">
        <f>VLOOKUP($A438,Controle!$B$4:$F$68,2,FALSE)</f>
        <v>Patrocínio 3</v>
      </c>
      <c r="C438" s="2" t="str">
        <f>VLOOKUP($A438,Controle!$B$4:$F$68,3,FALSE)</f>
        <v xml:space="preserve">MORI GERACAO II </v>
      </c>
      <c r="D438" s="2" t="str">
        <f>VLOOKUP($A438,Controle!$B$4:$F$68,4,FALSE)</f>
        <v>Mori II</v>
      </c>
      <c r="E438" s="2">
        <f>VLOOKUP($A438,Controle!$B$4:$F$68,5,FALSE)</f>
        <v>1</v>
      </c>
      <c r="F438" s="3" t="str">
        <f t="shared" si="142"/>
        <v>Sistemas de Monitoramento - Estações Solarimétricas</v>
      </c>
      <c r="G438" s="2" t="str">
        <f>VLOOKUP($A438,Controle!$B$4:$G$68,6,FALSE)</f>
        <v>Mori</v>
      </c>
      <c r="H438" s="6" t="s">
        <v>151</v>
      </c>
      <c r="I438" s="6">
        <v>48276.516000000003</v>
      </c>
      <c r="J438" s="6">
        <v>0</v>
      </c>
      <c r="K438" s="6">
        <v>0</v>
      </c>
      <c r="L438" s="6">
        <v>0</v>
      </c>
      <c r="M438" s="6">
        <v>0</v>
      </c>
      <c r="N438" s="6">
        <v>0</v>
      </c>
      <c r="O438" s="4">
        <f t="shared" si="143"/>
        <v>48276.516000000003</v>
      </c>
      <c r="P438" s="5">
        <f>SUMIFS('Desenvolvimento diário'!$H:$H,'Desenvolvimento diário'!$Q:$Q,$B438,'Desenvolvimento diário'!$P:$P,$F438,'Desenvolvimento diário'!$R:$R,"Sim")</f>
        <v>0</v>
      </c>
      <c r="Q438" s="5">
        <f>SUMIFS('Desenvolvimento diário'!$H:$H,'Desenvolvimento diário'!$Q:$Q,$B438,'Desenvolvimento diário'!$P:$P,$F438,'Desenvolvimento diário'!$R:$R,"Não")</f>
        <v>48276.516000000003</v>
      </c>
      <c r="R438" s="4">
        <f t="shared" si="144"/>
        <v>48276.516000000003</v>
      </c>
      <c r="S438" s="4">
        <f t="shared" si="145"/>
        <v>0</v>
      </c>
      <c r="T438" s="12">
        <f t="shared" si="136"/>
        <v>1</v>
      </c>
      <c r="Y438" s="2"/>
      <c r="Z438" s="2"/>
      <c r="AA438" s="2"/>
      <c r="AB438" s="2"/>
      <c r="AC438" s="2"/>
    </row>
    <row r="439" spans="1:29" hidden="1">
      <c r="A439" s="2">
        <f t="shared" si="146"/>
        <v>13</v>
      </c>
      <c r="B439" s="2" t="str">
        <f>VLOOKUP($A439,Controle!$B$4:$F$68,2,FALSE)</f>
        <v>Patrocínio 3</v>
      </c>
      <c r="C439" s="2" t="str">
        <f>VLOOKUP($A439,Controle!$B$4:$F$68,3,FALSE)</f>
        <v xml:space="preserve">MORI GERACAO II </v>
      </c>
      <c r="D439" s="2" t="str">
        <f>VLOOKUP($A439,Controle!$B$4:$F$68,4,FALSE)</f>
        <v>Mori II</v>
      </c>
      <c r="E439" s="2">
        <f>VLOOKUP($A439,Controle!$B$4:$F$68,5,FALSE)</f>
        <v>1</v>
      </c>
      <c r="F439" s="3" t="str">
        <f t="shared" si="142"/>
        <v>Sistemas de Monitoramento - CFTV</v>
      </c>
      <c r="G439" s="2" t="str">
        <f>VLOOKUP($A439,Controle!$B$4:$G$68,6,FALSE)</f>
        <v>Mori</v>
      </c>
      <c r="H439" s="31" t="s">
        <v>152</v>
      </c>
      <c r="I439" s="6">
        <v>256550.8</v>
      </c>
      <c r="J439" s="6">
        <v>0</v>
      </c>
      <c r="K439" s="6">
        <v>0</v>
      </c>
      <c r="L439" s="6">
        <v>0</v>
      </c>
      <c r="M439" s="6">
        <v>0</v>
      </c>
      <c r="N439" s="6">
        <v>0</v>
      </c>
      <c r="O439" s="4">
        <f t="shared" si="143"/>
        <v>256550.8</v>
      </c>
      <c r="P439" s="5">
        <f>SUMIFS('Desenvolvimento diário'!$H:$H,'Desenvolvimento diário'!$Q:$Q,$B439,'Desenvolvimento diário'!$P:$P,$F439,'Desenvolvimento diário'!$R:$R,"Sim")</f>
        <v>11423.1</v>
      </c>
      <c r="Q439" s="5">
        <f>SUMIFS('Desenvolvimento diário'!$H:$H,'Desenvolvimento diário'!$Q:$Q,$B439,'Desenvolvimento diário'!$P:$P,$F439,'Desenvolvimento diário'!$R:$R,"Não")</f>
        <v>245127.7</v>
      </c>
      <c r="R439" s="4">
        <f t="shared" si="144"/>
        <v>256550.80000000002</v>
      </c>
      <c r="S439" s="4">
        <f t="shared" si="145"/>
        <v>0</v>
      </c>
      <c r="T439" s="12">
        <f t="shared" si="136"/>
        <v>1.0000000000000002</v>
      </c>
      <c r="Y439" s="2"/>
      <c r="Z439" s="2"/>
      <c r="AA439" s="2"/>
      <c r="AB439" s="2"/>
      <c r="AC439" s="2"/>
    </row>
    <row r="440" spans="1:29" ht="10.5" hidden="1">
      <c r="A440" s="2">
        <f t="shared" si="146"/>
        <v>13</v>
      </c>
      <c r="B440" s="2" t="str">
        <f>VLOOKUP($A440,Controle!$B$4:$F$68,2,FALSE)</f>
        <v>Patrocínio 3</v>
      </c>
      <c r="C440" s="2" t="str">
        <f>VLOOKUP($A440,Controle!$B$4:$F$68,3,FALSE)</f>
        <v xml:space="preserve">MORI GERACAO II </v>
      </c>
      <c r="D440" s="2" t="str">
        <f>VLOOKUP($A440,Controle!$B$4:$F$68,4,FALSE)</f>
        <v>Mori II</v>
      </c>
      <c r="E440" s="2">
        <f>VLOOKUP($A440,Controle!$B$4:$F$68,5,FALSE)</f>
        <v>1</v>
      </c>
      <c r="F440" s="3" t="str">
        <f t="shared" si="142"/>
        <v>Serviços Auxiliares - Drenagem</v>
      </c>
      <c r="G440" s="2" t="str">
        <f>VLOOKUP($A440,Controle!$B$4:$G$68,6,FALSE)</f>
        <v>Mori</v>
      </c>
      <c r="H440" s="6" t="s">
        <v>191</v>
      </c>
      <c r="I440" s="6">
        <v>705000</v>
      </c>
      <c r="J440" s="6">
        <v>0</v>
      </c>
      <c r="K440" s="6">
        <v>0</v>
      </c>
      <c r="L440" s="6">
        <v>0</v>
      </c>
      <c r="M440" s="6">
        <v>0</v>
      </c>
      <c r="N440" s="6">
        <v>0</v>
      </c>
      <c r="O440" s="4">
        <f t="shared" si="143"/>
        <v>705000</v>
      </c>
      <c r="P440" s="5">
        <f>SUMIFS('Desenvolvimento diário'!$H:$H,'Desenvolvimento diário'!$Q:$Q,$B440,'Desenvolvimento diário'!$P:$P,$F440,'Desenvolvimento diário'!$R:$R,"Sim")</f>
        <v>0</v>
      </c>
      <c r="Q440" s="5">
        <f>SUMIFS('Desenvolvimento diário'!$H:$H,'Desenvolvimento diário'!$Q:$Q,$B440,'Desenvolvimento diário'!$P:$P,$F440,'Desenvolvimento diário'!$R:$R,"Não")</f>
        <v>705000</v>
      </c>
      <c r="R440" s="4">
        <f t="shared" si="144"/>
        <v>705000</v>
      </c>
      <c r="S440" s="4">
        <f t="shared" si="145"/>
        <v>0</v>
      </c>
      <c r="T440" s="12">
        <f t="shared" si="136"/>
        <v>1</v>
      </c>
      <c r="Y440" s="2"/>
      <c r="Z440" s="2"/>
      <c r="AA440" s="2"/>
      <c r="AB440" s="2"/>
      <c r="AC440" s="2"/>
    </row>
    <row r="441" spans="1:29" ht="10.5" hidden="1">
      <c r="A441" s="2">
        <f t="shared" si="146"/>
        <v>13</v>
      </c>
      <c r="B441" s="2" t="str">
        <f>VLOOKUP($A441,Controle!$B$4:$F$68,2,FALSE)</f>
        <v>Patrocínio 3</v>
      </c>
      <c r="C441" s="2" t="str">
        <f>VLOOKUP($A441,Controle!$B$4:$F$68,3,FALSE)</f>
        <v xml:space="preserve">MORI GERACAO II </v>
      </c>
      <c r="D441" s="2" t="str">
        <f>VLOOKUP($A441,Controle!$B$4:$F$68,4,FALSE)</f>
        <v>Mori II</v>
      </c>
      <c r="E441" s="2">
        <f>VLOOKUP($A441,Controle!$B$4:$F$68,5,FALSE)</f>
        <v>1</v>
      </c>
      <c r="F441" s="3" t="str">
        <f t="shared" si="142"/>
        <v>Serviços Auxiliares - Terraplanagem</v>
      </c>
      <c r="G441" s="2" t="str">
        <f>VLOOKUP($A441,Controle!$B$4:$G$68,6,FALSE)</f>
        <v>Mori</v>
      </c>
      <c r="H441" s="28" t="s">
        <v>180</v>
      </c>
      <c r="I441" s="6">
        <v>0</v>
      </c>
      <c r="J441" s="6">
        <v>0</v>
      </c>
      <c r="K441" s="6">
        <v>0</v>
      </c>
      <c r="L441" s="6">
        <v>0</v>
      </c>
      <c r="M441" s="6">
        <v>0</v>
      </c>
      <c r="N441" s="6">
        <v>0</v>
      </c>
      <c r="O441" s="4">
        <f t="shared" si="143"/>
        <v>0</v>
      </c>
      <c r="P441" s="5">
        <f>SUMIFS('Desenvolvimento diário'!$H:$H,'Desenvolvimento diário'!$Q:$Q,$B441,'Desenvolvimento diário'!$P:$P,$F441,'Desenvolvimento diário'!$R:$R,"Sim")</f>
        <v>0</v>
      </c>
      <c r="Q441" s="5">
        <f>SUMIFS('Desenvolvimento diário'!$H:$H,'Desenvolvimento diário'!$Q:$Q,$B441,'Desenvolvimento diário'!$P:$P,$F441,'Desenvolvimento diário'!$R:$R,"Não")</f>
        <v>0</v>
      </c>
      <c r="R441" s="4">
        <f t="shared" si="144"/>
        <v>0</v>
      </c>
      <c r="S441" s="4">
        <f t="shared" si="145"/>
        <v>0</v>
      </c>
      <c r="T441" s="12">
        <f t="shared" si="136"/>
        <v>0</v>
      </c>
      <c r="Y441" s="2"/>
      <c r="Z441" s="2"/>
      <c r="AA441" s="2"/>
      <c r="AB441" s="2"/>
      <c r="AC441" s="2"/>
    </row>
    <row r="442" spans="1:29" ht="10.5" hidden="1">
      <c r="A442" s="2">
        <f t="shared" si="146"/>
        <v>13</v>
      </c>
      <c r="B442" s="2" t="str">
        <f>VLOOKUP($A442,Controle!$B$4:$F$68,2,FALSE)</f>
        <v>Patrocínio 3</v>
      </c>
      <c r="C442" s="2" t="str">
        <f>VLOOKUP($A442,Controle!$B$4:$F$68,3,FALSE)</f>
        <v xml:space="preserve">MORI GERACAO II </v>
      </c>
      <c r="D442" s="2" t="str">
        <f>VLOOKUP($A442,Controle!$B$4:$F$68,4,FALSE)</f>
        <v>Mori II</v>
      </c>
      <c r="E442" s="2">
        <f>VLOOKUP($A442,Controle!$B$4:$F$68,5,FALSE)</f>
        <v>1</v>
      </c>
      <c r="F442" s="3" t="str">
        <f t="shared" si="142"/>
        <v>Serviços Auxiliares - Supressão Vegetal</v>
      </c>
      <c r="G442" s="2" t="str">
        <f>VLOOKUP($A442,Controle!$B$4:$G$68,6,FALSE)</f>
        <v>Mori</v>
      </c>
      <c r="H442" s="6">
        <v>0</v>
      </c>
      <c r="I442" s="6">
        <v>0</v>
      </c>
      <c r="J442" s="6">
        <v>0</v>
      </c>
      <c r="K442" s="6">
        <v>0</v>
      </c>
      <c r="L442" s="6">
        <v>0</v>
      </c>
      <c r="M442" s="6">
        <v>0</v>
      </c>
      <c r="N442" s="6">
        <v>0</v>
      </c>
      <c r="O442" s="4">
        <f t="shared" si="143"/>
        <v>0</v>
      </c>
      <c r="P442" s="5">
        <f>SUMIFS('Desenvolvimento diário'!$H:$H,'Desenvolvimento diário'!$Q:$Q,$B442,'Desenvolvimento diário'!$P:$P,$F442,'Desenvolvimento diário'!$R:$R,"Sim")</f>
        <v>0</v>
      </c>
      <c r="Q442" s="5">
        <f>SUMIFS('Desenvolvimento diário'!$H:$H,'Desenvolvimento diário'!$Q:$Q,$B442,'Desenvolvimento diário'!$P:$P,$F442,'Desenvolvimento diário'!$R:$R,"Não")</f>
        <v>0</v>
      </c>
      <c r="R442" s="4">
        <f t="shared" si="144"/>
        <v>0</v>
      </c>
      <c r="S442" s="4">
        <f t="shared" si="145"/>
        <v>0</v>
      </c>
      <c r="T442" s="12">
        <f t="shared" si="136"/>
        <v>0</v>
      </c>
      <c r="Y442" s="2"/>
      <c r="Z442" s="2"/>
      <c r="AA442" s="2"/>
      <c r="AB442" s="2"/>
      <c r="AC442" s="2"/>
    </row>
    <row r="443" spans="1:29" ht="10.5" hidden="1">
      <c r="A443" s="2">
        <f t="shared" si="146"/>
        <v>13</v>
      </c>
      <c r="B443" s="2" t="str">
        <f>VLOOKUP($A443,Controle!$B$4:$F$68,2,FALSE)</f>
        <v>Patrocínio 3</v>
      </c>
      <c r="C443" s="2" t="str">
        <f>VLOOKUP($A443,Controle!$B$4:$F$68,3,FALSE)</f>
        <v xml:space="preserve">MORI GERACAO II </v>
      </c>
      <c r="D443" s="2" t="str">
        <f>VLOOKUP($A443,Controle!$B$4:$F$68,4,FALSE)</f>
        <v>Mori II</v>
      </c>
      <c r="E443" s="2">
        <f>VLOOKUP($A443,Controle!$B$4:$F$68,5,FALSE)</f>
        <v>1</v>
      </c>
      <c r="F443" s="3" t="str">
        <f t="shared" si="142"/>
        <v>RDR-Rede de Distribuição Rural</v>
      </c>
      <c r="G443" s="2" t="str">
        <f>VLOOKUP($A443,Controle!$B$4:$G$68,6,FALSE)</f>
        <v>Mori</v>
      </c>
      <c r="H443" s="6">
        <v>0</v>
      </c>
      <c r="I443" s="6">
        <v>0</v>
      </c>
      <c r="J443" s="6">
        <v>0</v>
      </c>
      <c r="K443" s="6">
        <v>0</v>
      </c>
      <c r="L443" s="6">
        <v>0</v>
      </c>
      <c r="M443" s="6">
        <v>0</v>
      </c>
      <c r="N443" s="6">
        <v>0</v>
      </c>
      <c r="O443" s="4">
        <f t="shared" si="143"/>
        <v>0</v>
      </c>
      <c r="P443" s="5">
        <f>SUMIFS('Desenvolvimento diário'!$H:$H,'Desenvolvimento diário'!$Q:$Q,$B443,'Desenvolvimento diário'!$P:$P,$F443,'Desenvolvimento diário'!$R:$R,"Sim")</f>
        <v>0</v>
      </c>
      <c r="Q443" s="5">
        <f>SUMIFS('Desenvolvimento diário'!$H:$H,'Desenvolvimento diário'!$Q:$Q,$B443,'Desenvolvimento diário'!$P:$P,$F443,'Desenvolvimento diário'!$R:$R,"Não")</f>
        <v>0</v>
      </c>
      <c r="R443" s="4">
        <f t="shared" si="144"/>
        <v>0</v>
      </c>
      <c r="S443" s="4">
        <f t="shared" si="145"/>
        <v>0</v>
      </c>
      <c r="T443" s="12">
        <f t="shared" si="136"/>
        <v>0</v>
      </c>
      <c r="Y443" s="2"/>
      <c r="Z443" s="2"/>
      <c r="AA443" s="2"/>
      <c r="AB443" s="2"/>
      <c r="AC443" s="2"/>
    </row>
    <row r="444" spans="1:29" ht="10.5" hidden="1">
      <c r="A444" s="2">
        <f t="shared" si="146"/>
        <v>13</v>
      </c>
      <c r="B444" s="2" t="str">
        <f>VLOOKUP($A444,Controle!$B$4:$F$68,2,FALSE)</f>
        <v>Patrocínio 3</v>
      </c>
      <c r="C444" s="2" t="str">
        <f>VLOOKUP($A444,Controle!$B$4:$F$68,3,FALSE)</f>
        <v xml:space="preserve">MORI GERACAO II </v>
      </c>
      <c r="D444" s="2" t="str">
        <f>VLOOKUP($A444,Controle!$B$4:$F$68,4,FALSE)</f>
        <v>Mori II</v>
      </c>
      <c r="E444" s="2">
        <f>VLOOKUP($A444,Controle!$B$4:$F$68,5,FALSE)</f>
        <v>1</v>
      </c>
      <c r="F444" s="3" t="str">
        <f t="shared" si="142"/>
        <v>Escopo COMERC</v>
      </c>
      <c r="G444" s="2" t="str">
        <f>VLOOKUP($A444,Controle!$B$4:$G$68,6,FALSE)</f>
        <v>Mori</v>
      </c>
      <c r="H444" s="6">
        <v>0</v>
      </c>
      <c r="I444" s="6">
        <v>240638.51000000004</v>
      </c>
      <c r="J444" s="29">
        <v>22000</v>
      </c>
      <c r="K444" s="29"/>
      <c r="L444" s="6">
        <v>0</v>
      </c>
      <c r="M444" s="6">
        <v>0</v>
      </c>
      <c r="N444" s="6">
        <v>0</v>
      </c>
      <c r="O444" s="4">
        <f t="shared" si="143"/>
        <v>262638.51</v>
      </c>
      <c r="P444" s="5">
        <f>SUMIFS('Desenvolvimento diário'!$H:$H,'Desenvolvimento diário'!$Q:$Q,$B444,'Desenvolvimento diário'!$P:$P,$F444,'Desenvolvimento diário'!$R:$R,"Sim")</f>
        <v>0</v>
      </c>
      <c r="Q444" s="5">
        <f>SUMIFS('Desenvolvimento diário'!$H:$H,'Desenvolvimento diário'!$Q:$Q,$B444,'Desenvolvimento diário'!$P:$P,$F444,'Desenvolvimento diário'!$R:$R,"Não")</f>
        <v>241637.29000000004</v>
      </c>
      <c r="R444" s="4">
        <f t="shared" si="144"/>
        <v>241637.29000000004</v>
      </c>
      <c r="S444" s="1010">
        <f t="shared" si="145"/>
        <v>21001.219999999972</v>
      </c>
      <c r="T444" s="12">
        <f t="shared" si="136"/>
        <v>0.920037545141419</v>
      </c>
      <c r="U444" s="1011" t="s">
        <v>166</v>
      </c>
      <c r="V444" s="1011" t="s">
        <v>167</v>
      </c>
      <c r="Y444" s="2"/>
      <c r="Z444" s="2"/>
      <c r="AA444" s="2"/>
      <c r="AB444" s="2"/>
      <c r="AC444" s="2"/>
    </row>
    <row r="445" spans="1:29" ht="10.5" hidden="1">
      <c r="A445" s="2">
        <f t="shared" si="146"/>
        <v>13</v>
      </c>
      <c r="B445" s="2" t="str">
        <f>VLOOKUP($A445,Controle!$B$4:$F$68,2,FALSE)</f>
        <v>Patrocínio 3</v>
      </c>
      <c r="C445" s="2" t="str">
        <f>VLOOKUP($A445,Controle!$B$4:$F$68,3,FALSE)</f>
        <v xml:space="preserve">MORI GERACAO II </v>
      </c>
      <c r="D445" s="2" t="str">
        <f>VLOOKUP($A445,Controle!$B$4:$F$68,4,FALSE)</f>
        <v>Mori II</v>
      </c>
      <c r="E445" s="2">
        <f>VLOOKUP($A445,Controle!$B$4:$F$68,5,FALSE)</f>
        <v>1</v>
      </c>
      <c r="F445" s="3" t="str">
        <f t="shared" si="142"/>
        <v>Escopo COMERC - Segurança</v>
      </c>
      <c r="G445" s="2" t="str">
        <f>VLOOKUP($A445,Controle!$B$4:$G$68,6,FALSE)</f>
        <v>Mori</v>
      </c>
      <c r="H445" s="6">
        <v>0</v>
      </c>
      <c r="I445" s="6">
        <f t="shared" ref="I444:I445" si="147">R445</f>
        <v>259293.80000000008</v>
      </c>
      <c r="J445" s="6">
        <v>0</v>
      </c>
      <c r="K445" s="6">
        <v>0</v>
      </c>
      <c r="L445" s="6">
        <v>0</v>
      </c>
      <c r="M445" s="6">
        <v>0</v>
      </c>
      <c r="N445" s="6">
        <v>0</v>
      </c>
      <c r="O445" s="4">
        <f t="shared" si="143"/>
        <v>259293.80000000008</v>
      </c>
      <c r="P445" s="5">
        <f>SUMIFS('Desenvolvimento diário'!$H:$H,'Desenvolvimento diário'!$Q:$Q,$B445,'Desenvolvimento diário'!$P:$P,$F445,'Desenvolvimento diário'!$R:$R,"Sim")</f>
        <v>0</v>
      </c>
      <c r="Q445" s="5">
        <f>SUMIFS('Desenvolvimento diário'!$H:$H,'Desenvolvimento diário'!$Q:$Q,$B445,'Desenvolvimento diário'!$P:$P,$F445,'Desenvolvimento diário'!$R:$R,"Não")</f>
        <v>259293.80000000008</v>
      </c>
      <c r="R445" s="4">
        <f t="shared" si="144"/>
        <v>259293.80000000008</v>
      </c>
      <c r="S445" s="4">
        <f t="shared" si="145"/>
        <v>0</v>
      </c>
      <c r="T445" s="12">
        <f t="shared" si="136"/>
        <v>1</v>
      </c>
      <c r="Y445" s="2"/>
      <c r="Z445" s="2"/>
      <c r="AA445" s="2"/>
      <c r="AB445" s="2"/>
      <c r="AC445" s="2"/>
    </row>
    <row r="446" spans="1:29" ht="10.5" hidden="1">
      <c r="A446" s="2">
        <f t="shared" si="146"/>
        <v>13</v>
      </c>
      <c r="B446" s="2" t="str">
        <f>VLOOKUP($A446,Controle!$B$4:$F$68,2,FALSE)</f>
        <v>Patrocínio 3</v>
      </c>
      <c r="C446" s="2" t="str">
        <f>VLOOKUP($A446,Controle!$B$4:$F$68,3,FALSE)</f>
        <v xml:space="preserve">MORI GERACAO II </v>
      </c>
      <c r="D446" s="2" t="str">
        <f>VLOOKUP($A446,Controle!$B$4:$F$68,4,FALSE)</f>
        <v>Mori II</v>
      </c>
      <c r="E446" s="2">
        <f>VLOOKUP($A446,Controle!$B$4:$F$68,5,FALSE)</f>
        <v>1</v>
      </c>
      <c r="F446" s="3" t="str">
        <f t="shared" si="142"/>
        <v>Conexão MT - Obras Transferencia</v>
      </c>
      <c r="G446" s="2" t="str">
        <f>VLOOKUP($A446,Controle!$B$4:$G$68,6,FALSE)</f>
        <v>Mori</v>
      </c>
      <c r="H446" s="6">
        <v>0</v>
      </c>
      <c r="I446" s="6">
        <v>0</v>
      </c>
      <c r="J446" s="6">
        <v>0</v>
      </c>
      <c r="K446" s="6">
        <v>0</v>
      </c>
      <c r="L446" s="6">
        <v>0</v>
      </c>
      <c r="M446" s="6">
        <v>0</v>
      </c>
      <c r="N446" s="6">
        <v>0</v>
      </c>
      <c r="O446" s="4">
        <f t="shared" si="143"/>
        <v>0</v>
      </c>
      <c r="P446" s="5">
        <f>SUMIFS('Desenvolvimento diário'!$H:$H,'Desenvolvimento diário'!$Q:$Q,$B446,'Desenvolvimento diário'!$P:$P,$F446,'Desenvolvimento diário'!$R:$R,"Sim")</f>
        <v>0</v>
      </c>
      <c r="Q446" s="5">
        <f>SUMIFS('Desenvolvimento diário'!$H:$H,'Desenvolvimento diário'!$Q:$Q,$B446,'Desenvolvimento diário'!$P:$P,$F446,'Desenvolvimento diário'!$R:$R,"Não")</f>
        <v>0</v>
      </c>
      <c r="R446" s="4">
        <f t="shared" si="144"/>
        <v>0</v>
      </c>
      <c r="S446" s="4">
        <f t="shared" si="145"/>
        <v>0</v>
      </c>
      <c r="T446" s="12">
        <f t="shared" si="136"/>
        <v>0</v>
      </c>
      <c r="Y446" s="2"/>
      <c r="Z446" s="2"/>
      <c r="AA446" s="2"/>
      <c r="AB446" s="2"/>
      <c r="AC446" s="2"/>
    </row>
    <row r="447" spans="1:29" ht="10.5" hidden="1">
      <c r="A447" s="2">
        <f t="shared" si="146"/>
        <v>13</v>
      </c>
      <c r="B447" s="2" t="str">
        <f>VLOOKUP($A447,Controle!$B$4:$F$68,2,FALSE)</f>
        <v>Patrocínio 3</v>
      </c>
      <c r="C447" s="2" t="str">
        <f>VLOOKUP($A447,Controle!$B$4:$F$68,3,FALSE)</f>
        <v xml:space="preserve">MORI GERACAO II </v>
      </c>
      <c r="D447" s="2" t="str">
        <f>VLOOKUP($A447,Controle!$B$4:$F$68,4,FALSE)</f>
        <v>Mori II</v>
      </c>
      <c r="E447" s="2">
        <f>VLOOKUP($A447,Controle!$B$4:$F$68,5,FALSE)</f>
        <v>1</v>
      </c>
      <c r="F447" s="3" t="str">
        <f t="shared" si="142"/>
        <v>Bases de Contaniers</v>
      </c>
      <c r="G447" s="2" t="str">
        <f>VLOOKUP($A447,Controle!$B$4:$G$68,6,FALSE)</f>
        <v>Mori</v>
      </c>
      <c r="H447" s="6" t="s">
        <v>181</v>
      </c>
      <c r="I447" s="6">
        <v>295409.38</v>
      </c>
      <c r="J447" s="6">
        <v>90543.4</v>
      </c>
      <c r="K447" s="6">
        <v>0</v>
      </c>
      <c r="L447" s="6">
        <v>0</v>
      </c>
      <c r="M447" s="6">
        <v>0</v>
      </c>
      <c r="N447" s="6">
        <v>0</v>
      </c>
      <c r="O447" s="4">
        <f t="shared" si="143"/>
        <v>385952.78</v>
      </c>
      <c r="P447" s="5">
        <f>SUMIFS('Desenvolvimento diário'!$H:$H,'Desenvolvimento diário'!$Q:$Q,$B447,'Desenvolvimento diário'!$P:$P,$F447,'Desenvolvimento diário'!$R:$R,"Sim")</f>
        <v>269571</v>
      </c>
      <c r="Q447" s="5">
        <f>SUMIFS('Desenvolvimento diário'!$H:$H,'Desenvolvimento diário'!$Q:$Q,$B447,'Desenvolvimento diário'!$P:$P,$F447,'Desenvolvimento diário'!$R:$R,"Não")</f>
        <v>116381.78</v>
      </c>
      <c r="R447" s="4">
        <f t="shared" si="144"/>
        <v>385952.78</v>
      </c>
      <c r="S447" s="4">
        <f t="shared" si="145"/>
        <v>0</v>
      </c>
      <c r="T447" s="12">
        <f t="shared" si="136"/>
        <v>1</v>
      </c>
      <c r="Y447" s="2"/>
      <c r="Z447" s="2"/>
      <c r="AA447" s="2"/>
      <c r="AB447" s="2"/>
      <c r="AC447" s="2"/>
    </row>
    <row r="448" spans="1:29" hidden="1">
      <c r="A448" s="2">
        <f t="shared" si="146"/>
        <v>13</v>
      </c>
      <c r="B448" s="2" t="str">
        <f>VLOOKUP($A448,Controle!$B$4:$F$68,2,FALSE)</f>
        <v>Patrocínio 3</v>
      </c>
      <c r="C448" s="2" t="str">
        <f>VLOOKUP($A448,Controle!$B$4:$F$68,3,FALSE)</f>
        <v xml:space="preserve">MORI GERACAO II </v>
      </c>
      <c r="D448" s="2" t="str">
        <f>VLOOKUP($A448,Controle!$B$4:$F$68,4,FALSE)</f>
        <v>Mori II</v>
      </c>
      <c r="E448" s="2">
        <f>VLOOKUP($A448,Controle!$B$4:$F$68,5,FALSE)</f>
        <v>1</v>
      </c>
      <c r="F448" s="3" t="str">
        <f t="shared" si="142"/>
        <v>Construção - Serviços de Construção - Ase Engenharia</v>
      </c>
      <c r="G448" s="2" t="str">
        <f>VLOOKUP($A448,Controle!$B$4:$G$68,6,FALSE)</f>
        <v>Mori</v>
      </c>
      <c r="H448" s="6">
        <v>0</v>
      </c>
      <c r="I448" s="6">
        <v>0</v>
      </c>
      <c r="J448" s="6">
        <v>0</v>
      </c>
      <c r="K448" s="6">
        <v>0</v>
      </c>
      <c r="L448" s="6">
        <v>0</v>
      </c>
      <c r="M448" s="6">
        <v>0</v>
      </c>
      <c r="N448" s="6">
        <v>0</v>
      </c>
      <c r="O448" s="4">
        <f t="shared" si="143"/>
        <v>0</v>
      </c>
      <c r="P448" s="5">
        <f>SUMIFS('Desenvolvimento diário'!$H:$H,'Desenvolvimento diário'!$Q:$Q,$B448,'Desenvolvimento diário'!$P:$P,$F448,'Desenvolvimento diário'!$R:$R,"Sim")</f>
        <v>0</v>
      </c>
      <c r="Q448" s="5">
        <f>SUMIFS('Desenvolvimento diário'!$H:$H,'Desenvolvimento diário'!$Q:$Q,$B448,'Desenvolvimento diário'!$P:$P,$F448,'Desenvolvimento diário'!$R:$R,"Não")</f>
        <v>0</v>
      </c>
      <c r="R448" s="4">
        <f t="shared" si="144"/>
        <v>0</v>
      </c>
      <c r="S448" s="4">
        <f t="shared" si="145"/>
        <v>0</v>
      </c>
      <c r="T448" s="12">
        <f t="shared" si="136"/>
        <v>0</v>
      </c>
      <c r="Y448" s="2"/>
      <c r="Z448" s="2"/>
      <c r="AA448" s="2"/>
      <c r="AB448" s="2"/>
      <c r="AC448" s="2"/>
    </row>
    <row r="449" spans="1:29" hidden="1">
      <c r="A449" s="2">
        <f t="shared" si="146"/>
        <v>13</v>
      </c>
      <c r="B449" s="2" t="str">
        <f>VLOOKUP($A449,Controle!$B$4:$F$68,2,FALSE)</f>
        <v>Patrocínio 3</v>
      </c>
      <c r="C449" s="2" t="str">
        <f>VLOOKUP($A449,Controle!$B$4:$F$68,3,FALSE)</f>
        <v xml:space="preserve">MORI GERACAO II </v>
      </c>
      <c r="D449" s="2" t="str">
        <f>VLOOKUP($A449,Controle!$B$4:$F$68,4,FALSE)</f>
        <v>Mori II</v>
      </c>
      <c r="E449" s="2">
        <f>VLOOKUP($A449,Controle!$B$4:$F$68,5,FALSE)</f>
        <v>1</v>
      </c>
      <c r="F449" s="3" t="str">
        <f t="shared" si="142"/>
        <v>Full EPC - Contrato Sobressalentes</v>
      </c>
      <c r="G449" s="2" t="str">
        <f>VLOOKUP($A449,Controle!$B$4:$G$68,6,FALSE)</f>
        <v>Mori</v>
      </c>
      <c r="H449" s="6">
        <v>0</v>
      </c>
      <c r="I449" s="6">
        <v>0</v>
      </c>
      <c r="J449" s="6">
        <v>0</v>
      </c>
      <c r="K449" s="6">
        <v>0</v>
      </c>
      <c r="L449" s="6">
        <v>0</v>
      </c>
      <c r="M449" s="6">
        <v>0</v>
      </c>
      <c r="N449" s="6">
        <v>0</v>
      </c>
      <c r="O449" s="4">
        <f t="shared" si="143"/>
        <v>0</v>
      </c>
      <c r="P449" s="5">
        <f>SUMIFS('Desenvolvimento diário'!$H:$H,'Desenvolvimento diário'!$Q:$Q,$B449,'Desenvolvimento diário'!$P:$P,$F449,'Desenvolvimento diário'!$R:$R,"Sim")</f>
        <v>0</v>
      </c>
      <c r="Q449" s="5">
        <f>SUMIFS('Desenvolvimento diário'!$H:$H,'Desenvolvimento diário'!$Q:$Q,$B449,'Desenvolvimento diário'!$P:$P,$F449,'Desenvolvimento diário'!$R:$R,"Não")</f>
        <v>0</v>
      </c>
      <c r="R449" s="4">
        <f t="shared" si="144"/>
        <v>0</v>
      </c>
      <c r="S449" s="4">
        <f t="shared" si="145"/>
        <v>0</v>
      </c>
      <c r="T449" s="12">
        <f t="shared" si="136"/>
        <v>0</v>
      </c>
      <c r="Y449" s="2"/>
      <c r="Z449" s="2"/>
      <c r="AA449" s="2"/>
      <c r="AB449" s="2"/>
      <c r="AC449" s="2"/>
    </row>
    <row r="450" spans="1:29" hidden="1">
      <c r="A450" s="2">
        <f t="shared" si="146"/>
        <v>13</v>
      </c>
      <c r="B450" s="2" t="str">
        <f>VLOOKUP($A450,Controle!$B$4:$F$68,2,FALSE)</f>
        <v>Patrocínio 3</v>
      </c>
      <c r="C450" s="2" t="str">
        <f>VLOOKUP($A450,Controle!$B$4:$F$68,3,FALSE)</f>
        <v xml:space="preserve">MORI GERACAO II </v>
      </c>
      <c r="D450" s="2" t="str">
        <f>VLOOKUP($A450,Controle!$B$4:$F$68,4,FALSE)</f>
        <v>Mori II</v>
      </c>
      <c r="E450" s="2">
        <f>VLOOKUP($A450,Controle!$B$4:$F$68,5,FALSE)</f>
        <v>1</v>
      </c>
      <c r="F450" s="3" t="str">
        <f t="shared" si="142"/>
        <v>Construção - Serviços de Construção - NOVA MORADA</v>
      </c>
      <c r="G450" s="2" t="str">
        <f>VLOOKUP($A450,Controle!$B$4:$G$68,6,FALSE)</f>
        <v>Mori</v>
      </c>
      <c r="H450" s="6">
        <v>0</v>
      </c>
      <c r="I450" s="6">
        <v>0</v>
      </c>
      <c r="J450" s="6">
        <v>0</v>
      </c>
      <c r="K450" s="6">
        <v>0</v>
      </c>
      <c r="L450" s="6">
        <v>0</v>
      </c>
      <c r="M450" s="6">
        <v>0</v>
      </c>
      <c r="N450" s="6">
        <v>0</v>
      </c>
      <c r="O450" s="4">
        <f t="shared" si="143"/>
        <v>0</v>
      </c>
      <c r="P450" s="5">
        <f>SUMIFS('Desenvolvimento diário'!$H:$H,'Desenvolvimento diário'!$Q:$Q,$B450,'Desenvolvimento diário'!$P:$P,$F450,'Desenvolvimento diário'!$R:$R,"Sim")</f>
        <v>0</v>
      </c>
      <c r="Q450" s="5">
        <f>SUMIFS('Desenvolvimento diário'!$H:$H,'Desenvolvimento diário'!$Q:$Q,$B450,'Desenvolvimento diário'!$P:$P,$F450,'Desenvolvimento diário'!$R:$R,"Não")</f>
        <v>0</v>
      </c>
      <c r="R450" s="4">
        <f t="shared" si="144"/>
        <v>0</v>
      </c>
      <c r="S450" s="4">
        <f t="shared" si="145"/>
        <v>0</v>
      </c>
      <c r="T450" s="12">
        <f t="shared" si="136"/>
        <v>0</v>
      </c>
      <c r="Y450" s="2"/>
      <c r="Z450" s="2"/>
      <c r="AA450" s="2"/>
      <c r="AB450" s="2"/>
      <c r="AC450" s="2"/>
    </row>
    <row r="451" spans="1:29" hidden="1">
      <c r="A451" s="2">
        <f t="shared" si="146"/>
        <v>13</v>
      </c>
      <c r="B451" s="2" t="str">
        <f>VLOOKUP($A451,Controle!$B$4:$F$68,2,FALSE)</f>
        <v>Patrocínio 3</v>
      </c>
      <c r="C451" s="2" t="str">
        <f>VLOOKUP($A451,Controle!$B$4:$F$68,3,FALSE)</f>
        <v xml:space="preserve">MORI GERACAO II </v>
      </c>
      <c r="D451" s="2" t="str">
        <f>VLOOKUP($A451,Controle!$B$4:$F$68,4,FALSE)</f>
        <v>Mori II</v>
      </c>
      <c r="E451" s="2">
        <f>VLOOKUP($A451,Controle!$B$4:$F$68,5,FALSE)</f>
        <v>1</v>
      </c>
      <c r="F451" s="3" t="str">
        <f t="shared" si="142"/>
        <v>Equipamentos Curva A -  Contrato Sobressalentes - SETTA</v>
      </c>
      <c r="G451" s="2" t="str">
        <f>VLOOKUP($A451,Controle!$B$4:$G$68,6,FALSE)</f>
        <v>Mori</v>
      </c>
      <c r="H451" s="6">
        <v>0</v>
      </c>
      <c r="I451" s="6">
        <v>0</v>
      </c>
      <c r="J451" s="6">
        <v>0</v>
      </c>
      <c r="K451" s="6">
        <v>0</v>
      </c>
      <c r="L451" s="6">
        <v>0</v>
      </c>
      <c r="M451" s="6">
        <v>0</v>
      </c>
      <c r="N451" s="6">
        <v>0</v>
      </c>
      <c r="O451" s="4">
        <f t="shared" si="143"/>
        <v>0</v>
      </c>
      <c r="P451" s="5">
        <f>SUMIFS('Desenvolvimento diário'!$H:$H,'Desenvolvimento diário'!$Q:$Q,$B451,'Desenvolvimento diário'!$P:$P,$F451,'Desenvolvimento diário'!$R:$R,"Sim")</f>
        <v>0</v>
      </c>
      <c r="Q451" s="5">
        <f>SUMIFS('Desenvolvimento diário'!$H:$H,'Desenvolvimento diário'!$Q:$Q,$B451,'Desenvolvimento diário'!$P:$P,$F451,'Desenvolvimento diário'!$R:$R,"Não")</f>
        <v>0</v>
      </c>
      <c r="R451" s="4">
        <f t="shared" si="144"/>
        <v>0</v>
      </c>
      <c r="S451" s="4">
        <f t="shared" si="145"/>
        <v>0</v>
      </c>
      <c r="T451" s="12">
        <f t="shared" si="136"/>
        <v>0</v>
      </c>
      <c r="Y451" s="2"/>
      <c r="Z451" s="2"/>
      <c r="AA451" s="2"/>
      <c r="AB451" s="2"/>
      <c r="AC451" s="2"/>
    </row>
    <row r="452" spans="1:29" hidden="1">
      <c r="A452" s="2">
        <f t="shared" si="146"/>
        <v>13</v>
      </c>
      <c r="B452" s="2" t="str">
        <f>VLOOKUP($A452,Controle!$B$4:$F$68,2,FALSE)</f>
        <v>Patrocínio 3</v>
      </c>
      <c r="C452" s="2" t="str">
        <f>VLOOKUP($A452,Controle!$B$4:$F$68,3,FALSE)</f>
        <v xml:space="preserve">MORI GERACAO II </v>
      </c>
      <c r="D452" s="2" t="str">
        <f>VLOOKUP($A452,Controle!$B$4:$F$68,4,FALSE)</f>
        <v>Mori II</v>
      </c>
      <c r="E452" s="2">
        <f>VLOOKUP($A452,Controle!$B$4:$F$68,5,FALSE)</f>
        <v>1</v>
      </c>
      <c r="F452" s="3" t="str">
        <f t="shared" si="142"/>
        <v>Equipamentos Curva A -  Contrato Sobressalentes - Arctech</v>
      </c>
      <c r="G452" s="2" t="str">
        <f>VLOOKUP($A452,Controle!$B$4:$G$68,6,FALSE)</f>
        <v>Mori</v>
      </c>
      <c r="H452" s="6">
        <v>0</v>
      </c>
      <c r="I452" s="6">
        <v>0</v>
      </c>
      <c r="J452" s="6">
        <v>0</v>
      </c>
      <c r="K452" s="6">
        <v>0</v>
      </c>
      <c r="L452" s="6">
        <v>0</v>
      </c>
      <c r="M452" s="6">
        <v>0</v>
      </c>
      <c r="N452" s="6">
        <v>0</v>
      </c>
      <c r="O452" s="4">
        <f t="shared" si="143"/>
        <v>0</v>
      </c>
      <c r="P452" s="5">
        <f>SUMIFS('Desenvolvimento diário'!$H:$H,'Desenvolvimento diário'!$Q:$Q,$B452,'Desenvolvimento diário'!$P:$P,$F452,'Desenvolvimento diário'!$R:$R,"Sim")</f>
        <v>0</v>
      </c>
      <c r="Q452" s="5">
        <f>SUMIFS('Desenvolvimento diário'!$H:$H,'Desenvolvimento diário'!$Q:$Q,$B452,'Desenvolvimento diário'!$P:$P,$F452,'Desenvolvimento diário'!$R:$R,"Não")</f>
        <v>0</v>
      </c>
      <c r="R452" s="4">
        <f t="shared" si="144"/>
        <v>0</v>
      </c>
      <c r="S452" s="4">
        <f t="shared" si="145"/>
        <v>0</v>
      </c>
      <c r="T452" s="12">
        <f t="shared" si="136"/>
        <v>0</v>
      </c>
      <c r="Y452" s="2"/>
      <c r="Z452" s="2"/>
      <c r="AA452" s="2"/>
      <c r="AB452" s="2"/>
      <c r="AC452" s="2"/>
    </row>
    <row r="453" spans="1:29" hidden="1">
      <c r="A453" s="2">
        <f t="shared" si="146"/>
        <v>13</v>
      </c>
      <c r="B453" s="2" t="str">
        <f>VLOOKUP($A453,Controle!$B$4:$F$68,2,FALSE)</f>
        <v>Patrocínio 3</v>
      </c>
      <c r="C453" s="2" t="str">
        <f>VLOOKUP($A453,Controle!$B$4:$F$68,3,FALSE)</f>
        <v xml:space="preserve">MORI GERACAO II </v>
      </c>
      <c r="D453" s="2" t="str">
        <f>VLOOKUP($A453,Controle!$B$4:$F$68,4,FALSE)</f>
        <v>Mori II</v>
      </c>
      <c r="E453" s="2">
        <f>VLOOKUP($A453,Controle!$B$4:$F$68,5,FALSE)</f>
        <v>1</v>
      </c>
      <c r="F453" s="3" t="str">
        <f t="shared" si="142"/>
        <v>Equipamentos Curva A -  Contrato Sobressalentes - Romagnole</v>
      </c>
      <c r="G453" s="2" t="str">
        <f>VLOOKUP($A453,Controle!$B$4:$G$68,6,FALSE)</f>
        <v>Mori</v>
      </c>
      <c r="H453" s="7">
        <v>0</v>
      </c>
      <c r="I453" s="7">
        <v>0</v>
      </c>
      <c r="J453" s="7">
        <v>0</v>
      </c>
      <c r="K453" s="7">
        <v>0</v>
      </c>
      <c r="L453" s="7">
        <v>0</v>
      </c>
      <c r="M453" s="7">
        <v>0</v>
      </c>
      <c r="N453" s="7">
        <v>0</v>
      </c>
      <c r="O453" s="4">
        <f t="shared" si="143"/>
        <v>0</v>
      </c>
      <c r="P453" s="17">
        <f>SUMIFS('Desenvolvimento diário'!$H:$H,'Desenvolvimento diário'!$Q:$Q,$B453,'Desenvolvimento diário'!$P:$P,$F453,'Desenvolvimento diário'!$R:$R,"Sim")</f>
        <v>0</v>
      </c>
      <c r="Q453" s="17">
        <f>SUMIFS('Desenvolvimento diário'!$H:$H,'Desenvolvimento diário'!$Q:$Q,$B453,'Desenvolvimento diário'!$P:$P,$F453,'Desenvolvimento diário'!$R:$R,"Não")</f>
        <v>0</v>
      </c>
      <c r="R453" s="4">
        <f t="shared" si="144"/>
        <v>0</v>
      </c>
      <c r="S453" s="4">
        <f t="shared" si="145"/>
        <v>0</v>
      </c>
      <c r="T453" s="12">
        <f t="shared" si="136"/>
        <v>0</v>
      </c>
      <c r="Y453" s="2"/>
      <c r="Z453" s="2"/>
      <c r="AA453" s="2"/>
      <c r="AB453" s="2"/>
      <c r="AC453" s="2"/>
    </row>
    <row r="454" spans="1:29" hidden="1">
      <c r="A454" s="2">
        <f t="shared" si="146"/>
        <v>13</v>
      </c>
      <c r="B454" s="2" t="str">
        <f>VLOOKUP($A454,Controle!$B$4:$F$68,2,FALSE)</f>
        <v>Patrocínio 3</v>
      </c>
      <c r="C454" s="2" t="str">
        <f>VLOOKUP($A454,Controle!$B$4:$F$68,3,FALSE)</f>
        <v xml:space="preserve">MORI GERACAO II </v>
      </c>
      <c r="D454" s="2" t="str">
        <f>VLOOKUP($A454,Controle!$B$4:$F$68,4,FALSE)</f>
        <v>Mori II</v>
      </c>
      <c r="E454" s="2">
        <f>VLOOKUP($A454,Controle!$B$4:$F$68,5,FALSE)</f>
        <v>1</v>
      </c>
      <c r="F454" s="3" t="str">
        <f t="shared" si="142"/>
        <v>GOS FLORESTAL - (PRAD - Recuperação Area Ambiental)</v>
      </c>
      <c r="G454" s="2" t="str">
        <f>VLOOKUP($A454,Controle!$B$4:$G$68,6,FALSE)</f>
        <v>Mori</v>
      </c>
      <c r="H454" s="506" t="s">
        <v>170</v>
      </c>
      <c r="I454" s="6">
        <v>0</v>
      </c>
      <c r="J454" s="506"/>
      <c r="K454" s="506">
        <v>0</v>
      </c>
      <c r="L454" s="506">
        <v>0</v>
      </c>
      <c r="M454" s="506">
        <v>0</v>
      </c>
      <c r="N454" s="506">
        <v>0</v>
      </c>
      <c r="O454" s="39">
        <f t="shared" si="143"/>
        <v>0</v>
      </c>
      <c r="P454" s="17">
        <f>SUMIFS('Desenvolvimento diário'!$H:$H,'Desenvolvimento diário'!$Q:$Q,$B454,'Desenvolvimento diário'!$P:$P,$F454,'Desenvolvimento diário'!$R:$R,"Sim")</f>
        <v>0</v>
      </c>
      <c r="Q454" s="17">
        <f>SUMIFS('Desenvolvimento diário'!$H:$H,'Desenvolvimento diário'!$Q:$Q,$B454,'Desenvolvimento diário'!$P:$P,$F454,'Desenvolvimento diário'!$R:$R,"Não")</f>
        <v>0</v>
      </c>
      <c r="R454" s="4">
        <f t="shared" si="144"/>
        <v>0</v>
      </c>
      <c r="S454" s="4">
        <f t="shared" si="145"/>
        <v>0</v>
      </c>
      <c r="T454" s="12">
        <f t="shared" ref="T454:T455" si="148">IFERROR(R454/O454,0)</f>
        <v>0</v>
      </c>
      <c r="Y454" s="2"/>
      <c r="Z454" s="2"/>
      <c r="AA454" s="2"/>
      <c r="AB454" s="2"/>
      <c r="AC454" s="2"/>
    </row>
    <row r="455" spans="1:29" hidden="1">
      <c r="A455" s="2">
        <f t="shared" si="146"/>
        <v>13</v>
      </c>
      <c r="B455" s="2" t="str">
        <f>VLOOKUP($A455,Controle!$B$4:$F$68,2,FALSE)</f>
        <v>Patrocínio 3</v>
      </c>
      <c r="C455" s="2" t="str">
        <f>VLOOKUP($A455,Controle!$B$4:$F$68,3,FALSE)</f>
        <v xml:space="preserve">MORI GERACAO II </v>
      </c>
      <c r="D455" s="2" t="str">
        <f>VLOOKUP($A455,Controle!$B$4:$F$68,4,FALSE)</f>
        <v>Mori II</v>
      </c>
      <c r="E455" s="2">
        <f>VLOOKUP($A455,Controle!$B$4:$F$68,5,FALSE)</f>
        <v>1</v>
      </c>
      <c r="F455" s="3" t="str">
        <f t="shared" si="142"/>
        <v>Cercamento das bacias de contenção ciclo 2</v>
      </c>
      <c r="G455" s="2" t="str">
        <f>VLOOKUP($A455,Controle!$B$4:$G$68,6,FALSE)</f>
        <v>Mori</v>
      </c>
      <c r="H455" s="506" t="s">
        <v>172</v>
      </c>
      <c r="I455" s="6"/>
      <c r="J455" s="506"/>
      <c r="K455" s="506">
        <v>0</v>
      </c>
      <c r="L455" s="506">
        <v>0</v>
      </c>
      <c r="M455" s="506">
        <v>0</v>
      </c>
      <c r="N455" s="506">
        <v>0</v>
      </c>
      <c r="O455" s="39">
        <f t="shared" si="143"/>
        <v>0</v>
      </c>
      <c r="P455" s="17">
        <f>SUMIFS('Desenvolvimento diário'!$H:$H,'Desenvolvimento diário'!$Q:$Q,$B455,'Desenvolvimento diário'!$P:$P,$F455,'Desenvolvimento diário'!$R:$R,"Sim")</f>
        <v>0</v>
      </c>
      <c r="Q455" s="17">
        <f>SUMIFS('Desenvolvimento diário'!$H:$H,'Desenvolvimento diário'!$Q:$Q,$B455,'Desenvolvimento diário'!$P:$P,$F455,'Desenvolvimento diário'!$R:$R,"Não")</f>
        <v>0</v>
      </c>
      <c r="R455" s="4">
        <f t="shared" si="144"/>
        <v>0</v>
      </c>
      <c r="S455" s="1030">
        <f t="shared" si="145"/>
        <v>0</v>
      </c>
      <c r="T455" s="12">
        <f t="shared" si="148"/>
        <v>0</v>
      </c>
      <c r="U455" s="1029" t="s">
        <v>166</v>
      </c>
      <c r="V455" s="1029" t="s">
        <v>94</v>
      </c>
      <c r="Y455" s="2"/>
      <c r="Z455" s="2"/>
      <c r="AA455" s="2"/>
      <c r="AB455" s="2"/>
      <c r="AC455" s="2"/>
    </row>
    <row r="456" spans="1:29" hidden="1">
      <c r="A456" s="8">
        <f>A453</f>
        <v>13</v>
      </c>
      <c r="B456" s="9" t="str">
        <f t="shared" ref="B456" si="149">B453</f>
        <v>Patrocínio 3</v>
      </c>
      <c r="C456" s="9" t="str">
        <f t="shared" ref="C456" si="150">C453</f>
        <v xml:space="preserve">MORI GERACAO II </v>
      </c>
      <c r="D456" s="9" t="str">
        <f t="shared" ref="D456" si="151">D453</f>
        <v>Mori II</v>
      </c>
      <c r="E456" s="9">
        <f t="shared" ref="E456" si="152">E453</f>
        <v>1</v>
      </c>
      <c r="F456" s="10" t="s">
        <v>158</v>
      </c>
      <c r="G456" s="9" t="str">
        <f>G453</f>
        <v>Mori</v>
      </c>
      <c r="H456" s="9"/>
      <c r="I456" s="9">
        <f>SUBTOTAL(9,I422:I455)</f>
        <v>0</v>
      </c>
      <c r="J456" s="9">
        <f t="shared" ref="J456:S456" si="153">SUBTOTAL(9,J422:J455)</f>
        <v>0</v>
      </c>
      <c r="K456" s="9">
        <f t="shared" si="153"/>
        <v>0</v>
      </c>
      <c r="L456" s="9">
        <f t="shared" si="153"/>
        <v>0</v>
      </c>
      <c r="M456" s="9">
        <f t="shared" si="153"/>
        <v>0</v>
      </c>
      <c r="N456" s="9">
        <f t="shared" si="153"/>
        <v>0</v>
      </c>
      <c r="O456" s="9">
        <f t="shared" si="153"/>
        <v>0</v>
      </c>
      <c r="P456" s="9">
        <f t="shared" si="153"/>
        <v>0</v>
      </c>
      <c r="Q456" s="9">
        <f t="shared" si="153"/>
        <v>0</v>
      </c>
      <c r="R456" s="9">
        <f t="shared" si="153"/>
        <v>0</v>
      </c>
      <c r="S456" s="9">
        <f t="shared" si="153"/>
        <v>0</v>
      </c>
      <c r="T456" s="13">
        <f>IFERROR(R456/O456,0)</f>
        <v>0</v>
      </c>
      <c r="U456" s="11">
        <f>SUBTOTAL(9,U422:U455)</f>
        <v>0</v>
      </c>
      <c r="Y456" s="2"/>
      <c r="Z456" s="2"/>
      <c r="AA456" s="2"/>
      <c r="AB456" s="2"/>
      <c r="AC456" s="2"/>
    </row>
    <row r="457" spans="1:29" hidden="1">
      <c r="A457" s="2">
        <f>A422+1</f>
        <v>14</v>
      </c>
      <c r="B457" s="2" t="str">
        <f>VLOOKUP($A457,Controle!$B$4:$F$68,2,FALSE)</f>
        <v>Varjão de Minas 1</v>
      </c>
      <c r="C457" s="2" t="str">
        <f>VLOOKUP($A457,Controle!$B$4:$F$68,3,FALSE)</f>
        <v xml:space="preserve">MORI GERACAO II </v>
      </c>
      <c r="D457" s="2" t="str">
        <f>VLOOKUP($A457,Controle!$B$4:$F$68,4,FALSE)</f>
        <v>Mori II</v>
      </c>
      <c r="E457" s="2" t="str">
        <f>VLOOKUP($A457,Controle!$B$4:$F$68,5,FALSE)</f>
        <v>Weg</v>
      </c>
      <c r="F457" s="3" t="str">
        <f t="shared" ref="F457:F490" si="154">F422</f>
        <v>Conexão AT - Obras</v>
      </c>
      <c r="G457" s="2" t="str">
        <f>VLOOKUP($A457,Controle!$B$4:$G$68,6,FALSE)</f>
        <v>Mori</v>
      </c>
      <c r="H457" s="6" t="s">
        <v>182</v>
      </c>
      <c r="I457" s="6">
        <v>0</v>
      </c>
      <c r="J457" s="6">
        <v>0</v>
      </c>
      <c r="K457" s="6">
        <v>0</v>
      </c>
      <c r="L457" s="6">
        <v>0</v>
      </c>
      <c r="M457" s="6">
        <v>0</v>
      </c>
      <c r="N457" s="6">
        <v>0</v>
      </c>
      <c r="O457" s="4">
        <f t="shared" ref="O457:O490" si="155">SUM(I457:N457)</f>
        <v>0</v>
      </c>
      <c r="P457" s="5">
        <f>SUMIFS('Desenvolvimento diário'!$H:$H,'Desenvolvimento diário'!$Q:$Q,$B457,'Desenvolvimento diário'!$P:$P,$F457,'Desenvolvimento diário'!$R:$R,"Sim")</f>
        <v>0</v>
      </c>
      <c r="Q457" s="5">
        <f>SUMIFS('Desenvolvimento diário'!$H:$H,'Desenvolvimento diário'!$Q:$Q,$B457,'Desenvolvimento diário'!$P:$P,$F457,'Desenvolvimento diário'!$R:$R,"Não")</f>
        <v>0</v>
      </c>
      <c r="R457" s="4">
        <f t="shared" ref="R457:R490" si="156">SUM(P457:Q457)</f>
        <v>0</v>
      </c>
      <c r="S457" s="4">
        <f t="shared" ref="S457:S490" si="157">O457-R457</f>
        <v>0</v>
      </c>
      <c r="T457" s="12">
        <f t="shared" si="136"/>
        <v>0</v>
      </c>
      <c r="Y457" s="2"/>
      <c r="Z457" s="2"/>
      <c r="AA457" s="2"/>
      <c r="AB457" s="2"/>
      <c r="AC457" s="2"/>
    </row>
    <row r="458" spans="1:29" ht="10.5" hidden="1">
      <c r="A458" s="2">
        <f t="shared" ref="A458:A490" si="158">A457</f>
        <v>14</v>
      </c>
      <c r="B458" s="2" t="str">
        <f>VLOOKUP($A458,Controle!$B$4:$F$68,2,FALSE)</f>
        <v>Varjão de Minas 1</v>
      </c>
      <c r="C458" s="2" t="str">
        <f>VLOOKUP($A458,Controle!$B$4:$F$68,3,FALSE)</f>
        <v xml:space="preserve">MORI GERACAO II </v>
      </c>
      <c r="D458" s="2" t="str">
        <f>VLOOKUP($A458,Controle!$B$4:$F$68,4,FALSE)</f>
        <v>Mori II</v>
      </c>
      <c r="E458" s="2" t="str">
        <f>VLOOKUP($A458,Controle!$B$4:$F$68,5,FALSE)</f>
        <v>Weg</v>
      </c>
      <c r="F458" s="3" t="str">
        <f t="shared" si="154"/>
        <v>Conexão MT - Obras</v>
      </c>
      <c r="G458" s="2" t="str">
        <f>VLOOKUP($A458,Controle!$B$4:$G$68,6,FALSE)</f>
        <v>Mori</v>
      </c>
      <c r="H458" s="6" t="s">
        <v>168</v>
      </c>
      <c r="I458" s="6">
        <v>2558850</v>
      </c>
      <c r="J458" s="6">
        <v>132000</v>
      </c>
      <c r="K458" s="6">
        <v>0</v>
      </c>
      <c r="L458" s="6">
        <v>0</v>
      </c>
      <c r="M458" s="6">
        <v>0</v>
      </c>
      <c r="N458" s="6">
        <v>0</v>
      </c>
      <c r="O458" s="4">
        <f t="shared" si="155"/>
        <v>2690850</v>
      </c>
      <c r="P458" s="5">
        <f>SUMIFS('Desenvolvimento diário'!$H:$H,'Desenvolvimento diário'!$Q:$Q,$B458,'Desenvolvimento diário'!$P:$P,$F458,'Desenvolvimento diário'!$R:$R,"Sim")</f>
        <v>1585212.46</v>
      </c>
      <c r="Q458" s="5">
        <f>SUMIFS('Desenvolvimento diário'!$H:$H,'Desenvolvimento diário'!$Q:$Q,$B458,'Desenvolvimento diário'!$P:$P,$F458,'Desenvolvimento diário'!$R:$R,"Não")</f>
        <v>1105637.54</v>
      </c>
      <c r="R458" s="4">
        <f t="shared" si="156"/>
        <v>2690850</v>
      </c>
      <c r="S458" s="27">
        <f t="shared" si="157"/>
        <v>0</v>
      </c>
      <c r="T458" s="12">
        <f t="shared" si="136"/>
        <v>1</v>
      </c>
      <c r="Y458" s="2"/>
      <c r="Z458" s="2"/>
      <c r="AA458" s="2"/>
      <c r="AB458" s="2"/>
      <c r="AC458" s="2"/>
    </row>
    <row r="459" spans="1:29" ht="10.5" hidden="1">
      <c r="A459" s="2">
        <f t="shared" si="158"/>
        <v>14</v>
      </c>
      <c r="B459" s="2" t="str">
        <f>VLOOKUP($A459,Controle!$B$4:$F$68,2,FALSE)</f>
        <v>Varjão de Minas 1</v>
      </c>
      <c r="C459" s="2" t="str">
        <f>VLOOKUP($A459,Controle!$B$4:$F$68,3,FALSE)</f>
        <v xml:space="preserve">MORI GERACAO II </v>
      </c>
      <c r="D459" s="2" t="str">
        <f>VLOOKUP($A459,Controle!$B$4:$F$68,4,FALSE)</f>
        <v>Mori II</v>
      </c>
      <c r="E459" s="2" t="str">
        <f>VLOOKUP($A459,Controle!$B$4:$F$68,5,FALSE)</f>
        <v>Weg</v>
      </c>
      <c r="F459" s="3" t="str">
        <f t="shared" si="154"/>
        <v>Construção - Serviços de Construção</v>
      </c>
      <c r="G459" s="2" t="str">
        <f>VLOOKUP($A459,Controle!$B$4:$G$68,6,FALSE)</f>
        <v>Mori</v>
      </c>
      <c r="H459" s="6">
        <v>0</v>
      </c>
      <c r="I459" s="6">
        <v>0</v>
      </c>
      <c r="J459" s="6">
        <v>0</v>
      </c>
      <c r="K459" s="6">
        <v>0</v>
      </c>
      <c r="L459" s="6">
        <v>0</v>
      </c>
      <c r="M459" s="6">
        <v>0</v>
      </c>
      <c r="N459" s="6">
        <v>0</v>
      </c>
      <c r="O459" s="4">
        <f t="shared" si="155"/>
        <v>0</v>
      </c>
      <c r="P459" s="5">
        <f>SUMIFS('Desenvolvimento diário'!$H:$H,'Desenvolvimento diário'!$Q:$Q,$B459,'Desenvolvimento diário'!$P:$P,$F459,'Desenvolvimento diário'!$R:$R,"Sim")</f>
        <v>0</v>
      </c>
      <c r="Q459" s="5">
        <f>SUMIFS('Desenvolvimento diário'!$H:$H,'Desenvolvimento diário'!$Q:$Q,$B459,'Desenvolvimento diário'!$P:$P,$F459,'Desenvolvimento diário'!$R:$R,"Não")</f>
        <v>0</v>
      </c>
      <c r="R459" s="4">
        <f t="shared" si="156"/>
        <v>0</v>
      </c>
      <c r="S459" s="4">
        <f t="shared" si="157"/>
        <v>0</v>
      </c>
      <c r="T459" s="12">
        <f t="shared" si="136"/>
        <v>0</v>
      </c>
      <c r="Y459" s="2"/>
      <c r="Z459" s="2"/>
      <c r="AA459" s="2"/>
      <c r="AB459" s="2"/>
      <c r="AC459" s="2"/>
    </row>
    <row r="460" spans="1:29" ht="10.5" hidden="1">
      <c r="A460" s="2">
        <f t="shared" si="158"/>
        <v>14</v>
      </c>
      <c r="B460" s="2" t="str">
        <f>VLOOKUP($A460,Controle!$B$4:$F$68,2,FALSE)</f>
        <v>Varjão de Minas 1</v>
      </c>
      <c r="C460" s="2" t="str">
        <f>VLOOKUP($A460,Controle!$B$4:$F$68,3,FALSE)</f>
        <v xml:space="preserve">MORI GERACAO II </v>
      </c>
      <c r="D460" s="2" t="str">
        <f>VLOOKUP($A460,Controle!$B$4:$F$68,4,FALSE)</f>
        <v>Mori II</v>
      </c>
      <c r="E460" s="2" t="str">
        <f>VLOOKUP($A460,Controle!$B$4:$F$68,5,FALSE)</f>
        <v>Weg</v>
      </c>
      <c r="F460" s="3" t="str">
        <f t="shared" si="154"/>
        <v>Construção - Serviços de Construção - Substituição</v>
      </c>
      <c r="G460" s="2" t="str">
        <f>VLOOKUP($A460,Controle!$B$4:$G$68,6,FALSE)</f>
        <v>Mori</v>
      </c>
      <c r="H460" s="6">
        <v>0</v>
      </c>
      <c r="I460" s="6">
        <v>0</v>
      </c>
      <c r="J460" s="6">
        <v>0</v>
      </c>
      <c r="K460" s="6">
        <v>0</v>
      </c>
      <c r="L460" s="6">
        <v>0</v>
      </c>
      <c r="M460" s="6">
        <v>0</v>
      </c>
      <c r="N460" s="6">
        <v>0</v>
      </c>
      <c r="O460" s="4">
        <f t="shared" si="155"/>
        <v>0</v>
      </c>
      <c r="P460" s="5">
        <f>SUMIFS('Desenvolvimento diário'!$H:$H,'Desenvolvimento diário'!$Q:$Q,$B460,'Desenvolvimento diário'!$P:$P,$F460,'Desenvolvimento diário'!$R:$R,"Sim")</f>
        <v>0</v>
      </c>
      <c r="Q460" s="5">
        <f>SUMIFS('Desenvolvimento diário'!$H:$H,'Desenvolvimento diário'!$Q:$Q,$B460,'Desenvolvimento diário'!$P:$P,$F460,'Desenvolvimento diário'!$R:$R,"Não")</f>
        <v>0</v>
      </c>
      <c r="R460" s="4">
        <f t="shared" si="156"/>
        <v>0</v>
      </c>
      <c r="S460" s="4">
        <f t="shared" si="157"/>
        <v>0</v>
      </c>
      <c r="T460" s="12">
        <f t="shared" si="136"/>
        <v>0</v>
      </c>
      <c r="Y460" s="2"/>
      <c r="Z460" s="2"/>
      <c r="AA460" s="2"/>
      <c r="AB460" s="2"/>
      <c r="AC460" s="2"/>
    </row>
    <row r="461" spans="1:29" ht="10.5" hidden="1">
      <c r="A461" s="2">
        <f t="shared" si="158"/>
        <v>14</v>
      </c>
      <c r="B461" s="2" t="str">
        <f>VLOOKUP($A461,Controle!$B$4:$F$68,2,FALSE)</f>
        <v>Varjão de Minas 1</v>
      </c>
      <c r="C461" s="2" t="str">
        <f>VLOOKUP($A461,Controle!$B$4:$F$68,3,FALSE)</f>
        <v xml:space="preserve">MORI GERACAO II </v>
      </c>
      <c r="D461" s="2" t="str">
        <f>VLOOKUP($A461,Controle!$B$4:$F$68,4,FALSE)</f>
        <v>Mori II</v>
      </c>
      <c r="E461" s="2" t="str">
        <f>VLOOKUP($A461,Controle!$B$4:$F$68,5,FALSE)</f>
        <v>Weg</v>
      </c>
      <c r="F461" s="3" t="str">
        <f t="shared" si="154"/>
        <v>Construção - RDA Interno</v>
      </c>
      <c r="G461" s="2" t="str">
        <f>VLOOKUP($A461,Controle!$B$4:$G$68,6,FALSE)</f>
        <v>Mori</v>
      </c>
      <c r="H461" s="6">
        <v>0</v>
      </c>
      <c r="I461" s="6">
        <v>0</v>
      </c>
      <c r="J461" s="6">
        <v>0</v>
      </c>
      <c r="K461" s="6">
        <v>0</v>
      </c>
      <c r="L461" s="6">
        <v>0</v>
      </c>
      <c r="M461" s="6">
        <v>0</v>
      </c>
      <c r="N461" s="6">
        <v>0</v>
      </c>
      <c r="O461" s="4">
        <f t="shared" si="155"/>
        <v>0</v>
      </c>
      <c r="P461" s="5">
        <f>SUMIFS('Desenvolvimento diário'!$H:$H,'Desenvolvimento diário'!$Q:$Q,$B461,'Desenvolvimento diário'!$P:$P,$F461,'Desenvolvimento diário'!$R:$R,"Sim")</f>
        <v>0</v>
      </c>
      <c r="Q461" s="5">
        <f>SUMIFS('Desenvolvimento diário'!$H:$H,'Desenvolvimento diário'!$Q:$Q,$B461,'Desenvolvimento diário'!$P:$P,$F461,'Desenvolvimento diário'!$R:$R,"Não")</f>
        <v>0</v>
      </c>
      <c r="R461" s="4">
        <f t="shared" si="156"/>
        <v>0</v>
      </c>
      <c r="S461" s="4">
        <f t="shared" si="157"/>
        <v>0</v>
      </c>
      <c r="T461" s="12">
        <f t="shared" si="136"/>
        <v>0</v>
      </c>
      <c r="Y461" s="2"/>
      <c r="Z461" s="2"/>
      <c r="AA461" s="2"/>
      <c r="AB461" s="2"/>
      <c r="AC461" s="2"/>
    </row>
    <row r="462" spans="1:29" ht="10.5" hidden="1">
      <c r="A462" s="2">
        <f t="shared" si="158"/>
        <v>14</v>
      </c>
      <c r="B462" s="2" t="str">
        <f>VLOOKUP($A462,Controle!$B$4:$F$68,2,FALSE)</f>
        <v>Varjão de Minas 1</v>
      </c>
      <c r="C462" s="2" t="str">
        <f>VLOOKUP($A462,Controle!$B$4:$F$68,3,FALSE)</f>
        <v xml:space="preserve">MORI GERACAO II </v>
      </c>
      <c r="D462" s="2" t="str">
        <f>VLOOKUP($A462,Controle!$B$4:$F$68,4,FALSE)</f>
        <v>Mori II</v>
      </c>
      <c r="E462" s="2" t="str">
        <f>VLOOKUP($A462,Controle!$B$4:$F$68,5,FALSE)</f>
        <v>Weg</v>
      </c>
      <c r="F462" s="3" t="str">
        <f t="shared" si="154"/>
        <v>Full EPC - Contrato</v>
      </c>
      <c r="G462" s="2" t="str">
        <f>VLOOKUP($A462,Controle!$B$4:$G$68,6,FALSE)</f>
        <v>Mori</v>
      </c>
      <c r="H462" s="6" t="s">
        <v>21</v>
      </c>
      <c r="I462" s="6">
        <f>5876755.31+(0.01)</f>
        <v>5876755.3199999994</v>
      </c>
      <c r="J462" s="6">
        <v>0</v>
      </c>
      <c r="K462" s="6">
        <v>0</v>
      </c>
      <c r="L462" s="6">
        <v>0</v>
      </c>
      <c r="M462" s="6">
        <v>0</v>
      </c>
      <c r="N462" s="6">
        <v>0</v>
      </c>
      <c r="O462" s="4">
        <f t="shared" si="155"/>
        <v>5876755.3199999994</v>
      </c>
      <c r="P462" s="5">
        <f>SUMIFS('Desenvolvimento diário'!$H:$H,'Desenvolvimento diário'!$Q:$Q,$B462,'Desenvolvimento diário'!$P:$P,$F462,'Desenvolvimento diário'!$R:$R,"Sim")</f>
        <v>0</v>
      </c>
      <c r="Q462" s="5">
        <f>SUMIFS('Desenvolvimento diário'!$H:$H,'Desenvolvimento diário'!$Q:$Q,$B462,'Desenvolvimento diário'!$P:$P,$F462,'Desenvolvimento diário'!$R:$R,"Não")</f>
        <v>5876755.3200000003</v>
      </c>
      <c r="R462" s="4">
        <f t="shared" si="156"/>
        <v>5876755.3200000003</v>
      </c>
      <c r="S462" s="93">
        <f t="shared" si="157"/>
        <v>0</v>
      </c>
      <c r="T462" s="12">
        <f t="shared" si="136"/>
        <v>1.0000000000000002</v>
      </c>
      <c r="Y462" s="2"/>
      <c r="Z462" s="2"/>
      <c r="AA462" s="2"/>
      <c r="AB462" s="2"/>
      <c r="AC462" s="2"/>
    </row>
    <row r="463" spans="1:29" ht="10.5" hidden="1">
      <c r="A463" s="2">
        <f t="shared" si="158"/>
        <v>14</v>
      </c>
      <c r="B463" s="2" t="str">
        <f>VLOOKUP($A463,Controle!$B$4:$F$68,2,FALSE)</f>
        <v>Varjão de Minas 1</v>
      </c>
      <c r="C463" s="2" t="str">
        <f>VLOOKUP($A463,Controle!$B$4:$F$68,3,FALSE)</f>
        <v xml:space="preserve">MORI GERACAO II </v>
      </c>
      <c r="D463" s="2" t="str">
        <f>VLOOKUP($A463,Controle!$B$4:$F$68,4,FALSE)</f>
        <v>Mori II</v>
      </c>
      <c r="E463" s="2" t="str">
        <f>VLOOKUP($A463,Controle!$B$4:$F$68,5,FALSE)</f>
        <v>Weg</v>
      </c>
      <c r="F463" s="3" t="str">
        <f t="shared" si="154"/>
        <v>Equipamentos Curva A - Outros (Transformadores)</v>
      </c>
      <c r="G463" s="2" t="str">
        <f>VLOOKUP($A463,Controle!$B$4:$G$68,6,FALSE)</f>
        <v>Mori</v>
      </c>
      <c r="H463" s="6">
        <v>0</v>
      </c>
      <c r="I463" s="6">
        <v>0</v>
      </c>
      <c r="J463" s="6">
        <v>0</v>
      </c>
      <c r="K463" s="6">
        <v>0</v>
      </c>
      <c r="L463" s="6">
        <v>0</v>
      </c>
      <c r="M463" s="6">
        <v>0</v>
      </c>
      <c r="N463" s="6">
        <v>0</v>
      </c>
      <c r="O463" s="4">
        <f t="shared" si="155"/>
        <v>0</v>
      </c>
      <c r="P463" s="5">
        <f>SUMIFS('Desenvolvimento diário'!$H:$H,'Desenvolvimento diário'!$Q:$Q,$B463,'Desenvolvimento diário'!$P:$P,$F463,'Desenvolvimento diário'!$R:$R,"Sim")</f>
        <v>0</v>
      </c>
      <c r="Q463" s="5">
        <f>SUMIFS('Desenvolvimento diário'!$H:$H,'Desenvolvimento diário'!$Q:$Q,$B463,'Desenvolvimento diário'!$P:$P,$F463,'Desenvolvimento diário'!$R:$R,"Não")</f>
        <v>0</v>
      </c>
      <c r="R463" s="4">
        <f t="shared" si="156"/>
        <v>0</v>
      </c>
      <c r="S463" s="4">
        <f t="shared" si="157"/>
        <v>0</v>
      </c>
      <c r="T463" s="12">
        <f t="shared" si="136"/>
        <v>0</v>
      </c>
      <c r="Y463" s="2"/>
      <c r="Z463" s="2"/>
      <c r="AA463" s="2"/>
      <c r="AB463" s="2"/>
      <c r="AC463" s="2"/>
    </row>
    <row r="464" spans="1:29" ht="10.5" hidden="1">
      <c r="A464" s="2">
        <f t="shared" si="158"/>
        <v>14</v>
      </c>
      <c r="B464" s="2" t="str">
        <f>VLOOKUP($A464,Controle!$B$4:$F$68,2,FALSE)</f>
        <v>Varjão de Minas 1</v>
      </c>
      <c r="C464" s="2" t="str">
        <f>VLOOKUP($A464,Controle!$B$4:$F$68,3,FALSE)</f>
        <v xml:space="preserve">MORI GERACAO II </v>
      </c>
      <c r="D464" s="2" t="str">
        <f>VLOOKUP($A464,Controle!$B$4:$F$68,4,FALSE)</f>
        <v>Mori II</v>
      </c>
      <c r="E464" s="2" t="str">
        <f>VLOOKUP($A464,Controle!$B$4:$F$68,5,FALSE)</f>
        <v>Weg</v>
      </c>
      <c r="F464" s="3" t="str">
        <f t="shared" si="154"/>
        <v>Equipamentos Curva A - Outros (Cabine + Skid)</v>
      </c>
      <c r="G464" s="2" t="str">
        <f>VLOOKUP($A464,Controle!$B$4:$G$68,6,FALSE)</f>
        <v>Mori</v>
      </c>
      <c r="H464" s="6">
        <v>0</v>
      </c>
      <c r="I464" s="6">
        <v>0</v>
      </c>
      <c r="J464" s="6">
        <v>0</v>
      </c>
      <c r="K464" s="6">
        <v>0</v>
      </c>
      <c r="L464" s="6">
        <v>0</v>
      </c>
      <c r="M464" s="6">
        <v>0</v>
      </c>
      <c r="N464" s="6">
        <v>0</v>
      </c>
      <c r="O464" s="4">
        <f t="shared" si="155"/>
        <v>0</v>
      </c>
      <c r="P464" s="5">
        <f>SUMIFS('Desenvolvimento diário'!$H:$H,'Desenvolvimento diário'!$Q:$Q,$B464,'Desenvolvimento diário'!$P:$P,$F464,'Desenvolvimento diário'!$R:$R,"Sim")</f>
        <v>0</v>
      </c>
      <c r="Q464" s="5">
        <f>SUMIFS('Desenvolvimento diário'!$H:$H,'Desenvolvimento diário'!$Q:$Q,$B464,'Desenvolvimento diário'!$P:$P,$F464,'Desenvolvimento diário'!$R:$R,"Não")</f>
        <v>0</v>
      </c>
      <c r="R464" s="4">
        <f t="shared" si="156"/>
        <v>0</v>
      </c>
      <c r="S464" s="4">
        <f t="shared" si="157"/>
        <v>0</v>
      </c>
      <c r="T464" s="12">
        <f t="shared" si="136"/>
        <v>0</v>
      </c>
      <c r="Y464" s="2"/>
      <c r="Z464" s="2"/>
      <c r="AA464" s="2"/>
      <c r="AB464" s="2"/>
      <c r="AC464" s="2"/>
    </row>
    <row r="465" spans="1:29" ht="10.5" hidden="1">
      <c r="A465" s="2">
        <f t="shared" si="158"/>
        <v>14</v>
      </c>
      <c r="B465" s="2" t="str">
        <f>VLOOKUP($A465,Controle!$B$4:$F$68,2,FALSE)</f>
        <v>Varjão de Minas 1</v>
      </c>
      <c r="C465" s="2" t="str">
        <f>VLOOKUP($A465,Controle!$B$4:$F$68,3,FALSE)</f>
        <v xml:space="preserve">MORI GERACAO II </v>
      </c>
      <c r="D465" s="2" t="str">
        <f>VLOOKUP($A465,Controle!$B$4:$F$68,4,FALSE)</f>
        <v>Mori II</v>
      </c>
      <c r="E465" s="2" t="str">
        <f>VLOOKUP($A465,Controle!$B$4:$F$68,5,FALSE)</f>
        <v>Weg</v>
      </c>
      <c r="F465" s="3" t="str">
        <f t="shared" si="154"/>
        <v>Equipamentos Curva A - Outros (Cabine + Skid + Transformador)</v>
      </c>
      <c r="G465" s="2" t="str">
        <f>VLOOKUP($A465,Controle!$B$4:$G$68,6,FALSE)</f>
        <v>Mori</v>
      </c>
      <c r="H465" s="6" t="s">
        <v>144</v>
      </c>
      <c r="I465" s="6">
        <v>86671.540000000008</v>
      </c>
      <c r="J465" s="6">
        <v>0</v>
      </c>
      <c r="K465" s="6">
        <v>0</v>
      </c>
      <c r="L465" s="6">
        <v>0</v>
      </c>
      <c r="M465" s="6">
        <v>0</v>
      </c>
      <c r="N465" s="6">
        <v>0</v>
      </c>
      <c r="O465" s="4">
        <f t="shared" si="155"/>
        <v>86671.540000000008</v>
      </c>
      <c r="P465" s="5">
        <f>SUMIFS('Desenvolvimento diário'!$H:$H,'Desenvolvimento diário'!$Q:$Q,$B465,'Desenvolvimento diário'!$P:$P,$F465,'Desenvolvimento diário'!$R:$R,"Sim")</f>
        <v>0</v>
      </c>
      <c r="Q465" s="5">
        <f>SUMIFS('Desenvolvimento diário'!$H:$H,'Desenvolvimento diário'!$Q:$Q,$B465,'Desenvolvimento diário'!$P:$P,$F465,'Desenvolvimento diário'!$R:$R,"Não")</f>
        <v>86671.540000000008</v>
      </c>
      <c r="R465" s="4">
        <f t="shared" si="156"/>
        <v>86671.540000000008</v>
      </c>
      <c r="S465" s="4">
        <f t="shared" si="157"/>
        <v>0</v>
      </c>
      <c r="T465" s="12">
        <f t="shared" si="136"/>
        <v>1</v>
      </c>
      <c r="Y465" s="2"/>
      <c r="Z465" s="2"/>
      <c r="AA465" s="2"/>
      <c r="AB465" s="2"/>
      <c r="AC465" s="2"/>
    </row>
    <row r="466" spans="1:29" ht="10.5" hidden="1">
      <c r="A466" s="2">
        <f t="shared" si="158"/>
        <v>14</v>
      </c>
      <c r="B466" s="2" t="str">
        <f>VLOOKUP($A466,Controle!$B$4:$F$68,2,FALSE)</f>
        <v>Varjão de Minas 1</v>
      </c>
      <c r="C466" s="2" t="str">
        <f>VLOOKUP($A466,Controle!$B$4:$F$68,3,FALSE)</f>
        <v xml:space="preserve">MORI GERACAO II </v>
      </c>
      <c r="D466" s="2" t="str">
        <f>VLOOKUP($A466,Controle!$B$4:$F$68,4,FALSE)</f>
        <v>Mori II</v>
      </c>
      <c r="E466" s="2" t="str">
        <f>VLOOKUP($A466,Controle!$B$4:$F$68,5,FALSE)</f>
        <v>Weg</v>
      </c>
      <c r="F466" s="3" t="str">
        <f t="shared" si="154"/>
        <v>Desenvolvimento de projeto - Projetos - (Eng° Proprietario)</v>
      </c>
      <c r="G466" s="2" t="str">
        <f>VLOOKUP($A466,Controle!$B$4:$G$68,6,FALSE)</f>
        <v>Mori</v>
      </c>
      <c r="H466" s="6" t="s">
        <v>176</v>
      </c>
      <c r="I466" s="6">
        <f>R466</f>
        <v>79000.599999999991</v>
      </c>
      <c r="J466" s="6">
        <v>0</v>
      </c>
      <c r="K466" s="6">
        <v>0</v>
      </c>
      <c r="L466" s="6">
        <v>0</v>
      </c>
      <c r="M466" s="6">
        <v>0</v>
      </c>
      <c r="N466" s="6">
        <v>0</v>
      </c>
      <c r="O466" s="4">
        <f t="shared" si="155"/>
        <v>79000.599999999991</v>
      </c>
      <c r="P466" s="5">
        <f>SUMIFS('Desenvolvimento diário'!$H:$H,'Desenvolvimento diário'!$Q:$Q,$B466,'Desenvolvimento diário'!$P:$P,$F466,'Desenvolvimento diário'!$R:$R,"Sim")</f>
        <v>0</v>
      </c>
      <c r="Q466" s="5">
        <f>SUMIFS('Desenvolvimento diário'!$H:$H,'Desenvolvimento diário'!$Q:$Q,$B466,'Desenvolvimento diário'!$P:$P,$F466,'Desenvolvimento diário'!$R:$R,"Não")</f>
        <v>79000.599999999991</v>
      </c>
      <c r="R466" s="4">
        <f t="shared" si="156"/>
        <v>79000.599999999991</v>
      </c>
      <c r="S466" s="4">
        <f t="shared" si="157"/>
        <v>0</v>
      </c>
      <c r="T466" s="12">
        <f t="shared" si="136"/>
        <v>1</v>
      </c>
      <c r="Y466" s="2"/>
      <c r="Z466" s="2"/>
      <c r="AA466" s="2"/>
      <c r="AB466" s="2"/>
      <c r="AC466" s="2"/>
    </row>
    <row r="467" spans="1:29" ht="10.5" hidden="1">
      <c r="A467" s="2">
        <f t="shared" si="158"/>
        <v>14</v>
      </c>
      <c r="B467" s="2" t="str">
        <f>VLOOKUP($A467,Controle!$B$4:$F$68,2,FALSE)</f>
        <v>Varjão de Minas 1</v>
      </c>
      <c r="C467" s="2" t="str">
        <f>VLOOKUP($A467,Controle!$B$4:$F$68,3,FALSE)</f>
        <v xml:space="preserve">MORI GERACAO II </v>
      </c>
      <c r="D467" s="2" t="str">
        <f>VLOOKUP($A467,Controle!$B$4:$F$68,4,FALSE)</f>
        <v>Mori II</v>
      </c>
      <c r="E467" s="2" t="str">
        <f>VLOOKUP($A467,Controle!$B$4:$F$68,5,FALSE)</f>
        <v>Weg</v>
      </c>
      <c r="F467" s="3" t="str">
        <f t="shared" si="154"/>
        <v>Desenvolvimento de projeto - Projetos - Executivos</v>
      </c>
      <c r="G467" s="2" t="str">
        <f>VLOOKUP($A467,Controle!$B$4:$G$68,6,FALSE)</f>
        <v>Mori</v>
      </c>
      <c r="H467" s="6">
        <v>0</v>
      </c>
      <c r="I467" s="6">
        <v>0</v>
      </c>
      <c r="J467" s="6">
        <v>0</v>
      </c>
      <c r="K467" s="6">
        <v>0</v>
      </c>
      <c r="L467" s="6">
        <v>0</v>
      </c>
      <c r="M467" s="6">
        <v>0</v>
      </c>
      <c r="N467" s="6">
        <v>0</v>
      </c>
      <c r="O467" s="4">
        <f t="shared" si="155"/>
        <v>0</v>
      </c>
      <c r="P467" s="5">
        <f>SUMIFS('Desenvolvimento diário'!$H:$H,'Desenvolvimento diário'!$Q:$Q,$B467,'Desenvolvimento diário'!$P:$P,$F467,'Desenvolvimento diário'!$R:$R,"Sim")</f>
        <v>0</v>
      </c>
      <c r="Q467" s="5">
        <f>SUMIFS('Desenvolvimento diário'!$H:$H,'Desenvolvimento diário'!$Q:$Q,$B467,'Desenvolvimento diário'!$P:$P,$F467,'Desenvolvimento diário'!$R:$R,"Não")</f>
        <v>0</v>
      </c>
      <c r="R467" s="4">
        <f t="shared" si="156"/>
        <v>0</v>
      </c>
      <c r="S467" s="4">
        <f t="shared" si="157"/>
        <v>0</v>
      </c>
      <c r="T467" s="12">
        <f t="shared" si="136"/>
        <v>0</v>
      </c>
      <c r="Y467" s="2"/>
      <c r="Z467" s="2"/>
      <c r="AA467" s="2"/>
      <c r="AB467" s="2"/>
      <c r="AC467" s="2"/>
    </row>
    <row r="468" spans="1:29" ht="10.5" hidden="1">
      <c r="A468" s="2">
        <f t="shared" si="158"/>
        <v>14</v>
      </c>
      <c r="B468" s="2" t="str">
        <f>VLOOKUP($A468,Controle!$B$4:$F$68,2,FALSE)</f>
        <v>Varjão de Minas 1</v>
      </c>
      <c r="C468" s="2" t="str">
        <f>VLOOKUP($A468,Controle!$B$4:$F$68,3,FALSE)</f>
        <v xml:space="preserve">MORI GERACAO II </v>
      </c>
      <c r="D468" s="2" t="str">
        <f>VLOOKUP($A468,Controle!$B$4:$F$68,4,FALSE)</f>
        <v>Mori II</v>
      </c>
      <c r="E468" s="2" t="str">
        <f>VLOOKUP($A468,Controle!$B$4:$F$68,5,FALSE)</f>
        <v>Weg</v>
      </c>
      <c r="F468" s="3" t="str">
        <f t="shared" si="154"/>
        <v>Desenvolvimento de projeto - Projetos Básica</v>
      </c>
      <c r="G468" s="2" t="str">
        <f>VLOOKUP($A468,Controle!$B$4:$G$68,6,FALSE)</f>
        <v>Mori</v>
      </c>
      <c r="H468" s="6">
        <v>0</v>
      </c>
      <c r="I468" s="6">
        <v>0</v>
      </c>
      <c r="J468" s="6">
        <v>0</v>
      </c>
      <c r="K468" s="6">
        <v>0</v>
      </c>
      <c r="L468" s="6">
        <v>0</v>
      </c>
      <c r="M468" s="6">
        <v>0</v>
      </c>
      <c r="N468" s="6">
        <v>0</v>
      </c>
      <c r="O468" s="4">
        <f t="shared" si="155"/>
        <v>0</v>
      </c>
      <c r="P468" s="5">
        <f>SUMIFS('Desenvolvimento diário'!$H:$H,'Desenvolvimento diário'!$Q:$Q,$B468,'Desenvolvimento diário'!$P:$P,$F468,'Desenvolvimento diário'!$R:$R,"Sim")</f>
        <v>0</v>
      </c>
      <c r="Q468" s="5">
        <f>SUMIFS('Desenvolvimento diário'!$H:$H,'Desenvolvimento diário'!$Q:$Q,$B468,'Desenvolvimento diário'!$P:$P,$F468,'Desenvolvimento diário'!$R:$R,"Não")</f>
        <v>0</v>
      </c>
      <c r="R468" s="4">
        <f t="shared" si="156"/>
        <v>0</v>
      </c>
      <c r="S468" s="4">
        <f t="shared" si="157"/>
        <v>0</v>
      </c>
      <c r="T468" s="12">
        <f t="shared" si="136"/>
        <v>0</v>
      </c>
      <c r="Y468" s="2"/>
      <c r="Z468" s="2"/>
      <c r="AA468" s="2"/>
      <c r="AB468" s="2"/>
      <c r="AC468" s="2"/>
    </row>
    <row r="469" spans="1:29" ht="10.5" hidden="1">
      <c r="A469" s="2">
        <f t="shared" si="158"/>
        <v>14</v>
      </c>
      <c r="B469" s="2" t="str">
        <f>VLOOKUP($A469,Controle!$B$4:$F$68,2,FALSE)</f>
        <v>Varjão de Minas 1</v>
      </c>
      <c r="C469" s="2" t="str">
        <f>VLOOKUP($A469,Controle!$B$4:$F$68,3,FALSE)</f>
        <v xml:space="preserve">MORI GERACAO II </v>
      </c>
      <c r="D469" s="2" t="str">
        <f>VLOOKUP($A469,Controle!$B$4:$F$68,4,FALSE)</f>
        <v>Mori II</v>
      </c>
      <c r="E469" s="2" t="str">
        <f>VLOOKUP($A469,Controle!$B$4:$F$68,5,FALSE)</f>
        <v>Weg</v>
      </c>
      <c r="F469" s="3" t="str">
        <f t="shared" si="154"/>
        <v>Desenvolvimento de projeto - Projetos Detalhada</v>
      </c>
      <c r="G469" s="2" t="str">
        <f>VLOOKUP($A469,Controle!$B$4:$G$68,6,FALSE)</f>
        <v>Mori</v>
      </c>
      <c r="H469" s="6">
        <v>0</v>
      </c>
      <c r="I469" s="6">
        <v>0</v>
      </c>
      <c r="J469" s="6">
        <v>0</v>
      </c>
      <c r="K469" s="6">
        <v>0</v>
      </c>
      <c r="L469" s="6">
        <v>0</v>
      </c>
      <c r="M469" s="6">
        <v>0</v>
      </c>
      <c r="N469" s="6">
        <v>0</v>
      </c>
      <c r="O469" s="4">
        <f t="shared" si="155"/>
        <v>0</v>
      </c>
      <c r="P469" s="5">
        <f>SUMIFS('Desenvolvimento diário'!$H:$H,'Desenvolvimento diário'!$Q:$Q,$B469,'Desenvolvimento diário'!$P:$P,$F469,'Desenvolvimento diário'!$R:$R,"Sim")</f>
        <v>0</v>
      </c>
      <c r="Q469" s="5">
        <f>SUMIFS('Desenvolvimento diário'!$H:$H,'Desenvolvimento diário'!$Q:$Q,$B469,'Desenvolvimento diário'!$P:$P,$F469,'Desenvolvimento diário'!$R:$R,"Não")</f>
        <v>0</v>
      </c>
      <c r="R469" s="4">
        <f t="shared" si="156"/>
        <v>0</v>
      </c>
      <c r="S469" s="4">
        <f t="shared" si="157"/>
        <v>0</v>
      </c>
      <c r="T469" s="12">
        <f t="shared" si="136"/>
        <v>0</v>
      </c>
      <c r="Y469" s="2"/>
      <c r="Z469" s="2"/>
      <c r="AA469" s="2"/>
      <c r="AB469" s="2"/>
      <c r="AC469" s="2"/>
    </row>
    <row r="470" spans="1:29" ht="10.5" hidden="1">
      <c r="A470" s="2">
        <f t="shared" si="158"/>
        <v>14</v>
      </c>
      <c r="B470" s="2" t="str">
        <f>VLOOKUP($A470,Controle!$B$4:$F$68,2,FALSE)</f>
        <v>Varjão de Minas 1</v>
      </c>
      <c r="C470" s="2" t="str">
        <f>VLOOKUP($A470,Controle!$B$4:$F$68,3,FALSE)</f>
        <v xml:space="preserve">MORI GERACAO II </v>
      </c>
      <c r="D470" s="2" t="str">
        <f>VLOOKUP($A470,Controle!$B$4:$F$68,4,FALSE)</f>
        <v>Mori II</v>
      </c>
      <c r="E470" s="2" t="str">
        <f>VLOOKUP($A470,Controle!$B$4:$F$68,5,FALSE)</f>
        <v>Weg</v>
      </c>
      <c r="F470" s="3" t="str">
        <f t="shared" si="154"/>
        <v>Desenvolvimento de projeto - Ambiental / Outros</v>
      </c>
      <c r="G470" s="2" t="str">
        <f>VLOOKUP($A470,Controle!$B$4:$G$68,6,FALSE)</f>
        <v>Mori</v>
      </c>
      <c r="H470" s="6" t="s">
        <v>148</v>
      </c>
      <c r="I470" s="6">
        <f>R470</f>
        <v>18491.489999999998</v>
      </c>
      <c r="J470" s="6">
        <v>0</v>
      </c>
      <c r="K470" s="6">
        <v>0</v>
      </c>
      <c r="L470" s="6">
        <v>0</v>
      </c>
      <c r="M470" s="6">
        <v>0</v>
      </c>
      <c r="N470" s="6">
        <v>0</v>
      </c>
      <c r="O470" s="4">
        <f t="shared" si="155"/>
        <v>18491.489999999998</v>
      </c>
      <c r="P470" s="5">
        <f>SUMIFS('Desenvolvimento diário'!$H:$H,'Desenvolvimento diário'!$Q:$Q,$B470,'Desenvolvimento diário'!$P:$P,$F470,'Desenvolvimento diário'!$R:$R,"Sim")</f>
        <v>0</v>
      </c>
      <c r="Q470" s="5">
        <f>SUMIFS('Desenvolvimento diário'!$H:$H,'Desenvolvimento diário'!$Q:$Q,$B470,'Desenvolvimento diário'!$P:$P,$F470,'Desenvolvimento diário'!$R:$R,"Não")</f>
        <v>18491.489999999998</v>
      </c>
      <c r="R470" s="4">
        <f t="shared" si="156"/>
        <v>18491.489999999998</v>
      </c>
      <c r="S470" s="4">
        <f t="shared" si="157"/>
        <v>0</v>
      </c>
      <c r="T470" s="12">
        <f t="shared" si="136"/>
        <v>1</v>
      </c>
      <c r="Y470" s="2"/>
      <c r="Z470" s="2"/>
      <c r="AA470" s="2"/>
      <c r="AB470" s="2"/>
      <c r="AC470" s="2"/>
    </row>
    <row r="471" spans="1:29" hidden="1">
      <c r="A471" s="2">
        <f t="shared" si="158"/>
        <v>14</v>
      </c>
      <c r="B471" s="2" t="str">
        <f>VLOOKUP($A471,Controle!$B$4:$F$68,2,FALSE)</f>
        <v>Varjão de Minas 1</v>
      </c>
      <c r="C471" s="2" t="str">
        <f>VLOOKUP($A471,Controle!$B$4:$F$68,3,FALSE)</f>
        <v xml:space="preserve">MORI GERACAO II </v>
      </c>
      <c r="D471" s="2" t="str">
        <f>VLOOKUP($A471,Controle!$B$4:$F$68,4,FALSE)</f>
        <v>Mori II</v>
      </c>
      <c r="E471" s="2" t="str">
        <f>VLOOKUP($A471,Controle!$B$4:$F$68,5,FALSE)</f>
        <v>Weg</v>
      </c>
      <c r="F471" s="3" t="str">
        <f t="shared" si="154"/>
        <v>Desenvolvimento de projeto - Coordenograma</v>
      </c>
      <c r="G471" s="2" t="str">
        <f>VLOOKUP($A471,Controle!$B$4:$G$68,6,FALSE)</f>
        <v>Mori</v>
      </c>
      <c r="H471" s="31" t="s">
        <v>149</v>
      </c>
      <c r="I471" s="31">
        <v>6206.9</v>
      </c>
      <c r="J471" s="31">
        <v>2281.25</v>
      </c>
      <c r="K471" s="31">
        <v>6206.9</v>
      </c>
      <c r="L471" s="6">
        <v>0</v>
      </c>
      <c r="M471" s="6">
        <v>0</v>
      </c>
      <c r="N471" s="6">
        <v>0</v>
      </c>
      <c r="O471" s="4">
        <f t="shared" si="155"/>
        <v>14695.05</v>
      </c>
      <c r="P471" s="5">
        <f>SUMIFS('Desenvolvimento diário'!$H:$H,'Desenvolvimento diário'!$Q:$Q,$B471,'Desenvolvimento diário'!$P:$P,$F471,'Desenvolvimento diário'!$R:$R,"Sim")</f>
        <v>0</v>
      </c>
      <c r="Q471" s="5">
        <f>SUMIFS('Desenvolvimento diário'!$H:$H,'Desenvolvimento diário'!$Q:$Q,$B471,'Desenvolvimento diário'!$P:$P,$F471,'Desenvolvimento diário'!$R:$R,"Não")</f>
        <v>14695.05</v>
      </c>
      <c r="R471" s="4">
        <f t="shared" si="156"/>
        <v>14695.05</v>
      </c>
      <c r="S471" s="4">
        <f t="shared" si="157"/>
        <v>0</v>
      </c>
      <c r="T471" s="12">
        <f t="shared" si="136"/>
        <v>1</v>
      </c>
      <c r="Y471" s="2"/>
      <c r="Z471" s="2"/>
      <c r="AA471" s="2"/>
      <c r="AB471" s="2"/>
      <c r="AC471" s="2"/>
    </row>
    <row r="472" spans="1:29" ht="10.5" hidden="1">
      <c r="A472" s="2">
        <f t="shared" si="158"/>
        <v>14</v>
      </c>
      <c r="B472" s="2" t="str">
        <f>VLOOKUP($A472,Controle!$B$4:$F$68,2,FALSE)</f>
        <v>Varjão de Minas 1</v>
      </c>
      <c r="C472" s="2" t="str">
        <f>VLOOKUP($A472,Controle!$B$4:$F$68,3,FALSE)</f>
        <v xml:space="preserve">MORI GERACAO II </v>
      </c>
      <c r="D472" s="2" t="str">
        <f>VLOOKUP($A472,Controle!$B$4:$F$68,4,FALSE)</f>
        <v>Mori II</v>
      </c>
      <c r="E472" s="2" t="str">
        <f>VLOOKUP($A472,Controle!$B$4:$F$68,5,FALSE)</f>
        <v>Weg</v>
      </c>
      <c r="F472" s="3" t="str">
        <f t="shared" si="154"/>
        <v>Sistemas de Monitoramento - Supervisório</v>
      </c>
      <c r="G472" s="2" t="str">
        <f>VLOOKUP($A472,Controle!$B$4:$G$68,6,FALSE)</f>
        <v>Mori</v>
      </c>
      <c r="H472" s="6" t="s">
        <v>150</v>
      </c>
      <c r="I472" s="6">
        <v>115880.33</v>
      </c>
      <c r="J472" s="6"/>
      <c r="K472" s="6">
        <v>0</v>
      </c>
      <c r="L472" s="6">
        <v>0</v>
      </c>
      <c r="M472" s="6">
        <v>0</v>
      </c>
      <c r="N472" s="6">
        <v>0</v>
      </c>
      <c r="O472" s="4">
        <f t="shared" si="155"/>
        <v>115880.33</v>
      </c>
      <c r="P472" s="5">
        <f>SUMIFS('Desenvolvimento diário'!$H:$H,'Desenvolvimento diário'!$Q:$Q,$B472,'Desenvolvimento diário'!$P:$P,$F472,'Desenvolvimento diário'!$R:$R,"Sim")</f>
        <v>0</v>
      </c>
      <c r="Q472" s="5">
        <f>SUMIFS('Desenvolvimento diário'!$H:$H,'Desenvolvimento diário'!$Q:$Q,$B472,'Desenvolvimento diário'!$P:$P,$F472,'Desenvolvimento diário'!$R:$R,"Não")</f>
        <v>115880.33</v>
      </c>
      <c r="R472" s="4">
        <f t="shared" si="156"/>
        <v>115880.33</v>
      </c>
      <c r="S472" s="4">
        <f t="shared" si="157"/>
        <v>0</v>
      </c>
      <c r="T472" s="12">
        <f t="shared" si="136"/>
        <v>1</v>
      </c>
      <c r="Y472" s="2"/>
      <c r="Z472" s="2"/>
      <c r="AA472" s="2"/>
      <c r="AB472" s="2"/>
      <c r="AC472" s="2"/>
    </row>
    <row r="473" spans="1:29" ht="10.5" hidden="1">
      <c r="A473" s="2">
        <f t="shared" si="158"/>
        <v>14</v>
      </c>
      <c r="B473" s="2" t="str">
        <f>VLOOKUP($A473,Controle!$B$4:$F$68,2,FALSE)</f>
        <v>Varjão de Minas 1</v>
      </c>
      <c r="C473" s="2" t="str">
        <f>VLOOKUP($A473,Controle!$B$4:$F$68,3,FALSE)</f>
        <v xml:space="preserve">MORI GERACAO II </v>
      </c>
      <c r="D473" s="2" t="str">
        <f>VLOOKUP($A473,Controle!$B$4:$F$68,4,FALSE)</f>
        <v>Mori II</v>
      </c>
      <c r="E473" s="2" t="str">
        <f>VLOOKUP($A473,Controle!$B$4:$F$68,5,FALSE)</f>
        <v>Weg</v>
      </c>
      <c r="F473" s="3" t="str">
        <f t="shared" si="154"/>
        <v>Sistemas de Monitoramento - Estações Solarimétricas</v>
      </c>
      <c r="G473" s="2" t="str">
        <f>VLOOKUP($A473,Controle!$B$4:$G$68,6,FALSE)</f>
        <v>Mori</v>
      </c>
      <c r="H473" s="6">
        <v>0</v>
      </c>
      <c r="I473" s="6">
        <v>0</v>
      </c>
      <c r="J473" s="6">
        <v>0</v>
      </c>
      <c r="K473" s="6">
        <v>0</v>
      </c>
      <c r="L473" s="6">
        <v>0</v>
      </c>
      <c r="M473" s="6">
        <v>0</v>
      </c>
      <c r="N473" s="6">
        <v>0</v>
      </c>
      <c r="O473" s="4">
        <f t="shared" si="155"/>
        <v>0</v>
      </c>
      <c r="P473" s="5">
        <f>SUMIFS('Desenvolvimento diário'!$H:$H,'Desenvolvimento diário'!$Q:$Q,$B473,'Desenvolvimento diário'!$P:$P,$F473,'Desenvolvimento diário'!$R:$R,"Sim")</f>
        <v>0</v>
      </c>
      <c r="Q473" s="5">
        <f>SUMIFS('Desenvolvimento diário'!$H:$H,'Desenvolvimento diário'!$Q:$Q,$B473,'Desenvolvimento diário'!$P:$P,$F473,'Desenvolvimento diário'!$R:$R,"Não")</f>
        <v>0</v>
      </c>
      <c r="R473" s="4">
        <f t="shared" si="156"/>
        <v>0</v>
      </c>
      <c r="S473" s="4">
        <f t="shared" si="157"/>
        <v>0</v>
      </c>
      <c r="T473" s="12">
        <f t="shared" si="136"/>
        <v>0</v>
      </c>
      <c r="Y473" s="2"/>
      <c r="Z473" s="2"/>
      <c r="AA473" s="2"/>
      <c r="AB473" s="2"/>
      <c r="AC473" s="2"/>
    </row>
    <row r="474" spans="1:29" hidden="1">
      <c r="A474" s="2">
        <f t="shared" si="158"/>
        <v>14</v>
      </c>
      <c r="B474" s="2" t="str">
        <f>VLOOKUP($A474,Controle!$B$4:$F$68,2,FALSE)</f>
        <v>Varjão de Minas 1</v>
      </c>
      <c r="C474" s="2" t="str">
        <f>VLOOKUP($A474,Controle!$B$4:$F$68,3,FALSE)</f>
        <v xml:space="preserve">MORI GERACAO II </v>
      </c>
      <c r="D474" s="2" t="str">
        <f>VLOOKUP($A474,Controle!$B$4:$F$68,4,FALSE)</f>
        <v>Mori II</v>
      </c>
      <c r="E474" s="2" t="str">
        <f>VLOOKUP($A474,Controle!$B$4:$F$68,5,FALSE)</f>
        <v>Weg</v>
      </c>
      <c r="F474" s="3" t="str">
        <f t="shared" si="154"/>
        <v>Sistemas de Monitoramento - CFTV</v>
      </c>
      <c r="G474" s="2" t="str">
        <f>VLOOKUP($A474,Controle!$B$4:$G$68,6,FALSE)</f>
        <v>Mori</v>
      </c>
      <c r="H474" s="31" t="s">
        <v>152</v>
      </c>
      <c r="I474" s="6">
        <v>207717.46</v>
      </c>
      <c r="J474" s="6">
        <v>0</v>
      </c>
      <c r="K474" s="6">
        <v>0</v>
      </c>
      <c r="L474" s="6">
        <v>0</v>
      </c>
      <c r="M474" s="6">
        <v>0</v>
      </c>
      <c r="N474" s="6">
        <v>0</v>
      </c>
      <c r="O474" s="4">
        <f t="shared" si="155"/>
        <v>207717.46</v>
      </c>
      <c r="P474" s="5">
        <f>SUMIFS('Desenvolvimento diário'!$H:$H,'Desenvolvimento diário'!$Q:$Q,$B474,'Desenvolvimento diário'!$P:$P,$F474,'Desenvolvimento diário'!$R:$R,"Sim")</f>
        <v>22798.09</v>
      </c>
      <c r="Q474" s="5">
        <f>SUMIFS('Desenvolvimento diário'!$H:$H,'Desenvolvimento diário'!$Q:$Q,$B474,'Desenvolvimento diário'!$P:$P,$F474,'Desenvolvimento diário'!$R:$R,"Não")</f>
        <v>184919.37</v>
      </c>
      <c r="R474" s="4">
        <f t="shared" si="156"/>
        <v>207717.46</v>
      </c>
      <c r="S474" s="4">
        <f t="shared" si="157"/>
        <v>0</v>
      </c>
      <c r="T474" s="12">
        <f t="shared" si="136"/>
        <v>1</v>
      </c>
      <c r="Y474" s="2"/>
      <c r="Z474" s="2"/>
      <c r="AA474" s="2"/>
      <c r="AB474" s="2"/>
      <c r="AC474" s="2"/>
    </row>
    <row r="475" spans="1:29" ht="10.5" hidden="1">
      <c r="A475" s="2">
        <f t="shared" si="158"/>
        <v>14</v>
      </c>
      <c r="B475" s="2" t="str">
        <f>VLOOKUP($A475,Controle!$B$4:$F$68,2,FALSE)</f>
        <v>Varjão de Minas 1</v>
      </c>
      <c r="C475" s="2" t="str">
        <f>VLOOKUP($A475,Controle!$B$4:$F$68,3,FALSE)</f>
        <v xml:space="preserve">MORI GERACAO II </v>
      </c>
      <c r="D475" s="2" t="str">
        <f>VLOOKUP($A475,Controle!$B$4:$F$68,4,FALSE)</f>
        <v>Mori II</v>
      </c>
      <c r="E475" s="2" t="str">
        <f>VLOOKUP($A475,Controle!$B$4:$F$68,5,FALSE)</f>
        <v>Weg</v>
      </c>
      <c r="F475" s="3" t="str">
        <f t="shared" si="154"/>
        <v>Serviços Auxiliares - Drenagem</v>
      </c>
      <c r="G475" s="2" t="str">
        <f>VLOOKUP($A475,Controle!$B$4:$G$68,6,FALSE)</f>
        <v>Mori</v>
      </c>
      <c r="H475" s="6" t="s">
        <v>185</v>
      </c>
      <c r="I475" s="6">
        <v>153193.29</v>
      </c>
      <c r="J475" s="6">
        <v>0</v>
      </c>
      <c r="K475" s="6">
        <v>0</v>
      </c>
      <c r="L475" s="6">
        <v>0</v>
      </c>
      <c r="M475" s="6">
        <v>0</v>
      </c>
      <c r="N475" s="6">
        <v>0</v>
      </c>
      <c r="O475" s="4">
        <f t="shared" si="155"/>
        <v>153193.29</v>
      </c>
      <c r="P475" s="5">
        <f>SUMIFS('Desenvolvimento diário'!$H:$H,'Desenvolvimento diário'!$Q:$Q,$B475,'Desenvolvimento diário'!$P:$P,$F475,'Desenvolvimento diário'!$R:$R,"Sim")</f>
        <v>0</v>
      </c>
      <c r="Q475" s="5">
        <f>SUMIFS('Desenvolvimento diário'!$H:$H,'Desenvolvimento diário'!$Q:$Q,$B475,'Desenvolvimento diário'!$P:$P,$F475,'Desenvolvimento diário'!$R:$R,"Não")</f>
        <v>153193.29</v>
      </c>
      <c r="R475" s="4">
        <f t="shared" si="156"/>
        <v>153193.29</v>
      </c>
      <c r="S475" s="4">
        <f t="shared" si="157"/>
        <v>0</v>
      </c>
      <c r="T475" s="12">
        <f t="shared" si="136"/>
        <v>1</v>
      </c>
      <c r="Y475" s="2"/>
      <c r="Z475" s="2"/>
      <c r="AA475" s="2"/>
      <c r="AB475" s="2"/>
      <c r="AC475" s="2"/>
    </row>
    <row r="476" spans="1:29" ht="10.5" hidden="1">
      <c r="A476" s="2">
        <f t="shared" si="158"/>
        <v>14</v>
      </c>
      <c r="B476" s="2" t="str">
        <f>VLOOKUP($A476,Controle!$B$4:$F$68,2,FALSE)</f>
        <v>Varjão de Minas 1</v>
      </c>
      <c r="C476" s="2" t="str">
        <f>VLOOKUP($A476,Controle!$B$4:$F$68,3,FALSE)</f>
        <v xml:space="preserve">MORI GERACAO II </v>
      </c>
      <c r="D476" s="2" t="str">
        <f>VLOOKUP($A476,Controle!$B$4:$F$68,4,FALSE)</f>
        <v>Mori II</v>
      </c>
      <c r="E476" s="2" t="str">
        <f>VLOOKUP($A476,Controle!$B$4:$F$68,5,FALSE)</f>
        <v>Weg</v>
      </c>
      <c r="F476" s="3" t="str">
        <f t="shared" si="154"/>
        <v>Serviços Auxiliares - Terraplanagem</v>
      </c>
      <c r="G476" s="2" t="str">
        <f>VLOOKUP($A476,Controle!$B$4:$G$68,6,FALSE)</f>
        <v>Mori</v>
      </c>
      <c r="H476" s="6" t="s">
        <v>154</v>
      </c>
      <c r="I476" s="6">
        <v>166445.82999999999</v>
      </c>
      <c r="J476" s="6">
        <v>0</v>
      </c>
      <c r="K476" s="6">
        <v>0</v>
      </c>
      <c r="L476" s="6">
        <v>0</v>
      </c>
      <c r="M476" s="6">
        <v>0</v>
      </c>
      <c r="N476" s="6">
        <v>0</v>
      </c>
      <c r="O476" s="4">
        <f t="shared" si="155"/>
        <v>166445.82999999999</v>
      </c>
      <c r="P476" s="5">
        <f>SUMIFS('Desenvolvimento diário'!$H:$H,'Desenvolvimento diário'!$Q:$Q,$B476,'Desenvolvimento diário'!$P:$P,$F476,'Desenvolvimento diário'!$R:$R,"Sim")</f>
        <v>0</v>
      </c>
      <c r="Q476" s="5">
        <f>SUMIFS('Desenvolvimento diário'!$H:$H,'Desenvolvimento diário'!$Q:$Q,$B476,'Desenvolvimento diário'!$P:$P,$F476,'Desenvolvimento diário'!$R:$R,"Não")</f>
        <v>166445.82999999999</v>
      </c>
      <c r="R476" s="4">
        <f t="shared" si="156"/>
        <v>166445.82999999999</v>
      </c>
      <c r="S476" s="4">
        <f t="shared" si="157"/>
        <v>0</v>
      </c>
      <c r="T476" s="12">
        <f t="shared" si="136"/>
        <v>1</v>
      </c>
      <c r="Y476" s="2"/>
      <c r="Z476" s="2"/>
      <c r="AA476" s="2"/>
      <c r="AB476" s="2"/>
      <c r="AC476" s="2"/>
    </row>
    <row r="477" spans="1:29" ht="10.5" hidden="1">
      <c r="A477" s="2">
        <f t="shared" si="158"/>
        <v>14</v>
      </c>
      <c r="B477" s="2" t="str">
        <f>VLOOKUP($A477,Controle!$B$4:$F$68,2,FALSE)</f>
        <v>Varjão de Minas 1</v>
      </c>
      <c r="C477" s="2" t="str">
        <f>VLOOKUP($A477,Controle!$B$4:$F$68,3,FALSE)</f>
        <v xml:space="preserve">MORI GERACAO II </v>
      </c>
      <c r="D477" s="2" t="str">
        <f>VLOOKUP($A477,Controle!$B$4:$F$68,4,FALSE)</f>
        <v>Mori II</v>
      </c>
      <c r="E477" s="2" t="str">
        <f>VLOOKUP($A477,Controle!$B$4:$F$68,5,FALSE)</f>
        <v>Weg</v>
      </c>
      <c r="F477" s="3" t="str">
        <f t="shared" si="154"/>
        <v>Serviços Auxiliares - Supressão Vegetal</v>
      </c>
      <c r="G477" s="2" t="str">
        <f>VLOOKUP($A477,Controle!$B$4:$G$68,6,FALSE)</f>
        <v>Mori</v>
      </c>
      <c r="H477" s="6">
        <v>0</v>
      </c>
      <c r="I477" s="6">
        <v>0</v>
      </c>
      <c r="J477" s="6">
        <v>0</v>
      </c>
      <c r="K477" s="6">
        <v>0</v>
      </c>
      <c r="L477" s="6">
        <v>0</v>
      </c>
      <c r="M477" s="6">
        <v>0</v>
      </c>
      <c r="N477" s="6">
        <v>0</v>
      </c>
      <c r="O477" s="4">
        <f t="shared" si="155"/>
        <v>0</v>
      </c>
      <c r="P477" s="5">
        <f>SUMIFS('Desenvolvimento diário'!$H:$H,'Desenvolvimento diário'!$Q:$Q,$B477,'Desenvolvimento diário'!$P:$P,$F477,'Desenvolvimento diário'!$R:$R,"Sim")</f>
        <v>0</v>
      </c>
      <c r="Q477" s="5">
        <f>SUMIFS('Desenvolvimento diário'!$H:$H,'Desenvolvimento diário'!$Q:$Q,$B477,'Desenvolvimento diário'!$P:$P,$F477,'Desenvolvimento diário'!$R:$R,"Não")</f>
        <v>0</v>
      </c>
      <c r="R477" s="4">
        <f t="shared" si="156"/>
        <v>0</v>
      </c>
      <c r="S477" s="4">
        <f t="shared" si="157"/>
        <v>0</v>
      </c>
      <c r="T477" s="12">
        <f t="shared" si="136"/>
        <v>0</v>
      </c>
      <c r="Y477" s="2"/>
      <c r="Z477" s="2"/>
      <c r="AA477" s="2"/>
      <c r="AB477" s="2"/>
      <c r="AC477" s="2"/>
    </row>
    <row r="478" spans="1:29" ht="10.5" hidden="1">
      <c r="A478" s="2">
        <f t="shared" si="158"/>
        <v>14</v>
      </c>
      <c r="B478" s="2" t="str">
        <f>VLOOKUP($A478,Controle!$B$4:$F$68,2,FALSE)</f>
        <v>Varjão de Minas 1</v>
      </c>
      <c r="C478" s="2" t="str">
        <f>VLOOKUP($A478,Controle!$B$4:$F$68,3,FALSE)</f>
        <v xml:space="preserve">MORI GERACAO II </v>
      </c>
      <c r="D478" s="2" t="str">
        <f>VLOOKUP($A478,Controle!$B$4:$F$68,4,FALSE)</f>
        <v>Mori II</v>
      </c>
      <c r="E478" s="2" t="str">
        <f>VLOOKUP($A478,Controle!$B$4:$F$68,5,FALSE)</f>
        <v>Weg</v>
      </c>
      <c r="F478" s="3" t="str">
        <f t="shared" si="154"/>
        <v>RDR-Rede de Distribuição Rural</v>
      </c>
      <c r="G478" s="2" t="str">
        <f>VLOOKUP($A478,Controle!$B$4:$G$68,6,FALSE)</f>
        <v>Mori</v>
      </c>
      <c r="H478" s="6">
        <v>0</v>
      </c>
      <c r="I478" s="6">
        <v>0</v>
      </c>
      <c r="J478" s="6">
        <v>0</v>
      </c>
      <c r="K478" s="6">
        <v>0</v>
      </c>
      <c r="L478" s="6">
        <v>0</v>
      </c>
      <c r="M478" s="6">
        <v>0</v>
      </c>
      <c r="N478" s="6">
        <v>0</v>
      </c>
      <c r="O478" s="4">
        <f t="shared" si="155"/>
        <v>0</v>
      </c>
      <c r="P478" s="5">
        <f>SUMIFS('Desenvolvimento diário'!$H:$H,'Desenvolvimento diário'!$Q:$Q,$B478,'Desenvolvimento diário'!$P:$P,$F478,'Desenvolvimento diário'!$R:$R,"Sim")</f>
        <v>0</v>
      </c>
      <c r="Q478" s="5">
        <f>SUMIFS('Desenvolvimento diário'!$H:$H,'Desenvolvimento diário'!$Q:$Q,$B478,'Desenvolvimento diário'!$P:$P,$F478,'Desenvolvimento diário'!$R:$R,"Não")</f>
        <v>0</v>
      </c>
      <c r="R478" s="4">
        <f t="shared" si="156"/>
        <v>0</v>
      </c>
      <c r="S478" s="4">
        <f t="shared" si="157"/>
        <v>0</v>
      </c>
      <c r="T478" s="12">
        <f t="shared" ref="T478:T545" si="159">IFERROR(R478/O478,0)</f>
        <v>0</v>
      </c>
      <c r="Y478" s="2"/>
      <c r="Z478" s="2"/>
      <c r="AA478" s="2"/>
      <c r="AB478" s="2"/>
      <c r="AC478" s="2"/>
    </row>
    <row r="479" spans="1:29" ht="10.5" hidden="1">
      <c r="A479" s="2">
        <f t="shared" si="158"/>
        <v>14</v>
      </c>
      <c r="B479" s="2" t="str">
        <f>VLOOKUP($A479,Controle!$B$4:$F$68,2,FALSE)</f>
        <v>Varjão de Minas 1</v>
      </c>
      <c r="C479" s="2" t="str">
        <f>VLOOKUP($A479,Controle!$B$4:$F$68,3,FALSE)</f>
        <v xml:space="preserve">MORI GERACAO II </v>
      </c>
      <c r="D479" s="2" t="str">
        <f>VLOOKUP($A479,Controle!$B$4:$F$68,4,FALSE)</f>
        <v>Mori II</v>
      </c>
      <c r="E479" s="2" t="str">
        <f>VLOOKUP($A479,Controle!$B$4:$F$68,5,FALSE)</f>
        <v>Weg</v>
      </c>
      <c r="F479" s="3" t="str">
        <f t="shared" si="154"/>
        <v>Escopo COMERC</v>
      </c>
      <c r="G479" s="2" t="str">
        <f>VLOOKUP($A479,Controle!$B$4:$G$68,6,FALSE)</f>
        <v>Mori</v>
      </c>
      <c r="H479" s="6">
        <v>0</v>
      </c>
      <c r="I479" s="6">
        <v>0</v>
      </c>
      <c r="J479" s="29">
        <v>13000</v>
      </c>
      <c r="K479" s="29"/>
      <c r="L479" s="6">
        <v>0</v>
      </c>
      <c r="M479" s="6">
        <v>0</v>
      </c>
      <c r="N479" s="6">
        <v>0</v>
      </c>
      <c r="O479" s="4">
        <f t="shared" si="155"/>
        <v>13000</v>
      </c>
      <c r="P479" s="5">
        <f>SUMIFS('Desenvolvimento diário'!$H:$H,'Desenvolvimento diário'!$Q:$Q,$B479,'Desenvolvimento diário'!$P:$P,$F479,'Desenvolvimento diário'!$R:$R,"Sim")</f>
        <v>0</v>
      </c>
      <c r="Q479" s="5">
        <f>SUMIFS('Desenvolvimento diário'!$H:$H,'Desenvolvimento diário'!$Q:$Q,$B479,'Desenvolvimento diário'!$P:$P,$F479,'Desenvolvimento diário'!$R:$R,"Não")</f>
        <v>0</v>
      </c>
      <c r="R479" s="4">
        <f t="shared" si="156"/>
        <v>0</v>
      </c>
      <c r="S479" s="1010">
        <f t="shared" si="157"/>
        <v>13000</v>
      </c>
      <c r="T479" s="12">
        <f t="shared" si="159"/>
        <v>0</v>
      </c>
      <c r="U479" s="1011" t="s">
        <v>166</v>
      </c>
      <c r="V479" s="1011" t="s">
        <v>167</v>
      </c>
      <c r="Y479" s="2"/>
      <c r="Z479" s="2"/>
      <c r="AA479" s="2"/>
      <c r="AB479" s="2"/>
      <c r="AC479" s="2"/>
    </row>
    <row r="480" spans="1:29" ht="10.5" hidden="1">
      <c r="A480" s="2">
        <f t="shared" si="158"/>
        <v>14</v>
      </c>
      <c r="B480" s="2" t="str">
        <f>VLOOKUP($A480,Controle!$B$4:$F$68,2,FALSE)</f>
        <v>Varjão de Minas 1</v>
      </c>
      <c r="C480" s="2" t="str">
        <f>VLOOKUP($A480,Controle!$B$4:$F$68,3,FALSE)</f>
        <v xml:space="preserve">MORI GERACAO II </v>
      </c>
      <c r="D480" s="2" t="str">
        <f>VLOOKUP($A480,Controle!$B$4:$F$68,4,FALSE)</f>
        <v>Mori II</v>
      </c>
      <c r="E480" s="2" t="str">
        <f>VLOOKUP($A480,Controle!$B$4:$F$68,5,FALSE)</f>
        <v>Weg</v>
      </c>
      <c r="F480" s="3" t="str">
        <f t="shared" si="154"/>
        <v>Escopo COMERC - Segurança</v>
      </c>
      <c r="G480" s="2" t="str">
        <f>VLOOKUP($A480,Controle!$B$4:$G$68,6,FALSE)</f>
        <v>Mori</v>
      </c>
      <c r="H480" s="6">
        <v>0</v>
      </c>
      <c r="I480" s="6">
        <f t="shared" ref="I479:I480" si="160">R480</f>
        <v>167864.09</v>
      </c>
      <c r="J480" s="6">
        <v>0</v>
      </c>
      <c r="K480" s="6">
        <v>0</v>
      </c>
      <c r="L480" s="6">
        <v>0</v>
      </c>
      <c r="M480" s="6">
        <v>0</v>
      </c>
      <c r="N480" s="6">
        <v>0</v>
      </c>
      <c r="O480" s="4">
        <f t="shared" si="155"/>
        <v>167864.09</v>
      </c>
      <c r="P480" s="5">
        <f>SUMIFS('Desenvolvimento diário'!$H:$H,'Desenvolvimento diário'!$Q:$Q,$B480,'Desenvolvimento diário'!$P:$P,$F480,'Desenvolvimento diário'!$R:$R,"Sim")</f>
        <v>0</v>
      </c>
      <c r="Q480" s="5">
        <f>SUMIFS('Desenvolvimento diário'!$H:$H,'Desenvolvimento diário'!$Q:$Q,$B480,'Desenvolvimento diário'!$P:$P,$F480,'Desenvolvimento diário'!$R:$R,"Não")</f>
        <v>167864.09</v>
      </c>
      <c r="R480" s="4">
        <f t="shared" si="156"/>
        <v>167864.09</v>
      </c>
      <c r="S480" s="4">
        <f t="shared" si="157"/>
        <v>0</v>
      </c>
      <c r="T480" s="12">
        <f t="shared" si="159"/>
        <v>1</v>
      </c>
      <c r="Y480" s="2"/>
      <c r="Z480" s="2"/>
      <c r="AA480" s="2"/>
      <c r="AB480" s="2"/>
      <c r="AC480" s="2"/>
    </row>
    <row r="481" spans="1:29" ht="10.5" hidden="1">
      <c r="A481" s="2">
        <f t="shared" si="158"/>
        <v>14</v>
      </c>
      <c r="B481" s="2" t="str">
        <f>VLOOKUP($A481,Controle!$B$4:$F$68,2,FALSE)</f>
        <v>Varjão de Minas 1</v>
      </c>
      <c r="C481" s="2" t="str">
        <f>VLOOKUP($A481,Controle!$B$4:$F$68,3,FALSE)</f>
        <v xml:space="preserve">MORI GERACAO II </v>
      </c>
      <c r="D481" s="2" t="str">
        <f>VLOOKUP($A481,Controle!$B$4:$F$68,4,FALSE)</f>
        <v>Mori II</v>
      </c>
      <c r="E481" s="2" t="str">
        <f>VLOOKUP($A481,Controle!$B$4:$F$68,5,FALSE)</f>
        <v>Weg</v>
      </c>
      <c r="F481" s="3" t="str">
        <f t="shared" si="154"/>
        <v>Conexão MT - Obras Transferencia</v>
      </c>
      <c r="G481" s="2" t="str">
        <f>VLOOKUP($A481,Controle!$B$4:$G$68,6,FALSE)</f>
        <v>Mori</v>
      </c>
      <c r="H481" s="6">
        <v>0</v>
      </c>
      <c r="I481" s="6">
        <v>0</v>
      </c>
      <c r="J481" s="6">
        <v>0</v>
      </c>
      <c r="K481" s="6">
        <v>0</v>
      </c>
      <c r="L481" s="6">
        <v>0</v>
      </c>
      <c r="M481" s="6">
        <v>0</v>
      </c>
      <c r="N481" s="6">
        <v>0</v>
      </c>
      <c r="O481" s="4">
        <f t="shared" si="155"/>
        <v>0</v>
      </c>
      <c r="P481" s="5">
        <f>SUMIFS('Desenvolvimento diário'!$H:$H,'Desenvolvimento diário'!$Q:$Q,$B481,'Desenvolvimento diário'!$P:$P,$F481,'Desenvolvimento diário'!$R:$R,"Sim")</f>
        <v>0</v>
      </c>
      <c r="Q481" s="5">
        <f>SUMIFS('Desenvolvimento diário'!$H:$H,'Desenvolvimento diário'!$Q:$Q,$B481,'Desenvolvimento diário'!$P:$P,$F481,'Desenvolvimento diário'!$R:$R,"Não")</f>
        <v>0</v>
      </c>
      <c r="R481" s="4">
        <f t="shared" si="156"/>
        <v>0</v>
      </c>
      <c r="S481" s="4">
        <f t="shared" si="157"/>
        <v>0</v>
      </c>
      <c r="T481" s="12">
        <f t="shared" si="159"/>
        <v>0</v>
      </c>
      <c r="Y481" s="2"/>
      <c r="Z481" s="2"/>
      <c r="AA481" s="2"/>
      <c r="AB481" s="2"/>
      <c r="AC481" s="2"/>
    </row>
    <row r="482" spans="1:29" ht="10.5" hidden="1">
      <c r="A482" s="2">
        <f t="shared" si="158"/>
        <v>14</v>
      </c>
      <c r="B482" s="2" t="str">
        <f>VLOOKUP($A482,Controle!$B$4:$F$68,2,FALSE)</f>
        <v>Varjão de Minas 1</v>
      </c>
      <c r="C482" s="2" t="str">
        <f>VLOOKUP($A482,Controle!$B$4:$F$68,3,FALSE)</f>
        <v xml:space="preserve">MORI GERACAO II </v>
      </c>
      <c r="D482" s="2" t="str">
        <f>VLOOKUP($A482,Controle!$B$4:$F$68,4,FALSE)</f>
        <v>Mori II</v>
      </c>
      <c r="E482" s="2" t="str">
        <f>VLOOKUP($A482,Controle!$B$4:$F$68,5,FALSE)</f>
        <v>Weg</v>
      </c>
      <c r="F482" s="3" t="str">
        <f t="shared" si="154"/>
        <v>Bases de Contaniers</v>
      </c>
      <c r="G482" s="2" t="str">
        <f>VLOOKUP($A482,Controle!$B$4:$G$68,6,FALSE)</f>
        <v>Mori</v>
      </c>
      <c r="H482" s="6" t="s">
        <v>181</v>
      </c>
      <c r="I482" s="6">
        <v>147704.69</v>
      </c>
      <c r="J482" s="6">
        <v>0</v>
      </c>
      <c r="K482" s="6">
        <v>0</v>
      </c>
      <c r="L482" s="6">
        <v>0</v>
      </c>
      <c r="M482" s="6">
        <v>0</v>
      </c>
      <c r="N482" s="6">
        <v>0</v>
      </c>
      <c r="O482" s="4">
        <f t="shared" si="155"/>
        <v>147704.69</v>
      </c>
      <c r="P482" s="5">
        <f>SUMIFS('Desenvolvimento diário'!$H:$H,'Desenvolvimento diário'!$Q:$Q,$B482,'Desenvolvimento diário'!$P:$P,$F482,'Desenvolvimento diário'!$R:$R,"Sim")</f>
        <v>95000</v>
      </c>
      <c r="Q482" s="5">
        <f>SUMIFS('Desenvolvimento diário'!$H:$H,'Desenvolvimento diário'!$Q:$Q,$B482,'Desenvolvimento diário'!$P:$P,$F482,'Desenvolvimento diário'!$R:$R,"Não")</f>
        <v>52704.69</v>
      </c>
      <c r="R482" s="4">
        <f t="shared" si="156"/>
        <v>147704.69</v>
      </c>
      <c r="S482" s="4">
        <f t="shared" si="157"/>
        <v>0</v>
      </c>
      <c r="T482" s="12">
        <f t="shared" si="159"/>
        <v>1</v>
      </c>
      <c r="Y482" s="2"/>
      <c r="Z482" s="2"/>
      <c r="AA482" s="2"/>
      <c r="AB482" s="2"/>
      <c r="AC482" s="2"/>
    </row>
    <row r="483" spans="1:29" ht="10.5" hidden="1">
      <c r="A483" s="2">
        <f t="shared" si="158"/>
        <v>14</v>
      </c>
      <c r="B483" s="2" t="str">
        <f>VLOOKUP($A483,Controle!$B$4:$F$68,2,FALSE)</f>
        <v>Varjão de Minas 1</v>
      </c>
      <c r="C483" s="2" t="str">
        <f>VLOOKUP($A483,Controle!$B$4:$F$68,3,FALSE)</f>
        <v xml:space="preserve">MORI GERACAO II </v>
      </c>
      <c r="D483" s="2" t="str">
        <f>VLOOKUP($A483,Controle!$B$4:$F$68,4,FALSE)</f>
        <v>Mori II</v>
      </c>
      <c r="E483" s="2" t="str">
        <f>VLOOKUP($A483,Controle!$B$4:$F$68,5,FALSE)</f>
        <v>Weg</v>
      </c>
      <c r="F483" s="3" t="str">
        <f t="shared" si="154"/>
        <v>Construção - Serviços de Construção - Ase Engenharia</v>
      </c>
      <c r="G483" s="2" t="str">
        <f>VLOOKUP($A483,Controle!$B$4:$G$68,6,FALSE)</f>
        <v>Mori</v>
      </c>
      <c r="H483" s="6">
        <v>0</v>
      </c>
      <c r="I483" s="6">
        <v>0</v>
      </c>
      <c r="J483" s="6">
        <v>0</v>
      </c>
      <c r="K483" s="6">
        <v>0</v>
      </c>
      <c r="L483" s="6">
        <v>0</v>
      </c>
      <c r="M483" s="6">
        <v>0</v>
      </c>
      <c r="N483" s="6">
        <v>0</v>
      </c>
      <c r="O483" s="4">
        <f t="shared" si="155"/>
        <v>0</v>
      </c>
      <c r="P483" s="5">
        <f>SUMIFS('Desenvolvimento diário'!$H:$H,'Desenvolvimento diário'!$Q:$Q,$B483,'Desenvolvimento diário'!$P:$P,$F483,'Desenvolvimento diário'!$R:$R,"Sim")</f>
        <v>0</v>
      </c>
      <c r="Q483" s="5">
        <f>SUMIFS('Desenvolvimento diário'!$H:$H,'Desenvolvimento diário'!$Q:$Q,$B483,'Desenvolvimento diário'!$P:$P,$F483,'Desenvolvimento diário'!$R:$R,"Não")</f>
        <v>0</v>
      </c>
      <c r="R483" s="4">
        <f t="shared" si="156"/>
        <v>0</v>
      </c>
      <c r="S483" s="4">
        <f t="shared" si="157"/>
        <v>0</v>
      </c>
      <c r="T483" s="12">
        <f t="shared" si="159"/>
        <v>0</v>
      </c>
      <c r="Y483" s="2"/>
      <c r="Z483" s="2"/>
      <c r="AA483" s="2"/>
      <c r="AB483" s="2"/>
      <c r="AC483" s="2"/>
    </row>
    <row r="484" spans="1:29" ht="10.5" hidden="1">
      <c r="A484" s="2">
        <f t="shared" si="158"/>
        <v>14</v>
      </c>
      <c r="B484" s="2" t="str">
        <f>VLOOKUP($A484,Controle!$B$4:$F$68,2,FALSE)</f>
        <v>Varjão de Minas 1</v>
      </c>
      <c r="C484" s="2" t="str">
        <f>VLOOKUP($A484,Controle!$B$4:$F$68,3,FALSE)</f>
        <v xml:space="preserve">MORI GERACAO II </v>
      </c>
      <c r="D484" s="2" t="str">
        <f>VLOOKUP($A484,Controle!$B$4:$F$68,4,FALSE)</f>
        <v>Mori II</v>
      </c>
      <c r="E484" s="2" t="str">
        <f>VLOOKUP($A484,Controle!$B$4:$F$68,5,FALSE)</f>
        <v>Weg</v>
      </c>
      <c r="F484" s="3" t="str">
        <f t="shared" si="154"/>
        <v>Full EPC - Contrato Sobressalentes</v>
      </c>
      <c r="G484" s="2" t="str">
        <f>VLOOKUP($A484,Controle!$B$4:$G$68,6,FALSE)</f>
        <v>Mori</v>
      </c>
      <c r="H484" s="6" t="s">
        <v>21</v>
      </c>
      <c r="I484" s="6">
        <v>165545.84</v>
      </c>
      <c r="J484" s="6">
        <v>0</v>
      </c>
      <c r="K484" s="6">
        <v>0</v>
      </c>
      <c r="L484" s="6">
        <v>0</v>
      </c>
      <c r="M484" s="6">
        <v>0</v>
      </c>
      <c r="N484" s="6">
        <v>0</v>
      </c>
      <c r="O484" s="4">
        <f t="shared" si="155"/>
        <v>165545.84</v>
      </c>
      <c r="P484" s="5">
        <f>SUMIFS('Desenvolvimento diário'!$H:$H,'Desenvolvimento diário'!$Q:$Q,$B484,'Desenvolvimento diário'!$P:$P,$F484,'Desenvolvimento diário'!$R:$R,"Sim")</f>
        <v>0</v>
      </c>
      <c r="Q484" s="5">
        <f>SUMIFS('Desenvolvimento diário'!$H:$H,'Desenvolvimento diário'!$Q:$Q,$B484,'Desenvolvimento diário'!$P:$P,$F484,'Desenvolvimento diário'!$R:$R,"Não")</f>
        <v>165545.84</v>
      </c>
      <c r="R484" s="4">
        <f t="shared" si="156"/>
        <v>165545.84</v>
      </c>
      <c r="S484" s="4">
        <f t="shared" si="157"/>
        <v>0</v>
      </c>
      <c r="T484" s="12">
        <f t="shared" si="159"/>
        <v>1</v>
      </c>
      <c r="Y484" s="2"/>
      <c r="Z484" s="2"/>
      <c r="AA484" s="2"/>
      <c r="AB484" s="2"/>
      <c r="AC484" s="2"/>
    </row>
    <row r="485" spans="1:29" ht="10.5" hidden="1">
      <c r="A485" s="2">
        <f t="shared" si="158"/>
        <v>14</v>
      </c>
      <c r="B485" s="2" t="str">
        <f>VLOOKUP($A485,Controle!$B$4:$F$68,2,FALSE)</f>
        <v>Varjão de Minas 1</v>
      </c>
      <c r="C485" s="2" t="str">
        <f>VLOOKUP($A485,Controle!$B$4:$F$68,3,FALSE)</f>
        <v xml:space="preserve">MORI GERACAO II </v>
      </c>
      <c r="D485" s="2" t="str">
        <f>VLOOKUP($A485,Controle!$B$4:$F$68,4,FALSE)</f>
        <v>Mori II</v>
      </c>
      <c r="E485" s="2" t="str">
        <f>VLOOKUP($A485,Controle!$B$4:$F$68,5,FALSE)</f>
        <v>Weg</v>
      </c>
      <c r="F485" s="3" t="str">
        <f t="shared" si="154"/>
        <v>Construção - Serviços de Construção - NOVA MORADA</v>
      </c>
      <c r="G485" s="2" t="str">
        <f>VLOOKUP($A485,Controle!$B$4:$G$68,6,FALSE)</f>
        <v>Mori</v>
      </c>
      <c r="H485" s="6">
        <v>0</v>
      </c>
      <c r="I485" s="6">
        <v>0</v>
      </c>
      <c r="J485" s="6">
        <v>0</v>
      </c>
      <c r="K485" s="6">
        <v>0</v>
      </c>
      <c r="L485" s="6">
        <v>0</v>
      </c>
      <c r="M485" s="6">
        <v>0</v>
      </c>
      <c r="N485" s="6">
        <v>0</v>
      </c>
      <c r="O485" s="4">
        <f t="shared" si="155"/>
        <v>0</v>
      </c>
      <c r="P485" s="5">
        <f>SUMIFS('Desenvolvimento diário'!$H:$H,'Desenvolvimento diário'!$Q:$Q,$B485,'Desenvolvimento diário'!$P:$P,$F485,'Desenvolvimento diário'!$R:$R,"Sim")</f>
        <v>0</v>
      </c>
      <c r="Q485" s="5">
        <f>SUMIFS('Desenvolvimento diário'!$H:$H,'Desenvolvimento diário'!$Q:$Q,$B485,'Desenvolvimento diário'!$P:$P,$F485,'Desenvolvimento diário'!$R:$R,"Não")</f>
        <v>0</v>
      </c>
      <c r="R485" s="4">
        <f t="shared" si="156"/>
        <v>0</v>
      </c>
      <c r="S485" s="4">
        <f t="shared" si="157"/>
        <v>0</v>
      </c>
      <c r="T485" s="12">
        <f t="shared" si="159"/>
        <v>0</v>
      </c>
      <c r="Y485" s="2"/>
      <c r="Z485" s="2"/>
      <c r="AA485" s="2"/>
      <c r="AB485" s="2"/>
      <c r="AC485" s="2"/>
    </row>
    <row r="486" spans="1:29" ht="10.5" hidden="1">
      <c r="A486" s="2">
        <f t="shared" si="158"/>
        <v>14</v>
      </c>
      <c r="B486" s="2" t="str">
        <f>VLOOKUP($A486,Controle!$B$4:$F$68,2,FALSE)</f>
        <v>Varjão de Minas 1</v>
      </c>
      <c r="C486" s="2" t="str">
        <f>VLOOKUP($A486,Controle!$B$4:$F$68,3,FALSE)</f>
        <v xml:space="preserve">MORI GERACAO II </v>
      </c>
      <c r="D486" s="2" t="str">
        <f>VLOOKUP($A486,Controle!$B$4:$F$68,4,FALSE)</f>
        <v>Mori II</v>
      </c>
      <c r="E486" s="2" t="str">
        <f>VLOOKUP($A486,Controle!$B$4:$F$68,5,FALSE)</f>
        <v>Weg</v>
      </c>
      <c r="F486" s="3" t="str">
        <f t="shared" si="154"/>
        <v>Equipamentos Curva A -  Contrato Sobressalentes - SETTA</v>
      </c>
      <c r="G486" s="2" t="str">
        <f>VLOOKUP($A486,Controle!$B$4:$G$68,6,FALSE)</f>
        <v>Mori</v>
      </c>
      <c r="H486" s="6">
        <v>0</v>
      </c>
      <c r="I486" s="6">
        <v>0</v>
      </c>
      <c r="J486" s="6">
        <v>0</v>
      </c>
      <c r="K486" s="6">
        <v>0</v>
      </c>
      <c r="L486" s="6">
        <v>0</v>
      </c>
      <c r="M486" s="6">
        <v>0</v>
      </c>
      <c r="N486" s="6">
        <v>0</v>
      </c>
      <c r="O486" s="4">
        <f t="shared" si="155"/>
        <v>0</v>
      </c>
      <c r="P486" s="5">
        <f>SUMIFS('Desenvolvimento diário'!$H:$H,'Desenvolvimento diário'!$Q:$Q,$B486,'Desenvolvimento diário'!$P:$P,$F486,'Desenvolvimento diário'!$R:$R,"Sim")</f>
        <v>0</v>
      </c>
      <c r="Q486" s="5">
        <f>SUMIFS('Desenvolvimento diário'!$H:$H,'Desenvolvimento diário'!$Q:$Q,$B486,'Desenvolvimento diário'!$P:$P,$F486,'Desenvolvimento diário'!$R:$R,"Não")</f>
        <v>0</v>
      </c>
      <c r="R486" s="4">
        <f t="shared" si="156"/>
        <v>0</v>
      </c>
      <c r="S486" s="4">
        <f t="shared" si="157"/>
        <v>0</v>
      </c>
      <c r="T486" s="12">
        <f t="shared" si="159"/>
        <v>0</v>
      </c>
      <c r="Y486" s="2"/>
      <c r="Z486" s="2"/>
      <c r="AA486" s="2"/>
      <c r="AB486" s="2"/>
      <c r="AC486" s="2"/>
    </row>
    <row r="487" spans="1:29" ht="10.5" hidden="1">
      <c r="A487" s="2">
        <f t="shared" si="158"/>
        <v>14</v>
      </c>
      <c r="B487" s="2" t="str">
        <f>VLOOKUP($A487,Controle!$B$4:$F$68,2,FALSE)</f>
        <v>Varjão de Minas 1</v>
      </c>
      <c r="C487" s="2" t="str">
        <f>VLOOKUP($A487,Controle!$B$4:$F$68,3,FALSE)</f>
        <v xml:space="preserve">MORI GERACAO II </v>
      </c>
      <c r="D487" s="2" t="str">
        <f>VLOOKUP($A487,Controle!$B$4:$F$68,4,FALSE)</f>
        <v>Mori II</v>
      </c>
      <c r="E487" s="2" t="str">
        <f>VLOOKUP($A487,Controle!$B$4:$F$68,5,FALSE)</f>
        <v>Weg</v>
      </c>
      <c r="F487" s="3" t="str">
        <f t="shared" si="154"/>
        <v>Equipamentos Curva A -  Contrato Sobressalentes - Arctech</v>
      </c>
      <c r="G487" s="2" t="str">
        <f>VLOOKUP($A487,Controle!$B$4:$G$68,6,FALSE)</f>
        <v>Mori</v>
      </c>
      <c r="H487" s="6">
        <v>0</v>
      </c>
      <c r="I487" s="6">
        <v>0</v>
      </c>
      <c r="J487" s="6">
        <v>0</v>
      </c>
      <c r="K487" s="6">
        <v>0</v>
      </c>
      <c r="L487" s="6">
        <v>0</v>
      </c>
      <c r="M487" s="6">
        <v>0</v>
      </c>
      <c r="N487" s="6">
        <v>0</v>
      </c>
      <c r="O487" s="4">
        <f t="shared" si="155"/>
        <v>0</v>
      </c>
      <c r="P487" s="5">
        <f>SUMIFS('Desenvolvimento diário'!$H:$H,'Desenvolvimento diário'!$Q:$Q,$B487,'Desenvolvimento diário'!$P:$P,$F487,'Desenvolvimento diário'!$R:$R,"Sim")</f>
        <v>0</v>
      </c>
      <c r="Q487" s="5">
        <f>SUMIFS('Desenvolvimento diário'!$H:$H,'Desenvolvimento diário'!$Q:$Q,$B487,'Desenvolvimento diário'!$P:$P,$F487,'Desenvolvimento diário'!$R:$R,"Não")</f>
        <v>0</v>
      </c>
      <c r="R487" s="4">
        <f t="shared" si="156"/>
        <v>0</v>
      </c>
      <c r="S487" s="4">
        <f t="shared" si="157"/>
        <v>0</v>
      </c>
      <c r="T487" s="12">
        <f t="shared" si="159"/>
        <v>0</v>
      </c>
      <c r="Y487" s="2"/>
      <c r="Z487" s="2"/>
      <c r="AA487" s="2"/>
      <c r="AB487" s="2"/>
      <c r="AC487" s="2"/>
    </row>
    <row r="488" spans="1:29" hidden="1">
      <c r="A488" s="2">
        <f t="shared" si="158"/>
        <v>14</v>
      </c>
      <c r="B488" s="2" t="str">
        <f>VLOOKUP($A488,Controle!$B$4:$F$68,2,FALSE)</f>
        <v>Varjão de Minas 1</v>
      </c>
      <c r="C488" s="2" t="str">
        <f>VLOOKUP($A488,Controle!$B$4:$F$68,3,FALSE)</f>
        <v xml:space="preserve">MORI GERACAO II </v>
      </c>
      <c r="D488" s="2" t="str">
        <f>VLOOKUP($A488,Controle!$B$4:$F$68,4,FALSE)</f>
        <v>Mori II</v>
      </c>
      <c r="E488" s="2" t="str">
        <f>VLOOKUP($A488,Controle!$B$4:$F$68,5,FALSE)</f>
        <v>Weg</v>
      </c>
      <c r="F488" s="3" t="str">
        <f t="shared" si="154"/>
        <v>Equipamentos Curva A -  Contrato Sobressalentes - Romagnole</v>
      </c>
      <c r="G488" s="2" t="str">
        <f>VLOOKUP($A488,Controle!$B$4:$G$68,6,FALSE)</f>
        <v>Mori</v>
      </c>
      <c r="H488" s="7">
        <v>0</v>
      </c>
      <c r="I488" s="7">
        <v>0</v>
      </c>
      <c r="J488" s="7">
        <v>0</v>
      </c>
      <c r="K488" s="7">
        <v>0</v>
      </c>
      <c r="L488" s="7">
        <v>0</v>
      </c>
      <c r="M488" s="7">
        <v>0</v>
      </c>
      <c r="N488" s="7">
        <v>0</v>
      </c>
      <c r="O488" s="4">
        <f t="shared" si="155"/>
        <v>0</v>
      </c>
      <c r="P488" s="17">
        <f>SUMIFS('Desenvolvimento diário'!$H:$H,'Desenvolvimento diário'!$Q:$Q,$B488,'Desenvolvimento diário'!$P:$P,$F488,'Desenvolvimento diário'!$R:$R,"Sim")</f>
        <v>0</v>
      </c>
      <c r="Q488" s="17">
        <f>SUMIFS('Desenvolvimento diário'!$H:$H,'Desenvolvimento diário'!$Q:$Q,$B488,'Desenvolvimento diário'!$P:$P,$F488,'Desenvolvimento diário'!$R:$R,"Não")</f>
        <v>0</v>
      </c>
      <c r="R488" s="4">
        <f t="shared" si="156"/>
        <v>0</v>
      </c>
      <c r="S488" s="4">
        <f t="shared" si="157"/>
        <v>0</v>
      </c>
      <c r="T488" s="12">
        <f t="shared" si="159"/>
        <v>0</v>
      </c>
      <c r="Y488" s="2"/>
      <c r="Z488" s="2"/>
      <c r="AA488" s="2"/>
      <c r="AB488" s="2"/>
      <c r="AC488" s="2"/>
    </row>
    <row r="489" spans="1:29" hidden="1">
      <c r="A489" s="2">
        <f t="shared" si="158"/>
        <v>14</v>
      </c>
      <c r="B489" s="2" t="str">
        <f>VLOOKUP($A489,Controle!$B$4:$F$68,2,FALSE)</f>
        <v>Varjão de Minas 1</v>
      </c>
      <c r="C489" s="2" t="str">
        <f>VLOOKUP($A489,Controle!$B$4:$F$68,3,FALSE)</f>
        <v xml:space="preserve">MORI GERACAO II </v>
      </c>
      <c r="D489" s="2" t="str">
        <f>VLOOKUP($A489,Controle!$B$4:$F$68,4,FALSE)</f>
        <v>Mori II</v>
      </c>
      <c r="E489" s="2" t="str">
        <f>VLOOKUP($A489,Controle!$B$4:$F$68,5,FALSE)</f>
        <v>Weg</v>
      </c>
      <c r="F489" s="3" t="str">
        <f t="shared" si="154"/>
        <v>GOS FLORESTAL - (PRAD - Recuperação Area Ambiental)</v>
      </c>
      <c r="G489" s="2" t="str">
        <f>VLOOKUP($A489,Controle!$B$4:$G$68,6,FALSE)</f>
        <v>Mori</v>
      </c>
      <c r="H489" s="506" t="s">
        <v>170</v>
      </c>
      <c r="I489" s="6">
        <v>0</v>
      </c>
      <c r="J489" s="506"/>
      <c r="K489" s="506">
        <v>0</v>
      </c>
      <c r="L489" s="506">
        <v>0</v>
      </c>
      <c r="M489" s="506">
        <v>0</v>
      </c>
      <c r="N489" s="506">
        <v>0</v>
      </c>
      <c r="O489" s="39">
        <f t="shared" si="155"/>
        <v>0</v>
      </c>
      <c r="P489" s="17">
        <f>SUMIFS('Desenvolvimento diário'!$H:$H,'Desenvolvimento diário'!$Q:$Q,$B489,'Desenvolvimento diário'!$P:$P,$F489,'Desenvolvimento diário'!$R:$R,"Sim")</f>
        <v>0</v>
      </c>
      <c r="Q489" s="17">
        <f>SUMIFS('Desenvolvimento diário'!$H:$H,'Desenvolvimento diário'!$Q:$Q,$B489,'Desenvolvimento diário'!$P:$P,$F489,'Desenvolvimento diário'!$R:$R,"Não")</f>
        <v>0</v>
      </c>
      <c r="R489" s="4">
        <f t="shared" si="156"/>
        <v>0</v>
      </c>
      <c r="S489" s="4">
        <f t="shared" si="157"/>
        <v>0</v>
      </c>
      <c r="T489" s="12">
        <f t="shared" si="159"/>
        <v>0</v>
      </c>
      <c r="Y489" s="2"/>
      <c r="Z489" s="2"/>
      <c r="AA489" s="2"/>
      <c r="AB489" s="2"/>
      <c r="AC489" s="2"/>
    </row>
    <row r="490" spans="1:29" hidden="1">
      <c r="A490" s="2">
        <f t="shared" si="158"/>
        <v>14</v>
      </c>
      <c r="B490" s="2" t="str">
        <f>VLOOKUP($A490,Controle!$B$4:$F$68,2,FALSE)</f>
        <v>Varjão de Minas 1</v>
      </c>
      <c r="C490" s="2" t="str">
        <f>VLOOKUP($A490,Controle!$B$4:$F$68,3,FALSE)</f>
        <v xml:space="preserve">MORI GERACAO II </v>
      </c>
      <c r="D490" s="2" t="str">
        <f>VLOOKUP($A490,Controle!$B$4:$F$68,4,FALSE)</f>
        <v>Mori II</v>
      </c>
      <c r="E490" s="2" t="str">
        <f>VLOOKUP($A490,Controle!$B$4:$F$68,5,FALSE)</f>
        <v>Weg</v>
      </c>
      <c r="F490" s="3" t="str">
        <f t="shared" si="154"/>
        <v>Cercamento das bacias de contenção ciclo 2</v>
      </c>
      <c r="G490" s="2" t="str">
        <f>VLOOKUP($A490,Controle!$B$4:$G$68,6,FALSE)</f>
        <v>Mori</v>
      </c>
      <c r="H490" s="506" t="s">
        <v>172</v>
      </c>
      <c r="I490" s="6"/>
      <c r="J490" s="506"/>
      <c r="K490" s="506">
        <v>0</v>
      </c>
      <c r="L490" s="506">
        <v>0</v>
      </c>
      <c r="M490" s="506">
        <v>0</v>
      </c>
      <c r="N490" s="506">
        <v>0</v>
      </c>
      <c r="O490" s="39">
        <f t="shared" si="155"/>
        <v>0</v>
      </c>
      <c r="P490" s="17">
        <f>SUMIFS('Desenvolvimento diário'!$H:$H,'Desenvolvimento diário'!$Q:$Q,$B490,'Desenvolvimento diário'!$P:$P,$F490,'Desenvolvimento diário'!$R:$R,"Sim")</f>
        <v>0</v>
      </c>
      <c r="Q490" s="17">
        <f>SUMIFS('Desenvolvimento diário'!$H:$H,'Desenvolvimento diário'!$Q:$Q,$B490,'Desenvolvimento diário'!$P:$P,$F490,'Desenvolvimento diário'!$R:$R,"Não")</f>
        <v>0</v>
      </c>
      <c r="R490" s="4">
        <f t="shared" si="156"/>
        <v>0</v>
      </c>
      <c r="S490" s="1030">
        <f t="shared" si="157"/>
        <v>0</v>
      </c>
      <c r="T490" s="12">
        <f t="shared" si="159"/>
        <v>0</v>
      </c>
      <c r="U490" s="1029" t="s">
        <v>166</v>
      </c>
      <c r="V490" s="1029" t="s">
        <v>94</v>
      </c>
      <c r="Y490" s="2"/>
      <c r="Z490" s="2"/>
      <c r="AA490" s="2"/>
      <c r="AB490" s="2"/>
      <c r="AC490" s="2"/>
    </row>
    <row r="491" spans="1:29" hidden="1">
      <c r="A491" s="8">
        <f>A488</f>
        <v>14</v>
      </c>
      <c r="B491" s="9" t="str">
        <f t="shared" ref="B491" si="161">B488</f>
        <v>Varjão de Minas 1</v>
      </c>
      <c r="C491" s="9" t="str">
        <f t="shared" ref="C491" si="162">C488</f>
        <v xml:space="preserve">MORI GERACAO II </v>
      </c>
      <c r="D491" s="9" t="str">
        <f t="shared" ref="D491" si="163">D488</f>
        <v>Mori II</v>
      </c>
      <c r="E491" s="9" t="str">
        <f t="shared" ref="E491" si="164">E488</f>
        <v>Weg</v>
      </c>
      <c r="F491" s="10" t="s">
        <v>158</v>
      </c>
      <c r="G491" s="9" t="str">
        <f>G488</f>
        <v>Mori</v>
      </c>
      <c r="H491" s="9"/>
      <c r="I491" s="9">
        <f>SUBTOTAL(9,I457:I490)</f>
        <v>0</v>
      </c>
      <c r="J491" s="9">
        <f t="shared" ref="J491:S491" si="165">SUBTOTAL(9,J457:J490)</f>
        <v>0</v>
      </c>
      <c r="K491" s="9">
        <f t="shared" si="165"/>
        <v>0</v>
      </c>
      <c r="L491" s="9">
        <f t="shared" si="165"/>
        <v>0</v>
      </c>
      <c r="M491" s="9">
        <f t="shared" si="165"/>
        <v>0</v>
      </c>
      <c r="N491" s="9">
        <f t="shared" si="165"/>
        <v>0</v>
      </c>
      <c r="O491" s="9">
        <f t="shared" si="165"/>
        <v>0</v>
      </c>
      <c r="P491" s="9">
        <f t="shared" si="165"/>
        <v>0</v>
      </c>
      <c r="Q491" s="9">
        <f t="shared" si="165"/>
        <v>0</v>
      </c>
      <c r="R491" s="9">
        <f t="shared" si="165"/>
        <v>0</v>
      </c>
      <c r="S491" s="9">
        <f t="shared" si="165"/>
        <v>0</v>
      </c>
      <c r="T491" s="13">
        <f t="shared" si="159"/>
        <v>0</v>
      </c>
      <c r="U491" s="11">
        <f>SUBTOTAL(9,U457:U490)</f>
        <v>0</v>
      </c>
      <c r="Y491" s="2"/>
      <c r="Z491" s="2"/>
      <c r="AA491" s="2"/>
      <c r="AB491" s="2"/>
      <c r="AC491" s="2"/>
    </row>
    <row r="492" spans="1:29" ht="10.5" hidden="1">
      <c r="A492" s="2">
        <f>A457+1</f>
        <v>15</v>
      </c>
      <c r="B492" s="2" t="str">
        <f>VLOOKUP($A492,Controle!$B$4:$F$68,2,FALSE)</f>
        <v>Varjão de Minas 4</v>
      </c>
      <c r="C492" s="2" t="str">
        <f>VLOOKUP($A492,Controle!$B$4:$F$68,3,FALSE)</f>
        <v xml:space="preserve">MORI GERACAO II </v>
      </c>
      <c r="D492" s="2" t="str">
        <f>VLOOKUP($A492,Controle!$B$4:$F$68,4,FALSE)</f>
        <v>Mori II</v>
      </c>
      <c r="E492" s="2">
        <f>VLOOKUP($A492,Controle!$B$4:$F$68,5,FALSE)</f>
        <v>2</v>
      </c>
      <c r="F492" s="3" t="str">
        <f t="shared" ref="F492:F525" si="166">F457</f>
        <v>Conexão AT - Obras</v>
      </c>
      <c r="G492" s="2" t="str">
        <f>VLOOKUP($A492,Controle!$B$4:$G$68,6,FALSE)</f>
        <v>Mori</v>
      </c>
      <c r="H492" s="6" t="s">
        <v>182</v>
      </c>
      <c r="I492" s="6">
        <v>0</v>
      </c>
      <c r="J492" s="6">
        <v>0</v>
      </c>
      <c r="K492" s="6">
        <v>0</v>
      </c>
      <c r="L492" s="6">
        <v>0</v>
      </c>
      <c r="M492" s="6">
        <v>0</v>
      </c>
      <c r="N492" s="6">
        <v>0</v>
      </c>
      <c r="O492" s="4">
        <f t="shared" ref="O492:O525" si="167">SUM(I492:N492)</f>
        <v>0</v>
      </c>
      <c r="P492" s="5">
        <f>SUMIFS('Desenvolvimento diário'!$H:$H,'Desenvolvimento diário'!$Q:$Q,$B492,'Desenvolvimento diário'!$P:$P,$F492,'Desenvolvimento diário'!$R:$R,"Sim")</f>
        <v>0</v>
      </c>
      <c r="Q492" s="5">
        <f>SUMIFS('Desenvolvimento diário'!$H:$H,'Desenvolvimento diário'!$Q:$Q,$B492,'Desenvolvimento diário'!$P:$P,$F492,'Desenvolvimento diário'!$R:$R,"Não")</f>
        <v>0</v>
      </c>
      <c r="R492" s="4">
        <f t="shared" ref="R492:R525" si="168">SUM(P492:Q492)</f>
        <v>0</v>
      </c>
      <c r="S492" s="4">
        <f t="shared" ref="S492:S525" si="169">O492-R492</f>
        <v>0</v>
      </c>
      <c r="T492" s="12">
        <f t="shared" si="159"/>
        <v>0</v>
      </c>
      <c r="Y492" s="2"/>
      <c r="Z492" s="2"/>
      <c r="AA492" s="2"/>
      <c r="AB492" s="2"/>
      <c r="AC492" s="2"/>
    </row>
    <row r="493" spans="1:29" ht="10.5" hidden="1">
      <c r="A493" s="2">
        <f t="shared" ref="A493:A525" si="170">A492</f>
        <v>15</v>
      </c>
      <c r="B493" s="2" t="str">
        <f>VLOOKUP($A493,Controle!$B$4:$F$68,2,FALSE)</f>
        <v>Varjão de Minas 4</v>
      </c>
      <c r="C493" s="2" t="str">
        <f>VLOOKUP($A493,Controle!$B$4:$F$68,3,FALSE)</f>
        <v xml:space="preserve">MORI GERACAO II </v>
      </c>
      <c r="D493" s="2" t="str">
        <f>VLOOKUP($A493,Controle!$B$4:$F$68,4,FALSE)</f>
        <v>Mori II</v>
      </c>
      <c r="E493" s="2">
        <f>VLOOKUP($A493,Controle!$B$4:$F$68,5,FALSE)</f>
        <v>2</v>
      </c>
      <c r="F493" s="3" t="str">
        <f t="shared" si="166"/>
        <v>Conexão MT - Obras</v>
      </c>
      <c r="G493" s="2" t="str">
        <f>VLOOKUP($A493,Controle!$B$4:$G$68,6,FALSE)</f>
        <v>Mori</v>
      </c>
      <c r="H493" s="6" t="s">
        <v>168</v>
      </c>
      <c r="I493" s="6">
        <v>904336.6</v>
      </c>
      <c r="J493" s="6">
        <v>692309.23</v>
      </c>
      <c r="K493" s="6">
        <v>0</v>
      </c>
      <c r="L493" s="6">
        <v>0</v>
      </c>
      <c r="M493" s="6">
        <v>0</v>
      </c>
      <c r="N493" s="6">
        <v>0</v>
      </c>
      <c r="O493" s="4">
        <f t="shared" si="167"/>
        <v>1596645.83</v>
      </c>
      <c r="P493" s="5">
        <f>SUMIFS('Desenvolvimento diário'!$H:$H,'Desenvolvimento diário'!$Q:$Q,$B493,'Desenvolvimento diário'!$P:$P,$F493,'Desenvolvimento diário'!$R:$R,"Sim")</f>
        <v>629124.57999999996</v>
      </c>
      <c r="Q493" s="5">
        <f>SUMIFS('Desenvolvimento diário'!$H:$H,'Desenvolvimento diário'!$Q:$Q,$B493,'Desenvolvimento diário'!$P:$P,$F493,'Desenvolvimento diário'!$R:$R,"Não")</f>
        <v>967521.25</v>
      </c>
      <c r="R493" s="4">
        <f t="shared" si="168"/>
        <v>1596645.83</v>
      </c>
      <c r="S493" s="4">
        <f t="shared" si="169"/>
        <v>0</v>
      </c>
      <c r="T493" s="12">
        <f t="shared" si="159"/>
        <v>1</v>
      </c>
      <c r="Y493" s="2"/>
      <c r="Z493" s="2"/>
      <c r="AA493" s="2"/>
      <c r="AB493" s="2"/>
      <c r="AC493" s="2"/>
    </row>
    <row r="494" spans="1:29" ht="10.5" hidden="1">
      <c r="A494" s="2">
        <f t="shared" si="170"/>
        <v>15</v>
      </c>
      <c r="B494" s="2" t="str">
        <f>VLOOKUP($A494,Controle!$B$4:$F$68,2,FALSE)</f>
        <v>Varjão de Minas 4</v>
      </c>
      <c r="C494" s="2" t="str">
        <f>VLOOKUP($A494,Controle!$B$4:$F$68,3,FALSE)</f>
        <v xml:space="preserve">MORI GERACAO II </v>
      </c>
      <c r="D494" s="2" t="str">
        <f>VLOOKUP($A494,Controle!$B$4:$F$68,4,FALSE)</f>
        <v>Mori II</v>
      </c>
      <c r="E494" s="2">
        <f>VLOOKUP($A494,Controle!$B$4:$F$68,5,FALSE)</f>
        <v>2</v>
      </c>
      <c r="F494" s="3" t="str">
        <f t="shared" si="166"/>
        <v>Construção - Serviços de Construção</v>
      </c>
      <c r="G494" s="2" t="str">
        <f>VLOOKUP($A494,Controle!$B$4:$G$68,6,FALSE)</f>
        <v>Mori</v>
      </c>
      <c r="H494" s="6" t="s">
        <v>147</v>
      </c>
      <c r="I494" s="6">
        <v>1814614</v>
      </c>
      <c r="J494" s="6">
        <v>156801.82</v>
      </c>
      <c r="K494" s="6">
        <v>0</v>
      </c>
      <c r="L494" s="6">
        <v>0</v>
      </c>
      <c r="M494" s="6">
        <v>0</v>
      </c>
      <c r="N494" s="6">
        <v>0</v>
      </c>
      <c r="O494" s="4">
        <f t="shared" si="167"/>
        <v>1971415.82</v>
      </c>
      <c r="P494" s="5">
        <f>SUMIFS('Desenvolvimento diário'!$H:$H,'Desenvolvimento diário'!$Q:$Q,$B494,'Desenvolvimento diário'!$P:$P,$F494,'Desenvolvimento diário'!$R:$R,"Sim")</f>
        <v>514158.48000000004</v>
      </c>
      <c r="Q494" s="5">
        <f>SUMIFS('Desenvolvimento diário'!$H:$H,'Desenvolvimento diário'!$Q:$Q,$B494,'Desenvolvimento diário'!$P:$P,$F494,'Desenvolvimento diário'!$R:$R,"Não")</f>
        <v>1345879.02</v>
      </c>
      <c r="R494" s="4">
        <f t="shared" si="168"/>
        <v>1860037.5</v>
      </c>
      <c r="S494" s="33">
        <f t="shared" si="169"/>
        <v>111378.32000000007</v>
      </c>
      <c r="T494" s="12">
        <f t="shared" si="159"/>
        <v>0.94350338529798339</v>
      </c>
      <c r="U494" s="510" t="s">
        <v>162</v>
      </c>
      <c r="V494" s="510" t="s">
        <v>163</v>
      </c>
      <c r="Y494" s="2"/>
      <c r="Z494" s="2"/>
      <c r="AA494" s="2"/>
      <c r="AB494" s="2"/>
      <c r="AC494" s="2"/>
    </row>
    <row r="495" spans="1:29" ht="10.5" hidden="1">
      <c r="A495" s="2">
        <f t="shared" si="170"/>
        <v>15</v>
      </c>
      <c r="B495" s="2" t="str">
        <f>VLOOKUP($A495,Controle!$B$4:$F$68,2,FALSE)</f>
        <v>Varjão de Minas 4</v>
      </c>
      <c r="C495" s="2" t="str">
        <f>VLOOKUP($A495,Controle!$B$4:$F$68,3,FALSE)</f>
        <v xml:space="preserve">MORI GERACAO II </v>
      </c>
      <c r="D495" s="2" t="str">
        <f>VLOOKUP($A495,Controle!$B$4:$F$68,4,FALSE)</f>
        <v>Mori II</v>
      </c>
      <c r="E495" s="2">
        <f>VLOOKUP($A495,Controle!$B$4:$F$68,5,FALSE)</f>
        <v>2</v>
      </c>
      <c r="F495" s="3" t="str">
        <f t="shared" si="166"/>
        <v>Construção - Serviços de Construção - Substituição</v>
      </c>
      <c r="G495" s="2" t="str">
        <f>VLOOKUP($A495,Controle!$B$4:$G$68,6,FALSE)</f>
        <v>Mori</v>
      </c>
      <c r="H495" s="6" t="s">
        <v>178</v>
      </c>
      <c r="I495" s="6">
        <v>1167400</v>
      </c>
      <c r="J495" s="6">
        <v>0</v>
      </c>
      <c r="K495" s="6">
        <v>0</v>
      </c>
      <c r="L495" s="6">
        <v>0</v>
      </c>
      <c r="M495" s="6">
        <v>0</v>
      </c>
      <c r="N495" s="6">
        <v>0</v>
      </c>
      <c r="O495" s="4">
        <f t="shared" si="167"/>
        <v>1167400</v>
      </c>
      <c r="P495" s="5">
        <f>SUMIFS('Desenvolvimento diário'!$H:$H,'Desenvolvimento diário'!$Q:$Q,$B495,'Desenvolvimento diário'!$P:$P,$F495,'Desenvolvimento diário'!$R:$R,"Sim")</f>
        <v>325345.82</v>
      </c>
      <c r="Q495" s="5">
        <f>SUMIFS('Desenvolvimento diário'!$H:$H,'Desenvolvimento diário'!$Q:$Q,$B495,'Desenvolvimento diário'!$P:$P,$F495,'Desenvolvimento diário'!$R:$R,"Não")</f>
        <v>175110</v>
      </c>
      <c r="R495" s="4">
        <f t="shared" si="168"/>
        <v>500455.82</v>
      </c>
      <c r="S495" s="33">
        <f t="shared" si="169"/>
        <v>666944.17999999993</v>
      </c>
      <c r="T495" s="12">
        <f t="shared" si="159"/>
        <v>0.42869266746616413</v>
      </c>
      <c r="U495" s="510" t="s">
        <v>162</v>
      </c>
      <c r="V495" s="510" t="s">
        <v>163</v>
      </c>
      <c r="Y495" s="2"/>
      <c r="Z495" s="2"/>
      <c r="AA495" s="2"/>
      <c r="AB495" s="2"/>
      <c r="AC495" s="2"/>
    </row>
    <row r="496" spans="1:29" ht="10.5" hidden="1">
      <c r="A496" s="2">
        <f t="shared" si="170"/>
        <v>15</v>
      </c>
      <c r="B496" s="2" t="str">
        <f>VLOOKUP($A496,Controle!$B$4:$F$68,2,FALSE)</f>
        <v>Varjão de Minas 4</v>
      </c>
      <c r="C496" s="2" t="str">
        <f>VLOOKUP($A496,Controle!$B$4:$F$68,3,FALSE)</f>
        <v xml:space="preserve">MORI GERACAO II </v>
      </c>
      <c r="D496" s="2" t="str">
        <f>VLOOKUP($A496,Controle!$B$4:$F$68,4,FALSE)</f>
        <v>Mori II</v>
      </c>
      <c r="E496" s="2">
        <f>VLOOKUP($A496,Controle!$B$4:$F$68,5,FALSE)</f>
        <v>2</v>
      </c>
      <c r="F496" s="3" t="str">
        <f t="shared" si="166"/>
        <v>Construção - RDA Interno</v>
      </c>
      <c r="G496" s="2" t="str">
        <f>VLOOKUP($A496,Controle!$B$4:$G$68,6,FALSE)</f>
        <v>Mori</v>
      </c>
      <c r="H496" s="6" t="s">
        <v>168</v>
      </c>
      <c r="I496" s="6">
        <v>176232.08</v>
      </c>
      <c r="J496" s="6">
        <v>0</v>
      </c>
      <c r="K496" s="6">
        <v>0</v>
      </c>
      <c r="L496" s="6">
        <v>0</v>
      </c>
      <c r="M496" s="6">
        <v>0</v>
      </c>
      <c r="N496" s="6">
        <v>0</v>
      </c>
      <c r="O496" s="4">
        <f t="shared" si="167"/>
        <v>176232.08</v>
      </c>
      <c r="P496" s="5">
        <f>SUMIFS('Desenvolvimento diário'!$H:$H,'Desenvolvimento diário'!$Q:$Q,$B496,'Desenvolvimento diário'!$P:$P,$F496,'Desenvolvimento diário'!$R:$R,"Sim")</f>
        <v>58279.8</v>
      </c>
      <c r="Q496" s="5">
        <f>SUMIFS('Desenvolvimento diário'!$H:$H,'Desenvolvimento diário'!$Q:$Q,$B496,'Desenvolvimento diário'!$P:$P,$F496,'Desenvolvimento diário'!$R:$R,"Não")</f>
        <v>117952.28</v>
      </c>
      <c r="R496" s="4">
        <f t="shared" si="168"/>
        <v>176232.08000000002</v>
      </c>
      <c r="S496" s="4">
        <f t="shared" si="169"/>
        <v>0</v>
      </c>
      <c r="T496" s="12">
        <f t="shared" si="159"/>
        <v>1.0000000000000002</v>
      </c>
      <c r="Y496" s="2"/>
      <c r="Z496" s="2"/>
      <c r="AA496" s="2"/>
      <c r="AB496" s="2"/>
      <c r="AC496" s="2"/>
    </row>
    <row r="497" spans="1:29" ht="10.5" hidden="1">
      <c r="A497" s="2">
        <f t="shared" si="170"/>
        <v>15</v>
      </c>
      <c r="B497" s="2" t="str">
        <f>VLOOKUP($A497,Controle!$B$4:$F$68,2,FALSE)</f>
        <v>Varjão de Minas 4</v>
      </c>
      <c r="C497" s="2" t="str">
        <f>VLOOKUP($A497,Controle!$B$4:$F$68,3,FALSE)</f>
        <v xml:space="preserve">MORI GERACAO II </v>
      </c>
      <c r="D497" s="2" t="str">
        <f>VLOOKUP($A497,Controle!$B$4:$F$68,4,FALSE)</f>
        <v>Mori II</v>
      </c>
      <c r="E497" s="2">
        <f>VLOOKUP($A497,Controle!$B$4:$F$68,5,FALSE)</f>
        <v>2</v>
      </c>
      <c r="F497" s="3" t="str">
        <f t="shared" si="166"/>
        <v>Full EPC - Contrato</v>
      </c>
      <c r="G497" s="2" t="str">
        <f>VLOOKUP($A497,Controle!$B$4:$G$68,6,FALSE)</f>
        <v>Mori</v>
      </c>
      <c r="H497" s="6">
        <v>0</v>
      </c>
      <c r="I497" s="6">
        <v>0</v>
      </c>
      <c r="J497" s="6">
        <v>0</v>
      </c>
      <c r="K497" s="6">
        <v>0</v>
      </c>
      <c r="L497" s="6">
        <v>0</v>
      </c>
      <c r="M497" s="6">
        <v>0</v>
      </c>
      <c r="N497" s="6">
        <v>0</v>
      </c>
      <c r="O497" s="4">
        <f t="shared" si="167"/>
        <v>0</v>
      </c>
      <c r="P497" s="5">
        <f>SUMIFS('Desenvolvimento diário'!$H:$H,'Desenvolvimento diário'!$Q:$Q,$B497,'Desenvolvimento diário'!$P:$P,$F497,'Desenvolvimento diário'!$R:$R,"Sim")</f>
        <v>0</v>
      </c>
      <c r="Q497" s="5">
        <f>SUMIFS('Desenvolvimento diário'!$H:$H,'Desenvolvimento diário'!$Q:$Q,$B497,'Desenvolvimento diário'!$P:$P,$F497,'Desenvolvimento diário'!$R:$R,"Não")</f>
        <v>0</v>
      </c>
      <c r="R497" s="4">
        <f t="shared" si="168"/>
        <v>0</v>
      </c>
      <c r="S497" s="4">
        <f t="shared" si="169"/>
        <v>0</v>
      </c>
      <c r="T497" s="12">
        <f t="shared" si="159"/>
        <v>0</v>
      </c>
      <c r="Y497" s="2"/>
      <c r="Z497" s="2"/>
      <c r="AA497" s="2"/>
      <c r="AB497" s="2"/>
      <c r="AC497" s="2"/>
    </row>
    <row r="498" spans="1:29" ht="10.5" hidden="1">
      <c r="A498" s="2">
        <f t="shared" si="170"/>
        <v>15</v>
      </c>
      <c r="B498" s="2" t="str">
        <f>VLOOKUP($A498,Controle!$B$4:$F$68,2,FALSE)</f>
        <v>Varjão de Minas 4</v>
      </c>
      <c r="C498" s="2" t="str">
        <f>VLOOKUP($A498,Controle!$B$4:$F$68,3,FALSE)</f>
        <v xml:space="preserve">MORI GERACAO II </v>
      </c>
      <c r="D498" s="2" t="str">
        <f>VLOOKUP($A498,Controle!$B$4:$F$68,4,FALSE)</f>
        <v>Mori II</v>
      </c>
      <c r="E498" s="2">
        <f>VLOOKUP($A498,Controle!$B$4:$F$68,5,FALSE)</f>
        <v>2</v>
      </c>
      <c r="F498" s="3" t="str">
        <f t="shared" si="166"/>
        <v>Equipamentos Curva A - Outros (Transformadores)</v>
      </c>
      <c r="G498" s="2" t="str">
        <f>VLOOKUP($A498,Controle!$B$4:$G$68,6,FALSE)</f>
        <v>Mori</v>
      </c>
      <c r="H498" s="6">
        <v>0</v>
      </c>
      <c r="I498" s="6">
        <v>0</v>
      </c>
      <c r="J498" s="6">
        <v>0</v>
      </c>
      <c r="K498" s="6">
        <v>0</v>
      </c>
      <c r="L498" s="6">
        <v>0</v>
      </c>
      <c r="M498" s="6">
        <v>0</v>
      </c>
      <c r="N498" s="6">
        <v>0</v>
      </c>
      <c r="O498" s="4">
        <f t="shared" si="167"/>
        <v>0</v>
      </c>
      <c r="P498" s="5">
        <f>SUMIFS('Desenvolvimento diário'!$H:$H,'Desenvolvimento diário'!$Q:$Q,$B498,'Desenvolvimento diário'!$P:$P,$F498,'Desenvolvimento diário'!$R:$R,"Sim")</f>
        <v>0</v>
      </c>
      <c r="Q498" s="5">
        <f>SUMIFS('Desenvolvimento diário'!$H:$H,'Desenvolvimento diário'!$Q:$Q,$B498,'Desenvolvimento diário'!$P:$P,$F498,'Desenvolvimento diário'!$R:$R,"Não")</f>
        <v>0</v>
      </c>
      <c r="R498" s="4">
        <f t="shared" si="168"/>
        <v>0</v>
      </c>
      <c r="S498" s="4">
        <f t="shared" si="169"/>
        <v>0</v>
      </c>
      <c r="T498" s="12">
        <f t="shared" si="159"/>
        <v>0</v>
      </c>
      <c r="Y498" s="2"/>
      <c r="Z498" s="2"/>
      <c r="AA498" s="2"/>
      <c r="AB498" s="2"/>
      <c r="AC498" s="2"/>
    </row>
    <row r="499" spans="1:29" ht="10.5" hidden="1">
      <c r="A499" s="2">
        <f t="shared" si="170"/>
        <v>15</v>
      </c>
      <c r="B499" s="2" t="str">
        <f>VLOOKUP($A499,Controle!$B$4:$F$68,2,FALSE)</f>
        <v>Varjão de Minas 4</v>
      </c>
      <c r="C499" s="2" t="str">
        <f>VLOOKUP($A499,Controle!$B$4:$F$68,3,FALSE)</f>
        <v xml:space="preserve">MORI GERACAO II </v>
      </c>
      <c r="D499" s="2" t="str">
        <f>VLOOKUP($A499,Controle!$B$4:$F$68,4,FALSE)</f>
        <v>Mori II</v>
      </c>
      <c r="E499" s="2">
        <f>VLOOKUP($A499,Controle!$B$4:$F$68,5,FALSE)</f>
        <v>2</v>
      </c>
      <c r="F499" s="3" t="str">
        <f t="shared" si="166"/>
        <v>Equipamentos Curva A - Outros (Cabine + Skid)</v>
      </c>
      <c r="G499" s="2" t="str">
        <f>VLOOKUP($A499,Controle!$B$4:$G$68,6,FALSE)</f>
        <v>Mori</v>
      </c>
      <c r="H499" s="6">
        <v>0</v>
      </c>
      <c r="I499" s="6">
        <v>0</v>
      </c>
      <c r="J499" s="6">
        <v>0</v>
      </c>
      <c r="K499" s="6">
        <v>0</v>
      </c>
      <c r="L499" s="6">
        <v>0</v>
      </c>
      <c r="M499" s="6">
        <v>0</v>
      </c>
      <c r="N499" s="6">
        <v>0</v>
      </c>
      <c r="O499" s="4">
        <f t="shared" si="167"/>
        <v>0</v>
      </c>
      <c r="P499" s="5">
        <f>SUMIFS('Desenvolvimento diário'!$H:$H,'Desenvolvimento diário'!$Q:$Q,$B499,'Desenvolvimento diário'!$P:$P,$F499,'Desenvolvimento diário'!$R:$R,"Sim")</f>
        <v>0</v>
      </c>
      <c r="Q499" s="5">
        <f>SUMIFS('Desenvolvimento diário'!$H:$H,'Desenvolvimento diário'!$Q:$Q,$B499,'Desenvolvimento diário'!$P:$P,$F499,'Desenvolvimento diário'!$R:$R,"Não")</f>
        <v>0</v>
      </c>
      <c r="R499" s="4">
        <f t="shared" si="168"/>
        <v>0</v>
      </c>
      <c r="S499" s="4">
        <f t="shared" si="169"/>
        <v>0</v>
      </c>
      <c r="T499" s="12">
        <f t="shared" si="159"/>
        <v>0</v>
      </c>
      <c r="Y499" s="2"/>
      <c r="Z499" s="2"/>
      <c r="AA499" s="2"/>
      <c r="AB499" s="2"/>
      <c r="AC499" s="2"/>
    </row>
    <row r="500" spans="1:29" ht="10.5" hidden="1">
      <c r="A500" s="2">
        <f t="shared" si="170"/>
        <v>15</v>
      </c>
      <c r="B500" s="2" t="str">
        <f>VLOOKUP($A500,Controle!$B$4:$F$68,2,FALSE)</f>
        <v>Varjão de Minas 4</v>
      </c>
      <c r="C500" s="2" t="str">
        <f>VLOOKUP($A500,Controle!$B$4:$F$68,3,FALSE)</f>
        <v xml:space="preserve">MORI GERACAO II </v>
      </c>
      <c r="D500" s="2" t="str">
        <f>VLOOKUP($A500,Controle!$B$4:$F$68,4,FALSE)</f>
        <v>Mori II</v>
      </c>
      <c r="E500" s="2">
        <f>VLOOKUP($A500,Controle!$B$4:$F$68,5,FALSE)</f>
        <v>2</v>
      </c>
      <c r="F500" s="3" t="str">
        <f t="shared" si="166"/>
        <v>Equipamentos Curva A - Outros (Cabine + Skid + Transformador)</v>
      </c>
      <c r="G500" s="2" t="str">
        <f>VLOOKUP($A500,Controle!$B$4:$G$68,6,FALSE)</f>
        <v>Mori</v>
      </c>
      <c r="H500" s="6" t="s">
        <v>144</v>
      </c>
      <c r="I500" s="6">
        <v>381701.36733699997</v>
      </c>
      <c r="J500" s="6">
        <v>0</v>
      </c>
      <c r="K500" s="6">
        <v>0</v>
      </c>
      <c r="L500" s="6">
        <v>0</v>
      </c>
      <c r="M500" s="6">
        <v>0</v>
      </c>
      <c r="N500" s="6">
        <v>0</v>
      </c>
      <c r="O500" s="4">
        <f t="shared" si="167"/>
        <v>381701.36733699997</v>
      </c>
      <c r="P500" s="5">
        <f>SUMIFS('Desenvolvimento diário'!$H:$H,'Desenvolvimento diário'!$Q:$Q,$B500,'Desenvolvimento diário'!$P:$P,$F500,'Desenvolvimento diário'!$R:$R,"Sim")</f>
        <v>0</v>
      </c>
      <c r="Q500" s="5">
        <f>SUMIFS('Desenvolvimento diário'!$H:$H,'Desenvolvimento diário'!$Q:$Q,$B500,'Desenvolvimento diário'!$P:$P,$F500,'Desenvolvimento diário'!$R:$R,"Não")</f>
        <v>381701.36733699997</v>
      </c>
      <c r="R500" s="4">
        <f t="shared" si="168"/>
        <v>381701.36733699997</v>
      </c>
      <c r="S500" s="4">
        <f t="shared" si="169"/>
        <v>0</v>
      </c>
      <c r="T500" s="12">
        <f t="shared" si="159"/>
        <v>1</v>
      </c>
      <c r="Y500" s="2"/>
      <c r="Z500" s="2"/>
      <c r="AA500" s="2"/>
      <c r="AB500" s="2"/>
      <c r="AC500" s="2"/>
    </row>
    <row r="501" spans="1:29" ht="10.5" hidden="1">
      <c r="A501" s="2">
        <f t="shared" si="170"/>
        <v>15</v>
      </c>
      <c r="B501" s="2" t="str">
        <f>VLOOKUP($A501,Controle!$B$4:$F$68,2,FALSE)</f>
        <v>Varjão de Minas 4</v>
      </c>
      <c r="C501" s="2" t="str">
        <f>VLOOKUP($A501,Controle!$B$4:$F$68,3,FALSE)</f>
        <v xml:space="preserve">MORI GERACAO II </v>
      </c>
      <c r="D501" s="2" t="str">
        <f>VLOOKUP($A501,Controle!$B$4:$F$68,4,FALSE)</f>
        <v>Mori II</v>
      </c>
      <c r="E501" s="2">
        <f>VLOOKUP($A501,Controle!$B$4:$F$68,5,FALSE)</f>
        <v>2</v>
      </c>
      <c r="F501" s="3" t="str">
        <f t="shared" si="166"/>
        <v>Desenvolvimento de projeto - Projetos - (Eng° Proprietario)</v>
      </c>
      <c r="G501" s="2" t="str">
        <f>VLOOKUP($A501,Controle!$B$4:$G$68,6,FALSE)</f>
        <v>Mori</v>
      </c>
      <c r="H501" s="6" t="s">
        <v>145</v>
      </c>
      <c r="I501" s="6">
        <v>0</v>
      </c>
      <c r="J501" s="6">
        <v>0</v>
      </c>
      <c r="K501" s="6">
        <v>0</v>
      </c>
      <c r="L501" s="6">
        <v>0</v>
      </c>
      <c r="M501" s="6">
        <v>0</v>
      </c>
      <c r="N501" s="6">
        <v>0</v>
      </c>
      <c r="O501" s="4">
        <f t="shared" si="167"/>
        <v>0</v>
      </c>
      <c r="P501" s="5">
        <f>SUMIFS('Desenvolvimento diário'!$H:$H,'Desenvolvimento diário'!$Q:$Q,$B501,'Desenvolvimento diário'!$P:$P,$F501,'Desenvolvimento diário'!$R:$R,"Sim")</f>
        <v>0</v>
      </c>
      <c r="Q501" s="5">
        <f>SUMIFS('Desenvolvimento diário'!$H:$H,'Desenvolvimento diário'!$Q:$Q,$B501,'Desenvolvimento diário'!$P:$P,$F501,'Desenvolvimento diário'!$R:$R,"Não")</f>
        <v>0</v>
      </c>
      <c r="R501" s="4">
        <f t="shared" si="168"/>
        <v>0</v>
      </c>
      <c r="S501" s="4">
        <f t="shared" si="169"/>
        <v>0</v>
      </c>
      <c r="T501" s="12">
        <f t="shared" si="159"/>
        <v>0</v>
      </c>
      <c r="Y501" s="2"/>
      <c r="Z501" s="2"/>
      <c r="AA501" s="2"/>
      <c r="AB501" s="2"/>
      <c r="AC501" s="2"/>
    </row>
    <row r="502" spans="1:29" ht="10.5" hidden="1">
      <c r="A502" s="2">
        <f t="shared" si="170"/>
        <v>15</v>
      </c>
      <c r="B502" s="2" t="str">
        <f>VLOOKUP($A502,Controle!$B$4:$F$68,2,FALSE)</f>
        <v>Varjão de Minas 4</v>
      </c>
      <c r="C502" s="2" t="str">
        <f>VLOOKUP($A502,Controle!$B$4:$F$68,3,FALSE)</f>
        <v xml:space="preserve">MORI GERACAO II </v>
      </c>
      <c r="D502" s="2" t="str">
        <f>VLOOKUP($A502,Controle!$B$4:$F$68,4,FALSE)</f>
        <v>Mori II</v>
      </c>
      <c r="E502" s="2">
        <f>VLOOKUP($A502,Controle!$B$4:$F$68,5,FALSE)</f>
        <v>2</v>
      </c>
      <c r="F502" s="3" t="str">
        <f t="shared" si="166"/>
        <v>Desenvolvimento de projeto - Projetos - Executivos</v>
      </c>
      <c r="G502" s="2" t="str">
        <f>VLOOKUP($A502,Controle!$B$4:$G$68,6,FALSE)</f>
        <v>Mori</v>
      </c>
      <c r="H502" s="6" t="s">
        <v>146</v>
      </c>
      <c r="I502" s="6">
        <v>33350</v>
      </c>
      <c r="J502" s="6">
        <v>0</v>
      </c>
      <c r="K502" s="6">
        <v>0</v>
      </c>
      <c r="L502" s="6">
        <v>0</v>
      </c>
      <c r="M502" s="6">
        <v>0</v>
      </c>
      <c r="N502" s="6">
        <v>0</v>
      </c>
      <c r="O502" s="4">
        <f t="shared" si="167"/>
        <v>33350</v>
      </c>
      <c r="P502" s="5">
        <f>SUMIFS('Desenvolvimento diário'!$H:$H,'Desenvolvimento diário'!$Q:$Q,$B502,'Desenvolvimento diário'!$P:$P,$F502,'Desenvolvimento diário'!$R:$R,"Sim")</f>
        <v>0</v>
      </c>
      <c r="Q502" s="5">
        <f>SUMIFS('Desenvolvimento diário'!$H:$H,'Desenvolvimento diário'!$Q:$Q,$B502,'Desenvolvimento diário'!$P:$P,$F502,'Desenvolvimento diário'!$R:$R,"Não")</f>
        <v>33350</v>
      </c>
      <c r="R502" s="4">
        <f t="shared" si="168"/>
        <v>33350</v>
      </c>
      <c r="S502" s="27">
        <f t="shared" si="169"/>
        <v>0</v>
      </c>
      <c r="T502" s="12">
        <f t="shared" si="159"/>
        <v>1</v>
      </c>
      <c r="Y502" s="2"/>
      <c r="Z502" s="2"/>
      <c r="AA502" s="2"/>
      <c r="AB502" s="2"/>
      <c r="AC502" s="2"/>
    </row>
    <row r="503" spans="1:29" ht="10.5" hidden="1">
      <c r="A503" s="2">
        <f t="shared" si="170"/>
        <v>15</v>
      </c>
      <c r="B503" s="2" t="str">
        <f>VLOOKUP($A503,Controle!$B$4:$F$68,2,FALSE)</f>
        <v>Varjão de Minas 4</v>
      </c>
      <c r="C503" s="2" t="str">
        <f>VLOOKUP($A503,Controle!$B$4:$F$68,3,FALSE)</f>
        <v xml:space="preserve">MORI GERACAO II </v>
      </c>
      <c r="D503" s="2" t="str">
        <f>VLOOKUP($A503,Controle!$B$4:$F$68,4,FALSE)</f>
        <v>Mori II</v>
      </c>
      <c r="E503" s="2">
        <f>VLOOKUP($A503,Controle!$B$4:$F$68,5,FALSE)</f>
        <v>2</v>
      </c>
      <c r="F503" s="3" t="str">
        <f t="shared" si="166"/>
        <v>Desenvolvimento de projeto - Projetos Básica</v>
      </c>
      <c r="G503" s="2" t="str">
        <f>VLOOKUP($A503,Controle!$B$4:$G$68,6,FALSE)</f>
        <v>Mori</v>
      </c>
      <c r="H503" s="6" t="s">
        <v>147</v>
      </c>
      <c r="I503" s="6">
        <f>20000+15000</f>
        <v>35000</v>
      </c>
      <c r="J503" s="6">
        <v>24022.95</v>
      </c>
      <c r="K503" s="6">
        <v>0</v>
      </c>
      <c r="L503" s="6">
        <v>0</v>
      </c>
      <c r="M503" s="6">
        <v>0</v>
      </c>
      <c r="N503" s="6">
        <v>0</v>
      </c>
      <c r="O503" s="4">
        <f t="shared" si="167"/>
        <v>59022.95</v>
      </c>
      <c r="P503" s="5">
        <f>SUMIFS('Desenvolvimento diário'!$H:$H,'Desenvolvimento diário'!$Q:$Q,$B503,'Desenvolvimento diário'!$P:$P,$F503,'Desenvolvimento diário'!$R:$R,"Sim")</f>
        <v>0</v>
      </c>
      <c r="Q503" s="5">
        <f>SUMIFS('Desenvolvimento diário'!$H:$H,'Desenvolvimento diário'!$Q:$Q,$B503,'Desenvolvimento diário'!$P:$P,$F503,'Desenvolvimento diário'!$R:$R,"Não")</f>
        <v>59022.95</v>
      </c>
      <c r="R503" s="4">
        <f t="shared" si="168"/>
        <v>59022.95</v>
      </c>
      <c r="S503" s="4">
        <f t="shared" si="169"/>
        <v>0</v>
      </c>
      <c r="T503" s="12">
        <f t="shared" si="159"/>
        <v>1</v>
      </c>
      <c r="Y503" s="2"/>
      <c r="Z503" s="2"/>
      <c r="AA503" s="2"/>
      <c r="AB503" s="2"/>
      <c r="AC503" s="2"/>
    </row>
    <row r="504" spans="1:29" ht="10.5" hidden="1">
      <c r="A504" s="2">
        <f t="shared" si="170"/>
        <v>15</v>
      </c>
      <c r="B504" s="2" t="str">
        <f>VLOOKUP($A504,Controle!$B$4:$F$68,2,FALSE)</f>
        <v>Varjão de Minas 4</v>
      </c>
      <c r="C504" s="2" t="str">
        <f>VLOOKUP($A504,Controle!$B$4:$F$68,3,FALSE)</f>
        <v xml:space="preserve">MORI GERACAO II </v>
      </c>
      <c r="D504" s="2" t="str">
        <f>VLOOKUP($A504,Controle!$B$4:$F$68,4,FALSE)</f>
        <v>Mori II</v>
      </c>
      <c r="E504" s="2">
        <f>VLOOKUP($A504,Controle!$B$4:$F$68,5,FALSE)</f>
        <v>2</v>
      </c>
      <c r="F504" s="3" t="str">
        <f t="shared" si="166"/>
        <v>Desenvolvimento de projeto - Projetos Detalhada</v>
      </c>
      <c r="G504" s="2" t="str">
        <f>VLOOKUP($A504,Controle!$B$4:$G$68,6,FALSE)</f>
        <v>Mori</v>
      </c>
      <c r="H504" s="6">
        <v>0</v>
      </c>
      <c r="I504" s="6">
        <v>0</v>
      </c>
      <c r="J504" s="6">
        <v>0</v>
      </c>
      <c r="K504" s="6">
        <v>0</v>
      </c>
      <c r="L504" s="6">
        <v>0</v>
      </c>
      <c r="M504" s="6">
        <v>0</v>
      </c>
      <c r="N504" s="6">
        <v>0</v>
      </c>
      <c r="O504" s="4">
        <f t="shared" si="167"/>
        <v>0</v>
      </c>
      <c r="P504" s="5">
        <f>SUMIFS('Desenvolvimento diário'!$H:$H,'Desenvolvimento diário'!$Q:$Q,$B504,'Desenvolvimento diário'!$P:$P,$F504,'Desenvolvimento diário'!$R:$R,"Sim")</f>
        <v>0</v>
      </c>
      <c r="Q504" s="5">
        <f>SUMIFS('Desenvolvimento diário'!$H:$H,'Desenvolvimento diário'!$Q:$Q,$B504,'Desenvolvimento diário'!$P:$P,$F504,'Desenvolvimento diário'!$R:$R,"Não")</f>
        <v>0</v>
      </c>
      <c r="R504" s="4">
        <f t="shared" si="168"/>
        <v>0</v>
      </c>
      <c r="S504" s="4">
        <f t="shared" si="169"/>
        <v>0</v>
      </c>
      <c r="T504" s="12">
        <f t="shared" si="159"/>
        <v>0</v>
      </c>
      <c r="Y504" s="2"/>
      <c r="Z504" s="2"/>
      <c r="AA504" s="2"/>
      <c r="AB504" s="2"/>
      <c r="AC504" s="2"/>
    </row>
    <row r="505" spans="1:29" ht="10.5" hidden="1">
      <c r="A505" s="2">
        <f t="shared" si="170"/>
        <v>15</v>
      </c>
      <c r="B505" s="2" t="str">
        <f>VLOOKUP($A505,Controle!$B$4:$F$68,2,FALSE)</f>
        <v>Varjão de Minas 4</v>
      </c>
      <c r="C505" s="2" t="str">
        <f>VLOOKUP($A505,Controle!$B$4:$F$68,3,FALSE)</f>
        <v xml:space="preserve">MORI GERACAO II </v>
      </c>
      <c r="D505" s="2" t="str">
        <f>VLOOKUP($A505,Controle!$B$4:$F$68,4,FALSE)</f>
        <v>Mori II</v>
      </c>
      <c r="E505" s="2">
        <f>VLOOKUP($A505,Controle!$B$4:$F$68,5,FALSE)</f>
        <v>2</v>
      </c>
      <c r="F505" s="3" t="str">
        <f t="shared" si="166"/>
        <v>Desenvolvimento de projeto - Ambiental / Outros</v>
      </c>
      <c r="G505" s="2" t="str">
        <f>VLOOKUP($A505,Controle!$B$4:$G$68,6,FALSE)</f>
        <v>Mori</v>
      </c>
      <c r="H505" s="6" t="s">
        <v>148</v>
      </c>
      <c r="I505" s="6">
        <f>R505</f>
        <v>39226.300000000003</v>
      </c>
      <c r="J505" s="6">
        <v>0</v>
      </c>
      <c r="K505" s="6">
        <v>0</v>
      </c>
      <c r="L505" s="6">
        <v>0</v>
      </c>
      <c r="M505" s="6">
        <v>0</v>
      </c>
      <c r="N505" s="6">
        <v>0</v>
      </c>
      <c r="O505" s="4">
        <f t="shared" si="167"/>
        <v>39226.300000000003</v>
      </c>
      <c r="P505" s="5">
        <f>SUMIFS('Desenvolvimento diário'!$H:$H,'Desenvolvimento diário'!$Q:$Q,$B505,'Desenvolvimento diário'!$P:$P,$F505,'Desenvolvimento diário'!$R:$R,"Sim")</f>
        <v>0</v>
      </c>
      <c r="Q505" s="5">
        <f>SUMIFS('Desenvolvimento diário'!$H:$H,'Desenvolvimento diário'!$Q:$Q,$B505,'Desenvolvimento diário'!$P:$P,$F505,'Desenvolvimento diário'!$R:$R,"Não")</f>
        <v>39226.300000000003</v>
      </c>
      <c r="R505" s="4">
        <f t="shared" si="168"/>
        <v>39226.300000000003</v>
      </c>
      <c r="S505" s="4">
        <f t="shared" si="169"/>
        <v>0</v>
      </c>
      <c r="T505" s="12">
        <f t="shared" si="159"/>
        <v>1</v>
      </c>
      <c r="Y505" s="2"/>
      <c r="Z505" s="2"/>
      <c r="AA505" s="2"/>
      <c r="AB505" s="2"/>
      <c r="AC505" s="2"/>
    </row>
    <row r="506" spans="1:29" hidden="1">
      <c r="A506" s="2">
        <f t="shared" si="170"/>
        <v>15</v>
      </c>
      <c r="B506" s="2" t="str">
        <f>VLOOKUP($A506,Controle!$B$4:$F$68,2,FALSE)</f>
        <v>Varjão de Minas 4</v>
      </c>
      <c r="C506" s="2" t="str">
        <f>VLOOKUP($A506,Controle!$B$4:$F$68,3,FALSE)</f>
        <v xml:space="preserve">MORI GERACAO II </v>
      </c>
      <c r="D506" s="2" t="str">
        <f>VLOOKUP($A506,Controle!$B$4:$F$68,4,FALSE)</f>
        <v>Mori II</v>
      </c>
      <c r="E506" s="2">
        <f>VLOOKUP($A506,Controle!$B$4:$F$68,5,FALSE)</f>
        <v>2</v>
      </c>
      <c r="F506" s="3" t="str">
        <f t="shared" si="166"/>
        <v>Desenvolvimento de projeto - Coordenograma</v>
      </c>
      <c r="G506" s="2" t="str">
        <f>VLOOKUP($A506,Controle!$B$4:$G$68,6,FALSE)</f>
        <v>Mori</v>
      </c>
      <c r="H506" s="31" t="s">
        <v>149</v>
      </c>
      <c r="I506" s="31">
        <f>6207-0.1</f>
        <v>6206.9</v>
      </c>
      <c r="J506" s="31">
        <v>0</v>
      </c>
      <c r="K506" s="31">
        <v>0</v>
      </c>
      <c r="L506" s="6">
        <v>0</v>
      </c>
      <c r="M506" s="6">
        <v>0</v>
      </c>
      <c r="N506" s="6">
        <v>0</v>
      </c>
      <c r="O506" s="4">
        <f t="shared" si="167"/>
        <v>6206.9</v>
      </c>
      <c r="P506" s="5">
        <f>SUMIFS('Desenvolvimento diário'!$H:$H,'Desenvolvimento diário'!$Q:$Q,$B506,'Desenvolvimento diário'!$P:$P,$F506,'Desenvolvimento diário'!$R:$R,"Sim")</f>
        <v>0</v>
      </c>
      <c r="Q506" s="5">
        <f>SUMIFS('Desenvolvimento diário'!$H:$H,'Desenvolvimento diário'!$Q:$Q,$B506,'Desenvolvimento diário'!$P:$P,$F506,'Desenvolvimento diário'!$R:$R,"Não")</f>
        <v>6206.9</v>
      </c>
      <c r="R506" s="4">
        <f t="shared" si="168"/>
        <v>6206.9</v>
      </c>
      <c r="S506" s="4">
        <f t="shared" si="169"/>
        <v>0</v>
      </c>
      <c r="T506" s="12">
        <f t="shared" si="159"/>
        <v>1</v>
      </c>
      <c r="Y506" s="2"/>
      <c r="Z506" s="2"/>
      <c r="AA506" s="2"/>
      <c r="AB506" s="2"/>
      <c r="AC506" s="2"/>
    </row>
    <row r="507" spans="1:29" ht="10.5" hidden="1">
      <c r="A507" s="2">
        <f t="shared" si="170"/>
        <v>15</v>
      </c>
      <c r="B507" s="2" t="str">
        <f>VLOOKUP($A507,Controle!$B$4:$F$68,2,FALSE)</f>
        <v>Varjão de Minas 4</v>
      </c>
      <c r="C507" s="2" t="str">
        <f>VLOOKUP($A507,Controle!$B$4:$F$68,3,FALSE)</f>
        <v xml:space="preserve">MORI GERACAO II </v>
      </c>
      <c r="D507" s="2" t="str">
        <f>VLOOKUP($A507,Controle!$B$4:$F$68,4,FALSE)</f>
        <v>Mori II</v>
      </c>
      <c r="E507" s="2">
        <f>VLOOKUP($A507,Controle!$B$4:$F$68,5,FALSE)</f>
        <v>2</v>
      </c>
      <c r="F507" s="3" t="str">
        <f t="shared" si="166"/>
        <v>Sistemas de Monitoramento - Supervisório</v>
      </c>
      <c r="G507" s="2" t="str">
        <f>VLOOKUP($A507,Controle!$B$4:$G$68,6,FALSE)</f>
        <v>Mori</v>
      </c>
      <c r="H507" s="6" t="s">
        <v>150</v>
      </c>
      <c r="I507" s="6">
        <v>115880.35</v>
      </c>
      <c r="J507" s="6"/>
      <c r="K507" s="6">
        <v>0</v>
      </c>
      <c r="L507" s="6">
        <v>0</v>
      </c>
      <c r="M507" s="6">
        <v>0</v>
      </c>
      <c r="N507" s="6">
        <v>0</v>
      </c>
      <c r="O507" s="4">
        <f t="shared" si="167"/>
        <v>115880.35</v>
      </c>
      <c r="P507" s="5">
        <f>SUMIFS('Desenvolvimento diário'!$H:$H,'Desenvolvimento diário'!$Q:$Q,$B507,'Desenvolvimento diário'!$P:$P,$F507,'Desenvolvimento diário'!$R:$R,"Sim")</f>
        <v>5821.02</v>
      </c>
      <c r="Q507" s="5">
        <f>SUMIFS('Desenvolvimento diário'!$H:$H,'Desenvolvimento diário'!$Q:$Q,$B507,'Desenvolvimento diário'!$P:$P,$F507,'Desenvolvimento diário'!$R:$R,"Não")</f>
        <v>110059.33</v>
      </c>
      <c r="R507" s="4">
        <f t="shared" si="168"/>
        <v>115880.35</v>
      </c>
      <c r="S507" s="4">
        <f t="shared" si="169"/>
        <v>0</v>
      </c>
      <c r="T507" s="12">
        <f t="shared" si="159"/>
        <v>1</v>
      </c>
      <c r="Y507" s="2"/>
      <c r="Z507" s="2"/>
      <c r="AA507" s="2"/>
      <c r="AB507" s="2"/>
      <c r="AC507" s="2"/>
    </row>
    <row r="508" spans="1:29" ht="10.5" hidden="1">
      <c r="A508" s="2">
        <f t="shared" si="170"/>
        <v>15</v>
      </c>
      <c r="B508" s="2" t="str">
        <f>VLOOKUP($A508,Controle!$B$4:$F$68,2,FALSE)</f>
        <v>Varjão de Minas 4</v>
      </c>
      <c r="C508" s="2" t="str">
        <f>VLOOKUP($A508,Controle!$B$4:$F$68,3,FALSE)</f>
        <v xml:space="preserve">MORI GERACAO II </v>
      </c>
      <c r="D508" s="2" t="str">
        <f>VLOOKUP($A508,Controle!$B$4:$F$68,4,FALSE)</f>
        <v>Mori II</v>
      </c>
      <c r="E508" s="2">
        <f>VLOOKUP($A508,Controle!$B$4:$F$68,5,FALSE)</f>
        <v>2</v>
      </c>
      <c r="F508" s="3" t="str">
        <f t="shared" si="166"/>
        <v>Sistemas de Monitoramento - Estações Solarimétricas</v>
      </c>
      <c r="G508" s="2" t="str">
        <f>VLOOKUP($A508,Controle!$B$4:$G$68,6,FALSE)</f>
        <v>Mori</v>
      </c>
      <c r="H508" s="6" t="s">
        <v>151</v>
      </c>
      <c r="I508" s="6">
        <v>48276.516000000003</v>
      </c>
      <c r="J508" s="6">
        <v>0</v>
      </c>
      <c r="K508" s="6">
        <v>0</v>
      </c>
      <c r="L508" s="6">
        <v>0</v>
      </c>
      <c r="M508" s="6">
        <v>0</v>
      </c>
      <c r="N508" s="6">
        <v>0</v>
      </c>
      <c r="O508" s="4">
        <f t="shared" si="167"/>
        <v>48276.516000000003</v>
      </c>
      <c r="P508" s="5">
        <f>SUMIFS('Desenvolvimento diário'!$H:$H,'Desenvolvimento diário'!$Q:$Q,$B508,'Desenvolvimento diário'!$P:$P,$F508,'Desenvolvimento diário'!$R:$R,"Sim")</f>
        <v>0</v>
      </c>
      <c r="Q508" s="5">
        <f>SUMIFS('Desenvolvimento diário'!$H:$H,'Desenvolvimento diário'!$Q:$Q,$B508,'Desenvolvimento diário'!$P:$P,$F508,'Desenvolvimento diário'!$R:$R,"Não")</f>
        <v>48276.516000000003</v>
      </c>
      <c r="R508" s="4">
        <f t="shared" si="168"/>
        <v>48276.516000000003</v>
      </c>
      <c r="S508" s="4">
        <f t="shared" si="169"/>
        <v>0</v>
      </c>
      <c r="T508" s="12">
        <f t="shared" si="159"/>
        <v>1</v>
      </c>
      <c r="Y508" s="2"/>
      <c r="Z508" s="2"/>
      <c r="AA508" s="2"/>
      <c r="AB508" s="2"/>
      <c r="AC508" s="2"/>
    </row>
    <row r="509" spans="1:29" hidden="1">
      <c r="A509" s="2">
        <f t="shared" si="170"/>
        <v>15</v>
      </c>
      <c r="B509" s="2" t="str">
        <f>VLOOKUP($A509,Controle!$B$4:$F$68,2,FALSE)</f>
        <v>Varjão de Minas 4</v>
      </c>
      <c r="C509" s="2" t="str">
        <f>VLOOKUP($A509,Controle!$B$4:$F$68,3,FALSE)</f>
        <v xml:space="preserve">MORI GERACAO II </v>
      </c>
      <c r="D509" s="2" t="str">
        <f>VLOOKUP($A509,Controle!$B$4:$F$68,4,FALSE)</f>
        <v>Mori II</v>
      </c>
      <c r="E509" s="2">
        <f>VLOOKUP($A509,Controle!$B$4:$F$68,5,FALSE)</f>
        <v>2</v>
      </c>
      <c r="F509" s="3" t="str">
        <f t="shared" si="166"/>
        <v>Sistemas de Monitoramento - CFTV</v>
      </c>
      <c r="G509" s="2" t="str">
        <f>VLOOKUP($A509,Controle!$B$4:$G$68,6,FALSE)</f>
        <v>Mori</v>
      </c>
      <c r="H509" s="31" t="s">
        <v>152</v>
      </c>
      <c r="I509" s="6">
        <v>238984.98</v>
      </c>
      <c r="J509" s="28">
        <v>1576.84</v>
      </c>
      <c r="K509" s="6">
        <v>0</v>
      </c>
      <c r="L509" s="6">
        <v>0</v>
      </c>
      <c r="M509" s="6">
        <v>0</v>
      </c>
      <c r="N509" s="6">
        <v>0</v>
      </c>
      <c r="O509" s="4">
        <f t="shared" si="167"/>
        <v>240561.82</v>
      </c>
      <c r="P509" s="5">
        <f>SUMIFS('Desenvolvimento diário'!$H:$H,'Desenvolvimento diário'!$Q:$Q,$B509,'Desenvolvimento diário'!$P:$P,$F509,'Desenvolvimento diário'!$R:$R,"Sim")</f>
        <v>11883.73</v>
      </c>
      <c r="Q509" s="5">
        <f>SUMIFS('Desenvolvimento diário'!$H:$H,'Desenvolvimento diário'!$Q:$Q,$B509,'Desenvolvimento diário'!$P:$P,$F509,'Desenvolvimento diário'!$R:$R,"Não")</f>
        <v>228678.09</v>
      </c>
      <c r="R509" s="4">
        <f t="shared" si="168"/>
        <v>240561.82</v>
      </c>
      <c r="S509" s="4">
        <f t="shared" si="169"/>
        <v>0</v>
      </c>
      <c r="T509" s="12">
        <f t="shared" si="159"/>
        <v>1</v>
      </c>
      <c r="Y509" s="2"/>
      <c r="Z509" s="2"/>
      <c r="AA509" s="2"/>
      <c r="AB509" s="2"/>
      <c r="AC509" s="2"/>
    </row>
    <row r="510" spans="1:29" ht="10.5" hidden="1">
      <c r="A510" s="2">
        <f t="shared" si="170"/>
        <v>15</v>
      </c>
      <c r="B510" s="2" t="str">
        <f>VLOOKUP($A510,Controle!$B$4:$F$68,2,FALSE)</f>
        <v>Varjão de Minas 4</v>
      </c>
      <c r="C510" s="2" t="str">
        <f>VLOOKUP($A510,Controle!$B$4:$F$68,3,FALSE)</f>
        <v xml:space="preserve">MORI GERACAO II </v>
      </c>
      <c r="D510" s="2" t="str">
        <f>VLOOKUP($A510,Controle!$B$4:$F$68,4,FALSE)</f>
        <v>Mori II</v>
      </c>
      <c r="E510" s="2">
        <f>VLOOKUP($A510,Controle!$B$4:$F$68,5,FALSE)</f>
        <v>2</v>
      </c>
      <c r="F510" s="3" t="str">
        <f t="shared" si="166"/>
        <v>Serviços Auxiliares - Drenagem</v>
      </c>
      <c r="G510" s="2" t="str">
        <f>VLOOKUP($A510,Controle!$B$4:$G$68,6,FALSE)</f>
        <v>Mori</v>
      </c>
      <c r="H510" s="6" t="s">
        <v>192</v>
      </c>
      <c r="I510" s="6">
        <v>519377.5</v>
      </c>
      <c r="J510" s="29">
        <v>44325</v>
      </c>
      <c r="K510" s="6">
        <v>43500</v>
      </c>
      <c r="L510" s="6">
        <v>0</v>
      </c>
      <c r="M510" s="6">
        <v>0</v>
      </c>
      <c r="N510" s="6">
        <v>0</v>
      </c>
      <c r="O510" s="4">
        <f t="shared" si="167"/>
        <v>607202.5</v>
      </c>
      <c r="P510" s="5">
        <f>SUMIFS('Desenvolvimento diário'!$H:$H,'Desenvolvimento diário'!$Q:$Q,$B510,'Desenvolvimento diário'!$P:$P,$F510,'Desenvolvimento diário'!$R:$R,"Sim")</f>
        <v>78000</v>
      </c>
      <c r="Q510" s="5">
        <f>SUMIFS('Desenvolvimento diário'!$H:$H,'Desenvolvimento diário'!$Q:$Q,$B510,'Desenvolvimento diário'!$P:$P,$F510,'Desenvolvimento diário'!$R:$R,"Não")</f>
        <v>529202.5</v>
      </c>
      <c r="R510" s="4">
        <f t="shared" si="168"/>
        <v>607202.5</v>
      </c>
      <c r="S510" s="4">
        <f t="shared" si="169"/>
        <v>0</v>
      </c>
      <c r="T510" s="12">
        <f t="shared" si="159"/>
        <v>1</v>
      </c>
      <c r="Y510" s="2"/>
      <c r="Z510" s="2"/>
      <c r="AA510" s="2"/>
      <c r="AB510" s="2"/>
      <c r="AC510" s="2"/>
    </row>
    <row r="511" spans="1:29" ht="10.5" hidden="1">
      <c r="A511" s="2">
        <f t="shared" si="170"/>
        <v>15</v>
      </c>
      <c r="B511" s="2" t="str">
        <f>VLOOKUP($A511,Controle!$B$4:$F$68,2,FALSE)</f>
        <v>Varjão de Minas 4</v>
      </c>
      <c r="C511" s="2" t="str">
        <f>VLOOKUP($A511,Controle!$B$4:$F$68,3,FALSE)</f>
        <v xml:space="preserve">MORI GERACAO II </v>
      </c>
      <c r="D511" s="2" t="str">
        <f>VLOOKUP($A511,Controle!$B$4:$F$68,4,FALSE)</f>
        <v>Mori II</v>
      </c>
      <c r="E511" s="2">
        <f>VLOOKUP($A511,Controle!$B$4:$F$68,5,FALSE)</f>
        <v>2</v>
      </c>
      <c r="F511" s="3" t="str">
        <f t="shared" si="166"/>
        <v>Serviços Auxiliares - Terraplanagem</v>
      </c>
      <c r="G511" s="2" t="str">
        <f>VLOOKUP($A511,Controle!$B$4:$G$68,6,FALSE)</f>
        <v>Mori</v>
      </c>
      <c r="H511" s="28" t="s">
        <v>180</v>
      </c>
      <c r="I511" s="6">
        <v>0</v>
      </c>
      <c r="J511" s="6">
        <v>0</v>
      </c>
      <c r="K511" s="6">
        <v>0</v>
      </c>
      <c r="L511" s="6">
        <v>0</v>
      </c>
      <c r="M511" s="6">
        <v>0</v>
      </c>
      <c r="N511" s="6">
        <v>0</v>
      </c>
      <c r="O511" s="4">
        <f t="shared" si="167"/>
        <v>0</v>
      </c>
      <c r="P511" s="5">
        <f>SUMIFS('Desenvolvimento diário'!$H:$H,'Desenvolvimento diário'!$Q:$Q,$B511,'Desenvolvimento diário'!$P:$P,$F511,'Desenvolvimento diário'!$R:$R,"Sim")</f>
        <v>0</v>
      </c>
      <c r="Q511" s="5">
        <f>SUMIFS('Desenvolvimento diário'!$H:$H,'Desenvolvimento diário'!$Q:$Q,$B511,'Desenvolvimento diário'!$P:$P,$F511,'Desenvolvimento diário'!$R:$R,"Não")</f>
        <v>0</v>
      </c>
      <c r="R511" s="4">
        <f t="shared" si="168"/>
        <v>0</v>
      </c>
      <c r="S511" s="4">
        <f t="shared" si="169"/>
        <v>0</v>
      </c>
      <c r="T511" s="12">
        <f t="shared" si="159"/>
        <v>0</v>
      </c>
      <c r="Y511" s="2"/>
      <c r="Z511" s="2"/>
      <c r="AA511" s="2"/>
      <c r="AB511" s="2"/>
      <c r="AC511" s="2"/>
    </row>
    <row r="512" spans="1:29" ht="10.5" hidden="1">
      <c r="A512" s="2">
        <f t="shared" si="170"/>
        <v>15</v>
      </c>
      <c r="B512" s="2" t="str">
        <f>VLOOKUP($A512,Controle!$B$4:$F$68,2,FALSE)</f>
        <v>Varjão de Minas 4</v>
      </c>
      <c r="C512" s="2" t="str">
        <f>VLOOKUP($A512,Controle!$B$4:$F$68,3,FALSE)</f>
        <v xml:space="preserve">MORI GERACAO II </v>
      </c>
      <c r="D512" s="2" t="str">
        <f>VLOOKUP($A512,Controle!$B$4:$F$68,4,FALSE)</f>
        <v>Mori II</v>
      </c>
      <c r="E512" s="2">
        <f>VLOOKUP($A512,Controle!$B$4:$F$68,5,FALSE)</f>
        <v>2</v>
      </c>
      <c r="F512" s="3" t="str">
        <f t="shared" si="166"/>
        <v>Serviços Auxiliares - Supressão Vegetal</v>
      </c>
      <c r="G512" s="2" t="str">
        <f>VLOOKUP($A512,Controle!$B$4:$G$68,6,FALSE)</f>
        <v>Mori</v>
      </c>
      <c r="H512" s="6">
        <v>0</v>
      </c>
      <c r="I512" s="6">
        <v>0</v>
      </c>
      <c r="J512" s="6">
        <v>0</v>
      </c>
      <c r="K512" s="6">
        <v>0</v>
      </c>
      <c r="L512" s="6">
        <v>0</v>
      </c>
      <c r="M512" s="6">
        <v>0</v>
      </c>
      <c r="N512" s="6">
        <v>0</v>
      </c>
      <c r="O512" s="4">
        <f t="shared" si="167"/>
        <v>0</v>
      </c>
      <c r="P512" s="5">
        <f>SUMIFS('Desenvolvimento diário'!$H:$H,'Desenvolvimento diário'!$Q:$Q,$B512,'Desenvolvimento diário'!$P:$P,$F512,'Desenvolvimento diário'!$R:$R,"Sim")</f>
        <v>0</v>
      </c>
      <c r="Q512" s="5">
        <f>SUMIFS('Desenvolvimento diário'!$H:$H,'Desenvolvimento diário'!$Q:$Q,$B512,'Desenvolvimento diário'!$P:$P,$F512,'Desenvolvimento diário'!$R:$R,"Não")</f>
        <v>0</v>
      </c>
      <c r="R512" s="4">
        <f t="shared" si="168"/>
        <v>0</v>
      </c>
      <c r="S512" s="4">
        <f t="shared" si="169"/>
        <v>0</v>
      </c>
      <c r="T512" s="12">
        <f t="shared" si="159"/>
        <v>0</v>
      </c>
      <c r="Y512" s="2"/>
      <c r="Z512" s="2"/>
      <c r="AA512" s="2"/>
      <c r="AB512" s="2"/>
      <c r="AC512" s="2"/>
    </row>
    <row r="513" spans="1:29" ht="10.5" hidden="1">
      <c r="A513" s="2">
        <f t="shared" si="170"/>
        <v>15</v>
      </c>
      <c r="B513" s="2" t="str">
        <f>VLOOKUP($A513,Controle!$B$4:$F$68,2,FALSE)</f>
        <v>Varjão de Minas 4</v>
      </c>
      <c r="C513" s="2" t="str">
        <f>VLOOKUP($A513,Controle!$B$4:$F$68,3,FALSE)</f>
        <v xml:space="preserve">MORI GERACAO II </v>
      </c>
      <c r="D513" s="2" t="str">
        <f>VLOOKUP($A513,Controle!$B$4:$F$68,4,FALSE)</f>
        <v>Mori II</v>
      </c>
      <c r="E513" s="2">
        <f>VLOOKUP($A513,Controle!$B$4:$F$68,5,FALSE)</f>
        <v>2</v>
      </c>
      <c r="F513" s="3" t="str">
        <f t="shared" si="166"/>
        <v>RDR-Rede de Distribuição Rural</v>
      </c>
      <c r="G513" s="2" t="str">
        <f>VLOOKUP($A513,Controle!$B$4:$G$68,6,FALSE)</f>
        <v>Mori</v>
      </c>
      <c r="H513" s="6">
        <v>0</v>
      </c>
      <c r="I513" s="6">
        <v>0</v>
      </c>
      <c r="J513" s="6">
        <v>0</v>
      </c>
      <c r="K513" s="6">
        <v>0</v>
      </c>
      <c r="L513" s="6">
        <v>0</v>
      </c>
      <c r="M513" s="6">
        <v>0</v>
      </c>
      <c r="N513" s="6">
        <v>0</v>
      </c>
      <c r="O513" s="4">
        <f t="shared" si="167"/>
        <v>0</v>
      </c>
      <c r="P513" s="5">
        <f>SUMIFS('Desenvolvimento diário'!$H:$H,'Desenvolvimento diário'!$Q:$Q,$B513,'Desenvolvimento diário'!$P:$P,$F513,'Desenvolvimento diário'!$R:$R,"Sim")</f>
        <v>0</v>
      </c>
      <c r="Q513" s="5">
        <f>SUMIFS('Desenvolvimento diário'!$H:$H,'Desenvolvimento diário'!$Q:$Q,$B513,'Desenvolvimento diário'!$P:$P,$F513,'Desenvolvimento diário'!$R:$R,"Não")</f>
        <v>0</v>
      </c>
      <c r="R513" s="4">
        <f t="shared" si="168"/>
        <v>0</v>
      </c>
      <c r="S513" s="4">
        <f t="shared" si="169"/>
        <v>0</v>
      </c>
      <c r="T513" s="12">
        <f t="shared" si="159"/>
        <v>0</v>
      </c>
      <c r="Y513" s="2"/>
      <c r="Z513" s="2"/>
      <c r="AA513" s="2"/>
      <c r="AB513" s="2"/>
      <c r="AC513" s="2"/>
    </row>
    <row r="514" spans="1:29" ht="10.5" hidden="1">
      <c r="A514" s="2">
        <f t="shared" si="170"/>
        <v>15</v>
      </c>
      <c r="B514" s="2" t="str">
        <f>VLOOKUP($A514,Controle!$B$4:$F$68,2,FALSE)</f>
        <v>Varjão de Minas 4</v>
      </c>
      <c r="C514" s="2" t="str">
        <f>VLOOKUP($A514,Controle!$B$4:$F$68,3,FALSE)</f>
        <v xml:space="preserve">MORI GERACAO II </v>
      </c>
      <c r="D514" s="2" t="str">
        <f>VLOOKUP($A514,Controle!$B$4:$F$68,4,FALSE)</f>
        <v>Mori II</v>
      </c>
      <c r="E514" s="2">
        <f>VLOOKUP($A514,Controle!$B$4:$F$68,5,FALSE)</f>
        <v>2</v>
      </c>
      <c r="F514" s="3" t="str">
        <f t="shared" si="166"/>
        <v>Escopo COMERC</v>
      </c>
      <c r="G514" s="2" t="str">
        <f>VLOOKUP($A514,Controle!$B$4:$G$68,6,FALSE)</f>
        <v>Mori</v>
      </c>
      <c r="H514" s="6">
        <v>0</v>
      </c>
      <c r="I514" s="6">
        <v>242316.15</v>
      </c>
      <c r="J514" s="29">
        <v>28000</v>
      </c>
      <c r="K514" s="29"/>
      <c r="L514" s="6">
        <v>0</v>
      </c>
      <c r="M514" s="6">
        <v>0</v>
      </c>
      <c r="N514" s="6">
        <v>0</v>
      </c>
      <c r="O514" s="4">
        <f t="shared" si="167"/>
        <v>270316.15000000002</v>
      </c>
      <c r="P514" s="5">
        <f>SUMIFS('Desenvolvimento diário'!$H:$H,'Desenvolvimento diário'!$Q:$Q,$B514,'Desenvolvimento diário'!$P:$P,$F514,'Desenvolvimento diário'!$R:$R,"Sim")</f>
        <v>0</v>
      </c>
      <c r="Q514" s="5">
        <f>SUMIFS('Desenvolvimento diário'!$H:$H,'Desenvolvimento diário'!$Q:$Q,$B514,'Desenvolvimento diário'!$P:$P,$F514,'Desenvolvimento diário'!$R:$R,"Não")</f>
        <v>243314.93</v>
      </c>
      <c r="R514" s="4">
        <f t="shared" si="168"/>
        <v>243314.93</v>
      </c>
      <c r="S514" s="1010">
        <f t="shared" si="169"/>
        <v>27001.22000000003</v>
      </c>
      <c r="T514" s="12">
        <f t="shared" si="159"/>
        <v>0.90011244241233823</v>
      </c>
      <c r="U514" s="1011" t="s">
        <v>166</v>
      </c>
      <c r="V514" s="1011" t="s">
        <v>167</v>
      </c>
      <c r="Y514" s="2"/>
      <c r="Z514" s="2"/>
      <c r="AA514" s="2"/>
      <c r="AB514" s="2"/>
      <c r="AC514" s="2"/>
    </row>
    <row r="515" spans="1:29" ht="10.5" hidden="1">
      <c r="A515" s="2">
        <f t="shared" si="170"/>
        <v>15</v>
      </c>
      <c r="B515" s="2" t="str">
        <f>VLOOKUP($A515,Controle!$B$4:$F$68,2,FALSE)</f>
        <v>Varjão de Minas 4</v>
      </c>
      <c r="C515" s="2" t="str">
        <f>VLOOKUP($A515,Controle!$B$4:$F$68,3,FALSE)</f>
        <v xml:space="preserve">MORI GERACAO II </v>
      </c>
      <c r="D515" s="2" t="str">
        <f>VLOOKUP($A515,Controle!$B$4:$F$68,4,FALSE)</f>
        <v>Mori II</v>
      </c>
      <c r="E515" s="2">
        <f>VLOOKUP($A515,Controle!$B$4:$F$68,5,FALSE)</f>
        <v>2</v>
      </c>
      <c r="F515" s="3" t="str">
        <f t="shared" si="166"/>
        <v>Escopo COMERC - Segurança</v>
      </c>
      <c r="G515" s="2" t="str">
        <f>VLOOKUP($A515,Controle!$B$4:$G$68,6,FALSE)</f>
        <v>Mori</v>
      </c>
      <c r="H515" s="6">
        <v>0</v>
      </c>
      <c r="I515" s="6">
        <f t="shared" ref="I514:I515" si="171">R515</f>
        <v>226765.79</v>
      </c>
      <c r="J515" s="6">
        <v>0</v>
      </c>
      <c r="K515" s="6">
        <v>0</v>
      </c>
      <c r="L515" s="6">
        <v>0</v>
      </c>
      <c r="M515" s="6">
        <v>0</v>
      </c>
      <c r="N515" s="6">
        <v>0</v>
      </c>
      <c r="O515" s="4">
        <f t="shared" si="167"/>
        <v>226765.79</v>
      </c>
      <c r="P515" s="5">
        <f>SUMIFS('Desenvolvimento diário'!$H:$H,'Desenvolvimento diário'!$Q:$Q,$B515,'Desenvolvimento diário'!$P:$P,$F515,'Desenvolvimento diário'!$R:$R,"Sim")</f>
        <v>0</v>
      </c>
      <c r="Q515" s="5">
        <f>SUMIFS('Desenvolvimento diário'!$H:$H,'Desenvolvimento diário'!$Q:$Q,$B515,'Desenvolvimento diário'!$P:$P,$F515,'Desenvolvimento diário'!$R:$R,"Não")</f>
        <v>226765.79</v>
      </c>
      <c r="R515" s="4">
        <f t="shared" si="168"/>
        <v>226765.79</v>
      </c>
      <c r="S515" s="4">
        <f t="shared" si="169"/>
        <v>0</v>
      </c>
      <c r="T515" s="12">
        <f t="shared" si="159"/>
        <v>1</v>
      </c>
      <c r="Y515" s="2"/>
      <c r="Z515" s="2"/>
      <c r="AA515" s="2"/>
      <c r="AB515" s="2"/>
      <c r="AC515" s="2"/>
    </row>
    <row r="516" spans="1:29" hidden="1">
      <c r="A516" s="2">
        <f t="shared" si="170"/>
        <v>15</v>
      </c>
      <c r="B516" s="2" t="str">
        <f>VLOOKUP($A516,Controle!$B$4:$F$68,2,FALSE)</f>
        <v>Varjão de Minas 4</v>
      </c>
      <c r="C516" s="2" t="str">
        <f>VLOOKUP($A516,Controle!$B$4:$F$68,3,FALSE)</f>
        <v xml:space="preserve">MORI GERACAO II </v>
      </c>
      <c r="D516" s="2" t="str">
        <f>VLOOKUP($A516,Controle!$B$4:$F$68,4,FALSE)</f>
        <v>Mori II</v>
      </c>
      <c r="E516" s="2">
        <f>VLOOKUP($A516,Controle!$B$4:$F$68,5,FALSE)</f>
        <v>2</v>
      </c>
      <c r="F516" s="3" t="str">
        <f t="shared" si="166"/>
        <v>Conexão MT - Obras Transferencia</v>
      </c>
      <c r="G516" s="2" t="str">
        <f>VLOOKUP($A516,Controle!$B$4:$G$68,6,FALSE)</f>
        <v>Mori</v>
      </c>
      <c r="H516" s="6" t="s">
        <v>193</v>
      </c>
      <c r="I516" s="6" t="s">
        <v>193</v>
      </c>
      <c r="J516" s="6">
        <v>0</v>
      </c>
      <c r="K516" s="6">
        <v>0</v>
      </c>
      <c r="L516" s="6">
        <v>0</v>
      </c>
      <c r="M516" s="6">
        <v>0</v>
      </c>
      <c r="N516" s="6">
        <v>0</v>
      </c>
      <c r="O516" s="4">
        <f t="shared" si="167"/>
        <v>0</v>
      </c>
      <c r="P516" s="5">
        <f>SUMIFS('Desenvolvimento diário'!$H:$H,'Desenvolvimento diário'!$Q:$Q,$B516,'Desenvolvimento diário'!$P:$P,$F516,'Desenvolvimento diário'!$R:$R,"Sim")</f>
        <v>0</v>
      </c>
      <c r="Q516" s="5">
        <f>SUMIFS('Desenvolvimento diário'!$H:$H,'Desenvolvimento diário'!$Q:$Q,$B516,'Desenvolvimento diário'!$P:$P,$F516,'Desenvolvimento diário'!$R:$R,"Não")</f>
        <v>0</v>
      </c>
      <c r="R516" s="4">
        <f t="shared" si="168"/>
        <v>0</v>
      </c>
      <c r="S516" s="4">
        <f t="shared" si="169"/>
        <v>0</v>
      </c>
      <c r="T516" s="12">
        <f t="shared" si="159"/>
        <v>0</v>
      </c>
      <c r="Y516" s="2"/>
      <c r="Z516" s="2"/>
      <c r="AA516" s="2"/>
      <c r="AB516" s="2"/>
      <c r="AC516" s="2"/>
    </row>
    <row r="517" spans="1:29" ht="10.5" hidden="1">
      <c r="A517" s="2">
        <f t="shared" si="170"/>
        <v>15</v>
      </c>
      <c r="B517" s="2" t="str">
        <f>VLOOKUP($A517,Controle!$B$4:$F$68,2,FALSE)</f>
        <v>Varjão de Minas 4</v>
      </c>
      <c r="C517" s="2" t="str">
        <f>VLOOKUP($A517,Controle!$B$4:$F$68,3,FALSE)</f>
        <v xml:space="preserve">MORI GERACAO II </v>
      </c>
      <c r="D517" s="2" t="str">
        <f>VLOOKUP($A517,Controle!$B$4:$F$68,4,FALSE)</f>
        <v>Mori II</v>
      </c>
      <c r="E517" s="2">
        <f>VLOOKUP($A517,Controle!$B$4:$F$68,5,FALSE)</f>
        <v>2</v>
      </c>
      <c r="F517" s="3" t="str">
        <f t="shared" si="166"/>
        <v>Bases de Contaniers</v>
      </c>
      <c r="G517" s="2" t="str">
        <f>VLOOKUP($A517,Controle!$B$4:$G$68,6,FALSE)</f>
        <v>Mori</v>
      </c>
      <c r="H517" s="6">
        <v>0</v>
      </c>
      <c r="I517" s="6">
        <v>0</v>
      </c>
      <c r="J517" s="6">
        <v>0</v>
      </c>
      <c r="K517" s="6">
        <v>0</v>
      </c>
      <c r="L517" s="6">
        <v>0</v>
      </c>
      <c r="M517" s="6">
        <v>0</v>
      </c>
      <c r="N517" s="6">
        <v>0</v>
      </c>
      <c r="O517" s="4">
        <f t="shared" si="167"/>
        <v>0</v>
      </c>
      <c r="P517" s="5">
        <f>SUMIFS('Desenvolvimento diário'!$H:$H,'Desenvolvimento diário'!$Q:$Q,$B517,'Desenvolvimento diário'!$P:$P,$F517,'Desenvolvimento diário'!$R:$R,"Sim")</f>
        <v>0</v>
      </c>
      <c r="Q517" s="5">
        <f>SUMIFS('Desenvolvimento diário'!$H:$H,'Desenvolvimento diário'!$Q:$Q,$B517,'Desenvolvimento diário'!$P:$P,$F517,'Desenvolvimento diário'!$R:$R,"Não")</f>
        <v>0</v>
      </c>
      <c r="R517" s="4">
        <f t="shared" si="168"/>
        <v>0</v>
      </c>
      <c r="S517" s="4">
        <f t="shared" si="169"/>
        <v>0</v>
      </c>
      <c r="T517" s="12">
        <f t="shared" si="159"/>
        <v>0</v>
      </c>
      <c r="Y517" s="2"/>
      <c r="Z517" s="2"/>
      <c r="AA517" s="2"/>
      <c r="AB517" s="2"/>
      <c r="AC517" s="2"/>
    </row>
    <row r="518" spans="1:29" ht="10.5" hidden="1">
      <c r="A518" s="2">
        <f t="shared" si="170"/>
        <v>15</v>
      </c>
      <c r="B518" s="2" t="str">
        <f>VLOOKUP($A518,Controle!$B$4:$F$68,2,FALSE)</f>
        <v>Varjão de Minas 4</v>
      </c>
      <c r="C518" s="2" t="str">
        <f>VLOOKUP($A518,Controle!$B$4:$F$68,3,FALSE)</f>
        <v xml:space="preserve">MORI GERACAO II </v>
      </c>
      <c r="D518" s="2" t="str">
        <f>VLOOKUP($A518,Controle!$B$4:$F$68,4,FALSE)</f>
        <v>Mori II</v>
      </c>
      <c r="E518" s="2">
        <f>VLOOKUP($A518,Controle!$B$4:$F$68,5,FALSE)</f>
        <v>2</v>
      </c>
      <c r="F518" s="3" t="str">
        <f t="shared" si="166"/>
        <v>Construção - Serviços de Construção - Ase Engenharia</v>
      </c>
      <c r="G518" s="2" t="str">
        <f>VLOOKUP($A518,Controle!$B$4:$G$68,6,FALSE)</f>
        <v>Mori</v>
      </c>
      <c r="H518" s="6">
        <v>0</v>
      </c>
      <c r="I518" s="6">
        <v>0</v>
      </c>
      <c r="J518" s="6">
        <v>0</v>
      </c>
      <c r="K518" s="6">
        <v>0</v>
      </c>
      <c r="L518" s="6">
        <v>0</v>
      </c>
      <c r="M518" s="6">
        <v>0</v>
      </c>
      <c r="N518" s="6">
        <v>0</v>
      </c>
      <c r="O518" s="4">
        <f t="shared" si="167"/>
        <v>0</v>
      </c>
      <c r="P518" s="5">
        <f>SUMIFS('Desenvolvimento diário'!$H:$H,'Desenvolvimento diário'!$Q:$Q,$B518,'Desenvolvimento diário'!$P:$P,$F518,'Desenvolvimento diário'!$R:$R,"Sim")</f>
        <v>0</v>
      </c>
      <c r="Q518" s="5">
        <f>SUMIFS('Desenvolvimento diário'!$H:$H,'Desenvolvimento diário'!$Q:$Q,$B518,'Desenvolvimento diário'!$P:$P,$F518,'Desenvolvimento diário'!$R:$R,"Não")</f>
        <v>0</v>
      </c>
      <c r="R518" s="4">
        <f t="shared" si="168"/>
        <v>0</v>
      </c>
      <c r="S518" s="4">
        <f t="shared" si="169"/>
        <v>0</v>
      </c>
      <c r="T518" s="12">
        <f t="shared" si="159"/>
        <v>0</v>
      </c>
      <c r="Y518" s="2"/>
      <c r="Z518" s="2"/>
      <c r="AA518" s="2"/>
      <c r="AB518" s="2"/>
      <c r="AC518" s="2"/>
    </row>
    <row r="519" spans="1:29" ht="10.5" hidden="1">
      <c r="A519" s="2">
        <f t="shared" si="170"/>
        <v>15</v>
      </c>
      <c r="B519" s="2" t="str">
        <f>VLOOKUP($A519,Controle!$B$4:$F$68,2,FALSE)</f>
        <v>Varjão de Minas 4</v>
      </c>
      <c r="C519" s="2" t="str">
        <f>VLOOKUP($A519,Controle!$B$4:$F$68,3,FALSE)</f>
        <v xml:space="preserve">MORI GERACAO II </v>
      </c>
      <c r="D519" s="2" t="str">
        <f>VLOOKUP($A519,Controle!$B$4:$F$68,4,FALSE)</f>
        <v>Mori II</v>
      </c>
      <c r="E519" s="2">
        <f>VLOOKUP($A519,Controle!$B$4:$F$68,5,FALSE)</f>
        <v>2</v>
      </c>
      <c r="F519" s="3" t="str">
        <f t="shared" si="166"/>
        <v>Full EPC - Contrato Sobressalentes</v>
      </c>
      <c r="G519" s="2" t="str">
        <f>VLOOKUP($A519,Controle!$B$4:$G$68,6,FALSE)</f>
        <v>Mori</v>
      </c>
      <c r="H519" s="6">
        <v>0</v>
      </c>
      <c r="I519" s="6">
        <v>0</v>
      </c>
      <c r="J519" s="6">
        <v>0</v>
      </c>
      <c r="K519" s="6">
        <v>0</v>
      </c>
      <c r="L519" s="6">
        <v>0</v>
      </c>
      <c r="M519" s="6">
        <v>0</v>
      </c>
      <c r="N519" s="6">
        <v>0</v>
      </c>
      <c r="O519" s="4">
        <f t="shared" si="167"/>
        <v>0</v>
      </c>
      <c r="P519" s="5">
        <f>SUMIFS('Desenvolvimento diário'!$H:$H,'Desenvolvimento diário'!$Q:$Q,$B519,'Desenvolvimento diário'!$P:$P,$F519,'Desenvolvimento diário'!$R:$R,"Sim")</f>
        <v>0</v>
      </c>
      <c r="Q519" s="5">
        <f>SUMIFS('Desenvolvimento diário'!$H:$H,'Desenvolvimento diário'!$Q:$Q,$B519,'Desenvolvimento diário'!$P:$P,$F519,'Desenvolvimento diário'!$R:$R,"Não")</f>
        <v>0</v>
      </c>
      <c r="R519" s="4">
        <f t="shared" si="168"/>
        <v>0</v>
      </c>
      <c r="S519" s="4">
        <f t="shared" si="169"/>
        <v>0</v>
      </c>
      <c r="T519" s="12">
        <f t="shared" si="159"/>
        <v>0</v>
      </c>
      <c r="Y519" s="2"/>
      <c r="Z519" s="2"/>
      <c r="AA519" s="2"/>
      <c r="AB519" s="2"/>
      <c r="AC519" s="2"/>
    </row>
    <row r="520" spans="1:29" ht="10.5" hidden="1">
      <c r="A520" s="2">
        <f t="shared" si="170"/>
        <v>15</v>
      </c>
      <c r="B520" s="2" t="str">
        <f>VLOOKUP($A520,Controle!$B$4:$F$68,2,FALSE)</f>
        <v>Varjão de Minas 4</v>
      </c>
      <c r="C520" s="2" t="str">
        <f>VLOOKUP($A520,Controle!$B$4:$F$68,3,FALSE)</f>
        <v xml:space="preserve">MORI GERACAO II </v>
      </c>
      <c r="D520" s="2" t="str">
        <f>VLOOKUP($A520,Controle!$B$4:$F$68,4,FALSE)</f>
        <v>Mori II</v>
      </c>
      <c r="E520" s="2">
        <f>VLOOKUP($A520,Controle!$B$4:$F$68,5,FALSE)</f>
        <v>2</v>
      </c>
      <c r="F520" s="3" t="str">
        <f t="shared" si="166"/>
        <v>Construção - Serviços de Construção - NOVA MORADA</v>
      </c>
      <c r="G520" s="2" t="str">
        <f>VLOOKUP($A520,Controle!$B$4:$G$68,6,FALSE)</f>
        <v>Mori</v>
      </c>
      <c r="H520" s="6">
        <v>0</v>
      </c>
      <c r="I520" s="6">
        <v>0</v>
      </c>
      <c r="J520" s="6">
        <v>0</v>
      </c>
      <c r="K520" s="6">
        <v>0</v>
      </c>
      <c r="L520" s="6">
        <v>0</v>
      </c>
      <c r="M520" s="6">
        <v>0</v>
      </c>
      <c r="N520" s="6">
        <v>0</v>
      </c>
      <c r="O520" s="4">
        <f t="shared" si="167"/>
        <v>0</v>
      </c>
      <c r="P520" s="5">
        <f>SUMIFS('Desenvolvimento diário'!$H:$H,'Desenvolvimento diário'!$Q:$Q,$B520,'Desenvolvimento diário'!$P:$P,$F520,'Desenvolvimento diário'!$R:$R,"Sim")</f>
        <v>0</v>
      </c>
      <c r="Q520" s="5">
        <f>SUMIFS('Desenvolvimento diário'!$H:$H,'Desenvolvimento diário'!$Q:$Q,$B520,'Desenvolvimento diário'!$P:$P,$F520,'Desenvolvimento diário'!$R:$R,"Não")</f>
        <v>0</v>
      </c>
      <c r="R520" s="4">
        <f t="shared" si="168"/>
        <v>0</v>
      </c>
      <c r="S520" s="4">
        <f t="shared" si="169"/>
        <v>0</v>
      </c>
      <c r="T520" s="12">
        <f t="shared" si="159"/>
        <v>0</v>
      </c>
      <c r="Y520" s="2"/>
      <c r="Z520" s="2"/>
      <c r="AA520" s="2"/>
      <c r="AB520" s="2"/>
      <c r="AC520" s="2"/>
    </row>
    <row r="521" spans="1:29" ht="10.5" hidden="1">
      <c r="A521" s="2">
        <f t="shared" si="170"/>
        <v>15</v>
      </c>
      <c r="B521" s="2" t="str">
        <f>VLOOKUP($A521,Controle!$B$4:$F$68,2,FALSE)</f>
        <v>Varjão de Minas 4</v>
      </c>
      <c r="C521" s="2" t="str">
        <f>VLOOKUP($A521,Controle!$B$4:$F$68,3,FALSE)</f>
        <v xml:space="preserve">MORI GERACAO II </v>
      </c>
      <c r="D521" s="2" t="str">
        <f>VLOOKUP($A521,Controle!$B$4:$F$68,4,FALSE)</f>
        <v>Mori II</v>
      </c>
      <c r="E521" s="2">
        <f>VLOOKUP($A521,Controle!$B$4:$F$68,5,FALSE)</f>
        <v>2</v>
      </c>
      <c r="F521" s="3" t="str">
        <f t="shared" si="166"/>
        <v>Equipamentos Curva A -  Contrato Sobressalentes - SETTA</v>
      </c>
      <c r="G521" s="2" t="str">
        <f>VLOOKUP($A521,Controle!$B$4:$G$68,6,FALSE)</f>
        <v>Mori</v>
      </c>
      <c r="H521" s="6">
        <v>0</v>
      </c>
      <c r="I521" s="6">
        <v>0</v>
      </c>
      <c r="J521" s="6">
        <v>0</v>
      </c>
      <c r="K521" s="6">
        <v>0</v>
      </c>
      <c r="L521" s="6">
        <v>0</v>
      </c>
      <c r="M521" s="6">
        <v>0</v>
      </c>
      <c r="N521" s="6">
        <v>0</v>
      </c>
      <c r="O521" s="4">
        <f t="shared" si="167"/>
        <v>0</v>
      </c>
      <c r="P521" s="5">
        <f>SUMIFS('Desenvolvimento diário'!$H:$H,'Desenvolvimento diário'!$Q:$Q,$B521,'Desenvolvimento diário'!$P:$P,$F521,'Desenvolvimento diário'!$R:$R,"Sim")</f>
        <v>0</v>
      </c>
      <c r="Q521" s="5">
        <f>SUMIFS('Desenvolvimento diário'!$H:$H,'Desenvolvimento diário'!$Q:$Q,$B521,'Desenvolvimento diário'!$P:$P,$F521,'Desenvolvimento diário'!$R:$R,"Não")</f>
        <v>0</v>
      </c>
      <c r="R521" s="4">
        <f t="shared" si="168"/>
        <v>0</v>
      </c>
      <c r="S521" s="4">
        <f t="shared" si="169"/>
        <v>0</v>
      </c>
      <c r="T521" s="12">
        <f t="shared" si="159"/>
        <v>0</v>
      </c>
      <c r="Y521" s="2"/>
      <c r="Z521" s="2"/>
      <c r="AA521" s="2"/>
      <c r="AB521" s="2"/>
      <c r="AC521" s="2"/>
    </row>
    <row r="522" spans="1:29" ht="10.5" hidden="1">
      <c r="A522" s="2">
        <f t="shared" si="170"/>
        <v>15</v>
      </c>
      <c r="B522" s="2" t="str">
        <f>VLOOKUP($A522,Controle!$B$4:$F$68,2,FALSE)</f>
        <v>Varjão de Minas 4</v>
      </c>
      <c r="C522" s="2" t="str">
        <f>VLOOKUP($A522,Controle!$B$4:$F$68,3,FALSE)</f>
        <v xml:space="preserve">MORI GERACAO II </v>
      </c>
      <c r="D522" s="2" t="str">
        <f>VLOOKUP($A522,Controle!$B$4:$F$68,4,FALSE)</f>
        <v>Mori II</v>
      </c>
      <c r="E522" s="2">
        <f>VLOOKUP($A522,Controle!$B$4:$F$68,5,FALSE)</f>
        <v>2</v>
      </c>
      <c r="F522" s="3" t="str">
        <f t="shared" si="166"/>
        <v>Equipamentos Curva A -  Contrato Sobressalentes - Arctech</v>
      </c>
      <c r="G522" s="2" t="str">
        <f>VLOOKUP($A522,Controle!$B$4:$G$68,6,FALSE)</f>
        <v>Mori</v>
      </c>
      <c r="H522" s="6">
        <v>0</v>
      </c>
      <c r="I522" s="6">
        <v>0</v>
      </c>
      <c r="J522" s="6">
        <v>0</v>
      </c>
      <c r="K522" s="6">
        <v>0</v>
      </c>
      <c r="L522" s="6">
        <v>0</v>
      </c>
      <c r="M522" s="6">
        <v>0</v>
      </c>
      <c r="N522" s="6">
        <v>0</v>
      </c>
      <c r="O522" s="4">
        <f t="shared" si="167"/>
        <v>0</v>
      </c>
      <c r="P522" s="5">
        <f>SUMIFS('Desenvolvimento diário'!$H:$H,'Desenvolvimento diário'!$Q:$Q,$B522,'Desenvolvimento diário'!$P:$P,$F522,'Desenvolvimento diário'!$R:$R,"Sim")</f>
        <v>0</v>
      </c>
      <c r="Q522" s="5">
        <f>SUMIFS('Desenvolvimento diário'!$H:$H,'Desenvolvimento diário'!$Q:$Q,$B522,'Desenvolvimento diário'!$P:$P,$F522,'Desenvolvimento diário'!$R:$R,"Não")</f>
        <v>0</v>
      </c>
      <c r="R522" s="4">
        <f t="shared" si="168"/>
        <v>0</v>
      </c>
      <c r="S522" s="4">
        <f t="shared" si="169"/>
        <v>0</v>
      </c>
      <c r="T522" s="12">
        <f t="shared" si="159"/>
        <v>0</v>
      </c>
      <c r="Y522" s="2"/>
      <c r="Z522" s="2"/>
      <c r="AA522" s="2"/>
      <c r="AB522" s="2"/>
      <c r="AC522" s="2"/>
    </row>
    <row r="523" spans="1:29" hidden="1">
      <c r="A523" s="2">
        <f t="shared" si="170"/>
        <v>15</v>
      </c>
      <c r="B523" s="2" t="str">
        <f>VLOOKUP($A523,Controle!$B$4:$F$68,2,FALSE)</f>
        <v>Varjão de Minas 4</v>
      </c>
      <c r="C523" s="2" t="str">
        <f>VLOOKUP($A523,Controle!$B$4:$F$68,3,FALSE)</f>
        <v xml:space="preserve">MORI GERACAO II </v>
      </c>
      <c r="D523" s="2" t="str">
        <f>VLOOKUP($A523,Controle!$B$4:$F$68,4,FALSE)</f>
        <v>Mori II</v>
      </c>
      <c r="E523" s="2">
        <f>VLOOKUP($A523,Controle!$B$4:$F$68,5,FALSE)</f>
        <v>2</v>
      </c>
      <c r="F523" s="3" t="str">
        <f t="shared" si="166"/>
        <v>Equipamentos Curva A -  Contrato Sobressalentes - Romagnole</v>
      </c>
      <c r="G523" s="2" t="str">
        <f>VLOOKUP($A523,Controle!$B$4:$G$68,6,FALSE)</f>
        <v>Mori</v>
      </c>
      <c r="H523" s="7">
        <v>0</v>
      </c>
      <c r="I523" s="7">
        <v>0</v>
      </c>
      <c r="J523" s="7">
        <v>0</v>
      </c>
      <c r="K523" s="7">
        <v>0</v>
      </c>
      <c r="L523" s="7">
        <v>0</v>
      </c>
      <c r="M523" s="7">
        <v>0</v>
      </c>
      <c r="N523" s="7">
        <v>0</v>
      </c>
      <c r="O523" s="4">
        <f t="shared" si="167"/>
        <v>0</v>
      </c>
      <c r="P523" s="17">
        <f>SUMIFS('Desenvolvimento diário'!$H:$H,'Desenvolvimento diário'!$Q:$Q,$B523,'Desenvolvimento diário'!$P:$P,$F523,'Desenvolvimento diário'!$R:$R,"Sim")</f>
        <v>0</v>
      </c>
      <c r="Q523" s="17">
        <f>SUMIFS('Desenvolvimento diário'!$H:$H,'Desenvolvimento diário'!$Q:$Q,$B523,'Desenvolvimento diário'!$P:$P,$F523,'Desenvolvimento diário'!$R:$R,"Não")</f>
        <v>0</v>
      </c>
      <c r="R523" s="4">
        <f t="shared" si="168"/>
        <v>0</v>
      </c>
      <c r="S523" s="4">
        <f t="shared" si="169"/>
        <v>0</v>
      </c>
      <c r="T523" s="12">
        <f t="shared" si="159"/>
        <v>0</v>
      </c>
      <c r="Y523" s="2"/>
      <c r="Z523" s="2"/>
      <c r="AA523" s="2"/>
      <c r="AB523" s="2"/>
      <c r="AC523" s="2"/>
    </row>
    <row r="524" spans="1:29" hidden="1">
      <c r="A524" s="2">
        <f t="shared" si="170"/>
        <v>15</v>
      </c>
      <c r="B524" s="2" t="str">
        <f>VLOOKUP($A524,Controle!$B$4:$F$68,2,FALSE)</f>
        <v>Varjão de Minas 4</v>
      </c>
      <c r="C524" s="2" t="str">
        <f>VLOOKUP($A524,Controle!$B$4:$F$68,3,FALSE)</f>
        <v xml:space="preserve">MORI GERACAO II </v>
      </c>
      <c r="D524" s="2" t="str">
        <f>VLOOKUP($A524,Controle!$B$4:$F$68,4,FALSE)</f>
        <v>Mori II</v>
      </c>
      <c r="E524" s="2">
        <f>VLOOKUP($A524,Controle!$B$4:$F$68,5,FALSE)</f>
        <v>2</v>
      </c>
      <c r="F524" s="3" t="str">
        <f t="shared" si="166"/>
        <v>GOS FLORESTAL - (PRAD - Recuperação Area Ambiental)</v>
      </c>
      <c r="G524" s="2" t="str">
        <f>VLOOKUP($A524,Controle!$B$4:$G$68,6,FALSE)</f>
        <v>Mori</v>
      </c>
      <c r="H524" s="506" t="s">
        <v>170</v>
      </c>
      <c r="I524" s="6">
        <v>0</v>
      </c>
      <c r="J524" s="506"/>
      <c r="K524" s="506">
        <v>0</v>
      </c>
      <c r="L524" s="506">
        <v>0</v>
      </c>
      <c r="M524" s="506">
        <v>0</v>
      </c>
      <c r="N524" s="506">
        <v>0</v>
      </c>
      <c r="O524" s="39">
        <f t="shared" si="167"/>
        <v>0</v>
      </c>
      <c r="P524" s="17">
        <f>SUMIFS('Desenvolvimento diário'!$H:$H,'Desenvolvimento diário'!$Q:$Q,$B524,'Desenvolvimento diário'!$P:$P,$F524,'Desenvolvimento diário'!$R:$R,"Sim")</f>
        <v>0</v>
      </c>
      <c r="Q524" s="17">
        <f>SUMIFS('Desenvolvimento diário'!$H:$H,'Desenvolvimento diário'!$Q:$Q,$B524,'Desenvolvimento diário'!$P:$P,$F524,'Desenvolvimento diário'!$R:$R,"Não")</f>
        <v>0</v>
      </c>
      <c r="R524" s="4">
        <f t="shared" si="168"/>
        <v>0</v>
      </c>
      <c r="S524" s="4">
        <f t="shared" si="169"/>
        <v>0</v>
      </c>
      <c r="T524" s="12">
        <f t="shared" ref="T524:T525" si="172">IFERROR(R524/O524,0)</f>
        <v>0</v>
      </c>
      <c r="Y524" s="2"/>
      <c r="Z524" s="2"/>
      <c r="AA524" s="2"/>
      <c r="AB524" s="2"/>
      <c r="AC524" s="2"/>
    </row>
    <row r="525" spans="1:29" hidden="1">
      <c r="A525" s="2">
        <f t="shared" si="170"/>
        <v>15</v>
      </c>
      <c r="B525" s="2" t="str">
        <f>VLOOKUP($A525,Controle!$B$4:$F$68,2,FALSE)</f>
        <v>Varjão de Minas 4</v>
      </c>
      <c r="C525" s="2" t="str">
        <f>VLOOKUP($A525,Controle!$B$4:$F$68,3,FALSE)</f>
        <v xml:space="preserve">MORI GERACAO II </v>
      </c>
      <c r="D525" s="2" t="str">
        <f>VLOOKUP($A525,Controle!$B$4:$F$68,4,FALSE)</f>
        <v>Mori II</v>
      </c>
      <c r="E525" s="2">
        <f>VLOOKUP($A525,Controle!$B$4:$F$68,5,FALSE)</f>
        <v>2</v>
      </c>
      <c r="F525" s="3" t="str">
        <f t="shared" si="166"/>
        <v>Cercamento das bacias de contenção ciclo 2</v>
      </c>
      <c r="G525" s="2" t="str">
        <f>VLOOKUP($A525,Controle!$B$4:$G$68,6,FALSE)</f>
        <v>Mori</v>
      </c>
      <c r="H525" s="506" t="s">
        <v>172</v>
      </c>
      <c r="I525" s="6"/>
      <c r="J525" s="506"/>
      <c r="K525" s="506">
        <v>0</v>
      </c>
      <c r="L525" s="506">
        <v>0</v>
      </c>
      <c r="M525" s="506">
        <v>0</v>
      </c>
      <c r="N525" s="506">
        <v>0</v>
      </c>
      <c r="O525" s="39">
        <f t="shared" si="167"/>
        <v>0</v>
      </c>
      <c r="P525" s="17">
        <f>SUMIFS('Desenvolvimento diário'!$H:$H,'Desenvolvimento diário'!$Q:$Q,$B525,'Desenvolvimento diário'!$P:$P,$F525,'Desenvolvimento diário'!$R:$R,"Sim")</f>
        <v>0</v>
      </c>
      <c r="Q525" s="17">
        <f>SUMIFS('Desenvolvimento diário'!$H:$H,'Desenvolvimento diário'!$Q:$Q,$B525,'Desenvolvimento diário'!$P:$P,$F525,'Desenvolvimento diário'!$R:$R,"Não")</f>
        <v>0</v>
      </c>
      <c r="R525" s="4">
        <f t="shared" si="168"/>
        <v>0</v>
      </c>
      <c r="S525" s="1030">
        <f t="shared" si="169"/>
        <v>0</v>
      </c>
      <c r="T525" s="12">
        <f t="shared" si="172"/>
        <v>0</v>
      </c>
      <c r="U525" s="1029" t="s">
        <v>166</v>
      </c>
      <c r="V525" s="1029" t="s">
        <v>94</v>
      </c>
      <c r="Y525" s="2"/>
      <c r="Z525" s="2"/>
      <c r="AA525" s="2"/>
      <c r="AB525" s="2"/>
      <c r="AC525" s="2"/>
    </row>
    <row r="526" spans="1:29" hidden="1">
      <c r="A526" s="8">
        <f>A523</f>
        <v>15</v>
      </c>
      <c r="B526" s="9" t="str">
        <f t="shared" ref="B526" si="173">B523</f>
        <v>Varjão de Minas 4</v>
      </c>
      <c r="C526" s="9" t="str">
        <f t="shared" ref="C526" si="174">C523</f>
        <v xml:space="preserve">MORI GERACAO II </v>
      </c>
      <c r="D526" s="9" t="str">
        <f t="shared" ref="D526" si="175">D523</f>
        <v>Mori II</v>
      </c>
      <c r="E526" s="9">
        <f t="shared" ref="E526" si="176">E523</f>
        <v>2</v>
      </c>
      <c r="F526" s="10" t="s">
        <v>158</v>
      </c>
      <c r="G526" s="9" t="str">
        <f>G523</f>
        <v>Mori</v>
      </c>
      <c r="H526" s="9"/>
      <c r="I526" s="9">
        <f>SUBTOTAL(9,I492:I525)</f>
        <v>0</v>
      </c>
      <c r="J526" s="9">
        <f t="shared" ref="J526:S526" si="177">SUBTOTAL(9,J492:J525)</f>
        <v>0</v>
      </c>
      <c r="K526" s="9">
        <f t="shared" si="177"/>
        <v>0</v>
      </c>
      <c r="L526" s="9">
        <f t="shared" si="177"/>
        <v>0</v>
      </c>
      <c r="M526" s="9">
        <f t="shared" si="177"/>
        <v>0</v>
      </c>
      <c r="N526" s="9">
        <f t="shared" si="177"/>
        <v>0</v>
      </c>
      <c r="O526" s="9">
        <f t="shared" si="177"/>
        <v>0</v>
      </c>
      <c r="P526" s="9">
        <f t="shared" si="177"/>
        <v>0</v>
      </c>
      <c r="Q526" s="9">
        <f t="shared" si="177"/>
        <v>0</v>
      </c>
      <c r="R526" s="9">
        <f t="shared" si="177"/>
        <v>0</v>
      </c>
      <c r="S526" s="9">
        <f t="shared" si="177"/>
        <v>0</v>
      </c>
      <c r="T526" s="13">
        <f>IFERROR(R526/O526,0)</f>
        <v>0</v>
      </c>
      <c r="U526" s="11">
        <f>SUBTOTAL(9,U492:U525)</f>
        <v>0</v>
      </c>
      <c r="Y526" s="2"/>
      <c r="Z526" s="2"/>
      <c r="AA526" s="2"/>
      <c r="AB526" s="2"/>
      <c r="AC526" s="2"/>
    </row>
    <row r="527" spans="1:29" ht="10.5" hidden="1">
      <c r="A527" s="2">
        <f>A492+1</f>
        <v>16</v>
      </c>
      <c r="B527" s="2" t="str">
        <f>VLOOKUP($A527,Controle!$B$4:$F$68,2,FALSE)</f>
        <v>Buritizeiro 1</v>
      </c>
      <c r="C527" s="2" t="str">
        <f>VLOOKUP($A527,Controle!$B$4:$F$68,3,FALSE)</f>
        <v xml:space="preserve">ESTRELA DO NORTE </v>
      </c>
      <c r="D527" s="2" t="str">
        <f>VLOOKUP($A527,Controle!$B$4:$F$68,4,FALSE)</f>
        <v>EDN</v>
      </c>
      <c r="E527" s="2">
        <f>VLOOKUP($A527,Controle!$B$4:$F$68,5,FALSE)</f>
        <v>1</v>
      </c>
      <c r="F527" s="3" t="str">
        <f t="shared" ref="F527:F560" si="178">F492</f>
        <v>Conexão AT - Obras</v>
      </c>
      <c r="G527" s="2" t="str">
        <f>VLOOKUP($A527,Controle!$B$4:$G$68,6,FALSE)</f>
        <v>Apolo</v>
      </c>
      <c r="H527" s="6" t="s">
        <v>194</v>
      </c>
      <c r="I527" s="6">
        <v>0</v>
      </c>
      <c r="J527" s="6">
        <v>0</v>
      </c>
      <c r="K527" s="6">
        <v>0</v>
      </c>
      <c r="L527" s="6">
        <v>0</v>
      </c>
      <c r="M527" s="6">
        <v>0</v>
      </c>
      <c r="N527" s="6">
        <v>0</v>
      </c>
      <c r="O527" s="4">
        <f t="shared" ref="O527:O560" si="179">SUM(I527:N527)</f>
        <v>0</v>
      </c>
      <c r="P527" s="5">
        <f>SUMIFS('Desenvolvimento diário'!$H:$H,'Desenvolvimento diário'!$Q:$Q,$B527,'Desenvolvimento diário'!$P:$P,$F527,'Desenvolvimento diário'!$R:$R,"Sim")</f>
        <v>0</v>
      </c>
      <c r="Q527" s="5">
        <f>SUMIFS('Desenvolvimento diário'!$H:$H,'Desenvolvimento diário'!$Q:$Q,$B527,'Desenvolvimento diário'!$P:$P,$F527,'Desenvolvimento diário'!$R:$R,"Não")</f>
        <v>0</v>
      </c>
      <c r="R527" s="4">
        <f t="shared" ref="R527:R560" si="180">SUM(P527:Q527)</f>
        <v>0</v>
      </c>
      <c r="S527" s="4">
        <f t="shared" ref="S527:S560" si="181">O527-R527</f>
        <v>0</v>
      </c>
      <c r="T527" s="12">
        <f t="shared" si="159"/>
        <v>0</v>
      </c>
      <c r="Y527" s="2"/>
      <c r="Z527" s="2"/>
      <c r="AA527" s="2"/>
      <c r="AB527" s="2"/>
      <c r="AC527" s="2"/>
    </row>
    <row r="528" spans="1:29" ht="10.5" hidden="1">
      <c r="A528" s="2">
        <f t="shared" ref="A528:A560" si="182">A527</f>
        <v>16</v>
      </c>
      <c r="B528" s="2" t="str">
        <f>VLOOKUP($A528,Controle!$B$4:$F$68,2,FALSE)</f>
        <v>Buritizeiro 1</v>
      </c>
      <c r="C528" s="2" t="str">
        <f>VLOOKUP($A528,Controle!$B$4:$F$68,3,FALSE)</f>
        <v xml:space="preserve">ESTRELA DO NORTE </v>
      </c>
      <c r="D528" s="2" t="str">
        <f>VLOOKUP($A528,Controle!$B$4:$F$68,4,FALSE)</f>
        <v>EDN</v>
      </c>
      <c r="E528" s="2">
        <f>VLOOKUP($A528,Controle!$B$4:$F$68,5,FALSE)</f>
        <v>1</v>
      </c>
      <c r="F528" s="3" t="str">
        <f t="shared" si="178"/>
        <v>Conexão MT - Obras</v>
      </c>
      <c r="G528" s="2" t="str">
        <f>VLOOKUP($A528,Controle!$B$4:$G$68,6,FALSE)</f>
        <v>Apolo</v>
      </c>
      <c r="H528" s="6" t="s">
        <v>195</v>
      </c>
      <c r="I528" s="6">
        <v>1888267.34</v>
      </c>
      <c r="J528" s="6">
        <v>0</v>
      </c>
      <c r="K528" s="6">
        <v>0</v>
      </c>
      <c r="L528" s="6">
        <v>0</v>
      </c>
      <c r="M528" s="6">
        <v>0</v>
      </c>
      <c r="N528" s="6">
        <v>0</v>
      </c>
      <c r="O528" s="4">
        <f t="shared" si="179"/>
        <v>1888267.34</v>
      </c>
      <c r="P528" s="5">
        <f>SUMIFS('Desenvolvimento diário'!$H:$H,'Desenvolvimento diário'!$Q:$Q,$B528,'Desenvolvimento diário'!$P:$P,$F528,'Desenvolvimento diário'!$R:$R,"Sim")</f>
        <v>1320466.6599999999</v>
      </c>
      <c r="Q528" s="5">
        <f>SUMIFS('Desenvolvimento diário'!$H:$H,'Desenvolvimento diário'!$Q:$Q,$B528,'Desenvolvimento diário'!$P:$P,$F528,'Desenvolvimento diário'!$R:$R,"Não")</f>
        <v>567800.68000000005</v>
      </c>
      <c r="R528" s="4">
        <f t="shared" si="180"/>
        <v>1888267.3399999999</v>
      </c>
      <c r="S528" s="4">
        <f t="shared" si="181"/>
        <v>0</v>
      </c>
      <c r="T528" s="12">
        <f t="shared" si="159"/>
        <v>0.99999999999999989</v>
      </c>
      <c r="Y528" s="2"/>
      <c r="Z528" s="2"/>
      <c r="AA528" s="2"/>
      <c r="AB528" s="2"/>
      <c r="AC528" s="2"/>
    </row>
    <row r="529" spans="1:29" ht="10.5" hidden="1">
      <c r="A529" s="2">
        <f t="shared" si="182"/>
        <v>16</v>
      </c>
      <c r="B529" s="2" t="str">
        <f>VLOOKUP($A529,Controle!$B$4:$F$68,2,FALSE)</f>
        <v>Buritizeiro 1</v>
      </c>
      <c r="C529" s="2" t="str">
        <f>VLOOKUP($A529,Controle!$B$4:$F$68,3,FALSE)</f>
        <v xml:space="preserve">ESTRELA DO NORTE </v>
      </c>
      <c r="D529" s="2" t="str">
        <f>VLOOKUP($A529,Controle!$B$4:$F$68,4,FALSE)</f>
        <v>EDN</v>
      </c>
      <c r="E529" s="2">
        <f>VLOOKUP($A529,Controle!$B$4:$F$68,5,FALSE)</f>
        <v>1</v>
      </c>
      <c r="F529" s="3" t="str">
        <f t="shared" si="178"/>
        <v>Construção - Serviços de Construção</v>
      </c>
      <c r="G529" s="2" t="str">
        <f>VLOOKUP($A529,Controle!$B$4:$G$68,6,FALSE)</f>
        <v>Apolo</v>
      </c>
      <c r="H529" s="6" t="s">
        <v>142</v>
      </c>
      <c r="I529" s="6">
        <v>2691000</v>
      </c>
      <c r="J529" s="6">
        <v>987529.4</v>
      </c>
      <c r="K529" s="6">
        <v>139739.32999999999</v>
      </c>
      <c r="L529" s="31">
        <v>50132.04</v>
      </c>
      <c r="M529" s="6">
        <v>0</v>
      </c>
      <c r="N529" s="6">
        <v>0</v>
      </c>
      <c r="O529" s="43">
        <f t="shared" si="179"/>
        <v>3868400.77</v>
      </c>
      <c r="P529" s="5">
        <f>SUMIFS('Desenvolvimento diário'!$H:$H,'Desenvolvimento diário'!$Q:$Q,$B529,'Desenvolvimento diário'!$P:$P,$F529,'Desenvolvimento diário'!$R:$R,"Sim")</f>
        <v>2109968.3200000008</v>
      </c>
      <c r="Q529" s="5">
        <f>SUMIFS('Desenvolvimento diário'!$H:$H,'Desenvolvimento diário'!$Q:$Q,$B529,'Desenvolvimento diário'!$P:$P,$F529,'Desenvolvimento diário'!$R:$R,"Não")</f>
        <v>1758432.45</v>
      </c>
      <c r="R529" s="4">
        <f t="shared" si="180"/>
        <v>3868400.7700000005</v>
      </c>
      <c r="S529" s="33">
        <f>O529-R529</f>
        <v>0</v>
      </c>
      <c r="T529" s="12">
        <f t="shared" si="159"/>
        <v>1.0000000000000002</v>
      </c>
      <c r="U529" s="510" t="s">
        <v>162</v>
      </c>
      <c r="V529" s="510" t="s">
        <v>163</v>
      </c>
      <c r="Y529" s="2"/>
      <c r="Z529" s="2"/>
      <c r="AA529" s="2"/>
      <c r="AB529" s="2"/>
      <c r="AC529" s="2"/>
    </row>
    <row r="530" spans="1:29" ht="10.5" hidden="1">
      <c r="A530" s="2">
        <f t="shared" si="182"/>
        <v>16</v>
      </c>
      <c r="B530" s="2" t="str">
        <f>VLOOKUP($A530,Controle!$B$4:$F$68,2,FALSE)</f>
        <v>Buritizeiro 1</v>
      </c>
      <c r="C530" s="2" t="str">
        <f>VLOOKUP($A530,Controle!$B$4:$F$68,3,FALSE)</f>
        <v xml:space="preserve">ESTRELA DO NORTE </v>
      </c>
      <c r="D530" s="2" t="str">
        <f>VLOOKUP($A530,Controle!$B$4:$F$68,4,FALSE)</f>
        <v>EDN</v>
      </c>
      <c r="E530" s="2">
        <f>VLOOKUP($A530,Controle!$B$4:$F$68,5,FALSE)</f>
        <v>1</v>
      </c>
      <c r="F530" s="3" t="str">
        <f t="shared" si="178"/>
        <v>Construção - Serviços de Construção - Substituição</v>
      </c>
      <c r="G530" s="2" t="str">
        <f>VLOOKUP($A530,Controle!$B$4:$G$68,6,FALSE)</f>
        <v>Apolo</v>
      </c>
      <c r="H530" s="6">
        <v>0</v>
      </c>
      <c r="I530" s="6">
        <v>0</v>
      </c>
      <c r="J530" s="6">
        <v>0</v>
      </c>
      <c r="K530" s="6">
        <v>0</v>
      </c>
      <c r="L530" s="6">
        <v>0</v>
      </c>
      <c r="M530" s="6">
        <v>0</v>
      </c>
      <c r="N530" s="6">
        <v>0</v>
      </c>
      <c r="O530" s="4">
        <f t="shared" si="179"/>
        <v>0</v>
      </c>
      <c r="P530" s="5">
        <f>SUMIFS('Desenvolvimento diário'!$H:$H,'Desenvolvimento diário'!$Q:$Q,$B530,'Desenvolvimento diário'!$P:$P,$F530,'Desenvolvimento diário'!$R:$R,"Sim")</f>
        <v>0</v>
      </c>
      <c r="Q530" s="5">
        <f>SUMIFS('Desenvolvimento diário'!$H:$H,'Desenvolvimento diário'!$Q:$Q,$B530,'Desenvolvimento diário'!$P:$P,$F530,'Desenvolvimento diário'!$R:$R,"Não")</f>
        <v>0</v>
      </c>
      <c r="R530" s="4">
        <f t="shared" si="180"/>
        <v>0</v>
      </c>
      <c r="S530" s="4">
        <f t="shared" si="181"/>
        <v>0</v>
      </c>
      <c r="T530" s="12">
        <f t="shared" si="159"/>
        <v>0</v>
      </c>
      <c r="Y530" s="2"/>
      <c r="Z530" s="2"/>
      <c r="AA530" s="2"/>
      <c r="AB530" s="2"/>
      <c r="AC530" s="2"/>
    </row>
    <row r="531" spans="1:29" ht="10.5" hidden="1">
      <c r="A531" s="2">
        <f t="shared" si="182"/>
        <v>16</v>
      </c>
      <c r="B531" s="2" t="str">
        <f>VLOOKUP($A531,Controle!$B$4:$F$68,2,FALSE)</f>
        <v>Buritizeiro 1</v>
      </c>
      <c r="C531" s="2" t="str">
        <f>VLOOKUP($A531,Controle!$B$4:$F$68,3,FALSE)</f>
        <v xml:space="preserve">ESTRELA DO NORTE </v>
      </c>
      <c r="D531" s="2" t="str">
        <f>VLOOKUP($A531,Controle!$B$4:$F$68,4,FALSE)</f>
        <v>EDN</v>
      </c>
      <c r="E531" s="2">
        <f>VLOOKUP($A531,Controle!$B$4:$F$68,5,FALSE)</f>
        <v>1</v>
      </c>
      <c r="F531" s="3" t="str">
        <f t="shared" si="178"/>
        <v>Construção - RDA Interno</v>
      </c>
      <c r="G531" s="2" t="str">
        <f>VLOOKUP($A531,Controle!$B$4:$G$68,6,FALSE)</f>
        <v>Apolo</v>
      </c>
      <c r="H531" s="6" t="s">
        <v>168</v>
      </c>
      <c r="I531" s="6">
        <v>410000</v>
      </c>
      <c r="J531" s="6">
        <v>35000</v>
      </c>
      <c r="K531" s="6">
        <v>0</v>
      </c>
      <c r="L531" s="6">
        <v>0</v>
      </c>
      <c r="M531" s="6">
        <v>0</v>
      </c>
      <c r="N531" s="6">
        <v>0</v>
      </c>
      <c r="O531" s="4">
        <f t="shared" si="179"/>
        <v>445000</v>
      </c>
      <c r="P531" s="5">
        <f>SUMIFS('Desenvolvimento diário'!$H:$H,'Desenvolvimento diário'!$Q:$Q,$B531,'Desenvolvimento diário'!$P:$P,$F531,'Desenvolvimento diário'!$R:$R,"Sim")</f>
        <v>0</v>
      </c>
      <c r="Q531" s="5">
        <f>SUMIFS('Desenvolvimento diário'!$H:$H,'Desenvolvimento diário'!$Q:$Q,$B531,'Desenvolvimento diário'!$P:$P,$F531,'Desenvolvimento diário'!$R:$R,"Não")</f>
        <v>445000</v>
      </c>
      <c r="R531" s="4">
        <f t="shared" si="180"/>
        <v>445000</v>
      </c>
      <c r="S531" s="4">
        <f t="shared" si="181"/>
        <v>0</v>
      </c>
      <c r="T531" s="12">
        <f t="shared" si="159"/>
        <v>1</v>
      </c>
      <c r="Y531" s="2"/>
      <c r="Z531" s="2"/>
      <c r="AA531" s="2"/>
      <c r="AB531" s="2"/>
      <c r="AC531" s="2"/>
    </row>
    <row r="532" spans="1:29" ht="10.5" hidden="1">
      <c r="A532" s="2">
        <f t="shared" si="182"/>
        <v>16</v>
      </c>
      <c r="B532" s="2" t="str">
        <f>VLOOKUP($A532,Controle!$B$4:$F$68,2,FALSE)</f>
        <v>Buritizeiro 1</v>
      </c>
      <c r="C532" s="2" t="str">
        <f>VLOOKUP($A532,Controle!$B$4:$F$68,3,FALSE)</f>
        <v xml:space="preserve">ESTRELA DO NORTE </v>
      </c>
      <c r="D532" s="2" t="str">
        <f>VLOOKUP($A532,Controle!$B$4:$F$68,4,FALSE)</f>
        <v>EDN</v>
      </c>
      <c r="E532" s="2">
        <f>VLOOKUP($A532,Controle!$B$4:$F$68,5,FALSE)</f>
        <v>1</v>
      </c>
      <c r="F532" s="3" t="str">
        <f t="shared" si="178"/>
        <v>Full EPC - Contrato</v>
      </c>
      <c r="G532" s="2" t="str">
        <f>VLOOKUP($A532,Controle!$B$4:$G$68,6,FALSE)</f>
        <v>Apolo</v>
      </c>
      <c r="H532" s="6">
        <v>0</v>
      </c>
      <c r="I532" s="6">
        <v>0</v>
      </c>
      <c r="J532" s="6">
        <v>0</v>
      </c>
      <c r="K532" s="6">
        <v>0</v>
      </c>
      <c r="L532" s="6">
        <v>0</v>
      </c>
      <c r="M532" s="6">
        <v>0</v>
      </c>
      <c r="N532" s="6">
        <v>0</v>
      </c>
      <c r="O532" s="4">
        <f t="shared" si="179"/>
        <v>0</v>
      </c>
      <c r="P532" s="5">
        <f>SUMIFS('Desenvolvimento diário'!$H:$H,'Desenvolvimento diário'!$Q:$Q,$B532,'Desenvolvimento diário'!$P:$P,$F532,'Desenvolvimento diário'!$R:$R,"Sim")</f>
        <v>0</v>
      </c>
      <c r="Q532" s="5">
        <f>SUMIFS('Desenvolvimento diário'!$H:$H,'Desenvolvimento diário'!$Q:$Q,$B532,'Desenvolvimento diário'!$P:$P,$F532,'Desenvolvimento diário'!$R:$R,"Não")</f>
        <v>0</v>
      </c>
      <c r="R532" s="4">
        <f t="shared" si="180"/>
        <v>0</v>
      </c>
      <c r="S532" s="4">
        <f t="shared" si="181"/>
        <v>0</v>
      </c>
      <c r="T532" s="12">
        <f t="shared" si="159"/>
        <v>0</v>
      </c>
      <c r="Y532" s="2"/>
      <c r="Z532" s="2"/>
      <c r="AA532" s="2"/>
      <c r="AB532" s="2"/>
      <c r="AC532" s="2"/>
    </row>
    <row r="533" spans="1:29" ht="10.5" hidden="1">
      <c r="A533" s="2">
        <f t="shared" si="182"/>
        <v>16</v>
      </c>
      <c r="B533" s="2" t="str">
        <f>VLOOKUP($A533,Controle!$B$4:$F$68,2,FALSE)</f>
        <v>Buritizeiro 1</v>
      </c>
      <c r="C533" s="2" t="str">
        <f>VLOOKUP($A533,Controle!$B$4:$F$68,3,FALSE)</f>
        <v xml:space="preserve">ESTRELA DO NORTE </v>
      </c>
      <c r="D533" s="2" t="str">
        <f>VLOOKUP($A533,Controle!$B$4:$F$68,4,FALSE)</f>
        <v>EDN</v>
      </c>
      <c r="E533" s="2">
        <f>VLOOKUP($A533,Controle!$B$4:$F$68,5,FALSE)</f>
        <v>1</v>
      </c>
      <c r="F533" s="3" t="str">
        <f t="shared" si="178"/>
        <v>Equipamentos Curva A - Outros (Transformadores)</v>
      </c>
      <c r="G533" s="2" t="str">
        <f>VLOOKUP($A533,Controle!$B$4:$G$68,6,FALSE)</f>
        <v>Apolo</v>
      </c>
      <c r="H533" s="6" t="s">
        <v>144</v>
      </c>
      <c r="I533" s="6">
        <v>461563.39</v>
      </c>
      <c r="J533" s="6">
        <v>0</v>
      </c>
      <c r="K533" s="6">
        <v>0</v>
      </c>
      <c r="L533" s="6">
        <v>0</v>
      </c>
      <c r="M533" s="6">
        <v>0</v>
      </c>
      <c r="N533" s="6">
        <v>0</v>
      </c>
      <c r="O533" s="4">
        <f t="shared" si="179"/>
        <v>461563.39</v>
      </c>
      <c r="P533" s="5">
        <f>SUMIFS('Desenvolvimento diário'!$H:$H,'Desenvolvimento diário'!$Q:$Q,$B533,'Desenvolvimento diário'!$P:$P,$F533,'Desenvolvimento diário'!$R:$R,"Sim")</f>
        <v>0</v>
      </c>
      <c r="Q533" s="5">
        <f>SUMIFS('Desenvolvimento diário'!$H:$H,'Desenvolvimento diário'!$Q:$Q,$B533,'Desenvolvimento diário'!$P:$P,$F533,'Desenvolvimento diário'!$R:$R,"Não")</f>
        <v>461563.39</v>
      </c>
      <c r="R533" s="4">
        <f t="shared" si="180"/>
        <v>461563.39</v>
      </c>
      <c r="S533" s="4">
        <f t="shared" si="181"/>
        <v>0</v>
      </c>
      <c r="T533" s="12">
        <f t="shared" si="159"/>
        <v>1</v>
      </c>
      <c r="Y533" s="2"/>
      <c r="Z533" s="2"/>
      <c r="AA533" s="2"/>
      <c r="AB533" s="2"/>
      <c r="AC533" s="2"/>
    </row>
    <row r="534" spans="1:29" ht="10.5" hidden="1">
      <c r="A534" s="2">
        <f t="shared" si="182"/>
        <v>16</v>
      </c>
      <c r="B534" s="2" t="str">
        <f>VLOOKUP($A534,Controle!$B$4:$F$68,2,FALSE)</f>
        <v>Buritizeiro 1</v>
      </c>
      <c r="C534" s="2" t="str">
        <f>VLOOKUP($A534,Controle!$B$4:$F$68,3,FALSE)</f>
        <v xml:space="preserve">ESTRELA DO NORTE </v>
      </c>
      <c r="D534" s="2" t="str">
        <f>VLOOKUP($A534,Controle!$B$4:$F$68,4,FALSE)</f>
        <v>EDN</v>
      </c>
      <c r="E534" s="2">
        <f>VLOOKUP($A534,Controle!$B$4:$F$68,5,FALSE)</f>
        <v>1</v>
      </c>
      <c r="F534" s="3" t="str">
        <f t="shared" si="178"/>
        <v>Equipamentos Curva A - Outros (Cabine + Skid)</v>
      </c>
      <c r="G534" s="2" t="str">
        <f>VLOOKUP($A534,Controle!$B$4:$G$68,6,FALSE)</f>
        <v>Apolo</v>
      </c>
      <c r="H534" s="6" t="s">
        <v>196</v>
      </c>
      <c r="I534" s="6">
        <v>1041682.1489361702</v>
      </c>
      <c r="J534" s="6">
        <v>13472.93</v>
      </c>
      <c r="K534" s="6">
        <v>0</v>
      </c>
      <c r="L534" s="6">
        <v>0</v>
      </c>
      <c r="M534" s="6">
        <v>0</v>
      </c>
      <c r="N534" s="6">
        <v>0</v>
      </c>
      <c r="O534" s="4">
        <f t="shared" si="179"/>
        <v>1055155.0789361701</v>
      </c>
      <c r="P534" s="5">
        <f>SUMIFS('Desenvolvimento diário'!$H:$H,'Desenvolvimento diário'!$Q:$Q,$B534,'Desenvolvimento diário'!$P:$P,$F534,'Desenvolvimento diário'!$R:$R,"Sim")</f>
        <v>0</v>
      </c>
      <c r="Q534" s="5">
        <f>SUMIFS('Desenvolvimento diário'!$H:$H,'Desenvolvimento diário'!$Q:$Q,$B534,'Desenvolvimento diário'!$P:$P,$F534,'Desenvolvimento diário'!$R:$R,"Não")</f>
        <v>1055155.0789361701</v>
      </c>
      <c r="R534" s="4">
        <f t="shared" si="180"/>
        <v>1055155.0789361701</v>
      </c>
      <c r="S534" s="4">
        <f t="shared" si="181"/>
        <v>0</v>
      </c>
      <c r="T534" s="12">
        <f t="shared" si="159"/>
        <v>1</v>
      </c>
      <c r="Y534" s="2"/>
      <c r="Z534" s="2"/>
      <c r="AA534" s="2"/>
      <c r="AB534" s="2"/>
      <c r="AC534" s="2"/>
    </row>
    <row r="535" spans="1:29" ht="10.5" hidden="1">
      <c r="A535" s="2">
        <f t="shared" si="182"/>
        <v>16</v>
      </c>
      <c r="B535" s="2" t="str">
        <f>VLOOKUP($A535,Controle!$B$4:$F$68,2,FALSE)</f>
        <v>Buritizeiro 1</v>
      </c>
      <c r="C535" s="2" t="str">
        <f>VLOOKUP($A535,Controle!$B$4:$F$68,3,FALSE)</f>
        <v xml:space="preserve">ESTRELA DO NORTE </v>
      </c>
      <c r="D535" s="2" t="str">
        <f>VLOOKUP($A535,Controle!$B$4:$F$68,4,FALSE)</f>
        <v>EDN</v>
      </c>
      <c r="E535" s="2">
        <f>VLOOKUP($A535,Controle!$B$4:$F$68,5,FALSE)</f>
        <v>1</v>
      </c>
      <c r="F535" s="3" t="str">
        <f t="shared" si="178"/>
        <v>Equipamentos Curva A - Outros (Cabine + Skid + Transformador)</v>
      </c>
      <c r="G535" s="2" t="str">
        <f>VLOOKUP($A535,Controle!$B$4:$G$68,6,FALSE)</f>
        <v>Apolo</v>
      </c>
      <c r="H535" s="6">
        <v>0</v>
      </c>
      <c r="I535" s="6">
        <v>0</v>
      </c>
      <c r="J535" s="6">
        <v>0</v>
      </c>
      <c r="K535" s="6">
        <v>0</v>
      </c>
      <c r="L535" s="6">
        <v>0</v>
      </c>
      <c r="M535" s="6">
        <v>0</v>
      </c>
      <c r="N535" s="6">
        <v>0</v>
      </c>
      <c r="O535" s="4">
        <f t="shared" si="179"/>
        <v>0</v>
      </c>
      <c r="P535" s="5">
        <f>SUMIFS('Desenvolvimento diário'!$H:$H,'Desenvolvimento diário'!$Q:$Q,$B535,'Desenvolvimento diário'!$P:$P,$F535,'Desenvolvimento diário'!$R:$R,"Sim")</f>
        <v>0</v>
      </c>
      <c r="Q535" s="5">
        <f>SUMIFS('Desenvolvimento diário'!$H:$H,'Desenvolvimento diário'!$Q:$Q,$B535,'Desenvolvimento diário'!$P:$P,$F535,'Desenvolvimento diário'!$R:$R,"Não")</f>
        <v>0</v>
      </c>
      <c r="R535" s="4">
        <f t="shared" si="180"/>
        <v>0</v>
      </c>
      <c r="S535" s="4">
        <f t="shared" si="181"/>
        <v>0</v>
      </c>
      <c r="T535" s="12">
        <f t="shared" si="159"/>
        <v>0</v>
      </c>
      <c r="Y535" s="2"/>
      <c r="Z535" s="2"/>
      <c r="AA535" s="2"/>
      <c r="AB535" s="2"/>
      <c r="AC535" s="2"/>
    </row>
    <row r="536" spans="1:29" ht="10.5" hidden="1">
      <c r="A536" s="2">
        <f t="shared" si="182"/>
        <v>16</v>
      </c>
      <c r="B536" s="2" t="str">
        <f>VLOOKUP($A536,Controle!$B$4:$F$68,2,FALSE)</f>
        <v>Buritizeiro 1</v>
      </c>
      <c r="C536" s="2" t="str">
        <f>VLOOKUP($A536,Controle!$B$4:$F$68,3,FALSE)</f>
        <v xml:space="preserve">ESTRELA DO NORTE </v>
      </c>
      <c r="D536" s="2" t="str">
        <f>VLOOKUP($A536,Controle!$B$4:$F$68,4,FALSE)</f>
        <v>EDN</v>
      </c>
      <c r="E536" s="2">
        <f>VLOOKUP($A536,Controle!$B$4:$F$68,5,FALSE)</f>
        <v>1</v>
      </c>
      <c r="F536" s="3" t="str">
        <f t="shared" si="178"/>
        <v>Desenvolvimento de projeto - Projetos - (Eng° Proprietario)</v>
      </c>
      <c r="G536" s="2" t="str">
        <f>VLOOKUP($A536,Controle!$B$4:$G$68,6,FALSE)</f>
        <v>Apolo</v>
      </c>
      <c r="H536" s="6" t="s">
        <v>145</v>
      </c>
      <c r="I536" s="6">
        <v>0</v>
      </c>
      <c r="J536" s="6">
        <v>0</v>
      </c>
      <c r="K536" s="6">
        <v>0</v>
      </c>
      <c r="L536" s="6">
        <v>0</v>
      </c>
      <c r="M536" s="6">
        <v>0</v>
      </c>
      <c r="N536" s="6">
        <v>0</v>
      </c>
      <c r="O536" s="4">
        <f t="shared" si="179"/>
        <v>0</v>
      </c>
      <c r="P536" s="5">
        <f>SUMIFS('Desenvolvimento diário'!$H:$H,'Desenvolvimento diário'!$Q:$Q,$B536,'Desenvolvimento diário'!$P:$P,$F536,'Desenvolvimento diário'!$R:$R,"Sim")</f>
        <v>0</v>
      </c>
      <c r="Q536" s="5">
        <f>SUMIFS('Desenvolvimento diário'!$H:$H,'Desenvolvimento diário'!$Q:$Q,$B536,'Desenvolvimento diário'!$P:$P,$F536,'Desenvolvimento diário'!$R:$R,"Não")</f>
        <v>0</v>
      </c>
      <c r="R536" s="4">
        <f t="shared" si="180"/>
        <v>0</v>
      </c>
      <c r="S536" s="4">
        <f t="shared" si="181"/>
        <v>0</v>
      </c>
      <c r="T536" s="12">
        <f t="shared" si="159"/>
        <v>0</v>
      </c>
      <c r="Y536" s="2"/>
      <c r="Z536" s="2"/>
      <c r="AA536" s="2"/>
      <c r="AB536" s="2"/>
      <c r="AC536" s="2"/>
    </row>
    <row r="537" spans="1:29" ht="10.5" hidden="1">
      <c r="A537" s="2">
        <f t="shared" si="182"/>
        <v>16</v>
      </c>
      <c r="B537" s="2" t="str">
        <f>VLOOKUP($A537,Controle!$B$4:$F$68,2,FALSE)</f>
        <v>Buritizeiro 1</v>
      </c>
      <c r="C537" s="2" t="str">
        <f>VLOOKUP($A537,Controle!$B$4:$F$68,3,FALSE)</f>
        <v xml:space="preserve">ESTRELA DO NORTE </v>
      </c>
      <c r="D537" s="2" t="str">
        <f>VLOOKUP($A537,Controle!$B$4:$F$68,4,FALSE)</f>
        <v>EDN</v>
      </c>
      <c r="E537" s="2">
        <f>VLOOKUP($A537,Controle!$B$4:$F$68,5,FALSE)</f>
        <v>1</v>
      </c>
      <c r="F537" s="3" t="str">
        <f t="shared" si="178"/>
        <v>Desenvolvimento de projeto - Projetos - Executivos</v>
      </c>
      <c r="G537" s="2" t="str">
        <f>VLOOKUP($A537,Controle!$B$4:$G$68,6,FALSE)</f>
        <v>Apolo</v>
      </c>
      <c r="H537" s="6" t="s">
        <v>146</v>
      </c>
      <c r="I537" s="6">
        <v>36466.699999999997</v>
      </c>
      <c r="J537" s="6">
        <v>0</v>
      </c>
      <c r="K537" s="6">
        <v>0</v>
      </c>
      <c r="L537" s="6">
        <v>0</v>
      </c>
      <c r="M537" s="6">
        <v>0</v>
      </c>
      <c r="N537" s="6">
        <v>0</v>
      </c>
      <c r="O537" s="4">
        <f t="shared" si="179"/>
        <v>36466.699999999997</v>
      </c>
      <c r="P537" s="5">
        <f>SUMIFS('Desenvolvimento diário'!$H:$H,'Desenvolvimento diário'!$Q:$Q,$B537,'Desenvolvimento diário'!$P:$P,$F537,'Desenvolvimento diário'!$R:$R,"Sim")</f>
        <v>0</v>
      </c>
      <c r="Q537" s="5">
        <f>SUMIFS('Desenvolvimento diário'!$H:$H,'Desenvolvimento diário'!$Q:$Q,$B537,'Desenvolvimento diário'!$P:$P,$F537,'Desenvolvimento diário'!$R:$R,"Não")</f>
        <v>36466.699999999997</v>
      </c>
      <c r="R537" s="4">
        <f t="shared" si="180"/>
        <v>36466.699999999997</v>
      </c>
      <c r="S537" s="4">
        <f t="shared" si="181"/>
        <v>0</v>
      </c>
      <c r="T537" s="12">
        <f t="shared" si="159"/>
        <v>1</v>
      </c>
      <c r="Y537" s="2"/>
      <c r="Z537" s="2"/>
      <c r="AA537" s="2"/>
      <c r="AB537" s="2"/>
      <c r="AC537" s="2"/>
    </row>
    <row r="538" spans="1:29" ht="10.5" hidden="1">
      <c r="A538" s="2">
        <f t="shared" si="182"/>
        <v>16</v>
      </c>
      <c r="B538" s="2" t="str">
        <f>VLOOKUP($A538,Controle!$B$4:$F$68,2,FALSE)</f>
        <v>Buritizeiro 1</v>
      </c>
      <c r="C538" s="2" t="str">
        <f>VLOOKUP($A538,Controle!$B$4:$F$68,3,FALSE)</f>
        <v xml:space="preserve">ESTRELA DO NORTE </v>
      </c>
      <c r="D538" s="2" t="str">
        <f>VLOOKUP($A538,Controle!$B$4:$F$68,4,FALSE)</f>
        <v>EDN</v>
      </c>
      <c r="E538" s="2">
        <f>VLOOKUP($A538,Controle!$B$4:$F$68,5,FALSE)</f>
        <v>1</v>
      </c>
      <c r="F538" s="3" t="str">
        <f t="shared" si="178"/>
        <v>Desenvolvimento de projeto - Projetos Básica</v>
      </c>
      <c r="G538" s="2" t="str">
        <f>VLOOKUP($A538,Controle!$B$4:$G$68,6,FALSE)</f>
        <v>Apolo</v>
      </c>
      <c r="H538" s="6">
        <v>0</v>
      </c>
      <c r="I538" s="6">
        <v>0</v>
      </c>
      <c r="J538" s="6">
        <v>0</v>
      </c>
      <c r="K538" s="6">
        <v>0</v>
      </c>
      <c r="L538" s="6">
        <v>0</v>
      </c>
      <c r="M538" s="6">
        <v>0</v>
      </c>
      <c r="N538" s="6">
        <v>0</v>
      </c>
      <c r="O538" s="4">
        <f t="shared" si="179"/>
        <v>0</v>
      </c>
      <c r="P538" s="5">
        <f>SUMIFS('Desenvolvimento diário'!$H:$H,'Desenvolvimento diário'!$Q:$Q,$B538,'Desenvolvimento diário'!$P:$P,$F538,'Desenvolvimento diário'!$R:$R,"Sim")</f>
        <v>0</v>
      </c>
      <c r="Q538" s="5">
        <f>SUMIFS('Desenvolvimento diário'!$H:$H,'Desenvolvimento diário'!$Q:$Q,$B538,'Desenvolvimento diário'!$P:$P,$F538,'Desenvolvimento diário'!$R:$R,"Não")</f>
        <v>0</v>
      </c>
      <c r="R538" s="4">
        <f t="shared" si="180"/>
        <v>0</v>
      </c>
      <c r="S538" s="4">
        <f t="shared" si="181"/>
        <v>0</v>
      </c>
      <c r="T538" s="12">
        <f t="shared" si="159"/>
        <v>0</v>
      </c>
      <c r="Y538" s="2"/>
      <c r="Z538" s="2"/>
      <c r="AA538" s="2"/>
      <c r="AB538" s="2"/>
      <c r="AC538" s="2"/>
    </row>
    <row r="539" spans="1:29" ht="10.5" hidden="1">
      <c r="A539" s="2">
        <f t="shared" si="182"/>
        <v>16</v>
      </c>
      <c r="B539" s="2" t="str">
        <f>VLOOKUP($A539,Controle!$B$4:$F$68,2,FALSE)</f>
        <v>Buritizeiro 1</v>
      </c>
      <c r="C539" s="2" t="str">
        <f>VLOOKUP($A539,Controle!$B$4:$F$68,3,FALSE)</f>
        <v xml:space="preserve">ESTRELA DO NORTE </v>
      </c>
      <c r="D539" s="2" t="str">
        <f>VLOOKUP($A539,Controle!$B$4:$F$68,4,FALSE)</f>
        <v>EDN</v>
      </c>
      <c r="E539" s="2">
        <f>VLOOKUP($A539,Controle!$B$4:$F$68,5,FALSE)</f>
        <v>1</v>
      </c>
      <c r="F539" s="3" t="str">
        <f t="shared" si="178"/>
        <v>Desenvolvimento de projeto - Projetos Detalhada</v>
      </c>
      <c r="G539" s="2" t="str">
        <f>VLOOKUP($A539,Controle!$B$4:$G$68,6,FALSE)</f>
        <v>Apolo</v>
      </c>
      <c r="H539" s="6">
        <v>0</v>
      </c>
      <c r="I539" s="6">
        <v>0</v>
      </c>
      <c r="J539" s="6">
        <v>0</v>
      </c>
      <c r="K539" s="6">
        <v>0</v>
      </c>
      <c r="L539" s="6">
        <v>0</v>
      </c>
      <c r="M539" s="6">
        <v>0</v>
      </c>
      <c r="N539" s="6">
        <v>0</v>
      </c>
      <c r="O539" s="4">
        <f t="shared" si="179"/>
        <v>0</v>
      </c>
      <c r="P539" s="5">
        <f>SUMIFS('Desenvolvimento diário'!$H:$H,'Desenvolvimento diário'!$Q:$Q,$B539,'Desenvolvimento diário'!$P:$P,$F539,'Desenvolvimento diário'!$R:$R,"Sim")</f>
        <v>0</v>
      </c>
      <c r="Q539" s="5">
        <f>SUMIFS('Desenvolvimento diário'!$H:$H,'Desenvolvimento diário'!$Q:$Q,$B539,'Desenvolvimento diário'!$P:$P,$F539,'Desenvolvimento diário'!$R:$R,"Não")</f>
        <v>0</v>
      </c>
      <c r="R539" s="4">
        <f t="shared" si="180"/>
        <v>0</v>
      </c>
      <c r="S539" s="4">
        <f t="shared" si="181"/>
        <v>0</v>
      </c>
      <c r="T539" s="12">
        <f t="shared" si="159"/>
        <v>0</v>
      </c>
      <c r="Y539" s="2"/>
      <c r="Z539" s="2"/>
      <c r="AA539" s="2"/>
      <c r="AB539" s="2"/>
      <c r="AC539" s="2"/>
    </row>
    <row r="540" spans="1:29" ht="10.5" hidden="1">
      <c r="A540" s="2">
        <f t="shared" si="182"/>
        <v>16</v>
      </c>
      <c r="B540" s="2" t="str">
        <f>VLOOKUP($A540,Controle!$B$4:$F$68,2,FALSE)</f>
        <v>Buritizeiro 1</v>
      </c>
      <c r="C540" s="2" t="str">
        <f>VLOOKUP($A540,Controle!$B$4:$F$68,3,FALSE)</f>
        <v xml:space="preserve">ESTRELA DO NORTE </v>
      </c>
      <c r="D540" s="2" t="str">
        <f>VLOOKUP($A540,Controle!$B$4:$F$68,4,FALSE)</f>
        <v>EDN</v>
      </c>
      <c r="E540" s="2">
        <f>VLOOKUP($A540,Controle!$B$4:$F$68,5,FALSE)</f>
        <v>1</v>
      </c>
      <c r="F540" s="3" t="str">
        <f t="shared" si="178"/>
        <v>Desenvolvimento de projeto - Ambiental / Outros</v>
      </c>
      <c r="G540" s="2" t="str">
        <f>VLOOKUP($A540,Controle!$B$4:$G$68,6,FALSE)</f>
        <v>Apolo</v>
      </c>
      <c r="H540" s="6" t="s">
        <v>148</v>
      </c>
      <c r="I540" s="6">
        <f>R540</f>
        <v>277545.58</v>
      </c>
      <c r="J540" s="6">
        <v>0</v>
      </c>
      <c r="K540" s="6">
        <v>0</v>
      </c>
      <c r="L540" s="6">
        <v>0</v>
      </c>
      <c r="M540" s="6">
        <v>0</v>
      </c>
      <c r="N540" s="6">
        <v>0</v>
      </c>
      <c r="O540" s="4">
        <f t="shared" si="179"/>
        <v>277545.58</v>
      </c>
      <c r="P540" s="5">
        <f>SUMIFS('Desenvolvimento diário'!$H:$H,'Desenvolvimento diário'!$Q:$Q,$B540,'Desenvolvimento diário'!$P:$P,$F540,'Desenvolvimento diário'!$R:$R,"Sim")</f>
        <v>0</v>
      </c>
      <c r="Q540" s="5">
        <f>SUMIFS('Desenvolvimento diário'!$H:$H,'Desenvolvimento diário'!$Q:$Q,$B540,'Desenvolvimento diário'!$P:$P,$F540,'Desenvolvimento diário'!$R:$R,"Não")</f>
        <v>277545.58</v>
      </c>
      <c r="R540" s="4">
        <f t="shared" si="180"/>
        <v>277545.58</v>
      </c>
      <c r="S540" s="4">
        <f t="shared" si="181"/>
        <v>0</v>
      </c>
      <c r="T540" s="12">
        <f t="shared" si="159"/>
        <v>1</v>
      </c>
      <c r="Y540" s="2"/>
      <c r="Z540" s="2"/>
      <c r="AA540" s="2"/>
      <c r="AB540" s="2"/>
      <c r="AC540" s="2"/>
    </row>
    <row r="541" spans="1:29" hidden="1">
      <c r="A541" s="2">
        <f t="shared" si="182"/>
        <v>16</v>
      </c>
      <c r="B541" s="2" t="str">
        <f>VLOOKUP($A541,Controle!$B$4:$F$68,2,FALSE)</f>
        <v>Buritizeiro 1</v>
      </c>
      <c r="C541" s="2" t="str">
        <f>VLOOKUP($A541,Controle!$B$4:$F$68,3,FALSE)</f>
        <v xml:space="preserve">ESTRELA DO NORTE </v>
      </c>
      <c r="D541" s="2" t="str">
        <f>VLOOKUP($A541,Controle!$B$4:$F$68,4,FALSE)</f>
        <v>EDN</v>
      </c>
      <c r="E541" s="2">
        <f>VLOOKUP($A541,Controle!$B$4:$F$68,5,FALSE)</f>
        <v>1</v>
      </c>
      <c r="F541" s="3" t="str">
        <f t="shared" si="178"/>
        <v>Desenvolvimento de projeto - Coordenograma</v>
      </c>
      <c r="G541" s="2" t="str">
        <f>VLOOKUP($A541,Controle!$B$4:$G$68,6,FALSE)</f>
        <v>Apolo</v>
      </c>
      <c r="H541" s="31" t="s">
        <v>149</v>
      </c>
      <c r="I541" s="31">
        <v>7000</v>
      </c>
      <c r="J541" s="31">
        <v>0</v>
      </c>
      <c r="K541" s="31">
        <v>0</v>
      </c>
      <c r="L541" s="6">
        <v>0</v>
      </c>
      <c r="M541" s="6">
        <v>0</v>
      </c>
      <c r="N541" s="6">
        <v>0</v>
      </c>
      <c r="O541" s="4">
        <f t="shared" si="179"/>
        <v>7000</v>
      </c>
      <c r="P541" s="5">
        <f>SUMIFS('Desenvolvimento diário'!$H:$H,'Desenvolvimento diário'!$Q:$Q,$B541,'Desenvolvimento diário'!$P:$P,$F541,'Desenvolvimento diário'!$R:$R,"Sim")</f>
        <v>0</v>
      </c>
      <c r="Q541" s="5">
        <f>SUMIFS('Desenvolvimento diário'!$H:$H,'Desenvolvimento diário'!$Q:$Q,$B541,'Desenvolvimento diário'!$P:$P,$F541,'Desenvolvimento diário'!$R:$R,"Não")</f>
        <v>7000</v>
      </c>
      <c r="R541" s="4">
        <f t="shared" si="180"/>
        <v>7000</v>
      </c>
      <c r="S541" s="4">
        <f t="shared" si="181"/>
        <v>0</v>
      </c>
      <c r="T541" s="12">
        <f t="shared" si="159"/>
        <v>1</v>
      </c>
      <c r="Y541" s="2"/>
      <c r="Z541" s="2"/>
      <c r="AA541" s="2"/>
      <c r="AB541" s="2"/>
      <c r="AC541" s="2"/>
    </row>
    <row r="542" spans="1:29" ht="10.5" hidden="1">
      <c r="A542" s="2">
        <f t="shared" si="182"/>
        <v>16</v>
      </c>
      <c r="B542" s="2" t="str">
        <f>VLOOKUP($A542,Controle!$B$4:$F$68,2,FALSE)</f>
        <v>Buritizeiro 1</v>
      </c>
      <c r="C542" s="2" t="str">
        <f>VLOOKUP($A542,Controle!$B$4:$F$68,3,FALSE)</f>
        <v xml:space="preserve">ESTRELA DO NORTE </v>
      </c>
      <c r="D542" s="2" t="str">
        <f>VLOOKUP($A542,Controle!$B$4:$F$68,4,FALSE)</f>
        <v>EDN</v>
      </c>
      <c r="E542" s="2">
        <f>VLOOKUP($A542,Controle!$B$4:$F$68,5,FALSE)</f>
        <v>1</v>
      </c>
      <c r="F542" s="3" t="str">
        <f t="shared" si="178"/>
        <v>Sistemas de Monitoramento - Supervisório</v>
      </c>
      <c r="G542" s="2" t="str">
        <f>VLOOKUP($A542,Controle!$B$4:$G$68,6,FALSE)</f>
        <v>Apolo</v>
      </c>
      <c r="H542" s="6" t="s">
        <v>150</v>
      </c>
      <c r="I542" s="6">
        <v>136154.23999999999</v>
      </c>
      <c r="J542" s="6"/>
      <c r="K542" s="6">
        <v>0</v>
      </c>
      <c r="L542" s="6">
        <v>0</v>
      </c>
      <c r="M542" s="6">
        <v>0</v>
      </c>
      <c r="N542" s="6">
        <v>0</v>
      </c>
      <c r="O542" s="4">
        <f t="shared" si="179"/>
        <v>136154.23999999999</v>
      </c>
      <c r="P542" s="5">
        <f>SUMIFS('Desenvolvimento diário'!$H:$H,'Desenvolvimento diário'!$Q:$Q,$B542,'Desenvolvimento diário'!$P:$P,$F542,'Desenvolvimento diário'!$R:$R,"Sim")</f>
        <v>5821.02</v>
      </c>
      <c r="Q542" s="5">
        <f>SUMIFS('Desenvolvimento diário'!$H:$H,'Desenvolvimento diário'!$Q:$Q,$B542,'Desenvolvimento diário'!$P:$P,$F542,'Desenvolvimento diário'!$R:$R,"Não")</f>
        <v>130333.22000000002</v>
      </c>
      <c r="R542" s="4">
        <f t="shared" si="180"/>
        <v>136154.24000000002</v>
      </c>
      <c r="S542" s="4">
        <f t="shared" si="181"/>
        <v>0</v>
      </c>
      <c r="T542" s="12">
        <f t="shared" si="159"/>
        <v>1.0000000000000002</v>
      </c>
      <c r="Y542" s="2"/>
      <c r="Z542" s="2"/>
      <c r="AA542" s="2"/>
      <c r="AB542" s="2"/>
      <c r="AC542" s="2"/>
    </row>
    <row r="543" spans="1:29" ht="10.5" hidden="1">
      <c r="A543" s="2">
        <f t="shared" si="182"/>
        <v>16</v>
      </c>
      <c r="B543" s="2" t="str">
        <f>VLOOKUP($A543,Controle!$B$4:$F$68,2,FALSE)</f>
        <v>Buritizeiro 1</v>
      </c>
      <c r="C543" s="2" t="str">
        <f>VLOOKUP($A543,Controle!$B$4:$F$68,3,FALSE)</f>
        <v xml:space="preserve">ESTRELA DO NORTE </v>
      </c>
      <c r="D543" s="2" t="str">
        <f>VLOOKUP($A543,Controle!$B$4:$F$68,4,FALSE)</f>
        <v>EDN</v>
      </c>
      <c r="E543" s="2">
        <f>VLOOKUP($A543,Controle!$B$4:$F$68,5,FALSE)</f>
        <v>1</v>
      </c>
      <c r="F543" s="3" t="str">
        <f t="shared" si="178"/>
        <v>Sistemas de Monitoramento - Estações Solarimétricas</v>
      </c>
      <c r="G543" s="2" t="str">
        <f>VLOOKUP($A543,Controle!$B$4:$G$68,6,FALSE)</f>
        <v>Apolo</v>
      </c>
      <c r="H543" s="6" t="s">
        <v>151</v>
      </c>
      <c r="I543" s="6">
        <v>48276.516000000003</v>
      </c>
      <c r="J543" s="6">
        <v>0</v>
      </c>
      <c r="K543" s="6">
        <v>0</v>
      </c>
      <c r="L543" s="6">
        <v>0</v>
      </c>
      <c r="M543" s="6">
        <v>0</v>
      </c>
      <c r="N543" s="6">
        <v>0</v>
      </c>
      <c r="O543" s="4">
        <f t="shared" si="179"/>
        <v>48276.516000000003</v>
      </c>
      <c r="P543" s="5">
        <f>SUMIFS('Desenvolvimento diário'!$H:$H,'Desenvolvimento diário'!$Q:$Q,$B543,'Desenvolvimento diário'!$P:$P,$F543,'Desenvolvimento diário'!$R:$R,"Sim")</f>
        <v>0</v>
      </c>
      <c r="Q543" s="5">
        <f>SUMIFS('Desenvolvimento diário'!$H:$H,'Desenvolvimento diário'!$Q:$Q,$B543,'Desenvolvimento diário'!$P:$P,$F543,'Desenvolvimento diário'!$R:$R,"Não")</f>
        <v>48276.516000000003</v>
      </c>
      <c r="R543" s="4">
        <f t="shared" si="180"/>
        <v>48276.516000000003</v>
      </c>
      <c r="S543" s="4">
        <f t="shared" si="181"/>
        <v>0</v>
      </c>
      <c r="T543" s="12">
        <f t="shared" si="159"/>
        <v>1</v>
      </c>
      <c r="Y543" s="2"/>
      <c r="Z543" s="2"/>
      <c r="AA543" s="2"/>
      <c r="AB543" s="2"/>
      <c r="AC543" s="2"/>
    </row>
    <row r="544" spans="1:29" hidden="1">
      <c r="A544" s="2">
        <f t="shared" si="182"/>
        <v>16</v>
      </c>
      <c r="B544" s="2" t="str">
        <f>VLOOKUP($A544,Controle!$B$4:$F$68,2,FALSE)</f>
        <v>Buritizeiro 1</v>
      </c>
      <c r="C544" s="2" t="str">
        <f>VLOOKUP($A544,Controle!$B$4:$F$68,3,FALSE)</f>
        <v xml:space="preserve">ESTRELA DO NORTE </v>
      </c>
      <c r="D544" s="2" t="str">
        <f>VLOOKUP($A544,Controle!$B$4:$F$68,4,FALSE)</f>
        <v>EDN</v>
      </c>
      <c r="E544" s="2">
        <f>VLOOKUP($A544,Controle!$B$4:$F$68,5,FALSE)</f>
        <v>1</v>
      </c>
      <c r="F544" s="3" t="str">
        <f t="shared" si="178"/>
        <v>Sistemas de Monitoramento - CFTV</v>
      </c>
      <c r="G544" s="2" t="str">
        <f>VLOOKUP($A544,Controle!$B$4:$G$68,6,FALSE)</f>
        <v>Apolo</v>
      </c>
      <c r="H544" s="31" t="s">
        <v>152</v>
      </c>
      <c r="I544" s="6">
        <v>289678.39</v>
      </c>
      <c r="J544" s="6">
        <v>0</v>
      </c>
      <c r="K544" s="6">
        <v>0</v>
      </c>
      <c r="L544" s="6">
        <v>0</v>
      </c>
      <c r="M544" s="6">
        <v>0</v>
      </c>
      <c r="N544" s="6">
        <v>0</v>
      </c>
      <c r="O544" s="4">
        <f t="shared" si="179"/>
        <v>289678.39</v>
      </c>
      <c r="P544" s="5">
        <f>SUMIFS('Desenvolvimento diário'!$H:$H,'Desenvolvimento diário'!$Q:$Q,$B544,'Desenvolvimento diário'!$P:$P,$F544,'Desenvolvimento diário'!$R:$R,"Sim")</f>
        <v>0</v>
      </c>
      <c r="Q544" s="5">
        <f>SUMIFS('Desenvolvimento diário'!$H:$H,'Desenvolvimento diário'!$Q:$Q,$B544,'Desenvolvimento diário'!$P:$P,$F544,'Desenvolvimento diário'!$R:$R,"Não")</f>
        <v>289678.38999999996</v>
      </c>
      <c r="R544" s="4">
        <f t="shared" si="180"/>
        <v>289678.38999999996</v>
      </c>
      <c r="S544" s="4">
        <f t="shared" si="181"/>
        <v>0</v>
      </c>
      <c r="T544" s="12">
        <f t="shared" si="159"/>
        <v>0.99999999999999978</v>
      </c>
      <c r="Y544" s="2"/>
      <c r="Z544" s="2"/>
      <c r="AA544" s="2"/>
      <c r="AB544" s="2"/>
      <c r="AC544" s="2"/>
    </row>
    <row r="545" spans="1:29" ht="10.5" hidden="1">
      <c r="A545" s="2">
        <f t="shared" si="182"/>
        <v>16</v>
      </c>
      <c r="B545" s="2" t="str">
        <f>VLOOKUP($A545,Controle!$B$4:$F$68,2,FALSE)</f>
        <v>Buritizeiro 1</v>
      </c>
      <c r="C545" s="2" t="str">
        <f>VLOOKUP($A545,Controle!$B$4:$F$68,3,FALSE)</f>
        <v xml:space="preserve">ESTRELA DO NORTE </v>
      </c>
      <c r="D545" s="2" t="str">
        <f>VLOOKUP($A545,Controle!$B$4:$F$68,4,FALSE)</f>
        <v>EDN</v>
      </c>
      <c r="E545" s="2">
        <f>VLOOKUP($A545,Controle!$B$4:$F$68,5,FALSE)</f>
        <v>1</v>
      </c>
      <c r="F545" s="3" t="str">
        <f t="shared" si="178"/>
        <v>Serviços Auxiliares - Drenagem</v>
      </c>
      <c r="G545" s="2" t="str">
        <f>VLOOKUP($A545,Controle!$B$4:$G$68,6,FALSE)</f>
        <v>Apolo</v>
      </c>
      <c r="H545" s="31" t="s">
        <v>181</v>
      </c>
      <c r="I545" s="31">
        <v>513143.7</v>
      </c>
      <c r="J545" s="6">
        <v>0</v>
      </c>
      <c r="K545" s="6">
        <v>0</v>
      </c>
      <c r="L545" s="6">
        <v>0</v>
      </c>
      <c r="M545" s="6">
        <v>0</v>
      </c>
      <c r="N545" s="6">
        <v>0</v>
      </c>
      <c r="O545" s="4">
        <f>SUM(I545:N545)-0.002</f>
        <v>513143.69800000003</v>
      </c>
      <c r="P545" s="5">
        <f>SUMIFS('Desenvolvimento diário'!$H:$H,'Desenvolvimento diário'!$Q:$Q,$B545,'Desenvolvimento diário'!$P:$P,$F545,'Desenvolvimento diário'!$R:$R,"Sim")</f>
        <v>183000</v>
      </c>
      <c r="Q545" s="5">
        <f>SUMIFS('Desenvolvimento diário'!$H:$H,'Desenvolvimento diário'!$Q:$Q,$B545,'Desenvolvimento diário'!$P:$P,$F545,'Desenvolvimento diário'!$R:$R,"Não")</f>
        <v>330143.69799999997</v>
      </c>
      <c r="R545" s="4">
        <f t="shared" si="180"/>
        <v>513143.69799999997</v>
      </c>
      <c r="S545" s="180">
        <f t="shared" si="181"/>
        <v>0</v>
      </c>
      <c r="T545" s="12">
        <f t="shared" si="159"/>
        <v>0.99999999999999989</v>
      </c>
      <c r="Y545" s="2"/>
      <c r="Z545" s="2"/>
      <c r="AA545" s="2"/>
      <c r="AB545" s="2"/>
      <c r="AC545" s="2"/>
    </row>
    <row r="546" spans="1:29" ht="10.5" hidden="1">
      <c r="A546" s="2">
        <f t="shared" si="182"/>
        <v>16</v>
      </c>
      <c r="B546" s="2" t="str">
        <f>VLOOKUP($A546,Controle!$B$4:$F$68,2,FALSE)</f>
        <v>Buritizeiro 1</v>
      </c>
      <c r="C546" s="2" t="str">
        <f>VLOOKUP($A546,Controle!$B$4:$F$68,3,FALSE)</f>
        <v xml:space="preserve">ESTRELA DO NORTE </v>
      </c>
      <c r="D546" s="2" t="str">
        <f>VLOOKUP($A546,Controle!$B$4:$F$68,4,FALSE)</f>
        <v>EDN</v>
      </c>
      <c r="E546" s="2">
        <f>VLOOKUP($A546,Controle!$B$4:$F$68,5,FALSE)</f>
        <v>1</v>
      </c>
      <c r="F546" s="3" t="str">
        <f t="shared" si="178"/>
        <v>Serviços Auxiliares - Terraplanagem</v>
      </c>
      <c r="G546" s="2" t="str">
        <f>VLOOKUP($A546,Controle!$B$4:$G$68,6,FALSE)</f>
        <v>Apolo</v>
      </c>
      <c r="H546" s="6" t="s">
        <v>197</v>
      </c>
      <c r="I546" s="6">
        <v>124148.64</v>
      </c>
      <c r="J546" s="6">
        <v>0</v>
      </c>
      <c r="K546" s="6">
        <v>0</v>
      </c>
      <c r="L546" s="6">
        <v>0</v>
      </c>
      <c r="M546" s="6">
        <v>0</v>
      </c>
      <c r="N546" s="6">
        <v>0</v>
      </c>
      <c r="O546" s="4">
        <f t="shared" si="179"/>
        <v>124148.64</v>
      </c>
      <c r="P546" s="5">
        <f>SUMIFS('Desenvolvimento diário'!$H:$H,'Desenvolvimento diário'!$Q:$Q,$B546,'Desenvolvimento diário'!$P:$P,$F546,'Desenvolvimento diário'!$R:$R,"Sim")</f>
        <v>0</v>
      </c>
      <c r="Q546" s="5">
        <f>SUMIFS('Desenvolvimento diário'!$H:$H,'Desenvolvimento diário'!$Q:$Q,$B546,'Desenvolvimento diário'!$P:$P,$F546,'Desenvolvimento diário'!$R:$R,"Não")</f>
        <v>124148.64</v>
      </c>
      <c r="R546" s="4">
        <f t="shared" si="180"/>
        <v>124148.64</v>
      </c>
      <c r="S546" s="4">
        <f>O546-R546</f>
        <v>0</v>
      </c>
      <c r="T546" s="12">
        <f t="shared" ref="T546:T613" si="183">IFERROR(R546/O546,0)</f>
        <v>1</v>
      </c>
      <c r="Y546" s="2"/>
      <c r="Z546" s="2"/>
      <c r="AA546" s="2"/>
      <c r="AB546" s="2"/>
      <c r="AC546" s="2"/>
    </row>
    <row r="547" spans="1:29" ht="10.5" hidden="1">
      <c r="A547" s="2">
        <f t="shared" si="182"/>
        <v>16</v>
      </c>
      <c r="B547" s="2" t="str">
        <f>VLOOKUP($A547,Controle!$B$4:$F$68,2,FALSE)</f>
        <v>Buritizeiro 1</v>
      </c>
      <c r="C547" s="2" t="str">
        <f>VLOOKUP($A547,Controle!$B$4:$F$68,3,FALSE)</f>
        <v xml:space="preserve">ESTRELA DO NORTE </v>
      </c>
      <c r="D547" s="2" t="str">
        <f>VLOOKUP($A547,Controle!$B$4:$F$68,4,FALSE)</f>
        <v>EDN</v>
      </c>
      <c r="E547" s="2">
        <f>VLOOKUP($A547,Controle!$B$4:$F$68,5,FALSE)</f>
        <v>1</v>
      </c>
      <c r="F547" s="3" t="str">
        <f t="shared" si="178"/>
        <v>Serviços Auxiliares - Supressão Vegetal</v>
      </c>
      <c r="G547" s="2" t="str">
        <f>VLOOKUP($A547,Controle!$B$4:$G$68,6,FALSE)</f>
        <v>Apolo</v>
      </c>
      <c r="H547" s="6">
        <v>0</v>
      </c>
      <c r="I547" s="6">
        <v>0</v>
      </c>
      <c r="J547" s="6">
        <v>0</v>
      </c>
      <c r="K547" s="6">
        <v>0</v>
      </c>
      <c r="L547" s="6">
        <v>0</v>
      </c>
      <c r="M547" s="6">
        <v>0</v>
      </c>
      <c r="N547" s="6">
        <v>0</v>
      </c>
      <c r="O547" s="4">
        <f t="shared" si="179"/>
        <v>0</v>
      </c>
      <c r="P547" s="5">
        <f>SUMIFS('Desenvolvimento diário'!$H:$H,'Desenvolvimento diário'!$Q:$Q,$B547,'Desenvolvimento diário'!$P:$P,$F547,'Desenvolvimento diário'!$R:$R,"Sim")</f>
        <v>0</v>
      </c>
      <c r="Q547" s="5">
        <f>SUMIFS('Desenvolvimento diário'!$H:$H,'Desenvolvimento diário'!$Q:$Q,$B547,'Desenvolvimento diário'!$P:$P,$F547,'Desenvolvimento diário'!$R:$R,"Não")</f>
        <v>0</v>
      </c>
      <c r="R547" s="4">
        <f t="shared" si="180"/>
        <v>0</v>
      </c>
      <c r="S547" s="4">
        <f t="shared" si="181"/>
        <v>0</v>
      </c>
      <c r="T547" s="12">
        <f t="shared" si="183"/>
        <v>0</v>
      </c>
      <c r="Y547" s="2"/>
      <c r="Z547" s="2"/>
      <c r="AA547" s="2"/>
      <c r="AB547" s="2"/>
      <c r="AC547" s="2"/>
    </row>
    <row r="548" spans="1:29" ht="10.5" hidden="1">
      <c r="A548" s="2">
        <f t="shared" si="182"/>
        <v>16</v>
      </c>
      <c r="B548" s="2" t="str">
        <f>VLOOKUP($A548,Controle!$B$4:$F$68,2,FALSE)</f>
        <v>Buritizeiro 1</v>
      </c>
      <c r="C548" s="2" t="str">
        <f>VLOOKUP($A548,Controle!$B$4:$F$68,3,FALSE)</f>
        <v xml:space="preserve">ESTRELA DO NORTE </v>
      </c>
      <c r="D548" s="2" t="str">
        <f>VLOOKUP($A548,Controle!$B$4:$F$68,4,FALSE)</f>
        <v>EDN</v>
      </c>
      <c r="E548" s="2">
        <f>VLOOKUP($A548,Controle!$B$4:$F$68,5,FALSE)</f>
        <v>1</v>
      </c>
      <c r="F548" s="3" t="str">
        <f t="shared" si="178"/>
        <v>RDR-Rede de Distribuição Rural</v>
      </c>
      <c r="G548" s="2" t="str">
        <f>VLOOKUP($A548,Controle!$B$4:$G$68,6,FALSE)</f>
        <v>Apolo</v>
      </c>
      <c r="H548" s="6">
        <v>0</v>
      </c>
      <c r="I548" s="6">
        <v>0</v>
      </c>
      <c r="J548" s="6">
        <v>0</v>
      </c>
      <c r="K548" s="6">
        <v>0</v>
      </c>
      <c r="L548" s="6">
        <v>0</v>
      </c>
      <c r="M548" s="6">
        <v>0</v>
      </c>
      <c r="N548" s="6">
        <v>0</v>
      </c>
      <c r="O548" s="4">
        <f t="shared" si="179"/>
        <v>0</v>
      </c>
      <c r="P548" s="5">
        <f>SUMIFS('Desenvolvimento diário'!$H:$H,'Desenvolvimento diário'!$Q:$Q,$B548,'Desenvolvimento diário'!$P:$P,$F548,'Desenvolvimento diário'!$R:$R,"Sim")</f>
        <v>0</v>
      </c>
      <c r="Q548" s="5">
        <f>SUMIFS('Desenvolvimento diário'!$H:$H,'Desenvolvimento diário'!$Q:$Q,$B548,'Desenvolvimento diário'!$P:$P,$F548,'Desenvolvimento diário'!$R:$R,"Não")</f>
        <v>0</v>
      </c>
      <c r="R548" s="4">
        <f t="shared" si="180"/>
        <v>0</v>
      </c>
      <c r="S548" s="4">
        <f t="shared" si="181"/>
        <v>0</v>
      </c>
      <c r="T548" s="12">
        <f t="shared" si="183"/>
        <v>0</v>
      </c>
      <c r="Y548" s="2"/>
      <c r="Z548" s="2"/>
      <c r="AA548" s="2"/>
      <c r="AB548" s="2"/>
      <c r="AC548" s="2"/>
    </row>
    <row r="549" spans="1:29" ht="10.5" hidden="1">
      <c r="A549" s="2">
        <f t="shared" si="182"/>
        <v>16</v>
      </c>
      <c r="B549" s="2" t="str">
        <f>VLOOKUP($A549,Controle!$B$4:$F$68,2,FALSE)</f>
        <v>Buritizeiro 1</v>
      </c>
      <c r="C549" s="2" t="str">
        <f>VLOOKUP($A549,Controle!$B$4:$F$68,3,FALSE)</f>
        <v xml:space="preserve">ESTRELA DO NORTE </v>
      </c>
      <c r="D549" s="2" t="str">
        <f>VLOOKUP($A549,Controle!$B$4:$F$68,4,FALSE)</f>
        <v>EDN</v>
      </c>
      <c r="E549" s="2">
        <f>VLOOKUP($A549,Controle!$B$4:$F$68,5,FALSE)</f>
        <v>1</v>
      </c>
      <c r="F549" s="3" t="str">
        <f t="shared" si="178"/>
        <v>Escopo COMERC</v>
      </c>
      <c r="G549" s="2" t="str">
        <f>VLOOKUP($A549,Controle!$B$4:$G$68,6,FALSE)</f>
        <v>Apolo</v>
      </c>
      <c r="H549" s="6">
        <v>0</v>
      </c>
      <c r="I549" s="6">
        <v>434415.31000000006</v>
      </c>
      <c r="J549" s="29">
        <v>21000</v>
      </c>
      <c r="K549" s="29"/>
      <c r="L549" s="6">
        <v>0</v>
      </c>
      <c r="M549" s="6">
        <v>0</v>
      </c>
      <c r="N549" s="6">
        <v>0</v>
      </c>
      <c r="O549" s="4">
        <f t="shared" si="179"/>
        <v>455415.31000000006</v>
      </c>
      <c r="P549" s="5">
        <f>SUMIFS('Desenvolvimento diário'!$H:$H,'Desenvolvimento diário'!$Q:$Q,$B549,'Desenvolvimento diário'!$P:$P,$F549,'Desenvolvimento diário'!$R:$R,"Sim")</f>
        <v>182280</v>
      </c>
      <c r="Q549" s="5">
        <f>SUMIFS('Desenvolvimento diário'!$H:$H,'Desenvolvimento diário'!$Q:$Q,$B549,'Desenvolvimento diário'!$P:$P,$F549,'Desenvolvimento diário'!$R:$R,"Não")</f>
        <v>253134.09000000003</v>
      </c>
      <c r="R549" s="4">
        <f t="shared" si="180"/>
        <v>435414.09</v>
      </c>
      <c r="S549" s="1010">
        <f t="shared" si="181"/>
        <v>20001.22000000003</v>
      </c>
      <c r="T549" s="12">
        <f t="shared" si="183"/>
        <v>0.95608136230641871</v>
      </c>
      <c r="U549" s="1011" t="s">
        <v>166</v>
      </c>
      <c r="V549" s="1011" t="s">
        <v>167</v>
      </c>
      <c r="Y549" s="2"/>
      <c r="Z549" s="2"/>
      <c r="AA549" s="2"/>
      <c r="AB549" s="2"/>
      <c r="AC549" s="2"/>
    </row>
    <row r="550" spans="1:29" ht="10.5" hidden="1">
      <c r="A550" s="2">
        <f t="shared" si="182"/>
        <v>16</v>
      </c>
      <c r="B550" s="2" t="str">
        <f>VLOOKUP($A550,Controle!$B$4:$F$68,2,FALSE)</f>
        <v>Buritizeiro 1</v>
      </c>
      <c r="C550" s="2" t="str">
        <f>VLOOKUP($A550,Controle!$B$4:$F$68,3,FALSE)</f>
        <v xml:space="preserve">ESTRELA DO NORTE </v>
      </c>
      <c r="D550" s="2" t="str">
        <f>VLOOKUP($A550,Controle!$B$4:$F$68,4,FALSE)</f>
        <v>EDN</v>
      </c>
      <c r="E550" s="2">
        <f>VLOOKUP($A550,Controle!$B$4:$F$68,5,FALSE)</f>
        <v>1</v>
      </c>
      <c r="F550" s="3" t="str">
        <f t="shared" si="178"/>
        <v>Escopo COMERC - Segurança</v>
      </c>
      <c r="G550" s="2" t="str">
        <f>VLOOKUP($A550,Controle!$B$4:$G$68,6,FALSE)</f>
        <v>Apolo</v>
      </c>
      <c r="H550" s="6">
        <v>0</v>
      </c>
      <c r="I550" s="6">
        <f t="shared" ref="I549:I550" si="184">R550</f>
        <v>126000</v>
      </c>
      <c r="J550" s="6">
        <v>0</v>
      </c>
      <c r="K550" s="6">
        <v>0</v>
      </c>
      <c r="L550" s="6">
        <v>0</v>
      </c>
      <c r="M550" s="6">
        <v>0</v>
      </c>
      <c r="N550" s="6">
        <v>0</v>
      </c>
      <c r="O550" s="4">
        <f t="shared" si="179"/>
        <v>126000</v>
      </c>
      <c r="P550" s="5">
        <f>SUMIFS('Desenvolvimento diário'!$H:$H,'Desenvolvimento diário'!$Q:$Q,$B550,'Desenvolvimento diário'!$P:$P,$F550,'Desenvolvimento diário'!$R:$R,"Sim")</f>
        <v>0</v>
      </c>
      <c r="Q550" s="5">
        <f>SUMIFS('Desenvolvimento diário'!$H:$H,'Desenvolvimento diário'!$Q:$Q,$B550,'Desenvolvimento diário'!$P:$P,$F550,'Desenvolvimento diário'!$R:$R,"Não")</f>
        <v>126000</v>
      </c>
      <c r="R550" s="4">
        <f t="shared" si="180"/>
        <v>126000</v>
      </c>
      <c r="S550" s="4">
        <f t="shared" si="181"/>
        <v>0</v>
      </c>
      <c r="T550" s="12">
        <f t="shared" si="183"/>
        <v>1</v>
      </c>
      <c r="Y550" s="2"/>
      <c r="Z550" s="2"/>
      <c r="AA550" s="2"/>
      <c r="AB550" s="2"/>
      <c r="AC550" s="2"/>
    </row>
    <row r="551" spans="1:29" ht="10.5" hidden="1">
      <c r="A551" s="2">
        <f t="shared" si="182"/>
        <v>16</v>
      </c>
      <c r="B551" s="2" t="str">
        <f>VLOOKUP($A551,Controle!$B$4:$F$68,2,FALSE)</f>
        <v>Buritizeiro 1</v>
      </c>
      <c r="C551" s="2" t="str">
        <f>VLOOKUP($A551,Controle!$B$4:$F$68,3,FALSE)</f>
        <v xml:space="preserve">ESTRELA DO NORTE </v>
      </c>
      <c r="D551" s="2" t="str">
        <f>VLOOKUP($A551,Controle!$B$4:$F$68,4,FALSE)</f>
        <v>EDN</v>
      </c>
      <c r="E551" s="2">
        <f>VLOOKUP($A551,Controle!$B$4:$F$68,5,FALSE)</f>
        <v>1</v>
      </c>
      <c r="F551" s="3" t="str">
        <f t="shared" si="178"/>
        <v>Conexão MT - Obras Transferencia</v>
      </c>
      <c r="G551" s="2" t="str">
        <f>VLOOKUP($A551,Controle!$B$4:$G$68,6,FALSE)</f>
        <v>Apolo</v>
      </c>
      <c r="H551" s="6">
        <v>0</v>
      </c>
      <c r="I551" s="6">
        <v>0</v>
      </c>
      <c r="J551" s="6">
        <v>0</v>
      </c>
      <c r="K551" s="6">
        <v>0</v>
      </c>
      <c r="L551" s="6">
        <v>0</v>
      </c>
      <c r="M551" s="6">
        <v>0</v>
      </c>
      <c r="N551" s="6">
        <v>0</v>
      </c>
      <c r="O551" s="4">
        <f t="shared" si="179"/>
        <v>0</v>
      </c>
      <c r="P551" s="5">
        <f>SUMIFS('Desenvolvimento diário'!$H:$H,'Desenvolvimento diário'!$Q:$Q,$B551,'Desenvolvimento diário'!$P:$P,$F551,'Desenvolvimento diário'!$R:$R,"Sim")</f>
        <v>0</v>
      </c>
      <c r="Q551" s="5">
        <f>SUMIFS('Desenvolvimento diário'!$H:$H,'Desenvolvimento diário'!$Q:$Q,$B551,'Desenvolvimento diário'!$P:$P,$F551,'Desenvolvimento diário'!$R:$R,"Não")</f>
        <v>0</v>
      </c>
      <c r="R551" s="4">
        <f t="shared" si="180"/>
        <v>0</v>
      </c>
      <c r="S551" s="4">
        <f t="shared" si="181"/>
        <v>0</v>
      </c>
      <c r="T551" s="12">
        <f t="shared" si="183"/>
        <v>0</v>
      </c>
      <c r="Y551" s="2"/>
      <c r="Z551" s="2"/>
      <c r="AA551" s="2"/>
      <c r="AB551" s="2"/>
      <c r="AC551" s="2"/>
    </row>
    <row r="552" spans="1:29" ht="10.5" hidden="1">
      <c r="A552" s="2">
        <f t="shared" si="182"/>
        <v>16</v>
      </c>
      <c r="B552" s="2" t="str">
        <f>VLOOKUP($A552,Controle!$B$4:$F$68,2,FALSE)</f>
        <v>Buritizeiro 1</v>
      </c>
      <c r="C552" s="2" t="str">
        <f>VLOOKUP($A552,Controle!$B$4:$F$68,3,FALSE)</f>
        <v xml:space="preserve">ESTRELA DO NORTE </v>
      </c>
      <c r="D552" s="2" t="str">
        <f>VLOOKUP($A552,Controle!$B$4:$F$68,4,FALSE)</f>
        <v>EDN</v>
      </c>
      <c r="E552" s="2">
        <f>VLOOKUP($A552,Controle!$B$4:$F$68,5,FALSE)</f>
        <v>1</v>
      </c>
      <c r="F552" s="3" t="str">
        <f t="shared" si="178"/>
        <v>Bases de Contaniers</v>
      </c>
      <c r="G552" s="2" t="str">
        <f>VLOOKUP($A552,Controle!$B$4:$G$68,6,FALSE)</f>
        <v>Apolo</v>
      </c>
      <c r="H552" s="6">
        <v>0</v>
      </c>
      <c r="I552" s="6">
        <v>0</v>
      </c>
      <c r="J552" s="6">
        <v>0</v>
      </c>
      <c r="K552" s="6">
        <v>0</v>
      </c>
      <c r="L552" s="6">
        <v>0</v>
      </c>
      <c r="M552" s="6">
        <v>0</v>
      </c>
      <c r="N552" s="6">
        <v>0</v>
      </c>
      <c r="O552" s="4">
        <f t="shared" si="179"/>
        <v>0</v>
      </c>
      <c r="P552" s="5">
        <f>SUMIFS('Desenvolvimento diário'!$H:$H,'Desenvolvimento diário'!$Q:$Q,$B552,'Desenvolvimento diário'!$P:$P,$F552,'Desenvolvimento diário'!$R:$R,"Sim")</f>
        <v>0</v>
      </c>
      <c r="Q552" s="5">
        <f>SUMIFS('Desenvolvimento diário'!$H:$H,'Desenvolvimento diário'!$Q:$Q,$B552,'Desenvolvimento diário'!$P:$P,$F552,'Desenvolvimento diário'!$R:$R,"Não")</f>
        <v>0</v>
      </c>
      <c r="R552" s="4">
        <f t="shared" si="180"/>
        <v>0</v>
      </c>
      <c r="S552" s="4">
        <f t="shared" si="181"/>
        <v>0</v>
      </c>
      <c r="T552" s="12">
        <f t="shared" si="183"/>
        <v>0</v>
      </c>
      <c r="Y552" s="2"/>
      <c r="Z552" s="2"/>
      <c r="AA552" s="2"/>
      <c r="AB552" s="2"/>
      <c r="AC552" s="2"/>
    </row>
    <row r="553" spans="1:29" ht="10.5" hidden="1">
      <c r="A553" s="2">
        <f t="shared" si="182"/>
        <v>16</v>
      </c>
      <c r="B553" s="2" t="str">
        <f>VLOOKUP($A553,Controle!$B$4:$F$68,2,FALSE)</f>
        <v>Buritizeiro 1</v>
      </c>
      <c r="C553" s="2" t="str">
        <f>VLOOKUP($A553,Controle!$B$4:$F$68,3,FALSE)</f>
        <v xml:space="preserve">ESTRELA DO NORTE </v>
      </c>
      <c r="D553" s="2" t="str">
        <f>VLOOKUP($A553,Controle!$B$4:$F$68,4,FALSE)</f>
        <v>EDN</v>
      </c>
      <c r="E553" s="2">
        <f>VLOOKUP($A553,Controle!$B$4:$F$68,5,FALSE)</f>
        <v>1</v>
      </c>
      <c r="F553" s="3" t="str">
        <f t="shared" si="178"/>
        <v>Construção - Serviços de Construção - Ase Engenharia</v>
      </c>
      <c r="G553" s="2" t="str">
        <f>VLOOKUP($A553,Controle!$B$4:$G$68,6,FALSE)</f>
        <v>Apolo</v>
      </c>
      <c r="H553" s="6">
        <v>0</v>
      </c>
      <c r="I553" s="6">
        <v>0</v>
      </c>
      <c r="J553" s="6">
        <v>0</v>
      </c>
      <c r="K553" s="6">
        <v>0</v>
      </c>
      <c r="L553" s="6">
        <v>0</v>
      </c>
      <c r="M553" s="6">
        <v>0</v>
      </c>
      <c r="N553" s="6">
        <v>0</v>
      </c>
      <c r="O553" s="4">
        <f t="shared" si="179"/>
        <v>0</v>
      </c>
      <c r="P553" s="5">
        <f>SUMIFS('Desenvolvimento diário'!$H:$H,'Desenvolvimento diário'!$Q:$Q,$B553,'Desenvolvimento diário'!$P:$P,$F553,'Desenvolvimento diário'!$R:$R,"Sim")</f>
        <v>0</v>
      </c>
      <c r="Q553" s="5">
        <f>SUMIFS('Desenvolvimento diário'!$H:$H,'Desenvolvimento diário'!$Q:$Q,$B553,'Desenvolvimento diário'!$P:$P,$F553,'Desenvolvimento diário'!$R:$R,"Não")</f>
        <v>0</v>
      </c>
      <c r="R553" s="4">
        <f t="shared" si="180"/>
        <v>0</v>
      </c>
      <c r="S553" s="4">
        <f t="shared" si="181"/>
        <v>0</v>
      </c>
      <c r="T553" s="12">
        <f t="shared" si="183"/>
        <v>0</v>
      </c>
      <c r="Y553" s="2"/>
      <c r="Z553" s="2"/>
      <c r="AA553" s="2"/>
      <c r="AB553" s="2"/>
      <c r="AC553" s="2"/>
    </row>
    <row r="554" spans="1:29" ht="10.5" hidden="1">
      <c r="A554" s="2">
        <f t="shared" si="182"/>
        <v>16</v>
      </c>
      <c r="B554" s="2" t="str">
        <f>VLOOKUP($A554,Controle!$B$4:$F$68,2,FALSE)</f>
        <v>Buritizeiro 1</v>
      </c>
      <c r="C554" s="2" t="str">
        <f>VLOOKUP($A554,Controle!$B$4:$F$68,3,FALSE)</f>
        <v xml:space="preserve">ESTRELA DO NORTE </v>
      </c>
      <c r="D554" s="2" t="str">
        <f>VLOOKUP($A554,Controle!$B$4:$F$68,4,FALSE)</f>
        <v>EDN</v>
      </c>
      <c r="E554" s="2">
        <f>VLOOKUP($A554,Controle!$B$4:$F$68,5,FALSE)</f>
        <v>1</v>
      </c>
      <c r="F554" s="3" t="str">
        <f t="shared" si="178"/>
        <v>Full EPC - Contrato Sobressalentes</v>
      </c>
      <c r="G554" s="2" t="str">
        <f>VLOOKUP($A554,Controle!$B$4:$G$68,6,FALSE)</f>
        <v>Apolo</v>
      </c>
      <c r="H554" s="6">
        <v>0</v>
      </c>
      <c r="I554" s="6">
        <v>0</v>
      </c>
      <c r="J554" s="6">
        <v>0</v>
      </c>
      <c r="K554" s="6">
        <v>0</v>
      </c>
      <c r="L554" s="6">
        <v>0</v>
      </c>
      <c r="M554" s="6">
        <v>0</v>
      </c>
      <c r="N554" s="6">
        <v>0</v>
      </c>
      <c r="O554" s="4">
        <f t="shared" si="179"/>
        <v>0</v>
      </c>
      <c r="P554" s="5">
        <f>SUMIFS('Desenvolvimento diário'!$H:$H,'Desenvolvimento diário'!$Q:$Q,$B554,'Desenvolvimento diário'!$P:$P,$F554,'Desenvolvimento diário'!$R:$R,"Sim")</f>
        <v>0</v>
      </c>
      <c r="Q554" s="5">
        <f>SUMIFS('Desenvolvimento diário'!$H:$H,'Desenvolvimento diário'!$Q:$Q,$B554,'Desenvolvimento diário'!$P:$P,$F554,'Desenvolvimento diário'!$R:$R,"Não")</f>
        <v>0</v>
      </c>
      <c r="R554" s="4">
        <f t="shared" si="180"/>
        <v>0</v>
      </c>
      <c r="S554" s="4">
        <f t="shared" si="181"/>
        <v>0</v>
      </c>
      <c r="T554" s="12">
        <f t="shared" si="183"/>
        <v>0</v>
      </c>
      <c r="Y554" s="2"/>
      <c r="Z554" s="2"/>
      <c r="AA554" s="2"/>
      <c r="AB554" s="2"/>
      <c r="AC554" s="2"/>
    </row>
    <row r="555" spans="1:29" ht="10.5" hidden="1">
      <c r="A555" s="2">
        <f t="shared" si="182"/>
        <v>16</v>
      </c>
      <c r="B555" s="2" t="str">
        <f>VLOOKUP($A555,Controle!$B$4:$F$68,2,FALSE)</f>
        <v>Buritizeiro 1</v>
      </c>
      <c r="C555" s="2" t="str">
        <f>VLOOKUP($A555,Controle!$B$4:$F$68,3,FALSE)</f>
        <v xml:space="preserve">ESTRELA DO NORTE </v>
      </c>
      <c r="D555" s="2" t="str">
        <f>VLOOKUP($A555,Controle!$B$4:$F$68,4,FALSE)</f>
        <v>EDN</v>
      </c>
      <c r="E555" s="2">
        <f>VLOOKUP($A555,Controle!$B$4:$F$68,5,FALSE)</f>
        <v>1</v>
      </c>
      <c r="F555" s="3" t="str">
        <f t="shared" si="178"/>
        <v>Construção - Serviços de Construção - NOVA MORADA</v>
      </c>
      <c r="G555" s="2" t="str">
        <f>VLOOKUP($A555,Controle!$B$4:$G$68,6,FALSE)</f>
        <v>Apolo</v>
      </c>
      <c r="H555" s="6">
        <v>0</v>
      </c>
      <c r="I555" s="6">
        <v>0</v>
      </c>
      <c r="J555" s="6">
        <v>0</v>
      </c>
      <c r="K555" s="6">
        <v>0</v>
      </c>
      <c r="L555" s="6">
        <v>0</v>
      </c>
      <c r="M555" s="6">
        <v>0</v>
      </c>
      <c r="N555" s="6">
        <v>0</v>
      </c>
      <c r="O555" s="4">
        <f t="shared" si="179"/>
        <v>0</v>
      </c>
      <c r="P555" s="5">
        <f>SUMIFS('Desenvolvimento diário'!$H:$H,'Desenvolvimento diário'!$Q:$Q,$B555,'Desenvolvimento diário'!$P:$P,$F555,'Desenvolvimento diário'!$R:$R,"Sim")</f>
        <v>0</v>
      </c>
      <c r="Q555" s="5">
        <f>SUMIFS('Desenvolvimento diário'!$H:$H,'Desenvolvimento diário'!$Q:$Q,$B555,'Desenvolvimento diário'!$P:$P,$F555,'Desenvolvimento diário'!$R:$R,"Não")</f>
        <v>0</v>
      </c>
      <c r="R555" s="4">
        <f t="shared" si="180"/>
        <v>0</v>
      </c>
      <c r="S555" s="4">
        <f t="shared" si="181"/>
        <v>0</v>
      </c>
      <c r="T555" s="12">
        <f t="shared" si="183"/>
        <v>0</v>
      </c>
      <c r="Y555" s="2"/>
      <c r="Z555" s="2"/>
      <c r="AA555" s="2"/>
      <c r="AB555" s="2"/>
      <c r="AC555" s="2"/>
    </row>
    <row r="556" spans="1:29" ht="10.5" hidden="1">
      <c r="A556" s="2">
        <f t="shared" si="182"/>
        <v>16</v>
      </c>
      <c r="B556" s="2" t="str">
        <f>VLOOKUP($A556,Controle!$B$4:$F$68,2,FALSE)</f>
        <v>Buritizeiro 1</v>
      </c>
      <c r="C556" s="2" t="str">
        <f>VLOOKUP($A556,Controle!$B$4:$F$68,3,FALSE)</f>
        <v xml:space="preserve">ESTRELA DO NORTE </v>
      </c>
      <c r="D556" s="2" t="str">
        <f>VLOOKUP($A556,Controle!$B$4:$F$68,4,FALSE)</f>
        <v>EDN</v>
      </c>
      <c r="E556" s="2">
        <f>VLOOKUP($A556,Controle!$B$4:$F$68,5,FALSE)</f>
        <v>1</v>
      </c>
      <c r="F556" s="3" t="str">
        <f t="shared" si="178"/>
        <v>Equipamentos Curva A -  Contrato Sobressalentes - SETTA</v>
      </c>
      <c r="G556" s="2" t="str">
        <f>VLOOKUP($A556,Controle!$B$4:$G$68,6,FALSE)</f>
        <v>Apolo</v>
      </c>
      <c r="H556" s="6" t="s">
        <v>196</v>
      </c>
      <c r="I556" s="6">
        <v>68908.735000000001</v>
      </c>
      <c r="J556" s="6">
        <v>0</v>
      </c>
      <c r="K556" s="6">
        <v>0</v>
      </c>
      <c r="L556" s="6">
        <v>0</v>
      </c>
      <c r="M556" s="6">
        <v>0</v>
      </c>
      <c r="N556" s="6">
        <v>0</v>
      </c>
      <c r="O556" s="4">
        <f t="shared" si="179"/>
        <v>68908.735000000001</v>
      </c>
      <c r="P556" s="5">
        <f>SUMIFS('Desenvolvimento diário'!$H:$H,'Desenvolvimento diário'!$Q:$Q,$B556,'Desenvolvimento diário'!$P:$P,$F556,'Desenvolvimento diário'!$R:$R,"Sim")</f>
        <v>0</v>
      </c>
      <c r="Q556" s="5">
        <f>SUMIFS('Desenvolvimento diário'!$H:$H,'Desenvolvimento diário'!$Q:$Q,$B556,'Desenvolvimento diário'!$P:$P,$F556,'Desenvolvimento diário'!$R:$R,"Não")</f>
        <v>68908.735000000001</v>
      </c>
      <c r="R556" s="4">
        <f t="shared" si="180"/>
        <v>68908.735000000001</v>
      </c>
      <c r="S556" s="4">
        <f t="shared" si="181"/>
        <v>0</v>
      </c>
      <c r="T556" s="12">
        <f t="shared" si="183"/>
        <v>1</v>
      </c>
      <c r="Y556" s="2"/>
      <c r="Z556" s="2"/>
      <c r="AA556" s="2"/>
      <c r="AB556" s="2"/>
      <c r="AC556" s="2"/>
    </row>
    <row r="557" spans="1:29" ht="10.5" hidden="1">
      <c r="A557" s="2">
        <f t="shared" si="182"/>
        <v>16</v>
      </c>
      <c r="B557" s="2" t="str">
        <f>VLOOKUP($A557,Controle!$B$4:$F$68,2,FALSE)</f>
        <v>Buritizeiro 1</v>
      </c>
      <c r="C557" s="2" t="str">
        <f>VLOOKUP($A557,Controle!$B$4:$F$68,3,FALSE)</f>
        <v xml:space="preserve">ESTRELA DO NORTE </v>
      </c>
      <c r="D557" s="2" t="str">
        <f>VLOOKUP($A557,Controle!$B$4:$F$68,4,FALSE)</f>
        <v>EDN</v>
      </c>
      <c r="E557" s="2">
        <f>VLOOKUP($A557,Controle!$B$4:$F$68,5,FALSE)</f>
        <v>1</v>
      </c>
      <c r="F557" s="3" t="str">
        <f t="shared" si="178"/>
        <v>Equipamentos Curva A -  Contrato Sobressalentes - Arctech</v>
      </c>
      <c r="G557" s="2" t="str">
        <f>VLOOKUP($A557,Controle!$B$4:$G$68,6,FALSE)</f>
        <v>Apolo</v>
      </c>
      <c r="H557" s="6">
        <v>0</v>
      </c>
      <c r="I557" s="6">
        <v>0</v>
      </c>
      <c r="J557" s="6">
        <v>0</v>
      </c>
      <c r="K557" s="6">
        <v>0</v>
      </c>
      <c r="L557" s="6">
        <v>0</v>
      </c>
      <c r="M557" s="6">
        <v>0</v>
      </c>
      <c r="N557" s="6">
        <v>0</v>
      </c>
      <c r="O557" s="4">
        <f t="shared" si="179"/>
        <v>0</v>
      </c>
      <c r="P557" s="5">
        <f>SUMIFS('Desenvolvimento diário'!$H:$H,'Desenvolvimento diário'!$Q:$Q,$B557,'Desenvolvimento diário'!$P:$P,$F557,'Desenvolvimento diário'!$R:$R,"Sim")</f>
        <v>0</v>
      </c>
      <c r="Q557" s="5">
        <f>SUMIFS('Desenvolvimento diário'!$H:$H,'Desenvolvimento diário'!$Q:$Q,$B557,'Desenvolvimento diário'!$P:$P,$F557,'Desenvolvimento diário'!$R:$R,"Não")</f>
        <v>0</v>
      </c>
      <c r="R557" s="4">
        <f t="shared" si="180"/>
        <v>0</v>
      </c>
      <c r="S557" s="4">
        <f t="shared" si="181"/>
        <v>0</v>
      </c>
      <c r="T557" s="12">
        <f t="shared" si="183"/>
        <v>0</v>
      </c>
      <c r="Y557" s="2"/>
      <c r="Z557" s="2"/>
      <c r="AA557" s="2"/>
      <c r="AB557" s="2"/>
      <c r="AC557" s="2"/>
    </row>
    <row r="558" spans="1:29" hidden="1">
      <c r="A558" s="2">
        <f t="shared" si="182"/>
        <v>16</v>
      </c>
      <c r="B558" s="2" t="str">
        <f>VLOOKUP($A558,Controle!$B$4:$F$68,2,FALSE)</f>
        <v>Buritizeiro 1</v>
      </c>
      <c r="C558" s="2" t="str">
        <f>VLOOKUP($A558,Controle!$B$4:$F$68,3,FALSE)</f>
        <v xml:space="preserve">ESTRELA DO NORTE </v>
      </c>
      <c r="D558" s="2" t="str">
        <f>VLOOKUP($A558,Controle!$B$4:$F$68,4,FALSE)</f>
        <v>EDN</v>
      </c>
      <c r="E558" s="2">
        <f>VLOOKUP($A558,Controle!$B$4:$F$68,5,FALSE)</f>
        <v>1</v>
      </c>
      <c r="F558" s="3" t="str">
        <f t="shared" si="178"/>
        <v>Equipamentos Curva A -  Contrato Sobressalentes - Romagnole</v>
      </c>
      <c r="G558" s="2" t="str">
        <f>VLOOKUP($A558,Controle!$B$4:$G$68,6,FALSE)</f>
        <v>Apolo</v>
      </c>
      <c r="H558" s="7">
        <v>0</v>
      </c>
      <c r="I558" s="7">
        <v>0</v>
      </c>
      <c r="J558" s="7">
        <v>0</v>
      </c>
      <c r="K558" s="7">
        <v>0</v>
      </c>
      <c r="L558" s="7">
        <v>0</v>
      </c>
      <c r="M558" s="7">
        <v>0</v>
      </c>
      <c r="N558" s="7">
        <v>0</v>
      </c>
      <c r="O558" s="4">
        <f t="shared" si="179"/>
        <v>0</v>
      </c>
      <c r="P558" s="17">
        <f>SUMIFS('Desenvolvimento diário'!$H:$H,'Desenvolvimento diário'!$Q:$Q,$B558,'Desenvolvimento diário'!$P:$P,$F558,'Desenvolvimento diário'!$R:$R,"Sim")</f>
        <v>0</v>
      </c>
      <c r="Q558" s="17">
        <f>SUMIFS('Desenvolvimento diário'!$H:$H,'Desenvolvimento diário'!$Q:$Q,$B558,'Desenvolvimento diário'!$P:$P,$F558,'Desenvolvimento diário'!$R:$R,"Não")</f>
        <v>0</v>
      </c>
      <c r="R558" s="4">
        <f t="shared" si="180"/>
        <v>0</v>
      </c>
      <c r="S558" s="4">
        <f t="shared" si="181"/>
        <v>0</v>
      </c>
      <c r="T558" s="12">
        <f t="shared" si="183"/>
        <v>0</v>
      </c>
      <c r="Y558" s="2"/>
      <c r="Z558" s="2"/>
      <c r="AA558" s="2"/>
      <c r="AB558" s="2"/>
      <c r="AC558" s="2"/>
    </row>
    <row r="559" spans="1:29" hidden="1">
      <c r="A559" s="2">
        <f t="shared" si="182"/>
        <v>16</v>
      </c>
      <c r="B559" s="2" t="str">
        <f>VLOOKUP($A559,Controle!$B$4:$F$68,2,FALSE)</f>
        <v>Buritizeiro 1</v>
      </c>
      <c r="C559" s="2" t="str">
        <f>VLOOKUP($A559,Controle!$B$4:$F$68,3,FALSE)</f>
        <v xml:space="preserve">ESTRELA DO NORTE </v>
      </c>
      <c r="D559" s="2" t="str">
        <f>VLOOKUP($A559,Controle!$B$4:$F$68,4,FALSE)</f>
        <v>EDN</v>
      </c>
      <c r="E559" s="2">
        <f>VLOOKUP($A559,Controle!$B$4:$F$68,5,FALSE)</f>
        <v>1</v>
      </c>
      <c r="F559" s="3" t="str">
        <f t="shared" si="178"/>
        <v>GOS FLORESTAL - (PRAD - Recuperação Area Ambiental)</v>
      </c>
      <c r="G559" s="2" t="str">
        <f>VLOOKUP($A559,Controle!$B$4:$G$68,6,FALSE)</f>
        <v>Apolo</v>
      </c>
      <c r="H559" s="506" t="s">
        <v>170</v>
      </c>
      <c r="I559" s="6">
        <v>0</v>
      </c>
      <c r="J559" s="506"/>
      <c r="K559" s="506">
        <v>0</v>
      </c>
      <c r="L559" s="506">
        <v>0</v>
      </c>
      <c r="M559" s="506">
        <v>0</v>
      </c>
      <c r="N559" s="506">
        <v>0</v>
      </c>
      <c r="O559" s="39">
        <f t="shared" si="179"/>
        <v>0</v>
      </c>
      <c r="P559" s="17">
        <f>SUMIFS('Desenvolvimento diário'!$H:$H,'Desenvolvimento diário'!$Q:$Q,$B559,'Desenvolvimento diário'!$P:$P,$F559,'Desenvolvimento diário'!$R:$R,"Sim")</f>
        <v>0</v>
      </c>
      <c r="Q559" s="17">
        <f>SUMIFS('Desenvolvimento diário'!$H:$H,'Desenvolvimento diário'!$Q:$Q,$B559,'Desenvolvimento diário'!$P:$P,$F559,'Desenvolvimento diário'!$R:$R,"Não")</f>
        <v>0</v>
      </c>
      <c r="R559" s="4">
        <f t="shared" si="180"/>
        <v>0</v>
      </c>
      <c r="S559" s="4">
        <f t="shared" si="181"/>
        <v>0</v>
      </c>
      <c r="T559" s="12">
        <f t="shared" si="183"/>
        <v>0</v>
      </c>
      <c r="Y559" s="2"/>
      <c r="Z559" s="2"/>
      <c r="AA559" s="2"/>
      <c r="AB559" s="2"/>
      <c r="AC559" s="2"/>
    </row>
    <row r="560" spans="1:29" hidden="1">
      <c r="A560" s="2">
        <f t="shared" si="182"/>
        <v>16</v>
      </c>
      <c r="B560" s="2" t="str">
        <f>VLOOKUP($A560,Controle!$B$4:$F$68,2,FALSE)</f>
        <v>Buritizeiro 1</v>
      </c>
      <c r="C560" s="2" t="str">
        <f>VLOOKUP($A560,Controle!$B$4:$F$68,3,FALSE)</f>
        <v xml:space="preserve">ESTRELA DO NORTE </v>
      </c>
      <c r="D560" s="2" t="str">
        <f>VLOOKUP($A560,Controle!$B$4:$F$68,4,FALSE)</f>
        <v>EDN</v>
      </c>
      <c r="E560" s="2">
        <f>VLOOKUP($A560,Controle!$B$4:$F$68,5,FALSE)</f>
        <v>1</v>
      </c>
      <c r="F560" s="3" t="str">
        <f t="shared" si="178"/>
        <v>Cercamento das bacias de contenção ciclo 2</v>
      </c>
      <c r="G560" s="2" t="str">
        <f>VLOOKUP($A560,Controle!$B$4:$G$68,6,FALSE)</f>
        <v>Apolo</v>
      </c>
      <c r="H560" s="506" t="s">
        <v>172</v>
      </c>
      <c r="I560" s="6"/>
      <c r="J560" s="506"/>
      <c r="K560" s="506">
        <v>0</v>
      </c>
      <c r="L560" s="506">
        <v>0</v>
      </c>
      <c r="M560" s="506">
        <v>0</v>
      </c>
      <c r="N560" s="506">
        <v>0</v>
      </c>
      <c r="O560" s="39">
        <f t="shared" si="179"/>
        <v>0</v>
      </c>
      <c r="P560" s="17">
        <f>SUMIFS('Desenvolvimento diário'!$H:$H,'Desenvolvimento diário'!$Q:$Q,$B560,'Desenvolvimento diário'!$P:$P,$F560,'Desenvolvimento diário'!$R:$R,"Sim")</f>
        <v>0</v>
      </c>
      <c r="Q560" s="17">
        <f>SUMIFS('Desenvolvimento diário'!$H:$H,'Desenvolvimento diário'!$Q:$Q,$B560,'Desenvolvimento diário'!$P:$P,$F560,'Desenvolvimento diário'!$R:$R,"Não")</f>
        <v>0</v>
      </c>
      <c r="R560" s="4">
        <f t="shared" si="180"/>
        <v>0</v>
      </c>
      <c r="S560" s="1030">
        <f t="shared" si="181"/>
        <v>0</v>
      </c>
      <c r="T560" s="12">
        <f t="shared" si="183"/>
        <v>0</v>
      </c>
      <c r="U560" s="1029" t="s">
        <v>166</v>
      </c>
      <c r="V560" s="1029" t="s">
        <v>94</v>
      </c>
      <c r="Y560" s="2"/>
      <c r="Z560" s="2"/>
      <c r="AA560" s="2"/>
      <c r="AB560" s="2"/>
      <c r="AC560" s="2"/>
    </row>
    <row r="561" spans="1:29" hidden="1">
      <c r="A561" s="8">
        <f>A558</f>
        <v>16</v>
      </c>
      <c r="B561" s="9" t="str">
        <f>B558</f>
        <v>Buritizeiro 1</v>
      </c>
      <c r="C561" s="9" t="str">
        <f t="shared" ref="C561" si="185">C558</f>
        <v xml:space="preserve">ESTRELA DO NORTE </v>
      </c>
      <c r="D561" s="9" t="str">
        <f t="shared" ref="D561" si="186">D558</f>
        <v>EDN</v>
      </c>
      <c r="E561" s="9">
        <f t="shared" ref="E561" si="187">E558</f>
        <v>1</v>
      </c>
      <c r="F561" s="10" t="s">
        <v>158</v>
      </c>
      <c r="G561" s="9" t="str">
        <f>G558</f>
        <v>Apolo</v>
      </c>
      <c r="H561" s="9"/>
      <c r="I561" s="9">
        <f>SUBTOTAL(9,I527:I560)</f>
        <v>0</v>
      </c>
      <c r="J561" s="9">
        <f t="shared" ref="J561:S561" si="188">SUBTOTAL(9,J527:J560)</f>
        <v>0</v>
      </c>
      <c r="K561" s="9">
        <f t="shared" si="188"/>
        <v>0</v>
      </c>
      <c r="L561" s="9">
        <f t="shared" si="188"/>
        <v>0</v>
      </c>
      <c r="M561" s="9">
        <f t="shared" si="188"/>
        <v>0</v>
      </c>
      <c r="N561" s="9">
        <f t="shared" si="188"/>
        <v>0</v>
      </c>
      <c r="O561" s="9">
        <f t="shared" si="188"/>
        <v>0</v>
      </c>
      <c r="P561" s="9">
        <f t="shared" si="188"/>
        <v>0</v>
      </c>
      <c r="Q561" s="9">
        <f t="shared" si="188"/>
        <v>0</v>
      </c>
      <c r="R561" s="9">
        <f t="shared" si="188"/>
        <v>0</v>
      </c>
      <c r="S561" s="9">
        <f t="shared" si="188"/>
        <v>0</v>
      </c>
      <c r="T561" s="13">
        <f>IFERROR(R561/O561,0)</f>
        <v>0</v>
      </c>
      <c r="U561" s="11">
        <f>SUBTOTAL(9,U527:U561)</f>
        <v>0</v>
      </c>
      <c r="Y561" s="2"/>
      <c r="Z561" s="2"/>
      <c r="AA561" s="2"/>
      <c r="AB561" s="2"/>
      <c r="AC561" s="2"/>
    </row>
    <row r="562" spans="1:29" ht="10.5" hidden="1">
      <c r="A562" s="2">
        <f>A527+1</f>
        <v>17</v>
      </c>
      <c r="B562" s="2" t="str">
        <f>VLOOKUP($A562,Controle!$B$4:$F$68,2,FALSE)</f>
        <v>Buritizeiro 2</v>
      </c>
      <c r="C562" s="2" t="str">
        <f>VLOOKUP($A562,Controle!$B$4:$F$68,3,FALSE)</f>
        <v xml:space="preserve">ESTRELA DO NORTE </v>
      </c>
      <c r="D562" s="2" t="str">
        <f>VLOOKUP($A562,Controle!$B$4:$F$68,4,FALSE)</f>
        <v>EDN</v>
      </c>
      <c r="E562" s="2">
        <f>VLOOKUP($A562,Controle!$B$4:$F$68,5,FALSE)</f>
        <v>1</v>
      </c>
      <c r="F562" s="3" t="str">
        <f t="shared" ref="F562:F595" si="189">F527</f>
        <v>Conexão AT - Obras</v>
      </c>
      <c r="G562" s="2" t="str">
        <f>VLOOKUP($A562,Controle!$B$4:$G$68,6,FALSE)</f>
        <v>Apolo</v>
      </c>
      <c r="H562" s="6" t="s">
        <v>194</v>
      </c>
      <c r="I562" s="6">
        <v>0</v>
      </c>
      <c r="J562" s="6">
        <v>0</v>
      </c>
      <c r="K562" s="6">
        <v>0</v>
      </c>
      <c r="L562" s="6">
        <v>0</v>
      </c>
      <c r="M562" s="6">
        <v>0</v>
      </c>
      <c r="N562" s="6">
        <v>0</v>
      </c>
      <c r="O562" s="4">
        <f t="shared" ref="O562:O595" si="190">SUM(I562:N562)</f>
        <v>0</v>
      </c>
      <c r="P562" s="5">
        <f>SUMIFS('Desenvolvimento diário'!$H:$H,'Desenvolvimento diário'!$Q:$Q,$B562,'Desenvolvimento diário'!$P:$P,$F562,'Desenvolvimento diário'!$R:$R,"Sim")</f>
        <v>0</v>
      </c>
      <c r="Q562" s="5">
        <f>SUMIFS('Desenvolvimento diário'!$H:$H,'Desenvolvimento diário'!$Q:$Q,$B562,'Desenvolvimento diário'!$P:$P,$F562,'Desenvolvimento diário'!$R:$R,"Não")</f>
        <v>0</v>
      </c>
      <c r="R562" s="4">
        <f t="shared" ref="R562:R595" si="191">SUM(P562:Q562)</f>
        <v>0</v>
      </c>
      <c r="S562" s="4">
        <f t="shared" ref="S562:S595" si="192">O562-R562</f>
        <v>0</v>
      </c>
      <c r="T562" s="12">
        <f t="shared" si="183"/>
        <v>0</v>
      </c>
      <c r="Y562" s="2"/>
      <c r="Z562" s="2"/>
      <c r="AA562" s="2"/>
      <c r="AB562" s="2"/>
      <c r="AC562" s="2"/>
    </row>
    <row r="563" spans="1:29" ht="10.5" hidden="1">
      <c r="A563" s="2">
        <f t="shared" ref="A563:A595" si="193">A562</f>
        <v>17</v>
      </c>
      <c r="B563" s="2" t="str">
        <f>VLOOKUP($A563,Controle!$B$4:$F$68,2,FALSE)</f>
        <v>Buritizeiro 2</v>
      </c>
      <c r="C563" s="2" t="str">
        <f>VLOOKUP($A563,Controle!$B$4:$F$68,3,FALSE)</f>
        <v xml:space="preserve">ESTRELA DO NORTE </v>
      </c>
      <c r="D563" s="2" t="str">
        <f>VLOOKUP($A563,Controle!$B$4:$F$68,4,FALSE)</f>
        <v>EDN</v>
      </c>
      <c r="E563" s="2">
        <f>VLOOKUP($A563,Controle!$B$4:$F$68,5,FALSE)</f>
        <v>1</v>
      </c>
      <c r="F563" s="3" t="str">
        <f t="shared" si="189"/>
        <v>Conexão MT - Obras</v>
      </c>
      <c r="G563" s="2" t="str">
        <f>VLOOKUP($A563,Controle!$B$4:$G$68,6,FALSE)</f>
        <v>Apolo</v>
      </c>
      <c r="H563" s="6" t="s">
        <v>195</v>
      </c>
      <c r="I563" s="6">
        <v>2236732.66</v>
      </c>
      <c r="J563" s="6">
        <v>0</v>
      </c>
      <c r="K563" s="6">
        <v>0</v>
      </c>
      <c r="L563" s="6">
        <v>0</v>
      </c>
      <c r="M563" s="6">
        <v>0</v>
      </c>
      <c r="N563" s="6">
        <v>0</v>
      </c>
      <c r="O563" s="4">
        <f t="shared" si="190"/>
        <v>2236732.66</v>
      </c>
      <c r="P563" s="5">
        <f>SUMIFS('Desenvolvimento diário'!$H:$H,'Desenvolvimento diário'!$Q:$Q,$B563,'Desenvolvimento diário'!$P:$P,$F563,'Desenvolvimento diário'!$R:$R,"Sim")</f>
        <v>1308140.8500000001</v>
      </c>
      <c r="Q563" s="5">
        <f>SUMIFS('Desenvolvimento diário'!$H:$H,'Desenvolvimento diário'!$Q:$Q,$B563,'Desenvolvimento diário'!$P:$P,$F563,'Desenvolvimento diário'!$R:$R,"Não")</f>
        <v>928591.81</v>
      </c>
      <c r="R563" s="4">
        <f t="shared" si="191"/>
        <v>2236732.66</v>
      </c>
      <c r="S563" s="4">
        <f t="shared" si="192"/>
        <v>0</v>
      </c>
      <c r="T563" s="12">
        <f t="shared" si="183"/>
        <v>1</v>
      </c>
      <c r="Y563" s="2"/>
      <c r="Z563" s="2"/>
      <c r="AA563" s="2"/>
      <c r="AB563" s="2"/>
      <c r="AC563" s="2"/>
    </row>
    <row r="564" spans="1:29" ht="10.5" hidden="1">
      <c r="A564" s="2">
        <f t="shared" si="193"/>
        <v>17</v>
      </c>
      <c r="B564" s="2" t="str">
        <f>VLOOKUP($A564,Controle!$B$4:$F$68,2,FALSE)</f>
        <v>Buritizeiro 2</v>
      </c>
      <c r="C564" s="2" t="str">
        <f>VLOOKUP($A564,Controle!$B$4:$F$68,3,FALSE)</f>
        <v xml:space="preserve">ESTRELA DO NORTE </v>
      </c>
      <c r="D564" s="2" t="str">
        <f>VLOOKUP($A564,Controle!$B$4:$F$68,4,FALSE)</f>
        <v>EDN</v>
      </c>
      <c r="E564" s="2">
        <f>VLOOKUP($A564,Controle!$B$4:$F$68,5,FALSE)</f>
        <v>1</v>
      </c>
      <c r="F564" s="3" t="str">
        <f t="shared" si="189"/>
        <v>Construção - Serviços de Construção</v>
      </c>
      <c r="G564" s="2" t="str">
        <f>VLOOKUP($A564,Controle!$B$4:$G$68,6,FALSE)</f>
        <v>Apolo</v>
      </c>
      <c r="H564" s="6" t="s">
        <v>142</v>
      </c>
      <c r="I564" s="6">
        <v>2691000</v>
      </c>
      <c r="J564" s="6">
        <v>1016094.3</v>
      </c>
      <c r="K564" s="6">
        <v>285371.65000000002</v>
      </c>
      <c r="L564" s="31">
        <v>28096.2</v>
      </c>
      <c r="M564" s="6">
        <v>0</v>
      </c>
      <c r="N564" s="6">
        <v>0</v>
      </c>
      <c r="O564" s="4">
        <f t="shared" si="190"/>
        <v>4020562.15</v>
      </c>
      <c r="P564" s="5">
        <f>SUMIFS('Desenvolvimento diário'!$H:$H,'Desenvolvimento diário'!$Q:$Q,$B564,'Desenvolvimento diário'!$P:$P,$F564,'Desenvolvimento diário'!$R:$R,"Sim")</f>
        <v>2161939.5499999998</v>
      </c>
      <c r="Q564" s="5">
        <f>SUMIFS('Desenvolvimento diário'!$H:$H,'Desenvolvimento diário'!$Q:$Q,$B564,'Desenvolvimento diário'!$P:$P,$F564,'Desenvolvimento diário'!$R:$R,"Não")</f>
        <v>1858622.5999999999</v>
      </c>
      <c r="R564" s="4">
        <f t="shared" si="191"/>
        <v>4020562.1499999994</v>
      </c>
      <c r="S564" s="33">
        <f t="shared" si="192"/>
        <v>0</v>
      </c>
      <c r="T564" s="12">
        <f t="shared" si="183"/>
        <v>0.99999999999999989</v>
      </c>
      <c r="U564" s="510" t="s">
        <v>162</v>
      </c>
      <c r="V564" s="510" t="s">
        <v>163</v>
      </c>
      <c r="Y564" s="2"/>
      <c r="Z564" s="2"/>
      <c r="AA564" s="2"/>
      <c r="AB564" s="2"/>
      <c r="AC564" s="2"/>
    </row>
    <row r="565" spans="1:29" ht="10.5" hidden="1">
      <c r="A565" s="2">
        <f t="shared" si="193"/>
        <v>17</v>
      </c>
      <c r="B565" s="2" t="str">
        <f>VLOOKUP($A565,Controle!$B$4:$F$68,2,FALSE)</f>
        <v>Buritizeiro 2</v>
      </c>
      <c r="C565" s="2" t="str">
        <f>VLOOKUP($A565,Controle!$B$4:$F$68,3,FALSE)</f>
        <v xml:space="preserve">ESTRELA DO NORTE </v>
      </c>
      <c r="D565" s="2" t="str">
        <f>VLOOKUP($A565,Controle!$B$4:$F$68,4,FALSE)</f>
        <v>EDN</v>
      </c>
      <c r="E565" s="2">
        <f>VLOOKUP($A565,Controle!$B$4:$F$68,5,FALSE)</f>
        <v>1</v>
      </c>
      <c r="F565" s="3" t="str">
        <f t="shared" si="189"/>
        <v>Construção - Serviços de Construção - Substituição</v>
      </c>
      <c r="G565" s="2" t="str">
        <f>VLOOKUP($A565,Controle!$B$4:$G$68,6,FALSE)</f>
        <v>Apolo</v>
      </c>
      <c r="H565" s="6">
        <v>0</v>
      </c>
      <c r="I565" s="6">
        <v>0</v>
      </c>
      <c r="J565" s="6">
        <v>0</v>
      </c>
      <c r="K565" s="6">
        <v>0</v>
      </c>
      <c r="L565" s="6">
        <v>0</v>
      </c>
      <c r="M565" s="6">
        <v>0</v>
      </c>
      <c r="N565" s="6">
        <v>0</v>
      </c>
      <c r="O565" s="4">
        <f t="shared" si="190"/>
        <v>0</v>
      </c>
      <c r="P565" s="5">
        <f>SUMIFS('Desenvolvimento diário'!$H:$H,'Desenvolvimento diário'!$Q:$Q,$B565,'Desenvolvimento diário'!$P:$P,$F565,'Desenvolvimento diário'!$R:$R,"Sim")</f>
        <v>0</v>
      </c>
      <c r="Q565" s="5">
        <f>SUMIFS('Desenvolvimento diário'!$H:$H,'Desenvolvimento diário'!$Q:$Q,$B565,'Desenvolvimento diário'!$P:$P,$F565,'Desenvolvimento diário'!$R:$R,"Não")</f>
        <v>0</v>
      </c>
      <c r="R565" s="4">
        <f t="shared" si="191"/>
        <v>0</v>
      </c>
      <c r="S565" s="4">
        <f t="shared" si="192"/>
        <v>0</v>
      </c>
      <c r="T565" s="12">
        <f t="shared" si="183"/>
        <v>0</v>
      </c>
      <c r="Y565" s="2"/>
      <c r="Z565" s="2"/>
      <c r="AA565" s="2"/>
      <c r="AB565" s="2"/>
      <c r="AC565" s="2"/>
    </row>
    <row r="566" spans="1:29" ht="10.5" hidden="1">
      <c r="A566" s="2">
        <f t="shared" si="193"/>
        <v>17</v>
      </c>
      <c r="B566" s="2" t="str">
        <f>VLOOKUP($A566,Controle!$B$4:$F$68,2,FALSE)</f>
        <v>Buritizeiro 2</v>
      </c>
      <c r="C566" s="2" t="str">
        <f>VLOOKUP($A566,Controle!$B$4:$F$68,3,FALSE)</f>
        <v xml:space="preserve">ESTRELA DO NORTE </v>
      </c>
      <c r="D566" s="2" t="str">
        <f>VLOOKUP($A566,Controle!$B$4:$F$68,4,FALSE)</f>
        <v>EDN</v>
      </c>
      <c r="E566" s="2">
        <f>VLOOKUP($A566,Controle!$B$4:$F$68,5,FALSE)</f>
        <v>1</v>
      </c>
      <c r="F566" s="3" t="str">
        <f t="shared" si="189"/>
        <v>Construção - RDA Interno</v>
      </c>
      <c r="G566" s="2" t="str">
        <f>VLOOKUP($A566,Controle!$B$4:$G$68,6,FALSE)</f>
        <v>Apolo</v>
      </c>
      <c r="H566" s="6" t="s">
        <v>168</v>
      </c>
      <c r="I566" s="6">
        <v>410000</v>
      </c>
      <c r="J566" s="6">
        <f>35000-0.01</f>
        <v>34999.99</v>
      </c>
      <c r="K566" s="6">
        <v>0</v>
      </c>
      <c r="L566" s="6">
        <v>0</v>
      </c>
      <c r="M566" s="6">
        <v>0</v>
      </c>
      <c r="N566" s="6">
        <v>0</v>
      </c>
      <c r="O566" s="4">
        <f t="shared" si="190"/>
        <v>444999.99</v>
      </c>
      <c r="P566" s="5">
        <f>SUMIFS('Desenvolvimento diário'!$H:$H,'Desenvolvimento diário'!$Q:$Q,$B566,'Desenvolvimento diário'!$P:$P,$F566,'Desenvolvimento diário'!$R:$R,"Sim")</f>
        <v>0</v>
      </c>
      <c r="Q566" s="5">
        <f>SUMIFS('Desenvolvimento diário'!$H:$H,'Desenvolvimento diário'!$Q:$Q,$B566,'Desenvolvimento diário'!$P:$P,$F566,'Desenvolvimento diário'!$R:$R,"Não")</f>
        <v>444999.99</v>
      </c>
      <c r="R566" s="4">
        <f t="shared" si="191"/>
        <v>444999.99</v>
      </c>
      <c r="S566" s="4">
        <f t="shared" si="192"/>
        <v>0</v>
      </c>
      <c r="T566" s="12">
        <f t="shared" si="183"/>
        <v>1</v>
      </c>
      <c r="Y566" s="2"/>
      <c r="Z566" s="2"/>
      <c r="AA566" s="2"/>
      <c r="AB566" s="2"/>
      <c r="AC566" s="2"/>
    </row>
    <row r="567" spans="1:29" ht="10.5" hidden="1">
      <c r="A567" s="2">
        <f t="shared" si="193"/>
        <v>17</v>
      </c>
      <c r="B567" s="2" t="str">
        <f>VLOOKUP($A567,Controle!$B$4:$F$68,2,FALSE)</f>
        <v>Buritizeiro 2</v>
      </c>
      <c r="C567" s="2" t="str">
        <f>VLOOKUP($A567,Controle!$B$4:$F$68,3,FALSE)</f>
        <v xml:space="preserve">ESTRELA DO NORTE </v>
      </c>
      <c r="D567" s="2" t="str">
        <f>VLOOKUP($A567,Controle!$B$4:$F$68,4,FALSE)</f>
        <v>EDN</v>
      </c>
      <c r="E567" s="2">
        <f>VLOOKUP($A567,Controle!$B$4:$F$68,5,FALSE)</f>
        <v>1</v>
      </c>
      <c r="F567" s="3" t="str">
        <f t="shared" si="189"/>
        <v>Full EPC - Contrato</v>
      </c>
      <c r="G567" s="2" t="str">
        <f>VLOOKUP($A567,Controle!$B$4:$G$68,6,FALSE)</f>
        <v>Apolo</v>
      </c>
      <c r="H567" s="6">
        <v>0</v>
      </c>
      <c r="I567" s="6">
        <v>0</v>
      </c>
      <c r="J567" s="6">
        <v>0</v>
      </c>
      <c r="K567" s="6">
        <v>0</v>
      </c>
      <c r="L567" s="6">
        <v>0</v>
      </c>
      <c r="M567" s="6">
        <v>0</v>
      </c>
      <c r="N567" s="6">
        <v>0</v>
      </c>
      <c r="O567" s="4">
        <f t="shared" si="190"/>
        <v>0</v>
      </c>
      <c r="P567" s="5">
        <f>SUMIFS('Desenvolvimento diário'!$H:$H,'Desenvolvimento diário'!$Q:$Q,$B567,'Desenvolvimento diário'!$P:$P,$F567,'Desenvolvimento diário'!$R:$R,"Sim")</f>
        <v>0</v>
      </c>
      <c r="Q567" s="5">
        <f>SUMIFS('Desenvolvimento diário'!$H:$H,'Desenvolvimento diário'!$Q:$Q,$B567,'Desenvolvimento diário'!$P:$P,$F567,'Desenvolvimento diário'!$R:$R,"Não")</f>
        <v>0</v>
      </c>
      <c r="R567" s="4">
        <f t="shared" si="191"/>
        <v>0</v>
      </c>
      <c r="S567" s="4">
        <f t="shared" si="192"/>
        <v>0</v>
      </c>
      <c r="T567" s="12">
        <f t="shared" si="183"/>
        <v>0</v>
      </c>
      <c r="Y567" s="2"/>
      <c r="Z567" s="2"/>
      <c r="AA567" s="2"/>
      <c r="AB567" s="2"/>
      <c r="AC567" s="2"/>
    </row>
    <row r="568" spans="1:29" ht="10.5" hidden="1">
      <c r="A568" s="2">
        <f t="shared" si="193"/>
        <v>17</v>
      </c>
      <c r="B568" s="2" t="str">
        <f>VLOOKUP($A568,Controle!$B$4:$F$68,2,FALSE)</f>
        <v>Buritizeiro 2</v>
      </c>
      <c r="C568" s="2" t="str">
        <f>VLOOKUP($A568,Controle!$B$4:$F$68,3,FALSE)</f>
        <v xml:space="preserve">ESTRELA DO NORTE </v>
      </c>
      <c r="D568" s="2" t="str">
        <f>VLOOKUP($A568,Controle!$B$4:$F$68,4,FALSE)</f>
        <v>EDN</v>
      </c>
      <c r="E568" s="2">
        <f>VLOOKUP($A568,Controle!$B$4:$F$68,5,FALSE)</f>
        <v>1</v>
      </c>
      <c r="F568" s="3" t="str">
        <f t="shared" si="189"/>
        <v>Equipamentos Curva A - Outros (Transformadores)</v>
      </c>
      <c r="G568" s="2" t="str">
        <f>VLOOKUP($A568,Controle!$B$4:$G$68,6,FALSE)</f>
        <v>Apolo</v>
      </c>
      <c r="H568" s="6" t="s">
        <v>144</v>
      </c>
      <c r="I568" s="6">
        <v>461563.39</v>
      </c>
      <c r="J568" s="6">
        <v>0</v>
      </c>
      <c r="K568" s="6">
        <v>0</v>
      </c>
      <c r="L568" s="6">
        <v>0</v>
      </c>
      <c r="M568" s="6">
        <v>0</v>
      </c>
      <c r="N568" s="6">
        <v>0</v>
      </c>
      <c r="O568" s="4">
        <f t="shared" si="190"/>
        <v>461563.39</v>
      </c>
      <c r="P568" s="5">
        <f>SUMIFS('Desenvolvimento diário'!$H:$H,'Desenvolvimento diário'!$Q:$Q,$B568,'Desenvolvimento diário'!$P:$P,$F568,'Desenvolvimento diário'!$R:$R,"Sim")</f>
        <v>0</v>
      </c>
      <c r="Q568" s="5">
        <f>SUMIFS('Desenvolvimento diário'!$H:$H,'Desenvolvimento diário'!$Q:$Q,$B568,'Desenvolvimento diário'!$P:$P,$F568,'Desenvolvimento diário'!$R:$R,"Não")</f>
        <v>461563.39</v>
      </c>
      <c r="R568" s="4">
        <f t="shared" si="191"/>
        <v>461563.39</v>
      </c>
      <c r="S568" s="4">
        <f t="shared" si="192"/>
        <v>0</v>
      </c>
      <c r="T568" s="12">
        <f t="shared" si="183"/>
        <v>1</v>
      </c>
      <c r="Y568" s="2"/>
      <c r="Z568" s="2"/>
      <c r="AA568" s="2"/>
      <c r="AB568" s="2"/>
      <c r="AC568" s="2"/>
    </row>
    <row r="569" spans="1:29" ht="10.5" hidden="1">
      <c r="A569" s="2">
        <f t="shared" si="193"/>
        <v>17</v>
      </c>
      <c r="B569" s="2" t="str">
        <f>VLOOKUP($A569,Controle!$B$4:$F$68,2,FALSE)</f>
        <v>Buritizeiro 2</v>
      </c>
      <c r="C569" s="2" t="str">
        <f>VLOOKUP($A569,Controle!$B$4:$F$68,3,FALSE)</f>
        <v xml:space="preserve">ESTRELA DO NORTE </v>
      </c>
      <c r="D569" s="2" t="str">
        <f>VLOOKUP($A569,Controle!$B$4:$F$68,4,FALSE)</f>
        <v>EDN</v>
      </c>
      <c r="E569" s="2">
        <f>VLOOKUP($A569,Controle!$B$4:$F$68,5,FALSE)</f>
        <v>1</v>
      </c>
      <c r="F569" s="3" t="str">
        <f t="shared" si="189"/>
        <v>Equipamentos Curva A - Outros (Cabine + Skid)</v>
      </c>
      <c r="G569" s="2" t="str">
        <f>VLOOKUP($A569,Controle!$B$4:$G$68,6,FALSE)</f>
        <v>Apolo</v>
      </c>
      <c r="H569" s="6" t="s">
        <v>196</v>
      </c>
      <c r="I569" s="6">
        <v>1041682.1489361702</v>
      </c>
      <c r="J569" s="6">
        <v>13472.93</v>
      </c>
      <c r="K569" s="6">
        <v>0</v>
      </c>
      <c r="L569" s="6">
        <v>0</v>
      </c>
      <c r="M569" s="6">
        <v>0</v>
      </c>
      <c r="N569" s="6">
        <v>0</v>
      </c>
      <c r="O569" s="4">
        <f t="shared" si="190"/>
        <v>1055155.0789361701</v>
      </c>
      <c r="P569" s="5">
        <f>SUMIFS('Desenvolvimento diário'!$H:$H,'Desenvolvimento diário'!$Q:$Q,$B569,'Desenvolvimento diário'!$P:$P,$F569,'Desenvolvimento diário'!$R:$R,"Sim")</f>
        <v>0</v>
      </c>
      <c r="Q569" s="5">
        <f>SUMIFS('Desenvolvimento diário'!$H:$H,'Desenvolvimento diário'!$Q:$Q,$B569,'Desenvolvimento diário'!$P:$P,$F569,'Desenvolvimento diário'!$R:$R,"Não")</f>
        <v>1055155.0789361701</v>
      </c>
      <c r="R569" s="4">
        <f t="shared" si="191"/>
        <v>1055155.0789361701</v>
      </c>
      <c r="S569" s="4">
        <f t="shared" si="192"/>
        <v>0</v>
      </c>
      <c r="T569" s="12">
        <f t="shared" si="183"/>
        <v>1</v>
      </c>
      <c r="Y569" s="2"/>
      <c r="Z569" s="2"/>
      <c r="AA569" s="2"/>
      <c r="AB569" s="2"/>
      <c r="AC569" s="2"/>
    </row>
    <row r="570" spans="1:29" ht="10.5" hidden="1">
      <c r="A570" s="2">
        <f t="shared" si="193"/>
        <v>17</v>
      </c>
      <c r="B570" s="2" t="str">
        <f>VLOOKUP($A570,Controle!$B$4:$F$68,2,FALSE)</f>
        <v>Buritizeiro 2</v>
      </c>
      <c r="C570" s="2" t="str">
        <f>VLOOKUP($A570,Controle!$B$4:$F$68,3,FALSE)</f>
        <v xml:space="preserve">ESTRELA DO NORTE </v>
      </c>
      <c r="D570" s="2" t="str">
        <f>VLOOKUP($A570,Controle!$B$4:$F$68,4,FALSE)</f>
        <v>EDN</v>
      </c>
      <c r="E570" s="2">
        <f>VLOOKUP($A570,Controle!$B$4:$F$68,5,FALSE)</f>
        <v>1</v>
      </c>
      <c r="F570" s="3" t="str">
        <f t="shared" si="189"/>
        <v>Equipamentos Curva A - Outros (Cabine + Skid + Transformador)</v>
      </c>
      <c r="G570" s="2" t="str">
        <f>VLOOKUP($A570,Controle!$B$4:$G$68,6,FALSE)</f>
        <v>Apolo</v>
      </c>
      <c r="H570" s="6">
        <v>0</v>
      </c>
      <c r="I570" s="6">
        <v>0</v>
      </c>
      <c r="J570" s="6">
        <v>0</v>
      </c>
      <c r="K570" s="6">
        <v>0</v>
      </c>
      <c r="L570" s="6">
        <v>0</v>
      </c>
      <c r="M570" s="6">
        <v>0</v>
      </c>
      <c r="N570" s="6">
        <v>0</v>
      </c>
      <c r="O570" s="4">
        <f t="shared" si="190"/>
        <v>0</v>
      </c>
      <c r="P570" s="5">
        <f>SUMIFS('Desenvolvimento diário'!$H:$H,'Desenvolvimento diário'!$Q:$Q,$B570,'Desenvolvimento diário'!$P:$P,$F570,'Desenvolvimento diário'!$R:$R,"Sim")</f>
        <v>0</v>
      </c>
      <c r="Q570" s="5">
        <f>SUMIFS('Desenvolvimento diário'!$H:$H,'Desenvolvimento diário'!$Q:$Q,$B570,'Desenvolvimento diário'!$P:$P,$F570,'Desenvolvimento diário'!$R:$R,"Não")</f>
        <v>0</v>
      </c>
      <c r="R570" s="4">
        <f t="shared" si="191"/>
        <v>0</v>
      </c>
      <c r="S570" s="4">
        <f t="shared" si="192"/>
        <v>0</v>
      </c>
      <c r="T570" s="12">
        <f t="shared" si="183"/>
        <v>0</v>
      </c>
      <c r="Y570" s="2"/>
      <c r="Z570" s="2"/>
      <c r="AA570" s="2"/>
      <c r="AB570" s="2"/>
      <c r="AC570" s="2"/>
    </row>
    <row r="571" spans="1:29" ht="10.5" hidden="1">
      <c r="A571" s="2">
        <f t="shared" si="193"/>
        <v>17</v>
      </c>
      <c r="B571" s="2" t="str">
        <f>VLOOKUP($A571,Controle!$B$4:$F$68,2,FALSE)</f>
        <v>Buritizeiro 2</v>
      </c>
      <c r="C571" s="2" t="str">
        <f>VLOOKUP($A571,Controle!$B$4:$F$68,3,FALSE)</f>
        <v xml:space="preserve">ESTRELA DO NORTE </v>
      </c>
      <c r="D571" s="2" t="str">
        <f>VLOOKUP($A571,Controle!$B$4:$F$68,4,FALSE)</f>
        <v>EDN</v>
      </c>
      <c r="E571" s="2">
        <f>VLOOKUP($A571,Controle!$B$4:$F$68,5,FALSE)</f>
        <v>1</v>
      </c>
      <c r="F571" s="3" t="str">
        <f t="shared" si="189"/>
        <v>Desenvolvimento de projeto - Projetos - (Eng° Proprietario)</v>
      </c>
      <c r="G571" s="2" t="str">
        <f>VLOOKUP($A571,Controle!$B$4:$G$68,6,FALSE)</f>
        <v>Apolo</v>
      </c>
      <c r="H571" s="6" t="s">
        <v>145</v>
      </c>
      <c r="I571" s="6">
        <v>0</v>
      </c>
      <c r="J571" s="6">
        <v>0</v>
      </c>
      <c r="K571" s="6">
        <v>0</v>
      </c>
      <c r="L571" s="6">
        <v>0</v>
      </c>
      <c r="M571" s="6">
        <v>0</v>
      </c>
      <c r="N571" s="6">
        <v>0</v>
      </c>
      <c r="O571" s="4">
        <f t="shared" si="190"/>
        <v>0</v>
      </c>
      <c r="P571" s="5">
        <f>SUMIFS('Desenvolvimento diário'!$H:$H,'Desenvolvimento diário'!$Q:$Q,$B571,'Desenvolvimento diário'!$P:$P,$F571,'Desenvolvimento diário'!$R:$R,"Sim")</f>
        <v>0</v>
      </c>
      <c r="Q571" s="5">
        <f>SUMIFS('Desenvolvimento diário'!$H:$H,'Desenvolvimento diário'!$Q:$Q,$B571,'Desenvolvimento diário'!$P:$P,$F571,'Desenvolvimento diário'!$R:$R,"Não")</f>
        <v>0</v>
      </c>
      <c r="R571" s="4">
        <f t="shared" si="191"/>
        <v>0</v>
      </c>
      <c r="S571" s="4">
        <f t="shared" si="192"/>
        <v>0</v>
      </c>
      <c r="T571" s="12">
        <f t="shared" si="183"/>
        <v>0</v>
      </c>
      <c r="Y571" s="2"/>
      <c r="Z571" s="2"/>
      <c r="AA571" s="2"/>
      <c r="AB571" s="2"/>
      <c r="AC571" s="2"/>
    </row>
    <row r="572" spans="1:29" ht="10.5" hidden="1">
      <c r="A572" s="2">
        <f t="shared" si="193"/>
        <v>17</v>
      </c>
      <c r="B572" s="2" t="str">
        <f>VLOOKUP($A572,Controle!$B$4:$F$68,2,FALSE)</f>
        <v>Buritizeiro 2</v>
      </c>
      <c r="C572" s="2" t="str">
        <f>VLOOKUP($A572,Controle!$B$4:$F$68,3,FALSE)</f>
        <v xml:space="preserve">ESTRELA DO NORTE </v>
      </c>
      <c r="D572" s="2" t="str">
        <f>VLOOKUP($A572,Controle!$B$4:$F$68,4,FALSE)</f>
        <v>EDN</v>
      </c>
      <c r="E572" s="2">
        <f>VLOOKUP($A572,Controle!$B$4:$F$68,5,FALSE)</f>
        <v>1</v>
      </c>
      <c r="F572" s="3" t="str">
        <f t="shared" si="189"/>
        <v>Desenvolvimento de projeto - Projetos - Executivos</v>
      </c>
      <c r="G572" s="2" t="str">
        <f>VLOOKUP($A572,Controle!$B$4:$G$68,6,FALSE)</f>
        <v>Apolo</v>
      </c>
      <c r="H572" s="6" t="s">
        <v>146</v>
      </c>
      <c r="I572" s="6">
        <v>36466.699999999997</v>
      </c>
      <c r="J572" s="6">
        <v>0</v>
      </c>
      <c r="K572" s="6">
        <v>0</v>
      </c>
      <c r="L572" s="6">
        <v>0</v>
      </c>
      <c r="M572" s="6">
        <v>0</v>
      </c>
      <c r="N572" s="6">
        <v>0</v>
      </c>
      <c r="O572" s="4">
        <f t="shared" si="190"/>
        <v>36466.699999999997</v>
      </c>
      <c r="P572" s="5">
        <f>SUMIFS('Desenvolvimento diário'!$H:$H,'Desenvolvimento diário'!$Q:$Q,$B572,'Desenvolvimento diário'!$P:$P,$F572,'Desenvolvimento diário'!$R:$R,"Sim")</f>
        <v>0</v>
      </c>
      <c r="Q572" s="5">
        <f>SUMIFS('Desenvolvimento diário'!$H:$H,'Desenvolvimento diário'!$Q:$Q,$B572,'Desenvolvimento diário'!$P:$P,$F572,'Desenvolvimento diário'!$R:$R,"Não")</f>
        <v>36466.699999999997</v>
      </c>
      <c r="R572" s="4">
        <f t="shared" si="191"/>
        <v>36466.699999999997</v>
      </c>
      <c r="S572" s="4">
        <f t="shared" si="192"/>
        <v>0</v>
      </c>
      <c r="T572" s="12">
        <f t="shared" si="183"/>
        <v>1</v>
      </c>
      <c r="Y572" s="2"/>
      <c r="Z572" s="2"/>
      <c r="AA572" s="2"/>
      <c r="AB572" s="2"/>
      <c r="AC572" s="2"/>
    </row>
    <row r="573" spans="1:29" ht="10.5" hidden="1">
      <c r="A573" s="2">
        <f t="shared" si="193"/>
        <v>17</v>
      </c>
      <c r="B573" s="2" t="str">
        <f>VLOOKUP($A573,Controle!$B$4:$F$68,2,FALSE)</f>
        <v>Buritizeiro 2</v>
      </c>
      <c r="C573" s="2" t="str">
        <f>VLOOKUP($A573,Controle!$B$4:$F$68,3,FALSE)</f>
        <v xml:space="preserve">ESTRELA DO NORTE </v>
      </c>
      <c r="D573" s="2" t="str">
        <f>VLOOKUP($A573,Controle!$B$4:$F$68,4,FALSE)</f>
        <v>EDN</v>
      </c>
      <c r="E573" s="2">
        <f>VLOOKUP($A573,Controle!$B$4:$F$68,5,FALSE)</f>
        <v>1</v>
      </c>
      <c r="F573" s="3" t="str">
        <f t="shared" si="189"/>
        <v>Desenvolvimento de projeto - Projetos Básica</v>
      </c>
      <c r="G573" s="2" t="str">
        <f>VLOOKUP($A573,Controle!$B$4:$G$68,6,FALSE)</f>
        <v>Apolo</v>
      </c>
      <c r="H573" s="6">
        <v>0</v>
      </c>
      <c r="I573" s="6">
        <v>0</v>
      </c>
      <c r="J573" s="6">
        <v>0</v>
      </c>
      <c r="K573" s="6">
        <v>0</v>
      </c>
      <c r="L573" s="6">
        <v>0</v>
      </c>
      <c r="M573" s="6">
        <v>0</v>
      </c>
      <c r="N573" s="6">
        <v>0</v>
      </c>
      <c r="O573" s="4">
        <f t="shared" si="190"/>
        <v>0</v>
      </c>
      <c r="P573" s="5">
        <f>SUMIFS('Desenvolvimento diário'!$H:$H,'Desenvolvimento diário'!$Q:$Q,$B573,'Desenvolvimento diário'!$P:$P,$F573,'Desenvolvimento diário'!$R:$R,"Sim")</f>
        <v>0</v>
      </c>
      <c r="Q573" s="5">
        <f>SUMIFS('Desenvolvimento diário'!$H:$H,'Desenvolvimento diário'!$Q:$Q,$B573,'Desenvolvimento diário'!$P:$P,$F573,'Desenvolvimento diário'!$R:$R,"Não")</f>
        <v>0</v>
      </c>
      <c r="R573" s="4">
        <f t="shared" si="191"/>
        <v>0</v>
      </c>
      <c r="S573" s="4">
        <f t="shared" si="192"/>
        <v>0</v>
      </c>
      <c r="T573" s="12">
        <f t="shared" si="183"/>
        <v>0</v>
      </c>
      <c r="Y573" s="2"/>
      <c r="Z573" s="2"/>
      <c r="AA573" s="2"/>
      <c r="AB573" s="2"/>
      <c r="AC573" s="2"/>
    </row>
    <row r="574" spans="1:29" ht="10.5" hidden="1">
      <c r="A574" s="2">
        <f t="shared" si="193"/>
        <v>17</v>
      </c>
      <c r="B574" s="2" t="str">
        <f>VLOOKUP($A574,Controle!$B$4:$F$68,2,FALSE)</f>
        <v>Buritizeiro 2</v>
      </c>
      <c r="C574" s="2" t="str">
        <f>VLOOKUP($A574,Controle!$B$4:$F$68,3,FALSE)</f>
        <v xml:space="preserve">ESTRELA DO NORTE </v>
      </c>
      <c r="D574" s="2" t="str">
        <f>VLOOKUP($A574,Controle!$B$4:$F$68,4,FALSE)</f>
        <v>EDN</v>
      </c>
      <c r="E574" s="2">
        <f>VLOOKUP($A574,Controle!$B$4:$F$68,5,FALSE)</f>
        <v>1</v>
      </c>
      <c r="F574" s="3" t="str">
        <f t="shared" si="189"/>
        <v>Desenvolvimento de projeto - Projetos Detalhada</v>
      </c>
      <c r="G574" s="2" t="str">
        <f>VLOOKUP($A574,Controle!$B$4:$G$68,6,FALSE)</f>
        <v>Apolo</v>
      </c>
      <c r="H574" s="6">
        <v>0</v>
      </c>
      <c r="I574" s="6">
        <v>0</v>
      </c>
      <c r="J574" s="6">
        <v>0</v>
      </c>
      <c r="K574" s="6">
        <v>0</v>
      </c>
      <c r="L574" s="6">
        <v>0</v>
      </c>
      <c r="M574" s="6">
        <v>0</v>
      </c>
      <c r="N574" s="6">
        <v>0</v>
      </c>
      <c r="O574" s="4">
        <f t="shared" si="190"/>
        <v>0</v>
      </c>
      <c r="P574" s="5">
        <f>SUMIFS('Desenvolvimento diário'!$H:$H,'Desenvolvimento diário'!$Q:$Q,$B574,'Desenvolvimento diário'!$P:$P,$F574,'Desenvolvimento diário'!$R:$R,"Sim")</f>
        <v>0</v>
      </c>
      <c r="Q574" s="5">
        <f>SUMIFS('Desenvolvimento diário'!$H:$H,'Desenvolvimento diário'!$Q:$Q,$B574,'Desenvolvimento diário'!$P:$P,$F574,'Desenvolvimento diário'!$R:$R,"Não")</f>
        <v>0</v>
      </c>
      <c r="R574" s="4">
        <f t="shared" si="191"/>
        <v>0</v>
      </c>
      <c r="S574" s="4">
        <f t="shared" si="192"/>
        <v>0</v>
      </c>
      <c r="T574" s="12">
        <f t="shared" si="183"/>
        <v>0</v>
      </c>
      <c r="Y574" s="2"/>
      <c r="Z574" s="2"/>
      <c r="AA574" s="2"/>
      <c r="AB574" s="2"/>
      <c r="AC574" s="2"/>
    </row>
    <row r="575" spans="1:29" ht="10.5" hidden="1">
      <c r="A575" s="2">
        <f t="shared" si="193"/>
        <v>17</v>
      </c>
      <c r="B575" s="2" t="str">
        <f>VLOOKUP($A575,Controle!$B$4:$F$68,2,FALSE)</f>
        <v>Buritizeiro 2</v>
      </c>
      <c r="C575" s="2" t="str">
        <f>VLOOKUP($A575,Controle!$B$4:$F$68,3,FALSE)</f>
        <v xml:space="preserve">ESTRELA DO NORTE </v>
      </c>
      <c r="D575" s="2" t="str">
        <f>VLOOKUP($A575,Controle!$B$4:$F$68,4,FALSE)</f>
        <v>EDN</v>
      </c>
      <c r="E575" s="2">
        <f>VLOOKUP($A575,Controle!$B$4:$F$68,5,FALSE)</f>
        <v>1</v>
      </c>
      <c r="F575" s="3" t="str">
        <f t="shared" si="189"/>
        <v>Desenvolvimento de projeto - Ambiental / Outros</v>
      </c>
      <c r="G575" s="2" t="str">
        <f>VLOOKUP($A575,Controle!$B$4:$G$68,6,FALSE)</f>
        <v>Apolo</v>
      </c>
      <c r="H575" s="6" t="s">
        <v>148</v>
      </c>
      <c r="I575" s="6">
        <f>R575</f>
        <v>213763.18</v>
      </c>
      <c r="J575" s="6">
        <v>0</v>
      </c>
      <c r="K575" s="6">
        <v>0</v>
      </c>
      <c r="L575" s="6">
        <v>0</v>
      </c>
      <c r="M575" s="6">
        <v>0</v>
      </c>
      <c r="N575" s="6">
        <v>0</v>
      </c>
      <c r="O575" s="4">
        <f t="shared" si="190"/>
        <v>213763.18</v>
      </c>
      <c r="P575" s="5">
        <f>SUMIFS('Desenvolvimento diário'!$H:$H,'Desenvolvimento diário'!$Q:$Q,$B575,'Desenvolvimento diário'!$P:$P,$F575,'Desenvolvimento diário'!$R:$R,"Sim")</f>
        <v>0</v>
      </c>
      <c r="Q575" s="5">
        <f>SUMIFS('Desenvolvimento diário'!$H:$H,'Desenvolvimento diário'!$Q:$Q,$B575,'Desenvolvimento diário'!$P:$P,$F575,'Desenvolvimento diário'!$R:$R,"Não")</f>
        <v>213763.18</v>
      </c>
      <c r="R575" s="4">
        <f t="shared" si="191"/>
        <v>213763.18</v>
      </c>
      <c r="S575" s="4">
        <f t="shared" si="192"/>
        <v>0</v>
      </c>
      <c r="T575" s="12">
        <f t="shared" si="183"/>
        <v>1</v>
      </c>
      <c r="Y575" s="2"/>
      <c r="Z575" s="2"/>
      <c r="AA575" s="2"/>
      <c r="AB575" s="2"/>
      <c r="AC575" s="2"/>
    </row>
    <row r="576" spans="1:29" hidden="1">
      <c r="A576" s="2">
        <f t="shared" si="193"/>
        <v>17</v>
      </c>
      <c r="B576" s="2" t="str">
        <f>VLOOKUP($A576,Controle!$B$4:$F$68,2,FALSE)</f>
        <v>Buritizeiro 2</v>
      </c>
      <c r="C576" s="2" t="str">
        <f>VLOOKUP($A576,Controle!$B$4:$F$68,3,FALSE)</f>
        <v xml:space="preserve">ESTRELA DO NORTE </v>
      </c>
      <c r="D576" s="2" t="str">
        <f>VLOOKUP($A576,Controle!$B$4:$F$68,4,FALSE)</f>
        <v>EDN</v>
      </c>
      <c r="E576" s="2">
        <f>VLOOKUP($A576,Controle!$B$4:$F$68,5,FALSE)</f>
        <v>1</v>
      </c>
      <c r="F576" s="3" t="str">
        <f t="shared" si="189"/>
        <v>Desenvolvimento de projeto - Coordenograma</v>
      </c>
      <c r="G576" s="2" t="str">
        <f>VLOOKUP($A576,Controle!$B$4:$G$68,6,FALSE)</f>
        <v>Apolo</v>
      </c>
      <c r="H576" s="31" t="s">
        <v>149</v>
      </c>
      <c r="I576" s="31">
        <v>7000</v>
      </c>
      <c r="J576" s="31">
        <v>0</v>
      </c>
      <c r="K576" s="31">
        <v>0</v>
      </c>
      <c r="L576" s="6">
        <v>0</v>
      </c>
      <c r="M576" s="6">
        <v>0</v>
      </c>
      <c r="N576" s="6">
        <v>0</v>
      </c>
      <c r="O576" s="4">
        <f t="shared" si="190"/>
        <v>7000</v>
      </c>
      <c r="P576" s="5">
        <f>SUMIFS('Desenvolvimento diário'!$H:$H,'Desenvolvimento diário'!$Q:$Q,$B576,'Desenvolvimento diário'!$P:$P,$F576,'Desenvolvimento diário'!$R:$R,"Sim")</f>
        <v>0</v>
      </c>
      <c r="Q576" s="5">
        <f>SUMIFS('Desenvolvimento diário'!$H:$H,'Desenvolvimento diário'!$Q:$Q,$B576,'Desenvolvimento diário'!$P:$P,$F576,'Desenvolvimento diário'!$R:$R,"Não")</f>
        <v>7000</v>
      </c>
      <c r="R576" s="4">
        <f t="shared" si="191"/>
        <v>7000</v>
      </c>
      <c r="S576" s="4">
        <f t="shared" si="192"/>
        <v>0</v>
      </c>
      <c r="T576" s="12">
        <f t="shared" si="183"/>
        <v>1</v>
      </c>
      <c r="Y576" s="2"/>
      <c r="Z576" s="2"/>
      <c r="AA576" s="2"/>
      <c r="AB576" s="2"/>
      <c r="AC576" s="2"/>
    </row>
    <row r="577" spans="1:29" ht="10.5" hidden="1">
      <c r="A577" s="2">
        <f t="shared" si="193"/>
        <v>17</v>
      </c>
      <c r="B577" s="2" t="str">
        <f>VLOOKUP($A577,Controle!$B$4:$F$68,2,FALSE)</f>
        <v>Buritizeiro 2</v>
      </c>
      <c r="C577" s="2" t="str">
        <f>VLOOKUP($A577,Controle!$B$4:$F$68,3,FALSE)</f>
        <v xml:space="preserve">ESTRELA DO NORTE </v>
      </c>
      <c r="D577" s="2" t="str">
        <f>VLOOKUP($A577,Controle!$B$4:$F$68,4,FALSE)</f>
        <v>EDN</v>
      </c>
      <c r="E577" s="2">
        <f>VLOOKUP($A577,Controle!$B$4:$F$68,5,FALSE)</f>
        <v>1</v>
      </c>
      <c r="F577" s="3" t="str">
        <f t="shared" si="189"/>
        <v>Sistemas de Monitoramento - Supervisório</v>
      </c>
      <c r="G577" s="2" t="str">
        <f>VLOOKUP($A577,Controle!$B$4:$G$68,6,FALSE)</f>
        <v>Apolo</v>
      </c>
      <c r="H577" s="6" t="s">
        <v>150</v>
      </c>
      <c r="I577" s="6">
        <v>136154.23999999999</v>
      </c>
      <c r="J577" s="6"/>
      <c r="K577" s="6">
        <v>0</v>
      </c>
      <c r="L577" s="6">
        <v>0</v>
      </c>
      <c r="M577" s="6">
        <v>0</v>
      </c>
      <c r="N577" s="6">
        <v>0</v>
      </c>
      <c r="O577" s="4">
        <f t="shared" si="190"/>
        <v>136154.23999999999</v>
      </c>
      <c r="P577" s="5">
        <f>SUMIFS('Desenvolvimento diário'!$H:$H,'Desenvolvimento diário'!$Q:$Q,$B577,'Desenvolvimento diário'!$P:$P,$F577,'Desenvolvimento diário'!$R:$R,"Sim")</f>
        <v>5821.02</v>
      </c>
      <c r="Q577" s="5">
        <f>SUMIFS('Desenvolvimento diário'!$H:$H,'Desenvolvimento diário'!$Q:$Q,$B577,'Desenvolvimento diário'!$P:$P,$F577,'Desenvolvimento diário'!$R:$R,"Não")</f>
        <v>130333.22000000002</v>
      </c>
      <c r="R577" s="4">
        <f t="shared" si="191"/>
        <v>136154.24000000002</v>
      </c>
      <c r="S577" s="4">
        <f t="shared" si="192"/>
        <v>0</v>
      </c>
      <c r="T577" s="12">
        <f t="shared" si="183"/>
        <v>1.0000000000000002</v>
      </c>
      <c r="Y577" s="2"/>
      <c r="Z577" s="2"/>
      <c r="AA577" s="2"/>
      <c r="AB577" s="2"/>
      <c r="AC577" s="2"/>
    </row>
    <row r="578" spans="1:29" ht="10.5" hidden="1">
      <c r="A578" s="2">
        <f t="shared" si="193"/>
        <v>17</v>
      </c>
      <c r="B578" s="2" t="str">
        <f>VLOOKUP($A578,Controle!$B$4:$F$68,2,FALSE)</f>
        <v>Buritizeiro 2</v>
      </c>
      <c r="C578" s="2" t="str">
        <f>VLOOKUP($A578,Controle!$B$4:$F$68,3,FALSE)</f>
        <v xml:space="preserve">ESTRELA DO NORTE </v>
      </c>
      <c r="D578" s="2" t="str">
        <f>VLOOKUP($A578,Controle!$B$4:$F$68,4,FALSE)</f>
        <v>EDN</v>
      </c>
      <c r="E578" s="2">
        <f>VLOOKUP($A578,Controle!$B$4:$F$68,5,FALSE)</f>
        <v>1</v>
      </c>
      <c r="F578" s="3" t="str">
        <f t="shared" si="189"/>
        <v>Sistemas de Monitoramento - Estações Solarimétricas</v>
      </c>
      <c r="G578" s="2" t="str">
        <f>VLOOKUP($A578,Controle!$B$4:$G$68,6,FALSE)</f>
        <v>Apolo</v>
      </c>
      <c r="H578" s="6" t="s">
        <v>151</v>
      </c>
      <c r="I578" s="6">
        <v>48276.516000000003</v>
      </c>
      <c r="J578" s="6">
        <v>0</v>
      </c>
      <c r="K578" s="6">
        <v>0</v>
      </c>
      <c r="L578" s="6">
        <v>0</v>
      </c>
      <c r="M578" s="6">
        <v>0</v>
      </c>
      <c r="N578" s="6">
        <v>0</v>
      </c>
      <c r="O578" s="4">
        <f t="shared" si="190"/>
        <v>48276.516000000003</v>
      </c>
      <c r="P578" s="5">
        <f>SUMIFS('Desenvolvimento diário'!$H:$H,'Desenvolvimento diário'!$Q:$Q,$B578,'Desenvolvimento diário'!$P:$P,$F578,'Desenvolvimento diário'!$R:$R,"Sim")</f>
        <v>0</v>
      </c>
      <c r="Q578" s="5">
        <f>SUMIFS('Desenvolvimento diário'!$H:$H,'Desenvolvimento diário'!$Q:$Q,$B578,'Desenvolvimento diário'!$P:$P,$F578,'Desenvolvimento diário'!$R:$R,"Não")</f>
        <v>48276.516000000003</v>
      </c>
      <c r="R578" s="4">
        <f t="shared" si="191"/>
        <v>48276.516000000003</v>
      </c>
      <c r="S578" s="4">
        <f t="shared" si="192"/>
        <v>0</v>
      </c>
      <c r="T578" s="12">
        <f t="shared" si="183"/>
        <v>1</v>
      </c>
      <c r="Y578" s="2"/>
      <c r="Z578" s="2"/>
      <c r="AA578" s="2"/>
      <c r="AB578" s="2"/>
      <c r="AC578" s="2"/>
    </row>
    <row r="579" spans="1:29" hidden="1">
      <c r="A579" s="2">
        <f t="shared" si="193"/>
        <v>17</v>
      </c>
      <c r="B579" s="2" t="str">
        <f>VLOOKUP($A579,Controle!$B$4:$F$68,2,FALSE)</f>
        <v>Buritizeiro 2</v>
      </c>
      <c r="C579" s="2" t="str">
        <f>VLOOKUP($A579,Controle!$B$4:$F$68,3,FALSE)</f>
        <v xml:space="preserve">ESTRELA DO NORTE </v>
      </c>
      <c r="D579" s="2" t="str">
        <f>VLOOKUP($A579,Controle!$B$4:$F$68,4,FALSE)</f>
        <v>EDN</v>
      </c>
      <c r="E579" s="2">
        <f>VLOOKUP($A579,Controle!$B$4:$F$68,5,FALSE)</f>
        <v>1</v>
      </c>
      <c r="F579" s="3" t="str">
        <f t="shared" si="189"/>
        <v>Sistemas de Monitoramento - CFTV</v>
      </c>
      <c r="G579" s="2" t="str">
        <f>VLOOKUP($A579,Controle!$B$4:$G$68,6,FALSE)</f>
        <v>Apolo</v>
      </c>
      <c r="H579" s="31" t="s">
        <v>152</v>
      </c>
      <c r="I579" s="6">
        <v>256550.8</v>
      </c>
      <c r="J579" s="6">
        <v>0</v>
      </c>
      <c r="K579" s="6">
        <v>0</v>
      </c>
      <c r="L579" s="6">
        <v>0</v>
      </c>
      <c r="M579" s="6">
        <v>0</v>
      </c>
      <c r="N579" s="6">
        <v>0</v>
      </c>
      <c r="O579" s="4">
        <f t="shared" si="190"/>
        <v>256550.8</v>
      </c>
      <c r="P579" s="5">
        <f>SUMIFS('Desenvolvimento diário'!$H:$H,'Desenvolvimento diário'!$Q:$Q,$B579,'Desenvolvimento diário'!$P:$P,$F579,'Desenvolvimento diário'!$R:$R,"Sim")</f>
        <v>0</v>
      </c>
      <c r="Q579" s="5">
        <f>SUMIFS('Desenvolvimento diário'!$H:$H,'Desenvolvimento diário'!$Q:$Q,$B579,'Desenvolvimento diário'!$P:$P,$F579,'Desenvolvimento diário'!$R:$R,"Não")</f>
        <v>256550.80000000002</v>
      </c>
      <c r="R579" s="4">
        <f t="shared" si="191"/>
        <v>256550.80000000002</v>
      </c>
      <c r="S579" s="4">
        <f t="shared" si="192"/>
        <v>0</v>
      </c>
      <c r="T579" s="12">
        <f t="shared" si="183"/>
        <v>1.0000000000000002</v>
      </c>
      <c r="Y579" s="2"/>
      <c r="Z579" s="2"/>
      <c r="AA579" s="2"/>
      <c r="AB579" s="2"/>
      <c r="AC579" s="2"/>
    </row>
    <row r="580" spans="1:29" ht="10.5" hidden="1">
      <c r="A580" s="2">
        <f t="shared" si="193"/>
        <v>17</v>
      </c>
      <c r="B580" s="2" t="str">
        <f>VLOOKUP($A580,Controle!$B$4:$F$68,2,FALSE)</f>
        <v>Buritizeiro 2</v>
      </c>
      <c r="C580" s="2" t="str">
        <f>VLOOKUP($A580,Controle!$B$4:$F$68,3,FALSE)</f>
        <v xml:space="preserve">ESTRELA DO NORTE </v>
      </c>
      <c r="D580" s="2" t="str">
        <f>VLOOKUP($A580,Controle!$B$4:$F$68,4,FALSE)</f>
        <v>EDN</v>
      </c>
      <c r="E580" s="2">
        <f>VLOOKUP($A580,Controle!$B$4:$F$68,5,FALSE)</f>
        <v>1</v>
      </c>
      <c r="F580" s="3" t="str">
        <f t="shared" si="189"/>
        <v>Serviços Auxiliares - Drenagem</v>
      </c>
      <c r="G580" s="2" t="str">
        <f>VLOOKUP($A580,Controle!$B$4:$G$68,6,FALSE)</f>
        <v>Apolo</v>
      </c>
      <c r="H580" s="31" t="s">
        <v>181</v>
      </c>
      <c r="I580" s="31">
        <v>501006.32</v>
      </c>
      <c r="J580" s="6">
        <v>0</v>
      </c>
      <c r="K580" s="6">
        <v>0</v>
      </c>
      <c r="L580" s="6">
        <v>0</v>
      </c>
      <c r="M580" s="6">
        <v>0</v>
      </c>
      <c r="N580" s="6">
        <v>0</v>
      </c>
      <c r="O580" s="4">
        <f>SUM(I580:N580)-0.005</f>
        <v>501006.315</v>
      </c>
      <c r="P580" s="5">
        <f>SUMIFS('Desenvolvimento diário'!$H:$H,'Desenvolvimento diário'!$Q:$Q,$B580,'Desenvolvimento diário'!$P:$P,$F580,'Desenvolvimento diário'!$R:$R,"Sim")</f>
        <v>0</v>
      </c>
      <c r="Q580" s="5">
        <f>SUMIFS('Desenvolvimento diário'!$H:$H,'Desenvolvimento diário'!$Q:$Q,$B580,'Desenvolvimento diário'!$P:$P,$F580,'Desenvolvimento diário'!$R:$R,"Não")</f>
        <v>501006.315</v>
      </c>
      <c r="R580" s="4">
        <f t="shared" si="191"/>
        <v>501006.315</v>
      </c>
      <c r="S580" s="180">
        <f t="shared" si="192"/>
        <v>0</v>
      </c>
      <c r="T580" s="12">
        <f t="shared" si="183"/>
        <v>1</v>
      </c>
      <c r="Y580" s="2"/>
      <c r="Z580" s="2"/>
      <c r="AA580" s="2"/>
      <c r="AB580" s="2"/>
      <c r="AC580" s="2"/>
    </row>
    <row r="581" spans="1:29" ht="10.5" hidden="1">
      <c r="A581" s="2">
        <f t="shared" si="193"/>
        <v>17</v>
      </c>
      <c r="B581" s="2" t="str">
        <f>VLOOKUP($A581,Controle!$B$4:$F$68,2,FALSE)</f>
        <v>Buritizeiro 2</v>
      </c>
      <c r="C581" s="2" t="str">
        <f>VLOOKUP($A581,Controle!$B$4:$F$68,3,FALSE)</f>
        <v xml:space="preserve">ESTRELA DO NORTE </v>
      </c>
      <c r="D581" s="2" t="str">
        <f>VLOOKUP($A581,Controle!$B$4:$F$68,4,FALSE)</f>
        <v>EDN</v>
      </c>
      <c r="E581" s="2">
        <f>VLOOKUP($A581,Controle!$B$4:$F$68,5,FALSE)</f>
        <v>1</v>
      </c>
      <c r="F581" s="3" t="str">
        <f t="shared" si="189"/>
        <v>Serviços Auxiliares - Terraplanagem</v>
      </c>
      <c r="G581" s="2" t="str">
        <f>VLOOKUP($A581,Controle!$B$4:$G$68,6,FALSE)</f>
        <v>Apolo</v>
      </c>
      <c r="H581" s="6" t="s">
        <v>197</v>
      </c>
      <c r="I581" s="6">
        <v>114148.64</v>
      </c>
      <c r="J581" s="6">
        <v>0</v>
      </c>
      <c r="K581" s="6">
        <v>0</v>
      </c>
      <c r="L581" s="6">
        <v>0</v>
      </c>
      <c r="M581" s="6">
        <v>0</v>
      </c>
      <c r="N581" s="6">
        <v>0</v>
      </c>
      <c r="O581" s="4">
        <f t="shared" si="190"/>
        <v>114148.64</v>
      </c>
      <c r="P581" s="5">
        <f>SUMIFS('Desenvolvimento diário'!$H:$H,'Desenvolvimento diário'!$Q:$Q,$B581,'Desenvolvimento diário'!$P:$P,$F581,'Desenvolvimento diário'!$R:$R,"Sim")</f>
        <v>0</v>
      </c>
      <c r="Q581" s="5">
        <f>SUMIFS('Desenvolvimento diário'!$H:$H,'Desenvolvimento diário'!$Q:$Q,$B581,'Desenvolvimento diário'!$P:$P,$F581,'Desenvolvimento diário'!$R:$R,"Não")</f>
        <v>114148.64</v>
      </c>
      <c r="R581" s="4">
        <f t="shared" si="191"/>
        <v>114148.64</v>
      </c>
      <c r="S581" s="4">
        <f t="shared" si="192"/>
        <v>0</v>
      </c>
      <c r="T581" s="12">
        <f t="shared" si="183"/>
        <v>1</v>
      </c>
      <c r="Y581" s="2"/>
      <c r="Z581" s="2"/>
      <c r="AA581" s="2"/>
      <c r="AB581" s="2"/>
      <c r="AC581" s="2"/>
    </row>
    <row r="582" spans="1:29" ht="10.5" hidden="1">
      <c r="A582" s="2">
        <f t="shared" si="193"/>
        <v>17</v>
      </c>
      <c r="B582" s="2" t="str">
        <f>VLOOKUP($A582,Controle!$B$4:$F$68,2,FALSE)</f>
        <v>Buritizeiro 2</v>
      </c>
      <c r="C582" s="2" t="str">
        <f>VLOOKUP($A582,Controle!$B$4:$F$68,3,FALSE)</f>
        <v xml:space="preserve">ESTRELA DO NORTE </v>
      </c>
      <c r="D582" s="2" t="str">
        <f>VLOOKUP($A582,Controle!$B$4:$F$68,4,FALSE)</f>
        <v>EDN</v>
      </c>
      <c r="E582" s="2">
        <f>VLOOKUP($A582,Controle!$B$4:$F$68,5,FALSE)</f>
        <v>1</v>
      </c>
      <c r="F582" s="3" t="str">
        <f t="shared" si="189"/>
        <v>Serviços Auxiliares - Supressão Vegetal</v>
      </c>
      <c r="G582" s="2" t="str">
        <f>VLOOKUP($A582,Controle!$B$4:$G$68,6,FALSE)</f>
        <v>Apolo</v>
      </c>
      <c r="H582" s="6">
        <v>0</v>
      </c>
      <c r="I582" s="6">
        <v>0</v>
      </c>
      <c r="J582" s="6">
        <v>0</v>
      </c>
      <c r="K582" s="6">
        <v>0</v>
      </c>
      <c r="L582" s="6">
        <v>0</v>
      </c>
      <c r="M582" s="6">
        <v>0</v>
      </c>
      <c r="N582" s="6">
        <v>0</v>
      </c>
      <c r="O582" s="4">
        <f t="shared" si="190"/>
        <v>0</v>
      </c>
      <c r="P582" s="5">
        <f>SUMIFS('Desenvolvimento diário'!$H:$H,'Desenvolvimento diário'!$Q:$Q,$B582,'Desenvolvimento diário'!$P:$P,$F582,'Desenvolvimento diário'!$R:$R,"Sim")</f>
        <v>0</v>
      </c>
      <c r="Q582" s="5">
        <f>SUMIFS('Desenvolvimento diário'!$H:$H,'Desenvolvimento diário'!$Q:$Q,$B582,'Desenvolvimento diário'!$P:$P,$F582,'Desenvolvimento diário'!$R:$R,"Não")</f>
        <v>0</v>
      </c>
      <c r="R582" s="4">
        <f t="shared" si="191"/>
        <v>0</v>
      </c>
      <c r="S582" s="4">
        <f t="shared" si="192"/>
        <v>0</v>
      </c>
      <c r="T582" s="12">
        <f t="shared" si="183"/>
        <v>0</v>
      </c>
      <c r="Y582" s="2"/>
      <c r="Z582" s="2"/>
      <c r="AA582" s="2"/>
      <c r="AB582" s="2"/>
      <c r="AC582" s="2"/>
    </row>
    <row r="583" spans="1:29" ht="10.5" hidden="1">
      <c r="A583" s="2">
        <f t="shared" si="193"/>
        <v>17</v>
      </c>
      <c r="B583" s="2" t="str">
        <f>VLOOKUP($A583,Controle!$B$4:$F$68,2,FALSE)</f>
        <v>Buritizeiro 2</v>
      </c>
      <c r="C583" s="2" t="str">
        <f>VLOOKUP($A583,Controle!$B$4:$F$68,3,FALSE)</f>
        <v xml:space="preserve">ESTRELA DO NORTE </v>
      </c>
      <c r="D583" s="2" t="str">
        <f>VLOOKUP($A583,Controle!$B$4:$F$68,4,FALSE)</f>
        <v>EDN</v>
      </c>
      <c r="E583" s="2">
        <f>VLOOKUP($A583,Controle!$B$4:$F$68,5,FALSE)</f>
        <v>1</v>
      </c>
      <c r="F583" s="3" t="str">
        <f t="shared" si="189"/>
        <v>RDR-Rede de Distribuição Rural</v>
      </c>
      <c r="G583" s="2" t="str">
        <f>VLOOKUP($A583,Controle!$B$4:$G$68,6,FALSE)</f>
        <v>Apolo</v>
      </c>
      <c r="H583" s="6">
        <v>0</v>
      </c>
      <c r="I583" s="6">
        <v>0</v>
      </c>
      <c r="J583" s="6">
        <v>0</v>
      </c>
      <c r="K583" s="6">
        <v>0</v>
      </c>
      <c r="L583" s="6">
        <v>0</v>
      </c>
      <c r="M583" s="6">
        <v>0</v>
      </c>
      <c r="N583" s="6">
        <v>0</v>
      </c>
      <c r="O583" s="4">
        <f t="shared" si="190"/>
        <v>0</v>
      </c>
      <c r="P583" s="5">
        <f>SUMIFS('Desenvolvimento diário'!$H:$H,'Desenvolvimento diário'!$Q:$Q,$B583,'Desenvolvimento diário'!$P:$P,$F583,'Desenvolvimento diário'!$R:$R,"Sim")</f>
        <v>0</v>
      </c>
      <c r="Q583" s="5">
        <f>SUMIFS('Desenvolvimento diário'!$H:$H,'Desenvolvimento diário'!$Q:$Q,$B583,'Desenvolvimento diário'!$P:$P,$F583,'Desenvolvimento diário'!$R:$R,"Não")</f>
        <v>0</v>
      </c>
      <c r="R583" s="4">
        <f t="shared" si="191"/>
        <v>0</v>
      </c>
      <c r="S583" s="4">
        <f t="shared" si="192"/>
        <v>0</v>
      </c>
      <c r="T583" s="12">
        <f t="shared" si="183"/>
        <v>0</v>
      </c>
      <c r="Y583" s="2"/>
      <c r="Z583" s="2"/>
      <c r="AA583" s="2"/>
      <c r="AB583" s="2"/>
      <c r="AC583" s="2"/>
    </row>
    <row r="584" spans="1:29" ht="10.5" hidden="1">
      <c r="A584" s="2">
        <f t="shared" si="193"/>
        <v>17</v>
      </c>
      <c r="B584" s="2" t="str">
        <f>VLOOKUP($A584,Controle!$B$4:$F$68,2,FALSE)</f>
        <v>Buritizeiro 2</v>
      </c>
      <c r="C584" s="2" t="str">
        <f>VLOOKUP($A584,Controle!$B$4:$F$68,3,FALSE)</f>
        <v xml:space="preserve">ESTRELA DO NORTE </v>
      </c>
      <c r="D584" s="2" t="str">
        <f>VLOOKUP($A584,Controle!$B$4:$F$68,4,FALSE)</f>
        <v>EDN</v>
      </c>
      <c r="E584" s="2">
        <f>VLOOKUP($A584,Controle!$B$4:$F$68,5,FALSE)</f>
        <v>1</v>
      </c>
      <c r="F584" s="3" t="str">
        <f t="shared" si="189"/>
        <v>Escopo COMERC</v>
      </c>
      <c r="G584" s="2" t="str">
        <f>VLOOKUP($A584,Controle!$B$4:$G$68,6,FALSE)</f>
        <v>Apolo</v>
      </c>
      <c r="H584" s="6">
        <v>0</v>
      </c>
      <c r="I584" s="6">
        <v>161496.51</v>
      </c>
      <c r="J584" s="29">
        <v>21000</v>
      </c>
      <c r="K584" s="29"/>
      <c r="L584" s="6">
        <v>0</v>
      </c>
      <c r="M584" s="6">
        <v>0</v>
      </c>
      <c r="N584" s="6">
        <v>0</v>
      </c>
      <c r="O584" s="4">
        <f t="shared" si="190"/>
        <v>182496.51</v>
      </c>
      <c r="P584" s="5">
        <f>SUMIFS('Desenvolvimento diário'!$H:$H,'Desenvolvimento diário'!$Q:$Q,$B584,'Desenvolvimento diário'!$P:$P,$F584,'Desenvolvimento diário'!$R:$R,"Sim")</f>
        <v>760</v>
      </c>
      <c r="Q584" s="5">
        <f>SUMIFS('Desenvolvimento diário'!$H:$H,'Desenvolvimento diário'!$Q:$Q,$B584,'Desenvolvimento diário'!$P:$P,$F584,'Desenvolvimento diário'!$R:$R,"Não")</f>
        <v>161735.29</v>
      </c>
      <c r="R584" s="4">
        <f t="shared" si="191"/>
        <v>162495.29</v>
      </c>
      <c r="S584" s="1010">
        <f t="shared" si="192"/>
        <v>20001.22</v>
      </c>
      <c r="T584" s="12">
        <f t="shared" si="183"/>
        <v>0.89040217810192646</v>
      </c>
      <c r="U584" s="1011" t="s">
        <v>166</v>
      </c>
      <c r="V584" s="1011" t="s">
        <v>167</v>
      </c>
      <c r="Y584" s="2"/>
      <c r="Z584" s="2"/>
      <c r="AA584" s="2"/>
      <c r="AB584" s="2"/>
      <c r="AC584" s="2"/>
    </row>
    <row r="585" spans="1:29" ht="10.5" hidden="1">
      <c r="A585" s="2">
        <f t="shared" si="193"/>
        <v>17</v>
      </c>
      <c r="B585" s="2" t="str">
        <f>VLOOKUP($A585,Controle!$B$4:$F$68,2,FALSE)</f>
        <v>Buritizeiro 2</v>
      </c>
      <c r="C585" s="2" t="str">
        <f>VLOOKUP($A585,Controle!$B$4:$F$68,3,FALSE)</f>
        <v xml:space="preserve">ESTRELA DO NORTE </v>
      </c>
      <c r="D585" s="2" t="str">
        <f>VLOOKUP($A585,Controle!$B$4:$F$68,4,FALSE)</f>
        <v>EDN</v>
      </c>
      <c r="E585" s="2">
        <f>VLOOKUP($A585,Controle!$B$4:$F$68,5,FALSE)</f>
        <v>1</v>
      </c>
      <c r="F585" s="3" t="str">
        <f t="shared" si="189"/>
        <v>Escopo COMERC - Segurança</v>
      </c>
      <c r="G585" s="2" t="str">
        <f>VLOOKUP($A585,Controle!$B$4:$G$68,6,FALSE)</f>
        <v>Apolo</v>
      </c>
      <c r="H585" s="6">
        <v>0</v>
      </c>
      <c r="I585" s="6">
        <f t="shared" ref="I584:I585" si="194">R585</f>
        <v>126000</v>
      </c>
      <c r="J585" s="6">
        <v>0</v>
      </c>
      <c r="K585" s="6">
        <v>0</v>
      </c>
      <c r="L585" s="6">
        <v>0</v>
      </c>
      <c r="M585" s="6">
        <v>0</v>
      </c>
      <c r="N585" s="6">
        <v>0</v>
      </c>
      <c r="O585" s="4">
        <f t="shared" si="190"/>
        <v>126000</v>
      </c>
      <c r="P585" s="5">
        <f>SUMIFS('Desenvolvimento diário'!$H:$H,'Desenvolvimento diário'!$Q:$Q,$B585,'Desenvolvimento diário'!$P:$P,$F585,'Desenvolvimento diário'!$R:$R,"Sim")</f>
        <v>0</v>
      </c>
      <c r="Q585" s="5">
        <f>SUMIFS('Desenvolvimento diário'!$H:$H,'Desenvolvimento diário'!$Q:$Q,$B585,'Desenvolvimento diário'!$P:$P,$F585,'Desenvolvimento diário'!$R:$R,"Não")</f>
        <v>126000</v>
      </c>
      <c r="R585" s="4">
        <f t="shared" si="191"/>
        <v>126000</v>
      </c>
      <c r="S585" s="4">
        <f t="shared" si="192"/>
        <v>0</v>
      </c>
      <c r="T585" s="12">
        <f t="shared" si="183"/>
        <v>1</v>
      </c>
      <c r="Y585" s="2"/>
      <c r="Z585" s="2"/>
      <c r="AA585" s="2"/>
      <c r="AB585" s="2"/>
      <c r="AC585" s="2"/>
    </row>
    <row r="586" spans="1:29" ht="10.5" hidden="1">
      <c r="A586" s="2">
        <f t="shared" si="193"/>
        <v>17</v>
      </c>
      <c r="B586" s="2" t="str">
        <f>VLOOKUP($A586,Controle!$B$4:$F$68,2,FALSE)</f>
        <v>Buritizeiro 2</v>
      </c>
      <c r="C586" s="2" t="str">
        <f>VLOOKUP($A586,Controle!$B$4:$F$68,3,FALSE)</f>
        <v xml:space="preserve">ESTRELA DO NORTE </v>
      </c>
      <c r="D586" s="2" t="str">
        <f>VLOOKUP($A586,Controle!$B$4:$F$68,4,FALSE)</f>
        <v>EDN</v>
      </c>
      <c r="E586" s="2">
        <f>VLOOKUP($A586,Controle!$B$4:$F$68,5,FALSE)</f>
        <v>1</v>
      </c>
      <c r="F586" s="3" t="str">
        <f t="shared" si="189"/>
        <v>Conexão MT - Obras Transferencia</v>
      </c>
      <c r="G586" s="2" t="str">
        <f>VLOOKUP($A586,Controle!$B$4:$G$68,6,FALSE)</f>
        <v>Apolo</v>
      </c>
      <c r="H586" s="6">
        <v>0</v>
      </c>
      <c r="I586" s="6">
        <v>0</v>
      </c>
      <c r="J586" s="6">
        <v>0</v>
      </c>
      <c r="K586" s="6">
        <v>0</v>
      </c>
      <c r="L586" s="6">
        <v>0</v>
      </c>
      <c r="M586" s="6">
        <v>0</v>
      </c>
      <c r="N586" s="6">
        <v>0</v>
      </c>
      <c r="O586" s="4">
        <f t="shared" si="190"/>
        <v>0</v>
      </c>
      <c r="P586" s="5">
        <f>SUMIFS('Desenvolvimento diário'!$H:$H,'Desenvolvimento diário'!$Q:$Q,$B586,'Desenvolvimento diário'!$P:$P,$F586,'Desenvolvimento diário'!$R:$R,"Sim")</f>
        <v>0</v>
      </c>
      <c r="Q586" s="5">
        <f>SUMIFS('Desenvolvimento diário'!$H:$H,'Desenvolvimento diário'!$Q:$Q,$B586,'Desenvolvimento diário'!$P:$P,$F586,'Desenvolvimento diário'!$R:$R,"Não")</f>
        <v>0</v>
      </c>
      <c r="R586" s="4">
        <f t="shared" si="191"/>
        <v>0</v>
      </c>
      <c r="S586" s="4">
        <f t="shared" si="192"/>
        <v>0</v>
      </c>
      <c r="T586" s="12">
        <f t="shared" si="183"/>
        <v>0</v>
      </c>
      <c r="Y586" s="2"/>
      <c r="Z586" s="2"/>
      <c r="AA586" s="2"/>
      <c r="AB586" s="2"/>
      <c r="AC586" s="2"/>
    </row>
    <row r="587" spans="1:29" ht="10.5" hidden="1">
      <c r="A587" s="2">
        <f t="shared" si="193"/>
        <v>17</v>
      </c>
      <c r="B587" s="2" t="str">
        <f>VLOOKUP($A587,Controle!$B$4:$F$68,2,FALSE)</f>
        <v>Buritizeiro 2</v>
      </c>
      <c r="C587" s="2" t="str">
        <f>VLOOKUP($A587,Controle!$B$4:$F$68,3,FALSE)</f>
        <v xml:space="preserve">ESTRELA DO NORTE </v>
      </c>
      <c r="D587" s="2" t="str">
        <f>VLOOKUP($A587,Controle!$B$4:$F$68,4,FALSE)</f>
        <v>EDN</v>
      </c>
      <c r="E587" s="2">
        <f>VLOOKUP($A587,Controle!$B$4:$F$68,5,FALSE)</f>
        <v>1</v>
      </c>
      <c r="F587" s="3" t="str">
        <f t="shared" si="189"/>
        <v>Bases de Contaniers</v>
      </c>
      <c r="G587" s="2" t="str">
        <f>VLOOKUP($A587,Controle!$B$4:$G$68,6,FALSE)</f>
        <v>Apolo</v>
      </c>
      <c r="H587" s="6">
        <v>0</v>
      </c>
      <c r="I587" s="6">
        <v>0</v>
      </c>
      <c r="J587" s="6">
        <v>0</v>
      </c>
      <c r="K587" s="6">
        <v>0</v>
      </c>
      <c r="L587" s="6">
        <v>0</v>
      </c>
      <c r="M587" s="6">
        <v>0</v>
      </c>
      <c r="N587" s="6">
        <v>0</v>
      </c>
      <c r="O587" s="4">
        <f t="shared" si="190"/>
        <v>0</v>
      </c>
      <c r="P587" s="5">
        <f>SUMIFS('Desenvolvimento diário'!$H:$H,'Desenvolvimento diário'!$Q:$Q,$B587,'Desenvolvimento diário'!$P:$P,$F587,'Desenvolvimento diário'!$R:$R,"Sim")</f>
        <v>0</v>
      </c>
      <c r="Q587" s="5">
        <f>SUMIFS('Desenvolvimento diário'!$H:$H,'Desenvolvimento diário'!$Q:$Q,$B587,'Desenvolvimento diário'!$P:$P,$F587,'Desenvolvimento diário'!$R:$R,"Não")</f>
        <v>0</v>
      </c>
      <c r="R587" s="4">
        <f t="shared" si="191"/>
        <v>0</v>
      </c>
      <c r="S587" s="4">
        <f t="shared" si="192"/>
        <v>0</v>
      </c>
      <c r="T587" s="12">
        <f t="shared" si="183"/>
        <v>0</v>
      </c>
      <c r="Y587" s="2"/>
      <c r="Z587" s="2"/>
      <c r="AA587" s="2"/>
      <c r="AB587" s="2"/>
      <c r="AC587" s="2"/>
    </row>
    <row r="588" spans="1:29" ht="10.5" hidden="1">
      <c r="A588" s="2">
        <f t="shared" si="193"/>
        <v>17</v>
      </c>
      <c r="B588" s="2" t="str">
        <f>VLOOKUP($A588,Controle!$B$4:$F$68,2,FALSE)</f>
        <v>Buritizeiro 2</v>
      </c>
      <c r="C588" s="2" t="str">
        <f>VLOOKUP($A588,Controle!$B$4:$F$68,3,FALSE)</f>
        <v xml:space="preserve">ESTRELA DO NORTE </v>
      </c>
      <c r="D588" s="2" t="str">
        <f>VLOOKUP($A588,Controle!$B$4:$F$68,4,FALSE)</f>
        <v>EDN</v>
      </c>
      <c r="E588" s="2">
        <f>VLOOKUP($A588,Controle!$B$4:$F$68,5,FALSE)</f>
        <v>1</v>
      </c>
      <c r="F588" s="3" t="str">
        <f t="shared" si="189"/>
        <v>Construção - Serviços de Construção - Ase Engenharia</v>
      </c>
      <c r="G588" s="2" t="str">
        <f>VLOOKUP($A588,Controle!$B$4:$G$68,6,FALSE)</f>
        <v>Apolo</v>
      </c>
      <c r="H588" s="6">
        <v>0</v>
      </c>
      <c r="I588" s="6">
        <v>0</v>
      </c>
      <c r="J588" s="6">
        <v>0</v>
      </c>
      <c r="K588" s="6">
        <v>0</v>
      </c>
      <c r="L588" s="6">
        <v>0</v>
      </c>
      <c r="M588" s="6">
        <v>0</v>
      </c>
      <c r="N588" s="6">
        <v>0</v>
      </c>
      <c r="O588" s="4">
        <f t="shared" si="190"/>
        <v>0</v>
      </c>
      <c r="P588" s="5">
        <f>SUMIFS('Desenvolvimento diário'!$H:$H,'Desenvolvimento diário'!$Q:$Q,$B588,'Desenvolvimento diário'!$P:$P,$F588,'Desenvolvimento diário'!$R:$R,"Sim")</f>
        <v>0</v>
      </c>
      <c r="Q588" s="5">
        <f>SUMIFS('Desenvolvimento diário'!$H:$H,'Desenvolvimento diário'!$Q:$Q,$B588,'Desenvolvimento diário'!$P:$P,$F588,'Desenvolvimento diário'!$R:$R,"Não")</f>
        <v>0</v>
      </c>
      <c r="R588" s="4">
        <f t="shared" si="191"/>
        <v>0</v>
      </c>
      <c r="S588" s="4">
        <f t="shared" si="192"/>
        <v>0</v>
      </c>
      <c r="T588" s="12">
        <f t="shared" si="183"/>
        <v>0</v>
      </c>
      <c r="Y588" s="2"/>
      <c r="Z588" s="2"/>
      <c r="AA588" s="2"/>
      <c r="AB588" s="2"/>
      <c r="AC588" s="2"/>
    </row>
    <row r="589" spans="1:29" ht="10.5" hidden="1">
      <c r="A589" s="2">
        <f t="shared" si="193"/>
        <v>17</v>
      </c>
      <c r="B589" s="2" t="str">
        <f>VLOOKUP($A589,Controle!$B$4:$F$68,2,FALSE)</f>
        <v>Buritizeiro 2</v>
      </c>
      <c r="C589" s="2" t="str">
        <f>VLOOKUP($A589,Controle!$B$4:$F$68,3,FALSE)</f>
        <v xml:space="preserve">ESTRELA DO NORTE </v>
      </c>
      <c r="D589" s="2" t="str">
        <f>VLOOKUP($A589,Controle!$B$4:$F$68,4,FALSE)</f>
        <v>EDN</v>
      </c>
      <c r="E589" s="2">
        <f>VLOOKUP($A589,Controle!$B$4:$F$68,5,FALSE)</f>
        <v>1</v>
      </c>
      <c r="F589" s="3" t="str">
        <f t="shared" si="189"/>
        <v>Full EPC - Contrato Sobressalentes</v>
      </c>
      <c r="G589" s="2" t="str">
        <f>VLOOKUP($A589,Controle!$B$4:$G$68,6,FALSE)</f>
        <v>Apolo</v>
      </c>
      <c r="H589" s="6">
        <v>0</v>
      </c>
      <c r="I589" s="6">
        <v>0</v>
      </c>
      <c r="J589" s="6">
        <v>0</v>
      </c>
      <c r="K589" s="6">
        <v>0</v>
      </c>
      <c r="L589" s="6">
        <v>0</v>
      </c>
      <c r="M589" s="6">
        <v>0</v>
      </c>
      <c r="N589" s="6">
        <v>0</v>
      </c>
      <c r="O589" s="4">
        <f t="shared" si="190"/>
        <v>0</v>
      </c>
      <c r="P589" s="5">
        <f>SUMIFS('Desenvolvimento diário'!$H:$H,'Desenvolvimento diário'!$Q:$Q,$B589,'Desenvolvimento diário'!$P:$P,$F589,'Desenvolvimento diário'!$R:$R,"Sim")</f>
        <v>0</v>
      </c>
      <c r="Q589" s="5">
        <f>SUMIFS('Desenvolvimento diário'!$H:$H,'Desenvolvimento diário'!$Q:$Q,$B589,'Desenvolvimento diário'!$P:$P,$F589,'Desenvolvimento diário'!$R:$R,"Não")</f>
        <v>0</v>
      </c>
      <c r="R589" s="4">
        <f t="shared" si="191"/>
        <v>0</v>
      </c>
      <c r="S589" s="4">
        <f t="shared" si="192"/>
        <v>0</v>
      </c>
      <c r="T589" s="12">
        <f t="shared" si="183"/>
        <v>0</v>
      </c>
      <c r="Y589" s="2"/>
      <c r="Z589" s="2"/>
      <c r="AA589" s="2"/>
      <c r="AB589" s="2"/>
      <c r="AC589" s="2"/>
    </row>
    <row r="590" spans="1:29" ht="10.5" hidden="1">
      <c r="A590" s="2">
        <f t="shared" si="193"/>
        <v>17</v>
      </c>
      <c r="B590" s="2" t="str">
        <f>VLOOKUP($A590,Controle!$B$4:$F$68,2,FALSE)</f>
        <v>Buritizeiro 2</v>
      </c>
      <c r="C590" s="2" t="str">
        <f>VLOOKUP($A590,Controle!$B$4:$F$68,3,FALSE)</f>
        <v xml:space="preserve">ESTRELA DO NORTE </v>
      </c>
      <c r="D590" s="2" t="str">
        <f>VLOOKUP($A590,Controle!$B$4:$F$68,4,FALSE)</f>
        <v>EDN</v>
      </c>
      <c r="E590" s="2">
        <f>VLOOKUP($A590,Controle!$B$4:$F$68,5,FALSE)</f>
        <v>1</v>
      </c>
      <c r="F590" s="3" t="str">
        <f t="shared" si="189"/>
        <v>Construção - Serviços de Construção - NOVA MORADA</v>
      </c>
      <c r="G590" s="2" t="str">
        <f>VLOOKUP($A590,Controle!$B$4:$G$68,6,FALSE)</f>
        <v>Apolo</v>
      </c>
      <c r="H590" s="6">
        <v>0</v>
      </c>
      <c r="I590" s="6">
        <v>0</v>
      </c>
      <c r="J590" s="6">
        <v>0</v>
      </c>
      <c r="K590" s="6">
        <v>0</v>
      </c>
      <c r="L590" s="6">
        <v>0</v>
      </c>
      <c r="M590" s="6">
        <v>0</v>
      </c>
      <c r="N590" s="6">
        <v>0</v>
      </c>
      <c r="O590" s="4">
        <f t="shared" si="190"/>
        <v>0</v>
      </c>
      <c r="P590" s="5">
        <f>SUMIFS('Desenvolvimento diário'!$H:$H,'Desenvolvimento diário'!$Q:$Q,$B590,'Desenvolvimento diário'!$P:$P,$F590,'Desenvolvimento diário'!$R:$R,"Sim")</f>
        <v>0</v>
      </c>
      <c r="Q590" s="5">
        <f>SUMIFS('Desenvolvimento diário'!$H:$H,'Desenvolvimento diário'!$Q:$Q,$B590,'Desenvolvimento diário'!$P:$P,$F590,'Desenvolvimento diário'!$R:$R,"Não")</f>
        <v>0</v>
      </c>
      <c r="R590" s="4">
        <f t="shared" si="191"/>
        <v>0</v>
      </c>
      <c r="S590" s="4">
        <f t="shared" si="192"/>
        <v>0</v>
      </c>
      <c r="T590" s="12">
        <f t="shared" si="183"/>
        <v>0</v>
      </c>
      <c r="Y590" s="2"/>
      <c r="Z590" s="2"/>
      <c r="AA590" s="2"/>
      <c r="AB590" s="2"/>
      <c r="AC590" s="2"/>
    </row>
    <row r="591" spans="1:29" ht="10.5" hidden="1">
      <c r="A591" s="2">
        <f t="shared" si="193"/>
        <v>17</v>
      </c>
      <c r="B591" s="2" t="str">
        <f>VLOOKUP($A591,Controle!$B$4:$F$68,2,FALSE)</f>
        <v>Buritizeiro 2</v>
      </c>
      <c r="C591" s="2" t="str">
        <f>VLOOKUP($A591,Controle!$B$4:$F$68,3,FALSE)</f>
        <v xml:space="preserve">ESTRELA DO NORTE </v>
      </c>
      <c r="D591" s="2" t="str">
        <f>VLOOKUP($A591,Controle!$B$4:$F$68,4,FALSE)</f>
        <v>EDN</v>
      </c>
      <c r="E591" s="2">
        <f>VLOOKUP($A591,Controle!$B$4:$F$68,5,FALSE)</f>
        <v>1</v>
      </c>
      <c r="F591" s="3" t="str">
        <f t="shared" si="189"/>
        <v>Equipamentos Curva A -  Contrato Sobressalentes - SETTA</v>
      </c>
      <c r="G591" s="2" t="str">
        <f>VLOOKUP($A591,Controle!$B$4:$G$68,6,FALSE)</f>
        <v>Apolo</v>
      </c>
      <c r="H591" s="6" t="s">
        <v>196</v>
      </c>
      <c r="I591" s="6">
        <v>68908.735000000001</v>
      </c>
      <c r="J591" s="6">
        <v>0</v>
      </c>
      <c r="K591" s="6">
        <v>0</v>
      </c>
      <c r="L591" s="6">
        <v>0</v>
      </c>
      <c r="M591" s="6">
        <v>0</v>
      </c>
      <c r="N591" s="6">
        <v>0</v>
      </c>
      <c r="O591" s="4">
        <f t="shared" si="190"/>
        <v>68908.735000000001</v>
      </c>
      <c r="P591" s="5">
        <f>SUMIFS('Desenvolvimento diário'!$H:$H,'Desenvolvimento diário'!$Q:$Q,$B591,'Desenvolvimento diário'!$P:$P,$F591,'Desenvolvimento diário'!$R:$R,"Sim")</f>
        <v>0</v>
      </c>
      <c r="Q591" s="5">
        <f>SUMIFS('Desenvolvimento diário'!$H:$H,'Desenvolvimento diário'!$Q:$Q,$B591,'Desenvolvimento diário'!$P:$P,$F591,'Desenvolvimento diário'!$R:$R,"Não")</f>
        <v>68908.735000000001</v>
      </c>
      <c r="R591" s="4">
        <f t="shared" si="191"/>
        <v>68908.735000000001</v>
      </c>
      <c r="S591" s="4">
        <f t="shared" si="192"/>
        <v>0</v>
      </c>
      <c r="T591" s="12">
        <f t="shared" si="183"/>
        <v>1</v>
      </c>
      <c r="Y591" s="2"/>
      <c r="Z591" s="2"/>
      <c r="AA591" s="2"/>
      <c r="AB591" s="2"/>
      <c r="AC591" s="2"/>
    </row>
    <row r="592" spans="1:29" ht="10.5" hidden="1">
      <c r="A592" s="2">
        <f t="shared" si="193"/>
        <v>17</v>
      </c>
      <c r="B592" s="2" t="str">
        <f>VLOOKUP($A592,Controle!$B$4:$F$68,2,FALSE)</f>
        <v>Buritizeiro 2</v>
      </c>
      <c r="C592" s="2" t="str">
        <f>VLOOKUP($A592,Controle!$B$4:$F$68,3,FALSE)</f>
        <v xml:space="preserve">ESTRELA DO NORTE </v>
      </c>
      <c r="D592" s="2" t="str">
        <f>VLOOKUP($A592,Controle!$B$4:$F$68,4,FALSE)</f>
        <v>EDN</v>
      </c>
      <c r="E592" s="2">
        <f>VLOOKUP($A592,Controle!$B$4:$F$68,5,FALSE)</f>
        <v>1</v>
      </c>
      <c r="F592" s="3" t="str">
        <f t="shared" si="189"/>
        <v>Equipamentos Curva A -  Contrato Sobressalentes - Arctech</v>
      </c>
      <c r="G592" s="2" t="str">
        <f>VLOOKUP($A592,Controle!$B$4:$G$68,6,FALSE)</f>
        <v>Apolo</v>
      </c>
      <c r="H592" s="6">
        <v>0</v>
      </c>
      <c r="I592" s="6">
        <v>0</v>
      </c>
      <c r="J592" s="6">
        <v>0</v>
      </c>
      <c r="K592" s="6">
        <v>0</v>
      </c>
      <c r="L592" s="6">
        <v>0</v>
      </c>
      <c r="M592" s="6">
        <v>0</v>
      </c>
      <c r="N592" s="6">
        <v>0</v>
      </c>
      <c r="O592" s="4">
        <f t="shared" si="190"/>
        <v>0</v>
      </c>
      <c r="P592" s="5">
        <f>SUMIFS('Desenvolvimento diário'!$H:$H,'Desenvolvimento diário'!$Q:$Q,$B592,'Desenvolvimento diário'!$P:$P,$F592,'Desenvolvimento diário'!$R:$R,"Sim")</f>
        <v>0</v>
      </c>
      <c r="Q592" s="5">
        <f>SUMIFS('Desenvolvimento diário'!$H:$H,'Desenvolvimento diário'!$Q:$Q,$B592,'Desenvolvimento diário'!$P:$P,$F592,'Desenvolvimento diário'!$R:$R,"Não")</f>
        <v>0</v>
      </c>
      <c r="R592" s="4">
        <f t="shared" si="191"/>
        <v>0</v>
      </c>
      <c r="S592" s="4">
        <f t="shared" si="192"/>
        <v>0</v>
      </c>
      <c r="T592" s="12">
        <f t="shared" si="183"/>
        <v>0</v>
      </c>
      <c r="Y592" s="2"/>
      <c r="Z592" s="2"/>
      <c r="AA592" s="2"/>
      <c r="AB592" s="2"/>
      <c r="AC592" s="2"/>
    </row>
    <row r="593" spans="1:29" hidden="1">
      <c r="A593" s="2">
        <f t="shared" si="193"/>
        <v>17</v>
      </c>
      <c r="B593" s="2" t="str">
        <f>VLOOKUP($A593,Controle!$B$4:$F$68,2,FALSE)</f>
        <v>Buritizeiro 2</v>
      </c>
      <c r="C593" s="2" t="str">
        <f>VLOOKUP($A593,Controle!$B$4:$F$68,3,FALSE)</f>
        <v xml:space="preserve">ESTRELA DO NORTE </v>
      </c>
      <c r="D593" s="2" t="str">
        <f>VLOOKUP($A593,Controle!$B$4:$F$68,4,FALSE)</f>
        <v>EDN</v>
      </c>
      <c r="E593" s="2">
        <f>VLOOKUP($A593,Controle!$B$4:$F$68,5,FALSE)</f>
        <v>1</v>
      </c>
      <c r="F593" s="3" t="str">
        <f t="shared" si="189"/>
        <v>Equipamentos Curva A -  Contrato Sobressalentes - Romagnole</v>
      </c>
      <c r="G593" s="2" t="str">
        <f>VLOOKUP($A593,Controle!$B$4:$G$68,6,FALSE)</f>
        <v>Apolo</v>
      </c>
      <c r="H593" s="7">
        <v>0</v>
      </c>
      <c r="I593" s="7">
        <v>0</v>
      </c>
      <c r="J593" s="7">
        <v>0</v>
      </c>
      <c r="K593" s="7">
        <v>0</v>
      </c>
      <c r="L593" s="7">
        <v>0</v>
      </c>
      <c r="M593" s="7">
        <v>0</v>
      </c>
      <c r="N593" s="7">
        <v>0</v>
      </c>
      <c r="O593" s="4">
        <f t="shared" si="190"/>
        <v>0</v>
      </c>
      <c r="P593" s="17">
        <f>SUMIFS('Desenvolvimento diário'!$H:$H,'Desenvolvimento diário'!$Q:$Q,$B593,'Desenvolvimento diário'!$P:$P,$F593,'Desenvolvimento diário'!$R:$R,"Sim")</f>
        <v>0</v>
      </c>
      <c r="Q593" s="17">
        <f>SUMIFS('Desenvolvimento diário'!$H:$H,'Desenvolvimento diário'!$Q:$Q,$B593,'Desenvolvimento diário'!$P:$P,$F593,'Desenvolvimento diário'!$R:$R,"Não")</f>
        <v>0</v>
      </c>
      <c r="R593" s="4">
        <f t="shared" si="191"/>
        <v>0</v>
      </c>
      <c r="S593" s="4">
        <f t="shared" si="192"/>
        <v>0</v>
      </c>
      <c r="T593" s="12">
        <f t="shared" si="183"/>
        <v>0</v>
      </c>
      <c r="Y593" s="2"/>
      <c r="Z593" s="2"/>
      <c r="AA593" s="2"/>
      <c r="AB593" s="2"/>
      <c r="AC593" s="2"/>
    </row>
    <row r="594" spans="1:29" hidden="1">
      <c r="A594" s="2">
        <f t="shared" si="193"/>
        <v>17</v>
      </c>
      <c r="B594" s="2" t="str">
        <f>VLOOKUP($A594,Controle!$B$4:$F$68,2,FALSE)</f>
        <v>Buritizeiro 2</v>
      </c>
      <c r="C594" s="2" t="str">
        <f>VLOOKUP($A594,Controle!$B$4:$F$68,3,FALSE)</f>
        <v xml:space="preserve">ESTRELA DO NORTE </v>
      </c>
      <c r="D594" s="2" t="str">
        <f>VLOOKUP($A594,Controle!$B$4:$F$68,4,FALSE)</f>
        <v>EDN</v>
      </c>
      <c r="E594" s="2">
        <f>VLOOKUP($A594,Controle!$B$4:$F$68,5,FALSE)</f>
        <v>1</v>
      </c>
      <c r="F594" s="3" t="str">
        <f t="shared" si="189"/>
        <v>GOS FLORESTAL - (PRAD - Recuperação Area Ambiental)</v>
      </c>
      <c r="G594" s="2" t="str">
        <f>VLOOKUP($A594,Controle!$B$4:$G$68,6,FALSE)</f>
        <v>Apolo</v>
      </c>
      <c r="H594" s="506" t="s">
        <v>170</v>
      </c>
      <c r="I594" s="6">
        <v>0</v>
      </c>
      <c r="J594" s="506"/>
      <c r="K594" s="506">
        <v>0</v>
      </c>
      <c r="L594" s="506">
        <v>0</v>
      </c>
      <c r="M594" s="506">
        <v>0</v>
      </c>
      <c r="N594" s="506">
        <v>0</v>
      </c>
      <c r="O594" s="39">
        <f t="shared" si="190"/>
        <v>0</v>
      </c>
      <c r="P594" s="17">
        <f>SUMIFS('Desenvolvimento diário'!$H:$H,'Desenvolvimento diário'!$Q:$Q,$B594,'Desenvolvimento diário'!$P:$P,$F594,'Desenvolvimento diário'!$R:$R,"Sim")</f>
        <v>0</v>
      </c>
      <c r="Q594" s="17">
        <f>SUMIFS('Desenvolvimento diário'!$H:$H,'Desenvolvimento diário'!$Q:$Q,$B594,'Desenvolvimento diário'!$P:$P,$F594,'Desenvolvimento diário'!$R:$R,"Não")</f>
        <v>0</v>
      </c>
      <c r="R594" s="4">
        <f t="shared" si="191"/>
        <v>0</v>
      </c>
      <c r="S594" s="4">
        <f t="shared" si="192"/>
        <v>0</v>
      </c>
      <c r="T594" s="12">
        <f t="shared" ref="T594:T595" si="195">IFERROR(R594/O594,0)</f>
        <v>0</v>
      </c>
      <c r="Y594" s="2"/>
      <c r="Z594" s="2"/>
      <c r="AA594" s="2"/>
      <c r="AB594" s="2"/>
      <c r="AC594" s="2"/>
    </row>
    <row r="595" spans="1:29" hidden="1">
      <c r="A595" s="2">
        <f t="shared" si="193"/>
        <v>17</v>
      </c>
      <c r="B595" s="2" t="str">
        <f>VLOOKUP($A595,Controle!$B$4:$F$68,2,FALSE)</f>
        <v>Buritizeiro 2</v>
      </c>
      <c r="C595" s="2" t="str">
        <f>VLOOKUP($A595,Controle!$B$4:$F$68,3,FALSE)</f>
        <v xml:space="preserve">ESTRELA DO NORTE </v>
      </c>
      <c r="D595" s="2" t="str">
        <f>VLOOKUP($A595,Controle!$B$4:$F$68,4,FALSE)</f>
        <v>EDN</v>
      </c>
      <c r="E595" s="2">
        <f>VLOOKUP($A595,Controle!$B$4:$F$68,5,FALSE)</f>
        <v>1</v>
      </c>
      <c r="F595" s="3" t="str">
        <f t="shared" si="189"/>
        <v>Cercamento das bacias de contenção ciclo 2</v>
      </c>
      <c r="G595" s="2" t="str">
        <f>VLOOKUP($A595,Controle!$B$4:$G$68,6,FALSE)</f>
        <v>Apolo</v>
      </c>
      <c r="H595" s="506" t="s">
        <v>172</v>
      </c>
      <c r="I595" s="6"/>
      <c r="J595" s="506"/>
      <c r="K595" s="506">
        <v>0</v>
      </c>
      <c r="L595" s="506">
        <v>0</v>
      </c>
      <c r="M595" s="506">
        <v>0</v>
      </c>
      <c r="N595" s="506">
        <v>0</v>
      </c>
      <c r="O595" s="39">
        <f t="shared" si="190"/>
        <v>0</v>
      </c>
      <c r="P595" s="17">
        <f>SUMIFS('Desenvolvimento diário'!$H:$H,'Desenvolvimento diário'!$Q:$Q,$B595,'Desenvolvimento diário'!$P:$P,$F595,'Desenvolvimento diário'!$R:$R,"Sim")</f>
        <v>0</v>
      </c>
      <c r="Q595" s="17">
        <f>SUMIFS('Desenvolvimento diário'!$H:$H,'Desenvolvimento diário'!$Q:$Q,$B595,'Desenvolvimento diário'!$P:$P,$F595,'Desenvolvimento diário'!$R:$R,"Não")</f>
        <v>0</v>
      </c>
      <c r="R595" s="4">
        <f t="shared" si="191"/>
        <v>0</v>
      </c>
      <c r="S595" s="1030">
        <f t="shared" si="192"/>
        <v>0</v>
      </c>
      <c r="T595" s="12">
        <f t="shared" si="195"/>
        <v>0</v>
      </c>
      <c r="U595" s="1029" t="s">
        <v>166</v>
      </c>
      <c r="V595" s="1029" t="s">
        <v>94</v>
      </c>
      <c r="Y595" s="2"/>
      <c r="Z595" s="2"/>
      <c r="AA595" s="2"/>
      <c r="AB595" s="2"/>
      <c r="AC595" s="2"/>
    </row>
    <row r="596" spans="1:29" hidden="1">
      <c r="A596" s="8">
        <f>A593</f>
        <v>17</v>
      </c>
      <c r="B596" s="9" t="str">
        <f t="shared" ref="B596" si="196">B593</f>
        <v>Buritizeiro 2</v>
      </c>
      <c r="C596" s="9" t="str">
        <f t="shared" ref="C596" si="197">C593</f>
        <v xml:space="preserve">ESTRELA DO NORTE </v>
      </c>
      <c r="D596" s="9" t="str">
        <f t="shared" ref="D596" si="198">D593</f>
        <v>EDN</v>
      </c>
      <c r="E596" s="9">
        <f t="shared" ref="E596" si="199">E593</f>
        <v>1</v>
      </c>
      <c r="F596" s="10" t="s">
        <v>158</v>
      </c>
      <c r="G596" s="9" t="str">
        <f>G593</f>
        <v>Apolo</v>
      </c>
      <c r="H596" s="9"/>
      <c r="I596" s="9">
        <f>SUBTOTAL(9,I562:I595)</f>
        <v>0</v>
      </c>
      <c r="J596" s="9">
        <f t="shared" ref="J596:S596" si="200">SUBTOTAL(9,J562:J595)</f>
        <v>0</v>
      </c>
      <c r="K596" s="9">
        <f t="shared" si="200"/>
        <v>0</v>
      </c>
      <c r="L596" s="9">
        <f t="shared" si="200"/>
        <v>0</v>
      </c>
      <c r="M596" s="9">
        <f t="shared" si="200"/>
        <v>0</v>
      </c>
      <c r="N596" s="9">
        <f t="shared" si="200"/>
        <v>0</v>
      </c>
      <c r="O596" s="9">
        <f t="shared" si="200"/>
        <v>0</v>
      </c>
      <c r="P596" s="9">
        <f t="shared" si="200"/>
        <v>0</v>
      </c>
      <c r="Q596" s="9">
        <f t="shared" si="200"/>
        <v>0</v>
      </c>
      <c r="R596" s="9">
        <f t="shared" si="200"/>
        <v>0</v>
      </c>
      <c r="S596" s="9">
        <f t="shared" si="200"/>
        <v>0</v>
      </c>
      <c r="T596" s="13">
        <f>IFERROR(R596/O596,0)</f>
        <v>0</v>
      </c>
      <c r="U596" s="11">
        <f>SUBTOTAL(9,U562:U595)</f>
        <v>0</v>
      </c>
      <c r="Y596" s="2"/>
      <c r="Z596" s="2"/>
      <c r="AA596" s="2"/>
      <c r="AB596" s="2"/>
      <c r="AC596" s="2"/>
    </row>
    <row r="597" spans="1:29" hidden="1">
      <c r="A597" s="2">
        <f>A562+1</f>
        <v>18</v>
      </c>
      <c r="B597" s="2" t="str">
        <f>VLOOKUP($A597,Controle!$B$4:$F$68,2,FALSE)</f>
        <v>Guarda-Mor</v>
      </c>
      <c r="C597" s="2" t="str">
        <f>VLOOKUP($A597,Controle!$B$4:$F$68,3,FALSE)</f>
        <v xml:space="preserve">ESTRELA DO NORTE </v>
      </c>
      <c r="D597" s="2" t="str">
        <f>VLOOKUP($A597,Controle!$B$4:$F$68,4,FALSE)</f>
        <v>EDN</v>
      </c>
      <c r="E597" s="2" t="str">
        <f>VLOOKUP($A597,Controle!$B$4:$F$68,5,FALSE)</f>
        <v>Weg</v>
      </c>
      <c r="F597" s="3" t="str">
        <f t="shared" ref="F597:F630" si="201">F562</f>
        <v>Conexão AT - Obras</v>
      </c>
      <c r="G597" s="2" t="str">
        <f>VLOOKUP($A597,Controle!$B$4:$G$68,6,FALSE)</f>
        <v>Apolo</v>
      </c>
      <c r="H597" s="6" t="s">
        <v>141</v>
      </c>
      <c r="I597" s="29">
        <v>380000</v>
      </c>
      <c r="J597" s="6">
        <v>0</v>
      </c>
      <c r="K597" s="6">
        <v>0</v>
      </c>
      <c r="L597" s="6">
        <v>0</v>
      </c>
      <c r="M597" s="6">
        <v>0</v>
      </c>
      <c r="N597" s="6">
        <v>0</v>
      </c>
      <c r="O597" s="4">
        <f t="shared" ref="O597:O630" si="202">SUM(I597:N597)</f>
        <v>380000</v>
      </c>
      <c r="P597" s="5">
        <f>SUMIFS('Desenvolvimento diário'!$H:$H,'Desenvolvimento diário'!$Q:$Q,$B597,'Desenvolvimento diário'!$P:$P,$F597,'Desenvolvimento diário'!$R:$R,"Sim")</f>
        <v>82213.59</v>
      </c>
      <c r="Q597" s="5">
        <f>SUMIFS('Desenvolvimento diário'!$H:$H,'Desenvolvimento diário'!$Q:$Q,$B597,'Desenvolvimento diário'!$P:$P,$F597,'Desenvolvimento diário'!$R:$R,"Não")</f>
        <v>297786.41000000003</v>
      </c>
      <c r="R597" s="4">
        <f t="shared" ref="R597:R630" si="203">SUM(P597:Q597)</f>
        <v>380000</v>
      </c>
      <c r="S597" s="4">
        <f t="shared" ref="S597:S630" si="204">O597-R597</f>
        <v>0</v>
      </c>
      <c r="T597" s="12">
        <f t="shared" si="183"/>
        <v>1</v>
      </c>
      <c r="Y597" s="2"/>
      <c r="Z597" s="2"/>
      <c r="AA597" s="2"/>
      <c r="AB597" s="2"/>
      <c r="AC597" s="2"/>
    </row>
    <row r="598" spans="1:29" hidden="1">
      <c r="A598" s="2">
        <f>A597</f>
        <v>18</v>
      </c>
      <c r="B598" s="2" t="str">
        <f>VLOOKUP($A598,Controle!$B$4:$F$68,2,FALSE)</f>
        <v>Guarda-Mor</v>
      </c>
      <c r="C598" s="2" t="str">
        <f>VLOOKUP($A598,Controle!$B$4:$F$68,3,FALSE)</f>
        <v xml:space="preserve">ESTRELA DO NORTE </v>
      </c>
      <c r="D598" s="2" t="str">
        <f>VLOOKUP($A598,Controle!$B$4:$F$68,4,FALSE)</f>
        <v>EDN</v>
      </c>
      <c r="E598" s="2" t="str">
        <f>VLOOKUP($A598,Controle!$B$4:$F$68,5,FALSE)</f>
        <v>Weg</v>
      </c>
      <c r="F598" s="3" t="str">
        <f t="shared" si="201"/>
        <v>Conexão MT - Obras</v>
      </c>
      <c r="G598" s="2" t="str">
        <f>VLOOKUP($A598,Controle!$B$4:$G$68,6,FALSE)</f>
        <v>Apolo</v>
      </c>
      <c r="H598" s="6" t="s">
        <v>141</v>
      </c>
      <c r="I598" s="6">
        <v>490000</v>
      </c>
      <c r="J598" s="6">
        <v>173000</v>
      </c>
      <c r="K598" s="6">
        <v>0</v>
      </c>
      <c r="L598" s="6">
        <v>0</v>
      </c>
      <c r="M598" s="6">
        <v>0</v>
      </c>
      <c r="N598" s="6">
        <v>0</v>
      </c>
      <c r="O598" s="4">
        <f t="shared" si="202"/>
        <v>663000</v>
      </c>
      <c r="P598" s="5">
        <f>SUMIFS('Desenvolvimento diário'!$H:$H,'Desenvolvimento diário'!$Q:$Q,$B598,'Desenvolvimento diário'!$P:$P,$F598,'Desenvolvimento diário'!$R:$R,"Sim")</f>
        <v>249863.91999999998</v>
      </c>
      <c r="Q598" s="5">
        <f>SUMIFS('Desenvolvimento diário'!$H:$H,'Desenvolvimento diário'!$Q:$Q,$B598,'Desenvolvimento diário'!$P:$P,$F598,'Desenvolvimento diário'!$R:$R,"Não")</f>
        <v>413136.07999999996</v>
      </c>
      <c r="R598" s="4">
        <f t="shared" si="203"/>
        <v>663000</v>
      </c>
      <c r="S598" s="27">
        <f t="shared" si="204"/>
        <v>0</v>
      </c>
      <c r="T598" s="12">
        <f t="shared" si="183"/>
        <v>1</v>
      </c>
      <c r="Y598" s="2"/>
      <c r="Z598" s="2"/>
      <c r="AA598" s="2"/>
      <c r="AB598" s="2"/>
      <c r="AC598" s="2"/>
    </row>
    <row r="599" spans="1:29" ht="10.5" hidden="1">
      <c r="A599" s="2">
        <f t="shared" ref="A599:A630" si="205">A598</f>
        <v>18</v>
      </c>
      <c r="B599" s="2" t="str">
        <f>VLOOKUP($A599,Controle!$B$4:$F$68,2,FALSE)</f>
        <v>Guarda-Mor</v>
      </c>
      <c r="C599" s="2" t="str">
        <f>VLOOKUP($A599,Controle!$B$4:$F$68,3,FALSE)</f>
        <v xml:space="preserve">ESTRELA DO NORTE </v>
      </c>
      <c r="D599" s="2" t="str">
        <f>VLOOKUP($A599,Controle!$B$4:$F$68,4,FALSE)</f>
        <v>EDN</v>
      </c>
      <c r="E599" s="2" t="str">
        <f>VLOOKUP($A599,Controle!$B$4:$F$68,5,FALSE)</f>
        <v>Weg</v>
      </c>
      <c r="F599" s="3" t="str">
        <f t="shared" si="201"/>
        <v>Construção - Serviços de Construção</v>
      </c>
      <c r="G599" s="2" t="str">
        <f>VLOOKUP($A599,Controle!$B$4:$G$68,6,FALSE)</f>
        <v>Apolo</v>
      </c>
      <c r="H599" s="6">
        <v>0</v>
      </c>
      <c r="I599" s="6">
        <v>0</v>
      </c>
      <c r="J599" s="6">
        <v>0</v>
      </c>
      <c r="K599" s="6">
        <v>0</v>
      </c>
      <c r="L599" s="6">
        <v>0</v>
      </c>
      <c r="M599" s="6">
        <v>0</v>
      </c>
      <c r="N599" s="6">
        <v>0</v>
      </c>
      <c r="O599" s="4">
        <f t="shared" si="202"/>
        <v>0</v>
      </c>
      <c r="P599" s="5">
        <f>SUMIFS('Desenvolvimento diário'!$H:$H,'Desenvolvimento diário'!$Q:$Q,$B599,'Desenvolvimento diário'!$P:$P,$F599,'Desenvolvimento diário'!$R:$R,"Sim")</f>
        <v>0</v>
      </c>
      <c r="Q599" s="5">
        <f>SUMIFS('Desenvolvimento diário'!$H:$H,'Desenvolvimento diário'!$Q:$Q,$B599,'Desenvolvimento diário'!$P:$P,$F599,'Desenvolvimento diário'!$R:$R,"Não")</f>
        <v>0</v>
      </c>
      <c r="R599" s="4">
        <f t="shared" si="203"/>
        <v>0</v>
      </c>
      <c r="S599" s="4">
        <f t="shared" si="204"/>
        <v>0</v>
      </c>
      <c r="T599" s="12">
        <f t="shared" si="183"/>
        <v>0</v>
      </c>
      <c r="Y599" s="2"/>
      <c r="Z599" s="2"/>
      <c r="AA599" s="2"/>
      <c r="AB599" s="2"/>
      <c r="AC599" s="2"/>
    </row>
    <row r="600" spans="1:29" ht="10.5" hidden="1">
      <c r="A600" s="2">
        <f t="shared" si="205"/>
        <v>18</v>
      </c>
      <c r="B600" s="2" t="str">
        <f>VLOOKUP($A600,Controle!$B$4:$F$68,2,FALSE)</f>
        <v>Guarda-Mor</v>
      </c>
      <c r="C600" s="2" t="str">
        <f>VLOOKUP($A600,Controle!$B$4:$F$68,3,FALSE)</f>
        <v xml:space="preserve">ESTRELA DO NORTE </v>
      </c>
      <c r="D600" s="2" t="str">
        <f>VLOOKUP($A600,Controle!$B$4:$F$68,4,FALSE)</f>
        <v>EDN</v>
      </c>
      <c r="E600" s="2" t="str">
        <f>VLOOKUP($A600,Controle!$B$4:$F$68,5,FALSE)</f>
        <v>Weg</v>
      </c>
      <c r="F600" s="3" t="str">
        <f t="shared" si="201"/>
        <v>Construção - Serviços de Construção - Substituição</v>
      </c>
      <c r="G600" s="2" t="str">
        <f>VLOOKUP($A600,Controle!$B$4:$G$68,6,FALSE)</f>
        <v>Apolo</v>
      </c>
      <c r="H600" s="6">
        <v>0</v>
      </c>
      <c r="I600" s="6">
        <v>0</v>
      </c>
      <c r="J600" s="6">
        <v>0</v>
      </c>
      <c r="K600" s="6">
        <v>0</v>
      </c>
      <c r="L600" s="6">
        <v>0</v>
      </c>
      <c r="M600" s="6">
        <v>0</v>
      </c>
      <c r="N600" s="6">
        <v>0</v>
      </c>
      <c r="O600" s="4">
        <f t="shared" si="202"/>
        <v>0</v>
      </c>
      <c r="P600" s="5">
        <f>SUMIFS('Desenvolvimento diário'!$H:$H,'Desenvolvimento diário'!$Q:$Q,$B600,'Desenvolvimento diário'!$P:$P,$F600,'Desenvolvimento diário'!$R:$R,"Sim")</f>
        <v>0</v>
      </c>
      <c r="Q600" s="5">
        <f>SUMIFS('Desenvolvimento diário'!$H:$H,'Desenvolvimento diário'!$Q:$Q,$B600,'Desenvolvimento diário'!$P:$P,$F600,'Desenvolvimento diário'!$R:$R,"Não")</f>
        <v>0</v>
      </c>
      <c r="R600" s="4">
        <f t="shared" si="203"/>
        <v>0</v>
      </c>
      <c r="S600" s="4">
        <f t="shared" si="204"/>
        <v>0</v>
      </c>
      <c r="T600" s="12">
        <f t="shared" si="183"/>
        <v>0</v>
      </c>
      <c r="Y600" s="2"/>
      <c r="Z600" s="2"/>
      <c r="AA600" s="2"/>
      <c r="AB600" s="2"/>
      <c r="AC600" s="2"/>
    </row>
    <row r="601" spans="1:29" ht="10.5" hidden="1">
      <c r="A601" s="2">
        <f t="shared" si="205"/>
        <v>18</v>
      </c>
      <c r="B601" s="2" t="str">
        <f>VLOOKUP($A601,Controle!$B$4:$F$68,2,FALSE)</f>
        <v>Guarda-Mor</v>
      </c>
      <c r="C601" s="2" t="str">
        <f>VLOOKUP($A601,Controle!$B$4:$F$68,3,FALSE)</f>
        <v xml:space="preserve">ESTRELA DO NORTE </v>
      </c>
      <c r="D601" s="2" t="str">
        <f>VLOOKUP($A601,Controle!$B$4:$F$68,4,FALSE)</f>
        <v>EDN</v>
      </c>
      <c r="E601" s="2" t="str">
        <f>VLOOKUP($A601,Controle!$B$4:$F$68,5,FALSE)</f>
        <v>Weg</v>
      </c>
      <c r="F601" s="3" t="str">
        <f t="shared" si="201"/>
        <v>Construção - RDA Interno</v>
      </c>
      <c r="G601" s="2" t="str">
        <f>VLOOKUP($A601,Controle!$B$4:$G$68,6,FALSE)</f>
        <v>Apolo</v>
      </c>
      <c r="H601" s="6">
        <v>0</v>
      </c>
      <c r="I601" s="6">
        <v>0</v>
      </c>
      <c r="J601" s="6">
        <v>0</v>
      </c>
      <c r="K601" s="6">
        <v>0</v>
      </c>
      <c r="L601" s="6">
        <v>0</v>
      </c>
      <c r="M601" s="6">
        <v>0</v>
      </c>
      <c r="N601" s="6">
        <v>0</v>
      </c>
      <c r="O601" s="4">
        <f t="shared" si="202"/>
        <v>0</v>
      </c>
      <c r="P601" s="5">
        <f>SUMIFS('Desenvolvimento diário'!$H:$H,'Desenvolvimento diário'!$Q:$Q,$B601,'Desenvolvimento diário'!$P:$P,$F601,'Desenvolvimento diário'!$R:$R,"Sim")</f>
        <v>0</v>
      </c>
      <c r="Q601" s="5">
        <f>SUMIFS('Desenvolvimento diário'!$H:$H,'Desenvolvimento diário'!$Q:$Q,$B601,'Desenvolvimento diário'!$P:$P,$F601,'Desenvolvimento diário'!$R:$R,"Não")</f>
        <v>0</v>
      </c>
      <c r="R601" s="4">
        <f t="shared" si="203"/>
        <v>0</v>
      </c>
      <c r="S601" s="4">
        <f t="shared" si="204"/>
        <v>0</v>
      </c>
      <c r="T601" s="12">
        <f t="shared" si="183"/>
        <v>0</v>
      </c>
      <c r="Y601" s="2"/>
      <c r="Z601" s="2"/>
      <c r="AA601" s="2"/>
      <c r="AB601" s="2"/>
      <c r="AC601" s="2"/>
    </row>
    <row r="602" spans="1:29" ht="10.5" hidden="1">
      <c r="A602" s="2">
        <f t="shared" si="205"/>
        <v>18</v>
      </c>
      <c r="B602" s="2" t="str">
        <f>VLOOKUP($A602,Controle!$B$4:$F$68,2,FALSE)</f>
        <v>Guarda-Mor</v>
      </c>
      <c r="C602" s="2" t="str">
        <f>VLOOKUP($A602,Controle!$B$4:$F$68,3,FALSE)</f>
        <v xml:space="preserve">ESTRELA DO NORTE </v>
      </c>
      <c r="D602" s="2" t="str">
        <f>VLOOKUP($A602,Controle!$B$4:$F$68,4,FALSE)</f>
        <v>EDN</v>
      </c>
      <c r="E602" s="2" t="str">
        <f>VLOOKUP($A602,Controle!$B$4:$F$68,5,FALSE)</f>
        <v>Weg</v>
      </c>
      <c r="F602" s="3" t="str">
        <f t="shared" si="201"/>
        <v>Full EPC - Contrato</v>
      </c>
      <c r="G602" s="2" t="str">
        <f>VLOOKUP($A602,Controle!$B$4:$G$68,6,FALSE)</f>
        <v>Apolo</v>
      </c>
      <c r="H602" s="6" t="s">
        <v>21</v>
      </c>
      <c r="I602" s="6">
        <v>14646682.470000001</v>
      </c>
      <c r="J602" s="6">
        <v>0</v>
      </c>
      <c r="K602" s="6">
        <v>0</v>
      </c>
      <c r="L602" s="6">
        <v>0</v>
      </c>
      <c r="M602" s="6">
        <v>0</v>
      </c>
      <c r="N602" s="6">
        <v>0</v>
      </c>
      <c r="O602" s="4">
        <f t="shared" si="202"/>
        <v>14646682.470000001</v>
      </c>
      <c r="P602" s="5">
        <f>SUMIFS('Desenvolvimento diário'!$H:$H,'Desenvolvimento diário'!$Q:$Q,$B602,'Desenvolvimento diário'!$P:$P,$F602,'Desenvolvimento diário'!$R:$R,"Sim")</f>
        <v>0</v>
      </c>
      <c r="Q602" s="5">
        <f>SUMIFS('Desenvolvimento diário'!$H:$H,'Desenvolvimento diário'!$Q:$Q,$B602,'Desenvolvimento diário'!$P:$P,$F602,'Desenvolvimento diário'!$R:$R,"Não")</f>
        <v>14646682.470000001</v>
      </c>
      <c r="R602" s="4">
        <f t="shared" si="203"/>
        <v>14646682.470000001</v>
      </c>
      <c r="S602" s="1076">
        <f t="shared" si="204"/>
        <v>0</v>
      </c>
      <c r="T602" s="12">
        <f t="shared" si="183"/>
        <v>1</v>
      </c>
      <c r="U602" s="1014" t="s">
        <v>166</v>
      </c>
      <c r="V602" s="1014" t="s">
        <v>184</v>
      </c>
      <c r="Y602" s="2"/>
      <c r="Z602" s="2"/>
      <c r="AA602" s="2"/>
      <c r="AB602" s="2"/>
      <c r="AC602" s="2"/>
    </row>
    <row r="603" spans="1:29" ht="10.5" hidden="1">
      <c r="A603" s="2">
        <f t="shared" si="205"/>
        <v>18</v>
      </c>
      <c r="B603" s="2" t="str">
        <f>VLOOKUP($A603,Controle!$B$4:$F$68,2,FALSE)</f>
        <v>Guarda-Mor</v>
      </c>
      <c r="C603" s="2" t="str">
        <f>VLOOKUP($A603,Controle!$B$4:$F$68,3,FALSE)</f>
        <v xml:space="preserve">ESTRELA DO NORTE </v>
      </c>
      <c r="D603" s="2" t="str">
        <f>VLOOKUP($A603,Controle!$B$4:$F$68,4,FALSE)</f>
        <v>EDN</v>
      </c>
      <c r="E603" s="2" t="str">
        <f>VLOOKUP($A603,Controle!$B$4:$F$68,5,FALSE)</f>
        <v>Weg</v>
      </c>
      <c r="F603" s="3" t="str">
        <f t="shared" si="201"/>
        <v>Equipamentos Curva A - Outros (Transformadores)</v>
      </c>
      <c r="G603" s="2" t="str">
        <f>VLOOKUP($A603,Controle!$B$4:$G$68,6,FALSE)</f>
        <v>Apolo</v>
      </c>
      <c r="H603" s="6" t="s">
        <v>144</v>
      </c>
      <c r="I603" s="6">
        <v>0</v>
      </c>
      <c r="J603" s="6">
        <v>0</v>
      </c>
      <c r="K603" s="6">
        <v>0</v>
      </c>
      <c r="L603" s="6">
        <v>0</v>
      </c>
      <c r="M603" s="6">
        <v>0</v>
      </c>
      <c r="N603" s="6">
        <v>0</v>
      </c>
      <c r="O603" s="4">
        <f t="shared" si="202"/>
        <v>0</v>
      </c>
      <c r="P603" s="5">
        <f>SUMIFS('Desenvolvimento diário'!$H:$H,'Desenvolvimento diário'!$Q:$Q,$B603,'Desenvolvimento diário'!$P:$P,$F603,'Desenvolvimento diário'!$R:$R,"Sim")</f>
        <v>0</v>
      </c>
      <c r="Q603" s="5">
        <f>SUMIFS('Desenvolvimento diário'!$H:$H,'Desenvolvimento diário'!$Q:$Q,$B603,'Desenvolvimento diário'!$P:$P,$F603,'Desenvolvimento diário'!$R:$R,"Não")</f>
        <v>0</v>
      </c>
      <c r="R603" s="4">
        <f t="shared" si="203"/>
        <v>0</v>
      </c>
      <c r="S603" s="4">
        <f t="shared" si="204"/>
        <v>0</v>
      </c>
      <c r="T603" s="12">
        <f t="shared" si="183"/>
        <v>0</v>
      </c>
      <c r="Y603" s="2"/>
      <c r="Z603" s="2"/>
      <c r="AA603" s="2"/>
      <c r="AB603" s="2"/>
      <c r="AC603" s="2"/>
    </row>
    <row r="604" spans="1:29" ht="10.5" hidden="1">
      <c r="A604" s="2">
        <f t="shared" si="205"/>
        <v>18</v>
      </c>
      <c r="B604" s="2" t="str">
        <f>VLOOKUP($A604,Controle!$B$4:$F$68,2,FALSE)</f>
        <v>Guarda-Mor</v>
      </c>
      <c r="C604" s="2" t="str">
        <f>VLOOKUP($A604,Controle!$B$4:$F$68,3,FALSE)</f>
        <v xml:space="preserve">ESTRELA DO NORTE </v>
      </c>
      <c r="D604" s="2" t="str">
        <f>VLOOKUP($A604,Controle!$B$4:$F$68,4,FALSE)</f>
        <v>EDN</v>
      </c>
      <c r="E604" s="2" t="str">
        <f>VLOOKUP($A604,Controle!$B$4:$F$68,5,FALSE)</f>
        <v>Weg</v>
      </c>
      <c r="F604" s="3" t="str">
        <f t="shared" si="201"/>
        <v>Equipamentos Curva A - Outros (Cabine + Skid)</v>
      </c>
      <c r="G604" s="2" t="str">
        <f>VLOOKUP($A604,Controle!$B$4:$G$68,6,FALSE)</f>
        <v>Apolo</v>
      </c>
      <c r="H604" s="6" t="s">
        <v>196</v>
      </c>
      <c r="I604" s="6">
        <v>356913.68</v>
      </c>
      <c r="J604" s="6">
        <v>0</v>
      </c>
      <c r="K604" s="6">
        <v>0</v>
      </c>
      <c r="L604" s="6">
        <v>0</v>
      </c>
      <c r="M604" s="6">
        <v>0</v>
      </c>
      <c r="N604" s="6">
        <v>0</v>
      </c>
      <c r="O604" s="4">
        <f t="shared" si="202"/>
        <v>356913.68</v>
      </c>
      <c r="P604" s="5">
        <f>SUMIFS('Desenvolvimento diário'!$H:$H,'Desenvolvimento diário'!$Q:$Q,$B604,'Desenvolvimento diário'!$P:$P,$F604,'Desenvolvimento diário'!$R:$R,"Sim")</f>
        <v>0</v>
      </c>
      <c r="Q604" s="5">
        <f>SUMIFS('Desenvolvimento diário'!$H:$H,'Desenvolvimento diário'!$Q:$Q,$B604,'Desenvolvimento diário'!$P:$P,$F604,'Desenvolvimento diário'!$R:$R,"Não")</f>
        <v>356913.68</v>
      </c>
      <c r="R604" s="4">
        <f t="shared" si="203"/>
        <v>356913.68</v>
      </c>
      <c r="S604" s="4">
        <f t="shared" si="204"/>
        <v>0</v>
      </c>
      <c r="T604" s="12">
        <f t="shared" si="183"/>
        <v>1</v>
      </c>
      <c r="Y604" s="2"/>
      <c r="Z604" s="2"/>
      <c r="AA604" s="2"/>
      <c r="AB604" s="2"/>
      <c r="AC604" s="2"/>
    </row>
    <row r="605" spans="1:29" ht="10.5" hidden="1">
      <c r="A605" s="2">
        <f t="shared" si="205"/>
        <v>18</v>
      </c>
      <c r="B605" s="2" t="str">
        <f>VLOOKUP($A605,Controle!$B$4:$F$68,2,FALSE)</f>
        <v>Guarda-Mor</v>
      </c>
      <c r="C605" s="2" t="str">
        <f>VLOOKUP($A605,Controle!$B$4:$F$68,3,FALSE)</f>
        <v xml:space="preserve">ESTRELA DO NORTE </v>
      </c>
      <c r="D605" s="2" t="str">
        <f>VLOOKUP($A605,Controle!$B$4:$F$68,4,FALSE)</f>
        <v>EDN</v>
      </c>
      <c r="E605" s="2" t="str">
        <f>VLOOKUP($A605,Controle!$B$4:$F$68,5,FALSE)</f>
        <v>Weg</v>
      </c>
      <c r="F605" s="3" t="str">
        <f t="shared" si="201"/>
        <v>Equipamentos Curva A - Outros (Cabine + Skid + Transformador)</v>
      </c>
      <c r="G605" s="2" t="str">
        <f>VLOOKUP($A605,Controle!$B$4:$G$68,6,FALSE)</f>
        <v>Apolo</v>
      </c>
      <c r="H605" s="6">
        <v>0</v>
      </c>
      <c r="I605" s="6">
        <v>0</v>
      </c>
      <c r="J605" s="6">
        <v>0</v>
      </c>
      <c r="K605" s="6">
        <v>0</v>
      </c>
      <c r="L605" s="6">
        <v>0</v>
      </c>
      <c r="M605" s="6">
        <v>0</v>
      </c>
      <c r="N605" s="6">
        <v>0</v>
      </c>
      <c r="O605" s="4">
        <f t="shared" si="202"/>
        <v>0</v>
      </c>
      <c r="P605" s="5">
        <f>SUMIFS('Desenvolvimento diário'!$H:$H,'Desenvolvimento diário'!$Q:$Q,$B605,'Desenvolvimento diário'!$P:$P,$F605,'Desenvolvimento diário'!$R:$R,"Sim")</f>
        <v>0</v>
      </c>
      <c r="Q605" s="5">
        <f>SUMIFS('Desenvolvimento diário'!$H:$H,'Desenvolvimento diário'!$Q:$Q,$B605,'Desenvolvimento diário'!$P:$P,$F605,'Desenvolvimento diário'!$R:$R,"Não")</f>
        <v>0</v>
      </c>
      <c r="R605" s="4">
        <f t="shared" si="203"/>
        <v>0</v>
      </c>
      <c r="S605" s="4">
        <f t="shared" si="204"/>
        <v>0</v>
      </c>
      <c r="T605" s="12">
        <f t="shared" si="183"/>
        <v>0</v>
      </c>
      <c r="Y605" s="2"/>
      <c r="Z605" s="2"/>
      <c r="AA605" s="2"/>
      <c r="AB605" s="2"/>
      <c r="AC605" s="2"/>
    </row>
    <row r="606" spans="1:29" ht="10.5" hidden="1">
      <c r="A606" s="2">
        <f t="shared" si="205"/>
        <v>18</v>
      </c>
      <c r="B606" s="2" t="str">
        <f>VLOOKUP($A606,Controle!$B$4:$F$68,2,FALSE)</f>
        <v>Guarda-Mor</v>
      </c>
      <c r="C606" s="2" t="str">
        <f>VLOOKUP($A606,Controle!$B$4:$F$68,3,FALSE)</f>
        <v xml:space="preserve">ESTRELA DO NORTE </v>
      </c>
      <c r="D606" s="2" t="str">
        <f>VLOOKUP($A606,Controle!$B$4:$F$68,4,FALSE)</f>
        <v>EDN</v>
      </c>
      <c r="E606" s="2" t="str">
        <f>VLOOKUP($A606,Controle!$B$4:$F$68,5,FALSE)</f>
        <v>Weg</v>
      </c>
      <c r="F606" s="3" t="str">
        <f t="shared" si="201"/>
        <v>Desenvolvimento de projeto - Projetos - (Eng° Proprietario)</v>
      </c>
      <c r="G606" s="2" t="str">
        <f>VLOOKUP($A606,Controle!$B$4:$G$68,6,FALSE)</f>
        <v>Apolo</v>
      </c>
      <c r="H606" s="6" t="s">
        <v>176</v>
      </c>
      <c r="I606" s="6">
        <f>R606</f>
        <v>71257.02</v>
      </c>
      <c r="J606" s="6">
        <v>0</v>
      </c>
      <c r="K606" s="6">
        <v>0</v>
      </c>
      <c r="L606" s="6">
        <v>0</v>
      </c>
      <c r="M606" s="6">
        <v>0</v>
      </c>
      <c r="N606" s="6">
        <v>0</v>
      </c>
      <c r="O606" s="4">
        <f t="shared" si="202"/>
        <v>71257.02</v>
      </c>
      <c r="P606" s="5">
        <f>SUMIFS('Desenvolvimento diário'!$H:$H,'Desenvolvimento diário'!$Q:$Q,$B606,'Desenvolvimento diário'!$P:$P,$F606,'Desenvolvimento diário'!$R:$R,"Sim")</f>
        <v>0</v>
      </c>
      <c r="Q606" s="5">
        <f>SUMIFS('Desenvolvimento diário'!$H:$H,'Desenvolvimento diário'!$Q:$Q,$B606,'Desenvolvimento diário'!$P:$P,$F606,'Desenvolvimento diário'!$R:$R,"Não")</f>
        <v>71257.02</v>
      </c>
      <c r="R606" s="4">
        <f t="shared" si="203"/>
        <v>71257.02</v>
      </c>
      <c r="S606" s="4">
        <f t="shared" si="204"/>
        <v>0</v>
      </c>
      <c r="T606" s="12">
        <f t="shared" si="183"/>
        <v>1</v>
      </c>
      <c r="Y606" s="2"/>
      <c r="Z606" s="2"/>
      <c r="AA606" s="2"/>
      <c r="AB606" s="2"/>
      <c r="AC606" s="2"/>
    </row>
    <row r="607" spans="1:29" ht="10.5" hidden="1">
      <c r="A607" s="2">
        <f t="shared" si="205"/>
        <v>18</v>
      </c>
      <c r="B607" s="2" t="str">
        <f>VLOOKUP($A607,Controle!$B$4:$F$68,2,FALSE)</f>
        <v>Guarda-Mor</v>
      </c>
      <c r="C607" s="2" t="str">
        <f>VLOOKUP($A607,Controle!$B$4:$F$68,3,FALSE)</f>
        <v xml:space="preserve">ESTRELA DO NORTE </v>
      </c>
      <c r="D607" s="2" t="str">
        <f>VLOOKUP($A607,Controle!$B$4:$F$68,4,FALSE)</f>
        <v>EDN</v>
      </c>
      <c r="E607" s="2" t="str">
        <f>VLOOKUP($A607,Controle!$B$4:$F$68,5,FALSE)</f>
        <v>Weg</v>
      </c>
      <c r="F607" s="3" t="str">
        <f t="shared" si="201"/>
        <v>Desenvolvimento de projeto - Projetos - Executivos</v>
      </c>
      <c r="G607" s="2" t="str">
        <f>VLOOKUP($A607,Controle!$B$4:$G$68,6,FALSE)</f>
        <v>Apolo</v>
      </c>
      <c r="H607" s="6">
        <v>0</v>
      </c>
      <c r="I607" s="6">
        <v>0</v>
      </c>
      <c r="J607" s="6">
        <v>0</v>
      </c>
      <c r="K607" s="6">
        <v>0</v>
      </c>
      <c r="L607" s="6">
        <v>0</v>
      </c>
      <c r="M607" s="6">
        <v>0</v>
      </c>
      <c r="N607" s="6">
        <v>0</v>
      </c>
      <c r="O607" s="4">
        <f t="shared" si="202"/>
        <v>0</v>
      </c>
      <c r="P607" s="5">
        <f>SUMIFS('Desenvolvimento diário'!$H:$H,'Desenvolvimento diário'!$Q:$Q,$B607,'Desenvolvimento diário'!$P:$P,$F607,'Desenvolvimento diário'!$R:$R,"Sim")</f>
        <v>0</v>
      </c>
      <c r="Q607" s="5">
        <f>SUMIFS('Desenvolvimento diário'!$H:$H,'Desenvolvimento diário'!$Q:$Q,$B607,'Desenvolvimento diário'!$P:$P,$F607,'Desenvolvimento diário'!$R:$R,"Não")</f>
        <v>0</v>
      </c>
      <c r="R607" s="4">
        <f t="shared" si="203"/>
        <v>0</v>
      </c>
      <c r="S607" s="4">
        <f t="shared" si="204"/>
        <v>0</v>
      </c>
      <c r="T607" s="12">
        <f t="shared" si="183"/>
        <v>0</v>
      </c>
      <c r="Y607" s="2"/>
      <c r="Z607" s="2"/>
      <c r="AA607" s="2"/>
      <c r="AB607" s="2"/>
      <c r="AC607" s="2"/>
    </row>
    <row r="608" spans="1:29" ht="10.5" hidden="1">
      <c r="A608" s="2">
        <f t="shared" si="205"/>
        <v>18</v>
      </c>
      <c r="B608" s="2" t="str">
        <f>VLOOKUP($A608,Controle!$B$4:$F$68,2,FALSE)</f>
        <v>Guarda-Mor</v>
      </c>
      <c r="C608" s="2" t="str">
        <f>VLOOKUP($A608,Controle!$B$4:$F$68,3,FALSE)</f>
        <v xml:space="preserve">ESTRELA DO NORTE </v>
      </c>
      <c r="D608" s="2" t="str">
        <f>VLOOKUP($A608,Controle!$B$4:$F$68,4,FALSE)</f>
        <v>EDN</v>
      </c>
      <c r="E608" s="2" t="str">
        <f>VLOOKUP($A608,Controle!$B$4:$F$68,5,FALSE)</f>
        <v>Weg</v>
      </c>
      <c r="F608" s="3" t="str">
        <f t="shared" si="201"/>
        <v>Desenvolvimento de projeto - Projetos Básica</v>
      </c>
      <c r="G608" s="2" t="str">
        <f>VLOOKUP($A608,Controle!$B$4:$G$68,6,FALSE)</f>
        <v>Apolo</v>
      </c>
      <c r="H608" s="6">
        <v>0</v>
      </c>
      <c r="I608" s="6">
        <v>0</v>
      </c>
      <c r="J608" s="6">
        <v>0</v>
      </c>
      <c r="K608" s="6">
        <v>0</v>
      </c>
      <c r="L608" s="6">
        <v>0</v>
      </c>
      <c r="M608" s="6">
        <v>0</v>
      </c>
      <c r="N608" s="6">
        <v>0</v>
      </c>
      <c r="O608" s="4">
        <f t="shared" si="202"/>
        <v>0</v>
      </c>
      <c r="P608" s="5">
        <f>SUMIFS('Desenvolvimento diário'!$H:$H,'Desenvolvimento diário'!$Q:$Q,$B608,'Desenvolvimento diário'!$P:$P,$F608,'Desenvolvimento diário'!$R:$R,"Sim")</f>
        <v>0</v>
      </c>
      <c r="Q608" s="5">
        <f>SUMIFS('Desenvolvimento diário'!$H:$H,'Desenvolvimento diário'!$Q:$Q,$B608,'Desenvolvimento diário'!$P:$P,$F608,'Desenvolvimento diário'!$R:$R,"Não")</f>
        <v>0</v>
      </c>
      <c r="R608" s="4">
        <f t="shared" si="203"/>
        <v>0</v>
      </c>
      <c r="S608" s="4">
        <f t="shared" si="204"/>
        <v>0</v>
      </c>
      <c r="T608" s="12">
        <f t="shared" si="183"/>
        <v>0</v>
      </c>
      <c r="Y608" s="2"/>
      <c r="Z608" s="2"/>
      <c r="AA608" s="2"/>
      <c r="AB608" s="2"/>
      <c r="AC608" s="2"/>
    </row>
    <row r="609" spans="1:29" ht="10.5" hidden="1">
      <c r="A609" s="2">
        <f t="shared" si="205"/>
        <v>18</v>
      </c>
      <c r="B609" s="2" t="str">
        <f>VLOOKUP($A609,Controle!$B$4:$F$68,2,FALSE)</f>
        <v>Guarda-Mor</v>
      </c>
      <c r="C609" s="2" t="str">
        <f>VLOOKUP($A609,Controle!$B$4:$F$68,3,FALSE)</f>
        <v xml:space="preserve">ESTRELA DO NORTE </v>
      </c>
      <c r="D609" s="2" t="str">
        <f>VLOOKUP($A609,Controle!$B$4:$F$68,4,FALSE)</f>
        <v>EDN</v>
      </c>
      <c r="E609" s="2" t="str">
        <f>VLOOKUP($A609,Controle!$B$4:$F$68,5,FALSE)</f>
        <v>Weg</v>
      </c>
      <c r="F609" s="3" t="str">
        <f t="shared" si="201"/>
        <v>Desenvolvimento de projeto - Projetos Detalhada</v>
      </c>
      <c r="G609" s="2" t="str">
        <f>VLOOKUP($A609,Controle!$B$4:$G$68,6,FALSE)</f>
        <v>Apolo</v>
      </c>
      <c r="H609" s="6">
        <v>0</v>
      </c>
      <c r="I609" s="6">
        <v>0</v>
      </c>
      <c r="J609" s="6">
        <v>0</v>
      </c>
      <c r="K609" s="6">
        <v>0</v>
      </c>
      <c r="L609" s="6">
        <v>0</v>
      </c>
      <c r="M609" s="6">
        <v>0</v>
      </c>
      <c r="N609" s="6">
        <v>0</v>
      </c>
      <c r="O609" s="4">
        <f t="shared" si="202"/>
        <v>0</v>
      </c>
      <c r="P609" s="5">
        <f>SUMIFS('Desenvolvimento diário'!$H:$H,'Desenvolvimento diário'!$Q:$Q,$B609,'Desenvolvimento diário'!$P:$P,$F609,'Desenvolvimento diário'!$R:$R,"Sim")</f>
        <v>0</v>
      </c>
      <c r="Q609" s="5">
        <f>SUMIFS('Desenvolvimento diário'!$H:$H,'Desenvolvimento diário'!$Q:$Q,$B609,'Desenvolvimento diário'!$P:$P,$F609,'Desenvolvimento diário'!$R:$R,"Não")</f>
        <v>0</v>
      </c>
      <c r="R609" s="4">
        <f t="shared" si="203"/>
        <v>0</v>
      </c>
      <c r="S609" s="4">
        <f t="shared" si="204"/>
        <v>0</v>
      </c>
      <c r="T609" s="12">
        <f t="shared" si="183"/>
        <v>0</v>
      </c>
      <c r="Y609" s="2"/>
      <c r="Z609" s="2"/>
      <c r="AA609" s="2"/>
      <c r="AB609" s="2"/>
      <c r="AC609" s="2"/>
    </row>
    <row r="610" spans="1:29" ht="10.5" hidden="1">
      <c r="A610" s="2">
        <f t="shared" si="205"/>
        <v>18</v>
      </c>
      <c r="B610" s="2" t="str">
        <f>VLOOKUP($A610,Controle!$B$4:$F$68,2,FALSE)</f>
        <v>Guarda-Mor</v>
      </c>
      <c r="C610" s="2" t="str">
        <f>VLOOKUP($A610,Controle!$B$4:$F$68,3,FALSE)</f>
        <v xml:space="preserve">ESTRELA DO NORTE </v>
      </c>
      <c r="D610" s="2" t="str">
        <f>VLOOKUP($A610,Controle!$B$4:$F$68,4,FALSE)</f>
        <v>EDN</v>
      </c>
      <c r="E610" s="2" t="str">
        <f>VLOOKUP($A610,Controle!$B$4:$F$68,5,FALSE)</f>
        <v>Weg</v>
      </c>
      <c r="F610" s="3" t="str">
        <f t="shared" si="201"/>
        <v>Desenvolvimento de projeto - Ambiental / Outros</v>
      </c>
      <c r="G610" s="2" t="str">
        <f>VLOOKUP($A610,Controle!$B$4:$G$68,6,FALSE)</f>
        <v>Apolo</v>
      </c>
      <c r="H610" s="6" t="s">
        <v>148</v>
      </c>
      <c r="I610" s="6">
        <f>R610</f>
        <v>32248.34</v>
      </c>
      <c r="J610" s="6">
        <v>0</v>
      </c>
      <c r="K610" s="6">
        <v>0</v>
      </c>
      <c r="L610" s="6">
        <v>0</v>
      </c>
      <c r="M610" s="6">
        <v>0</v>
      </c>
      <c r="N610" s="6">
        <v>0</v>
      </c>
      <c r="O610" s="4">
        <f t="shared" si="202"/>
        <v>32248.34</v>
      </c>
      <c r="P610" s="5">
        <f>SUMIFS('Desenvolvimento diário'!$H:$H,'Desenvolvimento diário'!$Q:$Q,$B610,'Desenvolvimento diário'!$P:$P,$F610,'Desenvolvimento diário'!$R:$R,"Sim")</f>
        <v>0</v>
      </c>
      <c r="Q610" s="5">
        <f>SUMIFS('Desenvolvimento diário'!$H:$H,'Desenvolvimento diário'!$Q:$Q,$B610,'Desenvolvimento diário'!$P:$P,$F610,'Desenvolvimento diário'!$R:$R,"Não")</f>
        <v>32248.34</v>
      </c>
      <c r="R610" s="4">
        <f t="shared" si="203"/>
        <v>32248.34</v>
      </c>
      <c r="S610" s="4">
        <f t="shared" si="204"/>
        <v>0</v>
      </c>
      <c r="T610" s="12">
        <f t="shared" si="183"/>
        <v>1</v>
      </c>
      <c r="Y610" s="2"/>
      <c r="Z610" s="2"/>
      <c r="AA610" s="2"/>
      <c r="AB610" s="2"/>
      <c r="AC610" s="2"/>
    </row>
    <row r="611" spans="1:29" hidden="1">
      <c r="A611" s="2">
        <f t="shared" si="205"/>
        <v>18</v>
      </c>
      <c r="B611" s="2" t="str">
        <f>VLOOKUP($A611,Controle!$B$4:$F$68,2,FALSE)</f>
        <v>Guarda-Mor</v>
      </c>
      <c r="C611" s="2" t="str">
        <f>VLOOKUP($A611,Controle!$B$4:$F$68,3,FALSE)</f>
        <v xml:space="preserve">ESTRELA DO NORTE </v>
      </c>
      <c r="D611" s="2" t="str">
        <f>VLOOKUP($A611,Controle!$B$4:$F$68,4,FALSE)</f>
        <v>EDN</v>
      </c>
      <c r="E611" s="2" t="str">
        <f>VLOOKUP($A611,Controle!$B$4:$F$68,5,FALSE)</f>
        <v>Weg</v>
      </c>
      <c r="F611" s="3" t="str">
        <f t="shared" si="201"/>
        <v>Desenvolvimento de projeto - Coordenograma</v>
      </c>
      <c r="G611" s="2" t="str">
        <f>VLOOKUP($A611,Controle!$B$4:$G$68,6,FALSE)</f>
        <v>Apolo</v>
      </c>
      <c r="H611" s="31" t="s">
        <v>149</v>
      </c>
      <c r="I611" s="31">
        <v>7000</v>
      </c>
      <c r="J611" s="31">
        <v>2281.25</v>
      </c>
      <c r="K611" s="31">
        <v>0</v>
      </c>
      <c r="L611" s="6">
        <v>0</v>
      </c>
      <c r="M611" s="6">
        <v>0</v>
      </c>
      <c r="N611" s="6">
        <v>0</v>
      </c>
      <c r="O611" s="4">
        <f t="shared" si="202"/>
        <v>9281.25</v>
      </c>
      <c r="P611" s="5">
        <f>SUMIFS('Desenvolvimento diário'!$H:$H,'Desenvolvimento diário'!$Q:$Q,$B611,'Desenvolvimento diário'!$P:$P,$F611,'Desenvolvimento diário'!$R:$R,"Sim")</f>
        <v>0</v>
      </c>
      <c r="Q611" s="5">
        <f>SUMIFS('Desenvolvimento diário'!$H:$H,'Desenvolvimento diário'!$Q:$Q,$B611,'Desenvolvimento diário'!$P:$P,$F611,'Desenvolvimento diário'!$R:$R,"Não")</f>
        <v>9281.25</v>
      </c>
      <c r="R611" s="4">
        <f t="shared" si="203"/>
        <v>9281.25</v>
      </c>
      <c r="S611" s="4">
        <f t="shared" si="204"/>
        <v>0</v>
      </c>
      <c r="T611" s="12">
        <f t="shared" si="183"/>
        <v>1</v>
      </c>
      <c r="Y611" s="2"/>
      <c r="Z611" s="2"/>
      <c r="AA611" s="2"/>
      <c r="AB611" s="2"/>
      <c r="AC611" s="2"/>
    </row>
    <row r="612" spans="1:29" ht="10.5" hidden="1">
      <c r="A612" s="2">
        <f t="shared" si="205"/>
        <v>18</v>
      </c>
      <c r="B612" s="2" t="str">
        <f>VLOOKUP($A612,Controle!$B$4:$F$68,2,FALSE)</f>
        <v>Guarda-Mor</v>
      </c>
      <c r="C612" s="2" t="str">
        <f>VLOOKUP($A612,Controle!$B$4:$F$68,3,FALSE)</f>
        <v xml:space="preserve">ESTRELA DO NORTE </v>
      </c>
      <c r="D612" s="2" t="str">
        <f>VLOOKUP($A612,Controle!$B$4:$F$68,4,FALSE)</f>
        <v>EDN</v>
      </c>
      <c r="E612" s="2" t="str">
        <f>VLOOKUP($A612,Controle!$B$4:$F$68,5,FALSE)</f>
        <v>Weg</v>
      </c>
      <c r="F612" s="3" t="str">
        <f t="shared" si="201"/>
        <v>Sistemas de Monitoramento - Supervisório</v>
      </c>
      <c r="G612" s="2" t="str">
        <f>VLOOKUP($A612,Controle!$B$4:$G$68,6,FALSE)</f>
        <v>Apolo</v>
      </c>
      <c r="H612" s="6" t="s">
        <v>150</v>
      </c>
      <c r="I612" s="6">
        <v>136154.97</v>
      </c>
      <c r="J612" s="6"/>
      <c r="K612" s="6">
        <v>0</v>
      </c>
      <c r="L612" s="6">
        <v>0</v>
      </c>
      <c r="M612" s="6">
        <v>0</v>
      </c>
      <c r="N612" s="6">
        <v>0</v>
      </c>
      <c r="O612" s="4">
        <f t="shared" si="202"/>
        <v>136154.97</v>
      </c>
      <c r="P612" s="5">
        <f>SUMIFS('Desenvolvimento diário'!$H:$H,'Desenvolvimento diário'!$Q:$Q,$B612,'Desenvolvimento diário'!$P:$P,$F612,'Desenvolvimento diário'!$R:$R,"Sim")</f>
        <v>0</v>
      </c>
      <c r="Q612" s="5">
        <f>SUMIFS('Desenvolvimento diário'!$H:$H,'Desenvolvimento diário'!$Q:$Q,$B612,'Desenvolvimento diário'!$P:$P,$F612,'Desenvolvimento diário'!$R:$R,"Não")</f>
        <v>136154.97</v>
      </c>
      <c r="R612" s="4">
        <f t="shared" si="203"/>
        <v>136154.97</v>
      </c>
      <c r="S612" s="4">
        <f t="shared" si="204"/>
        <v>0</v>
      </c>
      <c r="T612" s="12">
        <f t="shared" si="183"/>
        <v>1</v>
      </c>
      <c r="Y612" s="2"/>
      <c r="Z612" s="2"/>
      <c r="AA612" s="2"/>
      <c r="AB612" s="2"/>
      <c r="AC612" s="2"/>
    </row>
    <row r="613" spans="1:29" ht="10.5" hidden="1">
      <c r="A613" s="2">
        <f t="shared" si="205"/>
        <v>18</v>
      </c>
      <c r="B613" s="2" t="str">
        <f>VLOOKUP($A613,Controle!$B$4:$F$68,2,FALSE)</f>
        <v>Guarda-Mor</v>
      </c>
      <c r="C613" s="2" t="str">
        <f>VLOOKUP($A613,Controle!$B$4:$F$68,3,FALSE)</f>
        <v xml:space="preserve">ESTRELA DO NORTE </v>
      </c>
      <c r="D613" s="2" t="str">
        <f>VLOOKUP($A613,Controle!$B$4:$F$68,4,FALSE)</f>
        <v>EDN</v>
      </c>
      <c r="E613" s="2" t="str">
        <f>VLOOKUP($A613,Controle!$B$4:$F$68,5,FALSE)</f>
        <v>Weg</v>
      </c>
      <c r="F613" s="3" t="str">
        <f t="shared" si="201"/>
        <v>Sistemas de Monitoramento - Estações Solarimétricas</v>
      </c>
      <c r="G613" s="2" t="str">
        <f>VLOOKUP($A613,Controle!$B$4:$G$68,6,FALSE)</f>
        <v>Apolo</v>
      </c>
      <c r="H613" s="6">
        <v>0</v>
      </c>
      <c r="I613" s="6">
        <v>0</v>
      </c>
      <c r="J613" s="6">
        <v>0</v>
      </c>
      <c r="K613" s="6">
        <v>0</v>
      </c>
      <c r="L613" s="6">
        <v>0</v>
      </c>
      <c r="M613" s="6">
        <v>0</v>
      </c>
      <c r="N613" s="6">
        <v>0</v>
      </c>
      <c r="O613" s="4">
        <f t="shared" si="202"/>
        <v>0</v>
      </c>
      <c r="P613" s="5">
        <f>SUMIFS('Desenvolvimento diário'!$H:$H,'Desenvolvimento diário'!$Q:$Q,$B613,'Desenvolvimento diário'!$P:$P,$F613,'Desenvolvimento diário'!$R:$R,"Sim")</f>
        <v>0</v>
      </c>
      <c r="Q613" s="5">
        <f>SUMIFS('Desenvolvimento diário'!$H:$H,'Desenvolvimento diário'!$Q:$Q,$B613,'Desenvolvimento diário'!$P:$P,$F613,'Desenvolvimento diário'!$R:$R,"Não")</f>
        <v>0</v>
      </c>
      <c r="R613" s="4">
        <f t="shared" si="203"/>
        <v>0</v>
      </c>
      <c r="S613" s="4">
        <f t="shared" si="204"/>
        <v>0</v>
      </c>
      <c r="T613" s="12">
        <f t="shared" si="183"/>
        <v>0</v>
      </c>
      <c r="Y613" s="2"/>
      <c r="Z613" s="2"/>
      <c r="AA613" s="2"/>
      <c r="AB613" s="2"/>
      <c r="AC613" s="2"/>
    </row>
    <row r="614" spans="1:29" hidden="1">
      <c r="A614" s="2">
        <f t="shared" si="205"/>
        <v>18</v>
      </c>
      <c r="B614" s="2" t="str">
        <f>VLOOKUP($A614,Controle!$B$4:$F$68,2,FALSE)</f>
        <v>Guarda-Mor</v>
      </c>
      <c r="C614" s="2" t="str">
        <f>VLOOKUP($A614,Controle!$B$4:$F$68,3,FALSE)</f>
        <v xml:space="preserve">ESTRELA DO NORTE </v>
      </c>
      <c r="D614" s="2" t="str">
        <f>VLOOKUP($A614,Controle!$B$4:$F$68,4,FALSE)</f>
        <v>EDN</v>
      </c>
      <c r="E614" s="2" t="str">
        <f>VLOOKUP($A614,Controle!$B$4:$F$68,5,FALSE)</f>
        <v>Weg</v>
      </c>
      <c r="F614" s="3" t="str">
        <f t="shared" si="201"/>
        <v>Sistemas de Monitoramento - CFTV</v>
      </c>
      <c r="G614" s="2" t="str">
        <f>VLOOKUP($A614,Controle!$B$4:$G$68,6,FALSE)</f>
        <v>Apolo</v>
      </c>
      <c r="H614" s="31" t="s">
        <v>152</v>
      </c>
      <c r="I614" s="6">
        <v>238984.98</v>
      </c>
      <c r="J614" s="28">
        <v>1576.84</v>
      </c>
      <c r="K614" s="6">
        <v>0</v>
      </c>
      <c r="L614" s="6">
        <v>0</v>
      </c>
      <c r="M614" s="6">
        <v>0</v>
      </c>
      <c r="N614" s="6">
        <v>0</v>
      </c>
      <c r="O614" s="4">
        <f t="shared" si="202"/>
        <v>240561.82</v>
      </c>
      <c r="P614" s="5">
        <f>SUMIFS('Desenvolvimento diário'!$H:$H,'Desenvolvimento diário'!$Q:$Q,$B614,'Desenvolvimento diário'!$P:$P,$F614,'Desenvolvimento diário'!$R:$R,"Sim")</f>
        <v>9908.73</v>
      </c>
      <c r="Q614" s="5">
        <f>SUMIFS('Desenvolvimento diário'!$H:$H,'Desenvolvimento diário'!$Q:$Q,$B614,'Desenvolvimento diário'!$P:$P,$F614,'Desenvolvimento diário'!$R:$R,"Não")</f>
        <v>230653.09</v>
      </c>
      <c r="R614" s="4">
        <f t="shared" si="203"/>
        <v>240561.82</v>
      </c>
      <c r="S614" s="4">
        <f t="shared" si="204"/>
        <v>0</v>
      </c>
      <c r="T614" s="12">
        <f t="shared" ref="T614:T681" si="206">IFERROR(R614/O614,0)</f>
        <v>1</v>
      </c>
      <c r="Y614" s="2"/>
      <c r="Z614" s="2"/>
      <c r="AA614" s="2"/>
      <c r="AB614" s="2"/>
      <c r="AC614" s="2"/>
    </row>
    <row r="615" spans="1:29" ht="10.5" hidden="1">
      <c r="A615" s="2">
        <f t="shared" si="205"/>
        <v>18</v>
      </c>
      <c r="B615" s="2" t="str">
        <f>VLOOKUP($A615,Controle!$B$4:$F$68,2,FALSE)</f>
        <v>Guarda-Mor</v>
      </c>
      <c r="C615" s="2" t="str">
        <f>VLOOKUP($A615,Controle!$B$4:$F$68,3,FALSE)</f>
        <v xml:space="preserve">ESTRELA DO NORTE </v>
      </c>
      <c r="D615" s="2" t="str">
        <f>VLOOKUP($A615,Controle!$B$4:$F$68,4,FALSE)</f>
        <v>EDN</v>
      </c>
      <c r="E615" s="2" t="str">
        <f>VLOOKUP($A615,Controle!$B$4:$F$68,5,FALSE)</f>
        <v>Weg</v>
      </c>
      <c r="F615" s="3" t="str">
        <f t="shared" si="201"/>
        <v>Serviços Auxiliares - Drenagem</v>
      </c>
      <c r="G615" s="2" t="str">
        <f>VLOOKUP($A615,Controle!$B$4:$G$68,6,FALSE)</f>
        <v>Apolo</v>
      </c>
      <c r="H615" s="6" t="s">
        <v>185</v>
      </c>
      <c r="I615" s="6">
        <v>203928.98</v>
      </c>
      <c r="J615" s="6">
        <v>0</v>
      </c>
      <c r="K615" s="6">
        <v>0</v>
      </c>
      <c r="L615" s="6">
        <v>0</v>
      </c>
      <c r="M615" s="6">
        <v>0</v>
      </c>
      <c r="N615" s="6">
        <v>0</v>
      </c>
      <c r="O615" s="4">
        <f t="shared" si="202"/>
        <v>203928.98</v>
      </c>
      <c r="P615" s="5">
        <f>SUMIFS('Desenvolvimento diário'!$H:$H,'Desenvolvimento diário'!$Q:$Q,$B615,'Desenvolvimento diário'!$P:$P,$F615,'Desenvolvimento diário'!$R:$R,"Sim")</f>
        <v>0</v>
      </c>
      <c r="Q615" s="5">
        <f>SUMIFS('Desenvolvimento diário'!$H:$H,'Desenvolvimento diário'!$Q:$Q,$B615,'Desenvolvimento diário'!$P:$P,$F615,'Desenvolvimento diário'!$R:$R,"Não")</f>
        <v>203928.97999999998</v>
      </c>
      <c r="R615" s="4">
        <f t="shared" si="203"/>
        <v>203928.97999999998</v>
      </c>
      <c r="S615" s="4">
        <f t="shared" si="204"/>
        <v>0</v>
      </c>
      <c r="T615" s="12">
        <f t="shared" si="206"/>
        <v>0.99999999999999989</v>
      </c>
      <c r="Y615" s="2"/>
      <c r="Z615" s="2"/>
      <c r="AA615" s="2"/>
      <c r="AB615" s="2"/>
      <c r="AC615" s="2"/>
    </row>
    <row r="616" spans="1:29" ht="10.5" hidden="1">
      <c r="A616" s="2">
        <f t="shared" si="205"/>
        <v>18</v>
      </c>
      <c r="B616" s="2" t="str">
        <f>VLOOKUP($A616,Controle!$B$4:$F$68,2,FALSE)</f>
        <v>Guarda-Mor</v>
      </c>
      <c r="C616" s="2" t="str">
        <f>VLOOKUP($A616,Controle!$B$4:$F$68,3,FALSE)</f>
        <v xml:space="preserve">ESTRELA DO NORTE </v>
      </c>
      <c r="D616" s="2" t="str">
        <f>VLOOKUP($A616,Controle!$B$4:$F$68,4,FALSE)</f>
        <v>EDN</v>
      </c>
      <c r="E616" s="2" t="str">
        <f>VLOOKUP($A616,Controle!$B$4:$F$68,5,FALSE)</f>
        <v>Weg</v>
      </c>
      <c r="F616" s="3" t="str">
        <f t="shared" si="201"/>
        <v>Serviços Auxiliares - Terraplanagem</v>
      </c>
      <c r="G616" s="2" t="str">
        <f>VLOOKUP($A616,Controle!$B$4:$G$68,6,FALSE)</f>
        <v>Apolo</v>
      </c>
      <c r="H616" s="6" t="s">
        <v>154</v>
      </c>
      <c r="I616" s="6">
        <f>198043.49+(0.48)</f>
        <v>198043.97</v>
      </c>
      <c r="J616" s="6"/>
      <c r="K616" s="6">
        <v>0</v>
      </c>
      <c r="L616" s="6">
        <v>0</v>
      </c>
      <c r="M616" s="6">
        <v>0</v>
      </c>
      <c r="N616" s="6">
        <v>0</v>
      </c>
      <c r="O616" s="4">
        <f t="shared" si="202"/>
        <v>198043.97</v>
      </c>
      <c r="P616" s="5">
        <f>SUMIFS('Desenvolvimento diário'!$H:$H,'Desenvolvimento diário'!$Q:$Q,$B616,'Desenvolvimento diário'!$P:$P,$F616,'Desenvolvimento diário'!$R:$R,"Sim")</f>
        <v>0</v>
      </c>
      <c r="Q616" s="5">
        <f>SUMIFS('Desenvolvimento diário'!$H:$H,'Desenvolvimento diário'!$Q:$Q,$B616,'Desenvolvimento diário'!$P:$P,$F616,'Desenvolvimento diário'!$R:$R,"Não")</f>
        <v>198043.97</v>
      </c>
      <c r="R616" s="4">
        <f t="shared" si="203"/>
        <v>198043.97</v>
      </c>
      <c r="S616" s="137">
        <f t="shared" si="204"/>
        <v>0</v>
      </c>
      <c r="T616" s="12">
        <f t="shared" si="206"/>
        <v>1</v>
      </c>
      <c r="Y616" s="2"/>
      <c r="Z616" s="2"/>
      <c r="AA616" s="2"/>
      <c r="AB616" s="2"/>
      <c r="AC616" s="2"/>
    </row>
    <row r="617" spans="1:29" ht="10.5" hidden="1">
      <c r="A617" s="2">
        <f t="shared" si="205"/>
        <v>18</v>
      </c>
      <c r="B617" s="2" t="str">
        <f>VLOOKUP($A617,Controle!$B$4:$F$68,2,FALSE)</f>
        <v>Guarda-Mor</v>
      </c>
      <c r="C617" s="2" t="str">
        <f>VLOOKUP($A617,Controle!$B$4:$F$68,3,FALSE)</f>
        <v xml:space="preserve">ESTRELA DO NORTE </v>
      </c>
      <c r="D617" s="2" t="str">
        <f>VLOOKUP($A617,Controle!$B$4:$F$68,4,FALSE)</f>
        <v>EDN</v>
      </c>
      <c r="E617" s="2" t="str">
        <f>VLOOKUP($A617,Controle!$B$4:$F$68,5,FALSE)</f>
        <v>Weg</v>
      </c>
      <c r="F617" s="3" t="str">
        <f t="shared" si="201"/>
        <v>Serviços Auxiliares - Supressão Vegetal</v>
      </c>
      <c r="G617" s="2" t="str">
        <f>VLOOKUP($A617,Controle!$B$4:$G$68,6,FALSE)</f>
        <v>Apolo</v>
      </c>
      <c r="H617" s="6">
        <v>0</v>
      </c>
      <c r="I617" s="6">
        <v>0</v>
      </c>
      <c r="J617" s="6">
        <v>0</v>
      </c>
      <c r="K617" s="6">
        <v>0</v>
      </c>
      <c r="L617" s="6">
        <v>0</v>
      </c>
      <c r="M617" s="6">
        <v>0</v>
      </c>
      <c r="N617" s="6">
        <v>0</v>
      </c>
      <c r="O617" s="4">
        <f t="shared" si="202"/>
        <v>0</v>
      </c>
      <c r="P617" s="5">
        <f>SUMIFS('Desenvolvimento diário'!$H:$H,'Desenvolvimento diário'!$Q:$Q,$B617,'Desenvolvimento diário'!$P:$P,$F617,'Desenvolvimento diário'!$R:$R,"Sim")</f>
        <v>0</v>
      </c>
      <c r="Q617" s="5">
        <f>SUMIFS('Desenvolvimento diário'!$H:$H,'Desenvolvimento diário'!$Q:$Q,$B617,'Desenvolvimento diário'!$P:$P,$F617,'Desenvolvimento diário'!$R:$R,"Não")</f>
        <v>0</v>
      </c>
      <c r="R617" s="4">
        <f t="shared" si="203"/>
        <v>0</v>
      </c>
      <c r="S617" s="4">
        <f t="shared" si="204"/>
        <v>0</v>
      </c>
      <c r="T617" s="12">
        <f t="shared" si="206"/>
        <v>0</v>
      </c>
      <c r="Y617" s="2"/>
      <c r="Z617" s="2"/>
      <c r="AA617" s="2"/>
      <c r="AB617" s="2"/>
      <c r="AC617" s="2"/>
    </row>
    <row r="618" spans="1:29" ht="10.5" hidden="1">
      <c r="A618" s="2">
        <f t="shared" si="205"/>
        <v>18</v>
      </c>
      <c r="B618" s="2" t="str">
        <f>VLOOKUP($A618,Controle!$B$4:$F$68,2,FALSE)</f>
        <v>Guarda-Mor</v>
      </c>
      <c r="C618" s="2" t="str">
        <f>VLOOKUP($A618,Controle!$B$4:$F$68,3,FALSE)</f>
        <v xml:space="preserve">ESTRELA DO NORTE </v>
      </c>
      <c r="D618" s="2" t="str">
        <f>VLOOKUP($A618,Controle!$B$4:$F$68,4,FALSE)</f>
        <v>EDN</v>
      </c>
      <c r="E618" s="2" t="str">
        <f>VLOOKUP($A618,Controle!$B$4:$F$68,5,FALSE)</f>
        <v>Weg</v>
      </c>
      <c r="F618" s="3" t="str">
        <f t="shared" si="201"/>
        <v>RDR-Rede de Distribuição Rural</v>
      </c>
      <c r="G618" s="2" t="str">
        <f>VLOOKUP($A618,Controle!$B$4:$G$68,6,FALSE)</f>
        <v>Apolo</v>
      </c>
      <c r="H618" s="6">
        <v>0</v>
      </c>
      <c r="I618" s="6">
        <v>0</v>
      </c>
      <c r="J618" s="6">
        <v>0</v>
      </c>
      <c r="K618" s="6">
        <v>0</v>
      </c>
      <c r="L618" s="6">
        <v>0</v>
      </c>
      <c r="M618" s="6">
        <v>0</v>
      </c>
      <c r="N618" s="6">
        <v>0</v>
      </c>
      <c r="O618" s="4">
        <f t="shared" si="202"/>
        <v>0</v>
      </c>
      <c r="P618" s="5">
        <f>SUMIFS('Desenvolvimento diário'!$H:$H,'Desenvolvimento diário'!$Q:$Q,$B618,'Desenvolvimento diário'!$P:$P,$F618,'Desenvolvimento diário'!$R:$R,"Sim")</f>
        <v>0</v>
      </c>
      <c r="Q618" s="5">
        <f>SUMIFS('Desenvolvimento diário'!$H:$H,'Desenvolvimento diário'!$Q:$Q,$B618,'Desenvolvimento diário'!$P:$P,$F618,'Desenvolvimento diário'!$R:$R,"Não")</f>
        <v>0</v>
      </c>
      <c r="R618" s="4">
        <f t="shared" si="203"/>
        <v>0</v>
      </c>
      <c r="S618" s="4">
        <f t="shared" si="204"/>
        <v>0</v>
      </c>
      <c r="T618" s="12">
        <f t="shared" si="206"/>
        <v>0</v>
      </c>
      <c r="Y618" s="2"/>
      <c r="Z618" s="2"/>
      <c r="AA618" s="2"/>
      <c r="AB618" s="2"/>
      <c r="AC618" s="2"/>
    </row>
    <row r="619" spans="1:29" ht="10.5" hidden="1">
      <c r="A619" s="2">
        <f t="shared" si="205"/>
        <v>18</v>
      </c>
      <c r="B619" s="2" t="str">
        <f>VLOOKUP($A619,Controle!$B$4:$F$68,2,FALSE)</f>
        <v>Guarda-Mor</v>
      </c>
      <c r="C619" s="2" t="str">
        <f>VLOOKUP($A619,Controle!$B$4:$F$68,3,FALSE)</f>
        <v xml:space="preserve">ESTRELA DO NORTE </v>
      </c>
      <c r="D619" s="2" t="str">
        <f>VLOOKUP($A619,Controle!$B$4:$F$68,4,FALSE)</f>
        <v>EDN</v>
      </c>
      <c r="E619" s="2" t="str">
        <f>VLOOKUP($A619,Controle!$B$4:$F$68,5,FALSE)</f>
        <v>Weg</v>
      </c>
      <c r="F619" s="3" t="str">
        <f t="shared" si="201"/>
        <v>Escopo COMERC</v>
      </c>
      <c r="G619" s="2" t="str">
        <f>VLOOKUP($A619,Controle!$B$4:$G$68,6,FALSE)</f>
        <v>Apolo</v>
      </c>
      <c r="H619" s="6">
        <v>0</v>
      </c>
      <c r="I619" s="6">
        <v>42900</v>
      </c>
      <c r="J619" s="29">
        <v>13000</v>
      </c>
      <c r="K619" s="29"/>
      <c r="L619" s="6">
        <v>0</v>
      </c>
      <c r="M619" s="6">
        <v>0</v>
      </c>
      <c r="N619" s="6">
        <v>0</v>
      </c>
      <c r="O619" s="4">
        <f t="shared" si="202"/>
        <v>55900</v>
      </c>
      <c r="P619" s="5">
        <f>SUMIFS('Desenvolvimento diário'!$H:$H,'Desenvolvimento diário'!$Q:$Q,$B619,'Desenvolvimento diário'!$P:$P,$F619,'Desenvolvimento diário'!$R:$R,"Sim")</f>
        <v>0</v>
      </c>
      <c r="Q619" s="5">
        <f>SUMIFS('Desenvolvimento diário'!$H:$H,'Desenvolvimento diário'!$Q:$Q,$B619,'Desenvolvimento diário'!$P:$P,$F619,'Desenvolvimento diário'!$R:$R,"Não")</f>
        <v>42900</v>
      </c>
      <c r="R619" s="4">
        <f t="shared" si="203"/>
        <v>42900</v>
      </c>
      <c r="S619" s="1010">
        <f t="shared" si="204"/>
        <v>13000</v>
      </c>
      <c r="T619" s="12">
        <f t="shared" si="206"/>
        <v>0.76744186046511631</v>
      </c>
      <c r="U619" s="1011" t="s">
        <v>166</v>
      </c>
      <c r="V619" s="1011" t="s">
        <v>167</v>
      </c>
      <c r="Y619" s="2"/>
      <c r="Z619" s="2"/>
      <c r="AA619" s="2"/>
      <c r="AB619" s="2"/>
      <c r="AC619" s="2"/>
    </row>
    <row r="620" spans="1:29" ht="10.5" hidden="1">
      <c r="A620" s="2">
        <f t="shared" si="205"/>
        <v>18</v>
      </c>
      <c r="B620" s="2" t="str">
        <f>VLOOKUP($A620,Controle!$B$4:$F$68,2,FALSE)</f>
        <v>Guarda-Mor</v>
      </c>
      <c r="C620" s="2" t="str">
        <f>VLOOKUP($A620,Controle!$B$4:$F$68,3,FALSE)</f>
        <v xml:space="preserve">ESTRELA DO NORTE </v>
      </c>
      <c r="D620" s="2" t="str">
        <f>VLOOKUP($A620,Controle!$B$4:$F$68,4,FALSE)</f>
        <v>EDN</v>
      </c>
      <c r="E620" s="2" t="str">
        <f>VLOOKUP($A620,Controle!$B$4:$F$68,5,FALSE)</f>
        <v>Weg</v>
      </c>
      <c r="F620" s="3" t="str">
        <f t="shared" si="201"/>
        <v>Escopo COMERC - Segurança</v>
      </c>
      <c r="G620" s="2" t="str">
        <f>VLOOKUP($A620,Controle!$B$4:$G$68,6,FALSE)</f>
        <v>Apolo</v>
      </c>
      <c r="H620" s="6">
        <v>0</v>
      </c>
      <c r="I620" s="6">
        <f t="shared" ref="I619:I620" si="207">R620</f>
        <v>168160.23</v>
      </c>
      <c r="J620" s="6">
        <v>0</v>
      </c>
      <c r="K620" s="6">
        <v>0</v>
      </c>
      <c r="L620" s="6">
        <v>0</v>
      </c>
      <c r="M620" s="6">
        <v>0</v>
      </c>
      <c r="N620" s="6">
        <v>0</v>
      </c>
      <c r="O620" s="4">
        <f t="shared" si="202"/>
        <v>168160.23</v>
      </c>
      <c r="P620" s="5">
        <f>SUMIFS('Desenvolvimento diário'!$H:$H,'Desenvolvimento diário'!$Q:$Q,$B620,'Desenvolvimento diário'!$P:$P,$F620,'Desenvolvimento diário'!$R:$R,"Sim")</f>
        <v>0</v>
      </c>
      <c r="Q620" s="5">
        <f>SUMIFS('Desenvolvimento diário'!$H:$H,'Desenvolvimento diário'!$Q:$Q,$B620,'Desenvolvimento diário'!$P:$P,$F620,'Desenvolvimento diário'!$R:$R,"Não")</f>
        <v>168160.23</v>
      </c>
      <c r="R620" s="4">
        <f t="shared" si="203"/>
        <v>168160.23</v>
      </c>
      <c r="S620" s="4">
        <f t="shared" si="204"/>
        <v>0</v>
      </c>
      <c r="T620" s="12">
        <f t="shared" si="206"/>
        <v>1</v>
      </c>
      <c r="Y620" s="2"/>
      <c r="Z620" s="2"/>
      <c r="AA620" s="2"/>
      <c r="AB620" s="2"/>
      <c r="AC620" s="2"/>
    </row>
    <row r="621" spans="1:29" ht="10.5" hidden="1">
      <c r="A621" s="2">
        <f t="shared" si="205"/>
        <v>18</v>
      </c>
      <c r="B621" s="2" t="str">
        <f>VLOOKUP($A621,Controle!$B$4:$F$68,2,FALSE)</f>
        <v>Guarda-Mor</v>
      </c>
      <c r="C621" s="2" t="str">
        <f>VLOOKUP($A621,Controle!$B$4:$F$68,3,FALSE)</f>
        <v xml:space="preserve">ESTRELA DO NORTE </v>
      </c>
      <c r="D621" s="2" t="str">
        <f>VLOOKUP($A621,Controle!$B$4:$F$68,4,FALSE)</f>
        <v>EDN</v>
      </c>
      <c r="E621" s="2" t="str">
        <f>VLOOKUP($A621,Controle!$B$4:$F$68,5,FALSE)</f>
        <v>Weg</v>
      </c>
      <c r="F621" s="3" t="str">
        <f t="shared" si="201"/>
        <v>Conexão MT - Obras Transferencia</v>
      </c>
      <c r="G621" s="2" t="str">
        <f>VLOOKUP($A621,Controle!$B$4:$G$68,6,FALSE)</f>
        <v>Apolo</v>
      </c>
      <c r="H621" s="6">
        <v>0</v>
      </c>
      <c r="I621" s="6">
        <v>0</v>
      </c>
      <c r="J621" s="6">
        <v>0</v>
      </c>
      <c r="K621" s="6">
        <v>0</v>
      </c>
      <c r="L621" s="6">
        <v>0</v>
      </c>
      <c r="M621" s="6">
        <v>0</v>
      </c>
      <c r="N621" s="6">
        <v>0</v>
      </c>
      <c r="O621" s="4">
        <f t="shared" si="202"/>
        <v>0</v>
      </c>
      <c r="P621" s="5">
        <f>SUMIFS('Desenvolvimento diário'!$H:$H,'Desenvolvimento diário'!$Q:$Q,$B621,'Desenvolvimento diário'!$P:$P,$F621,'Desenvolvimento diário'!$R:$R,"Sim")</f>
        <v>0</v>
      </c>
      <c r="Q621" s="5">
        <f>SUMIFS('Desenvolvimento diário'!$H:$H,'Desenvolvimento diário'!$Q:$Q,$B621,'Desenvolvimento diário'!$P:$P,$F621,'Desenvolvimento diário'!$R:$R,"Não")</f>
        <v>0</v>
      </c>
      <c r="R621" s="4">
        <f t="shared" si="203"/>
        <v>0</v>
      </c>
      <c r="S621" s="4">
        <f t="shared" si="204"/>
        <v>0</v>
      </c>
      <c r="T621" s="12">
        <f t="shared" si="206"/>
        <v>0</v>
      </c>
      <c r="Y621" s="2"/>
      <c r="Z621" s="2"/>
      <c r="AA621" s="2"/>
      <c r="AB621" s="2"/>
      <c r="AC621" s="2"/>
    </row>
    <row r="622" spans="1:29" ht="10.5" hidden="1">
      <c r="A622" s="2">
        <f t="shared" si="205"/>
        <v>18</v>
      </c>
      <c r="B622" s="2" t="str">
        <f>VLOOKUP($A622,Controle!$B$4:$F$68,2,FALSE)</f>
        <v>Guarda-Mor</v>
      </c>
      <c r="C622" s="2" t="str">
        <f>VLOOKUP($A622,Controle!$B$4:$F$68,3,FALSE)</f>
        <v xml:space="preserve">ESTRELA DO NORTE </v>
      </c>
      <c r="D622" s="2" t="str">
        <f>VLOOKUP($A622,Controle!$B$4:$F$68,4,FALSE)</f>
        <v>EDN</v>
      </c>
      <c r="E622" s="2" t="str">
        <f>VLOOKUP($A622,Controle!$B$4:$F$68,5,FALSE)</f>
        <v>Weg</v>
      </c>
      <c r="F622" s="3" t="str">
        <f t="shared" si="201"/>
        <v>Bases de Contaniers</v>
      </c>
      <c r="G622" s="2" t="str">
        <f>VLOOKUP($A622,Controle!$B$4:$G$68,6,FALSE)</f>
        <v>Apolo</v>
      </c>
      <c r="H622" s="6" t="s">
        <v>181</v>
      </c>
      <c r="I622" s="6">
        <v>147704.69</v>
      </c>
      <c r="J622" s="6">
        <v>0</v>
      </c>
      <c r="K622" s="6">
        <v>0</v>
      </c>
      <c r="L622" s="6">
        <v>0</v>
      </c>
      <c r="M622" s="6">
        <v>0</v>
      </c>
      <c r="N622" s="6">
        <v>0</v>
      </c>
      <c r="O622" s="4">
        <f t="shared" si="202"/>
        <v>147704.69</v>
      </c>
      <c r="P622" s="5">
        <f>SUMIFS('Desenvolvimento diário'!$H:$H,'Desenvolvimento diário'!$Q:$Q,$B622,'Desenvolvimento diário'!$P:$P,$F622,'Desenvolvimento diário'!$R:$R,"Sim")</f>
        <v>98603.59</v>
      </c>
      <c r="Q622" s="5">
        <f>SUMIFS('Desenvolvimento diário'!$H:$H,'Desenvolvimento diário'!$Q:$Q,$B622,'Desenvolvimento diário'!$P:$P,$F622,'Desenvolvimento diário'!$R:$R,"Não")</f>
        <v>49101.1</v>
      </c>
      <c r="R622" s="4">
        <f t="shared" si="203"/>
        <v>147704.69</v>
      </c>
      <c r="S622" s="4">
        <f t="shared" si="204"/>
        <v>0</v>
      </c>
      <c r="T622" s="12">
        <f t="shared" si="206"/>
        <v>1</v>
      </c>
      <c r="Y622" s="2"/>
      <c r="Z622" s="2"/>
      <c r="AA622" s="2"/>
      <c r="AB622" s="2"/>
      <c r="AC622" s="2"/>
    </row>
    <row r="623" spans="1:29" ht="10.5" hidden="1">
      <c r="A623" s="2">
        <f t="shared" si="205"/>
        <v>18</v>
      </c>
      <c r="B623" s="2" t="str">
        <f>VLOOKUP($A623,Controle!$B$4:$F$68,2,FALSE)</f>
        <v>Guarda-Mor</v>
      </c>
      <c r="C623" s="2" t="str">
        <f>VLOOKUP($A623,Controle!$B$4:$F$68,3,FALSE)</f>
        <v xml:space="preserve">ESTRELA DO NORTE </v>
      </c>
      <c r="D623" s="2" t="str">
        <f>VLOOKUP($A623,Controle!$B$4:$F$68,4,FALSE)</f>
        <v>EDN</v>
      </c>
      <c r="E623" s="2" t="str">
        <f>VLOOKUP($A623,Controle!$B$4:$F$68,5,FALSE)</f>
        <v>Weg</v>
      </c>
      <c r="F623" s="3" t="str">
        <f t="shared" si="201"/>
        <v>Construção - Serviços de Construção - Ase Engenharia</v>
      </c>
      <c r="G623" s="2" t="str">
        <f>VLOOKUP($A623,Controle!$B$4:$G$68,6,FALSE)</f>
        <v>Apolo</v>
      </c>
      <c r="H623" s="6">
        <v>0</v>
      </c>
      <c r="I623" s="6">
        <v>0</v>
      </c>
      <c r="J623" s="6">
        <v>0</v>
      </c>
      <c r="K623" s="6">
        <v>0</v>
      </c>
      <c r="L623" s="6">
        <v>0</v>
      </c>
      <c r="M623" s="6">
        <v>0</v>
      </c>
      <c r="N623" s="6">
        <v>0</v>
      </c>
      <c r="O623" s="4">
        <f t="shared" si="202"/>
        <v>0</v>
      </c>
      <c r="P623" s="5">
        <f>SUMIFS('Desenvolvimento diário'!$H:$H,'Desenvolvimento diário'!$Q:$Q,$B623,'Desenvolvimento diário'!$P:$P,$F623,'Desenvolvimento diário'!$R:$R,"Sim")</f>
        <v>0</v>
      </c>
      <c r="Q623" s="5">
        <f>SUMIFS('Desenvolvimento diário'!$H:$H,'Desenvolvimento diário'!$Q:$Q,$B623,'Desenvolvimento diário'!$P:$P,$F623,'Desenvolvimento diário'!$R:$R,"Não")</f>
        <v>0</v>
      </c>
      <c r="R623" s="4">
        <f t="shared" si="203"/>
        <v>0</v>
      </c>
      <c r="S623" s="4">
        <f t="shared" si="204"/>
        <v>0</v>
      </c>
      <c r="T623" s="12">
        <f t="shared" si="206"/>
        <v>0</v>
      </c>
      <c r="Y623" s="2"/>
      <c r="Z623" s="2"/>
      <c r="AA623" s="2"/>
      <c r="AB623" s="2"/>
      <c r="AC623" s="2"/>
    </row>
    <row r="624" spans="1:29" ht="10.5" hidden="1">
      <c r="A624" s="2">
        <f t="shared" si="205"/>
        <v>18</v>
      </c>
      <c r="B624" s="2" t="str">
        <f>VLOOKUP($A624,Controle!$B$4:$F$68,2,FALSE)</f>
        <v>Guarda-Mor</v>
      </c>
      <c r="C624" s="2" t="str">
        <f>VLOOKUP($A624,Controle!$B$4:$F$68,3,FALSE)</f>
        <v xml:space="preserve">ESTRELA DO NORTE </v>
      </c>
      <c r="D624" s="2" t="str">
        <f>VLOOKUP($A624,Controle!$B$4:$F$68,4,FALSE)</f>
        <v>EDN</v>
      </c>
      <c r="E624" s="2" t="str">
        <f>VLOOKUP($A624,Controle!$B$4:$F$68,5,FALSE)</f>
        <v>Weg</v>
      </c>
      <c r="F624" s="3" t="str">
        <f t="shared" si="201"/>
        <v>Full EPC - Contrato Sobressalentes</v>
      </c>
      <c r="G624" s="2" t="str">
        <f>VLOOKUP($A624,Controle!$B$4:$G$68,6,FALSE)</f>
        <v>Apolo</v>
      </c>
      <c r="H624" s="6" t="s">
        <v>21</v>
      </c>
      <c r="I624" s="6">
        <v>217975.09</v>
      </c>
      <c r="J624" s="6">
        <v>0</v>
      </c>
      <c r="K624" s="6">
        <v>0</v>
      </c>
      <c r="L624" s="6">
        <v>0</v>
      </c>
      <c r="M624" s="6">
        <v>0</v>
      </c>
      <c r="N624" s="6">
        <v>0</v>
      </c>
      <c r="O624" s="4">
        <f t="shared" si="202"/>
        <v>217975.09</v>
      </c>
      <c r="P624" s="5">
        <f>SUMIFS('Desenvolvimento diário'!$H:$H,'Desenvolvimento diário'!$Q:$Q,$B624,'Desenvolvimento diário'!$P:$P,$F624,'Desenvolvimento diário'!$R:$R,"Sim")</f>
        <v>0</v>
      </c>
      <c r="Q624" s="5">
        <f>SUMIFS('Desenvolvimento diário'!$H:$H,'Desenvolvimento diário'!$Q:$Q,$B624,'Desenvolvimento diário'!$P:$P,$F624,'Desenvolvimento diário'!$R:$R,"Não")</f>
        <v>217975.09</v>
      </c>
      <c r="R624" s="4">
        <f t="shared" si="203"/>
        <v>217975.09</v>
      </c>
      <c r="S624" s="4">
        <f t="shared" si="204"/>
        <v>0</v>
      </c>
      <c r="T624" s="12">
        <f t="shared" si="206"/>
        <v>1</v>
      </c>
      <c r="Y624" s="2"/>
      <c r="Z624" s="2"/>
      <c r="AA624" s="2"/>
      <c r="AB624" s="2"/>
      <c r="AC624" s="2"/>
    </row>
    <row r="625" spans="1:29" ht="10.5" hidden="1">
      <c r="A625" s="2">
        <f t="shared" si="205"/>
        <v>18</v>
      </c>
      <c r="B625" s="2" t="str">
        <f>VLOOKUP($A625,Controle!$B$4:$F$68,2,FALSE)</f>
        <v>Guarda-Mor</v>
      </c>
      <c r="C625" s="2" t="str">
        <f>VLOOKUP($A625,Controle!$B$4:$F$68,3,FALSE)</f>
        <v xml:space="preserve">ESTRELA DO NORTE </v>
      </c>
      <c r="D625" s="2" t="str">
        <f>VLOOKUP($A625,Controle!$B$4:$F$68,4,FALSE)</f>
        <v>EDN</v>
      </c>
      <c r="E625" s="2" t="str">
        <f>VLOOKUP($A625,Controle!$B$4:$F$68,5,FALSE)</f>
        <v>Weg</v>
      </c>
      <c r="F625" s="3" t="str">
        <f t="shared" si="201"/>
        <v>Construção - Serviços de Construção - NOVA MORADA</v>
      </c>
      <c r="G625" s="2" t="str">
        <f>VLOOKUP($A625,Controle!$B$4:$G$68,6,FALSE)</f>
        <v>Apolo</v>
      </c>
      <c r="H625" s="6">
        <v>0</v>
      </c>
      <c r="I625" s="6">
        <v>0</v>
      </c>
      <c r="J625" s="6">
        <v>0</v>
      </c>
      <c r="K625" s="6">
        <v>0</v>
      </c>
      <c r="L625" s="6">
        <v>0</v>
      </c>
      <c r="M625" s="6">
        <v>0</v>
      </c>
      <c r="N625" s="6">
        <v>0</v>
      </c>
      <c r="O625" s="4">
        <f t="shared" si="202"/>
        <v>0</v>
      </c>
      <c r="P625" s="5">
        <f>SUMIFS('Desenvolvimento diário'!$H:$H,'Desenvolvimento diário'!$Q:$Q,$B625,'Desenvolvimento diário'!$P:$P,$F625,'Desenvolvimento diário'!$R:$R,"Sim")</f>
        <v>0</v>
      </c>
      <c r="Q625" s="5">
        <f>SUMIFS('Desenvolvimento diário'!$H:$H,'Desenvolvimento diário'!$Q:$Q,$B625,'Desenvolvimento diário'!$P:$P,$F625,'Desenvolvimento diário'!$R:$R,"Não")</f>
        <v>0</v>
      </c>
      <c r="R625" s="4">
        <f t="shared" si="203"/>
        <v>0</v>
      </c>
      <c r="S625" s="4">
        <f t="shared" si="204"/>
        <v>0</v>
      </c>
      <c r="T625" s="12">
        <f t="shared" si="206"/>
        <v>0</v>
      </c>
      <c r="Y625" s="2"/>
      <c r="Z625" s="2"/>
      <c r="AA625" s="2"/>
      <c r="AB625" s="2"/>
      <c r="AC625" s="2"/>
    </row>
    <row r="626" spans="1:29" ht="10.5" hidden="1">
      <c r="A626" s="2">
        <f t="shared" si="205"/>
        <v>18</v>
      </c>
      <c r="B626" s="2" t="str">
        <f>VLOOKUP($A626,Controle!$B$4:$F$68,2,FALSE)</f>
        <v>Guarda-Mor</v>
      </c>
      <c r="C626" s="2" t="str">
        <f>VLOOKUP($A626,Controle!$B$4:$F$68,3,FALSE)</f>
        <v xml:space="preserve">ESTRELA DO NORTE </v>
      </c>
      <c r="D626" s="2" t="str">
        <f>VLOOKUP($A626,Controle!$B$4:$F$68,4,FALSE)</f>
        <v>EDN</v>
      </c>
      <c r="E626" s="2" t="str">
        <f>VLOOKUP($A626,Controle!$B$4:$F$68,5,FALSE)</f>
        <v>Weg</v>
      </c>
      <c r="F626" s="3" t="str">
        <f t="shared" si="201"/>
        <v>Equipamentos Curva A -  Contrato Sobressalentes - SETTA</v>
      </c>
      <c r="G626" s="2" t="str">
        <f>VLOOKUP($A626,Controle!$B$4:$G$68,6,FALSE)</f>
        <v>Apolo</v>
      </c>
      <c r="H626" s="6">
        <v>0</v>
      </c>
      <c r="I626" s="6">
        <v>0</v>
      </c>
      <c r="J626" s="6">
        <v>0</v>
      </c>
      <c r="K626" s="6">
        <v>0</v>
      </c>
      <c r="L626" s="6">
        <v>0</v>
      </c>
      <c r="M626" s="6">
        <v>0</v>
      </c>
      <c r="N626" s="6">
        <v>0</v>
      </c>
      <c r="O626" s="4">
        <f t="shared" si="202"/>
        <v>0</v>
      </c>
      <c r="P626" s="5">
        <f>SUMIFS('Desenvolvimento diário'!$H:$H,'Desenvolvimento diário'!$Q:$Q,$B626,'Desenvolvimento diário'!$P:$P,$F626,'Desenvolvimento diário'!$R:$R,"Sim")</f>
        <v>0</v>
      </c>
      <c r="Q626" s="5">
        <f>SUMIFS('Desenvolvimento diário'!$H:$H,'Desenvolvimento diário'!$Q:$Q,$B626,'Desenvolvimento diário'!$P:$P,$F626,'Desenvolvimento diário'!$R:$R,"Não")</f>
        <v>0</v>
      </c>
      <c r="R626" s="4">
        <f t="shared" si="203"/>
        <v>0</v>
      </c>
      <c r="S626" s="4">
        <f t="shared" si="204"/>
        <v>0</v>
      </c>
      <c r="T626" s="12">
        <f t="shared" si="206"/>
        <v>0</v>
      </c>
      <c r="Y626" s="2"/>
      <c r="Z626" s="2"/>
      <c r="AA626" s="2"/>
      <c r="AB626" s="2"/>
      <c r="AC626" s="2"/>
    </row>
    <row r="627" spans="1:29" ht="10.5" hidden="1">
      <c r="A627" s="2">
        <f t="shared" si="205"/>
        <v>18</v>
      </c>
      <c r="B627" s="2" t="str">
        <f>VLOOKUP($A627,Controle!$B$4:$F$68,2,FALSE)</f>
        <v>Guarda-Mor</v>
      </c>
      <c r="C627" s="2" t="str">
        <f>VLOOKUP($A627,Controle!$B$4:$F$68,3,FALSE)</f>
        <v xml:space="preserve">ESTRELA DO NORTE </v>
      </c>
      <c r="D627" s="2" t="str">
        <f>VLOOKUP($A627,Controle!$B$4:$F$68,4,FALSE)</f>
        <v>EDN</v>
      </c>
      <c r="E627" s="2" t="str">
        <f>VLOOKUP($A627,Controle!$B$4:$F$68,5,FALSE)</f>
        <v>Weg</v>
      </c>
      <c r="F627" s="3" t="str">
        <f t="shared" si="201"/>
        <v>Equipamentos Curva A -  Contrato Sobressalentes - Arctech</v>
      </c>
      <c r="G627" s="2" t="str">
        <f>VLOOKUP($A627,Controle!$B$4:$G$68,6,FALSE)</f>
        <v>Apolo</v>
      </c>
      <c r="H627" s="6">
        <v>0</v>
      </c>
      <c r="I627" s="6">
        <v>0</v>
      </c>
      <c r="J627" s="6">
        <v>0</v>
      </c>
      <c r="K627" s="6">
        <v>0</v>
      </c>
      <c r="L627" s="6">
        <v>0</v>
      </c>
      <c r="M627" s="6">
        <v>0</v>
      </c>
      <c r="N627" s="6">
        <v>0</v>
      </c>
      <c r="O627" s="4">
        <f t="shared" si="202"/>
        <v>0</v>
      </c>
      <c r="P627" s="5">
        <f>SUMIFS('Desenvolvimento diário'!$H:$H,'Desenvolvimento diário'!$Q:$Q,$B627,'Desenvolvimento diário'!$P:$P,$F627,'Desenvolvimento diário'!$R:$R,"Sim")</f>
        <v>0</v>
      </c>
      <c r="Q627" s="5">
        <f>SUMIFS('Desenvolvimento diário'!$H:$H,'Desenvolvimento diário'!$Q:$Q,$B627,'Desenvolvimento diário'!$P:$P,$F627,'Desenvolvimento diário'!$R:$R,"Não")</f>
        <v>0</v>
      </c>
      <c r="R627" s="4">
        <f t="shared" si="203"/>
        <v>0</v>
      </c>
      <c r="S627" s="4">
        <f t="shared" si="204"/>
        <v>0</v>
      </c>
      <c r="T627" s="12">
        <f t="shared" si="206"/>
        <v>0</v>
      </c>
      <c r="Y627" s="2"/>
      <c r="Z627" s="2"/>
      <c r="AA627" s="2"/>
      <c r="AB627" s="2"/>
      <c r="AC627" s="2"/>
    </row>
    <row r="628" spans="1:29" hidden="1">
      <c r="A628" s="2">
        <f t="shared" si="205"/>
        <v>18</v>
      </c>
      <c r="B628" s="2" t="str">
        <f>VLOOKUP($A628,Controle!$B$4:$F$68,2,FALSE)</f>
        <v>Guarda-Mor</v>
      </c>
      <c r="C628" s="2" t="str">
        <f>VLOOKUP($A628,Controle!$B$4:$F$68,3,FALSE)</f>
        <v xml:space="preserve">ESTRELA DO NORTE </v>
      </c>
      <c r="D628" s="2" t="str">
        <f>VLOOKUP($A628,Controle!$B$4:$F$68,4,FALSE)</f>
        <v>EDN</v>
      </c>
      <c r="E628" s="2" t="str">
        <f>VLOOKUP($A628,Controle!$B$4:$F$68,5,FALSE)</f>
        <v>Weg</v>
      </c>
      <c r="F628" s="3" t="str">
        <f t="shared" si="201"/>
        <v>Equipamentos Curva A -  Contrato Sobressalentes - Romagnole</v>
      </c>
      <c r="G628" s="2" t="str">
        <f>VLOOKUP($A628,Controle!$B$4:$G$68,6,FALSE)</f>
        <v>Apolo</v>
      </c>
      <c r="H628" s="7">
        <v>0</v>
      </c>
      <c r="I628" s="7">
        <v>0</v>
      </c>
      <c r="J628" s="7">
        <v>0</v>
      </c>
      <c r="K628" s="7">
        <v>0</v>
      </c>
      <c r="L628" s="7">
        <v>0</v>
      </c>
      <c r="M628" s="7">
        <v>0</v>
      </c>
      <c r="N628" s="7">
        <v>0</v>
      </c>
      <c r="O628" s="4">
        <f t="shared" si="202"/>
        <v>0</v>
      </c>
      <c r="P628" s="17">
        <f>SUMIFS('Desenvolvimento diário'!$H:$H,'Desenvolvimento diário'!$Q:$Q,$B628,'Desenvolvimento diário'!$P:$P,$F628,'Desenvolvimento diário'!$R:$R,"Sim")</f>
        <v>0</v>
      </c>
      <c r="Q628" s="17">
        <f>SUMIFS('Desenvolvimento diário'!$H:$H,'Desenvolvimento diário'!$Q:$Q,$B628,'Desenvolvimento diário'!$P:$P,$F628,'Desenvolvimento diário'!$R:$R,"Não")</f>
        <v>0</v>
      </c>
      <c r="R628" s="4">
        <f t="shared" si="203"/>
        <v>0</v>
      </c>
      <c r="S628" s="4">
        <f t="shared" si="204"/>
        <v>0</v>
      </c>
      <c r="T628" s="12">
        <f t="shared" si="206"/>
        <v>0</v>
      </c>
      <c r="Y628" s="2"/>
      <c r="Z628" s="2"/>
      <c r="AA628" s="2"/>
      <c r="AB628" s="2"/>
      <c r="AC628" s="2"/>
    </row>
    <row r="629" spans="1:29" hidden="1">
      <c r="A629" s="2">
        <f t="shared" si="205"/>
        <v>18</v>
      </c>
      <c r="B629" s="2" t="str">
        <f>VLOOKUP($A629,Controle!$B$4:$F$68,2,FALSE)</f>
        <v>Guarda-Mor</v>
      </c>
      <c r="C629" s="2" t="str">
        <f>VLOOKUP($A629,Controle!$B$4:$F$68,3,FALSE)</f>
        <v xml:space="preserve">ESTRELA DO NORTE </v>
      </c>
      <c r="D629" s="2" t="str">
        <f>VLOOKUP($A629,Controle!$B$4:$F$68,4,FALSE)</f>
        <v>EDN</v>
      </c>
      <c r="E629" s="2" t="str">
        <f>VLOOKUP($A629,Controle!$B$4:$F$68,5,FALSE)</f>
        <v>Weg</v>
      </c>
      <c r="F629" s="3" t="str">
        <f t="shared" si="201"/>
        <v>GOS FLORESTAL - (PRAD - Recuperação Area Ambiental)</v>
      </c>
      <c r="G629" s="2" t="str">
        <f>VLOOKUP($A629,Controle!$B$4:$G$68,6,FALSE)</f>
        <v>Apolo</v>
      </c>
      <c r="H629" s="506" t="s">
        <v>170</v>
      </c>
      <c r="I629" s="6">
        <v>0</v>
      </c>
      <c r="J629" s="506"/>
      <c r="K629" s="506">
        <v>0</v>
      </c>
      <c r="L629" s="506">
        <v>0</v>
      </c>
      <c r="M629" s="506">
        <v>0</v>
      </c>
      <c r="N629" s="506">
        <v>0</v>
      </c>
      <c r="O629" s="39">
        <f t="shared" si="202"/>
        <v>0</v>
      </c>
      <c r="P629" s="17">
        <f>SUMIFS('Desenvolvimento diário'!$H:$H,'Desenvolvimento diário'!$Q:$Q,$B629,'Desenvolvimento diário'!$P:$P,$F629,'Desenvolvimento diário'!$R:$R,"Sim")</f>
        <v>0</v>
      </c>
      <c r="Q629" s="17">
        <f>SUMIFS('Desenvolvimento diário'!$H:$H,'Desenvolvimento diário'!$Q:$Q,$B629,'Desenvolvimento diário'!$P:$P,$F629,'Desenvolvimento diário'!$R:$R,"Não")</f>
        <v>0</v>
      </c>
      <c r="R629" s="4">
        <f t="shared" si="203"/>
        <v>0</v>
      </c>
      <c r="S629" s="4">
        <f t="shared" si="204"/>
        <v>0</v>
      </c>
      <c r="T629" s="12">
        <f t="shared" si="206"/>
        <v>0</v>
      </c>
      <c r="Y629" s="2"/>
      <c r="Z629" s="2"/>
      <c r="AA629" s="2"/>
      <c r="AB629" s="2"/>
      <c r="AC629" s="2"/>
    </row>
    <row r="630" spans="1:29" hidden="1">
      <c r="A630" s="2">
        <f t="shared" si="205"/>
        <v>18</v>
      </c>
      <c r="B630" s="2" t="str">
        <f>VLOOKUP($A630,Controle!$B$4:$F$68,2,FALSE)</f>
        <v>Guarda-Mor</v>
      </c>
      <c r="C630" s="2" t="str">
        <f>VLOOKUP($A630,Controle!$B$4:$F$68,3,FALSE)</f>
        <v xml:space="preserve">ESTRELA DO NORTE </v>
      </c>
      <c r="D630" s="2" t="str">
        <f>VLOOKUP($A630,Controle!$B$4:$F$68,4,FALSE)</f>
        <v>EDN</v>
      </c>
      <c r="E630" s="2" t="str">
        <f>VLOOKUP($A630,Controle!$B$4:$F$68,5,FALSE)</f>
        <v>Weg</v>
      </c>
      <c r="F630" s="3" t="str">
        <f t="shared" si="201"/>
        <v>Cercamento das bacias de contenção ciclo 2</v>
      </c>
      <c r="G630" s="2" t="str">
        <f>VLOOKUP($A630,Controle!$B$4:$G$68,6,FALSE)</f>
        <v>Apolo</v>
      </c>
      <c r="H630" s="506" t="s">
        <v>172</v>
      </c>
      <c r="I630" s="6"/>
      <c r="J630" s="506"/>
      <c r="K630" s="506">
        <v>0</v>
      </c>
      <c r="L630" s="506">
        <v>0</v>
      </c>
      <c r="M630" s="506">
        <v>0</v>
      </c>
      <c r="N630" s="506">
        <v>0</v>
      </c>
      <c r="O630" s="39">
        <f t="shared" si="202"/>
        <v>0</v>
      </c>
      <c r="P630" s="17">
        <f>SUMIFS('Desenvolvimento diário'!$H:$H,'Desenvolvimento diário'!$Q:$Q,$B630,'Desenvolvimento diário'!$P:$P,$F630,'Desenvolvimento diário'!$R:$R,"Sim")</f>
        <v>0</v>
      </c>
      <c r="Q630" s="17">
        <f>SUMIFS('Desenvolvimento diário'!$H:$H,'Desenvolvimento diário'!$Q:$Q,$B630,'Desenvolvimento diário'!$P:$P,$F630,'Desenvolvimento diário'!$R:$R,"Não")</f>
        <v>0</v>
      </c>
      <c r="R630" s="4">
        <f t="shared" si="203"/>
        <v>0</v>
      </c>
      <c r="S630" s="1030">
        <f t="shared" si="204"/>
        <v>0</v>
      </c>
      <c r="T630" s="12">
        <f t="shared" si="206"/>
        <v>0</v>
      </c>
      <c r="U630" s="1029" t="s">
        <v>166</v>
      </c>
      <c r="V630" s="1029" t="s">
        <v>94</v>
      </c>
      <c r="Y630" s="2"/>
      <c r="Z630" s="2"/>
      <c r="AA630" s="2"/>
      <c r="AB630" s="2"/>
      <c r="AC630" s="2"/>
    </row>
    <row r="631" spans="1:29" hidden="1">
      <c r="A631" s="8">
        <f>A628</f>
        <v>18</v>
      </c>
      <c r="B631" s="9" t="str">
        <f t="shared" ref="B631" si="208">B628</f>
        <v>Guarda-Mor</v>
      </c>
      <c r="C631" s="9" t="str">
        <f t="shared" ref="C631" si="209">C628</f>
        <v xml:space="preserve">ESTRELA DO NORTE </v>
      </c>
      <c r="D631" s="9" t="str">
        <f t="shared" ref="D631" si="210">D628</f>
        <v>EDN</v>
      </c>
      <c r="E631" s="9" t="str">
        <f t="shared" ref="E631" si="211">E628</f>
        <v>Weg</v>
      </c>
      <c r="F631" s="10" t="s">
        <v>158</v>
      </c>
      <c r="G631" s="9" t="str">
        <f>G628</f>
        <v>Apolo</v>
      </c>
      <c r="H631" s="9"/>
      <c r="I631" s="9">
        <f>SUBTOTAL(9,I597:I630)</f>
        <v>0</v>
      </c>
      <c r="J631" s="9">
        <f t="shared" ref="J631:S631" si="212">SUBTOTAL(9,J597:J630)</f>
        <v>0</v>
      </c>
      <c r="K631" s="9">
        <f t="shared" si="212"/>
        <v>0</v>
      </c>
      <c r="L631" s="9">
        <f t="shared" si="212"/>
        <v>0</v>
      </c>
      <c r="M631" s="9">
        <f t="shared" si="212"/>
        <v>0</v>
      </c>
      <c r="N631" s="9">
        <f t="shared" si="212"/>
        <v>0</v>
      </c>
      <c r="O631" s="9">
        <f t="shared" si="212"/>
        <v>0</v>
      </c>
      <c r="P631" s="9">
        <f t="shared" si="212"/>
        <v>0</v>
      </c>
      <c r="Q631" s="9">
        <f t="shared" si="212"/>
        <v>0</v>
      </c>
      <c r="R631" s="9">
        <f t="shared" si="212"/>
        <v>0</v>
      </c>
      <c r="S631" s="9">
        <f t="shared" si="212"/>
        <v>0</v>
      </c>
      <c r="T631" s="13">
        <f>IFERROR(R631/O631,0)</f>
        <v>0</v>
      </c>
      <c r="U631" s="11">
        <f>SUBTOTAL(9,U597:U630)</f>
        <v>0</v>
      </c>
      <c r="Y631" s="2"/>
      <c r="Z631" s="2"/>
      <c r="AA631" s="2"/>
      <c r="AB631" s="2"/>
      <c r="AC631" s="2"/>
    </row>
    <row r="632" spans="1:29" ht="10.5" hidden="1">
      <c r="A632" s="2">
        <f>A597+1</f>
        <v>19</v>
      </c>
      <c r="B632" s="2" t="str">
        <f>VLOOKUP($A632,Controle!$B$4:$F$68,2,FALSE)</f>
        <v>Indaiabira 1</v>
      </c>
      <c r="C632" s="2" t="str">
        <f>VLOOKUP($A632,Controle!$B$4:$F$68,3,FALSE)</f>
        <v xml:space="preserve">ESTRELA DO NORTE </v>
      </c>
      <c r="D632" s="2" t="str">
        <f>VLOOKUP($A632,Controle!$B$4:$F$68,4,FALSE)</f>
        <v>EDN</v>
      </c>
      <c r="E632" s="2" t="str">
        <f>VLOOKUP($A632,Controle!$B$4:$F$68,5,FALSE)</f>
        <v>Weg</v>
      </c>
      <c r="F632" s="3" t="str">
        <f t="shared" ref="F632:F665" si="213">F597</f>
        <v>Conexão AT - Obras</v>
      </c>
      <c r="G632" s="2" t="str">
        <f>VLOOKUP($A632,Controle!$B$4:$G$68,6,FALSE)</f>
        <v>Apolo</v>
      </c>
      <c r="H632" s="6" t="s">
        <v>194</v>
      </c>
      <c r="I632" s="6">
        <v>0</v>
      </c>
      <c r="J632" s="6">
        <v>0</v>
      </c>
      <c r="K632" s="6">
        <v>0</v>
      </c>
      <c r="L632" s="6">
        <v>0</v>
      </c>
      <c r="M632" s="6">
        <v>0</v>
      </c>
      <c r="N632" s="6">
        <v>0</v>
      </c>
      <c r="O632" s="4">
        <f t="shared" ref="O632:O665" si="214">SUM(I632:N632)</f>
        <v>0</v>
      </c>
      <c r="P632" s="5">
        <f>SUMIFS('Desenvolvimento diário'!$H:$H,'Desenvolvimento diário'!$Q:$Q,$B632,'Desenvolvimento diário'!$P:$P,$F632,'Desenvolvimento diário'!$R:$R,"Sim")</f>
        <v>0</v>
      </c>
      <c r="Q632" s="5">
        <f>SUMIFS('Desenvolvimento diário'!$H:$H,'Desenvolvimento diário'!$Q:$Q,$B632,'Desenvolvimento diário'!$P:$P,$F632,'Desenvolvimento diário'!$R:$R,"Não")</f>
        <v>0</v>
      </c>
      <c r="R632" s="4">
        <f t="shared" ref="R632:R665" si="215">SUM(P632:Q632)</f>
        <v>0</v>
      </c>
      <c r="S632" s="4">
        <f t="shared" ref="S632:S665" si="216">O632-R632</f>
        <v>0</v>
      </c>
      <c r="T632" s="12">
        <f t="shared" si="206"/>
        <v>0</v>
      </c>
      <c r="Y632" s="2"/>
      <c r="Z632" s="2"/>
      <c r="AA632" s="2"/>
      <c r="AB632" s="2"/>
      <c r="AC632" s="2"/>
    </row>
    <row r="633" spans="1:29" ht="10.5" hidden="1">
      <c r="A633" s="2">
        <f t="shared" ref="A633:A665" si="217">A632</f>
        <v>19</v>
      </c>
      <c r="B633" s="2" t="str">
        <f>VLOOKUP($A633,Controle!$B$4:$F$68,2,FALSE)</f>
        <v>Indaiabira 1</v>
      </c>
      <c r="C633" s="2" t="str">
        <f>VLOOKUP($A633,Controle!$B$4:$F$68,3,FALSE)</f>
        <v xml:space="preserve">ESTRELA DO NORTE </v>
      </c>
      <c r="D633" s="2" t="str">
        <f>VLOOKUP($A633,Controle!$B$4:$F$68,4,FALSE)</f>
        <v>EDN</v>
      </c>
      <c r="E633" s="2" t="str">
        <f>VLOOKUP($A633,Controle!$B$4:$F$68,5,FALSE)</f>
        <v>Weg</v>
      </c>
      <c r="F633" s="3" t="str">
        <f t="shared" si="213"/>
        <v>Conexão MT - Obras</v>
      </c>
      <c r="G633" s="2" t="str">
        <f>VLOOKUP($A633,Controle!$B$4:$G$68,6,FALSE)</f>
        <v>Apolo</v>
      </c>
      <c r="H633" s="6" t="s">
        <v>141</v>
      </c>
      <c r="I633" s="6">
        <v>1885000</v>
      </c>
      <c r="J633" s="6">
        <v>82000</v>
      </c>
      <c r="K633" s="6">
        <v>0</v>
      </c>
      <c r="L633" s="6">
        <v>0</v>
      </c>
      <c r="M633" s="6">
        <v>0</v>
      </c>
      <c r="N633" s="6">
        <v>0</v>
      </c>
      <c r="O633" s="4">
        <f t="shared" si="214"/>
        <v>1967000</v>
      </c>
      <c r="P633" s="5">
        <f>SUMIFS('Desenvolvimento diário'!$H:$H,'Desenvolvimento diário'!$Q:$Q,$B633,'Desenvolvimento diário'!$P:$P,$F633,'Desenvolvimento diário'!$R:$R,"Sim")</f>
        <v>799584.77</v>
      </c>
      <c r="Q633" s="5">
        <f>SUMIFS('Desenvolvimento diário'!$H:$H,'Desenvolvimento diário'!$Q:$Q,$B633,'Desenvolvimento diário'!$P:$P,$F633,'Desenvolvimento diário'!$R:$R,"Não")</f>
        <v>1167415.23</v>
      </c>
      <c r="R633" s="4">
        <f t="shared" si="215"/>
        <v>1967000</v>
      </c>
      <c r="S633" s="4">
        <f t="shared" si="216"/>
        <v>0</v>
      </c>
      <c r="T633" s="12">
        <f t="shared" si="206"/>
        <v>1</v>
      </c>
      <c r="Y633" s="2"/>
      <c r="Z633" s="2"/>
      <c r="AA633" s="2"/>
      <c r="AB633" s="2"/>
      <c r="AC633" s="2"/>
    </row>
    <row r="634" spans="1:29" ht="10.5" hidden="1">
      <c r="A634" s="2">
        <f t="shared" si="217"/>
        <v>19</v>
      </c>
      <c r="B634" s="2" t="str">
        <f>VLOOKUP($A634,Controle!$B$4:$F$68,2,FALSE)</f>
        <v>Indaiabira 1</v>
      </c>
      <c r="C634" s="2" t="str">
        <f>VLOOKUP($A634,Controle!$B$4:$F$68,3,FALSE)</f>
        <v xml:space="preserve">ESTRELA DO NORTE </v>
      </c>
      <c r="D634" s="2" t="str">
        <f>VLOOKUP($A634,Controle!$B$4:$F$68,4,FALSE)</f>
        <v>EDN</v>
      </c>
      <c r="E634" s="2" t="str">
        <f>VLOOKUP($A634,Controle!$B$4:$F$68,5,FALSE)</f>
        <v>Weg</v>
      </c>
      <c r="F634" s="3" t="str">
        <f t="shared" si="213"/>
        <v>Construção - Serviços de Construção</v>
      </c>
      <c r="G634" s="2" t="str">
        <f>VLOOKUP($A634,Controle!$B$4:$G$68,6,FALSE)</f>
        <v>Apolo</v>
      </c>
      <c r="H634" s="6">
        <v>0</v>
      </c>
      <c r="I634" s="6">
        <v>0</v>
      </c>
      <c r="J634" s="6">
        <v>0</v>
      </c>
      <c r="K634" s="6">
        <v>0</v>
      </c>
      <c r="L634" s="6">
        <v>0</v>
      </c>
      <c r="M634" s="6">
        <v>0</v>
      </c>
      <c r="N634" s="6">
        <v>0</v>
      </c>
      <c r="O634" s="4">
        <f t="shared" si="214"/>
        <v>0</v>
      </c>
      <c r="P634" s="5">
        <f>SUMIFS('Desenvolvimento diário'!$H:$H,'Desenvolvimento diário'!$Q:$Q,$B634,'Desenvolvimento diário'!$P:$P,$F634,'Desenvolvimento diário'!$R:$R,"Sim")</f>
        <v>0</v>
      </c>
      <c r="Q634" s="5">
        <f>SUMIFS('Desenvolvimento diário'!$H:$H,'Desenvolvimento diário'!$Q:$Q,$B634,'Desenvolvimento diário'!$P:$P,$F634,'Desenvolvimento diário'!$R:$R,"Não")</f>
        <v>0</v>
      </c>
      <c r="R634" s="4">
        <f t="shared" si="215"/>
        <v>0</v>
      </c>
      <c r="S634" s="4">
        <f t="shared" si="216"/>
        <v>0</v>
      </c>
      <c r="T634" s="12">
        <f t="shared" si="206"/>
        <v>0</v>
      </c>
      <c r="Y634" s="2"/>
      <c r="Z634" s="2"/>
      <c r="AA634" s="2"/>
      <c r="AB634" s="2"/>
      <c r="AC634" s="2"/>
    </row>
    <row r="635" spans="1:29" ht="10.5" hidden="1">
      <c r="A635" s="2">
        <f t="shared" si="217"/>
        <v>19</v>
      </c>
      <c r="B635" s="2" t="str">
        <f>VLOOKUP($A635,Controle!$B$4:$F$68,2,FALSE)</f>
        <v>Indaiabira 1</v>
      </c>
      <c r="C635" s="2" t="str">
        <f>VLOOKUP($A635,Controle!$B$4:$F$68,3,FALSE)</f>
        <v xml:space="preserve">ESTRELA DO NORTE </v>
      </c>
      <c r="D635" s="2" t="str">
        <f>VLOOKUP($A635,Controle!$B$4:$F$68,4,FALSE)</f>
        <v>EDN</v>
      </c>
      <c r="E635" s="2" t="str">
        <f>VLOOKUP($A635,Controle!$B$4:$F$68,5,FALSE)</f>
        <v>Weg</v>
      </c>
      <c r="F635" s="3" t="str">
        <f t="shared" si="213"/>
        <v>Construção - Serviços de Construção - Substituição</v>
      </c>
      <c r="G635" s="2" t="str">
        <f>VLOOKUP($A635,Controle!$B$4:$G$68,6,FALSE)</f>
        <v>Apolo</v>
      </c>
      <c r="H635" s="6">
        <v>0</v>
      </c>
      <c r="I635" s="6">
        <v>0</v>
      </c>
      <c r="J635" s="6">
        <v>0</v>
      </c>
      <c r="K635" s="6">
        <v>0</v>
      </c>
      <c r="L635" s="6">
        <v>0</v>
      </c>
      <c r="M635" s="6">
        <v>0</v>
      </c>
      <c r="N635" s="6">
        <v>0</v>
      </c>
      <c r="O635" s="4">
        <f t="shared" si="214"/>
        <v>0</v>
      </c>
      <c r="P635" s="5">
        <f>SUMIFS('Desenvolvimento diário'!$H:$H,'Desenvolvimento diário'!$Q:$Q,$B635,'Desenvolvimento diário'!$P:$P,$F635,'Desenvolvimento diário'!$R:$R,"Sim")</f>
        <v>0</v>
      </c>
      <c r="Q635" s="5">
        <f>SUMIFS('Desenvolvimento diário'!$H:$H,'Desenvolvimento diário'!$Q:$Q,$B635,'Desenvolvimento diário'!$P:$P,$F635,'Desenvolvimento diário'!$R:$R,"Não")</f>
        <v>0</v>
      </c>
      <c r="R635" s="4">
        <f t="shared" si="215"/>
        <v>0</v>
      </c>
      <c r="S635" s="4">
        <f t="shared" si="216"/>
        <v>0</v>
      </c>
      <c r="T635" s="12">
        <f t="shared" si="206"/>
        <v>0</v>
      </c>
      <c r="Y635" s="2"/>
      <c r="Z635" s="2"/>
      <c r="AA635" s="2"/>
      <c r="AB635" s="2"/>
      <c r="AC635" s="2"/>
    </row>
    <row r="636" spans="1:29" ht="10.5" hidden="1">
      <c r="A636" s="2">
        <f t="shared" si="217"/>
        <v>19</v>
      </c>
      <c r="B636" s="2" t="str">
        <f>VLOOKUP($A636,Controle!$B$4:$F$68,2,FALSE)</f>
        <v>Indaiabira 1</v>
      </c>
      <c r="C636" s="2" t="str">
        <f>VLOOKUP($A636,Controle!$B$4:$F$68,3,FALSE)</f>
        <v xml:space="preserve">ESTRELA DO NORTE </v>
      </c>
      <c r="D636" s="2" t="str">
        <f>VLOOKUP($A636,Controle!$B$4:$F$68,4,FALSE)</f>
        <v>EDN</v>
      </c>
      <c r="E636" s="2" t="str">
        <f>VLOOKUP($A636,Controle!$B$4:$F$68,5,FALSE)</f>
        <v>Weg</v>
      </c>
      <c r="F636" s="3" t="str">
        <f t="shared" si="213"/>
        <v>Construção - RDA Interno</v>
      </c>
      <c r="G636" s="2" t="str">
        <f>VLOOKUP($A636,Controle!$B$4:$G$68,6,FALSE)</f>
        <v>Apolo</v>
      </c>
      <c r="H636" s="6">
        <v>0</v>
      </c>
      <c r="I636" s="6">
        <v>0</v>
      </c>
      <c r="J636" s="6">
        <v>0</v>
      </c>
      <c r="K636" s="6">
        <v>0</v>
      </c>
      <c r="L636" s="6">
        <v>0</v>
      </c>
      <c r="M636" s="6">
        <v>0</v>
      </c>
      <c r="N636" s="6">
        <v>0</v>
      </c>
      <c r="O636" s="4">
        <f t="shared" si="214"/>
        <v>0</v>
      </c>
      <c r="P636" s="5">
        <f>SUMIFS('Desenvolvimento diário'!$H:$H,'Desenvolvimento diário'!$Q:$Q,$B636,'Desenvolvimento diário'!$P:$P,$F636,'Desenvolvimento diário'!$R:$R,"Sim")</f>
        <v>0</v>
      </c>
      <c r="Q636" s="5">
        <f>SUMIFS('Desenvolvimento diário'!$H:$H,'Desenvolvimento diário'!$Q:$Q,$B636,'Desenvolvimento diário'!$P:$P,$F636,'Desenvolvimento diário'!$R:$R,"Não")</f>
        <v>0</v>
      </c>
      <c r="R636" s="4">
        <f t="shared" si="215"/>
        <v>0</v>
      </c>
      <c r="S636" s="4">
        <f t="shared" si="216"/>
        <v>0</v>
      </c>
      <c r="T636" s="12">
        <f t="shared" si="206"/>
        <v>0</v>
      </c>
      <c r="Y636" s="2"/>
      <c r="Z636" s="2"/>
      <c r="AA636" s="2"/>
      <c r="AB636" s="2"/>
      <c r="AC636" s="2"/>
    </row>
    <row r="637" spans="1:29" ht="10.5" hidden="1">
      <c r="A637" s="2">
        <f t="shared" si="217"/>
        <v>19</v>
      </c>
      <c r="B637" s="2" t="str">
        <f>VLOOKUP($A637,Controle!$B$4:$F$68,2,FALSE)</f>
        <v>Indaiabira 1</v>
      </c>
      <c r="C637" s="2" t="str">
        <f>VLOOKUP($A637,Controle!$B$4:$F$68,3,FALSE)</f>
        <v xml:space="preserve">ESTRELA DO NORTE </v>
      </c>
      <c r="D637" s="2" t="str">
        <f>VLOOKUP($A637,Controle!$B$4:$F$68,4,FALSE)</f>
        <v>EDN</v>
      </c>
      <c r="E637" s="2" t="str">
        <f>VLOOKUP($A637,Controle!$B$4:$F$68,5,FALSE)</f>
        <v>Weg</v>
      </c>
      <c r="F637" s="3" t="str">
        <f t="shared" si="213"/>
        <v>Full EPC - Contrato</v>
      </c>
      <c r="G637" s="2" t="str">
        <f>VLOOKUP($A637,Controle!$B$4:$G$68,6,FALSE)</f>
        <v>Apolo</v>
      </c>
      <c r="H637" s="6" t="s">
        <v>21</v>
      </c>
      <c r="I637" s="6">
        <v>14646682.470000001</v>
      </c>
      <c r="J637" s="6">
        <v>0</v>
      </c>
      <c r="K637" s="6">
        <v>0</v>
      </c>
      <c r="L637" s="6">
        <v>0</v>
      </c>
      <c r="M637" s="6">
        <v>0</v>
      </c>
      <c r="N637" s="6">
        <v>0</v>
      </c>
      <c r="O637" s="4">
        <f t="shared" si="214"/>
        <v>14646682.470000001</v>
      </c>
      <c r="P637" s="5">
        <f>SUMIFS('Desenvolvimento diário'!$H:$H,'Desenvolvimento diário'!$Q:$Q,$B637,'Desenvolvimento diário'!$P:$P,$F637,'Desenvolvimento diário'!$R:$R,"Sim")</f>
        <v>0</v>
      </c>
      <c r="Q637" s="5">
        <f>SUMIFS('Desenvolvimento diário'!$H:$H,'Desenvolvimento diário'!$Q:$Q,$B637,'Desenvolvimento diário'!$P:$P,$F637,'Desenvolvimento diário'!$R:$R,"Não")</f>
        <v>14646682.469999999</v>
      </c>
      <c r="R637" s="4">
        <f t="shared" si="215"/>
        <v>14646682.469999999</v>
      </c>
      <c r="S637" s="1076">
        <f t="shared" si="216"/>
        <v>0</v>
      </c>
      <c r="T637" s="12">
        <f t="shared" si="206"/>
        <v>0.99999999999999989</v>
      </c>
      <c r="U637" s="1014" t="s">
        <v>166</v>
      </c>
      <c r="V637" s="1014" t="s">
        <v>184</v>
      </c>
      <c r="Y637" s="2"/>
      <c r="Z637" s="2"/>
      <c r="AA637" s="2"/>
      <c r="AB637" s="2"/>
      <c r="AC637" s="2"/>
    </row>
    <row r="638" spans="1:29" ht="10.5" hidden="1">
      <c r="A638" s="2">
        <f t="shared" si="217"/>
        <v>19</v>
      </c>
      <c r="B638" s="2" t="str">
        <f>VLOOKUP($A638,Controle!$B$4:$F$68,2,FALSE)</f>
        <v>Indaiabira 1</v>
      </c>
      <c r="C638" s="2" t="str">
        <f>VLOOKUP($A638,Controle!$B$4:$F$68,3,FALSE)</f>
        <v xml:space="preserve">ESTRELA DO NORTE </v>
      </c>
      <c r="D638" s="2" t="str">
        <f>VLOOKUP($A638,Controle!$B$4:$F$68,4,FALSE)</f>
        <v>EDN</v>
      </c>
      <c r="E638" s="2" t="str">
        <f>VLOOKUP($A638,Controle!$B$4:$F$68,5,FALSE)</f>
        <v>Weg</v>
      </c>
      <c r="F638" s="3" t="str">
        <f t="shared" si="213"/>
        <v>Equipamentos Curva A - Outros (Transformadores)</v>
      </c>
      <c r="G638" s="2" t="str">
        <f>VLOOKUP($A638,Controle!$B$4:$G$68,6,FALSE)</f>
        <v>Apolo</v>
      </c>
      <c r="H638" s="6" t="s">
        <v>144</v>
      </c>
      <c r="I638" s="6">
        <v>0</v>
      </c>
      <c r="J638" s="6">
        <v>0</v>
      </c>
      <c r="K638" s="6">
        <v>0</v>
      </c>
      <c r="L638" s="6">
        <v>0</v>
      </c>
      <c r="M638" s="6">
        <v>0</v>
      </c>
      <c r="N638" s="6">
        <v>0</v>
      </c>
      <c r="O638" s="4">
        <f t="shared" si="214"/>
        <v>0</v>
      </c>
      <c r="P638" s="5">
        <f>SUMIFS('Desenvolvimento diário'!$H:$H,'Desenvolvimento diário'!$Q:$Q,$B638,'Desenvolvimento diário'!$P:$P,$F638,'Desenvolvimento diário'!$R:$R,"Sim")</f>
        <v>0</v>
      </c>
      <c r="Q638" s="5">
        <f>SUMIFS('Desenvolvimento diário'!$H:$H,'Desenvolvimento diário'!$Q:$Q,$B638,'Desenvolvimento diário'!$P:$P,$F638,'Desenvolvimento diário'!$R:$R,"Não")</f>
        <v>0</v>
      </c>
      <c r="R638" s="4">
        <f t="shared" si="215"/>
        <v>0</v>
      </c>
      <c r="S638" s="4">
        <f t="shared" si="216"/>
        <v>0</v>
      </c>
      <c r="T638" s="12">
        <f t="shared" si="206"/>
        <v>0</v>
      </c>
      <c r="Y638" s="2"/>
      <c r="Z638" s="2"/>
      <c r="AA638" s="2"/>
      <c r="AB638" s="2"/>
      <c r="AC638" s="2"/>
    </row>
    <row r="639" spans="1:29" ht="10.5" hidden="1">
      <c r="A639" s="2">
        <f t="shared" si="217"/>
        <v>19</v>
      </c>
      <c r="B639" s="2" t="str">
        <f>VLOOKUP($A639,Controle!$B$4:$F$68,2,FALSE)</f>
        <v>Indaiabira 1</v>
      </c>
      <c r="C639" s="2" t="str">
        <f>VLOOKUP($A639,Controle!$B$4:$F$68,3,FALSE)</f>
        <v xml:space="preserve">ESTRELA DO NORTE </v>
      </c>
      <c r="D639" s="2" t="str">
        <f>VLOOKUP($A639,Controle!$B$4:$F$68,4,FALSE)</f>
        <v>EDN</v>
      </c>
      <c r="E639" s="2" t="str">
        <f>VLOOKUP($A639,Controle!$B$4:$F$68,5,FALSE)</f>
        <v>Weg</v>
      </c>
      <c r="F639" s="3" t="str">
        <f t="shared" si="213"/>
        <v>Equipamentos Curva A - Outros (Cabine + Skid)</v>
      </c>
      <c r="G639" s="2" t="str">
        <f>VLOOKUP($A639,Controle!$B$4:$G$68,6,FALSE)</f>
        <v>Apolo</v>
      </c>
      <c r="H639" s="6" t="s">
        <v>196</v>
      </c>
      <c r="I639" s="6">
        <v>752179.87234042562</v>
      </c>
      <c r="J639" s="6">
        <v>0</v>
      </c>
      <c r="K639" s="6">
        <v>0</v>
      </c>
      <c r="L639" s="6">
        <v>0</v>
      </c>
      <c r="M639" s="6">
        <v>0</v>
      </c>
      <c r="N639" s="6">
        <v>0</v>
      </c>
      <c r="O639" s="4">
        <f t="shared" si="214"/>
        <v>752179.87234042562</v>
      </c>
      <c r="P639" s="5">
        <f>SUMIFS('Desenvolvimento diário'!$H:$H,'Desenvolvimento diário'!$Q:$Q,$B639,'Desenvolvimento diário'!$P:$P,$F639,'Desenvolvimento diário'!$R:$R,"Sim")</f>
        <v>0</v>
      </c>
      <c r="Q639" s="5">
        <f>SUMIFS('Desenvolvimento diário'!$H:$H,'Desenvolvimento diário'!$Q:$Q,$B639,'Desenvolvimento diário'!$P:$P,$F639,'Desenvolvimento diário'!$R:$R,"Não")</f>
        <v>752179.87234042562</v>
      </c>
      <c r="R639" s="4">
        <f t="shared" si="215"/>
        <v>752179.87234042562</v>
      </c>
      <c r="S639" s="4">
        <f t="shared" si="216"/>
        <v>0</v>
      </c>
      <c r="T639" s="12">
        <f t="shared" si="206"/>
        <v>1</v>
      </c>
      <c r="Y639" s="2"/>
      <c r="Z639" s="2"/>
      <c r="AA639" s="2"/>
      <c r="AB639" s="2"/>
      <c r="AC639" s="2"/>
    </row>
    <row r="640" spans="1:29" ht="10.5" hidden="1">
      <c r="A640" s="2">
        <f t="shared" si="217"/>
        <v>19</v>
      </c>
      <c r="B640" s="2" t="str">
        <f>VLOOKUP($A640,Controle!$B$4:$F$68,2,FALSE)</f>
        <v>Indaiabira 1</v>
      </c>
      <c r="C640" s="2" t="str">
        <f>VLOOKUP($A640,Controle!$B$4:$F$68,3,FALSE)</f>
        <v xml:space="preserve">ESTRELA DO NORTE </v>
      </c>
      <c r="D640" s="2" t="str">
        <f>VLOOKUP($A640,Controle!$B$4:$F$68,4,FALSE)</f>
        <v>EDN</v>
      </c>
      <c r="E640" s="2" t="str">
        <f>VLOOKUP($A640,Controle!$B$4:$F$68,5,FALSE)</f>
        <v>Weg</v>
      </c>
      <c r="F640" s="3" t="str">
        <f t="shared" si="213"/>
        <v>Equipamentos Curva A - Outros (Cabine + Skid + Transformador)</v>
      </c>
      <c r="G640" s="2" t="str">
        <f>VLOOKUP($A640,Controle!$B$4:$G$68,6,FALSE)</f>
        <v>Apolo</v>
      </c>
      <c r="H640" s="6">
        <v>0</v>
      </c>
      <c r="I640" s="6">
        <v>0</v>
      </c>
      <c r="J640" s="6">
        <v>0</v>
      </c>
      <c r="K640" s="6">
        <v>0</v>
      </c>
      <c r="L640" s="6">
        <v>0</v>
      </c>
      <c r="M640" s="6">
        <v>0</v>
      </c>
      <c r="N640" s="6">
        <v>0</v>
      </c>
      <c r="O640" s="4">
        <f t="shared" si="214"/>
        <v>0</v>
      </c>
      <c r="P640" s="5">
        <f>SUMIFS('Desenvolvimento diário'!$H:$H,'Desenvolvimento diário'!$Q:$Q,$B640,'Desenvolvimento diário'!$P:$P,$F640,'Desenvolvimento diário'!$R:$R,"Sim")</f>
        <v>0</v>
      </c>
      <c r="Q640" s="5">
        <f>SUMIFS('Desenvolvimento diário'!$H:$H,'Desenvolvimento diário'!$Q:$Q,$B640,'Desenvolvimento diário'!$P:$P,$F640,'Desenvolvimento diário'!$R:$R,"Não")</f>
        <v>0</v>
      </c>
      <c r="R640" s="4">
        <f t="shared" si="215"/>
        <v>0</v>
      </c>
      <c r="S640" s="4">
        <f t="shared" si="216"/>
        <v>0</v>
      </c>
      <c r="T640" s="12">
        <f t="shared" si="206"/>
        <v>0</v>
      </c>
      <c r="Y640" s="2"/>
      <c r="Z640" s="2"/>
      <c r="AA640" s="2"/>
      <c r="AB640" s="2"/>
      <c r="AC640" s="2"/>
    </row>
    <row r="641" spans="1:29" ht="10.5" hidden="1">
      <c r="A641" s="2">
        <f t="shared" si="217"/>
        <v>19</v>
      </c>
      <c r="B641" s="2" t="str">
        <f>VLOOKUP($A641,Controle!$B$4:$F$68,2,FALSE)</f>
        <v>Indaiabira 1</v>
      </c>
      <c r="C641" s="2" t="str">
        <f>VLOOKUP($A641,Controle!$B$4:$F$68,3,FALSE)</f>
        <v xml:space="preserve">ESTRELA DO NORTE </v>
      </c>
      <c r="D641" s="2" t="str">
        <f>VLOOKUP($A641,Controle!$B$4:$F$68,4,FALSE)</f>
        <v>EDN</v>
      </c>
      <c r="E641" s="2" t="str">
        <f>VLOOKUP($A641,Controle!$B$4:$F$68,5,FALSE)</f>
        <v>Weg</v>
      </c>
      <c r="F641" s="3" t="str">
        <f t="shared" si="213"/>
        <v>Desenvolvimento de projeto - Projetos - (Eng° Proprietario)</v>
      </c>
      <c r="G641" s="2" t="str">
        <f>VLOOKUP($A641,Controle!$B$4:$G$68,6,FALSE)</f>
        <v>Apolo</v>
      </c>
      <c r="H641" s="6" t="s">
        <v>176</v>
      </c>
      <c r="I641" s="6">
        <f>R641</f>
        <v>189527.91000000003</v>
      </c>
      <c r="J641" s="6">
        <v>0</v>
      </c>
      <c r="K641" s="6">
        <v>0</v>
      </c>
      <c r="L641" s="6">
        <v>0</v>
      </c>
      <c r="M641" s="6">
        <v>0</v>
      </c>
      <c r="N641" s="6">
        <v>0</v>
      </c>
      <c r="O641" s="4">
        <f t="shared" si="214"/>
        <v>189527.91000000003</v>
      </c>
      <c r="P641" s="5">
        <f>SUMIFS('Desenvolvimento diário'!$H:$H,'Desenvolvimento diário'!$Q:$Q,$B641,'Desenvolvimento diário'!$P:$P,$F641,'Desenvolvimento diário'!$R:$R,"Sim")</f>
        <v>0</v>
      </c>
      <c r="Q641" s="5">
        <f>SUMIFS('Desenvolvimento diário'!$H:$H,'Desenvolvimento diário'!$Q:$Q,$B641,'Desenvolvimento diário'!$P:$P,$F641,'Desenvolvimento diário'!$R:$R,"Não")</f>
        <v>189527.91000000003</v>
      </c>
      <c r="R641" s="4">
        <f t="shared" si="215"/>
        <v>189527.91000000003</v>
      </c>
      <c r="S641" s="4">
        <f t="shared" si="216"/>
        <v>0</v>
      </c>
      <c r="T641" s="12">
        <f t="shared" si="206"/>
        <v>1</v>
      </c>
      <c r="Y641" s="2"/>
      <c r="Z641" s="2"/>
      <c r="AA641" s="2"/>
      <c r="AB641" s="2"/>
      <c r="AC641" s="2"/>
    </row>
    <row r="642" spans="1:29" ht="10.5" hidden="1">
      <c r="A642" s="2">
        <f t="shared" si="217"/>
        <v>19</v>
      </c>
      <c r="B642" s="2" t="str">
        <f>VLOOKUP($A642,Controle!$B$4:$F$68,2,FALSE)</f>
        <v>Indaiabira 1</v>
      </c>
      <c r="C642" s="2" t="str">
        <f>VLOOKUP($A642,Controle!$B$4:$F$68,3,FALSE)</f>
        <v xml:space="preserve">ESTRELA DO NORTE </v>
      </c>
      <c r="D642" s="2" t="str">
        <f>VLOOKUP($A642,Controle!$B$4:$F$68,4,FALSE)</f>
        <v>EDN</v>
      </c>
      <c r="E642" s="2" t="str">
        <f>VLOOKUP($A642,Controle!$B$4:$F$68,5,FALSE)</f>
        <v>Weg</v>
      </c>
      <c r="F642" s="3" t="str">
        <f t="shared" si="213"/>
        <v>Desenvolvimento de projeto - Projetos - Executivos</v>
      </c>
      <c r="G642" s="2" t="str">
        <f>VLOOKUP($A642,Controle!$B$4:$G$68,6,FALSE)</f>
        <v>Apolo</v>
      </c>
      <c r="H642" s="6">
        <v>0</v>
      </c>
      <c r="I642" s="6">
        <v>0</v>
      </c>
      <c r="J642" s="6">
        <v>0</v>
      </c>
      <c r="K642" s="6">
        <v>0</v>
      </c>
      <c r="L642" s="6">
        <v>0</v>
      </c>
      <c r="M642" s="6">
        <v>0</v>
      </c>
      <c r="N642" s="6">
        <v>0</v>
      </c>
      <c r="O642" s="4">
        <f t="shared" si="214"/>
        <v>0</v>
      </c>
      <c r="P642" s="5">
        <f>SUMIFS('Desenvolvimento diário'!$H:$H,'Desenvolvimento diário'!$Q:$Q,$B642,'Desenvolvimento diário'!$P:$P,$F642,'Desenvolvimento diário'!$R:$R,"Sim")</f>
        <v>0</v>
      </c>
      <c r="Q642" s="5">
        <f>SUMIFS('Desenvolvimento diário'!$H:$H,'Desenvolvimento diário'!$Q:$Q,$B642,'Desenvolvimento diário'!$P:$P,$F642,'Desenvolvimento diário'!$R:$R,"Não")</f>
        <v>0</v>
      </c>
      <c r="R642" s="4">
        <f t="shared" si="215"/>
        <v>0</v>
      </c>
      <c r="S642" s="4">
        <f t="shared" si="216"/>
        <v>0</v>
      </c>
      <c r="T642" s="12">
        <f t="shared" si="206"/>
        <v>0</v>
      </c>
      <c r="Y642" s="2"/>
      <c r="Z642" s="2"/>
      <c r="AA642" s="2"/>
      <c r="AB642" s="2"/>
      <c r="AC642" s="2"/>
    </row>
    <row r="643" spans="1:29" ht="10.5" hidden="1">
      <c r="A643" s="2">
        <f t="shared" si="217"/>
        <v>19</v>
      </c>
      <c r="B643" s="2" t="str">
        <f>VLOOKUP($A643,Controle!$B$4:$F$68,2,FALSE)</f>
        <v>Indaiabira 1</v>
      </c>
      <c r="C643" s="2" t="str">
        <f>VLOOKUP($A643,Controle!$B$4:$F$68,3,FALSE)</f>
        <v xml:space="preserve">ESTRELA DO NORTE </v>
      </c>
      <c r="D643" s="2" t="str">
        <f>VLOOKUP($A643,Controle!$B$4:$F$68,4,FALSE)</f>
        <v>EDN</v>
      </c>
      <c r="E643" s="2" t="str">
        <f>VLOOKUP($A643,Controle!$B$4:$F$68,5,FALSE)</f>
        <v>Weg</v>
      </c>
      <c r="F643" s="3" t="str">
        <f t="shared" si="213"/>
        <v>Desenvolvimento de projeto - Projetos Básica</v>
      </c>
      <c r="G643" s="2" t="str">
        <f>VLOOKUP($A643,Controle!$B$4:$G$68,6,FALSE)</f>
        <v>Apolo</v>
      </c>
      <c r="H643" s="6">
        <v>0</v>
      </c>
      <c r="I643" s="6">
        <v>0</v>
      </c>
      <c r="J643" s="6">
        <v>0</v>
      </c>
      <c r="K643" s="6">
        <v>0</v>
      </c>
      <c r="L643" s="6">
        <v>0</v>
      </c>
      <c r="M643" s="6">
        <v>0</v>
      </c>
      <c r="N643" s="6">
        <v>0</v>
      </c>
      <c r="O643" s="4">
        <f t="shared" si="214"/>
        <v>0</v>
      </c>
      <c r="P643" s="5">
        <f>SUMIFS('Desenvolvimento diário'!$H:$H,'Desenvolvimento diário'!$Q:$Q,$B643,'Desenvolvimento diário'!$P:$P,$F643,'Desenvolvimento diário'!$R:$R,"Sim")</f>
        <v>0</v>
      </c>
      <c r="Q643" s="5">
        <f>SUMIFS('Desenvolvimento diário'!$H:$H,'Desenvolvimento diário'!$Q:$Q,$B643,'Desenvolvimento diário'!$P:$P,$F643,'Desenvolvimento diário'!$R:$R,"Não")</f>
        <v>0</v>
      </c>
      <c r="R643" s="4">
        <f t="shared" si="215"/>
        <v>0</v>
      </c>
      <c r="S643" s="4">
        <f t="shared" si="216"/>
        <v>0</v>
      </c>
      <c r="T643" s="12">
        <f t="shared" si="206"/>
        <v>0</v>
      </c>
      <c r="Y643" s="2"/>
      <c r="Z643" s="2"/>
      <c r="AA643" s="2"/>
      <c r="AB643" s="2"/>
      <c r="AC643" s="2"/>
    </row>
    <row r="644" spans="1:29" ht="10.5" hidden="1">
      <c r="A644" s="2">
        <f t="shared" si="217"/>
        <v>19</v>
      </c>
      <c r="B644" s="2" t="str">
        <f>VLOOKUP($A644,Controle!$B$4:$F$68,2,FALSE)</f>
        <v>Indaiabira 1</v>
      </c>
      <c r="C644" s="2" t="str">
        <f>VLOOKUP($A644,Controle!$B$4:$F$68,3,FALSE)</f>
        <v xml:space="preserve">ESTRELA DO NORTE </v>
      </c>
      <c r="D644" s="2" t="str">
        <f>VLOOKUP($A644,Controle!$B$4:$F$68,4,FALSE)</f>
        <v>EDN</v>
      </c>
      <c r="E644" s="2" t="str">
        <f>VLOOKUP($A644,Controle!$B$4:$F$68,5,FALSE)</f>
        <v>Weg</v>
      </c>
      <c r="F644" s="3" t="str">
        <f t="shared" si="213"/>
        <v>Desenvolvimento de projeto - Projetos Detalhada</v>
      </c>
      <c r="G644" s="2" t="str">
        <f>VLOOKUP($A644,Controle!$B$4:$G$68,6,FALSE)</f>
        <v>Apolo</v>
      </c>
      <c r="H644" s="6">
        <v>0</v>
      </c>
      <c r="I644" s="6">
        <v>0</v>
      </c>
      <c r="J644" s="6">
        <v>0</v>
      </c>
      <c r="K644" s="6">
        <v>0</v>
      </c>
      <c r="L644" s="6">
        <v>0</v>
      </c>
      <c r="M644" s="6">
        <v>0</v>
      </c>
      <c r="N644" s="6">
        <v>0</v>
      </c>
      <c r="O644" s="4">
        <f t="shared" si="214"/>
        <v>0</v>
      </c>
      <c r="P644" s="5">
        <f>SUMIFS('Desenvolvimento diário'!$H:$H,'Desenvolvimento diário'!$Q:$Q,$B644,'Desenvolvimento diário'!$P:$P,$F644,'Desenvolvimento diário'!$R:$R,"Sim")</f>
        <v>0</v>
      </c>
      <c r="Q644" s="5">
        <f>SUMIFS('Desenvolvimento diário'!$H:$H,'Desenvolvimento diário'!$Q:$Q,$B644,'Desenvolvimento diário'!$P:$P,$F644,'Desenvolvimento diário'!$R:$R,"Não")</f>
        <v>0</v>
      </c>
      <c r="R644" s="4">
        <f t="shared" si="215"/>
        <v>0</v>
      </c>
      <c r="S644" s="4">
        <f t="shared" si="216"/>
        <v>0</v>
      </c>
      <c r="T644" s="12">
        <f t="shared" si="206"/>
        <v>0</v>
      </c>
      <c r="Y644" s="2"/>
      <c r="Z644" s="2"/>
      <c r="AA644" s="2"/>
      <c r="AB644" s="2"/>
      <c r="AC644" s="2"/>
    </row>
    <row r="645" spans="1:29" ht="10.5" hidden="1">
      <c r="A645" s="2">
        <f t="shared" si="217"/>
        <v>19</v>
      </c>
      <c r="B645" s="2" t="str">
        <f>VLOOKUP($A645,Controle!$B$4:$F$68,2,FALSE)</f>
        <v>Indaiabira 1</v>
      </c>
      <c r="C645" s="2" t="str">
        <f>VLOOKUP($A645,Controle!$B$4:$F$68,3,FALSE)</f>
        <v xml:space="preserve">ESTRELA DO NORTE </v>
      </c>
      <c r="D645" s="2" t="str">
        <f>VLOOKUP($A645,Controle!$B$4:$F$68,4,FALSE)</f>
        <v>EDN</v>
      </c>
      <c r="E645" s="2" t="str">
        <f>VLOOKUP($A645,Controle!$B$4:$F$68,5,FALSE)</f>
        <v>Weg</v>
      </c>
      <c r="F645" s="3" t="str">
        <f t="shared" si="213"/>
        <v>Desenvolvimento de projeto - Ambiental / Outros</v>
      </c>
      <c r="G645" s="2" t="str">
        <f>VLOOKUP($A645,Controle!$B$4:$G$68,6,FALSE)</f>
        <v>Apolo</v>
      </c>
      <c r="H645" s="6" t="s">
        <v>148</v>
      </c>
      <c r="I645" s="6">
        <f>R645</f>
        <v>344098.10999999993</v>
      </c>
      <c r="J645" s="6">
        <v>0</v>
      </c>
      <c r="K645" s="6">
        <v>0</v>
      </c>
      <c r="L645" s="6">
        <v>0</v>
      </c>
      <c r="M645" s="6">
        <v>0</v>
      </c>
      <c r="N645" s="6">
        <v>0</v>
      </c>
      <c r="O645" s="4">
        <f t="shared" si="214"/>
        <v>344098.10999999993</v>
      </c>
      <c r="P645" s="5">
        <f>SUMIFS('Desenvolvimento diário'!$H:$H,'Desenvolvimento diário'!$Q:$Q,$B645,'Desenvolvimento diário'!$P:$P,$F645,'Desenvolvimento diário'!$R:$R,"Sim")</f>
        <v>0</v>
      </c>
      <c r="Q645" s="5">
        <f>SUMIFS('Desenvolvimento diário'!$H:$H,'Desenvolvimento diário'!$Q:$Q,$B645,'Desenvolvimento diário'!$P:$P,$F645,'Desenvolvimento diário'!$R:$R,"Não")</f>
        <v>344098.10999999993</v>
      </c>
      <c r="R645" s="4">
        <f t="shared" si="215"/>
        <v>344098.10999999993</v>
      </c>
      <c r="S645" s="4">
        <f t="shared" si="216"/>
        <v>0</v>
      </c>
      <c r="T645" s="12">
        <f t="shared" si="206"/>
        <v>1</v>
      </c>
      <c r="Y645" s="2"/>
      <c r="Z645" s="2"/>
      <c r="AA645" s="2"/>
      <c r="AB645" s="2"/>
      <c r="AC645" s="2"/>
    </row>
    <row r="646" spans="1:29" hidden="1">
      <c r="A646" s="2">
        <f t="shared" si="217"/>
        <v>19</v>
      </c>
      <c r="B646" s="2" t="str">
        <f>VLOOKUP($A646,Controle!$B$4:$F$68,2,FALSE)</f>
        <v>Indaiabira 1</v>
      </c>
      <c r="C646" s="2" t="str">
        <f>VLOOKUP($A646,Controle!$B$4:$F$68,3,FALSE)</f>
        <v xml:space="preserve">ESTRELA DO NORTE </v>
      </c>
      <c r="D646" s="2" t="str">
        <f>VLOOKUP($A646,Controle!$B$4:$F$68,4,FALSE)</f>
        <v>EDN</v>
      </c>
      <c r="E646" s="2" t="str">
        <f>VLOOKUP($A646,Controle!$B$4:$F$68,5,FALSE)</f>
        <v>Weg</v>
      </c>
      <c r="F646" s="3" t="str">
        <f t="shared" si="213"/>
        <v>Desenvolvimento de projeto - Coordenograma</v>
      </c>
      <c r="G646" s="2" t="str">
        <f>VLOOKUP($A646,Controle!$B$4:$G$68,6,FALSE)</f>
        <v>Apolo</v>
      </c>
      <c r="H646" s="31" t="s">
        <v>149</v>
      </c>
      <c r="I646" s="31">
        <v>7000</v>
      </c>
      <c r="J646" s="31">
        <v>2281.25</v>
      </c>
      <c r="K646" s="31">
        <v>0</v>
      </c>
      <c r="L646" s="6">
        <v>0</v>
      </c>
      <c r="M646" s="6">
        <v>0</v>
      </c>
      <c r="N646" s="6">
        <v>0</v>
      </c>
      <c r="O646" s="4">
        <f t="shared" si="214"/>
        <v>9281.25</v>
      </c>
      <c r="P646" s="5">
        <f>SUMIFS('Desenvolvimento diário'!$H:$H,'Desenvolvimento diário'!$Q:$Q,$B646,'Desenvolvimento diário'!$P:$P,$F646,'Desenvolvimento diário'!$R:$R,"Sim")</f>
        <v>0</v>
      </c>
      <c r="Q646" s="5">
        <f>SUMIFS('Desenvolvimento diário'!$H:$H,'Desenvolvimento diário'!$Q:$Q,$B646,'Desenvolvimento diário'!$P:$P,$F646,'Desenvolvimento diário'!$R:$R,"Não")</f>
        <v>9281.25</v>
      </c>
      <c r="R646" s="4">
        <f t="shared" si="215"/>
        <v>9281.25</v>
      </c>
      <c r="S646" s="4">
        <f t="shared" si="216"/>
        <v>0</v>
      </c>
      <c r="T646" s="12">
        <f t="shared" si="206"/>
        <v>1</v>
      </c>
      <c r="Y646" s="2"/>
      <c r="Z646" s="2"/>
      <c r="AA646" s="2"/>
      <c r="AB646" s="2"/>
      <c r="AC646" s="2"/>
    </row>
    <row r="647" spans="1:29" ht="10.5" hidden="1">
      <c r="A647" s="2">
        <f t="shared" si="217"/>
        <v>19</v>
      </c>
      <c r="B647" s="2" t="str">
        <f>VLOOKUP($A647,Controle!$B$4:$F$68,2,FALSE)</f>
        <v>Indaiabira 1</v>
      </c>
      <c r="C647" s="2" t="str">
        <f>VLOOKUP($A647,Controle!$B$4:$F$68,3,FALSE)</f>
        <v xml:space="preserve">ESTRELA DO NORTE </v>
      </c>
      <c r="D647" s="2" t="str">
        <f>VLOOKUP($A647,Controle!$B$4:$F$68,4,FALSE)</f>
        <v>EDN</v>
      </c>
      <c r="E647" s="2" t="str">
        <f>VLOOKUP($A647,Controle!$B$4:$F$68,5,FALSE)</f>
        <v>Weg</v>
      </c>
      <c r="F647" s="3" t="str">
        <f t="shared" si="213"/>
        <v>Sistemas de Monitoramento - Supervisório</v>
      </c>
      <c r="G647" s="2" t="str">
        <f>VLOOKUP($A647,Controle!$B$4:$G$68,6,FALSE)</f>
        <v>Apolo</v>
      </c>
      <c r="H647" s="6" t="s">
        <v>150</v>
      </c>
      <c r="I647" s="6">
        <v>136154.95000000001</v>
      </c>
      <c r="J647" s="6"/>
      <c r="K647" s="6">
        <v>0</v>
      </c>
      <c r="L647" s="6">
        <v>0</v>
      </c>
      <c r="M647" s="6">
        <v>0</v>
      </c>
      <c r="N647" s="6">
        <v>0</v>
      </c>
      <c r="O647" s="4">
        <f t="shared" si="214"/>
        <v>136154.95000000001</v>
      </c>
      <c r="P647" s="5">
        <f>SUMIFS('Desenvolvimento diário'!$H:$H,'Desenvolvimento diário'!$Q:$Q,$B647,'Desenvolvimento diário'!$P:$P,$F647,'Desenvolvimento diário'!$R:$R,"Sim")</f>
        <v>0</v>
      </c>
      <c r="Q647" s="5">
        <f>SUMIFS('Desenvolvimento diário'!$H:$H,'Desenvolvimento diário'!$Q:$Q,$B647,'Desenvolvimento diário'!$P:$P,$F647,'Desenvolvimento diário'!$R:$R,"Não")</f>
        <v>136154.95000000001</v>
      </c>
      <c r="R647" s="4">
        <f t="shared" si="215"/>
        <v>136154.95000000001</v>
      </c>
      <c r="S647" s="4">
        <f t="shared" si="216"/>
        <v>0</v>
      </c>
      <c r="T647" s="12">
        <f t="shared" si="206"/>
        <v>1</v>
      </c>
      <c r="Y647" s="2"/>
      <c r="Z647" s="2"/>
      <c r="AA647" s="2"/>
      <c r="AB647" s="2"/>
      <c r="AC647" s="2"/>
    </row>
    <row r="648" spans="1:29" ht="10.5" hidden="1">
      <c r="A648" s="2">
        <f t="shared" si="217"/>
        <v>19</v>
      </c>
      <c r="B648" s="2" t="str">
        <f>VLOOKUP($A648,Controle!$B$4:$F$68,2,FALSE)</f>
        <v>Indaiabira 1</v>
      </c>
      <c r="C648" s="2" t="str">
        <f>VLOOKUP($A648,Controle!$B$4:$F$68,3,FALSE)</f>
        <v xml:space="preserve">ESTRELA DO NORTE </v>
      </c>
      <c r="D648" s="2" t="str">
        <f>VLOOKUP($A648,Controle!$B$4:$F$68,4,FALSE)</f>
        <v>EDN</v>
      </c>
      <c r="E648" s="2" t="str">
        <f>VLOOKUP($A648,Controle!$B$4:$F$68,5,FALSE)</f>
        <v>Weg</v>
      </c>
      <c r="F648" s="3" t="str">
        <f t="shared" si="213"/>
        <v>Sistemas de Monitoramento - Estações Solarimétricas</v>
      </c>
      <c r="G648" s="2" t="str">
        <f>VLOOKUP($A648,Controle!$B$4:$G$68,6,FALSE)</f>
        <v>Apolo</v>
      </c>
      <c r="H648" s="6">
        <v>0</v>
      </c>
      <c r="I648" s="6">
        <v>0</v>
      </c>
      <c r="J648" s="6">
        <v>0</v>
      </c>
      <c r="K648" s="6">
        <v>0</v>
      </c>
      <c r="L648" s="6">
        <v>0</v>
      </c>
      <c r="M648" s="6">
        <v>0</v>
      </c>
      <c r="N648" s="6">
        <v>0</v>
      </c>
      <c r="O648" s="4">
        <f t="shared" si="214"/>
        <v>0</v>
      </c>
      <c r="P648" s="5">
        <f>SUMIFS('Desenvolvimento diário'!$H:$H,'Desenvolvimento diário'!$Q:$Q,$B648,'Desenvolvimento diário'!$P:$P,$F648,'Desenvolvimento diário'!$R:$R,"Sim")</f>
        <v>0</v>
      </c>
      <c r="Q648" s="5">
        <f>SUMIFS('Desenvolvimento diário'!$H:$H,'Desenvolvimento diário'!$Q:$Q,$B648,'Desenvolvimento diário'!$P:$P,$F648,'Desenvolvimento diário'!$R:$R,"Não")</f>
        <v>0</v>
      </c>
      <c r="R648" s="4">
        <f t="shared" si="215"/>
        <v>0</v>
      </c>
      <c r="S648" s="4">
        <f t="shared" si="216"/>
        <v>0</v>
      </c>
      <c r="T648" s="12">
        <f t="shared" si="206"/>
        <v>0</v>
      </c>
      <c r="Y648" s="2"/>
      <c r="Z648" s="2"/>
      <c r="AA648" s="2"/>
      <c r="AB648" s="2"/>
      <c r="AC648" s="2"/>
    </row>
    <row r="649" spans="1:29" hidden="1">
      <c r="A649" s="2">
        <f t="shared" si="217"/>
        <v>19</v>
      </c>
      <c r="B649" s="2" t="str">
        <f>VLOOKUP($A649,Controle!$B$4:$F$68,2,FALSE)</f>
        <v>Indaiabira 1</v>
      </c>
      <c r="C649" s="2" t="str">
        <f>VLOOKUP($A649,Controle!$B$4:$F$68,3,FALSE)</f>
        <v xml:space="preserve">ESTRELA DO NORTE </v>
      </c>
      <c r="D649" s="2" t="str">
        <f>VLOOKUP($A649,Controle!$B$4:$F$68,4,FALSE)</f>
        <v>EDN</v>
      </c>
      <c r="E649" s="2" t="str">
        <f>VLOOKUP($A649,Controle!$B$4:$F$68,5,FALSE)</f>
        <v>Weg</v>
      </c>
      <c r="F649" s="3" t="str">
        <f t="shared" si="213"/>
        <v>Sistemas de Monitoramento - CFTV</v>
      </c>
      <c r="G649" s="2" t="str">
        <f>VLOOKUP($A649,Controle!$B$4:$G$68,6,FALSE)</f>
        <v>Apolo</v>
      </c>
      <c r="H649" s="31" t="s">
        <v>152</v>
      </c>
      <c r="I649" s="6">
        <v>248414.57</v>
      </c>
      <c r="J649" s="6">
        <v>0</v>
      </c>
      <c r="K649" s="6">
        <v>0</v>
      </c>
      <c r="L649" s="6">
        <v>0</v>
      </c>
      <c r="M649" s="6">
        <v>0</v>
      </c>
      <c r="N649" s="6">
        <v>0</v>
      </c>
      <c r="O649" s="4">
        <f t="shared" si="214"/>
        <v>248414.57</v>
      </c>
      <c r="P649" s="5">
        <f>SUMIFS('Desenvolvimento diário'!$H:$H,'Desenvolvimento diário'!$Q:$Q,$B649,'Desenvolvimento diário'!$P:$P,$F649,'Desenvolvimento diário'!$R:$R,"Sim")</f>
        <v>0</v>
      </c>
      <c r="Q649" s="5">
        <f>SUMIFS('Desenvolvimento diário'!$H:$H,'Desenvolvimento diário'!$Q:$Q,$B649,'Desenvolvimento diário'!$P:$P,$F649,'Desenvolvimento diário'!$R:$R,"Não")</f>
        <v>248414.57</v>
      </c>
      <c r="R649" s="4">
        <f t="shared" si="215"/>
        <v>248414.57</v>
      </c>
      <c r="S649" s="4">
        <f t="shared" si="216"/>
        <v>0</v>
      </c>
      <c r="T649" s="12">
        <f t="shared" si="206"/>
        <v>1</v>
      </c>
      <c r="Y649" s="2"/>
      <c r="Z649" s="2"/>
      <c r="AA649" s="2"/>
      <c r="AB649" s="2"/>
      <c r="AC649" s="2"/>
    </row>
    <row r="650" spans="1:29" ht="10.5" hidden="1">
      <c r="A650" s="2">
        <f t="shared" si="217"/>
        <v>19</v>
      </c>
      <c r="B650" s="2" t="str">
        <f>VLOOKUP($A650,Controle!$B$4:$F$68,2,FALSE)</f>
        <v>Indaiabira 1</v>
      </c>
      <c r="C650" s="2" t="str">
        <f>VLOOKUP($A650,Controle!$B$4:$F$68,3,FALSE)</f>
        <v xml:space="preserve">ESTRELA DO NORTE </v>
      </c>
      <c r="D650" s="2" t="str">
        <f>VLOOKUP($A650,Controle!$B$4:$F$68,4,FALSE)</f>
        <v>EDN</v>
      </c>
      <c r="E650" s="2" t="str">
        <f>VLOOKUP($A650,Controle!$B$4:$F$68,5,FALSE)</f>
        <v>Weg</v>
      </c>
      <c r="F650" s="3" t="str">
        <f t="shared" si="213"/>
        <v>Serviços Auxiliares - Drenagem</v>
      </c>
      <c r="G650" s="2" t="str">
        <f>VLOOKUP($A650,Controle!$B$4:$G$68,6,FALSE)</f>
        <v>Apolo</v>
      </c>
      <c r="H650" s="6" t="s">
        <v>183</v>
      </c>
      <c r="I650" s="6">
        <v>505072.11</v>
      </c>
      <c r="J650" s="6">
        <f>15947.89+0.14</f>
        <v>15948.029999999999</v>
      </c>
      <c r="K650" s="6">
        <v>0</v>
      </c>
      <c r="L650" s="6">
        <v>0</v>
      </c>
      <c r="M650" s="6">
        <v>0</v>
      </c>
      <c r="N650" s="6">
        <v>0</v>
      </c>
      <c r="O650" s="43">
        <f t="shared" si="214"/>
        <v>521020.14</v>
      </c>
      <c r="P650" s="5">
        <f>SUMIFS('Desenvolvimento diário'!$H:$H,'Desenvolvimento diário'!$Q:$Q,$B650,'Desenvolvimento diário'!$P:$P,$F650,'Desenvolvimento diário'!$R:$R,"Sim")</f>
        <v>0</v>
      </c>
      <c r="Q650" s="5">
        <f>SUMIFS('Desenvolvimento diário'!$H:$H,'Desenvolvimento diário'!$Q:$Q,$B650,'Desenvolvimento diário'!$P:$P,$F650,'Desenvolvimento diário'!$R:$R,"Não")</f>
        <v>521020.14</v>
      </c>
      <c r="R650" s="4">
        <f t="shared" si="215"/>
        <v>521020.14</v>
      </c>
      <c r="S650" s="4">
        <f t="shared" si="216"/>
        <v>0</v>
      </c>
      <c r="T650" s="12">
        <f t="shared" si="206"/>
        <v>1</v>
      </c>
      <c r="Y650" s="2"/>
      <c r="Z650" s="2"/>
      <c r="AA650" s="2"/>
      <c r="AB650" s="2"/>
      <c r="AC650" s="2"/>
    </row>
    <row r="651" spans="1:29" ht="10.5" hidden="1">
      <c r="A651" s="2">
        <f t="shared" si="217"/>
        <v>19</v>
      </c>
      <c r="B651" s="2" t="str">
        <f>VLOOKUP($A651,Controle!$B$4:$F$68,2,FALSE)</f>
        <v>Indaiabira 1</v>
      </c>
      <c r="C651" s="2" t="str">
        <f>VLOOKUP($A651,Controle!$B$4:$F$68,3,FALSE)</f>
        <v xml:space="preserve">ESTRELA DO NORTE </v>
      </c>
      <c r="D651" s="2" t="str">
        <f>VLOOKUP($A651,Controle!$B$4:$F$68,4,FALSE)</f>
        <v>EDN</v>
      </c>
      <c r="E651" s="2" t="str">
        <f>VLOOKUP($A651,Controle!$B$4:$F$68,5,FALSE)</f>
        <v>Weg</v>
      </c>
      <c r="F651" s="3" t="str">
        <f t="shared" si="213"/>
        <v>Serviços Auxiliares - Terraplanagem</v>
      </c>
      <c r="G651" s="2" t="str">
        <f>VLOOKUP($A651,Controle!$B$4:$G$68,6,FALSE)</f>
        <v>Apolo</v>
      </c>
      <c r="H651" s="6" t="s">
        <v>154</v>
      </c>
      <c r="I651" s="6">
        <f>372498.776-0.0005</f>
        <v>372498.77549999999</v>
      </c>
      <c r="J651" s="6">
        <v>314890.89</v>
      </c>
      <c r="K651" s="6">
        <v>0</v>
      </c>
      <c r="L651" s="6">
        <v>0</v>
      </c>
      <c r="M651" s="6">
        <v>0</v>
      </c>
      <c r="N651" s="6">
        <v>0</v>
      </c>
      <c r="O651" s="4">
        <f t="shared" si="214"/>
        <v>687389.6655</v>
      </c>
      <c r="P651" s="5">
        <f>SUMIFS('Desenvolvimento diário'!$H:$H,'Desenvolvimento diário'!$Q:$Q,$B651,'Desenvolvimento diário'!$P:$P,$F651,'Desenvolvimento diário'!$R:$R,"Sim")</f>
        <v>0</v>
      </c>
      <c r="Q651" s="5">
        <f>SUMIFS('Desenvolvimento diário'!$H:$H,'Desenvolvimento diário'!$Q:$Q,$B651,'Desenvolvimento diário'!$P:$P,$F651,'Desenvolvimento diário'!$R:$R,"Não")</f>
        <v>687389.6655</v>
      </c>
      <c r="R651" s="4">
        <f t="shared" si="215"/>
        <v>687389.6655</v>
      </c>
      <c r="S651" s="4">
        <f t="shared" si="216"/>
        <v>0</v>
      </c>
      <c r="T651" s="12">
        <f t="shared" si="206"/>
        <v>1</v>
      </c>
      <c r="Y651" s="2"/>
      <c r="Z651" s="2"/>
      <c r="AA651" s="2"/>
      <c r="AB651" s="2"/>
      <c r="AC651" s="2"/>
    </row>
    <row r="652" spans="1:29" ht="10.5" hidden="1">
      <c r="A652" s="2">
        <f t="shared" si="217"/>
        <v>19</v>
      </c>
      <c r="B652" s="2" t="str">
        <f>VLOOKUP($A652,Controle!$B$4:$F$68,2,FALSE)</f>
        <v>Indaiabira 1</v>
      </c>
      <c r="C652" s="2" t="str">
        <f>VLOOKUP($A652,Controle!$B$4:$F$68,3,FALSE)</f>
        <v xml:space="preserve">ESTRELA DO NORTE </v>
      </c>
      <c r="D652" s="2" t="str">
        <f>VLOOKUP($A652,Controle!$B$4:$F$68,4,FALSE)</f>
        <v>EDN</v>
      </c>
      <c r="E652" s="2" t="str">
        <f>VLOOKUP($A652,Controle!$B$4:$F$68,5,FALSE)</f>
        <v>Weg</v>
      </c>
      <c r="F652" s="3" t="str">
        <f t="shared" si="213"/>
        <v>Serviços Auxiliares - Supressão Vegetal</v>
      </c>
      <c r="G652" s="2" t="str">
        <f>VLOOKUP($A652,Controle!$B$4:$G$68,6,FALSE)</f>
        <v>Apolo</v>
      </c>
      <c r="H652" s="6">
        <v>0</v>
      </c>
      <c r="I652" s="6">
        <v>0</v>
      </c>
      <c r="J652" s="6">
        <v>0</v>
      </c>
      <c r="K652" s="6">
        <v>0</v>
      </c>
      <c r="L652" s="6">
        <v>0</v>
      </c>
      <c r="M652" s="6">
        <v>0</v>
      </c>
      <c r="N652" s="6">
        <v>0</v>
      </c>
      <c r="O652" s="4">
        <f t="shared" si="214"/>
        <v>0</v>
      </c>
      <c r="P652" s="5">
        <f>SUMIFS('Desenvolvimento diário'!$H:$H,'Desenvolvimento diário'!$Q:$Q,$B652,'Desenvolvimento diário'!$P:$P,$F652,'Desenvolvimento diário'!$R:$R,"Sim")</f>
        <v>0</v>
      </c>
      <c r="Q652" s="5">
        <f>SUMIFS('Desenvolvimento diário'!$H:$H,'Desenvolvimento diário'!$Q:$Q,$B652,'Desenvolvimento diário'!$P:$P,$F652,'Desenvolvimento diário'!$R:$R,"Não")</f>
        <v>0</v>
      </c>
      <c r="R652" s="4">
        <f t="shared" si="215"/>
        <v>0</v>
      </c>
      <c r="S652" s="4">
        <f t="shared" si="216"/>
        <v>0</v>
      </c>
      <c r="T652" s="12">
        <f t="shared" si="206"/>
        <v>0</v>
      </c>
      <c r="Y652" s="2"/>
      <c r="Z652" s="2"/>
      <c r="AA652" s="2"/>
      <c r="AB652" s="2"/>
      <c r="AC652" s="2"/>
    </row>
    <row r="653" spans="1:29" ht="10.5" hidden="1">
      <c r="A653" s="2">
        <f t="shared" si="217"/>
        <v>19</v>
      </c>
      <c r="B653" s="2" t="str">
        <f>VLOOKUP($A653,Controle!$B$4:$F$68,2,FALSE)</f>
        <v>Indaiabira 1</v>
      </c>
      <c r="C653" s="2" t="str">
        <f>VLOOKUP($A653,Controle!$B$4:$F$68,3,FALSE)</f>
        <v xml:space="preserve">ESTRELA DO NORTE </v>
      </c>
      <c r="D653" s="2" t="str">
        <f>VLOOKUP($A653,Controle!$B$4:$F$68,4,FALSE)</f>
        <v>EDN</v>
      </c>
      <c r="E653" s="2" t="str">
        <f>VLOOKUP($A653,Controle!$B$4:$F$68,5,FALSE)</f>
        <v>Weg</v>
      </c>
      <c r="F653" s="3" t="str">
        <f t="shared" si="213"/>
        <v>RDR-Rede de Distribuição Rural</v>
      </c>
      <c r="G653" s="2" t="str">
        <f>VLOOKUP($A653,Controle!$B$4:$G$68,6,FALSE)</f>
        <v>Apolo</v>
      </c>
      <c r="H653" s="6">
        <v>0</v>
      </c>
      <c r="I653" s="6">
        <v>0</v>
      </c>
      <c r="J653" s="6">
        <v>0</v>
      </c>
      <c r="K653" s="6">
        <v>0</v>
      </c>
      <c r="L653" s="6">
        <v>0</v>
      </c>
      <c r="M653" s="6">
        <v>0</v>
      </c>
      <c r="N653" s="6">
        <v>0</v>
      </c>
      <c r="O653" s="4">
        <f t="shared" si="214"/>
        <v>0</v>
      </c>
      <c r="P653" s="5">
        <f>SUMIFS('Desenvolvimento diário'!$H:$H,'Desenvolvimento diário'!$Q:$Q,$B653,'Desenvolvimento diário'!$P:$P,$F653,'Desenvolvimento diário'!$R:$R,"Sim")</f>
        <v>0</v>
      </c>
      <c r="Q653" s="5">
        <f>SUMIFS('Desenvolvimento diário'!$H:$H,'Desenvolvimento diário'!$Q:$Q,$B653,'Desenvolvimento diário'!$P:$P,$F653,'Desenvolvimento diário'!$R:$R,"Não")</f>
        <v>0</v>
      </c>
      <c r="R653" s="4">
        <f t="shared" si="215"/>
        <v>0</v>
      </c>
      <c r="S653" s="4">
        <f t="shared" si="216"/>
        <v>0</v>
      </c>
      <c r="T653" s="12">
        <f t="shared" si="206"/>
        <v>0</v>
      </c>
      <c r="Y653" s="2"/>
      <c r="Z653" s="2"/>
      <c r="AA653" s="2"/>
      <c r="AB653" s="2"/>
      <c r="AC653" s="2"/>
    </row>
    <row r="654" spans="1:29" hidden="1">
      <c r="A654" s="2">
        <f t="shared" si="217"/>
        <v>19</v>
      </c>
      <c r="B654" s="2" t="str">
        <f>VLOOKUP($A654,Controle!$B$4:$F$68,2,FALSE)</f>
        <v>Indaiabira 1</v>
      </c>
      <c r="C654" s="2" t="str">
        <f>VLOOKUP($A654,Controle!$B$4:$F$68,3,FALSE)</f>
        <v xml:space="preserve">ESTRELA DO NORTE </v>
      </c>
      <c r="D654" s="2" t="str">
        <f>VLOOKUP($A654,Controle!$B$4:$F$68,4,FALSE)</f>
        <v>EDN</v>
      </c>
      <c r="E654" s="2" t="str">
        <f>VLOOKUP($A654,Controle!$B$4:$F$68,5,FALSE)</f>
        <v>Weg</v>
      </c>
      <c r="F654" s="3" t="str">
        <f t="shared" si="213"/>
        <v>Escopo COMERC</v>
      </c>
      <c r="G654" s="2" t="str">
        <f>VLOOKUP($A654,Controle!$B$4:$G$68,6,FALSE)</f>
        <v>Apolo</v>
      </c>
      <c r="H654" s="6">
        <v>0</v>
      </c>
      <c r="I654" s="6">
        <v>73962.319999999992</v>
      </c>
      <c r="J654" s="29">
        <v>13000</v>
      </c>
      <c r="K654" s="29"/>
      <c r="L654" s="6">
        <v>0</v>
      </c>
      <c r="M654" s="6">
        <v>0</v>
      </c>
      <c r="N654" s="6">
        <v>0</v>
      </c>
      <c r="O654" s="4">
        <f t="shared" si="214"/>
        <v>86962.319999999992</v>
      </c>
      <c r="P654" s="5">
        <f>SUMIFS('Desenvolvimento diário'!$H:$H,'Desenvolvimento diário'!$Q:$Q,$B654,'Desenvolvimento diário'!$P:$P,$F654,'Desenvolvimento diário'!$R:$R,"Sim")</f>
        <v>3825</v>
      </c>
      <c r="Q654" s="5">
        <f>SUMIFS('Desenvolvimento diário'!$H:$H,'Desenvolvimento diário'!$Q:$Q,$B654,'Desenvolvimento diário'!$P:$P,$F654,'Desenvolvimento diário'!$R:$R,"Não")</f>
        <v>70137.319999999992</v>
      </c>
      <c r="R654" s="4">
        <f t="shared" si="215"/>
        <v>73962.319999999992</v>
      </c>
      <c r="S654" s="1010">
        <f t="shared" si="216"/>
        <v>13000</v>
      </c>
      <c r="T654" s="12">
        <f t="shared" si="206"/>
        <v>0.85050996799533407</v>
      </c>
      <c r="U654" s="1011" t="s">
        <v>166</v>
      </c>
      <c r="V654" s="1011" t="s">
        <v>167</v>
      </c>
      <c r="Y654" s="2"/>
      <c r="Z654" s="2"/>
      <c r="AA654" s="2"/>
      <c r="AB654" s="2"/>
      <c r="AC654" s="2"/>
    </row>
    <row r="655" spans="1:29" ht="10.5" hidden="1">
      <c r="A655" s="2">
        <f t="shared" si="217"/>
        <v>19</v>
      </c>
      <c r="B655" s="2" t="str">
        <f>VLOOKUP($A655,Controle!$B$4:$F$68,2,FALSE)</f>
        <v>Indaiabira 1</v>
      </c>
      <c r="C655" s="2" t="str">
        <f>VLOOKUP($A655,Controle!$B$4:$F$68,3,FALSE)</f>
        <v xml:space="preserve">ESTRELA DO NORTE </v>
      </c>
      <c r="D655" s="2" t="str">
        <f>VLOOKUP($A655,Controle!$B$4:$F$68,4,FALSE)</f>
        <v>EDN</v>
      </c>
      <c r="E655" s="2" t="str">
        <f>VLOOKUP($A655,Controle!$B$4:$F$68,5,FALSE)</f>
        <v>Weg</v>
      </c>
      <c r="F655" s="3" t="str">
        <f t="shared" si="213"/>
        <v>Escopo COMERC - Segurança</v>
      </c>
      <c r="G655" s="2" t="str">
        <f>VLOOKUP($A655,Controle!$B$4:$G$68,6,FALSE)</f>
        <v>Apolo</v>
      </c>
      <c r="H655" s="6">
        <v>0</v>
      </c>
      <c r="I655" s="6">
        <f t="shared" ref="I654:I655" si="218">R655</f>
        <v>119699.56999999999</v>
      </c>
      <c r="J655" s="6">
        <v>0</v>
      </c>
      <c r="K655" s="6">
        <v>0</v>
      </c>
      <c r="L655" s="6">
        <v>0</v>
      </c>
      <c r="M655" s="6">
        <v>0</v>
      </c>
      <c r="N655" s="6">
        <v>0</v>
      </c>
      <c r="O655" s="4">
        <f t="shared" si="214"/>
        <v>119699.56999999999</v>
      </c>
      <c r="P655" s="5">
        <f>SUMIFS('Desenvolvimento diário'!$H:$H,'Desenvolvimento diário'!$Q:$Q,$B655,'Desenvolvimento diário'!$P:$P,$F655,'Desenvolvimento diário'!$R:$R,"Sim")</f>
        <v>0</v>
      </c>
      <c r="Q655" s="5">
        <f>SUMIFS('Desenvolvimento diário'!$H:$H,'Desenvolvimento diário'!$Q:$Q,$B655,'Desenvolvimento diário'!$P:$P,$F655,'Desenvolvimento diário'!$R:$R,"Não")</f>
        <v>119699.56999999999</v>
      </c>
      <c r="R655" s="4">
        <f t="shared" si="215"/>
        <v>119699.56999999999</v>
      </c>
      <c r="S655" s="4">
        <f t="shared" si="216"/>
        <v>0</v>
      </c>
      <c r="T655" s="12">
        <f t="shared" si="206"/>
        <v>1</v>
      </c>
      <c r="Y655" s="2"/>
      <c r="Z655" s="2"/>
      <c r="AA655" s="2"/>
      <c r="AB655" s="2"/>
      <c r="AC655" s="2"/>
    </row>
    <row r="656" spans="1:29" ht="10.5" hidden="1">
      <c r="A656" s="2">
        <f t="shared" si="217"/>
        <v>19</v>
      </c>
      <c r="B656" s="2" t="str">
        <f>VLOOKUP($A656,Controle!$B$4:$F$68,2,FALSE)</f>
        <v>Indaiabira 1</v>
      </c>
      <c r="C656" s="2" t="str">
        <f>VLOOKUP($A656,Controle!$B$4:$F$68,3,FALSE)</f>
        <v xml:space="preserve">ESTRELA DO NORTE </v>
      </c>
      <c r="D656" s="2" t="str">
        <f>VLOOKUP($A656,Controle!$B$4:$F$68,4,FALSE)</f>
        <v>EDN</v>
      </c>
      <c r="E656" s="2" t="str">
        <f>VLOOKUP($A656,Controle!$B$4:$F$68,5,FALSE)</f>
        <v>Weg</v>
      </c>
      <c r="F656" s="3" t="str">
        <f t="shared" si="213"/>
        <v>Conexão MT - Obras Transferencia</v>
      </c>
      <c r="G656" s="2" t="str">
        <f>VLOOKUP($A656,Controle!$B$4:$G$68,6,FALSE)</f>
        <v>Apolo</v>
      </c>
      <c r="H656" s="6">
        <v>0</v>
      </c>
      <c r="I656" s="6">
        <v>0</v>
      </c>
      <c r="J656" s="6">
        <v>0</v>
      </c>
      <c r="K656" s="6">
        <v>0</v>
      </c>
      <c r="L656" s="6">
        <v>0</v>
      </c>
      <c r="M656" s="6">
        <v>0</v>
      </c>
      <c r="N656" s="6">
        <v>0</v>
      </c>
      <c r="O656" s="4">
        <f t="shared" si="214"/>
        <v>0</v>
      </c>
      <c r="P656" s="5">
        <f>SUMIFS('Desenvolvimento diário'!$H:$H,'Desenvolvimento diário'!$Q:$Q,$B656,'Desenvolvimento diário'!$P:$P,$F656,'Desenvolvimento diário'!$R:$R,"Sim")</f>
        <v>0</v>
      </c>
      <c r="Q656" s="5">
        <f>SUMIFS('Desenvolvimento diário'!$H:$H,'Desenvolvimento diário'!$Q:$Q,$B656,'Desenvolvimento diário'!$P:$P,$F656,'Desenvolvimento diário'!$R:$R,"Não")</f>
        <v>0</v>
      </c>
      <c r="R656" s="4">
        <f t="shared" si="215"/>
        <v>0</v>
      </c>
      <c r="S656" s="4">
        <f t="shared" si="216"/>
        <v>0</v>
      </c>
      <c r="T656" s="12">
        <f t="shared" si="206"/>
        <v>0</v>
      </c>
      <c r="Y656" s="2"/>
      <c r="Z656" s="2"/>
      <c r="AA656" s="2"/>
      <c r="AB656" s="2"/>
      <c r="AC656" s="2"/>
    </row>
    <row r="657" spans="1:29" ht="10.5" hidden="1">
      <c r="A657" s="2">
        <f t="shared" si="217"/>
        <v>19</v>
      </c>
      <c r="B657" s="2" t="str">
        <f>VLOOKUP($A657,Controle!$B$4:$F$68,2,FALSE)</f>
        <v>Indaiabira 1</v>
      </c>
      <c r="C657" s="2" t="str">
        <f>VLOOKUP($A657,Controle!$B$4:$F$68,3,FALSE)</f>
        <v xml:space="preserve">ESTRELA DO NORTE </v>
      </c>
      <c r="D657" s="2" t="str">
        <f>VLOOKUP($A657,Controle!$B$4:$F$68,4,FALSE)</f>
        <v>EDN</v>
      </c>
      <c r="E657" s="2" t="str">
        <f>VLOOKUP($A657,Controle!$B$4:$F$68,5,FALSE)</f>
        <v>Weg</v>
      </c>
      <c r="F657" s="3" t="str">
        <f t="shared" si="213"/>
        <v>Bases de Contaniers</v>
      </c>
      <c r="G657" s="2" t="str">
        <f>VLOOKUP($A657,Controle!$B$4:$G$68,6,FALSE)</f>
        <v>Apolo</v>
      </c>
      <c r="H657" s="6" t="s">
        <v>177</v>
      </c>
      <c r="I657" s="6">
        <v>99192.67</v>
      </c>
      <c r="J657" s="6">
        <v>0</v>
      </c>
      <c r="K657" s="6">
        <v>0</v>
      </c>
      <c r="L657" s="6">
        <v>0</v>
      </c>
      <c r="M657" s="6">
        <v>0</v>
      </c>
      <c r="N657" s="6">
        <v>0</v>
      </c>
      <c r="O657" s="4">
        <f t="shared" si="214"/>
        <v>99192.67</v>
      </c>
      <c r="P657" s="5">
        <f>SUMIFS('Desenvolvimento diário'!$H:$H,'Desenvolvimento diário'!$Q:$Q,$B657,'Desenvolvimento diário'!$P:$P,$F657,'Desenvolvimento diário'!$R:$R,"Sim")</f>
        <v>0</v>
      </c>
      <c r="Q657" s="5">
        <f>SUMIFS('Desenvolvimento diário'!$H:$H,'Desenvolvimento diário'!$Q:$Q,$B657,'Desenvolvimento diário'!$P:$P,$F657,'Desenvolvimento diário'!$R:$R,"Não")</f>
        <v>99192.67</v>
      </c>
      <c r="R657" s="4">
        <f t="shared" si="215"/>
        <v>99192.67</v>
      </c>
      <c r="S657" s="4">
        <f t="shared" si="216"/>
        <v>0</v>
      </c>
      <c r="T657" s="12">
        <f t="shared" si="206"/>
        <v>1</v>
      </c>
      <c r="Y657" s="2"/>
      <c r="Z657" s="2"/>
      <c r="AA657" s="2"/>
      <c r="AB657" s="2"/>
      <c r="AC657" s="2"/>
    </row>
    <row r="658" spans="1:29" ht="10.5" hidden="1">
      <c r="A658" s="2">
        <f t="shared" si="217"/>
        <v>19</v>
      </c>
      <c r="B658" s="2" t="str">
        <f>VLOOKUP($A658,Controle!$B$4:$F$68,2,FALSE)</f>
        <v>Indaiabira 1</v>
      </c>
      <c r="C658" s="2" t="str">
        <f>VLOOKUP($A658,Controle!$B$4:$F$68,3,FALSE)</f>
        <v xml:space="preserve">ESTRELA DO NORTE </v>
      </c>
      <c r="D658" s="2" t="str">
        <f>VLOOKUP($A658,Controle!$B$4:$F$68,4,FALSE)</f>
        <v>EDN</v>
      </c>
      <c r="E658" s="2" t="str">
        <f>VLOOKUP($A658,Controle!$B$4:$F$68,5,FALSE)</f>
        <v>Weg</v>
      </c>
      <c r="F658" s="3" t="str">
        <f t="shared" si="213"/>
        <v>Construção - Serviços de Construção - Ase Engenharia</v>
      </c>
      <c r="G658" s="2" t="str">
        <f>VLOOKUP($A658,Controle!$B$4:$G$68,6,FALSE)</f>
        <v>Apolo</v>
      </c>
      <c r="H658" s="6">
        <v>0</v>
      </c>
      <c r="I658" s="6">
        <v>0</v>
      </c>
      <c r="J658" s="6">
        <v>0</v>
      </c>
      <c r="K658" s="6">
        <v>0</v>
      </c>
      <c r="L658" s="6">
        <v>0</v>
      </c>
      <c r="M658" s="6">
        <v>0</v>
      </c>
      <c r="N658" s="6">
        <v>0</v>
      </c>
      <c r="O658" s="4">
        <f t="shared" si="214"/>
        <v>0</v>
      </c>
      <c r="P658" s="5">
        <f>SUMIFS('Desenvolvimento diário'!$H:$H,'Desenvolvimento diário'!$Q:$Q,$B658,'Desenvolvimento diário'!$P:$P,$F658,'Desenvolvimento diário'!$R:$R,"Sim")</f>
        <v>0</v>
      </c>
      <c r="Q658" s="5">
        <f>SUMIFS('Desenvolvimento diário'!$H:$H,'Desenvolvimento diário'!$Q:$Q,$B658,'Desenvolvimento diário'!$P:$P,$F658,'Desenvolvimento diário'!$R:$R,"Não")</f>
        <v>0</v>
      </c>
      <c r="R658" s="4">
        <f t="shared" si="215"/>
        <v>0</v>
      </c>
      <c r="S658" s="4">
        <f t="shared" si="216"/>
        <v>0</v>
      </c>
      <c r="T658" s="12">
        <f t="shared" si="206"/>
        <v>0</v>
      </c>
      <c r="Y658" s="2"/>
      <c r="Z658" s="2"/>
      <c r="AA658" s="2"/>
      <c r="AB658" s="2"/>
      <c r="AC658" s="2"/>
    </row>
    <row r="659" spans="1:29" ht="10.5" hidden="1">
      <c r="A659" s="2">
        <f t="shared" si="217"/>
        <v>19</v>
      </c>
      <c r="B659" s="2" t="str">
        <f>VLOOKUP($A659,Controle!$B$4:$F$68,2,FALSE)</f>
        <v>Indaiabira 1</v>
      </c>
      <c r="C659" s="2" t="str">
        <f>VLOOKUP($A659,Controle!$B$4:$F$68,3,FALSE)</f>
        <v xml:space="preserve">ESTRELA DO NORTE </v>
      </c>
      <c r="D659" s="2" t="str">
        <f>VLOOKUP($A659,Controle!$B$4:$F$68,4,FALSE)</f>
        <v>EDN</v>
      </c>
      <c r="E659" s="2" t="str">
        <f>VLOOKUP($A659,Controle!$B$4:$F$68,5,FALSE)</f>
        <v>Weg</v>
      </c>
      <c r="F659" s="3" t="str">
        <f t="shared" si="213"/>
        <v>Full EPC - Contrato Sobressalentes</v>
      </c>
      <c r="G659" s="2" t="str">
        <f>VLOOKUP($A659,Controle!$B$4:$G$68,6,FALSE)</f>
        <v>Apolo</v>
      </c>
      <c r="H659" s="6" t="s">
        <v>21</v>
      </c>
      <c r="I659" s="6">
        <v>228633.61</v>
      </c>
      <c r="J659" s="6">
        <v>0</v>
      </c>
      <c r="K659" s="6">
        <v>0</v>
      </c>
      <c r="L659" s="6">
        <v>0</v>
      </c>
      <c r="M659" s="6">
        <v>0</v>
      </c>
      <c r="N659" s="6">
        <v>0</v>
      </c>
      <c r="O659" s="4">
        <f t="shared" si="214"/>
        <v>228633.61</v>
      </c>
      <c r="P659" s="5">
        <f>SUMIFS('Desenvolvimento diário'!$H:$H,'Desenvolvimento diário'!$Q:$Q,$B659,'Desenvolvimento diário'!$P:$P,$F659,'Desenvolvimento diário'!$R:$R,"Sim")</f>
        <v>0</v>
      </c>
      <c r="Q659" s="5">
        <f>SUMIFS('Desenvolvimento diário'!$H:$H,'Desenvolvimento diário'!$Q:$Q,$B659,'Desenvolvimento diário'!$P:$P,$F659,'Desenvolvimento diário'!$R:$R,"Não")</f>
        <v>228633.61</v>
      </c>
      <c r="R659" s="4">
        <f t="shared" si="215"/>
        <v>228633.61</v>
      </c>
      <c r="S659" s="4">
        <f t="shared" si="216"/>
        <v>0</v>
      </c>
      <c r="T659" s="12">
        <f t="shared" si="206"/>
        <v>1</v>
      </c>
      <c r="Y659" s="2"/>
      <c r="Z659" s="2"/>
      <c r="AA659" s="2"/>
      <c r="AB659" s="2"/>
      <c r="AC659" s="2"/>
    </row>
    <row r="660" spans="1:29" ht="10.5" hidden="1">
      <c r="A660" s="2">
        <f t="shared" si="217"/>
        <v>19</v>
      </c>
      <c r="B660" s="2" t="str">
        <f>VLOOKUP($A660,Controle!$B$4:$F$68,2,FALSE)</f>
        <v>Indaiabira 1</v>
      </c>
      <c r="C660" s="2" t="str">
        <f>VLOOKUP($A660,Controle!$B$4:$F$68,3,FALSE)</f>
        <v xml:space="preserve">ESTRELA DO NORTE </v>
      </c>
      <c r="D660" s="2" t="str">
        <f>VLOOKUP($A660,Controle!$B$4:$F$68,4,FALSE)</f>
        <v>EDN</v>
      </c>
      <c r="E660" s="2" t="str">
        <f>VLOOKUP($A660,Controle!$B$4:$F$68,5,FALSE)</f>
        <v>Weg</v>
      </c>
      <c r="F660" s="3" t="str">
        <f t="shared" si="213"/>
        <v>Construção - Serviços de Construção - NOVA MORADA</v>
      </c>
      <c r="G660" s="2" t="str">
        <f>VLOOKUP($A660,Controle!$B$4:$G$68,6,FALSE)</f>
        <v>Apolo</v>
      </c>
      <c r="H660" s="6">
        <v>0</v>
      </c>
      <c r="I660" s="6">
        <v>0</v>
      </c>
      <c r="J660" s="6">
        <v>0</v>
      </c>
      <c r="K660" s="6">
        <v>0</v>
      </c>
      <c r="L660" s="6">
        <v>0</v>
      </c>
      <c r="M660" s="6">
        <v>0</v>
      </c>
      <c r="N660" s="6">
        <v>0</v>
      </c>
      <c r="O660" s="4">
        <f t="shared" si="214"/>
        <v>0</v>
      </c>
      <c r="P660" s="5">
        <f>SUMIFS('Desenvolvimento diário'!$H:$H,'Desenvolvimento diário'!$Q:$Q,$B660,'Desenvolvimento diário'!$P:$P,$F660,'Desenvolvimento diário'!$R:$R,"Sim")</f>
        <v>0</v>
      </c>
      <c r="Q660" s="5">
        <f>SUMIFS('Desenvolvimento diário'!$H:$H,'Desenvolvimento diário'!$Q:$Q,$B660,'Desenvolvimento diário'!$P:$P,$F660,'Desenvolvimento diário'!$R:$R,"Não")</f>
        <v>0</v>
      </c>
      <c r="R660" s="4">
        <f t="shared" si="215"/>
        <v>0</v>
      </c>
      <c r="S660" s="4">
        <f t="shared" si="216"/>
        <v>0</v>
      </c>
      <c r="T660" s="12">
        <f t="shared" si="206"/>
        <v>0</v>
      </c>
      <c r="Y660" s="2"/>
      <c r="Z660" s="2"/>
      <c r="AA660" s="2"/>
      <c r="AB660" s="2"/>
      <c r="AC660" s="2"/>
    </row>
    <row r="661" spans="1:29" ht="10.5" hidden="1">
      <c r="A661" s="2">
        <f t="shared" si="217"/>
        <v>19</v>
      </c>
      <c r="B661" s="2" t="str">
        <f>VLOOKUP($A661,Controle!$B$4:$F$68,2,FALSE)</f>
        <v>Indaiabira 1</v>
      </c>
      <c r="C661" s="2" t="str">
        <f>VLOOKUP($A661,Controle!$B$4:$F$68,3,FALSE)</f>
        <v xml:space="preserve">ESTRELA DO NORTE </v>
      </c>
      <c r="D661" s="2" t="str">
        <f>VLOOKUP($A661,Controle!$B$4:$F$68,4,FALSE)</f>
        <v>EDN</v>
      </c>
      <c r="E661" s="2" t="str">
        <f>VLOOKUP($A661,Controle!$B$4:$F$68,5,FALSE)</f>
        <v>Weg</v>
      </c>
      <c r="F661" s="3" t="str">
        <f t="shared" si="213"/>
        <v>Equipamentos Curva A -  Contrato Sobressalentes - SETTA</v>
      </c>
      <c r="G661" s="2" t="str">
        <f>VLOOKUP($A661,Controle!$B$4:$G$68,6,FALSE)</f>
        <v>Apolo</v>
      </c>
      <c r="H661" s="6">
        <v>0</v>
      </c>
      <c r="I661" s="6">
        <v>0</v>
      </c>
      <c r="J661" s="6">
        <v>0</v>
      </c>
      <c r="K661" s="6">
        <v>0</v>
      </c>
      <c r="L661" s="6">
        <v>0</v>
      </c>
      <c r="M661" s="6">
        <v>0</v>
      </c>
      <c r="N661" s="6">
        <v>0</v>
      </c>
      <c r="O661" s="4">
        <f t="shared" si="214"/>
        <v>0</v>
      </c>
      <c r="P661" s="5">
        <f>SUMIFS('Desenvolvimento diário'!$H:$H,'Desenvolvimento diário'!$Q:$Q,$B661,'Desenvolvimento diário'!$P:$P,$F661,'Desenvolvimento diário'!$R:$R,"Sim")</f>
        <v>0</v>
      </c>
      <c r="Q661" s="5">
        <f>SUMIFS('Desenvolvimento diário'!$H:$H,'Desenvolvimento diário'!$Q:$Q,$B661,'Desenvolvimento diário'!$P:$P,$F661,'Desenvolvimento diário'!$R:$R,"Não")</f>
        <v>0</v>
      </c>
      <c r="R661" s="4">
        <f t="shared" si="215"/>
        <v>0</v>
      </c>
      <c r="S661" s="4">
        <f t="shared" si="216"/>
        <v>0</v>
      </c>
      <c r="T661" s="12">
        <f t="shared" si="206"/>
        <v>0</v>
      </c>
      <c r="Y661" s="2"/>
      <c r="Z661" s="2"/>
      <c r="AA661" s="2"/>
      <c r="AB661" s="2"/>
      <c r="AC661" s="2"/>
    </row>
    <row r="662" spans="1:29" ht="10.5" hidden="1">
      <c r="A662" s="2">
        <f t="shared" si="217"/>
        <v>19</v>
      </c>
      <c r="B662" s="2" t="str">
        <f>VLOOKUP($A662,Controle!$B$4:$F$68,2,FALSE)</f>
        <v>Indaiabira 1</v>
      </c>
      <c r="C662" s="2" t="str">
        <f>VLOOKUP($A662,Controle!$B$4:$F$68,3,FALSE)</f>
        <v xml:space="preserve">ESTRELA DO NORTE </v>
      </c>
      <c r="D662" s="2" t="str">
        <f>VLOOKUP($A662,Controle!$B$4:$F$68,4,FALSE)</f>
        <v>EDN</v>
      </c>
      <c r="E662" s="2" t="str">
        <f>VLOOKUP($A662,Controle!$B$4:$F$68,5,FALSE)</f>
        <v>Weg</v>
      </c>
      <c r="F662" s="3" t="str">
        <f t="shared" si="213"/>
        <v>Equipamentos Curva A -  Contrato Sobressalentes - Arctech</v>
      </c>
      <c r="G662" s="2" t="str">
        <f>VLOOKUP($A662,Controle!$B$4:$G$68,6,FALSE)</f>
        <v>Apolo</v>
      </c>
      <c r="H662" s="6">
        <v>0</v>
      </c>
      <c r="I662" s="6">
        <v>0</v>
      </c>
      <c r="J662" s="6">
        <v>0</v>
      </c>
      <c r="K662" s="6">
        <v>0</v>
      </c>
      <c r="L662" s="6">
        <v>0</v>
      </c>
      <c r="M662" s="6">
        <v>0</v>
      </c>
      <c r="N662" s="6">
        <v>0</v>
      </c>
      <c r="O662" s="4">
        <f t="shared" si="214"/>
        <v>0</v>
      </c>
      <c r="P662" s="5">
        <f>SUMIFS('Desenvolvimento diário'!$H:$H,'Desenvolvimento diário'!$Q:$Q,$B662,'Desenvolvimento diário'!$P:$P,$F662,'Desenvolvimento diário'!$R:$R,"Sim")</f>
        <v>0</v>
      </c>
      <c r="Q662" s="5">
        <f>SUMIFS('Desenvolvimento diário'!$H:$H,'Desenvolvimento diário'!$Q:$Q,$B662,'Desenvolvimento diário'!$P:$P,$F662,'Desenvolvimento diário'!$R:$R,"Não")</f>
        <v>0</v>
      </c>
      <c r="R662" s="4">
        <f t="shared" si="215"/>
        <v>0</v>
      </c>
      <c r="S662" s="4">
        <f t="shared" si="216"/>
        <v>0</v>
      </c>
      <c r="T662" s="12">
        <f t="shared" si="206"/>
        <v>0</v>
      </c>
      <c r="Y662" s="2"/>
      <c r="Z662" s="2"/>
      <c r="AA662" s="2"/>
      <c r="AB662" s="2"/>
      <c r="AC662" s="2"/>
    </row>
    <row r="663" spans="1:29" hidden="1">
      <c r="A663" s="2">
        <f t="shared" si="217"/>
        <v>19</v>
      </c>
      <c r="B663" s="2" t="str">
        <f>VLOOKUP($A663,Controle!$B$4:$F$68,2,FALSE)</f>
        <v>Indaiabira 1</v>
      </c>
      <c r="C663" s="2" t="str">
        <f>VLOOKUP($A663,Controle!$B$4:$F$68,3,FALSE)</f>
        <v xml:space="preserve">ESTRELA DO NORTE </v>
      </c>
      <c r="D663" s="2" t="str">
        <f>VLOOKUP($A663,Controle!$B$4:$F$68,4,FALSE)</f>
        <v>EDN</v>
      </c>
      <c r="E663" s="2" t="str">
        <f>VLOOKUP($A663,Controle!$B$4:$F$68,5,FALSE)</f>
        <v>Weg</v>
      </c>
      <c r="F663" s="3" t="str">
        <f t="shared" si="213"/>
        <v>Equipamentos Curva A -  Contrato Sobressalentes - Romagnole</v>
      </c>
      <c r="G663" s="2" t="str">
        <f>VLOOKUP($A663,Controle!$B$4:$G$68,6,FALSE)</f>
        <v>Apolo</v>
      </c>
      <c r="H663" s="7">
        <v>0</v>
      </c>
      <c r="I663" s="7">
        <v>0</v>
      </c>
      <c r="J663" s="7">
        <v>0</v>
      </c>
      <c r="K663" s="7">
        <v>0</v>
      </c>
      <c r="L663" s="7">
        <v>0</v>
      </c>
      <c r="M663" s="7">
        <v>0</v>
      </c>
      <c r="N663" s="7">
        <v>0</v>
      </c>
      <c r="O663" s="4">
        <f t="shared" si="214"/>
        <v>0</v>
      </c>
      <c r="P663" s="17">
        <f>SUMIFS('Desenvolvimento diário'!$H:$H,'Desenvolvimento diário'!$Q:$Q,$B663,'Desenvolvimento diário'!$P:$P,$F663,'Desenvolvimento diário'!$R:$R,"Sim")</f>
        <v>0</v>
      </c>
      <c r="Q663" s="17">
        <f>SUMIFS('Desenvolvimento diário'!$H:$H,'Desenvolvimento diário'!$Q:$Q,$B663,'Desenvolvimento diário'!$P:$P,$F663,'Desenvolvimento diário'!$R:$R,"Não")</f>
        <v>0</v>
      </c>
      <c r="R663" s="4">
        <f t="shared" si="215"/>
        <v>0</v>
      </c>
      <c r="S663" s="4">
        <f t="shared" si="216"/>
        <v>0</v>
      </c>
      <c r="T663" s="12">
        <f t="shared" si="206"/>
        <v>0</v>
      </c>
      <c r="Y663" s="2"/>
      <c r="Z663" s="2"/>
      <c r="AA663" s="2"/>
      <c r="AB663" s="2"/>
      <c r="AC663" s="2"/>
    </row>
    <row r="664" spans="1:29" hidden="1">
      <c r="A664" s="2">
        <f t="shared" si="217"/>
        <v>19</v>
      </c>
      <c r="B664" s="2" t="str">
        <f>VLOOKUP($A664,Controle!$B$4:$F$68,2,FALSE)</f>
        <v>Indaiabira 1</v>
      </c>
      <c r="C664" s="2" t="str">
        <f>VLOOKUP($A664,Controle!$B$4:$F$68,3,FALSE)</f>
        <v xml:space="preserve">ESTRELA DO NORTE </v>
      </c>
      <c r="D664" s="2" t="str">
        <f>VLOOKUP($A664,Controle!$B$4:$F$68,4,FALSE)</f>
        <v>EDN</v>
      </c>
      <c r="E664" s="2" t="str">
        <f>VLOOKUP($A664,Controle!$B$4:$F$68,5,FALSE)</f>
        <v>Weg</v>
      </c>
      <c r="F664" s="3" t="str">
        <f t="shared" si="213"/>
        <v>GOS FLORESTAL - (PRAD - Recuperação Area Ambiental)</v>
      </c>
      <c r="G664" s="2" t="str">
        <f>VLOOKUP($A664,Controle!$B$4:$G$68,6,FALSE)</f>
        <v>Apolo</v>
      </c>
      <c r="H664" s="506" t="s">
        <v>170</v>
      </c>
      <c r="I664" s="6">
        <v>0</v>
      </c>
      <c r="J664" s="506"/>
      <c r="K664" s="506">
        <v>0</v>
      </c>
      <c r="L664" s="506">
        <v>0</v>
      </c>
      <c r="M664" s="506">
        <v>0</v>
      </c>
      <c r="N664" s="506">
        <v>0</v>
      </c>
      <c r="O664" s="39">
        <f t="shared" si="214"/>
        <v>0</v>
      </c>
      <c r="P664" s="17">
        <f>SUMIFS('Desenvolvimento diário'!$H:$H,'Desenvolvimento diário'!$Q:$Q,$B664,'Desenvolvimento diário'!$P:$P,$F664,'Desenvolvimento diário'!$R:$R,"Sim")</f>
        <v>0</v>
      </c>
      <c r="Q664" s="17">
        <f>SUMIFS('Desenvolvimento diário'!$H:$H,'Desenvolvimento diário'!$Q:$Q,$B664,'Desenvolvimento diário'!$P:$P,$F664,'Desenvolvimento diário'!$R:$R,"Não")</f>
        <v>0</v>
      </c>
      <c r="R664" s="4">
        <f t="shared" si="215"/>
        <v>0</v>
      </c>
      <c r="S664" s="4">
        <f t="shared" si="216"/>
        <v>0</v>
      </c>
      <c r="T664" s="12">
        <f t="shared" ref="T664:T665" si="219">IFERROR(R664/O664,0)</f>
        <v>0</v>
      </c>
      <c r="Y664" s="2"/>
      <c r="Z664" s="2"/>
      <c r="AA664" s="2"/>
      <c r="AB664" s="2"/>
      <c r="AC664" s="2"/>
    </row>
    <row r="665" spans="1:29" hidden="1">
      <c r="A665" s="2">
        <f t="shared" si="217"/>
        <v>19</v>
      </c>
      <c r="B665" s="2" t="str">
        <f>VLOOKUP($A665,Controle!$B$4:$F$68,2,FALSE)</f>
        <v>Indaiabira 1</v>
      </c>
      <c r="C665" s="2" t="str">
        <f>VLOOKUP($A665,Controle!$B$4:$F$68,3,FALSE)</f>
        <v xml:space="preserve">ESTRELA DO NORTE </v>
      </c>
      <c r="D665" s="2" t="str">
        <f>VLOOKUP($A665,Controle!$B$4:$F$68,4,FALSE)</f>
        <v>EDN</v>
      </c>
      <c r="E665" s="2" t="str">
        <f>VLOOKUP($A665,Controle!$B$4:$F$68,5,FALSE)</f>
        <v>Weg</v>
      </c>
      <c r="F665" s="3" t="str">
        <f t="shared" si="213"/>
        <v>Cercamento das bacias de contenção ciclo 2</v>
      </c>
      <c r="G665" s="2" t="str">
        <f>VLOOKUP($A665,Controle!$B$4:$G$68,6,FALSE)</f>
        <v>Apolo</v>
      </c>
      <c r="H665" s="506" t="s">
        <v>172</v>
      </c>
      <c r="I665" s="6"/>
      <c r="J665" s="506"/>
      <c r="K665" s="506">
        <v>0</v>
      </c>
      <c r="L665" s="506">
        <v>0</v>
      </c>
      <c r="M665" s="506">
        <v>0</v>
      </c>
      <c r="N665" s="506">
        <v>0</v>
      </c>
      <c r="O665" s="39">
        <f t="shared" si="214"/>
        <v>0</v>
      </c>
      <c r="P665" s="17">
        <f>SUMIFS('Desenvolvimento diário'!$H:$H,'Desenvolvimento diário'!$Q:$Q,$B665,'Desenvolvimento diário'!$P:$P,$F665,'Desenvolvimento diário'!$R:$R,"Sim")</f>
        <v>0</v>
      </c>
      <c r="Q665" s="17">
        <f>SUMIFS('Desenvolvimento diário'!$H:$H,'Desenvolvimento diário'!$Q:$Q,$B665,'Desenvolvimento diário'!$P:$P,$F665,'Desenvolvimento diário'!$R:$R,"Não")</f>
        <v>0</v>
      </c>
      <c r="R665" s="4">
        <f t="shared" si="215"/>
        <v>0</v>
      </c>
      <c r="S665" s="1030">
        <f t="shared" si="216"/>
        <v>0</v>
      </c>
      <c r="T665" s="12">
        <f t="shared" si="219"/>
        <v>0</v>
      </c>
      <c r="U665" s="1029" t="s">
        <v>166</v>
      </c>
      <c r="V665" s="1029" t="s">
        <v>94</v>
      </c>
      <c r="Y665" s="2"/>
      <c r="Z665" s="2"/>
      <c r="AA665" s="2"/>
      <c r="AB665" s="2"/>
      <c r="AC665" s="2"/>
    </row>
    <row r="666" spans="1:29" hidden="1">
      <c r="A666" s="8">
        <f>A663</f>
        <v>19</v>
      </c>
      <c r="B666" s="9" t="str">
        <f t="shared" ref="B666" si="220">B663</f>
        <v>Indaiabira 1</v>
      </c>
      <c r="C666" s="9" t="str">
        <f t="shared" ref="C666" si="221">C663</f>
        <v xml:space="preserve">ESTRELA DO NORTE </v>
      </c>
      <c r="D666" s="9" t="str">
        <f t="shared" ref="D666" si="222">D663</f>
        <v>EDN</v>
      </c>
      <c r="E666" s="9" t="str">
        <f t="shared" ref="E666" si="223">E663</f>
        <v>Weg</v>
      </c>
      <c r="F666" s="10" t="s">
        <v>158</v>
      </c>
      <c r="G666" s="9" t="str">
        <f>G663</f>
        <v>Apolo</v>
      </c>
      <c r="H666" s="9"/>
      <c r="I666" s="9">
        <f>SUBTOTAL(9,I632:I665)</f>
        <v>0</v>
      </c>
      <c r="J666" s="9">
        <f t="shared" ref="J666:S666" si="224">SUBTOTAL(9,J632:J665)</f>
        <v>0</v>
      </c>
      <c r="K666" s="9">
        <f t="shared" si="224"/>
        <v>0</v>
      </c>
      <c r="L666" s="9">
        <f t="shared" si="224"/>
        <v>0</v>
      </c>
      <c r="M666" s="9">
        <f t="shared" si="224"/>
        <v>0</v>
      </c>
      <c r="N666" s="9">
        <f t="shared" si="224"/>
        <v>0</v>
      </c>
      <c r="O666" s="9">
        <f t="shared" si="224"/>
        <v>0</v>
      </c>
      <c r="P666" s="9">
        <f t="shared" si="224"/>
        <v>0</v>
      </c>
      <c r="Q666" s="9">
        <f t="shared" si="224"/>
        <v>0</v>
      </c>
      <c r="R666" s="9">
        <f t="shared" si="224"/>
        <v>0</v>
      </c>
      <c r="S666" s="9">
        <f t="shared" si="224"/>
        <v>0</v>
      </c>
      <c r="T666" s="13">
        <f>IFERROR(R666/O666,0)</f>
        <v>0</v>
      </c>
      <c r="U666" s="11">
        <f>SUBTOTAL(9,U632:U665)</f>
        <v>0</v>
      </c>
      <c r="Y666" s="2"/>
      <c r="Z666" s="2"/>
      <c r="AA666" s="2"/>
      <c r="AB666" s="2"/>
      <c r="AC666" s="2"/>
    </row>
    <row r="667" spans="1:29" ht="10.5" hidden="1">
      <c r="A667" s="2">
        <f>A632+1</f>
        <v>20</v>
      </c>
      <c r="B667" s="2" t="str">
        <f>VLOOKUP($A667,Controle!$B$4:$F$68,2,FALSE)</f>
        <v>Indaiabira 2</v>
      </c>
      <c r="C667" s="2" t="str">
        <f>VLOOKUP($A667,Controle!$B$4:$F$68,3,FALSE)</f>
        <v xml:space="preserve">ESTRELA DO NORTE </v>
      </c>
      <c r="D667" s="2" t="str">
        <f>VLOOKUP($A667,Controle!$B$4:$F$68,4,FALSE)</f>
        <v>EDN</v>
      </c>
      <c r="E667" s="2" t="str">
        <f>VLOOKUP($A667,Controle!$B$4:$F$68,5,FALSE)</f>
        <v>Weg</v>
      </c>
      <c r="F667" s="3" t="str">
        <f t="shared" ref="F667:F700" si="225">F632</f>
        <v>Conexão AT - Obras</v>
      </c>
      <c r="G667" s="2" t="str">
        <f>VLOOKUP($A667,Controle!$B$4:$G$68,6,FALSE)</f>
        <v>Apolo</v>
      </c>
      <c r="H667" s="6" t="s">
        <v>194</v>
      </c>
      <c r="I667" s="6">
        <v>0</v>
      </c>
      <c r="J667" s="6">
        <v>0</v>
      </c>
      <c r="K667" s="6">
        <v>0</v>
      </c>
      <c r="L667" s="6">
        <v>0</v>
      </c>
      <c r="M667" s="6">
        <v>0</v>
      </c>
      <c r="N667" s="6">
        <v>0</v>
      </c>
      <c r="O667" s="4">
        <f t="shared" ref="O667:O700" si="226">SUM(I667:N667)</f>
        <v>0</v>
      </c>
      <c r="P667" s="5">
        <f>SUMIFS('Desenvolvimento diário'!$H:$H,'Desenvolvimento diário'!$Q:$Q,$B667,'Desenvolvimento diário'!$P:$P,$F667,'Desenvolvimento diário'!$R:$R,"Sim")</f>
        <v>0</v>
      </c>
      <c r="Q667" s="5">
        <f>SUMIFS('Desenvolvimento diário'!$H:$H,'Desenvolvimento diário'!$Q:$Q,$B667,'Desenvolvimento diário'!$P:$P,$F667,'Desenvolvimento diário'!$R:$R,"Não")</f>
        <v>0</v>
      </c>
      <c r="R667" s="4">
        <f t="shared" ref="R667:R700" si="227">SUM(P667:Q667)</f>
        <v>0</v>
      </c>
      <c r="S667" s="4">
        <f t="shared" ref="S667:S700" si="228">O667-R667</f>
        <v>0</v>
      </c>
      <c r="T667" s="12">
        <f t="shared" si="206"/>
        <v>0</v>
      </c>
      <c r="Y667" s="2"/>
      <c r="Z667" s="2"/>
      <c r="AA667" s="2"/>
      <c r="AB667" s="2"/>
      <c r="AC667" s="2"/>
    </row>
    <row r="668" spans="1:29" ht="10.5" hidden="1">
      <c r="A668" s="2">
        <f t="shared" ref="A668:A700" si="229">A667</f>
        <v>20</v>
      </c>
      <c r="B668" s="2" t="str">
        <f>VLOOKUP($A668,Controle!$B$4:$F$68,2,FALSE)</f>
        <v>Indaiabira 2</v>
      </c>
      <c r="C668" s="2" t="str">
        <f>VLOOKUP($A668,Controle!$B$4:$F$68,3,FALSE)</f>
        <v xml:space="preserve">ESTRELA DO NORTE </v>
      </c>
      <c r="D668" s="2" t="str">
        <f>VLOOKUP($A668,Controle!$B$4:$F$68,4,FALSE)</f>
        <v>EDN</v>
      </c>
      <c r="E668" s="2" t="str">
        <f>VLOOKUP($A668,Controle!$B$4:$F$68,5,FALSE)</f>
        <v>Weg</v>
      </c>
      <c r="F668" s="3" t="str">
        <f t="shared" si="225"/>
        <v>Conexão MT - Obras</v>
      </c>
      <c r="G668" s="2" t="str">
        <f>VLOOKUP($A668,Controle!$B$4:$G$68,6,FALSE)</f>
        <v>Apolo</v>
      </c>
      <c r="H668" s="6" t="s">
        <v>141</v>
      </c>
      <c r="I668" s="6">
        <v>365000</v>
      </c>
      <c r="J668" s="6">
        <v>0</v>
      </c>
      <c r="K668" s="6">
        <v>0</v>
      </c>
      <c r="L668" s="6">
        <v>0</v>
      </c>
      <c r="M668" s="6">
        <v>0</v>
      </c>
      <c r="N668" s="6">
        <v>0</v>
      </c>
      <c r="O668" s="4">
        <f t="shared" si="226"/>
        <v>365000</v>
      </c>
      <c r="P668" s="5">
        <f>SUMIFS('Desenvolvimento diário'!$H:$H,'Desenvolvimento diário'!$Q:$Q,$B668,'Desenvolvimento diário'!$P:$P,$F668,'Desenvolvimento diário'!$R:$R,"Sim")</f>
        <v>147645.16</v>
      </c>
      <c r="Q668" s="5">
        <f>SUMIFS('Desenvolvimento diário'!$H:$H,'Desenvolvimento diário'!$Q:$Q,$B668,'Desenvolvimento diário'!$P:$P,$F668,'Desenvolvimento diário'!$R:$R,"Não")</f>
        <v>217354.84</v>
      </c>
      <c r="R668" s="4">
        <f t="shared" si="227"/>
        <v>365000</v>
      </c>
      <c r="S668" s="4">
        <f t="shared" si="228"/>
        <v>0</v>
      </c>
      <c r="T668" s="12">
        <f t="shared" si="206"/>
        <v>1</v>
      </c>
      <c r="Y668" s="2"/>
      <c r="Z668" s="2"/>
      <c r="AA668" s="2"/>
      <c r="AB668" s="2"/>
      <c r="AC668" s="2"/>
    </row>
    <row r="669" spans="1:29" ht="10.5" hidden="1">
      <c r="A669" s="2">
        <f t="shared" si="229"/>
        <v>20</v>
      </c>
      <c r="B669" s="2" t="str">
        <f>VLOOKUP($A669,Controle!$B$4:$F$68,2,FALSE)</f>
        <v>Indaiabira 2</v>
      </c>
      <c r="C669" s="2" t="str">
        <f>VLOOKUP($A669,Controle!$B$4:$F$68,3,FALSE)</f>
        <v xml:space="preserve">ESTRELA DO NORTE </v>
      </c>
      <c r="D669" s="2" t="str">
        <f>VLOOKUP($A669,Controle!$B$4:$F$68,4,FALSE)</f>
        <v>EDN</v>
      </c>
      <c r="E669" s="2" t="str">
        <f>VLOOKUP($A669,Controle!$B$4:$F$68,5,FALSE)</f>
        <v>Weg</v>
      </c>
      <c r="F669" s="3" t="str">
        <f t="shared" si="225"/>
        <v>Construção - Serviços de Construção</v>
      </c>
      <c r="G669" s="2" t="str">
        <f>VLOOKUP($A669,Controle!$B$4:$G$68,6,FALSE)</f>
        <v>Apolo</v>
      </c>
      <c r="H669" s="6">
        <v>0</v>
      </c>
      <c r="I669" s="6">
        <v>0</v>
      </c>
      <c r="J669" s="6">
        <v>0</v>
      </c>
      <c r="K669" s="6">
        <v>0</v>
      </c>
      <c r="L669" s="6">
        <v>0</v>
      </c>
      <c r="M669" s="6">
        <v>0</v>
      </c>
      <c r="N669" s="6">
        <v>0</v>
      </c>
      <c r="O669" s="4">
        <f t="shared" si="226"/>
        <v>0</v>
      </c>
      <c r="P669" s="5">
        <f>SUMIFS('Desenvolvimento diário'!$H:$H,'Desenvolvimento diário'!$Q:$Q,$B669,'Desenvolvimento diário'!$P:$P,$F669,'Desenvolvimento diário'!$R:$R,"Sim")</f>
        <v>0</v>
      </c>
      <c r="Q669" s="5">
        <f>SUMIFS('Desenvolvimento diário'!$H:$H,'Desenvolvimento diário'!$Q:$Q,$B669,'Desenvolvimento diário'!$P:$P,$F669,'Desenvolvimento diário'!$R:$R,"Não")</f>
        <v>0</v>
      </c>
      <c r="R669" s="4">
        <f t="shared" si="227"/>
        <v>0</v>
      </c>
      <c r="S669" s="4">
        <f t="shared" si="228"/>
        <v>0</v>
      </c>
      <c r="T669" s="12">
        <f t="shared" si="206"/>
        <v>0</v>
      </c>
      <c r="Y669" s="2"/>
      <c r="Z669" s="2"/>
      <c r="AA669" s="2"/>
      <c r="AB669" s="2"/>
      <c r="AC669" s="2"/>
    </row>
    <row r="670" spans="1:29" ht="10.5" hidden="1">
      <c r="A670" s="2">
        <f t="shared" si="229"/>
        <v>20</v>
      </c>
      <c r="B670" s="2" t="str">
        <f>VLOOKUP($A670,Controle!$B$4:$F$68,2,FALSE)</f>
        <v>Indaiabira 2</v>
      </c>
      <c r="C670" s="2" t="str">
        <f>VLOOKUP($A670,Controle!$B$4:$F$68,3,FALSE)</f>
        <v xml:space="preserve">ESTRELA DO NORTE </v>
      </c>
      <c r="D670" s="2" t="str">
        <f>VLOOKUP($A670,Controle!$B$4:$F$68,4,FALSE)</f>
        <v>EDN</v>
      </c>
      <c r="E670" s="2" t="str">
        <f>VLOOKUP($A670,Controle!$B$4:$F$68,5,FALSE)</f>
        <v>Weg</v>
      </c>
      <c r="F670" s="3" t="str">
        <f t="shared" si="225"/>
        <v>Construção - Serviços de Construção - Substituição</v>
      </c>
      <c r="G670" s="2" t="str">
        <f>VLOOKUP($A670,Controle!$B$4:$G$68,6,FALSE)</f>
        <v>Apolo</v>
      </c>
      <c r="H670" s="6">
        <v>0</v>
      </c>
      <c r="I670" s="6">
        <v>0</v>
      </c>
      <c r="J670" s="6">
        <v>0</v>
      </c>
      <c r="K670" s="6">
        <v>0</v>
      </c>
      <c r="L670" s="6">
        <v>0</v>
      </c>
      <c r="M670" s="6">
        <v>0</v>
      </c>
      <c r="N670" s="6">
        <v>0</v>
      </c>
      <c r="O670" s="4">
        <f t="shared" si="226"/>
        <v>0</v>
      </c>
      <c r="P670" s="5">
        <f>SUMIFS('Desenvolvimento diário'!$H:$H,'Desenvolvimento diário'!$Q:$Q,$B670,'Desenvolvimento diário'!$P:$P,$F670,'Desenvolvimento diário'!$R:$R,"Sim")</f>
        <v>0</v>
      </c>
      <c r="Q670" s="5">
        <f>SUMIFS('Desenvolvimento diário'!$H:$H,'Desenvolvimento diário'!$Q:$Q,$B670,'Desenvolvimento diário'!$P:$P,$F670,'Desenvolvimento diário'!$R:$R,"Não")</f>
        <v>0</v>
      </c>
      <c r="R670" s="4">
        <f t="shared" si="227"/>
        <v>0</v>
      </c>
      <c r="S670" s="4">
        <f t="shared" si="228"/>
        <v>0</v>
      </c>
      <c r="T670" s="12">
        <f t="shared" si="206"/>
        <v>0</v>
      </c>
      <c r="Y670" s="2"/>
      <c r="Z670" s="2"/>
      <c r="AA670" s="2"/>
      <c r="AB670" s="2"/>
      <c r="AC670" s="2"/>
    </row>
    <row r="671" spans="1:29" ht="10.5" hidden="1">
      <c r="A671" s="2">
        <f t="shared" si="229"/>
        <v>20</v>
      </c>
      <c r="B671" s="2" t="str">
        <f>VLOOKUP($A671,Controle!$B$4:$F$68,2,FALSE)</f>
        <v>Indaiabira 2</v>
      </c>
      <c r="C671" s="2" t="str">
        <f>VLOOKUP($A671,Controle!$B$4:$F$68,3,FALSE)</f>
        <v xml:space="preserve">ESTRELA DO NORTE </v>
      </c>
      <c r="D671" s="2" t="str">
        <f>VLOOKUP($A671,Controle!$B$4:$F$68,4,FALSE)</f>
        <v>EDN</v>
      </c>
      <c r="E671" s="2" t="str">
        <f>VLOOKUP($A671,Controle!$B$4:$F$68,5,FALSE)</f>
        <v>Weg</v>
      </c>
      <c r="F671" s="3" t="str">
        <f t="shared" si="225"/>
        <v>Construção - RDA Interno</v>
      </c>
      <c r="G671" s="2" t="str">
        <f>VLOOKUP($A671,Controle!$B$4:$G$68,6,FALSE)</f>
        <v>Apolo</v>
      </c>
      <c r="H671" s="6">
        <v>0</v>
      </c>
      <c r="I671" s="6">
        <v>0</v>
      </c>
      <c r="J671" s="6">
        <v>0</v>
      </c>
      <c r="K671" s="6">
        <v>0</v>
      </c>
      <c r="L671" s="6">
        <v>0</v>
      </c>
      <c r="M671" s="6">
        <v>0</v>
      </c>
      <c r="N671" s="6">
        <v>0</v>
      </c>
      <c r="O671" s="4">
        <f t="shared" si="226"/>
        <v>0</v>
      </c>
      <c r="P671" s="5">
        <f>SUMIFS('Desenvolvimento diário'!$H:$H,'Desenvolvimento diário'!$Q:$Q,$B671,'Desenvolvimento diário'!$P:$P,$F671,'Desenvolvimento diário'!$R:$R,"Sim")</f>
        <v>0</v>
      </c>
      <c r="Q671" s="5">
        <f>SUMIFS('Desenvolvimento diário'!$H:$H,'Desenvolvimento diário'!$Q:$Q,$B671,'Desenvolvimento diário'!$P:$P,$F671,'Desenvolvimento diário'!$R:$R,"Não")</f>
        <v>0</v>
      </c>
      <c r="R671" s="4">
        <f t="shared" si="227"/>
        <v>0</v>
      </c>
      <c r="S671" s="4">
        <f t="shared" si="228"/>
        <v>0</v>
      </c>
      <c r="T671" s="12">
        <f t="shared" si="206"/>
        <v>0</v>
      </c>
      <c r="Y671" s="2"/>
      <c r="Z671" s="2"/>
      <c r="AA671" s="2"/>
      <c r="AB671" s="2"/>
      <c r="AC671" s="2"/>
    </row>
    <row r="672" spans="1:29" ht="10.5" hidden="1">
      <c r="A672" s="2">
        <f t="shared" si="229"/>
        <v>20</v>
      </c>
      <c r="B672" s="2" t="str">
        <f>VLOOKUP($A672,Controle!$B$4:$F$68,2,FALSE)</f>
        <v>Indaiabira 2</v>
      </c>
      <c r="C672" s="2" t="str">
        <f>VLOOKUP($A672,Controle!$B$4:$F$68,3,FALSE)</f>
        <v xml:space="preserve">ESTRELA DO NORTE </v>
      </c>
      <c r="D672" s="2" t="str">
        <f>VLOOKUP($A672,Controle!$B$4:$F$68,4,FALSE)</f>
        <v>EDN</v>
      </c>
      <c r="E672" s="2" t="str">
        <f>VLOOKUP($A672,Controle!$B$4:$F$68,5,FALSE)</f>
        <v>Weg</v>
      </c>
      <c r="F672" s="3" t="str">
        <f t="shared" si="225"/>
        <v>Full EPC - Contrato</v>
      </c>
      <c r="G672" s="2" t="str">
        <f>VLOOKUP($A672,Controle!$B$4:$G$68,6,FALSE)</f>
        <v>Apolo</v>
      </c>
      <c r="H672" s="6" t="s">
        <v>21</v>
      </c>
      <c r="I672" s="6">
        <v>14646682.470000001</v>
      </c>
      <c r="J672" s="6"/>
      <c r="K672" s="6"/>
      <c r="L672" s="6">
        <v>0</v>
      </c>
      <c r="M672" s="6">
        <v>0</v>
      </c>
      <c r="N672" s="6">
        <v>0</v>
      </c>
      <c r="O672" s="4">
        <f t="shared" si="226"/>
        <v>14646682.470000001</v>
      </c>
      <c r="P672" s="5">
        <f>SUMIFS('Desenvolvimento diário'!$H:$H,'Desenvolvimento diário'!$Q:$Q,$B672,'Desenvolvimento diário'!$P:$P,$F672,'Desenvolvimento diário'!$R:$R,"Sim")</f>
        <v>0</v>
      </c>
      <c r="Q672" s="5">
        <f>SUMIFS('Desenvolvimento diário'!$H:$H,'Desenvolvimento diário'!$Q:$Q,$B672,'Desenvolvimento diário'!$P:$P,$F672,'Desenvolvimento diário'!$R:$R,"Não")</f>
        <v>14646682.469999999</v>
      </c>
      <c r="R672" s="4">
        <f t="shared" si="227"/>
        <v>14646682.469999999</v>
      </c>
      <c r="S672" s="1076">
        <f t="shared" si="228"/>
        <v>0</v>
      </c>
      <c r="T672" s="12">
        <f t="shared" si="206"/>
        <v>0.99999999999999989</v>
      </c>
      <c r="U672" s="1014" t="s">
        <v>166</v>
      </c>
      <c r="V672" s="1014" t="s">
        <v>184</v>
      </c>
      <c r="Y672" s="2"/>
      <c r="Z672" s="2"/>
      <c r="AA672" s="2"/>
      <c r="AB672" s="2"/>
      <c r="AC672" s="2"/>
    </row>
    <row r="673" spans="1:29" ht="10.5" hidden="1">
      <c r="A673" s="2">
        <f t="shared" si="229"/>
        <v>20</v>
      </c>
      <c r="B673" s="2" t="str">
        <f>VLOOKUP($A673,Controle!$B$4:$F$68,2,FALSE)</f>
        <v>Indaiabira 2</v>
      </c>
      <c r="C673" s="2" t="str">
        <f>VLOOKUP($A673,Controle!$B$4:$F$68,3,FALSE)</f>
        <v xml:space="preserve">ESTRELA DO NORTE </v>
      </c>
      <c r="D673" s="2" t="str">
        <f>VLOOKUP($A673,Controle!$B$4:$F$68,4,FALSE)</f>
        <v>EDN</v>
      </c>
      <c r="E673" s="2" t="str">
        <f>VLOOKUP($A673,Controle!$B$4:$F$68,5,FALSE)</f>
        <v>Weg</v>
      </c>
      <c r="F673" s="3" t="str">
        <f t="shared" si="225"/>
        <v>Equipamentos Curva A - Outros (Transformadores)</v>
      </c>
      <c r="G673" s="2" t="str">
        <f>VLOOKUP($A673,Controle!$B$4:$G$68,6,FALSE)</f>
        <v>Apolo</v>
      </c>
      <c r="H673" s="6" t="s">
        <v>144</v>
      </c>
      <c r="I673" s="6">
        <v>0</v>
      </c>
      <c r="J673" s="6">
        <v>0</v>
      </c>
      <c r="K673" s="6">
        <v>0</v>
      </c>
      <c r="L673" s="6">
        <v>0</v>
      </c>
      <c r="M673" s="6">
        <v>0</v>
      </c>
      <c r="N673" s="6">
        <v>0</v>
      </c>
      <c r="O673" s="4">
        <f t="shared" si="226"/>
        <v>0</v>
      </c>
      <c r="P673" s="5">
        <f>SUMIFS('Desenvolvimento diário'!$H:$H,'Desenvolvimento diário'!$Q:$Q,$B673,'Desenvolvimento diário'!$P:$P,$F673,'Desenvolvimento diário'!$R:$R,"Sim")</f>
        <v>0</v>
      </c>
      <c r="Q673" s="5">
        <f>SUMIFS('Desenvolvimento diário'!$H:$H,'Desenvolvimento diário'!$Q:$Q,$B673,'Desenvolvimento diário'!$P:$P,$F673,'Desenvolvimento diário'!$R:$R,"Não")</f>
        <v>0</v>
      </c>
      <c r="R673" s="4">
        <f t="shared" si="227"/>
        <v>0</v>
      </c>
      <c r="S673" s="4">
        <f t="shared" si="228"/>
        <v>0</v>
      </c>
      <c r="T673" s="12">
        <f t="shared" si="206"/>
        <v>0</v>
      </c>
      <c r="Y673" s="2"/>
      <c r="Z673" s="2"/>
      <c r="AA673" s="2"/>
      <c r="AB673" s="2"/>
      <c r="AC673" s="2"/>
    </row>
    <row r="674" spans="1:29" ht="10.5" hidden="1">
      <c r="A674" s="2">
        <f t="shared" si="229"/>
        <v>20</v>
      </c>
      <c r="B674" s="2" t="str">
        <f>VLOOKUP($A674,Controle!$B$4:$F$68,2,FALSE)</f>
        <v>Indaiabira 2</v>
      </c>
      <c r="C674" s="2" t="str">
        <f>VLOOKUP($A674,Controle!$B$4:$F$68,3,FALSE)</f>
        <v xml:space="preserve">ESTRELA DO NORTE </v>
      </c>
      <c r="D674" s="2" t="str">
        <f>VLOOKUP($A674,Controle!$B$4:$F$68,4,FALSE)</f>
        <v>EDN</v>
      </c>
      <c r="E674" s="2" t="str">
        <f>VLOOKUP($A674,Controle!$B$4:$F$68,5,FALSE)</f>
        <v>Weg</v>
      </c>
      <c r="F674" s="3" t="str">
        <f t="shared" si="225"/>
        <v>Equipamentos Curva A - Outros (Cabine + Skid)</v>
      </c>
      <c r="G674" s="2" t="str">
        <f>VLOOKUP($A674,Controle!$B$4:$G$68,6,FALSE)</f>
        <v>Apolo</v>
      </c>
      <c r="H674" s="6" t="s">
        <v>196</v>
      </c>
      <c r="I674" s="6">
        <v>752179.87234042562</v>
      </c>
      <c r="J674" s="6">
        <v>0</v>
      </c>
      <c r="K674" s="6">
        <v>0</v>
      </c>
      <c r="L674" s="6">
        <v>0</v>
      </c>
      <c r="M674" s="6">
        <v>0</v>
      </c>
      <c r="N674" s="6">
        <v>0</v>
      </c>
      <c r="O674" s="4">
        <f t="shared" si="226"/>
        <v>752179.87234042562</v>
      </c>
      <c r="P674" s="5">
        <f>SUMIFS('Desenvolvimento diário'!$H:$H,'Desenvolvimento diário'!$Q:$Q,$B674,'Desenvolvimento diário'!$P:$P,$F674,'Desenvolvimento diário'!$R:$R,"Sim")</f>
        <v>0</v>
      </c>
      <c r="Q674" s="5">
        <f>SUMIFS('Desenvolvimento diário'!$H:$H,'Desenvolvimento diário'!$Q:$Q,$B674,'Desenvolvimento diário'!$P:$P,$F674,'Desenvolvimento diário'!$R:$R,"Não")</f>
        <v>752179.87234042562</v>
      </c>
      <c r="R674" s="4">
        <f t="shared" si="227"/>
        <v>752179.87234042562</v>
      </c>
      <c r="S674" s="4">
        <f t="shared" si="228"/>
        <v>0</v>
      </c>
      <c r="T674" s="12">
        <f t="shared" si="206"/>
        <v>1</v>
      </c>
      <c r="Y674" s="2"/>
      <c r="Z674" s="2"/>
      <c r="AA674" s="2"/>
      <c r="AB674" s="2"/>
      <c r="AC674" s="2"/>
    </row>
    <row r="675" spans="1:29" ht="10.5" hidden="1">
      <c r="A675" s="2">
        <f t="shared" si="229"/>
        <v>20</v>
      </c>
      <c r="B675" s="2" t="str">
        <f>VLOOKUP($A675,Controle!$B$4:$F$68,2,FALSE)</f>
        <v>Indaiabira 2</v>
      </c>
      <c r="C675" s="2" t="str">
        <f>VLOOKUP($A675,Controle!$B$4:$F$68,3,FALSE)</f>
        <v xml:space="preserve">ESTRELA DO NORTE </v>
      </c>
      <c r="D675" s="2" t="str">
        <f>VLOOKUP($A675,Controle!$B$4:$F$68,4,FALSE)</f>
        <v>EDN</v>
      </c>
      <c r="E675" s="2" t="str">
        <f>VLOOKUP($A675,Controle!$B$4:$F$68,5,FALSE)</f>
        <v>Weg</v>
      </c>
      <c r="F675" s="3" t="str">
        <f t="shared" si="225"/>
        <v>Equipamentos Curva A - Outros (Cabine + Skid + Transformador)</v>
      </c>
      <c r="G675" s="2" t="str">
        <f>VLOOKUP($A675,Controle!$B$4:$G$68,6,FALSE)</f>
        <v>Apolo</v>
      </c>
      <c r="H675" s="6">
        <v>0</v>
      </c>
      <c r="I675" s="6">
        <v>0</v>
      </c>
      <c r="J675" s="6">
        <v>0</v>
      </c>
      <c r="K675" s="6">
        <v>0</v>
      </c>
      <c r="L675" s="6">
        <v>0</v>
      </c>
      <c r="M675" s="6">
        <v>0</v>
      </c>
      <c r="N675" s="6">
        <v>0</v>
      </c>
      <c r="O675" s="4">
        <f t="shared" si="226"/>
        <v>0</v>
      </c>
      <c r="P675" s="5">
        <f>SUMIFS('Desenvolvimento diário'!$H:$H,'Desenvolvimento diário'!$Q:$Q,$B675,'Desenvolvimento diário'!$P:$P,$F675,'Desenvolvimento diário'!$R:$R,"Sim")</f>
        <v>0</v>
      </c>
      <c r="Q675" s="5">
        <f>SUMIFS('Desenvolvimento diário'!$H:$H,'Desenvolvimento diário'!$Q:$Q,$B675,'Desenvolvimento diário'!$P:$P,$F675,'Desenvolvimento diário'!$R:$R,"Não")</f>
        <v>0</v>
      </c>
      <c r="R675" s="4">
        <f t="shared" si="227"/>
        <v>0</v>
      </c>
      <c r="S675" s="4">
        <f t="shared" si="228"/>
        <v>0</v>
      </c>
      <c r="T675" s="12">
        <f t="shared" si="206"/>
        <v>0</v>
      </c>
      <c r="Y675" s="2"/>
      <c r="Z675" s="2"/>
      <c r="AA675" s="2"/>
      <c r="AB675" s="2"/>
      <c r="AC675" s="2"/>
    </row>
    <row r="676" spans="1:29" ht="10.5" hidden="1">
      <c r="A676" s="2">
        <f t="shared" si="229"/>
        <v>20</v>
      </c>
      <c r="B676" s="2" t="str">
        <f>VLOOKUP($A676,Controle!$B$4:$F$68,2,FALSE)</f>
        <v>Indaiabira 2</v>
      </c>
      <c r="C676" s="2" t="str">
        <f>VLOOKUP($A676,Controle!$B$4:$F$68,3,FALSE)</f>
        <v xml:space="preserve">ESTRELA DO NORTE </v>
      </c>
      <c r="D676" s="2" t="str">
        <f>VLOOKUP($A676,Controle!$B$4:$F$68,4,FALSE)</f>
        <v>EDN</v>
      </c>
      <c r="E676" s="2" t="str">
        <f>VLOOKUP($A676,Controle!$B$4:$F$68,5,FALSE)</f>
        <v>Weg</v>
      </c>
      <c r="F676" s="3" t="str">
        <f t="shared" si="225"/>
        <v>Desenvolvimento de projeto - Projetos - (Eng° Proprietario)</v>
      </c>
      <c r="G676" s="2" t="str">
        <f>VLOOKUP($A676,Controle!$B$4:$G$68,6,FALSE)</f>
        <v>Apolo</v>
      </c>
      <c r="H676" s="6" t="s">
        <v>176</v>
      </c>
      <c r="I676" s="6">
        <f>R676</f>
        <v>173568.09000000003</v>
      </c>
      <c r="J676" s="6">
        <v>0</v>
      </c>
      <c r="K676" s="6">
        <v>0</v>
      </c>
      <c r="L676" s="6">
        <v>0</v>
      </c>
      <c r="M676" s="6">
        <v>0</v>
      </c>
      <c r="N676" s="6">
        <v>0</v>
      </c>
      <c r="O676" s="4">
        <f t="shared" si="226"/>
        <v>173568.09000000003</v>
      </c>
      <c r="P676" s="5">
        <f>SUMIFS('Desenvolvimento diário'!$H:$H,'Desenvolvimento diário'!$Q:$Q,$B676,'Desenvolvimento diário'!$P:$P,$F676,'Desenvolvimento diário'!$R:$R,"Sim")</f>
        <v>0</v>
      </c>
      <c r="Q676" s="5">
        <f>SUMIFS('Desenvolvimento diário'!$H:$H,'Desenvolvimento diário'!$Q:$Q,$B676,'Desenvolvimento diário'!$P:$P,$F676,'Desenvolvimento diário'!$R:$R,"Não")</f>
        <v>173568.09000000003</v>
      </c>
      <c r="R676" s="4">
        <f t="shared" si="227"/>
        <v>173568.09000000003</v>
      </c>
      <c r="S676" s="4">
        <f t="shared" si="228"/>
        <v>0</v>
      </c>
      <c r="T676" s="12">
        <f t="shared" si="206"/>
        <v>1</v>
      </c>
      <c r="Y676" s="2"/>
      <c r="Z676" s="2"/>
      <c r="AA676" s="2"/>
      <c r="AB676" s="2"/>
      <c r="AC676" s="2"/>
    </row>
    <row r="677" spans="1:29" ht="10.5" hidden="1">
      <c r="A677" s="2">
        <f t="shared" si="229"/>
        <v>20</v>
      </c>
      <c r="B677" s="2" t="str">
        <f>VLOOKUP($A677,Controle!$B$4:$F$68,2,FALSE)</f>
        <v>Indaiabira 2</v>
      </c>
      <c r="C677" s="2" t="str">
        <f>VLOOKUP($A677,Controle!$B$4:$F$68,3,FALSE)</f>
        <v xml:space="preserve">ESTRELA DO NORTE </v>
      </c>
      <c r="D677" s="2" t="str">
        <f>VLOOKUP($A677,Controle!$B$4:$F$68,4,FALSE)</f>
        <v>EDN</v>
      </c>
      <c r="E677" s="2" t="str">
        <f>VLOOKUP($A677,Controle!$B$4:$F$68,5,FALSE)</f>
        <v>Weg</v>
      </c>
      <c r="F677" s="3" t="str">
        <f t="shared" si="225"/>
        <v>Desenvolvimento de projeto - Projetos - Executivos</v>
      </c>
      <c r="G677" s="2" t="str">
        <f>VLOOKUP($A677,Controle!$B$4:$G$68,6,FALSE)</f>
        <v>Apolo</v>
      </c>
      <c r="H677" s="6">
        <v>0</v>
      </c>
      <c r="I677" s="6">
        <v>0</v>
      </c>
      <c r="J677" s="6">
        <v>0</v>
      </c>
      <c r="K677" s="6">
        <v>0</v>
      </c>
      <c r="L677" s="6">
        <v>0</v>
      </c>
      <c r="M677" s="6">
        <v>0</v>
      </c>
      <c r="N677" s="6">
        <v>0</v>
      </c>
      <c r="O677" s="4">
        <f t="shared" si="226"/>
        <v>0</v>
      </c>
      <c r="P677" s="5">
        <f>SUMIFS('Desenvolvimento diário'!$H:$H,'Desenvolvimento diário'!$Q:$Q,$B677,'Desenvolvimento diário'!$P:$P,$F677,'Desenvolvimento diário'!$R:$R,"Sim")</f>
        <v>0</v>
      </c>
      <c r="Q677" s="5">
        <f>SUMIFS('Desenvolvimento diário'!$H:$H,'Desenvolvimento diário'!$Q:$Q,$B677,'Desenvolvimento diário'!$P:$P,$F677,'Desenvolvimento diário'!$R:$R,"Não")</f>
        <v>0</v>
      </c>
      <c r="R677" s="4">
        <f t="shared" si="227"/>
        <v>0</v>
      </c>
      <c r="S677" s="4">
        <f t="shared" si="228"/>
        <v>0</v>
      </c>
      <c r="T677" s="12">
        <f t="shared" si="206"/>
        <v>0</v>
      </c>
      <c r="Y677" s="2"/>
      <c r="Z677" s="2"/>
      <c r="AA677" s="2"/>
      <c r="AB677" s="2"/>
      <c r="AC677" s="2"/>
    </row>
    <row r="678" spans="1:29" ht="10.5" hidden="1">
      <c r="A678" s="2">
        <f t="shared" si="229"/>
        <v>20</v>
      </c>
      <c r="B678" s="2" t="str">
        <f>VLOOKUP($A678,Controle!$B$4:$F$68,2,FALSE)</f>
        <v>Indaiabira 2</v>
      </c>
      <c r="C678" s="2" t="str">
        <f>VLOOKUP($A678,Controle!$B$4:$F$68,3,FALSE)</f>
        <v xml:space="preserve">ESTRELA DO NORTE </v>
      </c>
      <c r="D678" s="2" t="str">
        <f>VLOOKUP($A678,Controle!$B$4:$F$68,4,FALSE)</f>
        <v>EDN</v>
      </c>
      <c r="E678" s="2" t="str">
        <f>VLOOKUP($A678,Controle!$B$4:$F$68,5,FALSE)</f>
        <v>Weg</v>
      </c>
      <c r="F678" s="3" t="str">
        <f t="shared" si="225"/>
        <v>Desenvolvimento de projeto - Projetos Básica</v>
      </c>
      <c r="G678" s="2" t="str">
        <f>VLOOKUP($A678,Controle!$B$4:$G$68,6,FALSE)</f>
        <v>Apolo</v>
      </c>
      <c r="H678" s="6">
        <v>0</v>
      </c>
      <c r="I678" s="6">
        <v>0</v>
      </c>
      <c r="J678" s="6">
        <v>0</v>
      </c>
      <c r="K678" s="6">
        <v>0</v>
      </c>
      <c r="L678" s="6">
        <v>0</v>
      </c>
      <c r="M678" s="6">
        <v>0</v>
      </c>
      <c r="N678" s="6">
        <v>0</v>
      </c>
      <c r="O678" s="4">
        <f t="shared" si="226"/>
        <v>0</v>
      </c>
      <c r="P678" s="5">
        <f>SUMIFS('Desenvolvimento diário'!$H:$H,'Desenvolvimento diário'!$Q:$Q,$B678,'Desenvolvimento diário'!$P:$P,$F678,'Desenvolvimento diário'!$R:$R,"Sim")</f>
        <v>0</v>
      </c>
      <c r="Q678" s="5">
        <f>SUMIFS('Desenvolvimento diário'!$H:$H,'Desenvolvimento diário'!$Q:$Q,$B678,'Desenvolvimento diário'!$P:$P,$F678,'Desenvolvimento diário'!$R:$R,"Não")</f>
        <v>0</v>
      </c>
      <c r="R678" s="4">
        <f t="shared" si="227"/>
        <v>0</v>
      </c>
      <c r="S678" s="4">
        <f t="shared" si="228"/>
        <v>0</v>
      </c>
      <c r="T678" s="12">
        <f t="shared" si="206"/>
        <v>0</v>
      </c>
      <c r="Y678" s="2"/>
      <c r="Z678" s="2"/>
      <c r="AA678" s="2"/>
      <c r="AB678" s="2"/>
      <c r="AC678" s="2"/>
    </row>
    <row r="679" spans="1:29" ht="10.5" hidden="1">
      <c r="A679" s="2">
        <f t="shared" si="229"/>
        <v>20</v>
      </c>
      <c r="B679" s="2" t="str">
        <f>VLOOKUP($A679,Controle!$B$4:$F$68,2,FALSE)</f>
        <v>Indaiabira 2</v>
      </c>
      <c r="C679" s="2" t="str">
        <f>VLOOKUP($A679,Controle!$B$4:$F$68,3,FALSE)</f>
        <v xml:space="preserve">ESTRELA DO NORTE </v>
      </c>
      <c r="D679" s="2" t="str">
        <f>VLOOKUP($A679,Controle!$B$4:$F$68,4,FALSE)</f>
        <v>EDN</v>
      </c>
      <c r="E679" s="2" t="str">
        <f>VLOOKUP($A679,Controle!$B$4:$F$68,5,FALSE)</f>
        <v>Weg</v>
      </c>
      <c r="F679" s="3" t="str">
        <f t="shared" si="225"/>
        <v>Desenvolvimento de projeto - Projetos Detalhada</v>
      </c>
      <c r="G679" s="2" t="str">
        <f>VLOOKUP($A679,Controle!$B$4:$G$68,6,FALSE)</f>
        <v>Apolo</v>
      </c>
      <c r="H679" s="6">
        <v>0</v>
      </c>
      <c r="I679" s="6">
        <v>0</v>
      </c>
      <c r="J679" s="6">
        <v>0</v>
      </c>
      <c r="K679" s="6">
        <v>0</v>
      </c>
      <c r="L679" s="6">
        <v>0</v>
      </c>
      <c r="M679" s="6">
        <v>0</v>
      </c>
      <c r="N679" s="6">
        <v>0</v>
      </c>
      <c r="O679" s="4">
        <f t="shared" si="226"/>
        <v>0</v>
      </c>
      <c r="P679" s="5">
        <f>SUMIFS('Desenvolvimento diário'!$H:$H,'Desenvolvimento diário'!$Q:$Q,$B679,'Desenvolvimento diário'!$P:$P,$F679,'Desenvolvimento diário'!$R:$R,"Sim")</f>
        <v>0</v>
      </c>
      <c r="Q679" s="5">
        <f>SUMIFS('Desenvolvimento diário'!$H:$H,'Desenvolvimento diário'!$Q:$Q,$B679,'Desenvolvimento diário'!$P:$P,$F679,'Desenvolvimento diário'!$R:$R,"Não")</f>
        <v>0</v>
      </c>
      <c r="R679" s="4">
        <f t="shared" si="227"/>
        <v>0</v>
      </c>
      <c r="S679" s="4">
        <f t="shared" si="228"/>
        <v>0</v>
      </c>
      <c r="T679" s="12">
        <f t="shared" si="206"/>
        <v>0</v>
      </c>
      <c r="Y679" s="2"/>
      <c r="Z679" s="2"/>
      <c r="AA679" s="2"/>
      <c r="AB679" s="2"/>
      <c r="AC679" s="2"/>
    </row>
    <row r="680" spans="1:29" ht="10.5" hidden="1">
      <c r="A680" s="2">
        <f t="shared" si="229"/>
        <v>20</v>
      </c>
      <c r="B680" s="2" t="str">
        <f>VLOOKUP($A680,Controle!$B$4:$F$68,2,FALSE)</f>
        <v>Indaiabira 2</v>
      </c>
      <c r="C680" s="2" t="str">
        <f>VLOOKUP($A680,Controle!$B$4:$F$68,3,FALSE)</f>
        <v xml:space="preserve">ESTRELA DO NORTE </v>
      </c>
      <c r="D680" s="2" t="str">
        <f>VLOOKUP($A680,Controle!$B$4:$F$68,4,FALSE)</f>
        <v>EDN</v>
      </c>
      <c r="E680" s="2" t="str">
        <f>VLOOKUP($A680,Controle!$B$4:$F$68,5,FALSE)</f>
        <v>Weg</v>
      </c>
      <c r="F680" s="3" t="str">
        <f t="shared" si="225"/>
        <v>Desenvolvimento de projeto - Ambiental / Outros</v>
      </c>
      <c r="G680" s="2" t="str">
        <f>VLOOKUP($A680,Controle!$B$4:$G$68,6,FALSE)</f>
        <v>Apolo</v>
      </c>
      <c r="H680" s="6" t="s">
        <v>148</v>
      </c>
      <c r="I680" s="6">
        <f>R680</f>
        <v>289007.02000000008</v>
      </c>
      <c r="J680" s="6">
        <v>0</v>
      </c>
      <c r="K680" s="6">
        <v>0</v>
      </c>
      <c r="L680" s="6">
        <v>0</v>
      </c>
      <c r="M680" s="6">
        <v>0</v>
      </c>
      <c r="N680" s="6">
        <v>0</v>
      </c>
      <c r="O680" s="4">
        <f t="shared" si="226"/>
        <v>289007.02000000008</v>
      </c>
      <c r="P680" s="5">
        <f>SUMIFS('Desenvolvimento diário'!$H:$H,'Desenvolvimento diário'!$Q:$Q,$B680,'Desenvolvimento diário'!$P:$P,$F680,'Desenvolvimento diário'!$R:$R,"Sim")</f>
        <v>0</v>
      </c>
      <c r="Q680" s="5">
        <f>SUMIFS('Desenvolvimento diário'!$H:$H,'Desenvolvimento diário'!$Q:$Q,$B680,'Desenvolvimento diário'!$P:$P,$F680,'Desenvolvimento diário'!$R:$R,"Não")</f>
        <v>289007.02000000008</v>
      </c>
      <c r="R680" s="4">
        <f t="shared" si="227"/>
        <v>289007.02000000008</v>
      </c>
      <c r="S680" s="4">
        <f t="shared" si="228"/>
        <v>0</v>
      </c>
      <c r="T680" s="12">
        <f t="shared" si="206"/>
        <v>1</v>
      </c>
      <c r="Y680" s="2"/>
      <c r="Z680" s="2"/>
      <c r="AA680" s="2"/>
      <c r="AB680" s="2"/>
      <c r="AC680" s="2"/>
    </row>
    <row r="681" spans="1:29" hidden="1">
      <c r="A681" s="2">
        <f t="shared" si="229"/>
        <v>20</v>
      </c>
      <c r="B681" s="2" t="str">
        <f>VLOOKUP($A681,Controle!$B$4:$F$68,2,FALSE)</f>
        <v>Indaiabira 2</v>
      </c>
      <c r="C681" s="2" t="str">
        <f>VLOOKUP($A681,Controle!$B$4:$F$68,3,FALSE)</f>
        <v xml:space="preserve">ESTRELA DO NORTE </v>
      </c>
      <c r="D681" s="2" t="str">
        <f>VLOOKUP($A681,Controle!$B$4:$F$68,4,FALSE)</f>
        <v>EDN</v>
      </c>
      <c r="E681" s="2" t="str">
        <f>VLOOKUP($A681,Controle!$B$4:$F$68,5,FALSE)</f>
        <v>Weg</v>
      </c>
      <c r="F681" s="3" t="str">
        <f t="shared" si="225"/>
        <v>Desenvolvimento de projeto - Coordenograma</v>
      </c>
      <c r="G681" s="2" t="str">
        <f>VLOOKUP($A681,Controle!$B$4:$G$68,6,FALSE)</f>
        <v>Apolo</v>
      </c>
      <c r="H681" s="31" t="s">
        <v>149</v>
      </c>
      <c r="I681" s="31">
        <v>7000</v>
      </c>
      <c r="J681" s="31">
        <v>2281.25</v>
      </c>
      <c r="K681" s="31">
        <v>0</v>
      </c>
      <c r="L681" s="6">
        <v>0</v>
      </c>
      <c r="M681" s="6">
        <v>0</v>
      </c>
      <c r="N681" s="6">
        <v>0</v>
      </c>
      <c r="O681" s="4">
        <f t="shared" si="226"/>
        <v>9281.25</v>
      </c>
      <c r="P681" s="5">
        <f>SUMIFS('Desenvolvimento diário'!$H:$H,'Desenvolvimento diário'!$Q:$Q,$B681,'Desenvolvimento diário'!$P:$P,$F681,'Desenvolvimento diário'!$R:$R,"Sim")</f>
        <v>0</v>
      </c>
      <c r="Q681" s="5">
        <f>SUMIFS('Desenvolvimento diário'!$H:$H,'Desenvolvimento diário'!$Q:$Q,$B681,'Desenvolvimento diário'!$P:$P,$F681,'Desenvolvimento diário'!$R:$R,"Não")</f>
        <v>9281.25</v>
      </c>
      <c r="R681" s="4">
        <f t="shared" si="227"/>
        <v>9281.25</v>
      </c>
      <c r="S681" s="4">
        <f t="shared" si="228"/>
        <v>0</v>
      </c>
      <c r="T681" s="12">
        <f t="shared" si="206"/>
        <v>1</v>
      </c>
      <c r="Y681" s="2"/>
      <c r="Z681" s="2"/>
      <c r="AA681" s="2"/>
      <c r="AB681" s="2"/>
      <c r="AC681" s="2"/>
    </row>
    <row r="682" spans="1:29" ht="10.5" hidden="1">
      <c r="A682" s="2">
        <f t="shared" si="229"/>
        <v>20</v>
      </c>
      <c r="B682" s="2" t="str">
        <f>VLOOKUP($A682,Controle!$B$4:$F$68,2,FALSE)</f>
        <v>Indaiabira 2</v>
      </c>
      <c r="C682" s="2" t="str">
        <f>VLOOKUP($A682,Controle!$B$4:$F$68,3,FALSE)</f>
        <v xml:space="preserve">ESTRELA DO NORTE </v>
      </c>
      <c r="D682" s="2" t="str">
        <f>VLOOKUP($A682,Controle!$B$4:$F$68,4,FALSE)</f>
        <v>EDN</v>
      </c>
      <c r="E682" s="2" t="str">
        <f>VLOOKUP($A682,Controle!$B$4:$F$68,5,FALSE)</f>
        <v>Weg</v>
      </c>
      <c r="F682" s="3" t="str">
        <f t="shared" si="225"/>
        <v>Sistemas de Monitoramento - Supervisório</v>
      </c>
      <c r="G682" s="2" t="str">
        <f>VLOOKUP($A682,Controle!$B$4:$G$68,6,FALSE)</f>
        <v>Apolo</v>
      </c>
      <c r="H682" s="6" t="s">
        <v>150</v>
      </c>
      <c r="I682" s="6">
        <v>136154.95000000001</v>
      </c>
      <c r="J682" s="6"/>
      <c r="K682" s="6">
        <v>0</v>
      </c>
      <c r="L682" s="6">
        <v>0</v>
      </c>
      <c r="M682" s="6">
        <v>0</v>
      </c>
      <c r="N682" s="6">
        <v>0</v>
      </c>
      <c r="O682" s="4">
        <f t="shared" si="226"/>
        <v>136154.95000000001</v>
      </c>
      <c r="P682" s="5">
        <f>SUMIFS('Desenvolvimento diário'!$H:$H,'Desenvolvimento diário'!$Q:$Q,$B682,'Desenvolvimento diário'!$P:$P,$F682,'Desenvolvimento diário'!$R:$R,"Sim")</f>
        <v>0</v>
      </c>
      <c r="Q682" s="5">
        <f>SUMIFS('Desenvolvimento diário'!$H:$H,'Desenvolvimento diário'!$Q:$Q,$B682,'Desenvolvimento diário'!$P:$P,$F682,'Desenvolvimento diário'!$R:$R,"Não")</f>
        <v>136154.95000000001</v>
      </c>
      <c r="R682" s="4">
        <f t="shared" si="227"/>
        <v>136154.95000000001</v>
      </c>
      <c r="S682" s="4">
        <f t="shared" si="228"/>
        <v>0</v>
      </c>
      <c r="T682" s="12">
        <f t="shared" ref="T682:T749" si="230">IFERROR(R682/O682,0)</f>
        <v>1</v>
      </c>
      <c r="Y682" s="2"/>
      <c r="Z682" s="2"/>
      <c r="AA682" s="2"/>
      <c r="AB682" s="2"/>
      <c r="AC682" s="2"/>
    </row>
    <row r="683" spans="1:29" ht="10.5" hidden="1">
      <c r="A683" s="2">
        <f t="shared" si="229"/>
        <v>20</v>
      </c>
      <c r="B683" s="2" t="str">
        <f>VLOOKUP($A683,Controle!$B$4:$F$68,2,FALSE)</f>
        <v>Indaiabira 2</v>
      </c>
      <c r="C683" s="2" t="str">
        <f>VLOOKUP($A683,Controle!$B$4:$F$68,3,FALSE)</f>
        <v xml:space="preserve">ESTRELA DO NORTE </v>
      </c>
      <c r="D683" s="2" t="str">
        <f>VLOOKUP($A683,Controle!$B$4:$F$68,4,FALSE)</f>
        <v>EDN</v>
      </c>
      <c r="E683" s="2" t="str">
        <f>VLOOKUP($A683,Controle!$B$4:$F$68,5,FALSE)</f>
        <v>Weg</v>
      </c>
      <c r="F683" s="3" t="str">
        <f t="shared" si="225"/>
        <v>Sistemas de Monitoramento - Estações Solarimétricas</v>
      </c>
      <c r="G683" s="2" t="str">
        <f>VLOOKUP($A683,Controle!$B$4:$G$68,6,FALSE)</f>
        <v>Apolo</v>
      </c>
      <c r="H683" s="6">
        <v>0</v>
      </c>
      <c r="I683" s="6">
        <v>0</v>
      </c>
      <c r="J683" s="6">
        <v>0</v>
      </c>
      <c r="K683" s="6">
        <v>0</v>
      </c>
      <c r="L683" s="6">
        <v>0</v>
      </c>
      <c r="M683" s="6">
        <v>0</v>
      </c>
      <c r="N683" s="6">
        <v>0</v>
      </c>
      <c r="O683" s="4">
        <f t="shared" si="226"/>
        <v>0</v>
      </c>
      <c r="P683" s="5">
        <f>SUMIFS('Desenvolvimento diário'!$H:$H,'Desenvolvimento diário'!$Q:$Q,$B683,'Desenvolvimento diário'!$P:$P,$F683,'Desenvolvimento diário'!$R:$R,"Sim")</f>
        <v>0</v>
      </c>
      <c r="Q683" s="5">
        <f>SUMIFS('Desenvolvimento diário'!$H:$H,'Desenvolvimento diário'!$Q:$Q,$B683,'Desenvolvimento diário'!$P:$P,$F683,'Desenvolvimento diário'!$R:$R,"Não")</f>
        <v>0</v>
      </c>
      <c r="R683" s="4">
        <f t="shared" si="227"/>
        <v>0</v>
      </c>
      <c r="S683" s="4">
        <f t="shared" si="228"/>
        <v>0</v>
      </c>
      <c r="T683" s="12">
        <f t="shared" si="230"/>
        <v>0</v>
      </c>
      <c r="Y683" s="2"/>
      <c r="Z683" s="2"/>
      <c r="AA683" s="2"/>
      <c r="AB683" s="2"/>
      <c r="AC683" s="2"/>
    </row>
    <row r="684" spans="1:29" hidden="1">
      <c r="A684" s="2">
        <f t="shared" si="229"/>
        <v>20</v>
      </c>
      <c r="B684" s="2" t="str">
        <f>VLOOKUP($A684,Controle!$B$4:$F$68,2,FALSE)</f>
        <v>Indaiabira 2</v>
      </c>
      <c r="C684" s="2" t="str">
        <f>VLOOKUP($A684,Controle!$B$4:$F$68,3,FALSE)</f>
        <v xml:space="preserve">ESTRELA DO NORTE </v>
      </c>
      <c r="D684" s="2" t="str">
        <f>VLOOKUP($A684,Controle!$B$4:$F$68,4,FALSE)</f>
        <v>EDN</v>
      </c>
      <c r="E684" s="2" t="str">
        <f>VLOOKUP($A684,Controle!$B$4:$F$68,5,FALSE)</f>
        <v>Weg</v>
      </c>
      <c r="F684" s="3" t="str">
        <f t="shared" si="225"/>
        <v>Sistemas de Monitoramento - CFTV</v>
      </c>
      <c r="G684" s="2" t="str">
        <f>VLOOKUP($A684,Controle!$B$4:$G$68,6,FALSE)</f>
        <v>Apolo</v>
      </c>
      <c r="H684" s="31" t="s">
        <v>152</v>
      </c>
      <c r="I684" s="6">
        <f>248414.57+(0.003)</f>
        <v>248414.573</v>
      </c>
      <c r="J684" s="6">
        <v>0</v>
      </c>
      <c r="K684" s="28">
        <v>7929.29</v>
      </c>
      <c r="L684" s="6">
        <v>0</v>
      </c>
      <c r="M684" s="6">
        <v>0</v>
      </c>
      <c r="N684" s="6">
        <v>0</v>
      </c>
      <c r="O684" s="4">
        <f t="shared" si="226"/>
        <v>256343.86300000001</v>
      </c>
      <c r="P684" s="5">
        <f>SUMIFS('Desenvolvimento diário'!$H:$H,'Desenvolvimento diário'!$Q:$Q,$B684,'Desenvolvimento diário'!$P:$P,$F684,'Desenvolvimento diário'!$R:$R,"Sim")</f>
        <v>0</v>
      </c>
      <c r="Q684" s="5">
        <f>SUMIFS('Desenvolvimento diário'!$H:$H,'Desenvolvimento diário'!$Q:$Q,$B684,'Desenvolvimento diário'!$P:$P,$F684,'Desenvolvimento diário'!$R:$R,"Não")</f>
        <v>256343.86299999998</v>
      </c>
      <c r="R684" s="4">
        <f t="shared" si="227"/>
        <v>256343.86299999998</v>
      </c>
      <c r="S684" s="137">
        <f t="shared" si="228"/>
        <v>0</v>
      </c>
      <c r="T684" s="12">
        <f t="shared" si="230"/>
        <v>0.99999999999999989</v>
      </c>
      <c r="Y684" s="2"/>
      <c r="Z684" s="2"/>
      <c r="AA684" s="2"/>
      <c r="AB684" s="2"/>
      <c r="AC684" s="2"/>
    </row>
    <row r="685" spans="1:29" ht="10.5" hidden="1">
      <c r="A685" s="2">
        <f t="shared" si="229"/>
        <v>20</v>
      </c>
      <c r="B685" s="2" t="str">
        <f>VLOOKUP($A685,Controle!$B$4:$F$68,2,FALSE)</f>
        <v>Indaiabira 2</v>
      </c>
      <c r="C685" s="2" t="str">
        <f>VLOOKUP($A685,Controle!$B$4:$F$68,3,FALSE)</f>
        <v xml:space="preserve">ESTRELA DO NORTE </v>
      </c>
      <c r="D685" s="2" t="str">
        <f>VLOOKUP($A685,Controle!$B$4:$F$68,4,FALSE)</f>
        <v>EDN</v>
      </c>
      <c r="E685" s="2" t="str">
        <f>VLOOKUP($A685,Controle!$B$4:$F$68,5,FALSE)</f>
        <v>Weg</v>
      </c>
      <c r="F685" s="3" t="str">
        <f t="shared" si="225"/>
        <v>Serviços Auxiliares - Drenagem</v>
      </c>
      <c r="G685" s="2" t="str">
        <f>VLOOKUP($A685,Controle!$B$4:$G$68,6,FALSE)</f>
        <v>Apolo</v>
      </c>
      <c r="H685" s="6" t="s">
        <v>183</v>
      </c>
      <c r="I685" s="6">
        <v>542000</v>
      </c>
      <c r="J685" s="6">
        <f>565364-I685</f>
        <v>23364</v>
      </c>
      <c r="K685" s="6">
        <v>0</v>
      </c>
      <c r="L685" s="6">
        <v>0</v>
      </c>
      <c r="M685" s="6">
        <v>0</v>
      </c>
      <c r="N685" s="6">
        <v>0</v>
      </c>
      <c r="O685" s="4">
        <f t="shared" si="226"/>
        <v>565364</v>
      </c>
      <c r="P685" s="5">
        <f>SUMIFS('Desenvolvimento diário'!$H:$H,'Desenvolvimento diário'!$Q:$Q,$B685,'Desenvolvimento diário'!$P:$P,$F685,'Desenvolvimento diário'!$R:$R,"Sim")</f>
        <v>0</v>
      </c>
      <c r="Q685" s="5">
        <f>SUMIFS('Desenvolvimento diário'!$H:$H,'Desenvolvimento diário'!$Q:$Q,$B685,'Desenvolvimento diário'!$P:$P,$F685,'Desenvolvimento diário'!$R:$R,"Não")</f>
        <v>565364</v>
      </c>
      <c r="R685" s="4">
        <f t="shared" si="227"/>
        <v>565364</v>
      </c>
      <c r="S685" s="27">
        <f t="shared" si="228"/>
        <v>0</v>
      </c>
      <c r="T685" s="12">
        <f t="shared" si="230"/>
        <v>1</v>
      </c>
      <c r="Y685" s="2"/>
      <c r="Z685" s="2"/>
      <c r="AA685" s="2"/>
      <c r="AB685" s="2"/>
      <c r="AC685" s="2"/>
    </row>
    <row r="686" spans="1:29" ht="10.5" hidden="1">
      <c r="A686" s="2">
        <f t="shared" si="229"/>
        <v>20</v>
      </c>
      <c r="B686" s="2" t="str">
        <f>VLOOKUP($A686,Controle!$B$4:$F$68,2,FALSE)</f>
        <v>Indaiabira 2</v>
      </c>
      <c r="C686" s="2" t="str">
        <f>VLOOKUP($A686,Controle!$B$4:$F$68,3,FALSE)</f>
        <v xml:space="preserve">ESTRELA DO NORTE </v>
      </c>
      <c r="D686" s="2" t="str">
        <f>VLOOKUP($A686,Controle!$B$4:$F$68,4,FALSE)</f>
        <v>EDN</v>
      </c>
      <c r="E686" s="2" t="str">
        <f>VLOOKUP($A686,Controle!$B$4:$F$68,5,FALSE)</f>
        <v>Weg</v>
      </c>
      <c r="F686" s="3" t="str">
        <f t="shared" si="225"/>
        <v>Serviços Auxiliares - Terraplanagem</v>
      </c>
      <c r="G686" s="2" t="str">
        <f>VLOOKUP($A686,Controle!$B$4:$G$68,6,FALSE)</f>
        <v>Apolo</v>
      </c>
      <c r="H686" s="6" t="s">
        <v>154</v>
      </c>
      <c r="I686" s="6">
        <v>723144.94</v>
      </c>
      <c r="J686" s="6">
        <v>58622.44</v>
      </c>
      <c r="K686" s="6">
        <v>0</v>
      </c>
      <c r="L686" s="6">
        <v>0</v>
      </c>
      <c r="M686" s="6">
        <v>0</v>
      </c>
      <c r="N686" s="6">
        <v>0</v>
      </c>
      <c r="O686" s="4">
        <f t="shared" si="226"/>
        <v>781767.37999999989</v>
      </c>
      <c r="P686" s="5">
        <f>SUMIFS('Desenvolvimento diário'!$H:$H,'Desenvolvimento diário'!$Q:$Q,$B686,'Desenvolvimento diário'!$P:$P,$F686,'Desenvolvimento diário'!$R:$R,"Sim")</f>
        <v>0</v>
      </c>
      <c r="Q686" s="5">
        <f>SUMIFS('Desenvolvimento diário'!$H:$H,'Desenvolvimento diário'!$Q:$Q,$B686,'Desenvolvimento diário'!$P:$P,$F686,'Desenvolvimento diário'!$R:$R,"Não")</f>
        <v>781767.38</v>
      </c>
      <c r="R686" s="4">
        <f t="shared" si="227"/>
        <v>781767.38</v>
      </c>
      <c r="S686" s="4">
        <f t="shared" si="228"/>
        <v>0</v>
      </c>
      <c r="T686" s="12">
        <f t="shared" si="230"/>
        <v>1.0000000000000002</v>
      </c>
      <c r="Y686" s="2"/>
      <c r="Z686" s="2"/>
      <c r="AA686" s="2"/>
      <c r="AB686" s="2"/>
      <c r="AC686" s="2"/>
    </row>
    <row r="687" spans="1:29" ht="10.5" hidden="1">
      <c r="A687" s="2">
        <f t="shared" si="229"/>
        <v>20</v>
      </c>
      <c r="B687" s="2" t="str">
        <f>VLOOKUP($A687,Controle!$B$4:$F$68,2,FALSE)</f>
        <v>Indaiabira 2</v>
      </c>
      <c r="C687" s="2" t="str">
        <f>VLOOKUP($A687,Controle!$B$4:$F$68,3,FALSE)</f>
        <v xml:space="preserve">ESTRELA DO NORTE </v>
      </c>
      <c r="D687" s="2" t="str">
        <f>VLOOKUP($A687,Controle!$B$4:$F$68,4,FALSE)</f>
        <v>EDN</v>
      </c>
      <c r="E687" s="2" t="str">
        <f>VLOOKUP($A687,Controle!$B$4:$F$68,5,FALSE)</f>
        <v>Weg</v>
      </c>
      <c r="F687" s="3" t="str">
        <f t="shared" si="225"/>
        <v>Serviços Auxiliares - Supressão Vegetal</v>
      </c>
      <c r="G687" s="2" t="str">
        <f>VLOOKUP($A687,Controle!$B$4:$G$68,6,FALSE)</f>
        <v>Apolo</v>
      </c>
      <c r="H687" s="6">
        <v>0</v>
      </c>
      <c r="I687" s="6">
        <v>0</v>
      </c>
      <c r="J687" s="6">
        <v>0</v>
      </c>
      <c r="K687" s="6">
        <v>0</v>
      </c>
      <c r="L687" s="6">
        <v>0</v>
      </c>
      <c r="M687" s="6">
        <v>0</v>
      </c>
      <c r="N687" s="6">
        <v>0</v>
      </c>
      <c r="O687" s="4">
        <f t="shared" si="226"/>
        <v>0</v>
      </c>
      <c r="P687" s="5">
        <f>SUMIFS('Desenvolvimento diário'!$H:$H,'Desenvolvimento diário'!$Q:$Q,$B687,'Desenvolvimento diário'!$P:$P,$F687,'Desenvolvimento diário'!$R:$R,"Sim")</f>
        <v>0</v>
      </c>
      <c r="Q687" s="5">
        <f>SUMIFS('Desenvolvimento diário'!$H:$H,'Desenvolvimento diário'!$Q:$Q,$B687,'Desenvolvimento diário'!$P:$P,$F687,'Desenvolvimento diário'!$R:$R,"Não")</f>
        <v>0</v>
      </c>
      <c r="R687" s="4">
        <f t="shared" si="227"/>
        <v>0</v>
      </c>
      <c r="S687" s="4">
        <f t="shared" si="228"/>
        <v>0</v>
      </c>
      <c r="T687" s="12">
        <f t="shared" si="230"/>
        <v>0</v>
      </c>
      <c r="Y687" s="2"/>
      <c r="Z687" s="2"/>
      <c r="AA687" s="2"/>
      <c r="AB687" s="2"/>
      <c r="AC687" s="2"/>
    </row>
    <row r="688" spans="1:29" ht="10.5" hidden="1">
      <c r="A688" s="2">
        <f t="shared" si="229"/>
        <v>20</v>
      </c>
      <c r="B688" s="2" t="str">
        <f>VLOOKUP($A688,Controle!$B$4:$F$68,2,FALSE)</f>
        <v>Indaiabira 2</v>
      </c>
      <c r="C688" s="2" t="str">
        <f>VLOOKUP($A688,Controle!$B$4:$F$68,3,FALSE)</f>
        <v xml:space="preserve">ESTRELA DO NORTE </v>
      </c>
      <c r="D688" s="2" t="str">
        <f>VLOOKUP($A688,Controle!$B$4:$F$68,4,FALSE)</f>
        <v>EDN</v>
      </c>
      <c r="E688" s="2" t="str">
        <f>VLOOKUP($A688,Controle!$B$4:$F$68,5,FALSE)</f>
        <v>Weg</v>
      </c>
      <c r="F688" s="3" t="str">
        <f t="shared" si="225"/>
        <v>RDR-Rede de Distribuição Rural</v>
      </c>
      <c r="G688" s="2" t="str">
        <f>VLOOKUP($A688,Controle!$B$4:$G$68,6,FALSE)</f>
        <v>Apolo</v>
      </c>
      <c r="H688" s="6">
        <v>0</v>
      </c>
      <c r="I688" s="6">
        <v>0</v>
      </c>
      <c r="J688" s="6">
        <v>0</v>
      </c>
      <c r="K688" s="6">
        <v>0</v>
      </c>
      <c r="L688" s="6">
        <v>0</v>
      </c>
      <c r="M688" s="6">
        <v>0</v>
      </c>
      <c r="N688" s="6">
        <v>0</v>
      </c>
      <c r="O688" s="4">
        <f t="shared" si="226"/>
        <v>0</v>
      </c>
      <c r="P688" s="5">
        <f>SUMIFS('Desenvolvimento diário'!$H:$H,'Desenvolvimento diário'!$Q:$Q,$B688,'Desenvolvimento diário'!$P:$P,$F688,'Desenvolvimento diário'!$R:$R,"Sim")</f>
        <v>0</v>
      </c>
      <c r="Q688" s="5">
        <f>SUMIFS('Desenvolvimento diário'!$H:$H,'Desenvolvimento diário'!$Q:$Q,$B688,'Desenvolvimento diário'!$P:$P,$F688,'Desenvolvimento diário'!$R:$R,"Não")</f>
        <v>0</v>
      </c>
      <c r="R688" s="4">
        <f t="shared" si="227"/>
        <v>0</v>
      </c>
      <c r="S688" s="4">
        <f t="shared" si="228"/>
        <v>0</v>
      </c>
      <c r="T688" s="12">
        <f t="shared" si="230"/>
        <v>0</v>
      </c>
      <c r="Y688" s="2"/>
      <c r="Z688" s="2"/>
      <c r="AA688" s="2"/>
      <c r="AB688" s="2"/>
      <c r="AC688" s="2"/>
    </row>
    <row r="689" spans="1:29" ht="10.5" hidden="1">
      <c r="A689" s="2">
        <f t="shared" si="229"/>
        <v>20</v>
      </c>
      <c r="B689" s="2" t="str">
        <f>VLOOKUP($A689,Controle!$B$4:$F$68,2,FALSE)</f>
        <v>Indaiabira 2</v>
      </c>
      <c r="C689" s="2" t="str">
        <f>VLOOKUP($A689,Controle!$B$4:$F$68,3,FALSE)</f>
        <v xml:space="preserve">ESTRELA DO NORTE </v>
      </c>
      <c r="D689" s="2" t="str">
        <f>VLOOKUP($A689,Controle!$B$4:$F$68,4,FALSE)</f>
        <v>EDN</v>
      </c>
      <c r="E689" s="2" t="str">
        <f>VLOOKUP($A689,Controle!$B$4:$F$68,5,FALSE)</f>
        <v>Weg</v>
      </c>
      <c r="F689" s="3" t="str">
        <f t="shared" si="225"/>
        <v>Escopo COMERC</v>
      </c>
      <c r="G689" s="2" t="str">
        <f>VLOOKUP($A689,Controle!$B$4:$G$68,6,FALSE)</f>
        <v>Apolo</v>
      </c>
      <c r="H689" s="6">
        <v>0</v>
      </c>
      <c r="I689" s="6">
        <v>144382.10999999999</v>
      </c>
      <c r="J689" s="29">
        <v>13000</v>
      </c>
      <c r="K689" s="29"/>
      <c r="L689" s="6">
        <v>0</v>
      </c>
      <c r="M689" s="6">
        <v>0</v>
      </c>
      <c r="N689" s="6">
        <v>0</v>
      </c>
      <c r="O689" s="4">
        <f t="shared" si="226"/>
        <v>157382.10999999999</v>
      </c>
      <c r="P689" s="5">
        <f>SUMIFS('Desenvolvimento diário'!$H:$H,'Desenvolvimento diário'!$Q:$Q,$B689,'Desenvolvimento diário'!$P:$P,$F689,'Desenvolvimento diário'!$R:$R,"Sim")</f>
        <v>0</v>
      </c>
      <c r="Q689" s="5">
        <f>SUMIFS('Desenvolvimento diário'!$H:$H,'Desenvolvimento diário'!$Q:$Q,$B689,'Desenvolvimento diário'!$P:$P,$F689,'Desenvolvimento diário'!$R:$R,"Não")</f>
        <v>144382.10999999999</v>
      </c>
      <c r="R689" s="4">
        <f t="shared" si="227"/>
        <v>144382.10999999999</v>
      </c>
      <c r="S689" s="1010">
        <f t="shared" si="228"/>
        <v>13000</v>
      </c>
      <c r="T689" s="12">
        <f t="shared" si="230"/>
        <v>0.91739848957419623</v>
      </c>
      <c r="U689" s="1011" t="s">
        <v>166</v>
      </c>
      <c r="V689" s="1011" t="s">
        <v>167</v>
      </c>
      <c r="Y689" s="2"/>
      <c r="Z689" s="2"/>
      <c r="AA689" s="2"/>
      <c r="AB689" s="2"/>
      <c r="AC689" s="2"/>
    </row>
    <row r="690" spans="1:29" ht="10.5" hidden="1">
      <c r="A690" s="2">
        <f t="shared" si="229"/>
        <v>20</v>
      </c>
      <c r="B690" s="2" t="str">
        <f>VLOOKUP($A690,Controle!$B$4:$F$68,2,FALSE)</f>
        <v>Indaiabira 2</v>
      </c>
      <c r="C690" s="2" t="str">
        <f>VLOOKUP($A690,Controle!$B$4:$F$68,3,FALSE)</f>
        <v xml:space="preserve">ESTRELA DO NORTE </v>
      </c>
      <c r="D690" s="2" t="str">
        <f>VLOOKUP($A690,Controle!$B$4:$F$68,4,FALSE)</f>
        <v>EDN</v>
      </c>
      <c r="E690" s="2" t="str">
        <f>VLOOKUP($A690,Controle!$B$4:$F$68,5,FALSE)</f>
        <v>Weg</v>
      </c>
      <c r="F690" s="3" t="str">
        <f t="shared" si="225"/>
        <v>Escopo COMERC - Segurança</v>
      </c>
      <c r="G690" s="2" t="str">
        <f>VLOOKUP($A690,Controle!$B$4:$G$68,6,FALSE)</f>
        <v>Apolo</v>
      </c>
      <c r="H690" s="6">
        <v>0</v>
      </c>
      <c r="I690" s="6">
        <f t="shared" ref="I689:I690" si="231">R690</f>
        <v>29924.9</v>
      </c>
      <c r="J690" s="6">
        <v>0</v>
      </c>
      <c r="K690" s="6">
        <v>0</v>
      </c>
      <c r="L690" s="6">
        <v>0</v>
      </c>
      <c r="M690" s="6">
        <v>0</v>
      </c>
      <c r="N690" s="6">
        <v>0</v>
      </c>
      <c r="O690" s="4">
        <f t="shared" si="226"/>
        <v>29924.9</v>
      </c>
      <c r="P690" s="5">
        <f>SUMIFS('Desenvolvimento diário'!$H:$H,'Desenvolvimento diário'!$Q:$Q,$B690,'Desenvolvimento diário'!$P:$P,$F690,'Desenvolvimento diário'!$R:$R,"Sim")</f>
        <v>0</v>
      </c>
      <c r="Q690" s="5">
        <f>SUMIFS('Desenvolvimento diário'!$H:$H,'Desenvolvimento diário'!$Q:$Q,$B690,'Desenvolvimento diário'!$P:$P,$F690,'Desenvolvimento diário'!$R:$R,"Não")</f>
        <v>29924.9</v>
      </c>
      <c r="R690" s="4">
        <f t="shared" si="227"/>
        <v>29924.9</v>
      </c>
      <c r="S690" s="4">
        <f t="shared" si="228"/>
        <v>0</v>
      </c>
      <c r="T690" s="12">
        <f t="shared" si="230"/>
        <v>1</v>
      </c>
      <c r="Y690" s="2"/>
      <c r="Z690" s="2"/>
      <c r="AA690" s="2"/>
      <c r="AB690" s="2"/>
      <c r="AC690" s="2"/>
    </row>
    <row r="691" spans="1:29" ht="10.5" hidden="1">
      <c r="A691" s="2">
        <f t="shared" si="229"/>
        <v>20</v>
      </c>
      <c r="B691" s="2" t="str">
        <f>VLOOKUP($A691,Controle!$B$4:$F$68,2,FALSE)</f>
        <v>Indaiabira 2</v>
      </c>
      <c r="C691" s="2" t="str">
        <f>VLOOKUP($A691,Controle!$B$4:$F$68,3,FALSE)</f>
        <v xml:space="preserve">ESTRELA DO NORTE </v>
      </c>
      <c r="D691" s="2" t="str">
        <f>VLOOKUP($A691,Controle!$B$4:$F$68,4,FALSE)</f>
        <v>EDN</v>
      </c>
      <c r="E691" s="2" t="str">
        <f>VLOOKUP($A691,Controle!$B$4:$F$68,5,FALSE)</f>
        <v>Weg</v>
      </c>
      <c r="F691" s="3" t="str">
        <f t="shared" si="225"/>
        <v>Conexão MT - Obras Transferencia</v>
      </c>
      <c r="G691" s="2" t="str">
        <f>VLOOKUP($A691,Controle!$B$4:$G$68,6,FALSE)</f>
        <v>Apolo</v>
      </c>
      <c r="H691" s="6">
        <v>0</v>
      </c>
      <c r="I691" s="6">
        <v>0</v>
      </c>
      <c r="J691" s="6">
        <v>0</v>
      </c>
      <c r="K691" s="6">
        <v>0</v>
      </c>
      <c r="L691" s="6">
        <v>0</v>
      </c>
      <c r="M691" s="6">
        <v>0</v>
      </c>
      <c r="N691" s="6">
        <v>0</v>
      </c>
      <c r="O691" s="4">
        <f t="shared" si="226"/>
        <v>0</v>
      </c>
      <c r="P691" s="5">
        <f>SUMIFS('Desenvolvimento diário'!$H:$H,'Desenvolvimento diário'!$Q:$Q,$B691,'Desenvolvimento diário'!$P:$P,$F691,'Desenvolvimento diário'!$R:$R,"Sim")</f>
        <v>0</v>
      </c>
      <c r="Q691" s="5">
        <f>SUMIFS('Desenvolvimento diário'!$H:$H,'Desenvolvimento diário'!$Q:$Q,$B691,'Desenvolvimento diário'!$P:$P,$F691,'Desenvolvimento diário'!$R:$R,"Não")</f>
        <v>0</v>
      </c>
      <c r="R691" s="4">
        <f t="shared" si="227"/>
        <v>0</v>
      </c>
      <c r="S691" s="4">
        <f t="shared" si="228"/>
        <v>0</v>
      </c>
      <c r="T691" s="12">
        <f t="shared" si="230"/>
        <v>0</v>
      </c>
      <c r="Y691" s="2"/>
      <c r="Z691" s="2"/>
      <c r="AA691" s="2"/>
      <c r="AB691" s="2"/>
      <c r="AC691" s="2"/>
    </row>
    <row r="692" spans="1:29" ht="10.5" hidden="1">
      <c r="A692" s="2">
        <f t="shared" si="229"/>
        <v>20</v>
      </c>
      <c r="B692" s="2" t="str">
        <f>VLOOKUP($A692,Controle!$B$4:$F$68,2,FALSE)</f>
        <v>Indaiabira 2</v>
      </c>
      <c r="C692" s="2" t="str">
        <f>VLOOKUP($A692,Controle!$B$4:$F$68,3,FALSE)</f>
        <v xml:space="preserve">ESTRELA DO NORTE </v>
      </c>
      <c r="D692" s="2" t="str">
        <f>VLOOKUP($A692,Controle!$B$4:$F$68,4,FALSE)</f>
        <v>EDN</v>
      </c>
      <c r="E692" s="2" t="str">
        <f>VLOOKUP($A692,Controle!$B$4:$F$68,5,FALSE)</f>
        <v>Weg</v>
      </c>
      <c r="F692" s="3" t="str">
        <f t="shared" si="225"/>
        <v>Bases de Contaniers</v>
      </c>
      <c r="G692" s="2" t="str">
        <f>VLOOKUP($A692,Controle!$B$4:$G$68,6,FALSE)</f>
        <v>Apolo</v>
      </c>
      <c r="H692" s="6" t="s">
        <v>177</v>
      </c>
      <c r="I692" s="6">
        <v>99192.67</v>
      </c>
      <c r="J692" s="6">
        <v>0</v>
      </c>
      <c r="K692" s="6">
        <v>0</v>
      </c>
      <c r="L692" s="6">
        <v>0</v>
      </c>
      <c r="M692" s="6">
        <v>0</v>
      </c>
      <c r="N692" s="6">
        <v>0</v>
      </c>
      <c r="O692" s="4">
        <f>SUM(I692:N692)+0.11</f>
        <v>99192.78</v>
      </c>
      <c r="P692" s="5">
        <f>SUMIFS('Desenvolvimento diário'!$H:$H,'Desenvolvimento diário'!$Q:$Q,$B692,'Desenvolvimento diário'!$P:$P,$F692,'Desenvolvimento diário'!$R:$R,"Sim")</f>
        <v>0</v>
      </c>
      <c r="Q692" s="5">
        <f>SUMIFS('Desenvolvimento diário'!$H:$H,'Desenvolvimento diário'!$Q:$Q,$B692,'Desenvolvimento diário'!$P:$P,$F692,'Desenvolvimento diário'!$R:$R,"Não")</f>
        <v>99192.78</v>
      </c>
      <c r="R692" s="4">
        <f t="shared" si="227"/>
        <v>99192.78</v>
      </c>
      <c r="S692" s="93">
        <f>O692-R692</f>
        <v>0</v>
      </c>
      <c r="T692" s="12">
        <f t="shared" si="230"/>
        <v>1</v>
      </c>
      <c r="Y692" s="2"/>
      <c r="Z692" s="2"/>
      <c r="AA692" s="2"/>
      <c r="AB692" s="2"/>
      <c r="AC692" s="2"/>
    </row>
    <row r="693" spans="1:29" ht="10.5" hidden="1">
      <c r="A693" s="2">
        <f t="shared" si="229"/>
        <v>20</v>
      </c>
      <c r="B693" s="2" t="str">
        <f>VLOOKUP($A693,Controle!$B$4:$F$68,2,FALSE)</f>
        <v>Indaiabira 2</v>
      </c>
      <c r="C693" s="2" t="str">
        <f>VLOOKUP($A693,Controle!$B$4:$F$68,3,FALSE)</f>
        <v xml:space="preserve">ESTRELA DO NORTE </v>
      </c>
      <c r="D693" s="2" t="str">
        <f>VLOOKUP($A693,Controle!$B$4:$F$68,4,FALSE)</f>
        <v>EDN</v>
      </c>
      <c r="E693" s="2" t="str">
        <f>VLOOKUP($A693,Controle!$B$4:$F$68,5,FALSE)</f>
        <v>Weg</v>
      </c>
      <c r="F693" s="3" t="str">
        <f t="shared" si="225"/>
        <v>Construção - Serviços de Construção - Ase Engenharia</v>
      </c>
      <c r="G693" s="2" t="str">
        <f>VLOOKUP($A693,Controle!$B$4:$G$68,6,FALSE)</f>
        <v>Apolo</v>
      </c>
      <c r="H693" s="6">
        <v>0</v>
      </c>
      <c r="I693" s="6">
        <v>0</v>
      </c>
      <c r="J693" s="6">
        <v>0</v>
      </c>
      <c r="K693" s="6">
        <v>0</v>
      </c>
      <c r="L693" s="6">
        <v>0</v>
      </c>
      <c r="M693" s="6">
        <v>0</v>
      </c>
      <c r="N693" s="6">
        <v>0</v>
      </c>
      <c r="O693" s="4">
        <f t="shared" si="226"/>
        <v>0</v>
      </c>
      <c r="P693" s="5">
        <f>SUMIFS('Desenvolvimento diário'!$H:$H,'Desenvolvimento diário'!$Q:$Q,$B693,'Desenvolvimento diário'!$P:$P,$F693,'Desenvolvimento diário'!$R:$R,"Sim")</f>
        <v>0</v>
      </c>
      <c r="Q693" s="5">
        <f>SUMIFS('Desenvolvimento diário'!$H:$H,'Desenvolvimento diário'!$Q:$Q,$B693,'Desenvolvimento diário'!$P:$P,$F693,'Desenvolvimento diário'!$R:$R,"Não")</f>
        <v>0</v>
      </c>
      <c r="R693" s="4">
        <f t="shared" si="227"/>
        <v>0</v>
      </c>
      <c r="S693" s="4">
        <f t="shared" si="228"/>
        <v>0</v>
      </c>
      <c r="T693" s="12">
        <f t="shared" si="230"/>
        <v>0</v>
      </c>
      <c r="Y693" s="2"/>
      <c r="Z693" s="2"/>
      <c r="AA693" s="2"/>
      <c r="AB693" s="2"/>
      <c r="AC693" s="2"/>
    </row>
    <row r="694" spans="1:29" ht="10.5" hidden="1">
      <c r="A694" s="2">
        <f t="shared" si="229"/>
        <v>20</v>
      </c>
      <c r="B694" s="2" t="str">
        <f>VLOOKUP($A694,Controle!$B$4:$F$68,2,FALSE)</f>
        <v>Indaiabira 2</v>
      </c>
      <c r="C694" s="2" t="str">
        <f>VLOOKUP($A694,Controle!$B$4:$F$68,3,FALSE)</f>
        <v xml:space="preserve">ESTRELA DO NORTE </v>
      </c>
      <c r="D694" s="2" t="str">
        <f>VLOOKUP($A694,Controle!$B$4:$F$68,4,FALSE)</f>
        <v>EDN</v>
      </c>
      <c r="E694" s="2" t="str">
        <f>VLOOKUP($A694,Controle!$B$4:$F$68,5,FALSE)</f>
        <v>Weg</v>
      </c>
      <c r="F694" s="3" t="str">
        <f t="shared" si="225"/>
        <v>Full EPC - Contrato Sobressalentes</v>
      </c>
      <c r="G694" s="2" t="str">
        <f>VLOOKUP($A694,Controle!$B$4:$G$68,6,FALSE)</f>
        <v>Apolo</v>
      </c>
      <c r="H694" s="6" t="s">
        <v>21</v>
      </c>
      <c r="I694" s="6">
        <v>613131.15</v>
      </c>
      <c r="J694" s="6">
        <v>0</v>
      </c>
      <c r="K694" s="6">
        <v>0</v>
      </c>
      <c r="L694" s="6">
        <v>0</v>
      </c>
      <c r="M694" s="6">
        <v>0</v>
      </c>
      <c r="N694" s="6">
        <v>0</v>
      </c>
      <c r="O694" s="4">
        <f t="shared" si="226"/>
        <v>613131.15</v>
      </c>
      <c r="P694" s="5">
        <f>SUMIFS('Desenvolvimento diário'!$H:$H,'Desenvolvimento diário'!$Q:$Q,$B694,'Desenvolvimento diário'!$P:$P,$F694,'Desenvolvimento diário'!$R:$R,"Sim")</f>
        <v>0</v>
      </c>
      <c r="Q694" s="5">
        <f>SUMIFS('Desenvolvimento diário'!$H:$H,'Desenvolvimento diário'!$Q:$Q,$B694,'Desenvolvimento diário'!$P:$P,$F694,'Desenvolvimento diário'!$R:$R,"Não")</f>
        <v>613131.15</v>
      </c>
      <c r="R694" s="4">
        <f t="shared" si="227"/>
        <v>613131.15</v>
      </c>
      <c r="S694" s="4">
        <f t="shared" si="228"/>
        <v>0</v>
      </c>
      <c r="T694" s="12">
        <f t="shared" si="230"/>
        <v>1</v>
      </c>
      <c r="Y694" s="2"/>
      <c r="Z694" s="2"/>
      <c r="AA694" s="2"/>
      <c r="AB694" s="2"/>
      <c r="AC694" s="2"/>
    </row>
    <row r="695" spans="1:29" ht="10.5" hidden="1">
      <c r="A695" s="2">
        <f t="shared" si="229"/>
        <v>20</v>
      </c>
      <c r="B695" s="2" t="str">
        <f>VLOOKUP($A695,Controle!$B$4:$F$68,2,FALSE)</f>
        <v>Indaiabira 2</v>
      </c>
      <c r="C695" s="2" t="str">
        <f>VLOOKUP($A695,Controle!$B$4:$F$68,3,FALSE)</f>
        <v xml:space="preserve">ESTRELA DO NORTE </v>
      </c>
      <c r="D695" s="2" t="str">
        <f>VLOOKUP($A695,Controle!$B$4:$F$68,4,FALSE)</f>
        <v>EDN</v>
      </c>
      <c r="E695" s="2" t="str">
        <f>VLOOKUP($A695,Controle!$B$4:$F$68,5,FALSE)</f>
        <v>Weg</v>
      </c>
      <c r="F695" s="3" t="str">
        <f t="shared" si="225"/>
        <v>Construção - Serviços de Construção - NOVA MORADA</v>
      </c>
      <c r="G695" s="2" t="str">
        <f>VLOOKUP($A695,Controle!$B$4:$G$68,6,FALSE)</f>
        <v>Apolo</v>
      </c>
      <c r="H695" s="6">
        <v>0</v>
      </c>
      <c r="I695" s="6">
        <v>0</v>
      </c>
      <c r="J695" s="6">
        <v>0</v>
      </c>
      <c r="K695" s="6">
        <v>0</v>
      </c>
      <c r="L695" s="6">
        <v>0</v>
      </c>
      <c r="M695" s="6">
        <v>0</v>
      </c>
      <c r="N695" s="6">
        <v>0</v>
      </c>
      <c r="O695" s="4">
        <f t="shared" si="226"/>
        <v>0</v>
      </c>
      <c r="P695" s="5">
        <f>SUMIFS('Desenvolvimento diário'!$H:$H,'Desenvolvimento diário'!$Q:$Q,$B695,'Desenvolvimento diário'!$P:$P,$F695,'Desenvolvimento diário'!$R:$R,"Sim")</f>
        <v>0</v>
      </c>
      <c r="Q695" s="5">
        <f>SUMIFS('Desenvolvimento diário'!$H:$H,'Desenvolvimento diário'!$Q:$Q,$B695,'Desenvolvimento diário'!$P:$P,$F695,'Desenvolvimento diário'!$R:$R,"Não")</f>
        <v>0</v>
      </c>
      <c r="R695" s="4">
        <f t="shared" si="227"/>
        <v>0</v>
      </c>
      <c r="S695" s="4">
        <f t="shared" si="228"/>
        <v>0</v>
      </c>
      <c r="T695" s="12">
        <f t="shared" si="230"/>
        <v>0</v>
      </c>
      <c r="Y695" s="2"/>
      <c r="Z695" s="2"/>
      <c r="AA695" s="2"/>
      <c r="AB695" s="2"/>
      <c r="AC695" s="2"/>
    </row>
    <row r="696" spans="1:29" ht="10.5" hidden="1">
      <c r="A696" s="2">
        <f t="shared" si="229"/>
        <v>20</v>
      </c>
      <c r="B696" s="2" t="str">
        <f>VLOOKUP($A696,Controle!$B$4:$F$68,2,FALSE)</f>
        <v>Indaiabira 2</v>
      </c>
      <c r="C696" s="2" t="str">
        <f>VLOOKUP($A696,Controle!$B$4:$F$68,3,FALSE)</f>
        <v xml:space="preserve">ESTRELA DO NORTE </v>
      </c>
      <c r="D696" s="2" t="str">
        <f>VLOOKUP($A696,Controle!$B$4:$F$68,4,FALSE)</f>
        <v>EDN</v>
      </c>
      <c r="E696" s="2" t="str">
        <f>VLOOKUP($A696,Controle!$B$4:$F$68,5,FALSE)</f>
        <v>Weg</v>
      </c>
      <c r="F696" s="3" t="str">
        <f t="shared" si="225"/>
        <v>Equipamentos Curva A -  Contrato Sobressalentes - SETTA</v>
      </c>
      <c r="G696" s="2" t="str">
        <f>VLOOKUP($A696,Controle!$B$4:$G$68,6,FALSE)</f>
        <v>Apolo</v>
      </c>
      <c r="H696" s="6">
        <v>0</v>
      </c>
      <c r="I696" s="6">
        <v>0</v>
      </c>
      <c r="J696" s="6">
        <v>0</v>
      </c>
      <c r="K696" s="6">
        <v>0</v>
      </c>
      <c r="L696" s="6">
        <v>0</v>
      </c>
      <c r="M696" s="6">
        <v>0</v>
      </c>
      <c r="N696" s="6">
        <v>0</v>
      </c>
      <c r="O696" s="4">
        <f t="shared" si="226"/>
        <v>0</v>
      </c>
      <c r="P696" s="5">
        <f>SUMIFS('Desenvolvimento diário'!$H:$H,'Desenvolvimento diário'!$Q:$Q,$B696,'Desenvolvimento diário'!$P:$P,$F696,'Desenvolvimento diário'!$R:$R,"Sim")</f>
        <v>0</v>
      </c>
      <c r="Q696" s="5">
        <f>SUMIFS('Desenvolvimento diário'!$H:$H,'Desenvolvimento diário'!$Q:$Q,$B696,'Desenvolvimento diário'!$P:$P,$F696,'Desenvolvimento diário'!$R:$R,"Não")</f>
        <v>0</v>
      </c>
      <c r="R696" s="4">
        <f t="shared" si="227"/>
        <v>0</v>
      </c>
      <c r="S696" s="4">
        <f t="shared" si="228"/>
        <v>0</v>
      </c>
      <c r="T696" s="12">
        <f t="shared" si="230"/>
        <v>0</v>
      </c>
      <c r="Y696" s="2"/>
      <c r="Z696" s="2"/>
      <c r="AA696" s="2"/>
      <c r="AB696" s="2"/>
      <c r="AC696" s="2"/>
    </row>
    <row r="697" spans="1:29" ht="10.5" hidden="1">
      <c r="A697" s="2">
        <f t="shared" si="229"/>
        <v>20</v>
      </c>
      <c r="B697" s="2" t="str">
        <f>VLOOKUP($A697,Controle!$B$4:$F$68,2,FALSE)</f>
        <v>Indaiabira 2</v>
      </c>
      <c r="C697" s="2" t="str">
        <f>VLOOKUP($A697,Controle!$B$4:$F$68,3,FALSE)</f>
        <v xml:space="preserve">ESTRELA DO NORTE </v>
      </c>
      <c r="D697" s="2" t="str">
        <f>VLOOKUP($A697,Controle!$B$4:$F$68,4,FALSE)</f>
        <v>EDN</v>
      </c>
      <c r="E697" s="2" t="str">
        <f>VLOOKUP($A697,Controle!$B$4:$F$68,5,FALSE)</f>
        <v>Weg</v>
      </c>
      <c r="F697" s="3" t="str">
        <f t="shared" si="225"/>
        <v>Equipamentos Curva A -  Contrato Sobressalentes - Arctech</v>
      </c>
      <c r="G697" s="2" t="str">
        <f>VLOOKUP($A697,Controle!$B$4:$G$68,6,FALSE)</f>
        <v>Apolo</v>
      </c>
      <c r="H697" s="6">
        <v>0</v>
      </c>
      <c r="I697" s="6">
        <v>0</v>
      </c>
      <c r="J697" s="6">
        <v>0</v>
      </c>
      <c r="K697" s="6">
        <v>0</v>
      </c>
      <c r="L697" s="6">
        <v>0</v>
      </c>
      <c r="M697" s="6">
        <v>0</v>
      </c>
      <c r="N697" s="6">
        <v>0</v>
      </c>
      <c r="O697" s="4">
        <f t="shared" si="226"/>
        <v>0</v>
      </c>
      <c r="P697" s="5">
        <f>SUMIFS('Desenvolvimento diário'!$H:$H,'Desenvolvimento diário'!$Q:$Q,$B697,'Desenvolvimento diário'!$P:$P,$F697,'Desenvolvimento diário'!$R:$R,"Sim")</f>
        <v>0</v>
      </c>
      <c r="Q697" s="5">
        <f>SUMIFS('Desenvolvimento diário'!$H:$H,'Desenvolvimento diário'!$Q:$Q,$B697,'Desenvolvimento diário'!$P:$P,$F697,'Desenvolvimento diário'!$R:$R,"Não")</f>
        <v>0</v>
      </c>
      <c r="R697" s="4">
        <f t="shared" si="227"/>
        <v>0</v>
      </c>
      <c r="S697" s="4">
        <f t="shared" si="228"/>
        <v>0</v>
      </c>
      <c r="T697" s="12">
        <f t="shared" si="230"/>
        <v>0</v>
      </c>
      <c r="Y697" s="2"/>
      <c r="Z697" s="2"/>
      <c r="AA697" s="2"/>
      <c r="AB697" s="2"/>
      <c r="AC697" s="2"/>
    </row>
    <row r="698" spans="1:29" hidden="1">
      <c r="A698" s="2">
        <f t="shared" si="229"/>
        <v>20</v>
      </c>
      <c r="B698" s="2" t="str">
        <f>VLOOKUP($A698,Controle!$B$4:$F$68,2,FALSE)</f>
        <v>Indaiabira 2</v>
      </c>
      <c r="C698" s="2" t="str">
        <f>VLOOKUP($A698,Controle!$B$4:$F$68,3,FALSE)</f>
        <v xml:space="preserve">ESTRELA DO NORTE </v>
      </c>
      <c r="D698" s="2" t="str">
        <f>VLOOKUP($A698,Controle!$B$4:$F$68,4,FALSE)</f>
        <v>EDN</v>
      </c>
      <c r="E698" s="2" t="str">
        <f>VLOOKUP($A698,Controle!$B$4:$F$68,5,FALSE)</f>
        <v>Weg</v>
      </c>
      <c r="F698" s="3" t="str">
        <f t="shared" si="225"/>
        <v>Equipamentos Curva A -  Contrato Sobressalentes - Romagnole</v>
      </c>
      <c r="G698" s="2" t="str">
        <f>VLOOKUP($A698,Controle!$B$4:$G$68,6,FALSE)</f>
        <v>Apolo</v>
      </c>
      <c r="H698" s="7">
        <v>0</v>
      </c>
      <c r="I698" s="7">
        <v>0</v>
      </c>
      <c r="J698" s="7">
        <v>0</v>
      </c>
      <c r="K698" s="7">
        <v>0</v>
      </c>
      <c r="L698" s="7">
        <v>0</v>
      </c>
      <c r="M698" s="7">
        <v>0</v>
      </c>
      <c r="N698" s="7">
        <v>0</v>
      </c>
      <c r="O698" s="4">
        <f t="shared" si="226"/>
        <v>0</v>
      </c>
      <c r="P698" s="17">
        <f>SUMIFS('Desenvolvimento diário'!$H:$H,'Desenvolvimento diário'!$Q:$Q,$B698,'Desenvolvimento diário'!$P:$P,$F698,'Desenvolvimento diário'!$R:$R,"Sim")</f>
        <v>0</v>
      </c>
      <c r="Q698" s="17">
        <f>SUMIFS('Desenvolvimento diário'!$H:$H,'Desenvolvimento diário'!$Q:$Q,$B698,'Desenvolvimento diário'!$P:$P,$F698,'Desenvolvimento diário'!$R:$R,"Não")</f>
        <v>0</v>
      </c>
      <c r="R698" s="4">
        <f t="shared" si="227"/>
        <v>0</v>
      </c>
      <c r="S698" s="4">
        <f t="shared" si="228"/>
        <v>0</v>
      </c>
      <c r="T698" s="12">
        <f t="shared" si="230"/>
        <v>0</v>
      </c>
      <c r="Y698" s="2"/>
      <c r="Z698" s="2"/>
      <c r="AA698" s="2"/>
      <c r="AB698" s="2"/>
      <c r="AC698" s="2"/>
    </row>
    <row r="699" spans="1:29" hidden="1">
      <c r="A699" s="2">
        <f t="shared" si="229"/>
        <v>20</v>
      </c>
      <c r="B699" s="2" t="str">
        <f>VLOOKUP($A699,Controle!$B$4:$F$68,2,FALSE)</f>
        <v>Indaiabira 2</v>
      </c>
      <c r="C699" s="2" t="str">
        <f>VLOOKUP($A699,Controle!$B$4:$F$68,3,FALSE)</f>
        <v xml:space="preserve">ESTRELA DO NORTE </v>
      </c>
      <c r="D699" s="2" t="str">
        <f>VLOOKUP($A699,Controle!$B$4:$F$68,4,FALSE)</f>
        <v>EDN</v>
      </c>
      <c r="E699" s="2" t="str">
        <f>VLOOKUP($A699,Controle!$B$4:$F$68,5,FALSE)</f>
        <v>Weg</v>
      </c>
      <c r="F699" s="3" t="str">
        <f t="shared" si="225"/>
        <v>GOS FLORESTAL - (PRAD - Recuperação Area Ambiental)</v>
      </c>
      <c r="G699" s="2" t="str">
        <f>VLOOKUP($A699,Controle!$B$4:$G$68,6,FALSE)</f>
        <v>Apolo</v>
      </c>
      <c r="H699" s="506" t="s">
        <v>170</v>
      </c>
      <c r="I699" s="6">
        <v>0</v>
      </c>
      <c r="J699" s="506"/>
      <c r="K699" s="506">
        <v>0</v>
      </c>
      <c r="L699" s="506">
        <v>0</v>
      </c>
      <c r="M699" s="506">
        <v>0</v>
      </c>
      <c r="N699" s="506">
        <v>0</v>
      </c>
      <c r="O699" s="39">
        <f t="shared" si="226"/>
        <v>0</v>
      </c>
      <c r="P699" s="17">
        <f>SUMIFS('Desenvolvimento diário'!$H:$H,'Desenvolvimento diário'!$Q:$Q,$B699,'Desenvolvimento diário'!$P:$P,$F699,'Desenvolvimento diário'!$R:$R,"Sim")</f>
        <v>0</v>
      </c>
      <c r="Q699" s="17">
        <f>SUMIFS('Desenvolvimento diário'!$H:$H,'Desenvolvimento diário'!$Q:$Q,$B699,'Desenvolvimento diário'!$P:$P,$F699,'Desenvolvimento diário'!$R:$R,"Não")</f>
        <v>0</v>
      </c>
      <c r="R699" s="4">
        <f t="shared" si="227"/>
        <v>0</v>
      </c>
      <c r="S699" s="4">
        <f t="shared" si="228"/>
        <v>0</v>
      </c>
      <c r="T699" s="12">
        <f t="shared" si="230"/>
        <v>0</v>
      </c>
      <c r="Y699" s="2"/>
      <c r="Z699" s="2"/>
      <c r="AA699" s="2"/>
      <c r="AB699" s="2"/>
      <c r="AC699" s="2"/>
    </row>
    <row r="700" spans="1:29" hidden="1">
      <c r="A700" s="2">
        <f t="shared" si="229"/>
        <v>20</v>
      </c>
      <c r="B700" s="2" t="str">
        <f>VLOOKUP($A700,Controle!$B$4:$F$68,2,FALSE)</f>
        <v>Indaiabira 2</v>
      </c>
      <c r="C700" s="2" t="str">
        <f>VLOOKUP($A700,Controle!$B$4:$F$68,3,FALSE)</f>
        <v xml:space="preserve">ESTRELA DO NORTE </v>
      </c>
      <c r="D700" s="2" t="str">
        <f>VLOOKUP($A700,Controle!$B$4:$F$68,4,FALSE)</f>
        <v>EDN</v>
      </c>
      <c r="E700" s="2" t="str">
        <f>VLOOKUP($A700,Controle!$B$4:$F$68,5,FALSE)</f>
        <v>Weg</v>
      </c>
      <c r="F700" s="3" t="str">
        <f t="shared" si="225"/>
        <v>Cercamento das bacias de contenção ciclo 2</v>
      </c>
      <c r="G700" s="2" t="str">
        <f>VLOOKUP($A700,Controle!$B$4:$G$68,6,FALSE)</f>
        <v>Apolo</v>
      </c>
      <c r="H700" s="506" t="s">
        <v>172</v>
      </c>
      <c r="I700" s="6"/>
      <c r="J700" s="506"/>
      <c r="K700" s="506">
        <v>0</v>
      </c>
      <c r="L700" s="506">
        <v>0</v>
      </c>
      <c r="M700" s="506">
        <v>0</v>
      </c>
      <c r="N700" s="506">
        <v>0</v>
      </c>
      <c r="O700" s="39">
        <f t="shared" si="226"/>
        <v>0</v>
      </c>
      <c r="P700" s="17">
        <f>SUMIFS('Desenvolvimento diário'!$H:$H,'Desenvolvimento diário'!$Q:$Q,$B700,'Desenvolvimento diário'!$P:$P,$F700,'Desenvolvimento diário'!$R:$R,"Sim")</f>
        <v>0</v>
      </c>
      <c r="Q700" s="17">
        <f>SUMIFS('Desenvolvimento diário'!$H:$H,'Desenvolvimento diário'!$Q:$Q,$B700,'Desenvolvimento diário'!$P:$P,$F700,'Desenvolvimento diário'!$R:$R,"Não")</f>
        <v>0</v>
      </c>
      <c r="R700" s="4">
        <f t="shared" si="227"/>
        <v>0</v>
      </c>
      <c r="S700" s="1030">
        <f t="shared" si="228"/>
        <v>0</v>
      </c>
      <c r="T700" s="12">
        <f t="shared" si="230"/>
        <v>0</v>
      </c>
      <c r="U700" s="1029" t="s">
        <v>166</v>
      </c>
      <c r="V700" s="1029" t="s">
        <v>94</v>
      </c>
      <c r="Y700" s="2"/>
      <c r="Z700" s="2"/>
      <c r="AA700" s="2"/>
      <c r="AB700" s="2"/>
      <c r="AC700" s="2"/>
    </row>
    <row r="701" spans="1:29" hidden="1">
      <c r="A701" s="8">
        <f>A698</f>
        <v>20</v>
      </c>
      <c r="B701" s="9" t="str">
        <f t="shared" ref="B701" si="232">B698</f>
        <v>Indaiabira 2</v>
      </c>
      <c r="C701" s="9" t="str">
        <f t="shared" ref="C701" si="233">C698</f>
        <v xml:space="preserve">ESTRELA DO NORTE </v>
      </c>
      <c r="D701" s="9" t="str">
        <f t="shared" ref="D701" si="234">D698</f>
        <v>EDN</v>
      </c>
      <c r="E701" s="9" t="str">
        <f t="shared" ref="E701" si="235">E698</f>
        <v>Weg</v>
      </c>
      <c r="F701" s="10" t="s">
        <v>158</v>
      </c>
      <c r="G701" s="9" t="str">
        <f>G698</f>
        <v>Apolo</v>
      </c>
      <c r="H701" s="9"/>
      <c r="I701" s="9">
        <f>SUBTOTAL(9,I667:I700)</f>
        <v>0</v>
      </c>
      <c r="J701" s="9">
        <f t="shared" ref="J701:S701" si="236">SUBTOTAL(9,J667:J700)</f>
        <v>0</v>
      </c>
      <c r="K701" s="9">
        <f t="shared" si="236"/>
        <v>0</v>
      </c>
      <c r="L701" s="9">
        <f t="shared" si="236"/>
        <v>0</v>
      </c>
      <c r="M701" s="9">
        <f t="shared" si="236"/>
        <v>0</v>
      </c>
      <c r="N701" s="9">
        <f t="shared" si="236"/>
        <v>0</v>
      </c>
      <c r="O701" s="9">
        <f t="shared" si="236"/>
        <v>0</v>
      </c>
      <c r="P701" s="9">
        <f t="shared" si="236"/>
        <v>0</v>
      </c>
      <c r="Q701" s="9">
        <f t="shared" si="236"/>
        <v>0</v>
      </c>
      <c r="R701" s="9">
        <f t="shared" si="236"/>
        <v>0</v>
      </c>
      <c r="S701" s="9">
        <f t="shared" si="236"/>
        <v>0</v>
      </c>
      <c r="T701" s="13">
        <f>IFERROR(R701/O701,0)</f>
        <v>0</v>
      </c>
      <c r="U701" s="11">
        <f>SUBTOTAL(9,U667:U700)</f>
        <v>0</v>
      </c>
      <c r="Y701" s="2"/>
      <c r="Z701" s="2"/>
      <c r="AA701" s="2"/>
      <c r="AB701" s="2"/>
      <c r="AC701" s="2"/>
    </row>
    <row r="702" spans="1:29" ht="10.5" hidden="1">
      <c r="A702" s="2">
        <f>A667+1</f>
        <v>21</v>
      </c>
      <c r="B702" s="2" t="str">
        <f>VLOOKUP($A702,Controle!$B$4:$F$68,2,FALSE)</f>
        <v>Indaiabira 3</v>
      </c>
      <c r="C702" s="2" t="str">
        <f>VLOOKUP($A702,Controle!$B$4:$F$68,3,FALSE)</f>
        <v xml:space="preserve">ESTRELA DO NORTE </v>
      </c>
      <c r="D702" s="2" t="str">
        <f>VLOOKUP($A702,Controle!$B$4:$F$68,4,FALSE)</f>
        <v>EDN</v>
      </c>
      <c r="E702" s="2">
        <f>VLOOKUP($A702,Controle!$B$4:$F$68,5,FALSE)</f>
        <v>1</v>
      </c>
      <c r="F702" s="3" t="str">
        <f t="shared" ref="F702:F735" si="237">F667</f>
        <v>Conexão AT - Obras</v>
      </c>
      <c r="G702" s="2" t="str">
        <f>VLOOKUP($A702,Controle!$B$4:$G$68,6,FALSE)</f>
        <v>Apolo</v>
      </c>
      <c r="H702" s="6" t="s">
        <v>194</v>
      </c>
      <c r="I702" s="6">
        <v>0</v>
      </c>
      <c r="J702" s="6">
        <v>0</v>
      </c>
      <c r="K702" s="6">
        <v>0</v>
      </c>
      <c r="L702" s="6">
        <v>0</v>
      </c>
      <c r="M702" s="6">
        <v>0</v>
      </c>
      <c r="N702" s="6">
        <v>0</v>
      </c>
      <c r="O702" s="4">
        <f t="shared" ref="O702:O735" si="238">SUM(I702:N702)</f>
        <v>0</v>
      </c>
      <c r="P702" s="5">
        <f>SUMIFS('Desenvolvimento diário'!$H:$H,'Desenvolvimento diário'!$Q:$Q,$B702,'Desenvolvimento diário'!$P:$P,$F702,'Desenvolvimento diário'!$R:$R,"Sim")</f>
        <v>0</v>
      </c>
      <c r="Q702" s="5">
        <f>SUMIFS('Desenvolvimento diário'!$H:$H,'Desenvolvimento diário'!$Q:$Q,$B702,'Desenvolvimento diário'!$P:$P,$F702,'Desenvolvimento diário'!$R:$R,"Não")</f>
        <v>0</v>
      </c>
      <c r="R702" s="4">
        <f t="shared" ref="R702:R735" si="239">SUM(P702:Q702)</f>
        <v>0</v>
      </c>
      <c r="S702" s="4">
        <f t="shared" ref="S702:S735" si="240">O702-R702</f>
        <v>0</v>
      </c>
      <c r="T702" s="12">
        <f t="shared" si="230"/>
        <v>0</v>
      </c>
      <c r="Y702" s="2"/>
      <c r="Z702" s="2"/>
      <c r="AA702" s="2"/>
      <c r="AB702" s="2"/>
      <c r="AC702" s="2"/>
    </row>
    <row r="703" spans="1:29" ht="10.5" hidden="1">
      <c r="A703" s="2">
        <f t="shared" ref="A703:A735" si="241">A702</f>
        <v>21</v>
      </c>
      <c r="B703" s="2" t="str">
        <f>VLOOKUP($A703,Controle!$B$4:$F$68,2,FALSE)</f>
        <v>Indaiabira 3</v>
      </c>
      <c r="C703" s="2" t="str">
        <f>VLOOKUP($A703,Controle!$B$4:$F$68,3,FALSE)</f>
        <v xml:space="preserve">ESTRELA DO NORTE </v>
      </c>
      <c r="D703" s="2" t="str">
        <f>VLOOKUP($A703,Controle!$B$4:$F$68,4,FALSE)</f>
        <v>EDN</v>
      </c>
      <c r="E703" s="2">
        <f>VLOOKUP($A703,Controle!$B$4:$F$68,5,FALSE)</f>
        <v>1</v>
      </c>
      <c r="F703" s="3" t="str">
        <f t="shared" si="237"/>
        <v>Conexão MT - Obras</v>
      </c>
      <c r="G703" s="2" t="str">
        <f>VLOOKUP($A703,Controle!$B$4:$G$68,6,FALSE)</f>
        <v>Apolo</v>
      </c>
      <c r="H703" s="6" t="s">
        <v>194</v>
      </c>
      <c r="I703" s="6">
        <v>0</v>
      </c>
      <c r="J703" s="6">
        <v>0</v>
      </c>
      <c r="K703" s="6">
        <v>0</v>
      </c>
      <c r="L703" s="6">
        <v>0</v>
      </c>
      <c r="M703" s="6">
        <v>0</v>
      </c>
      <c r="N703" s="6">
        <v>0</v>
      </c>
      <c r="O703" s="4">
        <f t="shared" si="238"/>
        <v>0</v>
      </c>
      <c r="P703" s="5">
        <f>SUMIFS('Desenvolvimento diário'!$H:$H,'Desenvolvimento diário'!$Q:$Q,$B703,'Desenvolvimento diário'!$P:$P,$F703,'Desenvolvimento diário'!$R:$R,"Sim")</f>
        <v>0</v>
      </c>
      <c r="Q703" s="5">
        <f>SUMIFS('Desenvolvimento diário'!$H:$H,'Desenvolvimento diário'!$Q:$Q,$B703,'Desenvolvimento diário'!$P:$P,$F703,'Desenvolvimento diário'!$R:$R,"Não")</f>
        <v>0</v>
      </c>
      <c r="R703" s="4">
        <f t="shared" si="239"/>
        <v>0</v>
      </c>
      <c r="S703" s="4">
        <f t="shared" si="240"/>
        <v>0</v>
      </c>
      <c r="T703" s="12">
        <f t="shared" si="230"/>
        <v>0</v>
      </c>
      <c r="Y703" s="2"/>
      <c r="Z703" s="2"/>
      <c r="AA703" s="2"/>
      <c r="AB703" s="2"/>
      <c r="AC703" s="2"/>
    </row>
    <row r="704" spans="1:29" ht="10.5" hidden="1">
      <c r="A704" s="2">
        <f t="shared" si="241"/>
        <v>21</v>
      </c>
      <c r="B704" s="2" t="str">
        <f>VLOOKUP($A704,Controle!$B$4:$F$68,2,FALSE)</f>
        <v>Indaiabira 3</v>
      </c>
      <c r="C704" s="2" t="str">
        <f>VLOOKUP($A704,Controle!$B$4:$F$68,3,FALSE)</f>
        <v xml:space="preserve">ESTRELA DO NORTE </v>
      </c>
      <c r="D704" s="2" t="str">
        <f>VLOOKUP($A704,Controle!$B$4:$F$68,4,FALSE)</f>
        <v>EDN</v>
      </c>
      <c r="E704" s="2">
        <f>VLOOKUP($A704,Controle!$B$4:$F$68,5,FALSE)</f>
        <v>1</v>
      </c>
      <c r="F704" s="3" t="str">
        <f t="shared" si="237"/>
        <v>Construção - Serviços de Construção</v>
      </c>
      <c r="G704" s="2" t="str">
        <f>VLOOKUP($A704,Controle!$B$4:$G$68,6,FALSE)</f>
        <v>Apolo</v>
      </c>
      <c r="H704" s="6" t="s">
        <v>142</v>
      </c>
      <c r="I704" s="6">
        <v>2691000</v>
      </c>
      <c r="J704" s="6">
        <v>349352.64</v>
      </c>
      <c r="K704" s="6">
        <v>301128.52181681397</v>
      </c>
      <c r="L704" s="31">
        <f>68905.12-0.001823186+0.000006372</f>
        <v>68905.118183186001</v>
      </c>
      <c r="M704" s="6">
        <v>0</v>
      </c>
      <c r="N704" s="6">
        <v>0</v>
      </c>
      <c r="O704" s="4">
        <f t="shared" si="238"/>
        <v>3410386.28</v>
      </c>
      <c r="P704" s="5">
        <f>SUMIFS('Desenvolvimento diário'!$H:$H,'Desenvolvimento diário'!$Q:$Q,$B704,'Desenvolvimento diário'!$P:$P,$F704,'Desenvolvimento diário'!$R:$R,"Sim")</f>
        <v>1730916.7200000002</v>
      </c>
      <c r="Q704" s="5">
        <f>SUMIFS('Desenvolvimento diário'!$H:$H,'Desenvolvimento diário'!$Q:$Q,$B704,'Desenvolvimento diário'!$P:$P,$F704,'Desenvolvimento diário'!$R:$R,"Não")</f>
        <v>1679469.5600000003</v>
      </c>
      <c r="R704" s="4">
        <f t="shared" si="239"/>
        <v>3410386.2800000003</v>
      </c>
      <c r="S704" s="33">
        <f t="shared" si="240"/>
        <v>0</v>
      </c>
      <c r="T704" s="12">
        <f t="shared" si="230"/>
        <v>1.0000000000000002</v>
      </c>
      <c r="U704" s="510" t="s">
        <v>162</v>
      </c>
      <c r="V704" s="510" t="s">
        <v>163</v>
      </c>
      <c r="Y704" s="2"/>
      <c r="Z704" s="2"/>
      <c r="AA704" s="2"/>
      <c r="AB704" s="2"/>
      <c r="AC704" s="2"/>
    </row>
    <row r="705" spans="1:29" ht="10.5" hidden="1">
      <c r="A705" s="2">
        <f t="shared" si="241"/>
        <v>21</v>
      </c>
      <c r="B705" s="2" t="str">
        <f>VLOOKUP($A705,Controle!$B$4:$F$68,2,FALSE)</f>
        <v>Indaiabira 3</v>
      </c>
      <c r="C705" s="2" t="str">
        <f>VLOOKUP($A705,Controle!$B$4:$F$68,3,FALSE)</f>
        <v xml:space="preserve">ESTRELA DO NORTE </v>
      </c>
      <c r="D705" s="2" t="str">
        <f>VLOOKUP($A705,Controle!$B$4:$F$68,4,FALSE)</f>
        <v>EDN</v>
      </c>
      <c r="E705" s="2">
        <f>VLOOKUP($A705,Controle!$B$4:$F$68,5,FALSE)</f>
        <v>1</v>
      </c>
      <c r="F705" s="3" t="str">
        <f t="shared" si="237"/>
        <v>Construção - Serviços de Construção - Substituição</v>
      </c>
      <c r="G705" s="2" t="str">
        <f>VLOOKUP($A705,Controle!$B$4:$G$68,6,FALSE)</f>
        <v>Apolo</v>
      </c>
      <c r="H705" s="6">
        <v>0</v>
      </c>
      <c r="I705" s="6">
        <v>0</v>
      </c>
      <c r="J705" s="6">
        <v>0</v>
      </c>
      <c r="K705" s="6">
        <v>0</v>
      </c>
      <c r="L705" s="6">
        <v>0</v>
      </c>
      <c r="M705" s="6">
        <v>0</v>
      </c>
      <c r="N705" s="6">
        <v>0</v>
      </c>
      <c r="O705" s="4">
        <f t="shared" si="238"/>
        <v>0</v>
      </c>
      <c r="P705" s="5">
        <f>SUMIFS('Desenvolvimento diário'!$H:$H,'Desenvolvimento diário'!$Q:$Q,$B705,'Desenvolvimento diário'!$P:$P,$F705,'Desenvolvimento diário'!$R:$R,"Sim")</f>
        <v>0</v>
      </c>
      <c r="Q705" s="5">
        <f>SUMIFS('Desenvolvimento diário'!$H:$H,'Desenvolvimento diário'!$Q:$Q,$B705,'Desenvolvimento diário'!$P:$P,$F705,'Desenvolvimento diário'!$R:$R,"Não")</f>
        <v>0</v>
      </c>
      <c r="R705" s="4">
        <f t="shared" si="239"/>
        <v>0</v>
      </c>
      <c r="S705" s="4">
        <f t="shared" si="240"/>
        <v>0</v>
      </c>
      <c r="T705" s="12">
        <f t="shared" si="230"/>
        <v>0</v>
      </c>
      <c r="Y705" s="2"/>
      <c r="Z705" s="2"/>
      <c r="AA705" s="2"/>
      <c r="AB705" s="2"/>
      <c r="AC705" s="2"/>
    </row>
    <row r="706" spans="1:29" ht="10.5" hidden="1">
      <c r="A706" s="2">
        <f t="shared" si="241"/>
        <v>21</v>
      </c>
      <c r="B706" s="2" t="str">
        <f>VLOOKUP($A706,Controle!$B$4:$F$68,2,FALSE)</f>
        <v>Indaiabira 3</v>
      </c>
      <c r="C706" s="2" t="str">
        <f>VLOOKUP($A706,Controle!$B$4:$F$68,3,FALSE)</f>
        <v xml:space="preserve">ESTRELA DO NORTE </v>
      </c>
      <c r="D706" s="2" t="str">
        <f>VLOOKUP($A706,Controle!$B$4:$F$68,4,FALSE)</f>
        <v>EDN</v>
      </c>
      <c r="E706" s="2">
        <f>VLOOKUP($A706,Controle!$B$4:$F$68,5,FALSE)</f>
        <v>1</v>
      </c>
      <c r="F706" s="3" t="str">
        <f t="shared" si="237"/>
        <v>Construção - RDA Interno</v>
      </c>
      <c r="G706" s="2" t="str">
        <f>VLOOKUP($A706,Controle!$B$4:$G$68,6,FALSE)</f>
        <v>Apolo</v>
      </c>
      <c r="H706" s="6" t="s">
        <v>168</v>
      </c>
      <c r="I706" s="6">
        <v>410000</v>
      </c>
      <c r="J706" s="6">
        <v>0</v>
      </c>
      <c r="K706" s="6">
        <v>0</v>
      </c>
      <c r="L706" s="6">
        <v>0</v>
      </c>
      <c r="M706" s="6">
        <v>0</v>
      </c>
      <c r="N706" s="6">
        <v>0</v>
      </c>
      <c r="O706" s="4">
        <f t="shared" si="238"/>
        <v>410000</v>
      </c>
      <c r="P706" s="5">
        <f>SUMIFS('Desenvolvimento diário'!$H:$H,'Desenvolvimento diário'!$Q:$Q,$B706,'Desenvolvimento diário'!$P:$P,$F706,'Desenvolvimento diário'!$R:$R,"Sim")</f>
        <v>0</v>
      </c>
      <c r="Q706" s="5">
        <f>SUMIFS('Desenvolvimento diário'!$H:$H,'Desenvolvimento diário'!$Q:$Q,$B706,'Desenvolvimento diário'!$P:$P,$F706,'Desenvolvimento diário'!$R:$R,"Não")</f>
        <v>410000</v>
      </c>
      <c r="R706" s="4">
        <f t="shared" si="239"/>
        <v>410000</v>
      </c>
      <c r="S706" s="4">
        <f t="shared" si="240"/>
        <v>0</v>
      </c>
      <c r="T706" s="12">
        <f t="shared" si="230"/>
        <v>1</v>
      </c>
      <c r="Y706" s="2"/>
      <c r="Z706" s="2"/>
      <c r="AA706" s="2"/>
      <c r="AB706" s="2"/>
      <c r="AC706" s="2"/>
    </row>
    <row r="707" spans="1:29" ht="10.5" hidden="1">
      <c r="A707" s="2">
        <f t="shared" si="241"/>
        <v>21</v>
      </c>
      <c r="B707" s="2" t="str">
        <f>VLOOKUP($A707,Controle!$B$4:$F$68,2,FALSE)</f>
        <v>Indaiabira 3</v>
      </c>
      <c r="C707" s="2" t="str">
        <f>VLOOKUP($A707,Controle!$B$4:$F$68,3,FALSE)</f>
        <v xml:space="preserve">ESTRELA DO NORTE </v>
      </c>
      <c r="D707" s="2" t="str">
        <f>VLOOKUP($A707,Controle!$B$4:$F$68,4,FALSE)</f>
        <v>EDN</v>
      </c>
      <c r="E707" s="2">
        <f>VLOOKUP($A707,Controle!$B$4:$F$68,5,FALSE)</f>
        <v>1</v>
      </c>
      <c r="F707" s="3" t="str">
        <f t="shared" si="237"/>
        <v>Full EPC - Contrato</v>
      </c>
      <c r="G707" s="2" t="str">
        <f>VLOOKUP($A707,Controle!$B$4:$G$68,6,FALSE)</f>
        <v>Apolo</v>
      </c>
      <c r="H707" s="6">
        <v>0</v>
      </c>
      <c r="I707" s="6">
        <v>0</v>
      </c>
      <c r="J707" s="6">
        <v>0</v>
      </c>
      <c r="K707" s="6">
        <v>0</v>
      </c>
      <c r="L707" s="6">
        <v>0</v>
      </c>
      <c r="M707" s="6">
        <v>0</v>
      </c>
      <c r="N707" s="6">
        <v>0</v>
      </c>
      <c r="O707" s="4">
        <f t="shared" si="238"/>
        <v>0</v>
      </c>
      <c r="P707" s="5">
        <f>SUMIFS('Desenvolvimento diário'!$H:$H,'Desenvolvimento diário'!$Q:$Q,$B707,'Desenvolvimento diário'!$P:$P,$F707,'Desenvolvimento diário'!$R:$R,"Sim")</f>
        <v>0</v>
      </c>
      <c r="Q707" s="5">
        <f>SUMIFS('Desenvolvimento diário'!$H:$H,'Desenvolvimento diário'!$Q:$Q,$B707,'Desenvolvimento diário'!$P:$P,$F707,'Desenvolvimento diário'!$R:$R,"Não")</f>
        <v>0</v>
      </c>
      <c r="R707" s="4">
        <f t="shared" si="239"/>
        <v>0</v>
      </c>
      <c r="S707" s="4">
        <f t="shared" si="240"/>
        <v>0</v>
      </c>
      <c r="T707" s="12">
        <f t="shared" si="230"/>
        <v>0</v>
      </c>
      <c r="Y707" s="2"/>
      <c r="Z707" s="2"/>
      <c r="AA707" s="2"/>
      <c r="AB707" s="2"/>
      <c r="AC707" s="2"/>
    </row>
    <row r="708" spans="1:29" ht="10.5" hidden="1">
      <c r="A708" s="2">
        <f t="shared" si="241"/>
        <v>21</v>
      </c>
      <c r="B708" s="2" t="str">
        <f>VLOOKUP($A708,Controle!$B$4:$F$68,2,FALSE)</f>
        <v>Indaiabira 3</v>
      </c>
      <c r="C708" s="2" t="str">
        <f>VLOOKUP($A708,Controle!$B$4:$F$68,3,FALSE)</f>
        <v xml:space="preserve">ESTRELA DO NORTE </v>
      </c>
      <c r="D708" s="2" t="str">
        <f>VLOOKUP($A708,Controle!$B$4:$F$68,4,FALSE)</f>
        <v>EDN</v>
      </c>
      <c r="E708" s="2">
        <f>VLOOKUP($A708,Controle!$B$4:$F$68,5,FALSE)</f>
        <v>1</v>
      </c>
      <c r="F708" s="3" t="str">
        <f t="shared" si="237"/>
        <v>Equipamentos Curva A - Outros (Transformadores)</v>
      </c>
      <c r="G708" s="2" t="str">
        <f>VLOOKUP($A708,Controle!$B$4:$G$68,6,FALSE)</f>
        <v>Apolo</v>
      </c>
      <c r="H708" s="6" t="s">
        <v>144</v>
      </c>
      <c r="I708" s="6">
        <v>413574.83</v>
      </c>
      <c r="J708" s="6">
        <v>0</v>
      </c>
      <c r="K708" s="6">
        <v>0</v>
      </c>
      <c r="L708" s="6">
        <v>0</v>
      </c>
      <c r="M708" s="6">
        <v>0</v>
      </c>
      <c r="N708" s="6">
        <v>0</v>
      </c>
      <c r="O708" s="4">
        <f t="shared" si="238"/>
        <v>413574.83</v>
      </c>
      <c r="P708" s="5">
        <f>SUMIFS('Desenvolvimento diário'!$H:$H,'Desenvolvimento diário'!$Q:$Q,$B708,'Desenvolvimento diário'!$P:$P,$F708,'Desenvolvimento diário'!$R:$R,"Sim")</f>
        <v>0</v>
      </c>
      <c r="Q708" s="5">
        <f>SUMIFS('Desenvolvimento diário'!$H:$H,'Desenvolvimento diário'!$Q:$Q,$B708,'Desenvolvimento diário'!$P:$P,$F708,'Desenvolvimento diário'!$R:$R,"Não")</f>
        <v>413574.83</v>
      </c>
      <c r="R708" s="4">
        <f t="shared" si="239"/>
        <v>413574.83</v>
      </c>
      <c r="S708" s="4">
        <f t="shared" si="240"/>
        <v>0</v>
      </c>
      <c r="T708" s="12">
        <f t="shared" si="230"/>
        <v>1</v>
      </c>
      <c r="Y708" s="2"/>
      <c r="Z708" s="2"/>
      <c r="AA708" s="2"/>
      <c r="AB708" s="2"/>
      <c r="AC708" s="2"/>
    </row>
    <row r="709" spans="1:29" ht="10.5" hidden="1">
      <c r="A709" s="2">
        <f t="shared" si="241"/>
        <v>21</v>
      </c>
      <c r="B709" s="2" t="str">
        <f>VLOOKUP($A709,Controle!$B$4:$F$68,2,FALSE)</f>
        <v>Indaiabira 3</v>
      </c>
      <c r="C709" s="2" t="str">
        <f>VLOOKUP($A709,Controle!$B$4:$F$68,3,FALSE)</f>
        <v xml:space="preserve">ESTRELA DO NORTE </v>
      </c>
      <c r="D709" s="2" t="str">
        <f>VLOOKUP($A709,Controle!$B$4:$F$68,4,FALSE)</f>
        <v>EDN</v>
      </c>
      <c r="E709" s="2">
        <f>VLOOKUP($A709,Controle!$B$4:$F$68,5,FALSE)</f>
        <v>1</v>
      </c>
      <c r="F709" s="3" t="str">
        <f t="shared" si="237"/>
        <v>Equipamentos Curva A - Outros (Cabine + Skid)</v>
      </c>
      <c r="G709" s="2" t="str">
        <f>VLOOKUP($A709,Controle!$B$4:$G$68,6,FALSE)</f>
        <v>Apolo</v>
      </c>
      <c r="H709" s="6" t="s">
        <v>196</v>
      </c>
      <c r="I709" s="6">
        <v>1041682.1489361702</v>
      </c>
      <c r="J709" s="6">
        <v>14610.33</v>
      </c>
      <c r="K709" s="6">
        <v>0</v>
      </c>
      <c r="L709" s="6">
        <v>0</v>
      </c>
      <c r="M709" s="6">
        <v>0</v>
      </c>
      <c r="N709" s="6">
        <v>0</v>
      </c>
      <c r="O709" s="4">
        <f t="shared" si="238"/>
        <v>1056292.4789361702</v>
      </c>
      <c r="P709" s="5">
        <f>SUMIFS('Desenvolvimento diário'!$H:$H,'Desenvolvimento diário'!$Q:$Q,$B709,'Desenvolvimento diário'!$P:$P,$F709,'Desenvolvimento diário'!$R:$R,"Sim")</f>
        <v>0</v>
      </c>
      <c r="Q709" s="5">
        <f>SUMIFS('Desenvolvimento diário'!$H:$H,'Desenvolvimento diário'!$Q:$Q,$B709,'Desenvolvimento diário'!$P:$P,$F709,'Desenvolvimento diário'!$R:$R,"Não")</f>
        <v>1056292.4789361702</v>
      </c>
      <c r="R709" s="4">
        <f t="shared" si="239"/>
        <v>1056292.4789361702</v>
      </c>
      <c r="S709" s="4">
        <f t="shared" si="240"/>
        <v>0</v>
      </c>
      <c r="T709" s="12">
        <f t="shared" si="230"/>
        <v>1</v>
      </c>
      <c r="Y709" s="2"/>
      <c r="Z709" s="2"/>
      <c r="AA709" s="2"/>
      <c r="AB709" s="2"/>
      <c r="AC709" s="2"/>
    </row>
    <row r="710" spans="1:29" ht="10.5" hidden="1">
      <c r="A710" s="2">
        <f t="shared" si="241"/>
        <v>21</v>
      </c>
      <c r="B710" s="2" t="str">
        <f>VLOOKUP($A710,Controle!$B$4:$F$68,2,FALSE)</f>
        <v>Indaiabira 3</v>
      </c>
      <c r="C710" s="2" t="str">
        <f>VLOOKUP($A710,Controle!$B$4:$F$68,3,FALSE)</f>
        <v xml:space="preserve">ESTRELA DO NORTE </v>
      </c>
      <c r="D710" s="2" t="str">
        <f>VLOOKUP($A710,Controle!$B$4:$F$68,4,FALSE)</f>
        <v>EDN</v>
      </c>
      <c r="E710" s="2">
        <f>VLOOKUP($A710,Controle!$B$4:$F$68,5,FALSE)</f>
        <v>1</v>
      </c>
      <c r="F710" s="3" t="str">
        <f t="shared" si="237"/>
        <v>Equipamentos Curva A - Outros (Cabine + Skid + Transformador)</v>
      </c>
      <c r="G710" s="2" t="str">
        <f>VLOOKUP($A710,Controle!$B$4:$G$68,6,FALSE)</f>
        <v>Apolo</v>
      </c>
      <c r="H710" s="6">
        <v>0</v>
      </c>
      <c r="I710" s="6">
        <v>0</v>
      </c>
      <c r="J710" s="6">
        <v>0</v>
      </c>
      <c r="K710" s="6">
        <v>0</v>
      </c>
      <c r="L710" s="6">
        <v>0</v>
      </c>
      <c r="M710" s="6">
        <v>0</v>
      </c>
      <c r="N710" s="6">
        <v>0</v>
      </c>
      <c r="O710" s="4">
        <f t="shared" si="238"/>
        <v>0</v>
      </c>
      <c r="P710" s="5">
        <f>SUMIFS('Desenvolvimento diário'!$H:$H,'Desenvolvimento diário'!$Q:$Q,$B710,'Desenvolvimento diário'!$P:$P,$F710,'Desenvolvimento diário'!$R:$R,"Sim")</f>
        <v>0</v>
      </c>
      <c r="Q710" s="5">
        <f>SUMIFS('Desenvolvimento diário'!$H:$H,'Desenvolvimento diário'!$Q:$Q,$B710,'Desenvolvimento diário'!$P:$P,$F710,'Desenvolvimento diário'!$R:$R,"Não")</f>
        <v>0</v>
      </c>
      <c r="R710" s="4">
        <f t="shared" si="239"/>
        <v>0</v>
      </c>
      <c r="S710" s="4">
        <f t="shared" si="240"/>
        <v>0</v>
      </c>
      <c r="T710" s="12">
        <f t="shared" si="230"/>
        <v>0</v>
      </c>
      <c r="Y710" s="2"/>
      <c r="Z710" s="2"/>
      <c r="AA710" s="2"/>
      <c r="AB710" s="2"/>
      <c r="AC710" s="2"/>
    </row>
    <row r="711" spans="1:29" ht="10.5" hidden="1">
      <c r="A711" s="2">
        <f t="shared" si="241"/>
        <v>21</v>
      </c>
      <c r="B711" s="2" t="str">
        <f>VLOOKUP($A711,Controle!$B$4:$F$68,2,FALSE)</f>
        <v>Indaiabira 3</v>
      </c>
      <c r="C711" s="2" t="str">
        <f>VLOOKUP($A711,Controle!$B$4:$F$68,3,FALSE)</f>
        <v xml:space="preserve">ESTRELA DO NORTE </v>
      </c>
      <c r="D711" s="2" t="str">
        <f>VLOOKUP($A711,Controle!$B$4:$F$68,4,FALSE)</f>
        <v>EDN</v>
      </c>
      <c r="E711" s="2">
        <f>VLOOKUP($A711,Controle!$B$4:$F$68,5,FALSE)</f>
        <v>1</v>
      </c>
      <c r="F711" s="3" t="str">
        <f t="shared" si="237"/>
        <v>Desenvolvimento de projeto - Projetos - (Eng° Proprietario)</v>
      </c>
      <c r="G711" s="2" t="str">
        <f>VLOOKUP($A711,Controle!$B$4:$G$68,6,FALSE)</f>
        <v>Apolo</v>
      </c>
      <c r="H711" s="6" t="s">
        <v>145</v>
      </c>
      <c r="I711" s="6">
        <v>0</v>
      </c>
      <c r="J711" s="6">
        <v>0</v>
      </c>
      <c r="K711" s="6">
        <v>0</v>
      </c>
      <c r="L711" s="6">
        <v>0</v>
      </c>
      <c r="M711" s="6">
        <v>0</v>
      </c>
      <c r="N711" s="6">
        <v>0</v>
      </c>
      <c r="O711" s="4">
        <f t="shared" si="238"/>
        <v>0</v>
      </c>
      <c r="P711" s="5">
        <f>SUMIFS('Desenvolvimento diário'!$H:$H,'Desenvolvimento diário'!$Q:$Q,$B711,'Desenvolvimento diário'!$P:$P,$F711,'Desenvolvimento diário'!$R:$R,"Sim")</f>
        <v>0</v>
      </c>
      <c r="Q711" s="5">
        <f>SUMIFS('Desenvolvimento diário'!$H:$H,'Desenvolvimento diário'!$Q:$Q,$B711,'Desenvolvimento diário'!$P:$P,$F711,'Desenvolvimento diário'!$R:$R,"Não")</f>
        <v>0</v>
      </c>
      <c r="R711" s="4">
        <f t="shared" si="239"/>
        <v>0</v>
      </c>
      <c r="S711" s="4">
        <f t="shared" si="240"/>
        <v>0</v>
      </c>
      <c r="T711" s="12">
        <f t="shared" si="230"/>
        <v>0</v>
      </c>
      <c r="Y711" s="2"/>
      <c r="Z711" s="2"/>
      <c r="AA711" s="2"/>
      <c r="AB711" s="2"/>
      <c r="AC711" s="2"/>
    </row>
    <row r="712" spans="1:29" ht="10.5" hidden="1">
      <c r="A712" s="2">
        <f t="shared" si="241"/>
        <v>21</v>
      </c>
      <c r="B712" s="2" t="str">
        <f>VLOOKUP($A712,Controle!$B$4:$F$68,2,FALSE)</f>
        <v>Indaiabira 3</v>
      </c>
      <c r="C712" s="2" t="str">
        <f>VLOOKUP($A712,Controle!$B$4:$F$68,3,FALSE)</f>
        <v xml:space="preserve">ESTRELA DO NORTE </v>
      </c>
      <c r="D712" s="2" t="str">
        <f>VLOOKUP($A712,Controle!$B$4:$F$68,4,FALSE)</f>
        <v>EDN</v>
      </c>
      <c r="E712" s="2">
        <f>VLOOKUP($A712,Controle!$B$4:$F$68,5,FALSE)</f>
        <v>1</v>
      </c>
      <c r="F712" s="3" t="str">
        <f t="shared" si="237"/>
        <v>Desenvolvimento de projeto - Projetos - Executivos</v>
      </c>
      <c r="G712" s="2" t="str">
        <f>VLOOKUP($A712,Controle!$B$4:$G$68,6,FALSE)</f>
        <v>Apolo</v>
      </c>
      <c r="H712" s="6" t="s">
        <v>146</v>
      </c>
      <c r="I712" s="6">
        <v>36466.699999999997</v>
      </c>
      <c r="J712" s="6">
        <v>0</v>
      </c>
      <c r="K712" s="6">
        <v>0</v>
      </c>
      <c r="L712" s="6">
        <v>0</v>
      </c>
      <c r="M712" s="6">
        <v>0</v>
      </c>
      <c r="N712" s="6">
        <v>0</v>
      </c>
      <c r="O712" s="4">
        <f t="shared" si="238"/>
        <v>36466.699999999997</v>
      </c>
      <c r="P712" s="5">
        <f>SUMIFS('Desenvolvimento diário'!$H:$H,'Desenvolvimento diário'!$Q:$Q,$B712,'Desenvolvimento diário'!$P:$P,$F712,'Desenvolvimento diário'!$R:$R,"Sim")</f>
        <v>0</v>
      </c>
      <c r="Q712" s="5">
        <f>SUMIFS('Desenvolvimento diário'!$H:$H,'Desenvolvimento diário'!$Q:$Q,$B712,'Desenvolvimento diário'!$P:$P,$F712,'Desenvolvimento diário'!$R:$R,"Não")</f>
        <v>36466.699999999997</v>
      </c>
      <c r="R712" s="4">
        <f t="shared" si="239"/>
        <v>36466.699999999997</v>
      </c>
      <c r="S712" s="4">
        <f t="shared" si="240"/>
        <v>0</v>
      </c>
      <c r="T712" s="12">
        <f t="shared" si="230"/>
        <v>1</v>
      </c>
      <c r="Y712" s="2"/>
      <c r="Z712" s="2"/>
      <c r="AA712" s="2"/>
      <c r="AB712" s="2"/>
      <c r="AC712" s="2"/>
    </row>
    <row r="713" spans="1:29" ht="10.5" hidden="1">
      <c r="A713" s="2">
        <f t="shared" si="241"/>
        <v>21</v>
      </c>
      <c r="B713" s="2" t="str">
        <f>VLOOKUP($A713,Controle!$B$4:$F$68,2,FALSE)</f>
        <v>Indaiabira 3</v>
      </c>
      <c r="C713" s="2" t="str">
        <f>VLOOKUP($A713,Controle!$B$4:$F$68,3,FALSE)</f>
        <v xml:space="preserve">ESTRELA DO NORTE </v>
      </c>
      <c r="D713" s="2" t="str">
        <f>VLOOKUP($A713,Controle!$B$4:$F$68,4,FALSE)</f>
        <v>EDN</v>
      </c>
      <c r="E713" s="2">
        <f>VLOOKUP($A713,Controle!$B$4:$F$68,5,FALSE)</f>
        <v>1</v>
      </c>
      <c r="F713" s="3" t="str">
        <f t="shared" si="237"/>
        <v>Desenvolvimento de projeto - Projetos Básica</v>
      </c>
      <c r="G713" s="2" t="str">
        <f>VLOOKUP($A713,Controle!$B$4:$G$68,6,FALSE)</f>
        <v>Apolo</v>
      </c>
      <c r="H713" s="6">
        <v>0</v>
      </c>
      <c r="I713" s="6">
        <v>0</v>
      </c>
      <c r="J713" s="6">
        <v>0</v>
      </c>
      <c r="K713" s="6">
        <v>0</v>
      </c>
      <c r="L713" s="6">
        <v>0</v>
      </c>
      <c r="M713" s="6">
        <v>0</v>
      </c>
      <c r="N713" s="6">
        <v>0</v>
      </c>
      <c r="O713" s="4">
        <f t="shared" si="238"/>
        <v>0</v>
      </c>
      <c r="P713" s="5">
        <f>SUMIFS('Desenvolvimento diário'!$H:$H,'Desenvolvimento diário'!$Q:$Q,$B713,'Desenvolvimento diário'!$P:$P,$F713,'Desenvolvimento diário'!$R:$R,"Sim")</f>
        <v>0</v>
      </c>
      <c r="Q713" s="5">
        <f>SUMIFS('Desenvolvimento diário'!$H:$H,'Desenvolvimento diário'!$Q:$Q,$B713,'Desenvolvimento diário'!$P:$P,$F713,'Desenvolvimento diário'!$R:$R,"Não")</f>
        <v>0</v>
      </c>
      <c r="R713" s="4">
        <f t="shared" si="239"/>
        <v>0</v>
      </c>
      <c r="S713" s="4">
        <f t="shared" si="240"/>
        <v>0</v>
      </c>
      <c r="T713" s="12">
        <f t="shared" si="230"/>
        <v>0</v>
      </c>
      <c r="Y713" s="2"/>
      <c r="Z713" s="2"/>
      <c r="AA713" s="2"/>
      <c r="AB713" s="2"/>
      <c r="AC713" s="2"/>
    </row>
    <row r="714" spans="1:29" ht="10.5" hidden="1">
      <c r="A714" s="2">
        <f t="shared" si="241"/>
        <v>21</v>
      </c>
      <c r="B714" s="2" t="str">
        <f>VLOOKUP($A714,Controle!$B$4:$F$68,2,FALSE)</f>
        <v>Indaiabira 3</v>
      </c>
      <c r="C714" s="2" t="str">
        <f>VLOOKUP($A714,Controle!$B$4:$F$68,3,FALSE)</f>
        <v xml:space="preserve">ESTRELA DO NORTE </v>
      </c>
      <c r="D714" s="2" t="str">
        <f>VLOOKUP($A714,Controle!$B$4:$F$68,4,FALSE)</f>
        <v>EDN</v>
      </c>
      <c r="E714" s="2">
        <f>VLOOKUP($A714,Controle!$B$4:$F$68,5,FALSE)</f>
        <v>1</v>
      </c>
      <c r="F714" s="3" t="str">
        <f t="shared" si="237"/>
        <v>Desenvolvimento de projeto - Projetos Detalhada</v>
      </c>
      <c r="G714" s="2" t="str">
        <f>VLOOKUP($A714,Controle!$B$4:$G$68,6,FALSE)</f>
        <v>Apolo</v>
      </c>
      <c r="H714" s="6">
        <v>0</v>
      </c>
      <c r="I714" s="6">
        <v>0</v>
      </c>
      <c r="J714" s="6">
        <v>0</v>
      </c>
      <c r="K714" s="6">
        <v>0</v>
      </c>
      <c r="L714" s="6">
        <v>0</v>
      </c>
      <c r="M714" s="6">
        <v>0</v>
      </c>
      <c r="N714" s="6">
        <v>0</v>
      </c>
      <c r="O714" s="4">
        <f t="shared" si="238"/>
        <v>0</v>
      </c>
      <c r="P714" s="5">
        <f>SUMIFS('Desenvolvimento diário'!$H:$H,'Desenvolvimento diário'!$Q:$Q,$B714,'Desenvolvimento diário'!$P:$P,$F714,'Desenvolvimento diário'!$R:$R,"Sim")</f>
        <v>0</v>
      </c>
      <c r="Q714" s="5">
        <f>SUMIFS('Desenvolvimento diário'!$H:$H,'Desenvolvimento diário'!$Q:$Q,$B714,'Desenvolvimento diário'!$P:$P,$F714,'Desenvolvimento diário'!$R:$R,"Não")</f>
        <v>0</v>
      </c>
      <c r="R714" s="4">
        <f t="shared" si="239"/>
        <v>0</v>
      </c>
      <c r="S714" s="4">
        <f t="shared" si="240"/>
        <v>0</v>
      </c>
      <c r="T714" s="12">
        <f t="shared" si="230"/>
        <v>0</v>
      </c>
      <c r="Y714" s="2"/>
      <c r="Z714" s="2"/>
      <c r="AA714" s="2"/>
      <c r="AB714" s="2"/>
      <c r="AC714" s="2"/>
    </row>
    <row r="715" spans="1:29" ht="10.5" hidden="1">
      <c r="A715" s="2">
        <f t="shared" si="241"/>
        <v>21</v>
      </c>
      <c r="B715" s="2" t="str">
        <f>VLOOKUP($A715,Controle!$B$4:$F$68,2,FALSE)</f>
        <v>Indaiabira 3</v>
      </c>
      <c r="C715" s="2" t="str">
        <f>VLOOKUP($A715,Controle!$B$4:$F$68,3,FALSE)</f>
        <v xml:space="preserve">ESTRELA DO NORTE </v>
      </c>
      <c r="D715" s="2" t="str">
        <f>VLOOKUP($A715,Controle!$B$4:$F$68,4,FALSE)</f>
        <v>EDN</v>
      </c>
      <c r="E715" s="2">
        <f>VLOOKUP($A715,Controle!$B$4:$F$68,5,FALSE)</f>
        <v>1</v>
      </c>
      <c r="F715" s="3" t="str">
        <f t="shared" si="237"/>
        <v>Desenvolvimento de projeto - Ambiental / Outros</v>
      </c>
      <c r="G715" s="2" t="str">
        <f>VLOOKUP($A715,Controle!$B$4:$G$68,6,FALSE)</f>
        <v>Apolo</v>
      </c>
      <c r="H715" s="6" t="s">
        <v>148</v>
      </c>
      <c r="I715" s="6">
        <f>R715</f>
        <v>104859.75000000001</v>
      </c>
      <c r="J715" s="6">
        <v>0</v>
      </c>
      <c r="K715" s="6">
        <v>0</v>
      </c>
      <c r="L715" s="6">
        <v>0</v>
      </c>
      <c r="M715" s="6">
        <v>0</v>
      </c>
      <c r="N715" s="6">
        <v>0</v>
      </c>
      <c r="O715" s="4">
        <f t="shared" si="238"/>
        <v>104859.75000000001</v>
      </c>
      <c r="P715" s="5">
        <f>SUMIFS('Desenvolvimento diário'!$H:$H,'Desenvolvimento diário'!$Q:$Q,$B715,'Desenvolvimento diário'!$P:$P,$F715,'Desenvolvimento diário'!$R:$R,"Sim")</f>
        <v>0</v>
      </c>
      <c r="Q715" s="5">
        <f>SUMIFS('Desenvolvimento diário'!$H:$H,'Desenvolvimento diário'!$Q:$Q,$B715,'Desenvolvimento diário'!$P:$P,$F715,'Desenvolvimento diário'!$R:$R,"Não")</f>
        <v>104859.75000000001</v>
      </c>
      <c r="R715" s="4">
        <f t="shared" si="239"/>
        <v>104859.75000000001</v>
      </c>
      <c r="S715" s="4">
        <f t="shared" si="240"/>
        <v>0</v>
      </c>
      <c r="T715" s="12">
        <f t="shared" si="230"/>
        <v>1</v>
      </c>
      <c r="Y715" s="2"/>
      <c r="Z715" s="2"/>
      <c r="AA715" s="2"/>
      <c r="AB715" s="2"/>
      <c r="AC715" s="2"/>
    </row>
    <row r="716" spans="1:29" hidden="1">
      <c r="A716" s="2">
        <f t="shared" si="241"/>
        <v>21</v>
      </c>
      <c r="B716" s="2" t="str">
        <f>VLOOKUP($A716,Controle!$B$4:$F$68,2,FALSE)</f>
        <v>Indaiabira 3</v>
      </c>
      <c r="C716" s="2" t="str">
        <f>VLOOKUP($A716,Controle!$B$4:$F$68,3,FALSE)</f>
        <v xml:space="preserve">ESTRELA DO NORTE </v>
      </c>
      <c r="D716" s="2" t="str">
        <f>VLOOKUP($A716,Controle!$B$4:$F$68,4,FALSE)</f>
        <v>EDN</v>
      </c>
      <c r="E716" s="2">
        <f>VLOOKUP($A716,Controle!$B$4:$F$68,5,FALSE)</f>
        <v>1</v>
      </c>
      <c r="F716" s="3" t="str">
        <f t="shared" si="237"/>
        <v>Desenvolvimento de projeto - Coordenograma</v>
      </c>
      <c r="G716" s="2" t="str">
        <f>VLOOKUP($A716,Controle!$B$4:$G$68,6,FALSE)</f>
        <v>Apolo</v>
      </c>
      <c r="H716" s="31" t="s">
        <v>149</v>
      </c>
      <c r="I716" s="31">
        <v>7000</v>
      </c>
      <c r="J716" s="31">
        <v>0</v>
      </c>
      <c r="K716" s="31">
        <v>0</v>
      </c>
      <c r="L716" s="6">
        <v>0</v>
      </c>
      <c r="M716" s="6">
        <v>0</v>
      </c>
      <c r="N716" s="6">
        <v>0</v>
      </c>
      <c r="O716" s="4">
        <f t="shared" si="238"/>
        <v>7000</v>
      </c>
      <c r="P716" s="5">
        <f>SUMIFS('Desenvolvimento diário'!$H:$H,'Desenvolvimento diário'!$Q:$Q,$B716,'Desenvolvimento diário'!$P:$P,$F716,'Desenvolvimento diário'!$R:$R,"Sim")</f>
        <v>0</v>
      </c>
      <c r="Q716" s="5">
        <f>SUMIFS('Desenvolvimento diário'!$H:$H,'Desenvolvimento diário'!$Q:$Q,$B716,'Desenvolvimento diário'!$P:$P,$F716,'Desenvolvimento diário'!$R:$R,"Não")</f>
        <v>7000</v>
      </c>
      <c r="R716" s="4">
        <f t="shared" si="239"/>
        <v>7000</v>
      </c>
      <c r="S716" s="4">
        <f t="shared" si="240"/>
        <v>0</v>
      </c>
      <c r="T716" s="12">
        <f t="shared" si="230"/>
        <v>1</v>
      </c>
      <c r="Y716" s="2"/>
      <c r="Z716" s="2"/>
      <c r="AA716" s="2"/>
      <c r="AB716" s="2"/>
      <c r="AC716" s="2"/>
    </row>
    <row r="717" spans="1:29" ht="10.5" hidden="1">
      <c r="A717" s="2">
        <f t="shared" si="241"/>
        <v>21</v>
      </c>
      <c r="B717" s="2" t="str">
        <f>VLOOKUP($A717,Controle!$B$4:$F$68,2,FALSE)</f>
        <v>Indaiabira 3</v>
      </c>
      <c r="C717" s="2" t="str">
        <f>VLOOKUP($A717,Controle!$B$4:$F$68,3,FALSE)</f>
        <v xml:space="preserve">ESTRELA DO NORTE </v>
      </c>
      <c r="D717" s="2" t="str">
        <f>VLOOKUP($A717,Controle!$B$4:$F$68,4,FALSE)</f>
        <v>EDN</v>
      </c>
      <c r="E717" s="2">
        <f>VLOOKUP($A717,Controle!$B$4:$F$68,5,FALSE)</f>
        <v>1</v>
      </c>
      <c r="F717" s="3" t="str">
        <f t="shared" si="237"/>
        <v>Sistemas de Monitoramento - Supervisório</v>
      </c>
      <c r="G717" s="2" t="str">
        <f>VLOOKUP($A717,Controle!$B$4:$G$68,6,FALSE)</f>
        <v>Apolo</v>
      </c>
      <c r="H717" s="6" t="s">
        <v>150</v>
      </c>
      <c r="I717" s="6">
        <v>136155</v>
      </c>
      <c r="J717" s="6"/>
      <c r="K717" s="6">
        <v>0</v>
      </c>
      <c r="L717" s="6">
        <v>0</v>
      </c>
      <c r="M717" s="6">
        <v>0</v>
      </c>
      <c r="N717" s="6">
        <v>0</v>
      </c>
      <c r="O717" s="4">
        <f t="shared" si="238"/>
        <v>136155</v>
      </c>
      <c r="P717" s="5">
        <f>SUMIFS('Desenvolvimento diário'!$H:$H,'Desenvolvimento diário'!$Q:$Q,$B717,'Desenvolvimento diário'!$P:$P,$F717,'Desenvolvimento diário'!$R:$R,"Sim")</f>
        <v>38768.15</v>
      </c>
      <c r="Q717" s="5">
        <f>SUMIFS('Desenvolvimento diário'!$H:$H,'Desenvolvimento diário'!$Q:$Q,$B717,'Desenvolvimento diário'!$P:$P,$F717,'Desenvolvimento diário'!$R:$R,"Não")</f>
        <v>97386.85</v>
      </c>
      <c r="R717" s="4">
        <f t="shared" si="239"/>
        <v>136155</v>
      </c>
      <c r="S717" s="4">
        <f t="shared" si="240"/>
        <v>0</v>
      </c>
      <c r="T717" s="12">
        <f t="shared" si="230"/>
        <v>1</v>
      </c>
      <c r="Y717" s="2"/>
      <c r="Z717" s="2"/>
      <c r="AA717" s="2"/>
      <c r="AB717" s="2"/>
      <c r="AC717" s="2"/>
    </row>
    <row r="718" spans="1:29" ht="10.5" hidden="1">
      <c r="A718" s="2">
        <f t="shared" si="241"/>
        <v>21</v>
      </c>
      <c r="B718" s="2" t="str">
        <f>VLOOKUP($A718,Controle!$B$4:$F$68,2,FALSE)</f>
        <v>Indaiabira 3</v>
      </c>
      <c r="C718" s="2" t="str">
        <f>VLOOKUP($A718,Controle!$B$4:$F$68,3,FALSE)</f>
        <v xml:space="preserve">ESTRELA DO NORTE </v>
      </c>
      <c r="D718" s="2" t="str">
        <f>VLOOKUP($A718,Controle!$B$4:$F$68,4,FALSE)</f>
        <v>EDN</v>
      </c>
      <c r="E718" s="2">
        <f>VLOOKUP($A718,Controle!$B$4:$F$68,5,FALSE)</f>
        <v>1</v>
      </c>
      <c r="F718" s="3" t="str">
        <f t="shared" si="237"/>
        <v>Sistemas de Monitoramento - Estações Solarimétricas</v>
      </c>
      <c r="G718" s="2" t="str">
        <f>VLOOKUP($A718,Controle!$B$4:$G$68,6,FALSE)</f>
        <v>Apolo</v>
      </c>
      <c r="H718" s="6" t="s">
        <v>151</v>
      </c>
      <c r="I718" s="6">
        <v>48276.516000000003</v>
      </c>
      <c r="J718" s="6">
        <v>0</v>
      </c>
      <c r="K718" s="6">
        <v>0</v>
      </c>
      <c r="L718" s="6">
        <v>0</v>
      </c>
      <c r="M718" s="6">
        <v>0</v>
      </c>
      <c r="N718" s="6">
        <v>0</v>
      </c>
      <c r="O718" s="4">
        <f t="shared" si="238"/>
        <v>48276.516000000003</v>
      </c>
      <c r="P718" s="5">
        <f>SUMIFS('Desenvolvimento diário'!$H:$H,'Desenvolvimento diário'!$Q:$Q,$B718,'Desenvolvimento diário'!$P:$P,$F718,'Desenvolvimento diário'!$R:$R,"Sim")</f>
        <v>0</v>
      </c>
      <c r="Q718" s="5">
        <f>SUMIFS('Desenvolvimento diário'!$H:$H,'Desenvolvimento diário'!$Q:$Q,$B718,'Desenvolvimento diário'!$P:$P,$F718,'Desenvolvimento diário'!$R:$R,"Não")</f>
        <v>48276.516000000003</v>
      </c>
      <c r="R718" s="4">
        <f t="shared" si="239"/>
        <v>48276.516000000003</v>
      </c>
      <c r="S718" s="4">
        <f t="shared" si="240"/>
        <v>0</v>
      </c>
      <c r="T718" s="12">
        <f t="shared" si="230"/>
        <v>1</v>
      </c>
      <c r="Y718" s="2"/>
      <c r="Z718" s="2"/>
      <c r="AA718" s="2"/>
      <c r="AB718" s="2"/>
      <c r="AC718" s="2"/>
    </row>
    <row r="719" spans="1:29" hidden="1">
      <c r="A719" s="2">
        <f t="shared" si="241"/>
        <v>21</v>
      </c>
      <c r="B719" s="2" t="str">
        <f>VLOOKUP($A719,Controle!$B$4:$F$68,2,FALSE)</f>
        <v>Indaiabira 3</v>
      </c>
      <c r="C719" s="2" t="str">
        <f>VLOOKUP($A719,Controle!$B$4:$F$68,3,FALSE)</f>
        <v xml:space="preserve">ESTRELA DO NORTE </v>
      </c>
      <c r="D719" s="2" t="str">
        <f>VLOOKUP($A719,Controle!$B$4:$F$68,4,FALSE)</f>
        <v>EDN</v>
      </c>
      <c r="E719" s="2">
        <f>VLOOKUP($A719,Controle!$B$4:$F$68,5,FALSE)</f>
        <v>1</v>
      </c>
      <c r="F719" s="3" t="str">
        <f t="shared" si="237"/>
        <v>Sistemas de Monitoramento - CFTV</v>
      </c>
      <c r="G719" s="2" t="str">
        <f>VLOOKUP($A719,Controle!$B$4:$G$68,6,FALSE)</f>
        <v>Apolo</v>
      </c>
      <c r="H719" s="31" t="s">
        <v>152</v>
      </c>
      <c r="I719" s="6">
        <v>295918.52</v>
      </c>
      <c r="J719" s="6">
        <v>0</v>
      </c>
      <c r="K719" s="6">
        <v>0</v>
      </c>
      <c r="L719" s="6">
        <v>0</v>
      </c>
      <c r="M719" s="6">
        <v>0</v>
      </c>
      <c r="N719" s="6">
        <v>0</v>
      </c>
      <c r="O719" s="4">
        <f t="shared" si="238"/>
        <v>295918.52</v>
      </c>
      <c r="P719" s="5">
        <f>SUMIFS('Desenvolvimento diário'!$H:$H,'Desenvolvimento diário'!$Q:$Q,$B719,'Desenvolvimento diário'!$P:$P,$F719,'Desenvolvimento diário'!$R:$R,"Sim")</f>
        <v>4713.8900000000003</v>
      </c>
      <c r="Q719" s="5">
        <f>SUMIFS('Desenvolvimento diário'!$H:$H,'Desenvolvimento diário'!$Q:$Q,$B719,'Desenvolvimento diário'!$P:$P,$F719,'Desenvolvimento diário'!$R:$R,"Não")</f>
        <v>291204.63</v>
      </c>
      <c r="R719" s="4">
        <f t="shared" si="239"/>
        <v>295918.52</v>
      </c>
      <c r="S719" s="4">
        <f t="shared" si="240"/>
        <v>0</v>
      </c>
      <c r="T719" s="12">
        <f t="shared" si="230"/>
        <v>1</v>
      </c>
      <c r="Y719" s="2"/>
      <c r="Z719" s="2"/>
      <c r="AA719" s="2"/>
      <c r="AB719" s="2"/>
      <c r="AC719" s="2"/>
    </row>
    <row r="720" spans="1:29" ht="10.5" hidden="1">
      <c r="A720" s="2">
        <f t="shared" si="241"/>
        <v>21</v>
      </c>
      <c r="B720" s="2" t="str">
        <f>VLOOKUP($A720,Controle!$B$4:$F$68,2,FALSE)</f>
        <v>Indaiabira 3</v>
      </c>
      <c r="C720" s="2" t="str">
        <f>VLOOKUP($A720,Controle!$B$4:$F$68,3,FALSE)</f>
        <v xml:space="preserve">ESTRELA DO NORTE </v>
      </c>
      <c r="D720" s="2" t="str">
        <f>VLOOKUP($A720,Controle!$B$4:$F$68,4,FALSE)</f>
        <v>EDN</v>
      </c>
      <c r="E720" s="2">
        <f>VLOOKUP($A720,Controle!$B$4:$F$68,5,FALSE)</f>
        <v>1</v>
      </c>
      <c r="F720" s="3" t="str">
        <f t="shared" si="237"/>
        <v>Serviços Auxiliares - Drenagem</v>
      </c>
      <c r="G720" s="2" t="str">
        <f>VLOOKUP($A720,Controle!$B$4:$G$68,6,FALSE)</f>
        <v>Apolo</v>
      </c>
      <c r="H720" s="6" t="s">
        <v>198</v>
      </c>
      <c r="I720" s="6">
        <v>483907.12949999998</v>
      </c>
      <c r="J720" s="6">
        <v>0</v>
      </c>
      <c r="K720" s="6">
        <v>0</v>
      </c>
      <c r="L720" s="6">
        <v>0</v>
      </c>
      <c r="M720" s="6">
        <v>0</v>
      </c>
      <c r="N720" s="6">
        <v>0</v>
      </c>
      <c r="O720" s="4">
        <f t="shared" si="238"/>
        <v>483907.12949999998</v>
      </c>
      <c r="P720" s="5">
        <f>SUMIFS('Desenvolvimento diário'!$H:$H,'Desenvolvimento diário'!$Q:$Q,$B720,'Desenvolvimento diário'!$P:$P,$F720,'Desenvolvimento diário'!$R:$R,"Sim")</f>
        <v>0</v>
      </c>
      <c r="Q720" s="5">
        <f>SUMIFS('Desenvolvimento diário'!$H:$H,'Desenvolvimento diário'!$Q:$Q,$B720,'Desenvolvimento diário'!$P:$P,$F720,'Desenvolvimento diário'!$R:$R,"Não")</f>
        <v>483907.12950000004</v>
      </c>
      <c r="R720" s="4">
        <f t="shared" si="239"/>
        <v>483907.12950000004</v>
      </c>
      <c r="S720" s="4">
        <f t="shared" si="240"/>
        <v>0</v>
      </c>
      <c r="T720" s="12">
        <f t="shared" si="230"/>
        <v>1.0000000000000002</v>
      </c>
      <c r="Y720" s="2"/>
      <c r="Z720" s="2"/>
      <c r="AA720" s="2"/>
      <c r="AB720" s="2"/>
      <c r="AC720" s="2"/>
    </row>
    <row r="721" spans="1:29" ht="10.5" hidden="1">
      <c r="A721" s="2">
        <f t="shared" si="241"/>
        <v>21</v>
      </c>
      <c r="B721" s="2" t="str">
        <f>VLOOKUP($A721,Controle!$B$4:$F$68,2,FALSE)</f>
        <v>Indaiabira 3</v>
      </c>
      <c r="C721" s="2" t="str">
        <f>VLOOKUP($A721,Controle!$B$4:$F$68,3,FALSE)</f>
        <v xml:space="preserve">ESTRELA DO NORTE </v>
      </c>
      <c r="D721" s="2" t="str">
        <f>VLOOKUP($A721,Controle!$B$4:$F$68,4,FALSE)</f>
        <v>EDN</v>
      </c>
      <c r="E721" s="2">
        <f>VLOOKUP($A721,Controle!$B$4:$F$68,5,FALSE)</f>
        <v>1</v>
      </c>
      <c r="F721" s="3" t="str">
        <f t="shared" si="237"/>
        <v>Serviços Auxiliares - Terraplanagem</v>
      </c>
      <c r="G721" s="2" t="str">
        <f>VLOOKUP($A721,Controle!$B$4:$G$68,6,FALSE)</f>
        <v>Apolo</v>
      </c>
      <c r="H721" s="6" t="s">
        <v>199</v>
      </c>
      <c r="I721" s="6">
        <v>732500</v>
      </c>
      <c r="J721" s="6">
        <v>0</v>
      </c>
      <c r="K721" s="6">
        <v>0</v>
      </c>
      <c r="L721" s="6">
        <v>0</v>
      </c>
      <c r="M721" s="6">
        <v>0</v>
      </c>
      <c r="N721" s="6">
        <v>0</v>
      </c>
      <c r="O721" s="4">
        <f t="shared" si="238"/>
        <v>732500</v>
      </c>
      <c r="P721" s="5">
        <f>SUMIFS('Desenvolvimento diário'!$H:$H,'Desenvolvimento diário'!$Q:$Q,$B721,'Desenvolvimento diário'!$P:$P,$F721,'Desenvolvimento diário'!$R:$R,"Sim")</f>
        <v>0</v>
      </c>
      <c r="Q721" s="5">
        <f>SUMIFS('Desenvolvimento diário'!$H:$H,'Desenvolvimento diário'!$Q:$Q,$B721,'Desenvolvimento diário'!$P:$P,$F721,'Desenvolvimento diário'!$R:$R,"Não")</f>
        <v>732500</v>
      </c>
      <c r="R721" s="4">
        <f t="shared" si="239"/>
        <v>732500</v>
      </c>
      <c r="S721" s="4">
        <f t="shared" si="240"/>
        <v>0</v>
      </c>
      <c r="T721" s="12">
        <f t="shared" si="230"/>
        <v>1</v>
      </c>
      <c r="Y721" s="2"/>
      <c r="Z721" s="2"/>
      <c r="AA721" s="2"/>
      <c r="AB721" s="2"/>
      <c r="AC721" s="2"/>
    </row>
    <row r="722" spans="1:29" ht="10.5" hidden="1">
      <c r="A722" s="2">
        <f t="shared" si="241"/>
        <v>21</v>
      </c>
      <c r="B722" s="2" t="str">
        <f>VLOOKUP($A722,Controle!$B$4:$F$68,2,FALSE)</f>
        <v>Indaiabira 3</v>
      </c>
      <c r="C722" s="2" t="str">
        <f>VLOOKUP($A722,Controle!$B$4:$F$68,3,FALSE)</f>
        <v xml:space="preserve">ESTRELA DO NORTE </v>
      </c>
      <c r="D722" s="2" t="str">
        <f>VLOOKUP($A722,Controle!$B$4:$F$68,4,FALSE)</f>
        <v>EDN</v>
      </c>
      <c r="E722" s="2">
        <f>VLOOKUP($A722,Controle!$B$4:$F$68,5,FALSE)</f>
        <v>1</v>
      </c>
      <c r="F722" s="3" t="str">
        <f t="shared" si="237"/>
        <v>Serviços Auxiliares - Supressão Vegetal</v>
      </c>
      <c r="G722" s="2" t="str">
        <f>VLOOKUP($A722,Controle!$B$4:$G$68,6,FALSE)</f>
        <v>Apolo</v>
      </c>
      <c r="H722" s="6">
        <v>0</v>
      </c>
      <c r="I722" s="6">
        <v>0</v>
      </c>
      <c r="J722" s="6">
        <v>0</v>
      </c>
      <c r="K722" s="6">
        <v>0</v>
      </c>
      <c r="L722" s="6">
        <v>0</v>
      </c>
      <c r="M722" s="6">
        <v>0</v>
      </c>
      <c r="N722" s="6">
        <v>0</v>
      </c>
      <c r="O722" s="4">
        <f t="shared" si="238"/>
        <v>0</v>
      </c>
      <c r="P722" s="5">
        <f>SUMIFS('Desenvolvimento diário'!$H:$H,'Desenvolvimento diário'!$Q:$Q,$B722,'Desenvolvimento diário'!$P:$P,$F722,'Desenvolvimento diário'!$R:$R,"Sim")</f>
        <v>0</v>
      </c>
      <c r="Q722" s="5">
        <f>SUMIFS('Desenvolvimento diário'!$H:$H,'Desenvolvimento diário'!$Q:$Q,$B722,'Desenvolvimento diário'!$P:$P,$F722,'Desenvolvimento diário'!$R:$R,"Não")</f>
        <v>0</v>
      </c>
      <c r="R722" s="4">
        <f t="shared" si="239"/>
        <v>0</v>
      </c>
      <c r="S722" s="4">
        <f t="shared" si="240"/>
        <v>0</v>
      </c>
      <c r="T722" s="12">
        <f t="shared" si="230"/>
        <v>0</v>
      </c>
      <c r="Y722" s="2"/>
      <c r="Z722" s="2"/>
      <c r="AA722" s="2"/>
      <c r="AB722" s="2"/>
      <c r="AC722" s="2"/>
    </row>
    <row r="723" spans="1:29" ht="10.5" hidden="1">
      <c r="A723" s="2">
        <f t="shared" si="241"/>
        <v>21</v>
      </c>
      <c r="B723" s="2" t="str">
        <f>VLOOKUP($A723,Controle!$B$4:$F$68,2,FALSE)</f>
        <v>Indaiabira 3</v>
      </c>
      <c r="C723" s="2" t="str">
        <f>VLOOKUP($A723,Controle!$B$4:$F$68,3,FALSE)</f>
        <v xml:space="preserve">ESTRELA DO NORTE </v>
      </c>
      <c r="D723" s="2" t="str">
        <f>VLOOKUP($A723,Controle!$B$4:$F$68,4,FALSE)</f>
        <v>EDN</v>
      </c>
      <c r="E723" s="2">
        <f>VLOOKUP($A723,Controle!$B$4:$F$68,5,FALSE)</f>
        <v>1</v>
      </c>
      <c r="F723" s="3" t="str">
        <f t="shared" si="237"/>
        <v>RDR-Rede de Distribuição Rural</v>
      </c>
      <c r="G723" s="2" t="str">
        <f>VLOOKUP($A723,Controle!$B$4:$G$68,6,FALSE)</f>
        <v>Apolo</v>
      </c>
      <c r="H723" s="6">
        <v>0</v>
      </c>
      <c r="I723" s="6">
        <v>0</v>
      </c>
      <c r="J723" s="6">
        <v>0</v>
      </c>
      <c r="K723" s="6">
        <v>0</v>
      </c>
      <c r="L723" s="6">
        <v>0</v>
      </c>
      <c r="M723" s="6">
        <v>0</v>
      </c>
      <c r="N723" s="6">
        <v>0</v>
      </c>
      <c r="O723" s="4">
        <f t="shared" si="238"/>
        <v>0</v>
      </c>
      <c r="P723" s="5">
        <f>SUMIFS('Desenvolvimento diário'!$H:$H,'Desenvolvimento diário'!$Q:$Q,$B723,'Desenvolvimento diário'!$P:$P,$F723,'Desenvolvimento diário'!$R:$R,"Sim")</f>
        <v>0</v>
      </c>
      <c r="Q723" s="5">
        <f>SUMIFS('Desenvolvimento diário'!$H:$H,'Desenvolvimento diário'!$Q:$Q,$B723,'Desenvolvimento diário'!$P:$P,$F723,'Desenvolvimento diário'!$R:$R,"Não")</f>
        <v>0</v>
      </c>
      <c r="R723" s="4">
        <f t="shared" si="239"/>
        <v>0</v>
      </c>
      <c r="S723" s="4">
        <f t="shared" si="240"/>
        <v>0</v>
      </c>
      <c r="T723" s="12">
        <f t="shared" si="230"/>
        <v>0</v>
      </c>
      <c r="Y723" s="2"/>
      <c r="Z723" s="2"/>
      <c r="AA723" s="2"/>
      <c r="AB723" s="2"/>
      <c r="AC723" s="2"/>
    </row>
    <row r="724" spans="1:29" ht="10.5" hidden="1">
      <c r="A724" s="2">
        <f t="shared" si="241"/>
        <v>21</v>
      </c>
      <c r="B724" s="2" t="str">
        <f>VLOOKUP($A724,Controle!$B$4:$F$68,2,FALSE)</f>
        <v>Indaiabira 3</v>
      </c>
      <c r="C724" s="2" t="str">
        <f>VLOOKUP($A724,Controle!$B$4:$F$68,3,FALSE)</f>
        <v xml:space="preserve">ESTRELA DO NORTE </v>
      </c>
      <c r="D724" s="2" t="str">
        <f>VLOOKUP($A724,Controle!$B$4:$F$68,4,FALSE)</f>
        <v>EDN</v>
      </c>
      <c r="E724" s="2">
        <f>VLOOKUP($A724,Controle!$B$4:$F$68,5,FALSE)</f>
        <v>1</v>
      </c>
      <c r="F724" s="3" t="str">
        <f t="shared" si="237"/>
        <v>Escopo COMERC</v>
      </c>
      <c r="G724" s="2" t="str">
        <f>VLOOKUP($A724,Controle!$B$4:$G$68,6,FALSE)</f>
        <v>Apolo</v>
      </c>
      <c r="H724" s="6">
        <v>0</v>
      </c>
      <c r="I724" s="6">
        <v>133833.06</v>
      </c>
      <c r="J724" s="29">
        <v>33500</v>
      </c>
      <c r="K724" s="29"/>
      <c r="L724" s="6">
        <v>0</v>
      </c>
      <c r="M724" s="6">
        <v>0</v>
      </c>
      <c r="N724" s="6">
        <v>0</v>
      </c>
      <c r="O724" s="4">
        <f t="shared" si="238"/>
        <v>167333.06</v>
      </c>
      <c r="P724" s="5">
        <f>SUMIFS('Desenvolvimento diário'!$H:$H,'Desenvolvimento diário'!$Q:$Q,$B724,'Desenvolvimento diário'!$P:$P,$F724,'Desenvolvimento diário'!$R:$R,"Sim")</f>
        <v>0</v>
      </c>
      <c r="Q724" s="5">
        <f>SUMIFS('Desenvolvimento diário'!$H:$H,'Desenvolvimento diário'!$Q:$Q,$B724,'Desenvolvimento diário'!$P:$P,$F724,'Desenvolvimento diário'!$R:$R,"Não")</f>
        <v>134831.84</v>
      </c>
      <c r="R724" s="4">
        <f t="shared" si="239"/>
        <v>134831.84</v>
      </c>
      <c r="S724" s="1010">
        <f t="shared" si="240"/>
        <v>32501.22</v>
      </c>
      <c r="T724" s="12">
        <f t="shared" si="230"/>
        <v>0.80576928432432893</v>
      </c>
      <c r="U724" s="1011" t="s">
        <v>166</v>
      </c>
      <c r="V724" s="1011" t="s">
        <v>167</v>
      </c>
      <c r="Y724" s="2"/>
      <c r="Z724" s="2"/>
      <c r="AA724" s="2"/>
      <c r="AB724" s="2"/>
      <c r="AC724" s="2"/>
    </row>
    <row r="725" spans="1:29" ht="10.5" hidden="1">
      <c r="A725" s="2">
        <f t="shared" si="241"/>
        <v>21</v>
      </c>
      <c r="B725" s="2" t="str">
        <f>VLOOKUP($A725,Controle!$B$4:$F$68,2,FALSE)</f>
        <v>Indaiabira 3</v>
      </c>
      <c r="C725" s="2" t="str">
        <f>VLOOKUP($A725,Controle!$B$4:$F$68,3,FALSE)</f>
        <v xml:space="preserve">ESTRELA DO NORTE </v>
      </c>
      <c r="D725" s="2" t="str">
        <f>VLOOKUP($A725,Controle!$B$4:$F$68,4,FALSE)</f>
        <v>EDN</v>
      </c>
      <c r="E725" s="2">
        <f>VLOOKUP($A725,Controle!$B$4:$F$68,5,FALSE)</f>
        <v>1</v>
      </c>
      <c r="F725" s="3" t="str">
        <f t="shared" si="237"/>
        <v>Escopo COMERC - Segurança</v>
      </c>
      <c r="G725" s="2" t="str">
        <f>VLOOKUP($A725,Controle!$B$4:$G$68,6,FALSE)</f>
        <v>Apolo</v>
      </c>
      <c r="H725" s="6">
        <v>0</v>
      </c>
      <c r="I725" s="6">
        <f t="shared" ref="I724:I725" si="242">R725</f>
        <v>169099.89999999997</v>
      </c>
      <c r="J725" s="6">
        <v>0</v>
      </c>
      <c r="K725" s="6">
        <v>0</v>
      </c>
      <c r="L725" s="6">
        <v>0</v>
      </c>
      <c r="M725" s="6">
        <v>0</v>
      </c>
      <c r="N725" s="6">
        <v>0</v>
      </c>
      <c r="O725" s="4">
        <f t="shared" si="238"/>
        <v>169099.89999999997</v>
      </c>
      <c r="P725" s="5">
        <f>SUMIFS('Desenvolvimento diário'!$H:$H,'Desenvolvimento diário'!$Q:$Q,$B725,'Desenvolvimento diário'!$P:$P,$F725,'Desenvolvimento diário'!$R:$R,"Sim")</f>
        <v>0</v>
      </c>
      <c r="Q725" s="5">
        <f>SUMIFS('Desenvolvimento diário'!$H:$H,'Desenvolvimento diário'!$Q:$Q,$B725,'Desenvolvimento diário'!$P:$P,$F725,'Desenvolvimento diário'!$R:$R,"Não")</f>
        <v>169099.89999999997</v>
      </c>
      <c r="R725" s="4">
        <f t="shared" si="239"/>
        <v>169099.89999999997</v>
      </c>
      <c r="S725" s="4">
        <f t="shared" si="240"/>
        <v>0</v>
      </c>
      <c r="T725" s="12">
        <f t="shared" si="230"/>
        <v>1</v>
      </c>
      <c r="Y725" s="2"/>
      <c r="Z725" s="2"/>
      <c r="AA725" s="2"/>
      <c r="AB725" s="2"/>
      <c r="AC725" s="2"/>
    </row>
    <row r="726" spans="1:29" ht="10.5" hidden="1">
      <c r="A726" s="2">
        <f t="shared" si="241"/>
        <v>21</v>
      </c>
      <c r="B726" s="2" t="str">
        <f>VLOOKUP($A726,Controle!$B$4:$F$68,2,FALSE)</f>
        <v>Indaiabira 3</v>
      </c>
      <c r="C726" s="2" t="str">
        <f>VLOOKUP($A726,Controle!$B$4:$F$68,3,FALSE)</f>
        <v xml:space="preserve">ESTRELA DO NORTE </v>
      </c>
      <c r="D726" s="2" t="str">
        <f>VLOOKUP($A726,Controle!$B$4:$F$68,4,FALSE)</f>
        <v>EDN</v>
      </c>
      <c r="E726" s="2">
        <f>VLOOKUP($A726,Controle!$B$4:$F$68,5,FALSE)</f>
        <v>1</v>
      </c>
      <c r="F726" s="3" t="str">
        <f t="shared" si="237"/>
        <v>Conexão MT - Obras Transferencia</v>
      </c>
      <c r="G726" s="2" t="str">
        <f>VLOOKUP($A726,Controle!$B$4:$G$68,6,FALSE)</f>
        <v>Apolo</v>
      </c>
      <c r="H726" s="6">
        <v>0</v>
      </c>
      <c r="I726" s="6">
        <v>0</v>
      </c>
      <c r="J726" s="6">
        <v>0</v>
      </c>
      <c r="K726" s="6">
        <v>0</v>
      </c>
      <c r="L726" s="6">
        <v>0</v>
      </c>
      <c r="M726" s="6">
        <v>0</v>
      </c>
      <c r="N726" s="6">
        <v>0</v>
      </c>
      <c r="O726" s="4">
        <f t="shared" si="238"/>
        <v>0</v>
      </c>
      <c r="P726" s="5">
        <f>SUMIFS('Desenvolvimento diário'!$H:$H,'Desenvolvimento diário'!$Q:$Q,$B726,'Desenvolvimento diário'!$P:$P,$F726,'Desenvolvimento diário'!$R:$R,"Sim")</f>
        <v>0</v>
      </c>
      <c r="Q726" s="5">
        <f>SUMIFS('Desenvolvimento diário'!$H:$H,'Desenvolvimento diário'!$Q:$Q,$B726,'Desenvolvimento diário'!$P:$P,$F726,'Desenvolvimento diário'!$R:$R,"Não")</f>
        <v>0</v>
      </c>
      <c r="R726" s="4">
        <f t="shared" si="239"/>
        <v>0</v>
      </c>
      <c r="S726" s="4">
        <f t="shared" si="240"/>
        <v>0</v>
      </c>
      <c r="T726" s="12">
        <f t="shared" si="230"/>
        <v>0</v>
      </c>
      <c r="Y726" s="2"/>
      <c r="Z726" s="2"/>
      <c r="AA726" s="2"/>
      <c r="AB726" s="2"/>
      <c r="AC726" s="2"/>
    </row>
    <row r="727" spans="1:29" ht="10.5" hidden="1">
      <c r="A727" s="2">
        <f t="shared" si="241"/>
        <v>21</v>
      </c>
      <c r="B727" s="2" t="str">
        <f>VLOOKUP($A727,Controle!$B$4:$F$68,2,FALSE)</f>
        <v>Indaiabira 3</v>
      </c>
      <c r="C727" s="2" t="str">
        <f>VLOOKUP($A727,Controle!$B$4:$F$68,3,FALSE)</f>
        <v xml:space="preserve">ESTRELA DO NORTE </v>
      </c>
      <c r="D727" s="2" t="str">
        <f>VLOOKUP($A727,Controle!$B$4:$F$68,4,FALSE)</f>
        <v>EDN</v>
      </c>
      <c r="E727" s="2">
        <f>VLOOKUP($A727,Controle!$B$4:$F$68,5,FALSE)</f>
        <v>1</v>
      </c>
      <c r="F727" s="3" t="str">
        <f t="shared" si="237"/>
        <v>Bases de Contaniers</v>
      </c>
      <c r="G727" s="2" t="str">
        <f>VLOOKUP($A727,Controle!$B$4:$G$68,6,FALSE)</f>
        <v>Apolo</v>
      </c>
      <c r="H727" s="6">
        <v>0</v>
      </c>
      <c r="I727" s="6">
        <v>0</v>
      </c>
      <c r="J727" s="6">
        <v>0</v>
      </c>
      <c r="K727" s="6">
        <v>0</v>
      </c>
      <c r="L727" s="6">
        <v>0</v>
      </c>
      <c r="M727" s="6">
        <v>0</v>
      </c>
      <c r="N727" s="6">
        <v>0</v>
      </c>
      <c r="O727" s="4">
        <f t="shared" si="238"/>
        <v>0</v>
      </c>
      <c r="P727" s="5">
        <f>SUMIFS('Desenvolvimento diário'!$H:$H,'Desenvolvimento diário'!$Q:$Q,$B727,'Desenvolvimento diário'!$P:$P,$F727,'Desenvolvimento diário'!$R:$R,"Sim")</f>
        <v>0</v>
      </c>
      <c r="Q727" s="5">
        <f>SUMIFS('Desenvolvimento diário'!$H:$H,'Desenvolvimento diário'!$Q:$Q,$B727,'Desenvolvimento diário'!$P:$P,$F727,'Desenvolvimento diário'!$R:$R,"Não")</f>
        <v>0</v>
      </c>
      <c r="R727" s="4">
        <f t="shared" si="239"/>
        <v>0</v>
      </c>
      <c r="S727" s="4">
        <f t="shared" si="240"/>
        <v>0</v>
      </c>
      <c r="T727" s="12">
        <f t="shared" si="230"/>
        <v>0</v>
      </c>
      <c r="Y727" s="2"/>
      <c r="Z727" s="2"/>
      <c r="AA727" s="2"/>
      <c r="AB727" s="2"/>
      <c r="AC727" s="2"/>
    </row>
    <row r="728" spans="1:29" ht="10.5" hidden="1">
      <c r="A728" s="2">
        <f t="shared" si="241"/>
        <v>21</v>
      </c>
      <c r="B728" s="2" t="str">
        <f>VLOOKUP($A728,Controle!$B$4:$F$68,2,FALSE)</f>
        <v>Indaiabira 3</v>
      </c>
      <c r="C728" s="2" t="str">
        <f>VLOOKUP($A728,Controle!$B$4:$F$68,3,FALSE)</f>
        <v xml:space="preserve">ESTRELA DO NORTE </v>
      </c>
      <c r="D728" s="2" t="str">
        <f>VLOOKUP($A728,Controle!$B$4:$F$68,4,FALSE)</f>
        <v>EDN</v>
      </c>
      <c r="E728" s="2">
        <f>VLOOKUP($A728,Controle!$B$4:$F$68,5,FALSE)</f>
        <v>1</v>
      </c>
      <c r="F728" s="3" t="str">
        <f t="shared" si="237"/>
        <v>Construção - Serviços de Construção - Ase Engenharia</v>
      </c>
      <c r="G728" s="2" t="str">
        <f>VLOOKUP($A728,Controle!$B$4:$G$68,6,FALSE)</f>
        <v>Apolo</v>
      </c>
      <c r="H728" s="6">
        <v>0</v>
      </c>
      <c r="I728" s="6">
        <v>0</v>
      </c>
      <c r="J728" s="6">
        <v>0</v>
      </c>
      <c r="K728" s="6">
        <v>0</v>
      </c>
      <c r="L728" s="6">
        <v>0</v>
      </c>
      <c r="M728" s="6">
        <v>0</v>
      </c>
      <c r="N728" s="6">
        <v>0</v>
      </c>
      <c r="O728" s="4">
        <f t="shared" si="238"/>
        <v>0</v>
      </c>
      <c r="P728" s="5">
        <f>SUMIFS('Desenvolvimento diário'!$H:$H,'Desenvolvimento diário'!$Q:$Q,$B728,'Desenvolvimento diário'!$P:$P,$F728,'Desenvolvimento diário'!$R:$R,"Sim")</f>
        <v>0</v>
      </c>
      <c r="Q728" s="5">
        <f>SUMIFS('Desenvolvimento diário'!$H:$H,'Desenvolvimento diário'!$Q:$Q,$B728,'Desenvolvimento diário'!$P:$P,$F728,'Desenvolvimento diário'!$R:$R,"Não")</f>
        <v>0</v>
      </c>
      <c r="R728" s="4">
        <f t="shared" si="239"/>
        <v>0</v>
      </c>
      <c r="S728" s="4">
        <f t="shared" si="240"/>
        <v>0</v>
      </c>
      <c r="T728" s="12">
        <f t="shared" si="230"/>
        <v>0</v>
      </c>
      <c r="Y728" s="2"/>
      <c r="Z728" s="2"/>
      <c r="AA728" s="2"/>
      <c r="AB728" s="2"/>
      <c r="AC728" s="2"/>
    </row>
    <row r="729" spans="1:29" ht="10.5" hidden="1">
      <c r="A729" s="2">
        <f t="shared" si="241"/>
        <v>21</v>
      </c>
      <c r="B729" s="2" t="str">
        <f>VLOOKUP($A729,Controle!$B$4:$F$68,2,FALSE)</f>
        <v>Indaiabira 3</v>
      </c>
      <c r="C729" s="2" t="str">
        <f>VLOOKUP($A729,Controle!$B$4:$F$68,3,FALSE)</f>
        <v xml:space="preserve">ESTRELA DO NORTE </v>
      </c>
      <c r="D729" s="2" t="str">
        <f>VLOOKUP($A729,Controle!$B$4:$F$68,4,FALSE)</f>
        <v>EDN</v>
      </c>
      <c r="E729" s="2">
        <f>VLOOKUP($A729,Controle!$B$4:$F$68,5,FALSE)</f>
        <v>1</v>
      </c>
      <c r="F729" s="3" t="str">
        <f t="shared" si="237"/>
        <v>Full EPC - Contrato Sobressalentes</v>
      </c>
      <c r="G729" s="2" t="str">
        <f>VLOOKUP($A729,Controle!$B$4:$G$68,6,FALSE)</f>
        <v>Apolo</v>
      </c>
      <c r="H729" s="6">
        <v>0</v>
      </c>
      <c r="I729" s="6">
        <v>0</v>
      </c>
      <c r="J729" s="6">
        <v>0</v>
      </c>
      <c r="K729" s="6">
        <v>0</v>
      </c>
      <c r="L729" s="6">
        <v>0</v>
      </c>
      <c r="M729" s="6">
        <v>0</v>
      </c>
      <c r="N729" s="6">
        <v>0</v>
      </c>
      <c r="O729" s="4">
        <f t="shared" si="238"/>
        <v>0</v>
      </c>
      <c r="P729" s="5">
        <f>SUMIFS('Desenvolvimento diário'!$H:$H,'Desenvolvimento diário'!$Q:$Q,$B729,'Desenvolvimento diário'!$P:$P,$F729,'Desenvolvimento diário'!$R:$R,"Sim")</f>
        <v>0</v>
      </c>
      <c r="Q729" s="5">
        <f>SUMIFS('Desenvolvimento diário'!$H:$H,'Desenvolvimento diário'!$Q:$Q,$B729,'Desenvolvimento diário'!$P:$P,$F729,'Desenvolvimento diário'!$R:$R,"Não")</f>
        <v>0</v>
      </c>
      <c r="R729" s="4">
        <f t="shared" si="239"/>
        <v>0</v>
      </c>
      <c r="S729" s="4">
        <f t="shared" si="240"/>
        <v>0</v>
      </c>
      <c r="T729" s="12">
        <f t="shared" si="230"/>
        <v>0</v>
      </c>
      <c r="Y729" s="2"/>
      <c r="Z729" s="2"/>
      <c r="AA729" s="2"/>
      <c r="AB729" s="2"/>
      <c r="AC729" s="2"/>
    </row>
    <row r="730" spans="1:29" ht="10.5" hidden="1">
      <c r="A730" s="2">
        <f t="shared" si="241"/>
        <v>21</v>
      </c>
      <c r="B730" s="2" t="str">
        <f>VLOOKUP($A730,Controle!$B$4:$F$68,2,FALSE)</f>
        <v>Indaiabira 3</v>
      </c>
      <c r="C730" s="2" t="str">
        <f>VLOOKUP($A730,Controle!$B$4:$F$68,3,FALSE)</f>
        <v xml:space="preserve">ESTRELA DO NORTE </v>
      </c>
      <c r="D730" s="2" t="str">
        <f>VLOOKUP($A730,Controle!$B$4:$F$68,4,FALSE)</f>
        <v>EDN</v>
      </c>
      <c r="E730" s="2">
        <f>VLOOKUP($A730,Controle!$B$4:$F$68,5,FALSE)</f>
        <v>1</v>
      </c>
      <c r="F730" s="3" t="str">
        <f t="shared" si="237"/>
        <v>Construção - Serviços de Construção - NOVA MORADA</v>
      </c>
      <c r="G730" s="2" t="str">
        <f>VLOOKUP($A730,Controle!$B$4:$G$68,6,FALSE)</f>
        <v>Apolo</v>
      </c>
      <c r="H730" s="6">
        <v>0</v>
      </c>
      <c r="I730" s="6">
        <v>0</v>
      </c>
      <c r="J730" s="6">
        <v>0</v>
      </c>
      <c r="K730" s="6">
        <v>0</v>
      </c>
      <c r="L730" s="6">
        <v>0</v>
      </c>
      <c r="M730" s="6">
        <v>0</v>
      </c>
      <c r="N730" s="6">
        <v>0</v>
      </c>
      <c r="O730" s="4">
        <f t="shared" si="238"/>
        <v>0</v>
      </c>
      <c r="P730" s="5">
        <f>SUMIFS('Desenvolvimento diário'!$H:$H,'Desenvolvimento diário'!$Q:$Q,$B730,'Desenvolvimento diário'!$P:$P,$F730,'Desenvolvimento diário'!$R:$R,"Sim")</f>
        <v>0</v>
      </c>
      <c r="Q730" s="5">
        <f>SUMIFS('Desenvolvimento diário'!$H:$H,'Desenvolvimento diário'!$Q:$Q,$B730,'Desenvolvimento diário'!$P:$P,$F730,'Desenvolvimento diário'!$R:$R,"Não")</f>
        <v>0</v>
      </c>
      <c r="R730" s="4">
        <f t="shared" si="239"/>
        <v>0</v>
      </c>
      <c r="S730" s="4">
        <f t="shared" si="240"/>
        <v>0</v>
      </c>
      <c r="T730" s="12">
        <f t="shared" si="230"/>
        <v>0</v>
      </c>
      <c r="Y730" s="2"/>
      <c r="Z730" s="2"/>
      <c r="AA730" s="2"/>
      <c r="AB730" s="2"/>
      <c r="AC730" s="2"/>
    </row>
    <row r="731" spans="1:29" ht="10.5" hidden="1">
      <c r="A731" s="2">
        <f t="shared" si="241"/>
        <v>21</v>
      </c>
      <c r="B731" s="2" t="str">
        <f>VLOOKUP($A731,Controle!$B$4:$F$68,2,FALSE)</f>
        <v>Indaiabira 3</v>
      </c>
      <c r="C731" s="2" t="str">
        <f>VLOOKUP($A731,Controle!$B$4:$F$68,3,FALSE)</f>
        <v xml:space="preserve">ESTRELA DO NORTE </v>
      </c>
      <c r="D731" s="2" t="str">
        <f>VLOOKUP($A731,Controle!$B$4:$F$68,4,FALSE)</f>
        <v>EDN</v>
      </c>
      <c r="E731" s="2">
        <f>VLOOKUP($A731,Controle!$B$4:$F$68,5,FALSE)</f>
        <v>1</v>
      </c>
      <c r="F731" s="3" t="str">
        <f t="shared" si="237"/>
        <v>Equipamentos Curva A -  Contrato Sobressalentes - SETTA</v>
      </c>
      <c r="G731" s="2" t="str">
        <f>VLOOKUP($A731,Controle!$B$4:$G$68,6,FALSE)</f>
        <v>Apolo</v>
      </c>
      <c r="H731" s="6" t="s">
        <v>196</v>
      </c>
      <c r="I731" s="6">
        <f>69383.68-0.005</f>
        <v>69383.674999999988</v>
      </c>
      <c r="J731" s="6">
        <v>0</v>
      </c>
      <c r="K731" s="6">
        <v>0</v>
      </c>
      <c r="L731" s="6">
        <v>0</v>
      </c>
      <c r="M731" s="6">
        <v>0</v>
      </c>
      <c r="N731" s="6">
        <v>0</v>
      </c>
      <c r="O731" s="4">
        <f t="shared" si="238"/>
        <v>69383.674999999988</v>
      </c>
      <c r="P731" s="5">
        <f>SUMIFS('Desenvolvimento diário'!$H:$H,'Desenvolvimento diário'!$Q:$Q,$B731,'Desenvolvimento diário'!$P:$P,$F731,'Desenvolvimento diário'!$R:$R,"Sim")</f>
        <v>0</v>
      </c>
      <c r="Q731" s="5">
        <f>SUMIFS('Desenvolvimento diário'!$H:$H,'Desenvolvimento diário'!$Q:$Q,$B731,'Desenvolvimento diário'!$P:$P,$F731,'Desenvolvimento diário'!$R:$R,"Não")</f>
        <v>69383.675000000003</v>
      </c>
      <c r="R731" s="4">
        <f t="shared" si="239"/>
        <v>69383.675000000003</v>
      </c>
      <c r="S731" s="137">
        <f t="shared" si="240"/>
        <v>0</v>
      </c>
      <c r="T731" s="12">
        <f t="shared" si="230"/>
        <v>1.0000000000000002</v>
      </c>
      <c r="Y731" s="2"/>
      <c r="Z731" s="2"/>
      <c r="AA731" s="2"/>
      <c r="AB731" s="2"/>
      <c r="AC731" s="2"/>
    </row>
    <row r="732" spans="1:29" ht="10.5" hidden="1">
      <c r="A732" s="2">
        <f t="shared" si="241"/>
        <v>21</v>
      </c>
      <c r="B732" s="2" t="str">
        <f>VLOOKUP($A732,Controle!$B$4:$F$68,2,FALSE)</f>
        <v>Indaiabira 3</v>
      </c>
      <c r="C732" s="2" t="str">
        <f>VLOOKUP($A732,Controle!$B$4:$F$68,3,FALSE)</f>
        <v xml:space="preserve">ESTRELA DO NORTE </v>
      </c>
      <c r="D732" s="2" t="str">
        <f>VLOOKUP($A732,Controle!$B$4:$F$68,4,FALSE)</f>
        <v>EDN</v>
      </c>
      <c r="E732" s="2">
        <f>VLOOKUP($A732,Controle!$B$4:$F$68,5,FALSE)</f>
        <v>1</v>
      </c>
      <c r="F732" s="3" t="str">
        <f t="shared" si="237"/>
        <v>Equipamentos Curva A -  Contrato Sobressalentes - Arctech</v>
      </c>
      <c r="G732" s="2" t="str">
        <f>VLOOKUP($A732,Controle!$B$4:$G$68,6,FALSE)</f>
        <v>Apolo</v>
      </c>
      <c r="H732" s="6">
        <v>0</v>
      </c>
      <c r="I732" s="6">
        <v>0</v>
      </c>
      <c r="J732" s="6">
        <v>0</v>
      </c>
      <c r="K732" s="6">
        <v>0</v>
      </c>
      <c r="L732" s="6">
        <v>0</v>
      </c>
      <c r="M732" s="6">
        <v>0</v>
      </c>
      <c r="N732" s="6">
        <v>0</v>
      </c>
      <c r="O732" s="4">
        <f t="shared" si="238"/>
        <v>0</v>
      </c>
      <c r="P732" s="5">
        <f>SUMIFS('Desenvolvimento diário'!$H:$H,'Desenvolvimento diário'!$Q:$Q,$B732,'Desenvolvimento diário'!$P:$P,$F732,'Desenvolvimento diário'!$R:$R,"Sim")</f>
        <v>0</v>
      </c>
      <c r="Q732" s="5">
        <f>SUMIFS('Desenvolvimento diário'!$H:$H,'Desenvolvimento diário'!$Q:$Q,$B732,'Desenvolvimento diário'!$P:$P,$F732,'Desenvolvimento diário'!$R:$R,"Não")</f>
        <v>0</v>
      </c>
      <c r="R732" s="4">
        <f t="shared" si="239"/>
        <v>0</v>
      </c>
      <c r="S732" s="4">
        <f t="shared" si="240"/>
        <v>0</v>
      </c>
      <c r="T732" s="12">
        <f t="shared" si="230"/>
        <v>0</v>
      </c>
      <c r="Y732" s="2"/>
      <c r="Z732" s="2"/>
      <c r="AA732" s="2"/>
      <c r="AB732" s="2"/>
      <c r="AC732" s="2"/>
    </row>
    <row r="733" spans="1:29" hidden="1">
      <c r="A733" s="2">
        <f t="shared" si="241"/>
        <v>21</v>
      </c>
      <c r="B733" s="2" t="str">
        <f>VLOOKUP($A733,Controle!$B$4:$F$68,2,FALSE)</f>
        <v>Indaiabira 3</v>
      </c>
      <c r="C733" s="2" t="str">
        <f>VLOOKUP($A733,Controle!$B$4:$F$68,3,FALSE)</f>
        <v xml:space="preserve">ESTRELA DO NORTE </v>
      </c>
      <c r="D733" s="2" t="str">
        <f>VLOOKUP($A733,Controle!$B$4:$F$68,4,FALSE)</f>
        <v>EDN</v>
      </c>
      <c r="E733" s="2">
        <f>VLOOKUP($A733,Controle!$B$4:$F$68,5,FALSE)</f>
        <v>1</v>
      </c>
      <c r="F733" s="3" t="str">
        <f t="shared" si="237"/>
        <v>Equipamentos Curva A -  Contrato Sobressalentes - Romagnole</v>
      </c>
      <c r="G733" s="2" t="str">
        <f>VLOOKUP($A733,Controle!$B$4:$G$68,6,FALSE)</f>
        <v>Apolo</v>
      </c>
      <c r="H733" s="506" t="s">
        <v>144</v>
      </c>
      <c r="I733" s="506">
        <v>177000</v>
      </c>
      <c r="J733" s="506">
        <v>0</v>
      </c>
      <c r="K733" s="506">
        <v>0</v>
      </c>
      <c r="L733" s="506">
        <v>0</v>
      </c>
      <c r="M733" s="506">
        <v>0</v>
      </c>
      <c r="N733" s="506">
        <v>0</v>
      </c>
      <c r="O733" s="39">
        <f t="shared" si="238"/>
        <v>177000</v>
      </c>
      <c r="P733" s="17">
        <f>SUMIFS('Desenvolvimento diário'!$H:$H,'Desenvolvimento diário'!$Q:$Q,$B733,'Desenvolvimento diário'!$P:$P,$F733,'Desenvolvimento diário'!$R:$R,"Sim")</f>
        <v>0</v>
      </c>
      <c r="Q733" s="17">
        <f>SUMIFS('Desenvolvimento diário'!$H:$H,'Desenvolvimento diário'!$Q:$Q,$B733,'Desenvolvimento diário'!$P:$P,$F733,'Desenvolvimento diário'!$R:$R,"Não")</f>
        <v>177000</v>
      </c>
      <c r="R733" s="4">
        <f t="shared" si="239"/>
        <v>177000</v>
      </c>
      <c r="S733" s="4">
        <f t="shared" si="240"/>
        <v>0</v>
      </c>
      <c r="T733" s="12">
        <f t="shared" si="230"/>
        <v>1</v>
      </c>
      <c r="Y733" s="2"/>
      <c r="Z733" s="2"/>
      <c r="AA733" s="2"/>
      <c r="AB733" s="2"/>
      <c r="AC733" s="2"/>
    </row>
    <row r="734" spans="1:29" hidden="1">
      <c r="A734" s="2">
        <f t="shared" si="241"/>
        <v>21</v>
      </c>
      <c r="B734" s="2" t="str">
        <f>VLOOKUP($A734,Controle!$B$4:$F$68,2,FALSE)</f>
        <v>Indaiabira 3</v>
      </c>
      <c r="C734" s="2" t="str">
        <f>VLOOKUP($A734,Controle!$B$4:$F$68,3,FALSE)</f>
        <v xml:space="preserve">ESTRELA DO NORTE </v>
      </c>
      <c r="D734" s="2" t="str">
        <f>VLOOKUP($A734,Controle!$B$4:$F$68,4,FALSE)</f>
        <v>EDN</v>
      </c>
      <c r="E734" s="2">
        <f>VLOOKUP($A734,Controle!$B$4:$F$68,5,FALSE)</f>
        <v>1</v>
      </c>
      <c r="F734" s="3" t="str">
        <f t="shared" si="237"/>
        <v>GOS FLORESTAL - (PRAD - Recuperação Area Ambiental)</v>
      </c>
      <c r="G734" s="2" t="str">
        <f>VLOOKUP($A734,Controle!$B$4:$G$68,6,FALSE)</f>
        <v>Apolo</v>
      </c>
      <c r="H734" s="506" t="s">
        <v>170</v>
      </c>
      <c r="I734" s="6">
        <v>0</v>
      </c>
      <c r="J734" s="506"/>
      <c r="K734" s="506">
        <v>0</v>
      </c>
      <c r="L734" s="506">
        <v>0</v>
      </c>
      <c r="M734" s="506">
        <v>0</v>
      </c>
      <c r="N734" s="506">
        <v>0</v>
      </c>
      <c r="O734" s="39">
        <f t="shared" si="238"/>
        <v>0</v>
      </c>
      <c r="P734" s="17">
        <f>SUMIFS('Desenvolvimento diário'!$H:$H,'Desenvolvimento diário'!$Q:$Q,$B734,'Desenvolvimento diário'!$P:$P,$F734,'Desenvolvimento diário'!$R:$R,"Sim")</f>
        <v>0</v>
      </c>
      <c r="Q734" s="17">
        <f>SUMIFS('Desenvolvimento diário'!$H:$H,'Desenvolvimento diário'!$Q:$Q,$B734,'Desenvolvimento diário'!$P:$P,$F734,'Desenvolvimento diário'!$R:$R,"Não")</f>
        <v>0</v>
      </c>
      <c r="R734" s="4">
        <f t="shared" si="239"/>
        <v>0</v>
      </c>
      <c r="S734" s="4">
        <f t="shared" si="240"/>
        <v>0</v>
      </c>
      <c r="T734" s="12">
        <f t="shared" ref="T734:T735" si="243">IFERROR(R734/O734,0)</f>
        <v>0</v>
      </c>
      <c r="Y734" s="2"/>
      <c r="Z734" s="2"/>
      <c r="AA734" s="2"/>
      <c r="AB734" s="2"/>
      <c r="AC734" s="2"/>
    </row>
    <row r="735" spans="1:29" hidden="1">
      <c r="A735" s="2">
        <f t="shared" si="241"/>
        <v>21</v>
      </c>
      <c r="B735" s="2" t="str">
        <f>VLOOKUP($A735,Controle!$B$4:$F$68,2,FALSE)</f>
        <v>Indaiabira 3</v>
      </c>
      <c r="C735" s="2" t="str">
        <f>VLOOKUP($A735,Controle!$B$4:$F$68,3,FALSE)</f>
        <v xml:space="preserve">ESTRELA DO NORTE </v>
      </c>
      <c r="D735" s="2" t="str">
        <f>VLOOKUP($A735,Controle!$B$4:$F$68,4,FALSE)</f>
        <v>EDN</v>
      </c>
      <c r="E735" s="2">
        <f>VLOOKUP($A735,Controle!$B$4:$F$68,5,FALSE)</f>
        <v>1</v>
      </c>
      <c r="F735" s="3" t="str">
        <f t="shared" si="237"/>
        <v>Cercamento das bacias de contenção ciclo 2</v>
      </c>
      <c r="G735" s="2" t="str">
        <f>VLOOKUP($A735,Controle!$B$4:$G$68,6,FALSE)</f>
        <v>Apolo</v>
      </c>
      <c r="H735" s="506" t="s">
        <v>172</v>
      </c>
      <c r="I735" s="6"/>
      <c r="J735" s="506"/>
      <c r="K735" s="506">
        <v>0</v>
      </c>
      <c r="L735" s="506">
        <v>0</v>
      </c>
      <c r="M735" s="506">
        <v>0</v>
      </c>
      <c r="N735" s="506">
        <v>0</v>
      </c>
      <c r="O735" s="39">
        <f t="shared" si="238"/>
        <v>0</v>
      </c>
      <c r="P735" s="17">
        <f>SUMIFS('Desenvolvimento diário'!$H:$H,'Desenvolvimento diário'!$Q:$Q,$B735,'Desenvolvimento diário'!$P:$P,$F735,'Desenvolvimento diário'!$R:$R,"Sim")</f>
        <v>0</v>
      </c>
      <c r="Q735" s="17">
        <f>SUMIFS('Desenvolvimento diário'!$H:$H,'Desenvolvimento diário'!$Q:$Q,$B735,'Desenvolvimento diário'!$P:$P,$F735,'Desenvolvimento diário'!$R:$R,"Não")</f>
        <v>0</v>
      </c>
      <c r="R735" s="4">
        <f t="shared" si="239"/>
        <v>0</v>
      </c>
      <c r="S735" s="1030">
        <f t="shared" si="240"/>
        <v>0</v>
      </c>
      <c r="T735" s="12">
        <f t="shared" si="243"/>
        <v>0</v>
      </c>
      <c r="U735" s="1029" t="s">
        <v>166</v>
      </c>
      <c r="V735" s="1029" t="s">
        <v>94</v>
      </c>
      <c r="Y735" s="2"/>
      <c r="Z735" s="2"/>
      <c r="AA735" s="2"/>
      <c r="AB735" s="2"/>
      <c r="AC735" s="2"/>
    </row>
    <row r="736" spans="1:29" hidden="1">
      <c r="A736" s="8">
        <f>A733</f>
        <v>21</v>
      </c>
      <c r="B736" s="9" t="str">
        <f t="shared" ref="B736" si="244">B733</f>
        <v>Indaiabira 3</v>
      </c>
      <c r="C736" s="9" t="str">
        <f t="shared" ref="C736" si="245">C733</f>
        <v xml:space="preserve">ESTRELA DO NORTE </v>
      </c>
      <c r="D736" s="9" t="str">
        <f t="shared" ref="D736" si="246">D733</f>
        <v>EDN</v>
      </c>
      <c r="E736" s="9">
        <f t="shared" ref="E736" si="247">E733</f>
        <v>1</v>
      </c>
      <c r="F736" s="10" t="s">
        <v>158</v>
      </c>
      <c r="G736" s="9" t="str">
        <f>G733</f>
        <v>Apolo</v>
      </c>
      <c r="H736" s="9"/>
      <c r="I736" s="9">
        <f>SUBTOTAL(9,I702:I735)</f>
        <v>0</v>
      </c>
      <c r="J736" s="9">
        <f t="shared" ref="J736:S736" si="248">SUBTOTAL(9,J702:J735)</f>
        <v>0</v>
      </c>
      <c r="K736" s="9">
        <f t="shared" si="248"/>
        <v>0</v>
      </c>
      <c r="L736" s="9">
        <f t="shared" si="248"/>
        <v>0</v>
      </c>
      <c r="M736" s="9">
        <f t="shared" si="248"/>
        <v>0</v>
      </c>
      <c r="N736" s="9">
        <f t="shared" si="248"/>
        <v>0</v>
      </c>
      <c r="O736" s="9">
        <f t="shared" si="248"/>
        <v>0</v>
      </c>
      <c r="P736" s="9">
        <f t="shared" si="248"/>
        <v>0</v>
      </c>
      <c r="Q736" s="9">
        <f t="shared" si="248"/>
        <v>0</v>
      </c>
      <c r="R736" s="9">
        <f t="shared" si="248"/>
        <v>0</v>
      </c>
      <c r="S736" s="9">
        <f t="shared" si="248"/>
        <v>0</v>
      </c>
      <c r="T736" s="13">
        <f>IFERROR(R736/O736,0)</f>
        <v>0</v>
      </c>
      <c r="U736" s="11">
        <f>SUBTOTAL(9,U702:U735)</f>
        <v>0</v>
      </c>
      <c r="Y736" s="2"/>
      <c r="Z736" s="2"/>
      <c r="AA736" s="2"/>
      <c r="AB736" s="2"/>
      <c r="AC736" s="2"/>
    </row>
    <row r="737" spans="1:29" ht="10.5" hidden="1">
      <c r="A737" s="2">
        <f>A702+1</f>
        <v>22</v>
      </c>
      <c r="B737" s="2" t="str">
        <f>VLOOKUP($A737,Controle!$B$4:$F$68,2,FALSE)</f>
        <v>Indaiabira 4</v>
      </c>
      <c r="C737" s="2" t="str">
        <f>VLOOKUP($A737,Controle!$B$4:$F$68,3,FALSE)</f>
        <v xml:space="preserve">ESTRELA DO NORTE </v>
      </c>
      <c r="D737" s="2" t="str">
        <f>VLOOKUP($A737,Controle!$B$4:$F$68,4,FALSE)</f>
        <v>EDN</v>
      </c>
      <c r="E737" s="2">
        <f>VLOOKUP($A737,Controle!$B$4:$F$68,5,FALSE)</f>
        <v>1</v>
      </c>
      <c r="F737" s="3" t="str">
        <f t="shared" ref="F737:F770" si="249">F702</f>
        <v>Conexão AT - Obras</v>
      </c>
      <c r="G737" s="2" t="str">
        <f>VLOOKUP($A737,Controle!$B$4:$G$68,6,FALSE)</f>
        <v>Apolo</v>
      </c>
      <c r="H737" s="6" t="s">
        <v>194</v>
      </c>
      <c r="I737" s="6">
        <v>0</v>
      </c>
      <c r="J737" s="6">
        <v>0</v>
      </c>
      <c r="K737" s="6">
        <v>0</v>
      </c>
      <c r="L737" s="6">
        <v>0</v>
      </c>
      <c r="M737" s="6">
        <v>0</v>
      </c>
      <c r="N737" s="6">
        <v>0</v>
      </c>
      <c r="O737" s="4">
        <f t="shared" ref="O737:O770" si="250">SUM(I737:N737)</f>
        <v>0</v>
      </c>
      <c r="P737" s="5">
        <f>SUMIFS('Desenvolvimento diário'!$H:$H,'Desenvolvimento diário'!$Q:$Q,$B737,'Desenvolvimento diário'!$P:$P,$F737,'Desenvolvimento diário'!$R:$R,"Sim")</f>
        <v>0</v>
      </c>
      <c r="Q737" s="5">
        <f>SUMIFS('Desenvolvimento diário'!$H:$H,'Desenvolvimento diário'!$Q:$Q,$B737,'Desenvolvimento diário'!$P:$P,$F737,'Desenvolvimento diário'!$R:$R,"Não")</f>
        <v>0</v>
      </c>
      <c r="R737" s="4">
        <f t="shared" ref="R737:R770" si="251">SUM(P737:Q737)</f>
        <v>0</v>
      </c>
      <c r="S737" s="4">
        <f t="shared" ref="S737:S770" si="252">O737-R737</f>
        <v>0</v>
      </c>
      <c r="T737" s="12">
        <f t="shared" si="230"/>
        <v>0</v>
      </c>
      <c r="Y737" s="2"/>
      <c r="Z737" s="2"/>
      <c r="AA737" s="2"/>
      <c r="AB737" s="2"/>
      <c r="AC737" s="2"/>
    </row>
    <row r="738" spans="1:29" ht="10.5" hidden="1">
      <c r="A738" s="2">
        <f t="shared" ref="A738:A770" si="253">A737</f>
        <v>22</v>
      </c>
      <c r="B738" s="2" t="str">
        <f>VLOOKUP($A738,Controle!$B$4:$F$68,2,FALSE)</f>
        <v>Indaiabira 4</v>
      </c>
      <c r="C738" s="2" t="str">
        <f>VLOOKUP($A738,Controle!$B$4:$F$68,3,FALSE)</f>
        <v xml:space="preserve">ESTRELA DO NORTE </v>
      </c>
      <c r="D738" s="2" t="str">
        <f>VLOOKUP($A738,Controle!$B$4:$F$68,4,FALSE)</f>
        <v>EDN</v>
      </c>
      <c r="E738" s="2">
        <f>VLOOKUP($A738,Controle!$B$4:$F$68,5,FALSE)</f>
        <v>1</v>
      </c>
      <c r="F738" s="3" t="str">
        <f t="shared" si="249"/>
        <v>Conexão MT - Obras</v>
      </c>
      <c r="G738" s="2" t="str">
        <f>VLOOKUP($A738,Controle!$B$4:$G$68,6,FALSE)</f>
        <v>Apolo</v>
      </c>
      <c r="H738" s="6" t="s">
        <v>194</v>
      </c>
      <c r="I738" s="6">
        <v>0</v>
      </c>
      <c r="J738" s="6">
        <v>0</v>
      </c>
      <c r="K738" s="6">
        <v>0</v>
      </c>
      <c r="L738" s="6">
        <v>0</v>
      </c>
      <c r="M738" s="6">
        <v>0</v>
      </c>
      <c r="N738" s="6">
        <v>0</v>
      </c>
      <c r="O738" s="4">
        <f t="shared" si="250"/>
        <v>0</v>
      </c>
      <c r="P738" s="5">
        <f>SUMIFS('Desenvolvimento diário'!$H:$H,'Desenvolvimento diário'!$Q:$Q,$B738,'Desenvolvimento diário'!$P:$P,$F738,'Desenvolvimento diário'!$R:$R,"Sim")</f>
        <v>0</v>
      </c>
      <c r="Q738" s="5">
        <f>SUMIFS('Desenvolvimento diário'!$H:$H,'Desenvolvimento diário'!$Q:$Q,$B738,'Desenvolvimento diário'!$P:$P,$F738,'Desenvolvimento diário'!$R:$R,"Não")</f>
        <v>0</v>
      </c>
      <c r="R738" s="4">
        <f t="shared" si="251"/>
        <v>0</v>
      </c>
      <c r="S738" s="4">
        <f t="shared" si="252"/>
        <v>0</v>
      </c>
      <c r="T738" s="12">
        <f t="shared" si="230"/>
        <v>0</v>
      </c>
      <c r="Y738" s="2"/>
      <c r="Z738" s="2"/>
      <c r="AA738" s="2"/>
      <c r="AB738" s="2"/>
      <c r="AC738" s="2"/>
    </row>
    <row r="739" spans="1:29" ht="10.5" hidden="1">
      <c r="A739" s="2">
        <f t="shared" si="253"/>
        <v>22</v>
      </c>
      <c r="B739" s="2" t="str">
        <f>VLOOKUP($A739,Controle!$B$4:$F$68,2,FALSE)</f>
        <v>Indaiabira 4</v>
      </c>
      <c r="C739" s="2" t="str">
        <f>VLOOKUP($A739,Controle!$B$4:$F$68,3,FALSE)</f>
        <v xml:space="preserve">ESTRELA DO NORTE </v>
      </c>
      <c r="D739" s="2" t="str">
        <f>VLOOKUP($A739,Controle!$B$4:$F$68,4,FALSE)</f>
        <v>EDN</v>
      </c>
      <c r="E739" s="2">
        <f>VLOOKUP($A739,Controle!$B$4:$F$68,5,FALSE)</f>
        <v>1</v>
      </c>
      <c r="F739" s="3" t="str">
        <f t="shared" si="249"/>
        <v>Construção - Serviços de Construção</v>
      </c>
      <c r="G739" s="2" t="str">
        <f>VLOOKUP($A739,Controle!$B$4:$G$68,6,FALSE)</f>
        <v>Apolo</v>
      </c>
      <c r="H739" s="6" t="s">
        <v>142</v>
      </c>
      <c r="I739" s="6">
        <v>2691000</v>
      </c>
      <c r="J739" s="6">
        <v>396552</v>
      </c>
      <c r="K739" s="6">
        <v>185500.23587686956</v>
      </c>
      <c r="L739" s="31">
        <f>66305.614+0.000123+0.00000013</f>
        <v>66305.614123130013</v>
      </c>
      <c r="M739" s="6">
        <v>0</v>
      </c>
      <c r="N739" s="6">
        <v>0</v>
      </c>
      <c r="O739" s="4">
        <f t="shared" si="250"/>
        <v>3339357.8499999996</v>
      </c>
      <c r="P739" s="5">
        <f>SUMIFS('Desenvolvimento diário'!$H:$H,'Desenvolvimento diário'!$Q:$Q,$B739,'Desenvolvimento diário'!$P:$P,$F739,'Desenvolvimento diário'!$R:$R,"Sim")</f>
        <v>2025963.31</v>
      </c>
      <c r="Q739" s="5">
        <f>SUMIFS('Desenvolvimento diário'!$H:$H,'Desenvolvimento diário'!$Q:$Q,$B739,'Desenvolvimento diário'!$P:$P,$F739,'Desenvolvimento diário'!$R:$R,"Não")</f>
        <v>1313394.54</v>
      </c>
      <c r="R739" s="4">
        <f t="shared" si="251"/>
        <v>3339357.85</v>
      </c>
      <c r="S739" s="33">
        <f t="shared" si="252"/>
        <v>0</v>
      </c>
      <c r="T739" s="12">
        <f t="shared" si="230"/>
        <v>1.0000000000000002</v>
      </c>
      <c r="U739" s="510" t="s">
        <v>162</v>
      </c>
      <c r="V739" s="510" t="s">
        <v>163</v>
      </c>
      <c r="Y739" s="2"/>
      <c r="Z739" s="2"/>
      <c r="AA739" s="2"/>
      <c r="AB739" s="2"/>
      <c r="AC739" s="2"/>
    </row>
    <row r="740" spans="1:29" ht="10.5" hidden="1">
      <c r="A740" s="2">
        <f t="shared" si="253"/>
        <v>22</v>
      </c>
      <c r="B740" s="2" t="str">
        <f>VLOOKUP($A740,Controle!$B$4:$F$68,2,FALSE)</f>
        <v>Indaiabira 4</v>
      </c>
      <c r="C740" s="2" t="str">
        <f>VLOOKUP($A740,Controle!$B$4:$F$68,3,FALSE)</f>
        <v xml:space="preserve">ESTRELA DO NORTE </v>
      </c>
      <c r="D740" s="2" t="str">
        <f>VLOOKUP($A740,Controle!$B$4:$F$68,4,FALSE)</f>
        <v>EDN</v>
      </c>
      <c r="E740" s="2">
        <f>VLOOKUP($A740,Controle!$B$4:$F$68,5,FALSE)</f>
        <v>1</v>
      </c>
      <c r="F740" s="3" t="str">
        <f t="shared" si="249"/>
        <v>Construção - Serviços de Construção - Substituição</v>
      </c>
      <c r="G740" s="2" t="str">
        <f>VLOOKUP($A740,Controle!$B$4:$G$68,6,FALSE)</f>
        <v>Apolo</v>
      </c>
      <c r="H740" s="6">
        <v>0</v>
      </c>
      <c r="I740" s="6">
        <v>0</v>
      </c>
      <c r="J740" s="6">
        <v>0</v>
      </c>
      <c r="K740" s="6">
        <v>0</v>
      </c>
      <c r="L740" s="6">
        <v>0</v>
      </c>
      <c r="M740" s="6">
        <v>0</v>
      </c>
      <c r="N740" s="6">
        <v>0</v>
      </c>
      <c r="O740" s="4">
        <f t="shared" si="250"/>
        <v>0</v>
      </c>
      <c r="P740" s="5">
        <f>SUMIFS('Desenvolvimento diário'!$H:$H,'Desenvolvimento diário'!$Q:$Q,$B740,'Desenvolvimento diário'!$P:$P,$F740,'Desenvolvimento diário'!$R:$R,"Sim")</f>
        <v>0</v>
      </c>
      <c r="Q740" s="5">
        <f>SUMIFS('Desenvolvimento diário'!$H:$H,'Desenvolvimento diário'!$Q:$Q,$B740,'Desenvolvimento diário'!$P:$P,$F740,'Desenvolvimento diário'!$R:$R,"Não")</f>
        <v>0</v>
      </c>
      <c r="R740" s="4">
        <f t="shared" si="251"/>
        <v>0</v>
      </c>
      <c r="S740" s="4">
        <f t="shared" si="252"/>
        <v>0</v>
      </c>
      <c r="T740" s="12">
        <f t="shared" si="230"/>
        <v>0</v>
      </c>
      <c r="Y740" s="2"/>
      <c r="Z740" s="2"/>
      <c r="AA740" s="2"/>
      <c r="AB740" s="2"/>
      <c r="AC740" s="2"/>
    </row>
    <row r="741" spans="1:29" ht="10.5" hidden="1">
      <c r="A741" s="2">
        <f t="shared" si="253"/>
        <v>22</v>
      </c>
      <c r="B741" s="2" t="str">
        <f>VLOOKUP($A741,Controle!$B$4:$F$68,2,FALSE)</f>
        <v>Indaiabira 4</v>
      </c>
      <c r="C741" s="2" t="str">
        <f>VLOOKUP($A741,Controle!$B$4:$F$68,3,FALSE)</f>
        <v xml:space="preserve">ESTRELA DO NORTE </v>
      </c>
      <c r="D741" s="2" t="str">
        <f>VLOOKUP($A741,Controle!$B$4:$F$68,4,FALSE)</f>
        <v>EDN</v>
      </c>
      <c r="E741" s="2">
        <f>VLOOKUP($A741,Controle!$B$4:$F$68,5,FALSE)</f>
        <v>1</v>
      </c>
      <c r="F741" s="3" t="str">
        <f t="shared" si="249"/>
        <v>Construção - RDA Interno</v>
      </c>
      <c r="G741" s="2" t="str">
        <f>VLOOKUP($A741,Controle!$B$4:$G$68,6,FALSE)</f>
        <v>Apolo</v>
      </c>
      <c r="H741" s="6" t="s">
        <v>168</v>
      </c>
      <c r="I741" s="6">
        <v>410000</v>
      </c>
      <c r="J741" s="6">
        <v>0</v>
      </c>
      <c r="K741" s="6">
        <v>0</v>
      </c>
      <c r="L741" s="6">
        <v>0</v>
      </c>
      <c r="M741" s="6">
        <v>0</v>
      </c>
      <c r="N741" s="6">
        <v>0</v>
      </c>
      <c r="O741" s="4">
        <f t="shared" si="250"/>
        <v>410000</v>
      </c>
      <c r="P741" s="5">
        <f>SUMIFS('Desenvolvimento diário'!$H:$H,'Desenvolvimento diário'!$Q:$Q,$B741,'Desenvolvimento diário'!$P:$P,$F741,'Desenvolvimento diário'!$R:$R,"Sim")</f>
        <v>0</v>
      </c>
      <c r="Q741" s="5">
        <f>SUMIFS('Desenvolvimento diário'!$H:$H,'Desenvolvimento diário'!$Q:$Q,$B741,'Desenvolvimento diário'!$P:$P,$F741,'Desenvolvimento diário'!$R:$R,"Não")</f>
        <v>410000</v>
      </c>
      <c r="R741" s="4">
        <f t="shared" si="251"/>
        <v>410000</v>
      </c>
      <c r="S741" s="4">
        <f t="shared" si="252"/>
        <v>0</v>
      </c>
      <c r="T741" s="12">
        <f t="shared" si="230"/>
        <v>1</v>
      </c>
      <c r="Y741" s="2"/>
      <c r="Z741" s="2"/>
      <c r="AA741" s="2"/>
      <c r="AB741" s="2"/>
      <c r="AC741" s="2"/>
    </row>
    <row r="742" spans="1:29" ht="10.5" hidden="1">
      <c r="A742" s="2">
        <f t="shared" si="253"/>
        <v>22</v>
      </c>
      <c r="B742" s="2" t="str">
        <f>VLOOKUP($A742,Controle!$B$4:$F$68,2,FALSE)</f>
        <v>Indaiabira 4</v>
      </c>
      <c r="C742" s="2" t="str">
        <f>VLOOKUP($A742,Controle!$B$4:$F$68,3,FALSE)</f>
        <v xml:space="preserve">ESTRELA DO NORTE </v>
      </c>
      <c r="D742" s="2" t="str">
        <f>VLOOKUP($A742,Controle!$B$4:$F$68,4,FALSE)</f>
        <v>EDN</v>
      </c>
      <c r="E742" s="2">
        <f>VLOOKUP($A742,Controle!$B$4:$F$68,5,FALSE)</f>
        <v>1</v>
      </c>
      <c r="F742" s="3" t="str">
        <f t="shared" si="249"/>
        <v>Full EPC - Contrato</v>
      </c>
      <c r="G742" s="2" t="str">
        <f>VLOOKUP($A742,Controle!$B$4:$G$68,6,FALSE)</f>
        <v>Apolo</v>
      </c>
      <c r="H742" s="6">
        <v>0</v>
      </c>
      <c r="I742" s="6">
        <v>0</v>
      </c>
      <c r="J742" s="6">
        <v>0</v>
      </c>
      <c r="K742" s="6">
        <v>0</v>
      </c>
      <c r="L742" s="6">
        <v>0</v>
      </c>
      <c r="M742" s="6">
        <v>0</v>
      </c>
      <c r="N742" s="6">
        <v>0</v>
      </c>
      <c r="O742" s="4">
        <f t="shared" si="250"/>
        <v>0</v>
      </c>
      <c r="P742" s="5">
        <f>SUMIFS('Desenvolvimento diário'!$H:$H,'Desenvolvimento diário'!$Q:$Q,$B742,'Desenvolvimento diário'!$P:$P,$F742,'Desenvolvimento diário'!$R:$R,"Sim")</f>
        <v>0</v>
      </c>
      <c r="Q742" s="5">
        <f>SUMIFS('Desenvolvimento diário'!$H:$H,'Desenvolvimento diário'!$Q:$Q,$B742,'Desenvolvimento diário'!$P:$P,$F742,'Desenvolvimento diário'!$R:$R,"Não")</f>
        <v>0</v>
      </c>
      <c r="R742" s="4">
        <f t="shared" si="251"/>
        <v>0</v>
      </c>
      <c r="S742" s="4">
        <f t="shared" si="252"/>
        <v>0</v>
      </c>
      <c r="T742" s="12">
        <f t="shared" si="230"/>
        <v>0</v>
      </c>
      <c r="Y742" s="2"/>
      <c r="Z742" s="2"/>
      <c r="AA742" s="2"/>
      <c r="AB742" s="2"/>
      <c r="AC742" s="2"/>
    </row>
    <row r="743" spans="1:29" ht="10.5" hidden="1">
      <c r="A743" s="2">
        <f t="shared" si="253"/>
        <v>22</v>
      </c>
      <c r="B743" s="2" t="str">
        <f>VLOOKUP($A743,Controle!$B$4:$F$68,2,FALSE)</f>
        <v>Indaiabira 4</v>
      </c>
      <c r="C743" s="2" t="str">
        <f>VLOOKUP($A743,Controle!$B$4:$F$68,3,FALSE)</f>
        <v xml:space="preserve">ESTRELA DO NORTE </v>
      </c>
      <c r="D743" s="2" t="str">
        <f>VLOOKUP($A743,Controle!$B$4:$F$68,4,FALSE)</f>
        <v>EDN</v>
      </c>
      <c r="E743" s="2">
        <f>VLOOKUP($A743,Controle!$B$4:$F$68,5,FALSE)</f>
        <v>1</v>
      </c>
      <c r="F743" s="3" t="str">
        <f t="shared" si="249"/>
        <v>Equipamentos Curva A - Outros (Transformadores)</v>
      </c>
      <c r="G743" s="2" t="str">
        <f>VLOOKUP($A743,Controle!$B$4:$G$68,6,FALSE)</f>
        <v>Apolo</v>
      </c>
      <c r="H743" s="6" t="s">
        <v>144</v>
      </c>
      <c r="I743" s="6">
        <v>413574.83</v>
      </c>
      <c r="J743" s="6">
        <v>0</v>
      </c>
      <c r="K743" s="6">
        <v>0</v>
      </c>
      <c r="L743" s="6">
        <v>0</v>
      </c>
      <c r="M743" s="6">
        <v>0</v>
      </c>
      <c r="N743" s="6">
        <v>0</v>
      </c>
      <c r="O743" s="4">
        <f t="shared" si="250"/>
        <v>413574.83</v>
      </c>
      <c r="P743" s="5">
        <f>SUMIFS('Desenvolvimento diário'!$H:$H,'Desenvolvimento diário'!$Q:$Q,$B743,'Desenvolvimento diário'!$P:$P,$F743,'Desenvolvimento diário'!$R:$R,"Sim")</f>
        <v>0</v>
      </c>
      <c r="Q743" s="5">
        <f>SUMIFS('Desenvolvimento diário'!$H:$H,'Desenvolvimento diário'!$Q:$Q,$B743,'Desenvolvimento diário'!$P:$P,$F743,'Desenvolvimento diário'!$R:$R,"Não")</f>
        <v>413574.83</v>
      </c>
      <c r="R743" s="4">
        <f t="shared" si="251"/>
        <v>413574.83</v>
      </c>
      <c r="S743" s="4">
        <f t="shared" si="252"/>
        <v>0</v>
      </c>
      <c r="T743" s="12">
        <f t="shared" si="230"/>
        <v>1</v>
      </c>
      <c r="Y743" s="2"/>
      <c r="Z743" s="2"/>
      <c r="AA743" s="2"/>
      <c r="AB743" s="2"/>
      <c r="AC743" s="2"/>
    </row>
    <row r="744" spans="1:29" ht="10.5" hidden="1">
      <c r="A744" s="2">
        <f t="shared" si="253"/>
        <v>22</v>
      </c>
      <c r="B744" s="2" t="str">
        <f>VLOOKUP($A744,Controle!$B$4:$F$68,2,FALSE)</f>
        <v>Indaiabira 4</v>
      </c>
      <c r="C744" s="2" t="str">
        <f>VLOOKUP($A744,Controle!$B$4:$F$68,3,FALSE)</f>
        <v xml:space="preserve">ESTRELA DO NORTE </v>
      </c>
      <c r="D744" s="2" t="str">
        <f>VLOOKUP($A744,Controle!$B$4:$F$68,4,FALSE)</f>
        <v>EDN</v>
      </c>
      <c r="E744" s="2">
        <f>VLOOKUP($A744,Controle!$B$4:$F$68,5,FALSE)</f>
        <v>1</v>
      </c>
      <c r="F744" s="3" t="str">
        <f t="shared" si="249"/>
        <v>Equipamentos Curva A - Outros (Cabine + Skid)</v>
      </c>
      <c r="G744" s="2" t="str">
        <f>VLOOKUP($A744,Controle!$B$4:$G$68,6,FALSE)</f>
        <v>Apolo</v>
      </c>
      <c r="H744" s="6" t="s">
        <v>196</v>
      </c>
      <c r="I744" s="6">
        <v>1041682.1489361702</v>
      </c>
      <c r="J744" s="6">
        <v>14610.33</v>
      </c>
      <c r="K744" s="6">
        <v>0</v>
      </c>
      <c r="L744" s="6">
        <v>0</v>
      </c>
      <c r="M744" s="6">
        <v>0</v>
      </c>
      <c r="N744" s="6">
        <v>0</v>
      </c>
      <c r="O744" s="4">
        <f t="shared" si="250"/>
        <v>1056292.4789361702</v>
      </c>
      <c r="P744" s="5">
        <f>SUMIFS('Desenvolvimento diário'!$H:$H,'Desenvolvimento diário'!$Q:$Q,$B744,'Desenvolvimento diário'!$P:$P,$F744,'Desenvolvimento diário'!$R:$R,"Sim")</f>
        <v>0</v>
      </c>
      <c r="Q744" s="5">
        <f>SUMIFS('Desenvolvimento diário'!$H:$H,'Desenvolvimento diário'!$Q:$Q,$B744,'Desenvolvimento diário'!$P:$P,$F744,'Desenvolvimento diário'!$R:$R,"Não")</f>
        <v>1056292.4789361702</v>
      </c>
      <c r="R744" s="4">
        <f t="shared" si="251"/>
        <v>1056292.4789361702</v>
      </c>
      <c r="S744" s="4">
        <f t="shared" si="252"/>
        <v>0</v>
      </c>
      <c r="T744" s="12">
        <f t="shared" si="230"/>
        <v>1</v>
      </c>
      <c r="Y744" s="2"/>
      <c r="Z744" s="2"/>
      <c r="AA744" s="2"/>
      <c r="AB744" s="2"/>
      <c r="AC744" s="2"/>
    </row>
    <row r="745" spans="1:29" ht="10.5" hidden="1">
      <c r="A745" s="2">
        <f t="shared" si="253"/>
        <v>22</v>
      </c>
      <c r="B745" s="2" t="str">
        <f>VLOOKUP($A745,Controle!$B$4:$F$68,2,FALSE)</f>
        <v>Indaiabira 4</v>
      </c>
      <c r="C745" s="2" t="str">
        <f>VLOOKUP($A745,Controle!$B$4:$F$68,3,FALSE)</f>
        <v xml:space="preserve">ESTRELA DO NORTE </v>
      </c>
      <c r="D745" s="2" t="str">
        <f>VLOOKUP($A745,Controle!$B$4:$F$68,4,FALSE)</f>
        <v>EDN</v>
      </c>
      <c r="E745" s="2">
        <f>VLOOKUP($A745,Controle!$B$4:$F$68,5,FALSE)</f>
        <v>1</v>
      </c>
      <c r="F745" s="3" t="str">
        <f t="shared" si="249"/>
        <v>Equipamentos Curva A - Outros (Cabine + Skid + Transformador)</v>
      </c>
      <c r="G745" s="2" t="str">
        <f>VLOOKUP($A745,Controle!$B$4:$G$68,6,FALSE)</f>
        <v>Apolo</v>
      </c>
      <c r="H745" s="6">
        <v>0</v>
      </c>
      <c r="I745" s="6">
        <v>0</v>
      </c>
      <c r="J745" s="6">
        <v>0</v>
      </c>
      <c r="K745" s="6">
        <v>0</v>
      </c>
      <c r="L745" s="6">
        <v>0</v>
      </c>
      <c r="M745" s="6">
        <v>0</v>
      </c>
      <c r="N745" s="6">
        <v>0</v>
      </c>
      <c r="O745" s="4">
        <f t="shared" si="250"/>
        <v>0</v>
      </c>
      <c r="P745" s="5">
        <f>SUMIFS('Desenvolvimento diário'!$H:$H,'Desenvolvimento diário'!$Q:$Q,$B745,'Desenvolvimento diário'!$P:$P,$F745,'Desenvolvimento diário'!$R:$R,"Sim")</f>
        <v>0</v>
      </c>
      <c r="Q745" s="5">
        <f>SUMIFS('Desenvolvimento diário'!$H:$H,'Desenvolvimento diário'!$Q:$Q,$B745,'Desenvolvimento diário'!$P:$P,$F745,'Desenvolvimento diário'!$R:$R,"Não")</f>
        <v>0</v>
      </c>
      <c r="R745" s="4">
        <f t="shared" si="251"/>
        <v>0</v>
      </c>
      <c r="S745" s="4">
        <f t="shared" si="252"/>
        <v>0</v>
      </c>
      <c r="T745" s="12">
        <f t="shared" si="230"/>
        <v>0</v>
      </c>
      <c r="Y745" s="2"/>
      <c r="Z745" s="2"/>
      <c r="AA745" s="2"/>
      <c r="AB745" s="2"/>
      <c r="AC745" s="2"/>
    </row>
    <row r="746" spans="1:29" ht="10.5" hidden="1">
      <c r="A746" s="2">
        <f t="shared" si="253"/>
        <v>22</v>
      </c>
      <c r="B746" s="2" t="str">
        <f>VLOOKUP($A746,Controle!$B$4:$F$68,2,FALSE)</f>
        <v>Indaiabira 4</v>
      </c>
      <c r="C746" s="2" t="str">
        <f>VLOOKUP($A746,Controle!$B$4:$F$68,3,FALSE)</f>
        <v xml:space="preserve">ESTRELA DO NORTE </v>
      </c>
      <c r="D746" s="2" t="str">
        <f>VLOOKUP($A746,Controle!$B$4:$F$68,4,FALSE)</f>
        <v>EDN</v>
      </c>
      <c r="E746" s="2">
        <f>VLOOKUP($A746,Controle!$B$4:$F$68,5,FALSE)</f>
        <v>1</v>
      </c>
      <c r="F746" s="3" t="str">
        <f t="shared" si="249"/>
        <v>Desenvolvimento de projeto - Projetos - (Eng° Proprietario)</v>
      </c>
      <c r="G746" s="2" t="str">
        <f>VLOOKUP($A746,Controle!$B$4:$G$68,6,FALSE)</f>
        <v>Apolo</v>
      </c>
      <c r="H746" s="6" t="s">
        <v>145</v>
      </c>
      <c r="I746" s="6">
        <v>0</v>
      </c>
      <c r="J746" s="6">
        <v>0</v>
      </c>
      <c r="K746" s="6">
        <v>0</v>
      </c>
      <c r="L746" s="6">
        <v>0</v>
      </c>
      <c r="M746" s="6">
        <v>0</v>
      </c>
      <c r="N746" s="6">
        <v>0</v>
      </c>
      <c r="O746" s="4">
        <f t="shared" si="250"/>
        <v>0</v>
      </c>
      <c r="P746" s="5">
        <f>SUMIFS('Desenvolvimento diário'!$H:$H,'Desenvolvimento diário'!$Q:$Q,$B746,'Desenvolvimento diário'!$P:$P,$F746,'Desenvolvimento diário'!$R:$R,"Sim")</f>
        <v>0</v>
      </c>
      <c r="Q746" s="5">
        <f>SUMIFS('Desenvolvimento diário'!$H:$H,'Desenvolvimento diário'!$Q:$Q,$B746,'Desenvolvimento diário'!$P:$P,$F746,'Desenvolvimento diário'!$R:$R,"Não")</f>
        <v>0</v>
      </c>
      <c r="R746" s="4">
        <f t="shared" si="251"/>
        <v>0</v>
      </c>
      <c r="S746" s="4">
        <f t="shared" si="252"/>
        <v>0</v>
      </c>
      <c r="T746" s="12">
        <f t="shared" si="230"/>
        <v>0</v>
      </c>
      <c r="Y746" s="2"/>
      <c r="Z746" s="2"/>
      <c r="AA746" s="2"/>
      <c r="AB746" s="2"/>
      <c r="AC746" s="2"/>
    </row>
    <row r="747" spans="1:29" ht="10.5" hidden="1">
      <c r="A747" s="2">
        <f t="shared" si="253"/>
        <v>22</v>
      </c>
      <c r="B747" s="2" t="str">
        <f>VLOOKUP($A747,Controle!$B$4:$F$68,2,FALSE)</f>
        <v>Indaiabira 4</v>
      </c>
      <c r="C747" s="2" t="str">
        <f>VLOOKUP($A747,Controle!$B$4:$F$68,3,FALSE)</f>
        <v xml:space="preserve">ESTRELA DO NORTE </v>
      </c>
      <c r="D747" s="2" t="str">
        <f>VLOOKUP($A747,Controle!$B$4:$F$68,4,FALSE)</f>
        <v>EDN</v>
      </c>
      <c r="E747" s="2">
        <f>VLOOKUP($A747,Controle!$B$4:$F$68,5,FALSE)</f>
        <v>1</v>
      </c>
      <c r="F747" s="3" t="str">
        <f t="shared" si="249"/>
        <v>Desenvolvimento de projeto - Projetos - Executivos</v>
      </c>
      <c r="G747" s="2" t="str">
        <f>VLOOKUP($A747,Controle!$B$4:$G$68,6,FALSE)</f>
        <v>Apolo</v>
      </c>
      <c r="H747" s="6" t="s">
        <v>146</v>
      </c>
      <c r="I747" s="6">
        <v>36466.699999999997</v>
      </c>
      <c r="J747" s="6">
        <v>0</v>
      </c>
      <c r="K747" s="6">
        <v>0</v>
      </c>
      <c r="L747" s="6">
        <v>0</v>
      </c>
      <c r="M747" s="6">
        <v>0</v>
      </c>
      <c r="N747" s="6">
        <v>0</v>
      </c>
      <c r="O747" s="4">
        <f t="shared" si="250"/>
        <v>36466.699999999997</v>
      </c>
      <c r="P747" s="5">
        <f>SUMIFS('Desenvolvimento diário'!$H:$H,'Desenvolvimento diário'!$Q:$Q,$B747,'Desenvolvimento diário'!$P:$P,$F747,'Desenvolvimento diário'!$R:$R,"Sim")</f>
        <v>0</v>
      </c>
      <c r="Q747" s="5">
        <f>SUMIFS('Desenvolvimento diário'!$H:$H,'Desenvolvimento diário'!$Q:$Q,$B747,'Desenvolvimento diário'!$P:$P,$F747,'Desenvolvimento diário'!$R:$R,"Não")</f>
        <v>36466.699999999997</v>
      </c>
      <c r="R747" s="4">
        <f t="shared" si="251"/>
        <v>36466.699999999997</v>
      </c>
      <c r="S747" s="4">
        <f t="shared" si="252"/>
        <v>0</v>
      </c>
      <c r="T747" s="12">
        <f t="shared" si="230"/>
        <v>1</v>
      </c>
      <c r="Y747" s="2"/>
      <c r="Z747" s="2"/>
      <c r="AA747" s="2"/>
      <c r="AB747" s="2"/>
      <c r="AC747" s="2"/>
    </row>
    <row r="748" spans="1:29" ht="10.5" hidden="1">
      <c r="A748" s="2">
        <f t="shared" si="253"/>
        <v>22</v>
      </c>
      <c r="B748" s="2" t="str">
        <f>VLOOKUP($A748,Controle!$B$4:$F$68,2,FALSE)</f>
        <v>Indaiabira 4</v>
      </c>
      <c r="C748" s="2" t="str">
        <f>VLOOKUP($A748,Controle!$B$4:$F$68,3,FALSE)</f>
        <v xml:space="preserve">ESTRELA DO NORTE </v>
      </c>
      <c r="D748" s="2" t="str">
        <f>VLOOKUP($A748,Controle!$B$4:$F$68,4,FALSE)</f>
        <v>EDN</v>
      </c>
      <c r="E748" s="2">
        <f>VLOOKUP($A748,Controle!$B$4:$F$68,5,FALSE)</f>
        <v>1</v>
      </c>
      <c r="F748" s="3" t="str">
        <f t="shared" si="249"/>
        <v>Desenvolvimento de projeto - Projetos Básica</v>
      </c>
      <c r="G748" s="2" t="str">
        <f>VLOOKUP($A748,Controle!$B$4:$G$68,6,FALSE)</f>
        <v>Apolo</v>
      </c>
      <c r="H748" s="6">
        <v>0</v>
      </c>
      <c r="I748" s="6">
        <v>0</v>
      </c>
      <c r="J748" s="6">
        <v>0</v>
      </c>
      <c r="K748" s="6">
        <v>0</v>
      </c>
      <c r="L748" s="6">
        <v>0</v>
      </c>
      <c r="M748" s="6">
        <v>0</v>
      </c>
      <c r="N748" s="6">
        <v>0</v>
      </c>
      <c r="O748" s="4">
        <f t="shared" si="250"/>
        <v>0</v>
      </c>
      <c r="P748" s="5">
        <f>SUMIFS('Desenvolvimento diário'!$H:$H,'Desenvolvimento diário'!$Q:$Q,$B748,'Desenvolvimento diário'!$P:$P,$F748,'Desenvolvimento diário'!$R:$R,"Sim")</f>
        <v>0</v>
      </c>
      <c r="Q748" s="5">
        <f>SUMIFS('Desenvolvimento diário'!$H:$H,'Desenvolvimento diário'!$Q:$Q,$B748,'Desenvolvimento diário'!$P:$P,$F748,'Desenvolvimento diário'!$R:$R,"Não")</f>
        <v>0</v>
      </c>
      <c r="R748" s="4">
        <f t="shared" si="251"/>
        <v>0</v>
      </c>
      <c r="S748" s="4">
        <f t="shared" si="252"/>
        <v>0</v>
      </c>
      <c r="T748" s="12">
        <f t="shared" si="230"/>
        <v>0</v>
      </c>
      <c r="Y748" s="2"/>
      <c r="Z748" s="2"/>
      <c r="AA748" s="2"/>
      <c r="AB748" s="2"/>
      <c r="AC748" s="2"/>
    </row>
    <row r="749" spans="1:29" ht="10.5" hidden="1">
      <c r="A749" s="2">
        <f t="shared" si="253"/>
        <v>22</v>
      </c>
      <c r="B749" s="2" t="str">
        <f>VLOOKUP($A749,Controle!$B$4:$F$68,2,FALSE)</f>
        <v>Indaiabira 4</v>
      </c>
      <c r="C749" s="2" t="str">
        <f>VLOOKUP($A749,Controle!$B$4:$F$68,3,FALSE)</f>
        <v xml:space="preserve">ESTRELA DO NORTE </v>
      </c>
      <c r="D749" s="2" t="str">
        <f>VLOOKUP($A749,Controle!$B$4:$F$68,4,FALSE)</f>
        <v>EDN</v>
      </c>
      <c r="E749" s="2">
        <f>VLOOKUP($A749,Controle!$B$4:$F$68,5,FALSE)</f>
        <v>1</v>
      </c>
      <c r="F749" s="3" t="str">
        <f t="shared" si="249"/>
        <v>Desenvolvimento de projeto - Projetos Detalhada</v>
      </c>
      <c r="G749" s="2" t="str">
        <f>VLOOKUP($A749,Controle!$B$4:$G$68,6,FALSE)</f>
        <v>Apolo</v>
      </c>
      <c r="H749" s="6">
        <v>0</v>
      </c>
      <c r="I749" s="6">
        <v>0</v>
      </c>
      <c r="J749" s="6">
        <v>0</v>
      </c>
      <c r="K749" s="6">
        <v>0</v>
      </c>
      <c r="L749" s="6">
        <v>0</v>
      </c>
      <c r="M749" s="6">
        <v>0</v>
      </c>
      <c r="N749" s="6">
        <v>0</v>
      </c>
      <c r="O749" s="4">
        <f t="shared" si="250"/>
        <v>0</v>
      </c>
      <c r="P749" s="5">
        <f>SUMIFS('Desenvolvimento diário'!$H:$H,'Desenvolvimento diário'!$Q:$Q,$B749,'Desenvolvimento diário'!$P:$P,$F749,'Desenvolvimento diário'!$R:$R,"Sim")</f>
        <v>0</v>
      </c>
      <c r="Q749" s="5">
        <f>SUMIFS('Desenvolvimento diário'!$H:$H,'Desenvolvimento diário'!$Q:$Q,$B749,'Desenvolvimento diário'!$P:$P,$F749,'Desenvolvimento diário'!$R:$R,"Não")</f>
        <v>0</v>
      </c>
      <c r="R749" s="4">
        <f t="shared" si="251"/>
        <v>0</v>
      </c>
      <c r="S749" s="4">
        <f t="shared" si="252"/>
        <v>0</v>
      </c>
      <c r="T749" s="12">
        <f t="shared" si="230"/>
        <v>0</v>
      </c>
      <c r="Y749" s="2"/>
      <c r="Z749" s="2"/>
      <c r="AA749" s="2"/>
      <c r="AB749" s="2"/>
      <c r="AC749" s="2"/>
    </row>
    <row r="750" spans="1:29" ht="10.5" hidden="1">
      <c r="A750" s="2">
        <f t="shared" si="253"/>
        <v>22</v>
      </c>
      <c r="B750" s="2" t="str">
        <f>VLOOKUP($A750,Controle!$B$4:$F$68,2,FALSE)</f>
        <v>Indaiabira 4</v>
      </c>
      <c r="C750" s="2" t="str">
        <f>VLOOKUP($A750,Controle!$B$4:$F$68,3,FALSE)</f>
        <v xml:space="preserve">ESTRELA DO NORTE </v>
      </c>
      <c r="D750" s="2" t="str">
        <f>VLOOKUP($A750,Controle!$B$4:$F$68,4,FALSE)</f>
        <v>EDN</v>
      </c>
      <c r="E750" s="2">
        <f>VLOOKUP($A750,Controle!$B$4:$F$68,5,FALSE)</f>
        <v>1</v>
      </c>
      <c r="F750" s="3" t="str">
        <f t="shared" si="249"/>
        <v>Desenvolvimento de projeto - Ambiental / Outros</v>
      </c>
      <c r="G750" s="2" t="str">
        <f>VLOOKUP($A750,Controle!$B$4:$G$68,6,FALSE)</f>
        <v>Apolo</v>
      </c>
      <c r="H750" s="6" t="s">
        <v>148</v>
      </c>
      <c r="I750" s="6">
        <f>R750</f>
        <v>102009.62000000001</v>
      </c>
      <c r="J750" s="6">
        <v>0</v>
      </c>
      <c r="K750" s="6">
        <v>0</v>
      </c>
      <c r="L750" s="6">
        <v>0</v>
      </c>
      <c r="M750" s="6">
        <v>0</v>
      </c>
      <c r="N750" s="6">
        <v>0</v>
      </c>
      <c r="O750" s="4">
        <f t="shared" si="250"/>
        <v>102009.62000000001</v>
      </c>
      <c r="P750" s="5">
        <f>SUMIFS('Desenvolvimento diário'!$H:$H,'Desenvolvimento diário'!$Q:$Q,$B750,'Desenvolvimento diário'!$P:$P,$F750,'Desenvolvimento diário'!$R:$R,"Sim")</f>
        <v>0</v>
      </c>
      <c r="Q750" s="5">
        <f>SUMIFS('Desenvolvimento diário'!$H:$H,'Desenvolvimento diário'!$Q:$Q,$B750,'Desenvolvimento diário'!$P:$P,$F750,'Desenvolvimento diário'!$R:$R,"Não")</f>
        <v>102009.62000000001</v>
      </c>
      <c r="R750" s="4">
        <f t="shared" si="251"/>
        <v>102009.62000000001</v>
      </c>
      <c r="S750" s="4">
        <f t="shared" si="252"/>
        <v>0</v>
      </c>
      <c r="T750" s="12">
        <f t="shared" ref="T750:T817" si="254">IFERROR(R750/O750,0)</f>
        <v>1</v>
      </c>
      <c r="Y750" s="2"/>
      <c r="Z750" s="2"/>
      <c r="AA750" s="2"/>
      <c r="AB750" s="2"/>
      <c r="AC750" s="2"/>
    </row>
    <row r="751" spans="1:29" hidden="1">
      <c r="A751" s="2">
        <f t="shared" si="253"/>
        <v>22</v>
      </c>
      <c r="B751" s="2" t="str">
        <f>VLOOKUP($A751,Controle!$B$4:$F$68,2,FALSE)</f>
        <v>Indaiabira 4</v>
      </c>
      <c r="C751" s="2" t="str">
        <f>VLOOKUP($A751,Controle!$B$4:$F$68,3,FALSE)</f>
        <v xml:space="preserve">ESTRELA DO NORTE </v>
      </c>
      <c r="D751" s="2" t="str">
        <f>VLOOKUP($A751,Controle!$B$4:$F$68,4,FALSE)</f>
        <v>EDN</v>
      </c>
      <c r="E751" s="2">
        <f>VLOOKUP($A751,Controle!$B$4:$F$68,5,FALSE)</f>
        <v>1</v>
      </c>
      <c r="F751" s="3" t="str">
        <f t="shared" si="249"/>
        <v>Desenvolvimento de projeto - Coordenograma</v>
      </c>
      <c r="G751" s="2" t="str">
        <f>VLOOKUP($A751,Controle!$B$4:$G$68,6,FALSE)</f>
        <v>Apolo</v>
      </c>
      <c r="H751" s="31" t="s">
        <v>149</v>
      </c>
      <c r="I751" s="31">
        <v>7000</v>
      </c>
      <c r="J751" s="31">
        <v>0</v>
      </c>
      <c r="K751" s="31">
        <v>0</v>
      </c>
      <c r="L751" s="6">
        <v>0</v>
      </c>
      <c r="M751" s="6">
        <v>0</v>
      </c>
      <c r="N751" s="6">
        <v>0</v>
      </c>
      <c r="O751" s="4">
        <f t="shared" si="250"/>
        <v>7000</v>
      </c>
      <c r="P751" s="5">
        <f>SUMIFS('Desenvolvimento diário'!$H:$H,'Desenvolvimento diário'!$Q:$Q,$B751,'Desenvolvimento diário'!$P:$P,$F751,'Desenvolvimento diário'!$R:$R,"Sim")</f>
        <v>0</v>
      </c>
      <c r="Q751" s="5">
        <f>SUMIFS('Desenvolvimento diário'!$H:$H,'Desenvolvimento diário'!$Q:$Q,$B751,'Desenvolvimento diário'!$P:$P,$F751,'Desenvolvimento diário'!$R:$R,"Não")</f>
        <v>7000</v>
      </c>
      <c r="R751" s="4">
        <f t="shared" si="251"/>
        <v>7000</v>
      </c>
      <c r="S751" s="4">
        <f t="shared" si="252"/>
        <v>0</v>
      </c>
      <c r="T751" s="12">
        <f t="shared" si="254"/>
        <v>1</v>
      </c>
      <c r="Y751" s="2"/>
      <c r="Z751" s="2"/>
      <c r="AA751" s="2"/>
      <c r="AB751" s="2"/>
      <c r="AC751" s="2"/>
    </row>
    <row r="752" spans="1:29" ht="10.5" hidden="1">
      <c r="A752" s="2">
        <f t="shared" si="253"/>
        <v>22</v>
      </c>
      <c r="B752" s="2" t="str">
        <f>VLOOKUP($A752,Controle!$B$4:$F$68,2,FALSE)</f>
        <v>Indaiabira 4</v>
      </c>
      <c r="C752" s="2" t="str">
        <f>VLOOKUP($A752,Controle!$B$4:$F$68,3,FALSE)</f>
        <v xml:space="preserve">ESTRELA DO NORTE </v>
      </c>
      <c r="D752" s="2" t="str">
        <f>VLOOKUP($A752,Controle!$B$4:$F$68,4,FALSE)</f>
        <v>EDN</v>
      </c>
      <c r="E752" s="2">
        <f>VLOOKUP($A752,Controle!$B$4:$F$68,5,FALSE)</f>
        <v>1</v>
      </c>
      <c r="F752" s="3" t="str">
        <f t="shared" si="249"/>
        <v>Sistemas de Monitoramento - Supervisório</v>
      </c>
      <c r="G752" s="2" t="str">
        <f>VLOOKUP($A752,Controle!$B$4:$G$68,6,FALSE)</f>
        <v>Apolo</v>
      </c>
      <c r="H752" s="6" t="s">
        <v>150</v>
      </c>
      <c r="I752" s="6">
        <v>136155</v>
      </c>
      <c r="J752" s="6"/>
      <c r="K752" s="6">
        <v>0</v>
      </c>
      <c r="L752" s="6">
        <v>0</v>
      </c>
      <c r="M752" s="6">
        <v>0</v>
      </c>
      <c r="N752" s="6">
        <v>0</v>
      </c>
      <c r="O752" s="4">
        <f t="shared" si="250"/>
        <v>136155</v>
      </c>
      <c r="P752" s="5">
        <f>SUMIFS('Desenvolvimento diário'!$H:$H,'Desenvolvimento diário'!$Q:$Q,$B752,'Desenvolvimento diário'!$P:$P,$F752,'Desenvolvimento diário'!$R:$R,"Sim")</f>
        <v>38768.15</v>
      </c>
      <c r="Q752" s="5">
        <f>SUMIFS('Desenvolvimento diário'!$H:$H,'Desenvolvimento diário'!$Q:$Q,$B752,'Desenvolvimento diário'!$P:$P,$F752,'Desenvolvimento diário'!$R:$R,"Não")</f>
        <v>97386.85</v>
      </c>
      <c r="R752" s="4">
        <f t="shared" si="251"/>
        <v>136155</v>
      </c>
      <c r="S752" s="4">
        <f t="shared" si="252"/>
        <v>0</v>
      </c>
      <c r="T752" s="12">
        <f t="shared" si="254"/>
        <v>1</v>
      </c>
      <c r="Y752" s="2"/>
      <c r="Z752" s="2"/>
      <c r="AA752" s="2"/>
      <c r="AB752" s="2"/>
      <c r="AC752" s="2"/>
    </row>
    <row r="753" spans="1:29" ht="10.5" hidden="1">
      <c r="A753" s="2">
        <f t="shared" si="253"/>
        <v>22</v>
      </c>
      <c r="B753" s="2" t="str">
        <f>VLOOKUP($A753,Controle!$B$4:$F$68,2,FALSE)</f>
        <v>Indaiabira 4</v>
      </c>
      <c r="C753" s="2" t="str">
        <f>VLOOKUP($A753,Controle!$B$4:$F$68,3,FALSE)</f>
        <v xml:space="preserve">ESTRELA DO NORTE </v>
      </c>
      <c r="D753" s="2" t="str">
        <f>VLOOKUP($A753,Controle!$B$4:$F$68,4,FALSE)</f>
        <v>EDN</v>
      </c>
      <c r="E753" s="2">
        <f>VLOOKUP($A753,Controle!$B$4:$F$68,5,FALSE)</f>
        <v>1</v>
      </c>
      <c r="F753" s="3" t="str">
        <f t="shared" si="249"/>
        <v>Sistemas de Monitoramento - Estações Solarimétricas</v>
      </c>
      <c r="G753" s="2" t="str">
        <f>VLOOKUP($A753,Controle!$B$4:$G$68,6,FALSE)</f>
        <v>Apolo</v>
      </c>
      <c r="H753" s="6" t="s">
        <v>151</v>
      </c>
      <c r="I753" s="6">
        <v>48276.516000000003</v>
      </c>
      <c r="J753" s="6">
        <v>0</v>
      </c>
      <c r="K753" s="6">
        <v>0</v>
      </c>
      <c r="L753" s="6">
        <v>0</v>
      </c>
      <c r="M753" s="6">
        <v>0</v>
      </c>
      <c r="N753" s="6">
        <v>0</v>
      </c>
      <c r="O753" s="4">
        <f t="shared" si="250"/>
        <v>48276.516000000003</v>
      </c>
      <c r="P753" s="5">
        <f>SUMIFS('Desenvolvimento diário'!$H:$H,'Desenvolvimento diário'!$Q:$Q,$B753,'Desenvolvimento diário'!$P:$P,$F753,'Desenvolvimento diário'!$R:$R,"Sim")</f>
        <v>0</v>
      </c>
      <c r="Q753" s="5">
        <f>SUMIFS('Desenvolvimento diário'!$H:$H,'Desenvolvimento diário'!$Q:$Q,$B753,'Desenvolvimento diário'!$P:$P,$F753,'Desenvolvimento diário'!$R:$R,"Não")</f>
        <v>48276.516000000003</v>
      </c>
      <c r="R753" s="4">
        <f t="shared" si="251"/>
        <v>48276.516000000003</v>
      </c>
      <c r="S753" s="4">
        <f t="shared" si="252"/>
        <v>0</v>
      </c>
      <c r="T753" s="12">
        <f t="shared" si="254"/>
        <v>1</v>
      </c>
      <c r="Y753" s="2"/>
      <c r="Z753" s="2"/>
      <c r="AA753" s="2"/>
      <c r="AB753" s="2"/>
      <c r="AC753" s="2"/>
    </row>
    <row r="754" spans="1:29" hidden="1">
      <c r="A754" s="2">
        <f t="shared" si="253"/>
        <v>22</v>
      </c>
      <c r="B754" s="2" t="str">
        <f>VLOOKUP($A754,Controle!$B$4:$F$68,2,FALSE)</f>
        <v>Indaiabira 4</v>
      </c>
      <c r="C754" s="2" t="str">
        <f>VLOOKUP($A754,Controle!$B$4:$F$68,3,FALSE)</f>
        <v xml:space="preserve">ESTRELA DO NORTE </v>
      </c>
      <c r="D754" s="2" t="str">
        <f>VLOOKUP($A754,Controle!$B$4:$F$68,4,FALSE)</f>
        <v>EDN</v>
      </c>
      <c r="E754" s="2">
        <f>VLOOKUP($A754,Controle!$B$4:$F$68,5,FALSE)</f>
        <v>1</v>
      </c>
      <c r="F754" s="3" t="str">
        <f t="shared" si="249"/>
        <v>Sistemas de Monitoramento - CFTV</v>
      </c>
      <c r="G754" s="2" t="str">
        <f>VLOOKUP($A754,Controle!$B$4:$G$68,6,FALSE)</f>
        <v>Apolo</v>
      </c>
      <c r="H754" s="31" t="s">
        <v>152</v>
      </c>
      <c r="I754" s="6">
        <v>285467.13</v>
      </c>
      <c r="J754" s="6">
        <v>0</v>
      </c>
      <c r="K754" s="6">
        <v>0</v>
      </c>
      <c r="L754" s="6">
        <v>0</v>
      </c>
      <c r="M754" s="6">
        <v>0</v>
      </c>
      <c r="N754" s="6">
        <v>0</v>
      </c>
      <c r="O754" s="4">
        <f t="shared" si="250"/>
        <v>285467.13</v>
      </c>
      <c r="P754" s="5">
        <f>SUMIFS('Desenvolvimento diário'!$H:$H,'Desenvolvimento diário'!$Q:$Q,$B754,'Desenvolvimento diário'!$P:$P,$F754,'Desenvolvimento diário'!$R:$R,"Sim")</f>
        <v>13300.35</v>
      </c>
      <c r="Q754" s="5">
        <f>SUMIFS('Desenvolvimento diário'!$H:$H,'Desenvolvimento diário'!$Q:$Q,$B754,'Desenvolvimento diário'!$P:$P,$F754,'Desenvolvimento diário'!$R:$R,"Não")</f>
        <v>272166.78000000003</v>
      </c>
      <c r="R754" s="4">
        <f t="shared" si="251"/>
        <v>285467.13</v>
      </c>
      <c r="S754" s="4">
        <f t="shared" si="252"/>
        <v>0</v>
      </c>
      <c r="T754" s="12">
        <f t="shared" si="254"/>
        <v>1</v>
      </c>
      <c r="Y754" s="2"/>
      <c r="Z754" s="2"/>
      <c r="AA754" s="2"/>
      <c r="AB754" s="2"/>
      <c r="AC754" s="2"/>
    </row>
    <row r="755" spans="1:29" ht="10.5" hidden="1">
      <c r="A755" s="2">
        <f t="shared" si="253"/>
        <v>22</v>
      </c>
      <c r="B755" s="2" t="str">
        <f>VLOOKUP($A755,Controle!$B$4:$F$68,2,FALSE)</f>
        <v>Indaiabira 4</v>
      </c>
      <c r="C755" s="2" t="str">
        <f>VLOOKUP($A755,Controle!$B$4:$F$68,3,FALSE)</f>
        <v xml:space="preserve">ESTRELA DO NORTE </v>
      </c>
      <c r="D755" s="2" t="str">
        <f>VLOOKUP($A755,Controle!$B$4:$F$68,4,FALSE)</f>
        <v>EDN</v>
      </c>
      <c r="E755" s="2">
        <f>VLOOKUP($A755,Controle!$B$4:$F$68,5,FALSE)</f>
        <v>1</v>
      </c>
      <c r="F755" s="3" t="str">
        <f t="shared" si="249"/>
        <v>Serviços Auxiliares - Drenagem</v>
      </c>
      <c r="G755" s="2" t="str">
        <f>VLOOKUP($A755,Controle!$B$4:$G$68,6,FALSE)</f>
        <v>Apolo</v>
      </c>
      <c r="H755" s="6" t="s">
        <v>198</v>
      </c>
      <c r="I755" s="6">
        <v>821310.2</v>
      </c>
      <c r="J755" s="6">
        <v>0</v>
      </c>
      <c r="K755" s="6">
        <v>0</v>
      </c>
      <c r="L755" s="6">
        <v>0</v>
      </c>
      <c r="M755" s="6">
        <v>0</v>
      </c>
      <c r="N755" s="6">
        <v>0</v>
      </c>
      <c r="O755" s="4">
        <f t="shared" si="250"/>
        <v>821310.2</v>
      </c>
      <c r="P755" s="5">
        <f>SUMIFS('Desenvolvimento diário'!$H:$H,'Desenvolvimento diário'!$Q:$Q,$B755,'Desenvolvimento diário'!$P:$P,$F755,'Desenvolvimento diário'!$R:$R,"Sim")</f>
        <v>0</v>
      </c>
      <c r="Q755" s="5">
        <f>SUMIFS('Desenvolvimento diário'!$H:$H,'Desenvolvimento diário'!$Q:$Q,$B755,'Desenvolvimento diário'!$P:$P,$F755,'Desenvolvimento diário'!$R:$R,"Não")</f>
        <v>821310.2</v>
      </c>
      <c r="R755" s="4">
        <f t="shared" si="251"/>
        <v>821310.2</v>
      </c>
      <c r="S755" s="4">
        <f t="shared" si="252"/>
        <v>0</v>
      </c>
      <c r="T755" s="12">
        <f t="shared" si="254"/>
        <v>1</v>
      </c>
      <c r="Y755" s="2"/>
      <c r="Z755" s="2"/>
      <c r="AA755" s="2"/>
      <c r="AB755" s="2"/>
      <c r="AC755" s="2"/>
    </row>
    <row r="756" spans="1:29" ht="10.5" hidden="1">
      <c r="A756" s="2">
        <f t="shared" si="253"/>
        <v>22</v>
      </c>
      <c r="B756" s="2" t="str">
        <f>VLOOKUP($A756,Controle!$B$4:$F$68,2,FALSE)</f>
        <v>Indaiabira 4</v>
      </c>
      <c r="C756" s="2" t="str">
        <f>VLOOKUP($A756,Controle!$B$4:$F$68,3,FALSE)</f>
        <v xml:space="preserve">ESTRELA DO NORTE </v>
      </c>
      <c r="D756" s="2" t="str">
        <f>VLOOKUP($A756,Controle!$B$4:$F$68,4,FALSE)</f>
        <v>EDN</v>
      </c>
      <c r="E756" s="2">
        <f>VLOOKUP($A756,Controle!$B$4:$F$68,5,FALSE)</f>
        <v>1</v>
      </c>
      <c r="F756" s="3" t="str">
        <f t="shared" si="249"/>
        <v>Serviços Auxiliares - Terraplanagem</v>
      </c>
      <c r="G756" s="2" t="str">
        <f>VLOOKUP($A756,Controle!$B$4:$G$68,6,FALSE)</f>
        <v>Apolo</v>
      </c>
      <c r="H756" s="6" t="s">
        <v>199</v>
      </c>
      <c r="I756" s="6">
        <v>120000</v>
      </c>
      <c r="J756" s="6">
        <v>0</v>
      </c>
      <c r="K756" s="6">
        <v>0</v>
      </c>
      <c r="L756" s="6">
        <v>0</v>
      </c>
      <c r="M756" s="6">
        <v>0</v>
      </c>
      <c r="N756" s="6">
        <v>0</v>
      </c>
      <c r="O756" s="4">
        <f t="shared" si="250"/>
        <v>120000</v>
      </c>
      <c r="P756" s="5">
        <f>SUMIFS('Desenvolvimento diário'!$H:$H,'Desenvolvimento diário'!$Q:$Q,$B756,'Desenvolvimento diário'!$P:$P,$F756,'Desenvolvimento diário'!$R:$R,"Sim")</f>
        <v>0</v>
      </c>
      <c r="Q756" s="5">
        <f>SUMIFS('Desenvolvimento diário'!$H:$H,'Desenvolvimento diário'!$Q:$Q,$B756,'Desenvolvimento diário'!$P:$P,$F756,'Desenvolvimento diário'!$R:$R,"Não")</f>
        <v>120000</v>
      </c>
      <c r="R756" s="4">
        <f t="shared" si="251"/>
        <v>120000</v>
      </c>
      <c r="S756" s="4">
        <f t="shared" si="252"/>
        <v>0</v>
      </c>
      <c r="T756" s="12">
        <f t="shared" si="254"/>
        <v>1</v>
      </c>
      <c r="Y756" s="2"/>
      <c r="Z756" s="2"/>
      <c r="AA756" s="2"/>
      <c r="AB756" s="2"/>
      <c r="AC756" s="2"/>
    </row>
    <row r="757" spans="1:29" ht="10.5" hidden="1">
      <c r="A757" s="2">
        <f t="shared" si="253"/>
        <v>22</v>
      </c>
      <c r="B757" s="2" t="str">
        <f>VLOOKUP($A757,Controle!$B$4:$F$68,2,FALSE)</f>
        <v>Indaiabira 4</v>
      </c>
      <c r="C757" s="2" t="str">
        <f>VLOOKUP($A757,Controle!$B$4:$F$68,3,FALSE)</f>
        <v xml:space="preserve">ESTRELA DO NORTE </v>
      </c>
      <c r="D757" s="2" t="str">
        <f>VLOOKUP($A757,Controle!$B$4:$F$68,4,FALSE)</f>
        <v>EDN</v>
      </c>
      <c r="E757" s="2">
        <f>VLOOKUP($A757,Controle!$B$4:$F$68,5,FALSE)</f>
        <v>1</v>
      </c>
      <c r="F757" s="3" t="str">
        <f t="shared" si="249"/>
        <v>Serviços Auxiliares - Supressão Vegetal</v>
      </c>
      <c r="G757" s="2" t="str">
        <f>VLOOKUP($A757,Controle!$B$4:$G$68,6,FALSE)</f>
        <v>Apolo</v>
      </c>
      <c r="H757" s="6">
        <v>0</v>
      </c>
      <c r="I757" s="6">
        <v>0</v>
      </c>
      <c r="J757" s="6">
        <v>0</v>
      </c>
      <c r="K757" s="6">
        <v>0</v>
      </c>
      <c r="L757" s="6">
        <v>0</v>
      </c>
      <c r="M757" s="6">
        <v>0</v>
      </c>
      <c r="N757" s="6">
        <v>0</v>
      </c>
      <c r="O757" s="4">
        <f t="shared" si="250"/>
        <v>0</v>
      </c>
      <c r="P757" s="5">
        <f>SUMIFS('Desenvolvimento diário'!$H:$H,'Desenvolvimento diário'!$Q:$Q,$B757,'Desenvolvimento diário'!$P:$P,$F757,'Desenvolvimento diário'!$R:$R,"Sim")</f>
        <v>0</v>
      </c>
      <c r="Q757" s="5">
        <f>SUMIFS('Desenvolvimento diário'!$H:$H,'Desenvolvimento diário'!$Q:$Q,$B757,'Desenvolvimento diário'!$P:$P,$F757,'Desenvolvimento diário'!$R:$R,"Não")</f>
        <v>0</v>
      </c>
      <c r="R757" s="4">
        <f t="shared" si="251"/>
        <v>0</v>
      </c>
      <c r="S757" s="4">
        <f t="shared" si="252"/>
        <v>0</v>
      </c>
      <c r="T757" s="12">
        <f t="shared" si="254"/>
        <v>0</v>
      </c>
      <c r="Y757" s="2"/>
      <c r="Z757" s="2"/>
      <c r="AA757" s="2"/>
      <c r="AB757" s="2"/>
      <c r="AC757" s="2"/>
    </row>
    <row r="758" spans="1:29" ht="10.5" hidden="1">
      <c r="A758" s="2">
        <f t="shared" si="253"/>
        <v>22</v>
      </c>
      <c r="B758" s="2" t="str">
        <f>VLOOKUP($A758,Controle!$B$4:$F$68,2,FALSE)</f>
        <v>Indaiabira 4</v>
      </c>
      <c r="C758" s="2" t="str">
        <f>VLOOKUP($A758,Controle!$B$4:$F$68,3,FALSE)</f>
        <v xml:space="preserve">ESTRELA DO NORTE </v>
      </c>
      <c r="D758" s="2" t="str">
        <f>VLOOKUP($A758,Controle!$B$4:$F$68,4,FALSE)</f>
        <v>EDN</v>
      </c>
      <c r="E758" s="2">
        <f>VLOOKUP($A758,Controle!$B$4:$F$68,5,FALSE)</f>
        <v>1</v>
      </c>
      <c r="F758" s="3" t="str">
        <f t="shared" si="249"/>
        <v>RDR-Rede de Distribuição Rural</v>
      </c>
      <c r="G758" s="2" t="str">
        <f>VLOOKUP($A758,Controle!$B$4:$G$68,6,FALSE)</f>
        <v>Apolo</v>
      </c>
      <c r="H758" s="6">
        <v>0</v>
      </c>
      <c r="I758" s="6">
        <v>0</v>
      </c>
      <c r="J758" s="6">
        <v>0</v>
      </c>
      <c r="K758" s="6">
        <v>0</v>
      </c>
      <c r="L758" s="6">
        <v>0</v>
      </c>
      <c r="M758" s="6">
        <v>0</v>
      </c>
      <c r="N758" s="6">
        <v>0</v>
      </c>
      <c r="O758" s="4">
        <f t="shared" si="250"/>
        <v>0</v>
      </c>
      <c r="P758" s="5">
        <f>SUMIFS('Desenvolvimento diário'!$H:$H,'Desenvolvimento diário'!$Q:$Q,$B758,'Desenvolvimento diário'!$P:$P,$F758,'Desenvolvimento diário'!$R:$R,"Sim")</f>
        <v>0</v>
      </c>
      <c r="Q758" s="5">
        <f>SUMIFS('Desenvolvimento diário'!$H:$H,'Desenvolvimento diário'!$Q:$Q,$B758,'Desenvolvimento diário'!$P:$P,$F758,'Desenvolvimento diário'!$R:$R,"Não")</f>
        <v>0</v>
      </c>
      <c r="R758" s="4">
        <f t="shared" si="251"/>
        <v>0</v>
      </c>
      <c r="S758" s="4">
        <f t="shared" si="252"/>
        <v>0</v>
      </c>
      <c r="T758" s="12">
        <f t="shared" si="254"/>
        <v>0</v>
      </c>
      <c r="Y758" s="2"/>
      <c r="Z758" s="2"/>
      <c r="AA758" s="2"/>
      <c r="AB758" s="2"/>
      <c r="AC758" s="2"/>
    </row>
    <row r="759" spans="1:29" ht="10.5" hidden="1">
      <c r="A759" s="2">
        <f t="shared" si="253"/>
        <v>22</v>
      </c>
      <c r="B759" s="2" t="str">
        <f>VLOOKUP($A759,Controle!$B$4:$F$68,2,FALSE)</f>
        <v>Indaiabira 4</v>
      </c>
      <c r="C759" s="2" t="str">
        <f>VLOOKUP($A759,Controle!$B$4:$F$68,3,FALSE)</f>
        <v xml:space="preserve">ESTRELA DO NORTE </v>
      </c>
      <c r="D759" s="2" t="str">
        <f>VLOOKUP($A759,Controle!$B$4:$F$68,4,FALSE)</f>
        <v>EDN</v>
      </c>
      <c r="E759" s="2">
        <f>VLOOKUP($A759,Controle!$B$4:$F$68,5,FALSE)</f>
        <v>1</v>
      </c>
      <c r="F759" s="3" t="str">
        <f t="shared" si="249"/>
        <v>Escopo COMERC</v>
      </c>
      <c r="G759" s="2" t="str">
        <f>VLOOKUP($A759,Controle!$B$4:$G$68,6,FALSE)</f>
        <v>Apolo</v>
      </c>
      <c r="H759" s="6">
        <v>0</v>
      </c>
      <c r="I759" s="6">
        <v>149963.59999999998</v>
      </c>
      <c r="J759" s="29">
        <v>33500</v>
      </c>
      <c r="K759" s="29"/>
      <c r="L759" s="6">
        <v>0</v>
      </c>
      <c r="M759" s="6">
        <v>0</v>
      </c>
      <c r="N759" s="6">
        <v>0</v>
      </c>
      <c r="O759" s="4">
        <f t="shared" si="250"/>
        <v>183463.59999999998</v>
      </c>
      <c r="P759" s="5">
        <f>SUMIFS('Desenvolvimento diário'!$H:$H,'Desenvolvimento diário'!$Q:$Q,$B759,'Desenvolvimento diário'!$P:$P,$F759,'Desenvolvimento diário'!$R:$R,"Sim")</f>
        <v>0</v>
      </c>
      <c r="Q759" s="5">
        <f>SUMIFS('Desenvolvimento diário'!$H:$H,'Desenvolvimento diário'!$Q:$Q,$B759,'Desenvolvimento diário'!$P:$P,$F759,'Desenvolvimento diário'!$R:$R,"Não")</f>
        <v>150962.37999999998</v>
      </c>
      <c r="R759" s="4">
        <f t="shared" si="251"/>
        <v>150962.37999999998</v>
      </c>
      <c r="S759" s="1010">
        <f t="shared" si="252"/>
        <v>32501.22</v>
      </c>
      <c r="T759" s="12">
        <f t="shared" si="254"/>
        <v>0.82284649380040509</v>
      </c>
      <c r="U759" s="1011" t="s">
        <v>166</v>
      </c>
      <c r="V759" s="1011" t="s">
        <v>167</v>
      </c>
      <c r="Y759" s="2"/>
      <c r="Z759" s="2"/>
      <c r="AA759" s="2"/>
      <c r="AB759" s="2"/>
      <c r="AC759" s="2"/>
    </row>
    <row r="760" spans="1:29" ht="10.5" hidden="1">
      <c r="A760" s="2">
        <f t="shared" si="253"/>
        <v>22</v>
      </c>
      <c r="B760" s="2" t="str">
        <f>VLOOKUP($A760,Controle!$B$4:$F$68,2,FALSE)</f>
        <v>Indaiabira 4</v>
      </c>
      <c r="C760" s="2" t="str">
        <f>VLOOKUP($A760,Controle!$B$4:$F$68,3,FALSE)</f>
        <v xml:space="preserve">ESTRELA DO NORTE </v>
      </c>
      <c r="D760" s="2" t="str">
        <f>VLOOKUP($A760,Controle!$B$4:$F$68,4,FALSE)</f>
        <v>EDN</v>
      </c>
      <c r="E760" s="2">
        <f>VLOOKUP($A760,Controle!$B$4:$F$68,5,FALSE)</f>
        <v>1</v>
      </c>
      <c r="F760" s="3" t="str">
        <f t="shared" si="249"/>
        <v>Escopo COMERC - Segurança</v>
      </c>
      <c r="G760" s="2" t="str">
        <f>VLOOKUP($A760,Controle!$B$4:$G$68,6,FALSE)</f>
        <v>Apolo</v>
      </c>
      <c r="H760" s="6">
        <v>0</v>
      </c>
      <c r="I760" s="6">
        <f t="shared" ref="I759:I760" si="255">R760</f>
        <v>169099.89999999997</v>
      </c>
      <c r="J760" s="6">
        <v>0</v>
      </c>
      <c r="K760" s="6">
        <v>0</v>
      </c>
      <c r="L760" s="6">
        <v>0</v>
      </c>
      <c r="M760" s="6">
        <v>0</v>
      </c>
      <c r="N760" s="6">
        <v>0</v>
      </c>
      <c r="O760" s="4">
        <f t="shared" si="250"/>
        <v>169099.89999999997</v>
      </c>
      <c r="P760" s="5">
        <f>SUMIFS('Desenvolvimento diário'!$H:$H,'Desenvolvimento diário'!$Q:$Q,$B760,'Desenvolvimento diário'!$P:$P,$F760,'Desenvolvimento diário'!$R:$R,"Sim")</f>
        <v>0</v>
      </c>
      <c r="Q760" s="5">
        <f>SUMIFS('Desenvolvimento diário'!$H:$H,'Desenvolvimento diário'!$Q:$Q,$B760,'Desenvolvimento diário'!$P:$P,$F760,'Desenvolvimento diário'!$R:$R,"Não")</f>
        <v>169099.89999999997</v>
      </c>
      <c r="R760" s="4">
        <f t="shared" si="251"/>
        <v>169099.89999999997</v>
      </c>
      <c r="S760" s="4">
        <f t="shared" si="252"/>
        <v>0</v>
      </c>
      <c r="T760" s="12">
        <f t="shared" si="254"/>
        <v>1</v>
      </c>
      <c r="Y760" s="2"/>
      <c r="Z760" s="2"/>
      <c r="AA760" s="2"/>
      <c r="AB760" s="2"/>
      <c r="AC760" s="2"/>
    </row>
    <row r="761" spans="1:29" ht="10.5" hidden="1">
      <c r="A761" s="2">
        <f t="shared" si="253"/>
        <v>22</v>
      </c>
      <c r="B761" s="2" t="str">
        <f>VLOOKUP($A761,Controle!$B$4:$F$68,2,FALSE)</f>
        <v>Indaiabira 4</v>
      </c>
      <c r="C761" s="2" t="str">
        <f>VLOOKUP($A761,Controle!$B$4:$F$68,3,FALSE)</f>
        <v xml:space="preserve">ESTRELA DO NORTE </v>
      </c>
      <c r="D761" s="2" t="str">
        <f>VLOOKUP($A761,Controle!$B$4:$F$68,4,FALSE)</f>
        <v>EDN</v>
      </c>
      <c r="E761" s="2">
        <f>VLOOKUP($A761,Controle!$B$4:$F$68,5,FALSE)</f>
        <v>1</v>
      </c>
      <c r="F761" s="3" t="str">
        <f t="shared" si="249"/>
        <v>Conexão MT - Obras Transferencia</v>
      </c>
      <c r="G761" s="2" t="str">
        <f>VLOOKUP($A761,Controle!$B$4:$G$68,6,FALSE)</f>
        <v>Apolo</v>
      </c>
      <c r="H761" s="6">
        <v>0</v>
      </c>
      <c r="I761" s="6">
        <v>0</v>
      </c>
      <c r="J761" s="6">
        <v>0</v>
      </c>
      <c r="K761" s="6">
        <v>0</v>
      </c>
      <c r="L761" s="6">
        <v>0</v>
      </c>
      <c r="M761" s="6">
        <v>0</v>
      </c>
      <c r="N761" s="6">
        <v>0</v>
      </c>
      <c r="O761" s="4">
        <f t="shared" si="250"/>
        <v>0</v>
      </c>
      <c r="P761" s="5">
        <f>SUMIFS('Desenvolvimento diário'!$H:$H,'Desenvolvimento diário'!$Q:$Q,$B761,'Desenvolvimento diário'!$P:$P,$F761,'Desenvolvimento diário'!$R:$R,"Sim")</f>
        <v>0</v>
      </c>
      <c r="Q761" s="5">
        <f>SUMIFS('Desenvolvimento diário'!$H:$H,'Desenvolvimento diário'!$Q:$Q,$B761,'Desenvolvimento diário'!$P:$P,$F761,'Desenvolvimento diário'!$R:$R,"Não")</f>
        <v>0</v>
      </c>
      <c r="R761" s="4">
        <f t="shared" si="251"/>
        <v>0</v>
      </c>
      <c r="S761" s="4">
        <f t="shared" si="252"/>
        <v>0</v>
      </c>
      <c r="T761" s="12">
        <f t="shared" si="254"/>
        <v>0</v>
      </c>
      <c r="Y761" s="2"/>
      <c r="Z761" s="2"/>
      <c r="AA761" s="2"/>
      <c r="AB761" s="2"/>
      <c r="AC761" s="2"/>
    </row>
    <row r="762" spans="1:29" ht="10.5" hidden="1">
      <c r="A762" s="2">
        <f t="shared" si="253"/>
        <v>22</v>
      </c>
      <c r="B762" s="2" t="str">
        <f>VLOOKUP($A762,Controle!$B$4:$F$68,2,FALSE)</f>
        <v>Indaiabira 4</v>
      </c>
      <c r="C762" s="2" t="str">
        <f>VLOOKUP($A762,Controle!$B$4:$F$68,3,FALSE)</f>
        <v xml:space="preserve">ESTRELA DO NORTE </v>
      </c>
      <c r="D762" s="2" t="str">
        <f>VLOOKUP($A762,Controle!$B$4:$F$68,4,FALSE)</f>
        <v>EDN</v>
      </c>
      <c r="E762" s="2">
        <f>VLOOKUP($A762,Controle!$B$4:$F$68,5,FALSE)</f>
        <v>1</v>
      </c>
      <c r="F762" s="3" t="str">
        <f t="shared" si="249"/>
        <v>Bases de Contaniers</v>
      </c>
      <c r="G762" s="2" t="str">
        <f>VLOOKUP($A762,Controle!$B$4:$G$68,6,FALSE)</f>
        <v>Apolo</v>
      </c>
      <c r="H762" s="6">
        <v>0</v>
      </c>
      <c r="I762" s="6">
        <v>0</v>
      </c>
      <c r="J762" s="6">
        <v>0</v>
      </c>
      <c r="K762" s="6">
        <v>0</v>
      </c>
      <c r="L762" s="6">
        <v>0</v>
      </c>
      <c r="M762" s="6">
        <v>0</v>
      </c>
      <c r="N762" s="6">
        <v>0</v>
      </c>
      <c r="O762" s="4">
        <f t="shared" si="250"/>
        <v>0</v>
      </c>
      <c r="P762" s="5">
        <f>SUMIFS('Desenvolvimento diário'!$H:$H,'Desenvolvimento diário'!$Q:$Q,$B762,'Desenvolvimento diário'!$P:$P,$F762,'Desenvolvimento diário'!$R:$R,"Sim")</f>
        <v>0</v>
      </c>
      <c r="Q762" s="5">
        <f>SUMIFS('Desenvolvimento diário'!$H:$H,'Desenvolvimento diário'!$Q:$Q,$B762,'Desenvolvimento diário'!$P:$P,$F762,'Desenvolvimento diário'!$R:$R,"Não")</f>
        <v>0</v>
      </c>
      <c r="R762" s="4">
        <f t="shared" si="251"/>
        <v>0</v>
      </c>
      <c r="S762" s="4">
        <f t="shared" si="252"/>
        <v>0</v>
      </c>
      <c r="T762" s="12">
        <f t="shared" si="254"/>
        <v>0</v>
      </c>
      <c r="Y762" s="2"/>
      <c r="Z762" s="2"/>
      <c r="AA762" s="2"/>
      <c r="AB762" s="2"/>
      <c r="AC762" s="2"/>
    </row>
    <row r="763" spans="1:29" ht="10.5" hidden="1">
      <c r="A763" s="2">
        <f t="shared" si="253"/>
        <v>22</v>
      </c>
      <c r="B763" s="2" t="str">
        <f>VLOOKUP($A763,Controle!$B$4:$F$68,2,FALSE)</f>
        <v>Indaiabira 4</v>
      </c>
      <c r="C763" s="2" t="str">
        <f>VLOOKUP($A763,Controle!$B$4:$F$68,3,FALSE)</f>
        <v xml:space="preserve">ESTRELA DO NORTE </v>
      </c>
      <c r="D763" s="2" t="str">
        <f>VLOOKUP($A763,Controle!$B$4:$F$68,4,FALSE)</f>
        <v>EDN</v>
      </c>
      <c r="E763" s="2">
        <f>VLOOKUP($A763,Controle!$B$4:$F$68,5,FALSE)</f>
        <v>1</v>
      </c>
      <c r="F763" s="3" t="str">
        <f t="shared" si="249"/>
        <v>Construção - Serviços de Construção - Ase Engenharia</v>
      </c>
      <c r="G763" s="2" t="str">
        <f>VLOOKUP($A763,Controle!$B$4:$G$68,6,FALSE)</f>
        <v>Apolo</v>
      </c>
      <c r="H763" s="6">
        <v>0</v>
      </c>
      <c r="I763" s="6">
        <v>0</v>
      </c>
      <c r="J763" s="6">
        <v>0</v>
      </c>
      <c r="K763" s="6">
        <v>0</v>
      </c>
      <c r="L763" s="6">
        <v>0</v>
      </c>
      <c r="M763" s="6">
        <v>0</v>
      </c>
      <c r="N763" s="6">
        <v>0</v>
      </c>
      <c r="O763" s="4">
        <f t="shared" si="250"/>
        <v>0</v>
      </c>
      <c r="P763" s="5">
        <f>SUMIFS('Desenvolvimento diário'!$H:$H,'Desenvolvimento diário'!$Q:$Q,$B763,'Desenvolvimento diário'!$P:$P,$F763,'Desenvolvimento diário'!$R:$R,"Sim")</f>
        <v>0</v>
      </c>
      <c r="Q763" s="5">
        <f>SUMIFS('Desenvolvimento diário'!$H:$H,'Desenvolvimento diário'!$Q:$Q,$B763,'Desenvolvimento diário'!$P:$P,$F763,'Desenvolvimento diário'!$R:$R,"Não")</f>
        <v>0</v>
      </c>
      <c r="R763" s="4">
        <f t="shared" si="251"/>
        <v>0</v>
      </c>
      <c r="S763" s="4">
        <f t="shared" si="252"/>
        <v>0</v>
      </c>
      <c r="T763" s="12">
        <f t="shared" si="254"/>
        <v>0</v>
      </c>
      <c r="Y763" s="2"/>
      <c r="Z763" s="2"/>
      <c r="AA763" s="2"/>
      <c r="AB763" s="2"/>
      <c r="AC763" s="2"/>
    </row>
    <row r="764" spans="1:29" ht="10.5" hidden="1">
      <c r="A764" s="2">
        <f t="shared" si="253"/>
        <v>22</v>
      </c>
      <c r="B764" s="2" t="str">
        <f>VLOOKUP($A764,Controle!$B$4:$F$68,2,FALSE)</f>
        <v>Indaiabira 4</v>
      </c>
      <c r="C764" s="2" t="str">
        <f>VLOOKUP($A764,Controle!$B$4:$F$68,3,FALSE)</f>
        <v xml:space="preserve">ESTRELA DO NORTE </v>
      </c>
      <c r="D764" s="2" t="str">
        <f>VLOOKUP($A764,Controle!$B$4:$F$68,4,FALSE)</f>
        <v>EDN</v>
      </c>
      <c r="E764" s="2">
        <f>VLOOKUP($A764,Controle!$B$4:$F$68,5,FALSE)</f>
        <v>1</v>
      </c>
      <c r="F764" s="3" t="str">
        <f t="shared" si="249"/>
        <v>Full EPC - Contrato Sobressalentes</v>
      </c>
      <c r="G764" s="2" t="str">
        <f>VLOOKUP($A764,Controle!$B$4:$G$68,6,FALSE)</f>
        <v>Apolo</v>
      </c>
      <c r="H764" s="6">
        <v>0</v>
      </c>
      <c r="I764" s="6">
        <v>0</v>
      </c>
      <c r="J764" s="6">
        <v>0</v>
      </c>
      <c r="K764" s="6">
        <v>0</v>
      </c>
      <c r="L764" s="6">
        <v>0</v>
      </c>
      <c r="M764" s="6">
        <v>0</v>
      </c>
      <c r="N764" s="6">
        <v>0</v>
      </c>
      <c r="O764" s="4">
        <f t="shared" si="250"/>
        <v>0</v>
      </c>
      <c r="P764" s="5">
        <f>SUMIFS('Desenvolvimento diário'!$H:$H,'Desenvolvimento diário'!$Q:$Q,$B764,'Desenvolvimento diário'!$P:$P,$F764,'Desenvolvimento diário'!$R:$R,"Sim")</f>
        <v>0</v>
      </c>
      <c r="Q764" s="5">
        <f>SUMIFS('Desenvolvimento diário'!$H:$H,'Desenvolvimento diário'!$Q:$Q,$B764,'Desenvolvimento diário'!$P:$P,$F764,'Desenvolvimento diário'!$R:$R,"Não")</f>
        <v>0</v>
      </c>
      <c r="R764" s="4">
        <f t="shared" si="251"/>
        <v>0</v>
      </c>
      <c r="S764" s="4">
        <f t="shared" si="252"/>
        <v>0</v>
      </c>
      <c r="T764" s="12">
        <f t="shared" si="254"/>
        <v>0</v>
      </c>
      <c r="Y764" s="2"/>
      <c r="Z764" s="2"/>
      <c r="AA764" s="2"/>
      <c r="AB764" s="2"/>
      <c r="AC764" s="2"/>
    </row>
    <row r="765" spans="1:29" ht="10.5" hidden="1">
      <c r="A765" s="2">
        <f t="shared" si="253"/>
        <v>22</v>
      </c>
      <c r="B765" s="2" t="str">
        <f>VLOOKUP($A765,Controle!$B$4:$F$68,2,FALSE)</f>
        <v>Indaiabira 4</v>
      </c>
      <c r="C765" s="2" t="str">
        <f>VLOOKUP($A765,Controle!$B$4:$F$68,3,FALSE)</f>
        <v xml:space="preserve">ESTRELA DO NORTE </v>
      </c>
      <c r="D765" s="2" t="str">
        <f>VLOOKUP($A765,Controle!$B$4:$F$68,4,FALSE)</f>
        <v>EDN</v>
      </c>
      <c r="E765" s="2">
        <f>VLOOKUP($A765,Controle!$B$4:$F$68,5,FALSE)</f>
        <v>1</v>
      </c>
      <c r="F765" s="3" t="str">
        <f t="shared" si="249"/>
        <v>Construção - Serviços de Construção - NOVA MORADA</v>
      </c>
      <c r="G765" s="2" t="str">
        <f>VLOOKUP($A765,Controle!$B$4:$G$68,6,FALSE)</f>
        <v>Apolo</v>
      </c>
      <c r="H765" s="6">
        <v>0</v>
      </c>
      <c r="I765" s="6">
        <v>0</v>
      </c>
      <c r="J765" s="6">
        <v>0</v>
      </c>
      <c r="K765" s="6">
        <v>0</v>
      </c>
      <c r="L765" s="6">
        <v>0</v>
      </c>
      <c r="M765" s="6">
        <v>0</v>
      </c>
      <c r="N765" s="6">
        <v>0</v>
      </c>
      <c r="O765" s="4">
        <f t="shared" si="250"/>
        <v>0</v>
      </c>
      <c r="P765" s="5">
        <f>SUMIFS('Desenvolvimento diário'!$H:$H,'Desenvolvimento diário'!$Q:$Q,$B765,'Desenvolvimento diário'!$P:$P,$F765,'Desenvolvimento diário'!$R:$R,"Sim")</f>
        <v>0</v>
      </c>
      <c r="Q765" s="5">
        <f>SUMIFS('Desenvolvimento diário'!$H:$H,'Desenvolvimento diário'!$Q:$Q,$B765,'Desenvolvimento diário'!$P:$P,$F765,'Desenvolvimento diário'!$R:$R,"Não")</f>
        <v>0</v>
      </c>
      <c r="R765" s="4">
        <f t="shared" si="251"/>
        <v>0</v>
      </c>
      <c r="S765" s="4">
        <f t="shared" si="252"/>
        <v>0</v>
      </c>
      <c r="T765" s="12">
        <f t="shared" si="254"/>
        <v>0</v>
      </c>
      <c r="Y765" s="2"/>
      <c r="Z765" s="2"/>
      <c r="AA765" s="2"/>
      <c r="AB765" s="2"/>
      <c r="AC765" s="2"/>
    </row>
    <row r="766" spans="1:29" ht="10.5" hidden="1">
      <c r="A766" s="2">
        <f t="shared" si="253"/>
        <v>22</v>
      </c>
      <c r="B766" s="2" t="str">
        <f>VLOOKUP($A766,Controle!$B$4:$F$68,2,FALSE)</f>
        <v>Indaiabira 4</v>
      </c>
      <c r="C766" s="2" t="str">
        <f>VLOOKUP($A766,Controle!$B$4:$F$68,3,FALSE)</f>
        <v xml:space="preserve">ESTRELA DO NORTE </v>
      </c>
      <c r="D766" s="2" t="str">
        <f>VLOOKUP($A766,Controle!$B$4:$F$68,4,FALSE)</f>
        <v>EDN</v>
      </c>
      <c r="E766" s="2">
        <f>VLOOKUP($A766,Controle!$B$4:$F$68,5,FALSE)</f>
        <v>1</v>
      </c>
      <c r="F766" s="3" t="str">
        <f t="shared" si="249"/>
        <v>Equipamentos Curva A -  Contrato Sobressalentes - SETTA</v>
      </c>
      <c r="G766" s="2" t="str">
        <f>VLOOKUP($A766,Controle!$B$4:$G$68,6,FALSE)</f>
        <v>Apolo</v>
      </c>
      <c r="H766" s="6" t="s">
        <v>196</v>
      </c>
      <c r="I766" s="6">
        <f>69383.68-0.005</f>
        <v>69383.674999999988</v>
      </c>
      <c r="J766" s="6">
        <v>0</v>
      </c>
      <c r="K766" s="6">
        <v>0</v>
      </c>
      <c r="L766" s="6">
        <v>0</v>
      </c>
      <c r="M766" s="6">
        <v>0</v>
      </c>
      <c r="N766" s="6">
        <v>0</v>
      </c>
      <c r="O766" s="4">
        <f t="shared" si="250"/>
        <v>69383.674999999988</v>
      </c>
      <c r="P766" s="5">
        <f>SUMIFS('Desenvolvimento diário'!$H:$H,'Desenvolvimento diário'!$Q:$Q,$B766,'Desenvolvimento diário'!$P:$P,$F766,'Desenvolvimento diário'!$R:$R,"Sim")</f>
        <v>0</v>
      </c>
      <c r="Q766" s="5">
        <f>SUMIFS('Desenvolvimento diário'!$H:$H,'Desenvolvimento diário'!$Q:$Q,$B766,'Desenvolvimento diário'!$P:$P,$F766,'Desenvolvimento diário'!$R:$R,"Não")</f>
        <v>69383.675000000003</v>
      </c>
      <c r="R766" s="4">
        <f t="shared" si="251"/>
        <v>69383.675000000003</v>
      </c>
      <c r="S766" s="137">
        <f t="shared" si="252"/>
        <v>0</v>
      </c>
      <c r="T766" s="12">
        <f t="shared" si="254"/>
        <v>1.0000000000000002</v>
      </c>
      <c r="Y766" s="2"/>
      <c r="Z766" s="2"/>
      <c r="AA766" s="2"/>
      <c r="AB766" s="2"/>
      <c r="AC766" s="2"/>
    </row>
    <row r="767" spans="1:29" ht="10.5" hidden="1">
      <c r="A767" s="2">
        <f t="shared" si="253"/>
        <v>22</v>
      </c>
      <c r="B767" s="2" t="str">
        <f>VLOOKUP($A767,Controle!$B$4:$F$68,2,FALSE)</f>
        <v>Indaiabira 4</v>
      </c>
      <c r="C767" s="2" t="str">
        <f>VLOOKUP($A767,Controle!$B$4:$F$68,3,FALSE)</f>
        <v xml:space="preserve">ESTRELA DO NORTE </v>
      </c>
      <c r="D767" s="2" t="str">
        <f>VLOOKUP($A767,Controle!$B$4:$F$68,4,FALSE)</f>
        <v>EDN</v>
      </c>
      <c r="E767" s="2">
        <f>VLOOKUP($A767,Controle!$B$4:$F$68,5,FALSE)</f>
        <v>1</v>
      </c>
      <c r="F767" s="3" t="str">
        <f t="shared" si="249"/>
        <v>Equipamentos Curva A -  Contrato Sobressalentes - Arctech</v>
      </c>
      <c r="G767" s="2" t="str">
        <f>VLOOKUP($A767,Controle!$B$4:$G$68,6,FALSE)</f>
        <v>Apolo</v>
      </c>
      <c r="H767" s="6">
        <v>0</v>
      </c>
      <c r="I767" s="6">
        <v>0</v>
      </c>
      <c r="J767" s="6">
        <v>0</v>
      </c>
      <c r="K767" s="6">
        <v>0</v>
      </c>
      <c r="L767" s="6">
        <v>0</v>
      </c>
      <c r="M767" s="6">
        <v>0</v>
      </c>
      <c r="N767" s="6">
        <v>0</v>
      </c>
      <c r="O767" s="4">
        <f t="shared" si="250"/>
        <v>0</v>
      </c>
      <c r="P767" s="5">
        <f>SUMIFS('Desenvolvimento diário'!$H:$H,'Desenvolvimento diário'!$Q:$Q,$B767,'Desenvolvimento diário'!$P:$P,$F767,'Desenvolvimento diário'!$R:$R,"Sim")</f>
        <v>0</v>
      </c>
      <c r="Q767" s="5">
        <f>SUMIFS('Desenvolvimento diário'!$H:$H,'Desenvolvimento diário'!$Q:$Q,$B767,'Desenvolvimento diário'!$P:$P,$F767,'Desenvolvimento diário'!$R:$R,"Não")</f>
        <v>0</v>
      </c>
      <c r="R767" s="4">
        <f t="shared" si="251"/>
        <v>0</v>
      </c>
      <c r="S767" s="4">
        <f t="shared" si="252"/>
        <v>0</v>
      </c>
      <c r="T767" s="12">
        <f t="shared" si="254"/>
        <v>0</v>
      </c>
      <c r="Y767" s="2"/>
      <c r="Z767" s="2"/>
      <c r="AA767" s="2"/>
      <c r="AB767" s="2"/>
      <c r="AC767" s="2"/>
    </row>
    <row r="768" spans="1:29" hidden="1">
      <c r="A768" s="2">
        <f t="shared" si="253"/>
        <v>22</v>
      </c>
      <c r="B768" s="2" t="str">
        <f>VLOOKUP($A768,Controle!$B$4:$F$68,2,FALSE)</f>
        <v>Indaiabira 4</v>
      </c>
      <c r="C768" s="2" t="str">
        <f>VLOOKUP($A768,Controle!$B$4:$F$68,3,FALSE)</f>
        <v xml:space="preserve">ESTRELA DO NORTE </v>
      </c>
      <c r="D768" s="2" t="str">
        <f>VLOOKUP($A768,Controle!$B$4:$F$68,4,FALSE)</f>
        <v>EDN</v>
      </c>
      <c r="E768" s="2">
        <f>VLOOKUP($A768,Controle!$B$4:$F$68,5,FALSE)</f>
        <v>1</v>
      </c>
      <c r="F768" s="3" t="str">
        <f t="shared" si="249"/>
        <v>Equipamentos Curva A -  Contrato Sobressalentes - Romagnole</v>
      </c>
      <c r="G768" s="2" t="str">
        <f>VLOOKUP($A768,Controle!$B$4:$G$68,6,FALSE)</f>
        <v>Apolo</v>
      </c>
      <c r="H768" s="506" t="s">
        <v>144</v>
      </c>
      <c r="I768" s="506">
        <v>135000</v>
      </c>
      <c r="J768" s="506">
        <v>0</v>
      </c>
      <c r="K768" s="506">
        <v>0</v>
      </c>
      <c r="L768" s="506">
        <v>0</v>
      </c>
      <c r="M768" s="506">
        <v>0</v>
      </c>
      <c r="N768" s="506">
        <v>0</v>
      </c>
      <c r="O768" s="39">
        <f t="shared" si="250"/>
        <v>135000</v>
      </c>
      <c r="P768" s="17">
        <f>SUMIFS('Desenvolvimento diário'!$H:$H,'Desenvolvimento diário'!$Q:$Q,$B768,'Desenvolvimento diário'!$P:$P,$F768,'Desenvolvimento diário'!$R:$R,"Sim")</f>
        <v>0</v>
      </c>
      <c r="Q768" s="17">
        <f>SUMIFS('Desenvolvimento diário'!$H:$H,'Desenvolvimento diário'!$Q:$Q,$B768,'Desenvolvimento diário'!$P:$P,$F768,'Desenvolvimento diário'!$R:$R,"Não")</f>
        <v>135000</v>
      </c>
      <c r="R768" s="4">
        <f t="shared" si="251"/>
        <v>135000</v>
      </c>
      <c r="S768" s="4">
        <f t="shared" si="252"/>
        <v>0</v>
      </c>
      <c r="T768" s="12">
        <f t="shared" si="254"/>
        <v>1</v>
      </c>
      <c r="Y768" s="2"/>
      <c r="Z768" s="2"/>
      <c r="AA768" s="2"/>
      <c r="AB768" s="2"/>
      <c r="AC768" s="2"/>
    </row>
    <row r="769" spans="1:29" hidden="1">
      <c r="A769" s="2">
        <f t="shared" si="253"/>
        <v>22</v>
      </c>
      <c r="B769" s="2" t="str">
        <f>VLOOKUP($A769,Controle!$B$4:$F$68,2,FALSE)</f>
        <v>Indaiabira 4</v>
      </c>
      <c r="C769" s="2" t="str">
        <f>VLOOKUP($A769,Controle!$B$4:$F$68,3,FALSE)</f>
        <v xml:space="preserve">ESTRELA DO NORTE </v>
      </c>
      <c r="D769" s="2" t="str">
        <f>VLOOKUP($A769,Controle!$B$4:$F$68,4,FALSE)</f>
        <v>EDN</v>
      </c>
      <c r="E769" s="2">
        <f>VLOOKUP($A769,Controle!$B$4:$F$68,5,FALSE)</f>
        <v>1</v>
      </c>
      <c r="F769" s="3" t="str">
        <f t="shared" si="249"/>
        <v>GOS FLORESTAL - (PRAD - Recuperação Area Ambiental)</v>
      </c>
      <c r="G769" s="2" t="str">
        <f>VLOOKUP($A769,Controle!$B$4:$G$68,6,FALSE)</f>
        <v>Apolo</v>
      </c>
      <c r="H769" s="506" t="s">
        <v>170</v>
      </c>
      <c r="I769" s="6">
        <v>0</v>
      </c>
      <c r="J769" s="506"/>
      <c r="K769" s="506">
        <v>0</v>
      </c>
      <c r="L769" s="506">
        <v>0</v>
      </c>
      <c r="M769" s="506">
        <v>0</v>
      </c>
      <c r="N769" s="506">
        <v>0</v>
      </c>
      <c r="O769" s="39">
        <f t="shared" si="250"/>
        <v>0</v>
      </c>
      <c r="P769" s="17">
        <f>SUMIFS('Desenvolvimento diário'!$H:$H,'Desenvolvimento diário'!$Q:$Q,$B769,'Desenvolvimento diário'!$P:$P,$F769,'Desenvolvimento diário'!$R:$R,"Sim")</f>
        <v>0</v>
      </c>
      <c r="Q769" s="17">
        <f>SUMIFS('Desenvolvimento diário'!$H:$H,'Desenvolvimento diário'!$Q:$Q,$B769,'Desenvolvimento diário'!$P:$P,$F769,'Desenvolvimento diário'!$R:$R,"Não")</f>
        <v>0</v>
      </c>
      <c r="R769" s="4">
        <f t="shared" si="251"/>
        <v>0</v>
      </c>
      <c r="S769" s="4">
        <f t="shared" si="252"/>
        <v>0</v>
      </c>
      <c r="T769" s="12">
        <f t="shared" si="254"/>
        <v>0</v>
      </c>
      <c r="Y769" s="2"/>
      <c r="Z769" s="2"/>
      <c r="AA769" s="2"/>
      <c r="AB769" s="2"/>
      <c r="AC769" s="2"/>
    </row>
    <row r="770" spans="1:29" hidden="1">
      <c r="A770" s="2">
        <f t="shared" si="253"/>
        <v>22</v>
      </c>
      <c r="B770" s="2" t="str">
        <f>VLOOKUP($A770,Controle!$B$4:$F$68,2,FALSE)</f>
        <v>Indaiabira 4</v>
      </c>
      <c r="C770" s="2" t="str">
        <f>VLOOKUP($A770,Controle!$B$4:$F$68,3,FALSE)</f>
        <v xml:space="preserve">ESTRELA DO NORTE </v>
      </c>
      <c r="D770" s="2" t="str">
        <f>VLOOKUP($A770,Controle!$B$4:$F$68,4,FALSE)</f>
        <v>EDN</v>
      </c>
      <c r="E770" s="2">
        <f>VLOOKUP($A770,Controle!$B$4:$F$68,5,FALSE)</f>
        <v>1</v>
      </c>
      <c r="F770" s="3" t="str">
        <f t="shared" si="249"/>
        <v>Cercamento das bacias de contenção ciclo 2</v>
      </c>
      <c r="G770" s="2" t="str">
        <f>VLOOKUP($A770,Controle!$B$4:$G$68,6,FALSE)</f>
        <v>Apolo</v>
      </c>
      <c r="H770" s="506" t="s">
        <v>172</v>
      </c>
      <c r="I770" s="6"/>
      <c r="J770" s="506"/>
      <c r="K770" s="506">
        <v>0</v>
      </c>
      <c r="L770" s="506">
        <v>0</v>
      </c>
      <c r="M770" s="506">
        <v>0</v>
      </c>
      <c r="N770" s="506">
        <v>0</v>
      </c>
      <c r="O770" s="39">
        <f t="shared" si="250"/>
        <v>0</v>
      </c>
      <c r="P770" s="17">
        <f>SUMIFS('Desenvolvimento diário'!$H:$H,'Desenvolvimento diário'!$Q:$Q,$B770,'Desenvolvimento diário'!$P:$P,$F770,'Desenvolvimento diário'!$R:$R,"Sim")</f>
        <v>0</v>
      </c>
      <c r="Q770" s="17">
        <f>SUMIFS('Desenvolvimento diário'!$H:$H,'Desenvolvimento diário'!$Q:$Q,$B770,'Desenvolvimento diário'!$P:$P,$F770,'Desenvolvimento diário'!$R:$R,"Não")</f>
        <v>0</v>
      </c>
      <c r="R770" s="4">
        <f t="shared" si="251"/>
        <v>0</v>
      </c>
      <c r="S770" s="1030">
        <f t="shared" si="252"/>
        <v>0</v>
      </c>
      <c r="T770" s="12">
        <f t="shared" si="254"/>
        <v>0</v>
      </c>
      <c r="U770" s="1029" t="s">
        <v>166</v>
      </c>
      <c r="V770" s="1029" t="s">
        <v>94</v>
      </c>
      <c r="Y770" s="2"/>
      <c r="Z770" s="2"/>
      <c r="AA770" s="2"/>
      <c r="AB770" s="2"/>
      <c r="AC770" s="2"/>
    </row>
    <row r="771" spans="1:29" hidden="1">
      <c r="A771" s="8">
        <f>A768</f>
        <v>22</v>
      </c>
      <c r="B771" s="9" t="str">
        <f t="shared" ref="B771" si="256">B768</f>
        <v>Indaiabira 4</v>
      </c>
      <c r="C771" s="9" t="str">
        <f t="shared" ref="C771" si="257">C768</f>
        <v xml:space="preserve">ESTRELA DO NORTE </v>
      </c>
      <c r="D771" s="9" t="str">
        <f t="shared" ref="D771" si="258">D768</f>
        <v>EDN</v>
      </c>
      <c r="E771" s="9">
        <f t="shared" ref="E771" si="259">E768</f>
        <v>1</v>
      </c>
      <c r="F771" s="10" t="s">
        <v>158</v>
      </c>
      <c r="G771" s="9" t="str">
        <f>G768</f>
        <v>Apolo</v>
      </c>
      <c r="H771" s="9"/>
      <c r="I771" s="9">
        <f>SUBTOTAL(9,I737:I770)</f>
        <v>0</v>
      </c>
      <c r="J771" s="9">
        <f t="shared" ref="J771:S771" si="260">SUBTOTAL(9,J737:J770)</f>
        <v>0</v>
      </c>
      <c r="K771" s="9">
        <f t="shared" si="260"/>
        <v>0</v>
      </c>
      <c r="L771" s="9">
        <f t="shared" si="260"/>
        <v>0</v>
      </c>
      <c r="M771" s="9">
        <f t="shared" si="260"/>
        <v>0</v>
      </c>
      <c r="N771" s="9">
        <f t="shared" si="260"/>
        <v>0</v>
      </c>
      <c r="O771" s="9">
        <f t="shared" si="260"/>
        <v>0</v>
      </c>
      <c r="P771" s="9">
        <f t="shared" si="260"/>
        <v>0</v>
      </c>
      <c r="Q771" s="9">
        <f t="shared" si="260"/>
        <v>0</v>
      </c>
      <c r="R771" s="9">
        <f t="shared" si="260"/>
        <v>0</v>
      </c>
      <c r="S771" s="9">
        <f t="shared" si="260"/>
        <v>0</v>
      </c>
      <c r="T771" s="13">
        <f>IFERROR(R771/O771,0)</f>
        <v>0</v>
      </c>
      <c r="U771" s="11">
        <f>SUBTOTAL(9,U737:U770)</f>
        <v>0</v>
      </c>
      <c r="Y771" s="2"/>
      <c r="Z771" s="2"/>
      <c r="AA771" s="2"/>
      <c r="AB771" s="2"/>
      <c r="AC771" s="2"/>
    </row>
    <row r="772" spans="1:29" ht="10.5" hidden="1">
      <c r="A772" s="2">
        <f>A737+1</f>
        <v>23</v>
      </c>
      <c r="B772" s="2" t="str">
        <f>VLOOKUP($A772,Controle!$B$4:$F$68,2,FALSE)</f>
        <v>Jaboticatubas</v>
      </c>
      <c r="C772" s="2" t="str">
        <f>VLOOKUP($A772,Controle!$B$4:$F$68,3,FALSE)</f>
        <v xml:space="preserve">ESTRELA DO NORTE </v>
      </c>
      <c r="D772" s="2" t="str">
        <f>VLOOKUP($A772,Controle!$B$4:$F$68,4,FALSE)</f>
        <v>EDN</v>
      </c>
      <c r="E772" s="2">
        <f>VLOOKUP($A772,Controle!$B$4:$F$68,5,FALSE)</f>
        <v>3</v>
      </c>
      <c r="F772" s="3" t="str">
        <f t="shared" ref="F772:F805" si="261">F737</f>
        <v>Conexão AT - Obras</v>
      </c>
      <c r="G772" s="2" t="str">
        <f>VLOOKUP($A772,Controle!$B$4:$G$68,6,FALSE)</f>
        <v>Apolo</v>
      </c>
      <c r="H772" s="6" t="s">
        <v>141</v>
      </c>
      <c r="I772" s="29">
        <v>150000</v>
      </c>
      <c r="J772" s="6">
        <v>0</v>
      </c>
      <c r="K772" s="6">
        <v>0</v>
      </c>
      <c r="L772" s="6">
        <v>0</v>
      </c>
      <c r="M772" s="6">
        <v>0</v>
      </c>
      <c r="N772" s="6">
        <v>0</v>
      </c>
      <c r="O772" s="4">
        <f t="shared" ref="O772:O805" si="262">SUM(I772:N772)</f>
        <v>150000</v>
      </c>
      <c r="P772" s="5">
        <f>SUMIFS('Desenvolvimento diário'!$H:$H,'Desenvolvimento diário'!$Q:$Q,$B772,'Desenvolvimento diário'!$P:$P,$F772,'Desenvolvimento diário'!$R:$R,"Sim")</f>
        <v>0</v>
      </c>
      <c r="Q772" s="5">
        <f>SUMIFS('Desenvolvimento diário'!$H:$H,'Desenvolvimento diário'!$Q:$Q,$B772,'Desenvolvimento diário'!$P:$P,$F772,'Desenvolvimento diário'!$R:$R,"Não")</f>
        <v>150000</v>
      </c>
      <c r="R772" s="4">
        <f t="shared" ref="R772:R805" si="263">SUM(P772:Q772)</f>
        <v>150000</v>
      </c>
      <c r="S772" s="4">
        <f t="shared" ref="S772:S805" si="264">O772-R772</f>
        <v>0</v>
      </c>
      <c r="T772" s="12">
        <f t="shared" si="254"/>
        <v>1</v>
      </c>
      <c r="Y772" s="2"/>
      <c r="Z772" s="2"/>
      <c r="AA772" s="2"/>
      <c r="AB772" s="2"/>
      <c r="AC772" s="2"/>
    </row>
    <row r="773" spans="1:29" ht="10.5" hidden="1">
      <c r="A773" s="2">
        <f t="shared" ref="A773:A805" si="265">A772</f>
        <v>23</v>
      </c>
      <c r="B773" s="2" t="str">
        <f>VLOOKUP($A773,Controle!$B$4:$F$68,2,FALSE)</f>
        <v>Jaboticatubas</v>
      </c>
      <c r="C773" s="2" t="str">
        <f>VLOOKUP($A773,Controle!$B$4:$F$68,3,FALSE)</f>
        <v xml:space="preserve">ESTRELA DO NORTE </v>
      </c>
      <c r="D773" s="2" t="str">
        <f>VLOOKUP($A773,Controle!$B$4:$F$68,4,FALSE)</f>
        <v>EDN</v>
      </c>
      <c r="E773" s="2">
        <f>VLOOKUP($A773,Controle!$B$4:$F$68,5,FALSE)</f>
        <v>3</v>
      </c>
      <c r="F773" s="3" t="str">
        <f t="shared" si="261"/>
        <v>Conexão MT - Obras</v>
      </c>
      <c r="G773" s="2" t="str">
        <f>VLOOKUP($A773,Controle!$B$4:$G$68,6,FALSE)</f>
        <v>Apolo</v>
      </c>
      <c r="H773" s="6" t="s">
        <v>168</v>
      </c>
      <c r="I773" s="6">
        <v>500000</v>
      </c>
      <c r="J773" s="6">
        <v>359500</v>
      </c>
      <c r="K773" s="6">
        <v>0</v>
      </c>
      <c r="L773" s="6">
        <v>0</v>
      </c>
      <c r="M773" s="6">
        <v>0</v>
      </c>
      <c r="N773" s="6">
        <v>0</v>
      </c>
      <c r="O773" s="4">
        <f t="shared" si="262"/>
        <v>859500</v>
      </c>
      <c r="P773" s="5">
        <f>SUMIFS('Desenvolvimento diário'!$H:$H,'Desenvolvimento diário'!$Q:$Q,$B773,'Desenvolvimento diário'!$P:$P,$F773,'Desenvolvimento diário'!$R:$R,"Sim")</f>
        <v>561261.37</v>
      </c>
      <c r="Q773" s="5">
        <f>SUMIFS('Desenvolvimento diário'!$H:$H,'Desenvolvimento diário'!$Q:$Q,$B773,'Desenvolvimento diário'!$P:$P,$F773,'Desenvolvimento diário'!$R:$R,"Não")</f>
        <v>298238.63</v>
      </c>
      <c r="R773" s="4">
        <f t="shared" si="263"/>
        <v>859500</v>
      </c>
      <c r="S773" s="4">
        <f t="shared" si="264"/>
        <v>0</v>
      </c>
      <c r="T773" s="12">
        <f t="shared" si="254"/>
        <v>1</v>
      </c>
      <c r="Y773" s="2"/>
      <c r="Z773" s="2"/>
      <c r="AA773" s="2"/>
      <c r="AB773" s="2"/>
      <c r="AC773" s="2"/>
    </row>
    <row r="774" spans="1:29" ht="10.5" hidden="1">
      <c r="A774" s="2">
        <f t="shared" si="265"/>
        <v>23</v>
      </c>
      <c r="B774" s="2" t="str">
        <f>VLOOKUP($A774,Controle!$B$4:$F$68,2,FALSE)</f>
        <v>Jaboticatubas</v>
      </c>
      <c r="C774" s="2" t="str">
        <f>VLOOKUP($A774,Controle!$B$4:$F$68,3,FALSE)</f>
        <v xml:space="preserve">ESTRELA DO NORTE </v>
      </c>
      <c r="D774" s="2" t="str">
        <f>VLOOKUP($A774,Controle!$B$4:$F$68,4,FALSE)</f>
        <v>EDN</v>
      </c>
      <c r="E774" s="2">
        <f>VLOOKUP($A774,Controle!$B$4:$F$68,5,FALSE)</f>
        <v>3</v>
      </c>
      <c r="F774" s="3" t="str">
        <f t="shared" si="261"/>
        <v>Construção - Serviços de Construção</v>
      </c>
      <c r="G774" s="2" t="str">
        <f>VLOOKUP($A774,Controle!$B$4:$G$68,6,FALSE)</f>
        <v>Apolo</v>
      </c>
      <c r="H774" s="6" t="s">
        <v>142</v>
      </c>
      <c r="I774" s="6">
        <v>2691000</v>
      </c>
      <c r="J774" s="6">
        <v>157000</v>
      </c>
      <c r="K774" s="6">
        <v>88990.19</v>
      </c>
      <c r="L774" s="6">
        <v>145698.41</v>
      </c>
      <c r="M774" s="6">
        <v>68185.03</v>
      </c>
      <c r="N774" s="6">
        <v>0</v>
      </c>
      <c r="O774" s="4">
        <f t="shared" si="262"/>
        <v>3150873.63</v>
      </c>
      <c r="P774" s="5">
        <f>SUMIFS('Desenvolvimento diário'!$H:$H,'Desenvolvimento diário'!$Q:$Q,$B774,'Desenvolvimento diário'!$P:$P,$F774,'Desenvolvimento diário'!$R:$R,"Sim")</f>
        <v>1161206.3500000001</v>
      </c>
      <c r="Q774" s="5">
        <f>SUMIFS('Desenvolvimento diário'!$H:$H,'Desenvolvimento diário'!$Q:$Q,$B774,'Desenvolvimento diário'!$P:$P,$F774,'Desenvolvimento diário'!$R:$R,"Não")</f>
        <v>1989667.2799999998</v>
      </c>
      <c r="R774" s="4">
        <f t="shared" si="263"/>
        <v>3150873.63</v>
      </c>
      <c r="S774" s="33">
        <f t="shared" si="264"/>
        <v>0</v>
      </c>
      <c r="T774" s="12">
        <f t="shared" si="254"/>
        <v>1</v>
      </c>
      <c r="U774" s="510" t="s">
        <v>162</v>
      </c>
      <c r="V774" s="510" t="s">
        <v>163</v>
      </c>
      <c r="Y774" s="2"/>
      <c r="Z774" s="2"/>
      <c r="AA774" s="2"/>
      <c r="AB774" s="2"/>
      <c r="AC774" s="2"/>
    </row>
    <row r="775" spans="1:29" ht="10.5" hidden="1">
      <c r="A775" s="2">
        <f t="shared" si="265"/>
        <v>23</v>
      </c>
      <c r="B775" s="2" t="str">
        <f>VLOOKUP($A775,Controle!$B$4:$F$68,2,FALSE)</f>
        <v>Jaboticatubas</v>
      </c>
      <c r="C775" s="2" t="str">
        <f>VLOOKUP($A775,Controle!$B$4:$F$68,3,FALSE)</f>
        <v xml:space="preserve">ESTRELA DO NORTE </v>
      </c>
      <c r="D775" s="2" t="str">
        <f>VLOOKUP($A775,Controle!$B$4:$F$68,4,FALSE)</f>
        <v>EDN</v>
      </c>
      <c r="E775" s="2">
        <f>VLOOKUP($A775,Controle!$B$4:$F$68,5,FALSE)</f>
        <v>3</v>
      </c>
      <c r="F775" s="3" t="str">
        <f t="shared" si="261"/>
        <v>Construção - Serviços de Construção - Substituição</v>
      </c>
      <c r="G775" s="2" t="str">
        <f>VLOOKUP($A775,Controle!$B$4:$G$68,6,FALSE)</f>
        <v>Apolo</v>
      </c>
      <c r="H775" s="6">
        <v>0</v>
      </c>
      <c r="I775" s="6">
        <v>0</v>
      </c>
      <c r="J775" s="6">
        <v>0</v>
      </c>
      <c r="K775" s="6">
        <v>0</v>
      </c>
      <c r="L775" s="6">
        <v>0</v>
      </c>
      <c r="M775" s="6">
        <v>0</v>
      </c>
      <c r="N775" s="6">
        <v>0</v>
      </c>
      <c r="O775" s="4">
        <f t="shared" si="262"/>
        <v>0</v>
      </c>
      <c r="P775" s="5">
        <f>SUMIFS('Desenvolvimento diário'!$H:$H,'Desenvolvimento diário'!$Q:$Q,$B775,'Desenvolvimento diário'!$P:$P,$F775,'Desenvolvimento diário'!$R:$R,"Sim")</f>
        <v>0</v>
      </c>
      <c r="Q775" s="5">
        <f>SUMIFS('Desenvolvimento diário'!$H:$H,'Desenvolvimento diário'!$Q:$Q,$B775,'Desenvolvimento diário'!$P:$P,$F775,'Desenvolvimento diário'!$R:$R,"Não")</f>
        <v>0</v>
      </c>
      <c r="R775" s="4">
        <f t="shared" si="263"/>
        <v>0</v>
      </c>
      <c r="S775" s="4">
        <f t="shared" si="264"/>
        <v>0</v>
      </c>
      <c r="T775" s="12">
        <f t="shared" si="254"/>
        <v>0</v>
      </c>
      <c r="Y775" s="2"/>
      <c r="Z775" s="2"/>
      <c r="AA775" s="2"/>
      <c r="AB775" s="2"/>
      <c r="AC775" s="2"/>
    </row>
    <row r="776" spans="1:29" ht="10.5" hidden="1">
      <c r="A776" s="2">
        <f t="shared" si="265"/>
        <v>23</v>
      </c>
      <c r="B776" s="2" t="str">
        <f>VLOOKUP($A776,Controle!$B$4:$F$68,2,FALSE)</f>
        <v>Jaboticatubas</v>
      </c>
      <c r="C776" s="2" t="str">
        <f>VLOOKUP($A776,Controle!$B$4:$F$68,3,FALSE)</f>
        <v xml:space="preserve">ESTRELA DO NORTE </v>
      </c>
      <c r="D776" s="2" t="str">
        <f>VLOOKUP($A776,Controle!$B$4:$F$68,4,FALSE)</f>
        <v>EDN</v>
      </c>
      <c r="E776" s="2">
        <f>VLOOKUP($A776,Controle!$B$4:$F$68,5,FALSE)</f>
        <v>3</v>
      </c>
      <c r="F776" s="3" t="str">
        <f t="shared" si="261"/>
        <v>Construção - RDA Interno</v>
      </c>
      <c r="G776" s="2" t="str">
        <f>VLOOKUP($A776,Controle!$B$4:$G$68,6,FALSE)</f>
        <v>Apolo</v>
      </c>
      <c r="H776" s="6" t="s">
        <v>168</v>
      </c>
      <c r="I776" s="6">
        <v>575418.47</v>
      </c>
      <c r="J776" s="6">
        <v>0</v>
      </c>
      <c r="K776" s="6">
        <v>0</v>
      </c>
      <c r="L776" s="6">
        <v>0</v>
      </c>
      <c r="M776" s="6">
        <v>0</v>
      </c>
      <c r="N776" s="6">
        <v>0</v>
      </c>
      <c r="O776" s="4">
        <f t="shared" si="262"/>
        <v>575418.47</v>
      </c>
      <c r="P776" s="5">
        <f>SUMIFS('Desenvolvimento diário'!$H:$H,'Desenvolvimento diário'!$Q:$Q,$B776,'Desenvolvimento diário'!$P:$P,$F776,'Desenvolvimento diário'!$R:$R,"Sim")</f>
        <v>220155.38</v>
      </c>
      <c r="Q776" s="5">
        <f>SUMIFS('Desenvolvimento diário'!$H:$H,'Desenvolvimento diário'!$Q:$Q,$B776,'Desenvolvimento diário'!$P:$P,$F776,'Desenvolvimento diário'!$R:$R,"Não")</f>
        <v>355263.08999999997</v>
      </c>
      <c r="R776" s="4">
        <f t="shared" si="263"/>
        <v>575418.47</v>
      </c>
      <c r="S776" s="4">
        <f t="shared" si="264"/>
        <v>0</v>
      </c>
      <c r="T776" s="12">
        <f t="shared" si="254"/>
        <v>1</v>
      </c>
      <c r="Y776" s="2"/>
      <c r="Z776" s="2"/>
      <c r="AA776" s="2"/>
      <c r="AB776" s="2"/>
      <c r="AC776" s="2"/>
    </row>
    <row r="777" spans="1:29" ht="10.5" hidden="1">
      <c r="A777" s="2">
        <f t="shared" si="265"/>
        <v>23</v>
      </c>
      <c r="B777" s="2" t="str">
        <f>VLOOKUP($A777,Controle!$B$4:$F$68,2,FALSE)</f>
        <v>Jaboticatubas</v>
      </c>
      <c r="C777" s="2" t="str">
        <f>VLOOKUP($A777,Controle!$B$4:$F$68,3,FALSE)</f>
        <v xml:space="preserve">ESTRELA DO NORTE </v>
      </c>
      <c r="D777" s="2" t="str">
        <f>VLOOKUP($A777,Controle!$B$4:$F$68,4,FALSE)</f>
        <v>EDN</v>
      </c>
      <c r="E777" s="2">
        <f>VLOOKUP($A777,Controle!$B$4:$F$68,5,FALSE)</f>
        <v>3</v>
      </c>
      <c r="F777" s="3" t="str">
        <f t="shared" si="261"/>
        <v>Full EPC - Contrato</v>
      </c>
      <c r="G777" s="2" t="str">
        <f>VLOOKUP($A777,Controle!$B$4:$G$68,6,FALSE)</f>
        <v>Apolo</v>
      </c>
      <c r="H777" s="6">
        <v>0</v>
      </c>
      <c r="I777" s="6">
        <v>0</v>
      </c>
      <c r="J777" s="6">
        <v>0</v>
      </c>
      <c r="K777" s="6">
        <v>0</v>
      </c>
      <c r="L777" s="6">
        <v>0</v>
      </c>
      <c r="M777" s="6">
        <v>0</v>
      </c>
      <c r="N777" s="6">
        <v>0</v>
      </c>
      <c r="O777" s="4">
        <f t="shared" si="262"/>
        <v>0</v>
      </c>
      <c r="P777" s="5">
        <f>SUMIFS('Desenvolvimento diário'!$H:$H,'Desenvolvimento diário'!$Q:$Q,$B777,'Desenvolvimento diário'!$P:$P,$F777,'Desenvolvimento diário'!$R:$R,"Sim")</f>
        <v>0</v>
      </c>
      <c r="Q777" s="5">
        <f>SUMIFS('Desenvolvimento diário'!$H:$H,'Desenvolvimento diário'!$Q:$Q,$B777,'Desenvolvimento diário'!$P:$P,$F777,'Desenvolvimento diário'!$R:$R,"Não")</f>
        <v>0</v>
      </c>
      <c r="R777" s="4">
        <f t="shared" si="263"/>
        <v>0</v>
      </c>
      <c r="S777" s="4">
        <f t="shared" si="264"/>
        <v>0</v>
      </c>
      <c r="T777" s="12">
        <f t="shared" si="254"/>
        <v>0</v>
      </c>
      <c r="Y777" s="2"/>
      <c r="Z777" s="2"/>
      <c r="AA777" s="2"/>
      <c r="AB777" s="2"/>
      <c r="AC777" s="2"/>
    </row>
    <row r="778" spans="1:29" ht="10.5" hidden="1">
      <c r="A778" s="2">
        <f t="shared" si="265"/>
        <v>23</v>
      </c>
      <c r="B778" s="2" t="str">
        <f>VLOOKUP($A778,Controle!$B$4:$F$68,2,FALSE)</f>
        <v>Jaboticatubas</v>
      </c>
      <c r="C778" s="2" t="str">
        <f>VLOOKUP($A778,Controle!$B$4:$F$68,3,FALSE)</f>
        <v xml:space="preserve">ESTRELA DO NORTE </v>
      </c>
      <c r="D778" s="2" t="str">
        <f>VLOOKUP($A778,Controle!$B$4:$F$68,4,FALSE)</f>
        <v>EDN</v>
      </c>
      <c r="E778" s="2">
        <f>VLOOKUP($A778,Controle!$B$4:$F$68,5,FALSE)</f>
        <v>3</v>
      </c>
      <c r="F778" s="3" t="str">
        <f t="shared" si="261"/>
        <v>Equipamentos Curva A - Outros (Transformadores)</v>
      </c>
      <c r="G778" s="2" t="str">
        <f>VLOOKUP($A778,Controle!$B$4:$G$68,6,FALSE)</f>
        <v>Apolo</v>
      </c>
      <c r="H778" s="6" t="s">
        <v>144</v>
      </c>
      <c r="I778" s="6">
        <v>237529.89600000001</v>
      </c>
      <c r="J778" s="6">
        <v>0</v>
      </c>
      <c r="K778" s="6">
        <v>0</v>
      </c>
      <c r="L778" s="6">
        <v>0</v>
      </c>
      <c r="M778" s="6">
        <v>0</v>
      </c>
      <c r="N778" s="6">
        <v>0</v>
      </c>
      <c r="O778" s="4">
        <f t="shared" si="262"/>
        <v>237529.89600000001</v>
      </c>
      <c r="P778" s="5">
        <f>SUMIFS('Desenvolvimento diário'!$H:$H,'Desenvolvimento diário'!$Q:$Q,$B778,'Desenvolvimento diário'!$P:$P,$F778,'Desenvolvimento diário'!$R:$R,"Sim")</f>
        <v>0</v>
      </c>
      <c r="Q778" s="5">
        <f>SUMIFS('Desenvolvimento diário'!$H:$H,'Desenvolvimento diário'!$Q:$Q,$B778,'Desenvolvimento diário'!$P:$P,$F778,'Desenvolvimento diário'!$R:$R,"Não")</f>
        <v>237529.89600000001</v>
      </c>
      <c r="R778" s="4">
        <f t="shared" si="263"/>
        <v>237529.89600000001</v>
      </c>
      <c r="S778" s="4">
        <f t="shared" si="264"/>
        <v>0</v>
      </c>
      <c r="T778" s="12">
        <f t="shared" si="254"/>
        <v>1</v>
      </c>
      <c r="Y778" s="2"/>
      <c r="Z778" s="2"/>
      <c r="AA778" s="2"/>
      <c r="AB778" s="2"/>
      <c r="AC778" s="2"/>
    </row>
    <row r="779" spans="1:29" ht="10.5" hidden="1">
      <c r="A779" s="2">
        <f t="shared" si="265"/>
        <v>23</v>
      </c>
      <c r="B779" s="2" t="str">
        <f>VLOOKUP($A779,Controle!$B$4:$F$68,2,FALSE)</f>
        <v>Jaboticatubas</v>
      </c>
      <c r="C779" s="2" t="str">
        <f>VLOOKUP($A779,Controle!$B$4:$F$68,3,FALSE)</f>
        <v xml:space="preserve">ESTRELA DO NORTE </v>
      </c>
      <c r="D779" s="2" t="str">
        <f>VLOOKUP($A779,Controle!$B$4:$F$68,4,FALSE)</f>
        <v>EDN</v>
      </c>
      <c r="E779" s="2">
        <f>VLOOKUP($A779,Controle!$B$4:$F$68,5,FALSE)</f>
        <v>3</v>
      </c>
      <c r="F779" s="3" t="str">
        <f t="shared" si="261"/>
        <v>Equipamentos Curva A - Outros (Cabine + Skid)</v>
      </c>
      <c r="G779" s="2" t="str">
        <f>VLOOKUP($A779,Controle!$B$4:$G$68,6,FALSE)</f>
        <v>Apolo</v>
      </c>
      <c r="H779" s="6" t="s">
        <v>196</v>
      </c>
      <c r="I779" s="6">
        <f>646894.37+(0.01)</f>
        <v>646894.38</v>
      </c>
      <c r="J779" s="6">
        <v>6454.39</v>
      </c>
      <c r="K779" s="6">
        <v>0</v>
      </c>
      <c r="L779" s="6">
        <v>0</v>
      </c>
      <c r="M779" s="6">
        <v>0</v>
      </c>
      <c r="N779" s="6">
        <v>0</v>
      </c>
      <c r="O779" s="4">
        <f t="shared" si="262"/>
        <v>653348.77</v>
      </c>
      <c r="P779" s="5">
        <f>SUMIFS('Desenvolvimento diário'!$H:$H,'Desenvolvimento diário'!$Q:$Q,$B779,'Desenvolvimento diário'!$P:$P,$F779,'Desenvolvimento diário'!$R:$R,"Sim")</f>
        <v>0</v>
      </c>
      <c r="Q779" s="5">
        <f>SUMIFS('Desenvolvimento diário'!$H:$H,'Desenvolvimento diário'!$Q:$Q,$B779,'Desenvolvimento diário'!$P:$P,$F779,'Desenvolvimento diário'!$R:$R,"Não")</f>
        <v>653348.77</v>
      </c>
      <c r="R779" s="4">
        <f t="shared" si="263"/>
        <v>653348.77</v>
      </c>
      <c r="S779" s="93">
        <f t="shared" si="264"/>
        <v>0</v>
      </c>
      <c r="T779" s="12">
        <f t="shared" si="254"/>
        <v>1</v>
      </c>
      <c r="Y779" s="2"/>
      <c r="Z779" s="2"/>
      <c r="AA779" s="2"/>
      <c r="AB779" s="2"/>
      <c r="AC779" s="2"/>
    </row>
    <row r="780" spans="1:29" ht="10.5" hidden="1">
      <c r="A780" s="2">
        <f t="shared" si="265"/>
        <v>23</v>
      </c>
      <c r="B780" s="2" t="str">
        <f>VLOOKUP($A780,Controle!$B$4:$F$68,2,FALSE)</f>
        <v>Jaboticatubas</v>
      </c>
      <c r="C780" s="2" t="str">
        <f>VLOOKUP($A780,Controle!$B$4:$F$68,3,FALSE)</f>
        <v xml:space="preserve">ESTRELA DO NORTE </v>
      </c>
      <c r="D780" s="2" t="str">
        <f>VLOOKUP($A780,Controle!$B$4:$F$68,4,FALSE)</f>
        <v>EDN</v>
      </c>
      <c r="E780" s="2">
        <f>VLOOKUP($A780,Controle!$B$4:$F$68,5,FALSE)</f>
        <v>3</v>
      </c>
      <c r="F780" s="3" t="str">
        <f t="shared" si="261"/>
        <v>Equipamentos Curva A - Outros (Cabine + Skid + Transformador)</v>
      </c>
      <c r="G780" s="2" t="str">
        <f>VLOOKUP($A780,Controle!$B$4:$G$68,6,FALSE)</f>
        <v>Apolo</v>
      </c>
      <c r="H780" s="6">
        <v>0</v>
      </c>
      <c r="I780" s="6">
        <v>0</v>
      </c>
      <c r="J780" s="6">
        <v>0</v>
      </c>
      <c r="K780" s="6">
        <v>0</v>
      </c>
      <c r="L780" s="6">
        <v>0</v>
      </c>
      <c r="M780" s="6">
        <v>0</v>
      </c>
      <c r="N780" s="6">
        <v>0</v>
      </c>
      <c r="O780" s="4">
        <f t="shared" si="262"/>
        <v>0</v>
      </c>
      <c r="P780" s="5">
        <f>SUMIFS('Desenvolvimento diário'!$H:$H,'Desenvolvimento diário'!$Q:$Q,$B780,'Desenvolvimento diário'!$P:$P,$F780,'Desenvolvimento diário'!$R:$R,"Sim")</f>
        <v>0</v>
      </c>
      <c r="Q780" s="5">
        <f>SUMIFS('Desenvolvimento diário'!$H:$H,'Desenvolvimento diário'!$Q:$Q,$B780,'Desenvolvimento diário'!$P:$P,$F780,'Desenvolvimento diário'!$R:$R,"Não")</f>
        <v>0</v>
      </c>
      <c r="R780" s="4">
        <f t="shared" si="263"/>
        <v>0</v>
      </c>
      <c r="S780" s="4">
        <f t="shared" si="264"/>
        <v>0</v>
      </c>
      <c r="T780" s="12">
        <f t="shared" si="254"/>
        <v>0</v>
      </c>
      <c r="Y780" s="2"/>
      <c r="Z780" s="2"/>
      <c r="AA780" s="2"/>
      <c r="AB780" s="2"/>
      <c r="AC780" s="2"/>
    </row>
    <row r="781" spans="1:29" ht="10.5" hidden="1">
      <c r="A781" s="2">
        <f t="shared" si="265"/>
        <v>23</v>
      </c>
      <c r="B781" s="2" t="str">
        <f>VLOOKUP($A781,Controle!$B$4:$F$68,2,FALSE)</f>
        <v>Jaboticatubas</v>
      </c>
      <c r="C781" s="2" t="str">
        <f>VLOOKUP($A781,Controle!$B$4:$F$68,3,FALSE)</f>
        <v xml:space="preserve">ESTRELA DO NORTE </v>
      </c>
      <c r="D781" s="2" t="str">
        <f>VLOOKUP($A781,Controle!$B$4:$F$68,4,FALSE)</f>
        <v>EDN</v>
      </c>
      <c r="E781" s="2">
        <f>VLOOKUP($A781,Controle!$B$4:$F$68,5,FALSE)</f>
        <v>3</v>
      </c>
      <c r="F781" s="3" t="str">
        <f t="shared" si="261"/>
        <v>Desenvolvimento de projeto - Projetos - (Eng° Proprietario)</v>
      </c>
      <c r="G781" s="2" t="str">
        <f>VLOOKUP($A781,Controle!$B$4:$G$68,6,FALSE)</f>
        <v>Apolo</v>
      </c>
      <c r="H781" s="6" t="s">
        <v>145</v>
      </c>
      <c r="I781" s="6">
        <v>0</v>
      </c>
      <c r="J781" s="6">
        <v>0</v>
      </c>
      <c r="K781" s="6">
        <v>0</v>
      </c>
      <c r="L781" s="6">
        <v>0</v>
      </c>
      <c r="M781" s="6">
        <v>0</v>
      </c>
      <c r="N781" s="6">
        <v>0</v>
      </c>
      <c r="O781" s="4">
        <f t="shared" si="262"/>
        <v>0</v>
      </c>
      <c r="P781" s="5">
        <f>SUMIFS('Desenvolvimento diário'!$H:$H,'Desenvolvimento diário'!$Q:$Q,$B781,'Desenvolvimento diário'!$P:$P,$F781,'Desenvolvimento diário'!$R:$R,"Sim")</f>
        <v>0</v>
      </c>
      <c r="Q781" s="5">
        <f>SUMIFS('Desenvolvimento diário'!$H:$H,'Desenvolvimento diário'!$Q:$Q,$B781,'Desenvolvimento diário'!$P:$P,$F781,'Desenvolvimento diário'!$R:$R,"Não")</f>
        <v>0</v>
      </c>
      <c r="R781" s="4">
        <f t="shared" si="263"/>
        <v>0</v>
      </c>
      <c r="S781" s="4">
        <f t="shared" si="264"/>
        <v>0</v>
      </c>
      <c r="T781" s="12">
        <f t="shared" si="254"/>
        <v>0</v>
      </c>
      <c r="Y781" s="2"/>
      <c r="Z781" s="2"/>
      <c r="AA781" s="2"/>
      <c r="AB781" s="2"/>
      <c r="AC781" s="2"/>
    </row>
    <row r="782" spans="1:29" ht="10.5" hidden="1">
      <c r="A782" s="2">
        <f t="shared" si="265"/>
        <v>23</v>
      </c>
      <c r="B782" s="2" t="str">
        <f>VLOOKUP($A782,Controle!$B$4:$F$68,2,FALSE)</f>
        <v>Jaboticatubas</v>
      </c>
      <c r="C782" s="2" t="str">
        <f>VLOOKUP($A782,Controle!$B$4:$F$68,3,FALSE)</f>
        <v xml:space="preserve">ESTRELA DO NORTE </v>
      </c>
      <c r="D782" s="2" t="str">
        <f>VLOOKUP($A782,Controle!$B$4:$F$68,4,FALSE)</f>
        <v>EDN</v>
      </c>
      <c r="E782" s="2">
        <f>VLOOKUP($A782,Controle!$B$4:$F$68,5,FALSE)</f>
        <v>3</v>
      </c>
      <c r="F782" s="3" t="str">
        <f t="shared" si="261"/>
        <v>Desenvolvimento de projeto - Projetos - Executivos</v>
      </c>
      <c r="G782" s="2" t="str">
        <f>VLOOKUP($A782,Controle!$B$4:$G$68,6,FALSE)</f>
        <v>Apolo</v>
      </c>
      <c r="H782" s="6">
        <v>0</v>
      </c>
      <c r="I782" s="6">
        <v>0</v>
      </c>
      <c r="J782" s="6">
        <v>0</v>
      </c>
      <c r="K782" s="6">
        <v>0</v>
      </c>
      <c r="L782" s="6">
        <v>0</v>
      </c>
      <c r="M782" s="6">
        <v>0</v>
      </c>
      <c r="N782" s="6">
        <v>0</v>
      </c>
      <c r="O782" s="4">
        <f t="shared" si="262"/>
        <v>0</v>
      </c>
      <c r="P782" s="5">
        <f>SUMIFS('Desenvolvimento diário'!$H:$H,'Desenvolvimento diário'!$Q:$Q,$B782,'Desenvolvimento diário'!$P:$P,$F782,'Desenvolvimento diário'!$R:$R,"Sim")</f>
        <v>0</v>
      </c>
      <c r="Q782" s="5">
        <f>SUMIFS('Desenvolvimento diário'!$H:$H,'Desenvolvimento diário'!$Q:$Q,$B782,'Desenvolvimento diário'!$P:$P,$F782,'Desenvolvimento diário'!$R:$R,"Não")</f>
        <v>0</v>
      </c>
      <c r="R782" s="4">
        <f t="shared" si="263"/>
        <v>0</v>
      </c>
      <c r="S782" s="4">
        <f t="shared" si="264"/>
        <v>0</v>
      </c>
      <c r="T782" s="12">
        <f t="shared" si="254"/>
        <v>0</v>
      </c>
      <c r="Y782" s="2"/>
      <c r="Z782" s="2"/>
      <c r="AA782" s="2"/>
      <c r="AB782" s="2"/>
      <c r="AC782" s="2"/>
    </row>
    <row r="783" spans="1:29" ht="10.5" hidden="1">
      <c r="A783" s="2">
        <f t="shared" si="265"/>
        <v>23</v>
      </c>
      <c r="B783" s="2" t="str">
        <f>VLOOKUP($A783,Controle!$B$4:$F$68,2,FALSE)</f>
        <v>Jaboticatubas</v>
      </c>
      <c r="C783" s="2" t="str">
        <f>VLOOKUP($A783,Controle!$B$4:$F$68,3,FALSE)</f>
        <v xml:space="preserve">ESTRELA DO NORTE </v>
      </c>
      <c r="D783" s="2" t="str">
        <f>VLOOKUP($A783,Controle!$B$4:$F$68,4,FALSE)</f>
        <v>EDN</v>
      </c>
      <c r="E783" s="2">
        <f>VLOOKUP($A783,Controle!$B$4:$F$68,5,FALSE)</f>
        <v>3</v>
      </c>
      <c r="F783" s="3" t="str">
        <f t="shared" si="261"/>
        <v>Desenvolvimento de projeto - Projetos Básica</v>
      </c>
      <c r="G783" s="2" t="str">
        <f>VLOOKUP($A783,Controle!$B$4:$G$68,6,FALSE)</f>
        <v>Apolo</v>
      </c>
      <c r="H783" s="6">
        <v>0</v>
      </c>
      <c r="I783" s="6">
        <v>0</v>
      </c>
      <c r="J783" s="6">
        <v>0</v>
      </c>
      <c r="K783" s="6">
        <v>0</v>
      </c>
      <c r="L783" s="6">
        <v>0</v>
      </c>
      <c r="M783" s="6">
        <v>0</v>
      </c>
      <c r="N783" s="6">
        <v>0</v>
      </c>
      <c r="O783" s="4">
        <f t="shared" si="262"/>
        <v>0</v>
      </c>
      <c r="P783" s="5">
        <f>SUMIFS('Desenvolvimento diário'!$H:$H,'Desenvolvimento diário'!$Q:$Q,$B783,'Desenvolvimento diário'!$P:$P,$F783,'Desenvolvimento diário'!$R:$R,"Sim")</f>
        <v>0</v>
      </c>
      <c r="Q783" s="5">
        <f>SUMIFS('Desenvolvimento diário'!$H:$H,'Desenvolvimento diário'!$Q:$Q,$B783,'Desenvolvimento diário'!$P:$P,$F783,'Desenvolvimento diário'!$R:$R,"Não")</f>
        <v>0</v>
      </c>
      <c r="R783" s="4">
        <f t="shared" si="263"/>
        <v>0</v>
      </c>
      <c r="S783" s="4">
        <f t="shared" si="264"/>
        <v>0</v>
      </c>
      <c r="T783" s="12">
        <f t="shared" si="254"/>
        <v>0</v>
      </c>
      <c r="Y783" s="2"/>
      <c r="Z783" s="2"/>
      <c r="AA783" s="2"/>
      <c r="AB783" s="2"/>
      <c r="AC783" s="2"/>
    </row>
    <row r="784" spans="1:29" ht="10.5" hidden="1">
      <c r="A784" s="2">
        <f t="shared" si="265"/>
        <v>23</v>
      </c>
      <c r="B784" s="2" t="str">
        <f>VLOOKUP($A784,Controle!$B$4:$F$68,2,FALSE)</f>
        <v>Jaboticatubas</v>
      </c>
      <c r="C784" s="2" t="str">
        <f>VLOOKUP($A784,Controle!$B$4:$F$68,3,FALSE)</f>
        <v xml:space="preserve">ESTRELA DO NORTE </v>
      </c>
      <c r="D784" s="2" t="str">
        <f>VLOOKUP($A784,Controle!$B$4:$F$68,4,FALSE)</f>
        <v>EDN</v>
      </c>
      <c r="E784" s="2">
        <f>VLOOKUP($A784,Controle!$B$4:$F$68,5,FALSE)</f>
        <v>3</v>
      </c>
      <c r="F784" s="3" t="str">
        <f t="shared" si="261"/>
        <v>Desenvolvimento de projeto - Projetos Detalhada</v>
      </c>
      <c r="G784" s="2" t="str">
        <f>VLOOKUP($A784,Controle!$B$4:$G$68,6,FALSE)</f>
        <v>Apolo</v>
      </c>
      <c r="H784" s="6" t="s">
        <v>147</v>
      </c>
      <c r="I784" s="6">
        <v>93783</v>
      </c>
      <c r="J784" s="6">
        <v>42907.03</v>
      </c>
      <c r="K784" s="6">
        <v>0</v>
      </c>
      <c r="L784" s="6">
        <v>0</v>
      </c>
      <c r="M784" s="6">
        <v>0</v>
      </c>
      <c r="N784" s="6">
        <v>0</v>
      </c>
      <c r="O784" s="4">
        <f t="shared" si="262"/>
        <v>136690.03</v>
      </c>
      <c r="P784" s="5">
        <f>SUMIFS('Desenvolvimento diário'!$H:$H,'Desenvolvimento diário'!$Q:$Q,$B784,'Desenvolvimento diário'!$P:$P,$F784,'Desenvolvimento diário'!$R:$R,"Sim")</f>
        <v>0</v>
      </c>
      <c r="Q784" s="5">
        <f>SUMIFS('Desenvolvimento diário'!$H:$H,'Desenvolvimento diário'!$Q:$Q,$B784,'Desenvolvimento diário'!$P:$P,$F784,'Desenvolvimento diário'!$R:$R,"Não")</f>
        <v>136690.03</v>
      </c>
      <c r="R784" s="4">
        <f t="shared" si="263"/>
        <v>136690.03</v>
      </c>
      <c r="S784" s="4">
        <f t="shared" si="264"/>
        <v>0</v>
      </c>
      <c r="T784" s="12">
        <f t="shared" si="254"/>
        <v>1</v>
      </c>
      <c r="Y784" s="2"/>
      <c r="Z784" s="2"/>
      <c r="AA784" s="2"/>
      <c r="AB784" s="2"/>
      <c r="AC784" s="2"/>
    </row>
    <row r="785" spans="1:29" ht="10.5" hidden="1">
      <c r="A785" s="2">
        <f t="shared" si="265"/>
        <v>23</v>
      </c>
      <c r="B785" s="2" t="str">
        <f>VLOOKUP($A785,Controle!$B$4:$F$68,2,FALSE)</f>
        <v>Jaboticatubas</v>
      </c>
      <c r="C785" s="2" t="str">
        <f>VLOOKUP($A785,Controle!$B$4:$F$68,3,FALSE)</f>
        <v xml:space="preserve">ESTRELA DO NORTE </v>
      </c>
      <c r="D785" s="2" t="str">
        <f>VLOOKUP($A785,Controle!$B$4:$F$68,4,FALSE)</f>
        <v>EDN</v>
      </c>
      <c r="E785" s="2">
        <f>VLOOKUP($A785,Controle!$B$4:$F$68,5,FALSE)</f>
        <v>3</v>
      </c>
      <c r="F785" s="3" t="str">
        <f t="shared" si="261"/>
        <v>Desenvolvimento de projeto - Ambiental / Outros</v>
      </c>
      <c r="G785" s="2" t="str">
        <f>VLOOKUP($A785,Controle!$B$4:$G$68,6,FALSE)</f>
        <v>Apolo</v>
      </c>
      <c r="H785" s="6" t="s">
        <v>148</v>
      </c>
      <c r="I785" s="6">
        <f>R785</f>
        <v>162920.61999999997</v>
      </c>
      <c r="J785" s="6">
        <v>0</v>
      </c>
      <c r="K785" s="6">
        <v>0</v>
      </c>
      <c r="L785" s="6">
        <v>0</v>
      </c>
      <c r="M785" s="6">
        <v>0</v>
      </c>
      <c r="N785" s="6">
        <v>0</v>
      </c>
      <c r="O785" s="4">
        <f t="shared" si="262"/>
        <v>162920.61999999997</v>
      </c>
      <c r="P785" s="5">
        <f>SUMIFS('Desenvolvimento diário'!$H:$H,'Desenvolvimento diário'!$Q:$Q,$B785,'Desenvolvimento diário'!$P:$P,$F785,'Desenvolvimento diário'!$R:$R,"Sim")</f>
        <v>0</v>
      </c>
      <c r="Q785" s="5">
        <f>SUMIFS('Desenvolvimento diário'!$H:$H,'Desenvolvimento diário'!$Q:$Q,$B785,'Desenvolvimento diário'!$P:$P,$F785,'Desenvolvimento diário'!$R:$R,"Não")</f>
        <v>162920.61999999997</v>
      </c>
      <c r="R785" s="4">
        <f t="shared" si="263"/>
        <v>162920.61999999997</v>
      </c>
      <c r="S785" s="4">
        <f t="shared" si="264"/>
        <v>0</v>
      </c>
      <c r="T785" s="12">
        <f t="shared" si="254"/>
        <v>1</v>
      </c>
      <c r="Y785" s="2"/>
      <c r="Z785" s="2"/>
      <c r="AA785" s="2"/>
      <c r="AB785" s="2"/>
      <c r="AC785" s="2"/>
    </row>
    <row r="786" spans="1:29" hidden="1">
      <c r="A786" s="2">
        <f t="shared" si="265"/>
        <v>23</v>
      </c>
      <c r="B786" s="2" t="str">
        <f>VLOOKUP($A786,Controle!$B$4:$F$68,2,FALSE)</f>
        <v>Jaboticatubas</v>
      </c>
      <c r="C786" s="2" t="str">
        <f>VLOOKUP($A786,Controle!$B$4:$F$68,3,FALSE)</f>
        <v xml:space="preserve">ESTRELA DO NORTE </v>
      </c>
      <c r="D786" s="2" t="str">
        <f>VLOOKUP($A786,Controle!$B$4:$F$68,4,FALSE)</f>
        <v>EDN</v>
      </c>
      <c r="E786" s="2">
        <f>VLOOKUP($A786,Controle!$B$4:$F$68,5,FALSE)</f>
        <v>3</v>
      </c>
      <c r="F786" s="3" t="str">
        <f t="shared" si="261"/>
        <v>Desenvolvimento de projeto - Coordenograma</v>
      </c>
      <c r="G786" s="2" t="str">
        <f>VLOOKUP($A786,Controle!$B$4:$G$68,6,FALSE)</f>
        <v>Apolo</v>
      </c>
      <c r="H786" s="31" t="s">
        <v>149</v>
      </c>
      <c r="I786" s="31">
        <f>6207-0.1</f>
        <v>6206.9</v>
      </c>
      <c r="J786" s="31">
        <v>0</v>
      </c>
      <c r="K786" s="31">
        <v>0</v>
      </c>
      <c r="L786" s="6">
        <v>0</v>
      </c>
      <c r="M786" s="6">
        <v>0</v>
      </c>
      <c r="N786" s="6">
        <v>0</v>
      </c>
      <c r="O786" s="4">
        <f t="shared" si="262"/>
        <v>6206.9</v>
      </c>
      <c r="P786" s="5">
        <f>SUMIFS('Desenvolvimento diário'!$H:$H,'Desenvolvimento diário'!$Q:$Q,$B786,'Desenvolvimento diário'!$P:$P,$F786,'Desenvolvimento diário'!$R:$R,"Sim")</f>
        <v>0</v>
      </c>
      <c r="Q786" s="5">
        <f>SUMIFS('Desenvolvimento diário'!$H:$H,'Desenvolvimento diário'!$Q:$Q,$B786,'Desenvolvimento diário'!$P:$P,$F786,'Desenvolvimento diário'!$R:$R,"Não")</f>
        <v>6206.9</v>
      </c>
      <c r="R786" s="4">
        <f t="shared" si="263"/>
        <v>6206.9</v>
      </c>
      <c r="S786" s="4">
        <f t="shared" si="264"/>
        <v>0</v>
      </c>
      <c r="T786" s="12">
        <f t="shared" si="254"/>
        <v>1</v>
      </c>
      <c r="Y786" s="2"/>
      <c r="Z786" s="2"/>
      <c r="AA786" s="2"/>
      <c r="AB786" s="2"/>
      <c r="AC786" s="2"/>
    </row>
    <row r="787" spans="1:29" ht="10.5" hidden="1">
      <c r="A787" s="2">
        <f t="shared" si="265"/>
        <v>23</v>
      </c>
      <c r="B787" s="2" t="str">
        <f>VLOOKUP($A787,Controle!$B$4:$F$68,2,FALSE)</f>
        <v>Jaboticatubas</v>
      </c>
      <c r="C787" s="2" t="str">
        <f>VLOOKUP($A787,Controle!$B$4:$F$68,3,FALSE)</f>
        <v xml:space="preserve">ESTRELA DO NORTE </v>
      </c>
      <c r="D787" s="2" t="str">
        <f>VLOOKUP($A787,Controle!$B$4:$F$68,4,FALSE)</f>
        <v>EDN</v>
      </c>
      <c r="E787" s="2">
        <f>VLOOKUP($A787,Controle!$B$4:$F$68,5,FALSE)</f>
        <v>3</v>
      </c>
      <c r="F787" s="3" t="str">
        <f t="shared" si="261"/>
        <v>Sistemas de Monitoramento - Supervisório</v>
      </c>
      <c r="G787" s="2" t="str">
        <f>VLOOKUP($A787,Controle!$B$4:$G$68,6,FALSE)</f>
        <v>Apolo</v>
      </c>
      <c r="H787" s="6" t="s">
        <v>150</v>
      </c>
      <c r="I787" s="6">
        <v>135730.51</v>
      </c>
      <c r="J787" s="6"/>
      <c r="K787" s="6">
        <v>0</v>
      </c>
      <c r="L787" s="6">
        <v>0</v>
      </c>
      <c r="M787" s="6">
        <v>0</v>
      </c>
      <c r="N787" s="6">
        <v>0</v>
      </c>
      <c r="O787" s="4">
        <f t="shared" si="262"/>
        <v>135730.51</v>
      </c>
      <c r="P787" s="5">
        <f>SUMIFS('Desenvolvimento diário'!$H:$H,'Desenvolvimento diário'!$Q:$Q,$B787,'Desenvolvimento diário'!$P:$P,$F787,'Desenvolvimento diário'!$R:$R,"Sim")</f>
        <v>5821.02</v>
      </c>
      <c r="Q787" s="5">
        <f>SUMIFS('Desenvolvimento diário'!$H:$H,'Desenvolvimento diário'!$Q:$Q,$B787,'Desenvolvimento diário'!$P:$P,$F787,'Desenvolvimento diário'!$R:$R,"Não")</f>
        <v>129909.49</v>
      </c>
      <c r="R787" s="4">
        <f t="shared" si="263"/>
        <v>135730.51</v>
      </c>
      <c r="S787" s="4">
        <f t="shared" si="264"/>
        <v>0</v>
      </c>
      <c r="T787" s="12">
        <f t="shared" si="254"/>
        <v>1</v>
      </c>
      <c r="Y787" s="2"/>
      <c r="Z787" s="2"/>
      <c r="AA787" s="2"/>
      <c r="AB787" s="2"/>
      <c r="AC787" s="2"/>
    </row>
    <row r="788" spans="1:29" ht="10.5" hidden="1">
      <c r="A788" s="2">
        <f t="shared" si="265"/>
        <v>23</v>
      </c>
      <c r="B788" s="2" t="str">
        <f>VLOOKUP($A788,Controle!$B$4:$F$68,2,FALSE)</f>
        <v>Jaboticatubas</v>
      </c>
      <c r="C788" s="2" t="str">
        <f>VLOOKUP($A788,Controle!$B$4:$F$68,3,FALSE)</f>
        <v xml:space="preserve">ESTRELA DO NORTE </v>
      </c>
      <c r="D788" s="2" t="str">
        <f>VLOOKUP($A788,Controle!$B$4:$F$68,4,FALSE)</f>
        <v>EDN</v>
      </c>
      <c r="E788" s="2">
        <f>VLOOKUP($A788,Controle!$B$4:$F$68,5,FALSE)</f>
        <v>3</v>
      </c>
      <c r="F788" s="3" t="str">
        <f t="shared" si="261"/>
        <v>Sistemas de Monitoramento - Estações Solarimétricas</v>
      </c>
      <c r="G788" s="2" t="str">
        <f>VLOOKUP($A788,Controle!$B$4:$G$68,6,FALSE)</f>
        <v>Apolo</v>
      </c>
      <c r="H788" s="6" t="s">
        <v>151</v>
      </c>
      <c r="I788" s="6">
        <v>48276.516000000003</v>
      </c>
      <c r="J788" s="6">
        <v>0</v>
      </c>
      <c r="K788" s="6">
        <v>0</v>
      </c>
      <c r="L788" s="6">
        <v>0</v>
      </c>
      <c r="M788" s="6">
        <v>0</v>
      </c>
      <c r="N788" s="6">
        <v>0</v>
      </c>
      <c r="O788" s="4">
        <f t="shared" si="262"/>
        <v>48276.516000000003</v>
      </c>
      <c r="P788" s="5">
        <f>SUMIFS('Desenvolvimento diário'!$H:$H,'Desenvolvimento diário'!$Q:$Q,$B788,'Desenvolvimento diário'!$P:$P,$F788,'Desenvolvimento diário'!$R:$R,"Sim")</f>
        <v>0</v>
      </c>
      <c r="Q788" s="5">
        <f>SUMIFS('Desenvolvimento diário'!$H:$H,'Desenvolvimento diário'!$Q:$Q,$B788,'Desenvolvimento diário'!$P:$P,$F788,'Desenvolvimento diário'!$R:$R,"Não")</f>
        <v>48276.516000000003</v>
      </c>
      <c r="R788" s="4">
        <f t="shared" si="263"/>
        <v>48276.516000000003</v>
      </c>
      <c r="S788" s="4">
        <f t="shared" si="264"/>
        <v>0</v>
      </c>
      <c r="T788" s="12">
        <f t="shared" si="254"/>
        <v>1</v>
      </c>
      <c r="Y788" s="2"/>
      <c r="Z788" s="2"/>
      <c r="AA788" s="2"/>
      <c r="AB788" s="2"/>
      <c r="AC788" s="2"/>
    </row>
    <row r="789" spans="1:29" hidden="1">
      <c r="A789" s="2">
        <f t="shared" si="265"/>
        <v>23</v>
      </c>
      <c r="B789" s="2" t="str">
        <f>VLOOKUP($A789,Controle!$B$4:$F$68,2,FALSE)</f>
        <v>Jaboticatubas</v>
      </c>
      <c r="C789" s="2" t="str">
        <f>VLOOKUP($A789,Controle!$B$4:$F$68,3,FALSE)</f>
        <v xml:space="preserve">ESTRELA DO NORTE </v>
      </c>
      <c r="D789" s="2" t="str">
        <f>VLOOKUP($A789,Controle!$B$4:$F$68,4,FALSE)</f>
        <v>EDN</v>
      </c>
      <c r="E789" s="2">
        <f>VLOOKUP($A789,Controle!$B$4:$F$68,5,FALSE)</f>
        <v>3</v>
      </c>
      <c r="F789" s="3" t="str">
        <f t="shared" si="261"/>
        <v>Sistemas de Monitoramento - CFTV</v>
      </c>
      <c r="G789" s="2" t="str">
        <f>VLOOKUP($A789,Controle!$B$4:$G$68,6,FALSE)</f>
        <v>Apolo</v>
      </c>
      <c r="H789" s="31" t="s">
        <v>152</v>
      </c>
      <c r="I789" s="6">
        <v>295918.52</v>
      </c>
      <c r="J789" s="6">
        <v>0</v>
      </c>
      <c r="K789" s="6">
        <v>0</v>
      </c>
      <c r="L789" s="6">
        <v>0</v>
      </c>
      <c r="M789" s="6">
        <v>0</v>
      </c>
      <c r="N789" s="6">
        <v>0</v>
      </c>
      <c r="O789" s="4">
        <f t="shared" si="262"/>
        <v>295918.52</v>
      </c>
      <c r="P789" s="5">
        <f>SUMIFS('Desenvolvimento diário'!$H:$H,'Desenvolvimento diário'!$Q:$Q,$B789,'Desenvolvimento diário'!$P:$P,$F789,'Desenvolvimento diário'!$R:$R,"Sim")</f>
        <v>0</v>
      </c>
      <c r="Q789" s="5">
        <f>SUMIFS('Desenvolvimento diário'!$H:$H,'Desenvolvimento diário'!$Q:$Q,$B789,'Desenvolvimento diário'!$P:$P,$F789,'Desenvolvimento diário'!$R:$R,"Não")</f>
        <v>295918.52</v>
      </c>
      <c r="R789" s="4">
        <f t="shared" si="263"/>
        <v>295918.52</v>
      </c>
      <c r="S789" s="4">
        <f t="shared" si="264"/>
        <v>0</v>
      </c>
      <c r="T789" s="12">
        <f t="shared" si="254"/>
        <v>1</v>
      </c>
      <c r="Y789" s="2"/>
      <c r="Z789" s="2"/>
      <c r="AA789" s="2"/>
      <c r="AB789" s="2"/>
      <c r="AC789" s="2"/>
    </row>
    <row r="790" spans="1:29" ht="10.5" hidden="1">
      <c r="A790" s="2">
        <f t="shared" si="265"/>
        <v>23</v>
      </c>
      <c r="B790" s="2" t="str">
        <f>VLOOKUP($A790,Controle!$B$4:$F$68,2,FALSE)</f>
        <v>Jaboticatubas</v>
      </c>
      <c r="C790" s="2" t="str">
        <f>VLOOKUP($A790,Controle!$B$4:$F$68,3,FALSE)</f>
        <v xml:space="preserve">ESTRELA DO NORTE </v>
      </c>
      <c r="D790" s="2" t="str">
        <f>VLOOKUP($A790,Controle!$B$4:$F$68,4,FALSE)</f>
        <v>EDN</v>
      </c>
      <c r="E790" s="2">
        <f>VLOOKUP($A790,Controle!$B$4:$F$68,5,FALSE)</f>
        <v>3</v>
      </c>
      <c r="F790" s="3" t="str">
        <f t="shared" si="261"/>
        <v>Serviços Auxiliares - Drenagem</v>
      </c>
      <c r="G790" s="2" t="str">
        <f>VLOOKUP($A790,Controle!$B$4:$G$68,6,FALSE)</f>
        <v>Apolo</v>
      </c>
      <c r="H790" s="31" t="s">
        <v>200</v>
      </c>
      <c r="I790" s="31">
        <v>779000</v>
      </c>
      <c r="J790" s="6">
        <v>400000</v>
      </c>
      <c r="K790" s="6">
        <v>0</v>
      </c>
      <c r="L790" s="6">
        <v>0</v>
      </c>
      <c r="M790" s="6">
        <v>0</v>
      </c>
      <c r="N790" s="6">
        <v>0</v>
      </c>
      <c r="O790" s="4">
        <f t="shared" si="262"/>
        <v>1179000</v>
      </c>
      <c r="P790" s="5">
        <f>SUMIFS('Desenvolvimento diário'!$H:$H,'Desenvolvimento diário'!$Q:$Q,$B790,'Desenvolvimento diário'!$P:$P,$F790,'Desenvolvimento diário'!$R:$R,"Sim")</f>
        <v>350000</v>
      </c>
      <c r="Q790" s="5">
        <f>SUMIFS('Desenvolvimento diário'!$H:$H,'Desenvolvimento diário'!$Q:$Q,$B790,'Desenvolvimento diário'!$P:$P,$F790,'Desenvolvimento diário'!$R:$R,"Não")</f>
        <v>829000</v>
      </c>
      <c r="R790" s="4">
        <f t="shared" si="263"/>
        <v>1179000</v>
      </c>
      <c r="S790" s="4">
        <f t="shared" si="264"/>
        <v>0</v>
      </c>
      <c r="T790" s="12">
        <f t="shared" si="254"/>
        <v>1</v>
      </c>
      <c r="Y790" s="2"/>
      <c r="Z790" s="2"/>
      <c r="AA790" s="2"/>
      <c r="AB790" s="2"/>
      <c r="AC790" s="2"/>
    </row>
    <row r="791" spans="1:29" ht="10.5" hidden="1">
      <c r="A791" s="2">
        <f t="shared" si="265"/>
        <v>23</v>
      </c>
      <c r="B791" s="2" t="str">
        <f>VLOOKUP($A791,Controle!$B$4:$F$68,2,FALSE)</f>
        <v>Jaboticatubas</v>
      </c>
      <c r="C791" s="2" t="str">
        <f>VLOOKUP($A791,Controle!$B$4:$F$68,3,FALSE)</f>
        <v xml:space="preserve">ESTRELA DO NORTE </v>
      </c>
      <c r="D791" s="2" t="str">
        <f>VLOOKUP($A791,Controle!$B$4:$F$68,4,FALSE)</f>
        <v>EDN</v>
      </c>
      <c r="E791" s="2">
        <f>VLOOKUP($A791,Controle!$B$4:$F$68,5,FALSE)</f>
        <v>3</v>
      </c>
      <c r="F791" s="3" t="str">
        <f t="shared" si="261"/>
        <v>Serviços Auxiliares - Terraplanagem</v>
      </c>
      <c r="G791" s="2" t="str">
        <f>VLOOKUP($A791,Controle!$B$4:$G$68,6,FALSE)</f>
        <v>Apolo</v>
      </c>
      <c r="H791" s="6" t="s">
        <v>175</v>
      </c>
      <c r="I791" s="6">
        <v>1382836.5</v>
      </c>
      <c r="J791" s="31">
        <v>28800</v>
      </c>
      <c r="K791" s="31">
        <v>135438.73000000001</v>
      </c>
      <c r="L791" s="6">
        <v>0</v>
      </c>
      <c r="M791" s="6">
        <v>0</v>
      </c>
      <c r="N791" s="6">
        <v>0</v>
      </c>
      <c r="O791" s="4">
        <f>SUM(I791:N791)+0.01</f>
        <v>1547075.24</v>
      </c>
      <c r="P791" s="5">
        <f>SUMIFS('Desenvolvimento diário'!$H:$H,'Desenvolvimento diário'!$Q:$Q,$B791,'Desenvolvimento diário'!$P:$P,$F791,'Desenvolvimento diário'!$R:$R,"Sim")</f>
        <v>0</v>
      </c>
      <c r="Q791" s="5">
        <f>SUMIFS('Desenvolvimento diário'!$H:$H,'Desenvolvimento diário'!$Q:$Q,$B791,'Desenvolvimento diário'!$P:$P,$F791,'Desenvolvimento diário'!$R:$R,"Não")</f>
        <v>1547075.2399999998</v>
      </c>
      <c r="R791" s="4">
        <f t="shared" si="263"/>
        <v>1547075.2399999998</v>
      </c>
      <c r="S791" s="173">
        <f>O791-R791</f>
        <v>0</v>
      </c>
      <c r="T791" s="12">
        <f t="shared" si="254"/>
        <v>0.99999999999999989</v>
      </c>
      <c r="Y791" s="2"/>
      <c r="Z791" s="2"/>
      <c r="AA791" s="2"/>
      <c r="AB791" s="2"/>
      <c r="AC791" s="2"/>
    </row>
    <row r="792" spans="1:29" ht="10.5" hidden="1">
      <c r="A792" s="2">
        <f t="shared" si="265"/>
        <v>23</v>
      </c>
      <c r="B792" s="2" t="str">
        <f>VLOOKUP($A792,Controle!$B$4:$F$68,2,FALSE)</f>
        <v>Jaboticatubas</v>
      </c>
      <c r="C792" s="2" t="str">
        <f>VLOOKUP($A792,Controle!$B$4:$F$68,3,FALSE)</f>
        <v xml:space="preserve">ESTRELA DO NORTE </v>
      </c>
      <c r="D792" s="2" t="str">
        <f>VLOOKUP($A792,Controle!$B$4:$F$68,4,FALSE)</f>
        <v>EDN</v>
      </c>
      <c r="E792" s="2">
        <f>VLOOKUP($A792,Controle!$B$4:$F$68,5,FALSE)</f>
        <v>3</v>
      </c>
      <c r="F792" s="3" t="str">
        <f t="shared" si="261"/>
        <v>Serviços Auxiliares - Supressão Vegetal</v>
      </c>
      <c r="G792" s="2" t="str">
        <f>VLOOKUP($A792,Controle!$B$4:$G$68,6,FALSE)</f>
        <v>Apolo</v>
      </c>
      <c r="H792" s="6" t="s">
        <v>155</v>
      </c>
      <c r="I792" s="6">
        <v>10000</v>
      </c>
      <c r="J792" s="6">
        <v>0</v>
      </c>
      <c r="K792" s="6">
        <v>0</v>
      </c>
      <c r="L792" s="6">
        <v>0</v>
      </c>
      <c r="M792" s="6">
        <v>0</v>
      </c>
      <c r="N792" s="6">
        <v>0</v>
      </c>
      <c r="O792" s="4">
        <f t="shared" si="262"/>
        <v>10000</v>
      </c>
      <c r="P792" s="5">
        <f>SUMIFS('Desenvolvimento diário'!$H:$H,'Desenvolvimento diário'!$Q:$Q,$B792,'Desenvolvimento diário'!$P:$P,$F792,'Desenvolvimento diário'!$R:$R,"Sim")</f>
        <v>0</v>
      </c>
      <c r="Q792" s="5">
        <f>SUMIFS('Desenvolvimento diário'!$H:$H,'Desenvolvimento diário'!$Q:$Q,$B792,'Desenvolvimento diário'!$P:$P,$F792,'Desenvolvimento diário'!$R:$R,"Não")</f>
        <v>10000</v>
      </c>
      <c r="R792" s="4">
        <f t="shared" si="263"/>
        <v>10000</v>
      </c>
      <c r="S792" s="4">
        <f t="shared" si="264"/>
        <v>0</v>
      </c>
      <c r="T792" s="12">
        <f t="shared" si="254"/>
        <v>1</v>
      </c>
      <c r="Y792" s="2"/>
      <c r="Z792" s="2"/>
      <c r="AA792" s="2"/>
      <c r="AB792" s="2"/>
      <c r="AC792" s="2"/>
    </row>
    <row r="793" spans="1:29" ht="10.5" hidden="1">
      <c r="A793" s="2">
        <f t="shared" si="265"/>
        <v>23</v>
      </c>
      <c r="B793" s="2" t="str">
        <f>VLOOKUP($A793,Controle!$B$4:$F$68,2,FALSE)</f>
        <v>Jaboticatubas</v>
      </c>
      <c r="C793" s="2" t="str">
        <f>VLOOKUP($A793,Controle!$B$4:$F$68,3,FALSE)</f>
        <v xml:space="preserve">ESTRELA DO NORTE </v>
      </c>
      <c r="D793" s="2" t="str">
        <f>VLOOKUP($A793,Controle!$B$4:$F$68,4,FALSE)</f>
        <v>EDN</v>
      </c>
      <c r="E793" s="2">
        <f>VLOOKUP($A793,Controle!$B$4:$F$68,5,FALSE)</f>
        <v>3</v>
      </c>
      <c r="F793" s="3" t="str">
        <f t="shared" si="261"/>
        <v>RDR-Rede de Distribuição Rural</v>
      </c>
      <c r="G793" s="2" t="str">
        <f>VLOOKUP($A793,Controle!$B$4:$G$68,6,FALSE)</f>
        <v>Apolo</v>
      </c>
      <c r="H793" s="6">
        <v>0</v>
      </c>
      <c r="I793" s="6">
        <v>0</v>
      </c>
      <c r="J793" s="6">
        <v>0</v>
      </c>
      <c r="K793" s="6">
        <v>0</v>
      </c>
      <c r="L793" s="6">
        <v>0</v>
      </c>
      <c r="M793" s="6">
        <v>0</v>
      </c>
      <c r="N793" s="6">
        <v>0</v>
      </c>
      <c r="O793" s="4">
        <f t="shared" si="262"/>
        <v>0</v>
      </c>
      <c r="P793" s="5">
        <f>SUMIFS('Desenvolvimento diário'!$H:$H,'Desenvolvimento diário'!$Q:$Q,$B793,'Desenvolvimento diário'!$P:$P,$F793,'Desenvolvimento diário'!$R:$R,"Sim")</f>
        <v>0</v>
      </c>
      <c r="Q793" s="5">
        <f>SUMIFS('Desenvolvimento diário'!$H:$H,'Desenvolvimento diário'!$Q:$Q,$B793,'Desenvolvimento diário'!$P:$P,$F793,'Desenvolvimento diário'!$R:$R,"Não")</f>
        <v>0</v>
      </c>
      <c r="R793" s="4">
        <f t="shared" si="263"/>
        <v>0</v>
      </c>
      <c r="S793" s="4">
        <f t="shared" si="264"/>
        <v>0</v>
      </c>
      <c r="T793" s="12">
        <f t="shared" si="254"/>
        <v>0</v>
      </c>
      <c r="Y793" s="2"/>
      <c r="Z793" s="2"/>
      <c r="AA793" s="2"/>
      <c r="AB793" s="2"/>
      <c r="AC793" s="2"/>
    </row>
    <row r="794" spans="1:29" ht="10.5" hidden="1">
      <c r="A794" s="2">
        <f t="shared" si="265"/>
        <v>23</v>
      </c>
      <c r="B794" s="2" t="str">
        <f>VLOOKUP($A794,Controle!$B$4:$F$68,2,FALSE)</f>
        <v>Jaboticatubas</v>
      </c>
      <c r="C794" s="2" t="str">
        <f>VLOOKUP($A794,Controle!$B$4:$F$68,3,FALSE)</f>
        <v xml:space="preserve">ESTRELA DO NORTE </v>
      </c>
      <c r="D794" s="2" t="str">
        <f>VLOOKUP($A794,Controle!$B$4:$F$68,4,FALSE)</f>
        <v>EDN</v>
      </c>
      <c r="E794" s="2">
        <f>VLOOKUP($A794,Controle!$B$4:$F$68,5,FALSE)</f>
        <v>3</v>
      </c>
      <c r="F794" s="3" t="str">
        <f t="shared" si="261"/>
        <v>Escopo COMERC</v>
      </c>
      <c r="G794" s="2" t="str">
        <f>VLOOKUP($A794,Controle!$B$4:$G$68,6,FALSE)</f>
        <v>Apolo</v>
      </c>
      <c r="H794" s="6">
        <v>0</v>
      </c>
      <c r="I794" s="6">
        <v>227623.07</v>
      </c>
      <c r="J794" s="29">
        <v>21000</v>
      </c>
      <c r="K794" s="29"/>
      <c r="L794" s="6">
        <v>0</v>
      </c>
      <c r="M794" s="6">
        <v>0</v>
      </c>
      <c r="N794" s="6">
        <v>0</v>
      </c>
      <c r="O794" s="4">
        <f t="shared" si="262"/>
        <v>248623.07</v>
      </c>
      <c r="P794" s="5">
        <f>SUMIFS('Desenvolvimento diário'!$H:$H,'Desenvolvimento diário'!$Q:$Q,$B794,'Desenvolvimento diário'!$P:$P,$F794,'Desenvolvimento diário'!$R:$R,"Sim")</f>
        <v>8793</v>
      </c>
      <c r="Q794" s="5">
        <f>SUMIFS('Desenvolvimento diário'!$H:$H,'Desenvolvimento diário'!$Q:$Q,$B794,'Desenvolvimento diário'!$P:$P,$F794,'Desenvolvimento diário'!$R:$R,"Não")</f>
        <v>219828.85</v>
      </c>
      <c r="R794" s="4">
        <f t="shared" si="263"/>
        <v>228621.85</v>
      </c>
      <c r="S794" s="1010">
        <f t="shared" si="264"/>
        <v>20001.22</v>
      </c>
      <c r="T794" s="12">
        <f t="shared" si="254"/>
        <v>0.91955203513495354</v>
      </c>
      <c r="U794" s="1011" t="s">
        <v>166</v>
      </c>
      <c r="V794" s="1011" t="s">
        <v>167</v>
      </c>
      <c r="Y794" s="2"/>
      <c r="Z794" s="2"/>
      <c r="AA794" s="2"/>
      <c r="AB794" s="2"/>
      <c r="AC794" s="2"/>
    </row>
    <row r="795" spans="1:29" ht="10.5" hidden="1">
      <c r="A795" s="2">
        <f t="shared" si="265"/>
        <v>23</v>
      </c>
      <c r="B795" s="2" t="str">
        <f>VLOOKUP($A795,Controle!$B$4:$F$68,2,FALSE)</f>
        <v>Jaboticatubas</v>
      </c>
      <c r="C795" s="2" t="str">
        <f>VLOOKUP($A795,Controle!$B$4:$F$68,3,FALSE)</f>
        <v xml:space="preserve">ESTRELA DO NORTE </v>
      </c>
      <c r="D795" s="2" t="str">
        <f>VLOOKUP($A795,Controle!$B$4:$F$68,4,FALSE)</f>
        <v>EDN</v>
      </c>
      <c r="E795" s="2">
        <f>VLOOKUP($A795,Controle!$B$4:$F$68,5,FALSE)</f>
        <v>3</v>
      </c>
      <c r="F795" s="3" t="str">
        <f t="shared" si="261"/>
        <v>Escopo COMERC - Segurança</v>
      </c>
      <c r="G795" s="2" t="str">
        <f>VLOOKUP($A795,Controle!$B$4:$G$68,6,FALSE)</f>
        <v>Apolo</v>
      </c>
      <c r="H795" s="6">
        <v>0</v>
      </c>
      <c r="I795" s="6">
        <f t="shared" ref="I794:I795" si="266">R795</f>
        <v>29906.91</v>
      </c>
      <c r="J795" s="6">
        <v>0</v>
      </c>
      <c r="K795" s="6">
        <v>0</v>
      </c>
      <c r="L795" s="6">
        <v>0</v>
      </c>
      <c r="M795" s="6">
        <v>0</v>
      </c>
      <c r="N795" s="6">
        <v>0</v>
      </c>
      <c r="O795" s="4">
        <f t="shared" si="262"/>
        <v>29906.91</v>
      </c>
      <c r="P795" s="5">
        <f>SUMIFS('Desenvolvimento diário'!$H:$H,'Desenvolvimento diário'!$Q:$Q,$B795,'Desenvolvimento diário'!$P:$P,$F795,'Desenvolvimento diário'!$R:$R,"Sim")</f>
        <v>0</v>
      </c>
      <c r="Q795" s="5">
        <f>SUMIFS('Desenvolvimento diário'!$H:$H,'Desenvolvimento diário'!$Q:$Q,$B795,'Desenvolvimento diário'!$P:$P,$F795,'Desenvolvimento diário'!$R:$R,"Não")</f>
        <v>29906.91</v>
      </c>
      <c r="R795" s="4">
        <f t="shared" si="263"/>
        <v>29906.91</v>
      </c>
      <c r="S795" s="4">
        <f t="shared" si="264"/>
        <v>0</v>
      </c>
      <c r="T795" s="12">
        <f t="shared" si="254"/>
        <v>1</v>
      </c>
      <c r="Y795" s="2"/>
      <c r="Z795" s="2"/>
      <c r="AA795" s="2"/>
      <c r="AB795" s="2"/>
      <c r="AC795" s="2"/>
    </row>
    <row r="796" spans="1:29" ht="10.5" hidden="1">
      <c r="A796" s="2">
        <f t="shared" si="265"/>
        <v>23</v>
      </c>
      <c r="B796" s="2" t="str">
        <f>VLOOKUP($A796,Controle!$B$4:$F$68,2,FALSE)</f>
        <v>Jaboticatubas</v>
      </c>
      <c r="C796" s="2" t="str">
        <f>VLOOKUP($A796,Controle!$B$4:$F$68,3,FALSE)</f>
        <v xml:space="preserve">ESTRELA DO NORTE </v>
      </c>
      <c r="D796" s="2" t="str">
        <f>VLOOKUP($A796,Controle!$B$4:$F$68,4,FALSE)</f>
        <v>EDN</v>
      </c>
      <c r="E796" s="2">
        <f>VLOOKUP($A796,Controle!$B$4:$F$68,5,FALSE)</f>
        <v>3</v>
      </c>
      <c r="F796" s="3" t="str">
        <f t="shared" si="261"/>
        <v>Conexão MT - Obras Transferencia</v>
      </c>
      <c r="G796" s="2" t="str">
        <f>VLOOKUP($A796,Controle!$B$4:$G$68,6,FALSE)</f>
        <v>Apolo</v>
      </c>
      <c r="H796" s="6">
        <v>0</v>
      </c>
      <c r="I796" s="6">
        <v>0</v>
      </c>
      <c r="J796" s="6">
        <v>0</v>
      </c>
      <c r="K796" s="6">
        <v>0</v>
      </c>
      <c r="L796" s="6">
        <v>0</v>
      </c>
      <c r="M796" s="6">
        <v>0</v>
      </c>
      <c r="N796" s="6">
        <v>0</v>
      </c>
      <c r="O796" s="4">
        <f t="shared" si="262"/>
        <v>0</v>
      </c>
      <c r="P796" s="5">
        <f>SUMIFS('Desenvolvimento diário'!$H:$H,'Desenvolvimento diário'!$Q:$Q,$B796,'Desenvolvimento diário'!$P:$P,$F796,'Desenvolvimento diário'!$R:$R,"Sim")</f>
        <v>0</v>
      </c>
      <c r="Q796" s="5">
        <f>SUMIFS('Desenvolvimento diário'!$H:$H,'Desenvolvimento diário'!$Q:$Q,$B796,'Desenvolvimento diário'!$P:$P,$F796,'Desenvolvimento diário'!$R:$R,"Não")</f>
        <v>0</v>
      </c>
      <c r="R796" s="4">
        <f t="shared" si="263"/>
        <v>0</v>
      </c>
      <c r="S796" s="4">
        <f t="shared" si="264"/>
        <v>0</v>
      </c>
      <c r="T796" s="12">
        <f t="shared" si="254"/>
        <v>0</v>
      </c>
      <c r="Y796" s="2"/>
      <c r="Z796" s="2"/>
      <c r="AA796" s="2"/>
      <c r="AB796" s="2"/>
      <c r="AC796" s="2"/>
    </row>
    <row r="797" spans="1:29" ht="10.5" hidden="1">
      <c r="A797" s="2">
        <f t="shared" si="265"/>
        <v>23</v>
      </c>
      <c r="B797" s="2" t="str">
        <f>VLOOKUP($A797,Controle!$B$4:$F$68,2,FALSE)</f>
        <v>Jaboticatubas</v>
      </c>
      <c r="C797" s="2" t="str">
        <f>VLOOKUP($A797,Controle!$B$4:$F$68,3,FALSE)</f>
        <v xml:space="preserve">ESTRELA DO NORTE </v>
      </c>
      <c r="D797" s="2" t="str">
        <f>VLOOKUP($A797,Controle!$B$4:$F$68,4,FALSE)</f>
        <v>EDN</v>
      </c>
      <c r="E797" s="2">
        <f>VLOOKUP($A797,Controle!$B$4:$F$68,5,FALSE)</f>
        <v>3</v>
      </c>
      <c r="F797" s="3" t="str">
        <f t="shared" si="261"/>
        <v>Bases de Contaniers</v>
      </c>
      <c r="G797" s="2" t="str">
        <f>VLOOKUP($A797,Controle!$B$4:$G$68,6,FALSE)</f>
        <v>Apolo</v>
      </c>
      <c r="H797" s="6">
        <v>0</v>
      </c>
      <c r="I797" s="6">
        <v>0</v>
      </c>
      <c r="J797" s="6">
        <v>0</v>
      </c>
      <c r="K797" s="6">
        <v>0</v>
      </c>
      <c r="L797" s="6">
        <v>0</v>
      </c>
      <c r="M797" s="6">
        <v>0</v>
      </c>
      <c r="N797" s="6">
        <v>0</v>
      </c>
      <c r="O797" s="4">
        <f t="shared" si="262"/>
        <v>0</v>
      </c>
      <c r="P797" s="5">
        <f>SUMIFS('Desenvolvimento diário'!$H:$H,'Desenvolvimento diário'!$Q:$Q,$B797,'Desenvolvimento diário'!$P:$P,$F797,'Desenvolvimento diário'!$R:$R,"Sim")</f>
        <v>0</v>
      </c>
      <c r="Q797" s="5">
        <f>SUMIFS('Desenvolvimento diário'!$H:$H,'Desenvolvimento diário'!$Q:$Q,$B797,'Desenvolvimento diário'!$P:$P,$F797,'Desenvolvimento diário'!$R:$R,"Não")</f>
        <v>0</v>
      </c>
      <c r="R797" s="4">
        <f t="shared" si="263"/>
        <v>0</v>
      </c>
      <c r="S797" s="4">
        <f t="shared" si="264"/>
        <v>0</v>
      </c>
      <c r="T797" s="12">
        <f t="shared" si="254"/>
        <v>0</v>
      </c>
      <c r="Y797" s="2"/>
      <c r="Z797" s="2"/>
      <c r="AA797" s="2"/>
      <c r="AB797" s="2"/>
      <c r="AC797" s="2"/>
    </row>
    <row r="798" spans="1:29" ht="10.5" hidden="1">
      <c r="A798" s="2">
        <f t="shared" si="265"/>
        <v>23</v>
      </c>
      <c r="B798" s="2" t="str">
        <f>VLOOKUP($A798,Controle!$B$4:$F$68,2,FALSE)</f>
        <v>Jaboticatubas</v>
      </c>
      <c r="C798" s="2" t="str">
        <f>VLOOKUP($A798,Controle!$B$4:$F$68,3,FALSE)</f>
        <v xml:space="preserve">ESTRELA DO NORTE </v>
      </c>
      <c r="D798" s="2" t="str">
        <f>VLOOKUP($A798,Controle!$B$4:$F$68,4,FALSE)</f>
        <v>EDN</v>
      </c>
      <c r="E798" s="2">
        <f>VLOOKUP($A798,Controle!$B$4:$F$68,5,FALSE)</f>
        <v>3</v>
      </c>
      <c r="F798" s="3" t="str">
        <f t="shared" si="261"/>
        <v>Construção - Serviços de Construção - Ase Engenharia</v>
      </c>
      <c r="G798" s="2" t="str">
        <f>VLOOKUP($A798,Controle!$B$4:$G$68,6,FALSE)</f>
        <v>Apolo</v>
      </c>
      <c r="H798" s="6">
        <v>0</v>
      </c>
      <c r="I798" s="6">
        <v>0</v>
      </c>
      <c r="J798" s="6">
        <v>0</v>
      </c>
      <c r="K798" s="6">
        <v>0</v>
      </c>
      <c r="L798" s="6">
        <v>0</v>
      </c>
      <c r="M798" s="6">
        <v>0</v>
      </c>
      <c r="N798" s="6">
        <v>0</v>
      </c>
      <c r="O798" s="4">
        <f t="shared" si="262"/>
        <v>0</v>
      </c>
      <c r="P798" s="5">
        <f>SUMIFS('Desenvolvimento diário'!$H:$H,'Desenvolvimento diário'!$Q:$Q,$B798,'Desenvolvimento diário'!$P:$P,$F798,'Desenvolvimento diário'!$R:$R,"Sim")</f>
        <v>0</v>
      </c>
      <c r="Q798" s="5">
        <f>SUMIFS('Desenvolvimento diário'!$H:$H,'Desenvolvimento diário'!$Q:$Q,$B798,'Desenvolvimento diário'!$P:$P,$F798,'Desenvolvimento diário'!$R:$R,"Não")</f>
        <v>0</v>
      </c>
      <c r="R798" s="4">
        <f t="shared" si="263"/>
        <v>0</v>
      </c>
      <c r="S798" s="4">
        <f t="shared" si="264"/>
        <v>0</v>
      </c>
      <c r="T798" s="12">
        <f t="shared" si="254"/>
        <v>0</v>
      </c>
      <c r="Y798" s="2"/>
      <c r="Z798" s="2"/>
      <c r="AA798" s="2"/>
      <c r="AB798" s="2"/>
      <c r="AC798" s="2"/>
    </row>
    <row r="799" spans="1:29" ht="10.5" hidden="1">
      <c r="A799" s="2">
        <f t="shared" si="265"/>
        <v>23</v>
      </c>
      <c r="B799" s="2" t="str">
        <f>VLOOKUP($A799,Controle!$B$4:$F$68,2,FALSE)</f>
        <v>Jaboticatubas</v>
      </c>
      <c r="C799" s="2" t="str">
        <f>VLOOKUP($A799,Controle!$B$4:$F$68,3,FALSE)</f>
        <v xml:space="preserve">ESTRELA DO NORTE </v>
      </c>
      <c r="D799" s="2" t="str">
        <f>VLOOKUP($A799,Controle!$B$4:$F$68,4,FALSE)</f>
        <v>EDN</v>
      </c>
      <c r="E799" s="2">
        <f>VLOOKUP($A799,Controle!$B$4:$F$68,5,FALSE)</f>
        <v>3</v>
      </c>
      <c r="F799" s="3" t="str">
        <f t="shared" si="261"/>
        <v>Full EPC - Contrato Sobressalentes</v>
      </c>
      <c r="G799" s="2" t="str">
        <f>VLOOKUP($A799,Controle!$B$4:$G$68,6,FALSE)</f>
        <v>Apolo</v>
      </c>
      <c r="H799" s="6">
        <v>0</v>
      </c>
      <c r="I799" s="6">
        <v>0</v>
      </c>
      <c r="J799" s="6">
        <v>0</v>
      </c>
      <c r="K799" s="6">
        <v>0</v>
      </c>
      <c r="L799" s="6">
        <v>0</v>
      </c>
      <c r="M799" s="6">
        <v>0</v>
      </c>
      <c r="N799" s="6">
        <v>0</v>
      </c>
      <c r="O799" s="4">
        <f t="shared" si="262"/>
        <v>0</v>
      </c>
      <c r="P799" s="5">
        <f>SUMIFS('Desenvolvimento diário'!$H:$H,'Desenvolvimento diário'!$Q:$Q,$B799,'Desenvolvimento diário'!$P:$P,$F799,'Desenvolvimento diário'!$R:$R,"Sim")</f>
        <v>0</v>
      </c>
      <c r="Q799" s="5">
        <f>SUMIFS('Desenvolvimento diário'!$H:$H,'Desenvolvimento diário'!$Q:$Q,$B799,'Desenvolvimento diário'!$P:$P,$F799,'Desenvolvimento diário'!$R:$R,"Não")</f>
        <v>0</v>
      </c>
      <c r="R799" s="4">
        <f t="shared" si="263"/>
        <v>0</v>
      </c>
      <c r="S799" s="4">
        <f t="shared" si="264"/>
        <v>0</v>
      </c>
      <c r="T799" s="12">
        <f t="shared" si="254"/>
        <v>0</v>
      </c>
      <c r="Y799" s="2"/>
      <c r="Z799" s="2"/>
      <c r="AA799" s="2"/>
      <c r="AB799" s="2"/>
      <c r="AC799" s="2"/>
    </row>
    <row r="800" spans="1:29" ht="10.5" hidden="1">
      <c r="A800" s="2">
        <f t="shared" si="265"/>
        <v>23</v>
      </c>
      <c r="B800" s="2" t="str">
        <f>VLOOKUP($A800,Controle!$B$4:$F$68,2,FALSE)</f>
        <v>Jaboticatubas</v>
      </c>
      <c r="C800" s="2" t="str">
        <f>VLOOKUP($A800,Controle!$B$4:$F$68,3,FALSE)</f>
        <v xml:space="preserve">ESTRELA DO NORTE </v>
      </c>
      <c r="D800" s="2" t="str">
        <f>VLOOKUP($A800,Controle!$B$4:$F$68,4,FALSE)</f>
        <v>EDN</v>
      </c>
      <c r="E800" s="2">
        <f>VLOOKUP($A800,Controle!$B$4:$F$68,5,FALSE)</f>
        <v>3</v>
      </c>
      <c r="F800" s="3" t="str">
        <f t="shared" si="261"/>
        <v>Construção - Serviços de Construção - NOVA MORADA</v>
      </c>
      <c r="G800" s="2" t="str">
        <f>VLOOKUP($A800,Controle!$B$4:$G$68,6,FALSE)</f>
        <v>Apolo</v>
      </c>
      <c r="H800" s="6">
        <v>0</v>
      </c>
      <c r="I800" s="6">
        <v>0</v>
      </c>
      <c r="J800" s="6">
        <v>0</v>
      </c>
      <c r="K800" s="6">
        <v>0</v>
      </c>
      <c r="L800" s="6">
        <v>0</v>
      </c>
      <c r="M800" s="6">
        <v>0</v>
      </c>
      <c r="N800" s="6">
        <v>0</v>
      </c>
      <c r="O800" s="4">
        <f t="shared" si="262"/>
        <v>0</v>
      </c>
      <c r="P800" s="5">
        <f>SUMIFS('Desenvolvimento diário'!$H:$H,'Desenvolvimento diário'!$Q:$Q,$B800,'Desenvolvimento diário'!$P:$P,$F800,'Desenvolvimento diário'!$R:$R,"Sim")</f>
        <v>0</v>
      </c>
      <c r="Q800" s="5">
        <f>SUMIFS('Desenvolvimento diário'!$H:$H,'Desenvolvimento diário'!$Q:$Q,$B800,'Desenvolvimento diário'!$P:$P,$F800,'Desenvolvimento diário'!$R:$R,"Não")</f>
        <v>0</v>
      </c>
      <c r="R800" s="4">
        <f t="shared" si="263"/>
        <v>0</v>
      </c>
      <c r="S800" s="4">
        <f t="shared" si="264"/>
        <v>0</v>
      </c>
      <c r="T800" s="12">
        <f t="shared" si="254"/>
        <v>0</v>
      </c>
      <c r="Y800" s="2"/>
      <c r="Z800" s="2"/>
      <c r="AA800" s="2"/>
      <c r="AB800" s="2"/>
      <c r="AC800" s="2"/>
    </row>
    <row r="801" spans="1:29" ht="10.5" hidden="1">
      <c r="A801" s="2">
        <f t="shared" si="265"/>
        <v>23</v>
      </c>
      <c r="B801" s="2" t="str">
        <f>VLOOKUP($A801,Controle!$B$4:$F$68,2,FALSE)</f>
        <v>Jaboticatubas</v>
      </c>
      <c r="C801" s="2" t="str">
        <f>VLOOKUP($A801,Controle!$B$4:$F$68,3,FALSE)</f>
        <v xml:space="preserve">ESTRELA DO NORTE </v>
      </c>
      <c r="D801" s="2" t="str">
        <f>VLOOKUP($A801,Controle!$B$4:$F$68,4,FALSE)</f>
        <v>EDN</v>
      </c>
      <c r="E801" s="2">
        <f>VLOOKUP($A801,Controle!$B$4:$F$68,5,FALSE)</f>
        <v>3</v>
      </c>
      <c r="F801" s="3" t="str">
        <f t="shared" si="261"/>
        <v>Equipamentos Curva A -  Contrato Sobressalentes - SETTA</v>
      </c>
      <c r="G801" s="2" t="str">
        <f>VLOOKUP($A801,Controle!$B$4:$G$68,6,FALSE)</f>
        <v>Apolo</v>
      </c>
      <c r="H801" s="6" t="s">
        <v>196</v>
      </c>
      <c r="I801" s="6">
        <v>125906.63</v>
      </c>
      <c r="J801" s="6">
        <v>0</v>
      </c>
      <c r="K801" s="6">
        <v>0</v>
      </c>
      <c r="L801" s="6">
        <v>0</v>
      </c>
      <c r="M801" s="6">
        <v>0</v>
      </c>
      <c r="N801" s="6">
        <v>0</v>
      </c>
      <c r="O801" s="4">
        <f t="shared" si="262"/>
        <v>125906.63</v>
      </c>
      <c r="P801" s="5">
        <f>SUMIFS('Desenvolvimento diário'!$H:$H,'Desenvolvimento diário'!$Q:$Q,$B801,'Desenvolvimento diário'!$P:$P,$F801,'Desenvolvimento diário'!$R:$R,"Sim")</f>
        <v>0</v>
      </c>
      <c r="Q801" s="5">
        <f>SUMIFS('Desenvolvimento diário'!$H:$H,'Desenvolvimento diário'!$Q:$Q,$B801,'Desenvolvimento diário'!$P:$P,$F801,'Desenvolvimento diário'!$R:$R,"Não")</f>
        <v>125906.63</v>
      </c>
      <c r="R801" s="4">
        <f t="shared" si="263"/>
        <v>125906.63</v>
      </c>
      <c r="S801" s="4">
        <f t="shared" si="264"/>
        <v>0</v>
      </c>
      <c r="T801" s="12">
        <f t="shared" si="254"/>
        <v>1</v>
      </c>
      <c r="Y801" s="2"/>
      <c r="Z801" s="2"/>
      <c r="AA801" s="2"/>
      <c r="AB801" s="2"/>
      <c r="AC801" s="2"/>
    </row>
    <row r="802" spans="1:29" ht="10.5" hidden="1">
      <c r="A802" s="2">
        <f t="shared" si="265"/>
        <v>23</v>
      </c>
      <c r="B802" s="2" t="str">
        <f>VLOOKUP($A802,Controle!$B$4:$F$68,2,FALSE)</f>
        <v>Jaboticatubas</v>
      </c>
      <c r="C802" s="2" t="str">
        <f>VLOOKUP($A802,Controle!$B$4:$F$68,3,FALSE)</f>
        <v xml:space="preserve">ESTRELA DO NORTE </v>
      </c>
      <c r="D802" s="2" t="str">
        <f>VLOOKUP($A802,Controle!$B$4:$F$68,4,FALSE)</f>
        <v>EDN</v>
      </c>
      <c r="E802" s="2">
        <f>VLOOKUP($A802,Controle!$B$4:$F$68,5,FALSE)</f>
        <v>3</v>
      </c>
      <c r="F802" s="3" t="str">
        <f t="shared" si="261"/>
        <v>Equipamentos Curva A -  Contrato Sobressalentes - Arctech</v>
      </c>
      <c r="G802" s="2" t="str">
        <f>VLOOKUP($A802,Controle!$B$4:$G$68,6,FALSE)</f>
        <v>Apolo</v>
      </c>
      <c r="H802" s="6">
        <v>0</v>
      </c>
      <c r="I802" s="6">
        <v>0</v>
      </c>
      <c r="J802" s="6">
        <v>0</v>
      </c>
      <c r="K802" s="6">
        <v>0</v>
      </c>
      <c r="L802" s="6">
        <v>0</v>
      </c>
      <c r="M802" s="6">
        <v>0</v>
      </c>
      <c r="N802" s="6">
        <v>0</v>
      </c>
      <c r="O802" s="4">
        <f t="shared" si="262"/>
        <v>0</v>
      </c>
      <c r="P802" s="5">
        <f>SUMIFS('Desenvolvimento diário'!$H:$H,'Desenvolvimento diário'!$Q:$Q,$B802,'Desenvolvimento diário'!$P:$P,$F802,'Desenvolvimento diário'!$R:$R,"Sim")</f>
        <v>0</v>
      </c>
      <c r="Q802" s="5">
        <f>SUMIFS('Desenvolvimento diário'!$H:$H,'Desenvolvimento diário'!$Q:$Q,$B802,'Desenvolvimento diário'!$P:$P,$F802,'Desenvolvimento diário'!$R:$R,"Não")</f>
        <v>0</v>
      </c>
      <c r="R802" s="4">
        <f t="shared" si="263"/>
        <v>0</v>
      </c>
      <c r="S802" s="4">
        <f t="shared" si="264"/>
        <v>0</v>
      </c>
      <c r="T802" s="12">
        <f t="shared" si="254"/>
        <v>0</v>
      </c>
      <c r="Y802" s="2"/>
      <c r="Z802" s="2"/>
      <c r="AA802" s="2"/>
      <c r="AB802" s="2"/>
      <c r="AC802" s="2"/>
    </row>
    <row r="803" spans="1:29" hidden="1">
      <c r="A803" s="2">
        <f t="shared" si="265"/>
        <v>23</v>
      </c>
      <c r="B803" s="2" t="str">
        <f>VLOOKUP($A803,Controle!$B$4:$F$68,2,FALSE)</f>
        <v>Jaboticatubas</v>
      </c>
      <c r="C803" s="2" t="str">
        <f>VLOOKUP($A803,Controle!$B$4:$F$68,3,FALSE)</f>
        <v xml:space="preserve">ESTRELA DO NORTE </v>
      </c>
      <c r="D803" s="2" t="str">
        <f>VLOOKUP($A803,Controle!$B$4:$F$68,4,FALSE)</f>
        <v>EDN</v>
      </c>
      <c r="E803" s="2">
        <f>VLOOKUP($A803,Controle!$B$4:$F$68,5,FALSE)</f>
        <v>3</v>
      </c>
      <c r="F803" s="3" t="str">
        <f t="shared" si="261"/>
        <v>Equipamentos Curva A -  Contrato Sobressalentes - Romagnole</v>
      </c>
      <c r="G803" s="2" t="str">
        <f>VLOOKUP($A803,Controle!$B$4:$G$68,6,FALSE)</f>
        <v>Apolo</v>
      </c>
      <c r="H803" s="7">
        <v>0</v>
      </c>
      <c r="I803" s="7">
        <v>0</v>
      </c>
      <c r="J803" s="7">
        <v>0</v>
      </c>
      <c r="K803" s="7">
        <v>0</v>
      </c>
      <c r="L803" s="7">
        <v>0</v>
      </c>
      <c r="M803" s="7">
        <v>0</v>
      </c>
      <c r="N803" s="7">
        <v>0</v>
      </c>
      <c r="O803" s="4">
        <f t="shared" si="262"/>
        <v>0</v>
      </c>
      <c r="P803" s="17">
        <f>SUMIFS('Desenvolvimento diário'!$H:$H,'Desenvolvimento diário'!$Q:$Q,$B803,'Desenvolvimento diário'!$P:$P,$F803,'Desenvolvimento diário'!$R:$R,"Sim")</f>
        <v>0</v>
      </c>
      <c r="Q803" s="17">
        <f>SUMIFS('Desenvolvimento diário'!$H:$H,'Desenvolvimento diário'!$Q:$Q,$B803,'Desenvolvimento diário'!$P:$P,$F803,'Desenvolvimento diário'!$R:$R,"Não")</f>
        <v>0</v>
      </c>
      <c r="R803" s="4">
        <f t="shared" si="263"/>
        <v>0</v>
      </c>
      <c r="S803" s="4">
        <f t="shared" si="264"/>
        <v>0</v>
      </c>
      <c r="T803" s="12">
        <f t="shared" si="254"/>
        <v>0</v>
      </c>
      <c r="Y803" s="2"/>
      <c r="Z803" s="2"/>
      <c r="AA803" s="2"/>
      <c r="AB803" s="2"/>
      <c r="AC803" s="2"/>
    </row>
    <row r="804" spans="1:29" hidden="1">
      <c r="A804" s="2">
        <f t="shared" si="265"/>
        <v>23</v>
      </c>
      <c r="B804" s="2" t="str">
        <f>VLOOKUP($A804,Controle!$B$4:$F$68,2,FALSE)</f>
        <v>Jaboticatubas</v>
      </c>
      <c r="C804" s="2" t="str">
        <f>VLOOKUP($A804,Controle!$B$4:$F$68,3,FALSE)</f>
        <v xml:space="preserve">ESTRELA DO NORTE </v>
      </c>
      <c r="D804" s="2" t="str">
        <f>VLOOKUP($A804,Controle!$B$4:$F$68,4,FALSE)</f>
        <v>EDN</v>
      </c>
      <c r="E804" s="2">
        <f>VLOOKUP($A804,Controle!$B$4:$F$68,5,FALSE)</f>
        <v>3</v>
      </c>
      <c r="F804" s="3" t="str">
        <f t="shared" si="261"/>
        <v>GOS FLORESTAL - (PRAD - Recuperação Area Ambiental)</v>
      </c>
      <c r="G804" s="2" t="str">
        <f>VLOOKUP($A804,Controle!$B$4:$G$68,6,FALSE)</f>
        <v>Apolo</v>
      </c>
      <c r="H804" s="506" t="s">
        <v>170</v>
      </c>
      <c r="I804" s="6">
        <v>0</v>
      </c>
      <c r="J804" s="506"/>
      <c r="K804" s="506">
        <v>0</v>
      </c>
      <c r="L804" s="506">
        <v>0</v>
      </c>
      <c r="M804" s="506">
        <v>0</v>
      </c>
      <c r="N804" s="506">
        <v>0</v>
      </c>
      <c r="O804" s="39">
        <f t="shared" si="262"/>
        <v>0</v>
      </c>
      <c r="P804" s="17">
        <f>SUMIFS('Desenvolvimento diário'!$H:$H,'Desenvolvimento diário'!$Q:$Q,$B804,'Desenvolvimento diário'!$P:$P,$F804,'Desenvolvimento diário'!$R:$R,"Sim")</f>
        <v>0</v>
      </c>
      <c r="Q804" s="17">
        <f>SUMIFS('Desenvolvimento diário'!$H:$H,'Desenvolvimento diário'!$Q:$Q,$B804,'Desenvolvimento diário'!$P:$P,$F804,'Desenvolvimento diário'!$R:$R,"Não")</f>
        <v>0</v>
      </c>
      <c r="R804" s="4">
        <f t="shared" si="263"/>
        <v>0</v>
      </c>
      <c r="S804" s="4">
        <f t="shared" si="264"/>
        <v>0</v>
      </c>
      <c r="T804" s="12">
        <f t="shared" ref="T804:T805" si="267">IFERROR(R804/O804,0)</f>
        <v>0</v>
      </c>
      <c r="Y804" s="2"/>
      <c r="Z804" s="2"/>
      <c r="AA804" s="2"/>
      <c r="AB804" s="2"/>
      <c r="AC804" s="2"/>
    </row>
    <row r="805" spans="1:29" hidden="1">
      <c r="A805" s="2">
        <f t="shared" si="265"/>
        <v>23</v>
      </c>
      <c r="B805" s="2" t="str">
        <f>VLOOKUP($A805,Controle!$B$4:$F$68,2,FALSE)</f>
        <v>Jaboticatubas</v>
      </c>
      <c r="C805" s="2" t="str">
        <f>VLOOKUP($A805,Controle!$B$4:$F$68,3,FALSE)</f>
        <v xml:space="preserve">ESTRELA DO NORTE </v>
      </c>
      <c r="D805" s="2" t="str">
        <f>VLOOKUP($A805,Controle!$B$4:$F$68,4,FALSE)</f>
        <v>EDN</v>
      </c>
      <c r="E805" s="2">
        <f>VLOOKUP($A805,Controle!$B$4:$F$68,5,FALSE)</f>
        <v>3</v>
      </c>
      <c r="F805" s="3" t="str">
        <f t="shared" si="261"/>
        <v>Cercamento das bacias de contenção ciclo 2</v>
      </c>
      <c r="G805" s="2" t="str">
        <f>VLOOKUP($A805,Controle!$B$4:$G$68,6,FALSE)</f>
        <v>Apolo</v>
      </c>
      <c r="H805" s="506" t="s">
        <v>172</v>
      </c>
      <c r="I805" s="6"/>
      <c r="J805" s="506"/>
      <c r="K805" s="506">
        <v>0</v>
      </c>
      <c r="L805" s="506">
        <v>0</v>
      </c>
      <c r="M805" s="506">
        <v>0</v>
      </c>
      <c r="N805" s="506">
        <v>0</v>
      </c>
      <c r="O805" s="39">
        <f t="shared" si="262"/>
        <v>0</v>
      </c>
      <c r="P805" s="17">
        <f>SUMIFS('Desenvolvimento diário'!$H:$H,'Desenvolvimento diário'!$Q:$Q,$B805,'Desenvolvimento diário'!$P:$P,$F805,'Desenvolvimento diário'!$R:$R,"Sim")</f>
        <v>0</v>
      </c>
      <c r="Q805" s="17">
        <f>SUMIFS('Desenvolvimento diário'!$H:$H,'Desenvolvimento diário'!$Q:$Q,$B805,'Desenvolvimento diário'!$P:$P,$F805,'Desenvolvimento diário'!$R:$R,"Não")</f>
        <v>0</v>
      </c>
      <c r="R805" s="4">
        <f t="shared" si="263"/>
        <v>0</v>
      </c>
      <c r="S805" s="1030">
        <f t="shared" si="264"/>
        <v>0</v>
      </c>
      <c r="T805" s="12">
        <f t="shared" si="267"/>
        <v>0</v>
      </c>
      <c r="U805" s="1029" t="s">
        <v>166</v>
      </c>
      <c r="V805" s="1029" t="s">
        <v>94</v>
      </c>
      <c r="Y805" s="2"/>
      <c r="Z805" s="2"/>
      <c r="AA805" s="2"/>
      <c r="AB805" s="2"/>
      <c r="AC805" s="2"/>
    </row>
    <row r="806" spans="1:29" hidden="1">
      <c r="A806" s="8">
        <f>A803</f>
        <v>23</v>
      </c>
      <c r="B806" s="9" t="str">
        <f t="shared" ref="B806" si="268">B803</f>
        <v>Jaboticatubas</v>
      </c>
      <c r="C806" s="9" t="str">
        <f t="shared" ref="C806" si="269">C803</f>
        <v xml:space="preserve">ESTRELA DO NORTE </v>
      </c>
      <c r="D806" s="9" t="str">
        <f t="shared" ref="D806" si="270">D803</f>
        <v>EDN</v>
      </c>
      <c r="E806" s="9">
        <f t="shared" ref="E806" si="271">E803</f>
        <v>3</v>
      </c>
      <c r="F806" s="10" t="s">
        <v>158</v>
      </c>
      <c r="G806" s="9" t="str">
        <f>G803</f>
        <v>Apolo</v>
      </c>
      <c r="H806" s="9"/>
      <c r="I806" s="9">
        <f>SUBTOTAL(9,I772:I805)</f>
        <v>0</v>
      </c>
      <c r="J806" s="9">
        <f t="shared" ref="J806:S806" si="272">SUBTOTAL(9,J772:J805)</f>
        <v>0</v>
      </c>
      <c r="K806" s="9">
        <f t="shared" si="272"/>
        <v>0</v>
      </c>
      <c r="L806" s="9">
        <f t="shared" si="272"/>
        <v>0</v>
      </c>
      <c r="M806" s="9">
        <f t="shared" si="272"/>
        <v>0</v>
      </c>
      <c r="N806" s="9">
        <f t="shared" si="272"/>
        <v>0</v>
      </c>
      <c r="O806" s="9">
        <f t="shared" si="272"/>
        <v>0</v>
      </c>
      <c r="P806" s="9">
        <f t="shared" si="272"/>
        <v>0</v>
      </c>
      <c r="Q806" s="9">
        <f t="shared" si="272"/>
        <v>0</v>
      </c>
      <c r="R806" s="9">
        <f t="shared" si="272"/>
        <v>0</v>
      </c>
      <c r="S806" s="9">
        <f t="shared" si="272"/>
        <v>0</v>
      </c>
      <c r="T806" s="13">
        <f>IFERROR(R806/O806,0)</f>
        <v>0</v>
      </c>
      <c r="U806" s="11">
        <f>SUBTOTAL(9,U772:U805)</f>
        <v>0</v>
      </c>
      <c r="Y806" s="2"/>
      <c r="Z806" s="2"/>
      <c r="AA806" s="2"/>
      <c r="AB806" s="2"/>
      <c r="AC806" s="2"/>
    </row>
    <row r="807" spans="1:29" ht="10.5" hidden="1">
      <c r="A807" s="2">
        <f>A772+1</f>
        <v>24</v>
      </c>
      <c r="B807" s="2" t="str">
        <f>VLOOKUP($A807,Controle!$B$4:$F$68,2,FALSE)</f>
        <v>São Sebastião 0</v>
      </c>
      <c r="C807" s="2" t="str">
        <f>VLOOKUP($A807,Controle!$B$4:$F$68,3,FALSE)</f>
        <v xml:space="preserve">ESTRELA DO NORTE </v>
      </c>
      <c r="D807" s="2" t="str">
        <f>VLOOKUP($A807,Controle!$B$4:$F$68,4,FALSE)</f>
        <v>EDN</v>
      </c>
      <c r="E807" s="2">
        <f>VLOOKUP($A807,Controle!$B$4:$F$68,5,FALSE)</f>
        <v>3</v>
      </c>
      <c r="F807" s="3" t="str">
        <f t="shared" ref="F807" si="273">F772</f>
        <v>Conexão AT - Obras</v>
      </c>
      <c r="G807" s="2" t="str">
        <f>VLOOKUP($A807,Controle!$B$4:$G$68,6,FALSE)</f>
        <v>Apolo</v>
      </c>
      <c r="H807" s="6">
        <v>0</v>
      </c>
      <c r="I807" s="6">
        <v>0</v>
      </c>
      <c r="J807" s="6">
        <v>0</v>
      </c>
      <c r="K807" s="6">
        <v>0</v>
      </c>
      <c r="L807" s="6">
        <v>0</v>
      </c>
      <c r="M807" s="6">
        <v>0</v>
      </c>
      <c r="N807" s="6">
        <v>0</v>
      </c>
      <c r="O807" s="4">
        <f t="shared" ref="O807:O840" si="274">SUM(I807:N807)</f>
        <v>0</v>
      </c>
      <c r="P807" s="5">
        <f>SUMIFS('Desenvolvimento diário'!$H:$H,'Desenvolvimento diário'!$Q:$Q,$B807,'Desenvolvimento diário'!$P:$P,$F807,'Desenvolvimento diário'!$R:$R,"Sim")</f>
        <v>0</v>
      </c>
      <c r="Q807" s="5">
        <f>SUMIFS('Desenvolvimento diário'!$H:$H,'Desenvolvimento diário'!$Q:$Q,$B807,'Desenvolvimento diário'!$P:$P,$F807,'Desenvolvimento diário'!$R:$R,"Não")</f>
        <v>0</v>
      </c>
      <c r="R807" s="4">
        <f t="shared" ref="R807:R840" si="275">SUM(P807:Q807)</f>
        <v>0</v>
      </c>
      <c r="S807" s="4">
        <f t="shared" ref="S807:S840" si="276">O807-R807</f>
        <v>0</v>
      </c>
      <c r="T807" s="12">
        <f t="shared" si="254"/>
        <v>0</v>
      </c>
      <c r="Y807" s="2"/>
      <c r="Z807" s="2"/>
      <c r="AA807" s="2"/>
      <c r="AB807" s="2"/>
      <c r="AC807" s="2"/>
    </row>
    <row r="808" spans="1:29" s="94" customFormat="1" ht="10.5" hidden="1">
      <c r="A808" s="94">
        <f>A773+1</f>
        <v>24</v>
      </c>
      <c r="B808" s="94" t="str">
        <f>VLOOKUP($A808,Controle!$B$4:$F$68,2,FALSE)</f>
        <v>São Sebastião 0</v>
      </c>
      <c r="C808" s="2" t="str">
        <f>VLOOKUP($A808,Controle!$B$4:$F$68,3,FALSE)</f>
        <v xml:space="preserve">ESTRELA DO NORTE </v>
      </c>
      <c r="D808" s="94" t="str">
        <f>VLOOKUP($A808,Controle!$B$4:$F$68,4,FALSE)</f>
        <v>EDN</v>
      </c>
      <c r="E808" s="94">
        <f>VLOOKUP($A808,Controle!$B$4:$F$68,5,FALSE)</f>
        <v>3</v>
      </c>
      <c r="F808" s="37" t="str">
        <f>F388</f>
        <v>Conexão MT - Obras</v>
      </c>
      <c r="G808" s="94" t="str">
        <f>VLOOKUP($A808,Controle!$B$4:$G$68,6,FALSE)</f>
        <v>Apolo</v>
      </c>
      <c r="H808" s="31" t="s">
        <v>168</v>
      </c>
      <c r="I808" s="31">
        <v>1248500</v>
      </c>
      <c r="J808" s="31">
        <v>1818400</v>
      </c>
      <c r="K808" s="491">
        <v>356825.59999999998</v>
      </c>
      <c r="L808" s="31">
        <v>0</v>
      </c>
      <c r="M808" s="31">
        <v>0</v>
      </c>
      <c r="N808" s="31">
        <v>0</v>
      </c>
      <c r="O808" s="39">
        <f>SUM(I808:N808)</f>
        <v>3423725.6</v>
      </c>
      <c r="P808" s="186">
        <f>SUMIFS('Desenvolvimento diário'!$H:$H,'Desenvolvimento diário'!$Q:$Q,$B808,'Desenvolvimento diário'!$P:$P,$F808,'Desenvolvimento diário'!$R:$R,"Sim")</f>
        <v>1472853.72</v>
      </c>
      <c r="Q808" s="186">
        <f>SUMIFS('Desenvolvimento diário'!$H:$H,'Desenvolvimento diário'!$Q:$Q,$B808,'Desenvolvimento diário'!$P:$P,$F808,'Desenvolvimento diário'!$R:$R,"Não")</f>
        <v>1950871.8800000001</v>
      </c>
      <c r="R808" s="39">
        <f>SUM(P808:Q808)</f>
        <v>3423725.6</v>
      </c>
      <c r="S808" s="499">
        <f>O808-R808</f>
        <v>0</v>
      </c>
      <c r="T808" s="187">
        <f>IFERROR(R808/O808,0)</f>
        <v>1</v>
      </c>
    </row>
    <row r="809" spans="1:29" ht="10.5" hidden="1">
      <c r="A809" s="94">
        <f t="shared" ref="A809:A831" si="277">A774+1</f>
        <v>24</v>
      </c>
      <c r="B809" s="94" t="str">
        <f>VLOOKUP($A809,Controle!$B$4:$F$68,2,FALSE)</f>
        <v>São Sebastião 0</v>
      </c>
      <c r="C809" s="2" t="str">
        <f>VLOOKUP($A809,Controle!$B$4:$F$68,3,FALSE)</f>
        <v xml:space="preserve">ESTRELA DO NORTE </v>
      </c>
      <c r="D809" s="94" t="str">
        <f>VLOOKUP($A809,Controle!$B$4:$F$68,4,FALSE)</f>
        <v>EDN</v>
      </c>
      <c r="E809" s="94">
        <f>VLOOKUP($A809,Controle!$B$4:$F$68,5,FALSE)</f>
        <v>3</v>
      </c>
      <c r="F809" s="3" t="str">
        <f t="shared" ref="F809:F839" si="278">F774</f>
        <v>Construção - Serviços de Construção</v>
      </c>
      <c r="G809" s="2" t="str">
        <f>VLOOKUP($A809,Controle!$B$4:$G$68,6,FALSE)</f>
        <v>Apolo</v>
      </c>
      <c r="H809" s="6" t="s">
        <v>201</v>
      </c>
      <c r="I809" s="6">
        <v>3268065.24</v>
      </c>
      <c r="J809" s="6">
        <v>467594.15</v>
      </c>
      <c r="K809" s="6">
        <v>259146.86</v>
      </c>
      <c r="L809" s="6">
        <v>0</v>
      </c>
      <c r="M809" s="6">
        <v>0</v>
      </c>
      <c r="N809" s="6">
        <v>0</v>
      </c>
      <c r="O809" s="4">
        <f t="shared" si="274"/>
        <v>3994806.25</v>
      </c>
      <c r="P809" s="5">
        <f>SUMIFS('Desenvolvimento diário'!$H:$H,'Desenvolvimento diário'!$Q:$Q,$B809,'Desenvolvimento diário'!$P:$P,$F809,'Desenvolvimento diário'!$R:$R,"Sim")</f>
        <v>268024.42</v>
      </c>
      <c r="Q809" s="5">
        <f>SUMIFS('Desenvolvimento diário'!$H:$H,'Desenvolvimento diário'!$Q:$Q,$B809,'Desenvolvimento diário'!$P:$P,$F809,'Desenvolvimento diário'!$R:$R,"Não")</f>
        <v>3726781.83</v>
      </c>
      <c r="R809" s="4">
        <f t="shared" si="275"/>
        <v>3994806.25</v>
      </c>
      <c r="S809" s="27">
        <f t="shared" si="276"/>
        <v>0</v>
      </c>
      <c r="T809" s="12">
        <f t="shared" si="254"/>
        <v>1</v>
      </c>
      <c r="Y809" s="2"/>
      <c r="Z809" s="2"/>
      <c r="AA809" s="2"/>
      <c r="AB809" s="2"/>
      <c r="AC809" s="2"/>
    </row>
    <row r="810" spans="1:29" ht="10.5" hidden="1">
      <c r="A810" s="94">
        <f t="shared" si="277"/>
        <v>24</v>
      </c>
      <c r="B810" s="94" t="str">
        <f>VLOOKUP($A810,Controle!$B$4:$F$68,2,FALSE)</f>
        <v>São Sebastião 0</v>
      </c>
      <c r="C810" s="2" t="str">
        <f>VLOOKUP($A810,Controle!$B$4:$F$68,3,FALSE)</f>
        <v xml:space="preserve">ESTRELA DO NORTE </v>
      </c>
      <c r="D810" s="94" t="str">
        <f>VLOOKUP($A810,Controle!$B$4:$F$68,4,FALSE)</f>
        <v>EDN</v>
      </c>
      <c r="E810" s="94">
        <f>VLOOKUP($A810,Controle!$B$4:$F$68,5,FALSE)</f>
        <v>3</v>
      </c>
      <c r="F810" s="3" t="str">
        <f t="shared" si="278"/>
        <v>Construção - Serviços de Construção - Substituição</v>
      </c>
      <c r="G810" s="2" t="str">
        <f>VLOOKUP($A810,Controle!$B$4:$G$68,6,FALSE)</f>
        <v>Apolo</v>
      </c>
      <c r="H810" s="6" t="s">
        <v>202</v>
      </c>
      <c r="I810" s="6">
        <v>2740702.22</v>
      </c>
      <c r="J810" s="6">
        <v>0</v>
      </c>
      <c r="K810" s="6">
        <v>0</v>
      </c>
      <c r="L810" s="6">
        <v>0</v>
      </c>
      <c r="M810" s="6">
        <v>0</v>
      </c>
      <c r="N810" s="6">
        <v>0</v>
      </c>
      <c r="O810" s="4">
        <f t="shared" si="274"/>
        <v>2740702.22</v>
      </c>
      <c r="P810" s="5">
        <f>SUMIFS('Desenvolvimento diário'!$H:$H,'Desenvolvimento diário'!$Q:$Q,$B810,'Desenvolvimento diário'!$P:$P,$F810,'Desenvolvimento diário'!$R:$R,"Sim")</f>
        <v>525149.9</v>
      </c>
      <c r="Q810" s="5">
        <f>SUMIFS('Desenvolvimento diário'!$H:$H,'Desenvolvimento diário'!$Q:$Q,$B810,'Desenvolvimento diário'!$P:$P,$F810,'Desenvolvimento diário'!$R:$R,"Não")</f>
        <v>274070.21999999997</v>
      </c>
      <c r="R810" s="4">
        <f t="shared" si="275"/>
        <v>799220.12</v>
      </c>
      <c r="S810" s="33">
        <f t="shared" si="276"/>
        <v>1941482.1</v>
      </c>
      <c r="T810" s="12">
        <f t="shared" si="254"/>
        <v>0.29161143964045827</v>
      </c>
      <c r="U810" s="510" t="s">
        <v>162</v>
      </c>
      <c r="V810" s="510" t="s">
        <v>163</v>
      </c>
      <c r="Y810" s="2"/>
      <c r="Z810" s="2"/>
      <c r="AA810" s="2"/>
      <c r="AB810" s="2"/>
      <c r="AC810" s="2"/>
    </row>
    <row r="811" spans="1:29" ht="10.5" hidden="1">
      <c r="A811" s="94">
        <f t="shared" si="277"/>
        <v>24</v>
      </c>
      <c r="B811" s="94" t="str">
        <f>VLOOKUP($A811,Controle!$B$4:$F$68,2,FALSE)</f>
        <v>São Sebastião 0</v>
      </c>
      <c r="C811" s="2" t="str">
        <f>VLOOKUP($A811,Controle!$B$4:$F$68,3,FALSE)</f>
        <v xml:space="preserve">ESTRELA DO NORTE </v>
      </c>
      <c r="D811" s="94" t="str">
        <f>VLOOKUP($A811,Controle!$B$4:$F$68,4,FALSE)</f>
        <v>EDN</v>
      </c>
      <c r="E811" s="94">
        <f>VLOOKUP($A811,Controle!$B$4:$F$68,5,FALSE)</f>
        <v>3</v>
      </c>
      <c r="F811" s="3" t="str">
        <f t="shared" si="278"/>
        <v>Construção - RDA Interno</v>
      </c>
      <c r="G811" s="2" t="str">
        <f>VLOOKUP($A811,Controle!$B$4:$G$68,6,FALSE)</f>
        <v>Apolo</v>
      </c>
      <c r="H811" s="6" t="s">
        <v>143</v>
      </c>
      <c r="I811" s="6">
        <v>402465.1</v>
      </c>
      <c r="J811" s="6">
        <v>6400</v>
      </c>
      <c r="K811" s="6">
        <v>7304.5454</v>
      </c>
      <c r="L811" s="6">
        <v>0</v>
      </c>
      <c r="M811" s="6">
        <v>0</v>
      </c>
      <c r="N811" s="6">
        <v>0</v>
      </c>
      <c r="O811" s="4">
        <f>SUM(I811:N811)+0.0046</f>
        <v>416169.64999999997</v>
      </c>
      <c r="P811" s="5">
        <f>SUMIFS('Desenvolvimento diário'!$H:$H,'Desenvolvimento diário'!$Q:$Q,$B811,'Desenvolvimento diário'!$P:$P,$F811,'Desenvolvimento diário'!$R:$R,"Sim")</f>
        <v>0</v>
      </c>
      <c r="Q811" s="5">
        <f>SUMIFS('Desenvolvimento diário'!$H:$H,'Desenvolvimento diário'!$Q:$Q,$B811,'Desenvolvimento diário'!$P:$P,$F811,'Desenvolvimento diário'!$R:$R,"Não")</f>
        <v>416169.65</v>
      </c>
      <c r="R811" s="4">
        <f t="shared" si="275"/>
        <v>416169.65</v>
      </c>
      <c r="S811" s="137">
        <f t="shared" si="276"/>
        <v>0</v>
      </c>
      <c r="T811" s="12">
        <f t="shared" si="254"/>
        <v>1.0000000000000002</v>
      </c>
      <c r="Y811" s="2"/>
      <c r="Z811" s="2"/>
      <c r="AA811" s="2"/>
      <c r="AB811" s="2"/>
      <c r="AC811" s="2"/>
    </row>
    <row r="812" spans="1:29" ht="10.5" hidden="1">
      <c r="A812" s="94">
        <f t="shared" si="277"/>
        <v>24</v>
      </c>
      <c r="B812" s="94" t="str">
        <f>VLOOKUP($A812,Controle!$B$4:$F$68,2,FALSE)</f>
        <v>São Sebastião 0</v>
      </c>
      <c r="C812" s="2" t="str">
        <f>VLOOKUP($A812,Controle!$B$4:$F$68,3,FALSE)</f>
        <v xml:space="preserve">ESTRELA DO NORTE </v>
      </c>
      <c r="D812" s="94" t="str">
        <f>VLOOKUP($A812,Controle!$B$4:$F$68,4,FALSE)</f>
        <v>EDN</v>
      </c>
      <c r="E812" s="94">
        <f>VLOOKUP($A812,Controle!$B$4:$F$68,5,FALSE)</f>
        <v>3</v>
      </c>
      <c r="F812" s="3" t="str">
        <f t="shared" si="278"/>
        <v>Full EPC - Contrato</v>
      </c>
      <c r="G812" s="2" t="str">
        <f>VLOOKUP($A812,Controle!$B$4:$G$68,6,FALSE)</f>
        <v>Apolo</v>
      </c>
      <c r="H812" s="6">
        <v>0</v>
      </c>
      <c r="I812" s="6">
        <v>0</v>
      </c>
      <c r="J812" s="6">
        <v>0</v>
      </c>
      <c r="K812" s="6">
        <v>0</v>
      </c>
      <c r="L812" s="6">
        <v>0</v>
      </c>
      <c r="M812" s="6">
        <v>0</v>
      </c>
      <c r="N812" s="6">
        <v>0</v>
      </c>
      <c r="O812" s="4">
        <f t="shared" si="274"/>
        <v>0</v>
      </c>
      <c r="P812" s="5">
        <f>SUMIFS('Desenvolvimento diário'!$H:$H,'Desenvolvimento diário'!$Q:$Q,$B812,'Desenvolvimento diário'!$P:$P,$F812,'Desenvolvimento diário'!$R:$R,"Sim")</f>
        <v>0</v>
      </c>
      <c r="Q812" s="5">
        <f>SUMIFS('Desenvolvimento diário'!$H:$H,'Desenvolvimento diário'!$Q:$Q,$B812,'Desenvolvimento diário'!$P:$P,$F812,'Desenvolvimento diário'!$R:$R,"Não")</f>
        <v>0</v>
      </c>
      <c r="R812" s="4">
        <f t="shared" si="275"/>
        <v>0</v>
      </c>
      <c r="S812" s="4">
        <f t="shared" si="276"/>
        <v>0</v>
      </c>
      <c r="T812" s="12">
        <f t="shared" si="254"/>
        <v>0</v>
      </c>
      <c r="Y812" s="2"/>
      <c r="Z812" s="2"/>
      <c r="AA812" s="2"/>
      <c r="AB812" s="2"/>
      <c r="AC812" s="2"/>
    </row>
    <row r="813" spans="1:29" ht="10.5" hidden="1">
      <c r="A813" s="94">
        <f t="shared" si="277"/>
        <v>24</v>
      </c>
      <c r="B813" s="94" t="str">
        <f>VLOOKUP($A813,Controle!$B$4:$F$68,2,FALSE)</f>
        <v>São Sebastião 0</v>
      </c>
      <c r="C813" s="2" t="str">
        <f>VLOOKUP($A813,Controle!$B$4:$F$68,3,FALSE)</f>
        <v xml:space="preserve">ESTRELA DO NORTE </v>
      </c>
      <c r="D813" s="94" t="str">
        <f>VLOOKUP($A813,Controle!$B$4:$F$68,4,FALSE)</f>
        <v>EDN</v>
      </c>
      <c r="E813" s="94">
        <f>VLOOKUP($A813,Controle!$B$4:$F$68,5,FALSE)</f>
        <v>3</v>
      </c>
      <c r="F813" s="3" t="str">
        <f t="shared" si="278"/>
        <v>Equipamentos Curva A - Outros (Transformadores)</v>
      </c>
      <c r="G813" s="2" t="str">
        <f>VLOOKUP($A813,Controle!$B$4:$G$68,6,FALSE)</f>
        <v>Apolo</v>
      </c>
      <c r="H813" s="6" t="s">
        <v>144</v>
      </c>
      <c r="I813" s="6">
        <v>269053.46999999997</v>
      </c>
      <c r="J813" s="6">
        <v>0</v>
      </c>
      <c r="K813" s="6">
        <v>0</v>
      </c>
      <c r="L813" s="6">
        <v>0</v>
      </c>
      <c r="M813" s="6">
        <v>0</v>
      </c>
      <c r="N813" s="6">
        <v>0</v>
      </c>
      <c r="O813" s="4">
        <f t="shared" si="274"/>
        <v>269053.46999999997</v>
      </c>
      <c r="P813" s="5">
        <f>SUMIFS('Desenvolvimento diário'!$H:$H,'Desenvolvimento diário'!$Q:$Q,$B813,'Desenvolvimento diário'!$P:$P,$F813,'Desenvolvimento diário'!$R:$R,"Sim")</f>
        <v>0</v>
      </c>
      <c r="Q813" s="5">
        <f>SUMIFS('Desenvolvimento diário'!$H:$H,'Desenvolvimento diário'!$Q:$Q,$B813,'Desenvolvimento diário'!$P:$P,$F813,'Desenvolvimento diário'!$R:$R,"Não")</f>
        <v>269053.46999999997</v>
      </c>
      <c r="R813" s="4">
        <f t="shared" si="275"/>
        <v>269053.46999999997</v>
      </c>
      <c r="S813" s="4">
        <f t="shared" si="276"/>
        <v>0</v>
      </c>
      <c r="T813" s="12">
        <f t="shared" si="254"/>
        <v>1</v>
      </c>
      <c r="Y813" s="2"/>
      <c r="Z813" s="2"/>
      <c r="AA813" s="2"/>
      <c r="AB813" s="2"/>
      <c r="AC813" s="2"/>
    </row>
    <row r="814" spans="1:29" ht="10.5" hidden="1">
      <c r="A814" s="94">
        <f t="shared" si="277"/>
        <v>24</v>
      </c>
      <c r="B814" s="94" t="str">
        <f>VLOOKUP($A814,Controle!$B$4:$F$68,2,FALSE)</f>
        <v>São Sebastião 0</v>
      </c>
      <c r="C814" s="2" t="str">
        <f>VLOOKUP($A814,Controle!$B$4:$F$68,3,FALSE)</f>
        <v xml:space="preserve">ESTRELA DO NORTE </v>
      </c>
      <c r="D814" s="94" t="str">
        <f>VLOOKUP($A814,Controle!$B$4:$F$68,4,FALSE)</f>
        <v>EDN</v>
      </c>
      <c r="E814" s="94">
        <f>VLOOKUP($A814,Controle!$B$4:$F$68,5,FALSE)</f>
        <v>3</v>
      </c>
      <c r="F814" s="3" t="str">
        <f t="shared" si="278"/>
        <v>Equipamentos Curva A - Outros (Cabine + Skid)</v>
      </c>
      <c r="G814" s="2" t="str">
        <f>VLOOKUP($A814,Controle!$B$4:$G$68,6,FALSE)</f>
        <v>Apolo</v>
      </c>
      <c r="H814" s="6" t="s">
        <v>196</v>
      </c>
      <c r="I814" s="6">
        <v>633409.85832750681</v>
      </c>
      <c r="J814" s="6">
        <v>6454.39</v>
      </c>
      <c r="K814" s="6">
        <v>0</v>
      </c>
      <c r="L814" s="6">
        <v>0</v>
      </c>
      <c r="M814" s="6">
        <v>0</v>
      </c>
      <c r="N814" s="6">
        <v>0</v>
      </c>
      <c r="O814" s="4">
        <f t="shared" si="274"/>
        <v>639864.24832750682</v>
      </c>
      <c r="P814" s="5">
        <f>SUMIFS('Desenvolvimento diário'!$H:$H,'Desenvolvimento diário'!$Q:$Q,$B814,'Desenvolvimento diário'!$P:$P,$F814,'Desenvolvimento diário'!$R:$R,"Sim")</f>
        <v>0</v>
      </c>
      <c r="Q814" s="5">
        <f>SUMIFS('Desenvolvimento diário'!$H:$H,'Desenvolvimento diário'!$Q:$Q,$B814,'Desenvolvimento diário'!$P:$P,$F814,'Desenvolvimento diário'!$R:$R,"Não")</f>
        <v>639864.24832750682</v>
      </c>
      <c r="R814" s="4">
        <f t="shared" si="275"/>
        <v>639864.24832750682</v>
      </c>
      <c r="S814" s="4">
        <f t="shared" si="276"/>
        <v>0</v>
      </c>
      <c r="T814" s="12">
        <f t="shared" si="254"/>
        <v>1</v>
      </c>
      <c r="Y814" s="2"/>
      <c r="Z814" s="2"/>
      <c r="AA814" s="2"/>
      <c r="AB814" s="2"/>
      <c r="AC814" s="2"/>
    </row>
    <row r="815" spans="1:29" ht="10.5" hidden="1">
      <c r="A815" s="94">
        <f t="shared" si="277"/>
        <v>24</v>
      </c>
      <c r="B815" s="94" t="str">
        <f>VLOOKUP($A815,Controle!$B$4:$F$68,2,FALSE)</f>
        <v>São Sebastião 0</v>
      </c>
      <c r="C815" s="2" t="str">
        <f>VLOOKUP($A815,Controle!$B$4:$F$68,3,FALSE)</f>
        <v xml:space="preserve">ESTRELA DO NORTE </v>
      </c>
      <c r="D815" s="94" t="str">
        <f>VLOOKUP($A815,Controle!$B$4:$F$68,4,FALSE)</f>
        <v>EDN</v>
      </c>
      <c r="E815" s="94">
        <f>VLOOKUP($A815,Controle!$B$4:$F$68,5,FALSE)</f>
        <v>3</v>
      </c>
      <c r="F815" s="3" t="str">
        <f t="shared" si="278"/>
        <v>Equipamentos Curva A - Outros (Cabine + Skid + Transformador)</v>
      </c>
      <c r="G815" s="2" t="str">
        <f>VLOOKUP($A815,Controle!$B$4:$G$68,6,FALSE)</f>
        <v>Apolo</v>
      </c>
      <c r="H815" s="6">
        <v>0</v>
      </c>
      <c r="I815" s="6">
        <v>0</v>
      </c>
      <c r="J815" s="6">
        <v>0</v>
      </c>
      <c r="K815" s="6">
        <v>0</v>
      </c>
      <c r="L815" s="6">
        <v>0</v>
      </c>
      <c r="M815" s="6">
        <v>0</v>
      </c>
      <c r="N815" s="6">
        <v>0</v>
      </c>
      <c r="O815" s="4">
        <f t="shared" si="274"/>
        <v>0</v>
      </c>
      <c r="P815" s="5">
        <f>SUMIFS('Desenvolvimento diário'!$H:$H,'Desenvolvimento diário'!$Q:$Q,$B815,'Desenvolvimento diário'!$P:$P,$F815,'Desenvolvimento diário'!$R:$R,"Sim")</f>
        <v>0</v>
      </c>
      <c r="Q815" s="5">
        <f>SUMIFS('Desenvolvimento diário'!$H:$H,'Desenvolvimento diário'!$Q:$Q,$B815,'Desenvolvimento diário'!$P:$P,$F815,'Desenvolvimento diário'!$R:$R,"Não")</f>
        <v>0</v>
      </c>
      <c r="R815" s="4">
        <f t="shared" si="275"/>
        <v>0</v>
      </c>
      <c r="S815" s="4">
        <f t="shared" si="276"/>
        <v>0</v>
      </c>
      <c r="T815" s="12">
        <f t="shared" si="254"/>
        <v>0</v>
      </c>
      <c r="Y815" s="2"/>
      <c r="Z815" s="2"/>
      <c r="AA815" s="2"/>
      <c r="AB815" s="2"/>
      <c r="AC815" s="2"/>
    </row>
    <row r="816" spans="1:29" ht="10.5" hidden="1">
      <c r="A816" s="94">
        <f t="shared" si="277"/>
        <v>24</v>
      </c>
      <c r="B816" s="94" t="str">
        <f>VLOOKUP($A816,Controle!$B$4:$F$68,2,FALSE)</f>
        <v>São Sebastião 0</v>
      </c>
      <c r="C816" s="2" t="str">
        <f>VLOOKUP($A816,Controle!$B$4:$F$68,3,FALSE)</f>
        <v xml:space="preserve">ESTRELA DO NORTE </v>
      </c>
      <c r="D816" s="94" t="str">
        <f>VLOOKUP($A816,Controle!$B$4:$F$68,4,FALSE)</f>
        <v>EDN</v>
      </c>
      <c r="E816" s="94">
        <f>VLOOKUP($A816,Controle!$B$4:$F$68,5,FALSE)</f>
        <v>3</v>
      </c>
      <c r="F816" s="3" t="str">
        <f t="shared" si="278"/>
        <v>Desenvolvimento de projeto - Projetos - (Eng° Proprietario)</v>
      </c>
      <c r="G816" s="2" t="str">
        <f>VLOOKUP($A816,Controle!$B$4:$G$68,6,FALSE)</f>
        <v>Apolo</v>
      </c>
      <c r="H816" s="6" t="s">
        <v>145</v>
      </c>
      <c r="I816" s="6">
        <v>0</v>
      </c>
      <c r="J816" s="6">
        <v>0</v>
      </c>
      <c r="K816" s="6">
        <v>0</v>
      </c>
      <c r="L816" s="6">
        <v>0</v>
      </c>
      <c r="M816" s="6">
        <v>0</v>
      </c>
      <c r="N816" s="6">
        <v>0</v>
      </c>
      <c r="O816" s="4">
        <f t="shared" si="274"/>
        <v>0</v>
      </c>
      <c r="P816" s="5">
        <f>SUMIFS('Desenvolvimento diário'!$H:$H,'Desenvolvimento diário'!$Q:$Q,$B816,'Desenvolvimento diário'!$P:$P,$F816,'Desenvolvimento diário'!$R:$R,"Sim")</f>
        <v>0</v>
      </c>
      <c r="Q816" s="5">
        <f>SUMIFS('Desenvolvimento diário'!$H:$H,'Desenvolvimento diário'!$Q:$Q,$B816,'Desenvolvimento diário'!$P:$P,$F816,'Desenvolvimento diário'!$R:$R,"Não")</f>
        <v>0</v>
      </c>
      <c r="R816" s="4">
        <f t="shared" si="275"/>
        <v>0</v>
      </c>
      <c r="S816" s="4">
        <f t="shared" si="276"/>
        <v>0</v>
      </c>
      <c r="T816" s="12">
        <f t="shared" si="254"/>
        <v>0</v>
      </c>
      <c r="Y816" s="2"/>
      <c r="Z816" s="2"/>
      <c r="AA816" s="2"/>
      <c r="AB816" s="2"/>
      <c r="AC816" s="2"/>
    </row>
    <row r="817" spans="1:29" ht="10.5" hidden="1">
      <c r="A817" s="94">
        <f t="shared" si="277"/>
        <v>24</v>
      </c>
      <c r="B817" s="94" t="str">
        <f>VLOOKUP($A817,Controle!$B$4:$F$68,2,FALSE)</f>
        <v>São Sebastião 0</v>
      </c>
      <c r="C817" s="2" t="str">
        <f>VLOOKUP($A817,Controle!$B$4:$F$68,3,FALSE)</f>
        <v xml:space="preserve">ESTRELA DO NORTE </v>
      </c>
      <c r="D817" s="94" t="str">
        <f>VLOOKUP($A817,Controle!$B$4:$F$68,4,FALSE)</f>
        <v>EDN</v>
      </c>
      <c r="E817" s="94">
        <f>VLOOKUP($A817,Controle!$B$4:$F$68,5,FALSE)</f>
        <v>3</v>
      </c>
      <c r="F817" s="3" t="str">
        <f t="shared" si="278"/>
        <v>Desenvolvimento de projeto - Projetos - Executivos</v>
      </c>
      <c r="G817" s="2" t="str">
        <f>VLOOKUP($A817,Controle!$B$4:$G$68,6,FALSE)</f>
        <v>Apolo</v>
      </c>
      <c r="H817" s="6" t="s">
        <v>146</v>
      </c>
      <c r="I817" s="6">
        <v>32500</v>
      </c>
      <c r="J817" s="6">
        <v>850</v>
      </c>
      <c r="K817" s="6">
        <v>0</v>
      </c>
      <c r="L817" s="6">
        <v>0</v>
      </c>
      <c r="M817" s="6">
        <v>0</v>
      </c>
      <c r="N817" s="6">
        <v>0</v>
      </c>
      <c r="O817" s="4">
        <f t="shared" si="274"/>
        <v>33350</v>
      </c>
      <c r="P817" s="5">
        <f>SUMIFS('Desenvolvimento diário'!$H:$H,'Desenvolvimento diário'!$Q:$Q,$B817,'Desenvolvimento diário'!$P:$P,$F817,'Desenvolvimento diário'!$R:$R,"Sim")</f>
        <v>0</v>
      </c>
      <c r="Q817" s="5">
        <f>SUMIFS('Desenvolvimento diário'!$H:$H,'Desenvolvimento diário'!$Q:$Q,$B817,'Desenvolvimento diário'!$P:$P,$F817,'Desenvolvimento diário'!$R:$R,"Não")</f>
        <v>33350</v>
      </c>
      <c r="R817" s="4">
        <f t="shared" si="275"/>
        <v>33350</v>
      </c>
      <c r="S817" s="4">
        <f t="shared" si="276"/>
        <v>0</v>
      </c>
      <c r="T817" s="12">
        <f t="shared" si="254"/>
        <v>1</v>
      </c>
      <c r="U817" s="34"/>
      <c r="Y817" s="2"/>
      <c r="Z817" s="2"/>
      <c r="AA817" s="2"/>
      <c r="AB817" s="2"/>
      <c r="AC817" s="2"/>
    </row>
    <row r="818" spans="1:29" ht="10.5" hidden="1">
      <c r="A818" s="94">
        <f t="shared" si="277"/>
        <v>24</v>
      </c>
      <c r="B818" s="94" t="str">
        <f>VLOOKUP($A818,Controle!$B$4:$F$68,2,FALSE)</f>
        <v>São Sebastião 0</v>
      </c>
      <c r="C818" s="2" t="str">
        <f>VLOOKUP($A818,Controle!$B$4:$F$68,3,FALSE)</f>
        <v xml:space="preserve">ESTRELA DO NORTE </v>
      </c>
      <c r="D818" s="94" t="str">
        <f>VLOOKUP($A818,Controle!$B$4:$F$68,4,FALSE)</f>
        <v>EDN</v>
      </c>
      <c r="E818" s="94">
        <f>VLOOKUP($A818,Controle!$B$4:$F$68,5,FALSE)</f>
        <v>3</v>
      </c>
      <c r="F818" s="3" t="str">
        <f t="shared" si="278"/>
        <v>Desenvolvimento de projeto - Projetos Básica</v>
      </c>
      <c r="G818" s="2" t="str">
        <f>VLOOKUP($A818,Controle!$B$4:$G$68,6,FALSE)</f>
        <v>Apolo</v>
      </c>
      <c r="H818" s="6" t="s">
        <v>147</v>
      </c>
      <c r="I818" s="6">
        <f>20000+15000</f>
        <v>35000</v>
      </c>
      <c r="J818" s="6">
        <v>3944.07</v>
      </c>
      <c r="K818" s="6">
        <v>0</v>
      </c>
      <c r="L818" s="6">
        <v>0</v>
      </c>
      <c r="M818" s="6">
        <v>0</v>
      </c>
      <c r="N818" s="6">
        <v>0</v>
      </c>
      <c r="O818" s="4">
        <f t="shared" si="274"/>
        <v>38944.07</v>
      </c>
      <c r="P818" s="5">
        <f>SUMIFS('Desenvolvimento diário'!$H:$H,'Desenvolvimento diário'!$Q:$Q,$B818,'Desenvolvimento diário'!$P:$P,$F818,'Desenvolvimento diário'!$R:$R,"Sim")</f>
        <v>0</v>
      </c>
      <c r="Q818" s="5">
        <f>SUMIFS('Desenvolvimento diário'!$H:$H,'Desenvolvimento diário'!$Q:$Q,$B818,'Desenvolvimento diário'!$P:$P,$F818,'Desenvolvimento diário'!$R:$R,"Não")</f>
        <v>38944.07</v>
      </c>
      <c r="R818" s="4">
        <f t="shared" si="275"/>
        <v>38944.07</v>
      </c>
      <c r="S818" s="4">
        <f t="shared" si="276"/>
        <v>0</v>
      </c>
      <c r="T818" s="12">
        <f t="shared" ref="T818:T885" si="279">IFERROR(R818/O818,0)</f>
        <v>1</v>
      </c>
      <c r="U818" s="34"/>
      <c r="Y818" s="2"/>
      <c r="Z818" s="2"/>
      <c r="AA818" s="2"/>
      <c r="AB818" s="2"/>
      <c r="AC818" s="2"/>
    </row>
    <row r="819" spans="1:29" ht="10.5" hidden="1">
      <c r="A819" s="94">
        <f t="shared" si="277"/>
        <v>24</v>
      </c>
      <c r="B819" s="94" t="str">
        <f>VLOOKUP($A819,Controle!$B$4:$F$68,2,FALSE)</f>
        <v>São Sebastião 0</v>
      </c>
      <c r="C819" s="2" t="str">
        <f>VLOOKUP($A819,Controle!$B$4:$F$68,3,FALSE)</f>
        <v xml:space="preserve">ESTRELA DO NORTE </v>
      </c>
      <c r="D819" s="94" t="str">
        <f>VLOOKUP($A819,Controle!$B$4:$F$68,4,FALSE)</f>
        <v>EDN</v>
      </c>
      <c r="E819" s="94">
        <f>VLOOKUP($A819,Controle!$B$4:$F$68,5,FALSE)</f>
        <v>3</v>
      </c>
      <c r="F819" s="3" t="str">
        <f t="shared" si="278"/>
        <v>Desenvolvimento de projeto - Projetos Detalhada</v>
      </c>
      <c r="G819" s="2" t="str">
        <f>VLOOKUP($A819,Controle!$B$4:$G$68,6,FALSE)</f>
        <v>Apolo</v>
      </c>
      <c r="H819" s="6">
        <v>0</v>
      </c>
      <c r="I819" s="6">
        <v>0</v>
      </c>
      <c r="J819" s="6">
        <v>0</v>
      </c>
      <c r="K819" s="6">
        <v>0</v>
      </c>
      <c r="L819" s="6">
        <v>0</v>
      </c>
      <c r="M819" s="6">
        <v>0</v>
      </c>
      <c r="N819" s="6">
        <v>0</v>
      </c>
      <c r="O819" s="4">
        <f t="shared" si="274"/>
        <v>0</v>
      </c>
      <c r="P819" s="5">
        <f>SUMIFS('Desenvolvimento diário'!$H:$H,'Desenvolvimento diário'!$Q:$Q,$B819,'Desenvolvimento diário'!$P:$P,$F819,'Desenvolvimento diário'!$R:$R,"Sim")</f>
        <v>0</v>
      </c>
      <c r="Q819" s="5">
        <f>SUMIFS('Desenvolvimento diário'!$H:$H,'Desenvolvimento diário'!$Q:$Q,$B819,'Desenvolvimento diário'!$P:$P,$F819,'Desenvolvimento diário'!$R:$R,"Não")</f>
        <v>0</v>
      </c>
      <c r="R819" s="4">
        <f t="shared" si="275"/>
        <v>0</v>
      </c>
      <c r="S819" s="4">
        <f t="shared" si="276"/>
        <v>0</v>
      </c>
      <c r="T819" s="12">
        <f t="shared" si="279"/>
        <v>0</v>
      </c>
      <c r="Y819" s="2"/>
      <c r="Z819" s="2"/>
      <c r="AA819" s="2"/>
      <c r="AB819" s="2"/>
      <c r="AC819" s="2"/>
    </row>
    <row r="820" spans="1:29" ht="10.5" hidden="1">
      <c r="A820" s="94">
        <f t="shared" si="277"/>
        <v>24</v>
      </c>
      <c r="B820" s="94" t="str">
        <f>VLOOKUP($A820,Controle!$B$4:$F$68,2,FALSE)</f>
        <v>São Sebastião 0</v>
      </c>
      <c r="C820" s="2" t="str">
        <f>VLOOKUP($A820,Controle!$B$4:$F$68,3,FALSE)</f>
        <v xml:space="preserve">ESTRELA DO NORTE </v>
      </c>
      <c r="D820" s="94" t="str">
        <f>VLOOKUP($A820,Controle!$B$4:$F$68,4,FALSE)</f>
        <v>EDN</v>
      </c>
      <c r="E820" s="94">
        <f>VLOOKUP($A820,Controle!$B$4:$F$68,5,FALSE)</f>
        <v>3</v>
      </c>
      <c r="F820" s="3" t="str">
        <f t="shared" si="278"/>
        <v>Desenvolvimento de projeto - Ambiental / Outros</v>
      </c>
      <c r="G820" s="2" t="str">
        <f>VLOOKUP($A820,Controle!$B$4:$G$68,6,FALSE)</f>
        <v>Apolo</v>
      </c>
      <c r="H820" s="6" t="s">
        <v>148</v>
      </c>
      <c r="I820" s="6">
        <f>R820</f>
        <v>82968.649999999994</v>
      </c>
      <c r="J820" s="6">
        <v>0</v>
      </c>
      <c r="K820" s="6">
        <v>0</v>
      </c>
      <c r="L820" s="6">
        <v>0</v>
      </c>
      <c r="M820" s="6">
        <v>0</v>
      </c>
      <c r="N820" s="6">
        <v>0</v>
      </c>
      <c r="O820" s="4">
        <f t="shared" si="274"/>
        <v>82968.649999999994</v>
      </c>
      <c r="P820" s="5">
        <f>SUMIFS('Desenvolvimento diário'!$H:$H,'Desenvolvimento diário'!$Q:$Q,$B820,'Desenvolvimento diário'!$P:$P,$F820,'Desenvolvimento diário'!$R:$R,"Sim")</f>
        <v>0</v>
      </c>
      <c r="Q820" s="5">
        <f>SUMIFS('Desenvolvimento diário'!$H:$H,'Desenvolvimento diário'!$Q:$Q,$B820,'Desenvolvimento diário'!$P:$P,$F820,'Desenvolvimento diário'!$R:$R,"Não")</f>
        <v>82968.649999999994</v>
      </c>
      <c r="R820" s="4">
        <f t="shared" si="275"/>
        <v>82968.649999999994</v>
      </c>
      <c r="S820" s="4">
        <f t="shared" si="276"/>
        <v>0</v>
      </c>
      <c r="T820" s="12">
        <f t="shared" si="279"/>
        <v>1</v>
      </c>
      <c r="Y820" s="2"/>
      <c r="Z820" s="2"/>
      <c r="AA820" s="2"/>
      <c r="AB820" s="2"/>
      <c r="AC820" s="2"/>
    </row>
    <row r="821" spans="1:29" hidden="1">
      <c r="A821" s="94">
        <f t="shared" si="277"/>
        <v>24</v>
      </c>
      <c r="B821" s="94" t="str">
        <f>VLOOKUP($A821,Controle!$B$4:$F$68,2,FALSE)</f>
        <v>São Sebastião 0</v>
      </c>
      <c r="C821" s="2" t="str">
        <f>VLOOKUP($A821,Controle!$B$4:$F$68,3,FALSE)</f>
        <v xml:space="preserve">ESTRELA DO NORTE </v>
      </c>
      <c r="D821" s="94" t="str">
        <f>VLOOKUP($A821,Controle!$B$4:$F$68,4,FALSE)</f>
        <v>EDN</v>
      </c>
      <c r="E821" s="94">
        <f>VLOOKUP($A821,Controle!$B$4:$F$68,5,FALSE)</f>
        <v>3</v>
      </c>
      <c r="F821" s="3" t="str">
        <f t="shared" si="278"/>
        <v>Desenvolvimento de projeto - Coordenograma</v>
      </c>
      <c r="G821" s="2" t="str">
        <f>VLOOKUP($A821,Controle!$B$4:$G$68,6,FALSE)</f>
        <v>Apolo</v>
      </c>
      <c r="H821" s="31" t="s">
        <v>149</v>
      </c>
      <c r="I821" s="31">
        <v>18621.7</v>
      </c>
      <c r="J821" s="31">
        <v>0</v>
      </c>
      <c r="K821" s="31">
        <v>0</v>
      </c>
      <c r="L821" s="6">
        <v>0</v>
      </c>
      <c r="M821" s="6">
        <v>0</v>
      </c>
      <c r="N821" s="6">
        <v>0</v>
      </c>
      <c r="O821" s="4">
        <f t="shared" si="274"/>
        <v>18621.7</v>
      </c>
      <c r="P821" s="5">
        <f>SUMIFS('Desenvolvimento diário'!$H:$H,'Desenvolvimento diário'!$Q:$Q,$B821,'Desenvolvimento diário'!$P:$P,$F821,'Desenvolvimento diário'!$R:$R,"Sim")</f>
        <v>0</v>
      </c>
      <c r="Q821" s="5">
        <f>SUMIFS('Desenvolvimento diário'!$H:$H,'Desenvolvimento diário'!$Q:$Q,$B821,'Desenvolvimento diário'!$P:$P,$F821,'Desenvolvimento diário'!$R:$R,"Não")</f>
        <v>18621.699999999997</v>
      </c>
      <c r="R821" s="4">
        <f t="shared" si="275"/>
        <v>18621.699999999997</v>
      </c>
      <c r="S821" s="137">
        <f t="shared" si="276"/>
        <v>0</v>
      </c>
      <c r="T821" s="12">
        <f t="shared" si="279"/>
        <v>0.99999999999999978</v>
      </c>
      <c r="Y821" s="2"/>
      <c r="Z821" s="2"/>
      <c r="AA821" s="2"/>
      <c r="AB821" s="2"/>
      <c r="AC821" s="2"/>
    </row>
    <row r="822" spans="1:29" ht="10.5" hidden="1">
      <c r="A822" s="94">
        <f t="shared" si="277"/>
        <v>24</v>
      </c>
      <c r="B822" s="94" t="str">
        <f>VLOOKUP($A822,Controle!$B$4:$F$68,2,FALSE)</f>
        <v>São Sebastião 0</v>
      </c>
      <c r="C822" s="2" t="str">
        <f>VLOOKUP($A822,Controle!$B$4:$F$68,3,FALSE)</f>
        <v xml:space="preserve">ESTRELA DO NORTE </v>
      </c>
      <c r="D822" s="94" t="str">
        <f>VLOOKUP($A822,Controle!$B$4:$F$68,4,FALSE)</f>
        <v>EDN</v>
      </c>
      <c r="E822" s="94">
        <f>VLOOKUP($A822,Controle!$B$4:$F$68,5,FALSE)</f>
        <v>3</v>
      </c>
      <c r="F822" s="3" t="str">
        <f t="shared" si="278"/>
        <v>Sistemas de Monitoramento - Supervisório</v>
      </c>
      <c r="G822" s="2" t="str">
        <f>VLOOKUP($A822,Controle!$B$4:$G$68,6,FALSE)</f>
        <v>Apolo</v>
      </c>
      <c r="H822" s="6" t="s">
        <v>150</v>
      </c>
      <c r="I822" s="6">
        <f>136155+(0.01)</f>
        <v>136155.01</v>
      </c>
      <c r="J822" s="6"/>
      <c r="K822" s="6">
        <v>0</v>
      </c>
      <c r="L822" s="6">
        <v>0</v>
      </c>
      <c r="M822" s="6">
        <v>0</v>
      </c>
      <c r="N822" s="6">
        <v>0</v>
      </c>
      <c r="O822" s="4">
        <f t="shared" si="274"/>
        <v>136155.01</v>
      </c>
      <c r="P822" s="5">
        <f>SUMIFS('Desenvolvimento diário'!$H:$H,'Desenvolvimento diário'!$Q:$Q,$B822,'Desenvolvimento diário'!$P:$P,$F822,'Desenvolvimento diário'!$R:$R,"Sim")</f>
        <v>0</v>
      </c>
      <c r="Q822" s="5">
        <f>SUMIFS('Desenvolvimento diário'!$H:$H,'Desenvolvimento diário'!$Q:$Q,$B822,'Desenvolvimento diário'!$P:$P,$F822,'Desenvolvimento diário'!$R:$R,"Não")</f>
        <v>136155.01</v>
      </c>
      <c r="R822" s="4">
        <f t="shared" si="275"/>
        <v>136155.01</v>
      </c>
      <c r="S822" s="137">
        <f t="shared" si="276"/>
        <v>0</v>
      </c>
      <c r="T822" s="12">
        <f t="shared" si="279"/>
        <v>1</v>
      </c>
      <c r="Y822" s="2"/>
      <c r="Z822" s="2"/>
      <c r="AA822" s="2"/>
      <c r="AB822" s="2"/>
      <c r="AC822" s="2"/>
    </row>
    <row r="823" spans="1:29" ht="10.5" hidden="1">
      <c r="A823" s="94">
        <f t="shared" si="277"/>
        <v>24</v>
      </c>
      <c r="B823" s="94" t="str">
        <f>VLOOKUP($A823,Controle!$B$4:$F$68,2,FALSE)</f>
        <v>São Sebastião 0</v>
      </c>
      <c r="C823" s="2" t="str">
        <f>VLOOKUP($A823,Controle!$B$4:$F$68,3,FALSE)</f>
        <v xml:space="preserve">ESTRELA DO NORTE </v>
      </c>
      <c r="D823" s="94" t="str">
        <f>VLOOKUP($A823,Controle!$B$4:$F$68,4,FALSE)</f>
        <v>EDN</v>
      </c>
      <c r="E823" s="94">
        <f>VLOOKUP($A823,Controle!$B$4:$F$68,5,FALSE)</f>
        <v>3</v>
      </c>
      <c r="F823" s="3" t="str">
        <f t="shared" si="278"/>
        <v>Sistemas de Monitoramento - Estações Solarimétricas</v>
      </c>
      <c r="G823" s="2" t="str">
        <f>VLOOKUP($A823,Controle!$B$4:$G$68,6,FALSE)</f>
        <v>Apolo</v>
      </c>
      <c r="H823" s="6" t="s">
        <v>151</v>
      </c>
      <c r="I823" s="6">
        <v>48276.516000000003</v>
      </c>
      <c r="J823" s="6">
        <v>0</v>
      </c>
      <c r="K823" s="6">
        <v>0</v>
      </c>
      <c r="L823" s="6">
        <v>0</v>
      </c>
      <c r="M823" s="6">
        <v>0</v>
      </c>
      <c r="N823" s="6">
        <v>0</v>
      </c>
      <c r="O823" s="4">
        <f t="shared" si="274"/>
        <v>48276.516000000003</v>
      </c>
      <c r="P823" s="5">
        <f>SUMIFS('Desenvolvimento diário'!$H:$H,'Desenvolvimento diário'!$Q:$Q,$B823,'Desenvolvimento diário'!$P:$P,$F823,'Desenvolvimento diário'!$R:$R,"Sim")</f>
        <v>0</v>
      </c>
      <c r="Q823" s="5">
        <f>SUMIFS('Desenvolvimento diário'!$H:$H,'Desenvolvimento diário'!$Q:$Q,$B823,'Desenvolvimento diário'!$P:$P,$F823,'Desenvolvimento diário'!$R:$R,"Não")</f>
        <v>48276.516000000003</v>
      </c>
      <c r="R823" s="4">
        <f t="shared" si="275"/>
        <v>48276.516000000003</v>
      </c>
      <c r="S823" s="4">
        <f t="shared" si="276"/>
        <v>0</v>
      </c>
      <c r="T823" s="12">
        <f t="shared" si="279"/>
        <v>1</v>
      </c>
      <c r="Y823" s="2"/>
      <c r="Z823" s="2"/>
      <c r="AA823" s="2"/>
      <c r="AB823" s="2"/>
      <c r="AC823" s="2"/>
    </row>
    <row r="824" spans="1:29" hidden="1">
      <c r="A824" s="94">
        <f t="shared" si="277"/>
        <v>24</v>
      </c>
      <c r="B824" s="94" t="str">
        <f>VLOOKUP($A824,Controle!$B$4:$F$68,2,FALSE)</f>
        <v>São Sebastião 0</v>
      </c>
      <c r="C824" s="2" t="str">
        <f>VLOOKUP($A824,Controle!$B$4:$F$68,3,FALSE)</f>
        <v xml:space="preserve">ESTRELA DO NORTE </v>
      </c>
      <c r="D824" s="94" t="str">
        <f>VLOOKUP($A824,Controle!$B$4:$F$68,4,FALSE)</f>
        <v>EDN</v>
      </c>
      <c r="E824" s="94">
        <f>VLOOKUP($A824,Controle!$B$4:$F$68,5,FALSE)</f>
        <v>3</v>
      </c>
      <c r="F824" s="3" t="str">
        <f t="shared" si="278"/>
        <v>Sistemas de Monitoramento - CFTV</v>
      </c>
      <c r="G824" s="2" t="str">
        <f>VLOOKUP($A824,Controle!$B$4:$G$68,6,FALSE)</f>
        <v>Apolo</v>
      </c>
      <c r="H824" s="31" t="s">
        <v>152</v>
      </c>
      <c r="I824" s="6">
        <v>325807.23</v>
      </c>
      <c r="J824" s="6" t="s">
        <v>193</v>
      </c>
      <c r="K824" s="6">
        <v>0</v>
      </c>
      <c r="L824" s="6">
        <v>0</v>
      </c>
      <c r="M824" s="6">
        <v>0</v>
      </c>
      <c r="N824" s="6">
        <v>0</v>
      </c>
      <c r="O824" s="4">
        <f t="shared" si="274"/>
        <v>325807.23</v>
      </c>
      <c r="P824" s="5">
        <f>SUMIFS('Desenvolvimento diário'!$H:$H,'Desenvolvimento diário'!$Q:$Q,$B824,'Desenvolvimento diário'!$P:$P,$F824,'Desenvolvimento diário'!$R:$R,"Sim")</f>
        <v>0</v>
      </c>
      <c r="Q824" s="5">
        <f>SUMIFS('Desenvolvimento diário'!$H:$H,'Desenvolvimento diário'!$Q:$Q,$B824,'Desenvolvimento diário'!$P:$P,$F824,'Desenvolvimento diário'!$R:$R,"Não")</f>
        <v>325807.23</v>
      </c>
      <c r="R824" s="4">
        <f t="shared" si="275"/>
        <v>325807.23</v>
      </c>
      <c r="S824" s="4">
        <f t="shared" si="276"/>
        <v>0</v>
      </c>
      <c r="T824" s="12">
        <f t="shared" si="279"/>
        <v>1</v>
      </c>
      <c r="Y824" s="2"/>
      <c r="Z824" s="2"/>
      <c r="AA824" s="2"/>
      <c r="AB824" s="2"/>
      <c r="AC824" s="2"/>
    </row>
    <row r="825" spans="1:29" ht="10.5" hidden="1">
      <c r="A825" s="94">
        <f t="shared" si="277"/>
        <v>24</v>
      </c>
      <c r="B825" s="94" t="str">
        <f>VLOOKUP($A825,Controle!$B$4:$F$68,2,FALSE)</f>
        <v>São Sebastião 0</v>
      </c>
      <c r="C825" s="2" t="str">
        <f>VLOOKUP($A825,Controle!$B$4:$F$68,3,FALSE)</f>
        <v xml:space="preserve">ESTRELA DO NORTE </v>
      </c>
      <c r="D825" s="94" t="str">
        <f>VLOOKUP($A825,Controle!$B$4:$F$68,4,FALSE)</f>
        <v>EDN</v>
      </c>
      <c r="E825" s="94">
        <f>VLOOKUP($A825,Controle!$B$4:$F$68,5,FALSE)</f>
        <v>3</v>
      </c>
      <c r="F825" s="3" t="str">
        <f t="shared" si="278"/>
        <v>Serviços Auxiliares - Drenagem</v>
      </c>
      <c r="G825" s="2" t="str">
        <f>VLOOKUP($A825,Controle!$B$4:$G$68,6,FALSE)</f>
        <v>Apolo</v>
      </c>
      <c r="H825" s="31" t="s">
        <v>203</v>
      </c>
      <c r="I825" s="31">
        <v>501424.93</v>
      </c>
      <c r="J825" s="6">
        <v>0</v>
      </c>
      <c r="K825" s="6">
        <v>0</v>
      </c>
      <c r="L825" s="6">
        <v>0</v>
      </c>
      <c r="M825" s="6">
        <v>0</v>
      </c>
      <c r="N825" s="6">
        <v>0</v>
      </c>
      <c r="O825" s="4">
        <f>SUM(I825:N825)+0.01</f>
        <v>501424.94</v>
      </c>
      <c r="P825" s="5">
        <f>SUMIFS('Desenvolvimento diário'!$H:$H,'Desenvolvimento diário'!$Q:$Q,$B825,'Desenvolvimento diário'!$P:$P,$F825,'Desenvolvimento diário'!$R:$R,"Sim")</f>
        <v>0</v>
      </c>
      <c r="Q825" s="5">
        <f>SUMIFS('Desenvolvimento diário'!$H:$H,'Desenvolvimento diário'!$Q:$Q,$B825,'Desenvolvimento diário'!$P:$P,$F825,'Desenvolvimento diário'!$R:$R,"Não")</f>
        <v>501424.94000000006</v>
      </c>
      <c r="R825" s="4">
        <f t="shared" si="275"/>
        <v>501424.94000000006</v>
      </c>
      <c r="S825" s="93">
        <f t="shared" si="276"/>
        <v>0</v>
      </c>
      <c r="T825" s="12">
        <f t="shared" si="279"/>
        <v>1.0000000000000002</v>
      </c>
      <c r="Y825" s="2"/>
      <c r="Z825" s="2"/>
      <c r="AA825" s="2"/>
      <c r="AB825" s="2"/>
      <c r="AC825" s="2"/>
    </row>
    <row r="826" spans="1:29" ht="10.5" hidden="1">
      <c r="A826" s="94">
        <f t="shared" si="277"/>
        <v>24</v>
      </c>
      <c r="B826" s="94" t="str">
        <f>VLOOKUP($A826,Controle!$B$4:$F$68,2,FALSE)</f>
        <v>São Sebastião 0</v>
      </c>
      <c r="C826" s="2" t="str">
        <f>VLOOKUP($A826,Controle!$B$4:$F$68,3,FALSE)</f>
        <v xml:space="preserve">ESTRELA DO NORTE </v>
      </c>
      <c r="D826" s="94" t="str">
        <f>VLOOKUP($A826,Controle!$B$4:$F$68,4,FALSE)</f>
        <v>EDN</v>
      </c>
      <c r="E826" s="94">
        <f>VLOOKUP($A826,Controle!$B$4:$F$68,5,FALSE)</f>
        <v>3</v>
      </c>
      <c r="F826" s="3" t="str">
        <f t="shared" si="278"/>
        <v>Serviços Auxiliares - Terraplanagem</v>
      </c>
      <c r="G826" s="2" t="str">
        <f>VLOOKUP($A826,Controle!$B$4:$G$68,6,FALSE)</f>
        <v>Apolo</v>
      </c>
      <c r="H826" s="6" t="s">
        <v>204</v>
      </c>
      <c r="I826" s="6">
        <v>800529.79</v>
      </c>
      <c r="J826" s="6">
        <v>0</v>
      </c>
      <c r="K826" s="6">
        <v>0</v>
      </c>
      <c r="L826" s="6">
        <v>0</v>
      </c>
      <c r="M826" s="6">
        <v>0</v>
      </c>
      <c r="N826" s="6">
        <v>0</v>
      </c>
      <c r="O826" s="4">
        <f t="shared" si="274"/>
        <v>800529.79</v>
      </c>
      <c r="P826" s="5">
        <f>SUMIFS('Desenvolvimento diário'!$H:$H,'Desenvolvimento diário'!$Q:$Q,$B826,'Desenvolvimento diário'!$P:$P,$F826,'Desenvolvimento diário'!$R:$R,"Sim")</f>
        <v>0</v>
      </c>
      <c r="Q826" s="5">
        <f>SUMIFS('Desenvolvimento diário'!$H:$H,'Desenvolvimento diário'!$Q:$Q,$B826,'Desenvolvimento diário'!$P:$P,$F826,'Desenvolvimento diário'!$R:$R,"Não")</f>
        <v>800529.79</v>
      </c>
      <c r="R826" s="4">
        <f t="shared" si="275"/>
        <v>800529.79</v>
      </c>
      <c r="S826" s="4">
        <f t="shared" si="276"/>
        <v>0</v>
      </c>
      <c r="T826" s="12">
        <f t="shared" si="279"/>
        <v>1</v>
      </c>
      <c r="Y826" s="2"/>
      <c r="Z826" s="2"/>
      <c r="AA826" s="2"/>
      <c r="AB826" s="2"/>
      <c r="AC826" s="2"/>
    </row>
    <row r="827" spans="1:29" ht="10.5" hidden="1">
      <c r="A827" s="94">
        <f t="shared" si="277"/>
        <v>24</v>
      </c>
      <c r="B827" s="94" t="str">
        <f>VLOOKUP($A827,Controle!$B$4:$F$68,2,FALSE)</f>
        <v>São Sebastião 0</v>
      </c>
      <c r="C827" s="2" t="str">
        <f>VLOOKUP($A827,Controle!$B$4:$F$68,3,FALSE)</f>
        <v xml:space="preserve">ESTRELA DO NORTE </v>
      </c>
      <c r="D827" s="94" t="str">
        <f>VLOOKUP($A827,Controle!$B$4:$F$68,4,FALSE)</f>
        <v>EDN</v>
      </c>
      <c r="E827" s="94">
        <f>VLOOKUP($A827,Controle!$B$4:$F$68,5,FALSE)</f>
        <v>3</v>
      </c>
      <c r="F827" s="3" t="str">
        <f t="shared" si="278"/>
        <v>Serviços Auxiliares - Supressão Vegetal</v>
      </c>
      <c r="G827" s="2" t="str">
        <f>VLOOKUP($A827,Controle!$B$4:$G$68,6,FALSE)</f>
        <v>Apolo</v>
      </c>
      <c r="H827" s="6" t="s">
        <v>205</v>
      </c>
      <c r="I827" s="6">
        <v>100000</v>
      </c>
      <c r="J827" s="6">
        <v>0</v>
      </c>
      <c r="K827" s="6">
        <v>0</v>
      </c>
      <c r="L827" s="6">
        <v>0</v>
      </c>
      <c r="M827" s="6">
        <v>0</v>
      </c>
      <c r="N827" s="6">
        <v>0</v>
      </c>
      <c r="O827" s="4">
        <f t="shared" si="274"/>
        <v>100000</v>
      </c>
      <c r="P827" s="5">
        <f>SUMIFS('Desenvolvimento diário'!$H:$H,'Desenvolvimento diário'!$Q:$Q,$B827,'Desenvolvimento diário'!$P:$P,$F827,'Desenvolvimento diário'!$R:$R,"Sim")</f>
        <v>0</v>
      </c>
      <c r="Q827" s="5">
        <f>SUMIFS('Desenvolvimento diário'!$H:$H,'Desenvolvimento diário'!$Q:$Q,$B827,'Desenvolvimento diário'!$P:$P,$F827,'Desenvolvimento diário'!$R:$R,"Não")</f>
        <v>100000</v>
      </c>
      <c r="R827" s="4">
        <f t="shared" si="275"/>
        <v>100000</v>
      </c>
      <c r="S827" s="4">
        <f t="shared" si="276"/>
        <v>0</v>
      </c>
      <c r="T827" s="12">
        <f t="shared" si="279"/>
        <v>1</v>
      </c>
      <c r="Y827" s="2"/>
      <c r="Z827" s="2"/>
      <c r="AA827" s="2"/>
      <c r="AB827" s="2"/>
      <c r="AC827" s="2"/>
    </row>
    <row r="828" spans="1:29" ht="10.5" hidden="1">
      <c r="A828" s="94">
        <f t="shared" si="277"/>
        <v>24</v>
      </c>
      <c r="B828" s="94" t="str">
        <f>VLOOKUP($A828,Controle!$B$4:$F$68,2,FALSE)</f>
        <v>São Sebastião 0</v>
      </c>
      <c r="C828" s="2" t="str">
        <f>VLOOKUP($A828,Controle!$B$4:$F$68,3,FALSE)</f>
        <v xml:space="preserve">ESTRELA DO NORTE </v>
      </c>
      <c r="D828" s="94" t="str">
        <f>VLOOKUP($A828,Controle!$B$4:$F$68,4,FALSE)</f>
        <v>EDN</v>
      </c>
      <c r="E828" s="94">
        <f>VLOOKUP($A828,Controle!$B$4:$F$68,5,FALSE)</f>
        <v>3</v>
      </c>
      <c r="F828" s="3" t="str">
        <f t="shared" si="278"/>
        <v>RDR-Rede de Distribuição Rural</v>
      </c>
      <c r="G828" s="2" t="str">
        <f>VLOOKUP($A828,Controle!$B$4:$G$68,6,FALSE)</f>
        <v>Apolo</v>
      </c>
      <c r="H828" s="6">
        <v>0</v>
      </c>
      <c r="I828" s="6">
        <v>0</v>
      </c>
      <c r="J828" s="6">
        <v>0</v>
      </c>
      <c r="K828" s="6">
        <v>0</v>
      </c>
      <c r="L828" s="6">
        <v>0</v>
      </c>
      <c r="M828" s="6">
        <v>0</v>
      </c>
      <c r="N828" s="6">
        <v>0</v>
      </c>
      <c r="O828" s="4">
        <f t="shared" si="274"/>
        <v>0</v>
      </c>
      <c r="P828" s="5">
        <f>SUMIFS('Desenvolvimento diário'!$H:$H,'Desenvolvimento diário'!$Q:$Q,$B828,'Desenvolvimento diário'!$P:$P,$F828,'Desenvolvimento diário'!$R:$R,"Sim")</f>
        <v>0</v>
      </c>
      <c r="Q828" s="5">
        <f>SUMIFS('Desenvolvimento diário'!$H:$H,'Desenvolvimento diário'!$Q:$Q,$B828,'Desenvolvimento diário'!$P:$P,$F828,'Desenvolvimento diário'!$R:$R,"Não")</f>
        <v>0</v>
      </c>
      <c r="R828" s="4">
        <f t="shared" si="275"/>
        <v>0</v>
      </c>
      <c r="S828" s="4">
        <f t="shared" si="276"/>
        <v>0</v>
      </c>
      <c r="T828" s="12">
        <f t="shared" si="279"/>
        <v>0</v>
      </c>
      <c r="Y828" s="2"/>
      <c r="Z828" s="2"/>
      <c r="AA828" s="2"/>
      <c r="AB828" s="2"/>
      <c r="AC828" s="2"/>
    </row>
    <row r="829" spans="1:29" ht="10.5" hidden="1">
      <c r="A829" s="94">
        <f t="shared" si="277"/>
        <v>24</v>
      </c>
      <c r="B829" s="94" t="str">
        <f>VLOOKUP($A829,Controle!$B$4:$F$68,2,FALSE)</f>
        <v>São Sebastião 0</v>
      </c>
      <c r="C829" s="2" t="str">
        <f>VLOOKUP($A829,Controle!$B$4:$F$68,3,FALSE)</f>
        <v xml:space="preserve">ESTRELA DO NORTE </v>
      </c>
      <c r="D829" s="94" t="str">
        <f>VLOOKUP($A829,Controle!$B$4:$F$68,4,FALSE)</f>
        <v>EDN</v>
      </c>
      <c r="E829" s="94">
        <f>VLOOKUP($A829,Controle!$B$4:$F$68,5,FALSE)</f>
        <v>3</v>
      </c>
      <c r="F829" s="3" t="str">
        <f t="shared" si="278"/>
        <v>Escopo COMERC</v>
      </c>
      <c r="G829" s="2" t="str">
        <f>VLOOKUP($A829,Controle!$B$4:$G$68,6,FALSE)</f>
        <v>Apolo</v>
      </c>
      <c r="H829" s="6">
        <v>0</v>
      </c>
      <c r="I829" s="6">
        <v>100548.82</v>
      </c>
      <c r="J829" s="29">
        <v>26000</v>
      </c>
      <c r="K829" s="29"/>
      <c r="L829" s="6">
        <v>0</v>
      </c>
      <c r="M829" s="6">
        <v>0</v>
      </c>
      <c r="N829" s="6">
        <v>0</v>
      </c>
      <c r="O829" s="4">
        <f t="shared" si="274"/>
        <v>126548.82</v>
      </c>
      <c r="P829" s="5">
        <f>SUMIFS('Desenvolvimento diário'!$H:$H,'Desenvolvimento diário'!$Q:$Q,$B829,'Desenvolvimento diário'!$P:$P,$F829,'Desenvolvimento diário'!$R:$R,"Sim")</f>
        <v>0</v>
      </c>
      <c r="Q829" s="5">
        <f>SUMIFS('Desenvolvimento diário'!$H:$H,'Desenvolvimento diário'!$Q:$Q,$B829,'Desenvolvimento diário'!$P:$P,$F829,'Desenvolvimento diário'!$R:$R,"Não")</f>
        <v>101547.6</v>
      </c>
      <c r="R829" s="4">
        <f t="shared" si="275"/>
        <v>101547.6</v>
      </c>
      <c r="S829" s="1010">
        <f t="shared" si="276"/>
        <v>25001.22</v>
      </c>
      <c r="T829" s="12">
        <f t="shared" si="279"/>
        <v>0.80243814205458419</v>
      </c>
      <c r="U829" s="1011" t="s">
        <v>166</v>
      </c>
      <c r="V829" s="1011" t="s">
        <v>167</v>
      </c>
      <c r="Y829" s="2"/>
      <c r="Z829" s="2"/>
      <c r="AA829" s="2"/>
      <c r="AB829" s="2"/>
      <c r="AC829" s="2"/>
    </row>
    <row r="830" spans="1:29" ht="10.5" hidden="1">
      <c r="A830" s="94">
        <f t="shared" si="277"/>
        <v>24</v>
      </c>
      <c r="B830" s="94" t="str">
        <f>VLOOKUP($A830,Controle!$B$4:$F$68,2,FALSE)</f>
        <v>São Sebastião 0</v>
      </c>
      <c r="C830" s="2" t="str">
        <f>VLOOKUP($A830,Controle!$B$4:$F$68,3,FALSE)</f>
        <v xml:space="preserve">ESTRELA DO NORTE </v>
      </c>
      <c r="D830" s="94" t="str">
        <f>VLOOKUP($A830,Controle!$B$4:$F$68,4,FALSE)</f>
        <v>EDN</v>
      </c>
      <c r="E830" s="94">
        <f>VLOOKUP($A830,Controle!$B$4:$F$68,5,FALSE)</f>
        <v>3</v>
      </c>
      <c r="F830" s="3" t="str">
        <f t="shared" si="278"/>
        <v>Escopo COMERC - Segurança</v>
      </c>
      <c r="G830" s="2" t="str">
        <f>VLOOKUP($A830,Controle!$B$4:$G$68,6,FALSE)</f>
        <v>Apolo</v>
      </c>
      <c r="H830" s="6">
        <v>0</v>
      </c>
      <c r="I830" s="6">
        <f t="shared" ref="I829:I830" si="280">R830</f>
        <v>191755.57000000004</v>
      </c>
      <c r="J830" s="6">
        <v>0</v>
      </c>
      <c r="K830" s="6">
        <v>0</v>
      </c>
      <c r="L830" s="6">
        <v>0</v>
      </c>
      <c r="M830" s="6">
        <v>0</v>
      </c>
      <c r="N830" s="6">
        <v>0</v>
      </c>
      <c r="O830" s="4">
        <f t="shared" si="274"/>
        <v>191755.57000000004</v>
      </c>
      <c r="P830" s="5">
        <f>SUMIFS('Desenvolvimento diário'!$H:$H,'Desenvolvimento diário'!$Q:$Q,$B830,'Desenvolvimento diário'!$P:$P,$F830,'Desenvolvimento diário'!$R:$R,"Sim")</f>
        <v>0</v>
      </c>
      <c r="Q830" s="5">
        <f>SUMIFS('Desenvolvimento diário'!$H:$H,'Desenvolvimento diário'!$Q:$Q,$B830,'Desenvolvimento diário'!$P:$P,$F830,'Desenvolvimento diário'!$R:$R,"Não")</f>
        <v>191755.57000000004</v>
      </c>
      <c r="R830" s="4">
        <f t="shared" si="275"/>
        <v>191755.57000000004</v>
      </c>
      <c r="S830" s="4">
        <f t="shared" si="276"/>
        <v>0</v>
      </c>
      <c r="T830" s="12">
        <f t="shared" si="279"/>
        <v>1</v>
      </c>
      <c r="Y830" s="2"/>
      <c r="Z830" s="2"/>
      <c r="AA830" s="2"/>
      <c r="AB830" s="2"/>
      <c r="AC830" s="2"/>
    </row>
    <row r="831" spans="1:29" ht="10.5" hidden="1">
      <c r="A831" s="94">
        <f t="shared" si="277"/>
        <v>24</v>
      </c>
      <c r="B831" s="94" t="str">
        <f>VLOOKUP($A831,Controle!$B$4:$F$68,2,FALSE)</f>
        <v>São Sebastião 0</v>
      </c>
      <c r="C831" s="2" t="str">
        <f>VLOOKUP($A831,Controle!$B$4:$F$68,3,FALSE)</f>
        <v xml:space="preserve">ESTRELA DO NORTE </v>
      </c>
      <c r="D831" s="94" t="str">
        <f>VLOOKUP($A831,Controle!$B$4:$F$68,4,FALSE)</f>
        <v>EDN</v>
      </c>
      <c r="E831" s="94">
        <f>VLOOKUP($A831,Controle!$B$4:$F$68,5,FALSE)</f>
        <v>3</v>
      </c>
      <c r="F831" s="3" t="str">
        <f t="shared" si="278"/>
        <v>Conexão MT - Obras Transferencia</v>
      </c>
      <c r="G831" s="2" t="str">
        <f>VLOOKUP($A831,Controle!$B$4:$G$68,6,FALSE)</f>
        <v>Apolo</v>
      </c>
      <c r="H831" s="6">
        <v>0</v>
      </c>
      <c r="I831" s="6">
        <v>0</v>
      </c>
      <c r="J831" s="6">
        <v>0</v>
      </c>
      <c r="K831" s="6">
        <v>0</v>
      </c>
      <c r="L831" s="6">
        <v>0</v>
      </c>
      <c r="M831" s="6">
        <v>0</v>
      </c>
      <c r="N831" s="6">
        <v>0</v>
      </c>
      <c r="O831" s="4">
        <f t="shared" si="274"/>
        <v>0</v>
      </c>
      <c r="P831" s="5">
        <f>SUMIFS('Desenvolvimento diário'!$H:$H,'Desenvolvimento diário'!$Q:$Q,$B831,'Desenvolvimento diário'!$P:$P,$F831,'Desenvolvimento diário'!$R:$R,"Sim")</f>
        <v>0</v>
      </c>
      <c r="Q831" s="5">
        <f>SUMIFS('Desenvolvimento diário'!$H:$H,'Desenvolvimento diário'!$Q:$Q,$B831,'Desenvolvimento diário'!$P:$P,$F831,'Desenvolvimento diário'!$R:$R,"Não")</f>
        <v>0</v>
      </c>
      <c r="R831" s="4">
        <f t="shared" si="275"/>
        <v>0</v>
      </c>
      <c r="S831" s="4">
        <f t="shared" si="276"/>
        <v>0</v>
      </c>
      <c r="T831" s="12">
        <f t="shared" si="279"/>
        <v>0</v>
      </c>
      <c r="Y831" s="2"/>
      <c r="Z831" s="2"/>
      <c r="AA831" s="2"/>
      <c r="AB831" s="2"/>
      <c r="AC831" s="2"/>
    </row>
    <row r="832" spans="1:29" ht="10.5" hidden="1">
      <c r="A832" s="2">
        <f t="shared" ref="A832:A840" si="281">A831</f>
        <v>24</v>
      </c>
      <c r="B832" s="2" t="str">
        <f>VLOOKUP($A832,Controle!$B$4:$F$68,2,FALSE)</f>
        <v>São Sebastião 0</v>
      </c>
      <c r="C832" s="2" t="str">
        <f>VLOOKUP($A832,Controle!$B$4:$F$68,3,FALSE)</f>
        <v xml:space="preserve">ESTRELA DO NORTE </v>
      </c>
      <c r="D832" s="2" t="str">
        <f>VLOOKUP($A832,Controle!$B$4:$F$68,4,FALSE)</f>
        <v>EDN</v>
      </c>
      <c r="E832" s="2">
        <f>VLOOKUP($A832,Controle!$B$4:$F$68,5,FALSE)</f>
        <v>3</v>
      </c>
      <c r="F832" s="3" t="str">
        <f t="shared" si="278"/>
        <v>Bases de Contaniers</v>
      </c>
      <c r="G832" s="2" t="str">
        <f>VLOOKUP($A832,Controle!$B$4:$G$68,6,FALSE)</f>
        <v>Apolo</v>
      </c>
      <c r="H832" s="6">
        <v>0</v>
      </c>
      <c r="I832" s="6">
        <v>0</v>
      </c>
      <c r="J832" s="6">
        <v>0</v>
      </c>
      <c r="K832" s="6">
        <v>0</v>
      </c>
      <c r="L832" s="6">
        <v>0</v>
      </c>
      <c r="M832" s="6">
        <v>0</v>
      </c>
      <c r="N832" s="6">
        <v>0</v>
      </c>
      <c r="O832" s="4">
        <f t="shared" si="274"/>
        <v>0</v>
      </c>
      <c r="P832" s="5">
        <f>SUMIFS('Desenvolvimento diário'!$H:$H,'Desenvolvimento diário'!$Q:$Q,$B832,'Desenvolvimento diário'!$P:$P,$F832,'Desenvolvimento diário'!$R:$R,"Sim")</f>
        <v>0</v>
      </c>
      <c r="Q832" s="5">
        <f>SUMIFS('Desenvolvimento diário'!$H:$H,'Desenvolvimento diário'!$Q:$Q,$B832,'Desenvolvimento diário'!$P:$P,$F832,'Desenvolvimento diário'!$R:$R,"Não")</f>
        <v>0</v>
      </c>
      <c r="R832" s="4">
        <f t="shared" si="275"/>
        <v>0</v>
      </c>
      <c r="S832" s="4">
        <f t="shared" si="276"/>
        <v>0</v>
      </c>
      <c r="T832" s="12">
        <f t="shared" si="279"/>
        <v>0</v>
      </c>
      <c r="Y832" s="2"/>
      <c r="Z832" s="2"/>
      <c r="AA832" s="2"/>
      <c r="AB832" s="2"/>
      <c r="AC832" s="2"/>
    </row>
    <row r="833" spans="1:29" ht="10.5" hidden="1">
      <c r="A833" s="2">
        <f t="shared" si="281"/>
        <v>24</v>
      </c>
      <c r="B833" s="2" t="str">
        <f>VLOOKUP($A833,Controle!$B$4:$F$68,2,FALSE)</f>
        <v>São Sebastião 0</v>
      </c>
      <c r="C833" s="2" t="str">
        <f>VLOOKUP($A833,Controle!$B$4:$F$68,3,FALSE)</f>
        <v xml:space="preserve">ESTRELA DO NORTE </v>
      </c>
      <c r="D833" s="2" t="str">
        <f>VLOOKUP($A833,Controle!$B$4:$F$68,4,FALSE)</f>
        <v>EDN</v>
      </c>
      <c r="E833" s="2">
        <f>VLOOKUP($A833,Controle!$B$4:$F$68,5,FALSE)</f>
        <v>3</v>
      </c>
      <c r="F833" s="3" t="str">
        <f t="shared" si="278"/>
        <v>Construção - Serviços de Construção - Ase Engenharia</v>
      </c>
      <c r="G833" s="2" t="str">
        <f>VLOOKUP($A833,Controle!$B$4:$G$68,6,FALSE)</f>
        <v>Apolo</v>
      </c>
      <c r="H833" s="6">
        <v>0</v>
      </c>
      <c r="I833" s="6">
        <v>0</v>
      </c>
      <c r="J833" s="6">
        <v>0</v>
      </c>
      <c r="K833" s="6">
        <v>0</v>
      </c>
      <c r="L833" s="6">
        <v>0</v>
      </c>
      <c r="M833" s="6">
        <v>0</v>
      </c>
      <c r="N833" s="6">
        <v>0</v>
      </c>
      <c r="O833" s="4">
        <f t="shared" si="274"/>
        <v>0</v>
      </c>
      <c r="P833" s="5">
        <f>SUMIFS('Desenvolvimento diário'!$H:$H,'Desenvolvimento diário'!$Q:$Q,$B833,'Desenvolvimento diário'!$P:$P,$F833,'Desenvolvimento diário'!$R:$R,"Sim")</f>
        <v>0</v>
      </c>
      <c r="Q833" s="5">
        <f>SUMIFS('Desenvolvimento diário'!$H:$H,'Desenvolvimento diário'!$Q:$Q,$B833,'Desenvolvimento diário'!$P:$P,$F833,'Desenvolvimento diário'!$R:$R,"Não")</f>
        <v>0</v>
      </c>
      <c r="R833" s="4">
        <f t="shared" si="275"/>
        <v>0</v>
      </c>
      <c r="S833" s="4">
        <f t="shared" si="276"/>
        <v>0</v>
      </c>
      <c r="T833" s="12">
        <f t="shared" si="279"/>
        <v>0</v>
      </c>
      <c r="Y833" s="2"/>
      <c r="Z833" s="2"/>
      <c r="AA833" s="2"/>
      <c r="AB833" s="2"/>
      <c r="AC833" s="2"/>
    </row>
    <row r="834" spans="1:29" ht="10.5" hidden="1">
      <c r="A834" s="2">
        <f t="shared" si="281"/>
        <v>24</v>
      </c>
      <c r="B834" s="2" t="str">
        <f>VLOOKUP($A834,Controle!$B$4:$F$68,2,FALSE)</f>
        <v>São Sebastião 0</v>
      </c>
      <c r="C834" s="2" t="str">
        <f>VLOOKUP($A834,Controle!$B$4:$F$68,3,FALSE)</f>
        <v xml:space="preserve">ESTRELA DO NORTE </v>
      </c>
      <c r="D834" s="2" t="str">
        <f>VLOOKUP($A834,Controle!$B$4:$F$68,4,FALSE)</f>
        <v>EDN</v>
      </c>
      <c r="E834" s="2">
        <f>VLOOKUP($A834,Controle!$B$4:$F$68,5,FALSE)</f>
        <v>3</v>
      </c>
      <c r="F834" s="3" t="str">
        <f t="shared" si="278"/>
        <v>Full EPC - Contrato Sobressalentes</v>
      </c>
      <c r="G834" s="2" t="str">
        <f>VLOOKUP($A834,Controle!$B$4:$G$68,6,FALSE)</f>
        <v>Apolo</v>
      </c>
      <c r="H834" s="6">
        <v>0</v>
      </c>
      <c r="I834" s="6">
        <v>0</v>
      </c>
      <c r="J834" s="6">
        <v>0</v>
      </c>
      <c r="K834" s="6">
        <v>0</v>
      </c>
      <c r="L834" s="6">
        <v>0</v>
      </c>
      <c r="M834" s="6">
        <v>0</v>
      </c>
      <c r="N834" s="6">
        <v>0</v>
      </c>
      <c r="O834" s="4">
        <f t="shared" si="274"/>
        <v>0</v>
      </c>
      <c r="P834" s="5">
        <f>SUMIFS('Desenvolvimento diário'!$H:$H,'Desenvolvimento diário'!$Q:$Q,$B834,'Desenvolvimento diário'!$P:$P,$F834,'Desenvolvimento diário'!$R:$R,"Sim")</f>
        <v>0</v>
      </c>
      <c r="Q834" s="5">
        <f>SUMIFS('Desenvolvimento diário'!$H:$H,'Desenvolvimento diário'!$Q:$Q,$B834,'Desenvolvimento diário'!$P:$P,$F834,'Desenvolvimento diário'!$R:$R,"Não")</f>
        <v>0</v>
      </c>
      <c r="R834" s="4">
        <f t="shared" si="275"/>
        <v>0</v>
      </c>
      <c r="S834" s="4">
        <f t="shared" si="276"/>
        <v>0</v>
      </c>
      <c r="T834" s="12">
        <f t="shared" si="279"/>
        <v>0</v>
      </c>
      <c r="Y834" s="2"/>
      <c r="Z834" s="2"/>
      <c r="AA834" s="2"/>
      <c r="AB834" s="2"/>
      <c r="AC834" s="2"/>
    </row>
    <row r="835" spans="1:29" ht="10.5" hidden="1">
      <c r="A835" s="2">
        <f t="shared" si="281"/>
        <v>24</v>
      </c>
      <c r="B835" s="2" t="str">
        <f>VLOOKUP($A835,Controle!$B$4:$F$68,2,FALSE)</f>
        <v>São Sebastião 0</v>
      </c>
      <c r="C835" s="2" t="str">
        <f>VLOOKUP($A835,Controle!$B$4:$F$68,3,FALSE)</f>
        <v xml:space="preserve">ESTRELA DO NORTE </v>
      </c>
      <c r="D835" s="2" t="str">
        <f>VLOOKUP($A835,Controle!$B$4:$F$68,4,FALSE)</f>
        <v>EDN</v>
      </c>
      <c r="E835" s="2">
        <f>VLOOKUP($A835,Controle!$B$4:$F$68,5,FALSE)</f>
        <v>3</v>
      </c>
      <c r="F835" s="3" t="str">
        <f t="shared" si="278"/>
        <v>Construção - Serviços de Construção - NOVA MORADA</v>
      </c>
      <c r="G835" s="2" t="str">
        <f>VLOOKUP($A835,Controle!$B$4:$G$68,6,FALSE)</f>
        <v>Apolo</v>
      </c>
      <c r="H835" s="6">
        <v>0</v>
      </c>
      <c r="I835" s="6">
        <v>0</v>
      </c>
      <c r="J835" s="6">
        <v>0</v>
      </c>
      <c r="K835" s="6">
        <v>0</v>
      </c>
      <c r="L835" s="6">
        <v>0</v>
      </c>
      <c r="M835" s="6">
        <v>0</v>
      </c>
      <c r="N835" s="6">
        <v>0</v>
      </c>
      <c r="O835" s="4">
        <f t="shared" si="274"/>
        <v>0</v>
      </c>
      <c r="P835" s="5">
        <f>SUMIFS('Desenvolvimento diário'!$H:$H,'Desenvolvimento diário'!$Q:$Q,$B835,'Desenvolvimento diário'!$P:$P,$F835,'Desenvolvimento diário'!$R:$R,"Sim")</f>
        <v>0</v>
      </c>
      <c r="Q835" s="5">
        <f>SUMIFS('Desenvolvimento diário'!$H:$H,'Desenvolvimento diário'!$Q:$Q,$B835,'Desenvolvimento diário'!$P:$P,$F835,'Desenvolvimento diário'!$R:$R,"Não")</f>
        <v>0</v>
      </c>
      <c r="R835" s="4">
        <f t="shared" si="275"/>
        <v>0</v>
      </c>
      <c r="S835" s="4">
        <f t="shared" si="276"/>
        <v>0</v>
      </c>
      <c r="T835" s="12">
        <f t="shared" si="279"/>
        <v>0</v>
      </c>
      <c r="Y835" s="2"/>
      <c r="Z835" s="2"/>
      <c r="AA835" s="2"/>
      <c r="AB835" s="2"/>
      <c r="AC835" s="2"/>
    </row>
    <row r="836" spans="1:29" ht="10.5" hidden="1">
      <c r="A836" s="2">
        <f t="shared" si="281"/>
        <v>24</v>
      </c>
      <c r="B836" s="2" t="str">
        <f>VLOOKUP($A836,Controle!$B$4:$F$68,2,FALSE)</f>
        <v>São Sebastião 0</v>
      </c>
      <c r="C836" s="2" t="str">
        <f>VLOOKUP($A836,Controle!$B$4:$F$68,3,FALSE)</f>
        <v xml:space="preserve">ESTRELA DO NORTE </v>
      </c>
      <c r="D836" s="2" t="str">
        <f>VLOOKUP($A836,Controle!$B$4:$F$68,4,FALSE)</f>
        <v>EDN</v>
      </c>
      <c r="E836" s="2">
        <f>VLOOKUP($A836,Controle!$B$4:$F$68,5,FALSE)</f>
        <v>3</v>
      </c>
      <c r="F836" s="3" t="str">
        <f t="shared" si="278"/>
        <v>Equipamentos Curva A -  Contrato Sobressalentes - SETTA</v>
      </c>
      <c r="G836" s="2" t="str">
        <f>VLOOKUP($A836,Controle!$B$4:$G$68,6,FALSE)</f>
        <v>Apolo</v>
      </c>
      <c r="H836" s="6">
        <v>0</v>
      </c>
      <c r="I836" s="6">
        <v>0</v>
      </c>
      <c r="J836" s="6">
        <v>0</v>
      </c>
      <c r="K836" s="6">
        <v>0</v>
      </c>
      <c r="L836" s="6">
        <v>0</v>
      </c>
      <c r="M836" s="6">
        <v>0</v>
      </c>
      <c r="N836" s="6">
        <v>0</v>
      </c>
      <c r="O836" s="4">
        <f t="shared" si="274"/>
        <v>0</v>
      </c>
      <c r="P836" s="5">
        <f>SUMIFS('Desenvolvimento diário'!$H:$H,'Desenvolvimento diário'!$Q:$Q,$B836,'Desenvolvimento diário'!$P:$P,$F836,'Desenvolvimento diário'!$R:$R,"Sim")</f>
        <v>0</v>
      </c>
      <c r="Q836" s="5">
        <f>SUMIFS('Desenvolvimento diário'!$H:$H,'Desenvolvimento diário'!$Q:$Q,$B836,'Desenvolvimento diário'!$P:$P,$F836,'Desenvolvimento diário'!$R:$R,"Não")</f>
        <v>0</v>
      </c>
      <c r="R836" s="4">
        <f t="shared" si="275"/>
        <v>0</v>
      </c>
      <c r="S836" s="4">
        <f t="shared" si="276"/>
        <v>0</v>
      </c>
      <c r="T836" s="12">
        <f t="shared" si="279"/>
        <v>0</v>
      </c>
      <c r="Y836" s="2"/>
      <c r="Z836" s="2"/>
      <c r="AA836" s="2"/>
      <c r="AB836" s="2"/>
      <c r="AC836" s="2"/>
    </row>
    <row r="837" spans="1:29" ht="10.5" hidden="1">
      <c r="A837" s="2">
        <f t="shared" si="281"/>
        <v>24</v>
      </c>
      <c r="B837" s="2" t="str">
        <f>VLOOKUP($A837,Controle!$B$4:$F$68,2,FALSE)</f>
        <v>São Sebastião 0</v>
      </c>
      <c r="C837" s="2" t="str">
        <f>VLOOKUP($A837,Controle!$B$4:$F$68,3,FALSE)</f>
        <v xml:space="preserve">ESTRELA DO NORTE </v>
      </c>
      <c r="D837" s="2" t="str">
        <f>VLOOKUP($A837,Controle!$B$4:$F$68,4,FALSE)</f>
        <v>EDN</v>
      </c>
      <c r="E837" s="2">
        <f>VLOOKUP($A837,Controle!$B$4:$F$68,5,FALSE)</f>
        <v>3</v>
      </c>
      <c r="F837" s="3" t="str">
        <f t="shared" si="278"/>
        <v>Equipamentos Curva A -  Contrato Sobressalentes - Arctech</v>
      </c>
      <c r="G837" s="2" t="str">
        <f>VLOOKUP($A837,Controle!$B$4:$G$68,6,FALSE)</f>
        <v>Apolo</v>
      </c>
      <c r="H837" s="6">
        <v>0</v>
      </c>
      <c r="I837" s="6">
        <v>0</v>
      </c>
      <c r="J837" s="6">
        <v>0</v>
      </c>
      <c r="K837" s="6">
        <v>0</v>
      </c>
      <c r="L837" s="6">
        <v>0</v>
      </c>
      <c r="M837" s="6">
        <v>0</v>
      </c>
      <c r="N837" s="6">
        <v>0</v>
      </c>
      <c r="O837" s="4">
        <f t="shared" si="274"/>
        <v>0</v>
      </c>
      <c r="P837" s="5">
        <f>SUMIFS('Desenvolvimento diário'!$H:$H,'Desenvolvimento diário'!$Q:$Q,$B837,'Desenvolvimento diário'!$P:$P,$F837,'Desenvolvimento diário'!$R:$R,"Sim")</f>
        <v>0</v>
      </c>
      <c r="Q837" s="5">
        <f>SUMIFS('Desenvolvimento diário'!$H:$H,'Desenvolvimento diário'!$Q:$Q,$B837,'Desenvolvimento diário'!$P:$P,$F837,'Desenvolvimento diário'!$R:$R,"Não")</f>
        <v>0</v>
      </c>
      <c r="R837" s="4">
        <f t="shared" si="275"/>
        <v>0</v>
      </c>
      <c r="S837" s="4">
        <f t="shared" si="276"/>
        <v>0</v>
      </c>
      <c r="T837" s="12">
        <f t="shared" si="279"/>
        <v>0</v>
      </c>
      <c r="Y837" s="2"/>
      <c r="Z837" s="2"/>
      <c r="AA837" s="2"/>
      <c r="AB837" s="2"/>
      <c r="AC837" s="2"/>
    </row>
    <row r="838" spans="1:29" hidden="1">
      <c r="A838" s="2">
        <f t="shared" si="281"/>
        <v>24</v>
      </c>
      <c r="B838" s="2" t="str">
        <f>VLOOKUP($A838,Controle!$B$4:$F$68,2,FALSE)</f>
        <v>São Sebastião 0</v>
      </c>
      <c r="C838" s="2" t="str">
        <f>VLOOKUP($A838,Controle!$B$4:$F$68,3,FALSE)</f>
        <v xml:space="preserve">ESTRELA DO NORTE </v>
      </c>
      <c r="D838" s="2" t="str">
        <f>VLOOKUP($A838,Controle!$B$4:$F$68,4,FALSE)</f>
        <v>EDN</v>
      </c>
      <c r="E838" s="2">
        <f>VLOOKUP($A838,Controle!$B$4:$F$68,5,FALSE)</f>
        <v>3</v>
      </c>
      <c r="F838" s="3" t="str">
        <f t="shared" si="278"/>
        <v>Equipamentos Curva A -  Contrato Sobressalentes - Romagnole</v>
      </c>
      <c r="G838" s="2" t="str">
        <f>VLOOKUP($A838,Controle!$B$4:$G$68,6,FALSE)</f>
        <v>Apolo</v>
      </c>
      <c r="H838" s="7">
        <v>0</v>
      </c>
      <c r="I838" s="7">
        <v>0</v>
      </c>
      <c r="J838" s="7">
        <v>0</v>
      </c>
      <c r="K838" s="7">
        <v>0</v>
      </c>
      <c r="L838" s="7">
        <v>0</v>
      </c>
      <c r="M838" s="7">
        <v>0</v>
      </c>
      <c r="N838" s="7">
        <v>0</v>
      </c>
      <c r="O838" s="4">
        <f t="shared" si="274"/>
        <v>0</v>
      </c>
      <c r="P838" s="17">
        <f>SUMIFS('Desenvolvimento diário'!$H:$H,'Desenvolvimento diário'!$Q:$Q,$B838,'Desenvolvimento diário'!$P:$P,$F838,'Desenvolvimento diário'!$R:$R,"Sim")</f>
        <v>0</v>
      </c>
      <c r="Q838" s="17">
        <f>SUMIFS('Desenvolvimento diário'!$H:$H,'Desenvolvimento diário'!$Q:$Q,$B838,'Desenvolvimento diário'!$P:$P,$F838,'Desenvolvimento diário'!$R:$R,"Não")</f>
        <v>0</v>
      </c>
      <c r="R838" s="4">
        <f t="shared" si="275"/>
        <v>0</v>
      </c>
      <c r="S838" s="4">
        <f t="shared" si="276"/>
        <v>0</v>
      </c>
      <c r="T838" s="12">
        <f t="shared" si="279"/>
        <v>0</v>
      </c>
      <c r="Y838" s="2"/>
      <c r="Z838" s="2"/>
      <c r="AA838" s="2"/>
      <c r="AB838" s="2"/>
      <c r="AC838" s="2"/>
    </row>
    <row r="839" spans="1:29" hidden="1">
      <c r="A839" s="2">
        <f t="shared" si="281"/>
        <v>24</v>
      </c>
      <c r="B839" s="2" t="str">
        <f>VLOOKUP($A839,Controle!$B$4:$F$68,2,FALSE)</f>
        <v>São Sebastião 0</v>
      </c>
      <c r="C839" s="2" t="str">
        <f>VLOOKUP($A839,Controle!$B$4:$F$68,3,FALSE)</f>
        <v xml:space="preserve">ESTRELA DO NORTE </v>
      </c>
      <c r="D839" s="2" t="str">
        <f>VLOOKUP($A839,Controle!$B$4:$F$68,4,FALSE)</f>
        <v>EDN</v>
      </c>
      <c r="E839" s="2">
        <f>VLOOKUP($A839,Controle!$B$4:$F$68,5,FALSE)</f>
        <v>3</v>
      </c>
      <c r="F839" s="3" t="str">
        <f t="shared" si="278"/>
        <v>GOS FLORESTAL - (PRAD - Recuperação Area Ambiental)</v>
      </c>
      <c r="G839" s="2" t="str">
        <f>VLOOKUP($A839,Controle!$B$4:$G$68,6,FALSE)</f>
        <v>Apolo</v>
      </c>
      <c r="H839" s="506" t="s">
        <v>170</v>
      </c>
      <c r="I839" s="6">
        <v>0</v>
      </c>
      <c r="J839" s="506"/>
      <c r="K839" s="506">
        <v>0</v>
      </c>
      <c r="L839" s="506">
        <v>0</v>
      </c>
      <c r="M839" s="506">
        <v>0</v>
      </c>
      <c r="N839" s="506">
        <v>0</v>
      </c>
      <c r="O839" s="39">
        <f t="shared" si="274"/>
        <v>0</v>
      </c>
      <c r="P839" s="17">
        <f>SUMIFS('Desenvolvimento diário'!$H:$H,'Desenvolvimento diário'!$Q:$Q,$B839,'Desenvolvimento diário'!$P:$P,$F839,'Desenvolvimento diário'!$R:$R,"Sim")</f>
        <v>0</v>
      </c>
      <c r="Q839" s="17">
        <f>SUMIFS('Desenvolvimento diário'!$H:$H,'Desenvolvimento diário'!$Q:$Q,$B839,'Desenvolvimento diário'!$P:$P,$F839,'Desenvolvimento diário'!$R:$R,"Não")</f>
        <v>0</v>
      </c>
      <c r="R839" s="4">
        <f t="shared" si="275"/>
        <v>0</v>
      </c>
      <c r="S839" s="4">
        <f t="shared" si="276"/>
        <v>0</v>
      </c>
      <c r="T839" s="12">
        <f t="shared" si="279"/>
        <v>0</v>
      </c>
      <c r="Y839" s="2"/>
      <c r="Z839" s="2"/>
      <c r="AA839" s="2"/>
      <c r="AB839" s="2"/>
      <c r="AC839" s="2"/>
    </row>
    <row r="840" spans="1:29" hidden="1">
      <c r="A840" s="2">
        <f t="shared" si="281"/>
        <v>24</v>
      </c>
      <c r="B840" s="2" t="str">
        <f>VLOOKUP($A840,Controle!$B$4:$F$68,2,FALSE)</f>
        <v>São Sebastião 0</v>
      </c>
      <c r="C840" s="2" t="str">
        <f>VLOOKUP($A840,Controle!$B$4:$F$68,3,FALSE)</f>
        <v xml:space="preserve">ESTRELA DO NORTE </v>
      </c>
      <c r="D840" s="2" t="str">
        <f>VLOOKUP($A840,Controle!$B$4:$F$68,4,FALSE)</f>
        <v>EDN</v>
      </c>
      <c r="E840" s="2">
        <f>VLOOKUP($A840,Controle!$B$4:$F$68,5,FALSE)</f>
        <v>3</v>
      </c>
      <c r="F840" s="3" t="str">
        <f>F805</f>
        <v>Cercamento das bacias de contenção ciclo 2</v>
      </c>
      <c r="G840" s="2" t="str">
        <f>VLOOKUP($A840,Controle!$B$4:$G$68,6,FALSE)</f>
        <v>Apolo</v>
      </c>
      <c r="H840" s="506" t="s">
        <v>172</v>
      </c>
      <c r="I840" s="6"/>
      <c r="J840" s="506"/>
      <c r="K840" s="506">
        <v>0</v>
      </c>
      <c r="L840" s="506">
        <v>0</v>
      </c>
      <c r="M840" s="506">
        <v>0</v>
      </c>
      <c r="N840" s="506">
        <v>0</v>
      </c>
      <c r="O840" s="39">
        <f t="shared" si="274"/>
        <v>0</v>
      </c>
      <c r="P840" s="17">
        <f>SUMIFS('Desenvolvimento diário'!$H:$H,'Desenvolvimento diário'!$Q:$Q,$B840,'Desenvolvimento diário'!$P:$P,$F840,'Desenvolvimento diário'!$R:$R,"Sim")</f>
        <v>0</v>
      </c>
      <c r="Q840" s="17">
        <f>SUMIFS('Desenvolvimento diário'!$H:$H,'Desenvolvimento diário'!$Q:$Q,$B840,'Desenvolvimento diário'!$P:$P,$F840,'Desenvolvimento diário'!$R:$R,"Não")</f>
        <v>0</v>
      </c>
      <c r="R840" s="4">
        <f t="shared" si="275"/>
        <v>0</v>
      </c>
      <c r="S840" s="1030">
        <f t="shared" si="276"/>
        <v>0</v>
      </c>
      <c r="T840" s="12">
        <f t="shared" si="279"/>
        <v>0</v>
      </c>
      <c r="U840" s="1029" t="s">
        <v>166</v>
      </c>
      <c r="V840" s="1029" t="s">
        <v>94</v>
      </c>
      <c r="Y840" s="2"/>
      <c r="Z840" s="2"/>
      <c r="AA840" s="2"/>
      <c r="AB840" s="2"/>
      <c r="AC840" s="2"/>
    </row>
    <row r="841" spans="1:29" hidden="1">
      <c r="A841" s="8">
        <f>A838</f>
        <v>24</v>
      </c>
      <c r="B841" s="9" t="str">
        <f t="shared" ref="B841" si="282">B838</f>
        <v>São Sebastião 0</v>
      </c>
      <c r="C841" s="9" t="str">
        <f t="shared" ref="C841" si="283">C838</f>
        <v xml:space="preserve">ESTRELA DO NORTE </v>
      </c>
      <c r="D841" s="9" t="str">
        <f t="shared" ref="D841" si="284">D838</f>
        <v>EDN</v>
      </c>
      <c r="E841" s="9">
        <f t="shared" ref="E841" si="285">E838</f>
        <v>3</v>
      </c>
      <c r="F841" s="10" t="s">
        <v>158</v>
      </c>
      <c r="G841" s="9" t="str">
        <f>G838</f>
        <v>Apolo</v>
      </c>
      <c r="H841" s="9"/>
      <c r="I841" s="9">
        <f>SUBTOTAL(9,I807:I840)</f>
        <v>0</v>
      </c>
      <c r="J841" s="9">
        <f t="shared" ref="J841:S841" si="286">SUBTOTAL(9,J807:J840)</f>
        <v>0</v>
      </c>
      <c r="K841" s="9">
        <f t="shared" si="286"/>
        <v>0</v>
      </c>
      <c r="L841" s="9">
        <f t="shared" si="286"/>
        <v>0</v>
      </c>
      <c r="M841" s="9">
        <f t="shared" si="286"/>
        <v>0</v>
      </c>
      <c r="N841" s="9">
        <f t="shared" si="286"/>
        <v>0</v>
      </c>
      <c r="O841" s="9">
        <f t="shared" si="286"/>
        <v>0</v>
      </c>
      <c r="P841" s="9">
        <f t="shared" si="286"/>
        <v>0</v>
      </c>
      <c r="Q841" s="9">
        <f t="shared" si="286"/>
        <v>0</v>
      </c>
      <c r="R841" s="9">
        <f t="shared" si="286"/>
        <v>0</v>
      </c>
      <c r="S841" s="9">
        <f t="shared" si="286"/>
        <v>0</v>
      </c>
      <c r="T841" s="13">
        <f t="shared" si="279"/>
        <v>0</v>
      </c>
      <c r="U841" s="11">
        <f>SUBTOTAL(9,U807:U840)</f>
        <v>0</v>
      </c>
      <c r="Y841" s="2"/>
      <c r="Z841" s="2"/>
      <c r="AA841" s="2"/>
      <c r="AB841" s="2"/>
      <c r="AC841" s="2"/>
    </row>
    <row r="842" spans="1:29" ht="10.5" hidden="1">
      <c r="A842" s="2">
        <f>A807+1</f>
        <v>25</v>
      </c>
      <c r="B842" s="2" t="str">
        <f>VLOOKUP($A842,Controle!$B$4:$F$68,2,FALSE)</f>
        <v>Divinópolis 1</v>
      </c>
      <c r="C842" s="2" t="str">
        <f>VLOOKUP($A842,Controle!$B$4:$F$68,3,FALSE)</f>
        <v xml:space="preserve">ESTRELA DO NORTE </v>
      </c>
      <c r="D842" s="2" t="str">
        <f>VLOOKUP($A842,Controle!$B$4:$F$68,4,FALSE)</f>
        <v>EDN</v>
      </c>
      <c r="E842" s="2">
        <f>VLOOKUP($A842,Controle!$B$4:$F$68,5,FALSE)</f>
        <v>2</v>
      </c>
      <c r="F842" s="3" t="str">
        <f>F807</f>
        <v>Conexão AT - Obras</v>
      </c>
      <c r="G842" s="2" t="str">
        <f>VLOOKUP($A842,Controle!$B$4:$G$68,6,FALSE)</f>
        <v>Apolo</v>
      </c>
      <c r="H842" s="6" t="s">
        <v>141</v>
      </c>
      <c r="I842" s="29">
        <v>804000</v>
      </c>
      <c r="J842" s="6">
        <v>0</v>
      </c>
      <c r="K842" s="6">
        <v>0</v>
      </c>
      <c r="L842" s="6">
        <v>0</v>
      </c>
      <c r="M842" s="6">
        <v>0</v>
      </c>
      <c r="N842" s="6">
        <v>0</v>
      </c>
      <c r="O842" s="4">
        <f t="shared" ref="O842:O875" si="287">SUM(I842:N842)</f>
        <v>804000</v>
      </c>
      <c r="P842" s="5">
        <f>SUMIFS('Desenvolvimento diário'!$H:$H,'Desenvolvimento diário'!$Q:$Q,$B842,'Desenvolvimento diário'!$P:$P,$F842,'Desenvolvimento diário'!$R:$R,"Sim")</f>
        <v>102900</v>
      </c>
      <c r="Q842" s="5">
        <f>SUMIFS('Desenvolvimento diário'!$H:$H,'Desenvolvimento diário'!$Q:$Q,$B842,'Desenvolvimento diário'!$P:$P,$F842,'Desenvolvimento diário'!$R:$R,"Não")</f>
        <v>701100</v>
      </c>
      <c r="R842" s="4">
        <f t="shared" ref="R842:R875" si="288">SUM(P842:Q842)</f>
        <v>804000</v>
      </c>
      <c r="S842" s="4">
        <f t="shared" ref="S842:S875" si="289">O842-R842</f>
        <v>0</v>
      </c>
      <c r="T842" s="12">
        <f t="shared" si="279"/>
        <v>1</v>
      </c>
      <c r="Y842" s="2"/>
      <c r="Z842" s="2"/>
      <c r="AA842" s="2"/>
      <c r="AB842" s="2"/>
      <c r="AC842" s="2"/>
    </row>
    <row r="843" spans="1:29" ht="10.5" hidden="1">
      <c r="A843" s="2">
        <f t="shared" ref="A843:A875" si="290">A842</f>
        <v>25</v>
      </c>
      <c r="B843" s="2" t="str">
        <f>VLOOKUP($A843,Controle!$B$4:$F$68,2,FALSE)</f>
        <v>Divinópolis 1</v>
      </c>
      <c r="C843" s="2" t="str">
        <f>VLOOKUP($A843,Controle!$B$4:$F$68,3,FALSE)</f>
        <v xml:space="preserve">ESTRELA DO NORTE </v>
      </c>
      <c r="D843" s="2" t="str">
        <f>VLOOKUP($A843,Controle!$B$4:$F$68,4,FALSE)</f>
        <v>EDN</v>
      </c>
      <c r="E843" s="2">
        <f>VLOOKUP($A843,Controle!$B$4:$F$68,5,FALSE)</f>
        <v>2</v>
      </c>
      <c r="F843" s="3" t="str">
        <f>F808</f>
        <v>Conexão MT - Obras</v>
      </c>
      <c r="G843" s="2" t="str">
        <f>VLOOKUP($A843,Controle!$B$4:$G$68,6,FALSE)</f>
        <v>Apolo</v>
      </c>
      <c r="H843" s="6" t="s">
        <v>168</v>
      </c>
      <c r="I843" s="6">
        <v>770000</v>
      </c>
      <c r="J843" s="6">
        <v>120000</v>
      </c>
      <c r="K843" s="6">
        <v>763800</v>
      </c>
      <c r="L843" s="6">
        <v>30000</v>
      </c>
      <c r="M843" s="6">
        <f>16000-0.06</f>
        <v>15999.94</v>
      </c>
      <c r="N843" s="6">
        <v>0</v>
      </c>
      <c r="O843" s="4">
        <f t="shared" si="287"/>
        <v>1699799.94</v>
      </c>
      <c r="P843" s="5">
        <f>SUMIFS('Desenvolvimento diário'!$H:$H,'Desenvolvimento diário'!$Q:$Q,$B843,'Desenvolvimento diário'!$P:$P,$F843,'Desenvolvimento diário'!$R:$R,"Sim")</f>
        <v>978163.32000000007</v>
      </c>
      <c r="Q843" s="5">
        <f>SUMIFS('Desenvolvimento diário'!$H:$H,'Desenvolvimento diário'!$Q:$Q,$B843,'Desenvolvimento diário'!$P:$P,$F843,'Desenvolvimento diário'!$R:$R,"Não")</f>
        <v>721636.62</v>
      </c>
      <c r="R843" s="4">
        <f t="shared" si="288"/>
        <v>1699799.94</v>
      </c>
      <c r="S843" s="4">
        <f t="shared" si="289"/>
        <v>0</v>
      </c>
      <c r="T843" s="12">
        <f t="shared" si="279"/>
        <v>1</v>
      </c>
      <c r="Y843" s="2"/>
      <c r="Z843" s="2"/>
      <c r="AA843" s="2"/>
      <c r="AB843" s="2"/>
      <c r="AC843" s="2"/>
    </row>
    <row r="844" spans="1:29" hidden="1">
      <c r="A844" s="2">
        <f t="shared" si="290"/>
        <v>25</v>
      </c>
      <c r="B844" s="2" t="str">
        <f>VLOOKUP($A844,Controle!$B$4:$F$68,2,FALSE)</f>
        <v>Divinópolis 1</v>
      </c>
      <c r="C844" s="2" t="str">
        <f>VLOOKUP($A844,Controle!$B$4:$F$68,3,FALSE)</f>
        <v xml:space="preserve">ESTRELA DO NORTE </v>
      </c>
      <c r="D844" s="2" t="str">
        <f>VLOOKUP($A844,Controle!$B$4:$F$68,4,FALSE)</f>
        <v>EDN</v>
      </c>
      <c r="E844" s="2">
        <f>VLOOKUP($A844,Controle!$B$4:$F$68,5,FALSE)</f>
        <v>2</v>
      </c>
      <c r="F844" s="3" t="str">
        <f t="shared" ref="F844:F875" si="291">F809</f>
        <v>Construção - Serviços de Construção</v>
      </c>
      <c r="G844" s="2" t="str">
        <f>VLOOKUP($A844,Controle!$B$4:$G$68,6,FALSE)</f>
        <v>Apolo</v>
      </c>
      <c r="H844" s="6" t="s">
        <v>201</v>
      </c>
      <c r="I844" s="6">
        <v>2743214.895</v>
      </c>
      <c r="J844" s="6">
        <v>610786.42000000004</v>
      </c>
      <c r="K844" s="6">
        <v>259146.86</v>
      </c>
      <c r="L844" s="6">
        <v>0</v>
      </c>
      <c r="M844" s="6">
        <v>0</v>
      </c>
      <c r="N844" s="6">
        <v>0</v>
      </c>
      <c r="O844" s="4">
        <f t="shared" si="287"/>
        <v>3613148.1749999998</v>
      </c>
      <c r="P844" s="5">
        <f>SUMIFS('Desenvolvimento diário'!$H:$H,'Desenvolvimento diário'!$Q:$Q,$B844,'Desenvolvimento diário'!$P:$P,$F844,'Desenvolvimento diário'!$R:$R,"Sim")</f>
        <v>204474.51</v>
      </c>
      <c r="Q844" s="5">
        <f>SUMIFS('Desenvolvimento diário'!$H:$H,'Desenvolvimento diário'!$Q:$Q,$B844,'Desenvolvimento diário'!$P:$P,$F844,'Desenvolvimento diário'!$R:$R,"Não")</f>
        <v>3408673.6649999996</v>
      </c>
      <c r="R844" s="4">
        <f t="shared" si="288"/>
        <v>3613148.1749999998</v>
      </c>
      <c r="S844" s="27">
        <f t="shared" si="289"/>
        <v>0</v>
      </c>
      <c r="T844" s="12">
        <f t="shared" si="279"/>
        <v>1</v>
      </c>
      <c r="U844" s="34"/>
      <c r="Y844" s="2"/>
      <c r="Z844" s="2"/>
      <c r="AA844" s="2"/>
      <c r="AB844" s="2"/>
      <c r="AC844" s="2"/>
    </row>
    <row r="845" spans="1:29" ht="10.5" hidden="1">
      <c r="A845" s="2">
        <f t="shared" si="290"/>
        <v>25</v>
      </c>
      <c r="B845" s="2" t="str">
        <f>VLOOKUP($A845,Controle!$B$4:$F$68,2,FALSE)</f>
        <v>Divinópolis 1</v>
      </c>
      <c r="C845" s="2" t="str">
        <f>VLOOKUP($A845,Controle!$B$4:$F$68,3,FALSE)</f>
        <v xml:space="preserve">ESTRELA DO NORTE </v>
      </c>
      <c r="D845" s="2" t="str">
        <f>VLOOKUP($A845,Controle!$B$4:$F$68,4,FALSE)</f>
        <v>EDN</v>
      </c>
      <c r="E845" s="2">
        <f>VLOOKUP($A845,Controle!$B$4:$F$68,5,FALSE)</f>
        <v>2</v>
      </c>
      <c r="F845" s="3" t="str">
        <f t="shared" si="291"/>
        <v>Construção - Serviços de Construção - Substituição</v>
      </c>
      <c r="G845" s="2" t="str">
        <f>VLOOKUP($A845,Controle!$B$4:$G$68,6,FALSE)</f>
        <v>Apolo</v>
      </c>
      <c r="H845" s="6" t="s">
        <v>202</v>
      </c>
      <c r="I845" s="6">
        <v>2740702.22</v>
      </c>
      <c r="J845" s="6">
        <v>0</v>
      </c>
      <c r="K845" s="6">
        <v>0</v>
      </c>
      <c r="L845" s="6">
        <v>0</v>
      </c>
      <c r="M845" s="6">
        <v>0</v>
      </c>
      <c r="N845" s="6">
        <v>0</v>
      </c>
      <c r="O845" s="4">
        <f t="shared" si="287"/>
        <v>2740702.22</v>
      </c>
      <c r="P845" s="5">
        <f>SUMIFS('Desenvolvimento diário'!$H:$H,'Desenvolvimento diário'!$Q:$Q,$B845,'Desenvolvimento diário'!$P:$P,$F845,'Desenvolvimento diário'!$R:$R,"Sim")</f>
        <v>528505.24</v>
      </c>
      <c r="Q845" s="5">
        <f>SUMIFS('Desenvolvimento diário'!$H:$H,'Desenvolvimento diário'!$Q:$Q,$B845,'Desenvolvimento diário'!$P:$P,$F845,'Desenvolvimento diário'!$R:$R,"Não")</f>
        <v>274070.21999999997</v>
      </c>
      <c r="R845" s="4">
        <f t="shared" si="288"/>
        <v>802575.46</v>
      </c>
      <c r="S845" s="33">
        <f t="shared" si="289"/>
        <v>1938126.7600000002</v>
      </c>
      <c r="T845" s="12">
        <f t="shared" si="279"/>
        <v>0.2928357025229833</v>
      </c>
      <c r="U845" s="510" t="s">
        <v>162</v>
      </c>
      <c r="V845" s="510" t="s">
        <v>163</v>
      </c>
      <c r="Y845" s="2"/>
      <c r="Z845" s="2"/>
      <c r="AA845" s="2"/>
      <c r="AB845" s="2"/>
      <c r="AC845" s="2"/>
    </row>
    <row r="846" spans="1:29" ht="10.5" hidden="1">
      <c r="A846" s="2">
        <f t="shared" si="290"/>
        <v>25</v>
      </c>
      <c r="B846" s="2" t="str">
        <f>VLOOKUP($A846,Controle!$B$4:$F$68,2,FALSE)</f>
        <v>Divinópolis 1</v>
      </c>
      <c r="C846" s="2" t="str">
        <f>VLOOKUP($A846,Controle!$B$4:$F$68,3,FALSE)</f>
        <v xml:space="preserve">ESTRELA DO NORTE </v>
      </c>
      <c r="D846" s="2" t="str">
        <f>VLOOKUP($A846,Controle!$B$4:$F$68,4,FALSE)</f>
        <v>EDN</v>
      </c>
      <c r="E846" s="2">
        <f>VLOOKUP($A846,Controle!$B$4:$F$68,5,FALSE)</f>
        <v>2</v>
      </c>
      <c r="F846" s="3" t="str">
        <f t="shared" si="291"/>
        <v>Construção - RDA Interno</v>
      </c>
      <c r="G846" s="2" t="str">
        <f>VLOOKUP($A846,Controle!$B$4:$G$68,6,FALSE)</f>
        <v>Apolo</v>
      </c>
      <c r="H846" s="6" t="s">
        <v>168</v>
      </c>
      <c r="I846" s="6">
        <v>419678.41</v>
      </c>
      <c r="J846" s="6">
        <v>0</v>
      </c>
      <c r="K846" s="6">
        <v>0</v>
      </c>
      <c r="L846" s="6">
        <v>0</v>
      </c>
      <c r="M846" s="6">
        <v>0</v>
      </c>
      <c r="N846" s="6">
        <v>0</v>
      </c>
      <c r="O846" s="4">
        <f t="shared" si="287"/>
        <v>419678.41</v>
      </c>
      <c r="P846" s="5">
        <f>SUMIFS('Desenvolvimento diário'!$H:$H,'Desenvolvimento diário'!$Q:$Q,$B846,'Desenvolvimento diário'!$P:$P,$F846,'Desenvolvimento diário'!$R:$R,"Sim")</f>
        <v>86868.829999999987</v>
      </c>
      <c r="Q846" s="5">
        <f>SUMIFS('Desenvolvimento diário'!$H:$H,'Desenvolvimento diário'!$Q:$Q,$B846,'Desenvolvimento diário'!$P:$P,$F846,'Desenvolvimento diário'!$R:$R,"Não")</f>
        <v>332809.58</v>
      </c>
      <c r="R846" s="4">
        <f t="shared" si="288"/>
        <v>419678.41000000003</v>
      </c>
      <c r="S846" s="4">
        <f t="shared" si="289"/>
        <v>0</v>
      </c>
      <c r="T846" s="12">
        <f t="shared" si="279"/>
        <v>1.0000000000000002</v>
      </c>
      <c r="Y846" s="2"/>
      <c r="Z846" s="2"/>
      <c r="AA846" s="2"/>
      <c r="AB846" s="2"/>
      <c r="AC846" s="2"/>
    </row>
    <row r="847" spans="1:29" ht="10.5" hidden="1">
      <c r="A847" s="2">
        <f t="shared" si="290"/>
        <v>25</v>
      </c>
      <c r="B847" s="2" t="str">
        <f>VLOOKUP($A847,Controle!$B$4:$F$68,2,FALSE)</f>
        <v>Divinópolis 1</v>
      </c>
      <c r="C847" s="2" t="str">
        <f>VLOOKUP($A847,Controle!$B$4:$F$68,3,FALSE)</f>
        <v xml:space="preserve">ESTRELA DO NORTE </v>
      </c>
      <c r="D847" s="2" t="str">
        <f>VLOOKUP($A847,Controle!$B$4:$F$68,4,FALSE)</f>
        <v>EDN</v>
      </c>
      <c r="E847" s="2">
        <f>VLOOKUP($A847,Controle!$B$4:$F$68,5,FALSE)</f>
        <v>2</v>
      </c>
      <c r="F847" s="3" t="str">
        <f t="shared" si="291"/>
        <v>Full EPC - Contrato</v>
      </c>
      <c r="G847" s="2" t="str">
        <f>VLOOKUP($A847,Controle!$B$4:$G$68,6,FALSE)</f>
        <v>Apolo</v>
      </c>
      <c r="H847" s="6">
        <v>0</v>
      </c>
      <c r="I847" s="6">
        <v>0</v>
      </c>
      <c r="J847" s="6">
        <v>0</v>
      </c>
      <c r="K847" s="6">
        <v>0</v>
      </c>
      <c r="L847" s="6">
        <v>0</v>
      </c>
      <c r="M847" s="6">
        <v>0</v>
      </c>
      <c r="N847" s="6">
        <v>0</v>
      </c>
      <c r="O847" s="4">
        <f t="shared" si="287"/>
        <v>0</v>
      </c>
      <c r="P847" s="5">
        <f>SUMIFS('Desenvolvimento diário'!$H:$H,'Desenvolvimento diário'!$Q:$Q,$B847,'Desenvolvimento diário'!$P:$P,$F847,'Desenvolvimento diário'!$R:$R,"Sim")</f>
        <v>0</v>
      </c>
      <c r="Q847" s="5">
        <f>SUMIFS('Desenvolvimento diário'!$H:$H,'Desenvolvimento diário'!$Q:$Q,$B847,'Desenvolvimento diário'!$P:$P,$F847,'Desenvolvimento diário'!$R:$R,"Não")</f>
        <v>0</v>
      </c>
      <c r="R847" s="4">
        <f t="shared" si="288"/>
        <v>0</v>
      </c>
      <c r="S847" s="4">
        <f t="shared" si="289"/>
        <v>0</v>
      </c>
      <c r="T847" s="12">
        <f t="shared" si="279"/>
        <v>0</v>
      </c>
      <c r="Y847" s="2"/>
      <c r="Z847" s="2"/>
      <c r="AA847" s="2"/>
      <c r="AB847" s="2"/>
      <c r="AC847" s="2"/>
    </row>
    <row r="848" spans="1:29" ht="10.5" hidden="1">
      <c r="A848" s="2">
        <f t="shared" si="290"/>
        <v>25</v>
      </c>
      <c r="B848" s="2" t="str">
        <f>VLOOKUP($A848,Controle!$B$4:$F$68,2,FALSE)</f>
        <v>Divinópolis 1</v>
      </c>
      <c r="C848" s="2" t="str">
        <f>VLOOKUP($A848,Controle!$B$4:$F$68,3,FALSE)</f>
        <v xml:space="preserve">ESTRELA DO NORTE </v>
      </c>
      <c r="D848" s="2" t="str">
        <f>VLOOKUP($A848,Controle!$B$4:$F$68,4,FALSE)</f>
        <v>EDN</v>
      </c>
      <c r="E848" s="2">
        <f>VLOOKUP($A848,Controle!$B$4:$F$68,5,FALSE)</f>
        <v>2</v>
      </c>
      <c r="F848" s="3" t="str">
        <f t="shared" si="291"/>
        <v>Equipamentos Curva A - Outros (Transformadores)</v>
      </c>
      <c r="G848" s="2" t="str">
        <f>VLOOKUP($A848,Controle!$B$4:$G$68,6,FALSE)</f>
        <v>Apolo</v>
      </c>
      <c r="H848" s="6" t="s">
        <v>144</v>
      </c>
      <c r="I848" s="6">
        <v>263103.39</v>
      </c>
      <c r="J848" s="6">
        <v>0</v>
      </c>
      <c r="K848" s="6">
        <v>0</v>
      </c>
      <c r="L848" s="6">
        <v>0</v>
      </c>
      <c r="M848" s="6">
        <v>0</v>
      </c>
      <c r="N848" s="6">
        <v>0</v>
      </c>
      <c r="O848" s="4">
        <f t="shared" si="287"/>
        <v>263103.39</v>
      </c>
      <c r="P848" s="5">
        <f>SUMIFS('Desenvolvimento diário'!$H:$H,'Desenvolvimento diário'!$Q:$Q,$B848,'Desenvolvimento diário'!$P:$P,$F848,'Desenvolvimento diário'!$R:$R,"Sim")</f>
        <v>0</v>
      </c>
      <c r="Q848" s="5">
        <f>SUMIFS('Desenvolvimento diário'!$H:$H,'Desenvolvimento diário'!$Q:$Q,$B848,'Desenvolvimento diário'!$P:$P,$F848,'Desenvolvimento diário'!$R:$R,"Não")</f>
        <v>263103.39</v>
      </c>
      <c r="R848" s="4">
        <f t="shared" si="288"/>
        <v>263103.39</v>
      </c>
      <c r="S848" s="4">
        <f t="shared" si="289"/>
        <v>0</v>
      </c>
      <c r="T848" s="12">
        <f t="shared" si="279"/>
        <v>1</v>
      </c>
      <c r="Y848" s="2"/>
      <c r="Z848" s="2"/>
      <c r="AA848" s="2"/>
      <c r="AB848" s="2"/>
      <c r="AC848" s="2"/>
    </row>
    <row r="849" spans="1:29" ht="10.5" hidden="1">
      <c r="A849" s="2">
        <f t="shared" si="290"/>
        <v>25</v>
      </c>
      <c r="B849" s="2" t="str">
        <f>VLOOKUP($A849,Controle!$B$4:$F$68,2,FALSE)</f>
        <v>Divinópolis 1</v>
      </c>
      <c r="C849" s="2" t="str">
        <f>VLOOKUP($A849,Controle!$B$4:$F$68,3,FALSE)</f>
        <v xml:space="preserve">ESTRELA DO NORTE </v>
      </c>
      <c r="D849" s="2" t="str">
        <f>VLOOKUP($A849,Controle!$B$4:$F$68,4,FALSE)</f>
        <v>EDN</v>
      </c>
      <c r="E849" s="2">
        <f>VLOOKUP($A849,Controle!$B$4:$F$68,5,FALSE)</f>
        <v>2</v>
      </c>
      <c r="F849" s="3" t="str">
        <f t="shared" si="291"/>
        <v>Equipamentos Curva A - Outros (Cabine + Skid)</v>
      </c>
      <c r="G849" s="2" t="str">
        <f>VLOOKUP($A849,Controle!$B$4:$G$68,6,FALSE)</f>
        <v>Apolo</v>
      </c>
      <c r="H849" s="6" t="s">
        <v>196</v>
      </c>
      <c r="I849" s="6">
        <v>646894.37234042562</v>
      </c>
      <c r="J849" s="6">
        <f>16132.32+6454.398-0.000340426</f>
        <v>22586.717659574002</v>
      </c>
      <c r="K849" s="6">
        <v>0</v>
      </c>
      <c r="L849" s="6">
        <v>0</v>
      </c>
      <c r="M849" s="6">
        <v>0</v>
      </c>
      <c r="N849" s="6">
        <v>0</v>
      </c>
      <c r="O849" s="4">
        <f t="shared" si="287"/>
        <v>669481.08999999962</v>
      </c>
      <c r="P849" s="5">
        <f>SUMIFS('Desenvolvimento diário'!$H:$H,'Desenvolvimento diário'!$Q:$Q,$B849,'Desenvolvimento diário'!$P:$P,$F849,'Desenvolvimento diário'!$R:$R,"Sim")</f>
        <v>0</v>
      </c>
      <c r="Q849" s="5">
        <f>SUMIFS('Desenvolvimento diário'!$H:$H,'Desenvolvimento diário'!$Q:$Q,$B849,'Desenvolvimento diário'!$P:$P,$F849,'Desenvolvimento diário'!$R:$R,"Não")</f>
        <v>669481.09</v>
      </c>
      <c r="R849" s="4">
        <f t="shared" si="288"/>
        <v>669481.09</v>
      </c>
      <c r="S849" s="4">
        <f t="shared" si="289"/>
        <v>0</v>
      </c>
      <c r="T849" s="12">
        <f t="shared" si="279"/>
        <v>1.0000000000000004</v>
      </c>
      <c r="Y849" s="2"/>
      <c r="Z849" s="2"/>
      <c r="AA849" s="2"/>
      <c r="AB849" s="2"/>
      <c r="AC849" s="2"/>
    </row>
    <row r="850" spans="1:29" ht="10.5" hidden="1">
      <c r="A850" s="2">
        <f t="shared" si="290"/>
        <v>25</v>
      </c>
      <c r="B850" s="2" t="str">
        <f>VLOOKUP($A850,Controle!$B$4:$F$68,2,FALSE)</f>
        <v>Divinópolis 1</v>
      </c>
      <c r="C850" s="2" t="str">
        <f>VLOOKUP($A850,Controle!$B$4:$F$68,3,FALSE)</f>
        <v xml:space="preserve">ESTRELA DO NORTE </v>
      </c>
      <c r="D850" s="2" t="str">
        <f>VLOOKUP($A850,Controle!$B$4:$F$68,4,FALSE)</f>
        <v>EDN</v>
      </c>
      <c r="E850" s="2">
        <f>VLOOKUP($A850,Controle!$B$4:$F$68,5,FALSE)</f>
        <v>2</v>
      </c>
      <c r="F850" s="3" t="str">
        <f t="shared" si="291"/>
        <v>Equipamentos Curva A - Outros (Cabine + Skid + Transformador)</v>
      </c>
      <c r="G850" s="2" t="str">
        <f>VLOOKUP($A850,Controle!$B$4:$G$68,6,FALSE)</f>
        <v>Apolo</v>
      </c>
      <c r="H850" s="6">
        <v>0</v>
      </c>
      <c r="I850" s="6">
        <v>0</v>
      </c>
      <c r="J850" s="6">
        <v>0</v>
      </c>
      <c r="K850" s="6">
        <v>0</v>
      </c>
      <c r="L850" s="6">
        <v>0</v>
      </c>
      <c r="M850" s="6">
        <v>0</v>
      </c>
      <c r="N850" s="6">
        <v>0</v>
      </c>
      <c r="O850" s="4">
        <f t="shared" si="287"/>
        <v>0</v>
      </c>
      <c r="P850" s="5">
        <f>SUMIFS('Desenvolvimento diário'!$H:$H,'Desenvolvimento diário'!$Q:$Q,$B850,'Desenvolvimento diário'!$P:$P,$F850,'Desenvolvimento diário'!$R:$R,"Sim")</f>
        <v>0</v>
      </c>
      <c r="Q850" s="5">
        <f>SUMIFS('Desenvolvimento diário'!$H:$H,'Desenvolvimento diário'!$Q:$Q,$B850,'Desenvolvimento diário'!$P:$P,$F850,'Desenvolvimento diário'!$R:$R,"Não")</f>
        <v>0</v>
      </c>
      <c r="R850" s="4">
        <f t="shared" si="288"/>
        <v>0</v>
      </c>
      <c r="S850" s="4">
        <f t="shared" si="289"/>
        <v>0</v>
      </c>
      <c r="T850" s="12">
        <f t="shared" si="279"/>
        <v>0</v>
      </c>
      <c r="Y850" s="2"/>
      <c r="Z850" s="2"/>
      <c r="AA850" s="2"/>
      <c r="AB850" s="2"/>
      <c r="AC850" s="2"/>
    </row>
    <row r="851" spans="1:29" ht="10.5" hidden="1">
      <c r="A851" s="2">
        <f t="shared" si="290"/>
        <v>25</v>
      </c>
      <c r="B851" s="2" t="str">
        <f>VLOOKUP($A851,Controle!$B$4:$F$68,2,FALSE)</f>
        <v>Divinópolis 1</v>
      </c>
      <c r="C851" s="2" t="str">
        <f>VLOOKUP($A851,Controle!$B$4:$F$68,3,FALSE)</f>
        <v xml:space="preserve">ESTRELA DO NORTE </v>
      </c>
      <c r="D851" s="2" t="str">
        <f>VLOOKUP($A851,Controle!$B$4:$F$68,4,FALSE)</f>
        <v>EDN</v>
      </c>
      <c r="E851" s="2">
        <f>VLOOKUP($A851,Controle!$B$4:$F$68,5,FALSE)</f>
        <v>2</v>
      </c>
      <c r="F851" s="3" t="str">
        <f t="shared" si="291"/>
        <v>Desenvolvimento de projeto - Projetos - (Eng° Proprietario)</v>
      </c>
      <c r="G851" s="2" t="str">
        <f>VLOOKUP($A851,Controle!$B$4:$G$68,6,FALSE)</f>
        <v>Apolo</v>
      </c>
      <c r="H851" s="6" t="s">
        <v>145</v>
      </c>
      <c r="I851" s="6">
        <v>0</v>
      </c>
      <c r="J851" s="6">
        <v>0</v>
      </c>
      <c r="K851" s="6">
        <v>0</v>
      </c>
      <c r="L851" s="6">
        <v>0</v>
      </c>
      <c r="M851" s="6">
        <v>0</v>
      </c>
      <c r="N851" s="6">
        <v>0</v>
      </c>
      <c r="O851" s="4">
        <f t="shared" si="287"/>
        <v>0</v>
      </c>
      <c r="P851" s="5">
        <f>SUMIFS('Desenvolvimento diário'!$H:$H,'Desenvolvimento diário'!$Q:$Q,$B851,'Desenvolvimento diário'!$P:$P,$F851,'Desenvolvimento diário'!$R:$R,"Sim")</f>
        <v>0</v>
      </c>
      <c r="Q851" s="5">
        <f>SUMIFS('Desenvolvimento diário'!$H:$H,'Desenvolvimento diário'!$Q:$Q,$B851,'Desenvolvimento diário'!$P:$P,$F851,'Desenvolvimento diário'!$R:$R,"Não")</f>
        <v>0</v>
      </c>
      <c r="R851" s="4">
        <f t="shared" si="288"/>
        <v>0</v>
      </c>
      <c r="S851" s="4">
        <f t="shared" si="289"/>
        <v>0</v>
      </c>
      <c r="T851" s="12">
        <f t="shared" si="279"/>
        <v>0</v>
      </c>
      <c r="Y851" s="2"/>
      <c r="Z851" s="2"/>
      <c r="AA851" s="2"/>
      <c r="AB851" s="2"/>
      <c r="AC851" s="2"/>
    </row>
    <row r="852" spans="1:29" ht="10.5" hidden="1">
      <c r="A852" s="2">
        <f t="shared" si="290"/>
        <v>25</v>
      </c>
      <c r="B852" s="2" t="str">
        <f>VLOOKUP($A852,Controle!$B$4:$F$68,2,FALSE)</f>
        <v>Divinópolis 1</v>
      </c>
      <c r="C852" s="2" t="str">
        <f>VLOOKUP($A852,Controle!$B$4:$F$68,3,FALSE)</f>
        <v xml:space="preserve">ESTRELA DO NORTE </v>
      </c>
      <c r="D852" s="2" t="str">
        <f>VLOOKUP($A852,Controle!$B$4:$F$68,4,FALSE)</f>
        <v>EDN</v>
      </c>
      <c r="E852" s="2">
        <f>VLOOKUP($A852,Controle!$B$4:$F$68,5,FALSE)</f>
        <v>2</v>
      </c>
      <c r="F852" s="3" t="str">
        <f t="shared" si="291"/>
        <v>Desenvolvimento de projeto - Projetos - Executivos</v>
      </c>
      <c r="G852" s="2" t="str">
        <f>VLOOKUP($A852,Controle!$B$4:$G$68,6,FALSE)</f>
        <v>Apolo</v>
      </c>
      <c r="H852" s="6" t="s">
        <v>146</v>
      </c>
      <c r="I852" s="6">
        <v>32500</v>
      </c>
      <c r="J852" s="6">
        <v>0</v>
      </c>
      <c r="K852" s="6">
        <v>0</v>
      </c>
      <c r="L852" s="6">
        <v>0</v>
      </c>
      <c r="M852" s="6">
        <v>0</v>
      </c>
      <c r="N852" s="6">
        <v>0</v>
      </c>
      <c r="O852" s="4">
        <f t="shared" si="287"/>
        <v>32500</v>
      </c>
      <c r="P852" s="5">
        <f>SUMIFS('Desenvolvimento diário'!$H:$H,'Desenvolvimento diário'!$Q:$Q,$B852,'Desenvolvimento diário'!$P:$P,$F852,'Desenvolvimento diário'!$R:$R,"Sim")</f>
        <v>0</v>
      </c>
      <c r="Q852" s="5">
        <f>SUMIFS('Desenvolvimento diário'!$H:$H,'Desenvolvimento diário'!$Q:$Q,$B852,'Desenvolvimento diário'!$P:$P,$F852,'Desenvolvimento diário'!$R:$R,"Não")</f>
        <v>32500</v>
      </c>
      <c r="R852" s="4">
        <f t="shared" si="288"/>
        <v>32500</v>
      </c>
      <c r="S852" s="4">
        <f t="shared" si="289"/>
        <v>0</v>
      </c>
      <c r="T852" s="12">
        <f t="shared" si="279"/>
        <v>1</v>
      </c>
      <c r="U852" s="34"/>
      <c r="Y852" s="2"/>
      <c r="Z852" s="2"/>
      <c r="AA852" s="2"/>
      <c r="AB852" s="2"/>
      <c r="AC852" s="2"/>
    </row>
    <row r="853" spans="1:29" ht="10.5" hidden="1">
      <c r="A853" s="2">
        <f t="shared" si="290"/>
        <v>25</v>
      </c>
      <c r="B853" s="2" t="str">
        <f>VLOOKUP($A853,Controle!$B$4:$F$68,2,FALSE)</f>
        <v>Divinópolis 1</v>
      </c>
      <c r="C853" s="2" t="str">
        <f>VLOOKUP($A853,Controle!$B$4:$F$68,3,FALSE)</f>
        <v xml:space="preserve">ESTRELA DO NORTE </v>
      </c>
      <c r="D853" s="2" t="str">
        <f>VLOOKUP($A853,Controle!$B$4:$F$68,4,FALSE)</f>
        <v>EDN</v>
      </c>
      <c r="E853" s="2">
        <f>VLOOKUP($A853,Controle!$B$4:$F$68,5,FALSE)</f>
        <v>2</v>
      </c>
      <c r="F853" s="3" t="str">
        <f t="shared" si="291"/>
        <v>Desenvolvimento de projeto - Projetos Básica</v>
      </c>
      <c r="G853" s="2" t="str">
        <f>VLOOKUP($A853,Controle!$B$4:$G$68,6,FALSE)</f>
        <v>Apolo</v>
      </c>
      <c r="H853" s="6" t="s">
        <v>147</v>
      </c>
      <c r="I853" s="6">
        <f>20000+15000</f>
        <v>35000</v>
      </c>
      <c r="J853" s="6">
        <v>11115.1</v>
      </c>
      <c r="K853" s="6">
        <v>0</v>
      </c>
      <c r="L853" s="6">
        <v>0</v>
      </c>
      <c r="M853" s="6">
        <v>0</v>
      </c>
      <c r="N853" s="6">
        <v>0</v>
      </c>
      <c r="O853" s="4">
        <f t="shared" si="287"/>
        <v>46115.1</v>
      </c>
      <c r="P853" s="5">
        <f>SUMIFS('Desenvolvimento diário'!$H:$H,'Desenvolvimento diário'!$Q:$Q,$B853,'Desenvolvimento diário'!$P:$P,$F853,'Desenvolvimento diário'!$R:$R,"Sim")</f>
        <v>0</v>
      </c>
      <c r="Q853" s="5">
        <f>SUMIFS('Desenvolvimento diário'!$H:$H,'Desenvolvimento diário'!$Q:$Q,$B853,'Desenvolvimento diário'!$P:$P,$F853,'Desenvolvimento diário'!$R:$R,"Não")</f>
        <v>46115.1</v>
      </c>
      <c r="R853" s="4">
        <f t="shared" si="288"/>
        <v>46115.1</v>
      </c>
      <c r="S853" s="4">
        <f t="shared" si="289"/>
        <v>0</v>
      </c>
      <c r="T853" s="12">
        <f t="shared" si="279"/>
        <v>1</v>
      </c>
      <c r="U853" s="34"/>
      <c r="Y853" s="2"/>
      <c r="Z853" s="2"/>
      <c r="AA853" s="2"/>
      <c r="AB853" s="2"/>
      <c r="AC853" s="2"/>
    </row>
    <row r="854" spans="1:29" ht="10.5" hidden="1">
      <c r="A854" s="2">
        <f t="shared" si="290"/>
        <v>25</v>
      </c>
      <c r="B854" s="2" t="str">
        <f>VLOOKUP($A854,Controle!$B$4:$F$68,2,FALSE)</f>
        <v>Divinópolis 1</v>
      </c>
      <c r="C854" s="2" t="str">
        <f>VLOOKUP($A854,Controle!$B$4:$F$68,3,FALSE)</f>
        <v xml:space="preserve">ESTRELA DO NORTE </v>
      </c>
      <c r="D854" s="2" t="str">
        <f>VLOOKUP($A854,Controle!$B$4:$F$68,4,FALSE)</f>
        <v>EDN</v>
      </c>
      <c r="E854" s="2">
        <f>VLOOKUP($A854,Controle!$B$4:$F$68,5,FALSE)</f>
        <v>2</v>
      </c>
      <c r="F854" s="3" t="str">
        <f t="shared" si="291"/>
        <v>Desenvolvimento de projeto - Projetos Detalhada</v>
      </c>
      <c r="G854" s="2" t="str">
        <f>VLOOKUP($A854,Controle!$B$4:$G$68,6,FALSE)</f>
        <v>Apolo</v>
      </c>
      <c r="H854" s="6">
        <v>0</v>
      </c>
      <c r="I854" s="6">
        <v>0</v>
      </c>
      <c r="J854" s="6">
        <v>0</v>
      </c>
      <c r="K854" s="6">
        <v>0</v>
      </c>
      <c r="L854" s="6">
        <v>0</v>
      </c>
      <c r="M854" s="6">
        <v>0</v>
      </c>
      <c r="N854" s="6">
        <v>0</v>
      </c>
      <c r="O854" s="4">
        <f t="shared" si="287"/>
        <v>0</v>
      </c>
      <c r="P854" s="5">
        <f>SUMIFS('Desenvolvimento diário'!$H:$H,'Desenvolvimento diário'!$Q:$Q,$B854,'Desenvolvimento diário'!$P:$P,$F854,'Desenvolvimento diário'!$R:$R,"Sim")</f>
        <v>0</v>
      </c>
      <c r="Q854" s="5">
        <f>SUMIFS('Desenvolvimento diário'!$H:$H,'Desenvolvimento diário'!$Q:$Q,$B854,'Desenvolvimento diário'!$P:$P,$F854,'Desenvolvimento diário'!$R:$R,"Não")</f>
        <v>0</v>
      </c>
      <c r="R854" s="4">
        <f t="shared" si="288"/>
        <v>0</v>
      </c>
      <c r="S854" s="27">
        <f t="shared" si="289"/>
        <v>0</v>
      </c>
      <c r="T854" s="12">
        <f t="shared" si="279"/>
        <v>0</v>
      </c>
      <c r="Y854" s="2"/>
      <c r="Z854" s="2"/>
      <c r="AA854" s="2"/>
      <c r="AB854" s="2"/>
      <c r="AC854" s="2"/>
    </row>
    <row r="855" spans="1:29" ht="10.5" hidden="1">
      <c r="A855" s="2">
        <f t="shared" si="290"/>
        <v>25</v>
      </c>
      <c r="B855" s="2" t="str">
        <f>VLOOKUP($A855,Controle!$B$4:$F$68,2,FALSE)</f>
        <v>Divinópolis 1</v>
      </c>
      <c r="C855" s="2" t="str">
        <f>VLOOKUP($A855,Controle!$B$4:$F$68,3,FALSE)</f>
        <v xml:space="preserve">ESTRELA DO NORTE </v>
      </c>
      <c r="D855" s="2" t="str">
        <f>VLOOKUP($A855,Controle!$B$4:$F$68,4,FALSE)</f>
        <v>EDN</v>
      </c>
      <c r="E855" s="2">
        <f>VLOOKUP($A855,Controle!$B$4:$F$68,5,FALSE)</f>
        <v>2</v>
      </c>
      <c r="F855" s="3" t="str">
        <f t="shared" si="291"/>
        <v>Desenvolvimento de projeto - Ambiental / Outros</v>
      </c>
      <c r="G855" s="2" t="str">
        <f>VLOOKUP($A855,Controle!$B$4:$G$68,6,FALSE)</f>
        <v>Apolo</v>
      </c>
      <c r="H855" s="6" t="s">
        <v>148</v>
      </c>
      <c r="I855" s="6">
        <f>R855</f>
        <v>107731.21</v>
      </c>
      <c r="J855" s="6">
        <v>0</v>
      </c>
      <c r="K855" s="6">
        <v>0</v>
      </c>
      <c r="L855" s="6">
        <v>0</v>
      </c>
      <c r="M855" s="6">
        <v>0</v>
      </c>
      <c r="N855" s="6">
        <v>0</v>
      </c>
      <c r="O855" s="4">
        <f t="shared" si="287"/>
        <v>107731.21</v>
      </c>
      <c r="P855" s="5">
        <f>SUMIFS('Desenvolvimento diário'!$H:$H,'Desenvolvimento diário'!$Q:$Q,$B855,'Desenvolvimento diário'!$P:$P,$F855,'Desenvolvimento diário'!$R:$R,"Sim")</f>
        <v>0</v>
      </c>
      <c r="Q855" s="5">
        <f>SUMIFS('Desenvolvimento diário'!$H:$H,'Desenvolvimento diário'!$Q:$Q,$B855,'Desenvolvimento diário'!$P:$P,$F855,'Desenvolvimento diário'!$R:$R,"Não")</f>
        <v>107731.21</v>
      </c>
      <c r="R855" s="4">
        <f t="shared" si="288"/>
        <v>107731.21</v>
      </c>
      <c r="S855" s="4">
        <f t="shared" si="289"/>
        <v>0</v>
      </c>
      <c r="T855" s="12">
        <f t="shared" si="279"/>
        <v>1</v>
      </c>
      <c r="Y855" s="2"/>
      <c r="Z855" s="2"/>
      <c r="AA855" s="2"/>
      <c r="AB855" s="2"/>
      <c r="AC855" s="2"/>
    </row>
    <row r="856" spans="1:29" hidden="1">
      <c r="A856" s="2">
        <f t="shared" si="290"/>
        <v>25</v>
      </c>
      <c r="B856" s="2" t="str">
        <f>VLOOKUP($A856,Controle!$B$4:$F$68,2,FALSE)</f>
        <v>Divinópolis 1</v>
      </c>
      <c r="C856" s="2" t="str">
        <f>VLOOKUP($A856,Controle!$B$4:$F$68,3,FALSE)</f>
        <v xml:space="preserve">ESTRELA DO NORTE </v>
      </c>
      <c r="D856" s="2" t="str">
        <f>VLOOKUP($A856,Controle!$B$4:$F$68,4,FALSE)</f>
        <v>EDN</v>
      </c>
      <c r="E856" s="2">
        <f>VLOOKUP($A856,Controle!$B$4:$F$68,5,FALSE)</f>
        <v>2</v>
      </c>
      <c r="F856" s="3" t="str">
        <f t="shared" si="291"/>
        <v>Desenvolvimento de projeto - Coordenograma</v>
      </c>
      <c r="G856" s="2" t="str">
        <f>VLOOKUP($A856,Controle!$B$4:$G$68,6,FALSE)</f>
        <v>Apolo</v>
      </c>
      <c r="H856" s="31" t="s">
        <v>149</v>
      </c>
      <c r="I856" s="31">
        <v>6206.9</v>
      </c>
      <c r="J856" s="31">
        <v>0</v>
      </c>
      <c r="K856" s="31">
        <v>0</v>
      </c>
      <c r="L856" s="6">
        <v>0</v>
      </c>
      <c r="M856" s="6">
        <v>0</v>
      </c>
      <c r="N856" s="6">
        <v>0</v>
      </c>
      <c r="O856" s="4">
        <f t="shared" si="287"/>
        <v>6206.9</v>
      </c>
      <c r="P856" s="5">
        <f>SUMIFS('Desenvolvimento diário'!$H:$H,'Desenvolvimento diário'!$Q:$Q,$B856,'Desenvolvimento diário'!$P:$P,$F856,'Desenvolvimento diário'!$R:$R,"Sim")</f>
        <v>0</v>
      </c>
      <c r="Q856" s="5">
        <f>SUMIFS('Desenvolvimento diário'!$H:$H,'Desenvolvimento diário'!$Q:$Q,$B856,'Desenvolvimento diário'!$P:$P,$F856,'Desenvolvimento diário'!$R:$R,"Não")</f>
        <v>6206.9</v>
      </c>
      <c r="R856" s="4">
        <f t="shared" si="288"/>
        <v>6206.9</v>
      </c>
      <c r="S856" s="4">
        <f t="shared" si="289"/>
        <v>0</v>
      </c>
      <c r="T856" s="12">
        <f t="shared" si="279"/>
        <v>1</v>
      </c>
      <c r="Y856" s="2"/>
      <c r="Z856" s="2"/>
      <c r="AA856" s="2"/>
      <c r="AB856" s="2"/>
      <c r="AC856" s="2"/>
    </row>
    <row r="857" spans="1:29" ht="10.5" hidden="1">
      <c r="A857" s="2">
        <f t="shared" si="290"/>
        <v>25</v>
      </c>
      <c r="B857" s="2" t="str">
        <f>VLOOKUP($A857,Controle!$B$4:$F$68,2,FALSE)</f>
        <v>Divinópolis 1</v>
      </c>
      <c r="C857" s="2" t="str">
        <f>VLOOKUP($A857,Controle!$B$4:$F$68,3,FALSE)</f>
        <v xml:space="preserve">ESTRELA DO NORTE </v>
      </c>
      <c r="D857" s="2" t="str">
        <f>VLOOKUP($A857,Controle!$B$4:$F$68,4,FALSE)</f>
        <v>EDN</v>
      </c>
      <c r="E857" s="2">
        <f>VLOOKUP($A857,Controle!$B$4:$F$68,5,FALSE)</f>
        <v>2</v>
      </c>
      <c r="F857" s="3" t="str">
        <f t="shared" si="291"/>
        <v>Sistemas de Monitoramento - Supervisório</v>
      </c>
      <c r="G857" s="2" t="str">
        <f>VLOOKUP($A857,Controle!$B$4:$G$68,6,FALSE)</f>
        <v>Apolo</v>
      </c>
      <c r="H857" s="6" t="s">
        <v>150</v>
      </c>
      <c r="I857" s="6">
        <v>135728.28</v>
      </c>
      <c r="J857" s="6"/>
      <c r="K857" s="6">
        <v>0</v>
      </c>
      <c r="L857" s="6">
        <v>0</v>
      </c>
      <c r="M857" s="6">
        <v>0</v>
      </c>
      <c r="N857" s="6">
        <v>0</v>
      </c>
      <c r="O857" s="4">
        <f t="shared" si="287"/>
        <v>135728.28</v>
      </c>
      <c r="P857" s="5">
        <f>SUMIFS('Desenvolvimento diário'!$H:$H,'Desenvolvimento diário'!$Q:$Q,$B857,'Desenvolvimento diário'!$P:$P,$F857,'Desenvolvimento diário'!$R:$R,"Sim")</f>
        <v>0</v>
      </c>
      <c r="Q857" s="5">
        <f>SUMIFS('Desenvolvimento diário'!$H:$H,'Desenvolvimento diário'!$Q:$Q,$B857,'Desenvolvimento diário'!$P:$P,$F857,'Desenvolvimento diário'!$R:$R,"Não")</f>
        <v>135728.28000000003</v>
      </c>
      <c r="R857" s="4">
        <f t="shared" si="288"/>
        <v>135728.28000000003</v>
      </c>
      <c r="S857" s="4">
        <f t="shared" si="289"/>
        <v>0</v>
      </c>
      <c r="T857" s="12">
        <f t="shared" si="279"/>
        <v>1.0000000000000002</v>
      </c>
      <c r="U857" s="34"/>
      <c r="Y857" s="2"/>
      <c r="Z857" s="2"/>
      <c r="AA857" s="2"/>
      <c r="AB857" s="2"/>
      <c r="AC857" s="2"/>
    </row>
    <row r="858" spans="1:29" ht="10.5" hidden="1">
      <c r="A858" s="2">
        <f t="shared" si="290"/>
        <v>25</v>
      </c>
      <c r="B858" s="2" t="str">
        <f>VLOOKUP($A858,Controle!$B$4:$F$68,2,FALSE)</f>
        <v>Divinópolis 1</v>
      </c>
      <c r="C858" s="2" t="str">
        <f>VLOOKUP($A858,Controle!$B$4:$F$68,3,FALSE)</f>
        <v xml:space="preserve">ESTRELA DO NORTE </v>
      </c>
      <c r="D858" s="2" t="str">
        <f>VLOOKUP($A858,Controle!$B$4:$F$68,4,FALSE)</f>
        <v>EDN</v>
      </c>
      <c r="E858" s="2">
        <f>VLOOKUP($A858,Controle!$B$4:$F$68,5,FALSE)</f>
        <v>2</v>
      </c>
      <c r="F858" s="3" t="str">
        <f t="shared" si="291"/>
        <v>Sistemas de Monitoramento - Estações Solarimétricas</v>
      </c>
      <c r="G858" s="2" t="str">
        <f>VLOOKUP($A858,Controle!$B$4:$G$68,6,FALSE)</f>
        <v>Apolo</v>
      </c>
      <c r="H858" s="6" t="s">
        <v>151</v>
      </c>
      <c r="I858" s="6">
        <v>48276.516000000003</v>
      </c>
      <c r="J858" s="6">
        <v>0</v>
      </c>
      <c r="K858" s="6">
        <v>0</v>
      </c>
      <c r="L858" s="6">
        <v>0</v>
      </c>
      <c r="M858" s="6">
        <v>0</v>
      </c>
      <c r="N858" s="6">
        <v>0</v>
      </c>
      <c r="O858" s="4">
        <f t="shared" si="287"/>
        <v>48276.516000000003</v>
      </c>
      <c r="P858" s="5">
        <f>SUMIFS('Desenvolvimento diário'!$H:$H,'Desenvolvimento diário'!$Q:$Q,$B858,'Desenvolvimento diário'!$P:$P,$F858,'Desenvolvimento diário'!$R:$R,"Sim")</f>
        <v>0</v>
      </c>
      <c r="Q858" s="5">
        <f>SUMIFS('Desenvolvimento diário'!$H:$H,'Desenvolvimento diário'!$Q:$Q,$B858,'Desenvolvimento diário'!$P:$P,$F858,'Desenvolvimento diário'!$R:$R,"Não")</f>
        <v>48276.516000000003</v>
      </c>
      <c r="R858" s="4">
        <f t="shared" si="288"/>
        <v>48276.516000000003</v>
      </c>
      <c r="S858" s="4">
        <f t="shared" si="289"/>
        <v>0</v>
      </c>
      <c r="T858" s="12">
        <f t="shared" si="279"/>
        <v>1</v>
      </c>
      <c r="Y858" s="2"/>
      <c r="Z858" s="2"/>
      <c r="AA858" s="2"/>
      <c r="AB858" s="2"/>
      <c r="AC858" s="2"/>
    </row>
    <row r="859" spans="1:29" hidden="1">
      <c r="A859" s="2">
        <f t="shared" si="290"/>
        <v>25</v>
      </c>
      <c r="B859" s="2" t="str">
        <f>VLOOKUP($A859,Controle!$B$4:$F$68,2,FALSE)</f>
        <v>Divinópolis 1</v>
      </c>
      <c r="C859" s="2" t="str">
        <f>VLOOKUP($A859,Controle!$B$4:$F$68,3,FALSE)</f>
        <v xml:space="preserve">ESTRELA DO NORTE </v>
      </c>
      <c r="D859" s="2" t="str">
        <f>VLOOKUP($A859,Controle!$B$4:$F$68,4,FALSE)</f>
        <v>EDN</v>
      </c>
      <c r="E859" s="2">
        <f>VLOOKUP($A859,Controle!$B$4:$F$68,5,FALSE)</f>
        <v>2</v>
      </c>
      <c r="F859" s="3" t="str">
        <f t="shared" si="291"/>
        <v>Sistemas de Monitoramento - CFTV</v>
      </c>
      <c r="G859" s="2" t="str">
        <f>VLOOKUP($A859,Controle!$B$4:$G$68,6,FALSE)</f>
        <v>Apolo</v>
      </c>
      <c r="H859" s="31" t="s">
        <v>152</v>
      </c>
      <c r="I859" s="6">
        <v>263261.44</v>
      </c>
      <c r="J859" s="28">
        <v>3153.68</v>
      </c>
      <c r="K859" s="6">
        <v>0</v>
      </c>
      <c r="L859" s="6">
        <v>0</v>
      </c>
      <c r="M859" s="6">
        <v>0</v>
      </c>
      <c r="N859" s="6">
        <v>0</v>
      </c>
      <c r="O859" s="4">
        <f t="shared" si="287"/>
        <v>266415.12</v>
      </c>
      <c r="P859" s="5">
        <f>SUMIFS('Desenvolvimento diário'!$H:$H,'Desenvolvimento diário'!$Q:$Q,$B859,'Desenvolvimento diário'!$P:$P,$F859,'Desenvolvimento diário'!$R:$R,"Sim")</f>
        <v>11843.74</v>
      </c>
      <c r="Q859" s="5">
        <f>SUMIFS('Desenvolvimento diário'!$H:$H,'Desenvolvimento diário'!$Q:$Q,$B859,'Desenvolvimento diário'!$P:$P,$F859,'Desenvolvimento diário'!$R:$R,"Não")</f>
        <v>254571.38</v>
      </c>
      <c r="R859" s="4">
        <f t="shared" si="288"/>
        <v>266415.12</v>
      </c>
      <c r="S859" s="27">
        <f t="shared" si="289"/>
        <v>0</v>
      </c>
      <c r="T859" s="12">
        <f t="shared" si="279"/>
        <v>1</v>
      </c>
      <c r="Y859" s="2"/>
      <c r="Z859" s="2"/>
      <c r="AA859" s="2"/>
      <c r="AB859" s="2"/>
      <c r="AC859" s="2"/>
    </row>
    <row r="860" spans="1:29" ht="10.5" hidden="1">
      <c r="A860" s="2">
        <f t="shared" si="290"/>
        <v>25</v>
      </c>
      <c r="B860" s="2" t="str">
        <f>VLOOKUP($A860,Controle!$B$4:$F$68,2,FALSE)</f>
        <v>Divinópolis 1</v>
      </c>
      <c r="C860" s="2" t="str">
        <f>VLOOKUP($A860,Controle!$B$4:$F$68,3,FALSE)</f>
        <v xml:space="preserve">ESTRELA DO NORTE </v>
      </c>
      <c r="D860" s="2" t="str">
        <f>VLOOKUP($A860,Controle!$B$4:$F$68,4,FALSE)</f>
        <v>EDN</v>
      </c>
      <c r="E860" s="2">
        <f>VLOOKUP($A860,Controle!$B$4:$F$68,5,FALSE)</f>
        <v>2</v>
      </c>
      <c r="F860" s="3" t="str">
        <f t="shared" si="291"/>
        <v>Serviços Auxiliares - Drenagem</v>
      </c>
      <c r="G860" s="2" t="str">
        <f>VLOOKUP($A860,Controle!$B$4:$G$68,6,FALSE)</f>
        <v>Apolo</v>
      </c>
      <c r="H860" s="6" t="s">
        <v>154</v>
      </c>
      <c r="I860" s="6">
        <v>470171.14</v>
      </c>
      <c r="J860" s="6">
        <v>104686.11</v>
      </c>
      <c r="K860" s="6">
        <v>0</v>
      </c>
      <c r="L860" s="6">
        <v>0</v>
      </c>
      <c r="M860" s="6">
        <v>0</v>
      </c>
      <c r="N860" s="6">
        <v>0</v>
      </c>
      <c r="O860" s="4">
        <f t="shared" si="287"/>
        <v>574857.25</v>
      </c>
      <c r="P860" s="5">
        <f>SUMIFS('Desenvolvimento diário'!$H:$H,'Desenvolvimento diário'!$Q:$Q,$B860,'Desenvolvimento diário'!$P:$P,$F860,'Desenvolvimento diário'!$R:$R,"Sim")</f>
        <v>0</v>
      </c>
      <c r="Q860" s="5">
        <f>SUMIFS('Desenvolvimento diário'!$H:$H,'Desenvolvimento diário'!$Q:$Q,$B860,'Desenvolvimento diário'!$P:$P,$F860,'Desenvolvimento diário'!$R:$R,"Não")</f>
        <v>574857.25</v>
      </c>
      <c r="R860" s="4">
        <f t="shared" si="288"/>
        <v>574857.25</v>
      </c>
      <c r="S860" s="4">
        <f t="shared" si="289"/>
        <v>0</v>
      </c>
      <c r="T860" s="12">
        <f t="shared" si="279"/>
        <v>1</v>
      </c>
      <c r="Y860" s="2"/>
      <c r="Z860" s="2"/>
      <c r="AA860" s="2"/>
      <c r="AB860" s="2"/>
      <c r="AC860" s="2"/>
    </row>
    <row r="861" spans="1:29" ht="10.5" hidden="1">
      <c r="A861" s="2">
        <f t="shared" si="290"/>
        <v>25</v>
      </c>
      <c r="B861" s="2" t="str">
        <f>VLOOKUP($A861,Controle!$B$4:$F$68,2,FALSE)</f>
        <v>Divinópolis 1</v>
      </c>
      <c r="C861" s="2" t="str">
        <f>VLOOKUP($A861,Controle!$B$4:$F$68,3,FALSE)</f>
        <v xml:space="preserve">ESTRELA DO NORTE </v>
      </c>
      <c r="D861" s="2" t="str">
        <f>VLOOKUP($A861,Controle!$B$4:$F$68,4,FALSE)</f>
        <v>EDN</v>
      </c>
      <c r="E861" s="2">
        <f>VLOOKUP($A861,Controle!$B$4:$F$68,5,FALSE)</f>
        <v>2</v>
      </c>
      <c r="F861" s="3" t="str">
        <f t="shared" si="291"/>
        <v>Serviços Auxiliares - Terraplanagem</v>
      </c>
      <c r="G861" s="2" t="str">
        <f>VLOOKUP($A861,Controle!$B$4:$G$68,6,FALSE)</f>
        <v>Apolo</v>
      </c>
      <c r="H861" s="6" t="s">
        <v>204</v>
      </c>
      <c r="I861" s="6">
        <v>824198.69</v>
      </c>
      <c r="J861" s="6">
        <v>0</v>
      </c>
      <c r="K861" s="6">
        <v>0</v>
      </c>
      <c r="L861" s="6">
        <v>0</v>
      </c>
      <c r="M861" s="6">
        <v>0</v>
      </c>
      <c r="N861" s="6">
        <v>0</v>
      </c>
      <c r="O861" s="4">
        <f t="shared" si="287"/>
        <v>824198.69</v>
      </c>
      <c r="P861" s="5">
        <f>SUMIFS('Desenvolvimento diário'!$H:$H,'Desenvolvimento diário'!$Q:$Q,$B861,'Desenvolvimento diário'!$P:$P,$F861,'Desenvolvimento diário'!$R:$R,"Sim")</f>
        <v>0</v>
      </c>
      <c r="Q861" s="5">
        <f>SUMIFS('Desenvolvimento diário'!$H:$H,'Desenvolvimento diário'!$Q:$Q,$B861,'Desenvolvimento diário'!$P:$P,$F861,'Desenvolvimento diário'!$R:$R,"Não")</f>
        <v>824198.69</v>
      </c>
      <c r="R861" s="4">
        <f t="shared" si="288"/>
        <v>824198.69</v>
      </c>
      <c r="S861" s="4">
        <f t="shared" si="289"/>
        <v>0</v>
      </c>
      <c r="T861" s="12">
        <f t="shared" si="279"/>
        <v>1</v>
      </c>
      <c r="Y861" s="2"/>
      <c r="Z861" s="2"/>
      <c r="AA861" s="2"/>
      <c r="AB861" s="2"/>
      <c r="AC861" s="2"/>
    </row>
    <row r="862" spans="1:29" ht="10.5" hidden="1">
      <c r="A862" s="2">
        <f t="shared" si="290"/>
        <v>25</v>
      </c>
      <c r="B862" s="2" t="str">
        <f>VLOOKUP($A862,Controle!$B$4:$F$68,2,FALSE)</f>
        <v>Divinópolis 1</v>
      </c>
      <c r="C862" s="2" t="str">
        <f>VLOOKUP($A862,Controle!$B$4:$F$68,3,FALSE)</f>
        <v xml:space="preserve">ESTRELA DO NORTE </v>
      </c>
      <c r="D862" s="2" t="str">
        <f>VLOOKUP($A862,Controle!$B$4:$F$68,4,FALSE)</f>
        <v>EDN</v>
      </c>
      <c r="E862" s="2">
        <f>VLOOKUP($A862,Controle!$B$4:$F$68,5,FALSE)</f>
        <v>2</v>
      </c>
      <c r="F862" s="3" t="str">
        <f t="shared" si="291"/>
        <v>Serviços Auxiliares - Supressão Vegetal</v>
      </c>
      <c r="G862" s="2" t="str">
        <f>VLOOKUP($A862,Controle!$B$4:$G$68,6,FALSE)</f>
        <v>Apolo</v>
      </c>
      <c r="H862" s="6">
        <v>0</v>
      </c>
      <c r="I862" s="6">
        <v>0</v>
      </c>
      <c r="J862" s="6">
        <v>0</v>
      </c>
      <c r="K862" s="6">
        <v>0</v>
      </c>
      <c r="L862" s="6">
        <v>0</v>
      </c>
      <c r="M862" s="6">
        <v>0</v>
      </c>
      <c r="N862" s="6">
        <v>0</v>
      </c>
      <c r="O862" s="4">
        <f t="shared" si="287"/>
        <v>0</v>
      </c>
      <c r="P862" s="5">
        <f>SUMIFS('Desenvolvimento diário'!$H:$H,'Desenvolvimento diário'!$Q:$Q,$B862,'Desenvolvimento diário'!$P:$P,$F862,'Desenvolvimento diário'!$R:$R,"Sim")</f>
        <v>0</v>
      </c>
      <c r="Q862" s="5">
        <f>SUMIFS('Desenvolvimento diário'!$H:$H,'Desenvolvimento diário'!$Q:$Q,$B862,'Desenvolvimento diário'!$P:$P,$F862,'Desenvolvimento diário'!$R:$R,"Não")</f>
        <v>0</v>
      </c>
      <c r="R862" s="4">
        <f t="shared" si="288"/>
        <v>0</v>
      </c>
      <c r="S862" s="4">
        <f t="shared" si="289"/>
        <v>0</v>
      </c>
      <c r="T862" s="12">
        <f t="shared" si="279"/>
        <v>0</v>
      </c>
      <c r="Y862" s="2"/>
      <c r="Z862" s="2"/>
      <c r="AA862" s="2"/>
      <c r="AB862" s="2"/>
      <c r="AC862" s="2"/>
    </row>
    <row r="863" spans="1:29" ht="10.5" hidden="1">
      <c r="A863" s="2">
        <f t="shared" si="290"/>
        <v>25</v>
      </c>
      <c r="B863" s="2" t="str">
        <f>VLOOKUP($A863,Controle!$B$4:$F$68,2,FALSE)</f>
        <v>Divinópolis 1</v>
      </c>
      <c r="C863" s="2" t="str">
        <f>VLOOKUP($A863,Controle!$B$4:$F$68,3,FALSE)</f>
        <v xml:space="preserve">ESTRELA DO NORTE </v>
      </c>
      <c r="D863" s="2" t="str">
        <f>VLOOKUP($A863,Controle!$B$4:$F$68,4,FALSE)</f>
        <v>EDN</v>
      </c>
      <c r="E863" s="2">
        <f>VLOOKUP($A863,Controle!$B$4:$F$68,5,FALSE)</f>
        <v>2</v>
      </c>
      <c r="F863" s="3" t="str">
        <f t="shared" si="291"/>
        <v>RDR-Rede de Distribuição Rural</v>
      </c>
      <c r="G863" s="2" t="str">
        <f>VLOOKUP($A863,Controle!$B$4:$G$68,6,FALSE)</f>
        <v>Apolo</v>
      </c>
      <c r="H863" s="6">
        <v>0</v>
      </c>
      <c r="I863" s="6">
        <v>0</v>
      </c>
      <c r="J863" s="6">
        <v>0</v>
      </c>
      <c r="K863" s="6">
        <v>0</v>
      </c>
      <c r="L863" s="6">
        <v>0</v>
      </c>
      <c r="M863" s="6">
        <v>0</v>
      </c>
      <c r="N863" s="6">
        <v>0</v>
      </c>
      <c r="O863" s="4">
        <f t="shared" si="287"/>
        <v>0</v>
      </c>
      <c r="P863" s="5">
        <f>SUMIFS('Desenvolvimento diário'!$H:$H,'Desenvolvimento diário'!$Q:$Q,$B863,'Desenvolvimento diário'!$P:$P,$F863,'Desenvolvimento diário'!$R:$R,"Sim")</f>
        <v>0</v>
      </c>
      <c r="Q863" s="5">
        <f>SUMIFS('Desenvolvimento diário'!$H:$H,'Desenvolvimento diário'!$Q:$Q,$B863,'Desenvolvimento diário'!$P:$P,$F863,'Desenvolvimento diário'!$R:$R,"Não")</f>
        <v>0</v>
      </c>
      <c r="R863" s="4">
        <f t="shared" si="288"/>
        <v>0</v>
      </c>
      <c r="S863" s="4">
        <f t="shared" si="289"/>
        <v>0</v>
      </c>
      <c r="T863" s="12">
        <f t="shared" si="279"/>
        <v>0</v>
      </c>
      <c r="Y863" s="2"/>
      <c r="Z863" s="2"/>
      <c r="AA863" s="2"/>
      <c r="AB863" s="2"/>
      <c r="AC863" s="2"/>
    </row>
    <row r="864" spans="1:29" ht="10.5" hidden="1">
      <c r="A864" s="2">
        <f t="shared" si="290"/>
        <v>25</v>
      </c>
      <c r="B864" s="2" t="str">
        <f>VLOOKUP($A864,Controle!$B$4:$F$68,2,FALSE)</f>
        <v>Divinópolis 1</v>
      </c>
      <c r="C864" s="2" t="str">
        <f>VLOOKUP($A864,Controle!$B$4:$F$68,3,FALSE)</f>
        <v xml:space="preserve">ESTRELA DO NORTE </v>
      </c>
      <c r="D864" s="2" t="str">
        <f>VLOOKUP($A864,Controle!$B$4:$F$68,4,FALSE)</f>
        <v>EDN</v>
      </c>
      <c r="E864" s="2">
        <f>VLOOKUP($A864,Controle!$B$4:$F$68,5,FALSE)</f>
        <v>2</v>
      </c>
      <c r="F864" s="3" t="str">
        <f t="shared" si="291"/>
        <v>Escopo COMERC</v>
      </c>
      <c r="G864" s="2" t="str">
        <f>VLOOKUP($A864,Controle!$B$4:$G$68,6,FALSE)</f>
        <v>Apolo</v>
      </c>
      <c r="H864" s="6">
        <v>0</v>
      </c>
      <c r="I864" s="6">
        <v>110973.68000000001</v>
      </c>
      <c r="J864" s="29">
        <v>21000</v>
      </c>
      <c r="K864" s="29"/>
      <c r="L864" s="6">
        <v>0</v>
      </c>
      <c r="M864" s="6">
        <v>0</v>
      </c>
      <c r="N864" s="6">
        <v>0</v>
      </c>
      <c r="O864" s="4">
        <f t="shared" si="287"/>
        <v>131973.68</v>
      </c>
      <c r="P864" s="5">
        <f>SUMIFS('Desenvolvimento diário'!$H:$H,'Desenvolvimento diário'!$Q:$Q,$B864,'Desenvolvimento diário'!$P:$P,$F864,'Desenvolvimento diário'!$R:$R,"Sim")</f>
        <v>0</v>
      </c>
      <c r="Q864" s="5">
        <f>SUMIFS('Desenvolvimento diário'!$H:$H,'Desenvolvimento diário'!$Q:$Q,$B864,'Desenvolvimento diário'!$P:$P,$F864,'Desenvolvimento diário'!$R:$R,"Não")</f>
        <v>111972.46</v>
      </c>
      <c r="R864" s="4">
        <f t="shared" si="288"/>
        <v>111972.46</v>
      </c>
      <c r="S864" s="1010">
        <f t="shared" si="289"/>
        <v>20001.219999999987</v>
      </c>
      <c r="T864" s="12">
        <f t="shared" si="279"/>
        <v>0.84844538698928462</v>
      </c>
      <c r="U864" s="1011" t="s">
        <v>166</v>
      </c>
      <c r="V864" s="1011" t="s">
        <v>167</v>
      </c>
      <c r="Y864" s="2"/>
      <c r="Z864" s="2"/>
      <c r="AA864" s="2"/>
      <c r="AB864" s="2"/>
      <c r="AC864" s="2"/>
    </row>
    <row r="865" spans="1:29" ht="10.5" hidden="1">
      <c r="A865" s="2">
        <f t="shared" si="290"/>
        <v>25</v>
      </c>
      <c r="B865" s="2" t="str">
        <f>VLOOKUP($A865,Controle!$B$4:$F$68,2,FALSE)</f>
        <v>Divinópolis 1</v>
      </c>
      <c r="C865" s="2" t="str">
        <f>VLOOKUP($A865,Controle!$B$4:$F$68,3,FALSE)</f>
        <v xml:space="preserve">ESTRELA DO NORTE </v>
      </c>
      <c r="D865" s="2" t="str">
        <f>VLOOKUP($A865,Controle!$B$4:$F$68,4,FALSE)</f>
        <v>EDN</v>
      </c>
      <c r="E865" s="2">
        <f>VLOOKUP($A865,Controle!$B$4:$F$68,5,FALSE)</f>
        <v>2</v>
      </c>
      <c r="F865" s="3" t="str">
        <f t="shared" si="291"/>
        <v>Escopo COMERC - Segurança</v>
      </c>
      <c r="G865" s="2" t="str">
        <f>VLOOKUP($A865,Controle!$B$4:$G$68,6,FALSE)</f>
        <v>Apolo</v>
      </c>
      <c r="H865" s="6">
        <v>0</v>
      </c>
      <c r="I865" s="6">
        <f t="shared" ref="I864:I865" si="292">R865</f>
        <v>35764.21</v>
      </c>
      <c r="J865" s="6">
        <v>0</v>
      </c>
      <c r="K865" s="6">
        <v>0</v>
      </c>
      <c r="L865" s="6">
        <v>0</v>
      </c>
      <c r="M865" s="6">
        <v>0</v>
      </c>
      <c r="N865" s="6">
        <v>0</v>
      </c>
      <c r="O865" s="4">
        <f t="shared" si="287"/>
        <v>35764.21</v>
      </c>
      <c r="P865" s="5">
        <f>SUMIFS('Desenvolvimento diário'!$H:$H,'Desenvolvimento diário'!$Q:$Q,$B865,'Desenvolvimento diário'!$P:$P,$F865,'Desenvolvimento diário'!$R:$R,"Sim")</f>
        <v>0</v>
      </c>
      <c r="Q865" s="5">
        <f>SUMIFS('Desenvolvimento diário'!$H:$H,'Desenvolvimento diário'!$Q:$Q,$B865,'Desenvolvimento diário'!$P:$P,$F865,'Desenvolvimento diário'!$R:$R,"Não")</f>
        <v>35764.21</v>
      </c>
      <c r="R865" s="4">
        <f t="shared" si="288"/>
        <v>35764.21</v>
      </c>
      <c r="S865" s="4">
        <f t="shared" si="289"/>
        <v>0</v>
      </c>
      <c r="T865" s="12">
        <f t="shared" si="279"/>
        <v>1</v>
      </c>
      <c r="Y865" s="2"/>
      <c r="Z865" s="2"/>
      <c r="AA865" s="2"/>
      <c r="AB865" s="2"/>
      <c r="AC865" s="2"/>
    </row>
    <row r="866" spans="1:29" ht="10.5" hidden="1">
      <c r="A866" s="2">
        <f t="shared" si="290"/>
        <v>25</v>
      </c>
      <c r="B866" s="2" t="str">
        <f>VLOOKUP($A866,Controle!$B$4:$F$68,2,FALSE)</f>
        <v>Divinópolis 1</v>
      </c>
      <c r="C866" s="2" t="str">
        <f>VLOOKUP($A866,Controle!$B$4:$F$68,3,FALSE)</f>
        <v xml:space="preserve">ESTRELA DO NORTE </v>
      </c>
      <c r="D866" s="2" t="str">
        <f>VLOOKUP($A866,Controle!$B$4:$F$68,4,FALSE)</f>
        <v>EDN</v>
      </c>
      <c r="E866" s="2">
        <f>VLOOKUP($A866,Controle!$B$4:$F$68,5,FALSE)</f>
        <v>2</v>
      </c>
      <c r="F866" s="3" t="str">
        <f t="shared" si="291"/>
        <v>Conexão MT - Obras Transferencia</v>
      </c>
      <c r="G866" s="2" t="str">
        <f>VLOOKUP($A866,Controle!$B$4:$G$68,6,FALSE)</f>
        <v>Apolo</v>
      </c>
      <c r="H866" s="6">
        <v>0</v>
      </c>
      <c r="I866" s="6">
        <v>0</v>
      </c>
      <c r="J866" s="6">
        <v>0</v>
      </c>
      <c r="K866" s="6">
        <v>0</v>
      </c>
      <c r="L866" s="6">
        <v>0</v>
      </c>
      <c r="M866" s="6">
        <v>0</v>
      </c>
      <c r="N866" s="6">
        <v>0</v>
      </c>
      <c r="O866" s="4">
        <f t="shared" si="287"/>
        <v>0</v>
      </c>
      <c r="P866" s="5">
        <f>SUMIFS('Desenvolvimento diário'!$H:$H,'Desenvolvimento diário'!$Q:$Q,$B866,'Desenvolvimento diário'!$P:$P,$F866,'Desenvolvimento diário'!$R:$R,"Sim")</f>
        <v>0</v>
      </c>
      <c r="Q866" s="5">
        <f>SUMIFS('Desenvolvimento diário'!$H:$H,'Desenvolvimento diário'!$Q:$Q,$B866,'Desenvolvimento diário'!$P:$P,$F866,'Desenvolvimento diário'!$R:$R,"Não")</f>
        <v>0</v>
      </c>
      <c r="R866" s="4">
        <f t="shared" si="288"/>
        <v>0</v>
      </c>
      <c r="S866" s="4">
        <f t="shared" si="289"/>
        <v>0</v>
      </c>
      <c r="T866" s="12">
        <f t="shared" si="279"/>
        <v>0</v>
      </c>
      <c r="Y866" s="2"/>
      <c r="Z866" s="2"/>
      <c r="AA866" s="2"/>
      <c r="AB866" s="2"/>
      <c r="AC866" s="2"/>
    </row>
    <row r="867" spans="1:29" ht="10.5" hidden="1">
      <c r="A867" s="2">
        <f t="shared" si="290"/>
        <v>25</v>
      </c>
      <c r="B867" s="2" t="str">
        <f>VLOOKUP($A867,Controle!$B$4:$F$68,2,FALSE)</f>
        <v>Divinópolis 1</v>
      </c>
      <c r="C867" s="2" t="str">
        <f>VLOOKUP($A867,Controle!$B$4:$F$68,3,FALSE)</f>
        <v xml:space="preserve">ESTRELA DO NORTE </v>
      </c>
      <c r="D867" s="2" t="str">
        <f>VLOOKUP($A867,Controle!$B$4:$F$68,4,FALSE)</f>
        <v>EDN</v>
      </c>
      <c r="E867" s="2">
        <f>VLOOKUP($A867,Controle!$B$4:$F$68,5,FALSE)</f>
        <v>2</v>
      </c>
      <c r="F867" s="3" t="str">
        <f t="shared" si="291"/>
        <v>Bases de Contaniers</v>
      </c>
      <c r="G867" s="2" t="str">
        <f>VLOOKUP($A867,Controle!$B$4:$G$68,6,FALSE)</f>
        <v>Apolo</v>
      </c>
      <c r="H867" s="6">
        <v>0</v>
      </c>
      <c r="I867" s="6">
        <v>0</v>
      </c>
      <c r="J867" s="6">
        <v>0</v>
      </c>
      <c r="K867" s="6">
        <v>0</v>
      </c>
      <c r="L867" s="6">
        <v>0</v>
      </c>
      <c r="M867" s="6">
        <v>0</v>
      </c>
      <c r="N867" s="6">
        <v>0</v>
      </c>
      <c r="O867" s="4">
        <f t="shared" si="287"/>
        <v>0</v>
      </c>
      <c r="P867" s="5">
        <f>SUMIFS('Desenvolvimento diário'!$H:$H,'Desenvolvimento diário'!$Q:$Q,$B867,'Desenvolvimento diário'!$P:$P,$F867,'Desenvolvimento diário'!$R:$R,"Sim")</f>
        <v>0</v>
      </c>
      <c r="Q867" s="5">
        <f>SUMIFS('Desenvolvimento diário'!$H:$H,'Desenvolvimento diário'!$Q:$Q,$B867,'Desenvolvimento diário'!$P:$P,$F867,'Desenvolvimento diário'!$R:$R,"Não")</f>
        <v>0</v>
      </c>
      <c r="R867" s="4">
        <f t="shared" si="288"/>
        <v>0</v>
      </c>
      <c r="S867" s="4">
        <f t="shared" si="289"/>
        <v>0</v>
      </c>
      <c r="T867" s="12">
        <f t="shared" si="279"/>
        <v>0</v>
      </c>
      <c r="Y867" s="2"/>
      <c r="Z867" s="2"/>
      <c r="AA867" s="2"/>
      <c r="AB867" s="2"/>
      <c r="AC867" s="2"/>
    </row>
    <row r="868" spans="1:29" ht="10.5" hidden="1">
      <c r="A868" s="2">
        <f t="shared" si="290"/>
        <v>25</v>
      </c>
      <c r="B868" s="2" t="str">
        <f>VLOOKUP($A868,Controle!$B$4:$F$68,2,FALSE)</f>
        <v>Divinópolis 1</v>
      </c>
      <c r="C868" s="2" t="str">
        <f>VLOOKUP($A868,Controle!$B$4:$F$68,3,FALSE)</f>
        <v xml:space="preserve">ESTRELA DO NORTE </v>
      </c>
      <c r="D868" s="2" t="str">
        <f>VLOOKUP($A868,Controle!$B$4:$F$68,4,FALSE)</f>
        <v>EDN</v>
      </c>
      <c r="E868" s="2">
        <f>VLOOKUP($A868,Controle!$B$4:$F$68,5,FALSE)</f>
        <v>2</v>
      </c>
      <c r="F868" s="3" t="str">
        <f t="shared" si="291"/>
        <v>Construção - Serviços de Construção - Ase Engenharia</v>
      </c>
      <c r="G868" s="2" t="str">
        <f>VLOOKUP($A868,Controle!$B$4:$G$68,6,FALSE)</f>
        <v>Apolo</v>
      </c>
      <c r="H868" s="6">
        <v>0</v>
      </c>
      <c r="I868" s="6">
        <v>0</v>
      </c>
      <c r="J868" s="6">
        <v>0</v>
      </c>
      <c r="K868" s="6">
        <v>0</v>
      </c>
      <c r="L868" s="6">
        <v>0</v>
      </c>
      <c r="M868" s="6">
        <v>0</v>
      </c>
      <c r="N868" s="6">
        <v>0</v>
      </c>
      <c r="O868" s="4">
        <f t="shared" si="287"/>
        <v>0</v>
      </c>
      <c r="P868" s="5">
        <f>SUMIFS('Desenvolvimento diário'!$H:$H,'Desenvolvimento diário'!$Q:$Q,$B868,'Desenvolvimento diário'!$P:$P,$F868,'Desenvolvimento diário'!$R:$R,"Sim")</f>
        <v>0</v>
      </c>
      <c r="Q868" s="5">
        <f>SUMIFS('Desenvolvimento diário'!$H:$H,'Desenvolvimento diário'!$Q:$Q,$B868,'Desenvolvimento diário'!$P:$P,$F868,'Desenvolvimento diário'!$R:$R,"Não")</f>
        <v>0</v>
      </c>
      <c r="R868" s="4">
        <f t="shared" si="288"/>
        <v>0</v>
      </c>
      <c r="S868" s="4">
        <f t="shared" si="289"/>
        <v>0</v>
      </c>
      <c r="T868" s="12">
        <f t="shared" si="279"/>
        <v>0</v>
      </c>
      <c r="Y868" s="2"/>
      <c r="Z868" s="2"/>
      <c r="AA868" s="2"/>
      <c r="AB868" s="2"/>
      <c r="AC868" s="2"/>
    </row>
    <row r="869" spans="1:29" ht="10.5" hidden="1">
      <c r="A869" s="2">
        <f t="shared" si="290"/>
        <v>25</v>
      </c>
      <c r="B869" s="2" t="str">
        <f>VLOOKUP($A869,Controle!$B$4:$F$68,2,FALSE)</f>
        <v>Divinópolis 1</v>
      </c>
      <c r="C869" s="2" t="str">
        <f>VLOOKUP($A869,Controle!$B$4:$F$68,3,FALSE)</f>
        <v xml:space="preserve">ESTRELA DO NORTE </v>
      </c>
      <c r="D869" s="2" t="str">
        <f>VLOOKUP($A869,Controle!$B$4:$F$68,4,FALSE)</f>
        <v>EDN</v>
      </c>
      <c r="E869" s="2">
        <f>VLOOKUP($A869,Controle!$B$4:$F$68,5,FALSE)</f>
        <v>2</v>
      </c>
      <c r="F869" s="3" t="str">
        <f t="shared" si="291"/>
        <v>Full EPC - Contrato Sobressalentes</v>
      </c>
      <c r="G869" s="2" t="str">
        <f>VLOOKUP($A869,Controle!$B$4:$G$68,6,FALSE)</f>
        <v>Apolo</v>
      </c>
      <c r="H869" s="6">
        <v>0</v>
      </c>
      <c r="I869" s="6">
        <v>0</v>
      </c>
      <c r="J869" s="6">
        <v>0</v>
      </c>
      <c r="K869" s="6">
        <v>0</v>
      </c>
      <c r="L869" s="6">
        <v>0</v>
      </c>
      <c r="M869" s="6">
        <v>0</v>
      </c>
      <c r="N869" s="6">
        <v>0</v>
      </c>
      <c r="O869" s="4">
        <f t="shared" si="287"/>
        <v>0</v>
      </c>
      <c r="P869" s="5">
        <f>SUMIFS('Desenvolvimento diário'!$H:$H,'Desenvolvimento diário'!$Q:$Q,$B869,'Desenvolvimento diário'!$P:$P,$F869,'Desenvolvimento diário'!$R:$R,"Sim")</f>
        <v>0</v>
      </c>
      <c r="Q869" s="5">
        <f>SUMIFS('Desenvolvimento diário'!$H:$H,'Desenvolvimento diário'!$Q:$Q,$B869,'Desenvolvimento diário'!$P:$P,$F869,'Desenvolvimento diário'!$R:$R,"Não")</f>
        <v>0</v>
      </c>
      <c r="R869" s="4">
        <f t="shared" si="288"/>
        <v>0</v>
      </c>
      <c r="S869" s="4">
        <f t="shared" si="289"/>
        <v>0</v>
      </c>
      <c r="T869" s="12">
        <f t="shared" si="279"/>
        <v>0</v>
      </c>
      <c r="Y869" s="2"/>
      <c r="Z869" s="2"/>
      <c r="AA869" s="2"/>
      <c r="AB869" s="2"/>
      <c r="AC869" s="2"/>
    </row>
    <row r="870" spans="1:29" ht="10.5" hidden="1">
      <c r="A870" s="2">
        <f t="shared" si="290"/>
        <v>25</v>
      </c>
      <c r="B870" s="2" t="str">
        <f>VLOOKUP($A870,Controle!$B$4:$F$68,2,FALSE)</f>
        <v>Divinópolis 1</v>
      </c>
      <c r="C870" s="2" t="str">
        <f>VLOOKUP($A870,Controle!$B$4:$F$68,3,FALSE)</f>
        <v xml:space="preserve">ESTRELA DO NORTE </v>
      </c>
      <c r="D870" s="2" t="str">
        <f>VLOOKUP($A870,Controle!$B$4:$F$68,4,FALSE)</f>
        <v>EDN</v>
      </c>
      <c r="E870" s="2">
        <f>VLOOKUP($A870,Controle!$B$4:$F$68,5,FALSE)</f>
        <v>2</v>
      </c>
      <c r="F870" s="3" t="str">
        <f t="shared" si="291"/>
        <v>Construção - Serviços de Construção - NOVA MORADA</v>
      </c>
      <c r="G870" s="2" t="str">
        <f>VLOOKUP($A870,Controle!$B$4:$G$68,6,FALSE)</f>
        <v>Apolo</v>
      </c>
      <c r="H870" s="6">
        <v>0</v>
      </c>
      <c r="I870" s="6">
        <v>0</v>
      </c>
      <c r="J870" s="6">
        <v>0</v>
      </c>
      <c r="K870" s="6">
        <v>0</v>
      </c>
      <c r="L870" s="6">
        <v>0</v>
      </c>
      <c r="M870" s="6">
        <v>0</v>
      </c>
      <c r="N870" s="6">
        <v>0</v>
      </c>
      <c r="O870" s="4">
        <f t="shared" si="287"/>
        <v>0</v>
      </c>
      <c r="P870" s="5">
        <f>SUMIFS('Desenvolvimento diário'!$H:$H,'Desenvolvimento diário'!$Q:$Q,$B870,'Desenvolvimento diário'!$P:$P,$F870,'Desenvolvimento diário'!$R:$R,"Sim")</f>
        <v>0</v>
      </c>
      <c r="Q870" s="5">
        <f>SUMIFS('Desenvolvimento diário'!$H:$H,'Desenvolvimento diário'!$Q:$Q,$B870,'Desenvolvimento diário'!$P:$P,$F870,'Desenvolvimento diário'!$R:$R,"Não")</f>
        <v>0</v>
      </c>
      <c r="R870" s="4">
        <f t="shared" si="288"/>
        <v>0</v>
      </c>
      <c r="S870" s="4">
        <f t="shared" si="289"/>
        <v>0</v>
      </c>
      <c r="T870" s="12">
        <f t="shared" si="279"/>
        <v>0</v>
      </c>
      <c r="Y870" s="2"/>
      <c r="Z870" s="2"/>
      <c r="AA870" s="2"/>
      <c r="AB870" s="2"/>
      <c r="AC870" s="2"/>
    </row>
    <row r="871" spans="1:29" ht="10.5" hidden="1">
      <c r="A871" s="2">
        <f t="shared" si="290"/>
        <v>25</v>
      </c>
      <c r="B871" s="2" t="str">
        <f>VLOOKUP($A871,Controle!$B$4:$F$68,2,FALSE)</f>
        <v>Divinópolis 1</v>
      </c>
      <c r="C871" s="2" t="str">
        <f>VLOOKUP($A871,Controle!$B$4:$F$68,3,FALSE)</f>
        <v xml:space="preserve">ESTRELA DO NORTE </v>
      </c>
      <c r="D871" s="2" t="str">
        <f>VLOOKUP($A871,Controle!$B$4:$F$68,4,FALSE)</f>
        <v>EDN</v>
      </c>
      <c r="E871" s="2">
        <f>VLOOKUP($A871,Controle!$B$4:$F$68,5,FALSE)</f>
        <v>2</v>
      </c>
      <c r="F871" s="3" t="str">
        <f t="shared" si="291"/>
        <v>Equipamentos Curva A -  Contrato Sobressalentes - SETTA</v>
      </c>
      <c r="G871" s="2" t="str">
        <f>VLOOKUP($A871,Controle!$B$4:$G$68,6,FALSE)</f>
        <v>Apolo</v>
      </c>
      <c r="H871" s="6" t="s">
        <v>196</v>
      </c>
      <c r="I871" s="6">
        <f>53434.61-0.005</f>
        <v>53434.605000000003</v>
      </c>
      <c r="J871" s="6">
        <v>0</v>
      </c>
      <c r="K871" s="6">
        <v>0</v>
      </c>
      <c r="L871" s="6">
        <v>0</v>
      </c>
      <c r="M871" s="6">
        <v>0</v>
      </c>
      <c r="N871" s="6">
        <v>0</v>
      </c>
      <c r="O871" s="4">
        <f t="shared" si="287"/>
        <v>53434.605000000003</v>
      </c>
      <c r="P871" s="5">
        <f>SUMIFS('Desenvolvimento diário'!$H:$H,'Desenvolvimento diário'!$Q:$Q,$B871,'Desenvolvimento diário'!$P:$P,$F871,'Desenvolvimento diário'!$R:$R,"Sim")</f>
        <v>0</v>
      </c>
      <c r="Q871" s="5">
        <f>SUMIFS('Desenvolvimento diário'!$H:$H,'Desenvolvimento diário'!$Q:$Q,$B871,'Desenvolvimento diário'!$P:$P,$F871,'Desenvolvimento diário'!$R:$R,"Não")</f>
        <v>53434.605000000003</v>
      </c>
      <c r="R871" s="4">
        <f t="shared" si="288"/>
        <v>53434.605000000003</v>
      </c>
      <c r="S871" s="137">
        <f t="shared" si="289"/>
        <v>0</v>
      </c>
      <c r="T871" s="12">
        <f t="shared" si="279"/>
        <v>1</v>
      </c>
      <c r="Y871" s="2"/>
      <c r="Z871" s="2"/>
      <c r="AA871" s="2"/>
      <c r="AB871" s="2"/>
      <c r="AC871" s="2"/>
    </row>
    <row r="872" spans="1:29" ht="10.5" hidden="1">
      <c r="A872" s="2">
        <f t="shared" si="290"/>
        <v>25</v>
      </c>
      <c r="B872" s="2" t="str">
        <f>VLOOKUP($A872,Controle!$B$4:$F$68,2,FALSE)</f>
        <v>Divinópolis 1</v>
      </c>
      <c r="C872" s="2" t="str">
        <f>VLOOKUP($A872,Controle!$B$4:$F$68,3,FALSE)</f>
        <v xml:space="preserve">ESTRELA DO NORTE </v>
      </c>
      <c r="D872" s="2" t="str">
        <f>VLOOKUP($A872,Controle!$B$4:$F$68,4,FALSE)</f>
        <v>EDN</v>
      </c>
      <c r="E872" s="2">
        <f>VLOOKUP($A872,Controle!$B$4:$F$68,5,FALSE)</f>
        <v>2</v>
      </c>
      <c r="F872" s="3" t="str">
        <f t="shared" si="291"/>
        <v>Equipamentos Curva A -  Contrato Sobressalentes - Arctech</v>
      </c>
      <c r="G872" s="2" t="str">
        <f>VLOOKUP($A872,Controle!$B$4:$G$68,6,FALSE)</f>
        <v>Apolo</v>
      </c>
      <c r="H872" s="6">
        <v>0</v>
      </c>
      <c r="I872" s="6">
        <v>0</v>
      </c>
      <c r="J872" s="6">
        <v>0</v>
      </c>
      <c r="K872" s="6">
        <v>0</v>
      </c>
      <c r="L872" s="6">
        <v>0</v>
      </c>
      <c r="M872" s="6">
        <v>0</v>
      </c>
      <c r="N872" s="6">
        <v>0</v>
      </c>
      <c r="O872" s="4">
        <f t="shared" si="287"/>
        <v>0</v>
      </c>
      <c r="P872" s="5">
        <f>SUMIFS('Desenvolvimento diário'!$H:$H,'Desenvolvimento diário'!$Q:$Q,$B872,'Desenvolvimento diário'!$P:$P,$F872,'Desenvolvimento diário'!$R:$R,"Sim")</f>
        <v>0</v>
      </c>
      <c r="Q872" s="5">
        <f>SUMIFS('Desenvolvimento diário'!$H:$H,'Desenvolvimento diário'!$Q:$Q,$B872,'Desenvolvimento diário'!$P:$P,$F872,'Desenvolvimento diário'!$R:$R,"Não")</f>
        <v>0</v>
      </c>
      <c r="R872" s="4">
        <f t="shared" si="288"/>
        <v>0</v>
      </c>
      <c r="S872" s="4">
        <f t="shared" si="289"/>
        <v>0</v>
      </c>
      <c r="T872" s="12">
        <f t="shared" si="279"/>
        <v>0</v>
      </c>
      <c r="Y872" s="2"/>
      <c r="Z872" s="2"/>
      <c r="AA872" s="2"/>
      <c r="AB872" s="2"/>
      <c r="AC872" s="2"/>
    </row>
    <row r="873" spans="1:29" hidden="1">
      <c r="A873" s="2">
        <f t="shared" si="290"/>
        <v>25</v>
      </c>
      <c r="B873" s="2" t="str">
        <f>VLOOKUP($A873,Controle!$B$4:$F$68,2,FALSE)</f>
        <v>Divinópolis 1</v>
      </c>
      <c r="C873" s="2" t="str">
        <f>VLOOKUP($A873,Controle!$B$4:$F$68,3,FALSE)</f>
        <v xml:space="preserve">ESTRELA DO NORTE </v>
      </c>
      <c r="D873" s="2" t="str">
        <f>VLOOKUP($A873,Controle!$B$4:$F$68,4,FALSE)</f>
        <v>EDN</v>
      </c>
      <c r="E873" s="2">
        <f>VLOOKUP($A873,Controle!$B$4:$F$68,5,FALSE)</f>
        <v>2</v>
      </c>
      <c r="F873" s="3" t="str">
        <f t="shared" si="291"/>
        <v>Equipamentos Curva A -  Contrato Sobressalentes - Romagnole</v>
      </c>
      <c r="G873" s="2" t="str">
        <f>VLOOKUP($A873,Controle!$B$4:$G$68,6,FALSE)</f>
        <v>Apolo</v>
      </c>
      <c r="H873" s="7">
        <v>0</v>
      </c>
      <c r="I873" s="7">
        <v>0</v>
      </c>
      <c r="J873" s="7">
        <v>0</v>
      </c>
      <c r="K873" s="7">
        <v>0</v>
      </c>
      <c r="L873" s="7">
        <v>0</v>
      </c>
      <c r="M873" s="7">
        <v>0</v>
      </c>
      <c r="N873" s="7">
        <v>0</v>
      </c>
      <c r="O873" s="4">
        <f t="shared" si="287"/>
        <v>0</v>
      </c>
      <c r="P873" s="17">
        <f>SUMIFS('Desenvolvimento diário'!$H:$H,'Desenvolvimento diário'!$Q:$Q,$B873,'Desenvolvimento diário'!$P:$P,$F873,'Desenvolvimento diário'!$R:$R,"Sim")</f>
        <v>0</v>
      </c>
      <c r="Q873" s="17">
        <f>SUMIFS('Desenvolvimento diário'!$H:$H,'Desenvolvimento diário'!$Q:$Q,$B873,'Desenvolvimento diário'!$P:$P,$F873,'Desenvolvimento diário'!$R:$R,"Não")</f>
        <v>0</v>
      </c>
      <c r="R873" s="4">
        <f t="shared" si="288"/>
        <v>0</v>
      </c>
      <c r="S873" s="4">
        <f t="shared" si="289"/>
        <v>0</v>
      </c>
      <c r="T873" s="12">
        <f t="shared" si="279"/>
        <v>0</v>
      </c>
      <c r="Y873" s="2"/>
      <c r="Z873" s="2"/>
      <c r="AA873" s="2"/>
      <c r="AB873" s="2"/>
      <c r="AC873" s="2"/>
    </row>
    <row r="874" spans="1:29" hidden="1">
      <c r="A874" s="2">
        <f t="shared" si="290"/>
        <v>25</v>
      </c>
      <c r="B874" s="2" t="str">
        <f>VLOOKUP($A874,Controle!$B$4:$F$68,2,FALSE)</f>
        <v>Divinópolis 1</v>
      </c>
      <c r="C874" s="2" t="str">
        <f>VLOOKUP($A874,Controle!$B$4:$F$68,3,FALSE)</f>
        <v xml:space="preserve">ESTRELA DO NORTE </v>
      </c>
      <c r="D874" s="2" t="str">
        <f>VLOOKUP($A874,Controle!$B$4:$F$68,4,FALSE)</f>
        <v>EDN</v>
      </c>
      <c r="E874" s="2">
        <f>VLOOKUP($A874,Controle!$B$4:$F$68,5,FALSE)</f>
        <v>2</v>
      </c>
      <c r="F874" s="3" t="str">
        <f t="shared" si="291"/>
        <v>GOS FLORESTAL - (PRAD - Recuperação Area Ambiental)</v>
      </c>
      <c r="G874" s="2" t="str">
        <f>VLOOKUP($A874,Controle!$B$4:$G$68,6,FALSE)</f>
        <v>Apolo</v>
      </c>
      <c r="H874" s="506" t="s">
        <v>170</v>
      </c>
      <c r="I874" s="6">
        <v>0</v>
      </c>
      <c r="J874" s="506"/>
      <c r="K874" s="506">
        <v>0</v>
      </c>
      <c r="L874" s="506">
        <v>0</v>
      </c>
      <c r="M874" s="506">
        <v>0</v>
      </c>
      <c r="N874" s="506">
        <v>0</v>
      </c>
      <c r="O874" s="39">
        <f t="shared" si="287"/>
        <v>0</v>
      </c>
      <c r="P874" s="17">
        <f>SUMIFS('Desenvolvimento diário'!$H:$H,'Desenvolvimento diário'!$Q:$Q,$B874,'Desenvolvimento diário'!$P:$P,$F874,'Desenvolvimento diário'!$R:$R,"Sim")</f>
        <v>0</v>
      </c>
      <c r="Q874" s="17">
        <f>SUMIFS('Desenvolvimento diário'!$H:$H,'Desenvolvimento diário'!$Q:$Q,$B874,'Desenvolvimento diário'!$P:$P,$F874,'Desenvolvimento diário'!$R:$R,"Não")</f>
        <v>0</v>
      </c>
      <c r="R874" s="4">
        <f t="shared" si="288"/>
        <v>0</v>
      </c>
      <c r="S874" s="4">
        <f t="shared" si="289"/>
        <v>0</v>
      </c>
      <c r="T874" s="12">
        <f t="shared" ref="T874:T875" si="293">IFERROR(R874/O874,0)</f>
        <v>0</v>
      </c>
      <c r="Y874" s="2"/>
      <c r="Z874" s="2"/>
      <c r="AA874" s="2"/>
      <c r="AB874" s="2"/>
      <c r="AC874" s="2"/>
    </row>
    <row r="875" spans="1:29" hidden="1">
      <c r="A875" s="2">
        <f t="shared" si="290"/>
        <v>25</v>
      </c>
      <c r="B875" s="2" t="str">
        <f>VLOOKUP($A875,Controle!$B$4:$F$68,2,FALSE)</f>
        <v>Divinópolis 1</v>
      </c>
      <c r="C875" s="2" t="str">
        <f>VLOOKUP($A875,Controle!$B$4:$F$68,3,FALSE)</f>
        <v xml:space="preserve">ESTRELA DO NORTE </v>
      </c>
      <c r="D875" s="2" t="str">
        <f>VLOOKUP($A875,Controle!$B$4:$F$68,4,FALSE)</f>
        <v>EDN</v>
      </c>
      <c r="E875" s="2">
        <f>VLOOKUP($A875,Controle!$B$4:$F$68,5,FALSE)</f>
        <v>2</v>
      </c>
      <c r="F875" s="3" t="str">
        <f t="shared" si="291"/>
        <v>Cercamento das bacias de contenção ciclo 2</v>
      </c>
      <c r="G875" s="2" t="str">
        <f>VLOOKUP($A875,Controle!$B$4:$G$68,6,FALSE)</f>
        <v>Apolo</v>
      </c>
      <c r="H875" s="506" t="s">
        <v>172</v>
      </c>
      <c r="I875" s="6"/>
      <c r="J875" s="506"/>
      <c r="K875" s="506">
        <v>0</v>
      </c>
      <c r="L875" s="506">
        <v>0</v>
      </c>
      <c r="M875" s="506">
        <v>0</v>
      </c>
      <c r="N875" s="506">
        <v>0</v>
      </c>
      <c r="O875" s="39">
        <f t="shared" si="287"/>
        <v>0</v>
      </c>
      <c r="P875" s="17">
        <f>SUMIFS('Desenvolvimento diário'!$H:$H,'Desenvolvimento diário'!$Q:$Q,$B875,'Desenvolvimento diário'!$P:$P,$F875,'Desenvolvimento diário'!$R:$R,"Sim")</f>
        <v>0</v>
      </c>
      <c r="Q875" s="17">
        <f>SUMIFS('Desenvolvimento diário'!$H:$H,'Desenvolvimento diário'!$Q:$Q,$B875,'Desenvolvimento diário'!$P:$P,$F875,'Desenvolvimento diário'!$R:$R,"Não")</f>
        <v>0</v>
      </c>
      <c r="R875" s="4">
        <f t="shared" si="288"/>
        <v>0</v>
      </c>
      <c r="S875" s="1030">
        <f t="shared" si="289"/>
        <v>0</v>
      </c>
      <c r="T875" s="12">
        <f t="shared" si="293"/>
        <v>0</v>
      </c>
      <c r="U875" s="1029" t="s">
        <v>166</v>
      </c>
      <c r="V875" s="1029" t="s">
        <v>94</v>
      </c>
      <c r="Y875" s="2"/>
      <c r="Z875" s="2"/>
      <c r="AA875" s="2"/>
      <c r="AB875" s="2"/>
      <c r="AC875" s="2"/>
    </row>
    <row r="876" spans="1:29" hidden="1">
      <c r="A876" s="8">
        <f>A873</f>
        <v>25</v>
      </c>
      <c r="B876" s="9" t="str">
        <f t="shared" ref="B876" si="294">B873</f>
        <v>Divinópolis 1</v>
      </c>
      <c r="C876" s="9" t="str">
        <f t="shared" ref="C876" si="295">C873</f>
        <v xml:space="preserve">ESTRELA DO NORTE </v>
      </c>
      <c r="D876" s="9" t="str">
        <f t="shared" ref="D876" si="296">D873</f>
        <v>EDN</v>
      </c>
      <c r="E876" s="9">
        <f t="shared" ref="E876" si="297">E873</f>
        <v>2</v>
      </c>
      <c r="F876" s="10" t="s">
        <v>158</v>
      </c>
      <c r="G876" s="9" t="str">
        <f>G873</f>
        <v>Apolo</v>
      </c>
      <c r="H876" s="9"/>
      <c r="I876" s="9">
        <f>SUBTOTAL(9,I842:I875)</f>
        <v>0</v>
      </c>
      <c r="J876" s="9">
        <f t="shared" ref="J876:S876" si="298">SUBTOTAL(9,J842:J875)</f>
        <v>0</v>
      </c>
      <c r="K876" s="9">
        <f t="shared" si="298"/>
        <v>0</v>
      </c>
      <c r="L876" s="9">
        <f t="shared" si="298"/>
        <v>0</v>
      </c>
      <c r="M876" s="9">
        <f t="shared" si="298"/>
        <v>0</v>
      </c>
      <c r="N876" s="9">
        <f t="shared" si="298"/>
        <v>0</v>
      </c>
      <c r="O876" s="9">
        <f t="shared" si="298"/>
        <v>0</v>
      </c>
      <c r="P876" s="9">
        <f t="shared" si="298"/>
        <v>0</v>
      </c>
      <c r="Q876" s="9">
        <f t="shared" si="298"/>
        <v>0</v>
      </c>
      <c r="R876" s="9">
        <f t="shared" si="298"/>
        <v>0</v>
      </c>
      <c r="S876" s="9">
        <f t="shared" si="298"/>
        <v>0</v>
      </c>
      <c r="T876" s="13">
        <f>IFERROR(R876/O876,0)</f>
        <v>0</v>
      </c>
      <c r="U876" s="11">
        <f>SUBTOTAL(9,U842:U875)</f>
        <v>0</v>
      </c>
      <c r="Y876" s="2"/>
      <c r="Z876" s="2"/>
      <c r="AA876" s="2"/>
      <c r="AB876" s="2"/>
      <c r="AC876" s="2"/>
    </row>
    <row r="877" spans="1:29" ht="10.5" hidden="1">
      <c r="A877" s="2">
        <f>A842+1</f>
        <v>26</v>
      </c>
      <c r="B877" s="2" t="str">
        <f>VLOOKUP($A877,Controle!$B$4:$F$68,2,FALSE)</f>
        <v>Divinópolis 2</v>
      </c>
      <c r="C877" s="2" t="str">
        <f>VLOOKUP($A877,Controle!$B$4:$F$68,3,FALSE)</f>
        <v xml:space="preserve">ESTRELA DO NORTE </v>
      </c>
      <c r="D877" s="2" t="str">
        <f>VLOOKUP($A877,Controle!$B$4:$F$68,4,FALSE)</f>
        <v>EDN</v>
      </c>
      <c r="E877" s="2">
        <f>VLOOKUP($A877,Controle!$B$4:$F$68,5,FALSE)</f>
        <v>2</v>
      </c>
      <c r="F877" s="3" t="str">
        <f t="shared" ref="F877:F910" si="299">F842</f>
        <v>Conexão AT - Obras</v>
      </c>
      <c r="G877" s="2" t="str">
        <f>VLOOKUP($A877,Controle!$B$4:$G$68,6,FALSE)</f>
        <v>Apolo</v>
      </c>
      <c r="H877" s="6" t="s">
        <v>141</v>
      </c>
      <c r="I877" s="29">
        <v>100080</v>
      </c>
      <c r="J877" s="6">
        <v>0</v>
      </c>
      <c r="K877" s="6">
        <v>0</v>
      </c>
      <c r="L877" s="6">
        <v>0</v>
      </c>
      <c r="M877" s="6">
        <v>0</v>
      </c>
      <c r="N877" s="6">
        <v>0</v>
      </c>
      <c r="O877" s="4">
        <f t="shared" ref="O877:O910" si="300">SUM(I877:N877)</f>
        <v>100080</v>
      </c>
      <c r="P877" s="5">
        <f>SUMIFS('Desenvolvimento diário'!$H:$H,'Desenvolvimento diário'!$Q:$Q,$B877,'Desenvolvimento diário'!$P:$P,$F877,'Desenvolvimento diário'!$R:$R,"Sim")</f>
        <v>62500</v>
      </c>
      <c r="Q877" s="5">
        <f>SUMIFS('Desenvolvimento diário'!$H:$H,'Desenvolvimento diário'!$Q:$Q,$B877,'Desenvolvimento diário'!$P:$P,$F877,'Desenvolvimento diário'!$R:$R,"Não")</f>
        <v>37580</v>
      </c>
      <c r="R877" s="4">
        <f t="shared" ref="R877:R910" si="301">SUM(P877:Q877)</f>
        <v>100080</v>
      </c>
      <c r="S877" s="4">
        <f t="shared" ref="S877:S910" si="302">O877-R877</f>
        <v>0</v>
      </c>
      <c r="T877" s="12">
        <f t="shared" si="279"/>
        <v>1</v>
      </c>
      <c r="Y877" s="2"/>
      <c r="Z877" s="2"/>
      <c r="AA877" s="2"/>
      <c r="AB877" s="2"/>
      <c r="AC877" s="2"/>
    </row>
    <row r="878" spans="1:29" ht="10.5" hidden="1">
      <c r="A878" s="2">
        <f t="shared" ref="A878:A910" si="303">A877</f>
        <v>26</v>
      </c>
      <c r="B878" s="2" t="str">
        <f>VLOOKUP($A878,Controle!$B$4:$F$68,2,FALSE)</f>
        <v>Divinópolis 2</v>
      </c>
      <c r="C878" s="2" t="str">
        <f>VLOOKUP($A878,Controle!$B$4:$F$68,3,FALSE)</f>
        <v xml:space="preserve">ESTRELA DO NORTE </v>
      </c>
      <c r="D878" s="2" t="str">
        <f>VLOOKUP($A878,Controle!$B$4:$F$68,4,FALSE)</f>
        <v>EDN</v>
      </c>
      <c r="E878" s="2">
        <f>VLOOKUP($A878,Controle!$B$4:$F$68,5,FALSE)</f>
        <v>2</v>
      </c>
      <c r="F878" s="3" t="str">
        <f t="shared" si="299"/>
        <v>Conexão MT - Obras</v>
      </c>
      <c r="G878" s="2" t="str">
        <f>VLOOKUP($A878,Controle!$B$4:$G$68,6,FALSE)</f>
        <v>Apolo</v>
      </c>
      <c r="H878" s="6" t="s">
        <v>168</v>
      </c>
      <c r="I878" s="6">
        <v>650000</v>
      </c>
      <c r="J878" s="6">
        <v>178500</v>
      </c>
      <c r="K878" s="6">
        <v>207569.76</v>
      </c>
      <c r="L878" s="6">
        <v>30000</v>
      </c>
      <c r="M878" s="6">
        <v>16000</v>
      </c>
      <c r="N878" s="6">
        <v>0</v>
      </c>
      <c r="O878" s="4">
        <f t="shared" si="300"/>
        <v>1082069.76</v>
      </c>
      <c r="P878" s="5">
        <f>SUMIFS('Desenvolvimento diário'!$H:$H,'Desenvolvimento diário'!$Q:$Q,$B878,'Desenvolvimento diário'!$P:$P,$F878,'Desenvolvimento diário'!$R:$R,"Sim")</f>
        <v>791799.59</v>
      </c>
      <c r="Q878" s="5">
        <f>SUMIFS('Desenvolvimento diário'!$H:$H,'Desenvolvimento diário'!$Q:$Q,$B878,'Desenvolvimento diário'!$P:$P,$F878,'Desenvolvimento diário'!$R:$R,"Não")</f>
        <v>290270.17000000004</v>
      </c>
      <c r="R878" s="4">
        <f t="shared" si="301"/>
        <v>1082069.76</v>
      </c>
      <c r="S878" s="4">
        <f t="shared" si="302"/>
        <v>0</v>
      </c>
      <c r="T878" s="12">
        <f t="shared" si="279"/>
        <v>1</v>
      </c>
      <c r="Y878" s="2"/>
      <c r="Z878" s="2"/>
      <c r="AA878" s="2"/>
      <c r="AB878" s="2"/>
      <c r="AC878" s="2"/>
    </row>
    <row r="879" spans="1:29" ht="10.5" hidden="1">
      <c r="A879" s="2">
        <f t="shared" si="303"/>
        <v>26</v>
      </c>
      <c r="B879" s="2" t="str">
        <f>VLOOKUP($A879,Controle!$B$4:$F$68,2,FALSE)</f>
        <v>Divinópolis 2</v>
      </c>
      <c r="C879" s="2" t="str">
        <f>VLOOKUP($A879,Controle!$B$4:$F$68,3,FALSE)</f>
        <v xml:space="preserve">ESTRELA DO NORTE </v>
      </c>
      <c r="D879" s="2" t="str">
        <f>VLOOKUP($A879,Controle!$B$4:$F$68,4,FALSE)</f>
        <v>EDN</v>
      </c>
      <c r="E879" s="2">
        <f>VLOOKUP($A879,Controle!$B$4:$F$68,5,FALSE)</f>
        <v>2</v>
      </c>
      <c r="F879" s="3" t="str">
        <f t="shared" si="299"/>
        <v>Construção - Serviços de Construção</v>
      </c>
      <c r="G879" s="2" t="str">
        <f>VLOOKUP($A879,Controle!$B$4:$G$68,6,FALSE)</f>
        <v>Apolo</v>
      </c>
      <c r="H879" s="6" t="s">
        <v>201</v>
      </c>
      <c r="I879" s="6">
        <v>2743214.895</v>
      </c>
      <c r="J879" s="6">
        <v>301121.39</v>
      </c>
      <c r="K879" s="6">
        <v>259146.86</v>
      </c>
      <c r="L879" s="6">
        <v>0</v>
      </c>
      <c r="M879" s="6">
        <v>0</v>
      </c>
      <c r="N879" s="6">
        <v>0</v>
      </c>
      <c r="O879" s="4">
        <f>SUM(I879:N879)+0.005</f>
        <v>3303483.15</v>
      </c>
      <c r="P879" s="5">
        <f>SUMIFS('Desenvolvimento diário'!$H:$H,'Desenvolvimento diário'!$Q:$Q,$B879,'Desenvolvimento diário'!$P:$P,$F879,'Desenvolvimento diário'!$R:$R,"Sim")</f>
        <v>217878.53999999998</v>
      </c>
      <c r="Q879" s="5">
        <f>SUMIFS('Desenvolvimento diário'!$H:$H,'Desenvolvimento diário'!$Q:$Q,$B879,'Desenvolvimento diário'!$P:$P,$F879,'Desenvolvimento diário'!$R:$R,"Não")</f>
        <v>3085604.6100000003</v>
      </c>
      <c r="R879" s="4">
        <f t="shared" si="301"/>
        <v>3303483.1500000004</v>
      </c>
      <c r="S879" s="4">
        <f>O879-R879</f>
        <v>0</v>
      </c>
      <c r="T879" s="12">
        <f t="shared" si="279"/>
        <v>1.0000000000000002</v>
      </c>
      <c r="U879" s="34"/>
      <c r="Y879" s="2"/>
      <c r="Z879" s="2"/>
      <c r="AA879" s="2"/>
      <c r="AB879" s="2"/>
      <c r="AC879" s="2"/>
    </row>
    <row r="880" spans="1:29" ht="10.5" hidden="1">
      <c r="A880" s="2">
        <f t="shared" si="303"/>
        <v>26</v>
      </c>
      <c r="B880" s="2" t="str">
        <f>VLOOKUP($A880,Controle!$B$4:$F$68,2,FALSE)</f>
        <v>Divinópolis 2</v>
      </c>
      <c r="C880" s="2" t="str">
        <f>VLOOKUP($A880,Controle!$B$4:$F$68,3,FALSE)</f>
        <v xml:space="preserve">ESTRELA DO NORTE </v>
      </c>
      <c r="D880" s="2" t="str">
        <f>VLOOKUP($A880,Controle!$B$4:$F$68,4,FALSE)</f>
        <v>EDN</v>
      </c>
      <c r="E880" s="2">
        <f>VLOOKUP($A880,Controle!$B$4:$F$68,5,FALSE)</f>
        <v>2</v>
      </c>
      <c r="F880" s="3" t="str">
        <f t="shared" si="299"/>
        <v>Construção - Serviços de Construção - Substituição</v>
      </c>
      <c r="G880" s="2" t="str">
        <f>VLOOKUP($A880,Controle!$B$4:$G$68,6,FALSE)</f>
        <v>Apolo</v>
      </c>
      <c r="H880" s="6" t="s">
        <v>202</v>
      </c>
      <c r="I880" s="6">
        <v>2740702.22</v>
      </c>
      <c r="J880" s="6">
        <v>0</v>
      </c>
      <c r="K880" s="6">
        <v>0</v>
      </c>
      <c r="L880" s="6">
        <v>0</v>
      </c>
      <c r="M880" s="6">
        <v>0</v>
      </c>
      <c r="N880" s="6">
        <v>0</v>
      </c>
      <c r="O880" s="4">
        <f t="shared" si="300"/>
        <v>2740702.22</v>
      </c>
      <c r="P880" s="5">
        <f>SUMIFS('Desenvolvimento diário'!$H:$H,'Desenvolvimento diário'!$Q:$Q,$B880,'Desenvolvimento diário'!$P:$P,$F880,'Desenvolvimento diário'!$R:$R,"Sim")</f>
        <v>500099.54</v>
      </c>
      <c r="Q880" s="5">
        <f>SUMIFS('Desenvolvimento diário'!$H:$H,'Desenvolvimento diário'!$Q:$Q,$B880,'Desenvolvimento diário'!$P:$P,$F880,'Desenvolvimento diário'!$R:$R,"Não")</f>
        <v>274070.21999999997</v>
      </c>
      <c r="R880" s="4">
        <f t="shared" si="301"/>
        <v>774169.76</v>
      </c>
      <c r="S880" s="33">
        <f t="shared" si="302"/>
        <v>1966532.4600000002</v>
      </c>
      <c r="T880" s="12">
        <f t="shared" si="279"/>
        <v>0.28247131496102484</v>
      </c>
      <c r="U880" s="510" t="s">
        <v>162</v>
      </c>
      <c r="V880" s="510" t="s">
        <v>163</v>
      </c>
      <c r="Y880" s="2"/>
      <c r="Z880" s="2"/>
      <c r="AA880" s="2"/>
      <c r="AB880" s="2"/>
      <c r="AC880" s="2"/>
    </row>
    <row r="881" spans="1:29" ht="10.5" hidden="1">
      <c r="A881" s="2">
        <f t="shared" si="303"/>
        <v>26</v>
      </c>
      <c r="B881" s="2" t="str">
        <f>VLOOKUP($A881,Controle!$B$4:$F$68,2,FALSE)</f>
        <v>Divinópolis 2</v>
      </c>
      <c r="C881" s="2" t="str">
        <f>VLOOKUP($A881,Controle!$B$4:$F$68,3,FALSE)</f>
        <v xml:space="preserve">ESTRELA DO NORTE </v>
      </c>
      <c r="D881" s="2" t="str">
        <f>VLOOKUP($A881,Controle!$B$4:$F$68,4,FALSE)</f>
        <v>EDN</v>
      </c>
      <c r="E881" s="2">
        <f>VLOOKUP($A881,Controle!$B$4:$F$68,5,FALSE)</f>
        <v>2</v>
      </c>
      <c r="F881" s="3" t="str">
        <f t="shared" si="299"/>
        <v>Construção - RDA Interno</v>
      </c>
      <c r="G881" s="2" t="str">
        <f>VLOOKUP($A881,Controle!$B$4:$G$68,6,FALSE)</f>
        <v>Apolo</v>
      </c>
      <c r="H881" s="6" t="s">
        <v>168</v>
      </c>
      <c r="I881" s="6">
        <v>452465.78</v>
      </c>
      <c r="J881" s="6">
        <v>0</v>
      </c>
      <c r="K881" s="6">
        <v>0</v>
      </c>
      <c r="L881" s="6">
        <v>0</v>
      </c>
      <c r="M881" s="6">
        <v>0</v>
      </c>
      <c r="N881" s="6">
        <v>0</v>
      </c>
      <c r="O881" s="4">
        <f t="shared" si="300"/>
        <v>452465.78</v>
      </c>
      <c r="P881" s="5">
        <f>SUMIFS('Desenvolvimento diário'!$H:$H,'Desenvolvimento diário'!$Q:$Q,$B881,'Desenvolvimento diário'!$P:$P,$F881,'Desenvolvimento diário'!$R:$R,"Sim")</f>
        <v>118070.06</v>
      </c>
      <c r="Q881" s="5">
        <f>SUMIFS('Desenvolvimento diário'!$H:$H,'Desenvolvimento diário'!$Q:$Q,$B881,'Desenvolvimento diário'!$P:$P,$F881,'Desenvolvimento diário'!$R:$R,"Não")</f>
        <v>334395.71999999997</v>
      </c>
      <c r="R881" s="4">
        <f t="shared" si="301"/>
        <v>452465.77999999997</v>
      </c>
      <c r="S881" s="4">
        <f t="shared" si="302"/>
        <v>0</v>
      </c>
      <c r="T881" s="12">
        <f t="shared" si="279"/>
        <v>0.99999999999999989</v>
      </c>
      <c r="Y881" s="2"/>
      <c r="Z881" s="2"/>
      <c r="AA881" s="2"/>
      <c r="AB881" s="2"/>
      <c r="AC881" s="2"/>
    </row>
    <row r="882" spans="1:29" ht="10.5" hidden="1">
      <c r="A882" s="2">
        <f t="shared" si="303"/>
        <v>26</v>
      </c>
      <c r="B882" s="2" t="str">
        <f>VLOOKUP($A882,Controle!$B$4:$F$68,2,FALSE)</f>
        <v>Divinópolis 2</v>
      </c>
      <c r="C882" s="2" t="str">
        <f>VLOOKUP($A882,Controle!$B$4:$F$68,3,FALSE)</f>
        <v xml:space="preserve">ESTRELA DO NORTE </v>
      </c>
      <c r="D882" s="2" t="str">
        <f>VLOOKUP($A882,Controle!$B$4:$F$68,4,FALSE)</f>
        <v>EDN</v>
      </c>
      <c r="E882" s="2">
        <f>VLOOKUP($A882,Controle!$B$4:$F$68,5,FALSE)</f>
        <v>2</v>
      </c>
      <c r="F882" s="3" t="str">
        <f t="shared" si="299"/>
        <v>Full EPC - Contrato</v>
      </c>
      <c r="G882" s="2" t="str">
        <f>VLOOKUP($A882,Controle!$B$4:$G$68,6,FALSE)</f>
        <v>Apolo</v>
      </c>
      <c r="H882" s="6">
        <v>0</v>
      </c>
      <c r="I882" s="6">
        <v>0</v>
      </c>
      <c r="J882" s="6">
        <v>0</v>
      </c>
      <c r="K882" s="6">
        <v>0</v>
      </c>
      <c r="L882" s="6">
        <v>0</v>
      </c>
      <c r="M882" s="6">
        <v>0</v>
      </c>
      <c r="N882" s="6">
        <v>0</v>
      </c>
      <c r="O882" s="4">
        <f t="shared" si="300"/>
        <v>0</v>
      </c>
      <c r="P882" s="5">
        <f>SUMIFS('Desenvolvimento diário'!$H:$H,'Desenvolvimento diário'!$Q:$Q,$B882,'Desenvolvimento diário'!$P:$P,$F882,'Desenvolvimento diário'!$R:$R,"Sim")</f>
        <v>0</v>
      </c>
      <c r="Q882" s="5">
        <f>SUMIFS('Desenvolvimento diário'!$H:$H,'Desenvolvimento diário'!$Q:$Q,$B882,'Desenvolvimento diário'!$P:$P,$F882,'Desenvolvimento diário'!$R:$R,"Não")</f>
        <v>0</v>
      </c>
      <c r="R882" s="4">
        <f t="shared" si="301"/>
        <v>0</v>
      </c>
      <c r="S882" s="4">
        <f t="shared" si="302"/>
        <v>0</v>
      </c>
      <c r="T882" s="12">
        <f t="shared" si="279"/>
        <v>0</v>
      </c>
      <c r="Y882" s="2"/>
      <c r="Z882" s="2"/>
      <c r="AA882" s="2"/>
      <c r="AB882" s="2"/>
      <c r="AC882" s="2"/>
    </row>
    <row r="883" spans="1:29" ht="10.5" hidden="1">
      <c r="A883" s="2">
        <f t="shared" si="303"/>
        <v>26</v>
      </c>
      <c r="B883" s="2" t="str">
        <f>VLOOKUP($A883,Controle!$B$4:$F$68,2,FALSE)</f>
        <v>Divinópolis 2</v>
      </c>
      <c r="C883" s="2" t="str">
        <f>VLOOKUP($A883,Controle!$B$4:$F$68,3,FALSE)</f>
        <v xml:space="preserve">ESTRELA DO NORTE </v>
      </c>
      <c r="D883" s="2" t="str">
        <f>VLOOKUP($A883,Controle!$B$4:$F$68,4,FALSE)</f>
        <v>EDN</v>
      </c>
      <c r="E883" s="2">
        <f>VLOOKUP($A883,Controle!$B$4:$F$68,5,FALSE)</f>
        <v>2</v>
      </c>
      <c r="F883" s="3" t="str">
        <f t="shared" si="299"/>
        <v>Equipamentos Curva A - Outros (Transformadores)</v>
      </c>
      <c r="G883" s="2" t="str">
        <f>VLOOKUP($A883,Controle!$B$4:$G$68,6,FALSE)</f>
        <v>Apolo</v>
      </c>
      <c r="H883" s="6" t="s">
        <v>144</v>
      </c>
      <c r="I883" s="6">
        <v>269053.46999999997</v>
      </c>
      <c r="J883" s="6">
        <v>0</v>
      </c>
      <c r="K883" s="6">
        <v>0</v>
      </c>
      <c r="L883" s="6">
        <v>0</v>
      </c>
      <c r="M883" s="6">
        <v>0</v>
      </c>
      <c r="N883" s="6">
        <v>0</v>
      </c>
      <c r="O883" s="4">
        <f t="shared" si="300"/>
        <v>269053.46999999997</v>
      </c>
      <c r="P883" s="5">
        <f>SUMIFS('Desenvolvimento diário'!$H:$H,'Desenvolvimento diário'!$Q:$Q,$B883,'Desenvolvimento diário'!$P:$P,$F883,'Desenvolvimento diário'!$R:$R,"Sim")</f>
        <v>0</v>
      </c>
      <c r="Q883" s="5">
        <f>SUMIFS('Desenvolvimento diário'!$H:$H,'Desenvolvimento diário'!$Q:$Q,$B883,'Desenvolvimento diário'!$P:$P,$F883,'Desenvolvimento diário'!$R:$R,"Não")</f>
        <v>269053.46999999997</v>
      </c>
      <c r="R883" s="4">
        <f t="shared" si="301"/>
        <v>269053.46999999997</v>
      </c>
      <c r="S883" s="4">
        <f t="shared" si="302"/>
        <v>0</v>
      </c>
      <c r="T883" s="12">
        <f t="shared" si="279"/>
        <v>1</v>
      </c>
      <c r="Y883" s="2"/>
      <c r="Z883" s="2"/>
      <c r="AA883" s="2"/>
      <c r="AB883" s="2"/>
      <c r="AC883" s="2"/>
    </row>
    <row r="884" spans="1:29" ht="10.5" hidden="1">
      <c r="A884" s="2">
        <f t="shared" si="303"/>
        <v>26</v>
      </c>
      <c r="B884" s="2" t="str">
        <f>VLOOKUP($A884,Controle!$B$4:$F$68,2,FALSE)</f>
        <v>Divinópolis 2</v>
      </c>
      <c r="C884" s="2" t="str">
        <f>VLOOKUP($A884,Controle!$B$4:$F$68,3,FALSE)</f>
        <v xml:space="preserve">ESTRELA DO NORTE </v>
      </c>
      <c r="D884" s="2" t="str">
        <f>VLOOKUP($A884,Controle!$B$4:$F$68,4,FALSE)</f>
        <v>EDN</v>
      </c>
      <c r="E884" s="2">
        <f>VLOOKUP($A884,Controle!$B$4:$F$68,5,FALSE)</f>
        <v>2</v>
      </c>
      <c r="F884" s="3" t="str">
        <f t="shared" si="299"/>
        <v>Equipamentos Curva A - Outros (Cabine + Skid)</v>
      </c>
      <c r="G884" s="2" t="str">
        <f>VLOOKUP($A884,Controle!$B$4:$G$68,6,FALSE)</f>
        <v>Apolo</v>
      </c>
      <c r="H884" s="6" t="s">
        <v>196</v>
      </c>
      <c r="I884" s="6">
        <f>646894.372340426-0.002340426</f>
        <v>646894.37</v>
      </c>
      <c r="J884" s="6">
        <v>6454.4</v>
      </c>
      <c r="K884" s="6">
        <v>0</v>
      </c>
      <c r="L884" s="6">
        <v>0</v>
      </c>
      <c r="M884" s="6">
        <v>0</v>
      </c>
      <c r="N884" s="6">
        <v>0</v>
      </c>
      <c r="O884" s="43">
        <f t="shared" si="300"/>
        <v>653348.77</v>
      </c>
      <c r="P884" s="5">
        <f>SUMIFS('Desenvolvimento diário'!$H:$H,'Desenvolvimento diário'!$Q:$Q,$B884,'Desenvolvimento diário'!$P:$P,$F884,'Desenvolvimento diário'!$R:$R,"Sim")</f>
        <v>0</v>
      </c>
      <c r="Q884" s="5">
        <f>SUMIFS('Desenvolvimento diário'!$H:$H,'Desenvolvimento diário'!$Q:$Q,$B884,'Desenvolvimento diário'!$P:$P,$F884,'Desenvolvimento diário'!$R:$R,"Não")</f>
        <v>653348.77</v>
      </c>
      <c r="R884" s="43">
        <f t="shared" si="301"/>
        <v>653348.77</v>
      </c>
      <c r="S884" s="4">
        <f t="shared" si="302"/>
        <v>0</v>
      </c>
      <c r="T884" s="12">
        <f t="shared" si="279"/>
        <v>1</v>
      </c>
      <c r="Y884" s="2"/>
      <c r="Z884" s="2"/>
      <c r="AA884" s="2"/>
      <c r="AB884" s="2"/>
      <c r="AC884" s="2"/>
    </row>
    <row r="885" spans="1:29" ht="10.5" hidden="1">
      <c r="A885" s="2">
        <f t="shared" si="303"/>
        <v>26</v>
      </c>
      <c r="B885" s="2" t="str">
        <f>VLOOKUP($A885,Controle!$B$4:$F$68,2,FALSE)</f>
        <v>Divinópolis 2</v>
      </c>
      <c r="C885" s="2" t="str">
        <f>VLOOKUP($A885,Controle!$B$4:$F$68,3,FALSE)</f>
        <v xml:space="preserve">ESTRELA DO NORTE </v>
      </c>
      <c r="D885" s="2" t="str">
        <f>VLOOKUP($A885,Controle!$B$4:$F$68,4,FALSE)</f>
        <v>EDN</v>
      </c>
      <c r="E885" s="2">
        <f>VLOOKUP($A885,Controle!$B$4:$F$68,5,FALSE)</f>
        <v>2</v>
      </c>
      <c r="F885" s="3" t="str">
        <f t="shared" si="299"/>
        <v>Equipamentos Curva A - Outros (Cabine + Skid + Transformador)</v>
      </c>
      <c r="G885" s="2" t="str">
        <f>VLOOKUP($A885,Controle!$B$4:$G$68,6,FALSE)</f>
        <v>Apolo</v>
      </c>
      <c r="H885" s="6">
        <v>0</v>
      </c>
      <c r="I885" s="6">
        <v>0</v>
      </c>
      <c r="J885" s="6">
        <v>0</v>
      </c>
      <c r="K885" s="6">
        <v>0</v>
      </c>
      <c r="L885" s="6">
        <v>0</v>
      </c>
      <c r="M885" s="6">
        <v>0</v>
      </c>
      <c r="N885" s="6">
        <v>0</v>
      </c>
      <c r="O885" s="4">
        <f t="shared" si="300"/>
        <v>0</v>
      </c>
      <c r="P885" s="5">
        <f>SUMIFS('Desenvolvimento diário'!$H:$H,'Desenvolvimento diário'!$Q:$Q,$B885,'Desenvolvimento diário'!$P:$P,$F885,'Desenvolvimento diário'!$R:$R,"Sim")</f>
        <v>0</v>
      </c>
      <c r="Q885" s="5">
        <f>SUMIFS('Desenvolvimento diário'!$H:$H,'Desenvolvimento diário'!$Q:$Q,$B885,'Desenvolvimento diário'!$P:$P,$F885,'Desenvolvimento diário'!$R:$R,"Não")</f>
        <v>0</v>
      </c>
      <c r="R885" s="4">
        <f t="shared" si="301"/>
        <v>0</v>
      </c>
      <c r="S885" s="4">
        <f t="shared" si="302"/>
        <v>0</v>
      </c>
      <c r="T885" s="12">
        <f t="shared" si="279"/>
        <v>0</v>
      </c>
      <c r="Y885" s="2"/>
      <c r="Z885" s="2"/>
      <c r="AA885" s="2"/>
      <c r="AB885" s="2"/>
      <c r="AC885" s="2"/>
    </row>
    <row r="886" spans="1:29" ht="10.5" hidden="1">
      <c r="A886" s="2">
        <f t="shared" si="303"/>
        <v>26</v>
      </c>
      <c r="B886" s="2" t="str">
        <f>VLOOKUP($A886,Controle!$B$4:$F$68,2,FALSE)</f>
        <v>Divinópolis 2</v>
      </c>
      <c r="C886" s="2" t="str">
        <f>VLOOKUP($A886,Controle!$B$4:$F$68,3,FALSE)</f>
        <v xml:space="preserve">ESTRELA DO NORTE </v>
      </c>
      <c r="D886" s="2" t="str">
        <f>VLOOKUP($A886,Controle!$B$4:$F$68,4,FALSE)</f>
        <v>EDN</v>
      </c>
      <c r="E886" s="2">
        <f>VLOOKUP($A886,Controle!$B$4:$F$68,5,FALSE)</f>
        <v>2</v>
      </c>
      <c r="F886" s="3" t="str">
        <f t="shared" si="299"/>
        <v>Desenvolvimento de projeto - Projetos - (Eng° Proprietario)</v>
      </c>
      <c r="G886" s="2" t="str">
        <f>VLOOKUP($A886,Controle!$B$4:$G$68,6,FALSE)</f>
        <v>Apolo</v>
      </c>
      <c r="H886" s="6" t="s">
        <v>145</v>
      </c>
      <c r="I886" s="6">
        <v>0</v>
      </c>
      <c r="J886" s="6">
        <v>0</v>
      </c>
      <c r="K886" s="6">
        <v>0</v>
      </c>
      <c r="L886" s="6">
        <v>0</v>
      </c>
      <c r="M886" s="6">
        <v>0</v>
      </c>
      <c r="N886" s="6">
        <v>0</v>
      </c>
      <c r="O886" s="4">
        <f t="shared" si="300"/>
        <v>0</v>
      </c>
      <c r="P886" s="5">
        <f>SUMIFS('Desenvolvimento diário'!$H:$H,'Desenvolvimento diário'!$Q:$Q,$B886,'Desenvolvimento diário'!$P:$P,$F886,'Desenvolvimento diário'!$R:$R,"Sim")</f>
        <v>0</v>
      </c>
      <c r="Q886" s="5">
        <f>SUMIFS('Desenvolvimento diário'!$H:$H,'Desenvolvimento diário'!$Q:$Q,$B886,'Desenvolvimento diário'!$P:$P,$F886,'Desenvolvimento diário'!$R:$R,"Não")</f>
        <v>0</v>
      </c>
      <c r="R886" s="4">
        <f t="shared" si="301"/>
        <v>0</v>
      </c>
      <c r="S886" s="4">
        <f t="shared" si="302"/>
        <v>0</v>
      </c>
      <c r="T886" s="12">
        <f t="shared" ref="T886:T953" si="304">IFERROR(R886/O886,0)</f>
        <v>0</v>
      </c>
      <c r="Y886" s="2"/>
      <c r="Z886" s="2"/>
      <c r="AA886" s="2"/>
      <c r="AB886" s="2"/>
      <c r="AC886" s="2"/>
    </row>
    <row r="887" spans="1:29" ht="10.5" hidden="1">
      <c r="A887" s="2">
        <f t="shared" si="303"/>
        <v>26</v>
      </c>
      <c r="B887" s="2" t="str">
        <f>VLOOKUP($A887,Controle!$B$4:$F$68,2,FALSE)</f>
        <v>Divinópolis 2</v>
      </c>
      <c r="C887" s="2" t="str">
        <f>VLOOKUP($A887,Controle!$B$4:$F$68,3,FALSE)</f>
        <v xml:space="preserve">ESTRELA DO NORTE </v>
      </c>
      <c r="D887" s="2" t="str">
        <f>VLOOKUP($A887,Controle!$B$4:$F$68,4,FALSE)</f>
        <v>EDN</v>
      </c>
      <c r="E887" s="2">
        <f>VLOOKUP($A887,Controle!$B$4:$F$68,5,FALSE)</f>
        <v>2</v>
      </c>
      <c r="F887" s="3" t="str">
        <f t="shared" si="299"/>
        <v>Desenvolvimento de projeto - Projetos - Executivos</v>
      </c>
      <c r="G887" s="2" t="str">
        <f>VLOOKUP($A887,Controle!$B$4:$G$68,6,FALSE)</f>
        <v>Apolo</v>
      </c>
      <c r="H887" s="6" t="s">
        <v>146</v>
      </c>
      <c r="I887" s="6">
        <v>33350</v>
      </c>
      <c r="J887" s="6">
        <v>0</v>
      </c>
      <c r="K887" s="6">
        <v>0</v>
      </c>
      <c r="L887" s="6">
        <v>0</v>
      </c>
      <c r="M887" s="6">
        <v>0</v>
      </c>
      <c r="N887" s="6">
        <v>0</v>
      </c>
      <c r="O887" s="4">
        <f t="shared" si="300"/>
        <v>33350</v>
      </c>
      <c r="P887" s="5">
        <f>SUMIFS('Desenvolvimento diário'!$H:$H,'Desenvolvimento diário'!$Q:$Q,$B887,'Desenvolvimento diário'!$P:$P,$F887,'Desenvolvimento diário'!$R:$R,"Sim")</f>
        <v>0</v>
      </c>
      <c r="Q887" s="5">
        <f>SUMIFS('Desenvolvimento diário'!$H:$H,'Desenvolvimento diário'!$Q:$Q,$B887,'Desenvolvimento diário'!$P:$P,$F887,'Desenvolvimento diário'!$R:$R,"Não")</f>
        <v>33350</v>
      </c>
      <c r="R887" s="4">
        <f t="shared" si="301"/>
        <v>33350</v>
      </c>
      <c r="S887" s="4">
        <f t="shared" si="302"/>
        <v>0</v>
      </c>
      <c r="T887" s="12">
        <f t="shared" si="304"/>
        <v>1</v>
      </c>
      <c r="Y887" s="2"/>
      <c r="Z887" s="2"/>
      <c r="AA887" s="2"/>
      <c r="AB887" s="2"/>
      <c r="AC887" s="2"/>
    </row>
    <row r="888" spans="1:29" ht="10.5" hidden="1">
      <c r="A888" s="2">
        <f t="shared" si="303"/>
        <v>26</v>
      </c>
      <c r="B888" s="2" t="str">
        <f>VLOOKUP($A888,Controle!$B$4:$F$68,2,FALSE)</f>
        <v>Divinópolis 2</v>
      </c>
      <c r="C888" s="2" t="str">
        <f>VLOOKUP($A888,Controle!$B$4:$F$68,3,FALSE)</f>
        <v xml:space="preserve">ESTRELA DO NORTE </v>
      </c>
      <c r="D888" s="2" t="str">
        <f>VLOOKUP($A888,Controle!$B$4:$F$68,4,FALSE)</f>
        <v>EDN</v>
      </c>
      <c r="E888" s="2">
        <f>VLOOKUP($A888,Controle!$B$4:$F$68,5,FALSE)</f>
        <v>2</v>
      </c>
      <c r="F888" s="3" t="str">
        <f t="shared" si="299"/>
        <v>Desenvolvimento de projeto - Projetos Básica</v>
      </c>
      <c r="G888" s="2" t="str">
        <f>VLOOKUP($A888,Controle!$B$4:$G$68,6,FALSE)</f>
        <v>Apolo</v>
      </c>
      <c r="H888" s="6" t="s">
        <v>147</v>
      </c>
      <c r="I888" s="6">
        <f>20000+15000</f>
        <v>35000</v>
      </c>
      <c r="J888" s="6">
        <v>12190.75</v>
      </c>
      <c r="K888" s="6">
        <v>0</v>
      </c>
      <c r="L888" s="6">
        <v>0</v>
      </c>
      <c r="M888" s="6">
        <v>0</v>
      </c>
      <c r="N888" s="6">
        <v>0</v>
      </c>
      <c r="O888" s="4">
        <f t="shared" si="300"/>
        <v>47190.75</v>
      </c>
      <c r="P888" s="5">
        <f>SUMIFS('Desenvolvimento diário'!$H:$H,'Desenvolvimento diário'!$Q:$Q,$B888,'Desenvolvimento diário'!$P:$P,$F888,'Desenvolvimento diário'!$R:$R,"Sim")</f>
        <v>0</v>
      </c>
      <c r="Q888" s="5">
        <f>SUMIFS('Desenvolvimento diário'!$H:$H,'Desenvolvimento diário'!$Q:$Q,$B888,'Desenvolvimento diário'!$P:$P,$F888,'Desenvolvimento diário'!$R:$R,"Não")</f>
        <v>47190.75</v>
      </c>
      <c r="R888" s="4">
        <f t="shared" si="301"/>
        <v>47190.75</v>
      </c>
      <c r="S888" s="4">
        <f t="shared" si="302"/>
        <v>0</v>
      </c>
      <c r="T888" s="12">
        <f t="shared" si="304"/>
        <v>1</v>
      </c>
      <c r="U888" s="34"/>
      <c r="Y888" s="2"/>
      <c r="Z888" s="2"/>
      <c r="AA888" s="2"/>
      <c r="AB888" s="2"/>
      <c r="AC888" s="2"/>
    </row>
    <row r="889" spans="1:29" ht="10.5" hidden="1">
      <c r="A889" s="2">
        <f t="shared" si="303"/>
        <v>26</v>
      </c>
      <c r="B889" s="2" t="str">
        <f>VLOOKUP($A889,Controle!$B$4:$F$68,2,FALSE)</f>
        <v>Divinópolis 2</v>
      </c>
      <c r="C889" s="2" t="str">
        <f>VLOOKUP($A889,Controle!$B$4:$F$68,3,FALSE)</f>
        <v xml:space="preserve">ESTRELA DO NORTE </v>
      </c>
      <c r="D889" s="2" t="str">
        <f>VLOOKUP($A889,Controle!$B$4:$F$68,4,FALSE)</f>
        <v>EDN</v>
      </c>
      <c r="E889" s="2">
        <f>VLOOKUP($A889,Controle!$B$4:$F$68,5,FALSE)</f>
        <v>2</v>
      </c>
      <c r="F889" s="3" t="str">
        <f t="shared" si="299"/>
        <v>Desenvolvimento de projeto - Projetos Detalhada</v>
      </c>
      <c r="G889" s="2" t="str">
        <f>VLOOKUP($A889,Controle!$B$4:$G$68,6,FALSE)</f>
        <v>Apolo</v>
      </c>
      <c r="H889" s="6">
        <v>0</v>
      </c>
      <c r="I889" s="6">
        <v>0</v>
      </c>
      <c r="J889" s="6">
        <v>0</v>
      </c>
      <c r="K889" s="6">
        <v>0</v>
      </c>
      <c r="L889" s="6">
        <v>0</v>
      </c>
      <c r="M889" s="6">
        <v>0</v>
      </c>
      <c r="N889" s="6">
        <v>0</v>
      </c>
      <c r="O889" s="4">
        <f t="shared" si="300"/>
        <v>0</v>
      </c>
      <c r="P889" s="5">
        <f>SUMIFS('Desenvolvimento diário'!$H:$H,'Desenvolvimento diário'!$Q:$Q,$B889,'Desenvolvimento diário'!$P:$P,$F889,'Desenvolvimento diário'!$R:$R,"Sim")</f>
        <v>0</v>
      </c>
      <c r="Q889" s="5">
        <f>SUMIFS('Desenvolvimento diário'!$H:$H,'Desenvolvimento diário'!$Q:$Q,$B889,'Desenvolvimento diário'!$P:$P,$F889,'Desenvolvimento diário'!$R:$R,"Não")</f>
        <v>0</v>
      </c>
      <c r="R889" s="4">
        <f t="shared" si="301"/>
        <v>0</v>
      </c>
      <c r="S889" s="27">
        <f t="shared" si="302"/>
        <v>0</v>
      </c>
      <c r="T889" s="12">
        <f t="shared" si="304"/>
        <v>0</v>
      </c>
      <c r="Y889" s="2"/>
      <c r="Z889" s="2"/>
      <c r="AA889" s="2"/>
      <c r="AB889" s="2"/>
      <c r="AC889" s="2"/>
    </row>
    <row r="890" spans="1:29" ht="10.5" hidden="1">
      <c r="A890" s="2">
        <f t="shared" si="303"/>
        <v>26</v>
      </c>
      <c r="B890" s="2" t="str">
        <f>VLOOKUP($A890,Controle!$B$4:$F$68,2,FALSE)</f>
        <v>Divinópolis 2</v>
      </c>
      <c r="C890" s="2" t="str">
        <f>VLOOKUP($A890,Controle!$B$4:$F$68,3,FALSE)</f>
        <v xml:space="preserve">ESTRELA DO NORTE </v>
      </c>
      <c r="D890" s="2" t="str">
        <f>VLOOKUP($A890,Controle!$B$4:$F$68,4,FALSE)</f>
        <v>EDN</v>
      </c>
      <c r="E890" s="2">
        <f>VLOOKUP($A890,Controle!$B$4:$F$68,5,FALSE)</f>
        <v>2</v>
      </c>
      <c r="F890" s="3" t="str">
        <f t="shared" si="299"/>
        <v>Desenvolvimento de projeto - Ambiental / Outros</v>
      </c>
      <c r="G890" s="2" t="str">
        <f>VLOOKUP($A890,Controle!$B$4:$G$68,6,FALSE)</f>
        <v>Apolo</v>
      </c>
      <c r="H890" s="6" t="s">
        <v>148</v>
      </c>
      <c r="I890" s="6">
        <f>R890</f>
        <v>111780.16</v>
      </c>
      <c r="J890" s="6">
        <v>0</v>
      </c>
      <c r="K890" s="6">
        <v>0</v>
      </c>
      <c r="L890" s="6">
        <v>0</v>
      </c>
      <c r="M890" s="6">
        <v>0</v>
      </c>
      <c r="N890" s="6">
        <v>0</v>
      </c>
      <c r="O890" s="4">
        <f t="shared" si="300"/>
        <v>111780.16</v>
      </c>
      <c r="P890" s="5">
        <f>SUMIFS('Desenvolvimento diário'!$H:$H,'Desenvolvimento diário'!$Q:$Q,$B890,'Desenvolvimento diário'!$P:$P,$F890,'Desenvolvimento diário'!$R:$R,"Sim")</f>
        <v>0</v>
      </c>
      <c r="Q890" s="5">
        <f>SUMIFS('Desenvolvimento diário'!$H:$H,'Desenvolvimento diário'!$Q:$Q,$B890,'Desenvolvimento diário'!$P:$P,$F890,'Desenvolvimento diário'!$R:$R,"Não")</f>
        <v>111780.16</v>
      </c>
      <c r="R890" s="4">
        <f t="shared" si="301"/>
        <v>111780.16</v>
      </c>
      <c r="S890" s="4">
        <f t="shared" si="302"/>
        <v>0</v>
      </c>
      <c r="T890" s="12">
        <f t="shared" si="304"/>
        <v>1</v>
      </c>
      <c r="Y890" s="2"/>
      <c r="Z890" s="2"/>
      <c r="AA890" s="2"/>
      <c r="AB890" s="2"/>
      <c r="AC890" s="2"/>
    </row>
    <row r="891" spans="1:29" hidden="1">
      <c r="A891" s="2">
        <f t="shared" si="303"/>
        <v>26</v>
      </c>
      <c r="B891" s="2" t="str">
        <f>VLOOKUP($A891,Controle!$B$4:$F$68,2,FALSE)</f>
        <v>Divinópolis 2</v>
      </c>
      <c r="C891" s="2" t="str">
        <f>VLOOKUP($A891,Controle!$B$4:$F$68,3,FALSE)</f>
        <v xml:space="preserve">ESTRELA DO NORTE </v>
      </c>
      <c r="D891" s="2" t="str">
        <f>VLOOKUP($A891,Controle!$B$4:$F$68,4,FALSE)</f>
        <v>EDN</v>
      </c>
      <c r="E891" s="2">
        <f>VLOOKUP($A891,Controle!$B$4:$F$68,5,FALSE)</f>
        <v>2</v>
      </c>
      <c r="F891" s="3" t="str">
        <f t="shared" si="299"/>
        <v>Desenvolvimento de projeto - Coordenograma</v>
      </c>
      <c r="G891" s="2" t="str">
        <f>VLOOKUP($A891,Controle!$B$4:$G$68,6,FALSE)</f>
        <v>Apolo</v>
      </c>
      <c r="H891" s="31" t="s">
        <v>149</v>
      </c>
      <c r="I891" s="31">
        <v>6206.9</v>
      </c>
      <c r="J891" s="31">
        <v>0</v>
      </c>
      <c r="K891" s="31">
        <v>0</v>
      </c>
      <c r="L891" s="6">
        <v>0</v>
      </c>
      <c r="M891" s="6">
        <v>0</v>
      </c>
      <c r="N891" s="6">
        <v>0</v>
      </c>
      <c r="O891" s="4">
        <f t="shared" si="300"/>
        <v>6206.9</v>
      </c>
      <c r="P891" s="5">
        <f>SUMIFS('Desenvolvimento diário'!$H:$H,'Desenvolvimento diário'!$Q:$Q,$B891,'Desenvolvimento diário'!$P:$P,$F891,'Desenvolvimento diário'!$R:$R,"Sim")</f>
        <v>0</v>
      </c>
      <c r="Q891" s="5">
        <f>SUMIFS('Desenvolvimento diário'!$H:$H,'Desenvolvimento diário'!$Q:$Q,$B891,'Desenvolvimento diário'!$P:$P,$F891,'Desenvolvimento diário'!$R:$R,"Não")</f>
        <v>6206.9</v>
      </c>
      <c r="R891" s="4">
        <f t="shared" si="301"/>
        <v>6206.9</v>
      </c>
      <c r="S891" s="4">
        <f t="shared" si="302"/>
        <v>0</v>
      </c>
      <c r="T891" s="12">
        <f t="shared" si="304"/>
        <v>1</v>
      </c>
      <c r="Y891" s="2"/>
      <c r="Z891" s="2"/>
      <c r="AA891" s="2"/>
      <c r="AB891" s="2"/>
      <c r="AC891" s="2"/>
    </row>
    <row r="892" spans="1:29" ht="10.5" hidden="1">
      <c r="A892" s="2">
        <f t="shared" si="303"/>
        <v>26</v>
      </c>
      <c r="B892" s="2" t="str">
        <f>VLOOKUP($A892,Controle!$B$4:$F$68,2,FALSE)</f>
        <v>Divinópolis 2</v>
      </c>
      <c r="C892" s="2" t="str">
        <f>VLOOKUP($A892,Controle!$B$4:$F$68,3,FALSE)</f>
        <v xml:space="preserve">ESTRELA DO NORTE </v>
      </c>
      <c r="D892" s="2" t="str">
        <f>VLOOKUP($A892,Controle!$B$4:$F$68,4,FALSE)</f>
        <v>EDN</v>
      </c>
      <c r="E892" s="2">
        <f>VLOOKUP($A892,Controle!$B$4:$F$68,5,FALSE)</f>
        <v>2</v>
      </c>
      <c r="F892" s="3" t="str">
        <f t="shared" si="299"/>
        <v>Sistemas de Monitoramento - Supervisório</v>
      </c>
      <c r="G892" s="2" t="str">
        <f>VLOOKUP($A892,Controle!$B$4:$G$68,6,FALSE)</f>
        <v>Apolo</v>
      </c>
      <c r="H892" s="6" t="s">
        <v>150</v>
      </c>
      <c r="I892" s="6">
        <f>136155-0.01</f>
        <v>136154.99</v>
      </c>
      <c r="J892" s="6"/>
      <c r="K892" s="6">
        <v>0</v>
      </c>
      <c r="L892" s="6">
        <v>0</v>
      </c>
      <c r="M892" s="6">
        <v>0</v>
      </c>
      <c r="N892" s="6">
        <v>0</v>
      </c>
      <c r="O892" s="4">
        <f t="shared" si="300"/>
        <v>136154.99</v>
      </c>
      <c r="P892" s="5">
        <f>SUMIFS('Desenvolvimento diário'!$H:$H,'Desenvolvimento diário'!$Q:$Q,$B892,'Desenvolvimento diário'!$P:$P,$F892,'Desenvolvimento diário'!$R:$R,"Sim")</f>
        <v>5821.02</v>
      </c>
      <c r="Q892" s="5">
        <f>SUMIFS('Desenvolvimento diário'!$H:$H,'Desenvolvimento diário'!$Q:$Q,$B892,'Desenvolvimento diário'!$P:$P,$F892,'Desenvolvimento diário'!$R:$R,"Não")</f>
        <v>130333.97000000002</v>
      </c>
      <c r="R892" s="4">
        <f t="shared" si="301"/>
        <v>136154.99000000002</v>
      </c>
      <c r="S892" s="137">
        <f t="shared" si="302"/>
        <v>0</v>
      </c>
      <c r="T892" s="12">
        <f t="shared" si="304"/>
        <v>1.0000000000000002</v>
      </c>
      <c r="U892" s="34"/>
      <c r="Y892" s="2"/>
      <c r="Z892" s="2"/>
      <c r="AA892" s="2"/>
      <c r="AB892" s="2"/>
      <c r="AC892" s="2"/>
    </row>
    <row r="893" spans="1:29" ht="10.5" hidden="1">
      <c r="A893" s="2">
        <f t="shared" si="303"/>
        <v>26</v>
      </c>
      <c r="B893" s="2" t="str">
        <f>VLOOKUP($A893,Controle!$B$4:$F$68,2,FALSE)</f>
        <v>Divinópolis 2</v>
      </c>
      <c r="C893" s="2" t="str">
        <f>VLOOKUP($A893,Controle!$B$4:$F$68,3,FALSE)</f>
        <v xml:space="preserve">ESTRELA DO NORTE </v>
      </c>
      <c r="D893" s="2" t="str">
        <f>VLOOKUP($A893,Controle!$B$4:$F$68,4,FALSE)</f>
        <v>EDN</v>
      </c>
      <c r="E893" s="2">
        <f>VLOOKUP($A893,Controle!$B$4:$F$68,5,FALSE)</f>
        <v>2</v>
      </c>
      <c r="F893" s="3" t="str">
        <f t="shared" si="299"/>
        <v>Sistemas de Monitoramento - Estações Solarimétricas</v>
      </c>
      <c r="G893" s="2" t="str">
        <f>VLOOKUP($A893,Controle!$B$4:$G$68,6,FALSE)</f>
        <v>Apolo</v>
      </c>
      <c r="H893" s="6" t="s">
        <v>151</v>
      </c>
      <c r="I893" s="6">
        <v>48276.516000000003</v>
      </c>
      <c r="J893" s="6">
        <v>0</v>
      </c>
      <c r="K893" s="6">
        <v>0</v>
      </c>
      <c r="L893" s="6">
        <v>0</v>
      </c>
      <c r="M893" s="6">
        <v>0</v>
      </c>
      <c r="N893" s="6">
        <v>0</v>
      </c>
      <c r="O893" s="4">
        <f t="shared" si="300"/>
        <v>48276.516000000003</v>
      </c>
      <c r="P893" s="5">
        <f>SUMIFS('Desenvolvimento diário'!$H:$H,'Desenvolvimento diário'!$Q:$Q,$B893,'Desenvolvimento diário'!$P:$P,$F893,'Desenvolvimento diário'!$R:$R,"Sim")</f>
        <v>0</v>
      </c>
      <c r="Q893" s="5">
        <f>SUMIFS('Desenvolvimento diário'!$H:$H,'Desenvolvimento diário'!$Q:$Q,$B893,'Desenvolvimento diário'!$P:$P,$F893,'Desenvolvimento diário'!$R:$R,"Não")</f>
        <v>48276.516000000003</v>
      </c>
      <c r="R893" s="4">
        <f t="shared" si="301"/>
        <v>48276.516000000003</v>
      </c>
      <c r="S893" s="4">
        <f t="shared" si="302"/>
        <v>0</v>
      </c>
      <c r="T893" s="12">
        <f t="shared" si="304"/>
        <v>1</v>
      </c>
      <c r="Y893" s="2"/>
      <c r="Z893" s="2"/>
      <c r="AA893" s="2"/>
      <c r="AB893" s="2"/>
      <c r="AC893" s="2"/>
    </row>
    <row r="894" spans="1:29" hidden="1">
      <c r="A894" s="2">
        <f t="shared" si="303"/>
        <v>26</v>
      </c>
      <c r="B894" s="2" t="str">
        <f>VLOOKUP($A894,Controle!$B$4:$F$68,2,FALSE)</f>
        <v>Divinópolis 2</v>
      </c>
      <c r="C894" s="2" t="str">
        <f>VLOOKUP($A894,Controle!$B$4:$F$68,3,FALSE)</f>
        <v xml:space="preserve">ESTRELA DO NORTE </v>
      </c>
      <c r="D894" s="2" t="str">
        <f>VLOOKUP($A894,Controle!$B$4:$F$68,4,FALSE)</f>
        <v>EDN</v>
      </c>
      <c r="E894" s="2">
        <f>VLOOKUP($A894,Controle!$B$4:$F$68,5,FALSE)</f>
        <v>2</v>
      </c>
      <c r="F894" s="3" t="str">
        <f t="shared" si="299"/>
        <v>Sistemas de Monitoramento - CFTV</v>
      </c>
      <c r="G894" s="2" t="str">
        <f>VLOOKUP($A894,Controle!$B$4:$G$68,6,FALSE)</f>
        <v>Apolo</v>
      </c>
      <c r="H894" s="31" t="s">
        <v>152</v>
      </c>
      <c r="I894" s="6">
        <v>261668.28</v>
      </c>
      <c r="J894" s="28">
        <v>4730.5200000000004</v>
      </c>
      <c r="K894" s="6">
        <v>0</v>
      </c>
      <c r="L894" s="6">
        <v>0</v>
      </c>
      <c r="M894" s="6">
        <v>0</v>
      </c>
      <c r="N894" s="6">
        <v>0</v>
      </c>
      <c r="O894" s="4">
        <f t="shared" si="300"/>
        <v>266398.8</v>
      </c>
      <c r="P894" s="5">
        <f>SUMIFS('Desenvolvimento diário'!$H:$H,'Desenvolvimento diário'!$Q:$Q,$B894,'Desenvolvimento diário'!$P:$P,$F894,'Desenvolvimento diário'!$R:$R,"Sim")</f>
        <v>3351.21</v>
      </c>
      <c r="Q894" s="5">
        <f>SUMIFS('Desenvolvimento diário'!$H:$H,'Desenvolvimento diário'!$Q:$Q,$B894,'Desenvolvimento diário'!$P:$P,$F894,'Desenvolvimento diário'!$R:$R,"Não")</f>
        <v>263047.59000000003</v>
      </c>
      <c r="R894" s="4">
        <f t="shared" si="301"/>
        <v>266398.80000000005</v>
      </c>
      <c r="S894" s="4">
        <f t="shared" si="302"/>
        <v>0</v>
      </c>
      <c r="T894" s="12">
        <f t="shared" si="304"/>
        <v>1.0000000000000002</v>
      </c>
      <c r="Y894" s="2"/>
      <c r="Z894" s="2"/>
      <c r="AA894" s="2"/>
      <c r="AB894" s="2"/>
      <c r="AC894" s="2"/>
    </row>
    <row r="895" spans="1:29" ht="10.5" hidden="1">
      <c r="A895" s="2">
        <f t="shared" si="303"/>
        <v>26</v>
      </c>
      <c r="B895" s="2" t="str">
        <f>VLOOKUP($A895,Controle!$B$4:$F$68,2,FALSE)</f>
        <v>Divinópolis 2</v>
      </c>
      <c r="C895" s="2" t="str">
        <f>VLOOKUP($A895,Controle!$B$4:$F$68,3,FALSE)</f>
        <v xml:space="preserve">ESTRELA DO NORTE </v>
      </c>
      <c r="D895" s="2" t="str">
        <f>VLOOKUP($A895,Controle!$B$4:$F$68,4,FALSE)</f>
        <v>EDN</v>
      </c>
      <c r="E895" s="2">
        <f>VLOOKUP($A895,Controle!$B$4:$F$68,5,FALSE)</f>
        <v>2</v>
      </c>
      <c r="F895" s="3" t="str">
        <f t="shared" si="299"/>
        <v>Serviços Auxiliares - Drenagem</v>
      </c>
      <c r="G895" s="2" t="str">
        <f>VLOOKUP($A895,Controle!$B$4:$G$68,6,FALSE)</f>
        <v>Apolo</v>
      </c>
      <c r="H895" s="6" t="s">
        <v>154</v>
      </c>
      <c r="I895" s="31">
        <v>584372.37</v>
      </c>
      <c r="J895" s="31">
        <v>29732.59</v>
      </c>
      <c r="K895" s="6">
        <v>0</v>
      </c>
      <c r="L895" s="6">
        <v>0</v>
      </c>
      <c r="M895" s="6">
        <v>0</v>
      </c>
      <c r="N895" s="6">
        <v>0</v>
      </c>
      <c r="O895" s="4">
        <f t="shared" si="300"/>
        <v>614104.96</v>
      </c>
      <c r="P895" s="5">
        <f>SUMIFS('Desenvolvimento diário'!$H:$H,'Desenvolvimento diário'!$Q:$Q,$B895,'Desenvolvimento diário'!$P:$P,$F895,'Desenvolvimento diário'!$R:$R,"Sim")</f>
        <v>0</v>
      </c>
      <c r="Q895" s="5">
        <f>SUMIFS('Desenvolvimento diário'!$H:$H,'Desenvolvimento diário'!$Q:$Q,$B895,'Desenvolvimento diário'!$P:$P,$F895,'Desenvolvimento diário'!$R:$R,"Não")</f>
        <v>614104.96</v>
      </c>
      <c r="R895" s="4">
        <f t="shared" si="301"/>
        <v>614104.96</v>
      </c>
      <c r="S895" s="4">
        <f t="shared" si="302"/>
        <v>0</v>
      </c>
      <c r="T895" s="12">
        <f t="shared" si="304"/>
        <v>1</v>
      </c>
      <c r="Y895" s="2"/>
      <c r="Z895" s="2"/>
      <c r="AA895" s="2"/>
      <c r="AB895" s="2"/>
      <c r="AC895" s="2"/>
    </row>
    <row r="896" spans="1:29" ht="10.5" hidden="1">
      <c r="A896" s="2">
        <f t="shared" si="303"/>
        <v>26</v>
      </c>
      <c r="B896" s="2" t="str">
        <f>VLOOKUP($A896,Controle!$B$4:$F$68,2,FALSE)</f>
        <v>Divinópolis 2</v>
      </c>
      <c r="C896" s="2" t="str">
        <f>VLOOKUP($A896,Controle!$B$4:$F$68,3,FALSE)</f>
        <v xml:space="preserve">ESTRELA DO NORTE </v>
      </c>
      <c r="D896" s="2" t="str">
        <f>VLOOKUP($A896,Controle!$B$4:$F$68,4,FALSE)</f>
        <v>EDN</v>
      </c>
      <c r="E896" s="2">
        <f>VLOOKUP($A896,Controle!$B$4:$F$68,5,FALSE)</f>
        <v>2</v>
      </c>
      <c r="F896" s="3" t="str">
        <f t="shared" si="299"/>
        <v>Serviços Auxiliares - Terraplanagem</v>
      </c>
      <c r="G896" s="2" t="str">
        <f>VLOOKUP($A896,Controle!$B$4:$G$68,6,FALSE)</f>
        <v>Apolo</v>
      </c>
      <c r="H896" s="6" t="s">
        <v>204</v>
      </c>
      <c r="I896" s="6">
        <v>685457.18</v>
      </c>
      <c r="J896" s="6">
        <v>144067.50999999989</v>
      </c>
      <c r="K896" s="6">
        <v>0</v>
      </c>
      <c r="L896" s="6">
        <v>0</v>
      </c>
      <c r="M896" s="6">
        <v>0</v>
      </c>
      <c r="N896" s="6">
        <v>0</v>
      </c>
      <c r="O896" s="4">
        <f t="shared" si="300"/>
        <v>829524.69</v>
      </c>
      <c r="P896" s="5">
        <f>SUMIFS('Desenvolvimento diário'!$H:$H,'Desenvolvimento diário'!$Q:$Q,$B896,'Desenvolvimento diário'!$P:$P,$F896,'Desenvolvimento diário'!$R:$R,"Sim")</f>
        <v>0</v>
      </c>
      <c r="Q896" s="5">
        <f>SUMIFS('Desenvolvimento diário'!$H:$H,'Desenvolvimento diário'!$Q:$Q,$B896,'Desenvolvimento diário'!$P:$P,$F896,'Desenvolvimento diário'!$R:$R,"Não")</f>
        <v>829524.69000000006</v>
      </c>
      <c r="R896" s="4">
        <f t="shared" si="301"/>
        <v>829524.69000000006</v>
      </c>
      <c r="S896" s="190">
        <f t="shared" si="302"/>
        <v>0</v>
      </c>
      <c r="T896" s="12">
        <f t="shared" si="304"/>
        <v>1.0000000000000002</v>
      </c>
      <c r="Y896" s="2"/>
      <c r="Z896" s="2"/>
      <c r="AA896" s="2"/>
      <c r="AB896" s="2"/>
      <c r="AC896" s="2"/>
    </row>
    <row r="897" spans="1:29" ht="10.5" hidden="1">
      <c r="A897" s="2">
        <f t="shared" si="303"/>
        <v>26</v>
      </c>
      <c r="B897" s="2" t="str">
        <f>VLOOKUP($A897,Controle!$B$4:$F$68,2,FALSE)</f>
        <v>Divinópolis 2</v>
      </c>
      <c r="C897" s="2" t="str">
        <f>VLOOKUP($A897,Controle!$B$4:$F$68,3,FALSE)</f>
        <v xml:space="preserve">ESTRELA DO NORTE </v>
      </c>
      <c r="D897" s="2" t="str">
        <f>VLOOKUP($A897,Controle!$B$4:$F$68,4,FALSE)</f>
        <v>EDN</v>
      </c>
      <c r="E897" s="2">
        <f>VLOOKUP($A897,Controle!$B$4:$F$68,5,FALSE)</f>
        <v>2</v>
      </c>
      <c r="F897" s="3" t="str">
        <f t="shared" si="299"/>
        <v>Serviços Auxiliares - Supressão Vegetal</v>
      </c>
      <c r="G897" s="2" t="str">
        <f>VLOOKUP($A897,Controle!$B$4:$G$68,6,FALSE)</f>
        <v>Apolo</v>
      </c>
      <c r="H897" s="6">
        <v>0</v>
      </c>
      <c r="I897" s="6">
        <v>0</v>
      </c>
      <c r="J897" s="6">
        <v>0</v>
      </c>
      <c r="K897" s="6">
        <v>0</v>
      </c>
      <c r="L897" s="6">
        <v>0</v>
      </c>
      <c r="M897" s="6">
        <v>0</v>
      </c>
      <c r="N897" s="6">
        <v>0</v>
      </c>
      <c r="O897" s="4">
        <f t="shared" si="300"/>
        <v>0</v>
      </c>
      <c r="P897" s="5">
        <f>SUMIFS('Desenvolvimento diário'!$H:$H,'Desenvolvimento diário'!$Q:$Q,$B897,'Desenvolvimento diário'!$P:$P,$F897,'Desenvolvimento diário'!$R:$R,"Sim")</f>
        <v>0</v>
      </c>
      <c r="Q897" s="5">
        <f>SUMIFS('Desenvolvimento diário'!$H:$H,'Desenvolvimento diário'!$Q:$Q,$B897,'Desenvolvimento diário'!$P:$P,$F897,'Desenvolvimento diário'!$R:$R,"Não")</f>
        <v>0</v>
      </c>
      <c r="R897" s="4">
        <f t="shared" si="301"/>
        <v>0</v>
      </c>
      <c r="S897" s="4">
        <f t="shared" si="302"/>
        <v>0</v>
      </c>
      <c r="T897" s="12">
        <f t="shared" si="304"/>
        <v>0</v>
      </c>
      <c r="Y897" s="2"/>
      <c r="Z897" s="2"/>
      <c r="AA897" s="2"/>
      <c r="AB897" s="2"/>
      <c r="AC897" s="2"/>
    </row>
    <row r="898" spans="1:29" ht="10.5" hidden="1">
      <c r="A898" s="2">
        <f t="shared" si="303"/>
        <v>26</v>
      </c>
      <c r="B898" s="2" t="str">
        <f>VLOOKUP($A898,Controle!$B$4:$F$68,2,FALSE)</f>
        <v>Divinópolis 2</v>
      </c>
      <c r="C898" s="2" t="str">
        <f>VLOOKUP($A898,Controle!$B$4:$F$68,3,FALSE)</f>
        <v xml:space="preserve">ESTRELA DO NORTE </v>
      </c>
      <c r="D898" s="2" t="str">
        <f>VLOOKUP($A898,Controle!$B$4:$F$68,4,FALSE)</f>
        <v>EDN</v>
      </c>
      <c r="E898" s="2">
        <f>VLOOKUP($A898,Controle!$B$4:$F$68,5,FALSE)</f>
        <v>2</v>
      </c>
      <c r="F898" s="3" t="str">
        <f t="shared" si="299"/>
        <v>RDR-Rede de Distribuição Rural</v>
      </c>
      <c r="G898" s="2" t="str">
        <f>VLOOKUP($A898,Controle!$B$4:$G$68,6,FALSE)</f>
        <v>Apolo</v>
      </c>
      <c r="H898" s="6">
        <v>0</v>
      </c>
      <c r="I898" s="6">
        <v>0</v>
      </c>
      <c r="J898" s="6">
        <v>0</v>
      </c>
      <c r="K898" s="6">
        <v>0</v>
      </c>
      <c r="L898" s="6">
        <v>0</v>
      </c>
      <c r="M898" s="6">
        <v>0</v>
      </c>
      <c r="N898" s="6">
        <v>0</v>
      </c>
      <c r="O898" s="4">
        <f t="shared" si="300"/>
        <v>0</v>
      </c>
      <c r="P898" s="5">
        <f>SUMIFS('Desenvolvimento diário'!$H:$H,'Desenvolvimento diário'!$Q:$Q,$B898,'Desenvolvimento diário'!$P:$P,$F898,'Desenvolvimento diário'!$R:$R,"Sim")</f>
        <v>0</v>
      </c>
      <c r="Q898" s="5">
        <f>SUMIFS('Desenvolvimento diário'!$H:$H,'Desenvolvimento diário'!$Q:$Q,$B898,'Desenvolvimento diário'!$P:$P,$F898,'Desenvolvimento diário'!$R:$R,"Não")</f>
        <v>0</v>
      </c>
      <c r="R898" s="4">
        <f t="shared" si="301"/>
        <v>0</v>
      </c>
      <c r="S898" s="4">
        <f t="shared" si="302"/>
        <v>0</v>
      </c>
      <c r="T898" s="12">
        <f t="shared" si="304"/>
        <v>0</v>
      </c>
      <c r="Y898" s="2"/>
      <c r="Z898" s="2"/>
      <c r="AA898" s="2"/>
      <c r="AB898" s="2"/>
      <c r="AC898" s="2"/>
    </row>
    <row r="899" spans="1:29" ht="10.5" hidden="1">
      <c r="A899" s="2">
        <f t="shared" si="303"/>
        <v>26</v>
      </c>
      <c r="B899" s="2" t="str">
        <f>VLOOKUP($A899,Controle!$B$4:$F$68,2,FALSE)</f>
        <v>Divinópolis 2</v>
      </c>
      <c r="C899" s="2" t="str">
        <f>VLOOKUP($A899,Controle!$B$4:$F$68,3,FALSE)</f>
        <v xml:space="preserve">ESTRELA DO NORTE </v>
      </c>
      <c r="D899" s="2" t="str">
        <f>VLOOKUP($A899,Controle!$B$4:$F$68,4,FALSE)</f>
        <v>EDN</v>
      </c>
      <c r="E899" s="2">
        <f>VLOOKUP($A899,Controle!$B$4:$F$68,5,FALSE)</f>
        <v>2</v>
      </c>
      <c r="F899" s="3" t="str">
        <f t="shared" si="299"/>
        <v>Escopo COMERC</v>
      </c>
      <c r="G899" s="2" t="str">
        <f>VLOOKUP($A899,Controle!$B$4:$G$68,6,FALSE)</f>
        <v>Apolo</v>
      </c>
      <c r="H899" s="6">
        <v>0</v>
      </c>
      <c r="I899" s="6">
        <v>105713.28</v>
      </c>
      <c r="J899" s="29">
        <v>21000</v>
      </c>
      <c r="K899" s="29"/>
      <c r="L899" s="6">
        <v>0</v>
      </c>
      <c r="M899" s="6">
        <v>0</v>
      </c>
      <c r="N899" s="6">
        <v>0</v>
      </c>
      <c r="O899" s="4">
        <f t="shared" si="300"/>
        <v>126713.28</v>
      </c>
      <c r="P899" s="5">
        <f>SUMIFS('Desenvolvimento diário'!$H:$H,'Desenvolvimento diário'!$Q:$Q,$B899,'Desenvolvimento diário'!$P:$P,$F899,'Desenvolvimento diário'!$R:$R,"Sim")</f>
        <v>0</v>
      </c>
      <c r="Q899" s="5">
        <f>SUMIFS('Desenvolvimento diário'!$H:$H,'Desenvolvimento diário'!$Q:$Q,$B899,'Desenvolvimento diário'!$P:$P,$F899,'Desenvolvimento diário'!$R:$R,"Não")</f>
        <v>106712.06</v>
      </c>
      <c r="R899" s="4">
        <f t="shared" si="301"/>
        <v>106712.06</v>
      </c>
      <c r="S899" s="1010">
        <f t="shared" si="302"/>
        <v>20001.22</v>
      </c>
      <c r="T899" s="12">
        <f t="shared" si="304"/>
        <v>0.84215371901035152</v>
      </c>
      <c r="U899" s="1011" t="s">
        <v>166</v>
      </c>
      <c r="V899" s="1011" t="s">
        <v>167</v>
      </c>
      <c r="Y899" s="2"/>
      <c r="Z899" s="2"/>
      <c r="AA899" s="2"/>
      <c r="AB899" s="2"/>
      <c r="AC899" s="2"/>
    </row>
    <row r="900" spans="1:29" ht="10.5" hidden="1">
      <c r="A900" s="2">
        <f t="shared" si="303"/>
        <v>26</v>
      </c>
      <c r="B900" s="2" t="str">
        <f>VLOOKUP($A900,Controle!$B$4:$F$68,2,FALSE)</f>
        <v>Divinópolis 2</v>
      </c>
      <c r="C900" s="2" t="str">
        <f>VLOOKUP($A900,Controle!$B$4:$F$68,3,FALSE)</f>
        <v xml:space="preserve">ESTRELA DO NORTE </v>
      </c>
      <c r="D900" s="2" t="str">
        <f>VLOOKUP($A900,Controle!$B$4:$F$68,4,FALSE)</f>
        <v>EDN</v>
      </c>
      <c r="E900" s="2">
        <f>VLOOKUP($A900,Controle!$B$4:$F$68,5,FALSE)</f>
        <v>2</v>
      </c>
      <c r="F900" s="3" t="str">
        <f t="shared" si="299"/>
        <v>Escopo COMERC - Segurança</v>
      </c>
      <c r="G900" s="2" t="str">
        <f>VLOOKUP($A900,Controle!$B$4:$G$68,6,FALSE)</f>
        <v>Apolo</v>
      </c>
      <c r="H900" s="6">
        <v>0</v>
      </c>
      <c r="I900" s="6">
        <f t="shared" ref="I899:I900" si="305">R900</f>
        <v>25528.42</v>
      </c>
      <c r="J900" s="6">
        <v>0</v>
      </c>
      <c r="K900" s="6">
        <v>0</v>
      </c>
      <c r="L900" s="6">
        <v>0</v>
      </c>
      <c r="M900" s="6">
        <v>0</v>
      </c>
      <c r="N900" s="6">
        <v>0</v>
      </c>
      <c r="O900" s="4">
        <f t="shared" si="300"/>
        <v>25528.42</v>
      </c>
      <c r="P900" s="5">
        <f>SUMIFS('Desenvolvimento diário'!$H:$H,'Desenvolvimento diário'!$Q:$Q,$B900,'Desenvolvimento diário'!$P:$P,$F900,'Desenvolvimento diário'!$R:$R,"Sim")</f>
        <v>0</v>
      </c>
      <c r="Q900" s="5">
        <f>SUMIFS('Desenvolvimento diário'!$H:$H,'Desenvolvimento diário'!$Q:$Q,$B900,'Desenvolvimento diário'!$P:$P,$F900,'Desenvolvimento diário'!$R:$R,"Não")</f>
        <v>25528.42</v>
      </c>
      <c r="R900" s="4">
        <f t="shared" si="301"/>
        <v>25528.42</v>
      </c>
      <c r="S900" s="4">
        <f t="shared" si="302"/>
        <v>0</v>
      </c>
      <c r="T900" s="12">
        <f t="shared" si="304"/>
        <v>1</v>
      </c>
      <c r="Y900" s="2"/>
      <c r="Z900" s="2"/>
      <c r="AA900" s="2"/>
      <c r="AB900" s="2"/>
      <c r="AC900" s="2"/>
    </row>
    <row r="901" spans="1:29" ht="10.5" hidden="1">
      <c r="A901" s="2">
        <f t="shared" si="303"/>
        <v>26</v>
      </c>
      <c r="B901" s="2" t="str">
        <f>VLOOKUP($A901,Controle!$B$4:$F$68,2,FALSE)</f>
        <v>Divinópolis 2</v>
      </c>
      <c r="C901" s="2" t="str">
        <f>VLOOKUP($A901,Controle!$B$4:$F$68,3,FALSE)</f>
        <v xml:space="preserve">ESTRELA DO NORTE </v>
      </c>
      <c r="D901" s="2" t="str">
        <f>VLOOKUP($A901,Controle!$B$4:$F$68,4,FALSE)</f>
        <v>EDN</v>
      </c>
      <c r="E901" s="2">
        <f>VLOOKUP($A901,Controle!$B$4:$F$68,5,FALSE)</f>
        <v>2</v>
      </c>
      <c r="F901" s="3" t="str">
        <f t="shared" si="299"/>
        <v>Conexão MT - Obras Transferencia</v>
      </c>
      <c r="G901" s="2" t="str">
        <f>VLOOKUP($A901,Controle!$B$4:$G$68,6,FALSE)</f>
        <v>Apolo</v>
      </c>
      <c r="H901" s="6">
        <v>0</v>
      </c>
      <c r="I901" s="6">
        <v>0</v>
      </c>
      <c r="J901" s="6">
        <v>0</v>
      </c>
      <c r="K901" s="6">
        <v>0</v>
      </c>
      <c r="L901" s="6">
        <v>0</v>
      </c>
      <c r="M901" s="6">
        <v>0</v>
      </c>
      <c r="N901" s="6">
        <v>0</v>
      </c>
      <c r="O901" s="4">
        <f t="shared" si="300"/>
        <v>0</v>
      </c>
      <c r="P901" s="5">
        <f>SUMIFS('Desenvolvimento diário'!$H:$H,'Desenvolvimento diário'!$Q:$Q,$B901,'Desenvolvimento diário'!$P:$P,$F901,'Desenvolvimento diário'!$R:$R,"Sim")</f>
        <v>0</v>
      </c>
      <c r="Q901" s="5">
        <f>SUMIFS('Desenvolvimento diário'!$H:$H,'Desenvolvimento diário'!$Q:$Q,$B901,'Desenvolvimento diário'!$P:$P,$F901,'Desenvolvimento diário'!$R:$R,"Não")</f>
        <v>0</v>
      </c>
      <c r="R901" s="4">
        <f t="shared" si="301"/>
        <v>0</v>
      </c>
      <c r="S901" s="4">
        <f t="shared" si="302"/>
        <v>0</v>
      </c>
      <c r="T901" s="12">
        <f t="shared" si="304"/>
        <v>0</v>
      </c>
      <c r="Y901" s="2"/>
      <c r="Z901" s="2"/>
      <c r="AA901" s="2"/>
      <c r="AB901" s="2"/>
      <c r="AC901" s="2"/>
    </row>
    <row r="902" spans="1:29" ht="10.5" hidden="1">
      <c r="A902" s="2">
        <f t="shared" si="303"/>
        <v>26</v>
      </c>
      <c r="B902" s="2" t="str">
        <f>VLOOKUP($A902,Controle!$B$4:$F$68,2,FALSE)</f>
        <v>Divinópolis 2</v>
      </c>
      <c r="C902" s="2" t="str">
        <f>VLOOKUP($A902,Controle!$B$4:$F$68,3,FALSE)</f>
        <v xml:space="preserve">ESTRELA DO NORTE </v>
      </c>
      <c r="D902" s="2" t="str">
        <f>VLOOKUP($A902,Controle!$B$4:$F$68,4,FALSE)</f>
        <v>EDN</v>
      </c>
      <c r="E902" s="2">
        <f>VLOOKUP($A902,Controle!$B$4:$F$68,5,FALSE)</f>
        <v>2</v>
      </c>
      <c r="F902" s="3" t="str">
        <f t="shared" si="299"/>
        <v>Bases de Contaniers</v>
      </c>
      <c r="G902" s="2" t="str">
        <f>VLOOKUP($A902,Controle!$B$4:$G$68,6,FALSE)</f>
        <v>Apolo</v>
      </c>
      <c r="H902" s="6">
        <v>0</v>
      </c>
      <c r="I902" s="6">
        <v>0</v>
      </c>
      <c r="J902" s="6">
        <v>0</v>
      </c>
      <c r="K902" s="6">
        <v>0</v>
      </c>
      <c r="L902" s="6">
        <v>0</v>
      </c>
      <c r="M902" s="6">
        <v>0</v>
      </c>
      <c r="N902" s="6">
        <v>0</v>
      </c>
      <c r="O902" s="4">
        <f t="shared" si="300"/>
        <v>0</v>
      </c>
      <c r="P902" s="5">
        <f>SUMIFS('Desenvolvimento diário'!$H:$H,'Desenvolvimento diário'!$Q:$Q,$B902,'Desenvolvimento diário'!$P:$P,$F902,'Desenvolvimento diário'!$R:$R,"Sim")</f>
        <v>0</v>
      </c>
      <c r="Q902" s="5">
        <f>SUMIFS('Desenvolvimento diário'!$H:$H,'Desenvolvimento diário'!$Q:$Q,$B902,'Desenvolvimento diário'!$P:$P,$F902,'Desenvolvimento diário'!$R:$R,"Não")</f>
        <v>0</v>
      </c>
      <c r="R902" s="4">
        <f t="shared" si="301"/>
        <v>0</v>
      </c>
      <c r="S902" s="4">
        <f t="shared" si="302"/>
        <v>0</v>
      </c>
      <c r="T902" s="12">
        <f t="shared" si="304"/>
        <v>0</v>
      </c>
      <c r="Y902" s="2"/>
      <c r="Z902" s="2"/>
      <c r="AA902" s="2"/>
      <c r="AB902" s="2"/>
      <c r="AC902" s="2"/>
    </row>
    <row r="903" spans="1:29" ht="10.5" hidden="1">
      <c r="A903" s="2">
        <f t="shared" si="303"/>
        <v>26</v>
      </c>
      <c r="B903" s="2" t="str">
        <f>VLOOKUP($A903,Controle!$B$4:$F$68,2,FALSE)</f>
        <v>Divinópolis 2</v>
      </c>
      <c r="C903" s="2" t="str">
        <f>VLOOKUP($A903,Controle!$B$4:$F$68,3,FALSE)</f>
        <v xml:space="preserve">ESTRELA DO NORTE </v>
      </c>
      <c r="D903" s="2" t="str">
        <f>VLOOKUP($A903,Controle!$B$4:$F$68,4,FALSE)</f>
        <v>EDN</v>
      </c>
      <c r="E903" s="2">
        <f>VLOOKUP($A903,Controle!$B$4:$F$68,5,FALSE)</f>
        <v>2</v>
      </c>
      <c r="F903" s="3" t="str">
        <f t="shared" si="299"/>
        <v>Construção - Serviços de Construção - Ase Engenharia</v>
      </c>
      <c r="G903" s="2" t="str">
        <f>VLOOKUP($A903,Controle!$B$4:$G$68,6,FALSE)</f>
        <v>Apolo</v>
      </c>
      <c r="H903" s="6">
        <v>0</v>
      </c>
      <c r="I903" s="6">
        <v>0</v>
      </c>
      <c r="J903" s="6">
        <v>0</v>
      </c>
      <c r="K903" s="6">
        <v>0</v>
      </c>
      <c r="L903" s="6">
        <v>0</v>
      </c>
      <c r="M903" s="6">
        <v>0</v>
      </c>
      <c r="N903" s="6">
        <v>0</v>
      </c>
      <c r="O903" s="4">
        <f t="shared" si="300"/>
        <v>0</v>
      </c>
      <c r="P903" s="5">
        <f>SUMIFS('Desenvolvimento diário'!$H:$H,'Desenvolvimento diário'!$Q:$Q,$B903,'Desenvolvimento diário'!$P:$P,$F903,'Desenvolvimento diário'!$R:$R,"Sim")</f>
        <v>0</v>
      </c>
      <c r="Q903" s="5">
        <f>SUMIFS('Desenvolvimento diário'!$H:$H,'Desenvolvimento diário'!$Q:$Q,$B903,'Desenvolvimento diário'!$P:$P,$F903,'Desenvolvimento diário'!$R:$R,"Não")</f>
        <v>0</v>
      </c>
      <c r="R903" s="4">
        <f t="shared" si="301"/>
        <v>0</v>
      </c>
      <c r="S903" s="4">
        <f t="shared" si="302"/>
        <v>0</v>
      </c>
      <c r="T903" s="12">
        <f t="shared" si="304"/>
        <v>0</v>
      </c>
      <c r="Y903" s="2"/>
      <c r="Z903" s="2"/>
      <c r="AA903" s="2"/>
      <c r="AB903" s="2"/>
      <c r="AC903" s="2"/>
    </row>
    <row r="904" spans="1:29" ht="10.5" hidden="1">
      <c r="A904" s="2">
        <f t="shared" si="303"/>
        <v>26</v>
      </c>
      <c r="B904" s="2" t="str">
        <f>VLOOKUP($A904,Controle!$B$4:$F$68,2,FALSE)</f>
        <v>Divinópolis 2</v>
      </c>
      <c r="C904" s="2" t="str">
        <f>VLOOKUP($A904,Controle!$B$4:$F$68,3,FALSE)</f>
        <v xml:space="preserve">ESTRELA DO NORTE </v>
      </c>
      <c r="D904" s="2" t="str">
        <f>VLOOKUP($A904,Controle!$B$4:$F$68,4,FALSE)</f>
        <v>EDN</v>
      </c>
      <c r="E904" s="2">
        <f>VLOOKUP($A904,Controle!$B$4:$F$68,5,FALSE)</f>
        <v>2</v>
      </c>
      <c r="F904" s="3" t="str">
        <f t="shared" si="299"/>
        <v>Full EPC - Contrato Sobressalentes</v>
      </c>
      <c r="G904" s="2" t="str">
        <f>VLOOKUP($A904,Controle!$B$4:$G$68,6,FALSE)</f>
        <v>Apolo</v>
      </c>
      <c r="H904" s="6">
        <v>0</v>
      </c>
      <c r="I904" s="6">
        <v>0</v>
      </c>
      <c r="J904" s="6">
        <v>0</v>
      </c>
      <c r="K904" s="6">
        <v>0</v>
      </c>
      <c r="L904" s="6">
        <v>0</v>
      </c>
      <c r="M904" s="6">
        <v>0</v>
      </c>
      <c r="N904" s="6">
        <v>0</v>
      </c>
      <c r="O904" s="4">
        <f t="shared" si="300"/>
        <v>0</v>
      </c>
      <c r="P904" s="5">
        <f>SUMIFS('Desenvolvimento diário'!$H:$H,'Desenvolvimento diário'!$Q:$Q,$B904,'Desenvolvimento diário'!$P:$P,$F904,'Desenvolvimento diário'!$R:$R,"Sim")</f>
        <v>0</v>
      </c>
      <c r="Q904" s="5">
        <f>SUMIFS('Desenvolvimento diário'!$H:$H,'Desenvolvimento diário'!$Q:$Q,$B904,'Desenvolvimento diário'!$P:$P,$F904,'Desenvolvimento diário'!$R:$R,"Não")</f>
        <v>0</v>
      </c>
      <c r="R904" s="4">
        <f t="shared" si="301"/>
        <v>0</v>
      </c>
      <c r="S904" s="4">
        <f t="shared" si="302"/>
        <v>0</v>
      </c>
      <c r="T904" s="12">
        <f t="shared" si="304"/>
        <v>0</v>
      </c>
      <c r="Y904" s="2"/>
      <c r="Z904" s="2"/>
      <c r="AA904" s="2"/>
      <c r="AB904" s="2"/>
      <c r="AC904" s="2"/>
    </row>
    <row r="905" spans="1:29" ht="10.5" hidden="1">
      <c r="A905" s="2">
        <f t="shared" si="303"/>
        <v>26</v>
      </c>
      <c r="B905" s="2" t="str">
        <f>VLOOKUP($A905,Controle!$B$4:$F$68,2,FALSE)</f>
        <v>Divinópolis 2</v>
      </c>
      <c r="C905" s="2" t="str">
        <f>VLOOKUP($A905,Controle!$B$4:$F$68,3,FALSE)</f>
        <v xml:space="preserve">ESTRELA DO NORTE </v>
      </c>
      <c r="D905" s="2" t="str">
        <f>VLOOKUP($A905,Controle!$B$4:$F$68,4,FALSE)</f>
        <v>EDN</v>
      </c>
      <c r="E905" s="2">
        <f>VLOOKUP($A905,Controle!$B$4:$F$68,5,FALSE)</f>
        <v>2</v>
      </c>
      <c r="F905" s="3" t="str">
        <f t="shared" si="299"/>
        <v>Construção - Serviços de Construção - NOVA MORADA</v>
      </c>
      <c r="G905" s="2" t="str">
        <f>VLOOKUP($A905,Controle!$B$4:$G$68,6,FALSE)</f>
        <v>Apolo</v>
      </c>
      <c r="H905" s="6">
        <v>0</v>
      </c>
      <c r="I905" s="6">
        <v>0</v>
      </c>
      <c r="J905" s="6">
        <v>0</v>
      </c>
      <c r="K905" s="6">
        <v>0</v>
      </c>
      <c r="L905" s="6">
        <v>0</v>
      </c>
      <c r="M905" s="6">
        <v>0</v>
      </c>
      <c r="N905" s="6">
        <v>0</v>
      </c>
      <c r="O905" s="4">
        <f t="shared" si="300"/>
        <v>0</v>
      </c>
      <c r="P905" s="5">
        <f>SUMIFS('Desenvolvimento diário'!$H:$H,'Desenvolvimento diário'!$Q:$Q,$B905,'Desenvolvimento diário'!$P:$P,$F905,'Desenvolvimento diário'!$R:$R,"Sim")</f>
        <v>0</v>
      </c>
      <c r="Q905" s="5">
        <f>SUMIFS('Desenvolvimento diário'!$H:$H,'Desenvolvimento diário'!$Q:$Q,$B905,'Desenvolvimento diário'!$P:$P,$F905,'Desenvolvimento diário'!$R:$R,"Não")</f>
        <v>0</v>
      </c>
      <c r="R905" s="4">
        <f t="shared" si="301"/>
        <v>0</v>
      </c>
      <c r="S905" s="4">
        <f t="shared" si="302"/>
        <v>0</v>
      </c>
      <c r="T905" s="12">
        <f t="shared" si="304"/>
        <v>0</v>
      </c>
      <c r="Y905" s="2"/>
      <c r="Z905" s="2"/>
      <c r="AA905" s="2"/>
      <c r="AB905" s="2"/>
      <c r="AC905" s="2"/>
    </row>
    <row r="906" spans="1:29" ht="10.5" hidden="1">
      <c r="A906" s="2">
        <f t="shared" si="303"/>
        <v>26</v>
      </c>
      <c r="B906" s="2" t="str">
        <f>VLOOKUP($A906,Controle!$B$4:$F$68,2,FALSE)</f>
        <v>Divinópolis 2</v>
      </c>
      <c r="C906" s="2" t="str">
        <f>VLOOKUP($A906,Controle!$B$4:$F$68,3,FALSE)</f>
        <v xml:space="preserve">ESTRELA DO NORTE </v>
      </c>
      <c r="D906" s="2" t="str">
        <f>VLOOKUP($A906,Controle!$B$4:$F$68,4,FALSE)</f>
        <v>EDN</v>
      </c>
      <c r="E906" s="2">
        <f>VLOOKUP($A906,Controle!$B$4:$F$68,5,FALSE)</f>
        <v>2</v>
      </c>
      <c r="F906" s="3" t="str">
        <f t="shared" si="299"/>
        <v>Equipamentos Curva A -  Contrato Sobressalentes - SETTA</v>
      </c>
      <c r="G906" s="2" t="str">
        <f>VLOOKUP($A906,Controle!$B$4:$G$68,6,FALSE)</f>
        <v>Apolo</v>
      </c>
      <c r="H906" s="6" t="s">
        <v>196</v>
      </c>
      <c r="I906" s="6">
        <f>53434.61-0.005</f>
        <v>53434.605000000003</v>
      </c>
      <c r="J906" s="6">
        <v>0</v>
      </c>
      <c r="K906" s="6">
        <v>0</v>
      </c>
      <c r="L906" s="6">
        <v>0</v>
      </c>
      <c r="M906" s="6">
        <v>0</v>
      </c>
      <c r="N906" s="6">
        <v>0</v>
      </c>
      <c r="O906" s="4">
        <f t="shared" si="300"/>
        <v>53434.605000000003</v>
      </c>
      <c r="P906" s="5">
        <f>SUMIFS('Desenvolvimento diário'!$H:$H,'Desenvolvimento diário'!$Q:$Q,$B906,'Desenvolvimento diário'!$P:$P,$F906,'Desenvolvimento diário'!$R:$R,"Sim")</f>
        <v>0</v>
      </c>
      <c r="Q906" s="5">
        <f>SUMIFS('Desenvolvimento diário'!$H:$H,'Desenvolvimento diário'!$Q:$Q,$B906,'Desenvolvimento diário'!$P:$P,$F906,'Desenvolvimento diário'!$R:$R,"Não")</f>
        <v>53434.605000000003</v>
      </c>
      <c r="R906" s="4">
        <f t="shared" si="301"/>
        <v>53434.605000000003</v>
      </c>
      <c r="S906" s="137">
        <f t="shared" si="302"/>
        <v>0</v>
      </c>
      <c r="T906" s="12">
        <f t="shared" si="304"/>
        <v>1</v>
      </c>
      <c r="Y906" s="2"/>
      <c r="Z906" s="2"/>
      <c r="AA906" s="2"/>
      <c r="AB906" s="2"/>
      <c r="AC906" s="2"/>
    </row>
    <row r="907" spans="1:29" ht="10.5" hidden="1">
      <c r="A907" s="2">
        <f t="shared" si="303"/>
        <v>26</v>
      </c>
      <c r="B907" s="2" t="str">
        <f>VLOOKUP($A907,Controle!$B$4:$F$68,2,FALSE)</f>
        <v>Divinópolis 2</v>
      </c>
      <c r="C907" s="2" t="str">
        <f>VLOOKUP($A907,Controle!$B$4:$F$68,3,FALSE)</f>
        <v xml:space="preserve">ESTRELA DO NORTE </v>
      </c>
      <c r="D907" s="2" t="str">
        <f>VLOOKUP($A907,Controle!$B$4:$F$68,4,FALSE)</f>
        <v>EDN</v>
      </c>
      <c r="E907" s="2">
        <f>VLOOKUP($A907,Controle!$B$4:$F$68,5,FALSE)</f>
        <v>2</v>
      </c>
      <c r="F907" s="3" t="str">
        <f t="shared" si="299"/>
        <v>Equipamentos Curva A -  Contrato Sobressalentes - Arctech</v>
      </c>
      <c r="G907" s="2" t="str">
        <f>VLOOKUP($A907,Controle!$B$4:$G$68,6,FALSE)</f>
        <v>Apolo</v>
      </c>
      <c r="H907" s="6">
        <v>0</v>
      </c>
      <c r="I907" s="6">
        <v>0</v>
      </c>
      <c r="J907" s="6">
        <v>0</v>
      </c>
      <c r="K907" s="6">
        <v>0</v>
      </c>
      <c r="L907" s="6">
        <v>0</v>
      </c>
      <c r="M907" s="6">
        <v>0</v>
      </c>
      <c r="N907" s="6">
        <v>0</v>
      </c>
      <c r="O907" s="4">
        <f t="shared" si="300"/>
        <v>0</v>
      </c>
      <c r="P907" s="5">
        <f>SUMIFS('Desenvolvimento diário'!$H:$H,'Desenvolvimento diário'!$Q:$Q,$B907,'Desenvolvimento diário'!$P:$P,$F907,'Desenvolvimento diário'!$R:$R,"Sim")</f>
        <v>0</v>
      </c>
      <c r="Q907" s="5">
        <f>SUMIFS('Desenvolvimento diário'!$H:$H,'Desenvolvimento diário'!$Q:$Q,$B907,'Desenvolvimento diário'!$P:$P,$F907,'Desenvolvimento diário'!$R:$R,"Não")</f>
        <v>0</v>
      </c>
      <c r="R907" s="4">
        <f t="shared" si="301"/>
        <v>0</v>
      </c>
      <c r="S907" s="4">
        <f t="shared" si="302"/>
        <v>0</v>
      </c>
      <c r="T907" s="12">
        <f t="shared" si="304"/>
        <v>0</v>
      </c>
      <c r="Y907" s="2"/>
      <c r="Z907" s="2"/>
      <c r="AA907" s="2"/>
      <c r="AB907" s="2"/>
      <c r="AC907" s="2"/>
    </row>
    <row r="908" spans="1:29" hidden="1">
      <c r="A908" s="2">
        <f t="shared" si="303"/>
        <v>26</v>
      </c>
      <c r="B908" s="2" t="str">
        <f>VLOOKUP($A908,Controle!$B$4:$F$68,2,FALSE)</f>
        <v>Divinópolis 2</v>
      </c>
      <c r="C908" s="2" t="str">
        <f>VLOOKUP($A908,Controle!$B$4:$F$68,3,FALSE)</f>
        <v xml:space="preserve">ESTRELA DO NORTE </v>
      </c>
      <c r="D908" s="2" t="str">
        <f>VLOOKUP($A908,Controle!$B$4:$F$68,4,FALSE)</f>
        <v>EDN</v>
      </c>
      <c r="E908" s="2">
        <f>VLOOKUP($A908,Controle!$B$4:$F$68,5,FALSE)</f>
        <v>2</v>
      </c>
      <c r="F908" s="3" t="str">
        <f t="shared" si="299"/>
        <v>Equipamentos Curva A -  Contrato Sobressalentes - Romagnole</v>
      </c>
      <c r="G908" s="2" t="str">
        <f>VLOOKUP($A908,Controle!$B$4:$G$68,6,FALSE)</f>
        <v>Apolo</v>
      </c>
      <c r="H908" s="7">
        <v>0</v>
      </c>
      <c r="I908" s="7">
        <v>0</v>
      </c>
      <c r="J908" s="7">
        <v>0</v>
      </c>
      <c r="K908" s="7">
        <v>0</v>
      </c>
      <c r="L908" s="7">
        <v>0</v>
      </c>
      <c r="M908" s="7">
        <v>0</v>
      </c>
      <c r="N908" s="7">
        <v>0</v>
      </c>
      <c r="O908" s="4">
        <f t="shared" si="300"/>
        <v>0</v>
      </c>
      <c r="P908" s="17">
        <f>SUMIFS('Desenvolvimento diário'!$H:$H,'Desenvolvimento diário'!$Q:$Q,$B908,'Desenvolvimento diário'!$P:$P,$F908,'Desenvolvimento diário'!$R:$R,"Sim")</f>
        <v>0</v>
      </c>
      <c r="Q908" s="17">
        <f>SUMIFS('Desenvolvimento diário'!$H:$H,'Desenvolvimento diário'!$Q:$Q,$B908,'Desenvolvimento diário'!$P:$P,$F908,'Desenvolvimento diário'!$R:$R,"Não")</f>
        <v>0</v>
      </c>
      <c r="R908" s="4">
        <f t="shared" si="301"/>
        <v>0</v>
      </c>
      <c r="S908" s="4">
        <f t="shared" si="302"/>
        <v>0</v>
      </c>
      <c r="T908" s="12">
        <f t="shared" si="304"/>
        <v>0</v>
      </c>
      <c r="Y908" s="2"/>
      <c r="Z908" s="2"/>
      <c r="AA908" s="2"/>
      <c r="AB908" s="2"/>
      <c r="AC908" s="2"/>
    </row>
    <row r="909" spans="1:29" hidden="1">
      <c r="A909" s="2">
        <f t="shared" si="303"/>
        <v>26</v>
      </c>
      <c r="B909" s="2" t="str">
        <f>VLOOKUP($A909,Controle!$B$4:$F$68,2,FALSE)</f>
        <v>Divinópolis 2</v>
      </c>
      <c r="C909" s="2" t="str">
        <f>VLOOKUP($A909,Controle!$B$4:$F$68,3,FALSE)</f>
        <v xml:space="preserve">ESTRELA DO NORTE </v>
      </c>
      <c r="D909" s="2" t="str">
        <f>VLOOKUP($A909,Controle!$B$4:$F$68,4,FALSE)</f>
        <v>EDN</v>
      </c>
      <c r="E909" s="2">
        <f>VLOOKUP($A909,Controle!$B$4:$F$68,5,FALSE)</f>
        <v>2</v>
      </c>
      <c r="F909" s="3" t="str">
        <f t="shared" si="299"/>
        <v>GOS FLORESTAL - (PRAD - Recuperação Area Ambiental)</v>
      </c>
      <c r="G909" s="2" t="str">
        <f>VLOOKUP($A909,Controle!$B$4:$G$68,6,FALSE)</f>
        <v>Apolo</v>
      </c>
      <c r="H909" s="506" t="s">
        <v>170</v>
      </c>
      <c r="I909" s="6">
        <v>0</v>
      </c>
      <c r="J909" s="506"/>
      <c r="K909" s="506">
        <v>0</v>
      </c>
      <c r="L909" s="506">
        <v>0</v>
      </c>
      <c r="M909" s="506">
        <v>0</v>
      </c>
      <c r="N909" s="506">
        <v>0</v>
      </c>
      <c r="O909" s="39">
        <f t="shared" si="300"/>
        <v>0</v>
      </c>
      <c r="P909" s="17">
        <f>SUMIFS('Desenvolvimento diário'!$H:$H,'Desenvolvimento diário'!$Q:$Q,$B909,'Desenvolvimento diário'!$P:$P,$F909,'Desenvolvimento diário'!$R:$R,"Sim")</f>
        <v>0</v>
      </c>
      <c r="Q909" s="17">
        <f>SUMIFS('Desenvolvimento diário'!$H:$H,'Desenvolvimento diário'!$Q:$Q,$B909,'Desenvolvimento diário'!$P:$P,$F909,'Desenvolvimento diário'!$R:$R,"Não")</f>
        <v>0</v>
      </c>
      <c r="R909" s="4">
        <f t="shared" si="301"/>
        <v>0</v>
      </c>
      <c r="S909" s="4">
        <f t="shared" si="302"/>
        <v>0</v>
      </c>
      <c r="T909" s="12">
        <f t="shared" si="304"/>
        <v>0</v>
      </c>
      <c r="Y909" s="2"/>
      <c r="Z909" s="2"/>
      <c r="AA909" s="2"/>
      <c r="AB909" s="2"/>
      <c r="AC909" s="2"/>
    </row>
    <row r="910" spans="1:29" hidden="1">
      <c r="A910" s="2">
        <f t="shared" si="303"/>
        <v>26</v>
      </c>
      <c r="B910" s="2" t="str">
        <f>VLOOKUP($A910,Controle!$B$4:$F$68,2,FALSE)</f>
        <v>Divinópolis 2</v>
      </c>
      <c r="C910" s="2" t="str">
        <f>VLOOKUP($A910,Controle!$B$4:$F$68,3,FALSE)</f>
        <v xml:space="preserve">ESTRELA DO NORTE </v>
      </c>
      <c r="D910" s="2" t="str">
        <f>VLOOKUP($A910,Controle!$B$4:$F$68,4,FALSE)</f>
        <v>EDN</v>
      </c>
      <c r="E910" s="2">
        <f>VLOOKUP($A910,Controle!$B$4:$F$68,5,FALSE)</f>
        <v>2</v>
      </c>
      <c r="F910" s="3" t="str">
        <f t="shared" si="299"/>
        <v>Cercamento das bacias de contenção ciclo 2</v>
      </c>
      <c r="G910" s="2" t="str">
        <f>VLOOKUP($A910,Controle!$B$4:$G$68,6,FALSE)</f>
        <v>Apolo</v>
      </c>
      <c r="H910" s="506" t="s">
        <v>172</v>
      </c>
      <c r="I910" s="6"/>
      <c r="J910" s="506"/>
      <c r="K910" s="506">
        <v>0</v>
      </c>
      <c r="L910" s="506">
        <v>0</v>
      </c>
      <c r="M910" s="506">
        <v>0</v>
      </c>
      <c r="N910" s="506">
        <v>0</v>
      </c>
      <c r="O910" s="39">
        <f t="shared" si="300"/>
        <v>0</v>
      </c>
      <c r="P910" s="17">
        <f>SUMIFS('Desenvolvimento diário'!$H:$H,'Desenvolvimento diário'!$Q:$Q,$B910,'Desenvolvimento diário'!$P:$P,$F910,'Desenvolvimento diário'!$R:$R,"Sim")</f>
        <v>0</v>
      </c>
      <c r="Q910" s="17">
        <f>SUMIFS('Desenvolvimento diário'!$H:$H,'Desenvolvimento diário'!$Q:$Q,$B910,'Desenvolvimento diário'!$P:$P,$F910,'Desenvolvimento diário'!$R:$R,"Não")</f>
        <v>0</v>
      </c>
      <c r="R910" s="4">
        <f t="shared" si="301"/>
        <v>0</v>
      </c>
      <c r="S910" s="1030">
        <f t="shared" si="302"/>
        <v>0</v>
      </c>
      <c r="T910" s="12">
        <f t="shared" si="304"/>
        <v>0</v>
      </c>
      <c r="U910" s="1029" t="s">
        <v>166</v>
      </c>
      <c r="V910" s="1029" t="s">
        <v>94</v>
      </c>
      <c r="Y910" s="2"/>
      <c r="Z910" s="2"/>
      <c r="AA910" s="2"/>
      <c r="AB910" s="2"/>
      <c r="AC910" s="2"/>
    </row>
    <row r="911" spans="1:29" hidden="1">
      <c r="A911" s="8">
        <f>A908</f>
        <v>26</v>
      </c>
      <c r="B911" s="9" t="str">
        <f t="shared" ref="B911" si="306">B908</f>
        <v>Divinópolis 2</v>
      </c>
      <c r="C911" s="9" t="str">
        <f t="shared" ref="C911" si="307">C908</f>
        <v xml:space="preserve">ESTRELA DO NORTE </v>
      </c>
      <c r="D911" s="9" t="str">
        <f t="shared" ref="D911" si="308">D908</f>
        <v>EDN</v>
      </c>
      <c r="E911" s="9">
        <f t="shared" ref="E911" si="309">E908</f>
        <v>2</v>
      </c>
      <c r="F911" s="10" t="s">
        <v>158</v>
      </c>
      <c r="G911" s="9" t="str">
        <f>G908</f>
        <v>Apolo</v>
      </c>
      <c r="H911" s="9"/>
      <c r="I911" s="9">
        <f>SUBTOTAL(9,I877:I910)</f>
        <v>0</v>
      </c>
      <c r="J911" s="9">
        <f t="shared" ref="J911:S911" si="310">SUBTOTAL(9,J877:J910)</f>
        <v>0</v>
      </c>
      <c r="K911" s="9">
        <f t="shared" si="310"/>
        <v>0</v>
      </c>
      <c r="L911" s="9">
        <f t="shared" si="310"/>
        <v>0</v>
      </c>
      <c r="M911" s="9">
        <f t="shared" si="310"/>
        <v>0</v>
      </c>
      <c r="N911" s="9">
        <f t="shared" si="310"/>
        <v>0</v>
      </c>
      <c r="O911" s="9">
        <f t="shared" si="310"/>
        <v>0</v>
      </c>
      <c r="P911" s="9">
        <f t="shared" si="310"/>
        <v>0</v>
      </c>
      <c r="Q911" s="9">
        <f t="shared" si="310"/>
        <v>0</v>
      </c>
      <c r="R911" s="9">
        <f t="shared" si="310"/>
        <v>0</v>
      </c>
      <c r="S911" s="9">
        <f t="shared" si="310"/>
        <v>0</v>
      </c>
      <c r="T911" s="13">
        <f t="shared" si="304"/>
        <v>0</v>
      </c>
      <c r="U911" s="11">
        <f>SUBTOTAL(9,U877:U910)</f>
        <v>0</v>
      </c>
      <c r="Y911" s="2"/>
      <c r="Z911" s="2"/>
      <c r="AA911" s="2"/>
      <c r="AB911" s="2"/>
      <c r="AC911" s="2"/>
    </row>
    <row r="912" spans="1:29" ht="10.5" hidden="1">
      <c r="A912" s="2">
        <f>A877+1</f>
        <v>27</v>
      </c>
      <c r="B912" s="2" t="str">
        <f>VLOOKUP($A912,Controle!$B$4:$F$68,2,FALSE)</f>
        <v>Divinópolis 3</v>
      </c>
      <c r="C912" s="2" t="str">
        <f>VLOOKUP($A912,Controle!$B$4:$F$68,3,FALSE)</f>
        <v xml:space="preserve">ESTRELA DO NORTE </v>
      </c>
      <c r="D912" s="2" t="str">
        <f>VLOOKUP($A912,Controle!$B$4:$F$68,4,FALSE)</f>
        <v>EDN</v>
      </c>
      <c r="E912" s="2">
        <f>VLOOKUP($A912,Controle!$B$4:$F$68,5,FALSE)</f>
        <v>1</v>
      </c>
      <c r="F912" s="3" t="str">
        <f t="shared" ref="F912:F945" si="311">F877</f>
        <v>Conexão AT - Obras</v>
      </c>
      <c r="G912" s="2" t="str">
        <f>VLOOKUP($A912,Controle!$B$4:$G$68,6,FALSE)</f>
        <v>Apolo</v>
      </c>
      <c r="H912" s="6" t="s">
        <v>141</v>
      </c>
      <c r="I912" s="29">
        <v>1003000</v>
      </c>
      <c r="J912" s="6">
        <v>0</v>
      </c>
      <c r="K912" s="6">
        <v>0</v>
      </c>
      <c r="L912" s="6">
        <v>0</v>
      </c>
      <c r="M912" s="6">
        <v>0</v>
      </c>
      <c r="N912" s="6">
        <v>0</v>
      </c>
      <c r="O912" s="4">
        <f t="shared" ref="O912:O945" si="312">SUM(I912:N912)</f>
        <v>1003000</v>
      </c>
      <c r="P912" s="5">
        <f>SUMIFS('Desenvolvimento diário'!$H:$H,'Desenvolvimento diário'!$Q:$Q,$B912,'Desenvolvimento diário'!$P:$P,$F912,'Desenvolvimento diário'!$R:$R,"Sim")</f>
        <v>225598.25</v>
      </c>
      <c r="Q912" s="5">
        <f>SUMIFS('Desenvolvimento diário'!$H:$H,'Desenvolvimento diário'!$Q:$Q,$B912,'Desenvolvimento diário'!$P:$P,$F912,'Desenvolvimento diário'!$R:$R,"Não")</f>
        <v>777401.75</v>
      </c>
      <c r="R912" s="4">
        <f t="shared" ref="R912:R945" si="313">SUM(P912:Q912)</f>
        <v>1003000</v>
      </c>
      <c r="S912" s="4">
        <f t="shared" ref="S912:S945" si="314">O912-R912</f>
        <v>0</v>
      </c>
      <c r="T912" s="12">
        <f t="shared" si="304"/>
        <v>1</v>
      </c>
      <c r="Y912" s="2"/>
      <c r="Z912" s="2"/>
      <c r="AA912" s="2"/>
      <c r="AB912" s="2"/>
      <c r="AC912" s="2"/>
    </row>
    <row r="913" spans="1:29" ht="10.5" hidden="1">
      <c r="A913" s="2">
        <f t="shared" ref="A913:A945" si="315">A912</f>
        <v>27</v>
      </c>
      <c r="B913" s="2" t="str">
        <f>VLOOKUP($A913,Controle!$B$4:$F$68,2,FALSE)</f>
        <v>Divinópolis 3</v>
      </c>
      <c r="C913" s="2" t="str">
        <f>VLOOKUP($A913,Controle!$B$4:$F$68,3,FALSE)</f>
        <v xml:space="preserve">ESTRELA DO NORTE </v>
      </c>
      <c r="D913" s="2" t="str">
        <f>VLOOKUP($A913,Controle!$B$4:$F$68,4,FALSE)</f>
        <v>EDN</v>
      </c>
      <c r="E913" s="2">
        <f>VLOOKUP($A913,Controle!$B$4:$F$68,5,FALSE)</f>
        <v>1</v>
      </c>
      <c r="F913" s="3" t="str">
        <f t="shared" si="311"/>
        <v>Conexão MT - Obras</v>
      </c>
      <c r="G913" s="2" t="str">
        <f>VLOOKUP($A913,Controle!$B$4:$G$68,6,FALSE)</f>
        <v>Apolo</v>
      </c>
      <c r="H913" s="6" t="s">
        <v>168</v>
      </c>
      <c r="I913" s="6">
        <v>955000</v>
      </c>
      <c r="J913" s="6">
        <v>294710.68</v>
      </c>
      <c r="K913" s="6">
        <v>0</v>
      </c>
      <c r="L913" s="6">
        <v>0</v>
      </c>
      <c r="M913" s="6">
        <v>0</v>
      </c>
      <c r="N913" s="6">
        <v>0</v>
      </c>
      <c r="O913" s="4">
        <f t="shared" si="312"/>
        <v>1249710.68</v>
      </c>
      <c r="P913" s="5">
        <f>SUMIFS('Desenvolvimento diário'!$H:$H,'Desenvolvimento diário'!$Q:$Q,$B913,'Desenvolvimento diário'!$P:$P,$F913,'Desenvolvimento diário'!$R:$R,"Sim")</f>
        <v>820800.46000000008</v>
      </c>
      <c r="Q913" s="5">
        <f>SUMIFS('Desenvolvimento diário'!$H:$H,'Desenvolvimento diário'!$Q:$Q,$B913,'Desenvolvimento diário'!$P:$P,$F913,'Desenvolvimento diário'!$R:$R,"Não")</f>
        <v>428910.22</v>
      </c>
      <c r="R913" s="4">
        <f t="shared" si="313"/>
        <v>1249710.6800000002</v>
      </c>
      <c r="S913" s="4">
        <f t="shared" si="314"/>
        <v>0</v>
      </c>
      <c r="T913" s="12">
        <f t="shared" si="304"/>
        <v>1.0000000000000002</v>
      </c>
      <c r="Y913" s="2"/>
      <c r="Z913" s="2"/>
      <c r="AA913" s="2"/>
      <c r="AB913" s="2"/>
      <c r="AC913" s="2"/>
    </row>
    <row r="914" spans="1:29" ht="10.5" hidden="1">
      <c r="A914" s="2">
        <f t="shared" si="315"/>
        <v>27</v>
      </c>
      <c r="B914" s="2" t="str">
        <f>VLOOKUP($A914,Controle!$B$4:$F$68,2,FALSE)</f>
        <v>Divinópolis 3</v>
      </c>
      <c r="C914" s="2" t="str">
        <f>VLOOKUP($A914,Controle!$B$4:$F$68,3,FALSE)</f>
        <v xml:space="preserve">ESTRELA DO NORTE </v>
      </c>
      <c r="D914" s="2" t="str">
        <f>VLOOKUP($A914,Controle!$B$4:$F$68,4,FALSE)</f>
        <v>EDN</v>
      </c>
      <c r="E914" s="2">
        <f>VLOOKUP($A914,Controle!$B$4:$F$68,5,FALSE)</f>
        <v>1</v>
      </c>
      <c r="F914" s="3" t="str">
        <f t="shared" si="311"/>
        <v>Construção - Serviços de Construção</v>
      </c>
      <c r="G914" s="2" t="str">
        <f>VLOOKUP($A914,Controle!$B$4:$G$68,6,FALSE)</f>
        <v>Apolo</v>
      </c>
      <c r="H914" s="6" t="s">
        <v>206</v>
      </c>
      <c r="I914" s="6">
        <v>2617845</v>
      </c>
      <c r="J914" s="6">
        <v>239203.04</v>
      </c>
      <c r="K914" s="6">
        <v>0</v>
      </c>
      <c r="L914" s="6">
        <v>0</v>
      </c>
      <c r="M914" s="6">
        <v>0</v>
      </c>
      <c r="N914" s="6">
        <v>0</v>
      </c>
      <c r="O914" s="4">
        <f t="shared" si="312"/>
        <v>2857048.04</v>
      </c>
      <c r="P914" s="5">
        <f>SUMIFS('Desenvolvimento diário'!$H:$H,'Desenvolvimento diário'!$Q:$Q,$B914,'Desenvolvimento diário'!$P:$P,$F914,'Desenvolvimento diário'!$R:$R,"Sim")</f>
        <v>323546.56000000006</v>
      </c>
      <c r="Q914" s="5">
        <f>SUMIFS('Desenvolvimento diário'!$H:$H,'Desenvolvimento diário'!$Q:$Q,$B914,'Desenvolvimento diário'!$P:$P,$F914,'Desenvolvimento diário'!$R:$R,"Não")</f>
        <v>2528673.48</v>
      </c>
      <c r="R914" s="4">
        <f t="shared" si="313"/>
        <v>2852220.04</v>
      </c>
      <c r="S914" s="33">
        <f t="shared" si="314"/>
        <v>4828</v>
      </c>
      <c r="T914" s="12">
        <f t="shared" si="304"/>
        <v>0.99831014392043615</v>
      </c>
      <c r="U914" s="510" t="s">
        <v>162</v>
      </c>
      <c r="V914" s="510" t="s">
        <v>163</v>
      </c>
      <c r="Y914" s="2"/>
      <c r="Z914" s="2"/>
      <c r="AA914" s="2"/>
      <c r="AB914" s="2"/>
      <c r="AC914" s="2"/>
    </row>
    <row r="915" spans="1:29" ht="10.5" hidden="1">
      <c r="A915" s="2">
        <f t="shared" si="315"/>
        <v>27</v>
      </c>
      <c r="B915" s="2" t="str">
        <f>VLOOKUP($A915,Controle!$B$4:$F$68,2,FALSE)</f>
        <v>Divinópolis 3</v>
      </c>
      <c r="C915" s="2" t="str">
        <f>VLOOKUP($A915,Controle!$B$4:$F$68,3,FALSE)</f>
        <v xml:space="preserve">ESTRELA DO NORTE </v>
      </c>
      <c r="D915" s="2" t="str">
        <f>VLOOKUP($A915,Controle!$B$4:$F$68,4,FALSE)</f>
        <v>EDN</v>
      </c>
      <c r="E915" s="2">
        <f>VLOOKUP($A915,Controle!$B$4:$F$68,5,FALSE)</f>
        <v>1</v>
      </c>
      <c r="F915" s="3" t="str">
        <f t="shared" si="311"/>
        <v>Construção - Serviços de Construção - Substituição</v>
      </c>
      <c r="G915" s="2" t="str">
        <f>VLOOKUP($A915,Controle!$B$4:$G$68,6,FALSE)</f>
        <v>Apolo</v>
      </c>
      <c r="H915" s="6" t="s">
        <v>202</v>
      </c>
      <c r="I915" s="6">
        <v>2196914.37</v>
      </c>
      <c r="J915" s="6">
        <v>0</v>
      </c>
      <c r="K915" s="6">
        <v>0</v>
      </c>
      <c r="L915" s="6">
        <v>0</v>
      </c>
      <c r="M915" s="6">
        <v>0</v>
      </c>
      <c r="N915" s="6">
        <v>0</v>
      </c>
      <c r="O915" s="4">
        <f t="shared" si="312"/>
        <v>2196914.37</v>
      </c>
      <c r="P915" s="5">
        <f>SUMIFS('Desenvolvimento diário'!$H:$H,'Desenvolvimento diário'!$Q:$Q,$B915,'Desenvolvimento diário'!$P:$P,$F915,'Desenvolvimento diário'!$R:$R,"Sim")</f>
        <v>387353.41</v>
      </c>
      <c r="Q915" s="5">
        <f>SUMIFS('Desenvolvimento diário'!$H:$H,'Desenvolvimento diário'!$Q:$Q,$B915,'Desenvolvimento diário'!$P:$P,$F915,'Desenvolvimento diário'!$R:$R,"Não")</f>
        <v>219691.44</v>
      </c>
      <c r="R915" s="4">
        <f t="shared" si="313"/>
        <v>607044.85</v>
      </c>
      <c r="S915" s="33">
        <f t="shared" si="314"/>
        <v>1589869.52</v>
      </c>
      <c r="T915" s="12">
        <f t="shared" si="304"/>
        <v>0.27631702823264792</v>
      </c>
      <c r="U915" s="510" t="s">
        <v>162</v>
      </c>
      <c r="V915" s="510" t="s">
        <v>163</v>
      </c>
      <c r="Y915" s="2"/>
      <c r="Z915" s="2"/>
      <c r="AA915" s="2"/>
      <c r="AB915" s="2"/>
      <c r="AC915" s="2"/>
    </row>
    <row r="916" spans="1:29" ht="10.5" hidden="1">
      <c r="A916" s="2">
        <f t="shared" si="315"/>
        <v>27</v>
      </c>
      <c r="B916" s="2" t="str">
        <f>VLOOKUP($A916,Controle!$B$4:$F$68,2,FALSE)</f>
        <v>Divinópolis 3</v>
      </c>
      <c r="C916" s="2" t="str">
        <f>VLOOKUP($A916,Controle!$B$4:$F$68,3,FALSE)</f>
        <v xml:space="preserve">ESTRELA DO NORTE </v>
      </c>
      <c r="D916" s="2" t="str">
        <f>VLOOKUP($A916,Controle!$B$4:$F$68,4,FALSE)</f>
        <v>EDN</v>
      </c>
      <c r="E916" s="2">
        <f>VLOOKUP($A916,Controle!$B$4:$F$68,5,FALSE)</f>
        <v>1</v>
      </c>
      <c r="F916" s="3" t="str">
        <f t="shared" si="311"/>
        <v>Construção - RDA Interno</v>
      </c>
      <c r="G916" s="2" t="str">
        <f>VLOOKUP($A916,Controle!$B$4:$G$68,6,FALSE)</f>
        <v>Apolo</v>
      </c>
      <c r="H916" s="6" t="s">
        <v>168</v>
      </c>
      <c r="I916" s="6">
        <v>330000</v>
      </c>
      <c r="J916" s="6">
        <v>0</v>
      </c>
      <c r="K916" s="6">
        <v>0</v>
      </c>
      <c r="L916" s="6">
        <v>0</v>
      </c>
      <c r="M916" s="6">
        <v>0</v>
      </c>
      <c r="N916" s="6">
        <v>0</v>
      </c>
      <c r="O916" s="4">
        <f t="shared" si="312"/>
        <v>330000</v>
      </c>
      <c r="P916" s="5">
        <f>SUMIFS('Desenvolvimento diário'!$H:$H,'Desenvolvimento diário'!$Q:$Q,$B916,'Desenvolvimento diário'!$P:$P,$F916,'Desenvolvimento diário'!$R:$R,"Sim")</f>
        <v>0</v>
      </c>
      <c r="Q916" s="5">
        <f>SUMIFS('Desenvolvimento diário'!$H:$H,'Desenvolvimento diário'!$Q:$Q,$B916,'Desenvolvimento diário'!$P:$P,$F916,'Desenvolvimento diário'!$R:$R,"Não")</f>
        <v>330000</v>
      </c>
      <c r="R916" s="4">
        <f t="shared" si="313"/>
        <v>330000</v>
      </c>
      <c r="S916" s="4">
        <f t="shared" si="314"/>
        <v>0</v>
      </c>
      <c r="T916" s="12">
        <f t="shared" si="304"/>
        <v>1</v>
      </c>
      <c r="Y916" s="2"/>
      <c r="Z916" s="2"/>
      <c r="AA916" s="2"/>
      <c r="AB916" s="2"/>
      <c r="AC916" s="2"/>
    </row>
    <row r="917" spans="1:29" ht="10.5" hidden="1">
      <c r="A917" s="2">
        <f t="shared" si="315"/>
        <v>27</v>
      </c>
      <c r="B917" s="2" t="str">
        <f>VLOOKUP($A917,Controle!$B$4:$F$68,2,FALSE)</f>
        <v>Divinópolis 3</v>
      </c>
      <c r="C917" s="2" t="str">
        <f>VLOOKUP($A917,Controle!$B$4:$F$68,3,FALSE)</f>
        <v xml:space="preserve">ESTRELA DO NORTE </v>
      </c>
      <c r="D917" s="2" t="str">
        <f>VLOOKUP($A917,Controle!$B$4:$F$68,4,FALSE)</f>
        <v>EDN</v>
      </c>
      <c r="E917" s="2">
        <f>VLOOKUP($A917,Controle!$B$4:$F$68,5,FALSE)</f>
        <v>1</v>
      </c>
      <c r="F917" s="3" t="str">
        <f t="shared" si="311"/>
        <v>Full EPC - Contrato</v>
      </c>
      <c r="G917" s="2" t="str">
        <f>VLOOKUP($A917,Controle!$B$4:$G$68,6,FALSE)</f>
        <v>Apolo</v>
      </c>
      <c r="H917" s="6">
        <v>0</v>
      </c>
      <c r="I917" s="6">
        <v>0</v>
      </c>
      <c r="J917" s="6">
        <v>0</v>
      </c>
      <c r="K917" s="6">
        <v>0</v>
      </c>
      <c r="L917" s="6">
        <v>0</v>
      </c>
      <c r="M917" s="6">
        <v>0</v>
      </c>
      <c r="N917" s="6">
        <v>0</v>
      </c>
      <c r="O917" s="4">
        <f t="shared" si="312"/>
        <v>0</v>
      </c>
      <c r="P917" s="5">
        <f>SUMIFS('Desenvolvimento diário'!$H:$H,'Desenvolvimento diário'!$Q:$Q,$B917,'Desenvolvimento diário'!$P:$P,$F917,'Desenvolvimento diário'!$R:$R,"Sim")</f>
        <v>0</v>
      </c>
      <c r="Q917" s="5">
        <f>SUMIFS('Desenvolvimento diário'!$H:$H,'Desenvolvimento diário'!$Q:$Q,$B917,'Desenvolvimento diário'!$P:$P,$F917,'Desenvolvimento diário'!$R:$R,"Não")</f>
        <v>0</v>
      </c>
      <c r="R917" s="4">
        <f t="shared" si="313"/>
        <v>0</v>
      </c>
      <c r="S917" s="4">
        <f t="shared" si="314"/>
        <v>0</v>
      </c>
      <c r="T917" s="12">
        <f t="shared" si="304"/>
        <v>0</v>
      </c>
      <c r="Y917" s="2"/>
      <c r="Z917" s="2"/>
      <c r="AA917" s="2"/>
      <c r="AB917" s="2"/>
      <c r="AC917" s="2"/>
    </row>
    <row r="918" spans="1:29" ht="10.5" hidden="1">
      <c r="A918" s="2">
        <f t="shared" si="315"/>
        <v>27</v>
      </c>
      <c r="B918" s="2" t="str">
        <f>VLOOKUP($A918,Controle!$B$4:$F$68,2,FALSE)</f>
        <v>Divinópolis 3</v>
      </c>
      <c r="C918" s="2" t="str">
        <f>VLOOKUP($A918,Controle!$B$4:$F$68,3,FALSE)</f>
        <v xml:space="preserve">ESTRELA DO NORTE </v>
      </c>
      <c r="D918" s="2" t="str">
        <f>VLOOKUP($A918,Controle!$B$4:$F$68,4,FALSE)</f>
        <v>EDN</v>
      </c>
      <c r="E918" s="2">
        <f>VLOOKUP($A918,Controle!$B$4:$F$68,5,FALSE)</f>
        <v>1</v>
      </c>
      <c r="F918" s="3" t="str">
        <f t="shared" si="311"/>
        <v>Equipamentos Curva A - Outros (Transformadores)</v>
      </c>
      <c r="G918" s="2" t="str">
        <f>VLOOKUP($A918,Controle!$B$4:$G$68,6,FALSE)</f>
        <v>Apolo</v>
      </c>
      <c r="H918" s="6" t="s">
        <v>144</v>
      </c>
      <c r="I918" s="6">
        <v>204110.04</v>
      </c>
      <c r="J918" s="6">
        <v>0</v>
      </c>
      <c r="K918" s="6">
        <v>0</v>
      </c>
      <c r="L918" s="6">
        <v>0</v>
      </c>
      <c r="M918" s="6">
        <v>0</v>
      </c>
      <c r="N918" s="6">
        <v>0</v>
      </c>
      <c r="O918" s="4">
        <f t="shared" si="312"/>
        <v>204110.04</v>
      </c>
      <c r="P918" s="5">
        <f>SUMIFS('Desenvolvimento diário'!$H:$H,'Desenvolvimento diário'!$Q:$Q,$B918,'Desenvolvimento diário'!$P:$P,$F918,'Desenvolvimento diário'!$R:$R,"Sim")</f>
        <v>0</v>
      </c>
      <c r="Q918" s="5">
        <f>SUMIFS('Desenvolvimento diário'!$H:$H,'Desenvolvimento diário'!$Q:$Q,$B918,'Desenvolvimento diário'!$P:$P,$F918,'Desenvolvimento diário'!$R:$R,"Não")</f>
        <v>204110.04</v>
      </c>
      <c r="R918" s="4">
        <f t="shared" si="313"/>
        <v>204110.04</v>
      </c>
      <c r="S918" s="4">
        <f t="shared" si="314"/>
        <v>0</v>
      </c>
      <c r="T918" s="12">
        <f t="shared" si="304"/>
        <v>1</v>
      </c>
      <c r="Y918" s="2"/>
      <c r="Z918" s="2"/>
      <c r="AA918" s="2"/>
      <c r="AB918" s="2"/>
      <c r="AC918" s="2"/>
    </row>
    <row r="919" spans="1:29" ht="10.5" hidden="1">
      <c r="A919" s="2">
        <f t="shared" si="315"/>
        <v>27</v>
      </c>
      <c r="B919" s="2" t="str">
        <f>VLOOKUP($A919,Controle!$B$4:$F$68,2,FALSE)</f>
        <v>Divinópolis 3</v>
      </c>
      <c r="C919" s="2" t="str">
        <f>VLOOKUP($A919,Controle!$B$4:$F$68,3,FALSE)</f>
        <v xml:space="preserve">ESTRELA DO NORTE </v>
      </c>
      <c r="D919" s="2" t="str">
        <f>VLOOKUP($A919,Controle!$B$4:$F$68,4,FALSE)</f>
        <v>EDN</v>
      </c>
      <c r="E919" s="2">
        <f>VLOOKUP($A919,Controle!$B$4:$F$68,5,FALSE)</f>
        <v>1</v>
      </c>
      <c r="F919" s="3" t="str">
        <f t="shared" si="311"/>
        <v>Equipamentos Curva A - Outros (Cabine + Skid)</v>
      </c>
      <c r="G919" s="2" t="str">
        <f>VLOOKUP($A919,Controle!$B$4:$G$68,6,FALSE)</f>
        <v>Apolo</v>
      </c>
      <c r="H919" s="6" t="s">
        <v>196</v>
      </c>
      <c r="I919" s="6">
        <f>489114.83</f>
        <v>489114.83</v>
      </c>
      <c r="J919" s="6">
        <v>4677.47</v>
      </c>
      <c r="K919" s="6">
        <v>0</v>
      </c>
      <c r="L919" s="6">
        <v>0</v>
      </c>
      <c r="M919" s="6">
        <v>0</v>
      </c>
      <c r="N919" s="6">
        <v>0</v>
      </c>
      <c r="O919" s="43">
        <f t="shared" si="312"/>
        <v>493792.3</v>
      </c>
      <c r="P919" s="5">
        <f>SUMIFS('Desenvolvimento diário'!$H:$H,'Desenvolvimento diário'!$Q:$Q,$B919,'Desenvolvimento diário'!$P:$P,$F919,'Desenvolvimento diário'!$R:$R,"Sim")</f>
        <v>0</v>
      </c>
      <c r="Q919" s="5">
        <f>SUMIFS('Desenvolvimento diário'!$H:$H,'Desenvolvimento diário'!$Q:$Q,$B919,'Desenvolvimento diário'!$P:$P,$F919,'Desenvolvimento diário'!$R:$R,"Não")</f>
        <v>493792.3</v>
      </c>
      <c r="R919" s="43">
        <f t="shared" si="313"/>
        <v>493792.3</v>
      </c>
      <c r="S919" s="4">
        <f>O919-R919</f>
        <v>0</v>
      </c>
      <c r="T919" s="12">
        <f t="shared" si="304"/>
        <v>1</v>
      </c>
      <c r="Y919" s="2"/>
      <c r="Z919" s="2"/>
      <c r="AA919" s="2"/>
      <c r="AB919" s="2"/>
      <c r="AC919" s="2"/>
    </row>
    <row r="920" spans="1:29" ht="10.5" hidden="1">
      <c r="A920" s="2">
        <f t="shared" si="315"/>
        <v>27</v>
      </c>
      <c r="B920" s="2" t="str">
        <f>VLOOKUP($A920,Controle!$B$4:$F$68,2,FALSE)</f>
        <v>Divinópolis 3</v>
      </c>
      <c r="C920" s="2" t="str">
        <f>VLOOKUP($A920,Controle!$B$4:$F$68,3,FALSE)</f>
        <v xml:space="preserve">ESTRELA DO NORTE </v>
      </c>
      <c r="D920" s="2" t="str">
        <f>VLOOKUP($A920,Controle!$B$4:$F$68,4,FALSE)</f>
        <v>EDN</v>
      </c>
      <c r="E920" s="2">
        <f>VLOOKUP($A920,Controle!$B$4:$F$68,5,FALSE)</f>
        <v>1</v>
      </c>
      <c r="F920" s="3" t="str">
        <f t="shared" si="311"/>
        <v>Equipamentos Curva A - Outros (Cabine + Skid + Transformador)</v>
      </c>
      <c r="G920" s="2" t="str">
        <f>VLOOKUP($A920,Controle!$B$4:$G$68,6,FALSE)</f>
        <v>Apolo</v>
      </c>
      <c r="H920" s="6">
        <v>0</v>
      </c>
      <c r="I920" s="6">
        <v>0</v>
      </c>
      <c r="J920" s="6">
        <v>0</v>
      </c>
      <c r="K920" s="6">
        <v>0</v>
      </c>
      <c r="L920" s="6">
        <v>0</v>
      </c>
      <c r="M920" s="6">
        <v>0</v>
      </c>
      <c r="N920" s="6">
        <v>0</v>
      </c>
      <c r="O920" s="4">
        <f t="shared" si="312"/>
        <v>0</v>
      </c>
      <c r="P920" s="5">
        <f>SUMIFS('Desenvolvimento diário'!$H:$H,'Desenvolvimento diário'!$Q:$Q,$B920,'Desenvolvimento diário'!$P:$P,$F920,'Desenvolvimento diário'!$R:$R,"Sim")</f>
        <v>0</v>
      </c>
      <c r="Q920" s="5">
        <f>SUMIFS('Desenvolvimento diário'!$H:$H,'Desenvolvimento diário'!$Q:$Q,$B920,'Desenvolvimento diário'!$P:$P,$F920,'Desenvolvimento diário'!$R:$R,"Não")</f>
        <v>0</v>
      </c>
      <c r="R920" s="4">
        <f t="shared" si="313"/>
        <v>0</v>
      </c>
      <c r="S920" s="4">
        <f t="shared" si="314"/>
        <v>0</v>
      </c>
      <c r="T920" s="12">
        <f t="shared" si="304"/>
        <v>0</v>
      </c>
      <c r="Y920" s="2"/>
      <c r="Z920" s="2"/>
      <c r="AA920" s="2"/>
      <c r="AB920" s="2"/>
      <c r="AC920" s="2"/>
    </row>
    <row r="921" spans="1:29" ht="10.5" hidden="1">
      <c r="A921" s="2">
        <f t="shared" si="315"/>
        <v>27</v>
      </c>
      <c r="B921" s="2" t="str">
        <f>VLOOKUP($A921,Controle!$B$4:$F$68,2,FALSE)</f>
        <v>Divinópolis 3</v>
      </c>
      <c r="C921" s="2" t="str">
        <f>VLOOKUP($A921,Controle!$B$4:$F$68,3,FALSE)</f>
        <v xml:space="preserve">ESTRELA DO NORTE </v>
      </c>
      <c r="D921" s="2" t="str">
        <f>VLOOKUP($A921,Controle!$B$4:$F$68,4,FALSE)</f>
        <v>EDN</v>
      </c>
      <c r="E921" s="2">
        <f>VLOOKUP($A921,Controle!$B$4:$F$68,5,FALSE)</f>
        <v>1</v>
      </c>
      <c r="F921" s="3" t="str">
        <f t="shared" si="311"/>
        <v>Desenvolvimento de projeto - Projetos - (Eng° Proprietario)</v>
      </c>
      <c r="G921" s="2" t="str">
        <f>VLOOKUP($A921,Controle!$B$4:$G$68,6,FALSE)</f>
        <v>Apolo</v>
      </c>
      <c r="H921" s="6" t="s">
        <v>145</v>
      </c>
      <c r="I921" s="6">
        <v>0</v>
      </c>
      <c r="J921" s="6">
        <v>0</v>
      </c>
      <c r="K921" s="6">
        <v>0</v>
      </c>
      <c r="L921" s="6">
        <v>0</v>
      </c>
      <c r="M921" s="6">
        <v>0</v>
      </c>
      <c r="N921" s="6">
        <v>0</v>
      </c>
      <c r="O921" s="4">
        <f t="shared" si="312"/>
        <v>0</v>
      </c>
      <c r="P921" s="5">
        <f>SUMIFS('Desenvolvimento diário'!$H:$H,'Desenvolvimento diário'!$Q:$Q,$B921,'Desenvolvimento diário'!$P:$P,$F921,'Desenvolvimento diário'!$R:$R,"Sim")</f>
        <v>0</v>
      </c>
      <c r="Q921" s="5">
        <f>SUMIFS('Desenvolvimento diário'!$H:$H,'Desenvolvimento diário'!$Q:$Q,$B921,'Desenvolvimento diário'!$P:$P,$F921,'Desenvolvimento diário'!$R:$R,"Não")</f>
        <v>0</v>
      </c>
      <c r="R921" s="4">
        <f t="shared" si="313"/>
        <v>0</v>
      </c>
      <c r="S921" s="4">
        <f t="shared" si="314"/>
        <v>0</v>
      </c>
      <c r="T921" s="12">
        <f t="shared" si="304"/>
        <v>0</v>
      </c>
      <c r="Y921" s="2"/>
      <c r="Z921" s="2"/>
      <c r="AA921" s="2"/>
      <c r="AB921" s="2"/>
      <c r="AC921" s="2"/>
    </row>
    <row r="922" spans="1:29" ht="10.5" hidden="1">
      <c r="A922" s="2">
        <f t="shared" si="315"/>
        <v>27</v>
      </c>
      <c r="B922" s="2" t="str">
        <f>VLOOKUP($A922,Controle!$B$4:$F$68,2,FALSE)</f>
        <v>Divinópolis 3</v>
      </c>
      <c r="C922" s="2" t="str">
        <f>VLOOKUP($A922,Controle!$B$4:$F$68,3,FALSE)</f>
        <v xml:space="preserve">ESTRELA DO NORTE </v>
      </c>
      <c r="D922" s="2" t="str">
        <f>VLOOKUP($A922,Controle!$B$4:$F$68,4,FALSE)</f>
        <v>EDN</v>
      </c>
      <c r="E922" s="2">
        <f>VLOOKUP($A922,Controle!$B$4:$F$68,5,FALSE)</f>
        <v>1</v>
      </c>
      <c r="F922" s="3" t="str">
        <f t="shared" si="311"/>
        <v>Desenvolvimento de projeto - Projetos - Executivos</v>
      </c>
      <c r="G922" s="2" t="str">
        <f>VLOOKUP($A922,Controle!$B$4:$G$68,6,FALSE)</f>
        <v>Apolo</v>
      </c>
      <c r="H922" s="6" t="s">
        <v>146</v>
      </c>
      <c r="I922" s="6">
        <f>36466+(0.7)</f>
        <v>36466.699999999997</v>
      </c>
      <c r="J922" s="6">
        <v>0</v>
      </c>
      <c r="K922" s="6">
        <v>0</v>
      </c>
      <c r="L922" s="6">
        <v>0</v>
      </c>
      <c r="M922" s="6">
        <v>0</v>
      </c>
      <c r="N922" s="6">
        <v>0</v>
      </c>
      <c r="O922" s="4">
        <f t="shared" si="312"/>
        <v>36466.699999999997</v>
      </c>
      <c r="P922" s="5">
        <f>SUMIFS('Desenvolvimento diário'!$H:$H,'Desenvolvimento diário'!$Q:$Q,$B922,'Desenvolvimento diário'!$P:$P,$F922,'Desenvolvimento diário'!$R:$R,"Sim")</f>
        <v>0</v>
      </c>
      <c r="Q922" s="5">
        <f>SUMIFS('Desenvolvimento diário'!$H:$H,'Desenvolvimento diário'!$Q:$Q,$B922,'Desenvolvimento diário'!$P:$P,$F922,'Desenvolvimento diário'!$R:$R,"Não")</f>
        <v>36466.699999999997</v>
      </c>
      <c r="R922" s="4">
        <f t="shared" si="313"/>
        <v>36466.699999999997</v>
      </c>
      <c r="S922" s="93">
        <f t="shared" si="314"/>
        <v>0</v>
      </c>
      <c r="T922" s="12">
        <f t="shared" si="304"/>
        <v>1</v>
      </c>
      <c r="U922" s="34"/>
      <c r="Y922" s="2"/>
      <c r="Z922" s="2"/>
      <c r="AA922" s="2"/>
      <c r="AB922" s="2"/>
      <c r="AC922" s="2"/>
    </row>
    <row r="923" spans="1:29" ht="10.5" hidden="1">
      <c r="A923" s="2">
        <f t="shared" si="315"/>
        <v>27</v>
      </c>
      <c r="B923" s="2" t="str">
        <f>VLOOKUP($A923,Controle!$B$4:$F$68,2,FALSE)</f>
        <v>Divinópolis 3</v>
      </c>
      <c r="C923" s="2" t="str">
        <f>VLOOKUP($A923,Controle!$B$4:$F$68,3,FALSE)</f>
        <v xml:space="preserve">ESTRELA DO NORTE </v>
      </c>
      <c r="D923" s="2" t="str">
        <f>VLOOKUP($A923,Controle!$B$4:$F$68,4,FALSE)</f>
        <v>EDN</v>
      </c>
      <c r="E923" s="2">
        <f>VLOOKUP($A923,Controle!$B$4:$F$68,5,FALSE)</f>
        <v>1</v>
      </c>
      <c r="F923" s="3" t="str">
        <f t="shared" si="311"/>
        <v>Desenvolvimento de projeto - Projetos Básica</v>
      </c>
      <c r="G923" s="2" t="str">
        <f>VLOOKUP($A923,Controle!$B$4:$G$68,6,FALSE)</f>
        <v>Apolo</v>
      </c>
      <c r="H923" s="6">
        <v>0</v>
      </c>
      <c r="I923" s="6">
        <v>0</v>
      </c>
      <c r="J923" s="6">
        <v>0</v>
      </c>
      <c r="K923" s="6">
        <v>0</v>
      </c>
      <c r="L923" s="6">
        <v>0</v>
      </c>
      <c r="M923" s="6">
        <v>0</v>
      </c>
      <c r="N923" s="6">
        <v>0</v>
      </c>
      <c r="O923" s="4">
        <f t="shared" si="312"/>
        <v>0</v>
      </c>
      <c r="P923" s="5">
        <f>SUMIFS('Desenvolvimento diário'!$H:$H,'Desenvolvimento diário'!$Q:$Q,$B923,'Desenvolvimento diário'!$P:$P,$F923,'Desenvolvimento diário'!$R:$R,"Sim")</f>
        <v>0</v>
      </c>
      <c r="Q923" s="5">
        <f>SUMIFS('Desenvolvimento diário'!$H:$H,'Desenvolvimento diário'!$Q:$Q,$B923,'Desenvolvimento diário'!$P:$P,$F923,'Desenvolvimento diário'!$R:$R,"Não")</f>
        <v>0</v>
      </c>
      <c r="R923" s="4">
        <f t="shared" si="313"/>
        <v>0</v>
      </c>
      <c r="S923" s="4">
        <f t="shared" si="314"/>
        <v>0</v>
      </c>
      <c r="T923" s="12">
        <f t="shared" si="304"/>
        <v>0</v>
      </c>
      <c r="Y923" s="2"/>
      <c r="Z923" s="2"/>
      <c r="AA923" s="2"/>
      <c r="AB923" s="2"/>
      <c r="AC923" s="2"/>
    </row>
    <row r="924" spans="1:29" ht="10.5" hidden="1">
      <c r="A924" s="2">
        <f t="shared" si="315"/>
        <v>27</v>
      </c>
      <c r="B924" s="2" t="str">
        <f>VLOOKUP($A924,Controle!$B$4:$F$68,2,FALSE)</f>
        <v>Divinópolis 3</v>
      </c>
      <c r="C924" s="2" t="str">
        <f>VLOOKUP($A924,Controle!$B$4:$F$68,3,FALSE)</f>
        <v xml:space="preserve">ESTRELA DO NORTE </v>
      </c>
      <c r="D924" s="2" t="str">
        <f>VLOOKUP($A924,Controle!$B$4:$F$68,4,FALSE)</f>
        <v>EDN</v>
      </c>
      <c r="E924" s="2">
        <f>VLOOKUP($A924,Controle!$B$4:$F$68,5,FALSE)</f>
        <v>1</v>
      </c>
      <c r="F924" s="3" t="str">
        <f t="shared" si="311"/>
        <v>Desenvolvimento de projeto - Projetos Detalhada</v>
      </c>
      <c r="G924" s="2" t="str">
        <f>VLOOKUP($A924,Controle!$B$4:$G$68,6,FALSE)</f>
        <v>Apolo</v>
      </c>
      <c r="H924" s="6">
        <v>0</v>
      </c>
      <c r="I924" s="6">
        <v>0</v>
      </c>
      <c r="J924" s="6">
        <v>0</v>
      </c>
      <c r="K924" s="6">
        <v>0</v>
      </c>
      <c r="L924" s="6">
        <v>0</v>
      </c>
      <c r="M924" s="6">
        <v>0</v>
      </c>
      <c r="N924" s="6">
        <v>0</v>
      </c>
      <c r="O924" s="4">
        <f t="shared" si="312"/>
        <v>0</v>
      </c>
      <c r="P924" s="5">
        <f>SUMIFS('Desenvolvimento diário'!$H:$H,'Desenvolvimento diário'!$Q:$Q,$B924,'Desenvolvimento diário'!$P:$P,$F924,'Desenvolvimento diário'!$R:$R,"Sim")</f>
        <v>0</v>
      </c>
      <c r="Q924" s="5">
        <f>SUMIFS('Desenvolvimento diário'!$H:$H,'Desenvolvimento diário'!$Q:$Q,$B924,'Desenvolvimento diário'!$P:$P,$F924,'Desenvolvimento diário'!$R:$R,"Não")</f>
        <v>0</v>
      </c>
      <c r="R924" s="4">
        <f t="shared" si="313"/>
        <v>0</v>
      </c>
      <c r="S924" s="4">
        <f t="shared" si="314"/>
        <v>0</v>
      </c>
      <c r="T924" s="12">
        <f t="shared" si="304"/>
        <v>0</v>
      </c>
      <c r="Y924" s="2"/>
      <c r="Z924" s="2"/>
      <c r="AA924" s="2"/>
      <c r="AB924" s="2"/>
      <c r="AC924" s="2"/>
    </row>
    <row r="925" spans="1:29" ht="10.5" hidden="1">
      <c r="A925" s="2">
        <f t="shared" si="315"/>
        <v>27</v>
      </c>
      <c r="B925" s="2" t="str">
        <f>VLOOKUP($A925,Controle!$B$4:$F$68,2,FALSE)</f>
        <v>Divinópolis 3</v>
      </c>
      <c r="C925" s="2" t="str">
        <f>VLOOKUP($A925,Controle!$B$4:$F$68,3,FALSE)</f>
        <v xml:space="preserve">ESTRELA DO NORTE </v>
      </c>
      <c r="D925" s="2" t="str">
        <f>VLOOKUP($A925,Controle!$B$4:$F$68,4,FALSE)</f>
        <v>EDN</v>
      </c>
      <c r="E925" s="2">
        <f>VLOOKUP($A925,Controle!$B$4:$F$68,5,FALSE)</f>
        <v>1</v>
      </c>
      <c r="F925" s="3" t="str">
        <f t="shared" si="311"/>
        <v>Desenvolvimento de projeto - Ambiental / Outros</v>
      </c>
      <c r="G925" s="2" t="str">
        <f>VLOOKUP($A925,Controle!$B$4:$G$68,6,FALSE)</f>
        <v>Apolo</v>
      </c>
      <c r="H925" s="6" t="s">
        <v>148</v>
      </c>
      <c r="I925" s="6">
        <f>R925</f>
        <v>145924.28000000003</v>
      </c>
      <c r="J925" s="6">
        <v>0</v>
      </c>
      <c r="K925" s="6">
        <v>0</v>
      </c>
      <c r="L925" s="6">
        <v>0</v>
      </c>
      <c r="M925" s="6">
        <v>0</v>
      </c>
      <c r="N925" s="6">
        <v>0</v>
      </c>
      <c r="O925" s="4">
        <f t="shared" si="312"/>
        <v>145924.28000000003</v>
      </c>
      <c r="P925" s="5">
        <f>SUMIFS('Desenvolvimento diário'!$H:$H,'Desenvolvimento diário'!$Q:$Q,$B925,'Desenvolvimento diário'!$P:$P,$F925,'Desenvolvimento diário'!$R:$R,"Sim")</f>
        <v>0</v>
      </c>
      <c r="Q925" s="5">
        <f>SUMIFS('Desenvolvimento diário'!$H:$H,'Desenvolvimento diário'!$Q:$Q,$B925,'Desenvolvimento diário'!$P:$P,$F925,'Desenvolvimento diário'!$R:$R,"Não")</f>
        <v>145924.28000000003</v>
      </c>
      <c r="R925" s="4">
        <f t="shared" si="313"/>
        <v>145924.28000000003</v>
      </c>
      <c r="S925" s="4">
        <f t="shared" si="314"/>
        <v>0</v>
      </c>
      <c r="T925" s="12">
        <f t="shared" si="304"/>
        <v>1</v>
      </c>
      <c r="Y925" s="2"/>
      <c r="Z925" s="2"/>
      <c r="AA925" s="2"/>
      <c r="AB925" s="2"/>
      <c r="AC925" s="2"/>
    </row>
    <row r="926" spans="1:29" hidden="1">
      <c r="A926" s="2">
        <f t="shared" si="315"/>
        <v>27</v>
      </c>
      <c r="B926" s="2" t="str">
        <f>VLOOKUP($A926,Controle!$B$4:$F$68,2,FALSE)</f>
        <v>Divinópolis 3</v>
      </c>
      <c r="C926" s="2" t="str">
        <f>VLOOKUP($A926,Controle!$B$4:$F$68,3,FALSE)</f>
        <v xml:space="preserve">ESTRELA DO NORTE </v>
      </c>
      <c r="D926" s="2" t="str">
        <f>VLOOKUP($A926,Controle!$B$4:$F$68,4,FALSE)</f>
        <v>EDN</v>
      </c>
      <c r="E926" s="2">
        <f>VLOOKUP($A926,Controle!$B$4:$F$68,5,FALSE)</f>
        <v>1</v>
      </c>
      <c r="F926" s="3" t="str">
        <f t="shared" si="311"/>
        <v>Desenvolvimento de projeto - Coordenograma</v>
      </c>
      <c r="G926" s="2" t="str">
        <f>VLOOKUP($A926,Controle!$B$4:$G$68,6,FALSE)</f>
        <v>Apolo</v>
      </c>
      <c r="H926" s="31" t="s">
        <v>149</v>
      </c>
      <c r="I926" s="31">
        <v>6206.9</v>
      </c>
      <c r="J926" s="31">
        <v>0</v>
      </c>
      <c r="K926" s="31">
        <v>0</v>
      </c>
      <c r="L926" s="6">
        <v>0</v>
      </c>
      <c r="M926" s="6">
        <v>0</v>
      </c>
      <c r="N926" s="6">
        <v>0</v>
      </c>
      <c r="O926" s="4">
        <f t="shared" si="312"/>
        <v>6206.9</v>
      </c>
      <c r="P926" s="5">
        <f>SUMIFS('Desenvolvimento diário'!$H:$H,'Desenvolvimento diário'!$Q:$Q,$B926,'Desenvolvimento diário'!$P:$P,$F926,'Desenvolvimento diário'!$R:$R,"Sim")</f>
        <v>0</v>
      </c>
      <c r="Q926" s="5">
        <f>SUMIFS('Desenvolvimento diário'!$H:$H,'Desenvolvimento diário'!$Q:$Q,$B926,'Desenvolvimento diário'!$P:$P,$F926,'Desenvolvimento diário'!$R:$R,"Não")</f>
        <v>6206.9</v>
      </c>
      <c r="R926" s="4">
        <f t="shared" si="313"/>
        <v>6206.9</v>
      </c>
      <c r="S926" s="4">
        <f t="shared" si="314"/>
        <v>0</v>
      </c>
      <c r="T926" s="12">
        <f t="shared" si="304"/>
        <v>1</v>
      </c>
      <c r="Y926" s="2"/>
      <c r="Z926" s="2"/>
      <c r="AA926" s="2"/>
      <c r="AB926" s="2"/>
      <c r="AC926" s="2"/>
    </row>
    <row r="927" spans="1:29" ht="10.5" hidden="1">
      <c r="A927" s="2">
        <f t="shared" si="315"/>
        <v>27</v>
      </c>
      <c r="B927" s="2" t="str">
        <f>VLOOKUP($A927,Controle!$B$4:$F$68,2,FALSE)</f>
        <v>Divinópolis 3</v>
      </c>
      <c r="C927" s="2" t="str">
        <f>VLOOKUP($A927,Controle!$B$4:$F$68,3,FALSE)</f>
        <v xml:space="preserve">ESTRELA DO NORTE </v>
      </c>
      <c r="D927" s="2" t="str">
        <f>VLOOKUP($A927,Controle!$B$4:$F$68,4,FALSE)</f>
        <v>EDN</v>
      </c>
      <c r="E927" s="2">
        <f>VLOOKUP($A927,Controle!$B$4:$F$68,5,FALSE)</f>
        <v>1</v>
      </c>
      <c r="F927" s="3" t="str">
        <f t="shared" si="311"/>
        <v>Sistemas de Monitoramento - Supervisório</v>
      </c>
      <c r="G927" s="2" t="str">
        <f>VLOOKUP($A927,Controle!$B$4:$G$68,6,FALSE)</f>
        <v>Apolo</v>
      </c>
      <c r="H927" s="6" t="s">
        <v>150</v>
      </c>
      <c r="I927" s="6">
        <v>126041.53</v>
      </c>
      <c r="J927" s="6"/>
      <c r="K927" s="6">
        <v>0</v>
      </c>
      <c r="L927" s="6">
        <v>0</v>
      </c>
      <c r="M927" s="6">
        <v>0</v>
      </c>
      <c r="N927" s="6">
        <v>0</v>
      </c>
      <c r="O927" s="4">
        <f t="shared" si="312"/>
        <v>126041.53</v>
      </c>
      <c r="P927" s="5">
        <f>SUMIFS('Desenvolvimento diário'!$H:$H,'Desenvolvimento diário'!$Q:$Q,$B927,'Desenvolvimento diário'!$P:$P,$F927,'Desenvolvimento diário'!$R:$R,"Sim")</f>
        <v>5821.02</v>
      </c>
      <c r="Q927" s="5">
        <f>SUMIFS('Desenvolvimento diário'!$H:$H,'Desenvolvimento diário'!$Q:$Q,$B927,'Desenvolvimento diário'!$P:$P,$F927,'Desenvolvimento diário'!$R:$R,"Não")</f>
        <v>120220.51</v>
      </c>
      <c r="R927" s="4">
        <f t="shared" si="313"/>
        <v>126041.53</v>
      </c>
      <c r="S927" s="4">
        <f t="shared" si="314"/>
        <v>0</v>
      </c>
      <c r="T927" s="12">
        <f t="shared" si="304"/>
        <v>1</v>
      </c>
      <c r="U927" s="34"/>
      <c r="Y927" s="2"/>
      <c r="Z927" s="2"/>
      <c r="AA927" s="2"/>
      <c r="AB927" s="2"/>
      <c r="AC927" s="2"/>
    </row>
    <row r="928" spans="1:29" ht="10.5" hidden="1">
      <c r="A928" s="2">
        <f t="shared" si="315"/>
        <v>27</v>
      </c>
      <c r="B928" s="2" t="str">
        <f>VLOOKUP($A928,Controle!$B$4:$F$68,2,FALSE)</f>
        <v>Divinópolis 3</v>
      </c>
      <c r="C928" s="2" t="str">
        <f>VLOOKUP($A928,Controle!$B$4:$F$68,3,FALSE)</f>
        <v xml:space="preserve">ESTRELA DO NORTE </v>
      </c>
      <c r="D928" s="2" t="str">
        <f>VLOOKUP($A928,Controle!$B$4:$F$68,4,FALSE)</f>
        <v>EDN</v>
      </c>
      <c r="E928" s="2">
        <f>VLOOKUP($A928,Controle!$B$4:$F$68,5,FALSE)</f>
        <v>1</v>
      </c>
      <c r="F928" s="3" t="str">
        <f t="shared" si="311"/>
        <v>Sistemas de Monitoramento - Estações Solarimétricas</v>
      </c>
      <c r="G928" s="2" t="str">
        <f>VLOOKUP($A928,Controle!$B$4:$G$68,6,FALSE)</f>
        <v>Apolo</v>
      </c>
      <c r="H928" s="6" t="s">
        <v>151</v>
      </c>
      <c r="I928" s="6">
        <v>48276.516000000003</v>
      </c>
      <c r="J928" s="6">
        <v>0</v>
      </c>
      <c r="K928" s="6">
        <v>0</v>
      </c>
      <c r="L928" s="6">
        <v>0</v>
      </c>
      <c r="M928" s="6">
        <v>0</v>
      </c>
      <c r="N928" s="6">
        <v>0</v>
      </c>
      <c r="O928" s="4">
        <f t="shared" si="312"/>
        <v>48276.516000000003</v>
      </c>
      <c r="P928" s="5">
        <f>SUMIFS('Desenvolvimento diário'!$H:$H,'Desenvolvimento diário'!$Q:$Q,$B928,'Desenvolvimento diário'!$P:$P,$F928,'Desenvolvimento diário'!$R:$R,"Sim")</f>
        <v>0</v>
      </c>
      <c r="Q928" s="5">
        <f>SUMIFS('Desenvolvimento diário'!$H:$H,'Desenvolvimento diário'!$Q:$Q,$B928,'Desenvolvimento diário'!$P:$P,$F928,'Desenvolvimento diário'!$R:$R,"Não")</f>
        <v>48276.516000000003</v>
      </c>
      <c r="R928" s="4">
        <f t="shared" si="313"/>
        <v>48276.516000000003</v>
      </c>
      <c r="S928" s="4">
        <f t="shared" si="314"/>
        <v>0</v>
      </c>
      <c r="T928" s="12">
        <f t="shared" si="304"/>
        <v>1</v>
      </c>
      <c r="U928" s="34"/>
      <c r="Y928" s="2"/>
      <c r="Z928" s="2"/>
      <c r="AA928" s="2"/>
      <c r="AB928" s="2"/>
      <c r="AC928" s="2"/>
    </row>
    <row r="929" spans="1:29" hidden="1">
      <c r="A929" s="2">
        <f t="shared" si="315"/>
        <v>27</v>
      </c>
      <c r="B929" s="2" t="str">
        <f>VLOOKUP($A929,Controle!$B$4:$F$68,2,FALSE)</f>
        <v>Divinópolis 3</v>
      </c>
      <c r="C929" s="2" t="str">
        <f>VLOOKUP($A929,Controle!$B$4:$F$68,3,FALSE)</f>
        <v xml:space="preserve">ESTRELA DO NORTE </v>
      </c>
      <c r="D929" s="2" t="str">
        <f>VLOOKUP($A929,Controle!$B$4:$F$68,4,FALSE)</f>
        <v>EDN</v>
      </c>
      <c r="E929" s="2">
        <f>VLOOKUP($A929,Controle!$B$4:$F$68,5,FALSE)</f>
        <v>1</v>
      </c>
      <c r="F929" s="3" t="str">
        <f t="shared" si="311"/>
        <v>Sistemas de Monitoramento - CFTV</v>
      </c>
      <c r="G929" s="2" t="str">
        <f>VLOOKUP($A929,Controle!$B$4:$G$68,6,FALSE)</f>
        <v>Apolo</v>
      </c>
      <c r="H929" s="31" t="s">
        <v>152</v>
      </c>
      <c r="I929" s="6">
        <v>256550.8</v>
      </c>
      <c r="J929" s="6">
        <v>0</v>
      </c>
      <c r="K929" s="6">
        <v>0</v>
      </c>
      <c r="L929" s="6">
        <v>0</v>
      </c>
      <c r="M929" s="6">
        <v>0</v>
      </c>
      <c r="N929" s="6">
        <v>0</v>
      </c>
      <c r="O929" s="4">
        <f t="shared" si="312"/>
        <v>256550.8</v>
      </c>
      <c r="P929" s="5">
        <f>SUMIFS('Desenvolvimento diário'!$H:$H,'Desenvolvimento diário'!$Q:$Q,$B929,'Desenvolvimento diário'!$P:$P,$F929,'Desenvolvimento diário'!$R:$R,"Sim")</f>
        <v>4605.4399999999996</v>
      </c>
      <c r="Q929" s="5">
        <f>SUMIFS('Desenvolvimento diário'!$H:$H,'Desenvolvimento diário'!$Q:$Q,$B929,'Desenvolvimento diário'!$P:$P,$F929,'Desenvolvimento diário'!$R:$R,"Não")</f>
        <v>251945.36</v>
      </c>
      <c r="R929" s="4">
        <f t="shared" si="313"/>
        <v>256550.8</v>
      </c>
      <c r="S929" s="4">
        <f t="shared" si="314"/>
        <v>0</v>
      </c>
      <c r="T929" s="12">
        <f t="shared" si="304"/>
        <v>1</v>
      </c>
      <c r="Y929" s="2"/>
      <c r="Z929" s="2"/>
      <c r="AA929" s="2"/>
      <c r="AB929" s="2"/>
      <c r="AC929" s="2"/>
    </row>
    <row r="930" spans="1:29" ht="10.5" hidden="1">
      <c r="A930" s="2">
        <f t="shared" si="315"/>
        <v>27</v>
      </c>
      <c r="B930" s="2" t="str">
        <f>VLOOKUP($A930,Controle!$B$4:$F$68,2,FALSE)</f>
        <v>Divinópolis 3</v>
      </c>
      <c r="C930" s="2" t="str">
        <f>VLOOKUP($A930,Controle!$B$4:$F$68,3,FALSE)</f>
        <v xml:space="preserve">ESTRELA DO NORTE </v>
      </c>
      <c r="D930" s="2" t="str">
        <f>VLOOKUP($A930,Controle!$B$4:$F$68,4,FALSE)</f>
        <v>EDN</v>
      </c>
      <c r="E930" s="2">
        <f>VLOOKUP($A930,Controle!$B$4:$F$68,5,FALSE)</f>
        <v>1</v>
      </c>
      <c r="F930" s="3" t="str">
        <f t="shared" si="311"/>
        <v>Serviços Auxiliares - Drenagem</v>
      </c>
      <c r="G930" s="2" t="str">
        <f>VLOOKUP($A930,Controle!$B$4:$G$68,6,FALSE)</f>
        <v>Apolo</v>
      </c>
      <c r="H930" s="6" t="s">
        <v>186</v>
      </c>
      <c r="I930" s="6">
        <v>614547.5</v>
      </c>
      <c r="J930" s="6">
        <v>76453.87</v>
      </c>
      <c r="K930" s="6">
        <v>0</v>
      </c>
      <c r="L930" s="6">
        <v>0</v>
      </c>
      <c r="M930" s="6">
        <v>0</v>
      </c>
      <c r="N930" s="6">
        <v>0</v>
      </c>
      <c r="O930" s="4">
        <f t="shared" si="312"/>
        <v>691001.37</v>
      </c>
      <c r="P930" s="5">
        <f>SUMIFS('Desenvolvimento diário'!$H:$H,'Desenvolvimento diário'!$Q:$Q,$B930,'Desenvolvimento diário'!$P:$P,$F930,'Desenvolvimento diário'!$R:$R,"Sim")</f>
        <v>0</v>
      </c>
      <c r="Q930" s="5">
        <f>SUMIFS('Desenvolvimento diário'!$H:$H,'Desenvolvimento diário'!$Q:$Q,$B930,'Desenvolvimento diário'!$P:$P,$F930,'Desenvolvimento diário'!$R:$R,"Não")</f>
        <v>691001.37</v>
      </c>
      <c r="R930" s="4">
        <f t="shared" si="313"/>
        <v>691001.37</v>
      </c>
      <c r="S930" s="4">
        <f t="shared" si="314"/>
        <v>0</v>
      </c>
      <c r="T930" s="12">
        <f t="shared" si="304"/>
        <v>1</v>
      </c>
      <c r="Y930" s="2"/>
      <c r="Z930" s="2"/>
      <c r="AA930" s="2"/>
      <c r="AB930" s="2"/>
      <c r="AC930" s="2"/>
    </row>
    <row r="931" spans="1:29" ht="10.5" hidden="1">
      <c r="A931" s="2">
        <f t="shared" si="315"/>
        <v>27</v>
      </c>
      <c r="B931" s="2" t="str">
        <f>VLOOKUP($A931,Controle!$B$4:$F$68,2,FALSE)</f>
        <v>Divinópolis 3</v>
      </c>
      <c r="C931" s="2" t="str">
        <f>VLOOKUP($A931,Controle!$B$4:$F$68,3,FALSE)</f>
        <v xml:space="preserve">ESTRELA DO NORTE </v>
      </c>
      <c r="D931" s="2" t="str">
        <f>VLOOKUP($A931,Controle!$B$4:$F$68,4,FALSE)</f>
        <v>EDN</v>
      </c>
      <c r="E931" s="2">
        <f>VLOOKUP($A931,Controle!$B$4:$F$68,5,FALSE)</f>
        <v>1</v>
      </c>
      <c r="F931" s="3" t="str">
        <f t="shared" si="311"/>
        <v>Serviços Auxiliares - Terraplanagem</v>
      </c>
      <c r="G931" s="2" t="str">
        <f>VLOOKUP($A931,Controle!$B$4:$G$68,6,FALSE)</f>
        <v>Apolo</v>
      </c>
      <c r="H931" s="6" t="s">
        <v>207</v>
      </c>
      <c r="I931" s="6">
        <f>393357.25+4463.98</f>
        <v>397821.23</v>
      </c>
      <c r="J931" s="6">
        <v>97973.02</v>
      </c>
      <c r="K931" s="6">
        <v>57292.47</v>
      </c>
      <c r="L931" s="6">
        <v>0</v>
      </c>
      <c r="M931" s="6">
        <v>0</v>
      </c>
      <c r="N931" s="6">
        <v>0</v>
      </c>
      <c r="O931" s="4">
        <f t="shared" si="312"/>
        <v>553086.71999999997</v>
      </c>
      <c r="P931" s="5">
        <f>SUMIFS('Desenvolvimento diário'!$H:$H,'Desenvolvimento diário'!$Q:$Q,$B931,'Desenvolvimento diário'!$P:$P,$F931,'Desenvolvimento diário'!$R:$R,"Sim")</f>
        <v>0</v>
      </c>
      <c r="Q931" s="5">
        <f>SUMIFS('Desenvolvimento diário'!$H:$H,'Desenvolvimento diário'!$Q:$Q,$B931,'Desenvolvimento diário'!$P:$P,$F931,'Desenvolvimento diário'!$R:$R,"Não")</f>
        <v>553086.71999999997</v>
      </c>
      <c r="R931" s="4">
        <f t="shared" si="313"/>
        <v>553086.71999999997</v>
      </c>
      <c r="S931" s="180">
        <f t="shared" si="314"/>
        <v>0</v>
      </c>
      <c r="T931" s="12">
        <f t="shared" si="304"/>
        <v>1</v>
      </c>
      <c r="Y931" s="2"/>
      <c r="Z931" s="2"/>
      <c r="AA931" s="2"/>
      <c r="AB931" s="2"/>
      <c r="AC931" s="2"/>
    </row>
    <row r="932" spans="1:29" ht="10.5" hidden="1">
      <c r="A932" s="2">
        <f t="shared" si="315"/>
        <v>27</v>
      </c>
      <c r="B932" s="2" t="str">
        <f>VLOOKUP($A932,Controle!$B$4:$F$68,2,FALSE)</f>
        <v>Divinópolis 3</v>
      </c>
      <c r="C932" s="2" t="str">
        <f>VLOOKUP($A932,Controle!$B$4:$F$68,3,FALSE)</f>
        <v xml:space="preserve">ESTRELA DO NORTE </v>
      </c>
      <c r="D932" s="2" t="str">
        <f>VLOOKUP($A932,Controle!$B$4:$F$68,4,FALSE)</f>
        <v>EDN</v>
      </c>
      <c r="E932" s="2">
        <f>VLOOKUP($A932,Controle!$B$4:$F$68,5,FALSE)</f>
        <v>1</v>
      </c>
      <c r="F932" s="3" t="str">
        <f t="shared" si="311"/>
        <v>Serviços Auxiliares - Supressão Vegetal</v>
      </c>
      <c r="G932" s="2" t="str">
        <f>VLOOKUP($A932,Controle!$B$4:$G$68,6,FALSE)</f>
        <v>Apolo</v>
      </c>
      <c r="H932" s="6" t="s">
        <v>204</v>
      </c>
      <c r="I932" s="6">
        <v>55000</v>
      </c>
      <c r="J932" s="6">
        <v>0</v>
      </c>
      <c r="K932" s="6">
        <v>0</v>
      </c>
      <c r="L932" s="6">
        <v>0</v>
      </c>
      <c r="M932" s="6">
        <v>0</v>
      </c>
      <c r="N932" s="6">
        <v>0</v>
      </c>
      <c r="O932" s="4">
        <f t="shared" si="312"/>
        <v>55000</v>
      </c>
      <c r="P932" s="5">
        <f>SUMIFS('Desenvolvimento diário'!$H:$H,'Desenvolvimento diário'!$Q:$Q,$B932,'Desenvolvimento diário'!$P:$P,$F932,'Desenvolvimento diário'!$R:$R,"Sim")</f>
        <v>0</v>
      </c>
      <c r="Q932" s="5">
        <f>SUMIFS('Desenvolvimento diário'!$H:$H,'Desenvolvimento diário'!$Q:$Q,$B932,'Desenvolvimento diário'!$P:$P,$F932,'Desenvolvimento diário'!$R:$R,"Não")</f>
        <v>55000</v>
      </c>
      <c r="R932" s="4">
        <f t="shared" si="313"/>
        <v>55000</v>
      </c>
      <c r="S932" s="4">
        <f t="shared" si="314"/>
        <v>0</v>
      </c>
      <c r="T932" s="12">
        <f t="shared" si="304"/>
        <v>1</v>
      </c>
      <c r="Y932" s="2"/>
      <c r="Z932" s="2"/>
      <c r="AA932" s="2"/>
      <c r="AB932" s="2"/>
      <c r="AC932" s="2"/>
    </row>
    <row r="933" spans="1:29" ht="10.5" hidden="1">
      <c r="A933" s="2">
        <f t="shared" si="315"/>
        <v>27</v>
      </c>
      <c r="B933" s="2" t="str">
        <f>VLOOKUP($A933,Controle!$B$4:$F$68,2,FALSE)</f>
        <v>Divinópolis 3</v>
      </c>
      <c r="C933" s="2" t="str">
        <f>VLOOKUP($A933,Controle!$B$4:$F$68,3,FALSE)</f>
        <v xml:space="preserve">ESTRELA DO NORTE </v>
      </c>
      <c r="D933" s="2" t="str">
        <f>VLOOKUP($A933,Controle!$B$4:$F$68,4,FALSE)</f>
        <v>EDN</v>
      </c>
      <c r="E933" s="2">
        <f>VLOOKUP($A933,Controle!$B$4:$F$68,5,FALSE)</f>
        <v>1</v>
      </c>
      <c r="F933" s="3" t="str">
        <f t="shared" si="311"/>
        <v>RDR-Rede de Distribuição Rural</v>
      </c>
      <c r="G933" s="2" t="str">
        <f>VLOOKUP($A933,Controle!$B$4:$G$68,6,FALSE)</f>
        <v>Apolo</v>
      </c>
      <c r="H933" s="6">
        <v>0</v>
      </c>
      <c r="I933" s="6">
        <v>0</v>
      </c>
      <c r="J933" s="6">
        <v>0</v>
      </c>
      <c r="K933" s="6">
        <v>0</v>
      </c>
      <c r="L933" s="6">
        <v>0</v>
      </c>
      <c r="M933" s="6">
        <v>0</v>
      </c>
      <c r="N933" s="6">
        <v>0</v>
      </c>
      <c r="O933" s="4">
        <f t="shared" si="312"/>
        <v>0</v>
      </c>
      <c r="P933" s="5">
        <f>SUMIFS('Desenvolvimento diário'!$H:$H,'Desenvolvimento diário'!$Q:$Q,$B933,'Desenvolvimento diário'!$P:$P,$F933,'Desenvolvimento diário'!$R:$R,"Sim")</f>
        <v>0</v>
      </c>
      <c r="Q933" s="5">
        <f>SUMIFS('Desenvolvimento diário'!$H:$H,'Desenvolvimento diário'!$Q:$Q,$B933,'Desenvolvimento diário'!$P:$P,$F933,'Desenvolvimento diário'!$R:$R,"Não")</f>
        <v>0</v>
      </c>
      <c r="R933" s="4">
        <f t="shared" si="313"/>
        <v>0</v>
      </c>
      <c r="S933" s="4">
        <f t="shared" si="314"/>
        <v>0</v>
      </c>
      <c r="T933" s="12">
        <f t="shared" si="304"/>
        <v>0</v>
      </c>
      <c r="Y933" s="2"/>
      <c r="Z933" s="2"/>
      <c r="AA933" s="2"/>
      <c r="AB933" s="2"/>
      <c r="AC933" s="2"/>
    </row>
    <row r="934" spans="1:29" ht="10.5" hidden="1">
      <c r="A934" s="2">
        <f t="shared" si="315"/>
        <v>27</v>
      </c>
      <c r="B934" s="2" t="str">
        <f>VLOOKUP($A934,Controle!$B$4:$F$68,2,FALSE)</f>
        <v>Divinópolis 3</v>
      </c>
      <c r="C934" s="2" t="str">
        <f>VLOOKUP($A934,Controle!$B$4:$F$68,3,FALSE)</f>
        <v xml:space="preserve">ESTRELA DO NORTE </v>
      </c>
      <c r="D934" s="2" t="str">
        <f>VLOOKUP($A934,Controle!$B$4:$F$68,4,FALSE)</f>
        <v>EDN</v>
      </c>
      <c r="E934" s="2">
        <f>VLOOKUP($A934,Controle!$B$4:$F$68,5,FALSE)</f>
        <v>1</v>
      </c>
      <c r="F934" s="3" t="str">
        <f>F899</f>
        <v>Escopo COMERC</v>
      </c>
      <c r="G934" s="2" t="str">
        <f>VLOOKUP($A934,Controle!$B$4:$G$68,6,FALSE)</f>
        <v>Apolo</v>
      </c>
      <c r="H934" s="6"/>
      <c r="I934" s="6">
        <f>R934</f>
        <v>124128.64</v>
      </c>
      <c r="J934" s="29">
        <v>21000</v>
      </c>
      <c r="K934" s="29"/>
      <c r="L934" s="6">
        <v>0</v>
      </c>
      <c r="M934" s="6">
        <v>0</v>
      </c>
      <c r="N934" s="6">
        <v>0</v>
      </c>
      <c r="O934" s="4">
        <f t="shared" si="312"/>
        <v>145128.64000000001</v>
      </c>
      <c r="P934" s="5">
        <f>SUMIFS('Desenvolvimento diário'!$H:$H,'Desenvolvimento diário'!$Q:$Q,$B934,'Desenvolvimento diário'!$P:$P,$F934,'Desenvolvimento diário'!$R:$R,"Sim")</f>
        <v>0</v>
      </c>
      <c r="Q934" s="5">
        <f>SUMIFS('Desenvolvimento diário'!$H:$H,'Desenvolvimento diário'!$Q:$Q,$B934,'Desenvolvimento diário'!$P:$P,$F934,'Desenvolvimento diário'!$R:$R,"Não")</f>
        <v>124128.64</v>
      </c>
      <c r="R934" s="4">
        <f t="shared" si="313"/>
        <v>124128.64</v>
      </c>
      <c r="S934" s="1010">
        <f t="shared" si="314"/>
        <v>21000.000000000015</v>
      </c>
      <c r="T934" s="12">
        <f t="shared" si="304"/>
        <v>0.85530078694322487</v>
      </c>
      <c r="U934" s="1011" t="s">
        <v>166</v>
      </c>
      <c r="V934" s="1011" t="s">
        <v>167</v>
      </c>
      <c r="Y934" s="2"/>
      <c r="Z934" s="2"/>
      <c r="AA934" s="2"/>
      <c r="AB934" s="2"/>
      <c r="AC934" s="2"/>
    </row>
    <row r="935" spans="1:29" ht="10.5" hidden="1">
      <c r="A935" s="2">
        <f t="shared" si="315"/>
        <v>27</v>
      </c>
      <c r="B935" s="2" t="str">
        <f>VLOOKUP($A935,Controle!$B$4:$F$68,2,FALSE)</f>
        <v>Divinópolis 3</v>
      </c>
      <c r="C935" s="2" t="str">
        <f>VLOOKUP($A935,Controle!$B$4:$F$68,3,FALSE)</f>
        <v xml:space="preserve">ESTRELA DO NORTE </v>
      </c>
      <c r="D935" s="2" t="str">
        <f>VLOOKUP($A935,Controle!$B$4:$F$68,4,FALSE)</f>
        <v>EDN</v>
      </c>
      <c r="E935" s="2">
        <f>VLOOKUP($A935,Controle!$B$4:$F$68,5,FALSE)</f>
        <v>1</v>
      </c>
      <c r="F935" s="3" t="str">
        <f>F900</f>
        <v>Escopo COMERC - Segurança</v>
      </c>
      <c r="G935" s="2" t="str">
        <f>VLOOKUP($A935,Controle!$B$4:$G$68,6,FALSE)</f>
        <v>Apolo</v>
      </c>
      <c r="H935" s="6">
        <v>0</v>
      </c>
      <c r="I935" s="6">
        <f t="shared" ref="I934:I935" si="316">R935</f>
        <v>48528.42</v>
      </c>
      <c r="J935" s="6">
        <v>0</v>
      </c>
      <c r="K935" s="6">
        <v>0</v>
      </c>
      <c r="L935" s="6">
        <v>0</v>
      </c>
      <c r="M935" s="6">
        <v>0</v>
      </c>
      <c r="N935" s="6">
        <v>0</v>
      </c>
      <c r="O935" s="4">
        <f t="shared" si="312"/>
        <v>48528.42</v>
      </c>
      <c r="P935" s="5">
        <f>SUMIFS('Desenvolvimento diário'!$H:$H,'Desenvolvimento diário'!$Q:$Q,$B935,'Desenvolvimento diário'!$P:$P,$F935,'Desenvolvimento diário'!$R:$R,"Sim")</f>
        <v>0</v>
      </c>
      <c r="Q935" s="5">
        <f>SUMIFS('Desenvolvimento diário'!$H:$H,'Desenvolvimento diário'!$Q:$Q,$B935,'Desenvolvimento diário'!$P:$P,$F935,'Desenvolvimento diário'!$R:$R,"Não")</f>
        <v>48528.42</v>
      </c>
      <c r="R935" s="4">
        <f t="shared" si="313"/>
        <v>48528.42</v>
      </c>
      <c r="S935" s="4">
        <f t="shared" si="314"/>
        <v>0</v>
      </c>
      <c r="T935" s="12">
        <f t="shared" si="304"/>
        <v>1</v>
      </c>
      <c r="Y935" s="2"/>
      <c r="Z935" s="2"/>
      <c r="AA935" s="2"/>
      <c r="AB935" s="2"/>
      <c r="AC935" s="2"/>
    </row>
    <row r="936" spans="1:29" ht="10.5" hidden="1">
      <c r="A936" s="2">
        <f t="shared" si="315"/>
        <v>27</v>
      </c>
      <c r="B936" s="2" t="str">
        <f>VLOOKUP($A936,Controle!$B$4:$F$68,2,FALSE)</f>
        <v>Divinópolis 3</v>
      </c>
      <c r="C936" s="2" t="str">
        <f>VLOOKUP($A936,Controle!$B$4:$F$68,3,FALSE)</f>
        <v xml:space="preserve">ESTRELA DO NORTE </v>
      </c>
      <c r="D936" s="2" t="str">
        <f>VLOOKUP($A936,Controle!$B$4:$F$68,4,FALSE)</f>
        <v>EDN</v>
      </c>
      <c r="E936" s="2">
        <f>VLOOKUP($A936,Controle!$B$4:$F$68,5,FALSE)</f>
        <v>1</v>
      </c>
      <c r="F936" s="3" t="str">
        <f t="shared" si="311"/>
        <v>Conexão MT - Obras Transferencia</v>
      </c>
      <c r="G936" s="2" t="str">
        <f>VLOOKUP($A936,Controle!$B$4:$G$68,6,FALSE)</f>
        <v>Apolo</v>
      </c>
      <c r="H936" s="6">
        <v>0</v>
      </c>
      <c r="I936" s="6">
        <v>0</v>
      </c>
      <c r="J936" s="6">
        <v>0</v>
      </c>
      <c r="K936" s="6">
        <v>0</v>
      </c>
      <c r="L936" s="6">
        <v>0</v>
      </c>
      <c r="M936" s="6">
        <v>0</v>
      </c>
      <c r="N936" s="6">
        <v>0</v>
      </c>
      <c r="O936" s="4">
        <f t="shared" si="312"/>
        <v>0</v>
      </c>
      <c r="P936" s="5">
        <f>SUMIFS('Desenvolvimento diário'!$H:$H,'Desenvolvimento diário'!$Q:$Q,$B936,'Desenvolvimento diário'!$P:$P,$F936,'Desenvolvimento diário'!$R:$R,"Sim")</f>
        <v>0</v>
      </c>
      <c r="Q936" s="5">
        <f>SUMIFS('Desenvolvimento diário'!$H:$H,'Desenvolvimento diário'!$Q:$Q,$B936,'Desenvolvimento diário'!$P:$P,$F936,'Desenvolvimento diário'!$R:$R,"Não")</f>
        <v>0</v>
      </c>
      <c r="R936" s="4">
        <f t="shared" si="313"/>
        <v>0</v>
      </c>
      <c r="S936" s="4">
        <f t="shared" si="314"/>
        <v>0</v>
      </c>
      <c r="T936" s="12">
        <f t="shared" si="304"/>
        <v>0</v>
      </c>
      <c r="Y936" s="2"/>
      <c r="Z936" s="2"/>
      <c r="AA936" s="2"/>
      <c r="AB936" s="2"/>
      <c r="AC936" s="2"/>
    </row>
    <row r="937" spans="1:29" ht="10.5" hidden="1">
      <c r="A937" s="2">
        <f t="shared" si="315"/>
        <v>27</v>
      </c>
      <c r="B937" s="2" t="str">
        <f>VLOOKUP($A937,Controle!$B$4:$F$68,2,FALSE)</f>
        <v>Divinópolis 3</v>
      </c>
      <c r="C937" s="2" t="str">
        <f>VLOOKUP($A937,Controle!$B$4:$F$68,3,FALSE)</f>
        <v xml:space="preserve">ESTRELA DO NORTE </v>
      </c>
      <c r="D937" s="2" t="str">
        <f>VLOOKUP($A937,Controle!$B$4:$F$68,4,FALSE)</f>
        <v>EDN</v>
      </c>
      <c r="E937" s="2">
        <f>VLOOKUP($A937,Controle!$B$4:$F$68,5,FALSE)</f>
        <v>1</v>
      </c>
      <c r="F937" s="3" t="str">
        <f t="shared" si="311"/>
        <v>Bases de Contaniers</v>
      </c>
      <c r="G937" s="2" t="str">
        <f>VLOOKUP($A937,Controle!$B$4:$G$68,6,FALSE)</f>
        <v>Apolo</v>
      </c>
      <c r="H937" s="6">
        <v>0</v>
      </c>
      <c r="I937" s="6">
        <v>0</v>
      </c>
      <c r="J937" s="6">
        <v>0</v>
      </c>
      <c r="K937" s="6">
        <v>0</v>
      </c>
      <c r="L937" s="6">
        <v>0</v>
      </c>
      <c r="M937" s="6">
        <v>0</v>
      </c>
      <c r="N937" s="6">
        <v>0</v>
      </c>
      <c r="O937" s="4">
        <f t="shared" si="312"/>
        <v>0</v>
      </c>
      <c r="P937" s="5">
        <f>SUMIFS('Desenvolvimento diário'!$H:$H,'Desenvolvimento diário'!$Q:$Q,$B937,'Desenvolvimento diário'!$P:$P,$F937,'Desenvolvimento diário'!$R:$R,"Sim")</f>
        <v>0</v>
      </c>
      <c r="Q937" s="5">
        <f>SUMIFS('Desenvolvimento diário'!$H:$H,'Desenvolvimento diário'!$Q:$Q,$B937,'Desenvolvimento diário'!$P:$P,$F937,'Desenvolvimento diário'!$R:$R,"Não")</f>
        <v>0</v>
      </c>
      <c r="R937" s="4">
        <f t="shared" si="313"/>
        <v>0</v>
      </c>
      <c r="S937" s="4">
        <f t="shared" si="314"/>
        <v>0</v>
      </c>
      <c r="T937" s="12">
        <f t="shared" si="304"/>
        <v>0</v>
      </c>
      <c r="Y937" s="2"/>
      <c r="Z937" s="2"/>
      <c r="AA937" s="2"/>
      <c r="AB937" s="2"/>
      <c r="AC937" s="2"/>
    </row>
    <row r="938" spans="1:29" ht="10.5" hidden="1">
      <c r="A938" s="2">
        <f t="shared" si="315"/>
        <v>27</v>
      </c>
      <c r="B938" s="2" t="str">
        <f>VLOOKUP($A938,Controle!$B$4:$F$68,2,FALSE)</f>
        <v>Divinópolis 3</v>
      </c>
      <c r="C938" s="2" t="str">
        <f>VLOOKUP($A938,Controle!$B$4:$F$68,3,FALSE)</f>
        <v xml:space="preserve">ESTRELA DO NORTE </v>
      </c>
      <c r="D938" s="2" t="str">
        <f>VLOOKUP($A938,Controle!$B$4:$F$68,4,FALSE)</f>
        <v>EDN</v>
      </c>
      <c r="E938" s="2">
        <f>VLOOKUP($A938,Controle!$B$4:$F$68,5,FALSE)</f>
        <v>1</v>
      </c>
      <c r="F938" s="3" t="str">
        <f t="shared" si="311"/>
        <v>Construção - Serviços de Construção - Ase Engenharia</v>
      </c>
      <c r="G938" s="2" t="str">
        <f>VLOOKUP($A938,Controle!$B$4:$G$68,6,FALSE)</f>
        <v>Apolo</v>
      </c>
      <c r="H938" s="6">
        <v>0</v>
      </c>
      <c r="I938" s="6">
        <v>0</v>
      </c>
      <c r="J938" s="6">
        <v>0</v>
      </c>
      <c r="K938" s="6">
        <v>0</v>
      </c>
      <c r="L938" s="6">
        <v>0</v>
      </c>
      <c r="M938" s="6">
        <v>0</v>
      </c>
      <c r="N938" s="6">
        <v>0</v>
      </c>
      <c r="O938" s="4">
        <f t="shared" si="312"/>
        <v>0</v>
      </c>
      <c r="P938" s="5">
        <f>SUMIFS('Desenvolvimento diário'!$H:$H,'Desenvolvimento diário'!$Q:$Q,$B938,'Desenvolvimento diário'!$P:$P,$F938,'Desenvolvimento diário'!$R:$R,"Sim")</f>
        <v>0</v>
      </c>
      <c r="Q938" s="5">
        <f>SUMIFS('Desenvolvimento diário'!$H:$H,'Desenvolvimento diário'!$Q:$Q,$B938,'Desenvolvimento diário'!$P:$P,$F938,'Desenvolvimento diário'!$R:$R,"Não")</f>
        <v>0</v>
      </c>
      <c r="R938" s="4">
        <f t="shared" si="313"/>
        <v>0</v>
      </c>
      <c r="S938" s="4">
        <f t="shared" si="314"/>
        <v>0</v>
      </c>
      <c r="T938" s="12">
        <f t="shared" si="304"/>
        <v>0</v>
      </c>
      <c r="Y938" s="2"/>
      <c r="Z938" s="2"/>
      <c r="AA938" s="2"/>
      <c r="AB938" s="2"/>
      <c r="AC938" s="2"/>
    </row>
    <row r="939" spans="1:29" ht="10.5" hidden="1">
      <c r="A939" s="2">
        <f t="shared" si="315"/>
        <v>27</v>
      </c>
      <c r="B939" s="2" t="str">
        <f>VLOOKUP($A939,Controle!$B$4:$F$68,2,FALSE)</f>
        <v>Divinópolis 3</v>
      </c>
      <c r="C939" s="2" t="str">
        <f>VLOOKUP($A939,Controle!$B$4:$F$68,3,FALSE)</f>
        <v xml:space="preserve">ESTRELA DO NORTE </v>
      </c>
      <c r="D939" s="2" t="str">
        <f>VLOOKUP($A939,Controle!$B$4:$F$68,4,FALSE)</f>
        <v>EDN</v>
      </c>
      <c r="E939" s="2">
        <f>VLOOKUP($A939,Controle!$B$4:$F$68,5,FALSE)</f>
        <v>1</v>
      </c>
      <c r="F939" s="3" t="str">
        <f t="shared" si="311"/>
        <v>Full EPC - Contrato Sobressalentes</v>
      </c>
      <c r="G939" s="2" t="str">
        <f>VLOOKUP($A939,Controle!$B$4:$G$68,6,FALSE)</f>
        <v>Apolo</v>
      </c>
      <c r="H939" s="6">
        <v>0</v>
      </c>
      <c r="I939" s="6">
        <v>0</v>
      </c>
      <c r="J939" s="6">
        <v>0</v>
      </c>
      <c r="K939" s="6">
        <v>0</v>
      </c>
      <c r="L939" s="6">
        <v>0</v>
      </c>
      <c r="M939" s="6">
        <v>0</v>
      </c>
      <c r="N939" s="6">
        <v>0</v>
      </c>
      <c r="O939" s="4">
        <f t="shared" si="312"/>
        <v>0</v>
      </c>
      <c r="P939" s="5">
        <f>SUMIFS('Desenvolvimento diário'!$H:$H,'Desenvolvimento diário'!$Q:$Q,$B939,'Desenvolvimento diário'!$P:$P,$F939,'Desenvolvimento diário'!$R:$R,"Sim")</f>
        <v>0</v>
      </c>
      <c r="Q939" s="5">
        <f>SUMIFS('Desenvolvimento diário'!$H:$H,'Desenvolvimento diário'!$Q:$Q,$B939,'Desenvolvimento diário'!$P:$P,$F939,'Desenvolvimento diário'!$R:$R,"Não")</f>
        <v>0</v>
      </c>
      <c r="R939" s="4">
        <f t="shared" si="313"/>
        <v>0</v>
      </c>
      <c r="S939" s="4">
        <f t="shared" si="314"/>
        <v>0</v>
      </c>
      <c r="T939" s="12">
        <f t="shared" si="304"/>
        <v>0</v>
      </c>
      <c r="Y939" s="2"/>
      <c r="Z939" s="2"/>
      <c r="AA939" s="2"/>
      <c r="AB939" s="2"/>
      <c r="AC939" s="2"/>
    </row>
    <row r="940" spans="1:29" ht="10.5" hidden="1">
      <c r="A940" s="2">
        <f t="shared" si="315"/>
        <v>27</v>
      </c>
      <c r="B940" s="2" t="str">
        <f>VLOOKUP($A940,Controle!$B$4:$F$68,2,FALSE)</f>
        <v>Divinópolis 3</v>
      </c>
      <c r="C940" s="2" t="str">
        <f>VLOOKUP($A940,Controle!$B$4:$F$68,3,FALSE)</f>
        <v xml:space="preserve">ESTRELA DO NORTE </v>
      </c>
      <c r="D940" s="2" t="str">
        <f>VLOOKUP($A940,Controle!$B$4:$F$68,4,FALSE)</f>
        <v>EDN</v>
      </c>
      <c r="E940" s="2">
        <f>VLOOKUP($A940,Controle!$B$4:$F$68,5,FALSE)</f>
        <v>1</v>
      </c>
      <c r="F940" s="3" t="str">
        <f t="shared" si="311"/>
        <v>Construção - Serviços de Construção - NOVA MORADA</v>
      </c>
      <c r="G940" s="2" t="str">
        <f>VLOOKUP($A940,Controle!$B$4:$G$68,6,FALSE)</f>
        <v>Apolo</v>
      </c>
      <c r="H940" s="6">
        <v>0</v>
      </c>
      <c r="I940" s="6">
        <v>0</v>
      </c>
      <c r="J940" s="6">
        <v>0</v>
      </c>
      <c r="K940" s="6">
        <v>0</v>
      </c>
      <c r="L940" s="6">
        <v>0</v>
      </c>
      <c r="M940" s="6">
        <v>0</v>
      </c>
      <c r="N940" s="6">
        <v>0</v>
      </c>
      <c r="O940" s="4">
        <f t="shared" si="312"/>
        <v>0</v>
      </c>
      <c r="P940" s="5">
        <f>SUMIFS('Desenvolvimento diário'!$H:$H,'Desenvolvimento diário'!$Q:$Q,$B940,'Desenvolvimento diário'!$P:$P,$F940,'Desenvolvimento diário'!$R:$R,"Sim")</f>
        <v>0</v>
      </c>
      <c r="Q940" s="5">
        <f>SUMIFS('Desenvolvimento diário'!$H:$H,'Desenvolvimento diário'!$Q:$Q,$B940,'Desenvolvimento diário'!$P:$P,$F940,'Desenvolvimento diário'!$R:$R,"Não")</f>
        <v>0</v>
      </c>
      <c r="R940" s="4">
        <f t="shared" si="313"/>
        <v>0</v>
      </c>
      <c r="S940" s="4">
        <f t="shared" si="314"/>
        <v>0</v>
      </c>
      <c r="T940" s="12">
        <f t="shared" si="304"/>
        <v>0</v>
      </c>
      <c r="Y940" s="2"/>
      <c r="Z940" s="2"/>
      <c r="AA940" s="2"/>
      <c r="AB940" s="2"/>
      <c r="AC940" s="2"/>
    </row>
    <row r="941" spans="1:29" ht="10.5" hidden="1">
      <c r="A941" s="2">
        <f t="shared" si="315"/>
        <v>27</v>
      </c>
      <c r="B941" s="2" t="str">
        <f>VLOOKUP($A941,Controle!$B$4:$F$68,2,FALSE)</f>
        <v>Divinópolis 3</v>
      </c>
      <c r="C941" s="2" t="str">
        <f>VLOOKUP($A941,Controle!$B$4:$F$68,3,FALSE)</f>
        <v xml:space="preserve">ESTRELA DO NORTE </v>
      </c>
      <c r="D941" s="2" t="str">
        <f>VLOOKUP($A941,Controle!$B$4:$F$68,4,FALSE)</f>
        <v>EDN</v>
      </c>
      <c r="E941" s="2">
        <f>VLOOKUP($A941,Controle!$B$4:$F$68,5,FALSE)</f>
        <v>1</v>
      </c>
      <c r="F941" s="3" t="str">
        <f t="shared" si="311"/>
        <v>Equipamentos Curva A -  Contrato Sobressalentes - SETTA</v>
      </c>
      <c r="G941" s="2" t="str">
        <f>VLOOKUP($A941,Controle!$B$4:$G$68,6,FALSE)</f>
        <v>Apolo</v>
      </c>
      <c r="H941" s="6">
        <v>0</v>
      </c>
      <c r="I941" s="6">
        <v>0</v>
      </c>
      <c r="J941" s="6">
        <v>0</v>
      </c>
      <c r="K941" s="6">
        <v>0</v>
      </c>
      <c r="L941" s="6">
        <v>0</v>
      </c>
      <c r="M941" s="6">
        <v>0</v>
      </c>
      <c r="N941" s="6">
        <v>0</v>
      </c>
      <c r="O941" s="4">
        <f t="shared" si="312"/>
        <v>0</v>
      </c>
      <c r="P941" s="5">
        <f>SUMIFS('Desenvolvimento diário'!$H:$H,'Desenvolvimento diário'!$Q:$Q,$B941,'Desenvolvimento diário'!$P:$P,$F941,'Desenvolvimento diário'!$R:$R,"Sim")</f>
        <v>0</v>
      </c>
      <c r="Q941" s="5">
        <f>SUMIFS('Desenvolvimento diário'!$H:$H,'Desenvolvimento diário'!$Q:$Q,$B941,'Desenvolvimento diário'!$P:$P,$F941,'Desenvolvimento diário'!$R:$R,"Não")</f>
        <v>0</v>
      </c>
      <c r="R941" s="4">
        <f t="shared" si="313"/>
        <v>0</v>
      </c>
      <c r="S941" s="4">
        <f t="shared" si="314"/>
        <v>0</v>
      </c>
      <c r="T941" s="12">
        <f t="shared" si="304"/>
        <v>0</v>
      </c>
      <c r="Y941" s="2"/>
      <c r="Z941" s="2"/>
      <c r="AA941" s="2"/>
      <c r="AB941" s="2"/>
      <c r="AC941" s="2"/>
    </row>
    <row r="942" spans="1:29" ht="10.5" hidden="1">
      <c r="A942" s="2">
        <f t="shared" si="315"/>
        <v>27</v>
      </c>
      <c r="B942" s="2" t="str">
        <f>VLOOKUP($A942,Controle!$B$4:$F$68,2,FALSE)</f>
        <v>Divinópolis 3</v>
      </c>
      <c r="C942" s="2" t="str">
        <f>VLOOKUP($A942,Controle!$B$4:$F$68,3,FALSE)</f>
        <v xml:space="preserve">ESTRELA DO NORTE </v>
      </c>
      <c r="D942" s="2" t="str">
        <f>VLOOKUP($A942,Controle!$B$4:$F$68,4,FALSE)</f>
        <v>EDN</v>
      </c>
      <c r="E942" s="2">
        <f>VLOOKUP($A942,Controle!$B$4:$F$68,5,FALSE)</f>
        <v>1</v>
      </c>
      <c r="F942" s="3" t="str">
        <f t="shared" si="311"/>
        <v>Equipamentos Curva A -  Contrato Sobressalentes - Arctech</v>
      </c>
      <c r="G942" s="2" t="str">
        <f>VLOOKUP($A942,Controle!$B$4:$G$68,6,FALSE)</f>
        <v>Apolo</v>
      </c>
      <c r="H942" s="6">
        <v>0</v>
      </c>
      <c r="I942" s="6">
        <v>0</v>
      </c>
      <c r="J942" s="6">
        <v>0</v>
      </c>
      <c r="K942" s="6">
        <v>0</v>
      </c>
      <c r="L942" s="6">
        <v>0</v>
      </c>
      <c r="M942" s="6">
        <v>0</v>
      </c>
      <c r="N942" s="6">
        <v>0</v>
      </c>
      <c r="O942" s="4">
        <f t="shared" si="312"/>
        <v>0</v>
      </c>
      <c r="P942" s="5">
        <f>SUMIFS('Desenvolvimento diário'!$H:$H,'Desenvolvimento diário'!$Q:$Q,$B942,'Desenvolvimento diário'!$P:$P,$F942,'Desenvolvimento diário'!$R:$R,"Sim")</f>
        <v>0</v>
      </c>
      <c r="Q942" s="5">
        <f>SUMIFS('Desenvolvimento diário'!$H:$H,'Desenvolvimento diário'!$Q:$Q,$B942,'Desenvolvimento diário'!$P:$P,$F942,'Desenvolvimento diário'!$R:$R,"Não")</f>
        <v>0</v>
      </c>
      <c r="R942" s="4">
        <f t="shared" si="313"/>
        <v>0</v>
      </c>
      <c r="S942" s="4">
        <f t="shared" si="314"/>
        <v>0</v>
      </c>
      <c r="T942" s="12">
        <f t="shared" si="304"/>
        <v>0</v>
      </c>
      <c r="Y942" s="2"/>
      <c r="Z942" s="2"/>
      <c r="AA942" s="2"/>
      <c r="AB942" s="2"/>
      <c r="AC942" s="2"/>
    </row>
    <row r="943" spans="1:29" hidden="1">
      <c r="A943" s="2">
        <f t="shared" si="315"/>
        <v>27</v>
      </c>
      <c r="B943" s="2" t="str">
        <f>VLOOKUP($A943,Controle!$B$4:$F$68,2,FALSE)</f>
        <v>Divinópolis 3</v>
      </c>
      <c r="C943" s="2" t="str">
        <f>VLOOKUP($A943,Controle!$B$4:$F$68,3,FALSE)</f>
        <v xml:space="preserve">ESTRELA DO NORTE </v>
      </c>
      <c r="D943" s="2" t="str">
        <f>VLOOKUP($A943,Controle!$B$4:$F$68,4,FALSE)</f>
        <v>EDN</v>
      </c>
      <c r="E943" s="2">
        <f>VLOOKUP($A943,Controle!$B$4:$F$68,5,FALSE)</f>
        <v>1</v>
      </c>
      <c r="F943" s="3" t="str">
        <f t="shared" si="311"/>
        <v>Equipamentos Curva A -  Contrato Sobressalentes - Romagnole</v>
      </c>
      <c r="G943" s="2" t="str">
        <f>VLOOKUP($A943,Controle!$B$4:$G$68,6,FALSE)</f>
        <v>Apolo</v>
      </c>
      <c r="H943" s="7">
        <v>0</v>
      </c>
      <c r="I943" s="7">
        <v>0</v>
      </c>
      <c r="J943" s="7">
        <v>0</v>
      </c>
      <c r="K943" s="7">
        <v>0</v>
      </c>
      <c r="L943" s="7">
        <v>0</v>
      </c>
      <c r="M943" s="7">
        <v>0</v>
      </c>
      <c r="N943" s="7">
        <v>0</v>
      </c>
      <c r="O943" s="4">
        <f t="shared" si="312"/>
        <v>0</v>
      </c>
      <c r="P943" s="17">
        <f>SUMIFS('Desenvolvimento diário'!$H:$H,'Desenvolvimento diário'!$Q:$Q,$B943,'Desenvolvimento diário'!$P:$P,$F943,'Desenvolvimento diário'!$R:$R,"Sim")</f>
        <v>0</v>
      </c>
      <c r="Q943" s="17">
        <f>SUMIFS('Desenvolvimento diário'!$H:$H,'Desenvolvimento diário'!$Q:$Q,$B943,'Desenvolvimento diário'!$P:$P,$F943,'Desenvolvimento diário'!$R:$R,"Não")</f>
        <v>0</v>
      </c>
      <c r="R943" s="4">
        <f t="shared" si="313"/>
        <v>0</v>
      </c>
      <c r="S943" s="4">
        <f t="shared" si="314"/>
        <v>0</v>
      </c>
      <c r="T943" s="12">
        <f t="shared" si="304"/>
        <v>0</v>
      </c>
      <c r="Y943" s="2"/>
      <c r="Z943" s="2"/>
      <c r="AA943" s="2"/>
      <c r="AB943" s="2"/>
      <c r="AC943" s="2"/>
    </row>
    <row r="944" spans="1:29" hidden="1">
      <c r="A944" s="2">
        <f t="shared" si="315"/>
        <v>27</v>
      </c>
      <c r="B944" s="2" t="str">
        <f>VLOOKUP($A944,Controle!$B$4:$F$68,2,FALSE)</f>
        <v>Divinópolis 3</v>
      </c>
      <c r="C944" s="2" t="str">
        <f>VLOOKUP($A944,Controle!$B$4:$F$68,3,FALSE)</f>
        <v xml:space="preserve">ESTRELA DO NORTE </v>
      </c>
      <c r="D944" s="2" t="str">
        <f>VLOOKUP($A944,Controle!$B$4:$F$68,4,FALSE)</f>
        <v>EDN</v>
      </c>
      <c r="E944" s="2">
        <f>VLOOKUP($A944,Controle!$B$4:$F$68,5,FALSE)</f>
        <v>1</v>
      </c>
      <c r="F944" s="3" t="str">
        <f t="shared" si="311"/>
        <v>GOS FLORESTAL - (PRAD - Recuperação Area Ambiental)</v>
      </c>
      <c r="G944" s="2" t="str">
        <f>VLOOKUP($A944,Controle!$B$4:$G$68,6,FALSE)</f>
        <v>Apolo</v>
      </c>
      <c r="H944" s="506" t="s">
        <v>170</v>
      </c>
      <c r="I944" s="6">
        <v>0</v>
      </c>
      <c r="J944" s="506"/>
      <c r="K944" s="506">
        <v>0</v>
      </c>
      <c r="L944" s="506">
        <v>0</v>
      </c>
      <c r="M944" s="506">
        <v>0</v>
      </c>
      <c r="N944" s="506">
        <v>0</v>
      </c>
      <c r="O944" s="39">
        <f t="shared" si="312"/>
        <v>0</v>
      </c>
      <c r="P944" s="17">
        <f>SUMIFS('Desenvolvimento diário'!$H:$H,'Desenvolvimento diário'!$Q:$Q,$B944,'Desenvolvimento diário'!$P:$P,$F944,'Desenvolvimento diário'!$R:$R,"Sim")</f>
        <v>0</v>
      </c>
      <c r="Q944" s="17">
        <f>SUMIFS('Desenvolvimento diário'!$H:$H,'Desenvolvimento diário'!$Q:$Q,$B944,'Desenvolvimento diário'!$P:$P,$F944,'Desenvolvimento diário'!$R:$R,"Não")</f>
        <v>0</v>
      </c>
      <c r="R944" s="4">
        <f t="shared" si="313"/>
        <v>0</v>
      </c>
      <c r="S944" s="4">
        <f t="shared" si="314"/>
        <v>0</v>
      </c>
      <c r="T944" s="12">
        <f t="shared" ref="T944:T945" si="317">IFERROR(R944/O944,0)</f>
        <v>0</v>
      </c>
      <c r="Y944" s="2"/>
      <c r="Z944" s="2"/>
      <c r="AA944" s="2"/>
      <c r="AB944" s="2"/>
      <c r="AC944" s="2"/>
    </row>
    <row r="945" spans="1:29" hidden="1">
      <c r="A945" s="2">
        <f t="shared" si="315"/>
        <v>27</v>
      </c>
      <c r="B945" s="2" t="str">
        <f>VLOOKUP($A945,Controle!$B$4:$F$68,2,FALSE)</f>
        <v>Divinópolis 3</v>
      </c>
      <c r="C945" s="2" t="str">
        <f>VLOOKUP($A945,Controle!$B$4:$F$68,3,FALSE)</f>
        <v xml:space="preserve">ESTRELA DO NORTE </v>
      </c>
      <c r="D945" s="2" t="str">
        <f>VLOOKUP($A945,Controle!$B$4:$F$68,4,FALSE)</f>
        <v>EDN</v>
      </c>
      <c r="E945" s="2">
        <f>VLOOKUP($A945,Controle!$B$4:$F$68,5,FALSE)</f>
        <v>1</v>
      </c>
      <c r="F945" s="3" t="str">
        <f t="shared" si="311"/>
        <v>Cercamento das bacias de contenção ciclo 2</v>
      </c>
      <c r="G945" s="2" t="str">
        <f>VLOOKUP($A945,Controle!$B$4:$G$68,6,FALSE)</f>
        <v>Apolo</v>
      </c>
      <c r="H945" s="506" t="s">
        <v>172</v>
      </c>
      <c r="I945" s="6"/>
      <c r="J945" s="506"/>
      <c r="K945" s="506">
        <v>0</v>
      </c>
      <c r="L945" s="506">
        <v>0</v>
      </c>
      <c r="M945" s="506">
        <v>0</v>
      </c>
      <c r="N945" s="506">
        <v>0</v>
      </c>
      <c r="O945" s="39">
        <f t="shared" si="312"/>
        <v>0</v>
      </c>
      <c r="P945" s="17">
        <f>SUMIFS('Desenvolvimento diário'!$H:$H,'Desenvolvimento diário'!$Q:$Q,$B945,'Desenvolvimento diário'!$P:$P,$F945,'Desenvolvimento diário'!$R:$R,"Sim")</f>
        <v>0</v>
      </c>
      <c r="Q945" s="17">
        <f>SUMIFS('Desenvolvimento diário'!$H:$H,'Desenvolvimento diário'!$Q:$Q,$B945,'Desenvolvimento diário'!$P:$P,$F945,'Desenvolvimento diário'!$R:$R,"Não")</f>
        <v>0</v>
      </c>
      <c r="R945" s="4">
        <f t="shared" si="313"/>
        <v>0</v>
      </c>
      <c r="S945" s="1030">
        <f t="shared" si="314"/>
        <v>0</v>
      </c>
      <c r="T945" s="12">
        <f t="shared" si="317"/>
        <v>0</v>
      </c>
      <c r="U945" s="1029" t="s">
        <v>166</v>
      </c>
      <c r="V945" s="1029" t="s">
        <v>94</v>
      </c>
      <c r="Y945" s="2"/>
      <c r="Z945" s="2"/>
      <c r="AA945" s="2"/>
      <c r="AB945" s="2"/>
      <c r="AC945" s="2"/>
    </row>
    <row r="946" spans="1:29" hidden="1">
      <c r="A946" s="8">
        <f>A943</f>
        <v>27</v>
      </c>
      <c r="B946" s="9" t="str">
        <f t="shared" ref="B946" si="318">B943</f>
        <v>Divinópolis 3</v>
      </c>
      <c r="C946" s="9" t="str">
        <f t="shared" ref="C946" si="319">C943</f>
        <v xml:space="preserve">ESTRELA DO NORTE </v>
      </c>
      <c r="D946" s="9" t="str">
        <f t="shared" ref="D946" si="320">D943</f>
        <v>EDN</v>
      </c>
      <c r="E946" s="9">
        <f t="shared" ref="E946" si="321">E943</f>
        <v>1</v>
      </c>
      <c r="F946" s="10" t="s">
        <v>158</v>
      </c>
      <c r="G946" s="9" t="str">
        <f>G943</f>
        <v>Apolo</v>
      </c>
      <c r="H946" s="9"/>
      <c r="I946" s="9">
        <f>SUBTOTAL(9,I912:I945)</f>
        <v>0</v>
      </c>
      <c r="J946" s="9">
        <f t="shared" ref="J946:S946" si="322">SUBTOTAL(9,J912:J945)</f>
        <v>0</v>
      </c>
      <c r="K946" s="9">
        <f t="shared" si="322"/>
        <v>0</v>
      </c>
      <c r="L946" s="9">
        <f t="shared" si="322"/>
        <v>0</v>
      </c>
      <c r="M946" s="9">
        <f t="shared" si="322"/>
        <v>0</v>
      </c>
      <c r="N946" s="9">
        <f t="shared" si="322"/>
        <v>0</v>
      </c>
      <c r="O946" s="9">
        <f t="shared" si="322"/>
        <v>0</v>
      </c>
      <c r="P946" s="9">
        <f t="shared" si="322"/>
        <v>0</v>
      </c>
      <c r="Q946" s="9">
        <f t="shared" si="322"/>
        <v>0</v>
      </c>
      <c r="R946" s="9">
        <f t="shared" si="322"/>
        <v>0</v>
      </c>
      <c r="S946" s="9">
        <f t="shared" si="322"/>
        <v>0</v>
      </c>
      <c r="T946" s="13">
        <f t="shared" si="304"/>
        <v>0</v>
      </c>
      <c r="U946" s="11">
        <f>SUBTOTAL(9,U912:U945)</f>
        <v>0</v>
      </c>
      <c r="Y946" s="2"/>
      <c r="Z946" s="2"/>
      <c r="AA946" s="2"/>
      <c r="AB946" s="2"/>
      <c r="AC946" s="2"/>
    </row>
    <row r="947" spans="1:29" ht="10.5" hidden="1">
      <c r="A947" s="2">
        <f>A912+1</f>
        <v>28</v>
      </c>
      <c r="B947" s="2" t="str">
        <f>VLOOKUP($A947,Controle!$B$4:$F$68,2,FALSE)</f>
        <v>Pedra do Indaiá 1</v>
      </c>
      <c r="C947" s="2" t="str">
        <f>VLOOKUP($A947,Controle!$B$4:$F$68,3,FALSE)</f>
        <v xml:space="preserve">ESTRELA DO NORTE </v>
      </c>
      <c r="D947" s="2" t="str">
        <f>VLOOKUP($A947,Controle!$B$4:$F$68,4,FALSE)</f>
        <v>EDN</v>
      </c>
      <c r="E947" s="2">
        <f>VLOOKUP($A947,Controle!$B$4:$F$68,5,FALSE)</f>
        <v>1</v>
      </c>
      <c r="F947" s="3" t="str">
        <f t="shared" ref="F947:F980" si="323">F912</f>
        <v>Conexão AT - Obras</v>
      </c>
      <c r="G947" s="2" t="str">
        <f>VLOOKUP($A947,Controle!$B$4:$G$68,6,FALSE)</f>
        <v>Apolo</v>
      </c>
      <c r="H947" s="6" t="s">
        <v>194</v>
      </c>
      <c r="I947" s="6">
        <v>0</v>
      </c>
      <c r="J947" s="6">
        <v>0</v>
      </c>
      <c r="K947" s="6">
        <v>0</v>
      </c>
      <c r="L947" s="6">
        <v>0</v>
      </c>
      <c r="M947" s="6">
        <v>0</v>
      </c>
      <c r="N947" s="6">
        <v>0</v>
      </c>
      <c r="O947" s="4">
        <f t="shared" ref="O947:O980" si="324">SUM(I947:N947)</f>
        <v>0</v>
      </c>
      <c r="P947" s="5">
        <f>SUMIFS('Desenvolvimento diário'!$H:$H,'Desenvolvimento diário'!$Q:$Q,$B947,'Desenvolvimento diário'!$P:$P,$F947,'Desenvolvimento diário'!$R:$R,"Sim")</f>
        <v>0</v>
      </c>
      <c r="Q947" s="5">
        <f>SUMIFS('Desenvolvimento diário'!$H:$H,'Desenvolvimento diário'!$Q:$Q,$B947,'Desenvolvimento diário'!$P:$P,$F947,'Desenvolvimento diário'!$R:$R,"Não")</f>
        <v>0</v>
      </c>
      <c r="R947" s="4">
        <f t="shared" ref="R947:R980" si="325">SUM(P947:Q947)</f>
        <v>0</v>
      </c>
      <c r="S947" s="4">
        <f t="shared" ref="S947:S980" si="326">O947-R947</f>
        <v>0</v>
      </c>
      <c r="T947" s="12">
        <f t="shared" si="304"/>
        <v>0</v>
      </c>
      <c r="Y947" s="2"/>
      <c r="Z947" s="2"/>
      <c r="AA947" s="2"/>
      <c r="AB947" s="2"/>
      <c r="AC947" s="2"/>
    </row>
    <row r="948" spans="1:29" ht="10.5" hidden="1">
      <c r="A948" s="2">
        <f t="shared" ref="A948:A980" si="327">A947</f>
        <v>28</v>
      </c>
      <c r="B948" s="2" t="str">
        <f>VLOOKUP($A948,Controle!$B$4:$F$68,2,FALSE)</f>
        <v>Pedra do Indaiá 1</v>
      </c>
      <c r="C948" s="2" t="str">
        <f>VLOOKUP($A948,Controle!$B$4:$F$68,3,FALSE)</f>
        <v xml:space="preserve">ESTRELA DO NORTE </v>
      </c>
      <c r="D948" s="2" t="str">
        <f>VLOOKUP($A948,Controle!$B$4:$F$68,4,FALSE)</f>
        <v>EDN</v>
      </c>
      <c r="E948" s="2">
        <f>VLOOKUP($A948,Controle!$B$4:$F$68,5,FALSE)</f>
        <v>1</v>
      </c>
      <c r="F948" s="3" t="str">
        <f t="shared" si="323"/>
        <v>Conexão MT - Obras</v>
      </c>
      <c r="G948" s="2" t="str">
        <f>VLOOKUP($A948,Controle!$B$4:$G$68,6,FALSE)</f>
        <v>Apolo</v>
      </c>
      <c r="H948" s="6" t="s">
        <v>194</v>
      </c>
      <c r="I948" s="6">
        <v>0</v>
      </c>
      <c r="J948" s="6">
        <v>0</v>
      </c>
      <c r="K948" s="6">
        <v>0</v>
      </c>
      <c r="L948" s="6">
        <v>0</v>
      </c>
      <c r="M948" s="6">
        <v>0</v>
      </c>
      <c r="N948" s="6">
        <v>0</v>
      </c>
      <c r="O948" s="4">
        <f t="shared" si="324"/>
        <v>0</v>
      </c>
      <c r="P948" s="5">
        <f>SUMIFS('Desenvolvimento diário'!$H:$H,'Desenvolvimento diário'!$Q:$Q,$B948,'Desenvolvimento diário'!$P:$P,$F948,'Desenvolvimento diário'!$R:$R,"Sim")</f>
        <v>0</v>
      </c>
      <c r="Q948" s="5">
        <f>SUMIFS('Desenvolvimento diário'!$H:$H,'Desenvolvimento diário'!$Q:$Q,$B948,'Desenvolvimento diário'!$P:$P,$F948,'Desenvolvimento diário'!$R:$R,"Não")</f>
        <v>0</v>
      </c>
      <c r="R948" s="4">
        <f t="shared" si="325"/>
        <v>0</v>
      </c>
      <c r="S948" s="4">
        <f t="shared" si="326"/>
        <v>0</v>
      </c>
      <c r="T948" s="12">
        <f t="shared" si="304"/>
        <v>0</v>
      </c>
      <c r="Y948" s="2"/>
      <c r="Z948" s="2"/>
      <c r="AA948" s="2"/>
      <c r="AB948" s="2"/>
      <c r="AC948" s="2"/>
    </row>
    <row r="949" spans="1:29" ht="10.5" hidden="1">
      <c r="A949" s="2">
        <f t="shared" si="327"/>
        <v>28</v>
      </c>
      <c r="B949" s="2" t="str">
        <f>VLOOKUP($A949,Controle!$B$4:$F$68,2,FALSE)</f>
        <v>Pedra do Indaiá 1</v>
      </c>
      <c r="C949" s="2" t="str">
        <f>VLOOKUP($A949,Controle!$B$4:$F$68,3,FALSE)</f>
        <v xml:space="preserve">ESTRELA DO NORTE </v>
      </c>
      <c r="D949" s="2" t="str">
        <f>VLOOKUP($A949,Controle!$B$4:$F$68,4,FALSE)</f>
        <v>EDN</v>
      </c>
      <c r="E949" s="2">
        <f>VLOOKUP($A949,Controle!$B$4:$F$68,5,FALSE)</f>
        <v>1</v>
      </c>
      <c r="F949" s="3" t="str">
        <f t="shared" si="323"/>
        <v>Construção - Serviços de Construção</v>
      </c>
      <c r="G949" s="2" t="str">
        <f>VLOOKUP($A949,Controle!$B$4:$G$68,6,FALSE)</f>
        <v>Apolo</v>
      </c>
      <c r="H949" s="6" t="s">
        <v>206</v>
      </c>
      <c r="I949" s="6">
        <v>3340215</v>
      </c>
      <c r="J949" s="31">
        <v>275000</v>
      </c>
      <c r="K949" s="31">
        <v>1020837.19</v>
      </c>
      <c r="L949" s="31">
        <v>63833.54</v>
      </c>
      <c r="M949" s="6">
        <v>194383.96</v>
      </c>
      <c r="N949" s="6">
        <v>151928.79</v>
      </c>
      <c r="O949" s="4">
        <f t="shared" si="324"/>
        <v>5046198.4799999995</v>
      </c>
      <c r="P949" s="5">
        <f>SUMIFS('Desenvolvimento diário'!$H:$H,'Desenvolvimento diário'!$Q:$Q,$B949,'Desenvolvimento diário'!$P:$P,$F949,'Desenvolvimento diário'!$R:$R,"Sim")</f>
        <v>738668.34</v>
      </c>
      <c r="Q949" s="5">
        <f>SUMIFS('Desenvolvimento diário'!$H:$H,'Desenvolvimento diário'!$Q:$Q,$B949,'Desenvolvimento diário'!$P:$P,$F949,'Desenvolvimento diário'!$R:$R,"Não")</f>
        <v>4303183.78</v>
      </c>
      <c r="R949" s="4">
        <f t="shared" si="325"/>
        <v>5041852.12</v>
      </c>
      <c r="S949" s="33">
        <f t="shared" si="326"/>
        <v>4346.359999999404</v>
      </c>
      <c r="T949" s="12">
        <f t="shared" si="304"/>
        <v>0.99913868627696167</v>
      </c>
      <c r="U949" s="510" t="s">
        <v>162</v>
      </c>
      <c r="V949" s="510" t="s">
        <v>163</v>
      </c>
      <c r="Y949" s="2"/>
      <c r="Z949" s="2"/>
      <c r="AA949" s="2"/>
      <c r="AB949" s="2"/>
      <c r="AC949" s="2"/>
    </row>
    <row r="950" spans="1:29" ht="10.5" hidden="1">
      <c r="A950" s="2">
        <f t="shared" si="327"/>
        <v>28</v>
      </c>
      <c r="B950" s="2" t="str">
        <f>VLOOKUP($A950,Controle!$B$4:$F$68,2,FALSE)</f>
        <v>Pedra do Indaiá 1</v>
      </c>
      <c r="C950" s="2" t="str">
        <f>VLOOKUP($A950,Controle!$B$4:$F$68,3,FALSE)</f>
        <v xml:space="preserve">ESTRELA DO NORTE </v>
      </c>
      <c r="D950" s="2" t="str">
        <f>VLOOKUP($A950,Controle!$B$4:$F$68,4,FALSE)</f>
        <v>EDN</v>
      </c>
      <c r="E950" s="2">
        <f>VLOOKUP($A950,Controle!$B$4:$F$68,5,FALSE)</f>
        <v>1</v>
      </c>
      <c r="F950" s="3" t="str">
        <f t="shared" si="323"/>
        <v>Construção - Serviços de Construção - Substituição</v>
      </c>
      <c r="G950" s="2" t="str">
        <f>VLOOKUP($A950,Controle!$B$4:$G$68,6,FALSE)</f>
        <v>Apolo</v>
      </c>
      <c r="H950" s="6" t="s">
        <v>202</v>
      </c>
      <c r="I950" s="6">
        <v>2740702.22</v>
      </c>
      <c r="J950" s="6">
        <v>0</v>
      </c>
      <c r="K950" s="6">
        <v>0</v>
      </c>
      <c r="L950" s="6">
        <v>0</v>
      </c>
      <c r="M950" s="6">
        <v>0</v>
      </c>
      <c r="N950" s="6">
        <v>0</v>
      </c>
      <c r="O950" s="4">
        <f t="shared" si="324"/>
        <v>2740702.22</v>
      </c>
      <c r="P950" s="5">
        <f>SUMIFS('Desenvolvimento diário'!$H:$H,'Desenvolvimento diário'!$Q:$Q,$B950,'Desenvolvimento diário'!$P:$P,$F950,'Desenvolvimento diário'!$R:$R,"Sim")</f>
        <v>590275.28</v>
      </c>
      <c r="Q950" s="5">
        <f>SUMIFS('Desenvolvimento diário'!$H:$H,'Desenvolvimento diário'!$Q:$Q,$B950,'Desenvolvimento diário'!$P:$P,$F950,'Desenvolvimento diário'!$R:$R,"Não")</f>
        <v>685175.55</v>
      </c>
      <c r="R950" s="4">
        <f t="shared" si="325"/>
        <v>1275450.83</v>
      </c>
      <c r="S950" s="33">
        <f t="shared" si="326"/>
        <v>1465251.3900000001</v>
      </c>
      <c r="T950" s="12">
        <f t="shared" si="304"/>
        <v>0.46537373549469374</v>
      </c>
      <c r="U950" s="510" t="s">
        <v>162</v>
      </c>
      <c r="V950" s="510" t="s">
        <v>163</v>
      </c>
      <c r="Y950" s="2"/>
      <c r="Z950" s="2"/>
      <c r="AA950" s="2"/>
      <c r="AB950" s="2"/>
      <c r="AC950" s="2"/>
    </row>
    <row r="951" spans="1:29" ht="10.5" hidden="1">
      <c r="A951" s="2">
        <f t="shared" si="327"/>
        <v>28</v>
      </c>
      <c r="B951" s="2" t="str">
        <f>VLOOKUP($A951,Controle!$B$4:$F$68,2,FALSE)</f>
        <v>Pedra do Indaiá 1</v>
      </c>
      <c r="C951" s="2" t="str">
        <f>VLOOKUP($A951,Controle!$B$4:$F$68,3,FALSE)</f>
        <v xml:space="preserve">ESTRELA DO NORTE </v>
      </c>
      <c r="D951" s="2" t="str">
        <f>VLOOKUP($A951,Controle!$B$4:$F$68,4,FALSE)</f>
        <v>EDN</v>
      </c>
      <c r="E951" s="2">
        <f>VLOOKUP($A951,Controle!$B$4:$F$68,5,FALSE)</f>
        <v>1</v>
      </c>
      <c r="F951" s="3" t="str">
        <f t="shared" si="323"/>
        <v>Construção - RDA Interno</v>
      </c>
      <c r="G951" s="2" t="str">
        <f>VLOOKUP($A951,Controle!$B$4:$G$68,6,FALSE)</f>
        <v>Apolo</v>
      </c>
      <c r="H951" s="6" t="s">
        <v>168</v>
      </c>
      <c r="I951" s="6">
        <v>330000</v>
      </c>
      <c r="J951" s="6">
        <v>0</v>
      </c>
      <c r="K951" s="6">
        <v>0</v>
      </c>
      <c r="L951" s="6">
        <v>0</v>
      </c>
      <c r="M951" s="6">
        <v>0</v>
      </c>
      <c r="N951" s="6">
        <v>0</v>
      </c>
      <c r="O951" s="4">
        <f t="shared" si="324"/>
        <v>330000</v>
      </c>
      <c r="P951" s="5">
        <f>SUMIFS('Desenvolvimento diário'!$H:$H,'Desenvolvimento diário'!$Q:$Q,$B951,'Desenvolvimento diário'!$P:$P,$F951,'Desenvolvimento diário'!$R:$R,"Sim")</f>
        <v>0</v>
      </c>
      <c r="Q951" s="5">
        <f>SUMIFS('Desenvolvimento diário'!$H:$H,'Desenvolvimento diário'!$Q:$Q,$B951,'Desenvolvimento diário'!$P:$P,$F951,'Desenvolvimento diário'!$R:$R,"Não")</f>
        <v>330000</v>
      </c>
      <c r="R951" s="4">
        <f t="shared" si="325"/>
        <v>330000</v>
      </c>
      <c r="S951" s="4">
        <f t="shared" si="326"/>
        <v>0</v>
      </c>
      <c r="T951" s="12">
        <f t="shared" si="304"/>
        <v>1</v>
      </c>
      <c r="Y951" s="2"/>
      <c r="Z951" s="2"/>
      <c r="AA951" s="2"/>
      <c r="AB951" s="2"/>
      <c r="AC951" s="2"/>
    </row>
    <row r="952" spans="1:29" ht="10.5" hidden="1">
      <c r="A952" s="2">
        <f t="shared" si="327"/>
        <v>28</v>
      </c>
      <c r="B952" s="2" t="str">
        <f>VLOOKUP($A952,Controle!$B$4:$F$68,2,FALSE)</f>
        <v>Pedra do Indaiá 1</v>
      </c>
      <c r="C952" s="2" t="str">
        <f>VLOOKUP($A952,Controle!$B$4:$F$68,3,FALSE)</f>
        <v xml:space="preserve">ESTRELA DO NORTE </v>
      </c>
      <c r="D952" s="2" t="str">
        <f>VLOOKUP($A952,Controle!$B$4:$F$68,4,FALSE)</f>
        <v>EDN</v>
      </c>
      <c r="E952" s="2">
        <f>VLOOKUP($A952,Controle!$B$4:$F$68,5,FALSE)</f>
        <v>1</v>
      </c>
      <c r="F952" s="3" t="str">
        <f t="shared" si="323"/>
        <v>Full EPC - Contrato</v>
      </c>
      <c r="G952" s="2" t="str">
        <f>VLOOKUP($A952,Controle!$B$4:$G$68,6,FALSE)</f>
        <v>Apolo</v>
      </c>
      <c r="H952" s="6">
        <v>0</v>
      </c>
      <c r="I952" s="6">
        <v>0</v>
      </c>
      <c r="J952" s="6">
        <v>0</v>
      </c>
      <c r="K952" s="6">
        <v>0</v>
      </c>
      <c r="L952" s="6">
        <v>0</v>
      </c>
      <c r="M952" s="6">
        <v>0</v>
      </c>
      <c r="N952" s="6">
        <v>0</v>
      </c>
      <c r="O952" s="4">
        <f t="shared" si="324"/>
        <v>0</v>
      </c>
      <c r="P952" s="5">
        <f>SUMIFS('Desenvolvimento diário'!$H:$H,'Desenvolvimento diário'!$Q:$Q,$B952,'Desenvolvimento diário'!$P:$P,$F952,'Desenvolvimento diário'!$R:$R,"Sim")</f>
        <v>0</v>
      </c>
      <c r="Q952" s="5">
        <f>SUMIFS('Desenvolvimento diário'!$H:$H,'Desenvolvimento diário'!$Q:$Q,$B952,'Desenvolvimento diário'!$P:$P,$F952,'Desenvolvimento diário'!$R:$R,"Não")</f>
        <v>0</v>
      </c>
      <c r="R952" s="4">
        <f t="shared" si="325"/>
        <v>0</v>
      </c>
      <c r="S952" s="4">
        <f t="shared" si="326"/>
        <v>0</v>
      </c>
      <c r="T952" s="12">
        <f t="shared" si="304"/>
        <v>0</v>
      </c>
      <c r="Y952" s="2"/>
      <c r="Z952" s="2"/>
      <c r="AA952" s="2"/>
      <c r="AB952" s="2"/>
      <c r="AC952" s="2"/>
    </row>
    <row r="953" spans="1:29" ht="10.5" hidden="1">
      <c r="A953" s="2">
        <f t="shared" si="327"/>
        <v>28</v>
      </c>
      <c r="B953" s="2" t="str">
        <f>VLOOKUP($A953,Controle!$B$4:$F$68,2,FALSE)</f>
        <v>Pedra do Indaiá 1</v>
      </c>
      <c r="C953" s="2" t="str">
        <f>VLOOKUP($A953,Controle!$B$4:$F$68,3,FALSE)</f>
        <v xml:space="preserve">ESTRELA DO NORTE </v>
      </c>
      <c r="D953" s="2" t="str">
        <f>VLOOKUP($A953,Controle!$B$4:$F$68,4,FALSE)</f>
        <v>EDN</v>
      </c>
      <c r="E953" s="2">
        <f>VLOOKUP($A953,Controle!$B$4:$F$68,5,FALSE)</f>
        <v>1</v>
      </c>
      <c r="F953" s="3" t="str">
        <f t="shared" si="323"/>
        <v>Equipamentos Curva A - Outros (Transformadores)</v>
      </c>
      <c r="G953" s="2" t="str">
        <f>VLOOKUP($A953,Controle!$B$4:$G$68,6,FALSE)</f>
        <v>Apolo</v>
      </c>
      <c r="H953" s="6" t="s">
        <v>144</v>
      </c>
      <c r="I953" s="6">
        <v>303199.92</v>
      </c>
      <c r="J953" s="6">
        <v>0</v>
      </c>
      <c r="K953" s="6">
        <v>0</v>
      </c>
      <c r="L953" s="6">
        <v>0</v>
      </c>
      <c r="M953" s="6">
        <v>0</v>
      </c>
      <c r="N953" s="6">
        <v>0</v>
      </c>
      <c r="O953" s="4">
        <f t="shared" si="324"/>
        <v>303199.92</v>
      </c>
      <c r="P953" s="5">
        <f>SUMIFS('Desenvolvimento diário'!$H:$H,'Desenvolvimento diário'!$Q:$Q,$B953,'Desenvolvimento diário'!$P:$P,$F953,'Desenvolvimento diário'!$R:$R,"Sim")</f>
        <v>0</v>
      </c>
      <c r="Q953" s="5">
        <f>SUMIFS('Desenvolvimento diário'!$H:$H,'Desenvolvimento diário'!$Q:$Q,$B953,'Desenvolvimento diário'!$P:$P,$F953,'Desenvolvimento diário'!$R:$R,"Não")</f>
        <v>303199.92</v>
      </c>
      <c r="R953" s="4">
        <f t="shared" si="325"/>
        <v>303199.92</v>
      </c>
      <c r="S953" s="4">
        <f t="shared" si="326"/>
        <v>0</v>
      </c>
      <c r="T953" s="12">
        <f t="shared" si="304"/>
        <v>1</v>
      </c>
      <c r="Y953" s="2"/>
      <c r="Z953" s="2"/>
      <c r="AA953" s="2"/>
      <c r="AB953" s="2"/>
      <c r="AC953" s="2"/>
    </row>
    <row r="954" spans="1:29" ht="10.5" hidden="1">
      <c r="A954" s="2">
        <f t="shared" si="327"/>
        <v>28</v>
      </c>
      <c r="B954" s="2" t="str">
        <f>VLOOKUP($A954,Controle!$B$4:$F$68,2,FALSE)</f>
        <v>Pedra do Indaiá 1</v>
      </c>
      <c r="C954" s="2" t="str">
        <f>VLOOKUP($A954,Controle!$B$4:$F$68,3,FALSE)</f>
        <v xml:space="preserve">ESTRELA DO NORTE </v>
      </c>
      <c r="D954" s="2" t="str">
        <f>VLOOKUP($A954,Controle!$B$4:$F$68,4,FALSE)</f>
        <v>EDN</v>
      </c>
      <c r="E954" s="2">
        <f>VLOOKUP($A954,Controle!$B$4:$F$68,5,FALSE)</f>
        <v>1</v>
      </c>
      <c r="F954" s="3" t="str">
        <f t="shared" si="323"/>
        <v>Equipamentos Curva A - Outros (Cabine + Skid)</v>
      </c>
      <c r="G954" s="2" t="str">
        <f>VLOOKUP($A954,Controle!$B$4:$G$68,6,FALSE)</f>
        <v>Apolo</v>
      </c>
      <c r="H954" s="6" t="s">
        <v>196</v>
      </c>
      <c r="I954" s="6">
        <v>646894.37234042562</v>
      </c>
      <c r="J954" s="6">
        <v>13545.53</v>
      </c>
      <c r="K954" s="6">
        <v>0</v>
      </c>
      <c r="L954" s="6">
        <v>0</v>
      </c>
      <c r="M954" s="6">
        <v>0</v>
      </c>
      <c r="N954" s="6">
        <v>0</v>
      </c>
      <c r="O954" s="4">
        <f t="shared" si="324"/>
        <v>660439.90234042564</v>
      </c>
      <c r="P954" s="5">
        <f>SUMIFS('Desenvolvimento diário'!$H:$H,'Desenvolvimento diário'!$Q:$Q,$B954,'Desenvolvimento diário'!$P:$P,$F954,'Desenvolvimento diário'!$R:$R,"Sim")</f>
        <v>0</v>
      </c>
      <c r="Q954" s="5">
        <f>SUMIFS('Desenvolvimento diário'!$H:$H,'Desenvolvimento diário'!$Q:$Q,$B954,'Desenvolvimento diário'!$P:$P,$F954,'Desenvolvimento diário'!$R:$R,"Não")</f>
        <v>660439.90234042564</v>
      </c>
      <c r="R954" s="4">
        <f t="shared" si="325"/>
        <v>660439.90234042564</v>
      </c>
      <c r="S954" s="4">
        <f t="shared" si="326"/>
        <v>0</v>
      </c>
      <c r="T954" s="12">
        <f t="shared" ref="T954:T1021" si="328">IFERROR(R954/O954,0)</f>
        <v>1</v>
      </c>
      <c r="U954" s="34"/>
      <c r="Y954" s="2"/>
      <c r="Z954" s="2"/>
      <c r="AA954" s="2"/>
      <c r="AB954" s="2"/>
      <c r="AC954" s="2"/>
    </row>
    <row r="955" spans="1:29" ht="10.5" hidden="1">
      <c r="A955" s="2">
        <f t="shared" si="327"/>
        <v>28</v>
      </c>
      <c r="B955" s="2" t="str">
        <f>VLOOKUP($A955,Controle!$B$4:$F$68,2,FALSE)</f>
        <v>Pedra do Indaiá 1</v>
      </c>
      <c r="C955" s="2" t="str">
        <f>VLOOKUP($A955,Controle!$B$4:$F$68,3,FALSE)</f>
        <v xml:space="preserve">ESTRELA DO NORTE </v>
      </c>
      <c r="D955" s="2" t="str">
        <f>VLOOKUP($A955,Controle!$B$4:$F$68,4,FALSE)</f>
        <v>EDN</v>
      </c>
      <c r="E955" s="2">
        <f>VLOOKUP($A955,Controle!$B$4:$F$68,5,FALSE)</f>
        <v>1</v>
      </c>
      <c r="F955" s="3" t="str">
        <f t="shared" si="323"/>
        <v>Equipamentos Curva A - Outros (Cabine + Skid + Transformador)</v>
      </c>
      <c r="G955" s="2" t="str">
        <f>VLOOKUP($A955,Controle!$B$4:$G$68,6,FALSE)</f>
        <v>Apolo</v>
      </c>
      <c r="H955" s="6">
        <v>0</v>
      </c>
      <c r="I955" s="6">
        <v>0</v>
      </c>
      <c r="J955" s="6">
        <v>0</v>
      </c>
      <c r="K955" s="6">
        <v>0</v>
      </c>
      <c r="L955" s="6">
        <v>0</v>
      </c>
      <c r="M955" s="6">
        <v>0</v>
      </c>
      <c r="N955" s="6">
        <v>0</v>
      </c>
      <c r="O955" s="4">
        <f t="shared" si="324"/>
        <v>0</v>
      </c>
      <c r="P955" s="5">
        <f>SUMIFS('Desenvolvimento diário'!$H:$H,'Desenvolvimento diário'!$Q:$Q,$B955,'Desenvolvimento diário'!$P:$P,$F955,'Desenvolvimento diário'!$R:$R,"Sim")</f>
        <v>0</v>
      </c>
      <c r="Q955" s="5">
        <f>SUMIFS('Desenvolvimento diário'!$H:$H,'Desenvolvimento diário'!$Q:$Q,$B955,'Desenvolvimento diário'!$P:$P,$F955,'Desenvolvimento diário'!$R:$R,"Não")</f>
        <v>0</v>
      </c>
      <c r="R955" s="4">
        <f t="shared" si="325"/>
        <v>0</v>
      </c>
      <c r="S955" s="4">
        <f t="shared" si="326"/>
        <v>0</v>
      </c>
      <c r="T955" s="12">
        <f t="shared" si="328"/>
        <v>0</v>
      </c>
      <c r="Y955" s="2"/>
      <c r="Z955" s="2"/>
      <c r="AA955" s="2"/>
      <c r="AB955" s="2"/>
      <c r="AC955" s="2"/>
    </row>
    <row r="956" spans="1:29" ht="10.5" hidden="1">
      <c r="A956" s="2">
        <f t="shared" si="327"/>
        <v>28</v>
      </c>
      <c r="B956" s="2" t="str">
        <f>VLOOKUP($A956,Controle!$B$4:$F$68,2,FALSE)</f>
        <v>Pedra do Indaiá 1</v>
      </c>
      <c r="C956" s="2" t="str">
        <f>VLOOKUP($A956,Controle!$B$4:$F$68,3,FALSE)</f>
        <v xml:space="preserve">ESTRELA DO NORTE </v>
      </c>
      <c r="D956" s="2" t="str">
        <f>VLOOKUP($A956,Controle!$B$4:$F$68,4,FALSE)</f>
        <v>EDN</v>
      </c>
      <c r="E956" s="2">
        <f>VLOOKUP($A956,Controle!$B$4:$F$68,5,FALSE)</f>
        <v>1</v>
      </c>
      <c r="F956" s="3" t="str">
        <f t="shared" si="323"/>
        <v>Desenvolvimento de projeto - Projetos - (Eng° Proprietario)</v>
      </c>
      <c r="G956" s="2" t="str">
        <f>VLOOKUP($A956,Controle!$B$4:$G$68,6,FALSE)</f>
        <v>Apolo</v>
      </c>
      <c r="H956" s="6" t="s">
        <v>145</v>
      </c>
      <c r="I956" s="6">
        <v>0</v>
      </c>
      <c r="J956" s="6">
        <v>0</v>
      </c>
      <c r="K956" s="6">
        <v>0</v>
      </c>
      <c r="L956" s="6">
        <v>0</v>
      </c>
      <c r="M956" s="6">
        <v>0</v>
      </c>
      <c r="N956" s="6">
        <v>0</v>
      </c>
      <c r="O956" s="4">
        <f t="shared" si="324"/>
        <v>0</v>
      </c>
      <c r="P956" s="5">
        <f>SUMIFS('Desenvolvimento diário'!$H:$H,'Desenvolvimento diário'!$Q:$Q,$B956,'Desenvolvimento diário'!$P:$P,$F956,'Desenvolvimento diário'!$R:$R,"Sim")</f>
        <v>0</v>
      </c>
      <c r="Q956" s="5">
        <f>SUMIFS('Desenvolvimento diário'!$H:$H,'Desenvolvimento diário'!$Q:$Q,$B956,'Desenvolvimento diário'!$P:$P,$F956,'Desenvolvimento diário'!$R:$R,"Não")</f>
        <v>0</v>
      </c>
      <c r="R956" s="4">
        <f t="shared" si="325"/>
        <v>0</v>
      </c>
      <c r="S956" s="4">
        <f t="shared" si="326"/>
        <v>0</v>
      </c>
      <c r="T956" s="12">
        <f t="shared" si="328"/>
        <v>0</v>
      </c>
      <c r="Y956" s="2"/>
      <c r="Z956" s="2"/>
      <c r="AA956" s="2"/>
      <c r="AB956" s="2"/>
      <c r="AC956" s="2"/>
    </row>
    <row r="957" spans="1:29" ht="10.5" hidden="1">
      <c r="A957" s="2">
        <f t="shared" si="327"/>
        <v>28</v>
      </c>
      <c r="B957" s="2" t="str">
        <f>VLOOKUP($A957,Controle!$B$4:$F$68,2,FALSE)</f>
        <v>Pedra do Indaiá 1</v>
      </c>
      <c r="C957" s="2" t="str">
        <f>VLOOKUP($A957,Controle!$B$4:$F$68,3,FALSE)</f>
        <v xml:space="preserve">ESTRELA DO NORTE </v>
      </c>
      <c r="D957" s="2" t="str">
        <f>VLOOKUP($A957,Controle!$B$4:$F$68,4,FALSE)</f>
        <v>EDN</v>
      </c>
      <c r="E957" s="2">
        <f>VLOOKUP($A957,Controle!$B$4:$F$68,5,FALSE)</f>
        <v>1</v>
      </c>
      <c r="F957" s="3" t="str">
        <f t="shared" si="323"/>
        <v>Desenvolvimento de projeto - Projetos - Executivos</v>
      </c>
      <c r="G957" s="2" t="str">
        <f>VLOOKUP($A957,Controle!$B$4:$G$68,6,FALSE)</f>
        <v>Apolo</v>
      </c>
      <c r="H957" s="6" t="s">
        <v>146</v>
      </c>
      <c r="I957" s="6">
        <v>36466</v>
      </c>
      <c r="J957" s="6">
        <v>0</v>
      </c>
      <c r="K957" s="6">
        <v>0</v>
      </c>
      <c r="L957" s="6">
        <v>0</v>
      </c>
      <c r="M957" s="6">
        <v>0</v>
      </c>
      <c r="N957" s="6">
        <v>0</v>
      </c>
      <c r="O957" s="4">
        <f>SUM(I957:N957)+0.7</f>
        <v>36466.699999999997</v>
      </c>
      <c r="P957" s="5">
        <f>SUMIFS('Desenvolvimento diário'!$H:$H,'Desenvolvimento diário'!$Q:$Q,$B957,'Desenvolvimento diário'!$P:$P,$F957,'Desenvolvimento diário'!$R:$R,"Sim")</f>
        <v>0</v>
      </c>
      <c r="Q957" s="5">
        <f>SUMIFS('Desenvolvimento diário'!$H:$H,'Desenvolvimento diário'!$Q:$Q,$B957,'Desenvolvimento diário'!$P:$P,$F957,'Desenvolvimento diário'!$R:$R,"Não")</f>
        <v>36466.699999999997</v>
      </c>
      <c r="R957" s="4">
        <f t="shared" si="325"/>
        <v>36466.699999999997</v>
      </c>
      <c r="S957" s="93">
        <f t="shared" si="326"/>
        <v>0</v>
      </c>
      <c r="T957" s="12">
        <f t="shared" si="328"/>
        <v>1</v>
      </c>
      <c r="Y957" s="2"/>
      <c r="Z957" s="2"/>
      <c r="AA957" s="2"/>
      <c r="AB957" s="2"/>
      <c r="AC957" s="2"/>
    </row>
    <row r="958" spans="1:29" ht="10.5" hidden="1">
      <c r="A958" s="2">
        <f t="shared" si="327"/>
        <v>28</v>
      </c>
      <c r="B958" s="2" t="str">
        <f>VLOOKUP($A958,Controle!$B$4:$F$68,2,FALSE)</f>
        <v>Pedra do Indaiá 1</v>
      </c>
      <c r="C958" s="2" t="str">
        <f>VLOOKUP($A958,Controle!$B$4:$F$68,3,FALSE)</f>
        <v xml:space="preserve">ESTRELA DO NORTE </v>
      </c>
      <c r="D958" s="2" t="str">
        <f>VLOOKUP($A958,Controle!$B$4:$F$68,4,FALSE)</f>
        <v>EDN</v>
      </c>
      <c r="E958" s="2">
        <f>VLOOKUP($A958,Controle!$B$4:$F$68,5,FALSE)</f>
        <v>1</v>
      </c>
      <c r="F958" s="3" t="str">
        <f t="shared" si="323"/>
        <v>Desenvolvimento de projeto - Projetos Básica</v>
      </c>
      <c r="G958" s="2" t="str">
        <f>VLOOKUP($A958,Controle!$B$4:$G$68,6,FALSE)</f>
        <v>Apolo</v>
      </c>
      <c r="H958" s="6">
        <v>0</v>
      </c>
      <c r="I958" s="6">
        <v>0</v>
      </c>
      <c r="J958" s="6">
        <v>0</v>
      </c>
      <c r="K958" s="6">
        <v>0</v>
      </c>
      <c r="L958" s="6">
        <v>0</v>
      </c>
      <c r="M958" s="6">
        <v>0</v>
      </c>
      <c r="N958" s="6">
        <v>0</v>
      </c>
      <c r="O958" s="4">
        <f t="shared" si="324"/>
        <v>0</v>
      </c>
      <c r="P958" s="5">
        <f>SUMIFS('Desenvolvimento diário'!$H:$H,'Desenvolvimento diário'!$Q:$Q,$B958,'Desenvolvimento diário'!$P:$P,$F958,'Desenvolvimento diário'!$R:$R,"Sim")</f>
        <v>0</v>
      </c>
      <c r="Q958" s="5">
        <f>SUMIFS('Desenvolvimento diário'!$H:$H,'Desenvolvimento diário'!$Q:$Q,$B958,'Desenvolvimento diário'!$P:$P,$F958,'Desenvolvimento diário'!$R:$R,"Não")</f>
        <v>0</v>
      </c>
      <c r="R958" s="4">
        <f t="shared" si="325"/>
        <v>0</v>
      </c>
      <c r="S958" s="4">
        <f t="shared" si="326"/>
        <v>0</v>
      </c>
      <c r="T958" s="12">
        <f t="shared" si="328"/>
        <v>0</v>
      </c>
      <c r="Y958" s="2"/>
      <c r="Z958" s="2"/>
      <c r="AA958" s="2"/>
      <c r="AB958" s="2"/>
      <c r="AC958" s="2"/>
    </row>
    <row r="959" spans="1:29" ht="10.5" hidden="1">
      <c r="A959" s="2">
        <f t="shared" si="327"/>
        <v>28</v>
      </c>
      <c r="B959" s="2" t="str">
        <f>VLOOKUP($A959,Controle!$B$4:$F$68,2,FALSE)</f>
        <v>Pedra do Indaiá 1</v>
      </c>
      <c r="C959" s="2" t="str">
        <f>VLOOKUP($A959,Controle!$B$4:$F$68,3,FALSE)</f>
        <v xml:space="preserve">ESTRELA DO NORTE </v>
      </c>
      <c r="D959" s="2" t="str">
        <f>VLOOKUP($A959,Controle!$B$4:$F$68,4,FALSE)</f>
        <v>EDN</v>
      </c>
      <c r="E959" s="2">
        <f>VLOOKUP($A959,Controle!$B$4:$F$68,5,FALSE)</f>
        <v>1</v>
      </c>
      <c r="F959" s="3" t="str">
        <f t="shared" si="323"/>
        <v>Desenvolvimento de projeto - Projetos Detalhada</v>
      </c>
      <c r="G959" s="2" t="str">
        <f>VLOOKUP($A959,Controle!$B$4:$G$68,6,FALSE)</f>
        <v>Apolo</v>
      </c>
      <c r="H959" s="6">
        <v>0</v>
      </c>
      <c r="I959" s="6">
        <v>0</v>
      </c>
      <c r="J959" s="6">
        <v>0</v>
      </c>
      <c r="K959" s="6">
        <v>0</v>
      </c>
      <c r="L959" s="6">
        <v>0</v>
      </c>
      <c r="M959" s="6">
        <v>0</v>
      </c>
      <c r="N959" s="6">
        <v>0</v>
      </c>
      <c r="O959" s="4">
        <f t="shared" si="324"/>
        <v>0</v>
      </c>
      <c r="P959" s="5">
        <f>SUMIFS('Desenvolvimento diário'!$H:$H,'Desenvolvimento diário'!$Q:$Q,$B959,'Desenvolvimento diário'!$P:$P,$F959,'Desenvolvimento diário'!$R:$R,"Sim")</f>
        <v>0</v>
      </c>
      <c r="Q959" s="5">
        <f>SUMIFS('Desenvolvimento diário'!$H:$H,'Desenvolvimento diário'!$Q:$Q,$B959,'Desenvolvimento diário'!$P:$P,$F959,'Desenvolvimento diário'!$R:$R,"Não")</f>
        <v>0</v>
      </c>
      <c r="R959" s="4">
        <f t="shared" si="325"/>
        <v>0</v>
      </c>
      <c r="S959" s="4">
        <f t="shared" si="326"/>
        <v>0</v>
      </c>
      <c r="T959" s="12">
        <f t="shared" si="328"/>
        <v>0</v>
      </c>
      <c r="Y959" s="2"/>
      <c r="Z959" s="2"/>
      <c r="AA959" s="2"/>
      <c r="AB959" s="2"/>
      <c r="AC959" s="2"/>
    </row>
    <row r="960" spans="1:29" ht="10.5" hidden="1">
      <c r="A960" s="2">
        <f t="shared" si="327"/>
        <v>28</v>
      </c>
      <c r="B960" s="2" t="str">
        <f>VLOOKUP($A960,Controle!$B$4:$F$68,2,FALSE)</f>
        <v>Pedra do Indaiá 1</v>
      </c>
      <c r="C960" s="2" t="str">
        <f>VLOOKUP($A960,Controle!$B$4:$F$68,3,FALSE)</f>
        <v xml:space="preserve">ESTRELA DO NORTE </v>
      </c>
      <c r="D960" s="2" t="str">
        <f>VLOOKUP($A960,Controle!$B$4:$F$68,4,FALSE)</f>
        <v>EDN</v>
      </c>
      <c r="E960" s="2">
        <f>VLOOKUP($A960,Controle!$B$4:$F$68,5,FALSE)</f>
        <v>1</v>
      </c>
      <c r="F960" s="3" t="str">
        <f t="shared" si="323"/>
        <v>Desenvolvimento de projeto - Ambiental / Outros</v>
      </c>
      <c r="G960" s="2" t="str">
        <f>VLOOKUP($A960,Controle!$B$4:$G$68,6,FALSE)</f>
        <v>Apolo</v>
      </c>
      <c r="H960" s="6" t="s">
        <v>148</v>
      </c>
      <c r="I960" s="6">
        <f>R960</f>
        <v>49534.16</v>
      </c>
      <c r="J960" s="6">
        <v>0</v>
      </c>
      <c r="K960" s="6">
        <v>0</v>
      </c>
      <c r="L960" s="6">
        <v>0</v>
      </c>
      <c r="M960" s="6">
        <v>0</v>
      </c>
      <c r="N960" s="6">
        <v>0</v>
      </c>
      <c r="O960" s="4">
        <f t="shared" si="324"/>
        <v>49534.16</v>
      </c>
      <c r="P960" s="5">
        <f>SUMIFS('Desenvolvimento diário'!$H:$H,'Desenvolvimento diário'!$Q:$Q,$B960,'Desenvolvimento diário'!$P:$P,$F960,'Desenvolvimento diário'!$R:$R,"Sim")</f>
        <v>0</v>
      </c>
      <c r="Q960" s="5">
        <f>SUMIFS('Desenvolvimento diário'!$H:$H,'Desenvolvimento diário'!$Q:$Q,$B960,'Desenvolvimento diário'!$P:$P,$F960,'Desenvolvimento diário'!$R:$R,"Não")</f>
        <v>49534.16</v>
      </c>
      <c r="R960" s="4">
        <f t="shared" si="325"/>
        <v>49534.16</v>
      </c>
      <c r="S960" s="4">
        <f t="shared" si="326"/>
        <v>0</v>
      </c>
      <c r="T960" s="12">
        <f t="shared" si="328"/>
        <v>1</v>
      </c>
      <c r="Y960" s="2"/>
      <c r="Z960" s="2"/>
      <c r="AA960" s="2"/>
      <c r="AB960" s="2"/>
      <c r="AC960" s="2"/>
    </row>
    <row r="961" spans="1:29" hidden="1">
      <c r="A961" s="2">
        <f t="shared" si="327"/>
        <v>28</v>
      </c>
      <c r="B961" s="2" t="str">
        <f>VLOOKUP($A961,Controle!$B$4:$F$68,2,FALSE)</f>
        <v>Pedra do Indaiá 1</v>
      </c>
      <c r="C961" s="2" t="str">
        <f>VLOOKUP($A961,Controle!$B$4:$F$68,3,FALSE)</f>
        <v xml:space="preserve">ESTRELA DO NORTE </v>
      </c>
      <c r="D961" s="2" t="str">
        <f>VLOOKUP($A961,Controle!$B$4:$F$68,4,FALSE)</f>
        <v>EDN</v>
      </c>
      <c r="E961" s="2">
        <f>VLOOKUP($A961,Controle!$B$4:$F$68,5,FALSE)</f>
        <v>1</v>
      </c>
      <c r="F961" s="3" t="str">
        <f t="shared" si="323"/>
        <v>Desenvolvimento de projeto - Coordenograma</v>
      </c>
      <c r="G961" s="2" t="str">
        <f>VLOOKUP($A961,Controle!$B$4:$G$68,6,FALSE)</f>
        <v>Apolo</v>
      </c>
      <c r="H961" s="31" t="s">
        <v>149</v>
      </c>
      <c r="I961" s="31">
        <v>7000</v>
      </c>
      <c r="J961" s="31">
        <v>0</v>
      </c>
      <c r="K961" s="31">
        <v>0</v>
      </c>
      <c r="L961" s="6">
        <v>0</v>
      </c>
      <c r="M961" s="6">
        <v>0</v>
      </c>
      <c r="N961" s="6">
        <v>0</v>
      </c>
      <c r="O961" s="4">
        <f t="shared" si="324"/>
        <v>7000</v>
      </c>
      <c r="P961" s="5">
        <f>SUMIFS('Desenvolvimento diário'!$H:$H,'Desenvolvimento diário'!$Q:$Q,$B961,'Desenvolvimento diário'!$P:$P,$F961,'Desenvolvimento diário'!$R:$R,"Sim")</f>
        <v>0</v>
      </c>
      <c r="Q961" s="5">
        <f>SUMIFS('Desenvolvimento diário'!$H:$H,'Desenvolvimento diário'!$Q:$Q,$B961,'Desenvolvimento diário'!$P:$P,$F961,'Desenvolvimento diário'!$R:$R,"Não")</f>
        <v>7000</v>
      </c>
      <c r="R961" s="4">
        <f t="shared" si="325"/>
        <v>7000</v>
      </c>
      <c r="S961" s="4">
        <f t="shared" si="326"/>
        <v>0</v>
      </c>
      <c r="T961" s="12">
        <f t="shared" si="328"/>
        <v>1</v>
      </c>
      <c r="Y961" s="2"/>
      <c r="Z961" s="2"/>
      <c r="AA961" s="2"/>
      <c r="AB961" s="2"/>
      <c r="AC961" s="2"/>
    </row>
    <row r="962" spans="1:29" ht="10.5" hidden="1">
      <c r="A962" s="2">
        <f t="shared" si="327"/>
        <v>28</v>
      </c>
      <c r="B962" s="2" t="str">
        <f>VLOOKUP($A962,Controle!$B$4:$F$68,2,FALSE)</f>
        <v>Pedra do Indaiá 1</v>
      </c>
      <c r="C962" s="2" t="str">
        <f>VLOOKUP($A962,Controle!$B$4:$F$68,3,FALSE)</f>
        <v xml:space="preserve">ESTRELA DO NORTE </v>
      </c>
      <c r="D962" s="2" t="str">
        <f>VLOOKUP($A962,Controle!$B$4:$F$68,4,FALSE)</f>
        <v>EDN</v>
      </c>
      <c r="E962" s="2">
        <f>VLOOKUP($A962,Controle!$B$4:$F$68,5,FALSE)</f>
        <v>1</v>
      </c>
      <c r="F962" s="3" t="str">
        <f t="shared" si="323"/>
        <v>Sistemas de Monitoramento - Supervisório</v>
      </c>
      <c r="G962" s="2" t="str">
        <f>VLOOKUP($A962,Controle!$B$4:$G$68,6,FALSE)</f>
        <v>Apolo</v>
      </c>
      <c r="H962" s="6" t="s">
        <v>150</v>
      </c>
      <c r="I962" s="6">
        <v>136155</v>
      </c>
      <c r="J962" s="6"/>
      <c r="K962" s="6">
        <v>0</v>
      </c>
      <c r="L962" s="6">
        <v>0</v>
      </c>
      <c r="M962" s="6">
        <v>0</v>
      </c>
      <c r="N962" s="6">
        <v>0</v>
      </c>
      <c r="O962" s="4">
        <f t="shared" si="324"/>
        <v>136155</v>
      </c>
      <c r="P962" s="5">
        <f>SUMIFS('Desenvolvimento diário'!$H:$H,'Desenvolvimento diário'!$Q:$Q,$B962,'Desenvolvimento diário'!$P:$P,$F962,'Desenvolvimento diário'!$R:$R,"Sim")</f>
        <v>5821.02</v>
      </c>
      <c r="Q962" s="5">
        <f>SUMIFS('Desenvolvimento diário'!$H:$H,'Desenvolvimento diário'!$Q:$Q,$B962,'Desenvolvimento diário'!$P:$P,$F962,'Desenvolvimento diário'!$R:$R,"Não")</f>
        <v>130333.98000000001</v>
      </c>
      <c r="R962" s="4">
        <f t="shared" si="325"/>
        <v>136155</v>
      </c>
      <c r="S962" s="4">
        <f t="shared" si="326"/>
        <v>0</v>
      </c>
      <c r="T962" s="12">
        <f t="shared" si="328"/>
        <v>1</v>
      </c>
      <c r="U962" s="34"/>
      <c r="Y962" s="2"/>
      <c r="Z962" s="2"/>
      <c r="AA962" s="2"/>
      <c r="AB962" s="2"/>
      <c r="AC962" s="2"/>
    </row>
    <row r="963" spans="1:29" ht="10.5" hidden="1">
      <c r="A963" s="2">
        <f t="shared" si="327"/>
        <v>28</v>
      </c>
      <c r="B963" s="2" t="str">
        <f>VLOOKUP($A963,Controle!$B$4:$F$68,2,FALSE)</f>
        <v>Pedra do Indaiá 1</v>
      </c>
      <c r="C963" s="2" t="str">
        <f>VLOOKUP($A963,Controle!$B$4:$F$68,3,FALSE)</f>
        <v xml:space="preserve">ESTRELA DO NORTE </v>
      </c>
      <c r="D963" s="2" t="str">
        <f>VLOOKUP($A963,Controle!$B$4:$F$68,4,FALSE)</f>
        <v>EDN</v>
      </c>
      <c r="E963" s="2">
        <f>VLOOKUP($A963,Controle!$B$4:$F$68,5,FALSE)</f>
        <v>1</v>
      </c>
      <c r="F963" s="3" t="str">
        <f t="shared" si="323"/>
        <v>Sistemas de Monitoramento - Estações Solarimétricas</v>
      </c>
      <c r="G963" s="2" t="str">
        <f>VLOOKUP($A963,Controle!$B$4:$G$68,6,FALSE)</f>
        <v>Apolo</v>
      </c>
      <c r="H963" s="6" t="s">
        <v>151</v>
      </c>
      <c r="I963" s="6">
        <v>48276.516000000003</v>
      </c>
      <c r="J963" s="6">
        <v>0</v>
      </c>
      <c r="K963" s="6">
        <v>0</v>
      </c>
      <c r="L963" s="6">
        <v>0</v>
      </c>
      <c r="M963" s="6">
        <v>0</v>
      </c>
      <c r="N963" s="6">
        <v>0</v>
      </c>
      <c r="O963" s="4">
        <f t="shared" si="324"/>
        <v>48276.516000000003</v>
      </c>
      <c r="P963" s="5">
        <f>SUMIFS('Desenvolvimento diário'!$H:$H,'Desenvolvimento diário'!$Q:$Q,$B963,'Desenvolvimento diário'!$P:$P,$F963,'Desenvolvimento diário'!$R:$R,"Sim")</f>
        <v>0</v>
      </c>
      <c r="Q963" s="5">
        <f>SUMIFS('Desenvolvimento diário'!$H:$H,'Desenvolvimento diário'!$Q:$Q,$B963,'Desenvolvimento diário'!$P:$P,$F963,'Desenvolvimento diário'!$R:$R,"Não")</f>
        <v>48276.516000000003</v>
      </c>
      <c r="R963" s="4">
        <f t="shared" si="325"/>
        <v>48276.516000000003</v>
      </c>
      <c r="S963" s="4">
        <f t="shared" si="326"/>
        <v>0</v>
      </c>
      <c r="T963" s="12">
        <f t="shared" si="328"/>
        <v>1</v>
      </c>
      <c r="Y963" s="2"/>
      <c r="Z963" s="2"/>
      <c r="AA963" s="2"/>
      <c r="AB963" s="2"/>
      <c r="AC963" s="2"/>
    </row>
    <row r="964" spans="1:29" hidden="1">
      <c r="A964" s="2">
        <f t="shared" si="327"/>
        <v>28</v>
      </c>
      <c r="B964" s="2" t="str">
        <f>VLOOKUP($A964,Controle!$B$4:$F$68,2,FALSE)</f>
        <v>Pedra do Indaiá 1</v>
      </c>
      <c r="C964" s="2" t="str">
        <f>VLOOKUP($A964,Controle!$B$4:$F$68,3,FALSE)</f>
        <v xml:space="preserve">ESTRELA DO NORTE </v>
      </c>
      <c r="D964" s="2" t="str">
        <f>VLOOKUP($A964,Controle!$B$4:$F$68,4,FALSE)</f>
        <v>EDN</v>
      </c>
      <c r="E964" s="2">
        <f>VLOOKUP($A964,Controle!$B$4:$F$68,5,FALSE)</f>
        <v>1</v>
      </c>
      <c r="F964" s="3" t="str">
        <f t="shared" si="323"/>
        <v>Sistemas de Monitoramento - CFTV</v>
      </c>
      <c r="G964" s="2" t="str">
        <f>VLOOKUP($A964,Controle!$B$4:$G$68,6,FALSE)</f>
        <v>Apolo</v>
      </c>
      <c r="H964" s="31" t="s">
        <v>152</v>
      </c>
      <c r="I964" s="6">
        <v>270240.90999999997</v>
      </c>
      <c r="J964" s="6" t="s">
        <v>193</v>
      </c>
      <c r="K964" s="6">
        <v>0</v>
      </c>
      <c r="L964" s="6">
        <v>0</v>
      </c>
      <c r="M964" s="6">
        <v>0</v>
      </c>
      <c r="N964" s="6">
        <v>0</v>
      </c>
      <c r="O964" s="4">
        <f t="shared" si="324"/>
        <v>270240.90999999997</v>
      </c>
      <c r="P964" s="5">
        <f>SUMIFS('Desenvolvimento diário'!$H:$H,'Desenvolvimento diário'!$Q:$Q,$B964,'Desenvolvimento diário'!$P:$P,$F964,'Desenvolvimento diário'!$R:$R,"Sim")</f>
        <v>0</v>
      </c>
      <c r="Q964" s="5">
        <f>SUMIFS('Desenvolvimento diário'!$H:$H,'Desenvolvimento diário'!$Q:$Q,$B964,'Desenvolvimento diário'!$P:$P,$F964,'Desenvolvimento diário'!$R:$R,"Não")</f>
        <v>270240.90999999997</v>
      </c>
      <c r="R964" s="4">
        <f t="shared" si="325"/>
        <v>270240.90999999997</v>
      </c>
      <c r="S964" s="4">
        <f t="shared" si="326"/>
        <v>0</v>
      </c>
      <c r="T964" s="12">
        <f t="shared" si="328"/>
        <v>1</v>
      </c>
      <c r="Y964" s="2"/>
      <c r="Z964" s="2"/>
      <c r="AA964" s="2"/>
      <c r="AB964" s="2"/>
      <c r="AC964" s="2"/>
    </row>
    <row r="965" spans="1:29" ht="10.5" hidden="1">
      <c r="A965" s="2">
        <f t="shared" si="327"/>
        <v>28</v>
      </c>
      <c r="B965" s="2" t="str">
        <f>VLOOKUP($A965,Controle!$B$4:$F$68,2,FALSE)</f>
        <v>Pedra do Indaiá 1</v>
      </c>
      <c r="C965" s="2" t="str">
        <f>VLOOKUP($A965,Controle!$B$4:$F$68,3,FALSE)</f>
        <v xml:space="preserve">ESTRELA DO NORTE </v>
      </c>
      <c r="D965" s="2" t="str">
        <f>VLOOKUP($A965,Controle!$B$4:$F$68,4,FALSE)</f>
        <v>EDN</v>
      </c>
      <c r="E965" s="2">
        <f>VLOOKUP($A965,Controle!$B$4:$F$68,5,FALSE)</f>
        <v>1</v>
      </c>
      <c r="F965" s="3" t="str">
        <f t="shared" si="323"/>
        <v>Serviços Auxiliares - Drenagem</v>
      </c>
      <c r="G965" s="2" t="str">
        <f>VLOOKUP($A965,Controle!$B$4:$G$68,6,FALSE)</f>
        <v>Apolo</v>
      </c>
      <c r="H965" s="6" t="s">
        <v>208</v>
      </c>
      <c r="I965" s="6">
        <v>1110000</v>
      </c>
      <c r="J965" s="6">
        <v>0</v>
      </c>
      <c r="K965" s="6">
        <v>0</v>
      </c>
      <c r="L965" s="6">
        <v>0</v>
      </c>
      <c r="M965" s="6">
        <v>0</v>
      </c>
      <c r="N965" s="6">
        <v>0</v>
      </c>
      <c r="O965" s="4">
        <f t="shared" si="324"/>
        <v>1110000</v>
      </c>
      <c r="P965" s="5">
        <f>SUMIFS('Desenvolvimento diário'!$H:$H,'Desenvolvimento diário'!$Q:$Q,$B965,'Desenvolvimento diário'!$P:$P,$F965,'Desenvolvimento diário'!$R:$R,"Sim")</f>
        <v>0</v>
      </c>
      <c r="Q965" s="5">
        <f>SUMIFS('Desenvolvimento diário'!$H:$H,'Desenvolvimento diário'!$Q:$Q,$B965,'Desenvolvimento diário'!$P:$P,$F965,'Desenvolvimento diário'!$R:$R,"Não")</f>
        <v>1110000</v>
      </c>
      <c r="R965" s="4">
        <f t="shared" si="325"/>
        <v>1110000</v>
      </c>
      <c r="S965" s="4">
        <f t="shared" si="326"/>
        <v>0</v>
      </c>
      <c r="T965" s="12">
        <f t="shared" si="328"/>
        <v>1</v>
      </c>
      <c r="Y965" s="2"/>
      <c r="Z965" s="2"/>
      <c r="AA965" s="2"/>
      <c r="AB965" s="2"/>
      <c r="AC965" s="2"/>
    </row>
    <row r="966" spans="1:29" ht="10.5" hidden="1">
      <c r="A966" s="2">
        <f t="shared" si="327"/>
        <v>28</v>
      </c>
      <c r="B966" s="2" t="str">
        <f>VLOOKUP($A966,Controle!$B$4:$F$68,2,FALSE)</f>
        <v>Pedra do Indaiá 1</v>
      </c>
      <c r="C966" s="2" t="str">
        <f>VLOOKUP($A966,Controle!$B$4:$F$68,3,FALSE)</f>
        <v xml:space="preserve">ESTRELA DO NORTE </v>
      </c>
      <c r="D966" s="2" t="str">
        <f>VLOOKUP($A966,Controle!$B$4:$F$68,4,FALSE)</f>
        <v>EDN</v>
      </c>
      <c r="E966" s="2">
        <f>VLOOKUP($A966,Controle!$B$4:$F$68,5,FALSE)</f>
        <v>1</v>
      </c>
      <c r="F966" s="3" t="str">
        <f t="shared" si="323"/>
        <v>Serviços Auxiliares - Terraplanagem</v>
      </c>
      <c r="G966" s="2" t="str">
        <f>VLOOKUP($A966,Controle!$B$4:$G$68,6,FALSE)</f>
        <v>Apolo</v>
      </c>
      <c r="H966" s="6" t="s">
        <v>204</v>
      </c>
      <c r="I966" s="6">
        <v>250190.07</v>
      </c>
      <c r="J966" s="6">
        <v>0</v>
      </c>
      <c r="K966" s="6">
        <v>0</v>
      </c>
      <c r="L966" s="6">
        <v>0</v>
      </c>
      <c r="M966" s="6">
        <v>0</v>
      </c>
      <c r="N966" s="6">
        <v>0</v>
      </c>
      <c r="O966" s="4">
        <f t="shared" si="324"/>
        <v>250190.07</v>
      </c>
      <c r="P966" s="5">
        <f>SUMIFS('Desenvolvimento diário'!$H:$H,'Desenvolvimento diário'!$Q:$Q,$B966,'Desenvolvimento diário'!$P:$P,$F966,'Desenvolvimento diário'!$R:$R,"Sim")</f>
        <v>0</v>
      </c>
      <c r="Q966" s="5">
        <f>SUMIFS('Desenvolvimento diário'!$H:$H,'Desenvolvimento diário'!$Q:$Q,$B966,'Desenvolvimento diário'!$P:$P,$F966,'Desenvolvimento diário'!$R:$R,"Não")</f>
        <v>250190.07</v>
      </c>
      <c r="R966" s="4">
        <f t="shared" si="325"/>
        <v>250190.07</v>
      </c>
      <c r="S966" s="4">
        <f t="shared" si="326"/>
        <v>0</v>
      </c>
      <c r="T966" s="12">
        <f t="shared" si="328"/>
        <v>1</v>
      </c>
      <c r="Y966" s="2"/>
      <c r="Z966" s="2"/>
      <c r="AA966" s="2"/>
      <c r="AB966" s="2"/>
      <c r="AC966" s="2"/>
    </row>
    <row r="967" spans="1:29" ht="10.5" hidden="1">
      <c r="A967" s="2">
        <f t="shared" si="327"/>
        <v>28</v>
      </c>
      <c r="B967" s="2" t="str">
        <f>VLOOKUP($A967,Controle!$B$4:$F$68,2,FALSE)</f>
        <v>Pedra do Indaiá 1</v>
      </c>
      <c r="C967" s="2" t="str">
        <f>VLOOKUP($A967,Controle!$B$4:$F$68,3,FALSE)</f>
        <v xml:space="preserve">ESTRELA DO NORTE </v>
      </c>
      <c r="D967" s="2" t="str">
        <f>VLOOKUP($A967,Controle!$B$4:$F$68,4,FALSE)</f>
        <v>EDN</v>
      </c>
      <c r="E967" s="2">
        <f>VLOOKUP($A967,Controle!$B$4:$F$68,5,FALSE)</f>
        <v>1</v>
      </c>
      <c r="F967" s="3" t="str">
        <f t="shared" si="323"/>
        <v>Serviços Auxiliares - Supressão Vegetal</v>
      </c>
      <c r="G967" s="2" t="str">
        <f>VLOOKUP($A967,Controle!$B$4:$G$68,6,FALSE)</f>
        <v>Apolo</v>
      </c>
      <c r="H967" s="6">
        <v>0</v>
      </c>
      <c r="I967" s="6">
        <v>0</v>
      </c>
      <c r="J967" s="6">
        <v>0</v>
      </c>
      <c r="K967" s="6">
        <v>0</v>
      </c>
      <c r="L967" s="6">
        <v>0</v>
      </c>
      <c r="M967" s="6">
        <v>0</v>
      </c>
      <c r="N967" s="6">
        <v>0</v>
      </c>
      <c r="O967" s="4">
        <f t="shared" si="324"/>
        <v>0</v>
      </c>
      <c r="P967" s="5">
        <f>SUMIFS('Desenvolvimento diário'!$H:$H,'Desenvolvimento diário'!$Q:$Q,$B967,'Desenvolvimento diário'!$P:$P,$F967,'Desenvolvimento diário'!$R:$R,"Sim")</f>
        <v>0</v>
      </c>
      <c r="Q967" s="5">
        <f>SUMIFS('Desenvolvimento diário'!$H:$H,'Desenvolvimento diário'!$Q:$Q,$B967,'Desenvolvimento diário'!$P:$P,$F967,'Desenvolvimento diário'!$R:$R,"Não")</f>
        <v>0</v>
      </c>
      <c r="R967" s="4">
        <f t="shared" si="325"/>
        <v>0</v>
      </c>
      <c r="S967" s="4">
        <f t="shared" si="326"/>
        <v>0</v>
      </c>
      <c r="T967" s="12">
        <f t="shared" si="328"/>
        <v>0</v>
      </c>
      <c r="Y967" s="2"/>
      <c r="Z967" s="2"/>
      <c r="AA967" s="2"/>
      <c r="AB967" s="2"/>
      <c r="AC967" s="2"/>
    </row>
    <row r="968" spans="1:29" ht="10.5" hidden="1">
      <c r="A968" s="2">
        <f t="shared" si="327"/>
        <v>28</v>
      </c>
      <c r="B968" s="2" t="str">
        <f>VLOOKUP($A968,Controle!$B$4:$F$68,2,FALSE)</f>
        <v>Pedra do Indaiá 1</v>
      </c>
      <c r="C968" s="2" t="str">
        <f>VLOOKUP($A968,Controle!$B$4:$F$68,3,FALSE)</f>
        <v xml:space="preserve">ESTRELA DO NORTE </v>
      </c>
      <c r="D968" s="2" t="str">
        <f>VLOOKUP($A968,Controle!$B$4:$F$68,4,FALSE)</f>
        <v>EDN</v>
      </c>
      <c r="E968" s="2">
        <f>VLOOKUP($A968,Controle!$B$4:$F$68,5,FALSE)</f>
        <v>1</v>
      </c>
      <c r="F968" s="3" t="str">
        <f t="shared" si="323"/>
        <v>RDR-Rede de Distribuição Rural</v>
      </c>
      <c r="G968" s="2" t="str">
        <f>VLOOKUP($A968,Controle!$B$4:$G$68,6,FALSE)</f>
        <v>Apolo</v>
      </c>
      <c r="H968" s="6">
        <v>0</v>
      </c>
      <c r="I968" s="6">
        <v>0</v>
      </c>
      <c r="J968" s="6">
        <v>0</v>
      </c>
      <c r="K968" s="6">
        <v>0</v>
      </c>
      <c r="L968" s="6">
        <v>0</v>
      </c>
      <c r="M968" s="6">
        <v>0</v>
      </c>
      <c r="N968" s="6">
        <v>0</v>
      </c>
      <c r="O968" s="4">
        <f t="shared" si="324"/>
        <v>0</v>
      </c>
      <c r="P968" s="5">
        <f>SUMIFS('Desenvolvimento diário'!$H:$H,'Desenvolvimento diário'!$Q:$Q,$B968,'Desenvolvimento diário'!$P:$P,$F968,'Desenvolvimento diário'!$R:$R,"Sim")</f>
        <v>0</v>
      </c>
      <c r="Q968" s="5">
        <f>SUMIFS('Desenvolvimento diário'!$H:$H,'Desenvolvimento diário'!$Q:$Q,$B968,'Desenvolvimento diário'!$P:$P,$F968,'Desenvolvimento diário'!$R:$R,"Não")</f>
        <v>0</v>
      </c>
      <c r="R968" s="4">
        <f t="shared" si="325"/>
        <v>0</v>
      </c>
      <c r="S968" s="4">
        <f t="shared" si="326"/>
        <v>0</v>
      </c>
      <c r="T968" s="12">
        <f t="shared" si="328"/>
        <v>0</v>
      </c>
      <c r="Y968" s="2"/>
      <c r="Z968" s="2"/>
      <c r="AA968" s="2"/>
      <c r="AB968" s="2"/>
      <c r="AC968" s="2"/>
    </row>
    <row r="969" spans="1:29" ht="10.5" hidden="1">
      <c r="A969" s="2">
        <f t="shared" si="327"/>
        <v>28</v>
      </c>
      <c r="B969" s="2" t="str">
        <f>VLOOKUP($A969,Controle!$B$4:$F$68,2,FALSE)</f>
        <v>Pedra do Indaiá 1</v>
      </c>
      <c r="C969" s="2" t="str">
        <f>VLOOKUP($A969,Controle!$B$4:$F$68,3,FALSE)</f>
        <v xml:space="preserve">ESTRELA DO NORTE </v>
      </c>
      <c r="D969" s="2" t="str">
        <f>VLOOKUP($A969,Controle!$B$4:$F$68,4,FALSE)</f>
        <v>EDN</v>
      </c>
      <c r="E969" s="2">
        <f>VLOOKUP($A969,Controle!$B$4:$F$68,5,FALSE)</f>
        <v>1</v>
      </c>
      <c r="F969" s="3" t="str">
        <f t="shared" si="323"/>
        <v>Escopo COMERC</v>
      </c>
      <c r="G969" s="2" t="str">
        <f>VLOOKUP($A969,Controle!$B$4:$G$68,6,FALSE)</f>
        <v>Apolo</v>
      </c>
      <c r="H969" s="6">
        <v>0</v>
      </c>
      <c r="I969" s="6">
        <v>82798.64</v>
      </c>
      <c r="J969" s="29">
        <v>43000</v>
      </c>
      <c r="K969" s="29"/>
      <c r="L969" s="6">
        <v>0</v>
      </c>
      <c r="M969" s="6">
        <v>0</v>
      </c>
      <c r="N969" s="6">
        <v>0</v>
      </c>
      <c r="O969" s="4">
        <f t="shared" si="324"/>
        <v>125798.64</v>
      </c>
      <c r="P969" s="5">
        <f>SUMIFS('Desenvolvimento diário'!$H:$H,'Desenvolvimento diário'!$Q:$Q,$B969,'Desenvolvimento diário'!$P:$P,$F969,'Desenvolvimento diário'!$R:$R,"Sim")</f>
        <v>0</v>
      </c>
      <c r="Q969" s="5">
        <f>SUMIFS('Desenvolvimento diário'!$H:$H,'Desenvolvimento diário'!$Q:$Q,$B969,'Desenvolvimento diário'!$P:$P,$F969,'Desenvolvimento diário'!$R:$R,"Não")</f>
        <v>83797.42</v>
      </c>
      <c r="R969" s="4">
        <f t="shared" si="325"/>
        <v>83797.42</v>
      </c>
      <c r="S969" s="1010">
        <f t="shared" si="326"/>
        <v>42001.22</v>
      </c>
      <c r="T969" s="12">
        <f t="shared" si="328"/>
        <v>0.66612341755046001</v>
      </c>
      <c r="U969" s="1011" t="s">
        <v>166</v>
      </c>
      <c r="V969" s="1011" t="s">
        <v>167</v>
      </c>
      <c r="Y969" s="2"/>
      <c r="Z969" s="2"/>
      <c r="AA969" s="2"/>
      <c r="AB969" s="2"/>
      <c r="AC969" s="2"/>
    </row>
    <row r="970" spans="1:29" ht="10.5" hidden="1">
      <c r="A970" s="2">
        <f t="shared" si="327"/>
        <v>28</v>
      </c>
      <c r="B970" s="2" t="str">
        <f>VLOOKUP($A970,Controle!$B$4:$F$68,2,FALSE)</f>
        <v>Pedra do Indaiá 1</v>
      </c>
      <c r="C970" s="2" t="str">
        <f>VLOOKUP($A970,Controle!$B$4:$F$68,3,FALSE)</f>
        <v xml:space="preserve">ESTRELA DO NORTE </v>
      </c>
      <c r="D970" s="2" t="str">
        <f>VLOOKUP($A970,Controle!$B$4:$F$68,4,FALSE)</f>
        <v>EDN</v>
      </c>
      <c r="E970" s="2">
        <f>VLOOKUP($A970,Controle!$B$4:$F$68,5,FALSE)</f>
        <v>1</v>
      </c>
      <c r="F970" s="3" t="str">
        <f t="shared" si="323"/>
        <v>Escopo COMERC - Segurança</v>
      </c>
      <c r="G970" s="2" t="str">
        <f>VLOOKUP($A970,Controle!$B$4:$G$68,6,FALSE)</f>
        <v>Apolo</v>
      </c>
      <c r="H970" s="6">
        <v>0</v>
      </c>
      <c r="I970" s="6">
        <f t="shared" ref="I969:I970" si="329">R970</f>
        <v>36807.29</v>
      </c>
      <c r="J970" s="6">
        <v>0</v>
      </c>
      <c r="K970" s="6">
        <v>0</v>
      </c>
      <c r="L970" s="6">
        <v>0</v>
      </c>
      <c r="M970" s="6">
        <v>0</v>
      </c>
      <c r="N970" s="6">
        <v>0</v>
      </c>
      <c r="O970" s="4">
        <f t="shared" si="324"/>
        <v>36807.29</v>
      </c>
      <c r="P970" s="5">
        <f>SUMIFS('Desenvolvimento diário'!$H:$H,'Desenvolvimento diário'!$Q:$Q,$B970,'Desenvolvimento diário'!$P:$P,$F970,'Desenvolvimento diário'!$R:$R,"Sim")</f>
        <v>0</v>
      </c>
      <c r="Q970" s="5">
        <f>SUMIFS('Desenvolvimento diário'!$H:$H,'Desenvolvimento diário'!$Q:$Q,$B970,'Desenvolvimento diário'!$P:$P,$F970,'Desenvolvimento diário'!$R:$R,"Não")</f>
        <v>36807.29</v>
      </c>
      <c r="R970" s="4">
        <f t="shared" si="325"/>
        <v>36807.29</v>
      </c>
      <c r="S970" s="4">
        <f t="shared" si="326"/>
        <v>0</v>
      </c>
      <c r="T970" s="12">
        <f t="shared" si="328"/>
        <v>1</v>
      </c>
      <c r="Y970" s="2"/>
      <c r="Z970" s="2"/>
      <c r="AA970" s="2"/>
      <c r="AB970" s="2"/>
      <c r="AC970" s="2"/>
    </row>
    <row r="971" spans="1:29" ht="10.5" hidden="1">
      <c r="A971" s="2">
        <f t="shared" si="327"/>
        <v>28</v>
      </c>
      <c r="B971" s="2" t="str">
        <f>VLOOKUP($A971,Controle!$B$4:$F$68,2,FALSE)</f>
        <v>Pedra do Indaiá 1</v>
      </c>
      <c r="C971" s="2" t="str">
        <f>VLOOKUP($A971,Controle!$B$4:$F$68,3,FALSE)</f>
        <v xml:space="preserve">ESTRELA DO NORTE </v>
      </c>
      <c r="D971" s="2" t="str">
        <f>VLOOKUP($A971,Controle!$B$4:$F$68,4,FALSE)</f>
        <v>EDN</v>
      </c>
      <c r="E971" s="2">
        <f>VLOOKUP($A971,Controle!$B$4:$F$68,5,FALSE)</f>
        <v>1</v>
      </c>
      <c r="F971" s="3" t="str">
        <f t="shared" si="323"/>
        <v>Conexão MT - Obras Transferencia</v>
      </c>
      <c r="G971" s="2" t="str">
        <f>VLOOKUP($A971,Controle!$B$4:$G$68,6,FALSE)</f>
        <v>Apolo</v>
      </c>
      <c r="H971" s="6">
        <v>0</v>
      </c>
      <c r="I971" s="6">
        <v>0</v>
      </c>
      <c r="J971" s="6">
        <v>0</v>
      </c>
      <c r="K971" s="6">
        <v>0</v>
      </c>
      <c r="L971" s="6">
        <v>0</v>
      </c>
      <c r="M971" s="6">
        <v>0</v>
      </c>
      <c r="N971" s="6">
        <v>0</v>
      </c>
      <c r="O971" s="4">
        <f t="shared" si="324"/>
        <v>0</v>
      </c>
      <c r="P971" s="5">
        <f>SUMIFS('Desenvolvimento diário'!$H:$H,'Desenvolvimento diário'!$Q:$Q,$B971,'Desenvolvimento diário'!$P:$P,$F971,'Desenvolvimento diário'!$R:$R,"Sim")</f>
        <v>0</v>
      </c>
      <c r="Q971" s="5">
        <f>SUMIFS('Desenvolvimento diário'!$H:$H,'Desenvolvimento diário'!$Q:$Q,$B971,'Desenvolvimento diário'!$P:$P,$F971,'Desenvolvimento diário'!$R:$R,"Não")</f>
        <v>0</v>
      </c>
      <c r="R971" s="4">
        <f t="shared" si="325"/>
        <v>0</v>
      </c>
      <c r="S971" s="4">
        <f t="shared" si="326"/>
        <v>0</v>
      </c>
      <c r="T971" s="12">
        <f t="shared" si="328"/>
        <v>0</v>
      </c>
      <c r="Y971" s="2"/>
      <c r="Z971" s="2"/>
      <c r="AA971" s="2"/>
      <c r="AB971" s="2"/>
      <c r="AC971" s="2"/>
    </row>
    <row r="972" spans="1:29" ht="10.5" hidden="1">
      <c r="A972" s="2">
        <f t="shared" si="327"/>
        <v>28</v>
      </c>
      <c r="B972" s="2" t="str">
        <f>VLOOKUP($A972,Controle!$B$4:$F$68,2,FALSE)</f>
        <v>Pedra do Indaiá 1</v>
      </c>
      <c r="C972" s="2" t="str">
        <f>VLOOKUP($A972,Controle!$B$4:$F$68,3,FALSE)</f>
        <v xml:space="preserve">ESTRELA DO NORTE </v>
      </c>
      <c r="D972" s="2" t="str">
        <f>VLOOKUP($A972,Controle!$B$4:$F$68,4,FALSE)</f>
        <v>EDN</v>
      </c>
      <c r="E972" s="2">
        <f>VLOOKUP($A972,Controle!$B$4:$F$68,5,FALSE)</f>
        <v>1</v>
      </c>
      <c r="F972" s="3" t="str">
        <f t="shared" si="323"/>
        <v>Bases de Contaniers</v>
      </c>
      <c r="G972" s="2" t="str">
        <f>VLOOKUP($A972,Controle!$B$4:$G$68,6,FALSE)</f>
        <v>Apolo</v>
      </c>
      <c r="H972" s="6">
        <v>0</v>
      </c>
      <c r="I972" s="6">
        <v>0</v>
      </c>
      <c r="J972" s="6">
        <v>0</v>
      </c>
      <c r="K972" s="6">
        <v>0</v>
      </c>
      <c r="L972" s="6">
        <v>0</v>
      </c>
      <c r="M972" s="6">
        <v>0</v>
      </c>
      <c r="N972" s="6">
        <v>0</v>
      </c>
      <c r="O972" s="4">
        <f t="shared" si="324"/>
        <v>0</v>
      </c>
      <c r="P972" s="5">
        <f>SUMIFS('Desenvolvimento diário'!$H:$H,'Desenvolvimento diário'!$Q:$Q,$B972,'Desenvolvimento diário'!$P:$P,$F972,'Desenvolvimento diário'!$R:$R,"Sim")</f>
        <v>0</v>
      </c>
      <c r="Q972" s="5">
        <f>SUMIFS('Desenvolvimento diário'!$H:$H,'Desenvolvimento diário'!$Q:$Q,$B972,'Desenvolvimento diário'!$P:$P,$F972,'Desenvolvimento diário'!$R:$R,"Não")</f>
        <v>0</v>
      </c>
      <c r="R972" s="4">
        <f t="shared" si="325"/>
        <v>0</v>
      </c>
      <c r="S972" s="4">
        <f t="shared" si="326"/>
        <v>0</v>
      </c>
      <c r="T972" s="12">
        <f t="shared" si="328"/>
        <v>0</v>
      </c>
      <c r="Y972" s="2"/>
      <c r="Z972" s="2"/>
      <c r="AA972" s="2"/>
      <c r="AB972" s="2"/>
      <c r="AC972" s="2"/>
    </row>
    <row r="973" spans="1:29" ht="10.5" hidden="1">
      <c r="A973" s="2">
        <f t="shared" si="327"/>
        <v>28</v>
      </c>
      <c r="B973" s="2" t="str">
        <f>VLOOKUP($A973,Controle!$B$4:$F$68,2,FALSE)</f>
        <v>Pedra do Indaiá 1</v>
      </c>
      <c r="C973" s="2" t="str">
        <f>VLOOKUP($A973,Controle!$B$4:$F$68,3,FALSE)</f>
        <v xml:space="preserve">ESTRELA DO NORTE </v>
      </c>
      <c r="D973" s="2" t="str">
        <f>VLOOKUP($A973,Controle!$B$4:$F$68,4,FALSE)</f>
        <v>EDN</v>
      </c>
      <c r="E973" s="2">
        <f>VLOOKUP($A973,Controle!$B$4:$F$68,5,FALSE)</f>
        <v>1</v>
      </c>
      <c r="F973" s="3" t="str">
        <f t="shared" si="323"/>
        <v>Construção - Serviços de Construção - Ase Engenharia</v>
      </c>
      <c r="G973" s="2" t="str">
        <f>VLOOKUP($A973,Controle!$B$4:$G$68,6,FALSE)</f>
        <v>Apolo</v>
      </c>
      <c r="H973" s="6">
        <v>0</v>
      </c>
      <c r="I973" s="6">
        <v>0</v>
      </c>
      <c r="J973" s="6">
        <v>0</v>
      </c>
      <c r="K973" s="6">
        <v>0</v>
      </c>
      <c r="L973" s="6">
        <v>0</v>
      </c>
      <c r="M973" s="6">
        <v>0</v>
      </c>
      <c r="N973" s="6">
        <v>0</v>
      </c>
      <c r="O973" s="4">
        <f t="shared" si="324"/>
        <v>0</v>
      </c>
      <c r="P973" s="5">
        <f>SUMIFS('Desenvolvimento diário'!$H:$H,'Desenvolvimento diário'!$Q:$Q,$B973,'Desenvolvimento diário'!$P:$P,$F973,'Desenvolvimento diário'!$R:$R,"Sim")</f>
        <v>0</v>
      </c>
      <c r="Q973" s="5">
        <f>SUMIFS('Desenvolvimento diário'!$H:$H,'Desenvolvimento diário'!$Q:$Q,$B973,'Desenvolvimento diário'!$P:$P,$F973,'Desenvolvimento diário'!$R:$R,"Não")</f>
        <v>0</v>
      </c>
      <c r="R973" s="4">
        <f t="shared" si="325"/>
        <v>0</v>
      </c>
      <c r="S973" s="4">
        <f t="shared" si="326"/>
        <v>0</v>
      </c>
      <c r="T973" s="12">
        <f t="shared" si="328"/>
        <v>0</v>
      </c>
      <c r="Y973" s="2"/>
      <c r="Z973" s="2"/>
      <c r="AA973" s="2"/>
      <c r="AB973" s="2"/>
      <c r="AC973" s="2"/>
    </row>
    <row r="974" spans="1:29" ht="10.5" hidden="1">
      <c r="A974" s="2">
        <f t="shared" si="327"/>
        <v>28</v>
      </c>
      <c r="B974" s="2" t="str">
        <f>VLOOKUP($A974,Controle!$B$4:$F$68,2,FALSE)</f>
        <v>Pedra do Indaiá 1</v>
      </c>
      <c r="C974" s="2" t="str">
        <f>VLOOKUP($A974,Controle!$B$4:$F$68,3,FALSE)</f>
        <v xml:space="preserve">ESTRELA DO NORTE </v>
      </c>
      <c r="D974" s="2" t="str">
        <f>VLOOKUP($A974,Controle!$B$4:$F$68,4,FALSE)</f>
        <v>EDN</v>
      </c>
      <c r="E974" s="2">
        <f>VLOOKUP($A974,Controle!$B$4:$F$68,5,FALSE)</f>
        <v>1</v>
      </c>
      <c r="F974" s="3" t="str">
        <f t="shared" si="323"/>
        <v>Full EPC - Contrato Sobressalentes</v>
      </c>
      <c r="G974" s="2" t="str">
        <f>VLOOKUP($A974,Controle!$B$4:$G$68,6,FALSE)</f>
        <v>Apolo</v>
      </c>
      <c r="H974" s="6">
        <v>0</v>
      </c>
      <c r="I974" s="6">
        <v>0</v>
      </c>
      <c r="J974" s="6">
        <v>0</v>
      </c>
      <c r="K974" s="6">
        <v>0</v>
      </c>
      <c r="L974" s="6">
        <v>0</v>
      </c>
      <c r="M974" s="6">
        <v>0</v>
      </c>
      <c r="N974" s="6">
        <v>0</v>
      </c>
      <c r="O974" s="4">
        <f t="shared" si="324"/>
        <v>0</v>
      </c>
      <c r="P974" s="5">
        <f>SUMIFS('Desenvolvimento diário'!$H:$H,'Desenvolvimento diário'!$Q:$Q,$B974,'Desenvolvimento diário'!$P:$P,$F974,'Desenvolvimento diário'!$R:$R,"Sim")</f>
        <v>0</v>
      </c>
      <c r="Q974" s="5">
        <f>SUMIFS('Desenvolvimento diário'!$H:$H,'Desenvolvimento diário'!$Q:$Q,$B974,'Desenvolvimento diário'!$P:$P,$F974,'Desenvolvimento diário'!$R:$R,"Não")</f>
        <v>0</v>
      </c>
      <c r="R974" s="4">
        <f t="shared" si="325"/>
        <v>0</v>
      </c>
      <c r="S974" s="4">
        <f t="shared" si="326"/>
        <v>0</v>
      </c>
      <c r="T974" s="12">
        <f t="shared" si="328"/>
        <v>0</v>
      </c>
      <c r="Y974" s="2"/>
      <c r="Z974" s="2"/>
      <c r="AA974" s="2"/>
      <c r="AB974" s="2"/>
      <c r="AC974" s="2"/>
    </row>
    <row r="975" spans="1:29" ht="10.5" hidden="1">
      <c r="A975" s="2">
        <f t="shared" si="327"/>
        <v>28</v>
      </c>
      <c r="B975" s="2" t="str">
        <f>VLOOKUP($A975,Controle!$B$4:$F$68,2,FALSE)</f>
        <v>Pedra do Indaiá 1</v>
      </c>
      <c r="C975" s="2" t="str">
        <f>VLOOKUP($A975,Controle!$B$4:$F$68,3,FALSE)</f>
        <v xml:space="preserve">ESTRELA DO NORTE </v>
      </c>
      <c r="D975" s="2" t="str">
        <f>VLOOKUP($A975,Controle!$B$4:$F$68,4,FALSE)</f>
        <v>EDN</v>
      </c>
      <c r="E975" s="2">
        <f>VLOOKUP($A975,Controle!$B$4:$F$68,5,FALSE)</f>
        <v>1</v>
      </c>
      <c r="F975" s="3" t="str">
        <f t="shared" si="323"/>
        <v>Construção - Serviços de Construção - NOVA MORADA</v>
      </c>
      <c r="G975" s="2" t="str">
        <f>VLOOKUP($A975,Controle!$B$4:$G$68,6,FALSE)</f>
        <v>Apolo</v>
      </c>
      <c r="H975" s="6">
        <v>0</v>
      </c>
      <c r="I975" s="6">
        <v>0</v>
      </c>
      <c r="J975" s="6">
        <v>0</v>
      </c>
      <c r="K975" s="6">
        <v>0</v>
      </c>
      <c r="L975" s="6">
        <v>0</v>
      </c>
      <c r="M975" s="6">
        <v>0</v>
      </c>
      <c r="N975" s="6">
        <v>0</v>
      </c>
      <c r="O975" s="4">
        <f t="shared" si="324"/>
        <v>0</v>
      </c>
      <c r="P975" s="5">
        <f>SUMIFS('Desenvolvimento diário'!$H:$H,'Desenvolvimento diário'!$Q:$Q,$B975,'Desenvolvimento diário'!$P:$P,$F975,'Desenvolvimento diário'!$R:$R,"Sim")</f>
        <v>0</v>
      </c>
      <c r="Q975" s="5">
        <f>SUMIFS('Desenvolvimento diário'!$H:$H,'Desenvolvimento diário'!$Q:$Q,$B975,'Desenvolvimento diário'!$P:$P,$F975,'Desenvolvimento diário'!$R:$R,"Não")</f>
        <v>0</v>
      </c>
      <c r="R975" s="4">
        <f t="shared" si="325"/>
        <v>0</v>
      </c>
      <c r="S975" s="4">
        <f t="shared" si="326"/>
        <v>0</v>
      </c>
      <c r="T975" s="12">
        <f t="shared" si="328"/>
        <v>0</v>
      </c>
      <c r="Y975" s="2"/>
      <c r="Z975" s="2"/>
      <c r="AA975" s="2"/>
      <c r="AB975" s="2"/>
      <c r="AC975" s="2"/>
    </row>
    <row r="976" spans="1:29" ht="10.5" hidden="1">
      <c r="A976" s="2">
        <f t="shared" si="327"/>
        <v>28</v>
      </c>
      <c r="B976" s="2" t="str">
        <f>VLOOKUP($A976,Controle!$B$4:$F$68,2,FALSE)</f>
        <v>Pedra do Indaiá 1</v>
      </c>
      <c r="C976" s="2" t="str">
        <f>VLOOKUP($A976,Controle!$B$4:$F$68,3,FALSE)</f>
        <v xml:space="preserve">ESTRELA DO NORTE </v>
      </c>
      <c r="D976" s="2" t="str">
        <f>VLOOKUP($A976,Controle!$B$4:$F$68,4,FALSE)</f>
        <v>EDN</v>
      </c>
      <c r="E976" s="2">
        <f>VLOOKUP($A976,Controle!$B$4:$F$68,5,FALSE)</f>
        <v>1</v>
      </c>
      <c r="F976" s="3" t="str">
        <f t="shared" si="323"/>
        <v>Equipamentos Curva A -  Contrato Sobressalentes - SETTA</v>
      </c>
      <c r="G976" s="2" t="str">
        <f>VLOOKUP($A976,Controle!$B$4:$G$68,6,FALSE)</f>
        <v>Apolo</v>
      </c>
      <c r="H976" s="6" t="s">
        <v>196</v>
      </c>
      <c r="I976" s="6">
        <f>53434.61-0.005</f>
        <v>53434.605000000003</v>
      </c>
      <c r="J976" s="6">
        <v>0</v>
      </c>
      <c r="K976" s="6">
        <v>0</v>
      </c>
      <c r="L976" s="6">
        <v>0</v>
      </c>
      <c r="M976" s="6">
        <v>0</v>
      </c>
      <c r="N976" s="6">
        <v>0</v>
      </c>
      <c r="O976" s="4">
        <f t="shared" si="324"/>
        <v>53434.605000000003</v>
      </c>
      <c r="P976" s="5">
        <f>SUMIFS('Desenvolvimento diário'!$H:$H,'Desenvolvimento diário'!$Q:$Q,$B976,'Desenvolvimento diário'!$P:$P,$F976,'Desenvolvimento diário'!$R:$R,"Sim")</f>
        <v>0</v>
      </c>
      <c r="Q976" s="5">
        <f>SUMIFS('Desenvolvimento diário'!$H:$H,'Desenvolvimento diário'!$Q:$Q,$B976,'Desenvolvimento diário'!$P:$P,$F976,'Desenvolvimento diário'!$R:$R,"Não")</f>
        <v>53434.605000000003</v>
      </c>
      <c r="R976" s="4">
        <f t="shared" si="325"/>
        <v>53434.605000000003</v>
      </c>
      <c r="S976" s="137">
        <f t="shared" si="326"/>
        <v>0</v>
      </c>
      <c r="T976" s="12">
        <f t="shared" si="328"/>
        <v>1</v>
      </c>
      <c r="Y976" s="2"/>
      <c r="Z976" s="2"/>
      <c r="AA976" s="2"/>
      <c r="AB976" s="2"/>
      <c r="AC976" s="2"/>
    </row>
    <row r="977" spans="1:29" ht="10.5" hidden="1">
      <c r="A977" s="2">
        <f t="shared" si="327"/>
        <v>28</v>
      </c>
      <c r="B977" s="2" t="str">
        <f>VLOOKUP($A977,Controle!$B$4:$F$68,2,FALSE)</f>
        <v>Pedra do Indaiá 1</v>
      </c>
      <c r="C977" s="2" t="str">
        <f>VLOOKUP($A977,Controle!$B$4:$F$68,3,FALSE)</f>
        <v xml:space="preserve">ESTRELA DO NORTE </v>
      </c>
      <c r="D977" s="2" t="str">
        <f>VLOOKUP($A977,Controle!$B$4:$F$68,4,FALSE)</f>
        <v>EDN</v>
      </c>
      <c r="E977" s="2">
        <f>VLOOKUP($A977,Controle!$B$4:$F$68,5,FALSE)</f>
        <v>1</v>
      </c>
      <c r="F977" s="3" t="str">
        <f t="shared" si="323"/>
        <v>Equipamentos Curva A -  Contrato Sobressalentes - Arctech</v>
      </c>
      <c r="G977" s="2" t="str">
        <f>VLOOKUP($A977,Controle!$B$4:$G$68,6,FALSE)</f>
        <v>Apolo</v>
      </c>
      <c r="H977" s="6">
        <v>0</v>
      </c>
      <c r="I977" s="6">
        <v>0</v>
      </c>
      <c r="J977" s="6">
        <v>0</v>
      </c>
      <c r="K977" s="6">
        <v>0</v>
      </c>
      <c r="L977" s="6">
        <v>0</v>
      </c>
      <c r="M977" s="6">
        <v>0</v>
      </c>
      <c r="N977" s="6">
        <v>0</v>
      </c>
      <c r="O977" s="4">
        <f t="shared" si="324"/>
        <v>0</v>
      </c>
      <c r="P977" s="5">
        <f>SUMIFS('Desenvolvimento diário'!$H:$H,'Desenvolvimento diário'!$Q:$Q,$B977,'Desenvolvimento diário'!$P:$P,$F977,'Desenvolvimento diário'!$R:$R,"Sim")</f>
        <v>0</v>
      </c>
      <c r="Q977" s="5">
        <f>SUMIFS('Desenvolvimento diário'!$H:$H,'Desenvolvimento diário'!$Q:$Q,$B977,'Desenvolvimento diário'!$P:$P,$F977,'Desenvolvimento diário'!$R:$R,"Não")</f>
        <v>0</v>
      </c>
      <c r="R977" s="4">
        <f t="shared" si="325"/>
        <v>0</v>
      </c>
      <c r="S977" s="4">
        <f t="shared" si="326"/>
        <v>0</v>
      </c>
      <c r="T977" s="12">
        <f t="shared" si="328"/>
        <v>0</v>
      </c>
      <c r="Y977" s="2"/>
      <c r="Z977" s="2"/>
      <c r="AA977" s="2"/>
      <c r="AB977" s="2"/>
      <c r="AC977" s="2"/>
    </row>
    <row r="978" spans="1:29" hidden="1">
      <c r="A978" s="2">
        <f t="shared" si="327"/>
        <v>28</v>
      </c>
      <c r="B978" s="2" t="str">
        <f>VLOOKUP($A978,Controle!$B$4:$F$68,2,FALSE)</f>
        <v>Pedra do Indaiá 1</v>
      </c>
      <c r="C978" s="2" t="str">
        <f>VLOOKUP($A978,Controle!$B$4:$F$68,3,FALSE)</f>
        <v xml:space="preserve">ESTRELA DO NORTE </v>
      </c>
      <c r="D978" s="2" t="str">
        <f>VLOOKUP($A978,Controle!$B$4:$F$68,4,FALSE)</f>
        <v>EDN</v>
      </c>
      <c r="E978" s="2">
        <f>VLOOKUP($A978,Controle!$B$4:$F$68,5,FALSE)</f>
        <v>1</v>
      </c>
      <c r="F978" s="3" t="str">
        <f t="shared" si="323"/>
        <v>Equipamentos Curva A -  Contrato Sobressalentes - Romagnole</v>
      </c>
      <c r="G978" s="2" t="str">
        <f>VLOOKUP($A978,Controle!$B$4:$G$68,6,FALSE)</f>
        <v>Apolo</v>
      </c>
      <c r="H978" s="7">
        <v>0</v>
      </c>
      <c r="I978" s="7">
        <v>0</v>
      </c>
      <c r="J978" s="7">
        <v>0</v>
      </c>
      <c r="K978" s="7">
        <v>0</v>
      </c>
      <c r="L978" s="7">
        <v>0</v>
      </c>
      <c r="M978" s="7">
        <v>0</v>
      </c>
      <c r="N978" s="7">
        <v>0</v>
      </c>
      <c r="O978" s="4">
        <f t="shared" si="324"/>
        <v>0</v>
      </c>
      <c r="P978" s="17">
        <f>SUMIFS('Desenvolvimento diário'!$H:$H,'Desenvolvimento diário'!$Q:$Q,$B978,'Desenvolvimento diário'!$P:$P,$F978,'Desenvolvimento diário'!$R:$R,"Sim")</f>
        <v>0</v>
      </c>
      <c r="Q978" s="17">
        <f>SUMIFS('Desenvolvimento diário'!$H:$H,'Desenvolvimento diário'!$Q:$Q,$B978,'Desenvolvimento diário'!$P:$P,$F978,'Desenvolvimento diário'!$R:$R,"Não")</f>
        <v>0</v>
      </c>
      <c r="R978" s="4">
        <f t="shared" si="325"/>
        <v>0</v>
      </c>
      <c r="S978" s="4">
        <f t="shared" si="326"/>
        <v>0</v>
      </c>
      <c r="T978" s="12">
        <f t="shared" si="328"/>
        <v>0</v>
      </c>
      <c r="Y978" s="2"/>
      <c r="Z978" s="2"/>
      <c r="AA978" s="2"/>
      <c r="AB978" s="2"/>
      <c r="AC978" s="2"/>
    </row>
    <row r="979" spans="1:29" hidden="1">
      <c r="A979" s="2">
        <f t="shared" si="327"/>
        <v>28</v>
      </c>
      <c r="B979" s="2" t="str">
        <f>VLOOKUP($A979,Controle!$B$4:$F$68,2,FALSE)</f>
        <v>Pedra do Indaiá 1</v>
      </c>
      <c r="C979" s="2" t="str">
        <f>VLOOKUP($A979,Controle!$B$4:$F$68,3,FALSE)</f>
        <v xml:space="preserve">ESTRELA DO NORTE </v>
      </c>
      <c r="D979" s="2" t="str">
        <f>VLOOKUP($A979,Controle!$B$4:$F$68,4,FALSE)</f>
        <v>EDN</v>
      </c>
      <c r="E979" s="2">
        <f>VLOOKUP($A979,Controle!$B$4:$F$68,5,FALSE)</f>
        <v>1</v>
      </c>
      <c r="F979" s="3" t="str">
        <f t="shared" si="323"/>
        <v>GOS FLORESTAL - (PRAD - Recuperação Area Ambiental)</v>
      </c>
      <c r="G979" s="2" t="str">
        <f>VLOOKUP($A979,Controle!$B$4:$G$68,6,FALSE)</f>
        <v>Apolo</v>
      </c>
      <c r="H979" s="506" t="s">
        <v>170</v>
      </c>
      <c r="I979" s="6">
        <v>0</v>
      </c>
      <c r="J979" s="506"/>
      <c r="K979" s="506">
        <v>0</v>
      </c>
      <c r="L979" s="506">
        <v>0</v>
      </c>
      <c r="M979" s="506">
        <v>0</v>
      </c>
      <c r="N979" s="506">
        <v>0</v>
      </c>
      <c r="O979" s="39">
        <f t="shared" si="324"/>
        <v>0</v>
      </c>
      <c r="P979" s="17">
        <f>SUMIFS('Desenvolvimento diário'!$H:$H,'Desenvolvimento diário'!$Q:$Q,$B979,'Desenvolvimento diário'!$P:$P,$F979,'Desenvolvimento diário'!$R:$R,"Sim")</f>
        <v>0</v>
      </c>
      <c r="Q979" s="17">
        <f>SUMIFS('Desenvolvimento diário'!$H:$H,'Desenvolvimento diário'!$Q:$Q,$B979,'Desenvolvimento diário'!$P:$P,$F979,'Desenvolvimento diário'!$R:$R,"Não")</f>
        <v>0</v>
      </c>
      <c r="R979" s="4">
        <f t="shared" si="325"/>
        <v>0</v>
      </c>
      <c r="S979" s="4">
        <f t="shared" si="326"/>
        <v>0</v>
      </c>
      <c r="T979" s="12">
        <f t="shared" si="328"/>
        <v>0</v>
      </c>
      <c r="Y979" s="2"/>
      <c r="Z979" s="2"/>
      <c r="AA979" s="2"/>
      <c r="AB979" s="2"/>
      <c r="AC979" s="2"/>
    </row>
    <row r="980" spans="1:29" hidden="1">
      <c r="A980" s="2">
        <f t="shared" si="327"/>
        <v>28</v>
      </c>
      <c r="B980" s="2" t="str">
        <f>VLOOKUP($A980,Controle!$B$4:$F$68,2,FALSE)</f>
        <v>Pedra do Indaiá 1</v>
      </c>
      <c r="C980" s="2" t="str">
        <f>VLOOKUP($A980,Controle!$B$4:$F$68,3,FALSE)</f>
        <v xml:space="preserve">ESTRELA DO NORTE </v>
      </c>
      <c r="D980" s="2" t="str">
        <f>VLOOKUP($A980,Controle!$B$4:$F$68,4,FALSE)</f>
        <v>EDN</v>
      </c>
      <c r="E980" s="2">
        <f>VLOOKUP($A980,Controle!$B$4:$F$68,5,FALSE)</f>
        <v>1</v>
      </c>
      <c r="F980" s="3" t="str">
        <f t="shared" si="323"/>
        <v>Cercamento das bacias de contenção ciclo 2</v>
      </c>
      <c r="G980" s="2" t="str">
        <f>VLOOKUP($A980,Controle!$B$4:$G$68,6,FALSE)</f>
        <v>Apolo</v>
      </c>
      <c r="H980" s="506" t="s">
        <v>172</v>
      </c>
      <c r="I980" s="6"/>
      <c r="J980" s="506"/>
      <c r="K980" s="506">
        <v>0</v>
      </c>
      <c r="L980" s="506">
        <v>0</v>
      </c>
      <c r="M980" s="506">
        <v>0</v>
      </c>
      <c r="N980" s="506">
        <v>0</v>
      </c>
      <c r="O980" s="39">
        <f t="shared" si="324"/>
        <v>0</v>
      </c>
      <c r="P980" s="17">
        <f>SUMIFS('Desenvolvimento diário'!$H:$H,'Desenvolvimento diário'!$Q:$Q,$B980,'Desenvolvimento diário'!$P:$P,$F980,'Desenvolvimento diário'!$R:$R,"Sim")</f>
        <v>0</v>
      </c>
      <c r="Q980" s="17">
        <f>SUMIFS('Desenvolvimento diário'!$H:$H,'Desenvolvimento diário'!$Q:$Q,$B980,'Desenvolvimento diário'!$P:$P,$F980,'Desenvolvimento diário'!$R:$R,"Não")</f>
        <v>0</v>
      </c>
      <c r="R980" s="4">
        <f t="shared" si="325"/>
        <v>0</v>
      </c>
      <c r="S980" s="1030">
        <f t="shared" si="326"/>
        <v>0</v>
      </c>
      <c r="T980" s="12">
        <f t="shared" si="328"/>
        <v>0</v>
      </c>
      <c r="U980" s="1029" t="s">
        <v>166</v>
      </c>
      <c r="V980" s="1029" t="s">
        <v>94</v>
      </c>
      <c r="Y980" s="2"/>
      <c r="Z980" s="2"/>
      <c r="AA980" s="2"/>
      <c r="AB980" s="2"/>
      <c r="AC980" s="2"/>
    </row>
    <row r="981" spans="1:29" hidden="1">
      <c r="A981" s="8">
        <f>A978</f>
        <v>28</v>
      </c>
      <c r="B981" s="9" t="str">
        <f t="shared" ref="B981" si="330">B978</f>
        <v>Pedra do Indaiá 1</v>
      </c>
      <c r="C981" s="9" t="str">
        <f t="shared" ref="C981" si="331">C978</f>
        <v xml:space="preserve">ESTRELA DO NORTE </v>
      </c>
      <c r="D981" s="9" t="str">
        <f t="shared" ref="D981" si="332">D978</f>
        <v>EDN</v>
      </c>
      <c r="E981" s="9">
        <f t="shared" ref="E981" si="333">E978</f>
        <v>1</v>
      </c>
      <c r="F981" s="10" t="s">
        <v>158</v>
      </c>
      <c r="G981" s="9" t="str">
        <f>G978</f>
        <v>Apolo</v>
      </c>
      <c r="H981" s="9"/>
      <c r="I981" s="9">
        <f>SUBTOTAL(9,I947:I980)</f>
        <v>0</v>
      </c>
      <c r="J981" s="9">
        <f t="shared" ref="J981:S981" si="334">SUBTOTAL(9,J947:J980)</f>
        <v>0</v>
      </c>
      <c r="K981" s="9">
        <f t="shared" si="334"/>
        <v>0</v>
      </c>
      <c r="L981" s="9">
        <f t="shared" si="334"/>
        <v>0</v>
      </c>
      <c r="M981" s="9">
        <f t="shared" si="334"/>
        <v>0</v>
      </c>
      <c r="N981" s="9">
        <f t="shared" si="334"/>
        <v>0</v>
      </c>
      <c r="O981" s="9">
        <f t="shared" si="334"/>
        <v>0</v>
      </c>
      <c r="P981" s="9">
        <f t="shared" si="334"/>
        <v>0</v>
      </c>
      <c r="Q981" s="9">
        <f t="shared" si="334"/>
        <v>0</v>
      </c>
      <c r="R981" s="9">
        <f t="shared" si="334"/>
        <v>0</v>
      </c>
      <c r="S981" s="9">
        <f t="shared" si="334"/>
        <v>0</v>
      </c>
      <c r="T981" s="13">
        <f t="shared" si="328"/>
        <v>0</v>
      </c>
      <c r="U981" s="11">
        <f>SUBTOTAL(9,U947:U980)</f>
        <v>0</v>
      </c>
      <c r="Y981" s="2"/>
      <c r="Z981" s="2"/>
      <c r="AA981" s="2"/>
      <c r="AB981" s="2"/>
      <c r="AC981" s="2"/>
    </row>
    <row r="982" spans="1:29" ht="10.5" hidden="1">
      <c r="A982" s="2">
        <f>A947+1</f>
        <v>29</v>
      </c>
      <c r="B982" s="2" t="str">
        <f>VLOOKUP($A982,Controle!$B$4:$F$68,2,FALSE)</f>
        <v>Pedra do Indaiá 3</v>
      </c>
      <c r="C982" s="2" t="str">
        <f>VLOOKUP($A982,Controle!$B$4:$F$68,3,FALSE)</f>
        <v xml:space="preserve">ESTRELA DO NORTE </v>
      </c>
      <c r="D982" s="2" t="str">
        <f>VLOOKUP($A982,Controle!$B$4:$F$68,4,FALSE)</f>
        <v>EDN</v>
      </c>
      <c r="E982" s="2">
        <f>VLOOKUP($A982,Controle!$B$4:$F$68,5,FALSE)</f>
        <v>1</v>
      </c>
      <c r="F982" s="3" t="str">
        <f t="shared" ref="F982:F1015" si="335">F947</f>
        <v>Conexão AT - Obras</v>
      </c>
      <c r="G982" s="2" t="str">
        <f>VLOOKUP($A982,Controle!$B$4:$G$68,6,FALSE)</f>
        <v>Apolo</v>
      </c>
      <c r="H982" s="6" t="s">
        <v>194</v>
      </c>
      <c r="I982" s="6">
        <v>0</v>
      </c>
      <c r="J982" s="6">
        <v>0</v>
      </c>
      <c r="K982" s="6">
        <v>0</v>
      </c>
      <c r="L982" s="6">
        <v>0</v>
      </c>
      <c r="M982" s="6">
        <v>0</v>
      </c>
      <c r="N982" s="6">
        <v>0</v>
      </c>
      <c r="O982" s="4">
        <f t="shared" ref="O982:O1015" si="336">SUM(I982:N982)</f>
        <v>0</v>
      </c>
      <c r="P982" s="5">
        <f>SUMIFS('Desenvolvimento diário'!$H:$H,'Desenvolvimento diário'!$Q:$Q,$B982,'Desenvolvimento diário'!$P:$P,$F982,'Desenvolvimento diário'!$R:$R,"Sim")</f>
        <v>0</v>
      </c>
      <c r="Q982" s="5">
        <f>SUMIFS('Desenvolvimento diário'!$H:$H,'Desenvolvimento diário'!$Q:$Q,$B982,'Desenvolvimento diário'!$P:$P,$F982,'Desenvolvimento diário'!$R:$R,"Não")</f>
        <v>0</v>
      </c>
      <c r="R982" s="4">
        <f t="shared" ref="R982:R1015" si="337">SUM(P982:Q982)</f>
        <v>0</v>
      </c>
      <c r="S982" s="4">
        <f t="shared" ref="S982:S1015" si="338">O982-R982</f>
        <v>0</v>
      </c>
      <c r="T982" s="12">
        <f t="shared" si="328"/>
        <v>0</v>
      </c>
      <c r="Y982" s="2"/>
      <c r="Z982" s="2"/>
      <c r="AA982" s="2"/>
      <c r="AB982" s="2"/>
      <c r="AC982" s="2"/>
    </row>
    <row r="983" spans="1:29" ht="10.5" hidden="1">
      <c r="A983" s="2">
        <f t="shared" ref="A983:A1015" si="339">A982</f>
        <v>29</v>
      </c>
      <c r="B983" s="2" t="str">
        <f>VLOOKUP($A983,Controle!$B$4:$F$68,2,FALSE)</f>
        <v>Pedra do Indaiá 3</v>
      </c>
      <c r="C983" s="2" t="str">
        <f>VLOOKUP($A983,Controle!$B$4:$F$68,3,FALSE)</f>
        <v xml:space="preserve">ESTRELA DO NORTE </v>
      </c>
      <c r="D983" s="2" t="str">
        <f>VLOOKUP($A983,Controle!$B$4:$F$68,4,FALSE)</f>
        <v>EDN</v>
      </c>
      <c r="E983" s="2">
        <f>VLOOKUP($A983,Controle!$B$4:$F$68,5,FALSE)</f>
        <v>1</v>
      </c>
      <c r="F983" s="3" t="str">
        <f t="shared" si="335"/>
        <v>Conexão MT - Obras</v>
      </c>
      <c r="G983" s="2" t="str">
        <f>VLOOKUP($A983,Controle!$B$4:$G$68,6,FALSE)</f>
        <v>Apolo</v>
      </c>
      <c r="H983" s="6" t="s">
        <v>194</v>
      </c>
      <c r="I983" s="6">
        <v>0</v>
      </c>
      <c r="J983" s="6">
        <v>0</v>
      </c>
      <c r="K983" s="6">
        <v>0</v>
      </c>
      <c r="L983" s="6">
        <v>0</v>
      </c>
      <c r="M983" s="6">
        <v>0</v>
      </c>
      <c r="N983" s="6">
        <v>0</v>
      </c>
      <c r="O983" s="4">
        <f t="shared" si="336"/>
        <v>0</v>
      </c>
      <c r="P983" s="5">
        <f>SUMIFS('Desenvolvimento diário'!$H:$H,'Desenvolvimento diário'!$Q:$Q,$B983,'Desenvolvimento diário'!$P:$P,$F983,'Desenvolvimento diário'!$R:$R,"Sim")</f>
        <v>0</v>
      </c>
      <c r="Q983" s="5">
        <f>SUMIFS('Desenvolvimento diário'!$H:$H,'Desenvolvimento diário'!$Q:$Q,$B983,'Desenvolvimento diário'!$P:$P,$F983,'Desenvolvimento diário'!$R:$R,"Não")</f>
        <v>0</v>
      </c>
      <c r="R983" s="4">
        <f t="shared" si="337"/>
        <v>0</v>
      </c>
      <c r="S983" s="4">
        <f t="shared" si="338"/>
        <v>0</v>
      </c>
      <c r="T983" s="12">
        <f t="shared" si="328"/>
        <v>0</v>
      </c>
      <c r="Y983" s="2"/>
      <c r="Z983" s="2"/>
      <c r="AA983" s="2"/>
      <c r="AB983" s="2"/>
      <c r="AC983" s="2"/>
    </row>
    <row r="984" spans="1:29" ht="10.5" hidden="1">
      <c r="A984" s="2">
        <f t="shared" si="339"/>
        <v>29</v>
      </c>
      <c r="B984" s="2" t="str">
        <f>VLOOKUP($A984,Controle!$B$4:$F$68,2,FALSE)</f>
        <v>Pedra do Indaiá 3</v>
      </c>
      <c r="C984" s="2" t="str">
        <f>VLOOKUP($A984,Controle!$B$4:$F$68,3,FALSE)</f>
        <v xml:space="preserve">ESTRELA DO NORTE </v>
      </c>
      <c r="D984" s="2" t="str">
        <f>VLOOKUP($A984,Controle!$B$4:$F$68,4,FALSE)</f>
        <v>EDN</v>
      </c>
      <c r="E984" s="2">
        <f>VLOOKUP($A984,Controle!$B$4:$F$68,5,FALSE)</f>
        <v>1</v>
      </c>
      <c r="F984" s="3" t="str">
        <f t="shared" si="335"/>
        <v>Construção - Serviços de Construção</v>
      </c>
      <c r="G984" s="2" t="str">
        <f>VLOOKUP($A984,Controle!$B$4:$G$68,6,FALSE)</f>
        <v>Apolo</v>
      </c>
      <c r="H984" s="6" t="s">
        <v>206</v>
      </c>
      <c r="I984" s="6">
        <v>3340215</v>
      </c>
      <c r="J984" s="31">
        <v>421000</v>
      </c>
      <c r="K984" s="31">
        <v>342665.62</v>
      </c>
      <c r="L984" s="31">
        <v>63833.65</v>
      </c>
      <c r="M984" s="6">
        <v>315415.48</v>
      </c>
      <c r="N984" s="6">
        <v>0</v>
      </c>
      <c r="O984" s="4">
        <f t="shared" si="336"/>
        <v>4483129.75</v>
      </c>
      <c r="P984" s="5">
        <f>SUMIFS('Desenvolvimento diário'!$H:$H,'Desenvolvimento diário'!$Q:$Q,$B984,'Desenvolvimento diário'!$P:$P,$F984,'Desenvolvimento diário'!$R:$R,"Sim")</f>
        <v>416888.23000000004</v>
      </c>
      <c r="Q984" s="5">
        <f>SUMIFS('Desenvolvimento diário'!$H:$H,'Desenvolvimento diário'!$Q:$Q,$B984,'Desenvolvimento diário'!$P:$P,$F984,'Desenvolvimento diário'!$R:$R,"Não")</f>
        <v>4026137.2599999993</v>
      </c>
      <c r="R984" s="4">
        <f t="shared" si="337"/>
        <v>4443025.4899999993</v>
      </c>
      <c r="S984" s="33">
        <f t="shared" si="338"/>
        <v>40104.260000000708</v>
      </c>
      <c r="T984" s="12">
        <f t="shared" si="328"/>
        <v>0.9910544056861168</v>
      </c>
      <c r="U984" s="510" t="s">
        <v>162</v>
      </c>
      <c r="V984" s="510" t="s">
        <v>163</v>
      </c>
      <c r="Y984" s="2"/>
      <c r="Z984" s="2"/>
      <c r="AA984" s="2"/>
      <c r="AB984" s="2"/>
      <c r="AC984" s="2"/>
    </row>
    <row r="985" spans="1:29" ht="10.5" hidden="1">
      <c r="A985" s="2">
        <f t="shared" si="339"/>
        <v>29</v>
      </c>
      <c r="B985" s="2" t="str">
        <f>VLOOKUP($A985,Controle!$B$4:$F$68,2,FALSE)</f>
        <v>Pedra do Indaiá 3</v>
      </c>
      <c r="C985" s="2" t="str">
        <f>VLOOKUP($A985,Controle!$B$4:$F$68,3,FALSE)</f>
        <v xml:space="preserve">ESTRELA DO NORTE </v>
      </c>
      <c r="D985" s="2" t="str">
        <f>VLOOKUP($A985,Controle!$B$4:$F$68,4,FALSE)</f>
        <v>EDN</v>
      </c>
      <c r="E985" s="2">
        <f>VLOOKUP($A985,Controle!$B$4:$F$68,5,FALSE)</f>
        <v>1</v>
      </c>
      <c r="F985" s="3" t="str">
        <f t="shared" si="335"/>
        <v>Construção - Serviços de Construção - Substituição</v>
      </c>
      <c r="G985" s="2" t="str">
        <f>VLOOKUP($A985,Controle!$B$4:$G$68,6,FALSE)</f>
        <v>Apolo</v>
      </c>
      <c r="H985" s="6" t="s">
        <v>202</v>
      </c>
      <c r="I985" s="6">
        <v>2740702.22</v>
      </c>
      <c r="J985" s="6">
        <v>0</v>
      </c>
      <c r="K985" s="6">
        <v>0</v>
      </c>
      <c r="L985" s="6">
        <v>0</v>
      </c>
      <c r="M985" s="6">
        <v>0</v>
      </c>
      <c r="N985" s="6">
        <v>0</v>
      </c>
      <c r="O985" s="4">
        <f t="shared" si="336"/>
        <v>2740702.22</v>
      </c>
      <c r="P985" s="5">
        <f>SUMIFS('Desenvolvimento diário'!$H:$H,'Desenvolvimento diário'!$Q:$Q,$B985,'Desenvolvimento diário'!$P:$P,$F985,'Desenvolvimento diário'!$R:$R,"Sim")</f>
        <v>778336.4</v>
      </c>
      <c r="Q985" s="5">
        <f>SUMIFS('Desenvolvimento diário'!$H:$H,'Desenvolvimento diário'!$Q:$Q,$B985,'Desenvolvimento diário'!$P:$P,$F985,'Desenvolvimento diário'!$R:$R,"Não")</f>
        <v>685175.55</v>
      </c>
      <c r="R985" s="4">
        <f t="shared" si="337"/>
        <v>1463511.9500000002</v>
      </c>
      <c r="S985" s="33">
        <f t="shared" si="338"/>
        <v>1277190.27</v>
      </c>
      <c r="T985" s="12">
        <f t="shared" si="328"/>
        <v>0.53399159504457216</v>
      </c>
      <c r="U985" s="510" t="s">
        <v>162</v>
      </c>
      <c r="V985" s="510" t="s">
        <v>163</v>
      </c>
      <c r="Y985" s="2"/>
      <c r="Z985" s="2"/>
      <c r="AA985" s="2"/>
      <c r="AB985" s="2"/>
      <c r="AC985" s="2"/>
    </row>
    <row r="986" spans="1:29" ht="10.5" hidden="1">
      <c r="A986" s="2">
        <f t="shared" si="339"/>
        <v>29</v>
      </c>
      <c r="B986" s="2" t="str">
        <f>VLOOKUP($A986,Controle!$B$4:$F$68,2,FALSE)</f>
        <v>Pedra do Indaiá 3</v>
      </c>
      <c r="C986" s="2" t="str">
        <f>VLOOKUP($A986,Controle!$B$4:$F$68,3,FALSE)</f>
        <v xml:space="preserve">ESTRELA DO NORTE </v>
      </c>
      <c r="D986" s="2" t="str">
        <f>VLOOKUP($A986,Controle!$B$4:$F$68,4,FALSE)</f>
        <v>EDN</v>
      </c>
      <c r="E986" s="2">
        <f>VLOOKUP($A986,Controle!$B$4:$F$68,5,FALSE)</f>
        <v>1</v>
      </c>
      <c r="F986" s="3" t="str">
        <f t="shared" si="335"/>
        <v>Construção - RDA Interno</v>
      </c>
      <c r="G986" s="2" t="str">
        <f>VLOOKUP($A986,Controle!$B$4:$G$68,6,FALSE)</f>
        <v>Apolo</v>
      </c>
      <c r="H986" s="6" t="s">
        <v>168</v>
      </c>
      <c r="I986" s="6">
        <v>330000</v>
      </c>
      <c r="J986" s="6">
        <v>0</v>
      </c>
      <c r="K986" s="6">
        <v>0</v>
      </c>
      <c r="L986" s="6">
        <v>0</v>
      </c>
      <c r="M986" s="6">
        <v>0</v>
      </c>
      <c r="N986" s="6">
        <v>0</v>
      </c>
      <c r="O986" s="4">
        <f t="shared" si="336"/>
        <v>330000</v>
      </c>
      <c r="P986" s="5">
        <f>SUMIFS('Desenvolvimento diário'!$H:$H,'Desenvolvimento diário'!$Q:$Q,$B986,'Desenvolvimento diário'!$P:$P,$F986,'Desenvolvimento diário'!$R:$R,"Sim")</f>
        <v>0</v>
      </c>
      <c r="Q986" s="5">
        <f>SUMIFS('Desenvolvimento diário'!$H:$H,'Desenvolvimento diário'!$Q:$Q,$B986,'Desenvolvimento diário'!$P:$P,$F986,'Desenvolvimento diário'!$R:$R,"Não")</f>
        <v>330000</v>
      </c>
      <c r="R986" s="4">
        <f t="shared" si="337"/>
        <v>330000</v>
      </c>
      <c r="S986" s="4">
        <f t="shared" si="338"/>
        <v>0</v>
      </c>
      <c r="T986" s="12">
        <f t="shared" si="328"/>
        <v>1</v>
      </c>
      <c r="Y986" s="2"/>
      <c r="Z986" s="2"/>
      <c r="AA986" s="2"/>
      <c r="AB986" s="2"/>
      <c r="AC986" s="2"/>
    </row>
    <row r="987" spans="1:29" ht="10.5" hidden="1">
      <c r="A987" s="2">
        <f t="shared" si="339"/>
        <v>29</v>
      </c>
      <c r="B987" s="2" t="str">
        <f>VLOOKUP($A987,Controle!$B$4:$F$68,2,FALSE)</f>
        <v>Pedra do Indaiá 3</v>
      </c>
      <c r="C987" s="2" t="str">
        <f>VLOOKUP($A987,Controle!$B$4:$F$68,3,FALSE)</f>
        <v xml:space="preserve">ESTRELA DO NORTE </v>
      </c>
      <c r="D987" s="2" t="str">
        <f>VLOOKUP($A987,Controle!$B$4:$F$68,4,FALSE)</f>
        <v>EDN</v>
      </c>
      <c r="E987" s="2">
        <f>VLOOKUP($A987,Controle!$B$4:$F$68,5,FALSE)</f>
        <v>1</v>
      </c>
      <c r="F987" s="3" t="str">
        <f t="shared" si="335"/>
        <v>Full EPC - Contrato</v>
      </c>
      <c r="G987" s="2" t="str">
        <f>VLOOKUP($A987,Controle!$B$4:$G$68,6,FALSE)</f>
        <v>Apolo</v>
      </c>
      <c r="H987" s="6">
        <v>0</v>
      </c>
      <c r="I987" s="6">
        <v>0</v>
      </c>
      <c r="J987" s="6">
        <v>0</v>
      </c>
      <c r="K987" s="6">
        <v>0</v>
      </c>
      <c r="L987" s="6">
        <v>0</v>
      </c>
      <c r="M987" s="6">
        <v>0</v>
      </c>
      <c r="N987" s="6">
        <v>0</v>
      </c>
      <c r="O987" s="4">
        <f t="shared" si="336"/>
        <v>0</v>
      </c>
      <c r="P987" s="5">
        <f>SUMIFS('Desenvolvimento diário'!$H:$H,'Desenvolvimento diário'!$Q:$Q,$B987,'Desenvolvimento diário'!$P:$P,$F987,'Desenvolvimento diário'!$R:$R,"Sim")</f>
        <v>0</v>
      </c>
      <c r="Q987" s="5">
        <f>SUMIFS('Desenvolvimento diário'!$H:$H,'Desenvolvimento diário'!$Q:$Q,$B987,'Desenvolvimento diário'!$P:$P,$F987,'Desenvolvimento diário'!$R:$R,"Não")</f>
        <v>0</v>
      </c>
      <c r="R987" s="4">
        <f t="shared" si="337"/>
        <v>0</v>
      </c>
      <c r="S987" s="4">
        <f t="shared" si="338"/>
        <v>0</v>
      </c>
      <c r="T987" s="12">
        <f t="shared" si="328"/>
        <v>0</v>
      </c>
      <c r="Y987" s="2"/>
      <c r="Z987" s="2"/>
      <c r="AA987" s="2"/>
      <c r="AB987" s="2"/>
      <c r="AC987" s="2"/>
    </row>
    <row r="988" spans="1:29" ht="10.5" hidden="1">
      <c r="A988" s="2">
        <f t="shared" si="339"/>
        <v>29</v>
      </c>
      <c r="B988" s="2" t="str">
        <f>VLOOKUP($A988,Controle!$B$4:$F$68,2,FALSE)</f>
        <v>Pedra do Indaiá 3</v>
      </c>
      <c r="C988" s="2" t="str">
        <f>VLOOKUP($A988,Controle!$B$4:$F$68,3,FALSE)</f>
        <v xml:space="preserve">ESTRELA DO NORTE </v>
      </c>
      <c r="D988" s="2" t="str">
        <f>VLOOKUP($A988,Controle!$B$4:$F$68,4,FALSE)</f>
        <v>EDN</v>
      </c>
      <c r="E988" s="2">
        <f>VLOOKUP($A988,Controle!$B$4:$F$68,5,FALSE)</f>
        <v>1</v>
      </c>
      <c r="F988" s="3" t="str">
        <f t="shared" si="335"/>
        <v>Equipamentos Curva A - Outros (Transformadores)</v>
      </c>
      <c r="G988" s="2" t="str">
        <f>VLOOKUP($A988,Controle!$B$4:$G$68,6,FALSE)</f>
        <v>Apolo</v>
      </c>
      <c r="H988" s="6" t="s">
        <v>144</v>
      </c>
      <c r="I988" s="6">
        <v>303199.92</v>
      </c>
      <c r="J988" s="6">
        <v>0</v>
      </c>
      <c r="K988" s="6">
        <v>0</v>
      </c>
      <c r="L988" s="6">
        <v>0</v>
      </c>
      <c r="M988" s="6">
        <v>0</v>
      </c>
      <c r="N988" s="6">
        <v>0</v>
      </c>
      <c r="O988" s="4">
        <f t="shared" si="336"/>
        <v>303199.92</v>
      </c>
      <c r="P988" s="5">
        <f>SUMIFS('Desenvolvimento diário'!$H:$H,'Desenvolvimento diário'!$Q:$Q,$B988,'Desenvolvimento diário'!$P:$P,$F988,'Desenvolvimento diário'!$R:$R,"Sim")</f>
        <v>0</v>
      </c>
      <c r="Q988" s="5">
        <f>SUMIFS('Desenvolvimento diário'!$H:$H,'Desenvolvimento diário'!$Q:$Q,$B988,'Desenvolvimento diário'!$P:$P,$F988,'Desenvolvimento diário'!$R:$R,"Não")</f>
        <v>303199.92</v>
      </c>
      <c r="R988" s="4">
        <f t="shared" si="337"/>
        <v>303199.92</v>
      </c>
      <c r="S988" s="4">
        <f t="shared" si="338"/>
        <v>0</v>
      </c>
      <c r="T988" s="12">
        <f t="shared" si="328"/>
        <v>1</v>
      </c>
      <c r="Y988" s="2"/>
      <c r="Z988" s="2"/>
      <c r="AA988" s="2"/>
      <c r="AB988" s="2"/>
      <c r="AC988" s="2"/>
    </row>
    <row r="989" spans="1:29" ht="10.5" hidden="1">
      <c r="A989" s="2">
        <f t="shared" si="339"/>
        <v>29</v>
      </c>
      <c r="B989" s="2" t="str">
        <f>VLOOKUP($A989,Controle!$B$4:$F$68,2,FALSE)</f>
        <v>Pedra do Indaiá 3</v>
      </c>
      <c r="C989" s="2" t="str">
        <f>VLOOKUP($A989,Controle!$B$4:$F$68,3,FALSE)</f>
        <v xml:space="preserve">ESTRELA DO NORTE </v>
      </c>
      <c r="D989" s="2" t="str">
        <f>VLOOKUP($A989,Controle!$B$4:$F$68,4,FALSE)</f>
        <v>EDN</v>
      </c>
      <c r="E989" s="2">
        <f>VLOOKUP($A989,Controle!$B$4:$F$68,5,FALSE)</f>
        <v>1</v>
      </c>
      <c r="F989" s="3" t="str">
        <f t="shared" si="335"/>
        <v>Equipamentos Curva A - Outros (Cabine + Skid)</v>
      </c>
      <c r="G989" s="2" t="str">
        <f>VLOOKUP($A989,Controle!$B$4:$G$68,6,FALSE)</f>
        <v>Apolo</v>
      </c>
      <c r="H989" s="6" t="s">
        <v>196</v>
      </c>
      <c r="I989" s="6">
        <v>646894.37234042562</v>
      </c>
      <c r="J989" s="6">
        <v>13545.53</v>
      </c>
      <c r="K989" s="6">
        <v>0</v>
      </c>
      <c r="L989" s="6">
        <v>0</v>
      </c>
      <c r="M989" s="6">
        <v>0</v>
      </c>
      <c r="N989" s="6">
        <v>0</v>
      </c>
      <c r="O989" s="4">
        <f t="shared" si="336"/>
        <v>660439.90234042564</v>
      </c>
      <c r="P989" s="5">
        <f>SUMIFS('Desenvolvimento diário'!$H:$H,'Desenvolvimento diário'!$Q:$Q,$B989,'Desenvolvimento diário'!$P:$P,$F989,'Desenvolvimento diário'!$R:$R,"Sim")</f>
        <v>0</v>
      </c>
      <c r="Q989" s="5">
        <f>SUMIFS('Desenvolvimento diário'!$H:$H,'Desenvolvimento diário'!$Q:$Q,$B989,'Desenvolvimento diário'!$P:$P,$F989,'Desenvolvimento diário'!$R:$R,"Não")</f>
        <v>660439.90234042564</v>
      </c>
      <c r="R989" s="4">
        <f t="shared" si="337"/>
        <v>660439.90234042564</v>
      </c>
      <c r="S989" s="4">
        <f t="shared" si="338"/>
        <v>0</v>
      </c>
      <c r="T989" s="12">
        <f t="shared" si="328"/>
        <v>1</v>
      </c>
      <c r="Y989" s="2"/>
      <c r="Z989" s="2"/>
      <c r="AA989" s="2"/>
      <c r="AB989" s="2"/>
      <c r="AC989" s="2"/>
    </row>
    <row r="990" spans="1:29" ht="10.5" hidden="1">
      <c r="A990" s="2">
        <f t="shared" si="339"/>
        <v>29</v>
      </c>
      <c r="B990" s="2" t="str">
        <f>VLOOKUP($A990,Controle!$B$4:$F$68,2,FALSE)</f>
        <v>Pedra do Indaiá 3</v>
      </c>
      <c r="C990" s="2" t="str">
        <f>VLOOKUP($A990,Controle!$B$4:$F$68,3,FALSE)</f>
        <v xml:space="preserve">ESTRELA DO NORTE </v>
      </c>
      <c r="D990" s="2" t="str">
        <f>VLOOKUP($A990,Controle!$B$4:$F$68,4,FALSE)</f>
        <v>EDN</v>
      </c>
      <c r="E990" s="2">
        <f>VLOOKUP($A990,Controle!$B$4:$F$68,5,FALSE)</f>
        <v>1</v>
      </c>
      <c r="F990" s="3" t="str">
        <f t="shared" si="335"/>
        <v>Equipamentos Curva A - Outros (Cabine + Skid + Transformador)</v>
      </c>
      <c r="G990" s="2" t="str">
        <f>VLOOKUP($A990,Controle!$B$4:$G$68,6,FALSE)</f>
        <v>Apolo</v>
      </c>
      <c r="H990" s="6">
        <v>0</v>
      </c>
      <c r="I990" s="6">
        <v>0</v>
      </c>
      <c r="J990" s="6">
        <v>0</v>
      </c>
      <c r="K990" s="6">
        <v>0</v>
      </c>
      <c r="L990" s="6">
        <v>0</v>
      </c>
      <c r="M990" s="6">
        <v>0</v>
      </c>
      <c r="N990" s="6">
        <v>0</v>
      </c>
      <c r="O990" s="4">
        <f t="shared" si="336"/>
        <v>0</v>
      </c>
      <c r="P990" s="5">
        <f>SUMIFS('Desenvolvimento diário'!$H:$H,'Desenvolvimento diário'!$Q:$Q,$B990,'Desenvolvimento diário'!$P:$P,$F990,'Desenvolvimento diário'!$R:$R,"Sim")</f>
        <v>0</v>
      </c>
      <c r="Q990" s="5">
        <f>SUMIFS('Desenvolvimento diário'!$H:$H,'Desenvolvimento diário'!$Q:$Q,$B990,'Desenvolvimento diário'!$P:$P,$F990,'Desenvolvimento diário'!$R:$R,"Não")</f>
        <v>0</v>
      </c>
      <c r="R990" s="4">
        <f t="shared" si="337"/>
        <v>0</v>
      </c>
      <c r="S990" s="4">
        <f t="shared" si="338"/>
        <v>0</v>
      </c>
      <c r="T990" s="12">
        <f t="shared" si="328"/>
        <v>0</v>
      </c>
      <c r="Y990" s="2"/>
      <c r="Z990" s="2"/>
      <c r="AA990" s="2"/>
      <c r="AB990" s="2"/>
      <c r="AC990" s="2"/>
    </row>
    <row r="991" spans="1:29" ht="10.5" hidden="1">
      <c r="A991" s="2">
        <f t="shared" si="339"/>
        <v>29</v>
      </c>
      <c r="B991" s="2" t="str">
        <f>VLOOKUP($A991,Controle!$B$4:$F$68,2,FALSE)</f>
        <v>Pedra do Indaiá 3</v>
      </c>
      <c r="C991" s="2" t="str">
        <f>VLOOKUP($A991,Controle!$B$4:$F$68,3,FALSE)</f>
        <v xml:space="preserve">ESTRELA DO NORTE </v>
      </c>
      <c r="D991" s="2" t="str">
        <f>VLOOKUP($A991,Controle!$B$4:$F$68,4,FALSE)</f>
        <v>EDN</v>
      </c>
      <c r="E991" s="2">
        <f>VLOOKUP($A991,Controle!$B$4:$F$68,5,FALSE)</f>
        <v>1</v>
      </c>
      <c r="F991" s="3" t="str">
        <f t="shared" si="335"/>
        <v>Desenvolvimento de projeto - Projetos - (Eng° Proprietario)</v>
      </c>
      <c r="G991" s="2" t="str">
        <f>VLOOKUP($A991,Controle!$B$4:$G$68,6,FALSE)</f>
        <v>Apolo</v>
      </c>
      <c r="H991" s="6" t="s">
        <v>145</v>
      </c>
      <c r="I991" s="6">
        <v>0</v>
      </c>
      <c r="J991" s="6">
        <v>0</v>
      </c>
      <c r="K991" s="6">
        <v>0</v>
      </c>
      <c r="L991" s="6">
        <v>0</v>
      </c>
      <c r="M991" s="6">
        <v>0</v>
      </c>
      <c r="N991" s="6">
        <v>0</v>
      </c>
      <c r="O991" s="4">
        <f t="shared" si="336"/>
        <v>0</v>
      </c>
      <c r="P991" s="5">
        <f>SUMIFS('Desenvolvimento diário'!$H:$H,'Desenvolvimento diário'!$Q:$Q,$B991,'Desenvolvimento diário'!$P:$P,$F991,'Desenvolvimento diário'!$R:$R,"Sim")</f>
        <v>0</v>
      </c>
      <c r="Q991" s="5">
        <f>SUMIFS('Desenvolvimento diário'!$H:$H,'Desenvolvimento diário'!$Q:$Q,$B991,'Desenvolvimento diário'!$P:$P,$F991,'Desenvolvimento diário'!$R:$R,"Não")</f>
        <v>0</v>
      </c>
      <c r="R991" s="4">
        <f t="shared" si="337"/>
        <v>0</v>
      </c>
      <c r="S991" s="4">
        <f t="shared" si="338"/>
        <v>0</v>
      </c>
      <c r="T991" s="12">
        <f t="shared" si="328"/>
        <v>0</v>
      </c>
      <c r="Y991" s="2"/>
      <c r="Z991" s="2"/>
      <c r="AA991" s="2"/>
      <c r="AB991" s="2"/>
      <c r="AC991" s="2"/>
    </row>
    <row r="992" spans="1:29" ht="10.5" hidden="1">
      <c r="A992" s="2">
        <f t="shared" si="339"/>
        <v>29</v>
      </c>
      <c r="B992" s="2" t="str">
        <f>VLOOKUP($A992,Controle!$B$4:$F$68,2,FALSE)</f>
        <v>Pedra do Indaiá 3</v>
      </c>
      <c r="C992" s="2" t="str">
        <f>VLOOKUP($A992,Controle!$B$4:$F$68,3,FALSE)</f>
        <v xml:space="preserve">ESTRELA DO NORTE </v>
      </c>
      <c r="D992" s="2" t="str">
        <f>VLOOKUP($A992,Controle!$B$4:$F$68,4,FALSE)</f>
        <v>EDN</v>
      </c>
      <c r="E992" s="2">
        <f>VLOOKUP($A992,Controle!$B$4:$F$68,5,FALSE)</f>
        <v>1</v>
      </c>
      <c r="F992" s="3" t="str">
        <f t="shared" si="335"/>
        <v>Desenvolvimento de projeto - Projetos - Executivos</v>
      </c>
      <c r="G992" s="2" t="str">
        <f>VLOOKUP($A992,Controle!$B$4:$G$68,6,FALSE)</f>
        <v>Apolo</v>
      </c>
      <c r="H992" s="6" t="s">
        <v>146</v>
      </c>
      <c r="I992" s="6">
        <v>36466</v>
      </c>
      <c r="J992" s="6">
        <v>0</v>
      </c>
      <c r="K992" s="6">
        <v>0</v>
      </c>
      <c r="L992" s="6">
        <v>0</v>
      </c>
      <c r="M992" s="6">
        <v>0</v>
      </c>
      <c r="N992" s="6">
        <v>0</v>
      </c>
      <c r="O992" s="4">
        <f>SUM(I992:N992)+0.7</f>
        <v>36466.699999999997</v>
      </c>
      <c r="P992" s="5">
        <f>SUMIFS('Desenvolvimento diário'!$H:$H,'Desenvolvimento diário'!$Q:$Q,$B992,'Desenvolvimento diário'!$P:$P,$F992,'Desenvolvimento diário'!$R:$R,"Sim")</f>
        <v>0</v>
      </c>
      <c r="Q992" s="5">
        <f>SUMIFS('Desenvolvimento diário'!$H:$H,'Desenvolvimento diário'!$Q:$Q,$B992,'Desenvolvimento diário'!$P:$P,$F992,'Desenvolvimento diário'!$R:$R,"Não")</f>
        <v>36466.699999999997</v>
      </c>
      <c r="R992" s="4">
        <f t="shared" si="337"/>
        <v>36466.699999999997</v>
      </c>
      <c r="S992" s="93">
        <f t="shared" si="338"/>
        <v>0</v>
      </c>
      <c r="T992" s="12">
        <f t="shared" si="328"/>
        <v>1</v>
      </c>
      <c r="Y992" s="2"/>
      <c r="Z992" s="2"/>
      <c r="AA992" s="2"/>
      <c r="AB992" s="2"/>
      <c r="AC992" s="2"/>
    </row>
    <row r="993" spans="1:29" ht="10.5" hidden="1">
      <c r="A993" s="2">
        <f t="shared" si="339"/>
        <v>29</v>
      </c>
      <c r="B993" s="2" t="str">
        <f>VLOOKUP($A993,Controle!$B$4:$F$68,2,FALSE)</f>
        <v>Pedra do Indaiá 3</v>
      </c>
      <c r="C993" s="2" t="str">
        <f>VLOOKUP($A993,Controle!$B$4:$F$68,3,FALSE)</f>
        <v xml:space="preserve">ESTRELA DO NORTE </v>
      </c>
      <c r="D993" s="2" t="str">
        <f>VLOOKUP($A993,Controle!$B$4:$F$68,4,FALSE)</f>
        <v>EDN</v>
      </c>
      <c r="E993" s="2">
        <f>VLOOKUP($A993,Controle!$B$4:$F$68,5,FALSE)</f>
        <v>1</v>
      </c>
      <c r="F993" s="3" t="str">
        <f t="shared" si="335"/>
        <v>Desenvolvimento de projeto - Projetos Básica</v>
      </c>
      <c r="G993" s="2" t="str">
        <f>VLOOKUP($A993,Controle!$B$4:$G$68,6,FALSE)</f>
        <v>Apolo</v>
      </c>
      <c r="H993" s="6">
        <v>0</v>
      </c>
      <c r="I993" s="6">
        <v>0</v>
      </c>
      <c r="J993" s="6">
        <v>0</v>
      </c>
      <c r="K993" s="6">
        <v>0</v>
      </c>
      <c r="L993" s="6">
        <v>0</v>
      </c>
      <c r="M993" s="6">
        <v>0</v>
      </c>
      <c r="N993" s="6">
        <v>0</v>
      </c>
      <c r="O993" s="4">
        <f t="shared" si="336"/>
        <v>0</v>
      </c>
      <c r="P993" s="5">
        <f>SUMIFS('Desenvolvimento diário'!$H:$H,'Desenvolvimento diário'!$Q:$Q,$B993,'Desenvolvimento diário'!$P:$P,$F993,'Desenvolvimento diário'!$R:$R,"Sim")</f>
        <v>0</v>
      </c>
      <c r="Q993" s="5">
        <f>SUMIFS('Desenvolvimento diário'!$H:$H,'Desenvolvimento diário'!$Q:$Q,$B993,'Desenvolvimento diário'!$P:$P,$F993,'Desenvolvimento diário'!$R:$R,"Não")</f>
        <v>0</v>
      </c>
      <c r="R993" s="4">
        <f t="shared" si="337"/>
        <v>0</v>
      </c>
      <c r="S993" s="4">
        <f t="shared" si="338"/>
        <v>0</v>
      </c>
      <c r="T993" s="12">
        <f t="shared" si="328"/>
        <v>0</v>
      </c>
      <c r="Y993" s="2"/>
      <c r="Z993" s="2"/>
      <c r="AA993" s="2"/>
      <c r="AB993" s="2"/>
      <c r="AC993" s="2"/>
    </row>
    <row r="994" spans="1:29" ht="10.5" hidden="1">
      <c r="A994" s="2">
        <f t="shared" si="339"/>
        <v>29</v>
      </c>
      <c r="B994" s="2" t="str">
        <f>VLOOKUP($A994,Controle!$B$4:$F$68,2,FALSE)</f>
        <v>Pedra do Indaiá 3</v>
      </c>
      <c r="C994" s="2" t="str">
        <f>VLOOKUP($A994,Controle!$B$4:$F$68,3,FALSE)</f>
        <v xml:space="preserve">ESTRELA DO NORTE </v>
      </c>
      <c r="D994" s="2" t="str">
        <f>VLOOKUP($A994,Controle!$B$4:$F$68,4,FALSE)</f>
        <v>EDN</v>
      </c>
      <c r="E994" s="2">
        <f>VLOOKUP($A994,Controle!$B$4:$F$68,5,FALSE)</f>
        <v>1</v>
      </c>
      <c r="F994" s="3" t="str">
        <f t="shared" si="335"/>
        <v>Desenvolvimento de projeto - Projetos Detalhada</v>
      </c>
      <c r="G994" s="2" t="str">
        <f>VLOOKUP($A994,Controle!$B$4:$G$68,6,FALSE)</f>
        <v>Apolo</v>
      </c>
      <c r="H994" s="6">
        <v>0</v>
      </c>
      <c r="I994" s="6">
        <v>0</v>
      </c>
      <c r="J994" s="6">
        <v>0</v>
      </c>
      <c r="K994" s="6">
        <v>0</v>
      </c>
      <c r="L994" s="6">
        <v>0</v>
      </c>
      <c r="M994" s="6">
        <v>0</v>
      </c>
      <c r="N994" s="6">
        <v>0</v>
      </c>
      <c r="O994" s="4">
        <f t="shared" si="336"/>
        <v>0</v>
      </c>
      <c r="P994" s="5">
        <f>SUMIFS('Desenvolvimento diário'!$H:$H,'Desenvolvimento diário'!$Q:$Q,$B994,'Desenvolvimento diário'!$P:$P,$F994,'Desenvolvimento diário'!$R:$R,"Sim")</f>
        <v>0</v>
      </c>
      <c r="Q994" s="5">
        <f>SUMIFS('Desenvolvimento diário'!$H:$H,'Desenvolvimento diário'!$Q:$Q,$B994,'Desenvolvimento diário'!$P:$P,$F994,'Desenvolvimento diário'!$R:$R,"Não")</f>
        <v>0</v>
      </c>
      <c r="R994" s="4">
        <f t="shared" si="337"/>
        <v>0</v>
      </c>
      <c r="S994" s="4">
        <f t="shared" si="338"/>
        <v>0</v>
      </c>
      <c r="T994" s="12">
        <f t="shared" si="328"/>
        <v>0</v>
      </c>
      <c r="Y994" s="2"/>
      <c r="Z994" s="2"/>
      <c r="AA994" s="2"/>
      <c r="AB994" s="2"/>
      <c r="AC994" s="2"/>
    </row>
    <row r="995" spans="1:29" ht="10.5" hidden="1">
      <c r="A995" s="2">
        <f t="shared" si="339"/>
        <v>29</v>
      </c>
      <c r="B995" s="2" t="str">
        <f>VLOOKUP($A995,Controle!$B$4:$F$68,2,FALSE)</f>
        <v>Pedra do Indaiá 3</v>
      </c>
      <c r="C995" s="2" t="str">
        <f>VLOOKUP($A995,Controle!$B$4:$F$68,3,FALSE)</f>
        <v xml:space="preserve">ESTRELA DO NORTE </v>
      </c>
      <c r="D995" s="2" t="str">
        <f>VLOOKUP($A995,Controle!$B$4:$F$68,4,FALSE)</f>
        <v>EDN</v>
      </c>
      <c r="E995" s="2">
        <f>VLOOKUP($A995,Controle!$B$4:$F$68,5,FALSE)</f>
        <v>1</v>
      </c>
      <c r="F995" s="3" t="str">
        <f t="shared" si="335"/>
        <v>Desenvolvimento de projeto - Ambiental / Outros</v>
      </c>
      <c r="G995" s="2" t="str">
        <f>VLOOKUP($A995,Controle!$B$4:$G$68,6,FALSE)</f>
        <v>Apolo</v>
      </c>
      <c r="H995" s="6" t="s">
        <v>148</v>
      </c>
      <c r="I995" s="6">
        <f>R995</f>
        <v>52473.72</v>
      </c>
      <c r="J995" s="6">
        <v>0</v>
      </c>
      <c r="K995" s="6">
        <v>0</v>
      </c>
      <c r="L995" s="6">
        <v>0</v>
      </c>
      <c r="M995" s="6">
        <v>0</v>
      </c>
      <c r="N995" s="6">
        <v>0</v>
      </c>
      <c r="O995" s="4">
        <f t="shared" si="336"/>
        <v>52473.72</v>
      </c>
      <c r="P995" s="5">
        <f>SUMIFS('Desenvolvimento diário'!$H:$H,'Desenvolvimento diário'!$Q:$Q,$B995,'Desenvolvimento diário'!$P:$P,$F995,'Desenvolvimento diário'!$R:$R,"Sim")</f>
        <v>0</v>
      </c>
      <c r="Q995" s="5">
        <f>SUMIFS('Desenvolvimento diário'!$H:$H,'Desenvolvimento diário'!$Q:$Q,$B995,'Desenvolvimento diário'!$P:$P,$F995,'Desenvolvimento diário'!$R:$R,"Não")</f>
        <v>52473.72</v>
      </c>
      <c r="R995" s="4">
        <f t="shared" si="337"/>
        <v>52473.72</v>
      </c>
      <c r="S995" s="4">
        <f t="shared" si="338"/>
        <v>0</v>
      </c>
      <c r="T995" s="12">
        <f t="shared" si="328"/>
        <v>1</v>
      </c>
      <c r="Y995" s="2"/>
      <c r="Z995" s="2"/>
      <c r="AA995" s="2"/>
      <c r="AB995" s="2"/>
      <c r="AC995" s="2"/>
    </row>
    <row r="996" spans="1:29" hidden="1">
      <c r="A996" s="2">
        <f t="shared" si="339"/>
        <v>29</v>
      </c>
      <c r="B996" s="2" t="str">
        <f>VLOOKUP($A996,Controle!$B$4:$F$68,2,FALSE)</f>
        <v>Pedra do Indaiá 3</v>
      </c>
      <c r="C996" s="2" t="str">
        <f>VLOOKUP($A996,Controle!$B$4:$F$68,3,FALSE)</f>
        <v xml:space="preserve">ESTRELA DO NORTE </v>
      </c>
      <c r="D996" s="2" t="str">
        <f>VLOOKUP($A996,Controle!$B$4:$F$68,4,FALSE)</f>
        <v>EDN</v>
      </c>
      <c r="E996" s="2">
        <f>VLOOKUP($A996,Controle!$B$4:$F$68,5,FALSE)</f>
        <v>1</v>
      </c>
      <c r="F996" s="3" t="str">
        <f t="shared" si="335"/>
        <v>Desenvolvimento de projeto - Coordenograma</v>
      </c>
      <c r="G996" s="2" t="str">
        <f>VLOOKUP($A996,Controle!$B$4:$G$68,6,FALSE)</f>
        <v>Apolo</v>
      </c>
      <c r="H996" s="31" t="s">
        <v>149</v>
      </c>
      <c r="I996" s="31">
        <v>7000</v>
      </c>
      <c r="J996" s="31">
        <v>0</v>
      </c>
      <c r="K996" s="31">
        <v>0</v>
      </c>
      <c r="L996" s="6">
        <v>0</v>
      </c>
      <c r="M996" s="6">
        <v>0</v>
      </c>
      <c r="N996" s="6">
        <v>0</v>
      </c>
      <c r="O996" s="4">
        <f t="shared" si="336"/>
        <v>7000</v>
      </c>
      <c r="P996" s="5">
        <f>SUMIFS('Desenvolvimento diário'!$H:$H,'Desenvolvimento diário'!$Q:$Q,$B996,'Desenvolvimento diário'!$P:$P,$F996,'Desenvolvimento diário'!$R:$R,"Sim")</f>
        <v>0</v>
      </c>
      <c r="Q996" s="5">
        <f>SUMIFS('Desenvolvimento diário'!$H:$H,'Desenvolvimento diário'!$Q:$Q,$B996,'Desenvolvimento diário'!$P:$P,$F996,'Desenvolvimento diário'!$R:$R,"Não")</f>
        <v>7000</v>
      </c>
      <c r="R996" s="4">
        <f t="shared" si="337"/>
        <v>7000</v>
      </c>
      <c r="S996" s="4">
        <f t="shared" si="338"/>
        <v>0</v>
      </c>
      <c r="T996" s="12">
        <f t="shared" si="328"/>
        <v>1</v>
      </c>
      <c r="Y996" s="2"/>
      <c r="Z996" s="2"/>
      <c r="AA996" s="2"/>
      <c r="AB996" s="2"/>
      <c r="AC996" s="2"/>
    </row>
    <row r="997" spans="1:29" ht="10.5" hidden="1">
      <c r="A997" s="2">
        <f t="shared" si="339"/>
        <v>29</v>
      </c>
      <c r="B997" s="2" t="str">
        <f>VLOOKUP($A997,Controle!$B$4:$F$68,2,FALSE)</f>
        <v>Pedra do Indaiá 3</v>
      </c>
      <c r="C997" s="2" t="str">
        <f>VLOOKUP($A997,Controle!$B$4:$F$68,3,FALSE)</f>
        <v xml:space="preserve">ESTRELA DO NORTE </v>
      </c>
      <c r="D997" s="2" t="str">
        <f>VLOOKUP($A997,Controle!$B$4:$F$68,4,FALSE)</f>
        <v>EDN</v>
      </c>
      <c r="E997" s="2">
        <f>VLOOKUP($A997,Controle!$B$4:$F$68,5,FALSE)</f>
        <v>1</v>
      </c>
      <c r="F997" s="3" t="str">
        <f t="shared" si="335"/>
        <v>Sistemas de Monitoramento - Supervisório</v>
      </c>
      <c r="G997" s="2" t="str">
        <f>VLOOKUP($A997,Controle!$B$4:$G$68,6,FALSE)</f>
        <v>Apolo</v>
      </c>
      <c r="H997" s="6" t="s">
        <v>150</v>
      </c>
      <c r="I997" s="6">
        <v>136155</v>
      </c>
      <c r="J997" s="6"/>
      <c r="K997" s="6">
        <v>0</v>
      </c>
      <c r="L997" s="6">
        <v>0</v>
      </c>
      <c r="M997" s="6">
        <v>0</v>
      </c>
      <c r="N997" s="6">
        <v>0</v>
      </c>
      <c r="O997" s="4">
        <f t="shared" si="336"/>
        <v>136155</v>
      </c>
      <c r="P997" s="5">
        <f>SUMIFS('Desenvolvimento diário'!$H:$H,'Desenvolvimento diário'!$Q:$Q,$B997,'Desenvolvimento diário'!$P:$P,$F997,'Desenvolvimento diário'!$R:$R,"Sim")</f>
        <v>5821.02</v>
      </c>
      <c r="Q997" s="5">
        <f>SUMIFS('Desenvolvimento diário'!$H:$H,'Desenvolvimento diário'!$Q:$Q,$B997,'Desenvolvimento diário'!$P:$P,$F997,'Desenvolvimento diário'!$R:$R,"Não")</f>
        <v>130333.98000000001</v>
      </c>
      <c r="R997" s="4">
        <f t="shared" si="337"/>
        <v>136155</v>
      </c>
      <c r="S997" s="4">
        <f t="shared" si="338"/>
        <v>0</v>
      </c>
      <c r="T997" s="12">
        <f t="shared" si="328"/>
        <v>1</v>
      </c>
      <c r="Y997" s="2"/>
      <c r="Z997" s="2"/>
      <c r="AA997" s="2"/>
      <c r="AB997" s="2"/>
      <c r="AC997" s="2"/>
    </row>
    <row r="998" spans="1:29" ht="10.5" hidden="1">
      <c r="A998" s="2">
        <f t="shared" si="339"/>
        <v>29</v>
      </c>
      <c r="B998" s="2" t="str">
        <f>VLOOKUP($A998,Controle!$B$4:$F$68,2,FALSE)</f>
        <v>Pedra do Indaiá 3</v>
      </c>
      <c r="C998" s="2" t="str">
        <f>VLOOKUP($A998,Controle!$B$4:$F$68,3,FALSE)</f>
        <v xml:space="preserve">ESTRELA DO NORTE </v>
      </c>
      <c r="D998" s="2" t="str">
        <f>VLOOKUP($A998,Controle!$B$4:$F$68,4,FALSE)</f>
        <v>EDN</v>
      </c>
      <c r="E998" s="2">
        <f>VLOOKUP($A998,Controle!$B$4:$F$68,5,FALSE)</f>
        <v>1</v>
      </c>
      <c r="F998" s="3" t="str">
        <f t="shared" si="335"/>
        <v>Sistemas de Monitoramento - Estações Solarimétricas</v>
      </c>
      <c r="G998" s="2" t="str">
        <f>VLOOKUP($A998,Controle!$B$4:$G$68,6,FALSE)</f>
        <v>Apolo</v>
      </c>
      <c r="H998" s="6" t="s">
        <v>151</v>
      </c>
      <c r="I998" s="6">
        <v>48276.516000000003</v>
      </c>
      <c r="J998" s="6">
        <v>0</v>
      </c>
      <c r="K998" s="6">
        <v>0</v>
      </c>
      <c r="L998" s="6">
        <v>0</v>
      </c>
      <c r="M998" s="6">
        <v>0</v>
      </c>
      <c r="N998" s="6">
        <v>0</v>
      </c>
      <c r="O998" s="4">
        <f t="shared" si="336"/>
        <v>48276.516000000003</v>
      </c>
      <c r="P998" s="5">
        <f>SUMIFS('Desenvolvimento diário'!$H:$H,'Desenvolvimento diário'!$Q:$Q,$B998,'Desenvolvimento diário'!$P:$P,$F998,'Desenvolvimento diário'!$R:$R,"Sim")</f>
        <v>0</v>
      </c>
      <c r="Q998" s="5">
        <f>SUMIFS('Desenvolvimento diário'!$H:$H,'Desenvolvimento diário'!$Q:$Q,$B998,'Desenvolvimento diário'!$P:$P,$F998,'Desenvolvimento diário'!$R:$R,"Não")</f>
        <v>48276.516000000003</v>
      </c>
      <c r="R998" s="4">
        <f t="shared" si="337"/>
        <v>48276.516000000003</v>
      </c>
      <c r="S998" s="4">
        <f t="shared" si="338"/>
        <v>0</v>
      </c>
      <c r="T998" s="12">
        <f t="shared" si="328"/>
        <v>1</v>
      </c>
      <c r="Y998" s="2"/>
      <c r="Z998" s="2"/>
      <c r="AA998" s="2"/>
      <c r="AB998" s="2"/>
      <c r="AC998" s="2"/>
    </row>
    <row r="999" spans="1:29" hidden="1">
      <c r="A999" s="2">
        <f t="shared" si="339"/>
        <v>29</v>
      </c>
      <c r="B999" s="2" t="str">
        <f>VLOOKUP($A999,Controle!$B$4:$F$68,2,FALSE)</f>
        <v>Pedra do Indaiá 3</v>
      </c>
      <c r="C999" s="2" t="str">
        <f>VLOOKUP($A999,Controle!$B$4:$F$68,3,FALSE)</f>
        <v xml:space="preserve">ESTRELA DO NORTE </v>
      </c>
      <c r="D999" s="2" t="str">
        <f>VLOOKUP($A999,Controle!$B$4:$F$68,4,FALSE)</f>
        <v>EDN</v>
      </c>
      <c r="E999" s="2">
        <f>VLOOKUP($A999,Controle!$B$4:$F$68,5,FALSE)</f>
        <v>1</v>
      </c>
      <c r="F999" s="3" t="str">
        <f t="shared" si="335"/>
        <v>Sistemas de Monitoramento - CFTV</v>
      </c>
      <c r="G999" s="2" t="str">
        <f>VLOOKUP($A999,Controle!$B$4:$G$68,6,FALSE)</f>
        <v>Apolo</v>
      </c>
      <c r="H999" s="31" t="s">
        <v>152</v>
      </c>
      <c r="I999" s="6">
        <v>314819.64</v>
      </c>
      <c r="J999" s="6">
        <v>0</v>
      </c>
      <c r="K999" s="6">
        <v>0</v>
      </c>
      <c r="L999" s="6">
        <v>0</v>
      </c>
      <c r="M999" s="6">
        <v>0</v>
      </c>
      <c r="N999" s="6">
        <v>0</v>
      </c>
      <c r="O999" s="4">
        <f t="shared" si="336"/>
        <v>314819.64</v>
      </c>
      <c r="P999" s="5">
        <f>SUMIFS('Desenvolvimento diário'!$H:$H,'Desenvolvimento diário'!$Q:$Q,$B999,'Desenvolvimento diário'!$P:$P,$F999,'Desenvolvimento diário'!$R:$R,"Sim")</f>
        <v>0</v>
      </c>
      <c r="Q999" s="5">
        <f>SUMIFS('Desenvolvimento diário'!$H:$H,'Desenvolvimento diário'!$Q:$Q,$B999,'Desenvolvimento diário'!$P:$P,$F999,'Desenvolvimento diário'!$R:$R,"Não")</f>
        <v>314819.64</v>
      </c>
      <c r="R999" s="4">
        <f t="shared" si="337"/>
        <v>314819.64</v>
      </c>
      <c r="S999" s="4">
        <f t="shared" si="338"/>
        <v>0</v>
      </c>
      <c r="T999" s="12">
        <f t="shared" si="328"/>
        <v>1</v>
      </c>
      <c r="Y999" s="2"/>
      <c r="Z999" s="2"/>
      <c r="AA999" s="2"/>
      <c r="AB999" s="2"/>
      <c r="AC999" s="2"/>
    </row>
    <row r="1000" spans="1:29" ht="10.5" hidden="1">
      <c r="A1000" s="2">
        <f t="shared" si="339"/>
        <v>29</v>
      </c>
      <c r="B1000" s="2" t="str">
        <f>VLOOKUP($A1000,Controle!$B$4:$F$68,2,FALSE)</f>
        <v>Pedra do Indaiá 3</v>
      </c>
      <c r="C1000" s="2" t="str">
        <f>VLOOKUP($A1000,Controle!$B$4:$F$68,3,FALSE)</f>
        <v xml:space="preserve">ESTRELA DO NORTE </v>
      </c>
      <c r="D1000" s="2" t="str">
        <f>VLOOKUP($A1000,Controle!$B$4:$F$68,4,FALSE)</f>
        <v>EDN</v>
      </c>
      <c r="E1000" s="2">
        <f>VLOOKUP($A1000,Controle!$B$4:$F$68,5,FALSE)</f>
        <v>1</v>
      </c>
      <c r="F1000" s="3" t="str">
        <f t="shared" si="335"/>
        <v>Serviços Auxiliares - Drenagem</v>
      </c>
      <c r="G1000" s="2" t="str">
        <f>VLOOKUP($A1000,Controle!$B$4:$G$68,6,FALSE)</f>
        <v>Apolo</v>
      </c>
      <c r="H1000" s="6" t="s">
        <v>208</v>
      </c>
      <c r="I1000" s="6">
        <v>910000</v>
      </c>
      <c r="J1000" s="6">
        <v>0</v>
      </c>
      <c r="K1000" s="6">
        <v>0</v>
      </c>
      <c r="L1000" s="6">
        <v>0</v>
      </c>
      <c r="M1000" s="6">
        <v>0</v>
      </c>
      <c r="N1000" s="6">
        <v>0</v>
      </c>
      <c r="O1000" s="4">
        <f t="shared" si="336"/>
        <v>910000</v>
      </c>
      <c r="P1000" s="5">
        <f>SUMIFS('Desenvolvimento diário'!$H:$H,'Desenvolvimento diário'!$Q:$Q,$B1000,'Desenvolvimento diário'!$P:$P,$F1000,'Desenvolvimento diário'!$R:$R,"Sim")</f>
        <v>0</v>
      </c>
      <c r="Q1000" s="5">
        <f>SUMIFS('Desenvolvimento diário'!$H:$H,'Desenvolvimento diário'!$Q:$Q,$B1000,'Desenvolvimento diário'!$P:$P,$F1000,'Desenvolvimento diário'!$R:$R,"Não")</f>
        <v>910000</v>
      </c>
      <c r="R1000" s="4">
        <f t="shared" si="337"/>
        <v>910000</v>
      </c>
      <c r="S1000" s="4">
        <f t="shared" si="338"/>
        <v>0</v>
      </c>
      <c r="T1000" s="12">
        <f t="shared" si="328"/>
        <v>1</v>
      </c>
      <c r="Y1000" s="2"/>
      <c r="Z1000" s="2"/>
      <c r="AA1000" s="2"/>
      <c r="AB1000" s="2"/>
      <c r="AC1000" s="2"/>
    </row>
    <row r="1001" spans="1:29" ht="10.5" hidden="1">
      <c r="A1001" s="2">
        <f t="shared" si="339"/>
        <v>29</v>
      </c>
      <c r="B1001" s="2" t="str">
        <f>VLOOKUP($A1001,Controle!$B$4:$F$68,2,FALSE)</f>
        <v>Pedra do Indaiá 3</v>
      </c>
      <c r="C1001" s="2" t="str">
        <f>VLOOKUP($A1001,Controle!$B$4:$F$68,3,FALSE)</f>
        <v xml:space="preserve">ESTRELA DO NORTE </v>
      </c>
      <c r="D1001" s="2" t="str">
        <f>VLOOKUP($A1001,Controle!$B$4:$F$68,4,FALSE)</f>
        <v>EDN</v>
      </c>
      <c r="E1001" s="2">
        <f>VLOOKUP($A1001,Controle!$B$4:$F$68,5,FALSE)</f>
        <v>1</v>
      </c>
      <c r="F1001" s="3" t="str">
        <f t="shared" si="335"/>
        <v>Serviços Auxiliares - Terraplanagem</v>
      </c>
      <c r="G1001" s="2" t="str">
        <f>VLOOKUP($A1001,Controle!$B$4:$G$68,6,FALSE)</f>
        <v>Apolo</v>
      </c>
      <c r="H1001" s="6" t="s">
        <v>204</v>
      </c>
      <c r="I1001" s="6">
        <v>219290.35</v>
      </c>
      <c r="J1001" s="6">
        <v>0</v>
      </c>
      <c r="K1001" s="6">
        <v>0</v>
      </c>
      <c r="L1001" s="6">
        <v>0</v>
      </c>
      <c r="M1001" s="6">
        <v>0</v>
      </c>
      <c r="N1001" s="6">
        <v>0</v>
      </c>
      <c r="O1001" s="4">
        <f t="shared" si="336"/>
        <v>219290.35</v>
      </c>
      <c r="P1001" s="5">
        <f>SUMIFS('Desenvolvimento diário'!$H:$H,'Desenvolvimento diário'!$Q:$Q,$B1001,'Desenvolvimento diário'!$P:$P,$F1001,'Desenvolvimento diário'!$R:$R,"Sim")</f>
        <v>0</v>
      </c>
      <c r="Q1001" s="5">
        <f>SUMIFS('Desenvolvimento diário'!$H:$H,'Desenvolvimento diário'!$Q:$Q,$B1001,'Desenvolvimento diário'!$P:$P,$F1001,'Desenvolvimento diário'!$R:$R,"Não")</f>
        <v>219290.35</v>
      </c>
      <c r="R1001" s="4">
        <f t="shared" si="337"/>
        <v>219290.35</v>
      </c>
      <c r="S1001" s="4">
        <f t="shared" si="338"/>
        <v>0</v>
      </c>
      <c r="T1001" s="12">
        <f t="shared" si="328"/>
        <v>1</v>
      </c>
      <c r="Y1001" s="2"/>
      <c r="Z1001" s="2"/>
      <c r="AA1001" s="2"/>
      <c r="AB1001" s="2"/>
      <c r="AC1001" s="2"/>
    </row>
    <row r="1002" spans="1:29" ht="10.5" hidden="1">
      <c r="A1002" s="2">
        <f t="shared" si="339"/>
        <v>29</v>
      </c>
      <c r="B1002" s="2" t="str">
        <f>VLOOKUP($A1002,Controle!$B$4:$F$68,2,FALSE)</f>
        <v>Pedra do Indaiá 3</v>
      </c>
      <c r="C1002" s="2" t="str">
        <f>VLOOKUP($A1002,Controle!$B$4:$F$68,3,FALSE)</f>
        <v xml:space="preserve">ESTRELA DO NORTE </v>
      </c>
      <c r="D1002" s="2" t="str">
        <f>VLOOKUP($A1002,Controle!$B$4:$F$68,4,FALSE)</f>
        <v>EDN</v>
      </c>
      <c r="E1002" s="2">
        <f>VLOOKUP($A1002,Controle!$B$4:$F$68,5,FALSE)</f>
        <v>1</v>
      </c>
      <c r="F1002" s="3" t="str">
        <f t="shared" si="335"/>
        <v>Serviços Auxiliares - Supressão Vegetal</v>
      </c>
      <c r="G1002" s="2" t="str">
        <f>VLOOKUP($A1002,Controle!$B$4:$G$68,6,FALSE)</f>
        <v>Apolo</v>
      </c>
      <c r="H1002" s="6">
        <v>0</v>
      </c>
      <c r="I1002" s="6">
        <v>0</v>
      </c>
      <c r="J1002" s="6">
        <v>0</v>
      </c>
      <c r="K1002" s="6">
        <v>0</v>
      </c>
      <c r="L1002" s="6">
        <v>0</v>
      </c>
      <c r="M1002" s="6">
        <v>0</v>
      </c>
      <c r="N1002" s="6">
        <v>0</v>
      </c>
      <c r="O1002" s="4">
        <f t="shared" si="336"/>
        <v>0</v>
      </c>
      <c r="P1002" s="5">
        <f>SUMIFS('Desenvolvimento diário'!$H:$H,'Desenvolvimento diário'!$Q:$Q,$B1002,'Desenvolvimento diário'!$P:$P,$F1002,'Desenvolvimento diário'!$R:$R,"Sim")</f>
        <v>0</v>
      </c>
      <c r="Q1002" s="5">
        <f>SUMIFS('Desenvolvimento diário'!$H:$H,'Desenvolvimento diário'!$Q:$Q,$B1002,'Desenvolvimento diário'!$P:$P,$F1002,'Desenvolvimento diário'!$R:$R,"Não")</f>
        <v>0</v>
      </c>
      <c r="R1002" s="4">
        <f t="shared" si="337"/>
        <v>0</v>
      </c>
      <c r="S1002" s="4">
        <f t="shared" si="338"/>
        <v>0</v>
      </c>
      <c r="T1002" s="12">
        <f t="shared" si="328"/>
        <v>0</v>
      </c>
      <c r="Y1002" s="2"/>
      <c r="Z1002" s="2"/>
      <c r="AA1002" s="2"/>
      <c r="AB1002" s="2"/>
      <c r="AC1002" s="2"/>
    </row>
    <row r="1003" spans="1:29" ht="10.5" hidden="1">
      <c r="A1003" s="2">
        <f t="shared" si="339"/>
        <v>29</v>
      </c>
      <c r="B1003" s="2" t="str">
        <f>VLOOKUP($A1003,Controle!$B$4:$F$68,2,FALSE)</f>
        <v>Pedra do Indaiá 3</v>
      </c>
      <c r="C1003" s="2" t="str">
        <f>VLOOKUP($A1003,Controle!$B$4:$F$68,3,FALSE)</f>
        <v xml:space="preserve">ESTRELA DO NORTE </v>
      </c>
      <c r="D1003" s="2" t="str">
        <f>VLOOKUP($A1003,Controle!$B$4:$F$68,4,FALSE)</f>
        <v>EDN</v>
      </c>
      <c r="E1003" s="2">
        <f>VLOOKUP($A1003,Controle!$B$4:$F$68,5,FALSE)</f>
        <v>1</v>
      </c>
      <c r="F1003" s="3" t="str">
        <f t="shared" si="335"/>
        <v>RDR-Rede de Distribuição Rural</v>
      </c>
      <c r="G1003" s="2" t="str">
        <f>VLOOKUP($A1003,Controle!$B$4:$G$68,6,FALSE)</f>
        <v>Apolo</v>
      </c>
      <c r="H1003" s="6">
        <v>0</v>
      </c>
      <c r="I1003" s="6">
        <v>0</v>
      </c>
      <c r="J1003" s="6">
        <v>0</v>
      </c>
      <c r="K1003" s="6">
        <v>0</v>
      </c>
      <c r="L1003" s="6">
        <v>0</v>
      </c>
      <c r="M1003" s="6">
        <v>0</v>
      </c>
      <c r="N1003" s="6">
        <v>0</v>
      </c>
      <c r="O1003" s="4">
        <f t="shared" si="336"/>
        <v>0</v>
      </c>
      <c r="P1003" s="5">
        <f>SUMIFS('Desenvolvimento diário'!$H:$H,'Desenvolvimento diário'!$Q:$Q,$B1003,'Desenvolvimento diário'!$P:$P,$F1003,'Desenvolvimento diário'!$R:$R,"Sim")</f>
        <v>0</v>
      </c>
      <c r="Q1003" s="5">
        <f>SUMIFS('Desenvolvimento diário'!$H:$H,'Desenvolvimento diário'!$Q:$Q,$B1003,'Desenvolvimento diário'!$P:$P,$F1003,'Desenvolvimento diário'!$R:$R,"Não")</f>
        <v>0</v>
      </c>
      <c r="R1003" s="4">
        <f t="shared" si="337"/>
        <v>0</v>
      </c>
      <c r="S1003" s="4">
        <f t="shared" si="338"/>
        <v>0</v>
      </c>
      <c r="T1003" s="12">
        <f t="shared" si="328"/>
        <v>0</v>
      </c>
      <c r="Y1003" s="2"/>
      <c r="Z1003" s="2"/>
      <c r="AA1003" s="2"/>
      <c r="AB1003" s="2"/>
      <c r="AC1003" s="2"/>
    </row>
    <row r="1004" spans="1:29" ht="10.5" hidden="1">
      <c r="A1004" s="2">
        <f t="shared" si="339"/>
        <v>29</v>
      </c>
      <c r="B1004" s="2" t="str">
        <f>VLOOKUP($A1004,Controle!$B$4:$F$68,2,FALSE)</f>
        <v>Pedra do Indaiá 3</v>
      </c>
      <c r="C1004" s="2" t="str">
        <f>VLOOKUP($A1004,Controle!$B$4:$F$68,3,FALSE)</f>
        <v xml:space="preserve">ESTRELA DO NORTE </v>
      </c>
      <c r="D1004" s="2" t="str">
        <f>VLOOKUP($A1004,Controle!$B$4:$F$68,4,FALSE)</f>
        <v>EDN</v>
      </c>
      <c r="E1004" s="2">
        <f>VLOOKUP($A1004,Controle!$B$4:$F$68,5,FALSE)</f>
        <v>1</v>
      </c>
      <c r="F1004" s="3" t="str">
        <f t="shared" si="335"/>
        <v>Escopo COMERC</v>
      </c>
      <c r="G1004" s="2" t="str">
        <f>VLOOKUP($A1004,Controle!$B$4:$G$68,6,FALSE)</f>
        <v>Apolo</v>
      </c>
      <c r="H1004" s="6">
        <v>0</v>
      </c>
      <c r="I1004" s="6">
        <v>161759.65999999997</v>
      </c>
      <c r="J1004" s="29">
        <v>40000</v>
      </c>
      <c r="K1004" s="29"/>
      <c r="L1004" s="6">
        <v>0</v>
      </c>
      <c r="M1004" s="6">
        <v>0</v>
      </c>
      <c r="N1004" s="6">
        <v>0</v>
      </c>
      <c r="O1004" s="4">
        <f t="shared" si="336"/>
        <v>201759.65999999997</v>
      </c>
      <c r="P1004" s="5">
        <f>SUMIFS('Desenvolvimento diário'!$H:$H,'Desenvolvimento diário'!$Q:$Q,$B1004,'Desenvolvimento diário'!$P:$P,$F1004,'Desenvolvimento diário'!$R:$R,"Sim")</f>
        <v>0</v>
      </c>
      <c r="Q1004" s="5">
        <f>SUMIFS('Desenvolvimento diário'!$H:$H,'Desenvolvimento diário'!$Q:$Q,$B1004,'Desenvolvimento diário'!$P:$P,$F1004,'Desenvolvimento diário'!$R:$R,"Não")</f>
        <v>162758.43999999997</v>
      </c>
      <c r="R1004" s="4">
        <f t="shared" si="337"/>
        <v>162758.43999999997</v>
      </c>
      <c r="S1004" s="1010">
        <f t="shared" si="338"/>
        <v>39001.22</v>
      </c>
      <c r="T1004" s="12">
        <f t="shared" si="328"/>
        <v>0.80669465838711263</v>
      </c>
      <c r="U1004" s="1011" t="s">
        <v>166</v>
      </c>
      <c r="V1004" s="1011" t="s">
        <v>167</v>
      </c>
      <c r="Y1004" s="2"/>
      <c r="Z1004" s="2"/>
      <c r="AA1004" s="2"/>
      <c r="AB1004" s="2"/>
      <c r="AC1004" s="2"/>
    </row>
    <row r="1005" spans="1:29" ht="10.5" hidden="1">
      <c r="A1005" s="2">
        <f t="shared" si="339"/>
        <v>29</v>
      </c>
      <c r="B1005" s="2" t="str">
        <f>VLOOKUP($A1005,Controle!$B$4:$F$68,2,FALSE)</f>
        <v>Pedra do Indaiá 3</v>
      </c>
      <c r="C1005" s="2" t="str">
        <f>VLOOKUP($A1005,Controle!$B$4:$F$68,3,FALSE)</f>
        <v xml:space="preserve">ESTRELA DO NORTE </v>
      </c>
      <c r="D1005" s="2" t="str">
        <f>VLOOKUP($A1005,Controle!$B$4:$F$68,4,FALSE)</f>
        <v>EDN</v>
      </c>
      <c r="E1005" s="2">
        <f>VLOOKUP($A1005,Controle!$B$4:$F$68,5,FALSE)</f>
        <v>1</v>
      </c>
      <c r="F1005" s="3" t="str">
        <f t="shared" si="335"/>
        <v>Escopo COMERC - Segurança</v>
      </c>
      <c r="G1005" s="2" t="str">
        <f>VLOOKUP($A1005,Controle!$B$4:$G$68,6,FALSE)</f>
        <v>Apolo</v>
      </c>
      <c r="H1005" s="6">
        <v>0</v>
      </c>
      <c r="I1005" s="6">
        <f t="shared" ref="I1004:I1005" si="340">R1005</f>
        <v>66890.16</v>
      </c>
      <c r="J1005" s="6">
        <v>0</v>
      </c>
      <c r="K1005" s="6">
        <v>0</v>
      </c>
      <c r="L1005" s="6">
        <v>0</v>
      </c>
      <c r="M1005" s="6">
        <v>0</v>
      </c>
      <c r="N1005" s="6">
        <v>0</v>
      </c>
      <c r="O1005" s="4">
        <f t="shared" si="336"/>
        <v>66890.16</v>
      </c>
      <c r="P1005" s="5">
        <f>SUMIFS('Desenvolvimento diário'!$H:$H,'Desenvolvimento diário'!$Q:$Q,$B1005,'Desenvolvimento diário'!$P:$P,$F1005,'Desenvolvimento diário'!$R:$R,"Sim")</f>
        <v>0</v>
      </c>
      <c r="Q1005" s="5">
        <f>SUMIFS('Desenvolvimento diário'!$H:$H,'Desenvolvimento diário'!$Q:$Q,$B1005,'Desenvolvimento diário'!$P:$P,$F1005,'Desenvolvimento diário'!$R:$R,"Não")</f>
        <v>66890.16</v>
      </c>
      <c r="R1005" s="4">
        <f t="shared" si="337"/>
        <v>66890.16</v>
      </c>
      <c r="S1005" s="4">
        <f t="shared" si="338"/>
        <v>0</v>
      </c>
      <c r="T1005" s="12">
        <f t="shared" si="328"/>
        <v>1</v>
      </c>
      <c r="Y1005" s="2"/>
      <c r="Z1005" s="2"/>
      <c r="AA1005" s="2"/>
      <c r="AB1005" s="2"/>
      <c r="AC1005" s="2"/>
    </row>
    <row r="1006" spans="1:29" ht="10.5" hidden="1">
      <c r="A1006" s="2">
        <f t="shared" si="339"/>
        <v>29</v>
      </c>
      <c r="B1006" s="2" t="str">
        <f>VLOOKUP($A1006,Controle!$B$4:$F$68,2,FALSE)</f>
        <v>Pedra do Indaiá 3</v>
      </c>
      <c r="C1006" s="2" t="str">
        <f>VLOOKUP($A1006,Controle!$B$4:$F$68,3,FALSE)</f>
        <v xml:space="preserve">ESTRELA DO NORTE </v>
      </c>
      <c r="D1006" s="2" t="str">
        <f>VLOOKUP($A1006,Controle!$B$4:$F$68,4,FALSE)</f>
        <v>EDN</v>
      </c>
      <c r="E1006" s="2">
        <f>VLOOKUP($A1006,Controle!$B$4:$F$68,5,FALSE)</f>
        <v>1</v>
      </c>
      <c r="F1006" s="3" t="str">
        <f t="shared" si="335"/>
        <v>Conexão MT - Obras Transferencia</v>
      </c>
      <c r="G1006" s="2" t="str">
        <f>VLOOKUP($A1006,Controle!$B$4:$G$68,6,FALSE)</f>
        <v>Apolo</v>
      </c>
      <c r="H1006" s="6">
        <v>0</v>
      </c>
      <c r="I1006" s="6">
        <v>0</v>
      </c>
      <c r="J1006" s="6">
        <v>0</v>
      </c>
      <c r="K1006" s="6">
        <v>0</v>
      </c>
      <c r="L1006" s="6">
        <v>0</v>
      </c>
      <c r="M1006" s="6">
        <v>0</v>
      </c>
      <c r="N1006" s="6">
        <v>0</v>
      </c>
      <c r="O1006" s="4">
        <f t="shared" si="336"/>
        <v>0</v>
      </c>
      <c r="P1006" s="5">
        <f>SUMIFS('Desenvolvimento diário'!$H:$H,'Desenvolvimento diário'!$Q:$Q,$B1006,'Desenvolvimento diário'!$P:$P,$F1006,'Desenvolvimento diário'!$R:$R,"Sim")</f>
        <v>0</v>
      </c>
      <c r="Q1006" s="5">
        <f>SUMIFS('Desenvolvimento diário'!$H:$H,'Desenvolvimento diário'!$Q:$Q,$B1006,'Desenvolvimento diário'!$P:$P,$F1006,'Desenvolvimento diário'!$R:$R,"Não")</f>
        <v>0</v>
      </c>
      <c r="R1006" s="4">
        <f t="shared" si="337"/>
        <v>0</v>
      </c>
      <c r="S1006" s="4">
        <f t="shared" si="338"/>
        <v>0</v>
      </c>
      <c r="T1006" s="12">
        <f t="shared" si="328"/>
        <v>0</v>
      </c>
      <c r="Y1006" s="2"/>
      <c r="Z1006" s="2"/>
      <c r="AA1006" s="2"/>
      <c r="AB1006" s="2"/>
      <c r="AC1006" s="2"/>
    </row>
    <row r="1007" spans="1:29" ht="10.5" hidden="1">
      <c r="A1007" s="2">
        <f t="shared" si="339"/>
        <v>29</v>
      </c>
      <c r="B1007" s="2" t="str">
        <f>VLOOKUP($A1007,Controle!$B$4:$F$68,2,FALSE)</f>
        <v>Pedra do Indaiá 3</v>
      </c>
      <c r="C1007" s="2" t="str">
        <f>VLOOKUP($A1007,Controle!$B$4:$F$68,3,FALSE)</f>
        <v xml:space="preserve">ESTRELA DO NORTE </v>
      </c>
      <c r="D1007" s="2" t="str">
        <f>VLOOKUP($A1007,Controle!$B$4:$F$68,4,FALSE)</f>
        <v>EDN</v>
      </c>
      <c r="E1007" s="2">
        <f>VLOOKUP($A1007,Controle!$B$4:$F$68,5,FALSE)</f>
        <v>1</v>
      </c>
      <c r="F1007" s="3" t="str">
        <f t="shared" si="335"/>
        <v>Bases de Contaniers</v>
      </c>
      <c r="G1007" s="2" t="str">
        <f>VLOOKUP($A1007,Controle!$B$4:$G$68,6,FALSE)</f>
        <v>Apolo</v>
      </c>
      <c r="H1007" s="6">
        <v>0</v>
      </c>
      <c r="I1007" s="6">
        <v>0</v>
      </c>
      <c r="J1007" s="6">
        <v>0</v>
      </c>
      <c r="K1007" s="6">
        <v>0</v>
      </c>
      <c r="L1007" s="6">
        <v>0</v>
      </c>
      <c r="M1007" s="6">
        <v>0</v>
      </c>
      <c r="N1007" s="6">
        <v>0</v>
      </c>
      <c r="O1007" s="4">
        <f t="shared" si="336"/>
        <v>0</v>
      </c>
      <c r="P1007" s="5">
        <f>SUMIFS('Desenvolvimento diário'!$H:$H,'Desenvolvimento diário'!$Q:$Q,$B1007,'Desenvolvimento diário'!$P:$P,$F1007,'Desenvolvimento diário'!$R:$R,"Sim")</f>
        <v>0</v>
      </c>
      <c r="Q1007" s="5">
        <f>SUMIFS('Desenvolvimento diário'!$H:$H,'Desenvolvimento diário'!$Q:$Q,$B1007,'Desenvolvimento diário'!$P:$P,$F1007,'Desenvolvimento diário'!$R:$R,"Não")</f>
        <v>0</v>
      </c>
      <c r="R1007" s="4">
        <f t="shared" si="337"/>
        <v>0</v>
      </c>
      <c r="S1007" s="4">
        <f t="shared" si="338"/>
        <v>0</v>
      </c>
      <c r="T1007" s="12">
        <f t="shared" si="328"/>
        <v>0</v>
      </c>
      <c r="Y1007" s="2"/>
      <c r="Z1007" s="2"/>
      <c r="AA1007" s="2"/>
      <c r="AB1007" s="2"/>
      <c r="AC1007" s="2"/>
    </row>
    <row r="1008" spans="1:29" ht="10.5" hidden="1">
      <c r="A1008" s="2">
        <f t="shared" si="339"/>
        <v>29</v>
      </c>
      <c r="B1008" s="2" t="str">
        <f>VLOOKUP($A1008,Controle!$B$4:$F$68,2,FALSE)</f>
        <v>Pedra do Indaiá 3</v>
      </c>
      <c r="C1008" s="2" t="str">
        <f>VLOOKUP($A1008,Controle!$B$4:$F$68,3,FALSE)</f>
        <v xml:space="preserve">ESTRELA DO NORTE </v>
      </c>
      <c r="D1008" s="2" t="str">
        <f>VLOOKUP($A1008,Controle!$B$4:$F$68,4,FALSE)</f>
        <v>EDN</v>
      </c>
      <c r="E1008" s="2">
        <f>VLOOKUP($A1008,Controle!$B$4:$F$68,5,FALSE)</f>
        <v>1</v>
      </c>
      <c r="F1008" s="3" t="str">
        <f t="shared" si="335"/>
        <v>Construção - Serviços de Construção - Ase Engenharia</v>
      </c>
      <c r="G1008" s="2" t="str">
        <f>VLOOKUP($A1008,Controle!$B$4:$G$68,6,FALSE)</f>
        <v>Apolo</v>
      </c>
      <c r="H1008" s="6">
        <v>0</v>
      </c>
      <c r="I1008" s="6">
        <v>0</v>
      </c>
      <c r="J1008" s="6">
        <v>0</v>
      </c>
      <c r="K1008" s="6">
        <v>0</v>
      </c>
      <c r="L1008" s="6">
        <v>0</v>
      </c>
      <c r="M1008" s="6">
        <v>0</v>
      </c>
      <c r="N1008" s="6">
        <v>0</v>
      </c>
      <c r="O1008" s="4">
        <f t="shared" si="336"/>
        <v>0</v>
      </c>
      <c r="P1008" s="5">
        <f>SUMIFS('Desenvolvimento diário'!$H:$H,'Desenvolvimento diário'!$Q:$Q,$B1008,'Desenvolvimento diário'!$P:$P,$F1008,'Desenvolvimento diário'!$R:$R,"Sim")</f>
        <v>0</v>
      </c>
      <c r="Q1008" s="5">
        <f>SUMIFS('Desenvolvimento diário'!$H:$H,'Desenvolvimento diário'!$Q:$Q,$B1008,'Desenvolvimento diário'!$P:$P,$F1008,'Desenvolvimento diário'!$R:$R,"Não")</f>
        <v>0</v>
      </c>
      <c r="R1008" s="4">
        <f t="shared" si="337"/>
        <v>0</v>
      </c>
      <c r="S1008" s="4">
        <f t="shared" si="338"/>
        <v>0</v>
      </c>
      <c r="T1008" s="12">
        <f t="shared" si="328"/>
        <v>0</v>
      </c>
      <c r="Y1008" s="2"/>
      <c r="Z1008" s="2"/>
      <c r="AA1008" s="2"/>
      <c r="AB1008" s="2"/>
      <c r="AC1008" s="2"/>
    </row>
    <row r="1009" spans="1:29" ht="10.5" hidden="1">
      <c r="A1009" s="2">
        <f t="shared" si="339"/>
        <v>29</v>
      </c>
      <c r="B1009" s="2" t="str">
        <f>VLOOKUP($A1009,Controle!$B$4:$F$68,2,FALSE)</f>
        <v>Pedra do Indaiá 3</v>
      </c>
      <c r="C1009" s="2" t="str">
        <f>VLOOKUP($A1009,Controle!$B$4:$F$68,3,FALSE)</f>
        <v xml:space="preserve">ESTRELA DO NORTE </v>
      </c>
      <c r="D1009" s="2" t="str">
        <f>VLOOKUP($A1009,Controle!$B$4:$F$68,4,FALSE)</f>
        <v>EDN</v>
      </c>
      <c r="E1009" s="2">
        <f>VLOOKUP($A1009,Controle!$B$4:$F$68,5,FALSE)</f>
        <v>1</v>
      </c>
      <c r="F1009" s="3" t="str">
        <f t="shared" si="335"/>
        <v>Full EPC - Contrato Sobressalentes</v>
      </c>
      <c r="G1009" s="2" t="str">
        <f>VLOOKUP($A1009,Controle!$B$4:$G$68,6,FALSE)</f>
        <v>Apolo</v>
      </c>
      <c r="H1009" s="6">
        <v>0</v>
      </c>
      <c r="I1009" s="6">
        <v>0</v>
      </c>
      <c r="J1009" s="6">
        <v>0</v>
      </c>
      <c r="K1009" s="6">
        <v>0</v>
      </c>
      <c r="L1009" s="6">
        <v>0</v>
      </c>
      <c r="M1009" s="6">
        <v>0</v>
      </c>
      <c r="N1009" s="6">
        <v>0</v>
      </c>
      <c r="O1009" s="4">
        <f t="shared" si="336"/>
        <v>0</v>
      </c>
      <c r="P1009" s="5">
        <f>SUMIFS('Desenvolvimento diário'!$H:$H,'Desenvolvimento diário'!$Q:$Q,$B1009,'Desenvolvimento diário'!$P:$P,$F1009,'Desenvolvimento diário'!$R:$R,"Sim")</f>
        <v>0</v>
      </c>
      <c r="Q1009" s="5">
        <f>SUMIFS('Desenvolvimento diário'!$H:$H,'Desenvolvimento diário'!$Q:$Q,$B1009,'Desenvolvimento diário'!$P:$P,$F1009,'Desenvolvimento diário'!$R:$R,"Não")</f>
        <v>0</v>
      </c>
      <c r="R1009" s="4">
        <f t="shared" si="337"/>
        <v>0</v>
      </c>
      <c r="S1009" s="4">
        <f t="shared" si="338"/>
        <v>0</v>
      </c>
      <c r="T1009" s="12">
        <f t="shared" si="328"/>
        <v>0</v>
      </c>
      <c r="Y1009" s="2"/>
      <c r="Z1009" s="2"/>
      <c r="AA1009" s="2"/>
      <c r="AB1009" s="2"/>
      <c r="AC1009" s="2"/>
    </row>
    <row r="1010" spans="1:29" ht="10.5" hidden="1">
      <c r="A1010" s="2">
        <f t="shared" si="339"/>
        <v>29</v>
      </c>
      <c r="B1010" s="2" t="str">
        <f>VLOOKUP($A1010,Controle!$B$4:$F$68,2,FALSE)</f>
        <v>Pedra do Indaiá 3</v>
      </c>
      <c r="C1010" s="2" t="str">
        <f>VLOOKUP($A1010,Controle!$B$4:$F$68,3,FALSE)</f>
        <v xml:space="preserve">ESTRELA DO NORTE </v>
      </c>
      <c r="D1010" s="2" t="str">
        <f>VLOOKUP($A1010,Controle!$B$4:$F$68,4,FALSE)</f>
        <v>EDN</v>
      </c>
      <c r="E1010" s="2">
        <f>VLOOKUP($A1010,Controle!$B$4:$F$68,5,FALSE)</f>
        <v>1</v>
      </c>
      <c r="F1010" s="3" t="str">
        <f t="shared" si="335"/>
        <v>Construção - Serviços de Construção - NOVA MORADA</v>
      </c>
      <c r="G1010" s="2" t="str">
        <f>VLOOKUP($A1010,Controle!$B$4:$G$68,6,FALSE)</f>
        <v>Apolo</v>
      </c>
      <c r="H1010" s="6">
        <v>0</v>
      </c>
      <c r="I1010" s="6">
        <v>0</v>
      </c>
      <c r="J1010" s="6">
        <v>0</v>
      </c>
      <c r="K1010" s="6">
        <v>0</v>
      </c>
      <c r="L1010" s="6">
        <v>0</v>
      </c>
      <c r="M1010" s="6">
        <v>0</v>
      </c>
      <c r="N1010" s="6">
        <v>0</v>
      </c>
      <c r="O1010" s="4">
        <f t="shared" si="336"/>
        <v>0</v>
      </c>
      <c r="P1010" s="5">
        <f>SUMIFS('Desenvolvimento diário'!$H:$H,'Desenvolvimento diário'!$Q:$Q,$B1010,'Desenvolvimento diário'!$P:$P,$F1010,'Desenvolvimento diário'!$R:$R,"Sim")</f>
        <v>0</v>
      </c>
      <c r="Q1010" s="5">
        <f>SUMIFS('Desenvolvimento diário'!$H:$H,'Desenvolvimento diário'!$Q:$Q,$B1010,'Desenvolvimento diário'!$P:$P,$F1010,'Desenvolvimento diário'!$R:$R,"Não")</f>
        <v>0</v>
      </c>
      <c r="R1010" s="4">
        <f t="shared" si="337"/>
        <v>0</v>
      </c>
      <c r="S1010" s="4">
        <f t="shared" si="338"/>
        <v>0</v>
      </c>
      <c r="T1010" s="12">
        <f t="shared" si="328"/>
        <v>0</v>
      </c>
      <c r="Y1010" s="2"/>
      <c r="Z1010" s="2"/>
      <c r="AA1010" s="2"/>
      <c r="AB1010" s="2"/>
      <c r="AC1010" s="2"/>
    </row>
    <row r="1011" spans="1:29" ht="10.5" hidden="1">
      <c r="A1011" s="2">
        <f t="shared" si="339"/>
        <v>29</v>
      </c>
      <c r="B1011" s="2" t="str">
        <f>VLOOKUP($A1011,Controle!$B$4:$F$68,2,FALSE)</f>
        <v>Pedra do Indaiá 3</v>
      </c>
      <c r="C1011" s="2" t="str">
        <f>VLOOKUP($A1011,Controle!$B$4:$F$68,3,FALSE)</f>
        <v xml:space="preserve">ESTRELA DO NORTE </v>
      </c>
      <c r="D1011" s="2" t="str">
        <f>VLOOKUP($A1011,Controle!$B$4:$F$68,4,FALSE)</f>
        <v>EDN</v>
      </c>
      <c r="E1011" s="2">
        <f>VLOOKUP($A1011,Controle!$B$4:$F$68,5,FALSE)</f>
        <v>1</v>
      </c>
      <c r="F1011" s="3" t="str">
        <f t="shared" si="335"/>
        <v>Equipamentos Curva A -  Contrato Sobressalentes - SETTA</v>
      </c>
      <c r="G1011" s="2" t="str">
        <f>VLOOKUP($A1011,Controle!$B$4:$G$68,6,FALSE)</f>
        <v>Apolo</v>
      </c>
      <c r="H1011" s="6" t="s">
        <v>196</v>
      </c>
      <c r="I1011" s="6">
        <f>53434.61-0.005</f>
        <v>53434.605000000003</v>
      </c>
      <c r="J1011" s="6">
        <v>0</v>
      </c>
      <c r="K1011" s="6">
        <v>0</v>
      </c>
      <c r="L1011" s="6">
        <v>0</v>
      </c>
      <c r="M1011" s="6">
        <v>0</v>
      </c>
      <c r="N1011" s="6">
        <v>0</v>
      </c>
      <c r="O1011" s="4">
        <f t="shared" si="336"/>
        <v>53434.605000000003</v>
      </c>
      <c r="P1011" s="5">
        <f>SUMIFS('Desenvolvimento diário'!$H:$H,'Desenvolvimento diário'!$Q:$Q,$B1011,'Desenvolvimento diário'!$P:$P,$F1011,'Desenvolvimento diário'!$R:$R,"Sim")</f>
        <v>0</v>
      </c>
      <c r="Q1011" s="5">
        <f>SUMIFS('Desenvolvimento diário'!$H:$H,'Desenvolvimento diário'!$Q:$Q,$B1011,'Desenvolvimento diário'!$P:$P,$F1011,'Desenvolvimento diário'!$R:$R,"Não")</f>
        <v>53434.605000000003</v>
      </c>
      <c r="R1011" s="4">
        <f t="shared" si="337"/>
        <v>53434.605000000003</v>
      </c>
      <c r="S1011" s="137">
        <f t="shared" si="338"/>
        <v>0</v>
      </c>
      <c r="T1011" s="12">
        <f t="shared" si="328"/>
        <v>1</v>
      </c>
      <c r="Y1011" s="2"/>
      <c r="Z1011" s="2"/>
      <c r="AA1011" s="2"/>
      <c r="AB1011" s="2"/>
      <c r="AC1011" s="2"/>
    </row>
    <row r="1012" spans="1:29" ht="10.5" hidden="1">
      <c r="A1012" s="2">
        <f t="shared" si="339"/>
        <v>29</v>
      </c>
      <c r="B1012" s="2" t="str">
        <f>VLOOKUP($A1012,Controle!$B$4:$F$68,2,FALSE)</f>
        <v>Pedra do Indaiá 3</v>
      </c>
      <c r="C1012" s="2" t="str">
        <f>VLOOKUP($A1012,Controle!$B$4:$F$68,3,FALSE)</f>
        <v xml:space="preserve">ESTRELA DO NORTE </v>
      </c>
      <c r="D1012" s="2" t="str">
        <f>VLOOKUP($A1012,Controle!$B$4:$F$68,4,FALSE)</f>
        <v>EDN</v>
      </c>
      <c r="E1012" s="2">
        <f>VLOOKUP($A1012,Controle!$B$4:$F$68,5,FALSE)</f>
        <v>1</v>
      </c>
      <c r="F1012" s="3" t="str">
        <f t="shared" si="335"/>
        <v>Equipamentos Curva A -  Contrato Sobressalentes - Arctech</v>
      </c>
      <c r="G1012" s="2" t="str">
        <f>VLOOKUP($A1012,Controle!$B$4:$G$68,6,FALSE)</f>
        <v>Apolo</v>
      </c>
      <c r="H1012" s="6">
        <v>0</v>
      </c>
      <c r="I1012" s="6">
        <v>0</v>
      </c>
      <c r="J1012" s="6">
        <v>0</v>
      </c>
      <c r="K1012" s="6">
        <v>0</v>
      </c>
      <c r="L1012" s="6">
        <v>0</v>
      </c>
      <c r="M1012" s="6">
        <v>0</v>
      </c>
      <c r="N1012" s="6">
        <v>0</v>
      </c>
      <c r="O1012" s="4">
        <f t="shared" si="336"/>
        <v>0</v>
      </c>
      <c r="P1012" s="5">
        <f>SUMIFS('Desenvolvimento diário'!$H:$H,'Desenvolvimento diário'!$Q:$Q,$B1012,'Desenvolvimento diário'!$P:$P,$F1012,'Desenvolvimento diário'!$R:$R,"Sim")</f>
        <v>0</v>
      </c>
      <c r="Q1012" s="5">
        <f>SUMIFS('Desenvolvimento diário'!$H:$H,'Desenvolvimento diário'!$Q:$Q,$B1012,'Desenvolvimento diário'!$P:$P,$F1012,'Desenvolvimento diário'!$R:$R,"Não")</f>
        <v>0</v>
      </c>
      <c r="R1012" s="4">
        <f t="shared" si="337"/>
        <v>0</v>
      </c>
      <c r="S1012" s="4">
        <f t="shared" si="338"/>
        <v>0</v>
      </c>
      <c r="T1012" s="12">
        <f t="shared" si="328"/>
        <v>0</v>
      </c>
      <c r="Y1012" s="2"/>
      <c r="Z1012" s="2"/>
      <c r="AA1012" s="2"/>
      <c r="AB1012" s="2"/>
      <c r="AC1012" s="2"/>
    </row>
    <row r="1013" spans="1:29" hidden="1">
      <c r="A1013" s="2">
        <f t="shared" si="339"/>
        <v>29</v>
      </c>
      <c r="B1013" s="2" t="str">
        <f>VLOOKUP($A1013,Controle!$B$4:$F$68,2,FALSE)</f>
        <v>Pedra do Indaiá 3</v>
      </c>
      <c r="C1013" s="2" t="str">
        <f>VLOOKUP($A1013,Controle!$B$4:$F$68,3,FALSE)</f>
        <v xml:space="preserve">ESTRELA DO NORTE </v>
      </c>
      <c r="D1013" s="2" t="str">
        <f>VLOOKUP($A1013,Controle!$B$4:$F$68,4,FALSE)</f>
        <v>EDN</v>
      </c>
      <c r="E1013" s="2">
        <f>VLOOKUP($A1013,Controle!$B$4:$F$68,5,FALSE)</f>
        <v>1</v>
      </c>
      <c r="F1013" s="3" t="str">
        <f t="shared" si="335"/>
        <v>Equipamentos Curva A -  Contrato Sobressalentes - Romagnole</v>
      </c>
      <c r="G1013" s="2" t="str">
        <f>VLOOKUP($A1013,Controle!$B$4:$G$68,6,FALSE)</f>
        <v>Apolo</v>
      </c>
      <c r="H1013" s="7">
        <v>0</v>
      </c>
      <c r="I1013" s="7">
        <v>0</v>
      </c>
      <c r="J1013" s="7">
        <v>0</v>
      </c>
      <c r="K1013" s="7">
        <v>0</v>
      </c>
      <c r="L1013" s="7">
        <v>0</v>
      </c>
      <c r="M1013" s="7">
        <v>0</v>
      </c>
      <c r="N1013" s="7">
        <v>0</v>
      </c>
      <c r="O1013" s="4">
        <f t="shared" si="336"/>
        <v>0</v>
      </c>
      <c r="P1013" s="17">
        <f>SUMIFS('Desenvolvimento diário'!$H:$H,'Desenvolvimento diário'!$Q:$Q,$B1013,'Desenvolvimento diário'!$P:$P,$F1013,'Desenvolvimento diário'!$R:$R,"Sim")</f>
        <v>0</v>
      </c>
      <c r="Q1013" s="17">
        <f>SUMIFS('Desenvolvimento diário'!$H:$H,'Desenvolvimento diário'!$Q:$Q,$B1013,'Desenvolvimento diário'!$P:$P,$F1013,'Desenvolvimento diário'!$R:$R,"Não")</f>
        <v>0</v>
      </c>
      <c r="R1013" s="4">
        <f t="shared" si="337"/>
        <v>0</v>
      </c>
      <c r="S1013" s="4">
        <f t="shared" si="338"/>
        <v>0</v>
      </c>
      <c r="T1013" s="12">
        <f t="shared" si="328"/>
        <v>0</v>
      </c>
      <c r="Y1013" s="2"/>
      <c r="Z1013" s="2"/>
      <c r="AA1013" s="2"/>
      <c r="AB1013" s="2"/>
      <c r="AC1013" s="2"/>
    </row>
    <row r="1014" spans="1:29" hidden="1">
      <c r="A1014" s="2">
        <f t="shared" si="339"/>
        <v>29</v>
      </c>
      <c r="B1014" s="2" t="str">
        <f>VLOOKUP($A1014,Controle!$B$4:$F$68,2,FALSE)</f>
        <v>Pedra do Indaiá 3</v>
      </c>
      <c r="C1014" s="2" t="str">
        <f>VLOOKUP($A1014,Controle!$B$4:$F$68,3,FALSE)</f>
        <v xml:space="preserve">ESTRELA DO NORTE </v>
      </c>
      <c r="D1014" s="2" t="str">
        <f>VLOOKUP($A1014,Controle!$B$4:$F$68,4,FALSE)</f>
        <v>EDN</v>
      </c>
      <c r="E1014" s="2">
        <f>VLOOKUP($A1014,Controle!$B$4:$F$68,5,FALSE)</f>
        <v>1</v>
      </c>
      <c r="F1014" s="3" t="str">
        <f t="shared" si="335"/>
        <v>GOS FLORESTAL - (PRAD - Recuperação Area Ambiental)</v>
      </c>
      <c r="G1014" s="2" t="str">
        <f>VLOOKUP($A1014,Controle!$B$4:$G$68,6,FALSE)</f>
        <v>Apolo</v>
      </c>
      <c r="H1014" s="506" t="s">
        <v>170</v>
      </c>
      <c r="I1014" s="6">
        <v>0</v>
      </c>
      <c r="J1014" s="506"/>
      <c r="K1014" s="506">
        <v>0</v>
      </c>
      <c r="L1014" s="506">
        <v>0</v>
      </c>
      <c r="M1014" s="506">
        <v>0</v>
      </c>
      <c r="N1014" s="506">
        <v>0</v>
      </c>
      <c r="O1014" s="39">
        <f t="shared" si="336"/>
        <v>0</v>
      </c>
      <c r="P1014" s="17">
        <f>SUMIFS('Desenvolvimento diário'!$H:$H,'Desenvolvimento diário'!$Q:$Q,$B1014,'Desenvolvimento diário'!$P:$P,$F1014,'Desenvolvimento diário'!$R:$R,"Sim")</f>
        <v>0</v>
      </c>
      <c r="Q1014" s="17">
        <f>SUMIFS('Desenvolvimento diário'!$H:$H,'Desenvolvimento diário'!$Q:$Q,$B1014,'Desenvolvimento diário'!$P:$P,$F1014,'Desenvolvimento diário'!$R:$R,"Não")</f>
        <v>0</v>
      </c>
      <c r="R1014" s="4">
        <f t="shared" si="337"/>
        <v>0</v>
      </c>
      <c r="S1014" s="4">
        <f t="shared" si="338"/>
        <v>0</v>
      </c>
      <c r="T1014" s="12">
        <f t="shared" ref="T1014:T1015" si="341">IFERROR(R1014/O1014,0)</f>
        <v>0</v>
      </c>
      <c r="Y1014" s="2"/>
      <c r="Z1014" s="2"/>
      <c r="AA1014" s="2"/>
      <c r="AB1014" s="2"/>
      <c r="AC1014" s="2"/>
    </row>
    <row r="1015" spans="1:29" hidden="1">
      <c r="A1015" s="2">
        <f t="shared" si="339"/>
        <v>29</v>
      </c>
      <c r="B1015" s="2" t="str">
        <f>VLOOKUP($A1015,Controle!$B$4:$F$68,2,FALSE)</f>
        <v>Pedra do Indaiá 3</v>
      </c>
      <c r="C1015" s="2" t="str">
        <f>VLOOKUP($A1015,Controle!$B$4:$F$68,3,FALSE)</f>
        <v xml:space="preserve">ESTRELA DO NORTE </v>
      </c>
      <c r="D1015" s="2" t="str">
        <f>VLOOKUP($A1015,Controle!$B$4:$F$68,4,FALSE)</f>
        <v>EDN</v>
      </c>
      <c r="E1015" s="2">
        <f>VLOOKUP($A1015,Controle!$B$4:$F$68,5,FALSE)</f>
        <v>1</v>
      </c>
      <c r="F1015" s="3" t="str">
        <f t="shared" si="335"/>
        <v>Cercamento das bacias de contenção ciclo 2</v>
      </c>
      <c r="G1015" s="2" t="str">
        <f>VLOOKUP($A1015,Controle!$B$4:$G$68,6,FALSE)</f>
        <v>Apolo</v>
      </c>
      <c r="H1015" s="506" t="s">
        <v>172</v>
      </c>
      <c r="I1015" s="6"/>
      <c r="J1015" s="506"/>
      <c r="K1015" s="506">
        <v>0</v>
      </c>
      <c r="L1015" s="506">
        <v>0</v>
      </c>
      <c r="M1015" s="506">
        <v>0</v>
      </c>
      <c r="N1015" s="506">
        <v>0</v>
      </c>
      <c r="O1015" s="39">
        <f t="shared" si="336"/>
        <v>0</v>
      </c>
      <c r="P1015" s="17">
        <f>SUMIFS('Desenvolvimento diário'!$H:$H,'Desenvolvimento diário'!$Q:$Q,$B1015,'Desenvolvimento diário'!$P:$P,$F1015,'Desenvolvimento diário'!$R:$R,"Sim")</f>
        <v>0</v>
      </c>
      <c r="Q1015" s="17">
        <f>SUMIFS('Desenvolvimento diário'!$H:$H,'Desenvolvimento diário'!$Q:$Q,$B1015,'Desenvolvimento diário'!$P:$P,$F1015,'Desenvolvimento diário'!$R:$R,"Não")</f>
        <v>0</v>
      </c>
      <c r="R1015" s="4">
        <f t="shared" si="337"/>
        <v>0</v>
      </c>
      <c r="S1015" s="1030">
        <f t="shared" si="338"/>
        <v>0</v>
      </c>
      <c r="T1015" s="12">
        <f t="shared" si="341"/>
        <v>0</v>
      </c>
      <c r="U1015" s="1029" t="s">
        <v>166</v>
      </c>
      <c r="V1015" s="1029" t="s">
        <v>94</v>
      </c>
      <c r="Y1015" s="2"/>
      <c r="Z1015" s="2"/>
      <c r="AA1015" s="2"/>
      <c r="AB1015" s="2"/>
      <c r="AC1015" s="2"/>
    </row>
    <row r="1016" spans="1:29" hidden="1">
      <c r="A1016" s="8">
        <f>A1013</f>
        <v>29</v>
      </c>
      <c r="B1016" s="9" t="str">
        <f t="shared" ref="B1016" si="342">B1013</f>
        <v>Pedra do Indaiá 3</v>
      </c>
      <c r="C1016" s="9" t="str">
        <f t="shared" ref="C1016" si="343">C1013</f>
        <v xml:space="preserve">ESTRELA DO NORTE </v>
      </c>
      <c r="D1016" s="9" t="str">
        <f t="shared" ref="D1016" si="344">D1013</f>
        <v>EDN</v>
      </c>
      <c r="E1016" s="9">
        <f t="shared" ref="E1016" si="345">E1013</f>
        <v>1</v>
      </c>
      <c r="F1016" s="10" t="s">
        <v>158</v>
      </c>
      <c r="G1016" s="9" t="str">
        <f>G1013</f>
        <v>Apolo</v>
      </c>
      <c r="H1016" s="9"/>
      <c r="I1016" s="9">
        <f>SUBTOTAL(9,I982:I1015)</f>
        <v>0</v>
      </c>
      <c r="J1016" s="9">
        <f t="shared" ref="J1016:S1016" si="346">SUBTOTAL(9,J982:J1015)</f>
        <v>0</v>
      </c>
      <c r="K1016" s="9">
        <f t="shared" si="346"/>
        <v>0</v>
      </c>
      <c r="L1016" s="9">
        <f t="shared" si="346"/>
        <v>0</v>
      </c>
      <c r="M1016" s="9">
        <f t="shared" si="346"/>
        <v>0</v>
      </c>
      <c r="N1016" s="9">
        <f t="shared" si="346"/>
        <v>0</v>
      </c>
      <c r="O1016" s="9">
        <f t="shared" si="346"/>
        <v>0</v>
      </c>
      <c r="P1016" s="9">
        <f t="shared" si="346"/>
        <v>0</v>
      </c>
      <c r="Q1016" s="9">
        <f t="shared" si="346"/>
        <v>0</v>
      </c>
      <c r="R1016" s="9">
        <f t="shared" si="346"/>
        <v>0</v>
      </c>
      <c r="S1016" s="9">
        <f t="shared" si="346"/>
        <v>0</v>
      </c>
      <c r="T1016" s="13">
        <f t="shared" si="328"/>
        <v>0</v>
      </c>
      <c r="U1016" s="11">
        <f>SUBTOTAL(9,U982:U1016)</f>
        <v>0</v>
      </c>
      <c r="Y1016" s="2"/>
      <c r="Z1016" s="2"/>
      <c r="AA1016" s="2"/>
      <c r="AB1016" s="2"/>
      <c r="AC1016" s="2"/>
    </row>
    <row r="1017" spans="1:29" ht="10.5" hidden="1">
      <c r="A1017" s="2">
        <f>A982+1</f>
        <v>30</v>
      </c>
      <c r="B1017" s="2" t="str">
        <f>VLOOKUP($A1017,Controle!$B$4:$F$68,2,FALSE)</f>
        <v>Pedra do Indaiá 5</v>
      </c>
      <c r="C1017" s="2" t="str">
        <f>VLOOKUP($A1017,Controle!$B$4:$F$68,3,FALSE)</f>
        <v xml:space="preserve">ESTRELA DO NORTE </v>
      </c>
      <c r="D1017" s="2" t="str">
        <f>VLOOKUP($A1017,Controle!$B$4:$F$68,4,FALSE)</f>
        <v>EDN</v>
      </c>
      <c r="E1017" s="2">
        <f>VLOOKUP($A1017,Controle!$B$4:$F$68,5,FALSE)</f>
        <v>1</v>
      </c>
      <c r="F1017" s="3" t="str">
        <f t="shared" ref="F1017:F1050" si="347">F982</f>
        <v>Conexão AT - Obras</v>
      </c>
      <c r="G1017" s="2" t="str">
        <f>VLOOKUP($A1017,Controle!$B$4:$G$68,6,FALSE)</f>
        <v>Apolo</v>
      </c>
      <c r="H1017" s="6" t="s">
        <v>194</v>
      </c>
      <c r="I1017" s="6">
        <v>0</v>
      </c>
      <c r="J1017" s="6">
        <v>0</v>
      </c>
      <c r="K1017" s="6">
        <v>0</v>
      </c>
      <c r="L1017" s="6">
        <v>0</v>
      </c>
      <c r="M1017" s="6">
        <v>0</v>
      </c>
      <c r="N1017" s="6">
        <v>0</v>
      </c>
      <c r="O1017" s="4">
        <f t="shared" ref="O1017:O1050" si="348">SUM(I1017:N1017)</f>
        <v>0</v>
      </c>
      <c r="P1017" s="5">
        <f>SUMIFS('Desenvolvimento diário'!$H:$H,'Desenvolvimento diário'!$Q:$Q,$B1017,'Desenvolvimento diário'!$P:$P,$F1017,'Desenvolvimento diário'!$R:$R,"Sim")</f>
        <v>0</v>
      </c>
      <c r="Q1017" s="5">
        <f>SUMIFS('Desenvolvimento diário'!$H:$H,'Desenvolvimento diário'!$Q:$Q,$B1017,'Desenvolvimento diário'!$P:$P,$F1017,'Desenvolvimento diário'!$R:$R,"Não")</f>
        <v>0</v>
      </c>
      <c r="R1017" s="4">
        <f t="shared" ref="R1017:R1050" si="349">SUM(P1017:Q1017)</f>
        <v>0</v>
      </c>
      <c r="S1017" s="4">
        <f t="shared" ref="S1017:S1050" si="350">O1017-R1017</f>
        <v>0</v>
      </c>
      <c r="T1017" s="12">
        <f t="shared" si="328"/>
        <v>0</v>
      </c>
      <c r="Y1017" s="2"/>
      <c r="Z1017" s="2"/>
      <c r="AA1017" s="2"/>
      <c r="AB1017" s="2"/>
      <c r="AC1017" s="2"/>
    </row>
    <row r="1018" spans="1:29" ht="10.5" hidden="1">
      <c r="A1018" s="2">
        <f t="shared" ref="A1018:A1050" si="351">A1017</f>
        <v>30</v>
      </c>
      <c r="B1018" s="2" t="str">
        <f>VLOOKUP($A1018,Controle!$B$4:$F$68,2,FALSE)</f>
        <v>Pedra do Indaiá 5</v>
      </c>
      <c r="C1018" s="2" t="str">
        <f>VLOOKUP($A1018,Controle!$B$4:$F$68,3,FALSE)</f>
        <v xml:space="preserve">ESTRELA DO NORTE </v>
      </c>
      <c r="D1018" s="2" t="str">
        <f>VLOOKUP($A1018,Controle!$B$4:$F$68,4,FALSE)</f>
        <v>EDN</v>
      </c>
      <c r="E1018" s="2">
        <f>VLOOKUP($A1018,Controle!$B$4:$F$68,5,FALSE)</f>
        <v>1</v>
      </c>
      <c r="F1018" s="3" t="str">
        <f t="shared" si="347"/>
        <v>Conexão MT - Obras</v>
      </c>
      <c r="G1018" s="2" t="str">
        <f>VLOOKUP($A1018,Controle!$B$4:$G$68,6,FALSE)</f>
        <v>Apolo</v>
      </c>
      <c r="H1018" s="6" t="s">
        <v>194</v>
      </c>
      <c r="I1018" s="6">
        <v>0</v>
      </c>
      <c r="J1018" s="6">
        <v>0</v>
      </c>
      <c r="K1018" s="6">
        <v>0</v>
      </c>
      <c r="L1018" s="6">
        <v>0</v>
      </c>
      <c r="M1018" s="6">
        <v>0</v>
      </c>
      <c r="N1018" s="6">
        <v>0</v>
      </c>
      <c r="O1018" s="4">
        <f t="shared" si="348"/>
        <v>0</v>
      </c>
      <c r="P1018" s="5">
        <f>SUMIFS('Desenvolvimento diário'!$H:$H,'Desenvolvimento diário'!$Q:$Q,$B1018,'Desenvolvimento diário'!$P:$P,$F1018,'Desenvolvimento diário'!$R:$R,"Sim")</f>
        <v>0</v>
      </c>
      <c r="Q1018" s="5">
        <f>SUMIFS('Desenvolvimento diário'!$H:$H,'Desenvolvimento diário'!$Q:$Q,$B1018,'Desenvolvimento diário'!$P:$P,$F1018,'Desenvolvimento diário'!$R:$R,"Não")</f>
        <v>0</v>
      </c>
      <c r="R1018" s="4">
        <f t="shared" si="349"/>
        <v>0</v>
      </c>
      <c r="S1018" s="4">
        <f t="shared" si="350"/>
        <v>0</v>
      </c>
      <c r="T1018" s="12">
        <f t="shared" si="328"/>
        <v>0</v>
      </c>
      <c r="Y1018" s="2"/>
      <c r="Z1018" s="2"/>
      <c r="AA1018" s="2"/>
      <c r="AB1018" s="2"/>
      <c r="AC1018" s="2"/>
    </row>
    <row r="1019" spans="1:29" ht="10.5" hidden="1">
      <c r="A1019" s="2">
        <f t="shared" si="351"/>
        <v>30</v>
      </c>
      <c r="B1019" s="2" t="str">
        <f>VLOOKUP($A1019,Controle!$B$4:$F$68,2,FALSE)</f>
        <v>Pedra do Indaiá 5</v>
      </c>
      <c r="C1019" s="2" t="str">
        <f>VLOOKUP($A1019,Controle!$B$4:$F$68,3,FALSE)</f>
        <v xml:space="preserve">ESTRELA DO NORTE </v>
      </c>
      <c r="D1019" s="2" t="str">
        <f>VLOOKUP($A1019,Controle!$B$4:$F$68,4,FALSE)</f>
        <v>EDN</v>
      </c>
      <c r="E1019" s="2">
        <f>VLOOKUP($A1019,Controle!$B$4:$F$68,5,FALSE)</f>
        <v>1</v>
      </c>
      <c r="F1019" s="3" t="str">
        <f t="shared" si="347"/>
        <v>Construção - Serviços de Construção</v>
      </c>
      <c r="G1019" s="2" t="str">
        <f>VLOOKUP($A1019,Controle!$B$4:$G$68,6,FALSE)</f>
        <v>Apolo</v>
      </c>
      <c r="H1019" s="6" t="s">
        <v>206</v>
      </c>
      <c r="I1019" s="6">
        <v>3340215</v>
      </c>
      <c r="J1019" s="6">
        <v>224663.09</v>
      </c>
      <c r="K1019" s="6">
        <v>112590.47</v>
      </c>
      <c r="L1019" s="6">
        <v>0</v>
      </c>
      <c r="M1019" s="6">
        <v>0</v>
      </c>
      <c r="N1019" s="6">
        <v>0</v>
      </c>
      <c r="O1019" s="4">
        <f t="shared" si="348"/>
        <v>3677468.56</v>
      </c>
      <c r="P1019" s="5">
        <f>SUMIFS('Desenvolvimento diário'!$H:$H,'Desenvolvimento diário'!$Q:$Q,$B1019,'Desenvolvimento diário'!$P:$P,$F1019,'Desenvolvimento diário'!$R:$R,"Sim")</f>
        <v>700142.54999999993</v>
      </c>
      <c r="Q1019" s="5">
        <f>SUMIFS('Desenvolvimento diário'!$H:$H,'Desenvolvimento diário'!$Q:$Q,$B1019,'Desenvolvimento diário'!$P:$P,$F1019,'Desenvolvimento diário'!$R:$R,"Não")</f>
        <v>2854829.1999999997</v>
      </c>
      <c r="R1019" s="4">
        <f t="shared" si="349"/>
        <v>3554971.7499999995</v>
      </c>
      <c r="S1019" s="33">
        <f>O1019-R1019</f>
        <v>122496.81000000052</v>
      </c>
      <c r="T1019" s="12">
        <f t="shared" si="328"/>
        <v>0.96668990964806489</v>
      </c>
      <c r="U1019" s="510" t="s">
        <v>162</v>
      </c>
      <c r="V1019" s="510" t="s">
        <v>163</v>
      </c>
      <c r="Y1019" s="2"/>
      <c r="Z1019" s="2"/>
      <c r="AA1019" s="2"/>
      <c r="AB1019" s="2"/>
      <c r="AC1019" s="2"/>
    </row>
    <row r="1020" spans="1:29" ht="10.5" hidden="1">
      <c r="A1020" s="2">
        <f t="shared" si="351"/>
        <v>30</v>
      </c>
      <c r="B1020" s="2" t="str">
        <f>VLOOKUP($A1020,Controle!$B$4:$F$68,2,FALSE)</f>
        <v>Pedra do Indaiá 5</v>
      </c>
      <c r="C1020" s="2" t="str">
        <f>VLOOKUP($A1020,Controle!$B$4:$F$68,3,FALSE)</f>
        <v xml:space="preserve">ESTRELA DO NORTE </v>
      </c>
      <c r="D1020" s="2" t="str">
        <f>VLOOKUP($A1020,Controle!$B$4:$F$68,4,FALSE)</f>
        <v>EDN</v>
      </c>
      <c r="E1020" s="2">
        <f>VLOOKUP($A1020,Controle!$B$4:$F$68,5,FALSE)</f>
        <v>1</v>
      </c>
      <c r="F1020" s="3" t="str">
        <f t="shared" si="347"/>
        <v>Construção - Serviços de Construção - Substituição</v>
      </c>
      <c r="G1020" s="2" t="str">
        <f>VLOOKUP($A1020,Controle!$B$4:$G$68,6,FALSE)</f>
        <v>Apolo</v>
      </c>
      <c r="H1020" s="6" t="s">
        <v>202</v>
      </c>
      <c r="I1020" s="6">
        <v>2740702.22</v>
      </c>
      <c r="J1020" s="6">
        <v>0</v>
      </c>
      <c r="K1020" s="6">
        <v>0</v>
      </c>
      <c r="L1020" s="6">
        <v>0</v>
      </c>
      <c r="M1020" s="6">
        <v>0</v>
      </c>
      <c r="N1020" s="6">
        <v>0</v>
      </c>
      <c r="O1020" s="4">
        <f t="shared" si="348"/>
        <v>2740702.22</v>
      </c>
      <c r="P1020" s="5">
        <f>SUMIFS('Desenvolvimento diário'!$H:$H,'Desenvolvimento diário'!$Q:$Q,$B1020,'Desenvolvimento diário'!$P:$P,$F1020,'Desenvolvimento diário'!$R:$R,"Sim")</f>
        <v>524185.79000000004</v>
      </c>
      <c r="Q1020" s="5">
        <f>SUMIFS('Desenvolvimento diário'!$H:$H,'Desenvolvimento diário'!$Q:$Q,$B1020,'Desenvolvimento diário'!$P:$P,$F1020,'Desenvolvimento diário'!$R:$R,"Não")</f>
        <v>369994.8</v>
      </c>
      <c r="R1020" s="4">
        <f t="shared" si="349"/>
        <v>894180.59000000008</v>
      </c>
      <c r="S1020" s="33">
        <f t="shared" si="350"/>
        <v>1846521.6300000001</v>
      </c>
      <c r="T1020" s="12">
        <f t="shared" si="328"/>
        <v>0.32625966567064701</v>
      </c>
      <c r="U1020" s="510" t="s">
        <v>162</v>
      </c>
      <c r="V1020" s="510" t="s">
        <v>163</v>
      </c>
      <c r="Y1020" s="2"/>
      <c r="Z1020" s="2"/>
      <c r="AA1020" s="2"/>
      <c r="AB1020" s="2"/>
      <c r="AC1020" s="2"/>
    </row>
    <row r="1021" spans="1:29" ht="10.5" hidden="1">
      <c r="A1021" s="2">
        <f t="shared" si="351"/>
        <v>30</v>
      </c>
      <c r="B1021" s="2" t="str">
        <f>VLOOKUP($A1021,Controle!$B$4:$F$68,2,FALSE)</f>
        <v>Pedra do Indaiá 5</v>
      </c>
      <c r="C1021" s="2" t="str">
        <f>VLOOKUP($A1021,Controle!$B$4:$F$68,3,FALSE)</f>
        <v xml:space="preserve">ESTRELA DO NORTE </v>
      </c>
      <c r="D1021" s="2" t="str">
        <f>VLOOKUP($A1021,Controle!$B$4:$F$68,4,FALSE)</f>
        <v>EDN</v>
      </c>
      <c r="E1021" s="2">
        <f>VLOOKUP($A1021,Controle!$B$4:$F$68,5,FALSE)</f>
        <v>1</v>
      </c>
      <c r="F1021" s="3" t="str">
        <f t="shared" si="347"/>
        <v>Construção - RDA Interno</v>
      </c>
      <c r="G1021" s="2" t="str">
        <f>VLOOKUP($A1021,Controle!$B$4:$G$68,6,FALSE)</f>
        <v>Apolo</v>
      </c>
      <c r="H1021" s="6" t="s">
        <v>168</v>
      </c>
      <c r="I1021" s="6">
        <v>330000</v>
      </c>
      <c r="J1021" s="6">
        <v>0</v>
      </c>
      <c r="K1021" s="6">
        <v>0</v>
      </c>
      <c r="L1021" s="6">
        <v>0</v>
      </c>
      <c r="M1021" s="6">
        <v>0</v>
      </c>
      <c r="N1021" s="6">
        <v>0</v>
      </c>
      <c r="O1021" s="4">
        <f t="shared" si="348"/>
        <v>330000</v>
      </c>
      <c r="P1021" s="5">
        <f>SUMIFS('Desenvolvimento diário'!$H:$H,'Desenvolvimento diário'!$Q:$Q,$B1021,'Desenvolvimento diário'!$P:$P,$F1021,'Desenvolvimento diário'!$R:$R,"Sim")</f>
        <v>0</v>
      </c>
      <c r="Q1021" s="5">
        <f>SUMIFS('Desenvolvimento diário'!$H:$H,'Desenvolvimento diário'!$Q:$Q,$B1021,'Desenvolvimento diário'!$P:$P,$F1021,'Desenvolvimento diário'!$R:$R,"Não")</f>
        <v>330000</v>
      </c>
      <c r="R1021" s="4">
        <f t="shared" si="349"/>
        <v>330000</v>
      </c>
      <c r="S1021" s="4">
        <f t="shared" si="350"/>
        <v>0</v>
      </c>
      <c r="T1021" s="12">
        <f t="shared" si="328"/>
        <v>1</v>
      </c>
      <c r="Y1021" s="2"/>
      <c r="Z1021" s="2"/>
      <c r="AA1021" s="2"/>
      <c r="AB1021" s="2"/>
      <c r="AC1021" s="2"/>
    </row>
    <row r="1022" spans="1:29" ht="10.5" hidden="1">
      <c r="A1022" s="2">
        <f t="shared" si="351"/>
        <v>30</v>
      </c>
      <c r="B1022" s="2" t="str">
        <f>VLOOKUP($A1022,Controle!$B$4:$F$68,2,FALSE)</f>
        <v>Pedra do Indaiá 5</v>
      </c>
      <c r="C1022" s="2" t="str">
        <f>VLOOKUP($A1022,Controle!$B$4:$F$68,3,FALSE)</f>
        <v xml:space="preserve">ESTRELA DO NORTE </v>
      </c>
      <c r="D1022" s="2" t="str">
        <f>VLOOKUP($A1022,Controle!$B$4:$F$68,4,FALSE)</f>
        <v>EDN</v>
      </c>
      <c r="E1022" s="2">
        <f>VLOOKUP($A1022,Controle!$B$4:$F$68,5,FALSE)</f>
        <v>1</v>
      </c>
      <c r="F1022" s="3" t="str">
        <f t="shared" si="347"/>
        <v>Full EPC - Contrato</v>
      </c>
      <c r="G1022" s="2" t="str">
        <f>VLOOKUP($A1022,Controle!$B$4:$G$68,6,FALSE)</f>
        <v>Apolo</v>
      </c>
      <c r="H1022" s="6">
        <v>0</v>
      </c>
      <c r="I1022" s="6">
        <v>0</v>
      </c>
      <c r="J1022" s="6">
        <v>0</v>
      </c>
      <c r="K1022" s="6">
        <v>0</v>
      </c>
      <c r="L1022" s="6">
        <v>0</v>
      </c>
      <c r="M1022" s="6">
        <v>0</v>
      </c>
      <c r="N1022" s="6">
        <v>0</v>
      </c>
      <c r="O1022" s="4">
        <f t="shared" si="348"/>
        <v>0</v>
      </c>
      <c r="P1022" s="5">
        <f>SUMIFS('Desenvolvimento diário'!$H:$H,'Desenvolvimento diário'!$Q:$Q,$B1022,'Desenvolvimento diário'!$P:$P,$F1022,'Desenvolvimento diário'!$R:$R,"Sim")</f>
        <v>0</v>
      </c>
      <c r="Q1022" s="5">
        <f>SUMIFS('Desenvolvimento diário'!$H:$H,'Desenvolvimento diário'!$Q:$Q,$B1022,'Desenvolvimento diário'!$P:$P,$F1022,'Desenvolvimento diário'!$R:$R,"Não")</f>
        <v>0</v>
      </c>
      <c r="R1022" s="4">
        <f t="shared" si="349"/>
        <v>0</v>
      </c>
      <c r="S1022" s="4">
        <f t="shared" si="350"/>
        <v>0</v>
      </c>
      <c r="T1022" s="12">
        <f t="shared" ref="T1022:T1089" si="352">IFERROR(R1022/O1022,0)</f>
        <v>0</v>
      </c>
      <c r="Y1022" s="2"/>
      <c r="Z1022" s="2"/>
      <c r="AA1022" s="2"/>
      <c r="AB1022" s="2"/>
      <c r="AC1022" s="2"/>
    </row>
    <row r="1023" spans="1:29" ht="10.5" hidden="1">
      <c r="A1023" s="2">
        <f t="shared" si="351"/>
        <v>30</v>
      </c>
      <c r="B1023" s="2" t="str">
        <f>VLOOKUP($A1023,Controle!$B$4:$F$68,2,FALSE)</f>
        <v>Pedra do Indaiá 5</v>
      </c>
      <c r="C1023" s="2" t="str">
        <f>VLOOKUP($A1023,Controle!$B$4:$F$68,3,FALSE)</f>
        <v xml:space="preserve">ESTRELA DO NORTE </v>
      </c>
      <c r="D1023" s="2" t="str">
        <f>VLOOKUP($A1023,Controle!$B$4:$F$68,4,FALSE)</f>
        <v>EDN</v>
      </c>
      <c r="E1023" s="2">
        <f>VLOOKUP($A1023,Controle!$B$4:$F$68,5,FALSE)</f>
        <v>1</v>
      </c>
      <c r="F1023" s="3" t="str">
        <f t="shared" si="347"/>
        <v>Equipamentos Curva A - Outros (Transformadores)</v>
      </c>
      <c r="G1023" s="2" t="str">
        <f>VLOOKUP($A1023,Controle!$B$4:$G$68,6,FALSE)</f>
        <v>Apolo</v>
      </c>
      <c r="H1023" s="6" t="s">
        <v>144</v>
      </c>
      <c r="I1023" s="6">
        <v>303199.92</v>
      </c>
      <c r="J1023" s="6">
        <v>0</v>
      </c>
      <c r="K1023" s="6">
        <v>0</v>
      </c>
      <c r="L1023" s="6">
        <v>0</v>
      </c>
      <c r="M1023" s="6">
        <v>0</v>
      </c>
      <c r="N1023" s="6">
        <v>0</v>
      </c>
      <c r="O1023" s="4">
        <f t="shared" si="348"/>
        <v>303199.92</v>
      </c>
      <c r="P1023" s="5">
        <f>SUMIFS('Desenvolvimento diário'!$H:$H,'Desenvolvimento diário'!$Q:$Q,$B1023,'Desenvolvimento diário'!$P:$P,$F1023,'Desenvolvimento diário'!$R:$R,"Sim")</f>
        <v>0</v>
      </c>
      <c r="Q1023" s="5">
        <f>SUMIFS('Desenvolvimento diário'!$H:$H,'Desenvolvimento diário'!$Q:$Q,$B1023,'Desenvolvimento diário'!$P:$P,$F1023,'Desenvolvimento diário'!$R:$R,"Não")</f>
        <v>303199.92</v>
      </c>
      <c r="R1023" s="4">
        <f t="shared" si="349"/>
        <v>303199.92</v>
      </c>
      <c r="S1023" s="4">
        <f t="shared" si="350"/>
        <v>0</v>
      </c>
      <c r="T1023" s="12">
        <f t="shared" si="352"/>
        <v>1</v>
      </c>
      <c r="Y1023" s="2"/>
      <c r="Z1023" s="2"/>
      <c r="AA1023" s="2"/>
      <c r="AB1023" s="2"/>
      <c r="AC1023" s="2"/>
    </row>
    <row r="1024" spans="1:29" ht="10.5" hidden="1">
      <c r="A1024" s="2">
        <f t="shared" si="351"/>
        <v>30</v>
      </c>
      <c r="B1024" s="2" t="str">
        <f>VLOOKUP($A1024,Controle!$B$4:$F$68,2,FALSE)</f>
        <v>Pedra do Indaiá 5</v>
      </c>
      <c r="C1024" s="2" t="str">
        <f>VLOOKUP($A1024,Controle!$B$4:$F$68,3,FALSE)</f>
        <v xml:space="preserve">ESTRELA DO NORTE </v>
      </c>
      <c r="D1024" s="2" t="str">
        <f>VLOOKUP($A1024,Controle!$B$4:$F$68,4,FALSE)</f>
        <v>EDN</v>
      </c>
      <c r="E1024" s="2">
        <f>VLOOKUP($A1024,Controle!$B$4:$F$68,5,FALSE)</f>
        <v>1</v>
      </c>
      <c r="F1024" s="3" t="str">
        <f t="shared" si="347"/>
        <v>Equipamentos Curva A - Outros (Cabine + Skid)</v>
      </c>
      <c r="G1024" s="2" t="str">
        <f>VLOOKUP($A1024,Controle!$B$4:$G$68,6,FALSE)</f>
        <v>Apolo</v>
      </c>
      <c r="H1024" s="6" t="s">
        <v>196</v>
      </c>
      <c r="I1024" s="6">
        <v>646894.37</v>
      </c>
      <c r="J1024" s="6">
        <f>6454.39+6454.39</f>
        <v>12908.78</v>
      </c>
      <c r="K1024" s="6">
        <v>0</v>
      </c>
      <c r="L1024" s="6">
        <v>0</v>
      </c>
      <c r="M1024" s="6">
        <v>0</v>
      </c>
      <c r="N1024" s="6">
        <v>0</v>
      </c>
      <c r="O1024" s="4">
        <f t="shared" si="348"/>
        <v>659803.15</v>
      </c>
      <c r="P1024" s="5">
        <f>SUMIFS('Desenvolvimento diário'!$H:$H,'Desenvolvimento diário'!$Q:$Q,$B1024,'Desenvolvimento diário'!$P:$P,$F1024,'Desenvolvimento diário'!$R:$R,"Sim")</f>
        <v>0</v>
      </c>
      <c r="Q1024" s="5">
        <f>SUMIFS('Desenvolvimento diário'!$H:$H,'Desenvolvimento diário'!$Q:$Q,$B1024,'Desenvolvimento diário'!$P:$P,$F1024,'Desenvolvimento diário'!$R:$R,"Não")</f>
        <v>659803.15</v>
      </c>
      <c r="R1024" s="4">
        <f t="shared" si="349"/>
        <v>659803.15</v>
      </c>
      <c r="S1024" s="137">
        <f t="shared" si="350"/>
        <v>0</v>
      </c>
      <c r="T1024" s="12">
        <f t="shared" si="352"/>
        <v>1</v>
      </c>
      <c r="Y1024" s="2"/>
      <c r="Z1024" s="2"/>
      <c r="AA1024" s="2"/>
      <c r="AB1024" s="2"/>
      <c r="AC1024" s="2"/>
    </row>
    <row r="1025" spans="1:29" ht="10.5" hidden="1">
      <c r="A1025" s="2">
        <f t="shared" si="351"/>
        <v>30</v>
      </c>
      <c r="B1025" s="2" t="str">
        <f>VLOOKUP($A1025,Controle!$B$4:$F$68,2,FALSE)</f>
        <v>Pedra do Indaiá 5</v>
      </c>
      <c r="C1025" s="2" t="str">
        <f>VLOOKUP($A1025,Controle!$B$4:$F$68,3,FALSE)</f>
        <v xml:space="preserve">ESTRELA DO NORTE </v>
      </c>
      <c r="D1025" s="2" t="str">
        <f>VLOOKUP($A1025,Controle!$B$4:$F$68,4,FALSE)</f>
        <v>EDN</v>
      </c>
      <c r="E1025" s="2">
        <f>VLOOKUP($A1025,Controle!$B$4:$F$68,5,FALSE)</f>
        <v>1</v>
      </c>
      <c r="F1025" s="3" t="str">
        <f t="shared" si="347"/>
        <v>Equipamentos Curva A - Outros (Cabine + Skid + Transformador)</v>
      </c>
      <c r="G1025" s="2" t="str">
        <f>VLOOKUP($A1025,Controle!$B$4:$G$68,6,FALSE)</f>
        <v>Apolo</v>
      </c>
      <c r="H1025" s="6">
        <v>0</v>
      </c>
      <c r="I1025" s="6">
        <v>0</v>
      </c>
      <c r="J1025" s="6">
        <v>0</v>
      </c>
      <c r="K1025" s="6">
        <v>0</v>
      </c>
      <c r="L1025" s="6">
        <v>0</v>
      </c>
      <c r="M1025" s="6">
        <v>0</v>
      </c>
      <c r="N1025" s="6">
        <v>0</v>
      </c>
      <c r="O1025" s="4">
        <f t="shared" si="348"/>
        <v>0</v>
      </c>
      <c r="P1025" s="5">
        <f>SUMIFS('Desenvolvimento diário'!$H:$H,'Desenvolvimento diário'!$Q:$Q,$B1025,'Desenvolvimento diário'!$P:$P,$F1025,'Desenvolvimento diário'!$R:$R,"Sim")</f>
        <v>0</v>
      </c>
      <c r="Q1025" s="5">
        <f>SUMIFS('Desenvolvimento diário'!$H:$H,'Desenvolvimento diário'!$Q:$Q,$B1025,'Desenvolvimento diário'!$P:$P,$F1025,'Desenvolvimento diário'!$R:$R,"Não")</f>
        <v>0</v>
      </c>
      <c r="R1025" s="4">
        <f t="shared" si="349"/>
        <v>0</v>
      </c>
      <c r="S1025" s="4">
        <f t="shared" si="350"/>
        <v>0</v>
      </c>
      <c r="T1025" s="12">
        <f t="shared" si="352"/>
        <v>0</v>
      </c>
      <c r="Y1025" s="2"/>
      <c r="Z1025" s="2"/>
      <c r="AA1025" s="2"/>
      <c r="AB1025" s="2"/>
      <c r="AC1025" s="2"/>
    </row>
    <row r="1026" spans="1:29" ht="10.5" hidden="1">
      <c r="A1026" s="2">
        <f t="shared" si="351"/>
        <v>30</v>
      </c>
      <c r="B1026" s="2" t="str">
        <f>VLOOKUP($A1026,Controle!$B$4:$F$68,2,FALSE)</f>
        <v>Pedra do Indaiá 5</v>
      </c>
      <c r="C1026" s="2" t="str">
        <f>VLOOKUP($A1026,Controle!$B$4:$F$68,3,FALSE)</f>
        <v xml:space="preserve">ESTRELA DO NORTE </v>
      </c>
      <c r="D1026" s="2" t="str">
        <f>VLOOKUP($A1026,Controle!$B$4:$F$68,4,FALSE)</f>
        <v>EDN</v>
      </c>
      <c r="E1026" s="2">
        <f>VLOOKUP($A1026,Controle!$B$4:$F$68,5,FALSE)</f>
        <v>1</v>
      </c>
      <c r="F1026" s="3" t="str">
        <f t="shared" si="347"/>
        <v>Desenvolvimento de projeto - Projetos - (Eng° Proprietario)</v>
      </c>
      <c r="G1026" s="2" t="str">
        <f>VLOOKUP($A1026,Controle!$B$4:$G$68,6,FALSE)</f>
        <v>Apolo</v>
      </c>
      <c r="H1026" s="6" t="s">
        <v>145</v>
      </c>
      <c r="I1026" s="6">
        <v>0</v>
      </c>
      <c r="J1026" s="6">
        <v>0</v>
      </c>
      <c r="K1026" s="6">
        <v>0</v>
      </c>
      <c r="L1026" s="6">
        <v>0</v>
      </c>
      <c r="M1026" s="6">
        <v>0</v>
      </c>
      <c r="N1026" s="6">
        <v>0</v>
      </c>
      <c r="O1026" s="4">
        <f t="shared" si="348"/>
        <v>0</v>
      </c>
      <c r="P1026" s="5">
        <f>SUMIFS('Desenvolvimento diário'!$H:$H,'Desenvolvimento diário'!$Q:$Q,$B1026,'Desenvolvimento diário'!$P:$P,$F1026,'Desenvolvimento diário'!$R:$R,"Sim")</f>
        <v>0</v>
      </c>
      <c r="Q1026" s="5">
        <f>SUMIFS('Desenvolvimento diário'!$H:$H,'Desenvolvimento diário'!$Q:$Q,$B1026,'Desenvolvimento diário'!$P:$P,$F1026,'Desenvolvimento diário'!$R:$R,"Não")</f>
        <v>0</v>
      </c>
      <c r="R1026" s="4">
        <f t="shared" si="349"/>
        <v>0</v>
      </c>
      <c r="S1026" s="4">
        <f t="shared" si="350"/>
        <v>0</v>
      </c>
      <c r="T1026" s="12">
        <f t="shared" si="352"/>
        <v>0</v>
      </c>
      <c r="Y1026" s="2"/>
      <c r="Z1026" s="2"/>
      <c r="AA1026" s="2"/>
      <c r="AB1026" s="2"/>
      <c r="AC1026" s="2"/>
    </row>
    <row r="1027" spans="1:29" ht="10.5" hidden="1">
      <c r="A1027" s="2">
        <f t="shared" si="351"/>
        <v>30</v>
      </c>
      <c r="B1027" s="2" t="str">
        <f>VLOOKUP($A1027,Controle!$B$4:$F$68,2,FALSE)</f>
        <v>Pedra do Indaiá 5</v>
      </c>
      <c r="C1027" s="2" t="str">
        <f>VLOOKUP($A1027,Controle!$B$4:$F$68,3,FALSE)</f>
        <v xml:space="preserve">ESTRELA DO NORTE </v>
      </c>
      <c r="D1027" s="2" t="str">
        <f>VLOOKUP($A1027,Controle!$B$4:$F$68,4,FALSE)</f>
        <v>EDN</v>
      </c>
      <c r="E1027" s="2">
        <f>VLOOKUP($A1027,Controle!$B$4:$F$68,5,FALSE)</f>
        <v>1</v>
      </c>
      <c r="F1027" s="3" t="str">
        <f t="shared" si="347"/>
        <v>Desenvolvimento de projeto - Projetos - Executivos</v>
      </c>
      <c r="G1027" s="2" t="str">
        <f>VLOOKUP($A1027,Controle!$B$4:$G$68,6,FALSE)</f>
        <v>Apolo</v>
      </c>
      <c r="H1027" s="6" t="s">
        <v>146</v>
      </c>
      <c r="I1027" s="6">
        <v>36466</v>
      </c>
      <c r="J1027" s="29">
        <v>18000</v>
      </c>
      <c r="K1027" s="6">
        <v>0</v>
      </c>
      <c r="L1027" s="6">
        <v>0</v>
      </c>
      <c r="M1027" s="6">
        <v>0</v>
      </c>
      <c r="N1027" s="6">
        <v>0</v>
      </c>
      <c r="O1027" s="4">
        <f>SUM(I1027:N1027)+0.7</f>
        <v>54466.7</v>
      </c>
      <c r="P1027" s="5">
        <f>SUMIFS('Desenvolvimento diário'!$H:$H,'Desenvolvimento diário'!$Q:$Q,$B1027,'Desenvolvimento diário'!$P:$P,$F1027,'Desenvolvimento diário'!$R:$R,"Sim")</f>
        <v>0</v>
      </c>
      <c r="Q1027" s="5">
        <f>SUMIFS('Desenvolvimento diário'!$H:$H,'Desenvolvimento diário'!$Q:$Q,$B1027,'Desenvolvimento diário'!$P:$P,$F1027,'Desenvolvimento diário'!$R:$R,"Não")</f>
        <v>54466.7</v>
      </c>
      <c r="R1027" s="4">
        <f t="shared" si="349"/>
        <v>54466.7</v>
      </c>
      <c r="S1027" s="93">
        <f t="shared" si="350"/>
        <v>0</v>
      </c>
      <c r="T1027" s="12">
        <f t="shared" si="352"/>
        <v>1</v>
      </c>
      <c r="Y1027" s="2"/>
      <c r="Z1027" s="2"/>
      <c r="AA1027" s="2"/>
      <c r="AB1027" s="2"/>
      <c r="AC1027" s="2"/>
    </row>
    <row r="1028" spans="1:29" ht="10.5" hidden="1">
      <c r="A1028" s="2">
        <f t="shared" si="351"/>
        <v>30</v>
      </c>
      <c r="B1028" s="2" t="str">
        <f>VLOOKUP($A1028,Controle!$B$4:$F$68,2,FALSE)</f>
        <v>Pedra do Indaiá 5</v>
      </c>
      <c r="C1028" s="2" t="str">
        <f>VLOOKUP($A1028,Controle!$B$4:$F$68,3,FALSE)</f>
        <v xml:space="preserve">ESTRELA DO NORTE </v>
      </c>
      <c r="D1028" s="2" t="str">
        <f>VLOOKUP($A1028,Controle!$B$4:$F$68,4,FALSE)</f>
        <v>EDN</v>
      </c>
      <c r="E1028" s="2">
        <f>VLOOKUP($A1028,Controle!$B$4:$F$68,5,FALSE)</f>
        <v>1</v>
      </c>
      <c r="F1028" s="3" t="str">
        <f t="shared" si="347"/>
        <v>Desenvolvimento de projeto - Projetos Básica</v>
      </c>
      <c r="G1028" s="2" t="str">
        <f>VLOOKUP($A1028,Controle!$B$4:$G$68,6,FALSE)</f>
        <v>Apolo</v>
      </c>
      <c r="H1028" s="6">
        <v>0</v>
      </c>
      <c r="I1028" s="6">
        <v>0</v>
      </c>
      <c r="J1028" s="6">
        <v>0</v>
      </c>
      <c r="K1028" s="6">
        <v>0</v>
      </c>
      <c r="L1028" s="6">
        <v>0</v>
      </c>
      <c r="M1028" s="6">
        <v>0</v>
      </c>
      <c r="N1028" s="6">
        <v>0</v>
      </c>
      <c r="O1028" s="4">
        <f t="shared" si="348"/>
        <v>0</v>
      </c>
      <c r="P1028" s="5">
        <f>SUMIFS('Desenvolvimento diário'!$H:$H,'Desenvolvimento diário'!$Q:$Q,$B1028,'Desenvolvimento diário'!$P:$P,$F1028,'Desenvolvimento diário'!$R:$R,"Sim")</f>
        <v>0</v>
      </c>
      <c r="Q1028" s="5">
        <f>SUMIFS('Desenvolvimento diário'!$H:$H,'Desenvolvimento diário'!$Q:$Q,$B1028,'Desenvolvimento diário'!$P:$P,$F1028,'Desenvolvimento diário'!$R:$R,"Não")</f>
        <v>0</v>
      </c>
      <c r="R1028" s="4">
        <f t="shared" si="349"/>
        <v>0</v>
      </c>
      <c r="S1028" s="4">
        <f t="shared" si="350"/>
        <v>0</v>
      </c>
      <c r="T1028" s="12">
        <f t="shared" si="352"/>
        <v>0</v>
      </c>
      <c r="Y1028" s="2"/>
      <c r="Z1028" s="2"/>
      <c r="AA1028" s="2"/>
      <c r="AB1028" s="2"/>
      <c r="AC1028" s="2"/>
    </row>
    <row r="1029" spans="1:29" ht="10.5" hidden="1">
      <c r="A1029" s="2">
        <f t="shared" si="351"/>
        <v>30</v>
      </c>
      <c r="B1029" s="2" t="str">
        <f>VLOOKUP($A1029,Controle!$B$4:$F$68,2,FALSE)</f>
        <v>Pedra do Indaiá 5</v>
      </c>
      <c r="C1029" s="2" t="str">
        <f>VLOOKUP($A1029,Controle!$B$4:$F$68,3,FALSE)</f>
        <v xml:space="preserve">ESTRELA DO NORTE </v>
      </c>
      <c r="D1029" s="2" t="str">
        <f>VLOOKUP($A1029,Controle!$B$4:$F$68,4,FALSE)</f>
        <v>EDN</v>
      </c>
      <c r="E1029" s="2">
        <f>VLOOKUP($A1029,Controle!$B$4:$F$68,5,FALSE)</f>
        <v>1</v>
      </c>
      <c r="F1029" s="3" t="str">
        <f t="shared" si="347"/>
        <v>Desenvolvimento de projeto - Projetos Detalhada</v>
      </c>
      <c r="G1029" s="2" t="str">
        <f>VLOOKUP($A1029,Controle!$B$4:$G$68,6,FALSE)</f>
        <v>Apolo</v>
      </c>
      <c r="H1029" s="6">
        <v>0</v>
      </c>
      <c r="I1029" s="6">
        <v>0</v>
      </c>
      <c r="J1029" s="6">
        <v>0</v>
      </c>
      <c r="K1029" s="6">
        <v>0</v>
      </c>
      <c r="L1029" s="6">
        <v>0</v>
      </c>
      <c r="M1029" s="6">
        <v>0</v>
      </c>
      <c r="N1029" s="6">
        <v>0</v>
      </c>
      <c r="O1029" s="4">
        <f t="shared" si="348"/>
        <v>0</v>
      </c>
      <c r="P1029" s="5">
        <f>SUMIFS('Desenvolvimento diário'!$H:$H,'Desenvolvimento diário'!$Q:$Q,$B1029,'Desenvolvimento diário'!$P:$P,$F1029,'Desenvolvimento diário'!$R:$R,"Sim")</f>
        <v>0</v>
      </c>
      <c r="Q1029" s="5">
        <f>SUMIFS('Desenvolvimento diário'!$H:$H,'Desenvolvimento diário'!$Q:$Q,$B1029,'Desenvolvimento diário'!$P:$P,$F1029,'Desenvolvimento diário'!$R:$R,"Não")</f>
        <v>0</v>
      </c>
      <c r="R1029" s="4">
        <f t="shared" si="349"/>
        <v>0</v>
      </c>
      <c r="S1029" s="4">
        <f t="shared" si="350"/>
        <v>0</v>
      </c>
      <c r="T1029" s="12">
        <f t="shared" si="352"/>
        <v>0</v>
      </c>
      <c r="Y1029" s="2"/>
      <c r="Z1029" s="2"/>
      <c r="AA1029" s="2"/>
      <c r="AB1029" s="2"/>
      <c r="AC1029" s="2"/>
    </row>
    <row r="1030" spans="1:29" ht="10.5" hidden="1">
      <c r="A1030" s="2">
        <f t="shared" si="351"/>
        <v>30</v>
      </c>
      <c r="B1030" s="2" t="str">
        <f>VLOOKUP($A1030,Controle!$B$4:$F$68,2,FALSE)</f>
        <v>Pedra do Indaiá 5</v>
      </c>
      <c r="C1030" s="2" t="str">
        <f>VLOOKUP($A1030,Controle!$B$4:$F$68,3,FALSE)</f>
        <v xml:space="preserve">ESTRELA DO NORTE </v>
      </c>
      <c r="D1030" s="2" t="str">
        <f>VLOOKUP($A1030,Controle!$B$4:$F$68,4,FALSE)</f>
        <v>EDN</v>
      </c>
      <c r="E1030" s="2">
        <f>VLOOKUP($A1030,Controle!$B$4:$F$68,5,FALSE)</f>
        <v>1</v>
      </c>
      <c r="F1030" s="3" t="str">
        <f t="shared" si="347"/>
        <v>Desenvolvimento de projeto - Ambiental / Outros</v>
      </c>
      <c r="G1030" s="2" t="str">
        <f>VLOOKUP($A1030,Controle!$B$4:$G$68,6,FALSE)</f>
        <v>Apolo</v>
      </c>
      <c r="H1030" s="6" t="s">
        <v>148</v>
      </c>
      <c r="I1030" s="6">
        <f>R1030</f>
        <v>88364.479999999996</v>
      </c>
      <c r="J1030" s="6">
        <v>0</v>
      </c>
      <c r="K1030" s="6">
        <v>0</v>
      </c>
      <c r="L1030" s="6">
        <v>0</v>
      </c>
      <c r="M1030" s="6">
        <v>0</v>
      </c>
      <c r="N1030" s="6">
        <v>0</v>
      </c>
      <c r="O1030" s="4">
        <f t="shared" si="348"/>
        <v>88364.479999999996</v>
      </c>
      <c r="P1030" s="5">
        <f>SUMIFS('Desenvolvimento diário'!$H:$H,'Desenvolvimento diário'!$Q:$Q,$B1030,'Desenvolvimento diário'!$P:$P,$F1030,'Desenvolvimento diário'!$R:$R,"Sim")</f>
        <v>0</v>
      </c>
      <c r="Q1030" s="5">
        <f>SUMIFS('Desenvolvimento diário'!$H:$H,'Desenvolvimento diário'!$Q:$Q,$B1030,'Desenvolvimento diário'!$P:$P,$F1030,'Desenvolvimento diário'!$R:$R,"Não")</f>
        <v>88364.479999999996</v>
      </c>
      <c r="R1030" s="4">
        <f t="shared" si="349"/>
        <v>88364.479999999996</v>
      </c>
      <c r="S1030" s="4">
        <f t="shared" si="350"/>
        <v>0</v>
      </c>
      <c r="T1030" s="12">
        <f t="shared" si="352"/>
        <v>1</v>
      </c>
      <c r="Y1030" s="2"/>
      <c r="Z1030" s="2"/>
      <c r="AA1030" s="2"/>
      <c r="AB1030" s="2"/>
      <c r="AC1030" s="2"/>
    </row>
    <row r="1031" spans="1:29" hidden="1">
      <c r="A1031" s="2">
        <f t="shared" si="351"/>
        <v>30</v>
      </c>
      <c r="B1031" s="2" t="str">
        <f>VLOOKUP($A1031,Controle!$B$4:$F$68,2,FALSE)</f>
        <v>Pedra do Indaiá 5</v>
      </c>
      <c r="C1031" s="2" t="str">
        <f>VLOOKUP($A1031,Controle!$B$4:$F$68,3,FALSE)</f>
        <v xml:space="preserve">ESTRELA DO NORTE </v>
      </c>
      <c r="D1031" s="2" t="str">
        <f>VLOOKUP($A1031,Controle!$B$4:$F$68,4,FALSE)</f>
        <v>EDN</v>
      </c>
      <c r="E1031" s="2">
        <f>VLOOKUP($A1031,Controle!$B$4:$F$68,5,FALSE)</f>
        <v>1</v>
      </c>
      <c r="F1031" s="3" t="str">
        <f t="shared" si="347"/>
        <v>Desenvolvimento de projeto - Coordenograma</v>
      </c>
      <c r="G1031" s="2" t="str">
        <f>VLOOKUP($A1031,Controle!$B$4:$G$68,6,FALSE)</f>
        <v>Apolo</v>
      </c>
      <c r="H1031" s="31" t="s">
        <v>149</v>
      </c>
      <c r="I1031" s="31">
        <v>7000</v>
      </c>
      <c r="J1031" s="31">
        <v>0</v>
      </c>
      <c r="K1031" s="31">
        <v>0</v>
      </c>
      <c r="L1031" s="6">
        <v>0</v>
      </c>
      <c r="M1031" s="6">
        <v>0</v>
      </c>
      <c r="N1031" s="6">
        <v>0</v>
      </c>
      <c r="O1031" s="4">
        <f t="shared" si="348"/>
        <v>7000</v>
      </c>
      <c r="P1031" s="5">
        <f>SUMIFS('Desenvolvimento diário'!$H:$H,'Desenvolvimento diário'!$Q:$Q,$B1031,'Desenvolvimento diário'!$P:$P,$F1031,'Desenvolvimento diário'!$R:$R,"Sim")</f>
        <v>0</v>
      </c>
      <c r="Q1031" s="5">
        <f>SUMIFS('Desenvolvimento diário'!$H:$H,'Desenvolvimento diário'!$Q:$Q,$B1031,'Desenvolvimento diário'!$P:$P,$F1031,'Desenvolvimento diário'!$R:$R,"Não")</f>
        <v>7000</v>
      </c>
      <c r="R1031" s="4">
        <f t="shared" si="349"/>
        <v>7000</v>
      </c>
      <c r="S1031" s="4">
        <f t="shared" si="350"/>
        <v>0</v>
      </c>
      <c r="T1031" s="12">
        <f t="shared" si="352"/>
        <v>1</v>
      </c>
      <c r="Y1031" s="2"/>
      <c r="Z1031" s="2"/>
      <c r="AA1031" s="2"/>
      <c r="AB1031" s="2"/>
      <c r="AC1031" s="2"/>
    </row>
    <row r="1032" spans="1:29" ht="10.5" hidden="1">
      <c r="A1032" s="2">
        <f t="shared" si="351"/>
        <v>30</v>
      </c>
      <c r="B1032" s="2" t="str">
        <f>VLOOKUP($A1032,Controle!$B$4:$F$68,2,FALSE)</f>
        <v>Pedra do Indaiá 5</v>
      </c>
      <c r="C1032" s="2" t="str">
        <f>VLOOKUP($A1032,Controle!$B$4:$F$68,3,FALSE)</f>
        <v xml:space="preserve">ESTRELA DO NORTE </v>
      </c>
      <c r="D1032" s="2" t="str">
        <f>VLOOKUP($A1032,Controle!$B$4:$F$68,4,FALSE)</f>
        <v>EDN</v>
      </c>
      <c r="E1032" s="2">
        <f>VLOOKUP($A1032,Controle!$B$4:$F$68,5,FALSE)</f>
        <v>1</v>
      </c>
      <c r="F1032" s="3" t="str">
        <f t="shared" si="347"/>
        <v>Sistemas de Monitoramento - Supervisório</v>
      </c>
      <c r="G1032" s="2" t="str">
        <f>VLOOKUP($A1032,Controle!$B$4:$G$68,6,FALSE)</f>
        <v>Apolo</v>
      </c>
      <c r="H1032" s="6" t="s">
        <v>150</v>
      </c>
      <c r="I1032" s="6">
        <f>136155+(0.01)</f>
        <v>136155.01</v>
      </c>
      <c r="J1032" s="6"/>
      <c r="K1032" s="6">
        <v>0</v>
      </c>
      <c r="L1032" s="6">
        <v>0</v>
      </c>
      <c r="M1032" s="6">
        <v>0</v>
      </c>
      <c r="N1032" s="6">
        <v>0</v>
      </c>
      <c r="O1032" s="4">
        <f t="shared" si="348"/>
        <v>136155.01</v>
      </c>
      <c r="P1032" s="5">
        <f>SUMIFS('Desenvolvimento diário'!$H:$H,'Desenvolvimento diário'!$Q:$Q,$B1032,'Desenvolvimento diário'!$P:$P,$F1032,'Desenvolvimento diário'!$R:$R,"Sim")</f>
        <v>5821.02</v>
      </c>
      <c r="Q1032" s="5">
        <f>SUMIFS('Desenvolvimento diário'!$H:$H,'Desenvolvimento diário'!$Q:$Q,$B1032,'Desenvolvimento diário'!$P:$P,$F1032,'Desenvolvimento diário'!$R:$R,"Não")</f>
        <v>130333.99</v>
      </c>
      <c r="R1032" s="4">
        <f t="shared" si="349"/>
        <v>136155.01</v>
      </c>
      <c r="S1032" s="137">
        <f t="shared" si="350"/>
        <v>0</v>
      </c>
      <c r="T1032" s="12">
        <f t="shared" si="352"/>
        <v>1</v>
      </c>
      <c r="Y1032" s="2"/>
      <c r="Z1032" s="2"/>
      <c r="AA1032" s="2"/>
      <c r="AB1032" s="2"/>
      <c r="AC1032" s="2"/>
    </row>
    <row r="1033" spans="1:29" ht="10.5" hidden="1">
      <c r="A1033" s="2">
        <f t="shared" si="351"/>
        <v>30</v>
      </c>
      <c r="B1033" s="2" t="str">
        <f>VLOOKUP($A1033,Controle!$B$4:$F$68,2,FALSE)</f>
        <v>Pedra do Indaiá 5</v>
      </c>
      <c r="C1033" s="2" t="str">
        <f>VLOOKUP($A1033,Controle!$B$4:$F$68,3,FALSE)</f>
        <v xml:space="preserve">ESTRELA DO NORTE </v>
      </c>
      <c r="D1033" s="2" t="str">
        <f>VLOOKUP($A1033,Controle!$B$4:$F$68,4,FALSE)</f>
        <v>EDN</v>
      </c>
      <c r="E1033" s="2">
        <f>VLOOKUP($A1033,Controle!$B$4:$F$68,5,FALSE)</f>
        <v>1</v>
      </c>
      <c r="F1033" s="3" t="str">
        <f t="shared" si="347"/>
        <v>Sistemas de Monitoramento - Estações Solarimétricas</v>
      </c>
      <c r="G1033" s="2" t="str">
        <f>VLOOKUP($A1033,Controle!$B$4:$G$68,6,FALSE)</f>
        <v>Apolo</v>
      </c>
      <c r="H1033" s="6" t="s">
        <v>151</v>
      </c>
      <c r="I1033" s="6">
        <v>48276.516000000003</v>
      </c>
      <c r="J1033" s="6">
        <v>0</v>
      </c>
      <c r="K1033" s="6">
        <v>0</v>
      </c>
      <c r="L1033" s="6">
        <v>0</v>
      </c>
      <c r="M1033" s="6">
        <v>0</v>
      </c>
      <c r="N1033" s="6">
        <v>0</v>
      </c>
      <c r="O1033" s="4">
        <f t="shared" si="348"/>
        <v>48276.516000000003</v>
      </c>
      <c r="P1033" s="5">
        <f>SUMIFS('Desenvolvimento diário'!$H:$H,'Desenvolvimento diário'!$Q:$Q,$B1033,'Desenvolvimento diário'!$P:$P,$F1033,'Desenvolvimento diário'!$R:$R,"Sim")</f>
        <v>0</v>
      </c>
      <c r="Q1033" s="5">
        <f>SUMIFS('Desenvolvimento diário'!$H:$H,'Desenvolvimento diário'!$Q:$Q,$B1033,'Desenvolvimento diário'!$P:$P,$F1033,'Desenvolvimento diário'!$R:$R,"Não")</f>
        <v>48276.516000000003</v>
      </c>
      <c r="R1033" s="4">
        <f t="shared" si="349"/>
        <v>48276.516000000003</v>
      </c>
      <c r="S1033" s="4">
        <f t="shared" si="350"/>
        <v>0</v>
      </c>
      <c r="T1033" s="12">
        <f t="shared" si="352"/>
        <v>1</v>
      </c>
      <c r="Y1033" s="2"/>
      <c r="Z1033" s="2"/>
      <c r="AA1033" s="2"/>
      <c r="AB1033" s="2"/>
      <c r="AC1033" s="2"/>
    </row>
    <row r="1034" spans="1:29" hidden="1">
      <c r="A1034" s="2">
        <f t="shared" si="351"/>
        <v>30</v>
      </c>
      <c r="B1034" s="2" t="str">
        <f>VLOOKUP($A1034,Controle!$B$4:$F$68,2,FALSE)</f>
        <v>Pedra do Indaiá 5</v>
      </c>
      <c r="C1034" s="2" t="str">
        <f>VLOOKUP($A1034,Controle!$B$4:$F$68,3,FALSE)</f>
        <v xml:space="preserve">ESTRELA DO NORTE </v>
      </c>
      <c r="D1034" s="2" t="str">
        <f>VLOOKUP($A1034,Controle!$B$4:$F$68,4,FALSE)</f>
        <v>EDN</v>
      </c>
      <c r="E1034" s="2">
        <f>VLOOKUP($A1034,Controle!$B$4:$F$68,5,FALSE)</f>
        <v>1</v>
      </c>
      <c r="F1034" s="3" t="str">
        <f t="shared" si="347"/>
        <v>Sistemas de Monitoramento - CFTV</v>
      </c>
      <c r="G1034" s="2" t="str">
        <f>VLOOKUP($A1034,Controle!$B$4:$G$68,6,FALSE)</f>
        <v>Apolo</v>
      </c>
      <c r="H1034" s="31" t="s">
        <v>152</v>
      </c>
      <c r="I1034" s="6">
        <f>289840.9+(0.003)</f>
        <v>289840.90300000005</v>
      </c>
      <c r="J1034" s="6">
        <v>0</v>
      </c>
      <c r="K1034" s="28">
        <v>12659.81</v>
      </c>
      <c r="L1034" s="6">
        <v>0</v>
      </c>
      <c r="M1034" s="6">
        <v>0</v>
      </c>
      <c r="N1034" s="6">
        <v>0</v>
      </c>
      <c r="O1034" s="4">
        <f t="shared" si="348"/>
        <v>302500.71300000005</v>
      </c>
      <c r="P1034" s="5">
        <f>SUMIFS('Desenvolvimento diário'!$H:$H,'Desenvolvimento diário'!$Q:$Q,$B1034,'Desenvolvimento diário'!$P:$P,$F1034,'Desenvolvimento diário'!$R:$R,"Sim")</f>
        <v>0</v>
      </c>
      <c r="Q1034" s="5">
        <f>SUMIFS('Desenvolvimento diário'!$H:$H,'Desenvolvimento diário'!$Q:$Q,$B1034,'Desenvolvimento diário'!$P:$P,$F1034,'Desenvolvimento diário'!$R:$R,"Não")</f>
        <v>302500.71299999993</v>
      </c>
      <c r="R1034" s="4">
        <f t="shared" si="349"/>
        <v>302500.71299999993</v>
      </c>
      <c r="S1034" s="176">
        <f t="shared" si="350"/>
        <v>0</v>
      </c>
      <c r="T1034" s="12">
        <f t="shared" si="352"/>
        <v>0.99999999999999967</v>
      </c>
      <c r="Y1034" s="2"/>
      <c r="Z1034" s="2"/>
      <c r="AA1034" s="2"/>
      <c r="AB1034" s="2"/>
      <c r="AC1034" s="2"/>
    </row>
    <row r="1035" spans="1:29" ht="10.5" hidden="1">
      <c r="A1035" s="2">
        <f t="shared" si="351"/>
        <v>30</v>
      </c>
      <c r="B1035" s="2" t="str">
        <f>VLOOKUP($A1035,Controle!$B$4:$F$68,2,FALSE)</f>
        <v>Pedra do Indaiá 5</v>
      </c>
      <c r="C1035" s="2" t="str">
        <f>VLOOKUP($A1035,Controle!$B$4:$F$68,3,FALSE)</f>
        <v xml:space="preserve">ESTRELA DO NORTE </v>
      </c>
      <c r="D1035" s="2" t="str">
        <f>VLOOKUP($A1035,Controle!$B$4:$F$68,4,FALSE)</f>
        <v>EDN</v>
      </c>
      <c r="E1035" s="2">
        <f>VLOOKUP($A1035,Controle!$B$4:$F$68,5,FALSE)</f>
        <v>1</v>
      </c>
      <c r="F1035" s="3" t="str">
        <f t="shared" si="347"/>
        <v>Serviços Auxiliares - Drenagem</v>
      </c>
      <c r="G1035" s="2" t="str">
        <f>VLOOKUP($A1035,Controle!$B$4:$G$68,6,FALSE)</f>
        <v>Apolo</v>
      </c>
      <c r="H1035" s="6" t="s">
        <v>208</v>
      </c>
      <c r="I1035" s="6">
        <v>985136</v>
      </c>
      <c r="J1035" s="6">
        <v>0</v>
      </c>
      <c r="K1035" s="6">
        <v>0</v>
      </c>
      <c r="L1035" s="6">
        <v>0</v>
      </c>
      <c r="M1035" s="6">
        <v>0</v>
      </c>
      <c r="N1035" s="6">
        <v>0</v>
      </c>
      <c r="O1035" s="4">
        <f>SUM(I1035:N1035)-0.01</f>
        <v>985135.99</v>
      </c>
      <c r="P1035" s="5">
        <f>SUMIFS('Desenvolvimento diário'!$H:$H,'Desenvolvimento diário'!$Q:$Q,$B1035,'Desenvolvimento diário'!$P:$P,$F1035,'Desenvolvimento diário'!$R:$R,"Sim")</f>
        <v>0</v>
      </c>
      <c r="Q1035" s="5">
        <f>SUMIFS('Desenvolvimento diário'!$H:$H,'Desenvolvimento diário'!$Q:$Q,$B1035,'Desenvolvimento diário'!$P:$P,$F1035,'Desenvolvimento diário'!$R:$R,"Não")</f>
        <v>985135.99000000011</v>
      </c>
      <c r="R1035" s="4">
        <f t="shared" si="349"/>
        <v>985135.99000000011</v>
      </c>
      <c r="S1035" s="93">
        <f t="shared" si="350"/>
        <v>0</v>
      </c>
      <c r="T1035" s="12">
        <f t="shared" si="352"/>
        <v>1.0000000000000002</v>
      </c>
      <c r="Y1035" s="2"/>
      <c r="Z1035" s="2"/>
      <c r="AA1035" s="2"/>
      <c r="AB1035" s="2"/>
      <c r="AC1035" s="2"/>
    </row>
    <row r="1036" spans="1:29" ht="10.5" hidden="1">
      <c r="A1036" s="2">
        <f t="shared" si="351"/>
        <v>30</v>
      </c>
      <c r="B1036" s="2" t="str">
        <f>VLOOKUP($A1036,Controle!$B$4:$F$68,2,FALSE)</f>
        <v>Pedra do Indaiá 5</v>
      </c>
      <c r="C1036" s="2" t="str">
        <f>VLOOKUP($A1036,Controle!$B$4:$F$68,3,FALSE)</f>
        <v xml:space="preserve">ESTRELA DO NORTE </v>
      </c>
      <c r="D1036" s="2" t="str">
        <f>VLOOKUP($A1036,Controle!$B$4:$F$68,4,FALSE)</f>
        <v>EDN</v>
      </c>
      <c r="E1036" s="2">
        <f>VLOOKUP($A1036,Controle!$B$4:$F$68,5,FALSE)</f>
        <v>1</v>
      </c>
      <c r="F1036" s="3" t="str">
        <f t="shared" si="347"/>
        <v>Serviços Auxiliares - Terraplanagem</v>
      </c>
      <c r="G1036" s="2" t="str">
        <f>VLOOKUP($A1036,Controle!$B$4:$G$68,6,FALSE)</f>
        <v>Apolo</v>
      </c>
      <c r="H1036" s="6" t="s">
        <v>209</v>
      </c>
      <c r="I1036" s="6">
        <f>180000+148636.44</f>
        <v>328636.44</v>
      </c>
      <c r="J1036" s="6">
        <v>0</v>
      </c>
      <c r="K1036" s="6">
        <v>0</v>
      </c>
      <c r="L1036" s="6">
        <v>0</v>
      </c>
      <c r="M1036" s="6">
        <v>0</v>
      </c>
      <c r="N1036" s="6">
        <v>0</v>
      </c>
      <c r="O1036" s="4">
        <f t="shared" si="348"/>
        <v>328636.44</v>
      </c>
      <c r="P1036" s="5">
        <f>SUMIFS('Desenvolvimento diário'!$H:$H,'Desenvolvimento diário'!$Q:$Q,$B1036,'Desenvolvimento diário'!$P:$P,$F1036,'Desenvolvimento diário'!$R:$R,"Sim")</f>
        <v>0</v>
      </c>
      <c r="Q1036" s="5">
        <f>SUMIFS('Desenvolvimento diário'!$H:$H,'Desenvolvimento diário'!$Q:$Q,$B1036,'Desenvolvimento diário'!$P:$P,$F1036,'Desenvolvimento diário'!$R:$R,"Não")</f>
        <v>328636.44</v>
      </c>
      <c r="R1036" s="4">
        <f t="shared" si="349"/>
        <v>328636.44</v>
      </c>
      <c r="S1036" s="4">
        <f t="shared" si="350"/>
        <v>0</v>
      </c>
      <c r="T1036" s="12">
        <f t="shared" si="352"/>
        <v>1</v>
      </c>
      <c r="Y1036" s="2"/>
      <c r="Z1036" s="2"/>
      <c r="AA1036" s="2"/>
      <c r="AB1036" s="2"/>
      <c r="AC1036" s="2"/>
    </row>
    <row r="1037" spans="1:29" ht="10.5" hidden="1">
      <c r="A1037" s="2">
        <f t="shared" si="351"/>
        <v>30</v>
      </c>
      <c r="B1037" s="2" t="str">
        <f>VLOOKUP($A1037,Controle!$B$4:$F$68,2,FALSE)</f>
        <v>Pedra do Indaiá 5</v>
      </c>
      <c r="C1037" s="2" t="str">
        <f>VLOOKUP($A1037,Controle!$B$4:$F$68,3,FALSE)</f>
        <v xml:space="preserve">ESTRELA DO NORTE </v>
      </c>
      <c r="D1037" s="2" t="str">
        <f>VLOOKUP($A1037,Controle!$B$4:$F$68,4,FALSE)</f>
        <v>EDN</v>
      </c>
      <c r="E1037" s="2">
        <f>VLOOKUP($A1037,Controle!$B$4:$F$68,5,FALSE)</f>
        <v>1</v>
      </c>
      <c r="F1037" s="3" t="str">
        <f t="shared" si="347"/>
        <v>Serviços Auxiliares - Supressão Vegetal</v>
      </c>
      <c r="G1037" s="2" t="str">
        <f>VLOOKUP($A1037,Controle!$B$4:$G$68,6,FALSE)</f>
        <v>Apolo</v>
      </c>
      <c r="H1037" s="6">
        <v>0</v>
      </c>
      <c r="I1037" s="6">
        <v>0</v>
      </c>
      <c r="J1037" s="6">
        <v>0</v>
      </c>
      <c r="K1037" s="6">
        <v>0</v>
      </c>
      <c r="L1037" s="6">
        <v>0</v>
      </c>
      <c r="M1037" s="6">
        <v>0</v>
      </c>
      <c r="N1037" s="6">
        <v>0</v>
      </c>
      <c r="O1037" s="4">
        <f t="shared" si="348"/>
        <v>0</v>
      </c>
      <c r="P1037" s="5">
        <f>SUMIFS('Desenvolvimento diário'!$H:$H,'Desenvolvimento diário'!$Q:$Q,$B1037,'Desenvolvimento diário'!$P:$P,$F1037,'Desenvolvimento diário'!$R:$R,"Sim")</f>
        <v>0</v>
      </c>
      <c r="Q1037" s="5">
        <f>SUMIFS('Desenvolvimento diário'!$H:$H,'Desenvolvimento diário'!$Q:$Q,$B1037,'Desenvolvimento diário'!$P:$P,$F1037,'Desenvolvimento diário'!$R:$R,"Não")</f>
        <v>0</v>
      </c>
      <c r="R1037" s="4">
        <f t="shared" si="349"/>
        <v>0</v>
      </c>
      <c r="S1037" s="4">
        <f t="shared" si="350"/>
        <v>0</v>
      </c>
      <c r="T1037" s="12">
        <f t="shared" si="352"/>
        <v>0</v>
      </c>
      <c r="Y1037" s="2"/>
      <c r="Z1037" s="2"/>
      <c r="AA1037" s="2"/>
      <c r="AB1037" s="2"/>
      <c r="AC1037" s="2"/>
    </row>
    <row r="1038" spans="1:29" ht="10.5" hidden="1">
      <c r="A1038" s="2">
        <f t="shared" si="351"/>
        <v>30</v>
      </c>
      <c r="B1038" s="2" t="str">
        <f>VLOOKUP($A1038,Controle!$B$4:$F$68,2,FALSE)</f>
        <v>Pedra do Indaiá 5</v>
      </c>
      <c r="C1038" s="2" t="str">
        <f>VLOOKUP($A1038,Controle!$B$4:$F$68,3,FALSE)</f>
        <v xml:space="preserve">ESTRELA DO NORTE </v>
      </c>
      <c r="D1038" s="2" t="str">
        <f>VLOOKUP($A1038,Controle!$B$4:$F$68,4,FALSE)</f>
        <v>EDN</v>
      </c>
      <c r="E1038" s="2">
        <f>VLOOKUP($A1038,Controle!$B$4:$F$68,5,FALSE)</f>
        <v>1</v>
      </c>
      <c r="F1038" s="3" t="str">
        <f t="shared" si="347"/>
        <v>RDR-Rede de Distribuição Rural</v>
      </c>
      <c r="G1038" s="2" t="str">
        <f>VLOOKUP($A1038,Controle!$B$4:$G$68,6,FALSE)</f>
        <v>Apolo</v>
      </c>
      <c r="H1038" s="6">
        <v>0</v>
      </c>
      <c r="I1038" s="6">
        <v>0</v>
      </c>
      <c r="J1038" s="6">
        <v>0</v>
      </c>
      <c r="K1038" s="6">
        <v>0</v>
      </c>
      <c r="L1038" s="6">
        <v>0</v>
      </c>
      <c r="M1038" s="6">
        <v>0</v>
      </c>
      <c r="N1038" s="6">
        <v>0</v>
      </c>
      <c r="O1038" s="4">
        <f t="shared" si="348"/>
        <v>0</v>
      </c>
      <c r="P1038" s="5">
        <f>SUMIFS('Desenvolvimento diário'!$H:$H,'Desenvolvimento diário'!$Q:$Q,$B1038,'Desenvolvimento diário'!$P:$P,$F1038,'Desenvolvimento diário'!$R:$R,"Sim")</f>
        <v>0</v>
      </c>
      <c r="Q1038" s="5">
        <f>SUMIFS('Desenvolvimento diário'!$H:$H,'Desenvolvimento diário'!$Q:$Q,$B1038,'Desenvolvimento diário'!$P:$P,$F1038,'Desenvolvimento diário'!$R:$R,"Não")</f>
        <v>0</v>
      </c>
      <c r="R1038" s="4">
        <f t="shared" si="349"/>
        <v>0</v>
      </c>
      <c r="S1038" s="4">
        <f t="shared" si="350"/>
        <v>0</v>
      </c>
      <c r="T1038" s="12">
        <f t="shared" si="352"/>
        <v>0</v>
      </c>
      <c r="Y1038" s="2"/>
      <c r="Z1038" s="2"/>
      <c r="AA1038" s="2"/>
      <c r="AB1038" s="2"/>
      <c r="AC1038" s="2"/>
    </row>
    <row r="1039" spans="1:29" ht="10.5" hidden="1">
      <c r="A1039" s="2">
        <f t="shared" si="351"/>
        <v>30</v>
      </c>
      <c r="B1039" s="2" t="str">
        <f>VLOOKUP($A1039,Controle!$B$4:$F$68,2,FALSE)</f>
        <v>Pedra do Indaiá 5</v>
      </c>
      <c r="C1039" s="2" t="str">
        <f>VLOOKUP($A1039,Controle!$B$4:$F$68,3,FALSE)</f>
        <v xml:space="preserve">ESTRELA DO NORTE </v>
      </c>
      <c r="D1039" s="2" t="str">
        <f>VLOOKUP($A1039,Controle!$B$4:$F$68,4,FALSE)</f>
        <v>EDN</v>
      </c>
      <c r="E1039" s="2">
        <f>VLOOKUP($A1039,Controle!$B$4:$F$68,5,FALSE)</f>
        <v>1</v>
      </c>
      <c r="F1039" s="3" t="str">
        <f t="shared" si="347"/>
        <v>Escopo COMERC</v>
      </c>
      <c r="G1039" s="2" t="str">
        <f>VLOOKUP($A1039,Controle!$B$4:$G$68,6,FALSE)</f>
        <v>Apolo</v>
      </c>
      <c r="H1039" s="6">
        <v>0</v>
      </c>
      <c r="I1039" s="6">
        <v>184255.88</v>
      </c>
      <c r="J1039" s="29">
        <v>59000</v>
      </c>
      <c r="K1039" s="29"/>
      <c r="L1039" s="6">
        <v>0</v>
      </c>
      <c r="M1039" s="6">
        <v>0</v>
      </c>
      <c r="N1039" s="6">
        <v>0</v>
      </c>
      <c r="O1039" s="4">
        <f t="shared" si="348"/>
        <v>243255.88</v>
      </c>
      <c r="P1039" s="5">
        <f>SUMIFS('Desenvolvimento diário'!$H:$H,'Desenvolvimento diário'!$Q:$Q,$B1039,'Desenvolvimento diário'!$P:$P,$F1039,'Desenvolvimento diário'!$R:$R,"Sim")</f>
        <v>0</v>
      </c>
      <c r="Q1039" s="5">
        <f>SUMIFS('Desenvolvimento diário'!$H:$H,'Desenvolvimento diário'!$Q:$Q,$B1039,'Desenvolvimento diário'!$P:$P,$F1039,'Desenvolvimento diário'!$R:$R,"Não")</f>
        <v>202254.66</v>
      </c>
      <c r="R1039" s="4">
        <f t="shared" si="349"/>
        <v>202254.66</v>
      </c>
      <c r="S1039" s="1010">
        <f t="shared" si="350"/>
        <v>41001.22</v>
      </c>
      <c r="T1039" s="12">
        <f t="shared" si="352"/>
        <v>0.83144818534294007</v>
      </c>
      <c r="U1039" s="1011" t="s">
        <v>166</v>
      </c>
      <c r="V1039" s="1011" t="s">
        <v>167</v>
      </c>
      <c r="Y1039" s="2"/>
      <c r="Z1039" s="2"/>
      <c r="AA1039" s="2"/>
      <c r="AB1039" s="2"/>
      <c r="AC1039" s="2"/>
    </row>
    <row r="1040" spans="1:29" ht="10.5" hidden="1">
      <c r="A1040" s="2">
        <f t="shared" si="351"/>
        <v>30</v>
      </c>
      <c r="B1040" s="2" t="str">
        <f>VLOOKUP($A1040,Controle!$B$4:$F$68,2,FALSE)</f>
        <v>Pedra do Indaiá 5</v>
      </c>
      <c r="C1040" s="2" t="str">
        <f>VLOOKUP($A1040,Controle!$B$4:$F$68,3,FALSE)</f>
        <v xml:space="preserve">ESTRELA DO NORTE </v>
      </c>
      <c r="D1040" s="2" t="str">
        <f>VLOOKUP($A1040,Controle!$B$4:$F$68,4,FALSE)</f>
        <v>EDN</v>
      </c>
      <c r="E1040" s="2">
        <f>VLOOKUP($A1040,Controle!$B$4:$F$68,5,FALSE)</f>
        <v>1</v>
      </c>
      <c r="F1040" s="3" t="str">
        <f t="shared" si="347"/>
        <v>Escopo COMERC - Segurança</v>
      </c>
      <c r="G1040" s="2" t="str">
        <f>VLOOKUP($A1040,Controle!$B$4:$G$68,6,FALSE)</f>
        <v>Apolo</v>
      </c>
      <c r="H1040" s="6">
        <v>0</v>
      </c>
      <c r="I1040" s="6">
        <f t="shared" ref="I1039:I1040" si="353">R1040</f>
        <v>76585.259999999995</v>
      </c>
      <c r="J1040" s="6">
        <v>0</v>
      </c>
      <c r="K1040" s="6">
        <v>0</v>
      </c>
      <c r="L1040" s="6">
        <v>0</v>
      </c>
      <c r="M1040" s="6">
        <v>0</v>
      </c>
      <c r="N1040" s="6">
        <v>0</v>
      </c>
      <c r="O1040" s="4">
        <f t="shared" si="348"/>
        <v>76585.259999999995</v>
      </c>
      <c r="P1040" s="5">
        <f>SUMIFS('Desenvolvimento diário'!$H:$H,'Desenvolvimento diário'!$Q:$Q,$B1040,'Desenvolvimento diário'!$P:$P,$F1040,'Desenvolvimento diário'!$R:$R,"Sim")</f>
        <v>0</v>
      </c>
      <c r="Q1040" s="5">
        <f>SUMIFS('Desenvolvimento diário'!$H:$H,'Desenvolvimento diário'!$Q:$Q,$B1040,'Desenvolvimento diário'!$P:$P,$F1040,'Desenvolvimento diário'!$R:$R,"Não")</f>
        <v>76585.259999999995</v>
      </c>
      <c r="R1040" s="4">
        <f t="shared" si="349"/>
        <v>76585.259999999995</v>
      </c>
      <c r="S1040" s="4">
        <f t="shared" si="350"/>
        <v>0</v>
      </c>
      <c r="T1040" s="12">
        <f t="shared" si="352"/>
        <v>1</v>
      </c>
      <c r="Y1040" s="2"/>
      <c r="Z1040" s="2"/>
      <c r="AA1040" s="2"/>
      <c r="AB1040" s="2"/>
      <c r="AC1040" s="2"/>
    </row>
    <row r="1041" spans="1:29" ht="10.5" hidden="1">
      <c r="A1041" s="2">
        <f t="shared" si="351"/>
        <v>30</v>
      </c>
      <c r="B1041" s="2" t="str">
        <f>VLOOKUP($A1041,Controle!$B$4:$F$68,2,FALSE)</f>
        <v>Pedra do Indaiá 5</v>
      </c>
      <c r="C1041" s="2" t="str">
        <f>VLOOKUP($A1041,Controle!$B$4:$F$68,3,FALSE)</f>
        <v xml:space="preserve">ESTRELA DO NORTE </v>
      </c>
      <c r="D1041" s="2" t="str">
        <f>VLOOKUP($A1041,Controle!$B$4:$F$68,4,FALSE)</f>
        <v>EDN</v>
      </c>
      <c r="E1041" s="2">
        <f>VLOOKUP($A1041,Controle!$B$4:$F$68,5,FALSE)</f>
        <v>1</v>
      </c>
      <c r="F1041" s="3" t="str">
        <f t="shared" si="347"/>
        <v>Conexão MT - Obras Transferencia</v>
      </c>
      <c r="G1041" s="2" t="str">
        <f>VLOOKUP($A1041,Controle!$B$4:$G$68,6,FALSE)</f>
        <v>Apolo</v>
      </c>
      <c r="H1041" s="6">
        <v>0</v>
      </c>
      <c r="I1041" s="6">
        <v>0</v>
      </c>
      <c r="J1041" s="6">
        <v>0</v>
      </c>
      <c r="K1041" s="6">
        <v>0</v>
      </c>
      <c r="L1041" s="6">
        <v>0</v>
      </c>
      <c r="M1041" s="6">
        <v>0</v>
      </c>
      <c r="N1041" s="6">
        <v>0</v>
      </c>
      <c r="O1041" s="4">
        <f t="shared" si="348"/>
        <v>0</v>
      </c>
      <c r="P1041" s="5">
        <f>SUMIFS('Desenvolvimento diário'!$H:$H,'Desenvolvimento diário'!$Q:$Q,$B1041,'Desenvolvimento diário'!$P:$P,$F1041,'Desenvolvimento diário'!$R:$R,"Sim")</f>
        <v>0</v>
      </c>
      <c r="Q1041" s="5">
        <f>SUMIFS('Desenvolvimento diário'!$H:$H,'Desenvolvimento diário'!$Q:$Q,$B1041,'Desenvolvimento diário'!$P:$P,$F1041,'Desenvolvimento diário'!$R:$R,"Não")</f>
        <v>0</v>
      </c>
      <c r="R1041" s="4">
        <f t="shared" si="349"/>
        <v>0</v>
      </c>
      <c r="S1041" s="4">
        <f t="shared" si="350"/>
        <v>0</v>
      </c>
      <c r="T1041" s="12">
        <f t="shared" si="352"/>
        <v>0</v>
      </c>
      <c r="Y1041" s="2"/>
      <c r="Z1041" s="2"/>
      <c r="AA1041" s="2"/>
      <c r="AB1041" s="2"/>
      <c r="AC1041" s="2"/>
    </row>
    <row r="1042" spans="1:29" ht="10.5" hidden="1">
      <c r="A1042" s="2">
        <f t="shared" si="351"/>
        <v>30</v>
      </c>
      <c r="B1042" s="2" t="str">
        <f>VLOOKUP($A1042,Controle!$B$4:$F$68,2,FALSE)</f>
        <v>Pedra do Indaiá 5</v>
      </c>
      <c r="C1042" s="2" t="str">
        <f>VLOOKUP($A1042,Controle!$B$4:$F$68,3,FALSE)</f>
        <v xml:space="preserve">ESTRELA DO NORTE </v>
      </c>
      <c r="D1042" s="2" t="str">
        <f>VLOOKUP($A1042,Controle!$B$4:$F$68,4,FALSE)</f>
        <v>EDN</v>
      </c>
      <c r="E1042" s="2">
        <f>VLOOKUP($A1042,Controle!$B$4:$F$68,5,FALSE)</f>
        <v>1</v>
      </c>
      <c r="F1042" s="3" t="str">
        <f t="shared" si="347"/>
        <v>Bases de Contaniers</v>
      </c>
      <c r="G1042" s="2" t="str">
        <f>VLOOKUP($A1042,Controle!$B$4:$G$68,6,FALSE)</f>
        <v>Apolo</v>
      </c>
      <c r="H1042" s="6">
        <v>0</v>
      </c>
      <c r="I1042" s="6">
        <v>0</v>
      </c>
      <c r="J1042" s="6">
        <v>0</v>
      </c>
      <c r="K1042" s="6">
        <v>0</v>
      </c>
      <c r="L1042" s="6">
        <v>0</v>
      </c>
      <c r="M1042" s="6">
        <v>0</v>
      </c>
      <c r="N1042" s="6">
        <v>0</v>
      </c>
      <c r="O1042" s="4">
        <f t="shared" si="348"/>
        <v>0</v>
      </c>
      <c r="P1042" s="5">
        <f>SUMIFS('Desenvolvimento diário'!$H:$H,'Desenvolvimento diário'!$Q:$Q,$B1042,'Desenvolvimento diário'!$P:$P,$F1042,'Desenvolvimento diário'!$R:$R,"Sim")</f>
        <v>0</v>
      </c>
      <c r="Q1042" s="5">
        <f>SUMIFS('Desenvolvimento diário'!$H:$H,'Desenvolvimento diário'!$Q:$Q,$B1042,'Desenvolvimento diário'!$P:$P,$F1042,'Desenvolvimento diário'!$R:$R,"Não")</f>
        <v>0</v>
      </c>
      <c r="R1042" s="4">
        <f t="shared" si="349"/>
        <v>0</v>
      </c>
      <c r="S1042" s="4">
        <f t="shared" si="350"/>
        <v>0</v>
      </c>
      <c r="T1042" s="12">
        <f t="shared" si="352"/>
        <v>0</v>
      </c>
      <c r="Y1042" s="2"/>
      <c r="Z1042" s="2"/>
      <c r="AA1042" s="2"/>
      <c r="AB1042" s="2"/>
      <c r="AC1042" s="2"/>
    </row>
    <row r="1043" spans="1:29" ht="10.5" hidden="1">
      <c r="A1043" s="2">
        <f t="shared" si="351"/>
        <v>30</v>
      </c>
      <c r="B1043" s="2" t="str">
        <f>VLOOKUP($A1043,Controle!$B$4:$F$68,2,FALSE)</f>
        <v>Pedra do Indaiá 5</v>
      </c>
      <c r="C1043" s="2" t="str">
        <f>VLOOKUP($A1043,Controle!$B$4:$F$68,3,FALSE)</f>
        <v xml:space="preserve">ESTRELA DO NORTE </v>
      </c>
      <c r="D1043" s="2" t="str">
        <f>VLOOKUP($A1043,Controle!$B$4:$F$68,4,FALSE)</f>
        <v>EDN</v>
      </c>
      <c r="E1043" s="2">
        <f>VLOOKUP($A1043,Controle!$B$4:$F$68,5,FALSE)</f>
        <v>1</v>
      </c>
      <c r="F1043" s="3" t="str">
        <f t="shared" si="347"/>
        <v>Construção - Serviços de Construção - Ase Engenharia</v>
      </c>
      <c r="G1043" s="2" t="str">
        <f>VLOOKUP($A1043,Controle!$B$4:$G$68,6,FALSE)</f>
        <v>Apolo</v>
      </c>
      <c r="H1043" s="6">
        <v>0</v>
      </c>
      <c r="I1043" s="6">
        <v>0</v>
      </c>
      <c r="J1043" s="6">
        <v>0</v>
      </c>
      <c r="K1043" s="6">
        <v>0</v>
      </c>
      <c r="L1043" s="6">
        <v>0</v>
      </c>
      <c r="M1043" s="6">
        <v>0</v>
      </c>
      <c r="N1043" s="6">
        <v>0</v>
      </c>
      <c r="O1043" s="4">
        <f t="shared" si="348"/>
        <v>0</v>
      </c>
      <c r="P1043" s="5">
        <f>SUMIFS('Desenvolvimento diário'!$H:$H,'Desenvolvimento diário'!$Q:$Q,$B1043,'Desenvolvimento diário'!$P:$P,$F1043,'Desenvolvimento diário'!$R:$R,"Sim")</f>
        <v>0</v>
      </c>
      <c r="Q1043" s="5">
        <f>SUMIFS('Desenvolvimento diário'!$H:$H,'Desenvolvimento diário'!$Q:$Q,$B1043,'Desenvolvimento diário'!$P:$P,$F1043,'Desenvolvimento diário'!$R:$R,"Não")</f>
        <v>0</v>
      </c>
      <c r="R1043" s="4">
        <f t="shared" si="349"/>
        <v>0</v>
      </c>
      <c r="S1043" s="4">
        <f t="shared" si="350"/>
        <v>0</v>
      </c>
      <c r="T1043" s="12">
        <f t="shared" si="352"/>
        <v>0</v>
      </c>
      <c r="Y1043" s="2"/>
      <c r="Z1043" s="2"/>
      <c r="AA1043" s="2"/>
      <c r="AB1043" s="2"/>
      <c r="AC1043" s="2"/>
    </row>
    <row r="1044" spans="1:29" ht="10.5" hidden="1">
      <c r="A1044" s="2">
        <f t="shared" si="351"/>
        <v>30</v>
      </c>
      <c r="B1044" s="2" t="str">
        <f>VLOOKUP($A1044,Controle!$B$4:$F$68,2,FALSE)</f>
        <v>Pedra do Indaiá 5</v>
      </c>
      <c r="C1044" s="2" t="str">
        <f>VLOOKUP($A1044,Controle!$B$4:$F$68,3,FALSE)</f>
        <v xml:space="preserve">ESTRELA DO NORTE </v>
      </c>
      <c r="D1044" s="2" t="str">
        <f>VLOOKUP($A1044,Controle!$B$4:$F$68,4,FALSE)</f>
        <v>EDN</v>
      </c>
      <c r="E1044" s="2">
        <f>VLOOKUP($A1044,Controle!$B$4:$F$68,5,FALSE)</f>
        <v>1</v>
      </c>
      <c r="F1044" s="3" t="str">
        <f t="shared" si="347"/>
        <v>Full EPC - Contrato Sobressalentes</v>
      </c>
      <c r="G1044" s="2" t="str">
        <f>VLOOKUP($A1044,Controle!$B$4:$G$68,6,FALSE)</f>
        <v>Apolo</v>
      </c>
      <c r="H1044" s="6">
        <v>0</v>
      </c>
      <c r="I1044" s="6">
        <v>0</v>
      </c>
      <c r="J1044" s="6">
        <v>0</v>
      </c>
      <c r="K1044" s="6">
        <v>0</v>
      </c>
      <c r="L1044" s="6">
        <v>0</v>
      </c>
      <c r="M1044" s="6">
        <v>0</v>
      </c>
      <c r="N1044" s="6">
        <v>0</v>
      </c>
      <c r="O1044" s="4">
        <f t="shared" si="348"/>
        <v>0</v>
      </c>
      <c r="P1044" s="5">
        <f>SUMIFS('Desenvolvimento diário'!$H:$H,'Desenvolvimento diário'!$Q:$Q,$B1044,'Desenvolvimento diário'!$P:$P,$F1044,'Desenvolvimento diário'!$R:$R,"Sim")</f>
        <v>0</v>
      </c>
      <c r="Q1044" s="5">
        <f>SUMIFS('Desenvolvimento diário'!$H:$H,'Desenvolvimento diário'!$Q:$Q,$B1044,'Desenvolvimento diário'!$P:$P,$F1044,'Desenvolvimento diário'!$R:$R,"Não")</f>
        <v>0</v>
      </c>
      <c r="R1044" s="4">
        <f t="shared" si="349"/>
        <v>0</v>
      </c>
      <c r="S1044" s="4">
        <f t="shared" si="350"/>
        <v>0</v>
      </c>
      <c r="T1044" s="12">
        <f t="shared" si="352"/>
        <v>0</v>
      </c>
      <c r="Y1044" s="2"/>
      <c r="Z1044" s="2"/>
      <c r="AA1044" s="2"/>
      <c r="AB1044" s="2"/>
      <c r="AC1044" s="2"/>
    </row>
    <row r="1045" spans="1:29" ht="10.5" hidden="1">
      <c r="A1045" s="2">
        <f t="shared" si="351"/>
        <v>30</v>
      </c>
      <c r="B1045" s="2" t="str">
        <f>VLOOKUP($A1045,Controle!$B$4:$F$68,2,FALSE)</f>
        <v>Pedra do Indaiá 5</v>
      </c>
      <c r="C1045" s="2" t="str">
        <f>VLOOKUP($A1045,Controle!$B$4:$F$68,3,FALSE)</f>
        <v xml:space="preserve">ESTRELA DO NORTE </v>
      </c>
      <c r="D1045" s="2" t="str">
        <f>VLOOKUP($A1045,Controle!$B$4:$F$68,4,FALSE)</f>
        <v>EDN</v>
      </c>
      <c r="E1045" s="2">
        <f>VLOOKUP($A1045,Controle!$B$4:$F$68,5,FALSE)</f>
        <v>1</v>
      </c>
      <c r="F1045" s="3" t="str">
        <f t="shared" si="347"/>
        <v>Construção - Serviços de Construção - NOVA MORADA</v>
      </c>
      <c r="G1045" s="2" t="str">
        <f>VLOOKUP($A1045,Controle!$B$4:$G$68,6,FALSE)</f>
        <v>Apolo</v>
      </c>
      <c r="H1045" s="6" t="s">
        <v>210</v>
      </c>
      <c r="I1045" s="6">
        <v>110800.13</v>
      </c>
      <c r="J1045" s="6">
        <f>40*45</f>
        <v>1800</v>
      </c>
      <c r="K1045" s="6">
        <v>0</v>
      </c>
      <c r="L1045" s="6">
        <v>0</v>
      </c>
      <c r="M1045" s="6">
        <v>0</v>
      </c>
      <c r="N1045" s="6">
        <v>0</v>
      </c>
      <c r="O1045" s="4">
        <f t="shared" si="348"/>
        <v>112600.13</v>
      </c>
      <c r="P1045" s="5">
        <f>SUMIFS('Desenvolvimento diário'!$H:$H,'Desenvolvimento diário'!$Q:$Q,$B1045,'Desenvolvimento diário'!$P:$P,$F1045,'Desenvolvimento diário'!$R:$R,"Sim")</f>
        <v>0</v>
      </c>
      <c r="Q1045" s="5">
        <f>SUMIFS('Desenvolvimento diário'!$H:$H,'Desenvolvimento diário'!$Q:$Q,$B1045,'Desenvolvimento diário'!$P:$P,$F1045,'Desenvolvimento diário'!$R:$R,"Não")</f>
        <v>112600.13</v>
      </c>
      <c r="R1045" s="4">
        <f t="shared" si="349"/>
        <v>112600.13</v>
      </c>
      <c r="S1045" s="27">
        <f t="shared" si="350"/>
        <v>0</v>
      </c>
      <c r="T1045" s="12">
        <f t="shared" si="352"/>
        <v>1</v>
      </c>
      <c r="Y1045" s="2"/>
      <c r="Z1045" s="2"/>
      <c r="AA1045" s="2"/>
      <c r="AB1045" s="2"/>
      <c r="AC1045" s="2"/>
    </row>
    <row r="1046" spans="1:29" ht="10.5" hidden="1">
      <c r="A1046" s="2">
        <f t="shared" si="351"/>
        <v>30</v>
      </c>
      <c r="B1046" s="2" t="str">
        <f>VLOOKUP($A1046,Controle!$B$4:$F$68,2,FALSE)</f>
        <v>Pedra do Indaiá 5</v>
      </c>
      <c r="C1046" s="2" t="str">
        <f>VLOOKUP($A1046,Controle!$B$4:$F$68,3,FALSE)</f>
        <v xml:space="preserve">ESTRELA DO NORTE </v>
      </c>
      <c r="D1046" s="2" t="str">
        <f>VLOOKUP($A1046,Controle!$B$4:$F$68,4,FALSE)</f>
        <v>EDN</v>
      </c>
      <c r="E1046" s="2">
        <f>VLOOKUP($A1046,Controle!$B$4:$F$68,5,FALSE)</f>
        <v>1</v>
      </c>
      <c r="F1046" s="3" t="str">
        <f t="shared" si="347"/>
        <v>Equipamentos Curva A -  Contrato Sobressalentes - SETTA</v>
      </c>
      <c r="G1046" s="2" t="str">
        <f>VLOOKUP($A1046,Controle!$B$4:$G$68,6,FALSE)</f>
        <v>Apolo</v>
      </c>
      <c r="H1046" s="6">
        <v>0</v>
      </c>
      <c r="I1046" s="6">
        <v>0</v>
      </c>
      <c r="J1046" s="6">
        <v>0</v>
      </c>
      <c r="K1046" s="6">
        <v>0</v>
      </c>
      <c r="L1046" s="6">
        <v>0</v>
      </c>
      <c r="M1046" s="6">
        <v>0</v>
      </c>
      <c r="N1046" s="6">
        <v>0</v>
      </c>
      <c r="O1046" s="4">
        <f t="shared" si="348"/>
        <v>0</v>
      </c>
      <c r="P1046" s="5">
        <f>SUMIFS('Desenvolvimento diário'!$H:$H,'Desenvolvimento diário'!$Q:$Q,$B1046,'Desenvolvimento diário'!$P:$P,$F1046,'Desenvolvimento diário'!$R:$R,"Sim")</f>
        <v>0</v>
      </c>
      <c r="Q1046" s="5">
        <f>SUMIFS('Desenvolvimento diário'!$H:$H,'Desenvolvimento diário'!$Q:$Q,$B1046,'Desenvolvimento diário'!$P:$P,$F1046,'Desenvolvimento diário'!$R:$R,"Não")</f>
        <v>0</v>
      </c>
      <c r="R1046" s="4">
        <f t="shared" si="349"/>
        <v>0</v>
      </c>
      <c r="S1046" s="4">
        <f t="shared" si="350"/>
        <v>0</v>
      </c>
      <c r="T1046" s="12">
        <f t="shared" si="352"/>
        <v>0</v>
      </c>
      <c r="Y1046" s="2"/>
      <c r="Z1046" s="2"/>
      <c r="AA1046" s="2"/>
      <c r="AB1046" s="2"/>
      <c r="AC1046" s="2"/>
    </row>
    <row r="1047" spans="1:29" ht="10.5" hidden="1">
      <c r="A1047" s="2">
        <f t="shared" si="351"/>
        <v>30</v>
      </c>
      <c r="B1047" s="2" t="str">
        <f>VLOOKUP($A1047,Controle!$B$4:$F$68,2,FALSE)</f>
        <v>Pedra do Indaiá 5</v>
      </c>
      <c r="C1047" s="2" t="str">
        <f>VLOOKUP($A1047,Controle!$B$4:$F$68,3,FALSE)</f>
        <v xml:space="preserve">ESTRELA DO NORTE </v>
      </c>
      <c r="D1047" s="2" t="str">
        <f>VLOOKUP($A1047,Controle!$B$4:$F$68,4,FALSE)</f>
        <v>EDN</v>
      </c>
      <c r="E1047" s="2">
        <f>VLOOKUP($A1047,Controle!$B$4:$F$68,5,FALSE)</f>
        <v>1</v>
      </c>
      <c r="F1047" s="3" t="str">
        <f t="shared" si="347"/>
        <v>Equipamentos Curva A -  Contrato Sobressalentes - Arctech</v>
      </c>
      <c r="G1047" s="2" t="str">
        <f>VLOOKUP($A1047,Controle!$B$4:$G$68,6,FALSE)</f>
        <v>Apolo</v>
      </c>
      <c r="H1047" s="6">
        <v>0</v>
      </c>
      <c r="I1047" s="6">
        <v>0</v>
      </c>
      <c r="J1047" s="6">
        <v>0</v>
      </c>
      <c r="K1047" s="6">
        <v>0</v>
      </c>
      <c r="L1047" s="6">
        <v>0</v>
      </c>
      <c r="M1047" s="6">
        <v>0</v>
      </c>
      <c r="N1047" s="6">
        <v>0</v>
      </c>
      <c r="O1047" s="4">
        <f t="shared" si="348"/>
        <v>0</v>
      </c>
      <c r="P1047" s="5">
        <f>SUMIFS('Desenvolvimento diário'!$H:$H,'Desenvolvimento diário'!$Q:$Q,$B1047,'Desenvolvimento diário'!$P:$P,$F1047,'Desenvolvimento diário'!$R:$R,"Sim")</f>
        <v>0</v>
      </c>
      <c r="Q1047" s="5">
        <f>SUMIFS('Desenvolvimento diário'!$H:$H,'Desenvolvimento diário'!$Q:$Q,$B1047,'Desenvolvimento diário'!$P:$P,$F1047,'Desenvolvimento diário'!$R:$R,"Não")</f>
        <v>0</v>
      </c>
      <c r="R1047" s="4">
        <f t="shared" si="349"/>
        <v>0</v>
      </c>
      <c r="S1047" s="4">
        <f t="shared" si="350"/>
        <v>0</v>
      </c>
      <c r="T1047" s="12">
        <f t="shared" si="352"/>
        <v>0</v>
      </c>
      <c r="Y1047" s="2"/>
      <c r="Z1047" s="2"/>
      <c r="AA1047" s="2"/>
      <c r="AB1047" s="2"/>
      <c r="AC1047" s="2"/>
    </row>
    <row r="1048" spans="1:29" hidden="1">
      <c r="A1048" s="2">
        <f t="shared" si="351"/>
        <v>30</v>
      </c>
      <c r="B1048" s="2" t="str">
        <f>VLOOKUP($A1048,Controle!$B$4:$F$68,2,FALSE)</f>
        <v>Pedra do Indaiá 5</v>
      </c>
      <c r="C1048" s="2" t="str">
        <f>VLOOKUP($A1048,Controle!$B$4:$F$68,3,FALSE)</f>
        <v xml:space="preserve">ESTRELA DO NORTE </v>
      </c>
      <c r="D1048" s="2" t="str">
        <f>VLOOKUP($A1048,Controle!$B$4:$F$68,4,FALSE)</f>
        <v>EDN</v>
      </c>
      <c r="E1048" s="2">
        <f>VLOOKUP($A1048,Controle!$B$4:$F$68,5,FALSE)</f>
        <v>1</v>
      </c>
      <c r="F1048" s="3" t="str">
        <f t="shared" si="347"/>
        <v>Equipamentos Curva A -  Contrato Sobressalentes - Romagnole</v>
      </c>
      <c r="G1048" s="2" t="str">
        <f>VLOOKUP($A1048,Controle!$B$4:$G$68,6,FALSE)</f>
        <v>Apolo</v>
      </c>
      <c r="H1048" s="7">
        <v>0</v>
      </c>
      <c r="I1048" s="7">
        <v>0</v>
      </c>
      <c r="J1048" s="7">
        <v>0</v>
      </c>
      <c r="K1048" s="7">
        <v>0</v>
      </c>
      <c r="L1048" s="7">
        <v>0</v>
      </c>
      <c r="M1048" s="7">
        <v>0</v>
      </c>
      <c r="N1048" s="7">
        <v>0</v>
      </c>
      <c r="O1048" s="4">
        <f t="shared" si="348"/>
        <v>0</v>
      </c>
      <c r="P1048" s="17">
        <f>SUMIFS('Desenvolvimento diário'!$H:$H,'Desenvolvimento diário'!$Q:$Q,$B1048,'Desenvolvimento diário'!$P:$P,$F1048,'Desenvolvimento diário'!$R:$R,"Sim")</f>
        <v>0</v>
      </c>
      <c r="Q1048" s="17">
        <f>SUMIFS('Desenvolvimento diário'!$H:$H,'Desenvolvimento diário'!$Q:$Q,$B1048,'Desenvolvimento diário'!$P:$P,$F1048,'Desenvolvimento diário'!$R:$R,"Não")</f>
        <v>0</v>
      </c>
      <c r="R1048" s="4">
        <f t="shared" si="349"/>
        <v>0</v>
      </c>
      <c r="S1048" s="4">
        <f t="shared" si="350"/>
        <v>0</v>
      </c>
      <c r="T1048" s="12">
        <f t="shared" si="352"/>
        <v>0</v>
      </c>
      <c r="Y1048" s="2"/>
      <c r="Z1048" s="2"/>
      <c r="AA1048" s="2"/>
      <c r="AB1048" s="2"/>
      <c r="AC1048" s="2"/>
    </row>
    <row r="1049" spans="1:29" hidden="1">
      <c r="A1049" s="2">
        <f t="shared" si="351"/>
        <v>30</v>
      </c>
      <c r="B1049" s="2" t="str">
        <f>VLOOKUP($A1049,Controle!$B$4:$F$68,2,FALSE)</f>
        <v>Pedra do Indaiá 5</v>
      </c>
      <c r="C1049" s="2" t="str">
        <f>VLOOKUP($A1049,Controle!$B$4:$F$68,3,FALSE)</f>
        <v xml:space="preserve">ESTRELA DO NORTE </v>
      </c>
      <c r="D1049" s="2" t="str">
        <f>VLOOKUP($A1049,Controle!$B$4:$F$68,4,FALSE)</f>
        <v>EDN</v>
      </c>
      <c r="E1049" s="2">
        <f>VLOOKUP($A1049,Controle!$B$4:$F$68,5,FALSE)</f>
        <v>1</v>
      </c>
      <c r="F1049" s="3" t="str">
        <f t="shared" si="347"/>
        <v>GOS FLORESTAL - (PRAD - Recuperação Area Ambiental)</v>
      </c>
      <c r="G1049" s="2" t="str">
        <f>VLOOKUP($A1049,Controle!$B$4:$G$68,6,FALSE)</f>
        <v>Apolo</v>
      </c>
      <c r="H1049" s="506" t="s">
        <v>170</v>
      </c>
      <c r="I1049" s="6">
        <v>0</v>
      </c>
      <c r="J1049" s="506"/>
      <c r="K1049" s="506">
        <v>0</v>
      </c>
      <c r="L1049" s="506">
        <v>0</v>
      </c>
      <c r="M1049" s="506">
        <v>0</v>
      </c>
      <c r="N1049" s="506">
        <v>0</v>
      </c>
      <c r="O1049" s="39">
        <f t="shared" si="348"/>
        <v>0</v>
      </c>
      <c r="P1049" s="17">
        <f>SUMIFS('Desenvolvimento diário'!$H:$H,'Desenvolvimento diário'!$Q:$Q,$B1049,'Desenvolvimento diário'!$P:$P,$F1049,'Desenvolvimento diário'!$R:$R,"Sim")</f>
        <v>0</v>
      </c>
      <c r="Q1049" s="17">
        <f>SUMIFS('Desenvolvimento diário'!$H:$H,'Desenvolvimento diário'!$Q:$Q,$B1049,'Desenvolvimento diário'!$P:$P,$F1049,'Desenvolvimento diário'!$R:$R,"Não")</f>
        <v>0</v>
      </c>
      <c r="R1049" s="4">
        <f t="shared" si="349"/>
        <v>0</v>
      </c>
      <c r="S1049" s="4">
        <f t="shared" si="350"/>
        <v>0</v>
      </c>
      <c r="T1049" s="12">
        <f t="shared" si="352"/>
        <v>0</v>
      </c>
      <c r="Y1049" s="2"/>
      <c r="Z1049" s="2"/>
      <c r="AA1049" s="2"/>
      <c r="AB1049" s="2"/>
      <c r="AC1049" s="2"/>
    </row>
    <row r="1050" spans="1:29" hidden="1">
      <c r="A1050" s="2">
        <f t="shared" si="351"/>
        <v>30</v>
      </c>
      <c r="B1050" s="2" t="str">
        <f>VLOOKUP($A1050,Controle!$B$4:$F$68,2,FALSE)</f>
        <v>Pedra do Indaiá 5</v>
      </c>
      <c r="C1050" s="2" t="str">
        <f>VLOOKUP($A1050,Controle!$B$4:$F$68,3,FALSE)</f>
        <v xml:space="preserve">ESTRELA DO NORTE </v>
      </c>
      <c r="D1050" s="2" t="str">
        <f>VLOOKUP($A1050,Controle!$B$4:$F$68,4,FALSE)</f>
        <v>EDN</v>
      </c>
      <c r="E1050" s="2">
        <f>VLOOKUP($A1050,Controle!$B$4:$F$68,5,FALSE)</f>
        <v>1</v>
      </c>
      <c r="F1050" s="3" t="str">
        <f t="shared" si="347"/>
        <v>Cercamento das bacias de contenção ciclo 2</v>
      </c>
      <c r="G1050" s="2" t="str">
        <f>VLOOKUP($A1050,Controle!$B$4:$G$68,6,FALSE)</f>
        <v>Apolo</v>
      </c>
      <c r="H1050" s="506" t="s">
        <v>172</v>
      </c>
      <c r="I1050" s="6"/>
      <c r="J1050" s="506"/>
      <c r="K1050" s="506">
        <v>0</v>
      </c>
      <c r="L1050" s="506">
        <v>0</v>
      </c>
      <c r="M1050" s="506">
        <v>0</v>
      </c>
      <c r="N1050" s="506">
        <v>0</v>
      </c>
      <c r="O1050" s="39">
        <f t="shared" si="348"/>
        <v>0</v>
      </c>
      <c r="P1050" s="17">
        <f>SUMIFS('Desenvolvimento diário'!$H:$H,'Desenvolvimento diário'!$Q:$Q,$B1050,'Desenvolvimento diário'!$P:$P,$F1050,'Desenvolvimento diário'!$R:$R,"Sim")</f>
        <v>0</v>
      </c>
      <c r="Q1050" s="17">
        <f>SUMIFS('Desenvolvimento diário'!$H:$H,'Desenvolvimento diário'!$Q:$Q,$B1050,'Desenvolvimento diário'!$P:$P,$F1050,'Desenvolvimento diário'!$R:$R,"Não")</f>
        <v>0</v>
      </c>
      <c r="R1050" s="4">
        <f t="shared" si="349"/>
        <v>0</v>
      </c>
      <c r="S1050" s="1030">
        <f t="shared" si="350"/>
        <v>0</v>
      </c>
      <c r="T1050" s="12">
        <f t="shared" si="352"/>
        <v>0</v>
      </c>
      <c r="U1050" s="1029" t="s">
        <v>166</v>
      </c>
      <c r="V1050" s="1029" t="s">
        <v>94</v>
      </c>
      <c r="Y1050" s="2"/>
      <c r="Z1050" s="2"/>
      <c r="AA1050" s="2"/>
      <c r="AB1050" s="2"/>
      <c r="AC1050" s="2"/>
    </row>
    <row r="1051" spans="1:29" hidden="1">
      <c r="A1051" s="8">
        <f>A1048</f>
        <v>30</v>
      </c>
      <c r="B1051" s="9" t="str">
        <f t="shared" ref="B1051" si="354">B1048</f>
        <v>Pedra do Indaiá 5</v>
      </c>
      <c r="C1051" s="9" t="str">
        <f t="shared" ref="C1051" si="355">C1048</f>
        <v xml:space="preserve">ESTRELA DO NORTE </v>
      </c>
      <c r="D1051" s="9" t="str">
        <f t="shared" ref="D1051" si="356">D1048</f>
        <v>EDN</v>
      </c>
      <c r="E1051" s="9">
        <f t="shared" ref="E1051" si="357">E1048</f>
        <v>1</v>
      </c>
      <c r="F1051" s="10" t="s">
        <v>158</v>
      </c>
      <c r="G1051" s="9" t="str">
        <f>G1048</f>
        <v>Apolo</v>
      </c>
      <c r="H1051" s="9"/>
      <c r="I1051" s="9">
        <f>SUBTOTAL(9,I1017:I1050)</f>
        <v>0</v>
      </c>
      <c r="J1051" s="9">
        <f t="shared" ref="J1051:S1051" si="358">SUBTOTAL(9,J1017:J1050)</f>
        <v>0</v>
      </c>
      <c r="K1051" s="9">
        <f t="shared" si="358"/>
        <v>0</v>
      </c>
      <c r="L1051" s="9">
        <f t="shared" si="358"/>
        <v>0</v>
      </c>
      <c r="M1051" s="9">
        <f t="shared" si="358"/>
        <v>0</v>
      </c>
      <c r="N1051" s="9">
        <f t="shared" si="358"/>
        <v>0</v>
      </c>
      <c r="O1051" s="9">
        <f t="shared" si="358"/>
        <v>0</v>
      </c>
      <c r="P1051" s="9">
        <f t="shared" si="358"/>
        <v>0</v>
      </c>
      <c r="Q1051" s="9">
        <f t="shared" si="358"/>
        <v>0</v>
      </c>
      <c r="R1051" s="9">
        <f t="shared" si="358"/>
        <v>0</v>
      </c>
      <c r="S1051" s="9">
        <f t="shared" si="358"/>
        <v>0</v>
      </c>
      <c r="T1051" s="13">
        <f t="shared" si="352"/>
        <v>0</v>
      </c>
      <c r="U1051" s="11">
        <f>SUBTOTAL(9,U1017:U1050)</f>
        <v>0</v>
      </c>
      <c r="Y1051" s="2"/>
      <c r="Z1051" s="2"/>
      <c r="AA1051" s="2"/>
      <c r="AB1051" s="2"/>
      <c r="AC1051" s="2"/>
    </row>
    <row r="1052" spans="1:29" ht="10.5" hidden="1">
      <c r="A1052" s="2">
        <f>A1017+1</f>
        <v>31</v>
      </c>
      <c r="B1052" s="2" t="str">
        <f>VLOOKUP($A1052,Controle!$B$4:$F$68,2,FALSE)</f>
        <v>Pains 1</v>
      </c>
      <c r="C1052" s="2" t="str">
        <f>VLOOKUP($A1052,Controle!$B$4:$F$68,3,FALSE)</f>
        <v xml:space="preserve">ESTRELA DO NORTE </v>
      </c>
      <c r="D1052" s="2" t="str">
        <f>VLOOKUP($A1052,Controle!$B$4:$F$68,4,FALSE)</f>
        <v>EDN</v>
      </c>
      <c r="E1052" s="2">
        <f>VLOOKUP($A1052,Controle!$B$4:$F$68,5,FALSE)</f>
        <v>3</v>
      </c>
      <c r="F1052" s="3" t="str">
        <f t="shared" ref="F1052:F1085" si="359">F1017</f>
        <v>Conexão AT - Obras</v>
      </c>
      <c r="G1052" s="2" t="str">
        <f>VLOOKUP($A1052,Controle!$B$4:$G$68,6,FALSE)</f>
        <v>Apolo</v>
      </c>
      <c r="H1052" s="6" t="s">
        <v>141</v>
      </c>
      <c r="I1052" s="31">
        <v>150000</v>
      </c>
      <c r="J1052" s="6">
        <v>0</v>
      </c>
      <c r="K1052" s="6">
        <v>0</v>
      </c>
      <c r="L1052" s="6">
        <v>0</v>
      </c>
      <c r="M1052" s="6">
        <v>0</v>
      </c>
      <c r="N1052" s="6">
        <v>0</v>
      </c>
      <c r="O1052" s="4">
        <f t="shared" ref="O1052:O1085" si="360">SUM(I1052:N1052)</f>
        <v>150000</v>
      </c>
      <c r="P1052" s="5">
        <f>SUMIFS('Desenvolvimento diário'!$H:$H,'Desenvolvimento diário'!$Q:$Q,$B1052,'Desenvolvimento diário'!$P:$P,$F1052,'Desenvolvimento diário'!$R:$R,"Sim")</f>
        <v>0</v>
      </c>
      <c r="Q1052" s="5">
        <f>SUMIFS('Desenvolvimento diário'!$H:$H,'Desenvolvimento diário'!$Q:$Q,$B1052,'Desenvolvimento diário'!$P:$P,$F1052,'Desenvolvimento diário'!$R:$R,"Não")</f>
        <v>150000</v>
      </c>
      <c r="R1052" s="4">
        <f t="shared" ref="R1052:R1085" si="361">SUM(P1052:Q1052)</f>
        <v>150000</v>
      </c>
      <c r="S1052" s="4">
        <f t="shared" ref="S1052:S1085" si="362">O1052-R1052</f>
        <v>0</v>
      </c>
      <c r="T1052" s="12">
        <f t="shared" si="352"/>
        <v>1</v>
      </c>
      <c r="Y1052" s="2"/>
      <c r="Z1052" s="2"/>
      <c r="AA1052" s="2"/>
      <c r="AB1052" s="2"/>
      <c r="AC1052" s="2"/>
    </row>
    <row r="1053" spans="1:29" ht="10.5" hidden="1">
      <c r="A1053" s="2">
        <f t="shared" ref="A1053:A1085" si="363">A1052</f>
        <v>31</v>
      </c>
      <c r="B1053" s="2" t="str">
        <f>VLOOKUP($A1053,Controle!$B$4:$F$68,2,FALSE)</f>
        <v>Pains 1</v>
      </c>
      <c r="C1053" s="2" t="str">
        <f>VLOOKUP($A1053,Controle!$B$4:$F$68,3,FALSE)</f>
        <v xml:space="preserve">ESTRELA DO NORTE </v>
      </c>
      <c r="D1053" s="2" t="str">
        <f>VLOOKUP($A1053,Controle!$B$4:$F$68,4,FALSE)</f>
        <v>EDN</v>
      </c>
      <c r="E1053" s="2">
        <f>VLOOKUP($A1053,Controle!$B$4:$F$68,5,FALSE)</f>
        <v>3</v>
      </c>
      <c r="F1053" s="3" t="str">
        <f t="shared" si="359"/>
        <v>Conexão MT - Obras</v>
      </c>
      <c r="G1053" s="2" t="str">
        <f>VLOOKUP($A1053,Controle!$B$4:$G$68,6,FALSE)</f>
        <v>Apolo</v>
      </c>
      <c r="H1053" s="6" t="s">
        <v>168</v>
      </c>
      <c r="I1053" s="6">
        <v>1165500</v>
      </c>
      <c r="J1053" s="6">
        <v>4159725</v>
      </c>
      <c r="K1053" s="6">
        <v>0</v>
      </c>
      <c r="L1053" s="6">
        <v>0</v>
      </c>
      <c r="M1053" s="6">
        <v>0</v>
      </c>
      <c r="N1053" s="6">
        <v>0</v>
      </c>
      <c r="O1053" s="4">
        <f t="shared" si="360"/>
        <v>5325225</v>
      </c>
      <c r="P1053" s="5">
        <f>SUMIFS('Desenvolvimento diário'!$H:$H,'Desenvolvimento diário'!$Q:$Q,$B1053,'Desenvolvimento diário'!$P:$P,$F1053,'Desenvolvimento diário'!$R:$R,"Sim")</f>
        <v>118860</v>
      </c>
      <c r="Q1053" s="5">
        <f>SUMIFS('Desenvolvimento diário'!$H:$H,'Desenvolvimento diário'!$Q:$Q,$B1053,'Desenvolvimento diário'!$P:$P,$F1053,'Desenvolvimento diário'!$R:$R,"Não")</f>
        <v>40792.5</v>
      </c>
      <c r="R1053" s="4">
        <f t="shared" si="361"/>
        <v>159652.5</v>
      </c>
      <c r="S1053" s="1017">
        <f t="shared" si="362"/>
        <v>5165572.5</v>
      </c>
      <c r="T1053" s="12">
        <f t="shared" si="352"/>
        <v>2.9980423362393139E-2</v>
      </c>
      <c r="U1053" s="1018" t="s">
        <v>162</v>
      </c>
      <c r="V1053" s="1018" t="s">
        <v>211</v>
      </c>
      <c r="Y1053" s="2"/>
      <c r="Z1053" s="2"/>
      <c r="AA1053" s="2"/>
      <c r="AB1053" s="2"/>
      <c r="AC1053" s="2"/>
    </row>
    <row r="1054" spans="1:29" ht="10.5" hidden="1">
      <c r="A1054" s="2">
        <f t="shared" si="363"/>
        <v>31</v>
      </c>
      <c r="B1054" s="2" t="str">
        <f>VLOOKUP($A1054,Controle!$B$4:$F$68,2,FALSE)</f>
        <v>Pains 1</v>
      </c>
      <c r="C1054" s="2" t="str">
        <f>VLOOKUP($A1054,Controle!$B$4:$F$68,3,FALSE)</f>
        <v xml:space="preserve">ESTRELA DO NORTE </v>
      </c>
      <c r="D1054" s="2" t="str">
        <f>VLOOKUP($A1054,Controle!$B$4:$F$68,4,FALSE)</f>
        <v>EDN</v>
      </c>
      <c r="E1054" s="2">
        <f>VLOOKUP($A1054,Controle!$B$4:$F$68,5,FALSE)</f>
        <v>3</v>
      </c>
      <c r="F1054" s="3" t="str">
        <f t="shared" si="359"/>
        <v>Construção - Serviços de Construção</v>
      </c>
      <c r="G1054" s="2" t="str">
        <f>VLOOKUP($A1054,Controle!$B$4:$G$68,6,FALSE)</f>
        <v>Apolo</v>
      </c>
      <c r="H1054" s="6">
        <v>0</v>
      </c>
      <c r="I1054" s="6">
        <v>0</v>
      </c>
      <c r="J1054" s="6">
        <v>0</v>
      </c>
      <c r="K1054" s="6">
        <v>0</v>
      </c>
      <c r="L1054" s="6">
        <v>0</v>
      </c>
      <c r="M1054" s="6">
        <v>0</v>
      </c>
      <c r="N1054" s="6">
        <v>0</v>
      </c>
      <c r="O1054" s="4">
        <f t="shared" si="360"/>
        <v>0</v>
      </c>
      <c r="P1054" s="5">
        <f>SUMIFS('Desenvolvimento diário'!$H:$H,'Desenvolvimento diário'!$Q:$Q,$B1054,'Desenvolvimento diário'!$P:$P,$F1054,'Desenvolvimento diário'!$R:$R,"Sim")</f>
        <v>0</v>
      </c>
      <c r="Q1054" s="5">
        <f>SUMIFS('Desenvolvimento diário'!$H:$H,'Desenvolvimento diário'!$Q:$Q,$B1054,'Desenvolvimento diário'!$P:$P,$F1054,'Desenvolvimento diário'!$R:$R,"Não")</f>
        <v>0</v>
      </c>
      <c r="R1054" s="4">
        <f t="shared" si="361"/>
        <v>0</v>
      </c>
      <c r="S1054" s="27">
        <f t="shared" si="362"/>
        <v>0</v>
      </c>
      <c r="T1054" s="12">
        <f t="shared" si="352"/>
        <v>0</v>
      </c>
      <c r="Y1054" s="2"/>
      <c r="Z1054" s="2"/>
      <c r="AA1054" s="2"/>
      <c r="AB1054" s="2"/>
      <c r="AC1054" s="2"/>
    </row>
    <row r="1055" spans="1:29" ht="10.5" hidden="1">
      <c r="A1055" s="2">
        <f t="shared" si="363"/>
        <v>31</v>
      </c>
      <c r="B1055" s="2" t="str">
        <f>VLOOKUP($A1055,Controle!$B$4:$F$68,2,FALSE)</f>
        <v>Pains 1</v>
      </c>
      <c r="C1055" s="2" t="str">
        <f>VLOOKUP($A1055,Controle!$B$4:$F$68,3,FALSE)</f>
        <v xml:space="preserve">ESTRELA DO NORTE </v>
      </c>
      <c r="D1055" s="2" t="str">
        <f>VLOOKUP($A1055,Controle!$B$4:$F$68,4,FALSE)</f>
        <v>EDN</v>
      </c>
      <c r="E1055" s="2">
        <f>VLOOKUP($A1055,Controle!$B$4:$F$68,5,FALSE)</f>
        <v>3</v>
      </c>
      <c r="F1055" s="3" t="str">
        <f t="shared" si="359"/>
        <v>Construção - Serviços de Construção - Substituição</v>
      </c>
      <c r="G1055" s="2" t="str">
        <f>VLOOKUP($A1055,Controle!$B$4:$G$68,6,FALSE)</f>
        <v>Apolo</v>
      </c>
      <c r="H1055" s="6" t="s">
        <v>202</v>
      </c>
      <c r="I1055" s="6">
        <v>2740702.22</v>
      </c>
      <c r="J1055" s="6">
        <v>0</v>
      </c>
      <c r="K1055" s="6">
        <v>0</v>
      </c>
      <c r="L1055" s="6">
        <v>0</v>
      </c>
      <c r="M1055" s="6">
        <v>0</v>
      </c>
      <c r="N1055" s="6">
        <v>0</v>
      </c>
      <c r="O1055" s="4">
        <f t="shared" si="360"/>
        <v>2740702.22</v>
      </c>
      <c r="P1055" s="5">
        <f>SUMIFS('Desenvolvimento diário'!$H:$H,'Desenvolvimento diário'!$Q:$Q,$B1055,'Desenvolvimento diário'!$P:$P,$F1055,'Desenvolvimento diário'!$R:$R,"Sim")</f>
        <v>579465.41999999993</v>
      </c>
      <c r="Q1055" s="5">
        <f>SUMIFS('Desenvolvimento diário'!$H:$H,'Desenvolvimento diário'!$Q:$Q,$B1055,'Desenvolvimento diário'!$P:$P,$F1055,'Desenvolvimento diário'!$R:$R,"Não")</f>
        <v>274070.21999999997</v>
      </c>
      <c r="R1055" s="4">
        <f t="shared" si="361"/>
        <v>853535.6399999999</v>
      </c>
      <c r="S1055" s="33">
        <f t="shared" si="362"/>
        <v>1887166.5800000003</v>
      </c>
      <c r="T1055" s="12">
        <f t="shared" si="352"/>
        <v>0.31142954304608833</v>
      </c>
      <c r="U1055" s="510" t="s">
        <v>162</v>
      </c>
      <c r="V1055" s="510" t="s">
        <v>163</v>
      </c>
      <c r="Y1055" s="2"/>
      <c r="Z1055" s="2"/>
      <c r="AA1055" s="2"/>
      <c r="AB1055" s="2"/>
      <c r="AC1055" s="2"/>
    </row>
    <row r="1056" spans="1:29" ht="10.5" hidden="1">
      <c r="A1056" s="2">
        <f t="shared" si="363"/>
        <v>31</v>
      </c>
      <c r="B1056" s="2" t="str">
        <f>VLOOKUP($A1056,Controle!$B$4:$F$68,2,FALSE)</f>
        <v>Pains 1</v>
      </c>
      <c r="C1056" s="2" t="str">
        <f>VLOOKUP($A1056,Controle!$B$4:$F$68,3,FALSE)</f>
        <v xml:space="preserve">ESTRELA DO NORTE </v>
      </c>
      <c r="D1056" s="2" t="str">
        <f>VLOOKUP($A1056,Controle!$B$4:$F$68,4,FALSE)</f>
        <v>EDN</v>
      </c>
      <c r="E1056" s="2">
        <f>VLOOKUP($A1056,Controle!$B$4:$F$68,5,FALSE)</f>
        <v>3</v>
      </c>
      <c r="F1056" s="3" t="str">
        <f t="shared" si="359"/>
        <v>Construção - RDA Interno</v>
      </c>
      <c r="G1056" s="2" t="str">
        <f>VLOOKUP($A1056,Controle!$B$4:$G$68,6,FALSE)</f>
        <v>Apolo</v>
      </c>
      <c r="H1056" s="28" t="s">
        <v>143</v>
      </c>
      <c r="I1056" s="28">
        <v>0</v>
      </c>
      <c r="J1056" s="6">
        <v>0</v>
      </c>
      <c r="K1056" s="6"/>
      <c r="L1056" s="6">
        <v>0</v>
      </c>
      <c r="M1056" s="6">
        <v>0</v>
      </c>
      <c r="N1056" s="6">
        <v>0</v>
      </c>
      <c r="O1056" s="4">
        <f t="shared" si="360"/>
        <v>0</v>
      </c>
      <c r="P1056" s="5">
        <f>SUMIFS('Desenvolvimento diário'!$H:$H,'Desenvolvimento diário'!$Q:$Q,$B1056,'Desenvolvimento diário'!$P:$P,$F1056,'Desenvolvimento diário'!$R:$R,"Sim")</f>
        <v>0</v>
      </c>
      <c r="Q1056" s="5">
        <f>SUMIFS('Desenvolvimento diário'!$H:$H,'Desenvolvimento diário'!$Q:$Q,$B1056,'Desenvolvimento diário'!$P:$P,$F1056,'Desenvolvimento diário'!$R:$R,"Não")</f>
        <v>0</v>
      </c>
      <c r="R1056" s="4">
        <f t="shared" si="361"/>
        <v>0</v>
      </c>
      <c r="S1056" s="4">
        <f t="shared" si="362"/>
        <v>0</v>
      </c>
      <c r="T1056" s="12">
        <f t="shared" si="352"/>
        <v>0</v>
      </c>
      <c r="Y1056" s="2"/>
      <c r="Z1056" s="2"/>
      <c r="AA1056" s="2"/>
      <c r="AB1056" s="2"/>
      <c r="AC1056" s="2"/>
    </row>
    <row r="1057" spans="1:29" ht="10.5" hidden="1">
      <c r="A1057" s="2">
        <f t="shared" si="363"/>
        <v>31</v>
      </c>
      <c r="B1057" s="2" t="str">
        <f>VLOOKUP($A1057,Controle!$B$4:$F$68,2,FALSE)</f>
        <v>Pains 1</v>
      </c>
      <c r="C1057" s="2" t="str">
        <f>VLOOKUP($A1057,Controle!$B$4:$F$68,3,FALSE)</f>
        <v xml:space="preserve">ESTRELA DO NORTE </v>
      </c>
      <c r="D1057" s="2" t="str">
        <f>VLOOKUP($A1057,Controle!$B$4:$F$68,4,FALSE)</f>
        <v>EDN</v>
      </c>
      <c r="E1057" s="2">
        <f>VLOOKUP($A1057,Controle!$B$4:$F$68,5,FALSE)</f>
        <v>3</v>
      </c>
      <c r="F1057" s="3" t="str">
        <f t="shared" si="359"/>
        <v>Full EPC - Contrato</v>
      </c>
      <c r="G1057" s="2" t="str">
        <f>VLOOKUP($A1057,Controle!$B$4:$G$68,6,FALSE)</f>
        <v>Apolo</v>
      </c>
      <c r="H1057" s="6">
        <v>0</v>
      </c>
      <c r="I1057" s="6">
        <v>0</v>
      </c>
      <c r="J1057" s="6">
        <v>0</v>
      </c>
      <c r="K1057" s="6">
        <v>0</v>
      </c>
      <c r="L1057" s="6">
        <v>0</v>
      </c>
      <c r="M1057" s="6">
        <v>0</v>
      </c>
      <c r="N1057" s="6">
        <v>0</v>
      </c>
      <c r="O1057" s="4">
        <f t="shared" si="360"/>
        <v>0</v>
      </c>
      <c r="P1057" s="5">
        <f>SUMIFS('Desenvolvimento diário'!$H:$H,'Desenvolvimento diário'!$Q:$Q,$B1057,'Desenvolvimento diário'!$P:$P,$F1057,'Desenvolvimento diário'!$R:$R,"Sim")</f>
        <v>0</v>
      </c>
      <c r="Q1057" s="5">
        <f>SUMIFS('Desenvolvimento diário'!$H:$H,'Desenvolvimento diário'!$Q:$Q,$B1057,'Desenvolvimento diário'!$P:$P,$F1057,'Desenvolvimento diário'!$R:$R,"Não")</f>
        <v>0</v>
      </c>
      <c r="R1057" s="4">
        <f t="shared" si="361"/>
        <v>0</v>
      </c>
      <c r="S1057" s="4">
        <f t="shared" si="362"/>
        <v>0</v>
      </c>
      <c r="T1057" s="12">
        <f t="shared" si="352"/>
        <v>0</v>
      </c>
      <c r="Y1057" s="2"/>
      <c r="Z1057" s="2"/>
      <c r="AA1057" s="2"/>
      <c r="AB1057" s="2"/>
      <c r="AC1057" s="2"/>
    </row>
    <row r="1058" spans="1:29" ht="10.5" hidden="1">
      <c r="A1058" s="2">
        <f t="shared" si="363"/>
        <v>31</v>
      </c>
      <c r="B1058" s="2" t="str">
        <f>VLOOKUP($A1058,Controle!$B$4:$F$68,2,FALSE)</f>
        <v>Pains 1</v>
      </c>
      <c r="C1058" s="2" t="str">
        <f>VLOOKUP($A1058,Controle!$B$4:$F$68,3,FALSE)</f>
        <v xml:space="preserve">ESTRELA DO NORTE </v>
      </c>
      <c r="D1058" s="2" t="str">
        <f>VLOOKUP($A1058,Controle!$B$4:$F$68,4,FALSE)</f>
        <v>EDN</v>
      </c>
      <c r="E1058" s="2">
        <f>VLOOKUP($A1058,Controle!$B$4:$F$68,5,FALSE)</f>
        <v>3</v>
      </c>
      <c r="F1058" s="3" t="str">
        <f t="shared" si="359"/>
        <v>Equipamentos Curva A - Outros (Transformadores)</v>
      </c>
      <c r="G1058" s="2" t="str">
        <f>VLOOKUP($A1058,Controle!$B$4:$G$68,6,FALSE)</f>
        <v>Apolo</v>
      </c>
      <c r="H1058" s="28" t="s">
        <v>144</v>
      </c>
      <c r="I1058" s="28">
        <v>0</v>
      </c>
      <c r="J1058" s="6">
        <v>0</v>
      </c>
      <c r="K1058" s="6">
        <v>0</v>
      </c>
      <c r="L1058" s="6">
        <v>0</v>
      </c>
      <c r="M1058" s="6">
        <v>0</v>
      </c>
      <c r="N1058" s="6">
        <v>0</v>
      </c>
      <c r="O1058" s="4">
        <f t="shared" si="360"/>
        <v>0</v>
      </c>
      <c r="P1058" s="5">
        <f>SUMIFS('Desenvolvimento diário'!$H:$H,'Desenvolvimento diário'!$Q:$Q,$B1058,'Desenvolvimento diário'!$P:$P,$F1058,'Desenvolvimento diário'!$R:$R,"Sim")</f>
        <v>0</v>
      </c>
      <c r="Q1058" s="5">
        <f>SUMIFS('Desenvolvimento diário'!$H:$H,'Desenvolvimento diário'!$Q:$Q,$B1058,'Desenvolvimento diário'!$P:$P,$F1058,'Desenvolvimento diário'!$R:$R,"Não")</f>
        <v>0</v>
      </c>
      <c r="R1058" s="4">
        <f t="shared" si="361"/>
        <v>0</v>
      </c>
      <c r="S1058" s="4">
        <f t="shared" si="362"/>
        <v>0</v>
      </c>
      <c r="T1058" s="12">
        <f t="shared" si="352"/>
        <v>0</v>
      </c>
      <c r="Y1058" s="2"/>
      <c r="Z1058" s="2"/>
      <c r="AA1058" s="2"/>
      <c r="AB1058" s="2"/>
      <c r="AC1058" s="2"/>
    </row>
    <row r="1059" spans="1:29" ht="10.5" hidden="1">
      <c r="A1059" s="2">
        <f t="shared" si="363"/>
        <v>31</v>
      </c>
      <c r="B1059" s="2" t="str">
        <f>VLOOKUP($A1059,Controle!$B$4:$F$68,2,FALSE)</f>
        <v>Pains 1</v>
      </c>
      <c r="C1059" s="2" t="str">
        <f>VLOOKUP($A1059,Controle!$B$4:$F$68,3,FALSE)</f>
        <v xml:space="preserve">ESTRELA DO NORTE </v>
      </c>
      <c r="D1059" s="2" t="str">
        <f>VLOOKUP($A1059,Controle!$B$4:$F$68,4,FALSE)</f>
        <v>EDN</v>
      </c>
      <c r="E1059" s="2">
        <f>VLOOKUP($A1059,Controle!$B$4:$F$68,5,FALSE)</f>
        <v>3</v>
      </c>
      <c r="F1059" s="3" t="str">
        <f t="shared" si="359"/>
        <v>Equipamentos Curva A - Outros (Cabine + Skid)</v>
      </c>
      <c r="G1059" s="2" t="str">
        <f>VLOOKUP($A1059,Controle!$B$4:$G$68,6,FALSE)</f>
        <v>Apolo</v>
      </c>
      <c r="H1059" s="28" t="s">
        <v>196</v>
      </c>
      <c r="I1059" s="28">
        <v>0</v>
      </c>
      <c r="J1059" s="6">
        <v>0</v>
      </c>
      <c r="K1059" s="6">
        <v>0</v>
      </c>
      <c r="L1059" s="6">
        <v>0</v>
      </c>
      <c r="M1059" s="6">
        <v>0</v>
      </c>
      <c r="N1059" s="6">
        <v>0</v>
      </c>
      <c r="O1059" s="4">
        <f t="shared" si="360"/>
        <v>0</v>
      </c>
      <c r="P1059" s="5">
        <f>SUMIFS('Desenvolvimento diário'!$H:$H,'Desenvolvimento diário'!$Q:$Q,$B1059,'Desenvolvimento diário'!$P:$P,$F1059,'Desenvolvimento diário'!$R:$R,"Sim")</f>
        <v>0</v>
      </c>
      <c r="Q1059" s="5">
        <f>SUMIFS('Desenvolvimento diário'!$H:$H,'Desenvolvimento diário'!$Q:$Q,$B1059,'Desenvolvimento diário'!$P:$P,$F1059,'Desenvolvimento diário'!$R:$R,"Não")</f>
        <v>0</v>
      </c>
      <c r="R1059" s="4">
        <f t="shared" si="361"/>
        <v>0</v>
      </c>
      <c r="S1059" s="4">
        <f t="shared" si="362"/>
        <v>0</v>
      </c>
      <c r="T1059" s="12">
        <f t="shared" si="352"/>
        <v>0</v>
      </c>
      <c r="Y1059" s="2"/>
      <c r="Z1059" s="2"/>
      <c r="AA1059" s="2"/>
      <c r="AB1059" s="2"/>
      <c r="AC1059" s="2"/>
    </row>
    <row r="1060" spans="1:29" ht="10.5" hidden="1">
      <c r="A1060" s="2">
        <f t="shared" si="363"/>
        <v>31</v>
      </c>
      <c r="B1060" s="2" t="str">
        <f>VLOOKUP($A1060,Controle!$B$4:$F$68,2,FALSE)</f>
        <v>Pains 1</v>
      </c>
      <c r="C1060" s="2" t="str">
        <f>VLOOKUP($A1060,Controle!$B$4:$F$68,3,FALSE)</f>
        <v xml:space="preserve">ESTRELA DO NORTE </v>
      </c>
      <c r="D1060" s="2" t="str">
        <f>VLOOKUP($A1060,Controle!$B$4:$F$68,4,FALSE)</f>
        <v>EDN</v>
      </c>
      <c r="E1060" s="2">
        <f>VLOOKUP($A1060,Controle!$B$4:$F$68,5,FALSE)</f>
        <v>3</v>
      </c>
      <c r="F1060" s="3" t="str">
        <f t="shared" si="359"/>
        <v>Equipamentos Curva A - Outros (Cabine + Skid + Transformador)</v>
      </c>
      <c r="G1060" s="2" t="str">
        <f>VLOOKUP($A1060,Controle!$B$4:$G$68,6,FALSE)</f>
        <v>Apolo</v>
      </c>
      <c r="H1060" s="28">
        <v>0</v>
      </c>
      <c r="I1060" s="28">
        <v>0</v>
      </c>
      <c r="J1060" s="6">
        <v>0</v>
      </c>
      <c r="K1060" s="6">
        <v>0</v>
      </c>
      <c r="L1060" s="6">
        <v>0</v>
      </c>
      <c r="M1060" s="6">
        <v>0</v>
      </c>
      <c r="N1060" s="6">
        <v>0</v>
      </c>
      <c r="O1060" s="4">
        <f t="shared" si="360"/>
        <v>0</v>
      </c>
      <c r="P1060" s="5">
        <f>SUMIFS('Desenvolvimento diário'!$H:$H,'Desenvolvimento diário'!$Q:$Q,$B1060,'Desenvolvimento diário'!$P:$P,$F1060,'Desenvolvimento diário'!$R:$R,"Sim")</f>
        <v>0</v>
      </c>
      <c r="Q1060" s="5">
        <f>SUMIFS('Desenvolvimento diário'!$H:$H,'Desenvolvimento diário'!$Q:$Q,$B1060,'Desenvolvimento diário'!$P:$P,$F1060,'Desenvolvimento diário'!$R:$R,"Não")</f>
        <v>0</v>
      </c>
      <c r="R1060" s="4">
        <f t="shared" si="361"/>
        <v>0</v>
      </c>
      <c r="S1060" s="4">
        <f t="shared" si="362"/>
        <v>0</v>
      </c>
      <c r="T1060" s="12">
        <f t="shared" si="352"/>
        <v>0</v>
      </c>
      <c r="Y1060" s="2"/>
      <c r="Z1060" s="2"/>
      <c r="AA1060" s="2"/>
      <c r="AB1060" s="2"/>
      <c r="AC1060" s="2"/>
    </row>
    <row r="1061" spans="1:29" ht="10.5" hidden="1">
      <c r="A1061" s="2">
        <f t="shared" si="363"/>
        <v>31</v>
      </c>
      <c r="B1061" s="2" t="str">
        <f>VLOOKUP($A1061,Controle!$B$4:$F$68,2,FALSE)</f>
        <v>Pains 1</v>
      </c>
      <c r="C1061" s="2" t="str">
        <f>VLOOKUP($A1061,Controle!$B$4:$F$68,3,FALSE)</f>
        <v xml:space="preserve">ESTRELA DO NORTE </v>
      </c>
      <c r="D1061" s="2" t="str">
        <f>VLOOKUP($A1061,Controle!$B$4:$F$68,4,FALSE)</f>
        <v>EDN</v>
      </c>
      <c r="E1061" s="2">
        <f>VLOOKUP($A1061,Controle!$B$4:$F$68,5,FALSE)</f>
        <v>3</v>
      </c>
      <c r="F1061" s="3" t="str">
        <f t="shared" si="359"/>
        <v>Desenvolvimento de projeto - Projetos - (Eng° Proprietario)</v>
      </c>
      <c r="G1061" s="2" t="str">
        <f>VLOOKUP($A1061,Controle!$B$4:$G$68,6,FALSE)</f>
        <v>Apolo</v>
      </c>
      <c r="H1061" s="6" t="s">
        <v>145</v>
      </c>
      <c r="I1061" s="6">
        <v>0</v>
      </c>
      <c r="J1061" s="6">
        <v>0</v>
      </c>
      <c r="K1061" s="6">
        <v>0</v>
      </c>
      <c r="L1061" s="6">
        <v>0</v>
      </c>
      <c r="M1061" s="6">
        <v>0</v>
      </c>
      <c r="N1061" s="6">
        <v>0</v>
      </c>
      <c r="O1061" s="4">
        <f t="shared" si="360"/>
        <v>0</v>
      </c>
      <c r="P1061" s="5">
        <f>SUMIFS('Desenvolvimento diário'!$H:$H,'Desenvolvimento diário'!$Q:$Q,$B1061,'Desenvolvimento diário'!$P:$P,$F1061,'Desenvolvimento diário'!$R:$R,"Sim")</f>
        <v>0</v>
      </c>
      <c r="Q1061" s="5">
        <f>SUMIFS('Desenvolvimento diário'!$H:$H,'Desenvolvimento diário'!$Q:$Q,$B1061,'Desenvolvimento diário'!$P:$P,$F1061,'Desenvolvimento diário'!$R:$R,"Não")</f>
        <v>0</v>
      </c>
      <c r="R1061" s="4">
        <f t="shared" si="361"/>
        <v>0</v>
      </c>
      <c r="S1061" s="4">
        <f t="shared" si="362"/>
        <v>0</v>
      </c>
      <c r="T1061" s="12">
        <f t="shared" si="352"/>
        <v>0</v>
      </c>
      <c r="Y1061" s="2"/>
      <c r="Z1061" s="2"/>
      <c r="AA1061" s="2"/>
      <c r="AB1061" s="2"/>
      <c r="AC1061" s="2"/>
    </row>
    <row r="1062" spans="1:29" ht="10.5" hidden="1">
      <c r="A1062" s="2">
        <f t="shared" si="363"/>
        <v>31</v>
      </c>
      <c r="B1062" s="2" t="str">
        <f>VLOOKUP($A1062,Controle!$B$4:$F$68,2,FALSE)</f>
        <v>Pains 1</v>
      </c>
      <c r="C1062" s="2" t="str">
        <f>VLOOKUP($A1062,Controle!$B$4:$F$68,3,FALSE)</f>
        <v xml:space="preserve">ESTRELA DO NORTE </v>
      </c>
      <c r="D1062" s="2" t="str">
        <f>VLOOKUP($A1062,Controle!$B$4:$F$68,4,FALSE)</f>
        <v>EDN</v>
      </c>
      <c r="E1062" s="2">
        <f>VLOOKUP($A1062,Controle!$B$4:$F$68,5,FALSE)</f>
        <v>3</v>
      </c>
      <c r="F1062" s="3" t="str">
        <f t="shared" si="359"/>
        <v>Desenvolvimento de projeto - Projetos - Executivos</v>
      </c>
      <c r="G1062" s="2" t="str">
        <f>VLOOKUP($A1062,Controle!$B$4:$G$68,6,FALSE)</f>
        <v>Apolo</v>
      </c>
      <c r="H1062" s="6" t="s">
        <v>146</v>
      </c>
      <c r="I1062" s="6">
        <f>32500+7293-793</f>
        <v>39000</v>
      </c>
      <c r="J1062" s="6">
        <v>850</v>
      </c>
      <c r="K1062" s="6">
        <v>0</v>
      </c>
      <c r="L1062" s="6">
        <v>0</v>
      </c>
      <c r="M1062" s="6">
        <v>0</v>
      </c>
      <c r="N1062" s="6">
        <v>0</v>
      </c>
      <c r="O1062" s="4">
        <f t="shared" si="360"/>
        <v>39850</v>
      </c>
      <c r="P1062" s="5">
        <f>SUMIFS('Desenvolvimento diário'!$H:$H,'Desenvolvimento diário'!$Q:$Q,$B1062,'Desenvolvimento diário'!$P:$P,$F1062,'Desenvolvimento diário'!$R:$R,"Sim")</f>
        <v>0</v>
      </c>
      <c r="Q1062" s="5">
        <f>SUMIFS('Desenvolvimento diário'!$H:$H,'Desenvolvimento diário'!$Q:$Q,$B1062,'Desenvolvimento diário'!$P:$P,$F1062,'Desenvolvimento diário'!$R:$R,"Não")</f>
        <v>39850</v>
      </c>
      <c r="R1062" s="4">
        <f t="shared" si="361"/>
        <v>39850</v>
      </c>
      <c r="S1062" s="4">
        <f t="shared" si="362"/>
        <v>0</v>
      </c>
      <c r="T1062" s="12">
        <f t="shared" si="352"/>
        <v>1</v>
      </c>
      <c r="Y1062" s="2"/>
      <c r="Z1062" s="2"/>
      <c r="AA1062" s="2"/>
      <c r="AB1062" s="2"/>
      <c r="AC1062" s="2"/>
    </row>
    <row r="1063" spans="1:29" ht="10.5" hidden="1">
      <c r="A1063" s="2">
        <f t="shared" si="363"/>
        <v>31</v>
      </c>
      <c r="B1063" s="2" t="str">
        <f>VLOOKUP($A1063,Controle!$B$4:$F$68,2,FALSE)</f>
        <v>Pains 1</v>
      </c>
      <c r="C1063" s="2" t="str">
        <f>VLOOKUP($A1063,Controle!$B$4:$F$68,3,FALSE)</f>
        <v xml:space="preserve">ESTRELA DO NORTE </v>
      </c>
      <c r="D1063" s="2" t="str">
        <f>VLOOKUP($A1063,Controle!$B$4:$F$68,4,FALSE)</f>
        <v>EDN</v>
      </c>
      <c r="E1063" s="2">
        <f>VLOOKUP($A1063,Controle!$B$4:$F$68,5,FALSE)</f>
        <v>3</v>
      </c>
      <c r="F1063" s="3" t="str">
        <f t="shared" si="359"/>
        <v>Desenvolvimento de projeto - Projetos Básica</v>
      </c>
      <c r="G1063" s="2" t="str">
        <f>VLOOKUP($A1063,Controle!$B$4:$G$68,6,FALSE)</f>
        <v>Apolo</v>
      </c>
      <c r="H1063" s="6" t="s">
        <v>147</v>
      </c>
      <c r="I1063" s="6">
        <f>20000+15000</f>
        <v>35000</v>
      </c>
      <c r="J1063" s="6">
        <v>2868.41</v>
      </c>
      <c r="K1063" s="6">
        <v>0</v>
      </c>
      <c r="L1063" s="6">
        <v>0</v>
      </c>
      <c r="M1063" s="6">
        <v>0</v>
      </c>
      <c r="N1063" s="6">
        <v>0</v>
      </c>
      <c r="O1063" s="4">
        <f t="shared" si="360"/>
        <v>37868.410000000003</v>
      </c>
      <c r="P1063" s="5">
        <f>SUMIFS('Desenvolvimento diário'!$H:$H,'Desenvolvimento diário'!$Q:$Q,$B1063,'Desenvolvimento diário'!$P:$P,$F1063,'Desenvolvimento diário'!$R:$R,"Sim")</f>
        <v>0</v>
      </c>
      <c r="Q1063" s="5">
        <f>SUMIFS('Desenvolvimento diário'!$H:$H,'Desenvolvimento diário'!$Q:$Q,$B1063,'Desenvolvimento diário'!$P:$P,$F1063,'Desenvolvimento diário'!$R:$R,"Não")</f>
        <v>37868.410000000003</v>
      </c>
      <c r="R1063" s="4">
        <f t="shared" si="361"/>
        <v>37868.410000000003</v>
      </c>
      <c r="S1063" s="4">
        <f t="shared" si="362"/>
        <v>0</v>
      </c>
      <c r="T1063" s="12">
        <f t="shared" si="352"/>
        <v>1</v>
      </c>
      <c r="Y1063" s="2"/>
      <c r="Z1063" s="2"/>
      <c r="AA1063" s="2"/>
      <c r="AB1063" s="2"/>
      <c r="AC1063" s="2"/>
    </row>
    <row r="1064" spans="1:29" ht="10.5" hidden="1">
      <c r="A1064" s="2">
        <f t="shared" si="363"/>
        <v>31</v>
      </c>
      <c r="B1064" s="2" t="str">
        <f>VLOOKUP($A1064,Controle!$B$4:$F$68,2,FALSE)</f>
        <v>Pains 1</v>
      </c>
      <c r="C1064" s="2" t="str">
        <f>VLOOKUP($A1064,Controle!$B$4:$F$68,3,FALSE)</f>
        <v xml:space="preserve">ESTRELA DO NORTE </v>
      </c>
      <c r="D1064" s="2" t="str">
        <f>VLOOKUP($A1064,Controle!$B$4:$F$68,4,FALSE)</f>
        <v>EDN</v>
      </c>
      <c r="E1064" s="2">
        <f>VLOOKUP($A1064,Controle!$B$4:$F$68,5,FALSE)</f>
        <v>3</v>
      </c>
      <c r="F1064" s="3" t="str">
        <f t="shared" si="359"/>
        <v>Desenvolvimento de projeto - Projetos Detalhada</v>
      </c>
      <c r="G1064" s="2" t="str">
        <f>VLOOKUP($A1064,Controle!$B$4:$G$68,6,FALSE)</f>
        <v>Apolo</v>
      </c>
      <c r="H1064" s="6">
        <v>0</v>
      </c>
      <c r="I1064" s="6">
        <v>0</v>
      </c>
      <c r="J1064" s="6">
        <v>0</v>
      </c>
      <c r="K1064" s="6">
        <v>0</v>
      </c>
      <c r="L1064" s="6">
        <v>0</v>
      </c>
      <c r="M1064" s="6">
        <v>0</v>
      </c>
      <c r="N1064" s="6">
        <v>0</v>
      </c>
      <c r="O1064" s="4">
        <f t="shared" si="360"/>
        <v>0</v>
      </c>
      <c r="P1064" s="5">
        <f>SUMIFS('Desenvolvimento diário'!$H:$H,'Desenvolvimento diário'!$Q:$Q,$B1064,'Desenvolvimento diário'!$P:$P,$F1064,'Desenvolvimento diário'!$R:$R,"Sim")</f>
        <v>0</v>
      </c>
      <c r="Q1064" s="5">
        <f>SUMIFS('Desenvolvimento diário'!$H:$H,'Desenvolvimento diário'!$Q:$Q,$B1064,'Desenvolvimento diário'!$P:$P,$F1064,'Desenvolvimento diário'!$R:$R,"Não")</f>
        <v>0</v>
      </c>
      <c r="R1064" s="4">
        <f t="shared" si="361"/>
        <v>0</v>
      </c>
      <c r="S1064" s="27">
        <f t="shared" si="362"/>
        <v>0</v>
      </c>
      <c r="T1064" s="12">
        <f t="shared" si="352"/>
        <v>0</v>
      </c>
      <c r="Y1064" s="2"/>
      <c r="Z1064" s="2"/>
      <c r="AA1064" s="2"/>
      <c r="AB1064" s="2"/>
      <c r="AC1064" s="2"/>
    </row>
    <row r="1065" spans="1:29" ht="10.5" hidden="1">
      <c r="A1065" s="2">
        <f t="shared" si="363"/>
        <v>31</v>
      </c>
      <c r="B1065" s="2" t="str">
        <f>VLOOKUP($A1065,Controle!$B$4:$F$68,2,FALSE)</f>
        <v>Pains 1</v>
      </c>
      <c r="C1065" s="2" t="str">
        <f>VLOOKUP($A1065,Controle!$B$4:$F$68,3,FALSE)</f>
        <v xml:space="preserve">ESTRELA DO NORTE </v>
      </c>
      <c r="D1065" s="2" t="str">
        <f>VLOOKUP($A1065,Controle!$B$4:$F$68,4,FALSE)</f>
        <v>EDN</v>
      </c>
      <c r="E1065" s="2">
        <f>VLOOKUP($A1065,Controle!$B$4:$F$68,5,FALSE)</f>
        <v>3</v>
      </c>
      <c r="F1065" s="3" t="str">
        <f t="shared" si="359"/>
        <v>Desenvolvimento de projeto - Ambiental / Outros</v>
      </c>
      <c r="G1065" s="2" t="str">
        <f>VLOOKUP($A1065,Controle!$B$4:$G$68,6,FALSE)</f>
        <v>Apolo</v>
      </c>
      <c r="H1065" s="6" t="s">
        <v>148</v>
      </c>
      <c r="I1065" s="6">
        <f>R1065</f>
        <v>96732.73000000001</v>
      </c>
      <c r="J1065" s="6">
        <v>0</v>
      </c>
      <c r="K1065" s="6">
        <v>0</v>
      </c>
      <c r="L1065" s="6">
        <v>0</v>
      </c>
      <c r="M1065" s="6">
        <v>0</v>
      </c>
      <c r="N1065" s="6">
        <v>0</v>
      </c>
      <c r="O1065" s="4">
        <f t="shared" si="360"/>
        <v>96732.73000000001</v>
      </c>
      <c r="P1065" s="5">
        <f>SUMIFS('Desenvolvimento diário'!$H:$H,'Desenvolvimento diário'!$Q:$Q,$B1065,'Desenvolvimento diário'!$P:$P,$F1065,'Desenvolvimento diário'!$R:$R,"Sim")</f>
        <v>0</v>
      </c>
      <c r="Q1065" s="5">
        <f>SUMIFS('Desenvolvimento diário'!$H:$H,'Desenvolvimento diário'!$Q:$Q,$B1065,'Desenvolvimento diário'!$P:$P,$F1065,'Desenvolvimento diário'!$R:$R,"Não")</f>
        <v>96732.73000000001</v>
      </c>
      <c r="R1065" s="4">
        <f t="shared" si="361"/>
        <v>96732.73000000001</v>
      </c>
      <c r="S1065" s="4">
        <f t="shared" si="362"/>
        <v>0</v>
      </c>
      <c r="T1065" s="12">
        <f t="shared" si="352"/>
        <v>1</v>
      </c>
      <c r="Y1065" s="2"/>
      <c r="Z1065" s="2"/>
      <c r="AA1065" s="2"/>
      <c r="AB1065" s="2"/>
      <c r="AC1065" s="2"/>
    </row>
    <row r="1066" spans="1:29" hidden="1">
      <c r="A1066" s="2">
        <f t="shared" si="363"/>
        <v>31</v>
      </c>
      <c r="B1066" s="2" t="str">
        <f>VLOOKUP($A1066,Controle!$B$4:$F$68,2,FALSE)</f>
        <v>Pains 1</v>
      </c>
      <c r="C1066" s="2" t="str">
        <f>VLOOKUP($A1066,Controle!$B$4:$F$68,3,FALSE)</f>
        <v xml:space="preserve">ESTRELA DO NORTE </v>
      </c>
      <c r="D1066" s="2" t="str">
        <f>VLOOKUP($A1066,Controle!$B$4:$F$68,4,FALSE)</f>
        <v>EDN</v>
      </c>
      <c r="E1066" s="2">
        <f>VLOOKUP($A1066,Controle!$B$4:$F$68,5,FALSE)</f>
        <v>3</v>
      </c>
      <c r="F1066" s="3" t="str">
        <f t="shared" si="359"/>
        <v>Desenvolvimento de projeto - Coordenograma</v>
      </c>
      <c r="G1066" s="2" t="str">
        <f>VLOOKUP($A1066,Controle!$B$4:$G$68,6,FALSE)</f>
        <v>Apolo</v>
      </c>
      <c r="H1066" s="31" t="s">
        <v>149</v>
      </c>
      <c r="I1066" s="31">
        <v>0</v>
      </c>
      <c r="J1066" s="31">
        <v>0</v>
      </c>
      <c r="K1066" s="31">
        <v>0</v>
      </c>
      <c r="L1066" s="6">
        <v>0</v>
      </c>
      <c r="M1066" s="6">
        <v>0</v>
      </c>
      <c r="N1066" s="6">
        <v>0</v>
      </c>
      <c r="O1066" s="4">
        <f t="shared" si="360"/>
        <v>0</v>
      </c>
      <c r="P1066" s="5">
        <f>SUMIFS('Desenvolvimento diário'!$H:$H,'Desenvolvimento diário'!$Q:$Q,$B1066,'Desenvolvimento diário'!$P:$P,$F1066,'Desenvolvimento diário'!$R:$R,"Sim")</f>
        <v>0</v>
      </c>
      <c r="Q1066" s="5">
        <f>SUMIFS('Desenvolvimento diário'!$H:$H,'Desenvolvimento diário'!$Q:$Q,$B1066,'Desenvolvimento diário'!$P:$P,$F1066,'Desenvolvimento diário'!$R:$R,"Não")</f>
        <v>0</v>
      </c>
      <c r="R1066" s="4">
        <f t="shared" si="361"/>
        <v>0</v>
      </c>
      <c r="S1066" s="4">
        <f t="shared" si="362"/>
        <v>0</v>
      </c>
      <c r="T1066" s="12">
        <f t="shared" si="352"/>
        <v>0</v>
      </c>
      <c r="Y1066" s="2"/>
      <c r="Z1066" s="2"/>
      <c r="AA1066" s="2"/>
      <c r="AB1066" s="2"/>
      <c r="AC1066" s="2"/>
    </row>
    <row r="1067" spans="1:29" ht="10.5" hidden="1">
      <c r="A1067" s="2">
        <f t="shared" si="363"/>
        <v>31</v>
      </c>
      <c r="B1067" s="2" t="str">
        <f>VLOOKUP($A1067,Controle!$B$4:$F$68,2,FALSE)</f>
        <v>Pains 1</v>
      </c>
      <c r="C1067" s="2" t="str">
        <f>VLOOKUP($A1067,Controle!$B$4:$F$68,3,FALSE)</f>
        <v xml:space="preserve">ESTRELA DO NORTE </v>
      </c>
      <c r="D1067" s="2" t="str">
        <f>VLOOKUP($A1067,Controle!$B$4:$F$68,4,FALSE)</f>
        <v>EDN</v>
      </c>
      <c r="E1067" s="2">
        <f>VLOOKUP($A1067,Controle!$B$4:$F$68,5,FALSE)</f>
        <v>3</v>
      </c>
      <c r="F1067" s="3" t="str">
        <f t="shared" si="359"/>
        <v>Sistemas de Monitoramento - Supervisório</v>
      </c>
      <c r="G1067" s="2" t="str">
        <f>VLOOKUP($A1067,Controle!$B$4:$G$68,6,FALSE)</f>
        <v>Apolo</v>
      </c>
      <c r="H1067" s="6" t="s">
        <v>150</v>
      </c>
      <c r="I1067" s="6">
        <v>0</v>
      </c>
      <c r="J1067" s="6">
        <v>0</v>
      </c>
      <c r="K1067" s="6">
        <v>0</v>
      </c>
      <c r="L1067" s="6">
        <v>0</v>
      </c>
      <c r="M1067" s="6">
        <v>0</v>
      </c>
      <c r="N1067" s="6">
        <v>0</v>
      </c>
      <c r="O1067" s="4">
        <f t="shared" si="360"/>
        <v>0</v>
      </c>
      <c r="P1067" s="5">
        <f>SUMIFS('Desenvolvimento diário'!$H:$H,'Desenvolvimento diário'!$Q:$Q,$B1067,'Desenvolvimento diário'!$P:$P,$F1067,'Desenvolvimento diário'!$R:$R,"Sim")</f>
        <v>0</v>
      </c>
      <c r="Q1067" s="5">
        <f>SUMIFS('Desenvolvimento diário'!$H:$H,'Desenvolvimento diário'!$Q:$Q,$B1067,'Desenvolvimento diário'!$P:$P,$F1067,'Desenvolvimento diário'!$R:$R,"Não")</f>
        <v>0</v>
      </c>
      <c r="R1067" s="4">
        <f t="shared" si="361"/>
        <v>0</v>
      </c>
      <c r="S1067" s="4">
        <f t="shared" si="362"/>
        <v>0</v>
      </c>
      <c r="T1067" s="12">
        <f t="shared" si="352"/>
        <v>0</v>
      </c>
      <c r="Y1067" s="2"/>
      <c r="Z1067" s="2"/>
      <c r="AA1067" s="2"/>
      <c r="AB1067" s="2"/>
      <c r="AC1067" s="2"/>
    </row>
    <row r="1068" spans="1:29" ht="10.5" hidden="1">
      <c r="A1068" s="2">
        <f t="shared" si="363"/>
        <v>31</v>
      </c>
      <c r="B1068" s="2" t="str">
        <f>VLOOKUP($A1068,Controle!$B$4:$F$68,2,FALSE)</f>
        <v>Pains 1</v>
      </c>
      <c r="C1068" s="2" t="str">
        <f>VLOOKUP($A1068,Controle!$B$4:$F$68,3,FALSE)</f>
        <v xml:space="preserve">ESTRELA DO NORTE </v>
      </c>
      <c r="D1068" s="2" t="str">
        <f>VLOOKUP($A1068,Controle!$B$4:$F$68,4,FALSE)</f>
        <v>EDN</v>
      </c>
      <c r="E1068" s="2">
        <f>VLOOKUP($A1068,Controle!$B$4:$F$68,5,FALSE)</f>
        <v>3</v>
      </c>
      <c r="F1068" s="3" t="str">
        <f t="shared" si="359"/>
        <v>Sistemas de Monitoramento - Estações Solarimétricas</v>
      </c>
      <c r="G1068" s="2" t="str">
        <f>VLOOKUP($A1068,Controle!$B$4:$G$68,6,FALSE)</f>
        <v>Apolo</v>
      </c>
      <c r="H1068" s="6" t="s">
        <v>151</v>
      </c>
      <c r="I1068" s="6">
        <v>0</v>
      </c>
      <c r="J1068" s="6">
        <v>0</v>
      </c>
      <c r="K1068" s="6">
        <v>0</v>
      </c>
      <c r="L1068" s="6">
        <v>0</v>
      </c>
      <c r="M1068" s="6">
        <v>0</v>
      </c>
      <c r="N1068" s="6">
        <v>0</v>
      </c>
      <c r="O1068" s="4">
        <f t="shared" si="360"/>
        <v>0</v>
      </c>
      <c r="P1068" s="5">
        <f>SUMIFS('Desenvolvimento diário'!$H:$H,'Desenvolvimento diário'!$Q:$Q,$B1068,'Desenvolvimento diário'!$P:$P,$F1068,'Desenvolvimento diário'!$R:$R,"Sim")</f>
        <v>0</v>
      </c>
      <c r="Q1068" s="5">
        <f>SUMIFS('Desenvolvimento diário'!$H:$H,'Desenvolvimento diário'!$Q:$Q,$B1068,'Desenvolvimento diário'!$P:$P,$F1068,'Desenvolvimento diário'!$R:$R,"Não")</f>
        <v>0</v>
      </c>
      <c r="R1068" s="4">
        <f t="shared" si="361"/>
        <v>0</v>
      </c>
      <c r="S1068" s="4">
        <f t="shared" si="362"/>
        <v>0</v>
      </c>
      <c r="T1068" s="12">
        <f t="shared" si="352"/>
        <v>0</v>
      </c>
      <c r="Y1068" s="2"/>
      <c r="Z1068" s="2"/>
      <c r="AA1068" s="2"/>
      <c r="AB1068" s="2"/>
      <c r="AC1068" s="2"/>
    </row>
    <row r="1069" spans="1:29" hidden="1">
      <c r="A1069" s="2">
        <f t="shared" si="363"/>
        <v>31</v>
      </c>
      <c r="B1069" s="2" t="str">
        <f>VLOOKUP($A1069,Controle!$B$4:$F$68,2,FALSE)</f>
        <v>Pains 1</v>
      </c>
      <c r="C1069" s="2" t="str">
        <f>VLOOKUP($A1069,Controle!$B$4:$F$68,3,FALSE)</f>
        <v xml:space="preserve">ESTRELA DO NORTE </v>
      </c>
      <c r="D1069" s="2" t="str">
        <f>VLOOKUP($A1069,Controle!$B$4:$F$68,4,FALSE)</f>
        <v>EDN</v>
      </c>
      <c r="E1069" s="2">
        <f>VLOOKUP($A1069,Controle!$B$4:$F$68,5,FALSE)</f>
        <v>3</v>
      </c>
      <c r="F1069" s="3" t="str">
        <f t="shared" si="359"/>
        <v>Sistemas de Monitoramento - CFTV</v>
      </c>
      <c r="G1069" s="2" t="str">
        <f>VLOOKUP($A1069,Controle!$B$4:$G$68,6,FALSE)</f>
        <v>Apolo</v>
      </c>
      <c r="H1069" s="31" t="s">
        <v>152</v>
      </c>
      <c r="I1069" s="6">
        <v>0</v>
      </c>
      <c r="J1069" s="6">
        <v>0</v>
      </c>
      <c r="K1069" s="6">
        <v>0</v>
      </c>
      <c r="L1069" s="6">
        <v>0</v>
      </c>
      <c r="M1069" s="6">
        <v>0</v>
      </c>
      <c r="N1069" s="6">
        <v>0</v>
      </c>
      <c r="O1069" s="4">
        <f t="shared" si="360"/>
        <v>0</v>
      </c>
      <c r="P1069" s="5">
        <f>SUMIFS('Desenvolvimento diário'!$H:$H,'Desenvolvimento diário'!$Q:$Q,$B1069,'Desenvolvimento diário'!$P:$P,$F1069,'Desenvolvimento diário'!$R:$R,"Sim")</f>
        <v>0</v>
      </c>
      <c r="Q1069" s="5">
        <f>SUMIFS('Desenvolvimento diário'!$H:$H,'Desenvolvimento diário'!$Q:$Q,$B1069,'Desenvolvimento diário'!$P:$P,$F1069,'Desenvolvimento diário'!$R:$R,"Não")</f>
        <v>0</v>
      </c>
      <c r="R1069" s="4">
        <f t="shared" si="361"/>
        <v>0</v>
      </c>
      <c r="S1069" s="4">
        <f t="shared" si="362"/>
        <v>0</v>
      </c>
      <c r="T1069" s="12">
        <f t="shared" si="352"/>
        <v>0</v>
      </c>
      <c r="Y1069" s="2"/>
      <c r="Z1069" s="2"/>
      <c r="AA1069" s="2"/>
      <c r="AB1069" s="2"/>
      <c r="AC1069" s="2"/>
    </row>
    <row r="1070" spans="1:29" ht="10.5" hidden="1">
      <c r="A1070" s="2">
        <f t="shared" si="363"/>
        <v>31</v>
      </c>
      <c r="B1070" s="2" t="str">
        <f>VLOOKUP($A1070,Controle!$B$4:$F$68,2,FALSE)</f>
        <v>Pains 1</v>
      </c>
      <c r="C1070" s="2" t="str">
        <f>VLOOKUP($A1070,Controle!$B$4:$F$68,3,FALSE)</f>
        <v xml:space="preserve">ESTRELA DO NORTE </v>
      </c>
      <c r="D1070" s="2" t="str">
        <f>VLOOKUP($A1070,Controle!$B$4:$F$68,4,FALSE)</f>
        <v>EDN</v>
      </c>
      <c r="E1070" s="2">
        <f>VLOOKUP($A1070,Controle!$B$4:$F$68,5,FALSE)</f>
        <v>3</v>
      </c>
      <c r="F1070" s="3" t="str">
        <f t="shared" si="359"/>
        <v>Serviços Auxiliares - Drenagem</v>
      </c>
      <c r="G1070" s="2" t="str">
        <f>VLOOKUP($A1070,Controle!$B$4:$G$68,6,FALSE)</f>
        <v>Apolo</v>
      </c>
      <c r="H1070" s="6" t="s">
        <v>212</v>
      </c>
      <c r="I1070" s="6">
        <v>0</v>
      </c>
      <c r="J1070" s="6">
        <v>0</v>
      </c>
      <c r="K1070" s="6">
        <v>0</v>
      </c>
      <c r="L1070" s="6">
        <v>0</v>
      </c>
      <c r="M1070" s="6">
        <v>0</v>
      </c>
      <c r="N1070" s="6">
        <v>0</v>
      </c>
      <c r="O1070" s="4">
        <f t="shared" si="360"/>
        <v>0</v>
      </c>
      <c r="P1070" s="5">
        <f>SUMIFS('Desenvolvimento diário'!$H:$H,'Desenvolvimento diário'!$Q:$Q,$B1070,'Desenvolvimento diário'!$P:$P,$F1070,'Desenvolvimento diário'!$R:$R,"Sim")</f>
        <v>0</v>
      </c>
      <c r="Q1070" s="5">
        <f>SUMIFS('Desenvolvimento diário'!$H:$H,'Desenvolvimento diário'!$Q:$Q,$B1070,'Desenvolvimento diário'!$P:$P,$F1070,'Desenvolvimento diário'!$R:$R,"Não")</f>
        <v>0</v>
      </c>
      <c r="R1070" s="4">
        <f t="shared" si="361"/>
        <v>0</v>
      </c>
      <c r="S1070" s="4">
        <f t="shared" si="362"/>
        <v>0</v>
      </c>
      <c r="T1070" s="12">
        <f t="shared" si="352"/>
        <v>0</v>
      </c>
      <c r="Y1070" s="2"/>
      <c r="Z1070" s="2"/>
      <c r="AA1070" s="2"/>
      <c r="AB1070" s="2"/>
      <c r="AC1070" s="2"/>
    </row>
    <row r="1071" spans="1:29" ht="10.5" hidden="1">
      <c r="A1071" s="2">
        <f t="shared" si="363"/>
        <v>31</v>
      </c>
      <c r="B1071" s="2" t="str">
        <f>VLOOKUP($A1071,Controle!$B$4:$F$68,2,FALSE)</f>
        <v>Pains 1</v>
      </c>
      <c r="C1071" s="2" t="str">
        <f>VLOOKUP($A1071,Controle!$B$4:$F$68,3,FALSE)</f>
        <v xml:space="preserve">ESTRELA DO NORTE </v>
      </c>
      <c r="D1071" s="2" t="str">
        <f>VLOOKUP($A1071,Controle!$B$4:$F$68,4,FALSE)</f>
        <v>EDN</v>
      </c>
      <c r="E1071" s="2">
        <f>VLOOKUP($A1071,Controle!$B$4:$F$68,5,FALSE)</f>
        <v>3</v>
      </c>
      <c r="F1071" s="3" t="str">
        <f t="shared" si="359"/>
        <v>Serviços Auxiliares - Terraplanagem</v>
      </c>
      <c r="G1071" s="2" t="str">
        <f>VLOOKUP($A1071,Controle!$B$4:$G$68,6,FALSE)</f>
        <v>Apolo</v>
      </c>
      <c r="H1071" s="6" t="s">
        <v>213</v>
      </c>
      <c r="I1071" s="6">
        <v>0</v>
      </c>
      <c r="J1071" s="6">
        <v>0</v>
      </c>
      <c r="K1071" s="6">
        <v>0</v>
      </c>
      <c r="L1071" s="6">
        <v>0</v>
      </c>
      <c r="M1071" s="6">
        <v>0</v>
      </c>
      <c r="N1071" s="6">
        <v>0</v>
      </c>
      <c r="O1071" s="4">
        <f t="shared" si="360"/>
        <v>0</v>
      </c>
      <c r="P1071" s="5">
        <f>SUMIFS('Desenvolvimento diário'!$H:$H,'Desenvolvimento diário'!$Q:$Q,$B1071,'Desenvolvimento diário'!$P:$P,$F1071,'Desenvolvimento diário'!$R:$R,"Sim")</f>
        <v>0</v>
      </c>
      <c r="Q1071" s="5">
        <f>SUMIFS('Desenvolvimento diário'!$H:$H,'Desenvolvimento diário'!$Q:$Q,$B1071,'Desenvolvimento diário'!$P:$P,$F1071,'Desenvolvimento diário'!$R:$R,"Não")</f>
        <v>0</v>
      </c>
      <c r="R1071" s="4">
        <f t="shared" si="361"/>
        <v>0</v>
      </c>
      <c r="S1071" s="4">
        <f t="shared" si="362"/>
        <v>0</v>
      </c>
      <c r="T1071" s="12">
        <f t="shared" si="352"/>
        <v>0</v>
      </c>
      <c r="Y1071" s="2"/>
      <c r="Z1071" s="2"/>
      <c r="AA1071" s="2"/>
      <c r="AB1071" s="2"/>
      <c r="AC1071" s="2"/>
    </row>
    <row r="1072" spans="1:29" ht="10.5" hidden="1">
      <c r="A1072" s="2">
        <f t="shared" si="363"/>
        <v>31</v>
      </c>
      <c r="B1072" s="2" t="str">
        <f>VLOOKUP($A1072,Controle!$B$4:$F$68,2,FALSE)</f>
        <v>Pains 1</v>
      </c>
      <c r="C1072" s="2" t="str">
        <f>VLOOKUP($A1072,Controle!$B$4:$F$68,3,FALSE)</f>
        <v xml:space="preserve">ESTRELA DO NORTE </v>
      </c>
      <c r="D1072" s="2" t="str">
        <f>VLOOKUP($A1072,Controle!$B$4:$F$68,4,FALSE)</f>
        <v>EDN</v>
      </c>
      <c r="E1072" s="2">
        <f>VLOOKUP($A1072,Controle!$B$4:$F$68,5,FALSE)</f>
        <v>3</v>
      </c>
      <c r="F1072" s="3" t="str">
        <f t="shared" si="359"/>
        <v>Serviços Auxiliares - Supressão Vegetal</v>
      </c>
      <c r="G1072" s="2" t="str">
        <f>VLOOKUP($A1072,Controle!$B$4:$G$68,6,FALSE)</f>
        <v>Apolo</v>
      </c>
      <c r="H1072" s="6">
        <v>0</v>
      </c>
      <c r="I1072" s="6">
        <v>0</v>
      </c>
      <c r="J1072" s="6">
        <v>0</v>
      </c>
      <c r="K1072" s="6">
        <v>0</v>
      </c>
      <c r="L1072" s="6">
        <v>0</v>
      </c>
      <c r="M1072" s="6">
        <v>0</v>
      </c>
      <c r="N1072" s="6">
        <v>0</v>
      </c>
      <c r="O1072" s="4">
        <f t="shared" si="360"/>
        <v>0</v>
      </c>
      <c r="P1072" s="5">
        <f>SUMIFS('Desenvolvimento diário'!$H:$H,'Desenvolvimento diário'!$Q:$Q,$B1072,'Desenvolvimento diário'!$P:$P,$F1072,'Desenvolvimento diário'!$R:$R,"Sim")</f>
        <v>0</v>
      </c>
      <c r="Q1072" s="5">
        <f>SUMIFS('Desenvolvimento diário'!$H:$H,'Desenvolvimento diário'!$Q:$Q,$B1072,'Desenvolvimento diário'!$P:$P,$F1072,'Desenvolvimento diário'!$R:$R,"Não")</f>
        <v>0</v>
      </c>
      <c r="R1072" s="4">
        <f t="shared" si="361"/>
        <v>0</v>
      </c>
      <c r="S1072" s="4">
        <f t="shared" si="362"/>
        <v>0</v>
      </c>
      <c r="T1072" s="12">
        <f t="shared" si="352"/>
        <v>0</v>
      </c>
      <c r="Y1072" s="2"/>
      <c r="Z1072" s="2"/>
      <c r="AA1072" s="2"/>
      <c r="AB1072" s="2"/>
      <c r="AC1072" s="2"/>
    </row>
    <row r="1073" spans="1:29" ht="10.5" hidden="1">
      <c r="A1073" s="2">
        <f t="shared" si="363"/>
        <v>31</v>
      </c>
      <c r="B1073" s="2" t="str">
        <f>VLOOKUP($A1073,Controle!$B$4:$F$68,2,FALSE)</f>
        <v>Pains 1</v>
      </c>
      <c r="C1073" s="2" t="str">
        <f>VLOOKUP($A1073,Controle!$B$4:$F$68,3,FALSE)</f>
        <v xml:space="preserve">ESTRELA DO NORTE </v>
      </c>
      <c r="D1073" s="2" t="str">
        <f>VLOOKUP($A1073,Controle!$B$4:$F$68,4,FALSE)</f>
        <v>EDN</v>
      </c>
      <c r="E1073" s="2">
        <f>VLOOKUP($A1073,Controle!$B$4:$F$68,5,FALSE)</f>
        <v>3</v>
      </c>
      <c r="F1073" s="3" t="str">
        <f t="shared" si="359"/>
        <v>RDR-Rede de Distribuição Rural</v>
      </c>
      <c r="G1073" s="2" t="str">
        <f>VLOOKUP($A1073,Controle!$B$4:$G$68,6,FALSE)</f>
        <v>Apolo</v>
      </c>
      <c r="H1073" s="6">
        <v>0</v>
      </c>
      <c r="I1073" s="6">
        <v>0</v>
      </c>
      <c r="J1073" s="6">
        <v>0</v>
      </c>
      <c r="K1073" s="6">
        <v>0</v>
      </c>
      <c r="L1073" s="6">
        <v>0</v>
      </c>
      <c r="M1073" s="6">
        <v>0</v>
      </c>
      <c r="N1073" s="6">
        <v>0</v>
      </c>
      <c r="O1073" s="4">
        <f t="shared" si="360"/>
        <v>0</v>
      </c>
      <c r="P1073" s="5">
        <f>SUMIFS('Desenvolvimento diário'!$H:$H,'Desenvolvimento diário'!$Q:$Q,$B1073,'Desenvolvimento diário'!$P:$P,$F1073,'Desenvolvimento diário'!$R:$R,"Sim")</f>
        <v>0</v>
      </c>
      <c r="Q1073" s="5">
        <f>SUMIFS('Desenvolvimento diário'!$H:$H,'Desenvolvimento diário'!$Q:$Q,$B1073,'Desenvolvimento diário'!$P:$P,$F1073,'Desenvolvimento diário'!$R:$R,"Não")</f>
        <v>0</v>
      </c>
      <c r="R1073" s="4">
        <f t="shared" si="361"/>
        <v>0</v>
      </c>
      <c r="S1073" s="4">
        <f t="shared" si="362"/>
        <v>0</v>
      </c>
      <c r="T1073" s="12">
        <f t="shared" si="352"/>
        <v>0</v>
      </c>
      <c r="Y1073" s="2"/>
      <c r="Z1073" s="2"/>
      <c r="AA1073" s="2"/>
      <c r="AB1073" s="2"/>
      <c r="AC1073" s="2"/>
    </row>
    <row r="1074" spans="1:29" ht="10.5" hidden="1">
      <c r="A1074" s="2">
        <f t="shared" si="363"/>
        <v>31</v>
      </c>
      <c r="B1074" s="2" t="str">
        <f>VLOOKUP($A1074,Controle!$B$4:$F$68,2,FALSE)</f>
        <v>Pains 1</v>
      </c>
      <c r="C1074" s="2" t="str">
        <f>VLOOKUP($A1074,Controle!$B$4:$F$68,3,FALSE)</f>
        <v xml:space="preserve">ESTRELA DO NORTE </v>
      </c>
      <c r="D1074" s="2" t="str">
        <f>VLOOKUP($A1074,Controle!$B$4:$F$68,4,FALSE)</f>
        <v>EDN</v>
      </c>
      <c r="E1074" s="2">
        <f>VLOOKUP($A1074,Controle!$B$4:$F$68,5,FALSE)</f>
        <v>3</v>
      </c>
      <c r="F1074" s="3" t="str">
        <f t="shared" si="359"/>
        <v>Escopo COMERC</v>
      </c>
      <c r="G1074" s="2" t="str">
        <f>VLOOKUP($A1074,Controle!$B$4:$G$68,6,FALSE)</f>
        <v>Apolo</v>
      </c>
      <c r="H1074" s="6">
        <v>0</v>
      </c>
      <c r="I1074" s="6">
        <v>40000</v>
      </c>
      <c r="J1074" s="29"/>
      <c r="K1074" s="29"/>
      <c r="L1074" s="6">
        <v>0</v>
      </c>
      <c r="M1074" s="6">
        <v>0</v>
      </c>
      <c r="N1074" s="6">
        <v>0</v>
      </c>
      <c r="O1074" s="4">
        <f t="shared" si="360"/>
        <v>40000</v>
      </c>
      <c r="P1074" s="5">
        <f>SUMIFS('Desenvolvimento diário'!$H:$H,'Desenvolvimento diário'!$Q:$Q,$B1074,'Desenvolvimento diário'!$P:$P,$F1074,'Desenvolvimento diário'!$R:$R,"Sim")</f>
        <v>0</v>
      </c>
      <c r="Q1074" s="5">
        <f>SUMIFS('Desenvolvimento diário'!$H:$H,'Desenvolvimento diário'!$Q:$Q,$B1074,'Desenvolvimento diário'!$P:$P,$F1074,'Desenvolvimento diário'!$R:$R,"Não")</f>
        <v>40000</v>
      </c>
      <c r="R1074" s="4">
        <f t="shared" si="361"/>
        <v>40000</v>
      </c>
      <c r="S1074" s="1010">
        <f t="shared" si="362"/>
        <v>0</v>
      </c>
      <c r="T1074" s="12">
        <f t="shared" si="352"/>
        <v>1</v>
      </c>
      <c r="U1074" s="1011" t="s">
        <v>166</v>
      </c>
      <c r="V1074" s="1011" t="s">
        <v>167</v>
      </c>
      <c r="Y1074" s="2"/>
      <c r="Z1074" s="2"/>
      <c r="AA1074" s="2"/>
      <c r="AB1074" s="2"/>
      <c r="AC1074" s="2"/>
    </row>
    <row r="1075" spans="1:29" ht="10.5" hidden="1">
      <c r="A1075" s="2">
        <f t="shared" si="363"/>
        <v>31</v>
      </c>
      <c r="B1075" s="2" t="str">
        <f>VLOOKUP($A1075,Controle!$B$4:$F$68,2,FALSE)</f>
        <v>Pains 1</v>
      </c>
      <c r="C1075" s="2" t="str">
        <f>VLOOKUP($A1075,Controle!$B$4:$F$68,3,FALSE)</f>
        <v xml:space="preserve">ESTRELA DO NORTE </v>
      </c>
      <c r="D1075" s="2" t="str">
        <f>VLOOKUP($A1075,Controle!$B$4:$F$68,4,FALSE)</f>
        <v>EDN</v>
      </c>
      <c r="E1075" s="2">
        <f>VLOOKUP($A1075,Controle!$B$4:$F$68,5,FALSE)</f>
        <v>3</v>
      </c>
      <c r="F1075" s="3" t="str">
        <f t="shared" si="359"/>
        <v>Escopo COMERC - Segurança</v>
      </c>
      <c r="G1075" s="2" t="str">
        <f>VLOOKUP($A1075,Controle!$B$4:$G$68,6,FALSE)</f>
        <v>Apolo</v>
      </c>
      <c r="H1075" s="6">
        <v>0</v>
      </c>
      <c r="I1075" s="6">
        <f t="shared" ref="I1074:I1075" si="364">R1075</f>
        <v>0</v>
      </c>
      <c r="J1075" s="6">
        <v>0</v>
      </c>
      <c r="K1075" s="6">
        <v>0</v>
      </c>
      <c r="L1075" s="6">
        <v>0</v>
      </c>
      <c r="M1075" s="6">
        <v>0</v>
      </c>
      <c r="N1075" s="6">
        <v>0</v>
      </c>
      <c r="O1075" s="4">
        <f t="shared" si="360"/>
        <v>0</v>
      </c>
      <c r="P1075" s="5">
        <f>SUMIFS('Desenvolvimento diário'!$H:$H,'Desenvolvimento diário'!$Q:$Q,$B1075,'Desenvolvimento diário'!$P:$P,$F1075,'Desenvolvimento diário'!$R:$R,"Sim")</f>
        <v>0</v>
      </c>
      <c r="Q1075" s="5">
        <f>SUMIFS('Desenvolvimento diário'!$H:$H,'Desenvolvimento diário'!$Q:$Q,$B1075,'Desenvolvimento diário'!$P:$P,$F1075,'Desenvolvimento diário'!$R:$R,"Não")</f>
        <v>0</v>
      </c>
      <c r="R1075" s="4">
        <f t="shared" si="361"/>
        <v>0</v>
      </c>
      <c r="S1075" s="4">
        <f t="shared" si="362"/>
        <v>0</v>
      </c>
      <c r="T1075" s="12">
        <f t="shared" si="352"/>
        <v>0</v>
      </c>
      <c r="Y1075" s="2"/>
      <c r="Z1075" s="2"/>
      <c r="AA1075" s="2"/>
      <c r="AB1075" s="2"/>
      <c r="AC1075" s="2"/>
    </row>
    <row r="1076" spans="1:29" ht="10.5" hidden="1">
      <c r="A1076" s="2">
        <f t="shared" si="363"/>
        <v>31</v>
      </c>
      <c r="B1076" s="2" t="str">
        <f>VLOOKUP($A1076,Controle!$B$4:$F$68,2,FALSE)</f>
        <v>Pains 1</v>
      </c>
      <c r="C1076" s="2" t="str">
        <f>VLOOKUP($A1076,Controle!$B$4:$F$68,3,FALSE)</f>
        <v xml:space="preserve">ESTRELA DO NORTE </v>
      </c>
      <c r="D1076" s="2" t="str">
        <f>VLOOKUP($A1076,Controle!$B$4:$F$68,4,FALSE)</f>
        <v>EDN</v>
      </c>
      <c r="E1076" s="2">
        <f>VLOOKUP($A1076,Controle!$B$4:$F$68,5,FALSE)</f>
        <v>3</v>
      </c>
      <c r="F1076" s="3" t="str">
        <f t="shared" si="359"/>
        <v>Conexão MT - Obras Transferencia</v>
      </c>
      <c r="G1076" s="2" t="str">
        <f>VLOOKUP($A1076,Controle!$B$4:$G$68,6,FALSE)</f>
        <v>Apolo</v>
      </c>
      <c r="H1076" s="6">
        <v>0</v>
      </c>
      <c r="I1076" s="6">
        <v>0</v>
      </c>
      <c r="J1076" s="6">
        <v>0</v>
      </c>
      <c r="K1076" s="6">
        <v>0</v>
      </c>
      <c r="L1076" s="6">
        <v>0</v>
      </c>
      <c r="M1076" s="6">
        <v>0</v>
      </c>
      <c r="N1076" s="6">
        <v>0</v>
      </c>
      <c r="O1076" s="4">
        <f t="shared" si="360"/>
        <v>0</v>
      </c>
      <c r="P1076" s="5">
        <f>SUMIFS('Desenvolvimento diário'!$H:$H,'Desenvolvimento diário'!$Q:$Q,$B1076,'Desenvolvimento diário'!$P:$P,$F1076,'Desenvolvimento diário'!$R:$R,"Sim")</f>
        <v>0</v>
      </c>
      <c r="Q1076" s="5">
        <f>SUMIFS('Desenvolvimento diário'!$H:$H,'Desenvolvimento diário'!$Q:$Q,$B1076,'Desenvolvimento diário'!$P:$P,$F1076,'Desenvolvimento diário'!$R:$R,"Não")</f>
        <v>0</v>
      </c>
      <c r="R1076" s="4">
        <f t="shared" si="361"/>
        <v>0</v>
      </c>
      <c r="S1076" s="4">
        <f t="shared" si="362"/>
        <v>0</v>
      </c>
      <c r="T1076" s="12">
        <f t="shared" si="352"/>
        <v>0</v>
      </c>
      <c r="Y1076" s="2"/>
      <c r="Z1076" s="2"/>
      <c r="AA1076" s="2"/>
      <c r="AB1076" s="2"/>
      <c r="AC1076" s="2"/>
    </row>
    <row r="1077" spans="1:29" ht="10.5" hidden="1">
      <c r="A1077" s="2">
        <f t="shared" si="363"/>
        <v>31</v>
      </c>
      <c r="B1077" s="2" t="str">
        <f>VLOOKUP($A1077,Controle!$B$4:$F$68,2,FALSE)</f>
        <v>Pains 1</v>
      </c>
      <c r="C1077" s="2" t="str">
        <f>VLOOKUP($A1077,Controle!$B$4:$F$68,3,FALSE)</f>
        <v xml:space="preserve">ESTRELA DO NORTE </v>
      </c>
      <c r="D1077" s="2" t="str">
        <f>VLOOKUP($A1077,Controle!$B$4:$F$68,4,FALSE)</f>
        <v>EDN</v>
      </c>
      <c r="E1077" s="2">
        <f>VLOOKUP($A1077,Controle!$B$4:$F$68,5,FALSE)</f>
        <v>3</v>
      </c>
      <c r="F1077" s="3" t="str">
        <f t="shared" si="359"/>
        <v>Bases de Contaniers</v>
      </c>
      <c r="G1077" s="2" t="str">
        <f>VLOOKUP($A1077,Controle!$B$4:$G$68,6,FALSE)</f>
        <v>Apolo</v>
      </c>
      <c r="H1077" s="6">
        <v>0</v>
      </c>
      <c r="I1077" s="6">
        <v>0</v>
      </c>
      <c r="J1077" s="6">
        <v>0</v>
      </c>
      <c r="K1077" s="6">
        <v>0</v>
      </c>
      <c r="L1077" s="6">
        <v>0</v>
      </c>
      <c r="M1077" s="6">
        <v>0</v>
      </c>
      <c r="N1077" s="6">
        <v>0</v>
      </c>
      <c r="O1077" s="4">
        <f t="shared" si="360"/>
        <v>0</v>
      </c>
      <c r="P1077" s="5">
        <f>SUMIFS('Desenvolvimento diário'!$H:$H,'Desenvolvimento diário'!$Q:$Q,$B1077,'Desenvolvimento diário'!$P:$P,$F1077,'Desenvolvimento diário'!$R:$R,"Sim")</f>
        <v>0</v>
      </c>
      <c r="Q1077" s="5">
        <f>SUMIFS('Desenvolvimento diário'!$H:$H,'Desenvolvimento diário'!$Q:$Q,$B1077,'Desenvolvimento diário'!$P:$P,$F1077,'Desenvolvimento diário'!$R:$R,"Não")</f>
        <v>0</v>
      </c>
      <c r="R1077" s="4">
        <f t="shared" si="361"/>
        <v>0</v>
      </c>
      <c r="S1077" s="4">
        <f t="shared" si="362"/>
        <v>0</v>
      </c>
      <c r="T1077" s="12">
        <f t="shared" si="352"/>
        <v>0</v>
      </c>
      <c r="Y1077" s="2"/>
      <c r="Z1077" s="2"/>
      <c r="AA1077" s="2"/>
      <c r="AB1077" s="2"/>
      <c r="AC1077" s="2"/>
    </row>
    <row r="1078" spans="1:29" ht="10.5" hidden="1">
      <c r="A1078" s="2">
        <f t="shared" si="363"/>
        <v>31</v>
      </c>
      <c r="B1078" s="2" t="str">
        <f>VLOOKUP($A1078,Controle!$B$4:$F$68,2,FALSE)</f>
        <v>Pains 1</v>
      </c>
      <c r="C1078" s="2" t="str">
        <f>VLOOKUP($A1078,Controle!$B$4:$F$68,3,FALSE)</f>
        <v xml:space="preserve">ESTRELA DO NORTE </v>
      </c>
      <c r="D1078" s="2" t="str">
        <f>VLOOKUP($A1078,Controle!$B$4:$F$68,4,FALSE)</f>
        <v>EDN</v>
      </c>
      <c r="E1078" s="2">
        <f>VLOOKUP($A1078,Controle!$B$4:$F$68,5,FALSE)</f>
        <v>3</v>
      </c>
      <c r="F1078" s="3" t="str">
        <f t="shared" si="359"/>
        <v>Construção - Serviços de Construção - Ase Engenharia</v>
      </c>
      <c r="G1078" s="2" t="str">
        <f>VLOOKUP($A1078,Controle!$B$4:$G$68,6,FALSE)</f>
        <v>Apolo</v>
      </c>
      <c r="H1078" s="6">
        <v>0</v>
      </c>
      <c r="I1078" s="6">
        <v>0</v>
      </c>
      <c r="J1078" s="6">
        <v>0</v>
      </c>
      <c r="K1078" s="6">
        <v>0</v>
      </c>
      <c r="L1078" s="6">
        <v>0</v>
      </c>
      <c r="M1078" s="6">
        <v>0</v>
      </c>
      <c r="N1078" s="6">
        <v>0</v>
      </c>
      <c r="O1078" s="4">
        <f t="shared" si="360"/>
        <v>0</v>
      </c>
      <c r="P1078" s="5">
        <f>SUMIFS('Desenvolvimento diário'!$H:$H,'Desenvolvimento diário'!$Q:$Q,$B1078,'Desenvolvimento diário'!$P:$P,$F1078,'Desenvolvimento diário'!$R:$R,"Sim")</f>
        <v>0</v>
      </c>
      <c r="Q1078" s="5">
        <f>SUMIFS('Desenvolvimento diário'!$H:$H,'Desenvolvimento diário'!$Q:$Q,$B1078,'Desenvolvimento diário'!$P:$P,$F1078,'Desenvolvimento diário'!$R:$R,"Não")</f>
        <v>0</v>
      </c>
      <c r="R1078" s="4">
        <f t="shared" si="361"/>
        <v>0</v>
      </c>
      <c r="S1078" s="4">
        <f t="shared" si="362"/>
        <v>0</v>
      </c>
      <c r="T1078" s="12">
        <f t="shared" si="352"/>
        <v>0</v>
      </c>
      <c r="Y1078" s="2"/>
      <c r="Z1078" s="2"/>
      <c r="AA1078" s="2"/>
      <c r="AB1078" s="2"/>
      <c r="AC1078" s="2"/>
    </row>
    <row r="1079" spans="1:29" ht="10.5" hidden="1">
      <c r="A1079" s="2">
        <f t="shared" si="363"/>
        <v>31</v>
      </c>
      <c r="B1079" s="2" t="str">
        <f>VLOOKUP($A1079,Controle!$B$4:$F$68,2,FALSE)</f>
        <v>Pains 1</v>
      </c>
      <c r="C1079" s="2" t="str">
        <f>VLOOKUP($A1079,Controle!$B$4:$F$68,3,FALSE)</f>
        <v xml:space="preserve">ESTRELA DO NORTE </v>
      </c>
      <c r="D1079" s="2" t="str">
        <f>VLOOKUP($A1079,Controle!$B$4:$F$68,4,FALSE)</f>
        <v>EDN</v>
      </c>
      <c r="E1079" s="2">
        <f>VLOOKUP($A1079,Controle!$B$4:$F$68,5,FALSE)</f>
        <v>3</v>
      </c>
      <c r="F1079" s="3" t="str">
        <f t="shared" si="359"/>
        <v>Full EPC - Contrato Sobressalentes</v>
      </c>
      <c r="G1079" s="2" t="str">
        <f>VLOOKUP($A1079,Controle!$B$4:$G$68,6,FALSE)</f>
        <v>Apolo</v>
      </c>
      <c r="H1079" s="6">
        <v>0</v>
      </c>
      <c r="I1079" s="6">
        <v>0</v>
      </c>
      <c r="J1079" s="6">
        <v>0</v>
      </c>
      <c r="K1079" s="6">
        <v>0</v>
      </c>
      <c r="L1079" s="6">
        <v>0</v>
      </c>
      <c r="M1079" s="6">
        <v>0</v>
      </c>
      <c r="N1079" s="6">
        <v>0</v>
      </c>
      <c r="O1079" s="4">
        <f t="shared" si="360"/>
        <v>0</v>
      </c>
      <c r="P1079" s="5">
        <f>SUMIFS('Desenvolvimento diário'!$H:$H,'Desenvolvimento diário'!$Q:$Q,$B1079,'Desenvolvimento diário'!$P:$P,$F1079,'Desenvolvimento diário'!$R:$R,"Sim")</f>
        <v>0</v>
      </c>
      <c r="Q1079" s="5">
        <f>SUMIFS('Desenvolvimento diário'!$H:$H,'Desenvolvimento diário'!$Q:$Q,$B1079,'Desenvolvimento diário'!$P:$P,$F1079,'Desenvolvimento diário'!$R:$R,"Não")</f>
        <v>0</v>
      </c>
      <c r="R1079" s="4">
        <f t="shared" si="361"/>
        <v>0</v>
      </c>
      <c r="S1079" s="4">
        <f t="shared" si="362"/>
        <v>0</v>
      </c>
      <c r="T1079" s="12">
        <f t="shared" si="352"/>
        <v>0</v>
      </c>
      <c r="Y1079" s="2"/>
      <c r="Z1079" s="2"/>
      <c r="AA1079" s="2"/>
      <c r="AB1079" s="2"/>
      <c r="AC1079" s="2"/>
    </row>
    <row r="1080" spans="1:29" ht="10.5" hidden="1">
      <c r="A1080" s="2">
        <f t="shared" si="363"/>
        <v>31</v>
      </c>
      <c r="B1080" s="2" t="str">
        <f>VLOOKUP($A1080,Controle!$B$4:$F$68,2,FALSE)</f>
        <v>Pains 1</v>
      </c>
      <c r="C1080" s="2" t="str">
        <f>VLOOKUP($A1080,Controle!$B$4:$F$68,3,FALSE)</f>
        <v xml:space="preserve">ESTRELA DO NORTE </v>
      </c>
      <c r="D1080" s="2" t="str">
        <f>VLOOKUP($A1080,Controle!$B$4:$F$68,4,FALSE)</f>
        <v>EDN</v>
      </c>
      <c r="E1080" s="2">
        <f>VLOOKUP($A1080,Controle!$B$4:$F$68,5,FALSE)</f>
        <v>3</v>
      </c>
      <c r="F1080" s="3" t="str">
        <f t="shared" si="359"/>
        <v>Construção - Serviços de Construção - NOVA MORADA</v>
      </c>
      <c r="G1080" s="2" t="str">
        <f>VLOOKUP($A1080,Controle!$B$4:$G$68,6,FALSE)</f>
        <v>Apolo</v>
      </c>
      <c r="H1080" s="6">
        <v>0</v>
      </c>
      <c r="I1080" s="6">
        <v>0</v>
      </c>
      <c r="J1080" s="6">
        <v>0</v>
      </c>
      <c r="K1080" s="6">
        <v>0</v>
      </c>
      <c r="L1080" s="6">
        <v>0</v>
      </c>
      <c r="M1080" s="6">
        <v>0</v>
      </c>
      <c r="N1080" s="6">
        <v>0</v>
      </c>
      <c r="O1080" s="4">
        <f t="shared" si="360"/>
        <v>0</v>
      </c>
      <c r="P1080" s="5">
        <f>SUMIFS('Desenvolvimento diário'!$H:$H,'Desenvolvimento diário'!$Q:$Q,$B1080,'Desenvolvimento diário'!$P:$P,$F1080,'Desenvolvimento diário'!$R:$R,"Sim")</f>
        <v>0</v>
      </c>
      <c r="Q1080" s="5">
        <f>SUMIFS('Desenvolvimento diário'!$H:$H,'Desenvolvimento diário'!$Q:$Q,$B1080,'Desenvolvimento diário'!$P:$P,$F1080,'Desenvolvimento diário'!$R:$R,"Não")</f>
        <v>0</v>
      </c>
      <c r="R1080" s="4">
        <f t="shared" si="361"/>
        <v>0</v>
      </c>
      <c r="S1080" s="4">
        <f t="shared" si="362"/>
        <v>0</v>
      </c>
      <c r="T1080" s="12">
        <f t="shared" si="352"/>
        <v>0</v>
      </c>
      <c r="Y1080" s="2"/>
      <c r="Z1080" s="2"/>
      <c r="AA1080" s="2"/>
      <c r="AB1080" s="2"/>
      <c r="AC1080" s="2"/>
    </row>
    <row r="1081" spans="1:29" ht="10.5" hidden="1">
      <c r="A1081" s="2">
        <f t="shared" si="363"/>
        <v>31</v>
      </c>
      <c r="B1081" s="2" t="str">
        <f>VLOOKUP($A1081,Controle!$B$4:$F$68,2,FALSE)</f>
        <v>Pains 1</v>
      </c>
      <c r="C1081" s="2" t="str">
        <f>VLOOKUP($A1081,Controle!$B$4:$F$68,3,FALSE)</f>
        <v xml:space="preserve">ESTRELA DO NORTE </v>
      </c>
      <c r="D1081" s="2" t="str">
        <f>VLOOKUP($A1081,Controle!$B$4:$F$68,4,FALSE)</f>
        <v>EDN</v>
      </c>
      <c r="E1081" s="2">
        <f>VLOOKUP($A1081,Controle!$B$4:$F$68,5,FALSE)</f>
        <v>3</v>
      </c>
      <c r="F1081" s="3" t="str">
        <f t="shared" si="359"/>
        <v>Equipamentos Curva A -  Contrato Sobressalentes - SETTA</v>
      </c>
      <c r="G1081" s="2" t="str">
        <f>VLOOKUP($A1081,Controle!$B$4:$G$68,6,FALSE)</f>
        <v>Apolo</v>
      </c>
      <c r="H1081" s="6">
        <v>0</v>
      </c>
      <c r="I1081" s="6">
        <v>0</v>
      </c>
      <c r="J1081" s="6">
        <v>0</v>
      </c>
      <c r="K1081" s="6">
        <v>0</v>
      </c>
      <c r="L1081" s="6">
        <v>0</v>
      </c>
      <c r="M1081" s="6">
        <v>0</v>
      </c>
      <c r="N1081" s="6">
        <v>0</v>
      </c>
      <c r="O1081" s="4">
        <f t="shared" si="360"/>
        <v>0</v>
      </c>
      <c r="P1081" s="5">
        <f>SUMIFS('Desenvolvimento diário'!$H:$H,'Desenvolvimento diário'!$Q:$Q,$B1081,'Desenvolvimento diário'!$P:$P,$F1081,'Desenvolvimento diário'!$R:$R,"Sim")</f>
        <v>0</v>
      </c>
      <c r="Q1081" s="5">
        <f>SUMIFS('Desenvolvimento diário'!$H:$H,'Desenvolvimento diário'!$Q:$Q,$B1081,'Desenvolvimento diário'!$P:$P,$F1081,'Desenvolvimento diário'!$R:$R,"Não")</f>
        <v>0</v>
      </c>
      <c r="R1081" s="4">
        <f t="shared" si="361"/>
        <v>0</v>
      </c>
      <c r="S1081" s="4">
        <f t="shared" si="362"/>
        <v>0</v>
      </c>
      <c r="T1081" s="12">
        <f t="shared" si="352"/>
        <v>0</v>
      </c>
      <c r="Y1081" s="2"/>
      <c r="Z1081" s="2"/>
      <c r="AA1081" s="2"/>
      <c r="AB1081" s="2"/>
      <c r="AC1081" s="2"/>
    </row>
    <row r="1082" spans="1:29" ht="10.5" hidden="1">
      <c r="A1082" s="2">
        <f t="shared" si="363"/>
        <v>31</v>
      </c>
      <c r="B1082" s="2" t="str">
        <f>VLOOKUP($A1082,Controle!$B$4:$F$68,2,FALSE)</f>
        <v>Pains 1</v>
      </c>
      <c r="C1082" s="2" t="str">
        <f>VLOOKUP($A1082,Controle!$B$4:$F$68,3,FALSE)</f>
        <v xml:space="preserve">ESTRELA DO NORTE </v>
      </c>
      <c r="D1082" s="2" t="str">
        <f>VLOOKUP($A1082,Controle!$B$4:$F$68,4,FALSE)</f>
        <v>EDN</v>
      </c>
      <c r="E1082" s="2">
        <f>VLOOKUP($A1082,Controle!$B$4:$F$68,5,FALSE)</f>
        <v>3</v>
      </c>
      <c r="F1082" s="3" t="str">
        <f t="shared" si="359"/>
        <v>Equipamentos Curva A -  Contrato Sobressalentes - Arctech</v>
      </c>
      <c r="G1082" s="2" t="str">
        <f>VLOOKUP($A1082,Controle!$B$4:$G$68,6,FALSE)</f>
        <v>Apolo</v>
      </c>
      <c r="H1082" s="6">
        <v>0</v>
      </c>
      <c r="I1082" s="6">
        <v>0</v>
      </c>
      <c r="J1082" s="6">
        <v>0</v>
      </c>
      <c r="K1082" s="6">
        <v>0</v>
      </c>
      <c r="L1082" s="6">
        <v>0</v>
      </c>
      <c r="M1082" s="6">
        <v>0</v>
      </c>
      <c r="N1082" s="6">
        <v>0</v>
      </c>
      <c r="O1082" s="4">
        <f t="shared" si="360"/>
        <v>0</v>
      </c>
      <c r="P1082" s="5">
        <f>SUMIFS('Desenvolvimento diário'!$H:$H,'Desenvolvimento diário'!$Q:$Q,$B1082,'Desenvolvimento diário'!$P:$P,$F1082,'Desenvolvimento diário'!$R:$R,"Sim")</f>
        <v>0</v>
      </c>
      <c r="Q1082" s="5">
        <f>SUMIFS('Desenvolvimento diário'!$H:$H,'Desenvolvimento diário'!$Q:$Q,$B1082,'Desenvolvimento diário'!$P:$P,$F1082,'Desenvolvimento diário'!$R:$R,"Não")</f>
        <v>0</v>
      </c>
      <c r="R1082" s="4">
        <f t="shared" si="361"/>
        <v>0</v>
      </c>
      <c r="S1082" s="4">
        <f t="shared" si="362"/>
        <v>0</v>
      </c>
      <c r="T1082" s="12">
        <f t="shared" si="352"/>
        <v>0</v>
      </c>
      <c r="Y1082" s="2"/>
      <c r="Z1082" s="2"/>
      <c r="AA1082" s="2"/>
      <c r="AB1082" s="2"/>
      <c r="AC1082" s="2"/>
    </row>
    <row r="1083" spans="1:29" hidden="1">
      <c r="A1083" s="2">
        <f t="shared" si="363"/>
        <v>31</v>
      </c>
      <c r="B1083" s="2" t="str">
        <f>VLOOKUP($A1083,Controle!$B$4:$F$68,2,FALSE)</f>
        <v>Pains 1</v>
      </c>
      <c r="C1083" s="2" t="str">
        <f>VLOOKUP($A1083,Controle!$B$4:$F$68,3,FALSE)</f>
        <v xml:space="preserve">ESTRELA DO NORTE </v>
      </c>
      <c r="D1083" s="2" t="str">
        <f>VLOOKUP($A1083,Controle!$B$4:$F$68,4,FALSE)</f>
        <v>EDN</v>
      </c>
      <c r="E1083" s="2">
        <f>VLOOKUP($A1083,Controle!$B$4:$F$68,5,FALSE)</f>
        <v>3</v>
      </c>
      <c r="F1083" s="3" t="str">
        <f t="shared" si="359"/>
        <v>Equipamentos Curva A -  Contrato Sobressalentes - Romagnole</v>
      </c>
      <c r="G1083" s="2" t="str">
        <f>VLOOKUP($A1083,Controle!$B$4:$G$68,6,FALSE)</f>
        <v>Apolo</v>
      </c>
      <c r="H1083" s="7">
        <v>0</v>
      </c>
      <c r="I1083" s="7">
        <v>0</v>
      </c>
      <c r="J1083" s="7">
        <v>0</v>
      </c>
      <c r="K1083" s="7">
        <v>0</v>
      </c>
      <c r="L1083" s="7">
        <v>0</v>
      </c>
      <c r="M1083" s="7">
        <v>0</v>
      </c>
      <c r="N1083" s="7">
        <v>0</v>
      </c>
      <c r="O1083" s="4">
        <f t="shared" si="360"/>
        <v>0</v>
      </c>
      <c r="P1083" s="17">
        <f>SUMIFS('Desenvolvimento diário'!$H:$H,'Desenvolvimento diário'!$Q:$Q,$B1083,'Desenvolvimento diário'!$P:$P,$F1083,'Desenvolvimento diário'!$R:$R,"Sim")</f>
        <v>0</v>
      </c>
      <c r="Q1083" s="17">
        <f>SUMIFS('Desenvolvimento diário'!$H:$H,'Desenvolvimento diário'!$Q:$Q,$B1083,'Desenvolvimento diário'!$P:$P,$F1083,'Desenvolvimento diário'!$R:$R,"Não")</f>
        <v>0</v>
      </c>
      <c r="R1083" s="4">
        <f t="shared" si="361"/>
        <v>0</v>
      </c>
      <c r="S1083" s="4">
        <f t="shared" si="362"/>
        <v>0</v>
      </c>
      <c r="T1083" s="12">
        <f t="shared" si="352"/>
        <v>0</v>
      </c>
      <c r="Y1083" s="2"/>
      <c r="Z1083" s="2"/>
      <c r="AA1083" s="2"/>
      <c r="AB1083" s="2"/>
      <c r="AC1083" s="2"/>
    </row>
    <row r="1084" spans="1:29" hidden="1">
      <c r="A1084" s="2">
        <f t="shared" si="363"/>
        <v>31</v>
      </c>
      <c r="B1084" s="2" t="str">
        <f>VLOOKUP($A1084,Controle!$B$4:$F$68,2,FALSE)</f>
        <v>Pains 1</v>
      </c>
      <c r="C1084" s="2" t="str">
        <f>VLOOKUP($A1084,Controle!$B$4:$F$68,3,FALSE)</f>
        <v xml:space="preserve">ESTRELA DO NORTE </v>
      </c>
      <c r="D1084" s="2" t="str">
        <f>VLOOKUP($A1084,Controle!$B$4:$F$68,4,FALSE)</f>
        <v>EDN</v>
      </c>
      <c r="E1084" s="2">
        <f>VLOOKUP($A1084,Controle!$B$4:$F$68,5,FALSE)</f>
        <v>3</v>
      </c>
      <c r="F1084" s="3" t="str">
        <f t="shared" si="359"/>
        <v>GOS FLORESTAL - (PRAD - Recuperação Area Ambiental)</v>
      </c>
      <c r="G1084" s="2" t="str">
        <f>VLOOKUP($A1084,Controle!$B$4:$G$68,6,FALSE)</f>
        <v>Apolo</v>
      </c>
      <c r="H1084" s="506" t="s">
        <v>170</v>
      </c>
      <c r="I1084" s="6">
        <v>0</v>
      </c>
      <c r="J1084" s="506"/>
      <c r="K1084" s="506">
        <v>0</v>
      </c>
      <c r="L1084" s="506">
        <v>0</v>
      </c>
      <c r="M1084" s="506">
        <v>0</v>
      </c>
      <c r="N1084" s="506">
        <v>0</v>
      </c>
      <c r="O1084" s="39">
        <f t="shared" si="360"/>
        <v>0</v>
      </c>
      <c r="P1084" s="17">
        <f>SUMIFS('Desenvolvimento diário'!$H:$H,'Desenvolvimento diário'!$Q:$Q,$B1084,'Desenvolvimento diário'!$P:$P,$F1084,'Desenvolvimento diário'!$R:$R,"Sim")</f>
        <v>0</v>
      </c>
      <c r="Q1084" s="17">
        <f>SUMIFS('Desenvolvimento diário'!$H:$H,'Desenvolvimento diário'!$Q:$Q,$B1084,'Desenvolvimento diário'!$P:$P,$F1084,'Desenvolvimento diário'!$R:$R,"Não")</f>
        <v>0</v>
      </c>
      <c r="R1084" s="4">
        <f t="shared" si="361"/>
        <v>0</v>
      </c>
      <c r="S1084" s="4">
        <f t="shared" si="362"/>
        <v>0</v>
      </c>
      <c r="T1084" s="12">
        <f t="shared" ref="T1084:T1085" si="365">IFERROR(R1084/O1084,0)</f>
        <v>0</v>
      </c>
      <c r="Y1084" s="2"/>
      <c r="Z1084" s="2"/>
      <c r="AA1084" s="2"/>
      <c r="AB1084" s="2"/>
      <c r="AC1084" s="2"/>
    </row>
    <row r="1085" spans="1:29" hidden="1">
      <c r="A1085" s="2">
        <f t="shared" si="363"/>
        <v>31</v>
      </c>
      <c r="B1085" s="2" t="str">
        <f>VLOOKUP($A1085,Controle!$B$4:$F$68,2,FALSE)</f>
        <v>Pains 1</v>
      </c>
      <c r="C1085" s="2" t="str">
        <f>VLOOKUP($A1085,Controle!$B$4:$F$68,3,FALSE)</f>
        <v xml:space="preserve">ESTRELA DO NORTE </v>
      </c>
      <c r="D1085" s="2" t="str">
        <f>VLOOKUP($A1085,Controle!$B$4:$F$68,4,FALSE)</f>
        <v>EDN</v>
      </c>
      <c r="E1085" s="2">
        <f>VLOOKUP($A1085,Controle!$B$4:$F$68,5,FALSE)</f>
        <v>3</v>
      </c>
      <c r="F1085" s="3" t="str">
        <f t="shared" si="359"/>
        <v>Cercamento das bacias de contenção ciclo 2</v>
      </c>
      <c r="G1085" s="2" t="str">
        <f>VLOOKUP($A1085,Controle!$B$4:$G$68,6,FALSE)</f>
        <v>Apolo</v>
      </c>
      <c r="H1085" s="506" t="s">
        <v>172</v>
      </c>
      <c r="I1085" s="6"/>
      <c r="J1085" s="506"/>
      <c r="K1085" s="506">
        <v>0</v>
      </c>
      <c r="L1085" s="506">
        <v>0</v>
      </c>
      <c r="M1085" s="506">
        <v>0</v>
      </c>
      <c r="N1085" s="506">
        <v>0</v>
      </c>
      <c r="O1085" s="39">
        <f t="shared" si="360"/>
        <v>0</v>
      </c>
      <c r="P1085" s="17">
        <f>SUMIFS('Desenvolvimento diário'!$H:$H,'Desenvolvimento diário'!$Q:$Q,$B1085,'Desenvolvimento diário'!$P:$P,$F1085,'Desenvolvimento diário'!$R:$R,"Sim")</f>
        <v>0</v>
      </c>
      <c r="Q1085" s="17">
        <f>SUMIFS('Desenvolvimento diário'!$H:$H,'Desenvolvimento diário'!$Q:$Q,$B1085,'Desenvolvimento diário'!$P:$P,$F1085,'Desenvolvimento diário'!$R:$R,"Não")</f>
        <v>0</v>
      </c>
      <c r="R1085" s="4">
        <f t="shared" si="361"/>
        <v>0</v>
      </c>
      <c r="S1085" s="4">
        <f t="shared" si="362"/>
        <v>0</v>
      </c>
      <c r="T1085" s="12">
        <f t="shared" si="365"/>
        <v>0</v>
      </c>
      <c r="U1085" s="1029"/>
      <c r="V1085" s="1029" t="s">
        <v>94</v>
      </c>
      <c r="Y1085" s="2"/>
      <c r="Z1085" s="2"/>
      <c r="AA1085" s="2"/>
      <c r="AB1085" s="2"/>
      <c r="AC1085" s="2"/>
    </row>
    <row r="1086" spans="1:29" hidden="1">
      <c r="A1086" s="8">
        <f>A1083</f>
        <v>31</v>
      </c>
      <c r="B1086" s="9" t="str">
        <f t="shared" ref="B1086" si="366">B1083</f>
        <v>Pains 1</v>
      </c>
      <c r="C1086" s="9" t="str">
        <f t="shared" ref="C1086" si="367">C1083</f>
        <v xml:space="preserve">ESTRELA DO NORTE </v>
      </c>
      <c r="D1086" s="9" t="str">
        <f t="shared" ref="D1086" si="368">D1083</f>
        <v>EDN</v>
      </c>
      <c r="E1086" s="9">
        <f t="shared" ref="E1086" si="369">E1083</f>
        <v>3</v>
      </c>
      <c r="F1086" s="10" t="s">
        <v>158</v>
      </c>
      <c r="G1086" s="9" t="str">
        <f>G1083</f>
        <v>Apolo</v>
      </c>
      <c r="H1086" s="9"/>
      <c r="I1086" s="9">
        <f>SUBTOTAL(9,I1052:I1085)</f>
        <v>0</v>
      </c>
      <c r="J1086" s="9">
        <f t="shared" ref="J1086:S1086" si="370">SUBTOTAL(9,J1052:J1085)</f>
        <v>0</v>
      </c>
      <c r="K1086" s="9">
        <f t="shared" si="370"/>
        <v>0</v>
      </c>
      <c r="L1086" s="9">
        <f t="shared" si="370"/>
        <v>0</v>
      </c>
      <c r="M1086" s="9">
        <f t="shared" si="370"/>
        <v>0</v>
      </c>
      <c r="N1086" s="9">
        <f t="shared" si="370"/>
        <v>0</v>
      </c>
      <c r="O1086" s="9">
        <f t="shared" si="370"/>
        <v>0</v>
      </c>
      <c r="P1086" s="9">
        <f t="shared" si="370"/>
        <v>0</v>
      </c>
      <c r="Q1086" s="9">
        <f t="shared" si="370"/>
        <v>0</v>
      </c>
      <c r="R1086" s="9">
        <f t="shared" si="370"/>
        <v>0</v>
      </c>
      <c r="S1086" s="9">
        <f t="shared" si="370"/>
        <v>0</v>
      </c>
      <c r="T1086" s="13">
        <f>IFERROR(R1086/O1086,0)</f>
        <v>0</v>
      </c>
      <c r="U1086" s="11">
        <f>SUBTOTAL(9,U1052:U1085)</f>
        <v>0</v>
      </c>
      <c r="Y1086" s="2"/>
      <c r="Z1086" s="2"/>
      <c r="AA1086" s="2"/>
      <c r="AB1086" s="2"/>
      <c r="AC1086" s="2"/>
    </row>
    <row r="1087" spans="1:29" ht="10.5" hidden="1">
      <c r="A1087" s="2">
        <f>A1052+1</f>
        <v>32</v>
      </c>
      <c r="B1087" s="2" t="str">
        <f>VLOOKUP($A1087,Controle!$B$4:$F$68,2,FALSE)</f>
        <v>Pains 2</v>
      </c>
      <c r="C1087" s="2" t="str">
        <f>VLOOKUP($A1087,Controle!$B$4:$F$68,3,FALSE)</f>
        <v xml:space="preserve">ESTRELA DO NORTE </v>
      </c>
      <c r="D1087" s="2" t="str">
        <f>VLOOKUP($A1087,Controle!$B$4:$F$68,4,FALSE)</f>
        <v>EDN</v>
      </c>
      <c r="E1087" s="2">
        <f>VLOOKUP($A1087,Controle!$B$4:$F$68,5,FALSE)</f>
        <v>3</v>
      </c>
      <c r="F1087" s="3" t="str">
        <f t="shared" ref="F1087:F1120" si="371">F1052</f>
        <v>Conexão AT - Obras</v>
      </c>
      <c r="G1087" s="2" t="str">
        <f>VLOOKUP($A1087,Controle!$B$4:$G$68,6,FALSE)</f>
        <v>Apolo</v>
      </c>
      <c r="H1087" s="6" t="s">
        <v>141</v>
      </c>
      <c r="I1087" s="31">
        <v>50000</v>
      </c>
      <c r="J1087" s="6">
        <v>0</v>
      </c>
      <c r="K1087" s="6">
        <v>0</v>
      </c>
      <c r="L1087" s="6">
        <v>0</v>
      </c>
      <c r="M1087" s="6">
        <v>0</v>
      </c>
      <c r="N1087" s="6">
        <v>0</v>
      </c>
      <c r="O1087" s="4">
        <f t="shared" ref="O1087:O1120" si="372">SUM(I1087:N1087)</f>
        <v>50000</v>
      </c>
      <c r="P1087" s="5">
        <f>SUMIFS('Desenvolvimento diário'!$H:$H,'Desenvolvimento diário'!$Q:$Q,$B1087,'Desenvolvimento diário'!$P:$P,$F1087,'Desenvolvimento diário'!$R:$R,"Sim")</f>
        <v>0</v>
      </c>
      <c r="Q1087" s="5">
        <f>SUMIFS('Desenvolvimento diário'!$H:$H,'Desenvolvimento diário'!$Q:$Q,$B1087,'Desenvolvimento diário'!$P:$P,$F1087,'Desenvolvimento diário'!$R:$R,"Não")</f>
        <v>50000</v>
      </c>
      <c r="R1087" s="4">
        <f t="shared" ref="R1087:R1120" si="373">SUM(P1087:Q1087)</f>
        <v>50000</v>
      </c>
      <c r="S1087" s="4">
        <f t="shared" ref="S1087:S1120" si="374">O1087-R1087</f>
        <v>0</v>
      </c>
      <c r="T1087" s="12">
        <f t="shared" si="352"/>
        <v>1</v>
      </c>
      <c r="Y1087" s="2"/>
      <c r="Z1087" s="2"/>
      <c r="AA1087" s="2"/>
      <c r="AB1087" s="2"/>
      <c r="AC1087" s="2"/>
    </row>
    <row r="1088" spans="1:29" ht="10.5" hidden="1">
      <c r="A1088" s="2">
        <f t="shared" ref="A1088:A1120" si="375">A1087</f>
        <v>32</v>
      </c>
      <c r="B1088" s="2" t="str">
        <f>VLOOKUP($A1088,Controle!$B$4:$F$68,2,FALSE)</f>
        <v>Pains 2</v>
      </c>
      <c r="C1088" s="2" t="str">
        <f>VLOOKUP($A1088,Controle!$B$4:$F$68,3,FALSE)</f>
        <v xml:space="preserve">ESTRELA DO NORTE </v>
      </c>
      <c r="D1088" s="2" t="str">
        <f>VLOOKUP($A1088,Controle!$B$4:$F$68,4,FALSE)</f>
        <v>EDN</v>
      </c>
      <c r="E1088" s="2">
        <f>VLOOKUP($A1088,Controle!$B$4:$F$68,5,FALSE)</f>
        <v>3</v>
      </c>
      <c r="F1088" s="3" t="str">
        <f t="shared" si="371"/>
        <v>Conexão MT - Obras</v>
      </c>
      <c r="G1088" s="2" t="str">
        <f>VLOOKUP($A1088,Controle!$B$4:$G$68,6,FALSE)</f>
        <v>Apolo</v>
      </c>
      <c r="H1088" s="6" t="s">
        <v>168</v>
      </c>
      <c r="I1088" s="6">
        <v>1131500</v>
      </c>
      <c r="J1088" s="6">
        <v>3305475</v>
      </c>
      <c r="K1088" s="6">
        <v>0</v>
      </c>
      <c r="L1088" s="6">
        <v>0</v>
      </c>
      <c r="M1088" s="6">
        <v>0</v>
      </c>
      <c r="N1088" s="6">
        <v>0</v>
      </c>
      <c r="O1088" s="4">
        <f t="shared" si="372"/>
        <v>4436975</v>
      </c>
      <c r="P1088" s="5">
        <f>SUMIFS('Desenvolvimento diário'!$H:$H,'Desenvolvimento diário'!$Q:$Q,$B1088,'Desenvolvimento diário'!$P:$P,$F1088,'Desenvolvimento diário'!$R:$R,"Sim")</f>
        <v>118860</v>
      </c>
      <c r="Q1088" s="5">
        <f>SUMIFS('Desenvolvimento diário'!$H:$H,'Desenvolvimento diário'!$Q:$Q,$B1088,'Desenvolvimento diário'!$P:$P,$F1088,'Desenvolvimento diário'!$R:$R,"Não")</f>
        <v>39602.500000000007</v>
      </c>
      <c r="R1088" s="4">
        <f t="shared" si="373"/>
        <v>158462.5</v>
      </c>
      <c r="S1088" s="1017">
        <f t="shared" si="374"/>
        <v>4278512.5</v>
      </c>
      <c r="T1088" s="12">
        <f t="shared" si="352"/>
        <v>3.5714084483234633E-2</v>
      </c>
      <c r="U1088" s="1018" t="s">
        <v>162</v>
      </c>
      <c r="V1088" s="1018" t="s">
        <v>211</v>
      </c>
      <c r="Y1088" s="2"/>
      <c r="Z1088" s="2"/>
      <c r="AA1088" s="2"/>
      <c r="AB1088" s="2"/>
      <c r="AC1088" s="2"/>
    </row>
    <row r="1089" spans="1:29" ht="10.5" hidden="1">
      <c r="A1089" s="2">
        <f t="shared" si="375"/>
        <v>32</v>
      </c>
      <c r="B1089" s="2" t="str">
        <f>VLOOKUP($A1089,Controle!$B$4:$F$68,2,FALSE)</f>
        <v>Pains 2</v>
      </c>
      <c r="C1089" s="2" t="str">
        <f>VLOOKUP($A1089,Controle!$B$4:$F$68,3,FALSE)</f>
        <v xml:space="preserve">ESTRELA DO NORTE </v>
      </c>
      <c r="D1089" s="2" t="str">
        <f>VLOOKUP($A1089,Controle!$B$4:$F$68,4,FALSE)</f>
        <v>EDN</v>
      </c>
      <c r="E1089" s="2">
        <f>VLOOKUP($A1089,Controle!$B$4:$F$68,5,FALSE)</f>
        <v>3</v>
      </c>
      <c r="F1089" s="3" t="str">
        <f t="shared" si="371"/>
        <v>Construção - Serviços de Construção</v>
      </c>
      <c r="G1089" s="2" t="str">
        <f>VLOOKUP($A1089,Controle!$B$4:$G$68,6,FALSE)</f>
        <v>Apolo</v>
      </c>
      <c r="H1089" s="6">
        <v>0</v>
      </c>
      <c r="I1089" s="6">
        <v>0</v>
      </c>
      <c r="J1089" s="6">
        <v>0</v>
      </c>
      <c r="K1089" s="6">
        <v>0</v>
      </c>
      <c r="L1089" s="6">
        <v>0</v>
      </c>
      <c r="M1089" s="6">
        <v>0</v>
      </c>
      <c r="N1089" s="6">
        <v>0</v>
      </c>
      <c r="O1089" s="4">
        <f t="shared" si="372"/>
        <v>0</v>
      </c>
      <c r="P1089" s="5">
        <f>SUMIFS('Desenvolvimento diário'!$H:$H,'Desenvolvimento diário'!$Q:$Q,$B1089,'Desenvolvimento diário'!$P:$P,$F1089,'Desenvolvimento diário'!$R:$R,"Sim")</f>
        <v>0</v>
      </c>
      <c r="Q1089" s="5">
        <f>SUMIFS('Desenvolvimento diário'!$H:$H,'Desenvolvimento diário'!$Q:$Q,$B1089,'Desenvolvimento diário'!$P:$P,$F1089,'Desenvolvimento diário'!$R:$R,"Não")</f>
        <v>0</v>
      </c>
      <c r="R1089" s="4">
        <f t="shared" si="373"/>
        <v>0</v>
      </c>
      <c r="S1089" s="4">
        <f t="shared" si="374"/>
        <v>0</v>
      </c>
      <c r="T1089" s="12">
        <f t="shared" si="352"/>
        <v>0</v>
      </c>
      <c r="Y1089" s="2"/>
      <c r="Z1089" s="2"/>
      <c r="AA1089" s="2"/>
      <c r="AB1089" s="2"/>
      <c r="AC1089" s="2"/>
    </row>
    <row r="1090" spans="1:29" ht="10.5" hidden="1">
      <c r="A1090" s="2">
        <f t="shared" si="375"/>
        <v>32</v>
      </c>
      <c r="B1090" s="2" t="str">
        <f>VLOOKUP($A1090,Controle!$B$4:$F$68,2,FALSE)</f>
        <v>Pains 2</v>
      </c>
      <c r="C1090" s="2" t="str">
        <f>VLOOKUP($A1090,Controle!$B$4:$F$68,3,FALSE)</f>
        <v xml:space="preserve">ESTRELA DO NORTE </v>
      </c>
      <c r="D1090" s="2" t="str">
        <f>VLOOKUP($A1090,Controle!$B$4:$F$68,4,FALSE)</f>
        <v>EDN</v>
      </c>
      <c r="E1090" s="2">
        <f>VLOOKUP($A1090,Controle!$B$4:$F$68,5,FALSE)</f>
        <v>3</v>
      </c>
      <c r="F1090" s="3" t="str">
        <f t="shared" si="371"/>
        <v>Construção - Serviços de Construção - Substituição</v>
      </c>
      <c r="G1090" s="2" t="str">
        <f>VLOOKUP($A1090,Controle!$B$4:$G$68,6,FALSE)</f>
        <v>Apolo</v>
      </c>
      <c r="H1090" s="6" t="s">
        <v>202</v>
      </c>
      <c r="I1090" s="6">
        <v>2740702.22</v>
      </c>
      <c r="J1090" s="6">
        <v>0</v>
      </c>
      <c r="K1090" s="6">
        <v>0</v>
      </c>
      <c r="L1090" s="6">
        <v>0</v>
      </c>
      <c r="M1090" s="6">
        <v>0</v>
      </c>
      <c r="N1090" s="6">
        <v>0</v>
      </c>
      <c r="O1090" s="4">
        <f t="shared" si="372"/>
        <v>2740702.22</v>
      </c>
      <c r="P1090" s="5">
        <f>SUMIFS('Desenvolvimento diário'!$H:$H,'Desenvolvimento diário'!$Q:$Q,$B1090,'Desenvolvimento diário'!$P:$P,$F1090,'Desenvolvimento diário'!$R:$R,"Sim")</f>
        <v>434848.87</v>
      </c>
      <c r="Q1090" s="5">
        <f>SUMIFS('Desenvolvimento diário'!$H:$H,'Desenvolvimento diário'!$Q:$Q,$B1090,'Desenvolvimento diário'!$P:$P,$F1090,'Desenvolvimento diário'!$R:$R,"Não")</f>
        <v>274070.21999999997</v>
      </c>
      <c r="R1090" s="4">
        <f t="shared" si="373"/>
        <v>708919.09</v>
      </c>
      <c r="S1090" s="33">
        <f t="shared" si="374"/>
        <v>2031783.1300000004</v>
      </c>
      <c r="T1090" s="12">
        <f t="shared" ref="T1090:T1157" si="376">IFERROR(R1090/O1090,0)</f>
        <v>0.25866330345074845</v>
      </c>
      <c r="U1090" s="510" t="s">
        <v>162</v>
      </c>
      <c r="V1090" s="510" t="s">
        <v>163</v>
      </c>
      <c r="Y1090" s="2"/>
      <c r="Z1090" s="2"/>
      <c r="AA1090" s="2"/>
      <c r="AB1090" s="2"/>
      <c r="AC1090" s="2"/>
    </row>
    <row r="1091" spans="1:29" ht="10.5" hidden="1">
      <c r="A1091" s="2">
        <f t="shared" si="375"/>
        <v>32</v>
      </c>
      <c r="B1091" s="2" t="str">
        <f>VLOOKUP($A1091,Controle!$B$4:$F$68,2,FALSE)</f>
        <v>Pains 2</v>
      </c>
      <c r="C1091" s="2" t="str">
        <f>VLOOKUP($A1091,Controle!$B$4:$F$68,3,FALSE)</f>
        <v xml:space="preserve">ESTRELA DO NORTE </v>
      </c>
      <c r="D1091" s="2" t="str">
        <f>VLOOKUP($A1091,Controle!$B$4:$F$68,4,FALSE)</f>
        <v>EDN</v>
      </c>
      <c r="E1091" s="2">
        <f>VLOOKUP($A1091,Controle!$B$4:$F$68,5,FALSE)</f>
        <v>3</v>
      </c>
      <c r="F1091" s="3" t="str">
        <f t="shared" si="371"/>
        <v>Construção - RDA Interno</v>
      </c>
      <c r="G1091" s="2" t="str">
        <f>VLOOKUP($A1091,Controle!$B$4:$G$68,6,FALSE)</f>
        <v>Apolo</v>
      </c>
      <c r="H1091" s="28" t="s">
        <v>143</v>
      </c>
      <c r="I1091" s="28"/>
      <c r="J1091" s="6">
        <v>0</v>
      </c>
      <c r="K1091" s="6">
        <v>0</v>
      </c>
      <c r="L1091" s="6">
        <v>0</v>
      </c>
      <c r="M1091" s="6">
        <v>0</v>
      </c>
      <c r="N1091" s="6">
        <v>0</v>
      </c>
      <c r="O1091" s="4">
        <f t="shared" si="372"/>
        <v>0</v>
      </c>
      <c r="P1091" s="5">
        <f>SUMIFS('Desenvolvimento diário'!$H:$H,'Desenvolvimento diário'!$Q:$Q,$B1091,'Desenvolvimento diário'!$P:$P,$F1091,'Desenvolvimento diário'!$R:$R,"Sim")</f>
        <v>0</v>
      </c>
      <c r="Q1091" s="5">
        <f>SUMIFS('Desenvolvimento diário'!$H:$H,'Desenvolvimento diário'!$Q:$Q,$B1091,'Desenvolvimento diário'!$P:$P,$F1091,'Desenvolvimento diário'!$R:$R,"Não")</f>
        <v>0</v>
      </c>
      <c r="R1091" s="4">
        <f t="shared" si="373"/>
        <v>0</v>
      </c>
      <c r="S1091" s="4">
        <f t="shared" si="374"/>
        <v>0</v>
      </c>
      <c r="T1091" s="12">
        <f t="shared" si="376"/>
        <v>0</v>
      </c>
      <c r="Y1091" s="2"/>
      <c r="Z1091" s="2"/>
      <c r="AA1091" s="2"/>
      <c r="AB1091" s="2"/>
      <c r="AC1091" s="2"/>
    </row>
    <row r="1092" spans="1:29" ht="10.5" hidden="1">
      <c r="A1092" s="2">
        <f t="shared" si="375"/>
        <v>32</v>
      </c>
      <c r="B1092" s="2" t="str">
        <f>VLOOKUP($A1092,Controle!$B$4:$F$68,2,FALSE)</f>
        <v>Pains 2</v>
      </c>
      <c r="C1092" s="2" t="str">
        <f>VLOOKUP($A1092,Controle!$B$4:$F$68,3,FALSE)</f>
        <v xml:space="preserve">ESTRELA DO NORTE </v>
      </c>
      <c r="D1092" s="2" t="str">
        <f>VLOOKUP($A1092,Controle!$B$4:$F$68,4,FALSE)</f>
        <v>EDN</v>
      </c>
      <c r="E1092" s="2">
        <f>VLOOKUP($A1092,Controle!$B$4:$F$68,5,FALSE)</f>
        <v>3</v>
      </c>
      <c r="F1092" s="3" t="str">
        <f t="shared" si="371"/>
        <v>Full EPC - Contrato</v>
      </c>
      <c r="G1092" s="2" t="str">
        <f>VLOOKUP($A1092,Controle!$B$4:$G$68,6,FALSE)</f>
        <v>Apolo</v>
      </c>
      <c r="H1092" s="6">
        <v>0</v>
      </c>
      <c r="I1092" s="6">
        <v>0</v>
      </c>
      <c r="J1092" s="6">
        <v>0</v>
      </c>
      <c r="K1092" s="6">
        <v>0</v>
      </c>
      <c r="L1092" s="6">
        <v>0</v>
      </c>
      <c r="M1092" s="6">
        <v>0</v>
      </c>
      <c r="N1092" s="6">
        <v>0</v>
      </c>
      <c r="O1092" s="4">
        <f t="shared" si="372"/>
        <v>0</v>
      </c>
      <c r="P1092" s="5">
        <f>SUMIFS('Desenvolvimento diário'!$H:$H,'Desenvolvimento diário'!$Q:$Q,$B1092,'Desenvolvimento diário'!$P:$P,$F1092,'Desenvolvimento diário'!$R:$R,"Sim")</f>
        <v>0</v>
      </c>
      <c r="Q1092" s="5">
        <f>SUMIFS('Desenvolvimento diário'!$H:$H,'Desenvolvimento diário'!$Q:$Q,$B1092,'Desenvolvimento diário'!$P:$P,$F1092,'Desenvolvimento diário'!$R:$R,"Não")</f>
        <v>0</v>
      </c>
      <c r="R1092" s="4">
        <f t="shared" si="373"/>
        <v>0</v>
      </c>
      <c r="S1092" s="4">
        <f t="shared" si="374"/>
        <v>0</v>
      </c>
      <c r="T1092" s="12">
        <f t="shared" si="376"/>
        <v>0</v>
      </c>
      <c r="Y1092" s="2"/>
      <c r="Z1092" s="2"/>
      <c r="AA1092" s="2"/>
      <c r="AB1092" s="2"/>
      <c r="AC1092" s="2"/>
    </row>
    <row r="1093" spans="1:29" ht="10.5" hidden="1">
      <c r="A1093" s="2">
        <f t="shared" si="375"/>
        <v>32</v>
      </c>
      <c r="B1093" s="2" t="str">
        <f>VLOOKUP($A1093,Controle!$B$4:$F$68,2,FALSE)</f>
        <v>Pains 2</v>
      </c>
      <c r="C1093" s="2" t="str">
        <f>VLOOKUP($A1093,Controle!$B$4:$F$68,3,FALSE)</f>
        <v xml:space="preserve">ESTRELA DO NORTE </v>
      </c>
      <c r="D1093" s="2" t="str">
        <f>VLOOKUP($A1093,Controle!$B$4:$F$68,4,FALSE)</f>
        <v>EDN</v>
      </c>
      <c r="E1093" s="2">
        <f>VLOOKUP($A1093,Controle!$B$4:$F$68,5,FALSE)</f>
        <v>3</v>
      </c>
      <c r="F1093" s="3" t="str">
        <f t="shared" si="371"/>
        <v>Equipamentos Curva A - Outros (Transformadores)</v>
      </c>
      <c r="G1093" s="2" t="str">
        <f>VLOOKUP($A1093,Controle!$B$4:$G$68,6,FALSE)</f>
        <v>Apolo</v>
      </c>
      <c r="H1093" s="28" t="s">
        <v>144</v>
      </c>
      <c r="I1093" s="28">
        <f>-J1103</f>
        <v>0</v>
      </c>
      <c r="J1093" s="6">
        <v>0</v>
      </c>
      <c r="K1093" s="6">
        <v>0</v>
      </c>
      <c r="L1093" s="6">
        <v>0</v>
      </c>
      <c r="M1093" s="6">
        <v>0</v>
      </c>
      <c r="N1093" s="6">
        <v>0</v>
      </c>
      <c r="O1093" s="4">
        <f t="shared" si="372"/>
        <v>0</v>
      </c>
      <c r="P1093" s="5">
        <f>SUMIFS('Desenvolvimento diário'!$H:$H,'Desenvolvimento diário'!$Q:$Q,$B1093,'Desenvolvimento diário'!$P:$P,$F1093,'Desenvolvimento diário'!$R:$R,"Sim")</f>
        <v>0</v>
      </c>
      <c r="Q1093" s="5">
        <f>SUMIFS('Desenvolvimento diário'!$H:$H,'Desenvolvimento diário'!$Q:$Q,$B1093,'Desenvolvimento diário'!$P:$P,$F1093,'Desenvolvimento diário'!$R:$R,"Não")</f>
        <v>0</v>
      </c>
      <c r="R1093" s="4">
        <f t="shared" si="373"/>
        <v>0</v>
      </c>
      <c r="S1093" s="4">
        <f t="shared" si="374"/>
        <v>0</v>
      </c>
      <c r="T1093" s="12">
        <f t="shared" si="376"/>
        <v>0</v>
      </c>
      <c r="Y1093" s="2"/>
      <c r="Z1093" s="2"/>
      <c r="AA1093" s="2"/>
      <c r="AB1093" s="2"/>
      <c r="AC1093" s="2"/>
    </row>
    <row r="1094" spans="1:29" ht="10.5" hidden="1">
      <c r="A1094" s="2">
        <f t="shared" si="375"/>
        <v>32</v>
      </c>
      <c r="B1094" s="2" t="str">
        <f>VLOOKUP($A1094,Controle!$B$4:$F$68,2,FALSE)</f>
        <v>Pains 2</v>
      </c>
      <c r="C1094" s="2" t="str">
        <f>VLOOKUP($A1094,Controle!$B$4:$F$68,3,FALSE)</f>
        <v xml:space="preserve">ESTRELA DO NORTE </v>
      </c>
      <c r="D1094" s="2" t="str">
        <f>VLOOKUP($A1094,Controle!$B$4:$F$68,4,FALSE)</f>
        <v>EDN</v>
      </c>
      <c r="E1094" s="2">
        <f>VLOOKUP($A1094,Controle!$B$4:$F$68,5,FALSE)</f>
        <v>3</v>
      </c>
      <c r="F1094" s="3" t="str">
        <f t="shared" si="371"/>
        <v>Equipamentos Curva A - Outros (Cabine + Skid)</v>
      </c>
      <c r="G1094" s="2" t="str">
        <f>VLOOKUP($A1094,Controle!$B$4:$G$68,6,FALSE)</f>
        <v>Apolo</v>
      </c>
      <c r="H1094" s="28" t="s">
        <v>196</v>
      </c>
      <c r="I1094" s="28" t="s">
        <v>193</v>
      </c>
      <c r="J1094" s="6">
        <v>0</v>
      </c>
      <c r="K1094" s="6">
        <v>0</v>
      </c>
      <c r="L1094" s="6">
        <v>0</v>
      </c>
      <c r="M1094" s="6">
        <v>0</v>
      </c>
      <c r="N1094" s="6">
        <v>0</v>
      </c>
      <c r="O1094" s="4">
        <f t="shared" si="372"/>
        <v>0</v>
      </c>
      <c r="P1094" s="5">
        <f>SUMIFS('Desenvolvimento diário'!$H:$H,'Desenvolvimento diário'!$Q:$Q,$B1094,'Desenvolvimento diário'!$P:$P,$F1094,'Desenvolvimento diário'!$R:$R,"Sim")</f>
        <v>0</v>
      </c>
      <c r="Q1094" s="5">
        <f>SUMIFS('Desenvolvimento diário'!$H:$H,'Desenvolvimento diário'!$Q:$Q,$B1094,'Desenvolvimento diário'!$P:$P,$F1094,'Desenvolvimento diário'!$R:$R,"Não")</f>
        <v>0</v>
      </c>
      <c r="R1094" s="4">
        <f t="shared" si="373"/>
        <v>0</v>
      </c>
      <c r="S1094" s="4">
        <f t="shared" si="374"/>
        <v>0</v>
      </c>
      <c r="T1094" s="12">
        <f t="shared" si="376"/>
        <v>0</v>
      </c>
      <c r="Y1094" s="2"/>
      <c r="Z1094" s="2"/>
      <c r="AA1094" s="2"/>
      <c r="AB1094" s="2"/>
      <c r="AC1094" s="2"/>
    </row>
    <row r="1095" spans="1:29" ht="10.5" hidden="1">
      <c r="A1095" s="2">
        <f t="shared" si="375"/>
        <v>32</v>
      </c>
      <c r="B1095" s="2" t="str">
        <f>VLOOKUP($A1095,Controle!$B$4:$F$68,2,FALSE)</f>
        <v>Pains 2</v>
      </c>
      <c r="C1095" s="2" t="str">
        <f>VLOOKUP($A1095,Controle!$B$4:$F$68,3,FALSE)</f>
        <v xml:space="preserve">ESTRELA DO NORTE </v>
      </c>
      <c r="D1095" s="2" t="str">
        <f>VLOOKUP($A1095,Controle!$B$4:$F$68,4,FALSE)</f>
        <v>EDN</v>
      </c>
      <c r="E1095" s="2">
        <f>VLOOKUP($A1095,Controle!$B$4:$F$68,5,FALSE)</f>
        <v>3</v>
      </c>
      <c r="F1095" s="3" t="str">
        <f t="shared" si="371"/>
        <v>Equipamentos Curva A - Outros (Cabine + Skid + Transformador)</v>
      </c>
      <c r="G1095" s="2" t="str">
        <f>VLOOKUP($A1095,Controle!$B$4:$G$68,6,FALSE)</f>
        <v>Apolo</v>
      </c>
      <c r="H1095" s="28">
        <v>0</v>
      </c>
      <c r="I1095" s="28">
        <v>0</v>
      </c>
      <c r="J1095" s="6">
        <v>0</v>
      </c>
      <c r="K1095" s="6">
        <v>0</v>
      </c>
      <c r="L1095" s="6">
        <v>0</v>
      </c>
      <c r="M1095" s="6">
        <v>0</v>
      </c>
      <c r="N1095" s="6">
        <v>0</v>
      </c>
      <c r="O1095" s="4">
        <f t="shared" si="372"/>
        <v>0</v>
      </c>
      <c r="P1095" s="5">
        <f>SUMIFS('Desenvolvimento diário'!$H:$H,'Desenvolvimento diário'!$Q:$Q,$B1095,'Desenvolvimento diário'!$P:$P,$F1095,'Desenvolvimento diário'!$R:$R,"Sim")</f>
        <v>0</v>
      </c>
      <c r="Q1095" s="5">
        <f>SUMIFS('Desenvolvimento diário'!$H:$H,'Desenvolvimento diário'!$Q:$Q,$B1095,'Desenvolvimento diário'!$P:$P,$F1095,'Desenvolvimento diário'!$R:$R,"Não")</f>
        <v>0</v>
      </c>
      <c r="R1095" s="4">
        <f t="shared" si="373"/>
        <v>0</v>
      </c>
      <c r="S1095" s="4">
        <f t="shared" si="374"/>
        <v>0</v>
      </c>
      <c r="T1095" s="12">
        <f t="shared" si="376"/>
        <v>0</v>
      </c>
      <c r="Y1095" s="2"/>
      <c r="Z1095" s="2"/>
      <c r="AA1095" s="2"/>
      <c r="AB1095" s="2"/>
      <c r="AC1095" s="2"/>
    </row>
    <row r="1096" spans="1:29" ht="10.5" hidden="1">
      <c r="A1096" s="2">
        <f t="shared" si="375"/>
        <v>32</v>
      </c>
      <c r="B1096" s="2" t="str">
        <f>VLOOKUP($A1096,Controle!$B$4:$F$68,2,FALSE)</f>
        <v>Pains 2</v>
      </c>
      <c r="C1096" s="2" t="str">
        <f>VLOOKUP($A1096,Controle!$B$4:$F$68,3,FALSE)</f>
        <v xml:space="preserve">ESTRELA DO NORTE </v>
      </c>
      <c r="D1096" s="2" t="str">
        <f>VLOOKUP($A1096,Controle!$B$4:$F$68,4,FALSE)</f>
        <v>EDN</v>
      </c>
      <c r="E1096" s="2">
        <f>VLOOKUP($A1096,Controle!$B$4:$F$68,5,FALSE)</f>
        <v>3</v>
      </c>
      <c r="F1096" s="3" t="str">
        <f t="shared" si="371"/>
        <v>Desenvolvimento de projeto - Projetos - (Eng° Proprietario)</v>
      </c>
      <c r="G1096" s="2" t="str">
        <f>VLOOKUP($A1096,Controle!$B$4:$G$68,6,FALSE)</f>
        <v>Apolo</v>
      </c>
      <c r="H1096" s="6" t="s">
        <v>145</v>
      </c>
      <c r="I1096" s="6">
        <v>0</v>
      </c>
      <c r="J1096" s="6">
        <v>0</v>
      </c>
      <c r="K1096" s="6">
        <v>0</v>
      </c>
      <c r="L1096" s="6">
        <v>0</v>
      </c>
      <c r="M1096" s="6">
        <v>0</v>
      </c>
      <c r="N1096" s="6">
        <v>0</v>
      </c>
      <c r="O1096" s="4">
        <f t="shared" si="372"/>
        <v>0</v>
      </c>
      <c r="P1096" s="5">
        <f>SUMIFS('Desenvolvimento diário'!$H:$H,'Desenvolvimento diário'!$Q:$Q,$B1096,'Desenvolvimento diário'!$P:$P,$F1096,'Desenvolvimento diário'!$R:$R,"Sim")</f>
        <v>0</v>
      </c>
      <c r="Q1096" s="5">
        <f>SUMIFS('Desenvolvimento diário'!$H:$H,'Desenvolvimento diário'!$Q:$Q,$B1096,'Desenvolvimento diário'!$P:$P,$F1096,'Desenvolvimento diário'!$R:$R,"Não")</f>
        <v>0</v>
      </c>
      <c r="R1096" s="4">
        <f t="shared" si="373"/>
        <v>0</v>
      </c>
      <c r="S1096" s="4">
        <f t="shared" si="374"/>
        <v>0</v>
      </c>
      <c r="T1096" s="12">
        <f t="shared" si="376"/>
        <v>0</v>
      </c>
      <c r="Y1096" s="2"/>
      <c r="Z1096" s="2"/>
      <c r="AA1096" s="2"/>
      <c r="AB1096" s="2"/>
      <c r="AC1096" s="2"/>
    </row>
    <row r="1097" spans="1:29" ht="10.5" hidden="1">
      <c r="A1097" s="2">
        <f t="shared" si="375"/>
        <v>32</v>
      </c>
      <c r="B1097" s="2" t="str">
        <f>VLOOKUP($A1097,Controle!$B$4:$F$68,2,FALSE)</f>
        <v>Pains 2</v>
      </c>
      <c r="C1097" s="2" t="str">
        <f>VLOOKUP($A1097,Controle!$B$4:$F$68,3,FALSE)</f>
        <v xml:space="preserve">ESTRELA DO NORTE </v>
      </c>
      <c r="D1097" s="2" t="str">
        <f>VLOOKUP($A1097,Controle!$B$4:$F$68,4,FALSE)</f>
        <v>EDN</v>
      </c>
      <c r="E1097" s="2">
        <f>VLOOKUP($A1097,Controle!$B$4:$F$68,5,FALSE)</f>
        <v>3</v>
      </c>
      <c r="F1097" s="3" t="str">
        <f t="shared" si="371"/>
        <v>Desenvolvimento de projeto - Projetos - Executivos</v>
      </c>
      <c r="G1097" s="2" t="str">
        <f>VLOOKUP($A1097,Controle!$B$4:$G$68,6,FALSE)</f>
        <v>Apolo</v>
      </c>
      <c r="H1097" s="6" t="s">
        <v>146</v>
      </c>
      <c r="I1097" s="6">
        <v>39000</v>
      </c>
      <c r="J1097" s="6">
        <v>850</v>
      </c>
      <c r="K1097" s="6">
        <v>0</v>
      </c>
      <c r="L1097" s="6">
        <v>0</v>
      </c>
      <c r="M1097" s="6">
        <v>0</v>
      </c>
      <c r="N1097" s="6">
        <v>0</v>
      </c>
      <c r="O1097" s="4">
        <f t="shared" si="372"/>
        <v>39850</v>
      </c>
      <c r="P1097" s="5">
        <f>SUMIFS('Desenvolvimento diário'!$H:$H,'Desenvolvimento diário'!$Q:$Q,$B1097,'Desenvolvimento diário'!$P:$P,$F1097,'Desenvolvimento diário'!$R:$R,"Sim")</f>
        <v>0</v>
      </c>
      <c r="Q1097" s="5">
        <f>SUMIFS('Desenvolvimento diário'!$H:$H,'Desenvolvimento diário'!$Q:$Q,$B1097,'Desenvolvimento diário'!$P:$P,$F1097,'Desenvolvimento diário'!$R:$R,"Não")</f>
        <v>39850</v>
      </c>
      <c r="R1097" s="4">
        <f t="shared" si="373"/>
        <v>39850</v>
      </c>
      <c r="S1097" s="4">
        <f>O1097-R1097</f>
        <v>0</v>
      </c>
      <c r="T1097" s="12">
        <f t="shared" si="376"/>
        <v>1</v>
      </c>
      <c r="Y1097" s="2"/>
      <c r="Z1097" s="2"/>
      <c r="AA1097" s="2"/>
      <c r="AB1097" s="2"/>
      <c r="AC1097" s="2"/>
    </row>
    <row r="1098" spans="1:29" ht="10.5" hidden="1">
      <c r="A1098" s="2">
        <f t="shared" si="375"/>
        <v>32</v>
      </c>
      <c r="B1098" s="2" t="str">
        <f>VLOOKUP($A1098,Controle!$B$4:$F$68,2,FALSE)</f>
        <v>Pains 2</v>
      </c>
      <c r="C1098" s="2" t="str">
        <f>VLOOKUP($A1098,Controle!$B$4:$F$68,3,FALSE)</f>
        <v xml:space="preserve">ESTRELA DO NORTE </v>
      </c>
      <c r="D1098" s="2" t="str">
        <f>VLOOKUP($A1098,Controle!$B$4:$F$68,4,FALSE)</f>
        <v>EDN</v>
      </c>
      <c r="E1098" s="2">
        <f>VLOOKUP($A1098,Controle!$B$4:$F$68,5,FALSE)</f>
        <v>3</v>
      </c>
      <c r="F1098" s="3" t="str">
        <f t="shared" si="371"/>
        <v>Desenvolvimento de projeto - Projetos Básica</v>
      </c>
      <c r="G1098" s="2" t="str">
        <f>VLOOKUP($A1098,Controle!$B$4:$G$68,6,FALSE)</f>
        <v>Apolo</v>
      </c>
      <c r="H1098" s="6" t="s">
        <v>147</v>
      </c>
      <c r="I1098" s="6">
        <f>20000+15000</f>
        <v>35000</v>
      </c>
      <c r="J1098" s="6">
        <v>0</v>
      </c>
      <c r="K1098" s="6">
        <v>0</v>
      </c>
      <c r="L1098" s="6">
        <v>0</v>
      </c>
      <c r="M1098" s="6">
        <v>0</v>
      </c>
      <c r="N1098" s="6">
        <v>0</v>
      </c>
      <c r="O1098" s="4">
        <f t="shared" si="372"/>
        <v>35000</v>
      </c>
      <c r="P1098" s="5">
        <f>SUMIFS('Desenvolvimento diário'!$H:$H,'Desenvolvimento diário'!$Q:$Q,$B1098,'Desenvolvimento diário'!$P:$P,$F1098,'Desenvolvimento diário'!$R:$R,"Sim")</f>
        <v>0</v>
      </c>
      <c r="Q1098" s="5">
        <f>SUMIFS('Desenvolvimento diário'!$H:$H,'Desenvolvimento diário'!$Q:$Q,$B1098,'Desenvolvimento diário'!$P:$P,$F1098,'Desenvolvimento diário'!$R:$R,"Não")</f>
        <v>35000</v>
      </c>
      <c r="R1098" s="4">
        <f t="shared" si="373"/>
        <v>35000</v>
      </c>
      <c r="S1098" s="4">
        <f t="shared" si="374"/>
        <v>0</v>
      </c>
      <c r="T1098" s="12">
        <f t="shared" si="376"/>
        <v>1</v>
      </c>
      <c r="Y1098" s="2"/>
      <c r="Z1098" s="2"/>
      <c r="AA1098" s="2"/>
      <c r="AB1098" s="2"/>
      <c r="AC1098" s="2"/>
    </row>
    <row r="1099" spans="1:29" ht="10.5" hidden="1">
      <c r="A1099" s="2">
        <f t="shared" si="375"/>
        <v>32</v>
      </c>
      <c r="B1099" s="2" t="str">
        <f>VLOOKUP($A1099,Controle!$B$4:$F$68,2,FALSE)</f>
        <v>Pains 2</v>
      </c>
      <c r="C1099" s="2" t="str">
        <f>VLOOKUP($A1099,Controle!$B$4:$F$68,3,FALSE)</f>
        <v xml:space="preserve">ESTRELA DO NORTE </v>
      </c>
      <c r="D1099" s="2" t="str">
        <f>VLOOKUP($A1099,Controle!$B$4:$F$68,4,FALSE)</f>
        <v>EDN</v>
      </c>
      <c r="E1099" s="2">
        <f>VLOOKUP($A1099,Controle!$B$4:$F$68,5,FALSE)</f>
        <v>3</v>
      </c>
      <c r="F1099" s="3" t="str">
        <f t="shared" si="371"/>
        <v>Desenvolvimento de projeto - Projetos Detalhada</v>
      </c>
      <c r="G1099" s="2" t="str">
        <f>VLOOKUP($A1099,Controle!$B$4:$G$68,6,FALSE)</f>
        <v>Apolo</v>
      </c>
      <c r="H1099" s="6">
        <v>0</v>
      </c>
      <c r="I1099" s="6">
        <v>0</v>
      </c>
      <c r="J1099" s="6">
        <v>0</v>
      </c>
      <c r="K1099" s="6">
        <v>0</v>
      </c>
      <c r="L1099" s="6">
        <v>0</v>
      </c>
      <c r="M1099" s="6">
        <v>0</v>
      </c>
      <c r="N1099" s="6">
        <v>0</v>
      </c>
      <c r="O1099" s="4">
        <f t="shared" si="372"/>
        <v>0</v>
      </c>
      <c r="P1099" s="5">
        <f>SUMIFS('Desenvolvimento diário'!$H:$H,'Desenvolvimento diário'!$Q:$Q,$B1099,'Desenvolvimento diário'!$P:$P,$F1099,'Desenvolvimento diário'!$R:$R,"Sim")</f>
        <v>0</v>
      </c>
      <c r="Q1099" s="5">
        <f>SUMIFS('Desenvolvimento diário'!$H:$H,'Desenvolvimento diário'!$Q:$Q,$B1099,'Desenvolvimento diário'!$P:$P,$F1099,'Desenvolvimento diário'!$R:$R,"Não")</f>
        <v>0</v>
      </c>
      <c r="R1099" s="4">
        <f t="shared" si="373"/>
        <v>0</v>
      </c>
      <c r="S1099" s="4">
        <f t="shared" si="374"/>
        <v>0</v>
      </c>
      <c r="T1099" s="12">
        <f t="shared" si="376"/>
        <v>0</v>
      </c>
      <c r="Y1099" s="2"/>
      <c r="Z1099" s="2"/>
      <c r="AA1099" s="2"/>
      <c r="AB1099" s="2"/>
      <c r="AC1099" s="2"/>
    </row>
    <row r="1100" spans="1:29" ht="10.5" hidden="1">
      <c r="A1100" s="2">
        <f t="shared" si="375"/>
        <v>32</v>
      </c>
      <c r="B1100" s="2" t="str">
        <f>VLOOKUP($A1100,Controle!$B$4:$F$68,2,FALSE)</f>
        <v>Pains 2</v>
      </c>
      <c r="C1100" s="2" t="str">
        <f>VLOOKUP($A1100,Controle!$B$4:$F$68,3,FALSE)</f>
        <v xml:space="preserve">ESTRELA DO NORTE </v>
      </c>
      <c r="D1100" s="2" t="str">
        <f>VLOOKUP($A1100,Controle!$B$4:$F$68,4,FALSE)</f>
        <v>EDN</v>
      </c>
      <c r="E1100" s="2">
        <f>VLOOKUP($A1100,Controle!$B$4:$F$68,5,FALSE)</f>
        <v>3</v>
      </c>
      <c r="F1100" s="3" t="str">
        <f t="shared" si="371"/>
        <v>Desenvolvimento de projeto - Ambiental / Outros</v>
      </c>
      <c r="G1100" s="2" t="str">
        <f>VLOOKUP($A1100,Controle!$B$4:$G$68,6,FALSE)</f>
        <v>Apolo</v>
      </c>
      <c r="H1100" s="6" t="s">
        <v>148</v>
      </c>
      <c r="I1100" s="6">
        <v>61803.32</v>
      </c>
      <c r="J1100" s="6">
        <v>0</v>
      </c>
      <c r="K1100" s="6">
        <v>0</v>
      </c>
      <c r="L1100" s="6">
        <v>0</v>
      </c>
      <c r="M1100" s="6">
        <v>0</v>
      </c>
      <c r="N1100" s="6">
        <v>0</v>
      </c>
      <c r="O1100" s="4">
        <f t="shared" si="372"/>
        <v>61803.32</v>
      </c>
      <c r="P1100" s="5">
        <f>SUMIFS('Desenvolvimento diário'!$H:$H,'Desenvolvimento diário'!$Q:$Q,$B1100,'Desenvolvimento diário'!$P:$P,$F1100,'Desenvolvimento diário'!$R:$R,"Sim")</f>
        <v>0</v>
      </c>
      <c r="Q1100" s="5">
        <f>SUMIFS('Desenvolvimento diário'!$H:$H,'Desenvolvimento diário'!$Q:$Q,$B1100,'Desenvolvimento diário'!$P:$P,$F1100,'Desenvolvimento diário'!$R:$R,"Não")</f>
        <v>61803.32</v>
      </c>
      <c r="R1100" s="4">
        <f t="shared" si="373"/>
        <v>61803.32</v>
      </c>
      <c r="S1100" s="4">
        <f t="shared" si="374"/>
        <v>0</v>
      </c>
      <c r="T1100" s="12">
        <f t="shared" si="376"/>
        <v>1</v>
      </c>
      <c r="Y1100" s="2"/>
      <c r="Z1100" s="2"/>
      <c r="AA1100" s="2"/>
      <c r="AB1100" s="2"/>
      <c r="AC1100" s="2"/>
    </row>
    <row r="1101" spans="1:29" hidden="1">
      <c r="A1101" s="2">
        <f t="shared" si="375"/>
        <v>32</v>
      </c>
      <c r="B1101" s="2" t="str">
        <f>VLOOKUP($A1101,Controle!$B$4:$F$68,2,FALSE)</f>
        <v>Pains 2</v>
      </c>
      <c r="C1101" s="2" t="str">
        <f>VLOOKUP($A1101,Controle!$B$4:$F$68,3,FALSE)</f>
        <v xml:space="preserve">ESTRELA DO NORTE </v>
      </c>
      <c r="D1101" s="2" t="str">
        <f>VLOOKUP($A1101,Controle!$B$4:$F$68,4,FALSE)</f>
        <v>EDN</v>
      </c>
      <c r="E1101" s="2">
        <f>VLOOKUP($A1101,Controle!$B$4:$F$68,5,FALSE)</f>
        <v>3</v>
      </c>
      <c r="F1101" s="3" t="str">
        <f t="shared" si="371"/>
        <v>Desenvolvimento de projeto - Coordenograma</v>
      </c>
      <c r="G1101" s="2" t="str">
        <f>VLOOKUP($A1101,Controle!$B$4:$G$68,6,FALSE)</f>
        <v>Apolo</v>
      </c>
      <c r="H1101" s="31" t="s">
        <v>149</v>
      </c>
      <c r="I1101" s="31">
        <v>0</v>
      </c>
      <c r="J1101" s="31">
        <v>0</v>
      </c>
      <c r="K1101" s="31">
        <v>0</v>
      </c>
      <c r="L1101" s="6">
        <v>0</v>
      </c>
      <c r="M1101" s="6">
        <v>0</v>
      </c>
      <c r="N1101" s="6">
        <v>0</v>
      </c>
      <c r="O1101" s="4">
        <f t="shared" si="372"/>
        <v>0</v>
      </c>
      <c r="P1101" s="5">
        <f>SUMIFS('Desenvolvimento diário'!$H:$H,'Desenvolvimento diário'!$Q:$Q,$B1101,'Desenvolvimento diário'!$P:$P,$F1101,'Desenvolvimento diário'!$R:$R,"Sim")</f>
        <v>0</v>
      </c>
      <c r="Q1101" s="5">
        <f>SUMIFS('Desenvolvimento diário'!$H:$H,'Desenvolvimento diário'!$Q:$Q,$B1101,'Desenvolvimento diário'!$P:$P,$F1101,'Desenvolvimento diário'!$R:$R,"Não")</f>
        <v>0</v>
      </c>
      <c r="R1101" s="4">
        <f t="shared" si="373"/>
        <v>0</v>
      </c>
      <c r="S1101" s="4">
        <f t="shared" si="374"/>
        <v>0</v>
      </c>
      <c r="T1101" s="12">
        <f t="shared" si="376"/>
        <v>0</v>
      </c>
      <c r="Y1101" s="2"/>
      <c r="Z1101" s="2"/>
      <c r="AA1101" s="2"/>
      <c r="AB1101" s="2"/>
      <c r="AC1101" s="2"/>
    </row>
    <row r="1102" spans="1:29" ht="10.5" hidden="1">
      <c r="A1102" s="2">
        <f t="shared" si="375"/>
        <v>32</v>
      </c>
      <c r="B1102" s="2" t="str">
        <f>VLOOKUP($A1102,Controle!$B$4:$F$68,2,FALSE)</f>
        <v>Pains 2</v>
      </c>
      <c r="C1102" s="2" t="str">
        <f>VLOOKUP($A1102,Controle!$B$4:$F$68,3,FALSE)</f>
        <v xml:space="preserve">ESTRELA DO NORTE </v>
      </c>
      <c r="D1102" s="2" t="str">
        <f>VLOOKUP($A1102,Controle!$B$4:$F$68,4,FALSE)</f>
        <v>EDN</v>
      </c>
      <c r="E1102" s="2">
        <f>VLOOKUP($A1102,Controle!$B$4:$F$68,5,FALSE)</f>
        <v>3</v>
      </c>
      <c r="F1102" s="3" t="str">
        <f t="shared" si="371"/>
        <v>Sistemas de Monitoramento - Supervisório</v>
      </c>
      <c r="G1102" s="2" t="str">
        <f>VLOOKUP($A1102,Controle!$B$4:$G$68,6,FALSE)</f>
        <v>Apolo</v>
      </c>
      <c r="H1102" s="6" t="s">
        <v>150</v>
      </c>
      <c r="I1102" s="6">
        <v>0</v>
      </c>
      <c r="J1102" s="6">
        <v>0</v>
      </c>
      <c r="K1102" s="6">
        <v>0</v>
      </c>
      <c r="L1102" s="6">
        <v>0</v>
      </c>
      <c r="M1102" s="6">
        <v>0</v>
      </c>
      <c r="N1102" s="6">
        <v>0</v>
      </c>
      <c r="O1102" s="4">
        <f t="shared" si="372"/>
        <v>0</v>
      </c>
      <c r="P1102" s="5">
        <f>SUMIFS('Desenvolvimento diário'!$H:$H,'Desenvolvimento diário'!$Q:$Q,$B1102,'Desenvolvimento diário'!$P:$P,$F1102,'Desenvolvimento diário'!$R:$R,"Sim")</f>
        <v>0</v>
      </c>
      <c r="Q1102" s="5">
        <f>SUMIFS('Desenvolvimento diário'!$H:$H,'Desenvolvimento diário'!$Q:$Q,$B1102,'Desenvolvimento diário'!$P:$P,$F1102,'Desenvolvimento diário'!$R:$R,"Não")</f>
        <v>0</v>
      </c>
      <c r="R1102" s="4">
        <f t="shared" si="373"/>
        <v>0</v>
      </c>
      <c r="S1102" s="4">
        <f t="shared" si="374"/>
        <v>0</v>
      </c>
      <c r="T1102" s="12">
        <f t="shared" si="376"/>
        <v>0</v>
      </c>
      <c r="Y1102" s="2"/>
      <c r="Z1102" s="2"/>
      <c r="AA1102" s="2"/>
      <c r="AB1102" s="2"/>
      <c r="AC1102" s="2"/>
    </row>
    <row r="1103" spans="1:29" ht="10.5" hidden="1">
      <c r="A1103" s="2">
        <f t="shared" si="375"/>
        <v>32</v>
      </c>
      <c r="B1103" s="2" t="str">
        <f>VLOOKUP($A1103,Controle!$B$4:$F$68,2,FALSE)</f>
        <v>Pains 2</v>
      </c>
      <c r="C1103" s="2" t="str">
        <f>VLOOKUP($A1103,Controle!$B$4:$F$68,3,FALSE)</f>
        <v xml:space="preserve">ESTRELA DO NORTE </v>
      </c>
      <c r="D1103" s="2" t="str">
        <f>VLOOKUP($A1103,Controle!$B$4:$F$68,4,FALSE)</f>
        <v>EDN</v>
      </c>
      <c r="E1103" s="2">
        <f>VLOOKUP($A1103,Controle!$B$4:$F$68,5,FALSE)</f>
        <v>3</v>
      </c>
      <c r="F1103" s="3" t="str">
        <f t="shared" si="371"/>
        <v>Sistemas de Monitoramento - Estações Solarimétricas</v>
      </c>
      <c r="G1103" s="2" t="str">
        <f>VLOOKUP($A1103,Controle!$B$4:$G$68,6,FALSE)</f>
        <v>Apolo</v>
      </c>
      <c r="H1103" s="6" t="s">
        <v>151</v>
      </c>
      <c r="I1103" s="6">
        <v>0</v>
      </c>
      <c r="J1103" s="6">
        <v>0</v>
      </c>
      <c r="K1103" s="6">
        <v>0</v>
      </c>
      <c r="L1103" s="6">
        <v>0</v>
      </c>
      <c r="M1103" s="6">
        <v>0</v>
      </c>
      <c r="N1103" s="6">
        <v>0</v>
      </c>
      <c r="O1103" s="4">
        <f t="shared" si="372"/>
        <v>0</v>
      </c>
      <c r="P1103" s="5">
        <f>SUMIFS('Desenvolvimento diário'!$H:$H,'Desenvolvimento diário'!$Q:$Q,$B1103,'Desenvolvimento diário'!$P:$P,$F1103,'Desenvolvimento diário'!$R:$R,"Sim")</f>
        <v>0</v>
      </c>
      <c r="Q1103" s="5">
        <f>SUMIFS('Desenvolvimento diário'!$H:$H,'Desenvolvimento diário'!$Q:$Q,$B1103,'Desenvolvimento diário'!$P:$P,$F1103,'Desenvolvimento diário'!$R:$R,"Não")</f>
        <v>0</v>
      </c>
      <c r="R1103" s="4">
        <f t="shared" si="373"/>
        <v>0</v>
      </c>
      <c r="S1103" s="4">
        <f t="shared" si="374"/>
        <v>0</v>
      </c>
      <c r="T1103" s="12">
        <f t="shared" si="376"/>
        <v>0</v>
      </c>
      <c r="Y1103" s="2"/>
      <c r="Z1103" s="2"/>
      <c r="AA1103" s="2"/>
      <c r="AB1103" s="2"/>
      <c r="AC1103" s="2"/>
    </row>
    <row r="1104" spans="1:29" hidden="1">
      <c r="A1104" s="2">
        <f t="shared" si="375"/>
        <v>32</v>
      </c>
      <c r="B1104" s="2" t="str">
        <f>VLOOKUP($A1104,Controle!$B$4:$F$68,2,FALSE)</f>
        <v>Pains 2</v>
      </c>
      <c r="C1104" s="2" t="str">
        <f>VLOOKUP($A1104,Controle!$B$4:$F$68,3,FALSE)</f>
        <v xml:space="preserve">ESTRELA DO NORTE </v>
      </c>
      <c r="D1104" s="2" t="str">
        <f>VLOOKUP($A1104,Controle!$B$4:$F$68,4,FALSE)</f>
        <v>EDN</v>
      </c>
      <c r="E1104" s="2">
        <f>VLOOKUP($A1104,Controle!$B$4:$F$68,5,FALSE)</f>
        <v>3</v>
      </c>
      <c r="F1104" s="3" t="str">
        <f t="shared" si="371"/>
        <v>Sistemas de Monitoramento - CFTV</v>
      </c>
      <c r="G1104" s="2" t="str">
        <f>VLOOKUP($A1104,Controle!$B$4:$G$68,6,FALSE)</f>
        <v>Apolo</v>
      </c>
      <c r="H1104" s="31" t="s">
        <v>152</v>
      </c>
      <c r="I1104" s="6">
        <v>0</v>
      </c>
      <c r="J1104" s="6">
        <v>0</v>
      </c>
      <c r="K1104" s="6">
        <v>0</v>
      </c>
      <c r="L1104" s="6">
        <v>0</v>
      </c>
      <c r="M1104" s="6">
        <v>0</v>
      </c>
      <c r="N1104" s="6">
        <v>0</v>
      </c>
      <c r="O1104" s="4">
        <f t="shared" si="372"/>
        <v>0</v>
      </c>
      <c r="P1104" s="5">
        <f>SUMIFS('Desenvolvimento diário'!$H:$H,'Desenvolvimento diário'!$Q:$Q,$B1104,'Desenvolvimento diário'!$P:$P,$F1104,'Desenvolvimento diário'!$R:$R,"Sim")</f>
        <v>0</v>
      </c>
      <c r="Q1104" s="5">
        <f>SUMIFS('Desenvolvimento diário'!$H:$H,'Desenvolvimento diário'!$Q:$Q,$B1104,'Desenvolvimento diário'!$P:$P,$F1104,'Desenvolvimento diário'!$R:$R,"Não")</f>
        <v>0</v>
      </c>
      <c r="R1104" s="4">
        <f t="shared" si="373"/>
        <v>0</v>
      </c>
      <c r="S1104" s="4">
        <f t="shared" si="374"/>
        <v>0</v>
      </c>
      <c r="T1104" s="12">
        <f t="shared" si="376"/>
        <v>0</v>
      </c>
      <c r="Y1104" s="2"/>
      <c r="Z1104" s="2"/>
      <c r="AA1104" s="2"/>
      <c r="AB1104" s="2"/>
      <c r="AC1104" s="2"/>
    </row>
    <row r="1105" spans="1:29" ht="10.5" hidden="1">
      <c r="A1105" s="2">
        <f t="shared" si="375"/>
        <v>32</v>
      </c>
      <c r="B1105" s="2" t="str">
        <f>VLOOKUP($A1105,Controle!$B$4:$F$68,2,FALSE)</f>
        <v>Pains 2</v>
      </c>
      <c r="C1105" s="2" t="str">
        <f>VLOOKUP($A1105,Controle!$B$4:$F$68,3,FALSE)</f>
        <v xml:space="preserve">ESTRELA DO NORTE </v>
      </c>
      <c r="D1105" s="2" t="str">
        <f>VLOOKUP($A1105,Controle!$B$4:$F$68,4,FALSE)</f>
        <v>EDN</v>
      </c>
      <c r="E1105" s="2">
        <f>VLOOKUP($A1105,Controle!$B$4:$F$68,5,FALSE)</f>
        <v>3</v>
      </c>
      <c r="F1105" s="3" t="str">
        <f t="shared" si="371"/>
        <v>Serviços Auxiliares - Drenagem</v>
      </c>
      <c r="G1105" s="2" t="str">
        <f>VLOOKUP($A1105,Controle!$B$4:$G$68,6,FALSE)</f>
        <v>Apolo</v>
      </c>
      <c r="H1105" s="6" t="s">
        <v>212</v>
      </c>
      <c r="I1105" s="6">
        <v>0</v>
      </c>
      <c r="J1105" s="6">
        <v>0</v>
      </c>
      <c r="K1105" s="6">
        <v>0</v>
      </c>
      <c r="L1105" s="6">
        <v>0</v>
      </c>
      <c r="M1105" s="6">
        <v>0</v>
      </c>
      <c r="N1105" s="6">
        <v>0</v>
      </c>
      <c r="O1105" s="4">
        <f t="shared" si="372"/>
        <v>0</v>
      </c>
      <c r="P1105" s="5">
        <f>SUMIFS('Desenvolvimento diário'!$H:$H,'Desenvolvimento diário'!$Q:$Q,$B1105,'Desenvolvimento diário'!$P:$P,$F1105,'Desenvolvimento diário'!$R:$R,"Sim")</f>
        <v>0</v>
      </c>
      <c r="Q1105" s="5">
        <f>SUMIFS('Desenvolvimento diário'!$H:$H,'Desenvolvimento diário'!$Q:$Q,$B1105,'Desenvolvimento diário'!$P:$P,$F1105,'Desenvolvimento diário'!$R:$R,"Não")</f>
        <v>0</v>
      </c>
      <c r="R1105" s="4">
        <f t="shared" si="373"/>
        <v>0</v>
      </c>
      <c r="S1105" s="4">
        <f t="shared" si="374"/>
        <v>0</v>
      </c>
      <c r="T1105" s="12">
        <f t="shared" si="376"/>
        <v>0</v>
      </c>
      <c r="Y1105" s="2"/>
      <c r="Z1105" s="2"/>
      <c r="AA1105" s="2"/>
      <c r="AB1105" s="2"/>
      <c r="AC1105" s="2"/>
    </row>
    <row r="1106" spans="1:29" ht="10.5" hidden="1">
      <c r="A1106" s="2">
        <f t="shared" si="375"/>
        <v>32</v>
      </c>
      <c r="B1106" s="2" t="str">
        <f>VLOOKUP($A1106,Controle!$B$4:$F$68,2,FALSE)</f>
        <v>Pains 2</v>
      </c>
      <c r="C1106" s="2" t="str">
        <f>VLOOKUP($A1106,Controle!$B$4:$F$68,3,FALSE)</f>
        <v xml:space="preserve">ESTRELA DO NORTE </v>
      </c>
      <c r="D1106" s="2" t="str">
        <f>VLOOKUP($A1106,Controle!$B$4:$F$68,4,FALSE)</f>
        <v>EDN</v>
      </c>
      <c r="E1106" s="2">
        <f>VLOOKUP($A1106,Controle!$B$4:$F$68,5,FALSE)</f>
        <v>3</v>
      </c>
      <c r="F1106" s="3" t="str">
        <f t="shared" si="371"/>
        <v>Serviços Auxiliares - Terraplanagem</v>
      </c>
      <c r="G1106" s="2" t="str">
        <f>VLOOKUP($A1106,Controle!$B$4:$G$68,6,FALSE)</f>
        <v>Apolo</v>
      </c>
      <c r="H1106" s="6" t="s">
        <v>213</v>
      </c>
      <c r="I1106" s="6">
        <v>0</v>
      </c>
      <c r="J1106" s="6">
        <v>0</v>
      </c>
      <c r="K1106" s="6">
        <v>0</v>
      </c>
      <c r="L1106" s="6">
        <v>0</v>
      </c>
      <c r="M1106" s="6">
        <v>0</v>
      </c>
      <c r="N1106" s="6">
        <v>0</v>
      </c>
      <c r="O1106" s="4">
        <f t="shared" si="372"/>
        <v>0</v>
      </c>
      <c r="P1106" s="5">
        <f>SUMIFS('Desenvolvimento diário'!$H:$H,'Desenvolvimento diário'!$Q:$Q,$B1106,'Desenvolvimento diário'!$P:$P,$F1106,'Desenvolvimento diário'!$R:$R,"Sim")</f>
        <v>0</v>
      </c>
      <c r="Q1106" s="5">
        <f>SUMIFS('Desenvolvimento diário'!$H:$H,'Desenvolvimento diário'!$Q:$Q,$B1106,'Desenvolvimento diário'!$P:$P,$F1106,'Desenvolvimento diário'!$R:$R,"Não")</f>
        <v>0</v>
      </c>
      <c r="R1106" s="4">
        <f t="shared" si="373"/>
        <v>0</v>
      </c>
      <c r="S1106" s="4">
        <f t="shared" si="374"/>
        <v>0</v>
      </c>
      <c r="T1106" s="12">
        <f t="shared" si="376"/>
        <v>0</v>
      </c>
      <c r="Y1106" s="2"/>
      <c r="Z1106" s="2"/>
      <c r="AA1106" s="2"/>
      <c r="AB1106" s="2"/>
      <c r="AC1106" s="2"/>
    </row>
    <row r="1107" spans="1:29" ht="10.5" hidden="1">
      <c r="A1107" s="2">
        <f t="shared" si="375"/>
        <v>32</v>
      </c>
      <c r="B1107" s="2" t="str">
        <f>VLOOKUP($A1107,Controle!$B$4:$F$68,2,FALSE)</f>
        <v>Pains 2</v>
      </c>
      <c r="C1107" s="2" t="str">
        <f>VLOOKUP($A1107,Controle!$B$4:$F$68,3,FALSE)</f>
        <v xml:space="preserve">ESTRELA DO NORTE </v>
      </c>
      <c r="D1107" s="2" t="str">
        <f>VLOOKUP($A1107,Controle!$B$4:$F$68,4,FALSE)</f>
        <v>EDN</v>
      </c>
      <c r="E1107" s="2">
        <f>VLOOKUP($A1107,Controle!$B$4:$F$68,5,FALSE)</f>
        <v>3</v>
      </c>
      <c r="F1107" s="3" t="str">
        <f t="shared" si="371"/>
        <v>Serviços Auxiliares - Supressão Vegetal</v>
      </c>
      <c r="G1107" s="2" t="str">
        <f>VLOOKUP($A1107,Controle!$B$4:$G$68,6,FALSE)</f>
        <v>Apolo</v>
      </c>
      <c r="H1107" s="6">
        <v>0</v>
      </c>
      <c r="I1107" s="6">
        <v>0</v>
      </c>
      <c r="J1107" s="6">
        <v>0</v>
      </c>
      <c r="K1107" s="6">
        <v>0</v>
      </c>
      <c r="L1107" s="6">
        <v>0</v>
      </c>
      <c r="M1107" s="6">
        <v>0</v>
      </c>
      <c r="N1107" s="6">
        <v>0</v>
      </c>
      <c r="O1107" s="4">
        <f t="shared" si="372"/>
        <v>0</v>
      </c>
      <c r="P1107" s="5">
        <f>SUMIFS('Desenvolvimento diário'!$H:$H,'Desenvolvimento diário'!$Q:$Q,$B1107,'Desenvolvimento diário'!$P:$P,$F1107,'Desenvolvimento diário'!$R:$R,"Sim")</f>
        <v>0</v>
      </c>
      <c r="Q1107" s="5">
        <f>SUMIFS('Desenvolvimento diário'!$H:$H,'Desenvolvimento diário'!$Q:$Q,$B1107,'Desenvolvimento diário'!$P:$P,$F1107,'Desenvolvimento diário'!$R:$R,"Não")</f>
        <v>0</v>
      </c>
      <c r="R1107" s="4">
        <f t="shared" si="373"/>
        <v>0</v>
      </c>
      <c r="S1107" s="4">
        <f t="shared" si="374"/>
        <v>0</v>
      </c>
      <c r="T1107" s="12">
        <f t="shared" si="376"/>
        <v>0</v>
      </c>
      <c r="Y1107" s="2"/>
      <c r="Z1107" s="2"/>
      <c r="AA1107" s="2"/>
      <c r="AB1107" s="2"/>
      <c r="AC1107" s="2"/>
    </row>
    <row r="1108" spans="1:29" ht="10.5" hidden="1">
      <c r="A1108" s="2">
        <f t="shared" si="375"/>
        <v>32</v>
      </c>
      <c r="B1108" s="2" t="str">
        <f>VLOOKUP($A1108,Controle!$B$4:$F$68,2,FALSE)</f>
        <v>Pains 2</v>
      </c>
      <c r="C1108" s="2" t="str">
        <f>VLOOKUP($A1108,Controle!$B$4:$F$68,3,FALSE)</f>
        <v xml:space="preserve">ESTRELA DO NORTE </v>
      </c>
      <c r="D1108" s="2" t="str">
        <f>VLOOKUP($A1108,Controle!$B$4:$F$68,4,FALSE)</f>
        <v>EDN</v>
      </c>
      <c r="E1108" s="2">
        <f>VLOOKUP($A1108,Controle!$B$4:$F$68,5,FALSE)</f>
        <v>3</v>
      </c>
      <c r="F1108" s="3" t="str">
        <f t="shared" si="371"/>
        <v>RDR-Rede de Distribuição Rural</v>
      </c>
      <c r="G1108" s="2" t="str">
        <f>VLOOKUP($A1108,Controle!$B$4:$G$68,6,FALSE)</f>
        <v>Apolo</v>
      </c>
      <c r="H1108" s="6">
        <v>0</v>
      </c>
      <c r="I1108" s="6">
        <v>0</v>
      </c>
      <c r="J1108" s="6">
        <v>0</v>
      </c>
      <c r="K1108" s="6">
        <v>0</v>
      </c>
      <c r="L1108" s="6">
        <v>0</v>
      </c>
      <c r="M1108" s="6">
        <v>0</v>
      </c>
      <c r="N1108" s="6">
        <v>0</v>
      </c>
      <c r="O1108" s="4">
        <f t="shared" si="372"/>
        <v>0</v>
      </c>
      <c r="P1108" s="5">
        <f>SUMIFS('Desenvolvimento diário'!$H:$H,'Desenvolvimento diário'!$Q:$Q,$B1108,'Desenvolvimento diário'!$P:$P,$F1108,'Desenvolvimento diário'!$R:$R,"Sim")</f>
        <v>0</v>
      </c>
      <c r="Q1108" s="5">
        <f>SUMIFS('Desenvolvimento diário'!$H:$H,'Desenvolvimento diário'!$Q:$Q,$B1108,'Desenvolvimento diário'!$P:$P,$F1108,'Desenvolvimento diário'!$R:$R,"Não")</f>
        <v>0</v>
      </c>
      <c r="R1108" s="4">
        <f t="shared" si="373"/>
        <v>0</v>
      </c>
      <c r="S1108" s="4">
        <f t="shared" si="374"/>
        <v>0</v>
      </c>
      <c r="T1108" s="12">
        <f t="shared" si="376"/>
        <v>0</v>
      </c>
      <c r="Y1108" s="2"/>
      <c r="Z1108" s="2"/>
      <c r="AA1108" s="2"/>
      <c r="AB1108" s="2"/>
      <c r="AC1108" s="2"/>
    </row>
    <row r="1109" spans="1:29" ht="10.5" hidden="1">
      <c r="A1109" s="2">
        <f t="shared" si="375"/>
        <v>32</v>
      </c>
      <c r="B1109" s="2" t="str">
        <f>VLOOKUP($A1109,Controle!$B$4:$F$68,2,FALSE)</f>
        <v>Pains 2</v>
      </c>
      <c r="C1109" s="2" t="str">
        <f>VLOOKUP($A1109,Controle!$B$4:$F$68,3,FALSE)</f>
        <v xml:space="preserve">ESTRELA DO NORTE </v>
      </c>
      <c r="D1109" s="2" t="str">
        <f>VLOOKUP($A1109,Controle!$B$4:$F$68,4,FALSE)</f>
        <v>EDN</v>
      </c>
      <c r="E1109" s="2">
        <f>VLOOKUP($A1109,Controle!$B$4:$F$68,5,FALSE)</f>
        <v>3</v>
      </c>
      <c r="F1109" s="3" t="str">
        <f t="shared" si="371"/>
        <v>Escopo COMERC</v>
      </c>
      <c r="G1109" s="2" t="str">
        <f>VLOOKUP($A1109,Controle!$B$4:$G$68,6,FALSE)</f>
        <v>Apolo</v>
      </c>
      <c r="H1109" s="6">
        <v>0</v>
      </c>
      <c r="I1109" s="6">
        <v>40000</v>
      </c>
      <c r="J1109" s="29"/>
      <c r="K1109" s="29"/>
      <c r="L1109" s="6">
        <v>0</v>
      </c>
      <c r="M1109" s="6">
        <v>0</v>
      </c>
      <c r="N1109" s="6">
        <v>0</v>
      </c>
      <c r="O1109" s="4">
        <f t="shared" si="372"/>
        <v>40000</v>
      </c>
      <c r="P1109" s="5">
        <f>SUMIFS('Desenvolvimento diário'!$H:$H,'Desenvolvimento diário'!$Q:$Q,$B1109,'Desenvolvimento diário'!$P:$P,$F1109,'Desenvolvimento diário'!$R:$R,"Sim")</f>
        <v>0</v>
      </c>
      <c r="Q1109" s="5">
        <f>SUMIFS('Desenvolvimento diário'!$H:$H,'Desenvolvimento diário'!$Q:$Q,$B1109,'Desenvolvimento diário'!$P:$P,$F1109,'Desenvolvimento diário'!$R:$R,"Não")</f>
        <v>40000</v>
      </c>
      <c r="R1109" s="4">
        <f t="shared" si="373"/>
        <v>40000</v>
      </c>
      <c r="S1109" s="4">
        <f t="shared" si="374"/>
        <v>0</v>
      </c>
      <c r="T1109" s="12">
        <f t="shared" si="376"/>
        <v>1</v>
      </c>
      <c r="Y1109" s="2"/>
      <c r="Z1109" s="2"/>
      <c r="AA1109" s="2"/>
      <c r="AB1109" s="2"/>
      <c r="AC1109" s="2"/>
    </row>
    <row r="1110" spans="1:29" ht="10.5" hidden="1">
      <c r="A1110" s="2">
        <f t="shared" si="375"/>
        <v>32</v>
      </c>
      <c r="B1110" s="2" t="str">
        <f>VLOOKUP($A1110,Controle!$B$4:$F$68,2,FALSE)</f>
        <v>Pains 2</v>
      </c>
      <c r="C1110" s="2" t="str">
        <f>VLOOKUP($A1110,Controle!$B$4:$F$68,3,FALSE)</f>
        <v xml:space="preserve">ESTRELA DO NORTE </v>
      </c>
      <c r="D1110" s="2" t="str">
        <f>VLOOKUP($A1110,Controle!$B$4:$F$68,4,FALSE)</f>
        <v>EDN</v>
      </c>
      <c r="E1110" s="2">
        <f>VLOOKUP($A1110,Controle!$B$4:$F$68,5,FALSE)</f>
        <v>3</v>
      </c>
      <c r="F1110" s="3" t="str">
        <f t="shared" si="371"/>
        <v>Escopo COMERC - Segurança</v>
      </c>
      <c r="G1110" s="2" t="str">
        <f>VLOOKUP($A1110,Controle!$B$4:$G$68,6,FALSE)</f>
        <v>Apolo</v>
      </c>
      <c r="H1110" s="6">
        <v>0</v>
      </c>
      <c r="I1110" s="6">
        <f t="shared" ref="I1109:I1110" si="377">R1110</f>
        <v>0</v>
      </c>
      <c r="J1110" s="6">
        <v>0</v>
      </c>
      <c r="K1110" s="6">
        <v>0</v>
      </c>
      <c r="L1110" s="6">
        <v>0</v>
      </c>
      <c r="M1110" s="6">
        <v>0</v>
      </c>
      <c r="N1110" s="6">
        <v>0</v>
      </c>
      <c r="O1110" s="4">
        <f t="shared" si="372"/>
        <v>0</v>
      </c>
      <c r="P1110" s="5">
        <f>SUMIFS('Desenvolvimento diário'!$H:$H,'Desenvolvimento diário'!$Q:$Q,$B1110,'Desenvolvimento diário'!$P:$P,$F1110,'Desenvolvimento diário'!$R:$R,"Sim")</f>
        <v>0</v>
      </c>
      <c r="Q1110" s="5">
        <f>SUMIFS('Desenvolvimento diário'!$H:$H,'Desenvolvimento diário'!$Q:$Q,$B1110,'Desenvolvimento diário'!$P:$P,$F1110,'Desenvolvimento diário'!$R:$R,"Não")</f>
        <v>0</v>
      </c>
      <c r="R1110" s="4">
        <f t="shared" si="373"/>
        <v>0</v>
      </c>
      <c r="S1110" s="4">
        <f t="shared" si="374"/>
        <v>0</v>
      </c>
      <c r="T1110" s="12">
        <f t="shared" si="376"/>
        <v>0</v>
      </c>
      <c r="Y1110" s="2"/>
      <c r="Z1110" s="2"/>
      <c r="AA1110" s="2"/>
      <c r="AB1110" s="2"/>
      <c r="AC1110" s="2"/>
    </row>
    <row r="1111" spans="1:29" ht="10.5" hidden="1">
      <c r="A1111" s="2">
        <f t="shared" si="375"/>
        <v>32</v>
      </c>
      <c r="B1111" s="2" t="str">
        <f>VLOOKUP($A1111,Controle!$B$4:$F$68,2,FALSE)</f>
        <v>Pains 2</v>
      </c>
      <c r="C1111" s="2" t="str">
        <f>VLOOKUP($A1111,Controle!$B$4:$F$68,3,FALSE)</f>
        <v xml:space="preserve">ESTRELA DO NORTE </v>
      </c>
      <c r="D1111" s="2" t="str">
        <f>VLOOKUP($A1111,Controle!$B$4:$F$68,4,FALSE)</f>
        <v>EDN</v>
      </c>
      <c r="E1111" s="2">
        <f>VLOOKUP($A1111,Controle!$B$4:$F$68,5,FALSE)</f>
        <v>3</v>
      </c>
      <c r="F1111" s="3" t="str">
        <f t="shared" si="371"/>
        <v>Conexão MT - Obras Transferencia</v>
      </c>
      <c r="G1111" s="2" t="str">
        <f>VLOOKUP($A1111,Controle!$B$4:$G$68,6,FALSE)</f>
        <v>Apolo</v>
      </c>
      <c r="H1111" s="6">
        <v>0</v>
      </c>
      <c r="I1111" s="6">
        <v>0</v>
      </c>
      <c r="J1111" s="6">
        <v>0</v>
      </c>
      <c r="K1111" s="6">
        <v>0</v>
      </c>
      <c r="L1111" s="6">
        <v>0</v>
      </c>
      <c r="M1111" s="6">
        <v>0</v>
      </c>
      <c r="N1111" s="6">
        <v>0</v>
      </c>
      <c r="O1111" s="4">
        <f t="shared" si="372"/>
        <v>0</v>
      </c>
      <c r="P1111" s="5">
        <f>SUMIFS('Desenvolvimento diário'!$H:$H,'Desenvolvimento diário'!$Q:$Q,$B1111,'Desenvolvimento diário'!$P:$P,$F1111,'Desenvolvimento diário'!$R:$R,"Sim")</f>
        <v>0</v>
      </c>
      <c r="Q1111" s="5">
        <f>SUMIFS('Desenvolvimento diário'!$H:$H,'Desenvolvimento diário'!$Q:$Q,$B1111,'Desenvolvimento diário'!$P:$P,$F1111,'Desenvolvimento diário'!$R:$R,"Não")</f>
        <v>0</v>
      </c>
      <c r="R1111" s="4">
        <f t="shared" si="373"/>
        <v>0</v>
      </c>
      <c r="S1111" s="4">
        <f t="shared" si="374"/>
        <v>0</v>
      </c>
      <c r="T1111" s="12">
        <f t="shared" si="376"/>
        <v>0</v>
      </c>
      <c r="Y1111" s="2"/>
      <c r="Z1111" s="2"/>
      <c r="AA1111" s="2"/>
      <c r="AB1111" s="2"/>
      <c r="AC1111" s="2"/>
    </row>
    <row r="1112" spans="1:29" ht="10.5" hidden="1">
      <c r="A1112" s="2">
        <f t="shared" si="375"/>
        <v>32</v>
      </c>
      <c r="B1112" s="2" t="str">
        <f>VLOOKUP($A1112,Controle!$B$4:$F$68,2,FALSE)</f>
        <v>Pains 2</v>
      </c>
      <c r="C1112" s="2" t="str">
        <f>VLOOKUP($A1112,Controle!$B$4:$F$68,3,FALSE)</f>
        <v xml:space="preserve">ESTRELA DO NORTE </v>
      </c>
      <c r="D1112" s="2" t="str">
        <f>VLOOKUP($A1112,Controle!$B$4:$F$68,4,FALSE)</f>
        <v>EDN</v>
      </c>
      <c r="E1112" s="2">
        <f>VLOOKUP($A1112,Controle!$B$4:$F$68,5,FALSE)</f>
        <v>3</v>
      </c>
      <c r="F1112" s="3" t="str">
        <f t="shared" si="371"/>
        <v>Bases de Contaniers</v>
      </c>
      <c r="G1112" s="2" t="str">
        <f>VLOOKUP($A1112,Controle!$B$4:$G$68,6,FALSE)</f>
        <v>Apolo</v>
      </c>
      <c r="H1112" s="6">
        <v>0</v>
      </c>
      <c r="I1112" s="6">
        <v>0</v>
      </c>
      <c r="J1112" s="6">
        <v>0</v>
      </c>
      <c r="K1112" s="6">
        <v>0</v>
      </c>
      <c r="L1112" s="6">
        <v>0</v>
      </c>
      <c r="M1112" s="6">
        <v>0</v>
      </c>
      <c r="N1112" s="6">
        <v>0</v>
      </c>
      <c r="O1112" s="4">
        <f t="shared" si="372"/>
        <v>0</v>
      </c>
      <c r="P1112" s="5">
        <f>SUMIFS('Desenvolvimento diário'!$H:$H,'Desenvolvimento diário'!$Q:$Q,$B1112,'Desenvolvimento diário'!$P:$P,$F1112,'Desenvolvimento diário'!$R:$R,"Sim")</f>
        <v>0</v>
      </c>
      <c r="Q1112" s="5">
        <f>SUMIFS('Desenvolvimento diário'!$H:$H,'Desenvolvimento diário'!$Q:$Q,$B1112,'Desenvolvimento diário'!$P:$P,$F1112,'Desenvolvimento diário'!$R:$R,"Não")</f>
        <v>0</v>
      </c>
      <c r="R1112" s="4">
        <f t="shared" si="373"/>
        <v>0</v>
      </c>
      <c r="S1112" s="4">
        <f t="shared" si="374"/>
        <v>0</v>
      </c>
      <c r="T1112" s="12">
        <f t="shared" si="376"/>
        <v>0</v>
      </c>
      <c r="Y1112" s="2"/>
      <c r="Z1112" s="2"/>
      <c r="AA1112" s="2"/>
      <c r="AB1112" s="2"/>
      <c r="AC1112" s="2"/>
    </row>
    <row r="1113" spans="1:29" ht="10.5" hidden="1">
      <c r="A1113" s="2">
        <f t="shared" si="375"/>
        <v>32</v>
      </c>
      <c r="B1113" s="2" t="str">
        <f>VLOOKUP($A1113,Controle!$B$4:$F$68,2,FALSE)</f>
        <v>Pains 2</v>
      </c>
      <c r="C1113" s="2" t="str">
        <f>VLOOKUP($A1113,Controle!$B$4:$F$68,3,FALSE)</f>
        <v xml:space="preserve">ESTRELA DO NORTE </v>
      </c>
      <c r="D1113" s="2" t="str">
        <f>VLOOKUP($A1113,Controle!$B$4:$F$68,4,FALSE)</f>
        <v>EDN</v>
      </c>
      <c r="E1113" s="2">
        <f>VLOOKUP($A1113,Controle!$B$4:$F$68,5,FALSE)</f>
        <v>3</v>
      </c>
      <c r="F1113" s="3" t="str">
        <f t="shared" si="371"/>
        <v>Construção - Serviços de Construção - Ase Engenharia</v>
      </c>
      <c r="G1113" s="2" t="str">
        <f>VLOOKUP($A1113,Controle!$B$4:$G$68,6,FALSE)</f>
        <v>Apolo</v>
      </c>
      <c r="H1113" s="6">
        <v>0</v>
      </c>
      <c r="I1113" s="6">
        <v>0</v>
      </c>
      <c r="J1113" s="6">
        <v>0</v>
      </c>
      <c r="K1113" s="6">
        <v>0</v>
      </c>
      <c r="L1113" s="6">
        <v>0</v>
      </c>
      <c r="M1113" s="6">
        <v>0</v>
      </c>
      <c r="N1113" s="6">
        <v>0</v>
      </c>
      <c r="O1113" s="4">
        <f t="shared" si="372"/>
        <v>0</v>
      </c>
      <c r="P1113" s="5">
        <f>SUMIFS('Desenvolvimento diário'!$H:$H,'Desenvolvimento diário'!$Q:$Q,$B1113,'Desenvolvimento diário'!$P:$P,$F1113,'Desenvolvimento diário'!$R:$R,"Sim")</f>
        <v>0</v>
      </c>
      <c r="Q1113" s="5">
        <f>SUMIFS('Desenvolvimento diário'!$H:$H,'Desenvolvimento diário'!$Q:$Q,$B1113,'Desenvolvimento diário'!$P:$P,$F1113,'Desenvolvimento diário'!$R:$R,"Não")</f>
        <v>0</v>
      </c>
      <c r="R1113" s="4">
        <f t="shared" si="373"/>
        <v>0</v>
      </c>
      <c r="S1113" s="4">
        <f t="shared" si="374"/>
        <v>0</v>
      </c>
      <c r="T1113" s="12">
        <f t="shared" si="376"/>
        <v>0</v>
      </c>
      <c r="Y1113" s="2"/>
      <c r="Z1113" s="2"/>
      <c r="AA1113" s="2"/>
      <c r="AB1113" s="2"/>
      <c r="AC1113" s="2"/>
    </row>
    <row r="1114" spans="1:29" ht="10.5" hidden="1">
      <c r="A1114" s="2">
        <f t="shared" si="375"/>
        <v>32</v>
      </c>
      <c r="B1114" s="2" t="str">
        <f>VLOOKUP($A1114,Controle!$B$4:$F$68,2,FALSE)</f>
        <v>Pains 2</v>
      </c>
      <c r="C1114" s="2" t="str">
        <f>VLOOKUP($A1114,Controle!$B$4:$F$68,3,FALSE)</f>
        <v xml:space="preserve">ESTRELA DO NORTE </v>
      </c>
      <c r="D1114" s="2" t="str">
        <f>VLOOKUP($A1114,Controle!$B$4:$F$68,4,FALSE)</f>
        <v>EDN</v>
      </c>
      <c r="E1114" s="2">
        <f>VLOOKUP($A1114,Controle!$B$4:$F$68,5,FALSE)</f>
        <v>3</v>
      </c>
      <c r="F1114" s="3" t="str">
        <f t="shared" si="371"/>
        <v>Full EPC - Contrato Sobressalentes</v>
      </c>
      <c r="G1114" s="2" t="str">
        <f>VLOOKUP($A1114,Controle!$B$4:$G$68,6,FALSE)</f>
        <v>Apolo</v>
      </c>
      <c r="H1114" s="6">
        <v>0</v>
      </c>
      <c r="I1114" s="6">
        <v>0</v>
      </c>
      <c r="J1114" s="6">
        <v>0</v>
      </c>
      <c r="K1114" s="6">
        <v>0</v>
      </c>
      <c r="L1114" s="6">
        <v>0</v>
      </c>
      <c r="M1114" s="6">
        <v>0</v>
      </c>
      <c r="N1114" s="6">
        <v>0</v>
      </c>
      <c r="O1114" s="4">
        <f t="shared" si="372"/>
        <v>0</v>
      </c>
      <c r="P1114" s="5">
        <f>SUMIFS('Desenvolvimento diário'!$H:$H,'Desenvolvimento diário'!$Q:$Q,$B1114,'Desenvolvimento diário'!$P:$P,$F1114,'Desenvolvimento diário'!$R:$R,"Sim")</f>
        <v>0</v>
      </c>
      <c r="Q1114" s="5">
        <f>SUMIFS('Desenvolvimento diário'!$H:$H,'Desenvolvimento diário'!$Q:$Q,$B1114,'Desenvolvimento diário'!$P:$P,$F1114,'Desenvolvimento diário'!$R:$R,"Não")</f>
        <v>0</v>
      </c>
      <c r="R1114" s="4">
        <f t="shared" si="373"/>
        <v>0</v>
      </c>
      <c r="S1114" s="4">
        <f t="shared" si="374"/>
        <v>0</v>
      </c>
      <c r="T1114" s="12">
        <f t="shared" si="376"/>
        <v>0</v>
      </c>
      <c r="Y1114" s="2"/>
      <c r="Z1114" s="2"/>
      <c r="AA1114" s="2"/>
      <c r="AB1114" s="2"/>
      <c r="AC1114" s="2"/>
    </row>
    <row r="1115" spans="1:29" ht="10.5" hidden="1">
      <c r="A1115" s="2">
        <f t="shared" si="375"/>
        <v>32</v>
      </c>
      <c r="B1115" s="2" t="str">
        <f>VLOOKUP($A1115,Controle!$B$4:$F$68,2,FALSE)</f>
        <v>Pains 2</v>
      </c>
      <c r="C1115" s="2" t="str">
        <f>VLOOKUP($A1115,Controle!$B$4:$F$68,3,FALSE)</f>
        <v xml:space="preserve">ESTRELA DO NORTE </v>
      </c>
      <c r="D1115" s="2" t="str">
        <f>VLOOKUP($A1115,Controle!$B$4:$F$68,4,FALSE)</f>
        <v>EDN</v>
      </c>
      <c r="E1115" s="2">
        <f>VLOOKUP($A1115,Controle!$B$4:$F$68,5,FALSE)</f>
        <v>3</v>
      </c>
      <c r="F1115" s="3" t="str">
        <f t="shared" si="371"/>
        <v>Construção - Serviços de Construção - NOVA MORADA</v>
      </c>
      <c r="G1115" s="2" t="str">
        <f>VLOOKUP($A1115,Controle!$B$4:$G$68,6,FALSE)</f>
        <v>Apolo</v>
      </c>
      <c r="H1115" s="6">
        <v>0</v>
      </c>
      <c r="I1115" s="6">
        <v>0</v>
      </c>
      <c r="J1115" s="6">
        <v>0</v>
      </c>
      <c r="K1115" s="6">
        <v>0</v>
      </c>
      <c r="L1115" s="6">
        <v>0</v>
      </c>
      <c r="M1115" s="6">
        <v>0</v>
      </c>
      <c r="N1115" s="6">
        <v>0</v>
      </c>
      <c r="O1115" s="4">
        <f t="shared" si="372"/>
        <v>0</v>
      </c>
      <c r="P1115" s="5">
        <f>SUMIFS('Desenvolvimento diário'!$H:$H,'Desenvolvimento diário'!$Q:$Q,$B1115,'Desenvolvimento diário'!$P:$P,$F1115,'Desenvolvimento diário'!$R:$R,"Sim")</f>
        <v>0</v>
      </c>
      <c r="Q1115" s="5">
        <f>SUMIFS('Desenvolvimento diário'!$H:$H,'Desenvolvimento diário'!$Q:$Q,$B1115,'Desenvolvimento diário'!$P:$P,$F1115,'Desenvolvimento diário'!$R:$R,"Não")</f>
        <v>0</v>
      </c>
      <c r="R1115" s="4">
        <f t="shared" si="373"/>
        <v>0</v>
      </c>
      <c r="S1115" s="4">
        <f t="shared" si="374"/>
        <v>0</v>
      </c>
      <c r="T1115" s="12">
        <f t="shared" si="376"/>
        <v>0</v>
      </c>
      <c r="Y1115" s="2"/>
      <c r="Z1115" s="2"/>
      <c r="AA1115" s="2"/>
      <c r="AB1115" s="2"/>
      <c r="AC1115" s="2"/>
    </row>
    <row r="1116" spans="1:29" ht="10.5" hidden="1">
      <c r="A1116" s="2">
        <f t="shared" si="375"/>
        <v>32</v>
      </c>
      <c r="B1116" s="2" t="str">
        <f>VLOOKUP($A1116,Controle!$B$4:$F$68,2,FALSE)</f>
        <v>Pains 2</v>
      </c>
      <c r="C1116" s="2" t="str">
        <f>VLOOKUP($A1116,Controle!$B$4:$F$68,3,FALSE)</f>
        <v xml:space="preserve">ESTRELA DO NORTE </v>
      </c>
      <c r="D1116" s="2" t="str">
        <f>VLOOKUP($A1116,Controle!$B$4:$F$68,4,FALSE)</f>
        <v>EDN</v>
      </c>
      <c r="E1116" s="2">
        <f>VLOOKUP($A1116,Controle!$B$4:$F$68,5,FALSE)</f>
        <v>3</v>
      </c>
      <c r="F1116" s="3" t="str">
        <f t="shared" si="371"/>
        <v>Equipamentos Curva A -  Contrato Sobressalentes - SETTA</v>
      </c>
      <c r="G1116" s="2" t="str">
        <f>VLOOKUP($A1116,Controle!$B$4:$G$68,6,FALSE)</f>
        <v>Apolo</v>
      </c>
      <c r="H1116" s="6">
        <v>0</v>
      </c>
      <c r="I1116" s="6">
        <v>0</v>
      </c>
      <c r="J1116" s="6">
        <v>0</v>
      </c>
      <c r="K1116" s="6">
        <v>0</v>
      </c>
      <c r="L1116" s="6">
        <v>0</v>
      </c>
      <c r="M1116" s="6">
        <v>0</v>
      </c>
      <c r="N1116" s="6">
        <v>0</v>
      </c>
      <c r="O1116" s="4">
        <f t="shared" si="372"/>
        <v>0</v>
      </c>
      <c r="P1116" s="5">
        <f>SUMIFS('Desenvolvimento diário'!$H:$H,'Desenvolvimento diário'!$Q:$Q,$B1116,'Desenvolvimento diário'!$P:$P,$F1116,'Desenvolvimento diário'!$R:$R,"Sim")</f>
        <v>0</v>
      </c>
      <c r="Q1116" s="5">
        <f>SUMIFS('Desenvolvimento diário'!$H:$H,'Desenvolvimento diário'!$Q:$Q,$B1116,'Desenvolvimento diário'!$P:$P,$F1116,'Desenvolvimento diário'!$R:$R,"Não")</f>
        <v>0</v>
      </c>
      <c r="R1116" s="4">
        <f t="shared" si="373"/>
        <v>0</v>
      </c>
      <c r="S1116" s="4">
        <f t="shared" si="374"/>
        <v>0</v>
      </c>
      <c r="T1116" s="12">
        <f t="shared" si="376"/>
        <v>0</v>
      </c>
      <c r="Y1116" s="2"/>
      <c r="Z1116" s="2"/>
      <c r="AA1116" s="2"/>
      <c r="AB1116" s="2"/>
      <c r="AC1116" s="2"/>
    </row>
    <row r="1117" spans="1:29" ht="10.5" hidden="1">
      <c r="A1117" s="2">
        <f t="shared" si="375"/>
        <v>32</v>
      </c>
      <c r="B1117" s="2" t="str">
        <f>VLOOKUP($A1117,Controle!$B$4:$F$68,2,FALSE)</f>
        <v>Pains 2</v>
      </c>
      <c r="C1117" s="2" t="str">
        <f>VLOOKUP($A1117,Controle!$B$4:$F$68,3,FALSE)</f>
        <v xml:space="preserve">ESTRELA DO NORTE </v>
      </c>
      <c r="D1117" s="2" t="str">
        <f>VLOOKUP($A1117,Controle!$B$4:$F$68,4,FALSE)</f>
        <v>EDN</v>
      </c>
      <c r="E1117" s="2">
        <f>VLOOKUP($A1117,Controle!$B$4:$F$68,5,FALSE)</f>
        <v>3</v>
      </c>
      <c r="F1117" s="3" t="str">
        <f t="shared" si="371"/>
        <v>Equipamentos Curva A -  Contrato Sobressalentes - Arctech</v>
      </c>
      <c r="G1117" s="2" t="str">
        <f>VLOOKUP($A1117,Controle!$B$4:$G$68,6,FALSE)</f>
        <v>Apolo</v>
      </c>
      <c r="H1117" s="6">
        <v>0</v>
      </c>
      <c r="I1117" s="6">
        <v>0</v>
      </c>
      <c r="J1117" s="6">
        <v>0</v>
      </c>
      <c r="K1117" s="6">
        <v>0</v>
      </c>
      <c r="L1117" s="6">
        <v>0</v>
      </c>
      <c r="M1117" s="6">
        <v>0</v>
      </c>
      <c r="N1117" s="6">
        <v>0</v>
      </c>
      <c r="O1117" s="4">
        <f t="shared" si="372"/>
        <v>0</v>
      </c>
      <c r="P1117" s="5">
        <f>SUMIFS('Desenvolvimento diário'!$H:$H,'Desenvolvimento diário'!$Q:$Q,$B1117,'Desenvolvimento diário'!$P:$P,$F1117,'Desenvolvimento diário'!$R:$R,"Sim")</f>
        <v>0</v>
      </c>
      <c r="Q1117" s="5">
        <f>SUMIFS('Desenvolvimento diário'!$H:$H,'Desenvolvimento diário'!$Q:$Q,$B1117,'Desenvolvimento diário'!$P:$P,$F1117,'Desenvolvimento diário'!$R:$R,"Não")</f>
        <v>0</v>
      </c>
      <c r="R1117" s="4">
        <f t="shared" si="373"/>
        <v>0</v>
      </c>
      <c r="S1117" s="4">
        <f t="shared" si="374"/>
        <v>0</v>
      </c>
      <c r="T1117" s="12">
        <f t="shared" si="376"/>
        <v>0</v>
      </c>
      <c r="Y1117" s="2"/>
      <c r="Z1117" s="2"/>
      <c r="AA1117" s="2"/>
      <c r="AB1117" s="2"/>
      <c r="AC1117" s="2"/>
    </row>
    <row r="1118" spans="1:29" hidden="1">
      <c r="A1118" s="2">
        <f t="shared" si="375"/>
        <v>32</v>
      </c>
      <c r="B1118" s="2" t="str">
        <f>VLOOKUP($A1118,Controle!$B$4:$F$68,2,FALSE)</f>
        <v>Pains 2</v>
      </c>
      <c r="C1118" s="2" t="str">
        <f>VLOOKUP($A1118,Controle!$B$4:$F$68,3,FALSE)</f>
        <v xml:space="preserve">ESTRELA DO NORTE </v>
      </c>
      <c r="D1118" s="2" t="str">
        <f>VLOOKUP($A1118,Controle!$B$4:$F$68,4,FALSE)</f>
        <v>EDN</v>
      </c>
      <c r="E1118" s="2">
        <f>VLOOKUP($A1118,Controle!$B$4:$F$68,5,FALSE)</f>
        <v>3</v>
      </c>
      <c r="F1118" s="3" t="str">
        <f t="shared" si="371"/>
        <v>Equipamentos Curva A -  Contrato Sobressalentes - Romagnole</v>
      </c>
      <c r="G1118" s="2" t="str">
        <f>VLOOKUP($A1118,Controle!$B$4:$G$68,6,FALSE)</f>
        <v>Apolo</v>
      </c>
      <c r="H1118" s="7">
        <v>0</v>
      </c>
      <c r="I1118" s="7">
        <v>0</v>
      </c>
      <c r="J1118" s="7">
        <v>0</v>
      </c>
      <c r="K1118" s="7">
        <v>0</v>
      </c>
      <c r="L1118" s="7">
        <v>0</v>
      </c>
      <c r="M1118" s="7">
        <v>0</v>
      </c>
      <c r="N1118" s="7">
        <v>0</v>
      </c>
      <c r="O1118" s="4">
        <f t="shared" si="372"/>
        <v>0</v>
      </c>
      <c r="P1118" s="17">
        <f>SUMIFS('Desenvolvimento diário'!$H:$H,'Desenvolvimento diário'!$Q:$Q,$B1118,'Desenvolvimento diário'!$P:$P,$F1118,'Desenvolvimento diário'!$R:$R,"Sim")</f>
        <v>0</v>
      </c>
      <c r="Q1118" s="17">
        <f>SUMIFS('Desenvolvimento diário'!$H:$H,'Desenvolvimento diário'!$Q:$Q,$B1118,'Desenvolvimento diário'!$P:$P,$F1118,'Desenvolvimento diário'!$R:$R,"Não")</f>
        <v>0</v>
      </c>
      <c r="R1118" s="4">
        <f t="shared" si="373"/>
        <v>0</v>
      </c>
      <c r="S1118" s="4">
        <f t="shared" si="374"/>
        <v>0</v>
      </c>
      <c r="T1118" s="12">
        <f t="shared" si="376"/>
        <v>0</v>
      </c>
      <c r="Y1118" s="2"/>
      <c r="Z1118" s="2"/>
      <c r="AA1118" s="2"/>
      <c r="AB1118" s="2"/>
      <c r="AC1118" s="2"/>
    </row>
    <row r="1119" spans="1:29" hidden="1">
      <c r="A1119" s="2">
        <f t="shared" si="375"/>
        <v>32</v>
      </c>
      <c r="B1119" s="2" t="str">
        <f>VLOOKUP($A1119,Controle!$B$4:$F$68,2,FALSE)</f>
        <v>Pains 2</v>
      </c>
      <c r="C1119" s="2" t="str">
        <f>VLOOKUP($A1119,Controle!$B$4:$F$68,3,FALSE)</f>
        <v xml:space="preserve">ESTRELA DO NORTE </v>
      </c>
      <c r="D1119" s="2" t="str">
        <f>VLOOKUP($A1119,Controle!$B$4:$F$68,4,FALSE)</f>
        <v>EDN</v>
      </c>
      <c r="E1119" s="2">
        <f>VLOOKUP($A1119,Controle!$B$4:$F$68,5,FALSE)</f>
        <v>3</v>
      </c>
      <c r="F1119" s="3" t="str">
        <f t="shared" si="371"/>
        <v>GOS FLORESTAL - (PRAD - Recuperação Area Ambiental)</v>
      </c>
      <c r="G1119" s="2" t="str">
        <f>VLOOKUP($A1119,Controle!$B$4:$G$68,6,FALSE)</f>
        <v>Apolo</v>
      </c>
      <c r="H1119" s="506" t="s">
        <v>170</v>
      </c>
      <c r="I1119" s="6">
        <v>0</v>
      </c>
      <c r="J1119" s="506"/>
      <c r="K1119" s="506">
        <v>0</v>
      </c>
      <c r="L1119" s="506">
        <v>0</v>
      </c>
      <c r="M1119" s="506">
        <v>0</v>
      </c>
      <c r="N1119" s="506">
        <v>0</v>
      </c>
      <c r="O1119" s="39">
        <f t="shared" si="372"/>
        <v>0</v>
      </c>
      <c r="P1119" s="17">
        <f>SUMIFS('Desenvolvimento diário'!$H:$H,'Desenvolvimento diário'!$Q:$Q,$B1119,'Desenvolvimento diário'!$P:$P,$F1119,'Desenvolvimento diário'!$R:$R,"Sim")</f>
        <v>0</v>
      </c>
      <c r="Q1119" s="17">
        <f>SUMIFS('Desenvolvimento diário'!$H:$H,'Desenvolvimento diário'!$Q:$Q,$B1119,'Desenvolvimento diário'!$P:$P,$F1119,'Desenvolvimento diário'!$R:$R,"Não")</f>
        <v>0</v>
      </c>
      <c r="R1119" s="4">
        <f t="shared" si="373"/>
        <v>0</v>
      </c>
      <c r="S1119" s="4">
        <f t="shared" si="374"/>
        <v>0</v>
      </c>
      <c r="T1119" s="12">
        <f t="shared" si="376"/>
        <v>0</v>
      </c>
      <c r="Y1119" s="2"/>
      <c r="Z1119" s="2"/>
      <c r="AA1119" s="2"/>
      <c r="AB1119" s="2"/>
      <c r="AC1119" s="2"/>
    </row>
    <row r="1120" spans="1:29" hidden="1">
      <c r="A1120" s="2">
        <f t="shared" si="375"/>
        <v>32</v>
      </c>
      <c r="B1120" s="2" t="str">
        <f>VLOOKUP($A1120,Controle!$B$4:$F$68,2,FALSE)</f>
        <v>Pains 2</v>
      </c>
      <c r="C1120" s="2" t="str">
        <f>VLOOKUP($A1120,Controle!$B$4:$F$68,3,FALSE)</f>
        <v xml:space="preserve">ESTRELA DO NORTE </v>
      </c>
      <c r="D1120" s="2" t="str">
        <f>VLOOKUP($A1120,Controle!$B$4:$F$68,4,FALSE)</f>
        <v>EDN</v>
      </c>
      <c r="E1120" s="2">
        <f>VLOOKUP($A1120,Controle!$B$4:$F$68,5,FALSE)</f>
        <v>3</v>
      </c>
      <c r="F1120" s="3" t="str">
        <f t="shared" si="371"/>
        <v>Cercamento das bacias de contenção ciclo 2</v>
      </c>
      <c r="G1120" s="2" t="str">
        <f>VLOOKUP($A1120,Controle!$B$4:$G$68,6,FALSE)</f>
        <v>Apolo</v>
      </c>
      <c r="H1120" s="506" t="s">
        <v>172</v>
      </c>
      <c r="I1120" s="6"/>
      <c r="J1120" s="506"/>
      <c r="K1120" s="506">
        <v>0</v>
      </c>
      <c r="L1120" s="506">
        <v>0</v>
      </c>
      <c r="M1120" s="506">
        <v>0</v>
      </c>
      <c r="N1120" s="506">
        <v>0</v>
      </c>
      <c r="O1120" s="39">
        <f t="shared" si="372"/>
        <v>0</v>
      </c>
      <c r="P1120" s="17">
        <f>SUMIFS('Desenvolvimento diário'!$H:$H,'Desenvolvimento diário'!$Q:$Q,$B1120,'Desenvolvimento diário'!$P:$P,$F1120,'Desenvolvimento diário'!$R:$R,"Sim")</f>
        <v>0</v>
      </c>
      <c r="Q1120" s="17">
        <f>SUMIFS('Desenvolvimento diário'!$H:$H,'Desenvolvimento diário'!$Q:$Q,$B1120,'Desenvolvimento diário'!$P:$P,$F1120,'Desenvolvimento diário'!$R:$R,"Não")</f>
        <v>0</v>
      </c>
      <c r="R1120" s="4">
        <f t="shared" si="373"/>
        <v>0</v>
      </c>
      <c r="S1120" s="4">
        <f t="shared" si="374"/>
        <v>0</v>
      </c>
      <c r="T1120" s="12">
        <f t="shared" si="376"/>
        <v>0</v>
      </c>
      <c r="U1120" s="1029"/>
      <c r="V1120" s="1029" t="s">
        <v>94</v>
      </c>
      <c r="Y1120" s="2"/>
      <c r="Z1120" s="2"/>
      <c r="AA1120" s="2"/>
      <c r="AB1120" s="2"/>
      <c r="AC1120" s="2"/>
    </row>
    <row r="1121" spans="1:29" hidden="1">
      <c r="A1121" s="8">
        <f>A1118</f>
        <v>32</v>
      </c>
      <c r="B1121" s="9" t="str">
        <f t="shared" ref="B1121" si="378">B1118</f>
        <v>Pains 2</v>
      </c>
      <c r="C1121" s="9" t="str">
        <f t="shared" ref="C1121" si="379">C1118</f>
        <v xml:space="preserve">ESTRELA DO NORTE </v>
      </c>
      <c r="D1121" s="9" t="str">
        <f t="shared" ref="D1121" si="380">D1118</f>
        <v>EDN</v>
      </c>
      <c r="E1121" s="9">
        <f t="shared" ref="E1121" si="381">E1118</f>
        <v>3</v>
      </c>
      <c r="F1121" s="10" t="s">
        <v>158</v>
      </c>
      <c r="G1121" s="9" t="str">
        <f>G1118</f>
        <v>Apolo</v>
      </c>
      <c r="H1121" s="9"/>
      <c r="I1121" s="9">
        <f>SUBTOTAL(9,I1087:I1120)</f>
        <v>0</v>
      </c>
      <c r="J1121" s="9">
        <f t="shared" ref="J1121:S1121" si="382">SUBTOTAL(9,J1087:J1120)</f>
        <v>0</v>
      </c>
      <c r="K1121" s="9">
        <f t="shared" si="382"/>
        <v>0</v>
      </c>
      <c r="L1121" s="9">
        <f t="shared" si="382"/>
        <v>0</v>
      </c>
      <c r="M1121" s="9">
        <f t="shared" si="382"/>
        <v>0</v>
      </c>
      <c r="N1121" s="9">
        <f t="shared" si="382"/>
        <v>0</v>
      </c>
      <c r="O1121" s="9">
        <f t="shared" si="382"/>
        <v>0</v>
      </c>
      <c r="P1121" s="9">
        <f t="shared" si="382"/>
        <v>0</v>
      </c>
      <c r="Q1121" s="9">
        <f t="shared" si="382"/>
        <v>0</v>
      </c>
      <c r="R1121" s="9">
        <f t="shared" si="382"/>
        <v>0</v>
      </c>
      <c r="S1121" s="9">
        <f t="shared" si="382"/>
        <v>0</v>
      </c>
      <c r="T1121" s="13">
        <f>IFERROR(R1121/O1121,0)</f>
        <v>0</v>
      </c>
      <c r="U1121" s="11">
        <f>SUBTOTAL(9,U1087:U1121)</f>
        <v>0</v>
      </c>
      <c r="Y1121" s="2"/>
      <c r="Z1121" s="2"/>
      <c r="AA1121" s="2"/>
      <c r="AB1121" s="2"/>
      <c r="AC1121" s="2"/>
    </row>
    <row r="1122" spans="1:29" ht="10.5" hidden="1">
      <c r="A1122" s="2">
        <f>A1087+1</f>
        <v>33</v>
      </c>
      <c r="B1122" s="2" t="str">
        <f>VLOOKUP($A1122,Controle!$B$4:$F$68,2,FALSE)</f>
        <v>Pains 3</v>
      </c>
      <c r="C1122" s="2" t="str">
        <f>VLOOKUP($A1122,Controle!$B$4:$F$68,3,FALSE)</f>
        <v xml:space="preserve">ESTRELA DO NORTE </v>
      </c>
      <c r="D1122" s="2" t="str">
        <f>VLOOKUP($A1122,Controle!$B$4:$F$68,4,FALSE)</f>
        <v>EDN</v>
      </c>
      <c r="E1122" s="2">
        <f>VLOOKUP($A1122,Controle!$B$4:$F$68,5,FALSE)</f>
        <v>2</v>
      </c>
      <c r="F1122" s="3" t="str">
        <f t="shared" ref="F1122:F1155" si="383">F1087</f>
        <v>Conexão AT - Obras</v>
      </c>
      <c r="G1122" s="2" t="str">
        <f>VLOOKUP($A1122,Controle!$B$4:$G$68,6,FALSE)</f>
        <v>Apolo</v>
      </c>
      <c r="H1122" s="6" t="s">
        <v>141</v>
      </c>
      <c r="I1122" s="29">
        <v>150000</v>
      </c>
      <c r="J1122" s="6">
        <v>0</v>
      </c>
      <c r="K1122" s="6">
        <v>0</v>
      </c>
      <c r="L1122" s="6">
        <v>0</v>
      </c>
      <c r="M1122" s="6">
        <v>0</v>
      </c>
      <c r="N1122" s="6">
        <v>0</v>
      </c>
      <c r="O1122" s="4">
        <f t="shared" ref="O1122:O1155" si="384">SUM(I1122:N1122)</f>
        <v>150000</v>
      </c>
      <c r="P1122" s="5">
        <f>SUMIFS('Desenvolvimento diário'!$H:$H,'Desenvolvimento diário'!$Q:$Q,$B1122,'Desenvolvimento diário'!$P:$P,$F1122,'Desenvolvimento diário'!$R:$R,"Sim")</f>
        <v>0</v>
      </c>
      <c r="Q1122" s="5">
        <f>SUMIFS('Desenvolvimento diário'!$H:$H,'Desenvolvimento diário'!$Q:$Q,$B1122,'Desenvolvimento diário'!$P:$P,$F1122,'Desenvolvimento diário'!$R:$R,"Não")</f>
        <v>150000</v>
      </c>
      <c r="R1122" s="4">
        <f t="shared" ref="R1122:R1155" si="385">SUM(P1122:Q1122)</f>
        <v>150000</v>
      </c>
      <c r="S1122" s="4">
        <f t="shared" ref="S1122:S1155" si="386">O1122-R1122</f>
        <v>0</v>
      </c>
      <c r="T1122" s="12">
        <f t="shared" si="376"/>
        <v>1</v>
      </c>
      <c r="Y1122" s="2"/>
      <c r="Z1122" s="2"/>
      <c r="AA1122" s="2"/>
      <c r="AB1122" s="2"/>
      <c r="AC1122" s="2"/>
    </row>
    <row r="1123" spans="1:29" ht="10.5" hidden="1">
      <c r="A1123" s="2">
        <f t="shared" ref="A1123:A1155" si="387">A1122</f>
        <v>33</v>
      </c>
      <c r="B1123" s="2" t="str">
        <f>VLOOKUP($A1123,Controle!$B$4:$F$68,2,FALSE)</f>
        <v>Pains 3</v>
      </c>
      <c r="C1123" s="2" t="str">
        <f>VLOOKUP($A1123,Controle!$B$4:$F$68,3,FALSE)</f>
        <v xml:space="preserve">ESTRELA DO NORTE </v>
      </c>
      <c r="D1123" s="2" t="str">
        <f>VLOOKUP($A1123,Controle!$B$4:$F$68,4,FALSE)</f>
        <v>EDN</v>
      </c>
      <c r="E1123" s="2">
        <f>VLOOKUP($A1123,Controle!$B$4:$F$68,5,FALSE)</f>
        <v>2</v>
      </c>
      <c r="F1123" s="3" t="str">
        <f t="shared" si="383"/>
        <v>Conexão MT - Obras</v>
      </c>
      <c r="G1123" s="2" t="str">
        <f>VLOOKUP($A1123,Controle!$B$4:$G$68,6,FALSE)</f>
        <v>Apolo</v>
      </c>
      <c r="H1123" s="6" t="s">
        <v>168</v>
      </c>
      <c r="I1123" s="6">
        <v>889800</v>
      </c>
      <c r="J1123" s="6">
        <v>891600</v>
      </c>
      <c r="K1123" s="6">
        <v>0</v>
      </c>
      <c r="L1123" s="6">
        <v>0</v>
      </c>
      <c r="M1123" s="6">
        <v>0</v>
      </c>
      <c r="N1123" s="6">
        <v>0</v>
      </c>
      <c r="O1123" s="4">
        <f t="shared" si="384"/>
        <v>1781400</v>
      </c>
      <c r="P1123" s="5">
        <f>SUMIFS('Desenvolvimento diário'!$H:$H,'Desenvolvimento diário'!$Q:$Q,$B1123,'Desenvolvimento diário'!$P:$P,$F1123,'Desenvolvimento diário'!$R:$R,"Sim")</f>
        <v>1124571.46</v>
      </c>
      <c r="Q1123" s="5">
        <f>SUMIFS('Desenvolvimento diário'!$H:$H,'Desenvolvimento diário'!$Q:$Q,$B1123,'Desenvolvimento diário'!$P:$P,$F1123,'Desenvolvimento diário'!$R:$R,"Não")-(0.46)</f>
        <v>656828.54</v>
      </c>
      <c r="R1123" s="4">
        <f t="shared" si="385"/>
        <v>1781400</v>
      </c>
      <c r="S1123" s="137">
        <f t="shared" si="386"/>
        <v>0</v>
      </c>
      <c r="T1123" s="12">
        <f t="shared" si="376"/>
        <v>1</v>
      </c>
      <c r="Y1123" s="2"/>
      <c r="Z1123" s="2"/>
      <c r="AA1123" s="2"/>
      <c r="AB1123" s="2"/>
      <c r="AC1123" s="2"/>
    </row>
    <row r="1124" spans="1:29" ht="10.5" hidden="1">
      <c r="A1124" s="2">
        <f t="shared" si="387"/>
        <v>33</v>
      </c>
      <c r="B1124" s="2" t="str">
        <f>VLOOKUP($A1124,Controle!$B$4:$F$68,2,FALSE)</f>
        <v>Pains 3</v>
      </c>
      <c r="C1124" s="2" t="str">
        <f>VLOOKUP($A1124,Controle!$B$4:$F$68,3,FALSE)</f>
        <v xml:space="preserve">ESTRELA DO NORTE </v>
      </c>
      <c r="D1124" s="2" t="str">
        <f>VLOOKUP($A1124,Controle!$B$4:$F$68,4,FALSE)</f>
        <v>EDN</v>
      </c>
      <c r="E1124" s="2">
        <f>VLOOKUP($A1124,Controle!$B$4:$F$68,5,FALSE)</f>
        <v>2</v>
      </c>
      <c r="F1124" s="3" t="str">
        <f t="shared" si="383"/>
        <v>Construção - Serviços de Construção</v>
      </c>
      <c r="G1124" s="2" t="str">
        <f>VLOOKUP($A1124,Controle!$B$4:$G$68,6,FALSE)</f>
        <v>Apolo</v>
      </c>
      <c r="H1124" s="6" t="s">
        <v>201</v>
      </c>
      <c r="I1124" s="6">
        <v>3643277.79</v>
      </c>
      <c r="J1124" s="6">
        <v>434845.63</v>
      </c>
      <c r="K1124" s="6">
        <v>259146.86</v>
      </c>
      <c r="L1124" s="6">
        <v>0</v>
      </c>
      <c r="M1124" s="6">
        <v>0</v>
      </c>
      <c r="N1124" s="6">
        <v>0</v>
      </c>
      <c r="O1124" s="4">
        <f t="shared" si="384"/>
        <v>4337270.28</v>
      </c>
      <c r="P1124" s="5">
        <f>SUMIFS('Desenvolvimento diário'!$H:$H,'Desenvolvimento diário'!$Q:$Q,$B1124,'Desenvolvimento diário'!$P:$P,$F1124,'Desenvolvimento diário'!$R:$R,"Sim")</f>
        <v>72401.69</v>
      </c>
      <c r="Q1124" s="5">
        <f>SUMIFS('Desenvolvimento diário'!$H:$H,'Desenvolvimento diário'!$Q:$Q,$B1124,'Desenvolvimento diário'!$P:$P,$F1124,'Desenvolvimento diário'!$R:$R,"Não")</f>
        <v>4264868.59</v>
      </c>
      <c r="R1124" s="4">
        <f t="shared" si="385"/>
        <v>4337270.28</v>
      </c>
      <c r="S1124" s="4">
        <f t="shared" si="386"/>
        <v>0</v>
      </c>
      <c r="T1124" s="12">
        <f t="shared" si="376"/>
        <v>1</v>
      </c>
      <c r="Y1124" s="2"/>
      <c r="Z1124" s="2"/>
      <c r="AA1124" s="2"/>
      <c r="AB1124" s="2"/>
      <c r="AC1124" s="2"/>
    </row>
    <row r="1125" spans="1:29" ht="10.5" hidden="1">
      <c r="A1125" s="2">
        <f t="shared" si="387"/>
        <v>33</v>
      </c>
      <c r="B1125" s="2" t="str">
        <f>VLOOKUP($A1125,Controle!$B$4:$F$68,2,FALSE)</f>
        <v>Pains 3</v>
      </c>
      <c r="C1125" s="2" t="str">
        <f>VLOOKUP($A1125,Controle!$B$4:$F$68,3,FALSE)</f>
        <v xml:space="preserve">ESTRELA DO NORTE </v>
      </c>
      <c r="D1125" s="2" t="str">
        <f>VLOOKUP($A1125,Controle!$B$4:$F$68,4,FALSE)</f>
        <v>EDN</v>
      </c>
      <c r="E1125" s="2">
        <f>VLOOKUP($A1125,Controle!$B$4:$F$68,5,FALSE)</f>
        <v>2</v>
      </c>
      <c r="F1125" s="3" t="str">
        <f t="shared" si="383"/>
        <v>Construção - Serviços de Construção - Substituição</v>
      </c>
      <c r="G1125" s="2" t="str">
        <f>VLOOKUP($A1125,Controle!$B$4:$G$68,6,FALSE)</f>
        <v>Apolo</v>
      </c>
      <c r="H1125" s="6" t="s">
        <v>202</v>
      </c>
      <c r="I1125" s="6">
        <v>2740702.22</v>
      </c>
      <c r="J1125" s="6">
        <v>0</v>
      </c>
      <c r="K1125" s="6">
        <v>0</v>
      </c>
      <c r="L1125" s="6">
        <v>0</v>
      </c>
      <c r="M1125" s="6">
        <v>0</v>
      </c>
      <c r="N1125" s="6">
        <v>0</v>
      </c>
      <c r="O1125" s="4">
        <f t="shared" si="384"/>
        <v>2740702.22</v>
      </c>
      <c r="P1125" s="5">
        <f>SUMIFS('Desenvolvimento diário'!$H:$H,'Desenvolvimento diário'!$Q:$Q,$B1125,'Desenvolvimento diário'!$P:$P,$F1125,'Desenvolvimento diário'!$R:$R,"Sim")</f>
        <v>304989.28000000003</v>
      </c>
      <c r="Q1125" s="5">
        <f>SUMIFS('Desenvolvimento diário'!$H:$H,'Desenvolvimento diário'!$Q:$Q,$B1125,'Desenvolvimento diário'!$P:$P,$F1125,'Desenvolvimento diário'!$R:$R,"Não")</f>
        <v>274070.21999999997</v>
      </c>
      <c r="R1125" s="4">
        <f t="shared" si="385"/>
        <v>579059.5</v>
      </c>
      <c r="S1125" s="33">
        <f t="shared" si="386"/>
        <v>2161642.7200000002</v>
      </c>
      <c r="T1125" s="12">
        <f t="shared" si="376"/>
        <v>0.2112814357482441</v>
      </c>
      <c r="U1125" s="510" t="s">
        <v>162</v>
      </c>
      <c r="V1125" s="510" t="s">
        <v>163</v>
      </c>
      <c r="Y1125" s="2"/>
      <c r="Z1125" s="2"/>
      <c r="AA1125" s="2"/>
      <c r="AB1125" s="2"/>
      <c r="AC1125" s="2"/>
    </row>
    <row r="1126" spans="1:29" ht="10.5" hidden="1">
      <c r="A1126" s="2">
        <f t="shared" si="387"/>
        <v>33</v>
      </c>
      <c r="B1126" s="2" t="str">
        <f>VLOOKUP($A1126,Controle!$B$4:$F$68,2,FALSE)</f>
        <v>Pains 3</v>
      </c>
      <c r="C1126" s="2" t="str">
        <f>VLOOKUP($A1126,Controle!$B$4:$F$68,3,FALSE)</f>
        <v xml:space="preserve">ESTRELA DO NORTE </v>
      </c>
      <c r="D1126" s="2" t="str">
        <f>VLOOKUP($A1126,Controle!$B$4:$F$68,4,FALSE)</f>
        <v>EDN</v>
      </c>
      <c r="E1126" s="2">
        <f>VLOOKUP($A1126,Controle!$B$4:$F$68,5,FALSE)</f>
        <v>2</v>
      </c>
      <c r="F1126" s="3" t="str">
        <f t="shared" si="383"/>
        <v>Construção - RDA Interno</v>
      </c>
      <c r="G1126" s="2" t="str">
        <f>VLOOKUP($A1126,Controle!$B$4:$G$68,6,FALSE)</f>
        <v>Apolo</v>
      </c>
      <c r="H1126" s="6" t="s">
        <v>168</v>
      </c>
      <c r="I1126" s="6">
        <f>584435.1-0.1</f>
        <v>584435</v>
      </c>
      <c r="J1126" s="6">
        <v>0</v>
      </c>
      <c r="K1126" s="6">
        <v>0</v>
      </c>
      <c r="L1126" s="6">
        <v>0</v>
      </c>
      <c r="M1126" s="6">
        <v>0</v>
      </c>
      <c r="N1126" s="6">
        <v>0</v>
      </c>
      <c r="O1126" s="4">
        <f t="shared" si="384"/>
        <v>584435</v>
      </c>
      <c r="P1126" s="5">
        <f>SUMIFS('Desenvolvimento diário'!$H:$H,'Desenvolvimento diário'!$Q:$Q,$B1126,'Desenvolvimento diário'!$P:$P,$F1126,'Desenvolvimento diário'!$R:$R,"Sim")</f>
        <v>177480.02</v>
      </c>
      <c r="Q1126" s="5">
        <f>SUMIFS('Desenvolvimento diário'!$H:$H,'Desenvolvimento diário'!$Q:$Q,$B1126,'Desenvolvimento diário'!$P:$P,$F1126,'Desenvolvimento diário'!$R:$R,"Não")</f>
        <v>406954.98</v>
      </c>
      <c r="R1126" s="4">
        <f t="shared" si="385"/>
        <v>584435</v>
      </c>
      <c r="S1126" s="4">
        <f t="shared" si="386"/>
        <v>0</v>
      </c>
      <c r="T1126" s="12">
        <f t="shared" si="376"/>
        <v>1</v>
      </c>
      <c r="U1126" s="34"/>
      <c r="Y1126" s="2"/>
      <c r="Z1126" s="2"/>
      <c r="AA1126" s="2"/>
      <c r="AB1126" s="2"/>
      <c r="AC1126" s="2"/>
    </row>
    <row r="1127" spans="1:29" ht="10.5" hidden="1">
      <c r="A1127" s="2">
        <f t="shared" si="387"/>
        <v>33</v>
      </c>
      <c r="B1127" s="2" t="str">
        <f>VLOOKUP($A1127,Controle!$B$4:$F$68,2,FALSE)</f>
        <v>Pains 3</v>
      </c>
      <c r="C1127" s="2" t="str">
        <f>VLOOKUP($A1127,Controle!$B$4:$F$68,3,FALSE)</f>
        <v xml:space="preserve">ESTRELA DO NORTE </v>
      </c>
      <c r="D1127" s="2" t="str">
        <f>VLOOKUP($A1127,Controle!$B$4:$F$68,4,FALSE)</f>
        <v>EDN</v>
      </c>
      <c r="E1127" s="2">
        <f>VLOOKUP($A1127,Controle!$B$4:$F$68,5,FALSE)</f>
        <v>2</v>
      </c>
      <c r="F1127" s="3" t="str">
        <f t="shared" si="383"/>
        <v>Full EPC - Contrato</v>
      </c>
      <c r="G1127" s="2" t="str">
        <f>VLOOKUP($A1127,Controle!$B$4:$G$68,6,FALSE)</f>
        <v>Apolo</v>
      </c>
      <c r="H1127" s="6">
        <v>0</v>
      </c>
      <c r="I1127" s="6">
        <v>0</v>
      </c>
      <c r="J1127" s="6">
        <v>0</v>
      </c>
      <c r="K1127" s="6">
        <v>0</v>
      </c>
      <c r="L1127" s="6">
        <v>0</v>
      </c>
      <c r="M1127" s="6">
        <v>0</v>
      </c>
      <c r="N1127" s="6">
        <v>0</v>
      </c>
      <c r="O1127" s="4">
        <f t="shared" si="384"/>
        <v>0</v>
      </c>
      <c r="P1127" s="5">
        <f>SUMIFS('Desenvolvimento diário'!$H:$H,'Desenvolvimento diário'!$Q:$Q,$B1127,'Desenvolvimento diário'!$P:$P,$F1127,'Desenvolvimento diário'!$R:$R,"Sim")</f>
        <v>0</v>
      </c>
      <c r="Q1127" s="5">
        <f>SUMIFS('Desenvolvimento diário'!$H:$H,'Desenvolvimento diário'!$Q:$Q,$B1127,'Desenvolvimento diário'!$P:$P,$F1127,'Desenvolvimento diário'!$R:$R,"Não")</f>
        <v>0</v>
      </c>
      <c r="R1127" s="4">
        <f t="shared" si="385"/>
        <v>0</v>
      </c>
      <c r="S1127" s="4">
        <f t="shared" si="386"/>
        <v>0</v>
      </c>
      <c r="T1127" s="12">
        <f t="shared" si="376"/>
        <v>0</v>
      </c>
      <c r="Y1127" s="2"/>
      <c r="Z1127" s="2"/>
      <c r="AA1127" s="2"/>
      <c r="AB1127" s="2"/>
      <c r="AC1127" s="2"/>
    </row>
    <row r="1128" spans="1:29" ht="10.5" hidden="1">
      <c r="A1128" s="2">
        <f t="shared" si="387"/>
        <v>33</v>
      </c>
      <c r="B1128" s="2" t="str">
        <f>VLOOKUP($A1128,Controle!$B$4:$F$68,2,FALSE)</f>
        <v>Pains 3</v>
      </c>
      <c r="C1128" s="2" t="str">
        <f>VLOOKUP($A1128,Controle!$B$4:$F$68,3,FALSE)</f>
        <v xml:space="preserve">ESTRELA DO NORTE </v>
      </c>
      <c r="D1128" s="2" t="str">
        <f>VLOOKUP($A1128,Controle!$B$4:$F$68,4,FALSE)</f>
        <v>EDN</v>
      </c>
      <c r="E1128" s="2">
        <f>VLOOKUP($A1128,Controle!$B$4:$F$68,5,FALSE)</f>
        <v>2</v>
      </c>
      <c r="F1128" s="3" t="str">
        <f t="shared" si="383"/>
        <v>Equipamentos Curva A - Outros (Transformadores)</v>
      </c>
      <c r="G1128" s="2" t="str">
        <f>VLOOKUP($A1128,Controle!$B$4:$G$68,6,FALSE)</f>
        <v>Apolo</v>
      </c>
      <c r="H1128" s="6" t="s">
        <v>144</v>
      </c>
      <c r="I1128" s="6">
        <v>237529.9</v>
      </c>
      <c r="J1128" s="6">
        <v>0</v>
      </c>
      <c r="K1128" s="6">
        <v>0</v>
      </c>
      <c r="L1128" s="6">
        <v>0</v>
      </c>
      <c r="M1128" s="6">
        <v>0</v>
      </c>
      <c r="N1128" s="6">
        <v>0</v>
      </c>
      <c r="O1128" s="4">
        <f t="shared" si="384"/>
        <v>237529.9</v>
      </c>
      <c r="P1128" s="5">
        <f>SUMIFS('Desenvolvimento diário'!$H:$H,'Desenvolvimento diário'!$Q:$Q,$B1128,'Desenvolvimento diário'!$P:$P,$F1128,'Desenvolvimento diário'!$R:$R,"Sim")</f>
        <v>0</v>
      </c>
      <c r="Q1128" s="5">
        <f>SUMIFS('Desenvolvimento diário'!$H:$H,'Desenvolvimento diário'!$Q:$Q,$B1128,'Desenvolvimento diário'!$P:$P,$F1128,'Desenvolvimento diário'!$R:$R,"Não")</f>
        <v>237529.9</v>
      </c>
      <c r="R1128" s="4">
        <f t="shared" si="385"/>
        <v>237529.9</v>
      </c>
      <c r="S1128" s="4">
        <f t="shared" si="386"/>
        <v>0</v>
      </c>
      <c r="T1128" s="12">
        <f t="shared" si="376"/>
        <v>1</v>
      </c>
      <c r="Y1128" s="2"/>
      <c r="Z1128" s="2"/>
      <c r="AA1128" s="2"/>
      <c r="AB1128" s="2"/>
      <c r="AC1128" s="2"/>
    </row>
    <row r="1129" spans="1:29" ht="10.5" hidden="1">
      <c r="A1129" s="2">
        <f t="shared" si="387"/>
        <v>33</v>
      </c>
      <c r="B1129" s="2" t="str">
        <f>VLOOKUP($A1129,Controle!$B$4:$F$68,2,FALSE)</f>
        <v>Pains 3</v>
      </c>
      <c r="C1129" s="2" t="str">
        <f>VLOOKUP($A1129,Controle!$B$4:$F$68,3,FALSE)</f>
        <v xml:space="preserve">ESTRELA DO NORTE </v>
      </c>
      <c r="D1129" s="2" t="str">
        <f>VLOOKUP($A1129,Controle!$B$4:$F$68,4,FALSE)</f>
        <v>EDN</v>
      </c>
      <c r="E1129" s="2">
        <f>VLOOKUP($A1129,Controle!$B$4:$F$68,5,FALSE)</f>
        <v>2</v>
      </c>
      <c r="F1129" s="3" t="str">
        <f t="shared" si="383"/>
        <v>Equipamentos Curva A - Outros (Cabine + Skid)</v>
      </c>
      <c r="G1129" s="2" t="str">
        <f>VLOOKUP($A1129,Controle!$B$4:$G$68,6,FALSE)</f>
        <v>Apolo</v>
      </c>
      <c r="H1129" s="6" t="s">
        <v>196</v>
      </c>
      <c r="I1129" s="6">
        <v>664377.93000000005</v>
      </c>
      <c r="J1129" s="6">
        <v>0</v>
      </c>
      <c r="K1129" s="6">
        <v>0</v>
      </c>
      <c r="L1129" s="6">
        <v>0</v>
      </c>
      <c r="M1129" s="6">
        <v>0</v>
      </c>
      <c r="N1129" s="6">
        <v>0</v>
      </c>
      <c r="O1129" s="4">
        <f t="shared" si="384"/>
        <v>664377.93000000005</v>
      </c>
      <c r="P1129" s="5">
        <f>SUMIFS('Desenvolvimento diário'!$H:$H,'Desenvolvimento diário'!$Q:$Q,$B1129,'Desenvolvimento diário'!$P:$P,$F1129,'Desenvolvimento diário'!$R:$R,"Sim")</f>
        <v>0</v>
      </c>
      <c r="Q1129" s="5">
        <f>SUMIFS('Desenvolvimento diário'!$H:$H,'Desenvolvimento diário'!$Q:$Q,$B1129,'Desenvolvimento diário'!$P:$P,$F1129,'Desenvolvimento diário'!$R:$R,"Não")</f>
        <v>664377.92999999993</v>
      </c>
      <c r="R1129" s="4">
        <f t="shared" si="385"/>
        <v>664377.92999999993</v>
      </c>
      <c r="S1129" s="137">
        <f t="shared" si="386"/>
        <v>0</v>
      </c>
      <c r="T1129" s="12">
        <f t="shared" si="376"/>
        <v>0.99999999999999978</v>
      </c>
      <c r="Y1129" s="2"/>
      <c r="Z1129" s="2"/>
      <c r="AA1129" s="2"/>
      <c r="AB1129" s="2"/>
      <c r="AC1129" s="2"/>
    </row>
    <row r="1130" spans="1:29" ht="10.5" hidden="1">
      <c r="A1130" s="2">
        <f t="shared" si="387"/>
        <v>33</v>
      </c>
      <c r="B1130" s="2" t="str">
        <f>VLOOKUP($A1130,Controle!$B$4:$F$68,2,FALSE)</f>
        <v>Pains 3</v>
      </c>
      <c r="C1130" s="2" t="str">
        <f>VLOOKUP($A1130,Controle!$B$4:$F$68,3,FALSE)</f>
        <v xml:space="preserve">ESTRELA DO NORTE </v>
      </c>
      <c r="D1130" s="2" t="str">
        <f>VLOOKUP($A1130,Controle!$B$4:$F$68,4,FALSE)</f>
        <v>EDN</v>
      </c>
      <c r="E1130" s="2">
        <f>VLOOKUP($A1130,Controle!$B$4:$F$68,5,FALSE)</f>
        <v>2</v>
      </c>
      <c r="F1130" s="3" t="str">
        <f t="shared" si="383"/>
        <v>Equipamentos Curva A - Outros (Cabine + Skid + Transformador)</v>
      </c>
      <c r="G1130" s="2" t="str">
        <f>VLOOKUP($A1130,Controle!$B$4:$G$68,6,FALSE)</f>
        <v>Apolo</v>
      </c>
      <c r="H1130" s="6">
        <v>0</v>
      </c>
      <c r="I1130" s="6">
        <v>0</v>
      </c>
      <c r="J1130" s="6">
        <v>0</v>
      </c>
      <c r="K1130" s="6">
        <v>0</v>
      </c>
      <c r="L1130" s="6">
        <v>0</v>
      </c>
      <c r="M1130" s="6">
        <v>0</v>
      </c>
      <c r="N1130" s="6">
        <v>0</v>
      </c>
      <c r="O1130" s="4">
        <f t="shared" si="384"/>
        <v>0</v>
      </c>
      <c r="P1130" s="5">
        <f>SUMIFS('Desenvolvimento diário'!$H:$H,'Desenvolvimento diário'!$Q:$Q,$B1130,'Desenvolvimento diário'!$P:$P,$F1130,'Desenvolvimento diário'!$R:$R,"Sim")</f>
        <v>0</v>
      </c>
      <c r="Q1130" s="5">
        <f>SUMIFS('Desenvolvimento diário'!$H:$H,'Desenvolvimento diário'!$Q:$Q,$B1130,'Desenvolvimento diário'!$P:$P,$F1130,'Desenvolvimento diário'!$R:$R,"Não")</f>
        <v>0</v>
      </c>
      <c r="R1130" s="4">
        <f t="shared" si="385"/>
        <v>0</v>
      </c>
      <c r="S1130" s="4">
        <f t="shared" si="386"/>
        <v>0</v>
      </c>
      <c r="T1130" s="12">
        <f t="shared" si="376"/>
        <v>0</v>
      </c>
      <c r="Y1130" s="2"/>
      <c r="Z1130" s="2"/>
      <c r="AA1130" s="2"/>
      <c r="AB1130" s="2"/>
      <c r="AC1130" s="2"/>
    </row>
    <row r="1131" spans="1:29" ht="10.5" hidden="1">
      <c r="A1131" s="2">
        <f t="shared" si="387"/>
        <v>33</v>
      </c>
      <c r="B1131" s="2" t="str">
        <f>VLOOKUP($A1131,Controle!$B$4:$F$68,2,FALSE)</f>
        <v>Pains 3</v>
      </c>
      <c r="C1131" s="2" t="str">
        <f>VLOOKUP($A1131,Controle!$B$4:$F$68,3,FALSE)</f>
        <v xml:space="preserve">ESTRELA DO NORTE </v>
      </c>
      <c r="D1131" s="2" t="str">
        <f>VLOOKUP($A1131,Controle!$B$4:$F$68,4,FALSE)</f>
        <v>EDN</v>
      </c>
      <c r="E1131" s="2">
        <f>VLOOKUP($A1131,Controle!$B$4:$F$68,5,FALSE)</f>
        <v>2</v>
      </c>
      <c r="F1131" s="3" t="str">
        <f t="shared" si="383"/>
        <v>Desenvolvimento de projeto - Projetos - (Eng° Proprietario)</v>
      </c>
      <c r="G1131" s="2" t="str">
        <f>VLOOKUP($A1131,Controle!$B$4:$G$68,6,FALSE)</f>
        <v>Apolo</v>
      </c>
      <c r="H1131" s="6" t="s">
        <v>145</v>
      </c>
      <c r="I1131" s="6">
        <v>0</v>
      </c>
      <c r="J1131" s="6">
        <v>0</v>
      </c>
      <c r="K1131" s="6">
        <v>0</v>
      </c>
      <c r="L1131" s="6">
        <v>0</v>
      </c>
      <c r="M1131" s="6">
        <v>0</v>
      </c>
      <c r="N1131" s="6">
        <v>0</v>
      </c>
      <c r="O1131" s="4">
        <f t="shared" si="384"/>
        <v>0</v>
      </c>
      <c r="P1131" s="5">
        <f>SUMIFS('Desenvolvimento diário'!$H:$H,'Desenvolvimento diário'!$Q:$Q,$B1131,'Desenvolvimento diário'!$P:$P,$F1131,'Desenvolvimento diário'!$R:$R,"Sim")</f>
        <v>0</v>
      </c>
      <c r="Q1131" s="5">
        <f>SUMIFS('Desenvolvimento diário'!$H:$H,'Desenvolvimento diário'!$Q:$Q,$B1131,'Desenvolvimento diário'!$P:$P,$F1131,'Desenvolvimento diário'!$R:$R,"Não")</f>
        <v>0</v>
      </c>
      <c r="R1131" s="4">
        <f t="shared" si="385"/>
        <v>0</v>
      </c>
      <c r="S1131" s="4">
        <f t="shared" si="386"/>
        <v>0</v>
      </c>
      <c r="T1131" s="12">
        <f t="shared" si="376"/>
        <v>0</v>
      </c>
      <c r="Y1131" s="2"/>
      <c r="Z1131" s="2"/>
      <c r="AA1131" s="2"/>
      <c r="AB1131" s="2"/>
      <c r="AC1131" s="2"/>
    </row>
    <row r="1132" spans="1:29" ht="10.5" hidden="1">
      <c r="A1132" s="2">
        <f t="shared" si="387"/>
        <v>33</v>
      </c>
      <c r="B1132" s="2" t="str">
        <f>VLOOKUP($A1132,Controle!$B$4:$F$68,2,FALSE)</f>
        <v>Pains 3</v>
      </c>
      <c r="C1132" s="2" t="str">
        <f>VLOOKUP($A1132,Controle!$B$4:$F$68,3,FALSE)</f>
        <v xml:space="preserve">ESTRELA DO NORTE </v>
      </c>
      <c r="D1132" s="2" t="str">
        <f>VLOOKUP($A1132,Controle!$B$4:$F$68,4,FALSE)</f>
        <v>EDN</v>
      </c>
      <c r="E1132" s="2">
        <f>VLOOKUP($A1132,Controle!$B$4:$F$68,5,FALSE)</f>
        <v>2</v>
      </c>
      <c r="F1132" s="3" t="str">
        <f t="shared" si="383"/>
        <v>Desenvolvimento de projeto - Projetos - Executivos</v>
      </c>
      <c r="G1132" s="2" t="str">
        <f>VLOOKUP($A1132,Controle!$B$4:$G$68,6,FALSE)</f>
        <v>Apolo</v>
      </c>
      <c r="H1132" s="6" t="s">
        <v>146</v>
      </c>
      <c r="I1132" s="6">
        <v>32500</v>
      </c>
      <c r="J1132" s="6">
        <v>850</v>
      </c>
      <c r="K1132" s="6">
        <v>0</v>
      </c>
      <c r="L1132" s="6">
        <v>0</v>
      </c>
      <c r="M1132" s="6">
        <v>0</v>
      </c>
      <c r="N1132" s="6">
        <v>0</v>
      </c>
      <c r="O1132" s="4">
        <f t="shared" si="384"/>
        <v>33350</v>
      </c>
      <c r="P1132" s="5">
        <f>SUMIFS('Desenvolvimento diário'!$H:$H,'Desenvolvimento diário'!$Q:$Q,$B1132,'Desenvolvimento diário'!$P:$P,$F1132,'Desenvolvimento diário'!$R:$R,"Sim")</f>
        <v>0</v>
      </c>
      <c r="Q1132" s="5">
        <f>SUMIFS('Desenvolvimento diário'!$H:$H,'Desenvolvimento diário'!$Q:$Q,$B1132,'Desenvolvimento diário'!$P:$P,$F1132,'Desenvolvimento diário'!$R:$R,"Não")</f>
        <v>33350</v>
      </c>
      <c r="R1132" s="4">
        <f t="shared" si="385"/>
        <v>33350</v>
      </c>
      <c r="S1132" s="4">
        <f t="shared" si="386"/>
        <v>0</v>
      </c>
      <c r="T1132" s="12">
        <f t="shared" si="376"/>
        <v>1</v>
      </c>
      <c r="U1132" s="34"/>
      <c r="Y1132" s="2"/>
      <c r="Z1132" s="2"/>
      <c r="AA1132" s="2"/>
      <c r="AB1132" s="2"/>
      <c r="AC1132" s="2"/>
    </row>
    <row r="1133" spans="1:29" ht="10.5" hidden="1">
      <c r="A1133" s="2">
        <f t="shared" si="387"/>
        <v>33</v>
      </c>
      <c r="B1133" s="2" t="str">
        <f>VLOOKUP($A1133,Controle!$B$4:$F$68,2,FALSE)</f>
        <v>Pains 3</v>
      </c>
      <c r="C1133" s="2" t="str">
        <f>VLOOKUP($A1133,Controle!$B$4:$F$68,3,FALSE)</f>
        <v xml:space="preserve">ESTRELA DO NORTE </v>
      </c>
      <c r="D1133" s="2" t="str">
        <f>VLOOKUP($A1133,Controle!$B$4:$F$68,4,FALSE)</f>
        <v>EDN</v>
      </c>
      <c r="E1133" s="2">
        <f>VLOOKUP($A1133,Controle!$B$4:$F$68,5,FALSE)</f>
        <v>2</v>
      </c>
      <c r="F1133" s="3" t="str">
        <f t="shared" si="383"/>
        <v>Desenvolvimento de projeto - Projetos Básica</v>
      </c>
      <c r="G1133" s="2" t="str">
        <f>VLOOKUP($A1133,Controle!$B$4:$G$68,6,FALSE)</f>
        <v>Apolo</v>
      </c>
      <c r="H1133" s="6" t="s">
        <v>147</v>
      </c>
      <c r="I1133" s="6">
        <f>20000+15000</f>
        <v>35000</v>
      </c>
      <c r="J1133" s="6">
        <v>5557.55</v>
      </c>
      <c r="K1133" s="6">
        <v>0</v>
      </c>
      <c r="L1133" s="6">
        <v>0</v>
      </c>
      <c r="M1133" s="6">
        <v>0</v>
      </c>
      <c r="N1133" s="6">
        <v>0</v>
      </c>
      <c r="O1133" s="4">
        <f t="shared" si="384"/>
        <v>40557.550000000003</v>
      </c>
      <c r="P1133" s="5">
        <f>SUMIFS('Desenvolvimento diário'!$H:$H,'Desenvolvimento diário'!$Q:$Q,$B1133,'Desenvolvimento diário'!$P:$P,$F1133,'Desenvolvimento diário'!$R:$R,"Sim")</f>
        <v>0</v>
      </c>
      <c r="Q1133" s="5">
        <f>SUMIFS('Desenvolvimento diário'!$H:$H,'Desenvolvimento diário'!$Q:$Q,$B1133,'Desenvolvimento diário'!$P:$P,$F1133,'Desenvolvimento diário'!$R:$R,"Não")</f>
        <v>40557.550000000003</v>
      </c>
      <c r="R1133" s="4">
        <f t="shared" si="385"/>
        <v>40557.550000000003</v>
      </c>
      <c r="S1133" s="4">
        <f t="shared" si="386"/>
        <v>0</v>
      </c>
      <c r="T1133" s="12">
        <f t="shared" si="376"/>
        <v>1</v>
      </c>
      <c r="U1133" s="34"/>
      <c r="Y1133" s="2"/>
      <c r="Z1133" s="2"/>
      <c r="AA1133" s="2"/>
      <c r="AB1133" s="2"/>
      <c r="AC1133" s="2"/>
    </row>
    <row r="1134" spans="1:29" ht="10.5" hidden="1">
      <c r="A1134" s="2">
        <f t="shared" si="387"/>
        <v>33</v>
      </c>
      <c r="B1134" s="2" t="str">
        <f>VLOOKUP($A1134,Controle!$B$4:$F$68,2,FALSE)</f>
        <v>Pains 3</v>
      </c>
      <c r="C1134" s="2" t="str">
        <f>VLOOKUP($A1134,Controle!$B$4:$F$68,3,FALSE)</f>
        <v xml:space="preserve">ESTRELA DO NORTE </v>
      </c>
      <c r="D1134" s="2" t="str">
        <f>VLOOKUP($A1134,Controle!$B$4:$F$68,4,FALSE)</f>
        <v>EDN</v>
      </c>
      <c r="E1134" s="2">
        <f>VLOOKUP($A1134,Controle!$B$4:$F$68,5,FALSE)</f>
        <v>2</v>
      </c>
      <c r="F1134" s="3" t="str">
        <f t="shared" si="383"/>
        <v>Desenvolvimento de projeto - Projetos Detalhada</v>
      </c>
      <c r="G1134" s="2" t="str">
        <f>VLOOKUP($A1134,Controle!$B$4:$G$68,6,FALSE)</f>
        <v>Apolo</v>
      </c>
      <c r="H1134" s="6">
        <v>0</v>
      </c>
      <c r="I1134" s="6">
        <v>0</v>
      </c>
      <c r="J1134" s="6">
        <v>0</v>
      </c>
      <c r="K1134" s="6">
        <v>0</v>
      </c>
      <c r="L1134" s="6">
        <v>0</v>
      </c>
      <c r="M1134" s="6">
        <v>0</v>
      </c>
      <c r="N1134" s="6">
        <v>0</v>
      </c>
      <c r="O1134" s="4">
        <f t="shared" si="384"/>
        <v>0</v>
      </c>
      <c r="P1134" s="5">
        <f>SUMIFS('Desenvolvimento diário'!$H:$H,'Desenvolvimento diário'!$Q:$Q,$B1134,'Desenvolvimento diário'!$P:$P,$F1134,'Desenvolvimento diário'!$R:$R,"Sim")</f>
        <v>0</v>
      </c>
      <c r="Q1134" s="5">
        <f>SUMIFS('Desenvolvimento diário'!$H:$H,'Desenvolvimento diário'!$Q:$Q,$B1134,'Desenvolvimento diário'!$P:$P,$F1134,'Desenvolvimento diário'!$R:$R,"Não")</f>
        <v>0</v>
      </c>
      <c r="R1134" s="4">
        <f t="shared" si="385"/>
        <v>0</v>
      </c>
      <c r="S1134" s="27">
        <f t="shared" si="386"/>
        <v>0</v>
      </c>
      <c r="T1134" s="12">
        <f t="shared" si="376"/>
        <v>0</v>
      </c>
      <c r="Y1134" s="2"/>
      <c r="Z1134" s="2"/>
      <c r="AA1134" s="2"/>
      <c r="AB1134" s="2"/>
      <c r="AC1134" s="2"/>
    </row>
    <row r="1135" spans="1:29" ht="10.5" hidden="1">
      <c r="A1135" s="2">
        <f t="shared" si="387"/>
        <v>33</v>
      </c>
      <c r="B1135" s="2" t="str">
        <f>VLOOKUP($A1135,Controle!$B$4:$F$68,2,FALSE)</f>
        <v>Pains 3</v>
      </c>
      <c r="C1135" s="2" t="str">
        <f>VLOOKUP($A1135,Controle!$B$4:$F$68,3,FALSE)</f>
        <v xml:space="preserve">ESTRELA DO NORTE </v>
      </c>
      <c r="D1135" s="2" t="str">
        <f>VLOOKUP($A1135,Controle!$B$4:$F$68,4,FALSE)</f>
        <v>EDN</v>
      </c>
      <c r="E1135" s="2">
        <f>VLOOKUP($A1135,Controle!$B$4:$F$68,5,FALSE)</f>
        <v>2</v>
      </c>
      <c r="F1135" s="3" t="str">
        <f t="shared" si="383"/>
        <v>Desenvolvimento de projeto - Ambiental / Outros</v>
      </c>
      <c r="G1135" s="2" t="str">
        <f>VLOOKUP($A1135,Controle!$B$4:$G$68,6,FALSE)</f>
        <v>Apolo</v>
      </c>
      <c r="H1135" s="6" t="s">
        <v>148</v>
      </c>
      <c r="I1135" s="6">
        <f>R1135</f>
        <v>114616.43000000001</v>
      </c>
      <c r="J1135" s="6">
        <v>0</v>
      </c>
      <c r="K1135" s="6">
        <v>0</v>
      </c>
      <c r="L1135" s="6">
        <v>0</v>
      </c>
      <c r="M1135" s="6">
        <v>0</v>
      </c>
      <c r="N1135" s="6">
        <v>0</v>
      </c>
      <c r="O1135" s="4">
        <f t="shared" si="384"/>
        <v>114616.43000000001</v>
      </c>
      <c r="P1135" s="5">
        <f>SUMIFS('Desenvolvimento diário'!$H:$H,'Desenvolvimento diário'!$Q:$Q,$B1135,'Desenvolvimento diário'!$P:$P,$F1135,'Desenvolvimento diário'!$R:$R,"Sim")</f>
        <v>0</v>
      </c>
      <c r="Q1135" s="5">
        <f>SUMIFS('Desenvolvimento diário'!$H:$H,'Desenvolvimento diário'!$Q:$Q,$B1135,'Desenvolvimento diário'!$P:$P,$F1135,'Desenvolvimento diário'!$R:$R,"Não")</f>
        <v>114616.43000000001</v>
      </c>
      <c r="R1135" s="4">
        <f t="shared" si="385"/>
        <v>114616.43000000001</v>
      </c>
      <c r="S1135" s="4">
        <f t="shared" si="386"/>
        <v>0</v>
      </c>
      <c r="T1135" s="12">
        <f t="shared" si="376"/>
        <v>1</v>
      </c>
      <c r="Y1135" s="2"/>
      <c r="Z1135" s="2"/>
      <c r="AA1135" s="2"/>
      <c r="AB1135" s="2"/>
      <c r="AC1135" s="2"/>
    </row>
    <row r="1136" spans="1:29" hidden="1">
      <c r="A1136" s="2">
        <f t="shared" si="387"/>
        <v>33</v>
      </c>
      <c r="B1136" s="2" t="str">
        <f>VLOOKUP($A1136,Controle!$B$4:$F$68,2,FALSE)</f>
        <v>Pains 3</v>
      </c>
      <c r="C1136" s="2" t="str">
        <f>VLOOKUP($A1136,Controle!$B$4:$F$68,3,FALSE)</f>
        <v xml:space="preserve">ESTRELA DO NORTE </v>
      </c>
      <c r="D1136" s="2" t="str">
        <f>VLOOKUP($A1136,Controle!$B$4:$F$68,4,FALSE)</f>
        <v>EDN</v>
      </c>
      <c r="E1136" s="2">
        <f>VLOOKUP($A1136,Controle!$B$4:$F$68,5,FALSE)</f>
        <v>2</v>
      </c>
      <c r="F1136" s="3" t="str">
        <f t="shared" si="383"/>
        <v>Desenvolvimento de projeto - Coordenograma</v>
      </c>
      <c r="G1136" s="2" t="str">
        <f>VLOOKUP($A1136,Controle!$B$4:$G$68,6,FALSE)</f>
        <v>Apolo</v>
      </c>
      <c r="H1136" s="31" t="s">
        <v>149</v>
      </c>
      <c r="I1136" s="31">
        <v>6206.9</v>
      </c>
      <c r="J1136" s="31">
        <v>0</v>
      </c>
      <c r="K1136" s="31">
        <v>0</v>
      </c>
      <c r="L1136" s="6">
        <v>0</v>
      </c>
      <c r="M1136" s="6">
        <v>0</v>
      </c>
      <c r="N1136" s="6">
        <v>0</v>
      </c>
      <c r="O1136" s="4">
        <f t="shared" si="384"/>
        <v>6206.9</v>
      </c>
      <c r="P1136" s="5">
        <f>SUMIFS('Desenvolvimento diário'!$H:$H,'Desenvolvimento diário'!$Q:$Q,$B1136,'Desenvolvimento diário'!$P:$P,$F1136,'Desenvolvimento diário'!$R:$R,"Sim")</f>
        <v>0</v>
      </c>
      <c r="Q1136" s="5">
        <f>SUMIFS('Desenvolvimento diário'!$H:$H,'Desenvolvimento diário'!$Q:$Q,$B1136,'Desenvolvimento diário'!$P:$P,$F1136,'Desenvolvimento diário'!$R:$R,"Não")</f>
        <v>6206.9</v>
      </c>
      <c r="R1136" s="4">
        <f t="shared" si="385"/>
        <v>6206.9</v>
      </c>
      <c r="S1136" s="4">
        <f t="shared" si="386"/>
        <v>0</v>
      </c>
      <c r="T1136" s="12">
        <f t="shared" si="376"/>
        <v>1</v>
      </c>
      <c r="Y1136" s="2"/>
      <c r="Z1136" s="2"/>
      <c r="AA1136" s="2"/>
      <c r="AB1136" s="2"/>
      <c r="AC1136" s="2"/>
    </row>
    <row r="1137" spans="1:29" ht="10.5" hidden="1">
      <c r="A1137" s="2">
        <f t="shared" si="387"/>
        <v>33</v>
      </c>
      <c r="B1137" s="2" t="str">
        <f>VLOOKUP($A1137,Controle!$B$4:$F$68,2,FALSE)</f>
        <v>Pains 3</v>
      </c>
      <c r="C1137" s="2" t="str">
        <f>VLOOKUP($A1137,Controle!$B$4:$F$68,3,FALSE)</f>
        <v xml:space="preserve">ESTRELA DO NORTE </v>
      </c>
      <c r="D1137" s="2" t="str">
        <f>VLOOKUP($A1137,Controle!$B$4:$F$68,4,FALSE)</f>
        <v>EDN</v>
      </c>
      <c r="E1137" s="2">
        <f>VLOOKUP($A1137,Controle!$B$4:$F$68,5,FALSE)</f>
        <v>2</v>
      </c>
      <c r="F1137" s="3" t="str">
        <f t="shared" si="383"/>
        <v>Sistemas de Monitoramento - Supervisório</v>
      </c>
      <c r="G1137" s="2" t="str">
        <f>VLOOKUP($A1137,Controle!$B$4:$G$68,6,FALSE)</f>
        <v>Apolo</v>
      </c>
      <c r="H1137" s="6" t="s">
        <v>150</v>
      </c>
      <c r="I1137" s="6">
        <f>136155-0.01</f>
        <v>136154.99</v>
      </c>
      <c r="J1137" s="6"/>
      <c r="K1137" s="6">
        <v>0</v>
      </c>
      <c r="L1137" s="6">
        <v>0</v>
      </c>
      <c r="M1137" s="6">
        <v>0</v>
      </c>
      <c r="N1137" s="6">
        <v>0</v>
      </c>
      <c r="O1137" s="4">
        <f t="shared" si="384"/>
        <v>136154.99</v>
      </c>
      <c r="P1137" s="5">
        <f>SUMIFS('Desenvolvimento diário'!$H:$H,'Desenvolvimento diário'!$Q:$Q,$B1137,'Desenvolvimento diário'!$P:$P,$F1137,'Desenvolvimento diário'!$R:$R,"Sim")</f>
        <v>5821.02</v>
      </c>
      <c r="Q1137" s="5">
        <f>SUMIFS('Desenvolvimento diário'!$H:$H,'Desenvolvimento diário'!$Q:$Q,$B1137,'Desenvolvimento diário'!$P:$P,$F1137,'Desenvolvimento diário'!$R:$R,"Não")</f>
        <v>130333.97000000002</v>
      </c>
      <c r="R1137" s="4">
        <f t="shared" si="385"/>
        <v>136154.99000000002</v>
      </c>
      <c r="S1137" s="137">
        <f t="shared" si="386"/>
        <v>0</v>
      </c>
      <c r="T1137" s="12">
        <f t="shared" si="376"/>
        <v>1.0000000000000002</v>
      </c>
      <c r="U1137" s="34"/>
      <c r="Y1137" s="2"/>
      <c r="Z1137" s="2"/>
      <c r="AA1137" s="2"/>
      <c r="AB1137" s="2"/>
      <c r="AC1137" s="2"/>
    </row>
    <row r="1138" spans="1:29" ht="10.5" hidden="1">
      <c r="A1138" s="2">
        <f t="shared" si="387"/>
        <v>33</v>
      </c>
      <c r="B1138" s="2" t="str">
        <f>VLOOKUP($A1138,Controle!$B$4:$F$68,2,FALSE)</f>
        <v>Pains 3</v>
      </c>
      <c r="C1138" s="2" t="str">
        <f>VLOOKUP($A1138,Controle!$B$4:$F$68,3,FALSE)</f>
        <v xml:space="preserve">ESTRELA DO NORTE </v>
      </c>
      <c r="D1138" s="2" t="str">
        <f>VLOOKUP($A1138,Controle!$B$4:$F$68,4,FALSE)</f>
        <v>EDN</v>
      </c>
      <c r="E1138" s="2">
        <f>VLOOKUP($A1138,Controle!$B$4:$F$68,5,FALSE)</f>
        <v>2</v>
      </c>
      <c r="F1138" s="3" t="str">
        <f t="shared" si="383"/>
        <v>Sistemas de Monitoramento - Estações Solarimétricas</v>
      </c>
      <c r="G1138" s="2" t="str">
        <f>VLOOKUP($A1138,Controle!$B$4:$G$68,6,FALSE)</f>
        <v>Apolo</v>
      </c>
      <c r="H1138" s="6" t="s">
        <v>151</v>
      </c>
      <c r="I1138" s="6">
        <v>48276.516000000003</v>
      </c>
      <c r="J1138" s="6">
        <v>0</v>
      </c>
      <c r="K1138" s="6">
        <v>0</v>
      </c>
      <c r="L1138" s="6">
        <v>0</v>
      </c>
      <c r="M1138" s="6">
        <v>0</v>
      </c>
      <c r="N1138" s="6">
        <v>0</v>
      </c>
      <c r="O1138" s="4">
        <f t="shared" si="384"/>
        <v>48276.516000000003</v>
      </c>
      <c r="P1138" s="5">
        <f>SUMIFS('Desenvolvimento diário'!$H:$H,'Desenvolvimento diário'!$Q:$Q,$B1138,'Desenvolvimento diário'!$P:$P,$F1138,'Desenvolvimento diário'!$R:$R,"Sim")</f>
        <v>0</v>
      </c>
      <c r="Q1138" s="5">
        <f>SUMIFS('Desenvolvimento diário'!$H:$H,'Desenvolvimento diário'!$Q:$Q,$B1138,'Desenvolvimento diário'!$P:$P,$F1138,'Desenvolvimento diário'!$R:$R,"Não")</f>
        <v>48276.516000000003</v>
      </c>
      <c r="R1138" s="4">
        <f t="shared" si="385"/>
        <v>48276.516000000003</v>
      </c>
      <c r="S1138" s="4">
        <f t="shared" si="386"/>
        <v>0</v>
      </c>
      <c r="T1138" s="12">
        <f t="shared" si="376"/>
        <v>1</v>
      </c>
      <c r="Y1138" s="2"/>
      <c r="Z1138" s="2"/>
      <c r="AA1138" s="2"/>
      <c r="AB1138" s="2"/>
      <c r="AC1138" s="2"/>
    </row>
    <row r="1139" spans="1:29" hidden="1">
      <c r="A1139" s="2">
        <f t="shared" si="387"/>
        <v>33</v>
      </c>
      <c r="B1139" s="2" t="str">
        <f>VLOOKUP($A1139,Controle!$B$4:$F$68,2,FALSE)</f>
        <v>Pains 3</v>
      </c>
      <c r="C1139" s="2" t="str">
        <f>VLOOKUP($A1139,Controle!$B$4:$F$68,3,FALSE)</f>
        <v xml:space="preserve">ESTRELA DO NORTE </v>
      </c>
      <c r="D1139" s="2" t="str">
        <f>VLOOKUP($A1139,Controle!$B$4:$F$68,4,FALSE)</f>
        <v>EDN</v>
      </c>
      <c r="E1139" s="2">
        <f>VLOOKUP($A1139,Controle!$B$4:$F$68,5,FALSE)</f>
        <v>2</v>
      </c>
      <c r="F1139" s="3" t="str">
        <f t="shared" si="383"/>
        <v>Sistemas de Monitoramento - CFTV</v>
      </c>
      <c r="G1139" s="2" t="str">
        <f>VLOOKUP($A1139,Controle!$B$4:$G$68,6,FALSE)</f>
        <v>Apolo</v>
      </c>
      <c r="H1139" s="31" t="s">
        <v>152</v>
      </c>
      <c r="I1139" s="6">
        <f>238984.98+(0.003)</f>
        <v>238984.98300000001</v>
      </c>
      <c r="J1139" s="6">
        <v>0</v>
      </c>
      <c r="K1139" s="28">
        <v>4775.6099999999997</v>
      </c>
      <c r="L1139" s="6">
        <v>0</v>
      </c>
      <c r="M1139" s="6">
        <v>0</v>
      </c>
      <c r="N1139" s="6">
        <v>0</v>
      </c>
      <c r="O1139" s="4">
        <f t="shared" si="384"/>
        <v>243760.59299999999</v>
      </c>
      <c r="P1139" s="5">
        <f>SUMIFS('Desenvolvimento diário'!$H:$H,'Desenvolvimento diário'!$Q:$Q,$B1139,'Desenvolvimento diário'!$P:$P,$F1139,'Desenvolvimento diário'!$R:$R,"Sim")</f>
        <v>0</v>
      </c>
      <c r="Q1139" s="5">
        <f>SUMIFS('Desenvolvimento diário'!$H:$H,'Desenvolvimento diário'!$Q:$Q,$B1139,'Desenvolvimento diário'!$P:$P,$F1139,'Desenvolvimento diário'!$R:$R,"Não")</f>
        <v>243760.59299999999</v>
      </c>
      <c r="R1139" s="4">
        <f t="shared" si="385"/>
        <v>243760.59299999999</v>
      </c>
      <c r="S1139" s="137">
        <f t="shared" si="386"/>
        <v>0</v>
      </c>
      <c r="T1139" s="12">
        <f t="shared" si="376"/>
        <v>1</v>
      </c>
      <c r="Y1139" s="2"/>
      <c r="Z1139" s="2"/>
      <c r="AA1139" s="2"/>
      <c r="AB1139" s="2"/>
      <c r="AC1139" s="2"/>
    </row>
    <row r="1140" spans="1:29" ht="10.5" hidden="1">
      <c r="A1140" s="2">
        <f t="shared" si="387"/>
        <v>33</v>
      </c>
      <c r="B1140" s="2" t="str">
        <f>VLOOKUP($A1140,Controle!$B$4:$F$68,2,FALSE)</f>
        <v>Pains 3</v>
      </c>
      <c r="C1140" s="2" t="str">
        <f>VLOOKUP($A1140,Controle!$B$4:$F$68,3,FALSE)</f>
        <v xml:space="preserve">ESTRELA DO NORTE </v>
      </c>
      <c r="D1140" s="2" t="str">
        <f>VLOOKUP($A1140,Controle!$B$4:$F$68,4,FALSE)</f>
        <v>EDN</v>
      </c>
      <c r="E1140" s="2">
        <f>VLOOKUP($A1140,Controle!$B$4:$F$68,5,FALSE)</f>
        <v>2</v>
      </c>
      <c r="F1140" s="3" t="str">
        <f t="shared" si="383"/>
        <v>Serviços Auxiliares - Drenagem</v>
      </c>
      <c r="G1140" s="2" t="str">
        <f>VLOOKUP($A1140,Controle!$B$4:$G$68,6,FALSE)</f>
        <v>Apolo</v>
      </c>
      <c r="H1140" s="6" t="s">
        <v>208</v>
      </c>
      <c r="I1140" s="6">
        <v>753113.5</v>
      </c>
      <c r="J1140" s="6">
        <v>22800</v>
      </c>
      <c r="K1140" s="6">
        <v>0</v>
      </c>
      <c r="L1140" s="6">
        <v>0</v>
      </c>
      <c r="M1140" s="6">
        <v>0</v>
      </c>
      <c r="N1140" s="6">
        <v>0</v>
      </c>
      <c r="O1140" s="4">
        <f t="shared" si="384"/>
        <v>775913.5</v>
      </c>
      <c r="P1140" s="5">
        <f>SUMIFS('Desenvolvimento diário'!$H:$H,'Desenvolvimento diário'!$Q:$Q,$B1140,'Desenvolvimento diário'!$P:$P,$F1140,'Desenvolvimento diário'!$R:$R,"Sim")</f>
        <v>0</v>
      </c>
      <c r="Q1140" s="5">
        <f>SUMIFS('Desenvolvimento diário'!$H:$H,'Desenvolvimento diário'!$Q:$Q,$B1140,'Desenvolvimento diário'!$P:$P,$F1140,'Desenvolvimento diário'!$R:$R,"Não")</f>
        <v>775913.50000000012</v>
      </c>
      <c r="R1140" s="4">
        <f t="shared" si="385"/>
        <v>775913.50000000012</v>
      </c>
      <c r="S1140" s="4">
        <f t="shared" si="386"/>
        <v>0</v>
      </c>
      <c r="T1140" s="12">
        <f t="shared" si="376"/>
        <v>1.0000000000000002</v>
      </c>
      <c r="Y1140" s="2"/>
      <c r="Z1140" s="2"/>
      <c r="AA1140" s="2"/>
      <c r="AB1140" s="2"/>
      <c r="AC1140" s="2"/>
    </row>
    <row r="1141" spans="1:29" ht="10.5" hidden="1">
      <c r="A1141" s="2">
        <f t="shared" si="387"/>
        <v>33</v>
      </c>
      <c r="B1141" s="2" t="str">
        <f>VLOOKUP($A1141,Controle!$B$4:$F$68,2,FALSE)</f>
        <v>Pains 3</v>
      </c>
      <c r="C1141" s="2" t="str">
        <f>VLOOKUP($A1141,Controle!$B$4:$F$68,3,FALSE)</f>
        <v xml:space="preserve">ESTRELA DO NORTE </v>
      </c>
      <c r="D1141" s="2" t="str">
        <f>VLOOKUP($A1141,Controle!$B$4:$F$68,4,FALSE)</f>
        <v>EDN</v>
      </c>
      <c r="E1141" s="2">
        <f>VLOOKUP($A1141,Controle!$B$4:$F$68,5,FALSE)</f>
        <v>2</v>
      </c>
      <c r="F1141" s="3" t="str">
        <f t="shared" si="383"/>
        <v>Serviços Auxiliares - Terraplanagem</v>
      </c>
      <c r="G1141" s="2" t="str">
        <f>VLOOKUP($A1141,Controle!$B$4:$G$68,6,FALSE)</f>
        <v>Apolo</v>
      </c>
      <c r="H1141" s="6" t="s">
        <v>175</v>
      </c>
      <c r="I1141" s="6">
        <v>810676.41</v>
      </c>
      <c r="J1141" s="6">
        <v>0</v>
      </c>
      <c r="K1141" s="6">
        <v>0</v>
      </c>
      <c r="L1141" s="6">
        <v>0</v>
      </c>
      <c r="M1141" s="6">
        <v>0</v>
      </c>
      <c r="N1141" s="6">
        <v>0</v>
      </c>
      <c r="O1141" s="4">
        <f t="shared" si="384"/>
        <v>810676.41</v>
      </c>
      <c r="P1141" s="5">
        <f>SUMIFS('Desenvolvimento diário'!$H:$H,'Desenvolvimento diário'!$Q:$Q,$B1141,'Desenvolvimento diário'!$P:$P,$F1141,'Desenvolvimento diário'!$R:$R,"Sim")</f>
        <v>549051.62</v>
      </c>
      <c r="Q1141" s="5">
        <f>SUMIFS('Desenvolvimento diário'!$H:$H,'Desenvolvimento diário'!$Q:$Q,$B1141,'Desenvolvimento diário'!$P:$P,$F1141,'Desenvolvimento diário'!$R:$R,"Não")</f>
        <v>261624.78999999998</v>
      </c>
      <c r="R1141" s="4">
        <f t="shared" si="385"/>
        <v>810676.40999999992</v>
      </c>
      <c r="S1141" s="4">
        <f t="shared" si="386"/>
        <v>0</v>
      </c>
      <c r="T1141" s="12">
        <f t="shared" si="376"/>
        <v>0.99999999999999989</v>
      </c>
      <c r="Y1141" s="2"/>
      <c r="Z1141" s="2"/>
      <c r="AA1141" s="2"/>
      <c r="AB1141" s="2"/>
      <c r="AC1141" s="2"/>
    </row>
    <row r="1142" spans="1:29" ht="10.5" hidden="1">
      <c r="A1142" s="2">
        <f t="shared" si="387"/>
        <v>33</v>
      </c>
      <c r="B1142" s="2" t="str">
        <f>VLOOKUP($A1142,Controle!$B$4:$F$68,2,FALSE)</f>
        <v>Pains 3</v>
      </c>
      <c r="C1142" s="2" t="str">
        <f>VLOOKUP($A1142,Controle!$B$4:$F$68,3,FALSE)</f>
        <v xml:space="preserve">ESTRELA DO NORTE </v>
      </c>
      <c r="D1142" s="2" t="str">
        <f>VLOOKUP($A1142,Controle!$B$4:$F$68,4,FALSE)</f>
        <v>EDN</v>
      </c>
      <c r="E1142" s="2">
        <f>VLOOKUP($A1142,Controle!$B$4:$F$68,5,FALSE)</f>
        <v>2</v>
      </c>
      <c r="F1142" s="3" t="str">
        <f t="shared" si="383"/>
        <v>Serviços Auxiliares - Supressão Vegetal</v>
      </c>
      <c r="G1142" s="2" t="str">
        <f>VLOOKUP($A1142,Controle!$B$4:$G$68,6,FALSE)</f>
        <v>Apolo</v>
      </c>
      <c r="H1142" s="6">
        <v>0</v>
      </c>
      <c r="I1142" s="6">
        <v>0</v>
      </c>
      <c r="J1142" s="6">
        <v>0</v>
      </c>
      <c r="K1142" s="6">
        <v>0</v>
      </c>
      <c r="L1142" s="6">
        <v>0</v>
      </c>
      <c r="M1142" s="6">
        <v>0</v>
      </c>
      <c r="N1142" s="6">
        <v>0</v>
      </c>
      <c r="O1142" s="4">
        <f t="shared" si="384"/>
        <v>0</v>
      </c>
      <c r="P1142" s="5">
        <f>SUMIFS('Desenvolvimento diário'!$H:$H,'Desenvolvimento diário'!$Q:$Q,$B1142,'Desenvolvimento diário'!$P:$P,$F1142,'Desenvolvimento diário'!$R:$R,"Sim")</f>
        <v>0</v>
      </c>
      <c r="Q1142" s="5">
        <f>SUMIFS('Desenvolvimento diário'!$H:$H,'Desenvolvimento diário'!$Q:$Q,$B1142,'Desenvolvimento diário'!$P:$P,$F1142,'Desenvolvimento diário'!$R:$R,"Não")</f>
        <v>0</v>
      </c>
      <c r="R1142" s="4">
        <f t="shared" si="385"/>
        <v>0</v>
      </c>
      <c r="S1142" s="4">
        <f t="shared" si="386"/>
        <v>0</v>
      </c>
      <c r="T1142" s="12">
        <f t="shared" si="376"/>
        <v>0</v>
      </c>
      <c r="Y1142" s="2"/>
      <c r="Z1142" s="2"/>
      <c r="AA1142" s="2"/>
      <c r="AB1142" s="2"/>
      <c r="AC1142" s="2"/>
    </row>
    <row r="1143" spans="1:29" ht="10.5" hidden="1">
      <c r="A1143" s="2">
        <f t="shared" si="387"/>
        <v>33</v>
      </c>
      <c r="B1143" s="2" t="str">
        <f>VLOOKUP($A1143,Controle!$B$4:$F$68,2,FALSE)</f>
        <v>Pains 3</v>
      </c>
      <c r="C1143" s="2" t="str">
        <f>VLOOKUP($A1143,Controle!$B$4:$F$68,3,FALSE)</f>
        <v xml:space="preserve">ESTRELA DO NORTE </v>
      </c>
      <c r="D1143" s="2" t="str">
        <f>VLOOKUP($A1143,Controle!$B$4:$F$68,4,FALSE)</f>
        <v>EDN</v>
      </c>
      <c r="E1143" s="2">
        <f>VLOOKUP($A1143,Controle!$B$4:$F$68,5,FALSE)</f>
        <v>2</v>
      </c>
      <c r="F1143" s="3" t="str">
        <f t="shared" si="383"/>
        <v>RDR-Rede de Distribuição Rural</v>
      </c>
      <c r="G1143" s="2" t="str">
        <f>VLOOKUP($A1143,Controle!$B$4:$G$68,6,FALSE)</f>
        <v>Apolo</v>
      </c>
      <c r="H1143" s="6">
        <v>0</v>
      </c>
      <c r="I1143" s="6">
        <v>0</v>
      </c>
      <c r="J1143" s="6">
        <v>0</v>
      </c>
      <c r="K1143" s="6">
        <v>0</v>
      </c>
      <c r="L1143" s="6">
        <v>0</v>
      </c>
      <c r="M1143" s="6">
        <v>0</v>
      </c>
      <c r="N1143" s="6">
        <v>0</v>
      </c>
      <c r="O1143" s="4">
        <f t="shared" si="384"/>
        <v>0</v>
      </c>
      <c r="P1143" s="5">
        <f>SUMIFS('Desenvolvimento diário'!$H:$H,'Desenvolvimento diário'!$Q:$Q,$B1143,'Desenvolvimento diário'!$P:$P,$F1143,'Desenvolvimento diário'!$R:$R,"Sim")</f>
        <v>0</v>
      </c>
      <c r="Q1143" s="5">
        <f>SUMIFS('Desenvolvimento diário'!$H:$H,'Desenvolvimento diário'!$Q:$Q,$B1143,'Desenvolvimento diário'!$P:$P,$F1143,'Desenvolvimento diário'!$R:$R,"Não")</f>
        <v>0</v>
      </c>
      <c r="R1143" s="4">
        <f t="shared" si="385"/>
        <v>0</v>
      </c>
      <c r="S1143" s="4">
        <f t="shared" si="386"/>
        <v>0</v>
      </c>
      <c r="T1143" s="12">
        <f t="shared" si="376"/>
        <v>0</v>
      </c>
      <c r="Y1143" s="2"/>
      <c r="Z1143" s="2"/>
      <c r="AA1143" s="2"/>
      <c r="AB1143" s="2"/>
      <c r="AC1143" s="2"/>
    </row>
    <row r="1144" spans="1:29" ht="10.5" hidden="1">
      <c r="A1144" s="2">
        <f t="shared" si="387"/>
        <v>33</v>
      </c>
      <c r="B1144" s="2" t="str">
        <f>VLOOKUP($A1144,Controle!$B$4:$F$68,2,FALSE)</f>
        <v>Pains 3</v>
      </c>
      <c r="C1144" s="2" t="str">
        <f>VLOOKUP($A1144,Controle!$B$4:$F$68,3,FALSE)</f>
        <v xml:space="preserve">ESTRELA DO NORTE </v>
      </c>
      <c r="D1144" s="2" t="str">
        <f>VLOOKUP($A1144,Controle!$B$4:$F$68,4,FALSE)</f>
        <v>EDN</v>
      </c>
      <c r="E1144" s="2">
        <f>VLOOKUP($A1144,Controle!$B$4:$F$68,5,FALSE)</f>
        <v>2</v>
      </c>
      <c r="F1144" s="3" t="str">
        <f t="shared" si="383"/>
        <v>Escopo COMERC</v>
      </c>
      <c r="G1144" s="2" t="str">
        <f>VLOOKUP($A1144,Controle!$B$4:$G$68,6,FALSE)</f>
        <v>Apolo</v>
      </c>
      <c r="H1144" s="6">
        <v>0</v>
      </c>
      <c r="I1144" s="6">
        <v>49119.48</v>
      </c>
      <c r="J1144" s="29">
        <v>21000</v>
      </c>
      <c r="K1144" s="29"/>
      <c r="L1144" s="6">
        <v>0</v>
      </c>
      <c r="M1144" s="6">
        <v>0</v>
      </c>
      <c r="N1144" s="6">
        <v>0</v>
      </c>
      <c r="O1144" s="4">
        <f t="shared" si="384"/>
        <v>70119.48000000001</v>
      </c>
      <c r="P1144" s="5">
        <f>SUMIFS('Desenvolvimento diário'!$H:$H,'Desenvolvimento diário'!$Q:$Q,$B1144,'Desenvolvimento diário'!$P:$P,$F1144,'Desenvolvimento diário'!$R:$R,"Sim")</f>
        <v>21710</v>
      </c>
      <c r="Q1144" s="5">
        <f>SUMIFS('Desenvolvimento diário'!$H:$H,'Desenvolvimento diário'!$Q:$Q,$B1144,'Desenvolvimento diário'!$P:$P,$F1144,'Desenvolvimento diário'!$R:$R,"Não")</f>
        <v>28408.260000000002</v>
      </c>
      <c r="R1144" s="4">
        <f t="shared" si="385"/>
        <v>50118.26</v>
      </c>
      <c r="S1144" s="1010">
        <f t="shared" si="386"/>
        <v>20001.220000000008</v>
      </c>
      <c r="T1144" s="12">
        <f t="shared" si="376"/>
        <v>0.71475515791046929</v>
      </c>
      <c r="U1144" s="1011" t="s">
        <v>166</v>
      </c>
      <c r="V1144" s="1011" t="s">
        <v>167</v>
      </c>
      <c r="Y1144" s="2"/>
      <c r="Z1144" s="2"/>
      <c r="AA1144" s="2"/>
      <c r="AB1144" s="2"/>
      <c r="AC1144" s="2"/>
    </row>
    <row r="1145" spans="1:29" ht="10.5" hidden="1">
      <c r="A1145" s="2">
        <f t="shared" si="387"/>
        <v>33</v>
      </c>
      <c r="B1145" s="2" t="str">
        <f>VLOOKUP($A1145,Controle!$B$4:$F$68,2,FALSE)</f>
        <v>Pains 3</v>
      </c>
      <c r="C1145" s="2" t="str">
        <f>VLOOKUP($A1145,Controle!$B$4:$F$68,3,FALSE)</f>
        <v xml:space="preserve">ESTRELA DO NORTE </v>
      </c>
      <c r="D1145" s="2" t="str">
        <f>VLOOKUP($A1145,Controle!$B$4:$F$68,4,FALSE)</f>
        <v>EDN</v>
      </c>
      <c r="E1145" s="2">
        <f>VLOOKUP($A1145,Controle!$B$4:$F$68,5,FALSE)</f>
        <v>2</v>
      </c>
      <c r="F1145" s="3" t="str">
        <f t="shared" si="383"/>
        <v>Escopo COMERC - Segurança</v>
      </c>
      <c r="G1145" s="2" t="str">
        <f>VLOOKUP($A1145,Controle!$B$4:$G$68,6,FALSE)</f>
        <v>Apolo</v>
      </c>
      <c r="H1145" s="6">
        <v>0</v>
      </c>
      <c r="I1145" s="6">
        <f t="shared" ref="I1144:I1145" si="388">R1145</f>
        <v>0</v>
      </c>
      <c r="J1145" s="6">
        <v>0</v>
      </c>
      <c r="K1145" s="6">
        <v>0</v>
      </c>
      <c r="L1145" s="6">
        <v>0</v>
      </c>
      <c r="M1145" s="6">
        <v>0</v>
      </c>
      <c r="N1145" s="6">
        <v>0</v>
      </c>
      <c r="O1145" s="4">
        <f t="shared" si="384"/>
        <v>0</v>
      </c>
      <c r="P1145" s="5">
        <f>SUMIFS('Desenvolvimento diário'!$H:$H,'Desenvolvimento diário'!$Q:$Q,$B1145,'Desenvolvimento diário'!$P:$P,$F1145,'Desenvolvimento diário'!$R:$R,"Sim")</f>
        <v>0</v>
      </c>
      <c r="Q1145" s="5">
        <f>SUMIFS('Desenvolvimento diário'!$H:$H,'Desenvolvimento diário'!$Q:$Q,$B1145,'Desenvolvimento diário'!$P:$P,$F1145,'Desenvolvimento diário'!$R:$R,"Não")</f>
        <v>0</v>
      </c>
      <c r="R1145" s="4">
        <f t="shared" si="385"/>
        <v>0</v>
      </c>
      <c r="S1145" s="4">
        <f t="shared" si="386"/>
        <v>0</v>
      </c>
      <c r="T1145" s="12">
        <f t="shared" si="376"/>
        <v>0</v>
      </c>
      <c r="Y1145" s="2"/>
      <c r="Z1145" s="2"/>
      <c r="AA1145" s="2"/>
      <c r="AB1145" s="2"/>
      <c r="AC1145" s="2"/>
    </row>
    <row r="1146" spans="1:29" ht="10.5" hidden="1">
      <c r="A1146" s="2">
        <f t="shared" si="387"/>
        <v>33</v>
      </c>
      <c r="B1146" s="2" t="str">
        <f>VLOOKUP($A1146,Controle!$B$4:$F$68,2,FALSE)</f>
        <v>Pains 3</v>
      </c>
      <c r="C1146" s="2" t="str">
        <f>VLOOKUP($A1146,Controle!$B$4:$F$68,3,FALSE)</f>
        <v xml:space="preserve">ESTRELA DO NORTE </v>
      </c>
      <c r="D1146" s="2" t="str">
        <f>VLOOKUP($A1146,Controle!$B$4:$F$68,4,FALSE)</f>
        <v>EDN</v>
      </c>
      <c r="E1146" s="2">
        <f>VLOOKUP($A1146,Controle!$B$4:$F$68,5,FALSE)</f>
        <v>2</v>
      </c>
      <c r="F1146" s="3" t="str">
        <f t="shared" si="383"/>
        <v>Conexão MT - Obras Transferencia</v>
      </c>
      <c r="G1146" s="2" t="str">
        <f>VLOOKUP($A1146,Controle!$B$4:$G$68,6,FALSE)</f>
        <v>Apolo</v>
      </c>
      <c r="H1146" s="6">
        <v>0</v>
      </c>
      <c r="I1146" s="6">
        <v>0</v>
      </c>
      <c r="J1146" s="6">
        <v>0</v>
      </c>
      <c r="K1146" s="6">
        <v>0</v>
      </c>
      <c r="L1146" s="6">
        <v>0</v>
      </c>
      <c r="M1146" s="6">
        <v>0</v>
      </c>
      <c r="N1146" s="6">
        <v>0</v>
      </c>
      <c r="O1146" s="4">
        <f t="shared" si="384"/>
        <v>0</v>
      </c>
      <c r="P1146" s="5">
        <f>SUMIFS('Desenvolvimento diário'!$H:$H,'Desenvolvimento diário'!$Q:$Q,$B1146,'Desenvolvimento diário'!$P:$P,$F1146,'Desenvolvimento diário'!$R:$R,"Sim")</f>
        <v>0</v>
      </c>
      <c r="Q1146" s="5">
        <f>SUMIFS('Desenvolvimento diário'!$H:$H,'Desenvolvimento diário'!$Q:$Q,$B1146,'Desenvolvimento diário'!$P:$P,$F1146,'Desenvolvimento diário'!$R:$R,"Não")</f>
        <v>0</v>
      </c>
      <c r="R1146" s="4">
        <f t="shared" si="385"/>
        <v>0</v>
      </c>
      <c r="S1146" s="4">
        <f t="shared" si="386"/>
        <v>0</v>
      </c>
      <c r="T1146" s="12">
        <f t="shared" si="376"/>
        <v>0</v>
      </c>
      <c r="Y1146" s="2"/>
      <c r="Z1146" s="2"/>
      <c r="AA1146" s="2"/>
      <c r="AB1146" s="2"/>
      <c r="AC1146" s="2"/>
    </row>
    <row r="1147" spans="1:29" ht="10.5" hidden="1">
      <c r="A1147" s="2">
        <f t="shared" si="387"/>
        <v>33</v>
      </c>
      <c r="B1147" s="2" t="str">
        <f>VLOOKUP($A1147,Controle!$B$4:$F$68,2,FALSE)</f>
        <v>Pains 3</v>
      </c>
      <c r="C1147" s="2" t="str">
        <f>VLOOKUP($A1147,Controle!$B$4:$F$68,3,FALSE)</f>
        <v xml:space="preserve">ESTRELA DO NORTE </v>
      </c>
      <c r="D1147" s="2" t="str">
        <f>VLOOKUP($A1147,Controle!$B$4:$F$68,4,FALSE)</f>
        <v>EDN</v>
      </c>
      <c r="E1147" s="2">
        <f>VLOOKUP($A1147,Controle!$B$4:$F$68,5,FALSE)</f>
        <v>2</v>
      </c>
      <c r="F1147" s="3" t="str">
        <f t="shared" si="383"/>
        <v>Bases de Contaniers</v>
      </c>
      <c r="G1147" s="2" t="str">
        <f>VLOOKUP($A1147,Controle!$B$4:$G$68,6,FALSE)</f>
        <v>Apolo</v>
      </c>
      <c r="H1147" s="6">
        <v>0</v>
      </c>
      <c r="I1147" s="6">
        <v>0</v>
      </c>
      <c r="J1147" s="6">
        <v>0</v>
      </c>
      <c r="K1147" s="6">
        <v>0</v>
      </c>
      <c r="L1147" s="6">
        <v>0</v>
      </c>
      <c r="M1147" s="6">
        <v>0</v>
      </c>
      <c r="N1147" s="6">
        <v>0</v>
      </c>
      <c r="O1147" s="4">
        <f t="shared" si="384"/>
        <v>0</v>
      </c>
      <c r="P1147" s="5">
        <f>SUMIFS('Desenvolvimento diário'!$H:$H,'Desenvolvimento diário'!$Q:$Q,$B1147,'Desenvolvimento diário'!$P:$P,$F1147,'Desenvolvimento diário'!$R:$R,"Sim")</f>
        <v>0</v>
      </c>
      <c r="Q1147" s="5">
        <f>SUMIFS('Desenvolvimento diário'!$H:$H,'Desenvolvimento diário'!$Q:$Q,$B1147,'Desenvolvimento diário'!$P:$P,$F1147,'Desenvolvimento diário'!$R:$R,"Não")</f>
        <v>0</v>
      </c>
      <c r="R1147" s="4">
        <f t="shared" si="385"/>
        <v>0</v>
      </c>
      <c r="S1147" s="4">
        <f t="shared" si="386"/>
        <v>0</v>
      </c>
      <c r="T1147" s="12">
        <f t="shared" si="376"/>
        <v>0</v>
      </c>
      <c r="Y1147" s="2"/>
      <c r="Z1147" s="2"/>
      <c r="AA1147" s="2"/>
      <c r="AB1147" s="2"/>
      <c r="AC1147" s="2"/>
    </row>
    <row r="1148" spans="1:29" ht="10.5" hidden="1">
      <c r="A1148" s="2">
        <f t="shared" si="387"/>
        <v>33</v>
      </c>
      <c r="B1148" s="2" t="str">
        <f>VLOOKUP($A1148,Controle!$B$4:$F$68,2,FALSE)</f>
        <v>Pains 3</v>
      </c>
      <c r="C1148" s="2" t="str">
        <f>VLOOKUP($A1148,Controle!$B$4:$F$68,3,FALSE)</f>
        <v xml:space="preserve">ESTRELA DO NORTE </v>
      </c>
      <c r="D1148" s="2" t="str">
        <f>VLOOKUP($A1148,Controle!$B$4:$F$68,4,FALSE)</f>
        <v>EDN</v>
      </c>
      <c r="E1148" s="2">
        <f>VLOOKUP($A1148,Controle!$B$4:$F$68,5,FALSE)</f>
        <v>2</v>
      </c>
      <c r="F1148" s="3" t="str">
        <f t="shared" si="383"/>
        <v>Construção - Serviços de Construção - Ase Engenharia</v>
      </c>
      <c r="G1148" s="2" t="str">
        <f>VLOOKUP($A1148,Controle!$B$4:$G$68,6,FALSE)</f>
        <v>Apolo</v>
      </c>
      <c r="H1148" s="6">
        <v>0</v>
      </c>
      <c r="I1148" s="6">
        <v>0</v>
      </c>
      <c r="J1148" s="6">
        <v>0</v>
      </c>
      <c r="K1148" s="6">
        <v>0</v>
      </c>
      <c r="L1148" s="6">
        <v>0</v>
      </c>
      <c r="M1148" s="6">
        <v>0</v>
      </c>
      <c r="N1148" s="6">
        <v>0</v>
      </c>
      <c r="O1148" s="4">
        <f t="shared" si="384"/>
        <v>0</v>
      </c>
      <c r="P1148" s="5">
        <f>SUMIFS('Desenvolvimento diário'!$H:$H,'Desenvolvimento diário'!$Q:$Q,$B1148,'Desenvolvimento diário'!$P:$P,$F1148,'Desenvolvimento diário'!$R:$R,"Sim")</f>
        <v>0</v>
      </c>
      <c r="Q1148" s="5">
        <f>SUMIFS('Desenvolvimento diário'!$H:$H,'Desenvolvimento diário'!$Q:$Q,$B1148,'Desenvolvimento diário'!$P:$P,$F1148,'Desenvolvimento diário'!$R:$R,"Não")</f>
        <v>0</v>
      </c>
      <c r="R1148" s="4">
        <f t="shared" si="385"/>
        <v>0</v>
      </c>
      <c r="S1148" s="4">
        <f t="shared" si="386"/>
        <v>0</v>
      </c>
      <c r="T1148" s="12">
        <f t="shared" si="376"/>
        <v>0</v>
      </c>
      <c r="Y1148" s="2"/>
      <c r="Z1148" s="2"/>
      <c r="AA1148" s="2"/>
      <c r="AB1148" s="2"/>
      <c r="AC1148" s="2"/>
    </row>
    <row r="1149" spans="1:29" ht="10.5" hidden="1">
      <c r="A1149" s="2">
        <f t="shared" si="387"/>
        <v>33</v>
      </c>
      <c r="B1149" s="2" t="str">
        <f>VLOOKUP($A1149,Controle!$B$4:$F$68,2,FALSE)</f>
        <v>Pains 3</v>
      </c>
      <c r="C1149" s="2" t="str">
        <f>VLOOKUP($A1149,Controle!$B$4:$F$68,3,FALSE)</f>
        <v xml:space="preserve">ESTRELA DO NORTE </v>
      </c>
      <c r="D1149" s="2" t="str">
        <f>VLOOKUP($A1149,Controle!$B$4:$F$68,4,FALSE)</f>
        <v>EDN</v>
      </c>
      <c r="E1149" s="2">
        <f>VLOOKUP($A1149,Controle!$B$4:$F$68,5,FALSE)</f>
        <v>2</v>
      </c>
      <c r="F1149" s="3" t="str">
        <f t="shared" si="383"/>
        <v>Full EPC - Contrato Sobressalentes</v>
      </c>
      <c r="G1149" s="2" t="str">
        <f>VLOOKUP($A1149,Controle!$B$4:$G$68,6,FALSE)</f>
        <v>Apolo</v>
      </c>
      <c r="H1149" s="6">
        <v>0</v>
      </c>
      <c r="I1149" s="6">
        <v>0</v>
      </c>
      <c r="J1149" s="6">
        <v>0</v>
      </c>
      <c r="K1149" s="6">
        <v>0</v>
      </c>
      <c r="L1149" s="6">
        <v>0</v>
      </c>
      <c r="M1149" s="6">
        <v>0</v>
      </c>
      <c r="N1149" s="6">
        <v>0</v>
      </c>
      <c r="O1149" s="4">
        <f t="shared" si="384"/>
        <v>0</v>
      </c>
      <c r="P1149" s="5">
        <f>SUMIFS('Desenvolvimento diário'!$H:$H,'Desenvolvimento diário'!$Q:$Q,$B1149,'Desenvolvimento diário'!$P:$P,$F1149,'Desenvolvimento diário'!$R:$R,"Sim")</f>
        <v>0</v>
      </c>
      <c r="Q1149" s="5">
        <f>SUMIFS('Desenvolvimento diário'!$H:$H,'Desenvolvimento diário'!$Q:$Q,$B1149,'Desenvolvimento diário'!$P:$P,$F1149,'Desenvolvimento diário'!$R:$R,"Não")</f>
        <v>0</v>
      </c>
      <c r="R1149" s="4">
        <f t="shared" si="385"/>
        <v>0</v>
      </c>
      <c r="S1149" s="4">
        <f t="shared" si="386"/>
        <v>0</v>
      </c>
      <c r="T1149" s="12">
        <f t="shared" si="376"/>
        <v>0</v>
      </c>
      <c r="Y1149" s="2"/>
      <c r="Z1149" s="2"/>
      <c r="AA1149" s="2"/>
      <c r="AB1149" s="2"/>
      <c r="AC1149" s="2"/>
    </row>
    <row r="1150" spans="1:29" ht="10.5" hidden="1">
      <c r="A1150" s="2">
        <f t="shared" si="387"/>
        <v>33</v>
      </c>
      <c r="B1150" s="2" t="str">
        <f>VLOOKUP($A1150,Controle!$B$4:$F$68,2,FALSE)</f>
        <v>Pains 3</v>
      </c>
      <c r="C1150" s="2" t="str">
        <f>VLOOKUP($A1150,Controle!$B$4:$F$68,3,FALSE)</f>
        <v xml:space="preserve">ESTRELA DO NORTE </v>
      </c>
      <c r="D1150" s="2" t="str">
        <f>VLOOKUP($A1150,Controle!$B$4:$F$68,4,FALSE)</f>
        <v>EDN</v>
      </c>
      <c r="E1150" s="2">
        <f>VLOOKUP($A1150,Controle!$B$4:$F$68,5,FALSE)</f>
        <v>2</v>
      </c>
      <c r="F1150" s="3" t="str">
        <f t="shared" si="383"/>
        <v>Construção - Serviços de Construção - NOVA MORADA</v>
      </c>
      <c r="G1150" s="2" t="str">
        <f>VLOOKUP($A1150,Controle!$B$4:$G$68,6,FALSE)</f>
        <v>Apolo</v>
      </c>
      <c r="H1150" s="6">
        <v>0</v>
      </c>
      <c r="I1150" s="6">
        <v>0</v>
      </c>
      <c r="J1150" s="6">
        <v>0</v>
      </c>
      <c r="K1150" s="6">
        <v>0</v>
      </c>
      <c r="L1150" s="6">
        <v>0</v>
      </c>
      <c r="M1150" s="6">
        <v>0</v>
      </c>
      <c r="N1150" s="6">
        <v>0</v>
      </c>
      <c r="O1150" s="4">
        <f t="shared" si="384"/>
        <v>0</v>
      </c>
      <c r="P1150" s="5">
        <f>SUMIFS('Desenvolvimento diário'!$H:$H,'Desenvolvimento diário'!$Q:$Q,$B1150,'Desenvolvimento diário'!$P:$P,$F1150,'Desenvolvimento diário'!$R:$R,"Sim")</f>
        <v>0</v>
      </c>
      <c r="Q1150" s="5">
        <f>SUMIFS('Desenvolvimento diário'!$H:$H,'Desenvolvimento diário'!$Q:$Q,$B1150,'Desenvolvimento diário'!$P:$P,$F1150,'Desenvolvimento diário'!$R:$R,"Não")</f>
        <v>0</v>
      </c>
      <c r="R1150" s="4">
        <f t="shared" si="385"/>
        <v>0</v>
      </c>
      <c r="S1150" s="4">
        <f t="shared" si="386"/>
        <v>0</v>
      </c>
      <c r="T1150" s="12">
        <f t="shared" si="376"/>
        <v>0</v>
      </c>
      <c r="Y1150" s="2"/>
      <c r="Z1150" s="2"/>
      <c r="AA1150" s="2"/>
      <c r="AB1150" s="2"/>
      <c r="AC1150" s="2"/>
    </row>
    <row r="1151" spans="1:29" ht="10.5" hidden="1">
      <c r="A1151" s="2">
        <f t="shared" si="387"/>
        <v>33</v>
      </c>
      <c r="B1151" s="2" t="str">
        <f>VLOOKUP($A1151,Controle!$B$4:$F$68,2,FALSE)</f>
        <v>Pains 3</v>
      </c>
      <c r="C1151" s="2" t="str">
        <f>VLOOKUP($A1151,Controle!$B$4:$F$68,3,FALSE)</f>
        <v xml:space="preserve">ESTRELA DO NORTE </v>
      </c>
      <c r="D1151" s="2" t="str">
        <f>VLOOKUP($A1151,Controle!$B$4:$F$68,4,FALSE)</f>
        <v>EDN</v>
      </c>
      <c r="E1151" s="2">
        <f>VLOOKUP($A1151,Controle!$B$4:$F$68,5,FALSE)</f>
        <v>2</v>
      </c>
      <c r="F1151" s="3" t="str">
        <f t="shared" si="383"/>
        <v>Equipamentos Curva A -  Contrato Sobressalentes - SETTA</v>
      </c>
      <c r="G1151" s="2" t="str">
        <f>VLOOKUP($A1151,Controle!$B$4:$G$68,6,FALSE)</f>
        <v>Apolo</v>
      </c>
      <c r="H1151" s="6">
        <v>0</v>
      </c>
      <c r="I1151" s="6">
        <v>0</v>
      </c>
      <c r="J1151" s="6">
        <v>0</v>
      </c>
      <c r="K1151" s="6">
        <v>0</v>
      </c>
      <c r="L1151" s="6">
        <v>0</v>
      </c>
      <c r="M1151" s="6">
        <v>0</v>
      </c>
      <c r="N1151" s="6">
        <v>0</v>
      </c>
      <c r="O1151" s="4">
        <f t="shared" si="384"/>
        <v>0</v>
      </c>
      <c r="P1151" s="5">
        <f>SUMIFS('Desenvolvimento diário'!$H:$H,'Desenvolvimento diário'!$Q:$Q,$B1151,'Desenvolvimento diário'!$P:$P,$F1151,'Desenvolvimento diário'!$R:$R,"Sim")</f>
        <v>0</v>
      </c>
      <c r="Q1151" s="5">
        <f>SUMIFS('Desenvolvimento diário'!$H:$H,'Desenvolvimento diário'!$Q:$Q,$B1151,'Desenvolvimento diário'!$P:$P,$F1151,'Desenvolvimento diário'!$R:$R,"Não")</f>
        <v>0</v>
      </c>
      <c r="R1151" s="4">
        <f t="shared" si="385"/>
        <v>0</v>
      </c>
      <c r="S1151" s="4">
        <f t="shared" si="386"/>
        <v>0</v>
      </c>
      <c r="T1151" s="12">
        <f t="shared" si="376"/>
        <v>0</v>
      </c>
      <c r="Y1151" s="2"/>
      <c r="Z1151" s="2"/>
      <c r="AA1151" s="2"/>
      <c r="AB1151" s="2"/>
      <c r="AC1151" s="2"/>
    </row>
    <row r="1152" spans="1:29" ht="10.5" hidden="1">
      <c r="A1152" s="2">
        <f t="shared" si="387"/>
        <v>33</v>
      </c>
      <c r="B1152" s="2" t="str">
        <f>VLOOKUP($A1152,Controle!$B$4:$F$68,2,FALSE)</f>
        <v>Pains 3</v>
      </c>
      <c r="C1152" s="2" t="str">
        <f>VLOOKUP($A1152,Controle!$B$4:$F$68,3,FALSE)</f>
        <v xml:space="preserve">ESTRELA DO NORTE </v>
      </c>
      <c r="D1152" s="2" t="str">
        <f>VLOOKUP($A1152,Controle!$B$4:$F$68,4,FALSE)</f>
        <v>EDN</v>
      </c>
      <c r="E1152" s="2">
        <f>VLOOKUP($A1152,Controle!$B$4:$F$68,5,FALSE)</f>
        <v>2</v>
      </c>
      <c r="F1152" s="3" t="str">
        <f t="shared" si="383"/>
        <v>Equipamentos Curva A -  Contrato Sobressalentes - Arctech</v>
      </c>
      <c r="G1152" s="2" t="str">
        <f>VLOOKUP($A1152,Controle!$B$4:$G$68,6,FALSE)</f>
        <v>Apolo</v>
      </c>
      <c r="H1152" s="6">
        <v>0</v>
      </c>
      <c r="I1152" s="6">
        <v>0</v>
      </c>
      <c r="J1152" s="6">
        <v>0</v>
      </c>
      <c r="K1152" s="6">
        <v>0</v>
      </c>
      <c r="L1152" s="6">
        <v>0</v>
      </c>
      <c r="M1152" s="6">
        <v>0</v>
      </c>
      <c r="N1152" s="6">
        <v>0</v>
      </c>
      <c r="O1152" s="4">
        <f t="shared" si="384"/>
        <v>0</v>
      </c>
      <c r="P1152" s="5">
        <f>SUMIFS('Desenvolvimento diário'!$H:$H,'Desenvolvimento diário'!$Q:$Q,$B1152,'Desenvolvimento diário'!$P:$P,$F1152,'Desenvolvimento diário'!$R:$R,"Sim")</f>
        <v>0</v>
      </c>
      <c r="Q1152" s="5">
        <f>SUMIFS('Desenvolvimento diário'!$H:$H,'Desenvolvimento diário'!$Q:$Q,$B1152,'Desenvolvimento diário'!$P:$P,$F1152,'Desenvolvimento diário'!$R:$R,"Não")</f>
        <v>0</v>
      </c>
      <c r="R1152" s="4">
        <f t="shared" si="385"/>
        <v>0</v>
      </c>
      <c r="S1152" s="4">
        <f t="shared" si="386"/>
        <v>0</v>
      </c>
      <c r="T1152" s="12">
        <f t="shared" si="376"/>
        <v>0</v>
      </c>
      <c r="Y1152" s="2"/>
      <c r="Z1152" s="2"/>
      <c r="AA1152" s="2"/>
      <c r="AB1152" s="2"/>
      <c r="AC1152" s="2"/>
    </row>
    <row r="1153" spans="1:29" hidden="1">
      <c r="A1153" s="2">
        <f t="shared" si="387"/>
        <v>33</v>
      </c>
      <c r="B1153" s="2" t="str">
        <f>VLOOKUP($A1153,Controle!$B$4:$F$68,2,FALSE)</f>
        <v>Pains 3</v>
      </c>
      <c r="C1153" s="2" t="str">
        <f>VLOOKUP($A1153,Controle!$B$4:$F$68,3,FALSE)</f>
        <v xml:space="preserve">ESTRELA DO NORTE </v>
      </c>
      <c r="D1153" s="2" t="str">
        <f>VLOOKUP($A1153,Controle!$B$4:$F$68,4,FALSE)</f>
        <v>EDN</v>
      </c>
      <c r="E1153" s="2">
        <f>VLOOKUP($A1153,Controle!$B$4:$F$68,5,FALSE)</f>
        <v>2</v>
      </c>
      <c r="F1153" s="3" t="str">
        <f t="shared" si="383"/>
        <v>Equipamentos Curva A -  Contrato Sobressalentes - Romagnole</v>
      </c>
      <c r="G1153" s="2" t="str">
        <f>VLOOKUP($A1153,Controle!$B$4:$G$68,6,FALSE)</f>
        <v>Apolo</v>
      </c>
      <c r="H1153" s="7">
        <v>0</v>
      </c>
      <c r="I1153" s="7">
        <v>0</v>
      </c>
      <c r="J1153" s="7">
        <v>0</v>
      </c>
      <c r="K1153" s="7">
        <v>0</v>
      </c>
      <c r="L1153" s="7">
        <v>0</v>
      </c>
      <c r="M1153" s="7">
        <v>0</v>
      </c>
      <c r="N1153" s="7">
        <v>0</v>
      </c>
      <c r="O1153" s="4">
        <f t="shared" si="384"/>
        <v>0</v>
      </c>
      <c r="P1153" s="17">
        <f>SUMIFS('Desenvolvimento diário'!$H:$H,'Desenvolvimento diário'!$Q:$Q,$B1153,'Desenvolvimento diário'!$P:$P,$F1153,'Desenvolvimento diário'!$R:$R,"Sim")</f>
        <v>0</v>
      </c>
      <c r="Q1153" s="17">
        <f>SUMIFS('Desenvolvimento diário'!$H:$H,'Desenvolvimento diário'!$Q:$Q,$B1153,'Desenvolvimento diário'!$P:$P,$F1153,'Desenvolvimento diário'!$R:$R,"Não")</f>
        <v>0</v>
      </c>
      <c r="R1153" s="4">
        <f t="shared" si="385"/>
        <v>0</v>
      </c>
      <c r="S1153" s="4">
        <f t="shared" si="386"/>
        <v>0</v>
      </c>
      <c r="T1153" s="12">
        <f t="shared" si="376"/>
        <v>0</v>
      </c>
      <c r="Y1153" s="2"/>
      <c r="Z1153" s="2"/>
      <c r="AA1153" s="2"/>
      <c r="AB1153" s="2"/>
      <c r="AC1153" s="2"/>
    </row>
    <row r="1154" spans="1:29" hidden="1">
      <c r="A1154" s="2">
        <f t="shared" si="387"/>
        <v>33</v>
      </c>
      <c r="B1154" s="2" t="str">
        <f>VLOOKUP($A1154,Controle!$B$4:$F$68,2,FALSE)</f>
        <v>Pains 3</v>
      </c>
      <c r="C1154" s="2" t="str">
        <f>VLOOKUP($A1154,Controle!$B$4:$F$68,3,FALSE)</f>
        <v xml:space="preserve">ESTRELA DO NORTE </v>
      </c>
      <c r="D1154" s="2" t="str">
        <f>VLOOKUP($A1154,Controle!$B$4:$F$68,4,FALSE)</f>
        <v>EDN</v>
      </c>
      <c r="E1154" s="2">
        <f>VLOOKUP($A1154,Controle!$B$4:$F$68,5,FALSE)</f>
        <v>2</v>
      </c>
      <c r="F1154" s="3" t="str">
        <f t="shared" si="383"/>
        <v>GOS FLORESTAL - (PRAD - Recuperação Area Ambiental)</v>
      </c>
      <c r="G1154" s="2" t="str">
        <f>VLOOKUP($A1154,Controle!$B$4:$G$68,6,FALSE)</f>
        <v>Apolo</v>
      </c>
      <c r="H1154" s="506" t="s">
        <v>170</v>
      </c>
      <c r="I1154" s="6">
        <v>0</v>
      </c>
      <c r="J1154" s="506"/>
      <c r="K1154" s="506">
        <v>0</v>
      </c>
      <c r="L1154" s="506">
        <v>0</v>
      </c>
      <c r="M1154" s="506">
        <v>0</v>
      </c>
      <c r="N1154" s="506">
        <v>0</v>
      </c>
      <c r="O1154" s="39">
        <f t="shared" si="384"/>
        <v>0</v>
      </c>
      <c r="P1154" s="17">
        <f>SUMIFS('Desenvolvimento diário'!$H:$H,'Desenvolvimento diário'!$Q:$Q,$B1154,'Desenvolvimento diário'!$P:$P,$F1154,'Desenvolvimento diário'!$R:$R,"Sim")</f>
        <v>0</v>
      </c>
      <c r="Q1154" s="17">
        <f>SUMIFS('Desenvolvimento diário'!$H:$H,'Desenvolvimento diário'!$Q:$Q,$B1154,'Desenvolvimento diário'!$P:$P,$F1154,'Desenvolvimento diário'!$R:$R,"Não")</f>
        <v>0</v>
      </c>
      <c r="R1154" s="4">
        <f t="shared" si="385"/>
        <v>0</v>
      </c>
      <c r="S1154" s="4">
        <f t="shared" si="386"/>
        <v>0</v>
      </c>
      <c r="T1154" s="12">
        <f t="shared" si="376"/>
        <v>0</v>
      </c>
      <c r="Y1154" s="2"/>
      <c r="Z1154" s="2"/>
      <c r="AA1154" s="2"/>
      <c r="AB1154" s="2"/>
      <c r="AC1154" s="2"/>
    </row>
    <row r="1155" spans="1:29" hidden="1">
      <c r="A1155" s="2">
        <f t="shared" si="387"/>
        <v>33</v>
      </c>
      <c r="B1155" s="2" t="str">
        <f>VLOOKUP($A1155,Controle!$B$4:$F$68,2,FALSE)</f>
        <v>Pains 3</v>
      </c>
      <c r="C1155" s="2" t="str">
        <f>VLOOKUP($A1155,Controle!$B$4:$F$68,3,FALSE)</f>
        <v xml:space="preserve">ESTRELA DO NORTE </v>
      </c>
      <c r="D1155" s="2" t="str">
        <f>VLOOKUP($A1155,Controle!$B$4:$F$68,4,FALSE)</f>
        <v>EDN</v>
      </c>
      <c r="E1155" s="2">
        <f>VLOOKUP($A1155,Controle!$B$4:$F$68,5,FALSE)</f>
        <v>2</v>
      </c>
      <c r="F1155" s="3" t="str">
        <f t="shared" si="383"/>
        <v>Cercamento das bacias de contenção ciclo 2</v>
      </c>
      <c r="G1155" s="2" t="str">
        <f>VLOOKUP($A1155,Controle!$B$4:$G$68,6,FALSE)</f>
        <v>Apolo</v>
      </c>
      <c r="H1155" s="506" t="s">
        <v>172</v>
      </c>
      <c r="I1155" s="6"/>
      <c r="J1155" s="506"/>
      <c r="K1155" s="506">
        <v>0</v>
      </c>
      <c r="L1155" s="506">
        <v>0</v>
      </c>
      <c r="M1155" s="506">
        <v>0</v>
      </c>
      <c r="N1155" s="506">
        <v>0</v>
      </c>
      <c r="O1155" s="39">
        <f t="shared" si="384"/>
        <v>0</v>
      </c>
      <c r="P1155" s="17">
        <f>SUMIFS('Desenvolvimento diário'!$H:$H,'Desenvolvimento diário'!$Q:$Q,$B1155,'Desenvolvimento diário'!$P:$P,$F1155,'Desenvolvimento diário'!$R:$R,"Sim")</f>
        <v>0</v>
      </c>
      <c r="Q1155" s="17">
        <f>SUMIFS('Desenvolvimento diário'!$H:$H,'Desenvolvimento diário'!$Q:$Q,$B1155,'Desenvolvimento diário'!$P:$P,$F1155,'Desenvolvimento diário'!$R:$R,"Não")</f>
        <v>0</v>
      </c>
      <c r="R1155" s="4">
        <f t="shared" si="385"/>
        <v>0</v>
      </c>
      <c r="S1155" s="1030">
        <f t="shared" si="386"/>
        <v>0</v>
      </c>
      <c r="T1155" s="12">
        <f t="shared" si="376"/>
        <v>0</v>
      </c>
      <c r="U1155" s="1029" t="s">
        <v>166</v>
      </c>
      <c r="V1155" s="1029" t="s">
        <v>94</v>
      </c>
      <c r="Y1155" s="2"/>
      <c r="Z1155" s="2"/>
      <c r="AA1155" s="2"/>
      <c r="AB1155" s="2"/>
      <c r="AC1155" s="2"/>
    </row>
    <row r="1156" spans="1:29" hidden="1">
      <c r="A1156" s="8">
        <f>A1153</f>
        <v>33</v>
      </c>
      <c r="B1156" s="9" t="str">
        <f>B1153</f>
        <v>Pains 3</v>
      </c>
      <c r="C1156" s="9" t="str">
        <f t="shared" ref="C1156" si="389">C1153</f>
        <v xml:space="preserve">ESTRELA DO NORTE </v>
      </c>
      <c r="D1156" s="9" t="str">
        <f t="shared" ref="D1156" si="390">D1153</f>
        <v>EDN</v>
      </c>
      <c r="E1156" s="9">
        <f t="shared" ref="E1156" si="391">E1153</f>
        <v>2</v>
      </c>
      <c r="F1156" s="10" t="s">
        <v>158</v>
      </c>
      <c r="G1156" s="9" t="str">
        <f>G1153</f>
        <v>Apolo</v>
      </c>
      <c r="H1156" s="9"/>
      <c r="I1156" s="9">
        <f>SUBTOTAL(9,I1122:I1155)</f>
        <v>0</v>
      </c>
      <c r="J1156" s="9">
        <f t="shared" ref="J1156:S1156" si="392">SUBTOTAL(9,J1122:J1155)</f>
        <v>0</v>
      </c>
      <c r="K1156" s="9">
        <f t="shared" si="392"/>
        <v>0</v>
      </c>
      <c r="L1156" s="9">
        <f t="shared" si="392"/>
        <v>0</v>
      </c>
      <c r="M1156" s="9">
        <f t="shared" si="392"/>
        <v>0</v>
      </c>
      <c r="N1156" s="9">
        <f t="shared" si="392"/>
        <v>0</v>
      </c>
      <c r="O1156" s="9">
        <f t="shared" si="392"/>
        <v>0</v>
      </c>
      <c r="P1156" s="9">
        <f t="shared" si="392"/>
        <v>0</v>
      </c>
      <c r="Q1156" s="9">
        <f t="shared" si="392"/>
        <v>0</v>
      </c>
      <c r="R1156" s="9">
        <f t="shared" si="392"/>
        <v>0</v>
      </c>
      <c r="S1156" s="9">
        <f t="shared" si="392"/>
        <v>0</v>
      </c>
      <c r="T1156" s="13">
        <f>IFERROR(R1156/O1156,0)</f>
        <v>0</v>
      </c>
      <c r="U1156" s="11">
        <f>SUBTOTAL(9,U1122:U1155)</f>
        <v>0</v>
      </c>
      <c r="Y1156" s="2"/>
      <c r="Z1156" s="2"/>
      <c r="AA1156" s="2"/>
      <c r="AB1156" s="2"/>
      <c r="AC1156" s="2"/>
    </row>
    <row r="1157" spans="1:29" ht="10.5" hidden="1">
      <c r="A1157" s="2">
        <f>A1122+1</f>
        <v>34</v>
      </c>
      <c r="B1157" s="2" t="str">
        <f>VLOOKUP($A1157,Controle!$B$4:$F$68,2,FALSE)</f>
        <v>São Sebastião 6</v>
      </c>
      <c r="C1157" s="2" t="str">
        <f>VLOOKUP($A1157,Controle!$B$4:$F$68,3,FALSE)</f>
        <v xml:space="preserve">ESTRELA DO NORTE </v>
      </c>
      <c r="D1157" s="2" t="str">
        <f>VLOOKUP($A1157,Controle!$B$4:$F$68,4,FALSE)</f>
        <v>EDN</v>
      </c>
      <c r="E1157" s="2">
        <f>VLOOKUP($A1157,Controle!$B$4:$F$68,5,FALSE)</f>
        <v>3</v>
      </c>
      <c r="F1157" s="3" t="str">
        <f t="shared" ref="F1157:F1190" si="393">F1122</f>
        <v>Conexão AT - Obras</v>
      </c>
      <c r="G1157" s="2" t="str">
        <f>VLOOKUP($A1157,Controle!$B$4:$G$68,6,FALSE)</f>
        <v>Apolo</v>
      </c>
      <c r="H1157" s="6" t="s">
        <v>194</v>
      </c>
      <c r="I1157" s="6">
        <v>0</v>
      </c>
      <c r="J1157" s="6">
        <v>0</v>
      </c>
      <c r="K1157" s="6">
        <v>0</v>
      </c>
      <c r="L1157" s="6">
        <v>0</v>
      </c>
      <c r="M1157" s="6">
        <v>0</v>
      </c>
      <c r="N1157" s="6">
        <v>0</v>
      </c>
      <c r="O1157" s="4">
        <f t="shared" ref="O1157:O1190" si="394">SUM(I1157:N1157)</f>
        <v>0</v>
      </c>
      <c r="P1157" s="5">
        <f>SUMIFS('Desenvolvimento diário'!$H:$H,'Desenvolvimento diário'!$Q:$Q,$B1157,'Desenvolvimento diário'!$P:$P,$F1157,'Desenvolvimento diário'!$R:$R,"Sim")</f>
        <v>0</v>
      </c>
      <c r="Q1157" s="5">
        <f>SUMIFS('Desenvolvimento diário'!$H:$H,'Desenvolvimento diário'!$Q:$Q,$B1157,'Desenvolvimento diário'!$P:$P,$F1157,'Desenvolvimento diário'!$R:$R,"Não")</f>
        <v>0</v>
      </c>
      <c r="R1157" s="4">
        <f t="shared" ref="R1157:R1190" si="395">SUM(P1157:Q1157)</f>
        <v>0</v>
      </c>
      <c r="S1157" s="4">
        <f t="shared" ref="S1157:S1190" si="396">O1157-R1157</f>
        <v>0</v>
      </c>
      <c r="T1157" s="12">
        <f t="shared" si="376"/>
        <v>0</v>
      </c>
      <c r="Y1157" s="2"/>
      <c r="Z1157" s="2"/>
      <c r="AA1157" s="2"/>
      <c r="AB1157" s="2"/>
      <c r="AC1157" s="2"/>
    </row>
    <row r="1158" spans="1:29" ht="10.5" hidden="1">
      <c r="A1158" s="2">
        <f t="shared" ref="A1158:A1190" si="397">A1157</f>
        <v>34</v>
      </c>
      <c r="B1158" s="2" t="str">
        <f>VLOOKUP($A1158,Controle!$B$4:$F$68,2,FALSE)</f>
        <v>São Sebastião 6</v>
      </c>
      <c r="C1158" s="2" t="str">
        <f>VLOOKUP($A1158,Controle!$B$4:$F$68,3,FALSE)</f>
        <v xml:space="preserve">ESTRELA DO NORTE </v>
      </c>
      <c r="D1158" s="2" t="str">
        <f>VLOOKUP($A1158,Controle!$B$4:$F$68,4,FALSE)</f>
        <v>EDN</v>
      </c>
      <c r="E1158" s="2">
        <f>VLOOKUP($A1158,Controle!$B$4:$F$68,5,FALSE)</f>
        <v>3</v>
      </c>
      <c r="F1158" s="3" t="str">
        <f t="shared" si="393"/>
        <v>Conexão MT - Obras</v>
      </c>
      <c r="G1158" s="2" t="str">
        <f>VLOOKUP($A1158,Controle!$B$4:$G$68,6,FALSE)</f>
        <v>Apolo</v>
      </c>
      <c r="H1158" s="6" t="s">
        <v>194</v>
      </c>
      <c r="I1158" s="6">
        <v>0</v>
      </c>
      <c r="J1158" s="6">
        <v>0</v>
      </c>
      <c r="K1158" s="6">
        <v>0</v>
      </c>
      <c r="L1158" s="6">
        <v>0</v>
      </c>
      <c r="M1158" s="6">
        <v>0</v>
      </c>
      <c r="N1158" s="6">
        <v>0</v>
      </c>
      <c r="O1158" s="4">
        <f t="shared" si="394"/>
        <v>0</v>
      </c>
      <c r="P1158" s="5">
        <f>SUMIFS('Desenvolvimento diário'!$H:$H,'Desenvolvimento diário'!$Q:$Q,$B1158,'Desenvolvimento diário'!$P:$P,$F1158,'Desenvolvimento diário'!$R:$R,"Sim")</f>
        <v>0</v>
      </c>
      <c r="Q1158" s="5">
        <f>SUMIFS('Desenvolvimento diário'!$H:$H,'Desenvolvimento diário'!$Q:$Q,$B1158,'Desenvolvimento diário'!$P:$P,$F1158,'Desenvolvimento diário'!$R:$R,"Não")</f>
        <v>0</v>
      </c>
      <c r="R1158" s="4">
        <f t="shared" si="395"/>
        <v>0</v>
      </c>
      <c r="S1158" s="4">
        <f t="shared" si="396"/>
        <v>0</v>
      </c>
      <c r="T1158" s="12">
        <f t="shared" ref="T1158:T1223" si="398">IFERROR(R1158/O1158,0)</f>
        <v>0</v>
      </c>
      <c r="Y1158" s="2"/>
      <c r="Z1158" s="2"/>
      <c r="AA1158" s="2"/>
      <c r="AB1158" s="2"/>
      <c r="AC1158" s="2"/>
    </row>
    <row r="1159" spans="1:29" ht="10.5" hidden="1">
      <c r="A1159" s="2">
        <f t="shared" si="397"/>
        <v>34</v>
      </c>
      <c r="B1159" s="2" t="str">
        <f>VLOOKUP($A1159,Controle!$B$4:$F$68,2,FALSE)</f>
        <v>São Sebastião 6</v>
      </c>
      <c r="C1159" s="2" t="str">
        <f>VLOOKUP($A1159,Controle!$B$4:$F$68,3,FALSE)</f>
        <v xml:space="preserve">ESTRELA DO NORTE </v>
      </c>
      <c r="D1159" s="2" t="str">
        <f>VLOOKUP($A1159,Controle!$B$4:$F$68,4,FALSE)</f>
        <v>EDN</v>
      </c>
      <c r="E1159" s="2">
        <f>VLOOKUP($A1159,Controle!$B$4:$F$68,5,FALSE)</f>
        <v>3</v>
      </c>
      <c r="F1159" s="3" t="str">
        <f t="shared" si="393"/>
        <v>Construção - Serviços de Construção</v>
      </c>
      <c r="G1159" s="2" t="str">
        <f>VLOOKUP($A1159,Controle!$B$4:$G$68,6,FALSE)</f>
        <v>Apolo</v>
      </c>
      <c r="H1159" s="6" t="s">
        <v>201</v>
      </c>
      <c r="I1159" s="6">
        <v>2822185.47</v>
      </c>
      <c r="J1159" s="6">
        <v>276750.74</v>
      </c>
      <c r="K1159" s="6">
        <f>259146.86-0.01</f>
        <v>259146.84999999998</v>
      </c>
      <c r="L1159" s="6">
        <v>0</v>
      </c>
      <c r="M1159" s="6">
        <v>0</v>
      </c>
      <c r="N1159" s="6">
        <v>0</v>
      </c>
      <c r="O1159" s="4">
        <f t="shared" si="394"/>
        <v>3358083.06</v>
      </c>
      <c r="P1159" s="5">
        <f>SUMIFS('Desenvolvimento diário'!$H:$H,'Desenvolvimento diário'!$Q:$Q,$B1159,'Desenvolvimento diário'!$P:$P,$F1159,'Desenvolvimento diário'!$R:$R,"Sim")</f>
        <v>197678.94</v>
      </c>
      <c r="Q1159" s="5">
        <f>SUMIFS('Desenvolvimento diário'!$H:$H,'Desenvolvimento diário'!$Q:$Q,$B1159,'Desenvolvimento diário'!$P:$P,$F1159,'Desenvolvimento diário'!$R:$R,"Não")</f>
        <v>3160404.12</v>
      </c>
      <c r="R1159" s="4">
        <f t="shared" si="395"/>
        <v>3358083.06</v>
      </c>
      <c r="S1159" s="137">
        <f t="shared" si="396"/>
        <v>0</v>
      </c>
      <c r="T1159" s="12">
        <f t="shared" si="398"/>
        <v>1</v>
      </c>
      <c r="Y1159" s="2"/>
      <c r="Z1159" s="2"/>
      <c r="AA1159" s="2"/>
      <c r="AB1159" s="2"/>
      <c r="AC1159" s="2"/>
    </row>
    <row r="1160" spans="1:29" ht="10.5" hidden="1">
      <c r="A1160" s="2">
        <f t="shared" si="397"/>
        <v>34</v>
      </c>
      <c r="B1160" s="2" t="str">
        <f>VLOOKUP($A1160,Controle!$B$4:$F$68,2,FALSE)</f>
        <v>São Sebastião 6</v>
      </c>
      <c r="C1160" s="2" t="str">
        <f>VLOOKUP($A1160,Controle!$B$4:$F$68,3,FALSE)</f>
        <v xml:space="preserve">ESTRELA DO NORTE </v>
      </c>
      <c r="D1160" s="2" t="str">
        <f>VLOOKUP($A1160,Controle!$B$4:$F$68,4,FALSE)</f>
        <v>EDN</v>
      </c>
      <c r="E1160" s="2">
        <f>VLOOKUP($A1160,Controle!$B$4:$F$68,5,FALSE)</f>
        <v>3</v>
      </c>
      <c r="F1160" s="3" t="str">
        <f t="shared" si="393"/>
        <v>Construção - Serviços de Construção - Substituição</v>
      </c>
      <c r="G1160" s="2" t="str">
        <f>VLOOKUP($A1160,Controle!$B$4:$G$68,6,FALSE)</f>
        <v>Apolo</v>
      </c>
      <c r="H1160" s="6" t="s">
        <v>202</v>
      </c>
      <c r="I1160" s="6">
        <v>2740702.22</v>
      </c>
      <c r="J1160" s="6">
        <v>0</v>
      </c>
      <c r="K1160" s="6">
        <v>0</v>
      </c>
      <c r="L1160" s="6">
        <v>0</v>
      </c>
      <c r="M1160" s="6">
        <v>0</v>
      </c>
      <c r="N1160" s="6">
        <v>0</v>
      </c>
      <c r="O1160" s="4">
        <f t="shared" si="394"/>
        <v>2740702.22</v>
      </c>
      <c r="P1160" s="5">
        <f>SUMIFS('Desenvolvimento diário'!$H:$H,'Desenvolvimento diário'!$Q:$Q,$B1160,'Desenvolvimento diário'!$P:$P,$F1160,'Desenvolvimento diário'!$R:$R,"Sim")</f>
        <v>0</v>
      </c>
      <c r="Q1160" s="5">
        <f>SUMIFS('Desenvolvimento diário'!$H:$H,'Desenvolvimento diário'!$Q:$Q,$B1160,'Desenvolvimento diário'!$P:$P,$F1160,'Desenvolvimento diário'!$R:$R,"Não")</f>
        <v>274070.21999999997</v>
      </c>
      <c r="R1160" s="4">
        <f t="shared" si="395"/>
        <v>274070.21999999997</v>
      </c>
      <c r="S1160" s="33">
        <f t="shared" si="396"/>
        <v>2466632</v>
      </c>
      <c r="T1160" s="12">
        <f t="shared" si="398"/>
        <v>9.9999999270260001E-2</v>
      </c>
      <c r="U1160" s="510" t="s">
        <v>162</v>
      </c>
      <c r="V1160" s="510" t="s">
        <v>163</v>
      </c>
      <c r="Y1160" s="2"/>
      <c r="Z1160" s="2"/>
      <c r="AA1160" s="2"/>
      <c r="AB1160" s="2"/>
      <c r="AC1160" s="2"/>
    </row>
    <row r="1161" spans="1:29" ht="10.5" hidden="1">
      <c r="A1161" s="2">
        <f t="shared" si="397"/>
        <v>34</v>
      </c>
      <c r="B1161" s="2" t="str">
        <f>VLOOKUP($A1161,Controle!$B$4:$F$68,2,FALSE)</f>
        <v>São Sebastião 6</v>
      </c>
      <c r="C1161" s="2" t="str">
        <f>VLOOKUP($A1161,Controle!$B$4:$F$68,3,FALSE)</f>
        <v xml:space="preserve">ESTRELA DO NORTE </v>
      </c>
      <c r="D1161" s="2" t="str">
        <f>VLOOKUP($A1161,Controle!$B$4:$F$68,4,FALSE)</f>
        <v>EDN</v>
      </c>
      <c r="E1161" s="2">
        <f>VLOOKUP($A1161,Controle!$B$4:$F$68,5,FALSE)</f>
        <v>3</v>
      </c>
      <c r="F1161" s="3" t="str">
        <f t="shared" si="393"/>
        <v>Construção - RDA Interno</v>
      </c>
      <c r="G1161" s="2" t="str">
        <f>VLOOKUP($A1161,Controle!$B$4:$G$68,6,FALSE)</f>
        <v>Apolo</v>
      </c>
      <c r="H1161" s="6" t="s">
        <v>168</v>
      </c>
      <c r="I1161" s="6">
        <v>508204.33</v>
      </c>
      <c r="J1161" s="6">
        <v>0</v>
      </c>
      <c r="K1161" s="6">
        <v>0</v>
      </c>
      <c r="L1161" s="6">
        <v>0</v>
      </c>
      <c r="M1161" s="6">
        <v>0</v>
      </c>
      <c r="N1161" s="6">
        <v>0</v>
      </c>
      <c r="O1161" s="43">
        <f t="shared" si="394"/>
        <v>508204.33</v>
      </c>
      <c r="P1161" s="5">
        <f>SUMIFS('Desenvolvimento diário'!$H:$H,'Desenvolvimento diário'!$Q:$Q,$B1161,'Desenvolvimento diário'!$P:$P,$F1161,'Desenvolvimento diário'!$R:$R,"Sim")</f>
        <v>132829.66</v>
      </c>
      <c r="Q1161" s="5">
        <f>SUMIFS('Desenvolvimento diário'!$H:$H,'Desenvolvimento diário'!$Q:$Q,$B1161,'Desenvolvimento diário'!$P:$P,$F1161,'Desenvolvimento diário'!$R:$R,"Não")</f>
        <v>375374.67000000004</v>
      </c>
      <c r="R1161" s="4">
        <f t="shared" si="395"/>
        <v>508204.33000000007</v>
      </c>
      <c r="S1161" s="4">
        <f t="shared" si="396"/>
        <v>0</v>
      </c>
      <c r="T1161" s="12">
        <f t="shared" si="398"/>
        <v>1.0000000000000002</v>
      </c>
      <c r="Y1161" s="2"/>
      <c r="Z1161" s="2"/>
      <c r="AA1161" s="2"/>
      <c r="AB1161" s="2"/>
      <c r="AC1161" s="2"/>
    </row>
    <row r="1162" spans="1:29" ht="10.5" hidden="1">
      <c r="A1162" s="2">
        <f t="shared" si="397"/>
        <v>34</v>
      </c>
      <c r="B1162" s="2" t="str">
        <f>VLOOKUP($A1162,Controle!$B$4:$F$68,2,FALSE)</f>
        <v>São Sebastião 6</v>
      </c>
      <c r="C1162" s="2" t="str">
        <f>VLOOKUP($A1162,Controle!$B$4:$F$68,3,FALSE)</f>
        <v xml:space="preserve">ESTRELA DO NORTE </v>
      </c>
      <c r="D1162" s="2" t="str">
        <f>VLOOKUP($A1162,Controle!$B$4:$F$68,4,FALSE)</f>
        <v>EDN</v>
      </c>
      <c r="E1162" s="2">
        <f>VLOOKUP($A1162,Controle!$B$4:$F$68,5,FALSE)</f>
        <v>3</v>
      </c>
      <c r="F1162" s="3" t="str">
        <f t="shared" si="393"/>
        <v>Full EPC - Contrato</v>
      </c>
      <c r="G1162" s="2" t="str">
        <f>VLOOKUP($A1162,Controle!$B$4:$G$68,6,FALSE)</f>
        <v>Apolo</v>
      </c>
      <c r="H1162" s="6">
        <v>0</v>
      </c>
      <c r="I1162" s="6">
        <v>0</v>
      </c>
      <c r="J1162" s="6">
        <v>0</v>
      </c>
      <c r="K1162" s="6">
        <v>0</v>
      </c>
      <c r="L1162" s="6">
        <v>0</v>
      </c>
      <c r="M1162" s="6">
        <v>0</v>
      </c>
      <c r="N1162" s="6">
        <v>0</v>
      </c>
      <c r="O1162" s="4">
        <f t="shared" si="394"/>
        <v>0</v>
      </c>
      <c r="P1162" s="5">
        <f>SUMIFS('Desenvolvimento diário'!$H:$H,'Desenvolvimento diário'!$Q:$Q,$B1162,'Desenvolvimento diário'!$P:$P,$F1162,'Desenvolvimento diário'!$R:$R,"Sim")</f>
        <v>0</v>
      </c>
      <c r="Q1162" s="5">
        <f>SUMIFS('Desenvolvimento diário'!$H:$H,'Desenvolvimento diário'!$Q:$Q,$B1162,'Desenvolvimento diário'!$P:$P,$F1162,'Desenvolvimento diário'!$R:$R,"Não")</f>
        <v>0</v>
      </c>
      <c r="R1162" s="4">
        <f t="shared" si="395"/>
        <v>0</v>
      </c>
      <c r="S1162" s="4">
        <f t="shared" si="396"/>
        <v>0</v>
      </c>
      <c r="T1162" s="12">
        <f t="shared" si="398"/>
        <v>0</v>
      </c>
      <c r="Y1162" s="2"/>
      <c r="Z1162" s="2"/>
      <c r="AA1162" s="2"/>
      <c r="AB1162" s="2"/>
      <c r="AC1162" s="2"/>
    </row>
    <row r="1163" spans="1:29" ht="10.5" hidden="1">
      <c r="A1163" s="2">
        <f t="shared" si="397"/>
        <v>34</v>
      </c>
      <c r="B1163" s="2" t="str">
        <f>VLOOKUP($A1163,Controle!$B$4:$F$68,2,FALSE)</f>
        <v>São Sebastião 6</v>
      </c>
      <c r="C1163" s="2" t="str">
        <f>VLOOKUP($A1163,Controle!$B$4:$F$68,3,FALSE)</f>
        <v xml:space="preserve">ESTRELA DO NORTE </v>
      </c>
      <c r="D1163" s="2" t="str">
        <f>VLOOKUP($A1163,Controle!$B$4:$F$68,4,FALSE)</f>
        <v>EDN</v>
      </c>
      <c r="E1163" s="2">
        <f>VLOOKUP($A1163,Controle!$B$4:$F$68,5,FALSE)</f>
        <v>3</v>
      </c>
      <c r="F1163" s="3" t="str">
        <f t="shared" si="393"/>
        <v>Equipamentos Curva A - Outros (Transformadores)</v>
      </c>
      <c r="G1163" s="2" t="str">
        <f>VLOOKUP($A1163,Controle!$B$4:$G$68,6,FALSE)</f>
        <v>Apolo</v>
      </c>
      <c r="H1163" s="6" t="s">
        <v>144</v>
      </c>
      <c r="I1163" s="6">
        <v>237529.9</v>
      </c>
      <c r="J1163" s="6">
        <v>0</v>
      </c>
      <c r="K1163" s="6">
        <v>0</v>
      </c>
      <c r="L1163" s="6">
        <v>0</v>
      </c>
      <c r="M1163" s="6">
        <v>0</v>
      </c>
      <c r="N1163" s="6">
        <v>0</v>
      </c>
      <c r="O1163" s="4">
        <f t="shared" si="394"/>
        <v>237529.9</v>
      </c>
      <c r="P1163" s="5">
        <f>SUMIFS('Desenvolvimento diário'!$H:$H,'Desenvolvimento diário'!$Q:$Q,$B1163,'Desenvolvimento diário'!$P:$P,$F1163,'Desenvolvimento diário'!$R:$R,"Sim")</f>
        <v>0</v>
      </c>
      <c r="Q1163" s="5">
        <f>SUMIFS('Desenvolvimento diário'!$H:$H,'Desenvolvimento diário'!$Q:$Q,$B1163,'Desenvolvimento diário'!$P:$P,$F1163,'Desenvolvimento diário'!$R:$R,"Não")</f>
        <v>237529.9</v>
      </c>
      <c r="R1163" s="4">
        <f t="shared" si="395"/>
        <v>237529.9</v>
      </c>
      <c r="S1163" s="4">
        <f t="shared" si="396"/>
        <v>0</v>
      </c>
      <c r="T1163" s="12">
        <f t="shared" si="398"/>
        <v>1</v>
      </c>
      <c r="Y1163" s="2"/>
      <c r="Z1163" s="2"/>
      <c r="AA1163" s="2"/>
      <c r="AB1163" s="2"/>
      <c r="AC1163" s="2"/>
    </row>
    <row r="1164" spans="1:29" ht="10.5" hidden="1">
      <c r="A1164" s="2">
        <f t="shared" si="397"/>
        <v>34</v>
      </c>
      <c r="B1164" s="2" t="str">
        <f>VLOOKUP($A1164,Controle!$B$4:$F$68,2,FALSE)</f>
        <v>São Sebastião 6</v>
      </c>
      <c r="C1164" s="2" t="str">
        <f>VLOOKUP($A1164,Controle!$B$4:$F$68,3,FALSE)</f>
        <v xml:space="preserve">ESTRELA DO NORTE </v>
      </c>
      <c r="D1164" s="2" t="str">
        <f>VLOOKUP($A1164,Controle!$B$4:$F$68,4,FALSE)</f>
        <v>EDN</v>
      </c>
      <c r="E1164" s="2">
        <f>VLOOKUP($A1164,Controle!$B$4:$F$68,5,FALSE)</f>
        <v>3</v>
      </c>
      <c r="F1164" s="3" t="str">
        <f t="shared" si="393"/>
        <v>Equipamentos Curva A - Outros (Cabine + Skid)</v>
      </c>
      <c r="G1164" s="2" t="str">
        <f>VLOOKUP($A1164,Controle!$B$4:$G$68,6,FALSE)</f>
        <v>Apolo</v>
      </c>
      <c r="H1164" s="6" t="s">
        <v>196</v>
      </c>
      <c r="I1164" s="6">
        <v>620490.51</v>
      </c>
      <c r="J1164" s="6">
        <v>6454.39</v>
      </c>
      <c r="K1164" s="6">
        <v>0</v>
      </c>
      <c r="L1164" s="6">
        <v>0</v>
      </c>
      <c r="M1164" s="6">
        <v>0</v>
      </c>
      <c r="N1164" s="6">
        <v>0</v>
      </c>
      <c r="O1164" s="4">
        <f t="shared" si="394"/>
        <v>626944.9</v>
      </c>
      <c r="P1164" s="5">
        <f>SUMIFS('Desenvolvimento diário'!$H:$H,'Desenvolvimento diário'!$Q:$Q,$B1164,'Desenvolvimento diário'!$P:$P,$F1164,'Desenvolvimento diário'!$R:$R,"Sim")</f>
        <v>0</v>
      </c>
      <c r="Q1164" s="5">
        <f>SUMIFS('Desenvolvimento diário'!$H:$H,'Desenvolvimento diário'!$Q:$Q,$B1164,'Desenvolvimento diário'!$P:$P,$F1164,'Desenvolvimento diário'!$R:$R,"Não")</f>
        <v>626944.9</v>
      </c>
      <c r="R1164" s="4">
        <f t="shared" si="395"/>
        <v>626944.9</v>
      </c>
      <c r="S1164" s="4">
        <f t="shared" si="396"/>
        <v>0</v>
      </c>
      <c r="T1164" s="12">
        <f t="shared" si="398"/>
        <v>1</v>
      </c>
      <c r="Y1164" s="2"/>
      <c r="Z1164" s="2"/>
      <c r="AA1164" s="2"/>
      <c r="AB1164" s="2"/>
      <c r="AC1164" s="2"/>
    </row>
    <row r="1165" spans="1:29" ht="10.5" hidden="1">
      <c r="A1165" s="2">
        <f t="shared" si="397"/>
        <v>34</v>
      </c>
      <c r="B1165" s="2" t="str">
        <f>VLOOKUP($A1165,Controle!$B$4:$F$68,2,FALSE)</f>
        <v>São Sebastião 6</v>
      </c>
      <c r="C1165" s="2" t="str">
        <f>VLOOKUP($A1165,Controle!$B$4:$F$68,3,FALSE)</f>
        <v xml:space="preserve">ESTRELA DO NORTE </v>
      </c>
      <c r="D1165" s="2" t="str">
        <f>VLOOKUP($A1165,Controle!$B$4:$F$68,4,FALSE)</f>
        <v>EDN</v>
      </c>
      <c r="E1165" s="2">
        <f>VLOOKUP($A1165,Controle!$B$4:$F$68,5,FALSE)</f>
        <v>3</v>
      </c>
      <c r="F1165" s="3" t="str">
        <f t="shared" si="393"/>
        <v>Equipamentos Curva A - Outros (Cabine + Skid + Transformador)</v>
      </c>
      <c r="G1165" s="2" t="str">
        <f>VLOOKUP($A1165,Controle!$B$4:$G$68,6,FALSE)</f>
        <v>Apolo</v>
      </c>
      <c r="H1165" s="6">
        <v>0</v>
      </c>
      <c r="I1165" s="6">
        <v>0</v>
      </c>
      <c r="J1165" s="6">
        <v>0</v>
      </c>
      <c r="K1165" s="6">
        <v>0</v>
      </c>
      <c r="L1165" s="6">
        <v>0</v>
      </c>
      <c r="M1165" s="6">
        <v>0</v>
      </c>
      <c r="N1165" s="6">
        <v>0</v>
      </c>
      <c r="O1165" s="4">
        <f t="shared" si="394"/>
        <v>0</v>
      </c>
      <c r="P1165" s="5">
        <f>SUMIFS('Desenvolvimento diário'!$H:$H,'Desenvolvimento diário'!$Q:$Q,$B1165,'Desenvolvimento diário'!$P:$P,$F1165,'Desenvolvimento diário'!$R:$R,"Sim")</f>
        <v>0</v>
      </c>
      <c r="Q1165" s="5">
        <f>SUMIFS('Desenvolvimento diário'!$H:$H,'Desenvolvimento diário'!$Q:$Q,$B1165,'Desenvolvimento diário'!$P:$P,$F1165,'Desenvolvimento diário'!$R:$R,"Não")</f>
        <v>0</v>
      </c>
      <c r="R1165" s="4">
        <f t="shared" si="395"/>
        <v>0</v>
      </c>
      <c r="S1165" s="4">
        <f t="shared" si="396"/>
        <v>0</v>
      </c>
      <c r="T1165" s="12">
        <f t="shared" si="398"/>
        <v>0</v>
      </c>
      <c r="Y1165" s="2"/>
      <c r="Z1165" s="2"/>
      <c r="AA1165" s="2"/>
      <c r="AB1165" s="2"/>
      <c r="AC1165" s="2"/>
    </row>
    <row r="1166" spans="1:29" ht="10.5" hidden="1">
      <c r="A1166" s="2">
        <f t="shared" si="397"/>
        <v>34</v>
      </c>
      <c r="B1166" s="2" t="str">
        <f>VLOOKUP($A1166,Controle!$B$4:$F$68,2,FALSE)</f>
        <v>São Sebastião 6</v>
      </c>
      <c r="C1166" s="2" t="str">
        <f>VLOOKUP($A1166,Controle!$B$4:$F$68,3,FALSE)</f>
        <v xml:space="preserve">ESTRELA DO NORTE </v>
      </c>
      <c r="D1166" s="2" t="str">
        <f>VLOOKUP($A1166,Controle!$B$4:$F$68,4,FALSE)</f>
        <v>EDN</v>
      </c>
      <c r="E1166" s="2">
        <f>VLOOKUP($A1166,Controle!$B$4:$F$68,5,FALSE)</f>
        <v>3</v>
      </c>
      <c r="F1166" s="3" t="str">
        <f t="shared" si="393"/>
        <v>Desenvolvimento de projeto - Projetos - (Eng° Proprietario)</v>
      </c>
      <c r="G1166" s="2" t="str">
        <f>VLOOKUP($A1166,Controle!$B$4:$G$68,6,FALSE)</f>
        <v>Apolo</v>
      </c>
      <c r="H1166" s="6" t="s">
        <v>145</v>
      </c>
      <c r="I1166" s="6">
        <v>0</v>
      </c>
      <c r="J1166" s="6">
        <v>0</v>
      </c>
      <c r="K1166" s="6">
        <v>0</v>
      </c>
      <c r="L1166" s="6">
        <v>0</v>
      </c>
      <c r="M1166" s="6">
        <v>0</v>
      </c>
      <c r="N1166" s="6">
        <v>0</v>
      </c>
      <c r="O1166" s="4">
        <f t="shared" si="394"/>
        <v>0</v>
      </c>
      <c r="P1166" s="5">
        <f>SUMIFS('Desenvolvimento diário'!$H:$H,'Desenvolvimento diário'!$Q:$Q,$B1166,'Desenvolvimento diário'!$P:$P,$F1166,'Desenvolvimento diário'!$R:$R,"Sim")</f>
        <v>0</v>
      </c>
      <c r="Q1166" s="5">
        <f>SUMIFS('Desenvolvimento diário'!$H:$H,'Desenvolvimento diário'!$Q:$Q,$B1166,'Desenvolvimento diário'!$P:$P,$F1166,'Desenvolvimento diário'!$R:$R,"Não")</f>
        <v>0</v>
      </c>
      <c r="R1166" s="4">
        <f t="shared" si="395"/>
        <v>0</v>
      </c>
      <c r="S1166" s="4">
        <f t="shared" si="396"/>
        <v>0</v>
      </c>
      <c r="T1166" s="12">
        <f t="shared" si="398"/>
        <v>0</v>
      </c>
      <c r="Y1166" s="2"/>
      <c r="Z1166" s="2"/>
      <c r="AA1166" s="2"/>
      <c r="AB1166" s="2"/>
      <c r="AC1166" s="2"/>
    </row>
    <row r="1167" spans="1:29" ht="10.5" hidden="1">
      <c r="A1167" s="2">
        <f t="shared" si="397"/>
        <v>34</v>
      </c>
      <c r="B1167" s="2" t="str">
        <f>VLOOKUP($A1167,Controle!$B$4:$F$68,2,FALSE)</f>
        <v>São Sebastião 6</v>
      </c>
      <c r="C1167" s="2" t="str">
        <f>VLOOKUP($A1167,Controle!$B$4:$F$68,3,FALSE)</f>
        <v xml:space="preserve">ESTRELA DO NORTE </v>
      </c>
      <c r="D1167" s="2" t="str">
        <f>VLOOKUP($A1167,Controle!$B$4:$F$68,4,FALSE)</f>
        <v>EDN</v>
      </c>
      <c r="E1167" s="2">
        <f>VLOOKUP($A1167,Controle!$B$4:$F$68,5,FALSE)</f>
        <v>3</v>
      </c>
      <c r="F1167" s="3" t="str">
        <f t="shared" si="393"/>
        <v>Desenvolvimento de projeto - Projetos - Executivos</v>
      </c>
      <c r="G1167" s="2" t="str">
        <f>VLOOKUP($A1167,Controle!$B$4:$G$68,6,FALSE)</f>
        <v>Apolo</v>
      </c>
      <c r="H1167" s="6" t="s">
        <v>146</v>
      </c>
      <c r="I1167" s="6">
        <v>32500</v>
      </c>
      <c r="J1167" s="6">
        <f>850+6500</f>
        <v>7350</v>
      </c>
      <c r="K1167" s="6">
        <v>0</v>
      </c>
      <c r="L1167" s="6">
        <v>0</v>
      </c>
      <c r="M1167" s="6">
        <v>0</v>
      </c>
      <c r="N1167" s="6">
        <v>0</v>
      </c>
      <c r="O1167" s="4">
        <f t="shared" si="394"/>
        <v>39850</v>
      </c>
      <c r="P1167" s="5">
        <f>SUMIFS('Desenvolvimento diário'!$H:$H,'Desenvolvimento diário'!$Q:$Q,$B1167,'Desenvolvimento diário'!$P:$P,$F1167,'Desenvolvimento diário'!$R:$R,"Sim")</f>
        <v>0</v>
      </c>
      <c r="Q1167" s="5">
        <f>SUMIFS('Desenvolvimento diário'!$H:$H,'Desenvolvimento diário'!$Q:$Q,$B1167,'Desenvolvimento diário'!$P:$P,$F1167,'Desenvolvimento diário'!$R:$R,"Não")</f>
        <v>39850</v>
      </c>
      <c r="R1167" s="4">
        <f t="shared" si="395"/>
        <v>39850</v>
      </c>
      <c r="S1167" s="4">
        <f t="shared" si="396"/>
        <v>0</v>
      </c>
      <c r="T1167" s="12">
        <f t="shared" si="398"/>
        <v>1</v>
      </c>
      <c r="U1167" s="34"/>
      <c r="Y1167" s="2"/>
      <c r="Z1167" s="2"/>
      <c r="AA1167" s="2"/>
      <c r="AB1167" s="2"/>
      <c r="AC1167" s="2"/>
    </row>
    <row r="1168" spans="1:29" ht="10.5" hidden="1">
      <c r="A1168" s="2">
        <f t="shared" si="397"/>
        <v>34</v>
      </c>
      <c r="B1168" s="2" t="str">
        <f>VLOOKUP($A1168,Controle!$B$4:$F$68,2,FALSE)</f>
        <v>São Sebastião 6</v>
      </c>
      <c r="C1168" s="2" t="str">
        <f>VLOOKUP($A1168,Controle!$B$4:$F$68,3,FALSE)</f>
        <v xml:space="preserve">ESTRELA DO NORTE </v>
      </c>
      <c r="D1168" s="2" t="str">
        <f>VLOOKUP($A1168,Controle!$B$4:$F$68,4,FALSE)</f>
        <v>EDN</v>
      </c>
      <c r="E1168" s="2">
        <f>VLOOKUP($A1168,Controle!$B$4:$F$68,5,FALSE)</f>
        <v>3</v>
      </c>
      <c r="F1168" s="3" t="str">
        <f t="shared" si="393"/>
        <v>Desenvolvimento de projeto - Projetos Básica</v>
      </c>
      <c r="G1168" s="2" t="str">
        <f>VLOOKUP($A1168,Controle!$B$4:$G$68,6,FALSE)</f>
        <v>Apolo</v>
      </c>
      <c r="H1168" s="6" t="s">
        <v>147</v>
      </c>
      <c r="I1168" s="6">
        <f>20000+15000</f>
        <v>35000</v>
      </c>
      <c r="J1168" s="6">
        <v>5557.55</v>
      </c>
      <c r="K1168" s="6">
        <v>0</v>
      </c>
      <c r="L1168" s="6">
        <v>0</v>
      </c>
      <c r="M1168" s="6">
        <v>0</v>
      </c>
      <c r="N1168" s="6">
        <v>0</v>
      </c>
      <c r="O1168" s="4">
        <f t="shared" si="394"/>
        <v>40557.550000000003</v>
      </c>
      <c r="P1168" s="5">
        <f>SUMIFS('Desenvolvimento diário'!$H:$H,'Desenvolvimento diário'!$Q:$Q,$B1168,'Desenvolvimento diário'!$P:$P,$F1168,'Desenvolvimento diário'!$R:$R,"Sim")</f>
        <v>0</v>
      </c>
      <c r="Q1168" s="5">
        <f>SUMIFS('Desenvolvimento diário'!$H:$H,'Desenvolvimento diário'!$Q:$Q,$B1168,'Desenvolvimento diário'!$P:$P,$F1168,'Desenvolvimento diário'!$R:$R,"Não")</f>
        <v>40557.550000000003</v>
      </c>
      <c r="R1168" s="4">
        <f t="shared" si="395"/>
        <v>40557.550000000003</v>
      </c>
      <c r="S1168" s="4">
        <f t="shared" si="396"/>
        <v>0</v>
      </c>
      <c r="T1168" s="12">
        <f t="shared" si="398"/>
        <v>1</v>
      </c>
      <c r="U1168" s="34"/>
      <c r="Y1168" s="2"/>
      <c r="Z1168" s="2"/>
      <c r="AA1168" s="2"/>
      <c r="AB1168" s="2"/>
      <c r="AC1168" s="2"/>
    </row>
    <row r="1169" spans="1:29" ht="10.5" hidden="1">
      <c r="A1169" s="2">
        <f t="shared" si="397"/>
        <v>34</v>
      </c>
      <c r="B1169" s="2" t="str">
        <f>VLOOKUP($A1169,Controle!$B$4:$F$68,2,FALSE)</f>
        <v>São Sebastião 6</v>
      </c>
      <c r="C1169" s="2" t="str">
        <f>VLOOKUP($A1169,Controle!$B$4:$F$68,3,FALSE)</f>
        <v xml:space="preserve">ESTRELA DO NORTE </v>
      </c>
      <c r="D1169" s="2" t="str">
        <f>VLOOKUP($A1169,Controle!$B$4:$F$68,4,FALSE)</f>
        <v>EDN</v>
      </c>
      <c r="E1169" s="2">
        <f>VLOOKUP($A1169,Controle!$B$4:$F$68,5,FALSE)</f>
        <v>3</v>
      </c>
      <c r="F1169" s="3" t="str">
        <f t="shared" si="393"/>
        <v>Desenvolvimento de projeto - Projetos Detalhada</v>
      </c>
      <c r="G1169" s="2" t="str">
        <f>VLOOKUP($A1169,Controle!$B$4:$G$68,6,FALSE)</f>
        <v>Apolo</v>
      </c>
      <c r="H1169" s="6">
        <v>0</v>
      </c>
      <c r="I1169" s="6">
        <v>0</v>
      </c>
      <c r="J1169" s="6">
        <v>0</v>
      </c>
      <c r="K1169" s="6">
        <v>0</v>
      </c>
      <c r="L1169" s="6">
        <v>0</v>
      </c>
      <c r="M1169" s="6">
        <v>0</v>
      </c>
      <c r="N1169" s="6">
        <v>0</v>
      </c>
      <c r="O1169" s="4">
        <f t="shared" si="394"/>
        <v>0</v>
      </c>
      <c r="P1169" s="5">
        <f>SUMIFS('Desenvolvimento diário'!$H:$H,'Desenvolvimento diário'!$Q:$Q,$B1169,'Desenvolvimento diário'!$P:$P,$F1169,'Desenvolvimento diário'!$R:$R,"Sim")</f>
        <v>0</v>
      </c>
      <c r="Q1169" s="5">
        <f>SUMIFS('Desenvolvimento diário'!$H:$H,'Desenvolvimento diário'!$Q:$Q,$B1169,'Desenvolvimento diário'!$P:$P,$F1169,'Desenvolvimento diário'!$R:$R,"Não")</f>
        <v>0</v>
      </c>
      <c r="R1169" s="4">
        <f t="shared" si="395"/>
        <v>0</v>
      </c>
      <c r="S1169" s="27">
        <f t="shared" si="396"/>
        <v>0</v>
      </c>
      <c r="T1169" s="12">
        <f t="shared" si="398"/>
        <v>0</v>
      </c>
      <c r="Y1169" s="2"/>
      <c r="Z1169" s="2"/>
      <c r="AA1169" s="2"/>
      <c r="AB1169" s="2"/>
      <c r="AC1169" s="2"/>
    </row>
    <row r="1170" spans="1:29" ht="10.5" hidden="1">
      <c r="A1170" s="2">
        <f t="shared" si="397"/>
        <v>34</v>
      </c>
      <c r="B1170" s="2" t="str">
        <f>VLOOKUP($A1170,Controle!$B$4:$F$68,2,FALSE)</f>
        <v>São Sebastião 6</v>
      </c>
      <c r="C1170" s="2" t="str">
        <f>VLOOKUP($A1170,Controle!$B$4:$F$68,3,FALSE)</f>
        <v xml:space="preserve">ESTRELA DO NORTE </v>
      </c>
      <c r="D1170" s="2" t="str">
        <f>VLOOKUP($A1170,Controle!$B$4:$F$68,4,FALSE)</f>
        <v>EDN</v>
      </c>
      <c r="E1170" s="2">
        <f>VLOOKUP($A1170,Controle!$B$4:$F$68,5,FALSE)</f>
        <v>3</v>
      </c>
      <c r="F1170" s="3" t="str">
        <f t="shared" si="393"/>
        <v>Desenvolvimento de projeto - Ambiental / Outros</v>
      </c>
      <c r="G1170" s="2" t="str">
        <f>VLOOKUP($A1170,Controle!$B$4:$G$68,6,FALSE)</f>
        <v>Apolo</v>
      </c>
      <c r="H1170" s="6" t="s">
        <v>148</v>
      </c>
      <c r="I1170" s="6">
        <f>R1170</f>
        <v>38079.54</v>
      </c>
      <c r="J1170" s="6">
        <v>0</v>
      </c>
      <c r="K1170" s="6">
        <v>0</v>
      </c>
      <c r="L1170" s="6">
        <v>0</v>
      </c>
      <c r="M1170" s="6">
        <v>0</v>
      </c>
      <c r="N1170" s="6">
        <v>0</v>
      </c>
      <c r="O1170" s="4">
        <f t="shared" si="394"/>
        <v>38079.54</v>
      </c>
      <c r="P1170" s="5">
        <f>SUMIFS('Desenvolvimento diário'!$H:$H,'Desenvolvimento diário'!$Q:$Q,$B1170,'Desenvolvimento diário'!$P:$P,$F1170,'Desenvolvimento diário'!$R:$R,"Sim")</f>
        <v>0</v>
      </c>
      <c r="Q1170" s="5">
        <f>SUMIFS('Desenvolvimento diário'!$H:$H,'Desenvolvimento diário'!$Q:$Q,$B1170,'Desenvolvimento diário'!$P:$P,$F1170,'Desenvolvimento diário'!$R:$R,"Não")</f>
        <v>38079.54</v>
      </c>
      <c r="R1170" s="4">
        <f t="shared" si="395"/>
        <v>38079.54</v>
      </c>
      <c r="S1170" s="4">
        <f t="shared" si="396"/>
        <v>0</v>
      </c>
      <c r="T1170" s="12">
        <f t="shared" si="398"/>
        <v>1</v>
      </c>
      <c r="Y1170" s="2"/>
      <c r="Z1170" s="2"/>
      <c r="AA1170" s="2"/>
      <c r="AB1170" s="2"/>
      <c r="AC1170" s="2"/>
    </row>
    <row r="1171" spans="1:29" hidden="1">
      <c r="A1171" s="2">
        <f t="shared" si="397"/>
        <v>34</v>
      </c>
      <c r="B1171" s="2" t="str">
        <f>VLOOKUP($A1171,Controle!$B$4:$F$68,2,FALSE)</f>
        <v>São Sebastião 6</v>
      </c>
      <c r="C1171" s="2" t="str">
        <f>VLOOKUP($A1171,Controle!$B$4:$F$68,3,FALSE)</f>
        <v xml:space="preserve">ESTRELA DO NORTE </v>
      </c>
      <c r="D1171" s="2" t="str">
        <f>VLOOKUP($A1171,Controle!$B$4:$F$68,4,FALSE)</f>
        <v>EDN</v>
      </c>
      <c r="E1171" s="2">
        <f>VLOOKUP($A1171,Controle!$B$4:$F$68,5,FALSE)</f>
        <v>3</v>
      </c>
      <c r="F1171" s="3" t="str">
        <f t="shared" si="393"/>
        <v>Desenvolvimento de projeto - Coordenograma</v>
      </c>
      <c r="G1171" s="2" t="str">
        <f>VLOOKUP($A1171,Controle!$B$4:$G$68,6,FALSE)</f>
        <v>Apolo</v>
      </c>
      <c r="H1171" s="31" t="s">
        <v>149</v>
      </c>
      <c r="I1171" s="31">
        <v>6206.9</v>
      </c>
      <c r="J1171" s="31">
        <v>0</v>
      </c>
      <c r="K1171" s="31">
        <v>0</v>
      </c>
      <c r="L1171" s="6">
        <v>0</v>
      </c>
      <c r="M1171" s="6">
        <v>0</v>
      </c>
      <c r="N1171" s="6">
        <v>0</v>
      </c>
      <c r="O1171" s="4">
        <f t="shared" si="394"/>
        <v>6206.9</v>
      </c>
      <c r="P1171" s="5">
        <f>SUMIFS('Desenvolvimento diário'!$H:$H,'Desenvolvimento diário'!$Q:$Q,$B1171,'Desenvolvimento diário'!$P:$P,$F1171,'Desenvolvimento diário'!$R:$R,"Sim")</f>
        <v>0</v>
      </c>
      <c r="Q1171" s="5">
        <f>SUMIFS('Desenvolvimento diário'!$H:$H,'Desenvolvimento diário'!$Q:$Q,$B1171,'Desenvolvimento diário'!$P:$P,$F1171,'Desenvolvimento diário'!$R:$R,"Não")</f>
        <v>6206.9</v>
      </c>
      <c r="R1171" s="4">
        <f t="shared" si="395"/>
        <v>6206.9</v>
      </c>
      <c r="S1171" s="4">
        <f t="shared" si="396"/>
        <v>0</v>
      </c>
      <c r="T1171" s="12">
        <f t="shared" si="398"/>
        <v>1</v>
      </c>
      <c r="Y1171" s="2"/>
      <c r="Z1171" s="2"/>
      <c r="AA1171" s="2"/>
      <c r="AB1171" s="2"/>
      <c r="AC1171" s="2"/>
    </row>
    <row r="1172" spans="1:29" ht="10.5" hidden="1">
      <c r="A1172" s="2">
        <f t="shared" si="397"/>
        <v>34</v>
      </c>
      <c r="B1172" s="2" t="str">
        <f>VLOOKUP($A1172,Controle!$B$4:$F$68,2,FALSE)</f>
        <v>São Sebastião 6</v>
      </c>
      <c r="C1172" s="2" t="str">
        <f>VLOOKUP($A1172,Controle!$B$4:$F$68,3,FALSE)</f>
        <v xml:space="preserve">ESTRELA DO NORTE </v>
      </c>
      <c r="D1172" s="2" t="str">
        <f>VLOOKUP($A1172,Controle!$B$4:$F$68,4,FALSE)</f>
        <v>EDN</v>
      </c>
      <c r="E1172" s="2">
        <f>VLOOKUP($A1172,Controle!$B$4:$F$68,5,FALSE)</f>
        <v>3</v>
      </c>
      <c r="F1172" s="3" t="str">
        <f t="shared" si="393"/>
        <v>Sistemas de Monitoramento - Supervisório</v>
      </c>
      <c r="G1172" s="2" t="str">
        <f>VLOOKUP($A1172,Controle!$B$4:$G$68,6,FALSE)</f>
        <v>Apolo</v>
      </c>
      <c r="H1172" s="6" t="s">
        <v>150</v>
      </c>
      <c r="I1172" s="6">
        <v>135731.01999999999</v>
      </c>
      <c r="J1172" s="6"/>
      <c r="K1172" s="6">
        <v>0</v>
      </c>
      <c r="L1172" s="6">
        <v>0</v>
      </c>
      <c r="M1172" s="6">
        <v>0</v>
      </c>
      <c r="N1172" s="6">
        <v>0</v>
      </c>
      <c r="O1172" s="4">
        <f t="shared" si="394"/>
        <v>135731.01999999999</v>
      </c>
      <c r="P1172" s="5">
        <f>SUMIFS('Desenvolvimento diário'!$H:$H,'Desenvolvimento diário'!$Q:$Q,$B1172,'Desenvolvimento diário'!$P:$P,$F1172,'Desenvolvimento diário'!$R:$R,"Sim")</f>
        <v>0</v>
      </c>
      <c r="Q1172" s="5">
        <f>SUMIFS('Desenvolvimento diário'!$H:$H,'Desenvolvimento diário'!$Q:$Q,$B1172,'Desenvolvimento diário'!$P:$P,$F1172,'Desenvolvimento diário'!$R:$R,"Não")</f>
        <v>135731.01999999999</v>
      </c>
      <c r="R1172" s="4">
        <f t="shared" si="395"/>
        <v>135731.01999999999</v>
      </c>
      <c r="S1172" s="4">
        <f t="shared" si="396"/>
        <v>0</v>
      </c>
      <c r="T1172" s="12">
        <f t="shared" si="398"/>
        <v>1</v>
      </c>
      <c r="U1172" s="34"/>
      <c r="Y1172" s="2"/>
      <c r="Z1172" s="2"/>
      <c r="AA1172" s="2"/>
      <c r="AB1172" s="2"/>
      <c r="AC1172" s="2"/>
    </row>
    <row r="1173" spans="1:29" ht="10.5" hidden="1">
      <c r="A1173" s="2">
        <f t="shared" si="397"/>
        <v>34</v>
      </c>
      <c r="B1173" s="2" t="str">
        <f>VLOOKUP($A1173,Controle!$B$4:$F$68,2,FALSE)</f>
        <v>São Sebastião 6</v>
      </c>
      <c r="C1173" s="2" t="str">
        <f>VLOOKUP($A1173,Controle!$B$4:$F$68,3,FALSE)</f>
        <v xml:space="preserve">ESTRELA DO NORTE </v>
      </c>
      <c r="D1173" s="2" t="str">
        <f>VLOOKUP($A1173,Controle!$B$4:$F$68,4,FALSE)</f>
        <v>EDN</v>
      </c>
      <c r="E1173" s="2">
        <f>VLOOKUP($A1173,Controle!$B$4:$F$68,5,FALSE)</f>
        <v>3</v>
      </c>
      <c r="F1173" s="3" t="str">
        <f t="shared" si="393"/>
        <v>Sistemas de Monitoramento - Estações Solarimétricas</v>
      </c>
      <c r="G1173" s="2" t="str">
        <f>VLOOKUP($A1173,Controle!$B$4:$G$68,6,FALSE)</f>
        <v>Apolo</v>
      </c>
      <c r="H1173" s="6" t="s">
        <v>151</v>
      </c>
      <c r="I1173" s="6">
        <f>48276.516+(0.004)</f>
        <v>48276.520000000004</v>
      </c>
      <c r="J1173" s="6">
        <v>0</v>
      </c>
      <c r="K1173" s="6">
        <v>0</v>
      </c>
      <c r="L1173" s="6">
        <v>0</v>
      </c>
      <c r="M1173" s="6">
        <v>0</v>
      </c>
      <c r="N1173" s="6">
        <v>0</v>
      </c>
      <c r="O1173" s="4">
        <f t="shared" si="394"/>
        <v>48276.520000000004</v>
      </c>
      <c r="P1173" s="5">
        <f>SUMIFS('Desenvolvimento diário'!$H:$H,'Desenvolvimento diário'!$Q:$Q,$B1173,'Desenvolvimento diário'!$P:$P,$F1173,'Desenvolvimento diário'!$R:$R,"Sim")</f>
        <v>0</v>
      </c>
      <c r="Q1173" s="5">
        <f>SUMIFS('Desenvolvimento diário'!$H:$H,'Desenvolvimento diário'!$Q:$Q,$B1173,'Desenvolvimento diário'!$P:$P,$F1173,'Desenvolvimento diário'!$R:$R,"Não")</f>
        <v>48276.52</v>
      </c>
      <c r="R1173" s="4">
        <f t="shared" si="395"/>
        <v>48276.52</v>
      </c>
      <c r="S1173" s="180">
        <f t="shared" si="396"/>
        <v>0</v>
      </c>
      <c r="T1173" s="12">
        <f t="shared" si="398"/>
        <v>0.99999999999999989</v>
      </c>
      <c r="Y1173" s="2"/>
      <c r="Z1173" s="2"/>
      <c r="AA1173" s="2"/>
      <c r="AB1173" s="2"/>
      <c r="AC1173" s="2"/>
    </row>
    <row r="1174" spans="1:29" hidden="1">
      <c r="A1174" s="2">
        <f t="shared" si="397"/>
        <v>34</v>
      </c>
      <c r="B1174" s="2" t="str">
        <f>VLOOKUP($A1174,Controle!$B$4:$F$68,2,FALSE)</f>
        <v>São Sebastião 6</v>
      </c>
      <c r="C1174" s="2" t="str">
        <f>VLOOKUP($A1174,Controle!$B$4:$F$68,3,FALSE)</f>
        <v xml:space="preserve">ESTRELA DO NORTE </v>
      </c>
      <c r="D1174" s="2" t="str">
        <f>VLOOKUP($A1174,Controle!$B$4:$F$68,4,FALSE)</f>
        <v>EDN</v>
      </c>
      <c r="E1174" s="2">
        <f>VLOOKUP($A1174,Controle!$B$4:$F$68,5,FALSE)</f>
        <v>3</v>
      </c>
      <c r="F1174" s="3" t="str">
        <f t="shared" si="393"/>
        <v>Sistemas de Monitoramento - CFTV</v>
      </c>
      <c r="G1174" s="2" t="str">
        <f>VLOOKUP($A1174,Controle!$B$4:$G$68,6,FALSE)</f>
        <v>Apolo</v>
      </c>
      <c r="H1174" s="31" t="s">
        <v>152</v>
      </c>
      <c r="I1174" s="6">
        <v>285467.13</v>
      </c>
      <c r="J1174" s="6">
        <v>0</v>
      </c>
      <c r="K1174" s="6">
        <v>0</v>
      </c>
      <c r="L1174" s="6">
        <v>0</v>
      </c>
      <c r="M1174" s="6">
        <v>0</v>
      </c>
      <c r="N1174" s="6">
        <v>0</v>
      </c>
      <c r="O1174" s="4">
        <f t="shared" si="394"/>
        <v>285467.13</v>
      </c>
      <c r="P1174" s="5">
        <f>SUMIFS('Desenvolvimento diário'!$H:$H,'Desenvolvimento diário'!$Q:$Q,$B1174,'Desenvolvimento diário'!$P:$P,$F1174,'Desenvolvimento diário'!$R:$R,"Sim")</f>
        <v>0</v>
      </c>
      <c r="Q1174" s="5">
        <f>SUMIFS('Desenvolvimento diário'!$H:$H,'Desenvolvimento diário'!$Q:$Q,$B1174,'Desenvolvimento diário'!$P:$P,$F1174,'Desenvolvimento diário'!$R:$R,"Não")</f>
        <v>285467.13</v>
      </c>
      <c r="R1174" s="4">
        <f t="shared" si="395"/>
        <v>285467.13</v>
      </c>
      <c r="S1174" s="4">
        <f t="shared" si="396"/>
        <v>0</v>
      </c>
      <c r="T1174" s="12">
        <f t="shared" si="398"/>
        <v>1</v>
      </c>
      <c r="Y1174" s="2"/>
      <c r="Z1174" s="2"/>
      <c r="AA1174" s="2"/>
      <c r="AB1174" s="2"/>
      <c r="AC1174" s="2"/>
    </row>
    <row r="1175" spans="1:29" ht="10.5" hidden="1">
      <c r="A1175" s="2">
        <f t="shared" si="397"/>
        <v>34</v>
      </c>
      <c r="B1175" s="2" t="str">
        <f>VLOOKUP($A1175,Controle!$B$4:$F$68,2,FALSE)</f>
        <v>São Sebastião 6</v>
      </c>
      <c r="C1175" s="2" t="str">
        <f>VLOOKUP($A1175,Controle!$B$4:$F$68,3,FALSE)</f>
        <v xml:space="preserve">ESTRELA DO NORTE </v>
      </c>
      <c r="D1175" s="2" t="str">
        <f>VLOOKUP($A1175,Controle!$B$4:$F$68,4,FALSE)</f>
        <v>EDN</v>
      </c>
      <c r="E1175" s="2">
        <f>VLOOKUP($A1175,Controle!$B$4:$F$68,5,FALSE)</f>
        <v>3</v>
      </c>
      <c r="F1175" s="3" t="str">
        <f t="shared" si="393"/>
        <v>Serviços Auxiliares - Drenagem</v>
      </c>
      <c r="G1175" s="2" t="str">
        <f>VLOOKUP($A1175,Controle!$B$4:$G$68,6,FALSE)</f>
        <v>Apolo</v>
      </c>
      <c r="H1175" s="6" t="s">
        <v>181</v>
      </c>
      <c r="I1175" s="6">
        <v>885686.99</v>
      </c>
      <c r="J1175" s="6">
        <v>53372.07</v>
      </c>
      <c r="K1175" s="6">
        <v>0</v>
      </c>
      <c r="L1175" s="6">
        <v>0</v>
      </c>
      <c r="M1175" s="6">
        <v>0</v>
      </c>
      <c r="N1175" s="6">
        <v>0</v>
      </c>
      <c r="O1175" s="4">
        <f>SUM(I1175:N1175)+9.01</f>
        <v>939068.07</v>
      </c>
      <c r="P1175" s="5">
        <f>SUMIFS('Desenvolvimento diário'!$H:$H,'Desenvolvimento diário'!$Q:$Q,$B1175,'Desenvolvimento diário'!$P:$P,$F1175,'Desenvolvimento diário'!$R:$R,"Sim")</f>
        <v>294094.2</v>
      </c>
      <c r="Q1175" s="5">
        <f>SUMIFS('Desenvolvimento diário'!$H:$H,'Desenvolvimento diário'!$Q:$Q,$B1175,'Desenvolvimento diário'!$P:$P,$F1175,'Desenvolvimento diário'!$R:$R,"Não")</f>
        <v>644973.87</v>
      </c>
      <c r="R1175" s="4">
        <f t="shared" si="395"/>
        <v>939068.07000000007</v>
      </c>
      <c r="S1175" s="137">
        <f t="shared" si="396"/>
        <v>0</v>
      </c>
      <c r="T1175" s="12">
        <f t="shared" si="398"/>
        <v>1.0000000000000002</v>
      </c>
      <c r="Y1175" s="2"/>
      <c r="Z1175" s="2"/>
      <c r="AA1175" s="2"/>
      <c r="AB1175" s="2"/>
      <c r="AC1175" s="2"/>
    </row>
    <row r="1176" spans="1:29" ht="10.5" hidden="1">
      <c r="A1176" s="2">
        <f t="shared" si="397"/>
        <v>34</v>
      </c>
      <c r="B1176" s="2" t="str">
        <f>VLOOKUP($A1176,Controle!$B$4:$F$68,2,FALSE)</f>
        <v>São Sebastião 6</v>
      </c>
      <c r="C1176" s="2" t="str">
        <f>VLOOKUP($A1176,Controle!$B$4:$F$68,3,FALSE)</f>
        <v xml:space="preserve">ESTRELA DO NORTE </v>
      </c>
      <c r="D1176" s="2" t="str">
        <f>VLOOKUP($A1176,Controle!$B$4:$F$68,4,FALSE)</f>
        <v>EDN</v>
      </c>
      <c r="E1176" s="2">
        <f>VLOOKUP($A1176,Controle!$B$4:$F$68,5,FALSE)</f>
        <v>3</v>
      </c>
      <c r="F1176" s="3" t="str">
        <f t="shared" si="393"/>
        <v>Serviços Auxiliares - Terraplanagem</v>
      </c>
      <c r="G1176" s="2" t="str">
        <f>VLOOKUP($A1176,Controle!$B$4:$G$68,6,FALSE)</f>
        <v>Apolo</v>
      </c>
      <c r="H1176" s="6" t="s">
        <v>175</v>
      </c>
      <c r="I1176" s="6">
        <v>974111.56</v>
      </c>
      <c r="J1176" s="6">
        <v>46397.48</v>
      </c>
      <c r="K1176" s="6">
        <v>0</v>
      </c>
      <c r="L1176" s="6">
        <v>0</v>
      </c>
      <c r="M1176" s="6">
        <v>0</v>
      </c>
      <c r="N1176" s="6">
        <v>0</v>
      </c>
      <c r="O1176" s="43">
        <f t="shared" si="394"/>
        <v>1020509.04</v>
      </c>
      <c r="P1176" s="5">
        <f>SUMIFS('Desenvolvimento diário'!$H:$H,'Desenvolvimento diário'!$Q:$Q,$B1176,'Desenvolvimento diário'!$P:$P,$F1176,'Desenvolvimento diário'!$R:$R,"Sim")</f>
        <v>0</v>
      </c>
      <c r="Q1176" s="5">
        <f>SUMIFS('Desenvolvimento diário'!$H:$H,'Desenvolvimento diário'!$Q:$Q,$B1176,'Desenvolvimento diário'!$P:$P,$F1176,'Desenvolvimento diário'!$R:$R,"Não")</f>
        <v>1020509.04</v>
      </c>
      <c r="R1176" s="4">
        <f t="shared" si="395"/>
        <v>1020509.04</v>
      </c>
      <c r="S1176" s="4">
        <f t="shared" si="396"/>
        <v>0</v>
      </c>
      <c r="T1176" s="12">
        <f t="shared" si="398"/>
        <v>1</v>
      </c>
      <c r="Y1176" s="2"/>
      <c r="Z1176" s="2"/>
      <c r="AA1176" s="2"/>
      <c r="AB1176" s="2"/>
      <c r="AC1176" s="2"/>
    </row>
    <row r="1177" spans="1:29" ht="10.5" hidden="1">
      <c r="A1177" s="2">
        <f t="shared" si="397"/>
        <v>34</v>
      </c>
      <c r="B1177" s="2" t="str">
        <f>VLOOKUP($A1177,Controle!$B$4:$F$68,2,FALSE)</f>
        <v>São Sebastião 6</v>
      </c>
      <c r="C1177" s="2" t="str">
        <f>VLOOKUP($A1177,Controle!$B$4:$F$68,3,FALSE)</f>
        <v xml:space="preserve">ESTRELA DO NORTE </v>
      </c>
      <c r="D1177" s="2" t="str">
        <f>VLOOKUP($A1177,Controle!$B$4:$F$68,4,FALSE)</f>
        <v>EDN</v>
      </c>
      <c r="E1177" s="2">
        <f>VLOOKUP($A1177,Controle!$B$4:$F$68,5,FALSE)</f>
        <v>3</v>
      </c>
      <c r="F1177" s="3" t="str">
        <f t="shared" si="393"/>
        <v>Serviços Auxiliares - Supressão Vegetal</v>
      </c>
      <c r="G1177" s="2" t="str">
        <f>VLOOKUP($A1177,Controle!$B$4:$G$68,6,FALSE)</f>
        <v>Apolo</v>
      </c>
      <c r="H1177" s="6">
        <v>0</v>
      </c>
      <c r="I1177" s="6">
        <v>0</v>
      </c>
      <c r="J1177" s="6">
        <v>0</v>
      </c>
      <c r="K1177" s="6">
        <v>0</v>
      </c>
      <c r="L1177" s="6">
        <v>0</v>
      </c>
      <c r="M1177" s="6">
        <v>0</v>
      </c>
      <c r="N1177" s="6">
        <v>0</v>
      </c>
      <c r="O1177" s="4">
        <f t="shared" si="394"/>
        <v>0</v>
      </c>
      <c r="P1177" s="5">
        <f>SUMIFS('Desenvolvimento diário'!$H:$H,'Desenvolvimento diário'!$Q:$Q,$B1177,'Desenvolvimento diário'!$P:$P,$F1177,'Desenvolvimento diário'!$R:$R,"Sim")</f>
        <v>0</v>
      </c>
      <c r="Q1177" s="5">
        <f>SUMIFS('Desenvolvimento diário'!$H:$H,'Desenvolvimento diário'!$Q:$Q,$B1177,'Desenvolvimento diário'!$P:$P,$F1177,'Desenvolvimento diário'!$R:$R,"Não")</f>
        <v>0</v>
      </c>
      <c r="R1177" s="4">
        <f t="shared" si="395"/>
        <v>0</v>
      </c>
      <c r="S1177" s="4">
        <f t="shared" si="396"/>
        <v>0</v>
      </c>
      <c r="T1177" s="12">
        <f t="shared" si="398"/>
        <v>0</v>
      </c>
      <c r="Y1177" s="2"/>
      <c r="Z1177" s="2"/>
      <c r="AA1177" s="2"/>
      <c r="AB1177" s="2"/>
      <c r="AC1177" s="2"/>
    </row>
    <row r="1178" spans="1:29" ht="10.5" hidden="1">
      <c r="A1178" s="2">
        <f t="shared" si="397"/>
        <v>34</v>
      </c>
      <c r="B1178" s="2" t="str">
        <f>VLOOKUP($A1178,Controle!$B$4:$F$68,2,FALSE)</f>
        <v>São Sebastião 6</v>
      </c>
      <c r="C1178" s="2" t="str">
        <f>VLOOKUP($A1178,Controle!$B$4:$F$68,3,FALSE)</f>
        <v xml:space="preserve">ESTRELA DO NORTE </v>
      </c>
      <c r="D1178" s="2" t="str">
        <f>VLOOKUP($A1178,Controle!$B$4:$F$68,4,FALSE)</f>
        <v>EDN</v>
      </c>
      <c r="E1178" s="2">
        <f>VLOOKUP($A1178,Controle!$B$4:$F$68,5,FALSE)</f>
        <v>3</v>
      </c>
      <c r="F1178" s="3" t="str">
        <f t="shared" si="393"/>
        <v>RDR-Rede de Distribuição Rural</v>
      </c>
      <c r="G1178" s="2" t="str">
        <f>VLOOKUP($A1178,Controle!$B$4:$G$68,6,FALSE)</f>
        <v>Apolo</v>
      </c>
      <c r="H1178" s="6">
        <v>0</v>
      </c>
      <c r="I1178" s="6">
        <v>0</v>
      </c>
      <c r="J1178" s="6">
        <v>0</v>
      </c>
      <c r="K1178" s="6">
        <v>0</v>
      </c>
      <c r="L1178" s="6">
        <v>0</v>
      </c>
      <c r="M1178" s="6">
        <v>0</v>
      </c>
      <c r="N1178" s="6">
        <v>0</v>
      </c>
      <c r="O1178" s="4">
        <f t="shared" si="394"/>
        <v>0</v>
      </c>
      <c r="P1178" s="5">
        <f>SUMIFS('Desenvolvimento diário'!$H:$H,'Desenvolvimento diário'!$Q:$Q,$B1178,'Desenvolvimento diário'!$P:$P,$F1178,'Desenvolvimento diário'!$R:$R,"Sim")</f>
        <v>0</v>
      </c>
      <c r="Q1178" s="5">
        <f>SUMIFS('Desenvolvimento diário'!$H:$H,'Desenvolvimento diário'!$Q:$Q,$B1178,'Desenvolvimento diário'!$P:$P,$F1178,'Desenvolvimento diário'!$R:$R,"Não")</f>
        <v>0</v>
      </c>
      <c r="R1178" s="4">
        <f t="shared" si="395"/>
        <v>0</v>
      </c>
      <c r="S1178" s="4">
        <f t="shared" si="396"/>
        <v>0</v>
      </c>
      <c r="T1178" s="12">
        <f t="shared" si="398"/>
        <v>0</v>
      </c>
      <c r="Y1178" s="2"/>
      <c r="Z1178" s="2"/>
      <c r="AA1178" s="2"/>
      <c r="AB1178" s="2"/>
      <c r="AC1178" s="2"/>
    </row>
    <row r="1179" spans="1:29" ht="10.5" hidden="1">
      <c r="A1179" s="2">
        <f t="shared" si="397"/>
        <v>34</v>
      </c>
      <c r="B1179" s="2" t="str">
        <f>VLOOKUP($A1179,Controle!$B$4:$F$68,2,FALSE)</f>
        <v>São Sebastião 6</v>
      </c>
      <c r="C1179" s="2" t="str">
        <f>VLOOKUP($A1179,Controle!$B$4:$F$68,3,FALSE)</f>
        <v xml:space="preserve">ESTRELA DO NORTE </v>
      </c>
      <c r="D1179" s="2" t="str">
        <f>VLOOKUP($A1179,Controle!$B$4:$F$68,4,FALSE)</f>
        <v>EDN</v>
      </c>
      <c r="E1179" s="2">
        <f>VLOOKUP($A1179,Controle!$B$4:$F$68,5,FALSE)</f>
        <v>3</v>
      </c>
      <c r="F1179" s="3" t="str">
        <f t="shared" si="393"/>
        <v>Escopo COMERC</v>
      </c>
      <c r="G1179" s="2" t="str">
        <f>VLOOKUP($A1179,Controle!$B$4:$G$68,6,FALSE)</f>
        <v>Apolo</v>
      </c>
      <c r="H1179" s="6">
        <v>0</v>
      </c>
      <c r="I1179" s="6">
        <v>68781.56</v>
      </c>
      <c r="J1179" s="29">
        <v>21000</v>
      </c>
      <c r="K1179" s="29"/>
      <c r="L1179" s="6">
        <v>0</v>
      </c>
      <c r="M1179" s="6">
        <v>0</v>
      </c>
      <c r="N1179" s="6">
        <v>0</v>
      </c>
      <c r="O1179" s="4">
        <f t="shared" si="394"/>
        <v>89781.56</v>
      </c>
      <c r="P1179" s="5">
        <f>SUMIFS('Desenvolvimento diário'!$H:$H,'Desenvolvimento diário'!$Q:$Q,$B1179,'Desenvolvimento diário'!$P:$P,$F1179,'Desenvolvimento diário'!$R:$R,"Sim")</f>
        <v>0</v>
      </c>
      <c r="Q1179" s="5">
        <f>SUMIFS('Desenvolvimento diário'!$H:$H,'Desenvolvimento diário'!$Q:$Q,$B1179,'Desenvolvimento diário'!$P:$P,$F1179,'Desenvolvimento diário'!$R:$R,"Não")</f>
        <v>69780.34</v>
      </c>
      <c r="R1179" s="4">
        <f t="shared" si="395"/>
        <v>69780.34</v>
      </c>
      <c r="S1179" s="1010">
        <f t="shared" si="396"/>
        <v>20001.22</v>
      </c>
      <c r="T1179" s="12">
        <f t="shared" si="398"/>
        <v>0.77722351894977093</v>
      </c>
      <c r="U1179" s="1011" t="s">
        <v>166</v>
      </c>
      <c r="V1179" s="1011" t="s">
        <v>167</v>
      </c>
      <c r="Y1179" s="2"/>
      <c r="Z1179" s="2"/>
      <c r="AA1179" s="2"/>
      <c r="AB1179" s="2"/>
      <c r="AC1179" s="2"/>
    </row>
    <row r="1180" spans="1:29" ht="10.5" hidden="1">
      <c r="A1180" s="2">
        <f t="shared" si="397"/>
        <v>34</v>
      </c>
      <c r="B1180" s="2" t="str">
        <f>VLOOKUP($A1180,Controle!$B$4:$F$68,2,FALSE)</f>
        <v>São Sebastião 6</v>
      </c>
      <c r="C1180" s="2" t="str">
        <f>VLOOKUP($A1180,Controle!$B$4:$F$68,3,FALSE)</f>
        <v xml:space="preserve">ESTRELA DO NORTE </v>
      </c>
      <c r="D1180" s="2" t="str">
        <f>VLOOKUP($A1180,Controle!$B$4:$F$68,4,FALSE)</f>
        <v>EDN</v>
      </c>
      <c r="E1180" s="2">
        <f>VLOOKUP($A1180,Controle!$B$4:$F$68,5,FALSE)</f>
        <v>3</v>
      </c>
      <c r="F1180" s="3" t="str">
        <f t="shared" si="393"/>
        <v>Escopo COMERC - Segurança</v>
      </c>
      <c r="G1180" s="2" t="str">
        <f>VLOOKUP($A1180,Controle!$B$4:$G$68,6,FALSE)</f>
        <v>Apolo</v>
      </c>
      <c r="H1180" s="6">
        <v>0</v>
      </c>
      <c r="I1180" s="6">
        <f t="shared" ref="I1179:I1180" si="399">R1180</f>
        <v>0</v>
      </c>
      <c r="J1180" s="6">
        <v>0</v>
      </c>
      <c r="K1180" s="6">
        <v>0</v>
      </c>
      <c r="L1180" s="6">
        <v>0</v>
      </c>
      <c r="M1180" s="6">
        <v>0</v>
      </c>
      <c r="N1180" s="6">
        <v>0</v>
      </c>
      <c r="O1180" s="4">
        <f t="shared" si="394"/>
        <v>0</v>
      </c>
      <c r="P1180" s="5">
        <f>SUMIFS('Desenvolvimento diário'!$H:$H,'Desenvolvimento diário'!$Q:$Q,$B1180,'Desenvolvimento diário'!$P:$P,$F1180,'Desenvolvimento diário'!$R:$R,"Sim")</f>
        <v>0</v>
      </c>
      <c r="Q1180" s="5">
        <f>SUMIFS('Desenvolvimento diário'!$H:$H,'Desenvolvimento diário'!$Q:$Q,$B1180,'Desenvolvimento diário'!$P:$P,$F1180,'Desenvolvimento diário'!$R:$R,"Não")</f>
        <v>0</v>
      </c>
      <c r="R1180" s="4">
        <f t="shared" si="395"/>
        <v>0</v>
      </c>
      <c r="S1180" s="4">
        <f t="shared" si="396"/>
        <v>0</v>
      </c>
      <c r="T1180" s="12">
        <f t="shared" si="398"/>
        <v>0</v>
      </c>
      <c r="Y1180" s="2"/>
      <c r="Z1180" s="2"/>
      <c r="AA1180" s="2"/>
      <c r="AB1180" s="2"/>
      <c r="AC1180" s="2"/>
    </row>
    <row r="1181" spans="1:29" ht="10.5" hidden="1">
      <c r="A1181" s="2">
        <f t="shared" si="397"/>
        <v>34</v>
      </c>
      <c r="B1181" s="2" t="str">
        <f>VLOOKUP($A1181,Controle!$B$4:$F$68,2,FALSE)</f>
        <v>São Sebastião 6</v>
      </c>
      <c r="C1181" s="2" t="str">
        <f>VLOOKUP($A1181,Controle!$B$4:$F$68,3,FALSE)</f>
        <v xml:space="preserve">ESTRELA DO NORTE </v>
      </c>
      <c r="D1181" s="2" t="str">
        <f>VLOOKUP($A1181,Controle!$B$4:$F$68,4,FALSE)</f>
        <v>EDN</v>
      </c>
      <c r="E1181" s="2">
        <f>VLOOKUP($A1181,Controle!$B$4:$F$68,5,FALSE)</f>
        <v>3</v>
      </c>
      <c r="F1181" s="3" t="str">
        <f t="shared" si="393"/>
        <v>Conexão MT - Obras Transferencia</v>
      </c>
      <c r="G1181" s="2" t="str">
        <f>VLOOKUP($A1181,Controle!$B$4:$G$68,6,FALSE)</f>
        <v>Apolo</v>
      </c>
      <c r="H1181" s="6">
        <v>0</v>
      </c>
      <c r="I1181" s="6">
        <v>0</v>
      </c>
      <c r="J1181" s="6">
        <v>0</v>
      </c>
      <c r="K1181" s="6">
        <v>0</v>
      </c>
      <c r="L1181" s="6">
        <v>0</v>
      </c>
      <c r="M1181" s="6">
        <v>0</v>
      </c>
      <c r="N1181" s="6">
        <v>0</v>
      </c>
      <c r="O1181" s="4">
        <f t="shared" si="394"/>
        <v>0</v>
      </c>
      <c r="P1181" s="5">
        <f>SUMIFS('Desenvolvimento diário'!$H:$H,'Desenvolvimento diário'!$Q:$Q,$B1181,'Desenvolvimento diário'!$P:$P,$F1181,'Desenvolvimento diário'!$R:$R,"Sim")</f>
        <v>0</v>
      </c>
      <c r="Q1181" s="5">
        <f>SUMIFS('Desenvolvimento diário'!$H:$H,'Desenvolvimento diário'!$Q:$Q,$B1181,'Desenvolvimento diário'!$P:$P,$F1181,'Desenvolvimento diário'!$R:$R,"Não")</f>
        <v>0</v>
      </c>
      <c r="R1181" s="4">
        <f t="shared" si="395"/>
        <v>0</v>
      </c>
      <c r="S1181" s="4">
        <f t="shared" si="396"/>
        <v>0</v>
      </c>
      <c r="T1181" s="12">
        <f t="shared" si="398"/>
        <v>0</v>
      </c>
      <c r="Y1181" s="2"/>
      <c r="Z1181" s="2"/>
      <c r="AA1181" s="2"/>
      <c r="AB1181" s="2"/>
      <c r="AC1181" s="2"/>
    </row>
    <row r="1182" spans="1:29" ht="10.5" hidden="1">
      <c r="A1182" s="2">
        <f t="shared" si="397"/>
        <v>34</v>
      </c>
      <c r="B1182" s="2" t="str">
        <f>VLOOKUP($A1182,Controle!$B$4:$F$68,2,FALSE)</f>
        <v>São Sebastião 6</v>
      </c>
      <c r="C1182" s="2" t="str">
        <f>VLOOKUP($A1182,Controle!$B$4:$F$68,3,FALSE)</f>
        <v xml:space="preserve">ESTRELA DO NORTE </v>
      </c>
      <c r="D1182" s="2" t="str">
        <f>VLOOKUP($A1182,Controle!$B$4:$F$68,4,FALSE)</f>
        <v>EDN</v>
      </c>
      <c r="E1182" s="2">
        <f>VLOOKUP($A1182,Controle!$B$4:$F$68,5,FALSE)</f>
        <v>3</v>
      </c>
      <c r="F1182" s="3" t="str">
        <f t="shared" si="393"/>
        <v>Bases de Contaniers</v>
      </c>
      <c r="G1182" s="2" t="str">
        <f>VLOOKUP($A1182,Controle!$B$4:$G$68,6,FALSE)</f>
        <v>Apolo</v>
      </c>
      <c r="H1182" s="6">
        <v>0</v>
      </c>
      <c r="I1182" s="6">
        <v>0</v>
      </c>
      <c r="J1182" s="6">
        <v>0</v>
      </c>
      <c r="K1182" s="6">
        <v>0</v>
      </c>
      <c r="L1182" s="6">
        <v>0</v>
      </c>
      <c r="M1182" s="6">
        <v>0</v>
      </c>
      <c r="N1182" s="6">
        <v>0</v>
      </c>
      <c r="O1182" s="4">
        <f t="shared" si="394"/>
        <v>0</v>
      </c>
      <c r="P1182" s="5">
        <f>SUMIFS('Desenvolvimento diário'!$H:$H,'Desenvolvimento diário'!$Q:$Q,$B1182,'Desenvolvimento diário'!$P:$P,$F1182,'Desenvolvimento diário'!$R:$R,"Sim")</f>
        <v>0</v>
      </c>
      <c r="Q1182" s="5">
        <f>SUMIFS('Desenvolvimento diário'!$H:$H,'Desenvolvimento diário'!$Q:$Q,$B1182,'Desenvolvimento diário'!$P:$P,$F1182,'Desenvolvimento diário'!$R:$R,"Não")</f>
        <v>0</v>
      </c>
      <c r="R1182" s="4">
        <f t="shared" si="395"/>
        <v>0</v>
      </c>
      <c r="S1182" s="4">
        <f t="shared" si="396"/>
        <v>0</v>
      </c>
      <c r="T1182" s="12">
        <f t="shared" si="398"/>
        <v>0</v>
      </c>
      <c r="Y1182" s="2"/>
      <c r="Z1182" s="2"/>
      <c r="AA1182" s="2"/>
      <c r="AB1182" s="2"/>
      <c r="AC1182" s="2"/>
    </row>
    <row r="1183" spans="1:29" ht="10.5" hidden="1">
      <c r="A1183" s="2">
        <f t="shared" si="397"/>
        <v>34</v>
      </c>
      <c r="B1183" s="2" t="str">
        <f>VLOOKUP($A1183,Controle!$B$4:$F$68,2,FALSE)</f>
        <v>São Sebastião 6</v>
      </c>
      <c r="C1183" s="2" t="str">
        <f>VLOOKUP($A1183,Controle!$B$4:$F$68,3,FALSE)</f>
        <v xml:space="preserve">ESTRELA DO NORTE </v>
      </c>
      <c r="D1183" s="2" t="str">
        <f>VLOOKUP($A1183,Controle!$B$4:$F$68,4,FALSE)</f>
        <v>EDN</v>
      </c>
      <c r="E1183" s="2">
        <f>VLOOKUP($A1183,Controle!$B$4:$F$68,5,FALSE)</f>
        <v>3</v>
      </c>
      <c r="F1183" s="3" t="str">
        <f t="shared" si="393"/>
        <v>Construção - Serviços de Construção - Ase Engenharia</v>
      </c>
      <c r="G1183" s="2" t="str">
        <f>VLOOKUP($A1183,Controle!$B$4:$G$68,6,FALSE)</f>
        <v>Apolo</v>
      </c>
      <c r="H1183" s="6">
        <v>0</v>
      </c>
      <c r="I1183" s="6">
        <v>0</v>
      </c>
      <c r="J1183" s="6">
        <v>0</v>
      </c>
      <c r="K1183" s="6">
        <v>0</v>
      </c>
      <c r="L1183" s="6">
        <v>0</v>
      </c>
      <c r="M1183" s="6">
        <v>0</v>
      </c>
      <c r="N1183" s="6">
        <v>0</v>
      </c>
      <c r="O1183" s="4">
        <f t="shared" si="394"/>
        <v>0</v>
      </c>
      <c r="P1183" s="5">
        <f>SUMIFS('Desenvolvimento diário'!$H:$H,'Desenvolvimento diário'!$Q:$Q,$B1183,'Desenvolvimento diário'!$P:$P,$F1183,'Desenvolvimento diário'!$R:$R,"Sim")</f>
        <v>0</v>
      </c>
      <c r="Q1183" s="5">
        <f>SUMIFS('Desenvolvimento diário'!$H:$H,'Desenvolvimento diário'!$Q:$Q,$B1183,'Desenvolvimento diário'!$P:$P,$F1183,'Desenvolvimento diário'!$R:$R,"Não")</f>
        <v>0</v>
      </c>
      <c r="R1183" s="4">
        <f t="shared" si="395"/>
        <v>0</v>
      </c>
      <c r="S1183" s="4">
        <f t="shared" si="396"/>
        <v>0</v>
      </c>
      <c r="T1183" s="12">
        <f t="shared" si="398"/>
        <v>0</v>
      </c>
      <c r="Y1183" s="2"/>
      <c r="Z1183" s="2"/>
      <c r="AA1183" s="2"/>
      <c r="AB1183" s="2"/>
      <c r="AC1183" s="2"/>
    </row>
    <row r="1184" spans="1:29" ht="10.5" hidden="1">
      <c r="A1184" s="2">
        <f t="shared" si="397"/>
        <v>34</v>
      </c>
      <c r="B1184" s="2" t="str">
        <f>VLOOKUP($A1184,Controle!$B$4:$F$68,2,FALSE)</f>
        <v>São Sebastião 6</v>
      </c>
      <c r="C1184" s="2" t="str">
        <f>VLOOKUP($A1184,Controle!$B$4:$F$68,3,FALSE)</f>
        <v xml:space="preserve">ESTRELA DO NORTE </v>
      </c>
      <c r="D1184" s="2" t="str">
        <f>VLOOKUP($A1184,Controle!$B$4:$F$68,4,FALSE)</f>
        <v>EDN</v>
      </c>
      <c r="E1184" s="2">
        <f>VLOOKUP($A1184,Controle!$B$4:$F$68,5,FALSE)</f>
        <v>3</v>
      </c>
      <c r="F1184" s="3" t="str">
        <f t="shared" si="393"/>
        <v>Full EPC - Contrato Sobressalentes</v>
      </c>
      <c r="G1184" s="2" t="str">
        <f>VLOOKUP($A1184,Controle!$B$4:$G$68,6,FALSE)</f>
        <v>Apolo</v>
      </c>
      <c r="H1184" s="6">
        <v>0</v>
      </c>
      <c r="I1184" s="6">
        <v>0</v>
      </c>
      <c r="J1184" s="6">
        <v>0</v>
      </c>
      <c r="K1184" s="6">
        <v>0</v>
      </c>
      <c r="L1184" s="6">
        <v>0</v>
      </c>
      <c r="M1184" s="6">
        <v>0</v>
      </c>
      <c r="N1184" s="6">
        <v>0</v>
      </c>
      <c r="O1184" s="4">
        <f t="shared" si="394"/>
        <v>0</v>
      </c>
      <c r="P1184" s="5">
        <f>SUMIFS('Desenvolvimento diário'!$H:$H,'Desenvolvimento diário'!$Q:$Q,$B1184,'Desenvolvimento diário'!$P:$P,$F1184,'Desenvolvimento diário'!$R:$R,"Sim")</f>
        <v>0</v>
      </c>
      <c r="Q1184" s="5">
        <f>SUMIFS('Desenvolvimento diário'!$H:$H,'Desenvolvimento diário'!$Q:$Q,$B1184,'Desenvolvimento diário'!$P:$P,$F1184,'Desenvolvimento diário'!$R:$R,"Não")</f>
        <v>0</v>
      </c>
      <c r="R1184" s="4">
        <f t="shared" si="395"/>
        <v>0</v>
      </c>
      <c r="S1184" s="4">
        <f t="shared" si="396"/>
        <v>0</v>
      </c>
      <c r="T1184" s="12">
        <f t="shared" si="398"/>
        <v>0</v>
      </c>
      <c r="Y1184" s="2"/>
      <c r="Z1184" s="2"/>
      <c r="AA1184" s="2"/>
      <c r="AB1184" s="2"/>
      <c r="AC1184" s="2"/>
    </row>
    <row r="1185" spans="1:29" ht="10.5" hidden="1">
      <c r="A1185" s="2">
        <f t="shared" si="397"/>
        <v>34</v>
      </c>
      <c r="B1185" s="2" t="str">
        <f>VLOOKUP($A1185,Controle!$B$4:$F$68,2,FALSE)</f>
        <v>São Sebastião 6</v>
      </c>
      <c r="C1185" s="2" t="str">
        <f>VLOOKUP($A1185,Controle!$B$4:$F$68,3,FALSE)</f>
        <v xml:space="preserve">ESTRELA DO NORTE </v>
      </c>
      <c r="D1185" s="2" t="str">
        <f>VLOOKUP($A1185,Controle!$B$4:$F$68,4,FALSE)</f>
        <v>EDN</v>
      </c>
      <c r="E1185" s="2">
        <f>VLOOKUP($A1185,Controle!$B$4:$F$68,5,FALSE)</f>
        <v>3</v>
      </c>
      <c r="F1185" s="3" t="str">
        <f t="shared" si="393"/>
        <v>Construção - Serviços de Construção - NOVA MORADA</v>
      </c>
      <c r="G1185" s="2" t="str">
        <f>VLOOKUP($A1185,Controle!$B$4:$G$68,6,FALSE)</f>
        <v>Apolo</v>
      </c>
      <c r="H1185" s="6">
        <v>0</v>
      </c>
      <c r="I1185" s="6">
        <v>0</v>
      </c>
      <c r="J1185" s="6">
        <v>0</v>
      </c>
      <c r="K1185" s="6">
        <v>0</v>
      </c>
      <c r="L1185" s="6">
        <v>0</v>
      </c>
      <c r="M1185" s="6">
        <v>0</v>
      </c>
      <c r="N1185" s="6">
        <v>0</v>
      </c>
      <c r="O1185" s="4">
        <f t="shared" si="394"/>
        <v>0</v>
      </c>
      <c r="P1185" s="5">
        <f>SUMIFS('Desenvolvimento diário'!$H:$H,'Desenvolvimento diário'!$Q:$Q,$B1185,'Desenvolvimento diário'!$P:$P,$F1185,'Desenvolvimento diário'!$R:$R,"Sim")</f>
        <v>0</v>
      </c>
      <c r="Q1185" s="5">
        <f>SUMIFS('Desenvolvimento diário'!$H:$H,'Desenvolvimento diário'!$Q:$Q,$B1185,'Desenvolvimento diário'!$P:$P,$F1185,'Desenvolvimento diário'!$R:$R,"Não")</f>
        <v>0</v>
      </c>
      <c r="R1185" s="4">
        <f t="shared" si="395"/>
        <v>0</v>
      </c>
      <c r="S1185" s="4">
        <f t="shared" si="396"/>
        <v>0</v>
      </c>
      <c r="T1185" s="12">
        <f t="shared" si="398"/>
        <v>0</v>
      </c>
      <c r="Y1185" s="2"/>
      <c r="Z1185" s="2"/>
      <c r="AA1185" s="2"/>
      <c r="AB1185" s="2"/>
      <c r="AC1185" s="2"/>
    </row>
    <row r="1186" spans="1:29" ht="10.5" hidden="1">
      <c r="A1186" s="2">
        <f t="shared" si="397"/>
        <v>34</v>
      </c>
      <c r="B1186" s="2" t="str">
        <f>VLOOKUP($A1186,Controle!$B$4:$F$68,2,FALSE)</f>
        <v>São Sebastião 6</v>
      </c>
      <c r="C1186" s="2" t="str">
        <f>VLOOKUP($A1186,Controle!$B$4:$F$68,3,FALSE)</f>
        <v xml:space="preserve">ESTRELA DO NORTE </v>
      </c>
      <c r="D1186" s="2" t="str">
        <f>VLOOKUP($A1186,Controle!$B$4:$F$68,4,FALSE)</f>
        <v>EDN</v>
      </c>
      <c r="E1186" s="2">
        <f>VLOOKUP($A1186,Controle!$B$4:$F$68,5,FALSE)</f>
        <v>3</v>
      </c>
      <c r="F1186" s="3" t="str">
        <f t="shared" si="393"/>
        <v>Equipamentos Curva A -  Contrato Sobressalentes - SETTA</v>
      </c>
      <c r="G1186" s="2" t="str">
        <f>VLOOKUP($A1186,Controle!$B$4:$G$68,6,FALSE)</f>
        <v>Apolo</v>
      </c>
      <c r="H1186" s="6" t="s">
        <v>196</v>
      </c>
      <c r="I1186" s="6">
        <v>89988.19</v>
      </c>
      <c r="J1186" s="6">
        <v>0</v>
      </c>
      <c r="K1186" s="6">
        <v>0</v>
      </c>
      <c r="L1186" s="6">
        <v>0</v>
      </c>
      <c r="M1186" s="6">
        <v>0</v>
      </c>
      <c r="N1186" s="6">
        <v>0</v>
      </c>
      <c r="O1186" s="4">
        <f t="shared" si="394"/>
        <v>89988.19</v>
      </c>
      <c r="P1186" s="5">
        <f>SUMIFS('Desenvolvimento diário'!$H:$H,'Desenvolvimento diário'!$Q:$Q,$B1186,'Desenvolvimento diário'!$P:$P,$F1186,'Desenvolvimento diário'!$R:$R,"Sim")</f>
        <v>0</v>
      </c>
      <c r="Q1186" s="5">
        <f>SUMIFS('Desenvolvimento diário'!$H:$H,'Desenvolvimento diário'!$Q:$Q,$B1186,'Desenvolvimento diário'!$P:$P,$F1186,'Desenvolvimento diário'!$R:$R,"Não")</f>
        <v>89988.19</v>
      </c>
      <c r="R1186" s="4">
        <f t="shared" si="395"/>
        <v>89988.19</v>
      </c>
      <c r="S1186" s="4">
        <f t="shared" si="396"/>
        <v>0</v>
      </c>
      <c r="T1186" s="12">
        <f t="shared" si="398"/>
        <v>1</v>
      </c>
      <c r="Y1186" s="2"/>
      <c r="Z1186" s="2"/>
      <c r="AA1186" s="2"/>
      <c r="AB1186" s="2"/>
      <c r="AC1186" s="2"/>
    </row>
    <row r="1187" spans="1:29" ht="10.5" hidden="1">
      <c r="A1187" s="2">
        <f t="shared" si="397"/>
        <v>34</v>
      </c>
      <c r="B1187" s="2" t="str">
        <f>VLOOKUP($A1187,Controle!$B$4:$F$68,2,FALSE)</f>
        <v>São Sebastião 6</v>
      </c>
      <c r="C1187" s="2" t="str">
        <f>VLOOKUP($A1187,Controle!$B$4:$F$68,3,FALSE)</f>
        <v xml:space="preserve">ESTRELA DO NORTE </v>
      </c>
      <c r="D1187" s="2" t="str">
        <f>VLOOKUP($A1187,Controle!$B$4:$F$68,4,FALSE)</f>
        <v>EDN</v>
      </c>
      <c r="E1187" s="2">
        <f>VLOOKUP($A1187,Controle!$B$4:$F$68,5,FALSE)</f>
        <v>3</v>
      </c>
      <c r="F1187" s="3" t="str">
        <f t="shared" si="393"/>
        <v>Equipamentos Curva A -  Contrato Sobressalentes - Arctech</v>
      </c>
      <c r="G1187" s="2" t="str">
        <f>VLOOKUP($A1187,Controle!$B$4:$G$68,6,FALSE)</f>
        <v>Apolo</v>
      </c>
      <c r="H1187" s="6">
        <v>0</v>
      </c>
      <c r="I1187" s="6">
        <v>0</v>
      </c>
      <c r="J1187" s="6">
        <v>0</v>
      </c>
      <c r="K1187" s="6">
        <v>0</v>
      </c>
      <c r="L1187" s="6">
        <v>0</v>
      </c>
      <c r="M1187" s="6">
        <v>0</v>
      </c>
      <c r="N1187" s="6">
        <v>0</v>
      </c>
      <c r="O1187" s="4">
        <f t="shared" si="394"/>
        <v>0</v>
      </c>
      <c r="P1187" s="5">
        <f>SUMIFS('Desenvolvimento diário'!$H:$H,'Desenvolvimento diário'!$Q:$Q,$B1187,'Desenvolvimento diário'!$P:$P,$F1187,'Desenvolvimento diário'!$R:$R,"Sim")</f>
        <v>0</v>
      </c>
      <c r="Q1187" s="5">
        <f>SUMIFS('Desenvolvimento diário'!$H:$H,'Desenvolvimento diário'!$Q:$Q,$B1187,'Desenvolvimento diário'!$P:$P,$F1187,'Desenvolvimento diário'!$R:$R,"Não")</f>
        <v>0</v>
      </c>
      <c r="R1187" s="4">
        <f t="shared" si="395"/>
        <v>0</v>
      </c>
      <c r="S1187" s="4">
        <f t="shared" si="396"/>
        <v>0</v>
      </c>
      <c r="T1187" s="12">
        <f t="shared" si="398"/>
        <v>0</v>
      </c>
      <c r="Y1187" s="2"/>
      <c r="Z1187" s="2"/>
      <c r="AA1187" s="2"/>
      <c r="AB1187" s="2"/>
      <c r="AC1187" s="2"/>
    </row>
    <row r="1188" spans="1:29" ht="9.75" hidden="1" customHeight="1">
      <c r="A1188" s="2">
        <f t="shared" si="397"/>
        <v>34</v>
      </c>
      <c r="B1188" s="2" t="str">
        <f>VLOOKUP($A1188,Controle!$B$4:$F$68,2,FALSE)</f>
        <v>São Sebastião 6</v>
      </c>
      <c r="C1188" s="2" t="str">
        <f>VLOOKUP($A1188,Controle!$B$4:$F$68,3,FALSE)</f>
        <v xml:space="preserve">ESTRELA DO NORTE </v>
      </c>
      <c r="D1188" s="2" t="str">
        <f>VLOOKUP($A1188,Controle!$B$4:$F$68,4,FALSE)</f>
        <v>EDN</v>
      </c>
      <c r="E1188" s="2">
        <f>VLOOKUP($A1188,Controle!$B$4:$F$68,5,FALSE)</f>
        <v>3</v>
      </c>
      <c r="F1188" s="3" t="str">
        <f t="shared" si="393"/>
        <v>Equipamentos Curva A -  Contrato Sobressalentes - Romagnole</v>
      </c>
      <c r="G1188" s="2" t="str">
        <f>VLOOKUP($A1188,Controle!$B$4:$G$68,6,FALSE)</f>
        <v>Apolo</v>
      </c>
      <c r="H1188" s="7">
        <v>0</v>
      </c>
      <c r="I1188" s="7">
        <v>0</v>
      </c>
      <c r="J1188" s="7">
        <v>0</v>
      </c>
      <c r="K1188" s="7">
        <v>0</v>
      </c>
      <c r="L1188" s="7">
        <v>0</v>
      </c>
      <c r="M1188" s="7">
        <v>0</v>
      </c>
      <c r="N1188" s="7">
        <v>0</v>
      </c>
      <c r="O1188" s="4">
        <f t="shared" si="394"/>
        <v>0</v>
      </c>
      <c r="P1188" s="17">
        <f>SUMIFS('Desenvolvimento diário'!$H:$H,'Desenvolvimento diário'!$Q:$Q,$B1188,'Desenvolvimento diário'!$P:$P,$F1188,'Desenvolvimento diário'!$R:$R,"Sim")</f>
        <v>0</v>
      </c>
      <c r="Q1188" s="17">
        <f>SUMIFS('Desenvolvimento diário'!$H:$H,'Desenvolvimento diário'!$Q:$Q,$B1188,'Desenvolvimento diário'!$P:$P,$F1188,'Desenvolvimento diário'!$R:$R,"Não")</f>
        <v>0</v>
      </c>
      <c r="R1188" s="4">
        <f t="shared" si="395"/>
        <v>0</v>
      </c>
      <c r="S1188" s="4">
        <f t="shared" si="396"/>
        <v>0</v>
      </c>
      <c r="T1188" s="12">
        <f t="shared" si="398"/>
        <v>0</v>
      </c>
      <c r="Y1188" s="2"/>
      <c r="Z1188" s="2"/>
      <c r="AA1188" s="2"/>
      <c r="AB1188" s="2"/>
      <c r="AC1188" s="2"/>
    </row>
    <row r="1189" spans="1:29" hidden="1">
      <c r="A1189" s="2">
        <f t="shared" si="397"/>
        <v>34</v>
      </c>
      <c r="B1189" s="2" t="str">
        <f>VLOOKUP($A1189,Controle!$B$4:$F$68,2,FALSE)</f>
        <v>São Sebastião 6</v>
      </c>
      <c r="C1189" s="2" t="str">
        <f>VLOOKUP($A1189,Controle!$B$4:$F$68,3,FALSE)</f>
        <v xml:space="preserve">ESTRELA DO NORTE </v>
      </c>
      <c r="D1189" s="2" t="str">
        <f>VLOOKUP($A1189,Controle!$B$4:$F$68,4,FALSE)</f>
        <v>EDN</v>
      </c>
      <c r="E1189" s="2">
        <f>VLOOKUP($A1189,Controle!$B$4:$F$68,5,FALSE)</f>
        <v>3</v>
      </c>
      <c r="F1189" s="3" t="str">
        <f t="shared" si="393"/>
        <v>GOS FLORESTAL - (PRAD - Recuperação Area Ambiental)</v>
      </c>
      <c r="G1189" s="2" t="str">
        <f>VLOOKUP($A1189,Controle!$B$4:$G$68,6,FALSE)</f>
        <v>Apolo</v>
      </c>
      <c r="H1189" s="506" t="s">
        <v>170</v>
      </c>
      <c r="I1189" s="6">
        <v>0</v>
      </c>
      <c r="J1189" s="506"/>
      <c r="K1189" s="506">
        <v>0</v>
      </c>
      <c r="L1189" s="506">
        <v>0</v>
      </c>
      <c r="M1189" s="506">
        <v>0</v>
      </c>
      <c r="N1189" s="506">
        <v>0</v>
      </c>
      <c r="O1189" s="39">
        <f t="shared" si="394"/>
        <v>0</v>
      </c>
      <c r="P1189" s="17">
        <f>SUMIFS('Desenvolvimento diário'!$H:$H,'Desenvolvimento diário'!$Q:$Q,$B1189,'Desenvolvimento diário'!$P:$P,$F1189,'Desenvolvimento diário'!$R:$R,"Sim")</f>
        <v>0</v>
      </c>
      <c r="Q1189" s="17">
        <f>SUMIFS('Desenvolvimento diário'!$H:$H,'Desenvolvimento diário'!$Q:$Q,$B1189,'Desenvolvimento diário'!$P:$P,$F1189,'Desenvolvimento diário'!$R:$R,"Não")</f>
        <v>0</v>
      </c>
      <c r="R1189" s="4">
        <f t="shared" si="395"/>
        <v>0</v>
      </c>
      <c r="S1189" s="4">
        <f t="shared" si="396"/>
        <v>0</v>
      </c>
      <c r="T1189" s="12">
        <f t="shared" si="398"/>
        <v>0</v>
      </c>
      <c r="Y1189" s="2"/>
      <c r="Z1189" s="2"/>
      <c r="AA1189" s="2"/>
      <c r="AB1189" s="2"/>
      <c r="AC1189" s="2"/>
    </row>
    <row r="1190" spans="1:29" hidden="1">
      <c r="A1190" s="2">
        <f t="shared" si="397"/>
        <v>34</v>
      </c>
      <c r="B1190" s="2" t="str">
        <f>VLOOKUP($A1190,Controle!$B$4:$F$68,2,FALSE)</f>
        <v>São Sebastião 6</v>
      </c>
      <c r="C1190" s="2" t="str">
        <f>VLOOKUP($A1190,Controle!$B$4:$F$68,3,FALSE)</f>
        <v xml:space="preserve">ESTRELA DO NORTE </v>
      </c>
      <c r="D1190" s="2" t="str">
        <f>VLOOKUP($A1190,Controle!$B$4:$F$68,4,FALSE)</f>
        <v>EDN</v>
      </c>
      <c r="E1190" s="2">
        <f>VLOOKUP($A1190,Controle!$B$4:$F$68,5,FALSE)</f>
        <v>3</v>
      </c>
      <c r="F1190" s="3" t="str">
        <f t="shared" si="393"/>
        <v>Cercamento das bacias de contenção ciclo 2</v>
      </c>
      <c r="G1190" s="2" t="str">
        <f>VLOOKUP($A1190,Controle!$B$4:$G$68,6,FALSE)</f>
        <v>Apolo</v>
      </c>
      <c r="H1190" s="506" t="s">
        <v>172</v>
      </c>
      <c r="I1190" s="6"/>
      <c r="J1190" s="506"/>
      <c r="K1190" s="506">
        <v>0</v>
      </c>
      <c r="L1190" s="506">
        <v>0</v>
      </c>
      <c r="M1190" s="506">
        <v>0</v>
      </c>
      <c r="N1190" s="506">
        <v>0</v>
      </c>
      <c r="O1190" s="39">
        <f t="shared" si="394"/>
        <v>0</v>
      </c>
      <c r="P1190" s="17">
        <f>SUMIFS('Desenvolvimento diário'!$H:$H,'Desenvolvimento diário'!$Q:$Q,$B1190,'Desenvolvimento diário'!$P:$P,$F1190,'Desenvolvimento diário'!$R:$R,"Sim")</f>
        <v>0</v>
      </c>
      <c r="Q1190" s="17">
        <f>SUMIFS('Desenvolvimento diário'!$H:$H,'Desenvolvimento diário'!$Q:$Q,$B1190,'Desenvolvimento diário'!$P:$P,$F1190,'Desenvolvimento diário'!$R:$R,"Não")</f>
        <v>0</v>
      </c>
      <c r="R1190" s="4">
        <f t="shared" si="395"/>
        <v>0</v>
      </c>
      <c r="S1190" s="1030">
        <f t="shared" si="396"/>
        <v>0</v>
      </c>
      <c r="T1190" s="12">
        <f t="shared" si="398"/>
        <v>0</v>
      </c>
      <c r="U1190" s="1029" t="s">
        <v>166</v>
      </c>
      <c r="V1190" s="1029" t="s">
        <v>94</v>
      </c>
      <c r="Y1190" s="2"/>
      <c r="Z1190" s="2"/>
      <c r="AA1190" s="2"/>
      <c r="AB1190" s="2"/>
      <c r="AC1190" s="2"/>
    </row>
    <row r="1191" spans="1:29" hidden="1">
      <c r="A1191" s="8">
        <f>A1188</f>
        <v>34</v>
      </c>
      <c r="B1191" s="9" t="str">
        <f t="shared" ref="B1191" si="400">B1188</f>
        <v>São Sebastião 6</v>
      </c>
      <c r="C1191" s="9" t="str">
        <f t="shared" ref="C1191" si="401">C1188</f>
        <v xml:space="preserve">ESTRELA DO NORTE </v>
      </c>
      <c r="D1191" s="9" t="str">
        <f t="shared" ref="D1191" si="402">D1188</f>
        <v>EDN</v>
      </c>
      <c r="E1191" s="9">
        <f t="shared" ref="E1191" si="403">E1188</f>
        <v>3</v>
      </c>
      <c r="F1191" s="10" t="s">
        <v>158</v>
      </c>
      <c r="G1191" s="9" t="str">
        <f>G1188</f>
        <v>Apolo</v>
      </c>
      <c r="H1191" s="9"/>
      <c r="I1191" s="9">
        <f>SUBTOTAL(9,I1157:I1190)</f>
        <v>0</v>
      </c>
      <c r="J1191" s="9">
        <f t="shared" ref="J1191:S1191" si="404">SUBTOTAL(9,J1157:J1190)</f>
        <v>0</v>
      </c>
      <c r="K1191" s="9">
        <f t="shared" si="404"/>
        <v>0</v>
      </c>
      <c r="L1191" s="9">
        <f t="shared" si="404"/>
        <v>0</v>
      </c>
      <c r="M1191" s="9">
        <f t="shared" si="404"/>
        <v>0</v>
      </c>
      <c r="N1191" s="9">
        <f t="shared" si="404"/>
        <v>0</v>
      </c>
      <c r="O1191" s="9">
        <f t="shared" si="404"/>
        <v>0</v>
      </c>
      <c r="P1191" s="9">
        <f t="shared" si="404"/>
        <v>0</v>
      </c>
      <c r="Q1191" s="9">
        <f t="shared" si="404"/>
        <v>0</v>
      </c>
      <c r="R1191" s="9">
        <f t="shared" si="404"/>
        <v>0</v>
      </c>
      <c r="S1191" s="9">
        <f t="shared" si="404"/>
        <v>0</v>
      </c>
      <c r="T1191" s="13">
        <f>IFERROR(R1191/O1191,0)</f>
        <v>0</v>
      </c>
      <c r="U1191" s="11">
        <f>SUBTOTAL(9,U1157:U1190)</f>
        <v>0</v>
      </c>
      <c r="Y1191" s="2"/>
      <c r="Z1191" s="2"/>
      <c r="AA1191" s="2"/>
      <c r="AB1191" s="2"/>
      <c r="AC1191" s="2"/>
    </row>
    <row r="1192" spans="1:29" ht="10.5" hidden="1">
      <c r="A1192" s="2">
        <f>A1157+1</f>
        <v>35</v>
      </c>
      <c r="B1192" s="2" t="str">
        <f>VLOOKUP($A1192,Controle!$B$4:$F$68,2,FALSE)</f>
        <v>Muzambinho 1</v>
      </c>
      <c r="C1192" s="2" t="str">
        <f>VLOOKUP($A1192,Controle!$B$4:$F$68,3,FALSE)</f>
        <v>MORI MINAS IV</v>
      </c>
      <c r="D1192" s="2" t="str">
        <f>VLOOKUP($A1192,Controle!$B$4:$F$68,4,FALSE)</f>
        <v>NewCo IV</v>
      </c>
      <c r="E1192" s="2">
        <f>VLOOKUP($A1192,Controle!$B$4:$F$68,5,FALSE)</f>
        <v>3</v>
      </c>
      <c r="F1192" s="3" t="str">
        <f t="shared" ref="F1192" si="405">F1157</f>
        <v>Conexão AT - Obras</v>
      </c>
      <c r="G1192" s="2" t="str">
        <f>VLOOKUP($A1192,Controle!$B$4:$G$68,6,FALSE)</f>
        <v>Solatio</v>
      </c>
      <c r="H1192" s="6" t="s">
        <v>141</v>
      </c>
      <c r="I1192" s="29">
        <v>150000</v>
      </c>
      <c r="J1192" s="6">
        <v>0</v>
      </c>
      <c r="K1192" s="6">
        <v>0</v>
      </c>
      <c r="L1192" s="6">
        <v>0</v>
      </c>
      <c r="M1192" s="6">
        <v>0</v>
      </c>
      <c r="N1192" s="6">
        <v>0</v>
      </c>
      <c r="O1192" s="4">
        <f t="shared" ref="O1192:O1225" si="406">SUM(I1192:N1192)</f>
        <v>150000</v>
      </c>
      <c r="P1192" s="5">
        <f>SUMIFS('Desenvolvimento diário'!$H:$H,'Desenvolvimento diário'!$Q:$Q,$B1192,'Desenvolvimento diário'!$P:$P,$F1192,'Desenvolvimento diário'!$R:$R,"Sim")</f>
        <v>0</v>
      </c>
      <c r="Q1192" s="5">
        <f>SUMIFS('Desenvolvimento diário'!$H:$H,'Desenvolvimento diário'!$Q:$Q,$B1192,'Desenvolvimento diário'!$P:$P,$F1192,'Desenvolvimento diário'!$R:$R,"Não")</f>
        <v>150000</v>
      </c>
      <c r="R1192" s="4">
        <f t="shared" ref="R1192:R1225" si="407">SUM(P1192:Q1192)</f>
        <v>150000</v>
      </c>
      <c r="S1192" s="4">
        <f t="shared" ref="S1192:S1225" si="408">O1192-R1192</f>
        <v>0</v>
      </c>
      <c r="T1192" s="12">
        <f t="shared" si="398"/>
        <v>1</v>
      </c>
      <c r="Y1192" s="2"/>
      <c r="Z1192" s="2"/>
      <c r="AA1192" s="2"/>
      <c r="AB1192" s="2"/>
      <c r="AC1192" s="2"/>
    </row>
    <row r="1193" spans="1:29" hidden="1">
      <c r="A1193" s="2">
        <f>A1192</f>
        <v>35</v>
      </c>
      <c r="B1193" s="2" t="str">
        <f>VLOOKUP($A1193,Controle!$B$4:$F$68,2,FALSE)</f>
        <v>Muzambinho 1</v>
      </c>
      <c r="C1193" s="2" t="str">
        <f>VLOOKUP($A1193,Controle!$B$4:$F$68,3,FALSE)</f>
        <v>MORI MINAS IV</v>
      </c>
      <c r="D1193" s="2" t="str">
        <f>VLOOKUP($A1193,Controle!$B$4:$F$68,4,FALSE)</f>
        <v>NewCo IV</v>
      </c>
      <c r="E1193" s="2">
        <f>VLOOKUP($A1193,Controle!$B$4:$F$68,5,FALSE)</f>
        <v>3</v>
      </c>
      <c r="F1193" s="3" t="str">
        <f t="shared" ref="F1193:F1225" si="409">F1158</f>
        <v>Conexão MT - Obras</v>
      </c>
      <c r="G1193" s="2" t="str">
        <f>VLOOKUP($A1193,Controle!$B$4:$G$68,6,FALSE)</f>
        <v>Solatio</v>
      </c>
      <c r="H1193" s="6" t="s">
        <v>141</v>
      </c>
      <c r="I1193" s="6">
        <f>2270553.19*20%</f>
        <v>454110.63800000004</v>
      </c>
      <c r="J1193" s="6">
        <f>35700+64260</f>
        <v>99960</v>
      </c>
      <c r="K1193" s="28">
        <v>397929.36200000002</v>
      </c>
      <c r="L1193" s="6">
        <v>0</v>
      </c>
      <c r="M1193" s="6">
        <v>0</v>
      </c>
      <c r="N1193" s="6">
        <v>0</v>
      </c>
      <c r="O1193" s="4">
        <f t="shared" si="406"/>
        <v>952000</v>
      </c>
      <c r="P1193" s="5">
        <f>SUMIFS('Desenvolvimento diário'!$H:$H,'Desenvolvimento diário'!$Q:$Q,$B1193,'Desenvolvimento diário'!$P:$P,$F1193,'Desenvolvimento diário'!$R:$R,"Sim")</f>
        <v>0</v>
      </c>
      <c r="Q1193" s="5">
        <f>SUMIFS('Desenvolvimento diário'!$H:$H,'Desenvolvimento diário'!$Q:$Q,$B1193,'Desenvolvimento diário'!$P:$P,$F1193,'Desenvolvimento diário'!$R:$R,"Não")</f>
        <v>952000</v>
      </c>
      <c r="R1193" s="4">
        <f t="shared" si="407"/>
        <v>952000</v>
      </c>
      <c r="S1193" s="27">
        <f t="shared" si="408"/>
        <v>0</v>
      </c>
      <c r="T1193" s="12">
        <f t="shared" si="398"/>
        <v>1</v>
      </c>
      <c r="V1193" s="30"/>
      <c r="W1193" s="34"/>
      <c r="X1193" s="34"/>
    </row>
    <row r="1194" spans="1:29" ht="10.5" hidden="1">
      <c r="A1194" s="2">
        <f t="shared" ref="A1194:A1225" si="410">A1193</f>
        <v>35</v>
      </c>
      <c r="B1194" s="94" t="str">
        <f>VLOOKUP($A1194,Controle!$B$4:$F$68,2,FALSE)</f>
        <v>Muzambinho 1</v>
      </c>
      <c r="C1194" s="2" t="str">
        <f>VLOOKUP($A1194,Controle!$B$4:$F$68,3,FALSE)</f>
        <v>MORI MINAS IV</v>
      </c>
      <c r="D1194" s="2" t="str">
        <f>VLOOKUP($A1194,Controle!$B$4:$F$68,4,FALSE)</f>
        <v>NewCo IV</v>
      </c>
      <c r="E1194" s="2">
        <f>VLOOKUP($A1194,Controle!$B$4:$F$68,5,FALSE)</f>
        <v>3</v>
      </c>
      <c r="F1194" s="3" t="str">
        <f t="shared" si="409"/>
        <v>Construção - Serviços de Construção</v>
      </c>
      <c r="G1194" s="2" t="str">
        <f>VLOOKUP($A1194,Controle!$B$4:$G$68,6,FALSE)</f>
        <v>Solatio</v>
      </c>
      <c r="H1194" s="6" t="s">
        <v>147</v>
      </c>
      <c r="I1194" s="6">
        <v>2691000</v>
      </c>
      <c r="J1194" s="6">
        <f>52647+49665</f>
        <v>102312</v>
      </c>
      <c r="K1194" s="6">
        <v>620472.85</v>
      </c>
      <c r="L1194" s="6">
        <v>0</v>
      </c>
      <c r="M1194" s="6">
        <v>0</v>
      </c>
      <c r="N1194" s="6">
        <v>0</v>
      </c>
      <c r="O1194" s="4">
        <f t="shared" si="406"/>
        <v>3413784.85</v>
      </c>
      <c r="P1194" s="5">
        <f>SUMIFS('Desenvolvimento diário'!$H:$H,'Desenvolvimento diário'!$Q:$Q,$B1194,'Desenvolvimento diário'!$P:$P,$F1194,'Desenvolvimento diário'!$R:$R,"Sim")</f>
        <v>637765.14</v>
      </c>
      <c r="Q1194" s="5">
        <f>SUMIFS('Desenvolvimento diário'!$H:$H,'Desenvolvimento diário'!$Q:$Q,$B1194,'Desenvolvimento diário'!$P:$P,$F1194,'Desenvolvimento diário'!$R:$R,"Não")</f>
        <v>2725935.3400000003</v>
      </c>
      <c r="R1194" s="4">
        <f t="shared" si="407"/>
        <v>3363700.4800000004</v>
      </c>
      <c r="S1194" s="33">
        <f t="shared" si="408"/>
        <v>50084.369999999646</v>
      </c>
      <c r="T1194" s="12">
        <f t="shared" si="398"/>
        <v>0.9853287854388364</v>
      </c>
      <c r="U1194" s="510" t="s">
        <v>162</v>
      </c>
      <c r="V1194" s="510" t="s">
        <v>163</v>
      </c>
      <c r="Y1194" s="2"/>
      <c r="Z1194" s="2"/>
      <c r="AA1194" s="2"/>
      <c r="AB1194" s="2"/>
      <c r="AC1194" s="2"/>
    </row>
    <row r="1195" spans="1:29" ht="10.5" hidden="1">
      <c r="A1195" s="2">
        <f t="shared" si="410"/>
        <v>35</v>
      </c>
      <c r="B1195" s="2" t="str">
        <f>VLOOKUP($A1195,Controle!$B$4:$F$68,2,FALSE)</f>
        <v>Muzambinho 1</v>
      </c>
      <c r="C1195" s="2" t="str">
        <f>VLOOKUP($A1195,Controle!$B$4:$F$68,3,FALSE)</f>
        <v>MORI MINAS IV</v>
      </c>
      <c r="D1195" s="2" t="str">
        <f>VLOOKUP($A1195,Controle!$B$4:$F$68,4,FALSE)</f>
        <v>NewCo IV</v>
      </c>
      <c r="E1195" s="2">
        <f>VLOOKUP($A1195,Controle!$B$4:$F$68,5,FALSE)</f>
        <v>3</v>
      </c>
      <c r="F1195" s="3" t="str">
        <f t="shared" si="409"/>
        <v>Construção - Serviços de Construção - Substituição</v>
      </c>
      <c r="G1195" s="2" t="str">
        <f>VLOOKUP($A1195,Controle!$B$4:$G$68,6,FALSE)</f>
        <v>Solatio</v>
      </c>
      <c r="H1195" s="6">
        <v>0</v>
      </c>
      <c r="I1195" s="6">
        <v>0</v>
      </c>
      <c r="J1195" s="6">
        <v>0</v>
      </c>
      <c r="K1195" s="6">
        <v>0</v>
      </c>
      <c r="L1195" s="6">
        <v>0</v>
      </c>
      <c r="M1195" s="6">
        <v>0</v>
      </c>
      <c r="N1195" s="6">
        <v>0</v>
      </c>
      <c r="O1195" s="4">
        <f t="shared" si="406"/>
        <v>0</v>
      </c>
      <c r="P1195" s="5">
        <f>SUMIFS('Desenvolvimento diário'!$H:$H,'Desenvolvimento diário'!$Q:$Q,$B1195,'Desenvolvimento diário'!$P:$P,$F1195,'Desenvolvimento diário'!$R:$R,"Sim")</f>
        <v>0</v>
      </c>
      <c r="Q1195" s="5">
        <f>SUMIFS('Desenvolvimento diário'!$H:$H,'Desenvolvimento diário'!$Q:$Q,$B1195,'Desenvolvimento diário'!$P:$P,$F1195,'Desenvolvimento diário'!$R:$R,"Não")</f>
        <v>0</v>
      </c>
      <c r="R1195" s="4">
        <f t="shared" si="407"/>
        <v>0</v>
      </c>
      <c r="S1195" s="4">
        <f t="shared" si="408"/>
        <v>0</v>
      </c>
      <c r="T1195" s="12">
        <f t="shared" si="398"/>
        <v>0</v>
      </c>
      <c r="Y1195" s="2"/>
      <c r="Z1195" s="2"/>
      <c r="AA1195" s="2"/>
      <c r="AB1195" s="2"/>
      <c r="AC1195" s="2"/>
    </row>
    <row r="1196" spans="1:29" ht="14.45" hidden="1">
      <c r="A1196" s="2">
        <f t="shared" si="410"/>
        <v>35</v>
      </c>
      <c r="B1196" s="2" t="str">
        <f>VLOOKUP($A1196,Controle!$B$4:$F$68,2,FALSE)</f>
        <v>Muzambinho 1</v>
      </c>
      <c r="C1196" s="2" t="str">
        <f>VLOOKUP($A1196,Controle!$B$4:$F$68,3,FALSE)</f>
        <v>MORI MINAS IV</v>
      </c>
      <c r="D1196" s="2" t="str">
        <f>VLOOKUP($A1196,Controle!$B$4:$F$68,4,FALSE)</f>
        <v>NewCo IV</v>
      </c>
      <c r="E1196" s="2">
        <f>VLOOKUP($A1196,Controle!$B$4:$F$68,5,FALSE)</f>
        <v>3</v>
      </c>
      <c r="F1196" s="3" t="str">
        <f t="shared" si="409"/>
        <v>Construção - RDA Interno</v>
      </c>
      <c r="G1196" s="2" t="str">
        <f>VLOOKUP($A1196,Controle!$B$4:$G$68,6,FALSE)</f>
        <v>Solatio</v>
      </c>
      <c r="H1196" s="6" t="s">
        <v>168</v>
      </c>
      <c r="I1196" s="6">
        <v>451646.2</v>
      </c>
      <c r="J1196" s="6">
        <v>0</v>
      </c>
      <c r="K1196" s="6">
        <v>0</v>
      </c>
      <c r="L1196" s="6">
        <v>0</v>
      </c>
      <c r="M1196" s="6">
        <v>0</v>
      </c>
      <c r="N1196" s="6">
        <v>0</v>
      </c>
      <c r="O1196" s="4">
        <f t="shared" si="406"/>
        <v>451646.2</v>
      </c>
      <c r="P1196" s="5">
        <f>SUMIFS('Desenvolvimento diário'!$H:$H,'Desenvolvimento diário'!$Q:$Q,$B1196,'Desenvolvimento diário'!$P:$P,$F1196,'Desenvolvimento diário'!$R:$R,"Sim")</f>
        <v>175030.07</v>
      </c>
      <c r="Q1196" s="5">
        <f>SUMIFS('Desenvolvimento diário'!$H:$H,'Desenvolvimento diário'!$Q:$Q,$B1196,'Desenvolvimento diário'!$P:$P,$F1196,'Desenvolvimento diário'!$R:$R,"Não")</f>
        <v>276616.13</v>
      </c>
      <c r="R1196" s="4">
        <f t="shared" si="407"/>
        <v>451646.2</v>
      </c>
      <c r="S1196" s="4">
        <f t="shared" si="408"/>
        <v>0</v>
      </c>
      <c r="T1196" s="12">
        <f t="shared" si="398"/>
        <v>1</v>
      </c>
      <c r="U1196" s="134"/>
      <c r="Y1196" s="2"/>
      <c r="Z1196" s="2"/>
      <c r="AA1196" s="2"/>
      <c r="AB1196" s="2"/>
      <c r="AC1196" s="2"/>
    </row>
    <row r="1197" spans="1:29" ht="10.5" hidden="1">
      <c r="A1197" s="2">
        <f t="shared" si="410"/>
        <v>35</v>
      </c>
      <c r="B1197" s="2" t="str">
        <f>VLOOKUP($A1197,Controle!$B$4:$F$68,2,FALSE)</f>
        <v>Muzambinho 1</v>
      </c>
      <c r="C1197" s="2" t="str">
        <f>VLOOKUP($A1197,Controle!$B$4:$F$68,3,FALSE)</f>
        <v>MORI MINAS IV</v>
      </c>
      <c r="D1197" s="2" t="str">
        <f>VLOOKUP($A1197,Controle!$B$4:$F$68,4,FALSE)</f>
        <v>NewCo IV</v>
      </c>
      <c r="E1197" s="2">
        <f>VLOOKUP($A1197,Controle!$B$4:$F$68,5,FALSE)</f>
        <v>3</v>
      </c>
      <c r="F1197" s="3" t="str">
        <f t="shared" si="409"/>
        <v>Full EPC - Contrato</v>
      </c>
      <c r="G1197" s="2" t="str">
        <f>VLOOKUP($A1197,Controle!$B$4:$G$68,6,FALSE)</f>
        <v>Solatio</v>
      </c>
      <c r="H1197" s="6">
        <v>0</v>
      </c>
      <c r="I1197" s="6">
        <v>0</v>
      </c>
      <c r="J1197" s="6">
        <v>0</v>
      </c>
      <c r="K1197" s="6">
        <v>0</v>
      </c>
      <c r="L1197" s="6">
        <v>0</v>
      </c>
      <c r="M1197" s="6">
        <v>0</v>
      </c>
      <c r="N1197" s="6">
        <v>0</v>
      </c>
      <c r="O1197" s="4">
        <f t="shared" si="406"/>
        <v>0</v>
      </c>
      <c r="P1197" s="5">
        <f>SUMIFS('Desenvolvimento diário'!$H:$H,'Desenvolvimento diário'!$Q:$Q,$B1197,'Desenvolvimento diário'!$P:$P,$F1197,'Desenvolvimento diário'!$R:$R,"Sim")</f>
        <v>0</v>
      </c>
      <c r="Q1197" s="5">
        <f>SUMIFS('Desenvolvimento diário'!$H:$H,'Desenvolvimento diário'!$Q:$Q,$B1197,'Desenvolvimento diário'!$P:$P,$F1197,'Desenvolvimento diário'!$R:$R,"Não")</f>
        <v>0</v>
      </c>
      <c r="R1197" s="4">
        <f t="shared" si="407"/>
        <v>0</v>
      </c>
      <c r="S1197" s="4">
        <f t="shared" si="408"/>
        <v>0</v>
      </c>
      <c r="T1197" s="12">
        <f t="shared" si="398"/>
        <v>0</v>
      </c>
      <c r="Y1197" s="2"/>
      <c r="Z1197" s="2"/>
      <c r="AA1197" s="2"/>
      <c r="AB1197" s="2"/>
      <c r="AC1197" s="2"/>
    </row>
    <row r="1198" spans="1:29" ht="10.5" hidden="1">
      <c r="A1198" s="2">
        <f t="shared" si="410"/>
        <v>35</v>
      </c>
      <c r="B1198" s="2" t="str">
        <f>VLOOKUP($A1198,Controle!$B$4:$F$68,2,FALSE)</f>
        <v>Muzambinho 1</v>
      </c>
      <c r="C1198" s="2" t="str">
        <f>VLOOKUP($A1198,Controle!$B$4:$F$68,3,FALSE)</f>
        <v>MORI MINAS IV</v>
      </c>
      <c r="D1198" s="2" t="str">
        <f>VLOOKUP($A1198,Controle!$B$4:$F$68,4,FALSE)</f>
        <v>NewCo IV</v>
      </c>
      <c r="E1198" s="2">
        <f>VLOOKUP($A1198,Controle!$B$4:$F$68,5,FALSE)</f>
        <v>3</v>
      </c>
      <c r="F1198" s="3" t="str">
        <f t="shared" si="409"/>
        <v>Equipamentos Curva A - Outros (Transformadores)</v>
      </c>
      <c r="G1198" s="2" t="str">
        <f>VLOOKUP($A1198,Controle!$B$4:$G$68,6,FALSE)</f>
        <v>Solatio</v>
      </c>
      <c r="H1198" s="6">
        <v>0</v>
      </c>
      <c r="I1198" s="6">
        <v>0</v>
      </c>
      <c r="J1198" s="6">
        <v>0</v>
      </c>
      <c r="K1198" s="6">
        <v>0</v>
      </c>
      <c r="L1198" s="6">
        <v>0</v>
      </c>
      <c r="M1198" s="6">
        <v>0</v>
      </c>
      <c r="N1198" s="6">
        <v>0</v>
      </c>
      <c r="O1198" s="4">
        <f t="shared" si="406"/>
        <v>0</v>
      </c>
      <c r="P1198" s="5">
        <f>SUMIFS('Desenvolvimento diário'!$H:$H,'Desenvolvimento diário'!$Q:$Q,$B1198,'Desenvolvimento diário'!$P:$P,$F1198,'Desenvolvimento diário'!$R:$R,"Sim")</f>
        <v>0</v>
      </c>
      <c r="Q1198" s="5">
        <f>SUMIFS('Desenvolvimento diário'!$H:$H,'Desenvolvimento diário'!$Q:$Q,$B1198,'Desenvolvimento diário'!$P:$P,$F1198,'Desenvolvimento diário'!$R:$R,"Não")</f>
        <v>0</v>
      </c>
      <c r="R1198" s="4">
        <f t="shared" si="407"/>
        <v>0</v>
      </c>
      <c r="S1198" s="4">
        <f t="shared" si="408"/>
        <v>0</v>
      </c>
      <c r="T1198" s="12">
        <f t="shared" si="398"/>
        <v>0</v>
      </c>
      <c r="Y1198" s="2"/>
      <c r="Z1198" s="2"/>
      <c r="AA1198" s="2"/>
      <c r="AB1198" s="2"/>
      <c r="AC1198" s="2"/>
    </row>
    <row r="1199" spans="1:29" ht="10.5" hidden="1">
      <c r="A1199" s="2">
        <f t="shared" si="410"/>
        <v>35</v>
      </c>
      <c r="B1199" s="2" t="str">
        <f>VLOOKUP($A1199,Controle!$B$4:$F$68,2,FALSE)</f>
        <v>Muzambinho 1</v>
      </c>
      <c r="C1199" s="2" t="str">
        <f>VLOOKUP($A1199,Controle!$B$4:$F$68,3,FALSE)</f>
        <v>MORI MINAS IV</v>
      </c>
      <c r="D1199" s="2" t="str">
        <f>VLOOKUP($A1199,Controle!$B$4:$F$68,4,FALSE)</f>
        <v>NewCo IV</v>
      </c>
      <c r="E1199" s="2">
        <f>VLOOKUP($A1199,Controle!$B$4:$F$68,5,FALSE)</f>
        <v>3</v>
      </c>
      <c r="F1199" s="3" t="str">
        <f t="shared" si="409"/>
        <v>Equipamentos Curva A - Outros (Cabine + Skid)</v>
      </c>
      <c r="G1199" s="2" t="str">
        <f>VLOOKUP($A1199,Controle!$B$4:$G$68,6,FALSE)</f>
        <v>Solatio</v>
      </c>
      <c r="H1199" s="6">
        <v>0</v>
      </c>
      <c r="I1199" s="6">
        <v>0</v>
      </c>
      <c r="J1199" s="6">
        <v>0</v>
      </c>
      <c r="K1199" s="6">
        <v>0</v>
      </c>
      <c r="L1199" s="6">
        <v>0</v>
      </c>
      <c r="M1199" s="6">
        <v>0</v>
      </c>
      <c r="N1199" s="6">
        <v>0</v>
      </c>
      <c r="O1199" s="4">
        <f t="shared" si="406"/>
        <v>0</v>
      </c>
      <c r="P1199" s="5">
        <f>SUMIFS('Desenvolvimento diário'!$H:$H,'Desenvolvimento diário'!$Q:$Q,$B1199,'Desenvolvimento diário'!$P:$P,$F1199,'Desenvolvimento diário'!$R:$R,"Sim")</f>
        <v>0</v>
      </c>
      <c r="Q1199" s="5">
        <f>SUMIFS('Desenvolvimento diário'!$H:$H,'Desenvolvimento diário'!$Q:$Q,$B1199,'Desenvolvimento diário'!$P:$P,$F1199,'Desenvolvimento diário'!$R:$R,"Não")</f>
        <v>0</v>
      </c>
      <c r="R1199" s="4">
        <f t="shared" si="407"/>
        <v>0</v>
      </c>
      <c r="S1199" s="4">
        <f t="shared" si="408"/>
        <v>0</v>
      </c>
      <c r="T1199" s="12">
        <f t="shared" si="398"/>
        <v>0</v>
      </c>
      <c r="Y1199" s="2"/>
      <c r="Z1199" s="2"/>
      <c r="AA1199" s="2"/>
      <c r="AB1199" s="2"/>
      <c r="AC1199" s="2"/>
    </row>
    <row r="1200" spans="1:29" ht="10.5" hidden="1">
      <c r="A1200" s="2">
        <f t="shared" si="410"/>
        <v>35</v>
      </c>
      <c r="B1200" s="2" t="str">
        <f>VLOOKUP($A1200,Controle!$B$4:$F$68,2,FALSE)</f>
        <v>Muzambinho 1</v>
      </c>
      <c r="C1200" s="2" t="str">
        <f>VLOOKUP($A1200,Controle!$B$4:$F$68,3,FALSE)</f>
        <v>MORI MINAS IV</v>
      </c>
      <c r="D1200" s="2" t="str">
        <f>VLOOKUP($A1200,Controle!$B$4:$F$68,4,FALSE)</f>
        <v>NewCo IV</v>
      </c>
      <c r="E1200" s="2">
        <f>VLOOKUP($A1200,Controle!$B$4:$F$68,5,FALSE)</f>
        <v>3</v>
      </c>
      <c r="F1200" s="3" t="str">
        <f t="shared" si="409"/>
        <v>Equipamentos Curva A - Outros (Cabine + Skid + Transformador)</v>
      </c>
      <c r="G1200" s="2" t="str">
        <f>VLOOKUP($A1200,Controle!$B$4:$G$68,6,FALSE)</f>
        <v>Solatio</v>
      </c>
      <c r="H1200" s="6" t="s">
        <v>144</v>
      </c>
      <c r="I1200" s="6">
        <v>1179651.726438514</v>
      </c>
      <c r="J1200" s="6">
        <v>0</v>
      </c>
      <c r="K1200" s="6">
        <v>0</v>
      </c>
      <c r="L1200" s="6">
        <v>0</v>
      </c>
      <c r="M1200" s="6">
        <v>0</v>
      </c>
      <c r="N1200" s="6">
        <v>0</v>
      </c>
      <c r="O1200" s="4">
        <f t="shared" si="406"/>
        <v>1179651.726438514</v>
      </c>
      <c r="P1200" s="5">
        <f>SUMIFS('Desenvolvimento diário'!$H:$H,'Desenvolvimento diário'!$Q:$Q,$B1200,'Desenvolvimento diário'!$P:$P,$F1200,'Desenvolvimento diário'!$R:$R,"Sim")</f>
        <v>0</v>
      </c>
      <c r="Q1200" s="5">
        <f>SUMIFS('Desenvolvimento diário'!$H:$H,'Desenvolvimento diário'!$Q:$Q,$B1200,'Desenvolvimento diário'!$P:$P,$F1200,'Desenvolvimento diário'!$R:$R,"Não")</f>
        <v>1179651.726438514</v>
      </c>
      <c r="R1200" s="4">
        <f t="shared" si="407"/>
        <v>1179651.726438514</v>
      </c>
      <c r="S1200" s="4">
        <f t="shared" si="408"/>
        <v>0</v>
      </c>
      <c r="T1200" s="12">
        <f t="shared" si="398"/>
        <v>1</v>
      </c>
      <c r="Y1200" s="2"/>
      <c r="Z1200" s="2"/>
      <c r="AA1200" s="2"/>
      <c r="AB1200" s="2"/>
      <c r="AC1200" s="2"/>
    </row>
    <row r="1201" spans="1:29" ht="10.5" hidden="1">
      <c r="A1201" s="2">
        <f t="shared" si="410"/>
        <v>35</v>
      </c>
      <c r="B1201" s="2" t="str">
        <f>VLOOKUP($A1201,Controle!$B$4:$F$68,2,FALSE)</f>
        <v>Muzambinho 1</v>
      </c>
      <c r="C1201" s="2" t="str">
        <f>VLOOKUP($A1201,Controle!$B$4:$F$68,3,FALSE)</f>
        <v>MORI MINAS IV</v>
      </c>
      <c r="D1201" s="2" t="str">
        <f>VLOOKUP($A1201,Controle!$B$4:$F$68,4,FALSE)</f>
        <v>NewCo IV</v>
      </c>
      <c r="E1201" s="2">
        <f>VLOOKUP($A1201,Controle!$B$4:$F$68,5,FALSE)</f>
        <v>3</v>
      </c>
      <c r="F1201" s="3" t="str">
        <f t="shared" si="409"/>
        <v>Desenvolvimento de projeto - Projetos - (Eng° Proprietario)</v>
      </c>
      <c r="G1201" s="2" t="str">
        <f>VLOOKUP($A1201,Controle!$B$4:$G$68,6,FALSE)</f>
        <v>Solatio</v>
      </c>
      <c r="H1201" s="6" t="s">
        <v>145</v>
      </c>
      <c r="I1201" s="6">
        <v>0</v>
      </c>
      <c r="J1201" s="6">
        <v>0</v>
      </c>
      <c r="K1201" s="6">
        <v>0</v>
      </c>
      <c r="L1201" s="6">
        <v>0</v>
      </c>
      <c r="M1201" s="6">
        <v>0</v>
      </c>
      <c r="N1201" s="6">
        <v>0</v>
      </c>
      <c r="O1201" s="4">
        <f t="shared" si="406"/>
        <v>0</v>
      </c>
      <c r="P1201" s="5">
        <f>SUMIFS('Desenvolvimento diário'!$H:$H,'Desenvolvimento diário'!$Q:$Q,$B1201,'Desenvolvimento diário'!$P:$P,$F1201,'Desenvolvimento diário'!$R:$R,"Sim")</f>
        <v>0</v>
      </c>
      <c r="Q1201" s="5">
        <f>SUMIFS('Desenvolvimento diário'!$H:$H,'Desenvolvimento diário'!$Q:$Q,$B1201,'Desenvolvimento diário'!$P:$P,$F1201,'Desenvolvimento diário'!$R:$R,"Não")</f>
        <v>0</v>
      </c>
      <c r="R1201" s="4">
        <f t="shared" si="407"/>
        <v>0</v>
      </c>
      <c r="S1201" s="4">
        <f t="shared" si="408"/>
        <v>0</v>
      </c>
      <c r="T1201" s="12">
        <f t="shared" si="398"/>
        <v>0</v>
      </c>
      <c r="Y1201" s="2"/>
      <c r="Z1201" s="2"/>
      <c r="AA1201" s="2"/>
      <c r="AB1201" s="2"/>
      <c r="AC1201" s="2"/>
    </row>
    <row r="1202" spans="1:29" ht="10.5" hidden="1">
      <c r="A1202" s="2">
        <f t="shared" si="410"/>
        <v>35</v>
      </c>
      <c r="B1202" s="2" t="str">
        <f>VLOOKUP($A1202,Controle!$B$4:$F$68,2,FALSE)</f>
        <v>Muzambinho 1</v>
      </c>
      <c r="C1202" s="2" t="str">
        <f>VLOOKUP($A1202,Controle!$B$4:$F$68,3,FALSE)</f>
        <v>MORI MINAS IV</v>
      </c>
      <c r="D1202" s="2" t="str">
        <f>VLOOKUP($A1202,Controle!$B$4:$F$68,4,FALSE)</f>
        <v>NewCo IV</v>
      </c>
      <c r="E1202" s="2">
        <f>VLOOKUP($A1202,Controle!$B$4:$F$68,5,FALSE)</f>
        <v>3</v>
      </c>
      <c r="F1202" s="3" t="str">
        <f t="shared" si="409"/>
        <v>Desenvolvimento de projeto - Projetos - Executivos</v>
      </c>
      <c r="G1202" s="2" t="str">
        <f>VLOOKUP($A1202,Controle!$B$4:$G$68,6,FALSE)</f>
        <v>Solatio</v>
      </c>
      <c r="H1202" s="6">
        <v>0</v>
      </c>
      <c r="I1202" s="6">
        <v>0</v>
      </c>
      <c r="J1202" s="6">
        <v>0</v>
      </c>
      <c r="K1202" s="6">
        <v>0</v>
      </c>
      <c r="L1202" s="6">
        <v>0</v>
      </c>
      <c r="M1202" s="6">
        <v>0</v>
      </c>
      <c r="N1202" s="6">
        <v>0</v>
      </c>
      <c r="O1202" s="4">
        <f t="shared" si="406"/>
        <v>0</v>
      </c>
      <c r="P1202" s="5">
        <f>SUMIFS('Desenvolvimento diário'!$H:$H,'Desenvolvimento diário'!$Q:$Q,$B1202,'Desenvolvimento diário'!$P:$P,$F1202,'Desenvolvimento diário'!$R:$R,"Sim")</f>
        <v>0</v>
      </c>
      <c r="Q1202" s="5">
        <f>SUMIFS('Desenvolvimento diário'!$H:$H,'Desenvolvimento diário'!$Q:$Q,$B1202,'Desenvolvimento diário'!$P:$P,$F1202,'Desenvolvimento diário'!$R:$R,"Não")</f>
        <v>0</v>
      </c>
      <c r="R1202" s="4">
        <f t="shared" si="407"/>
        <v>0</v>
      </c>
      <c r="S1202" s="4">
        <f t="shared" si="408"/>
        <v>0</v>
      </c>
      <c r="T1202" s="12">
        <f t="shared" si="398"/>
        <v>0</v>
      </c>
      <c r="Y1202" s="2"/>
      <c r="Z1202" s="2"/>
      <c r="AA1202" s="2"/>
      <c r="AB1202" s="2"/>
      <c r="AC1202" s="2"/>
    </row>
    <row r="1203" spans="1:29" ht="10.5" hidden="1">
      <c r="A1203" s="2">
        <f t="shared" si="410"/>
        <v>35</v>
      </c>
      <c r="B1203" s="2" t="str">
        <f>VLOOKUP($A1203,Controle!$B$4:$F$68,2,FALSE)</f>
        <v>Muzambinho 1</v>
      </c>
      <c r="C1203" s="2" t="str">
        <f>VLOOKUP($A1203,Controle!$B$4:$F$68,3,FALSE)</f>
        <v>MORI MINAS IV</v>
      </c>
      <c r="D1203" s="2" t="str">
        <f>VLOOKUP($A1203,Controle!$B$4:$F$68,4,FALSE)</f>
        <v>NewCo IV</v>
      </c>
      <c r="E1203" s="2">
        <f>VLOOKUP($A1203,Controle!$B$4:$F$68,5,FALSE)</f>
        <v>3</v>
      </c>
      <c r="F1203" s="3" t="str">
        <f t="shared" si="409"/>
        <v>Desenvolvimento de projeto - Projetos Básica</v>
      </c>
      <c r="G1203" s="2" t="str">
        <f>VLOOKUP($A1203,Controle!$B$4:$G$68,6,FALSE)</f>
        <v>Solatio</v>
      </c>
      <c r="H1203" s="6">
        <v>0</v>
      </c>
      <c r="I1203" s="6">
        <v>0</v>
      </c>
      <c r="J1203" s="6">
        <v>0</v>
      </c>
      <c r="K1203" s="6">
        <v>0</v>
      </c>
      <c r="L1203" s="6">
        <v>0</v>
      </c>
      <c r="M1203" s="6">
        <v>0</v>
      </c>
      <c r="N1203" s="6">
        <v>0</v>
      </c>
      <c r="O1203" s="4">
        <f t="shared" si="406"/>
        <v>0</v>
      </c>
      <c r="P1203" s="5">
        <f>SUMIFS('Desenvolvimento diário'!$H:$H,'Desenvolvimento diário'!$Q:$Q,$B1203,'Desenvolvimento diário'!$P:$P,$F1203,'Desenvolvimento diário'!$R:$R,"Sim")</f>
        <v>0</v>
      </c>
      <c r="Q1203" s="5">
        <f>SUMIFS('Desenvolvimento diário'!$H:$H,'Desenvolvimento diário'!$Q:$Q,$B1203,'Desenvolvimento diário'!$P:$P,$F1203,'Desenvolvimento diário'!$R:$R,"Não")</f>
        <v>0</v>
      </c>
      <c r="R1203" s="4">
        <f t="shared" si="407"/>
        <v>0</v>
      </c>
      <c r="S1203" s="4">
        <f t="shared" si="408"/>
        <v>0</v>
      </c>
      <c r="T1203" s="12">
        <f t="shared" si="398"/>
        <v>0</v>
      </c>
      <c r="Y1203" s="2"/>
      <c r="Z1203" s="2"/>
      <c r="AA1203" s="2"/>
      <c r="AB1203" s="2"/>
      <c r="AC1203" s="2"/>
    </row>
    <row r="1204" spans="1:29" ht="10.5" hidden="1">
      <c r="A1204" s="2">
        <f t="shared" si="410"/>
        <v>35</v>
      </c>
      <c r="B1204" s="2" t="str">
        <f>VLOOKUP($A1204,Controle!$B$4:$F$68,2,FALSE)</f>
        <v>Muzambinho 1</v>
      </c>
      <c r="C1204" s="2" t="str">
        <f>VLOOKUP($A1204,Controle!$B$4:$F$68,3,FALSE)</f>
        <v>MORI MINAS IV</v>
      </c>
      <c r="D1204" s="2" t="str">
        <f>VLOOKUP($A1204,Controle!$B$4:$F$68,4,FALSE)</f>
        <v>NewCo IV</v>
      </c>
      <c r="E1204" s="2">
        <f>VLOOKUP($A1204,Controle!$B$4:$F$68,5,FALSE)</f>
        <v>3</v>
      </c>
      <c r="F1204" s="3" t="str">
        <f t="shared" si="409"/>
        <v>Desenvolvimento de projeto - Projetos Detalhada</v>
      </c>
      <c r="G1204" s="2" t="str">
        <f>VLOOKUP($A1204,Controle!$B$4:$G$68,6,FALSE)</f>
        <v>Solatio</v>
      </c>
      <c r="H1204" s="6" t="s">
        <v>147</v>
      </c>
      <c r="I1204" s="6">
        <v>93783</v>
      </c>
      <c r="J1204" s="6">
        <v>36455.54</v>
      </c>
      <c r="K1204" s="6">
        <v>0</v>
      </c>
      <c r="L1204" s="6">
        <v>0</v>
      </c>
      <c r="M1204" s="6">
        <v>0</v>
      </c>
      <c r="N1204" s="6">
        <v>0</v>
      </c>
      <c r="O1204" s="4">
        <f t="shared" si="406"/>
        <v>130238.54000000001</v>
      </c>
      <c r="P1204" s="5">
        <f>SUMIFS('Desenvolvimento diário'!$H:$H,'Desenvolvimento diário'!$Q:$Q,$B1204,'Desenvolvimento diário'!$P:$P,$F1204,'Desenvolvimento diário'!$R:$R,"Sim")</f>
        <v>0</v>
      </c>
      <c r="Q1204" s="5">
        <f>SUMIFS('Desenvolvimento diário'!$H:$H,'Desenvolvimento diário'!$Q:$Q,$B1204,'Desenvolvimento diário'!$P:$P,$F1204,'Desenvolvimento diário'!$R:$R,"Não")</f>
        <v>130238.54000000001</v>
      </c>
      <c r="R1204" s="4">
        <f t="shared" si="407"/>
        <v>130238.54000000001</v>
      </c>
      <c r="S1204" s="4">
        <f t="shared" si="408"/>
        <v>0</v>
      </c>
      <c r="T1204" s="12">
        <f t="shared" si="398"/>
        <v>1</v>
      </c>
      <c r="Y1204" s="2"/>
      <c r="Z1204" s="2"/>
      <c r="AA1204" s="2"/>
      <c r="AB1204" s="2"/>
      <c r="AC1204" s="2"/>
    </row>
    <row r="1205" spans="1:29" ht="10.5" hidden="1">
      <c r="A1205" s="2">
        <f t="shared" si="410"/>
        <v>35</v>
      </c>
      <c r="B1205" s="2" t="str">
        <f>VLOOKUP($A1205,Controle!$B$4:$F$68,2,FALSE)</f>
        <v>Muzambinho 1</v>
      </c>
      <c r="C1205" s="2" t="str">
        <f>VLOOKUP($A1205,Controle!$B$4:$F$68,3,FALSE)</f>
        <v>MORI MINAS IV</v>
      </c>
      <c r="D1205" s="2" t="str">
        <f>VLOOKUP($A1205,Controle!$B$4:$F$68,4,FALSE)</f>
        <v>NewCo IV</v>
      </c>
      <c r="E1205" s="2">
        <f>VLOOKUP($A1205,Controle!$B$4:$F$68,5,FALSE)</f>
        <v>3</v>
      </c>
      <c r="F1205" s="3" t="str">
        <f t="shared" si="409"/>
        <v>Desenvolvimento de projeto - Ambiental / Outros</v>
      </c>
      <c r="G1205" s="2" t="str">
        <f>VLOOKUP($A1205,Controle!$B$4:$G$68,6,FALSE)</f>
        <v>Solatio</v>
      </c>
      <c r="H1205" s="6" t="s">
        <v>148</v>
      </c>
      <c r="I1205" s="6">
        <f>R1205</f>
        <v>78131.300000000017</v>
      </c>
      <c r="J1205" s="6">
        <v>0</v>
      </c>
      <c r="K1205" s="6">
        <v>0</v>
      </c>
      <c r="L1205" s="6">
        <v>0</v>
      </c>
      <c r="M1205" s="6">
        <v>0</v>
      </c>
      <c r="N1205" s="6">
        <v>0</v>
      </c>
      <c r="O1205" s="4">
        <f t="shared" si="406"/>
        <v>78131.300000000017</v>
      </c>
      <c r="P1205" s="5">
        <f>SUMIFS('Desenvolvimento diário'!$H:$H,'Desenvolvimento diário'!$Q:$Q,$B1205,'Desenvolvimento diário'!$P:$P,$F1205,'Desenvolvimento diário'!$R:$R,"Sim")</f>
        <v>0</v>
      </c>
      <c r="Q1205" s="5">
        <f>SUMIFS('Desenvolvimento diário'!$H:$H,'Desenvolvimento diário'!$Q:$Q,$B1205,'Desenvolvimento diário'!$P:$P,$F1205,'Desenvolvimento diário'!$R:$R,"Não")</f>
        <v>78131.300000000017</v>
      </c>
      <c r="R1205" s="4">
        <f t="shared" si="407"/>
        <v>78131.300000000017</v>
      </c>
      <c r="S1205" s="4">
        <f t="shared" si="408"/>
        <v>0</v>
      </c>
      <c r="T1205" s="12">
        <f t="shared" si="398"/>
        <v>1</v>
      </c>
      <c r="Y1205" s="2"/>
      <c r="Z1205" s="2"/>
      <c r="AA1205" s="2"/>
      <c r="AB1205" s="2"/>
      <c r="AC1205" s="2"/>
    </row>
    <row r="1206" spans="1:29" hidden="1">
      <c r="A1206" s="2">
        <f t="shared" si="410"/>
        <v>35</v>
      </c>
      <c r="B1206" s="2" t="str">
        <f>VLOOKUP($A1206,Controle!$B$4:$F$68,2,FALSE)</f>
        <v>Muzambinho 1</v>
      </c>
      <c r="C1206" s="2" t="str">
        <f>VLOOKUP($A1206,Controle!$B$4:$F$68,3,FALSE)</f>
        <v>MORI MINAS IV</v>
      </c>
      <c r="D1206" s="2" t="str">
        <f>VLOOKUP($A1206,Controle!$B$4:$F$68,4,FALSE)</f>
        <v>NewCo IV</v>
      </c>
      <c r="E1206" s="2">
        <f>VLOOKUP($A1206,Controle!$B$4:$F$68,5,FALSE)</f>
        <v>3</v>
      </c>
      <c r="F1206" s="3" t="str">
        <f t="shared" si="409"/>
        <v>Desenvolvimento de projeto - Coordenograma</v>
      </c>
      <c r="G1206" s="2" t="str">
        <f>VLOOKUP($A1206,Controle!$B$4:$G$68,6,FALSE)</f>
        <v>Solatio</v>
      </c>
      <c r="H1206" s="31" t="s">
        <v>149</v>
      </c>
      <c r="I1206" s="31">
        <v>6206.9</v>
      </c>
      <c r="J1206" s="31">
        <v>0</v>
      </c>
      <c r="K1206" s="31">
        <v>0</v>
      </c>
      <c r="L1206" s="6">
        <v>0</v>
      </c>
      <c r="M1206" s="6">
        <v>0</v>
      </c>
      <c r="N1206" s="6">
        <v>0</v>
      </c>
      <c r="O1206" s="4">
        <f t="shared" si="406"/>
        <v>6206.9</v>
      </c>
      <c r="P1206" s="5">
        <f>SUMIFS('Desenvolvimento diário'!$H:$H,'Desenvolvimento diário'!$Q:$Q,$B1206,'Desenvolvimento diário'!$P:$P,$F1206,'Desenvolvimento diário'!$R:$R,"Sim")</f>
        <v>0</v>
      </c>
      <c r="Q1206" s="5">
        <f>SUMIFS('Desenvolvimento diário'!$H:$H,'Desenvolvimento diário'!$Q:$Q,$B1206,'Desenvolvimento diário'!$P:$P,$F1206,'Desenvolvimento diário'!$R:$R,"Não")</f>
        <v>6206.9</v>
      </c>
      <c r="R1206" s="4">
        <f t="shared" si="407"/>
        <v>6206.9</v>
      </c>
      <c r="S1206" s="4">
        <f t="shared" si="408"/>
        <v>0</v>
      </c>
      <c r="T1206" s="12">
        <f t="shared" si="398"/>
        <v>1</v>
      </c>
      <c r="Y1206" s="2"/>
      <c r="Z1206" s="2"/>
      <c r="AA1206" s="2"/>
      <c r="AB1206" s="2"/>
      <c r="AC1206" s="2"/>
    </row>
    <row r="1207" spans="1:29" ht="10.5" hidden="1">
      <c r="A1207" s="2">
        <f t="shared" si="410"/>
        <v>35</v>
      </c>
      <c r="B1207" s="2" t="str">
        <f>VLOOKUP($A1207,Controle!$B$4:$F$68,2,FALSE)</f>
        <v>Muzambinho 1</v>
      </c>
      <c r="C1207" s="2" t="str">
        <f>VLOOKUP($A1207,Controle!$B$4:$F$68,3,FALSE)</f>
        <v>MORI MINAS IV</v>
      </c>
      <c r="D1207" s="2" t="str">
        <f>VLOOKUP($A1207,Controle!$B$4:$F$68,4,FALSE)</f>
        <v>NewCo IV</v>
      </c>
      <c r="E1207" s="2">
        <f>VLOOKUP($A1207,Controle!$B$4:$F$68,5,FALSE)</f>
        <v>3</v>
      </c>
      <c r="F1207" s="3" t="str">
        <f t="shared" si="409"/>
        <v>Sistemas de Monitoramento - Supervisório</v>
      </c>
      <c r="G1207" s="2" t="str">
        <f>VLOOKUP($A1207,Controle!$B$4:$G$68,6,FALSE)</f>
        <v>Solatio</v>
      </c>
      <c r="H1207" s="6" t="s">
        <v>150</v>
      </c>
      <c r="I1207" s="6">
        <v>136155</v>
      </c>
      <c r="J1207" s="6"/>
      <c r="K1207" s="6">
        <v>0</v>
      </c>
      <c r="L1207" s="6">
        <v>0</v>
      </c>
      <c r="M1207" s="6">
        <v>0</v>
      </c>
      <c r="N1207" s="6">
        <v>0</v>
      </c>
      <c r="O1207" s="4">
        <f t="shared" si="406"/>
        <v>136155</v>
      </c>
      <c r="P1207" s="5">
        <f>SUMIFS('Desenvolvimento diário'!$H:$H,'Desenvolvimento diário'!$Q:$Q,$B1207,'Desenvolvimento diário'!$P:$P,$F1207,'Desenvolvimento diário'!$R:$R,"Sim")</f>
        <v>5821.02</v>
      </c>
      <c r="Q1207" s="5">
        <f>SUMIFS('Desenvolvimento diário'!$H:$H,'Desenvolvimento diário'!$Q:$Q,$B1207,'Desenvolvimento diário'!$P:$P,$F1207,'Desenvolvimento diário'!$R:$R,"Não")</f>
        <v>130333.98000000001</v>
      </c>
      <c r="R1207" s="4">
        <f t="shared" si="407"/>
        <v>136155</v>
      </c>
      <c r="S1207" s="4">
        <f t="shared" si="408"/>
        <v>0</v>
      </c>
      <c r="T1207" s="12">
        <f t="shared" si="398"/>
        <v>1</v>
      </c>
      <c r="Y1207" s="2"/>
      <c r="Z1207" s="2"/>
      <c r="AA1207" s="2"/>
      <c r="AB1207" s="2"/>
      <c r="AC1207" s="2"/>
    </row>
    <row r="1208" spans="1:29" ht="10.5" hidden="1">
      <c r="A1208" s="2">
        <f t="shared" si="410"/>
        <v>35</v>
      </c>
      <c r="B1208" s="2" t="str">
        <f>VLOOKUP($A1208,Controle!$B$4:$F$68,2,FALSE)</f>
        <v>Muzambinho 1</v>
      </c>
      <c r="C1208" s="2" t="str">
        <f>VLOOKUP($A1208,Controle!$B$4:$F$68,3,FALSE)</f>
        <v>MORI MINAS IV</v>
      </c>
      <c r="D1208" s="2" t="str">
        <f>VLOOKUP($A1208,Controle!$B$4:$F$68,4,FALSE)</f>
        <v>NewCo IV</v>
      </c>
      <c r="E1208" s="2">
        <f>VLOOKUP($A1208,Controle!$B$4:$F$68,5,FALSE)</f>
        <v>3</v>
      </c>
      <c r="F1208" s="3" t="str">
        <f t="shared" si="409"/>
        <v>Sistemas de Monitoramento - Estações Solarimétricas</v>
      </c>
      <c r="G1208" s="2" t="str">
        <f>VLOOKUP($A1208,Controle!$B$4:$G$68,6,FALSE)</f>
        <v>Solatio</v>
      </c>
      <c r="H1208" s="6" t="s">
        <v>151</v>
      </c>
      <c r="I1208" s="6">
        <v>48276.516000000003</v>
      </c>
      <c r="J1208" s="6">
        <v>0</v>
      </c>
      <c r="K1208" s="6">
        <v>0</v>
      </c>
      <c r="L1208" s="6">
        <v>0</v>
      </c>
      <c r="M1208" s="6">
        <v>0</v>
      </c>
      <c r="N1208" s="6">
        <v>0</v>
      </c>
      <c r="O1208" s="4">
        <f t="shared" si="406"/>
        <v>48276.516000000003</v>
      </c>
      <c r="P1208" s="5">
        <f>SUMIFS('Desenvolvimento diário'!$H:$H,'Desenvolvimento diário'!$Q:$Q,$B1208,'Desenvolvimento diário'!$P:$P,$F1208,'Desenvolvimento diário'!$R:$R,"Sim")</f>
        <v>0</v>
      </c>
      <c r="Q1208" s="5">
        <f>SUMIFS('Desenvolvimento diário'!$H:$H,'Desenvolvimento diário'!$Q:$Q,$B1208,'Desenvolvimento diário'!$P:$P,$F1208,'Desenvolvimento diário'!$R:$R,"Não")</f>
        <v>48276.516000000003</v>
      </c>
      <c r="R1208" s="4">
        <f t="shared" si="407"/>
        <v>48276.516000000003</v>
      </c>
      <c r="S1208" s="4">
        <f t="shared" si="408"/>
        <v>0</v>
      </c>
      <c r="T1208" s="12">
        <f t="shared" si="398"/>
        <v>1</v>
      </c>
      <c r="Y1208" s="2"/>
      <c r="Z1208" s="2"/>
      <c r="AA1208" s="2"/>
      <c r="AB1208" s="2"/>
      <c r="AC1208" s="2"/>
    </row>
    <row r="1209" spans="1:29" hidden="1">
      <c r="A1209" s="2">
        <f t="shared" si="410"/>
        <v>35</v>
      </c>
      <c r="B1209" s="2" t="str">
        <f>VLOOKUP($A1209,Controle!$B$4:$F$68,2,FALSE)</f>
        <v>Muzambinho 1</v>
      </c>
      <c r="C1209" s="2" t="str">
        <f>VLOOKUP($A1209,Controle!$B$4:$F$68,3,FALSE)</f>
        <v>MORI MINAS IV</v>
      </c>
      <c r="D1209" s="2" t="str">
        <f>VLOOKUP($A1209,Controle!$B$4:$F$68,4,FALSE)</f>
        <v>NewCo IV</v>
      </c>
      <c r="E1209" s="2">
        <f>VLOOKUP($A1209,Controle!$B$4:$F$68,5,FALSE)</f>
        <v>3</v>
      </c>
      <c r="F1209" s="3" t="str">
        <f t="shared" si="409"/>
        <v>Sistemas de Monitoramento - CFTV</v>
      </c>
      <c r="G1209" s="2" t="str">
        <f>VLOOKUP($A1209,Controle!$B$4:$G$68,6,FALSE)</f>
        <v>Solatio</v>
      </c>
      <c r="H1209" s="31" t="s">
        <v>152</v>
      </c>
      <c r="I1209" s="6">
        <v>299059.65000000002</v>
      </c>
      <c r="J1209" s="6">
        <v>0</v>
      </c>
      <c r="K1209" s="28">
        <v>9980.52</v>
      </c>
      <c r="L1209" s="6">
        <v>0</v>
      </c>
      <c r="M1209" s="6">
        <v>0</v>
      </c>
      <c r="N1209" s="6">
        <v>0</v>
      </c>
      <c r="O1209" s="4">
        <f t="shared" si="406"/>
        <v>309040.17000000004</v>
      </c>
      <c r="P1209" s="5">
        <f>SUMIFS('Desenvolvimento diário'!$H:$H,'Desenvolvimento diário'!$Q:$Q,$B1209,'Desenvolvimento diário'!$P:$P,$F1209,'Desenvolvimento diário'!$R:$R,"Sim")</f>
        <v>0</v>
      </c>
      <c r="Q1209" s="5">
        <f>SUMIFS('Desenvolvimento diário'!$H:$H,'Desenvolvimento diário'!$Q:$Q,$B1209,'Desenvolvimento diário'!$P:$P,$F1209,'Desenvolvimento diário'!$R:$R,"Não")</f>
        <v>309040.17000000004</v>
      </c>
      <c r="R1209" s="4">
        <f t="shared" si="407"/>
        <v>309040.17000000004</v>
      </c>
      <c r="S1209" s="4">
        <f t="shared" si="408"/>
        <v>0</v>
      </c>
      <c r="T1209" s="12">
        <f t="shared" si="398"/>
        <v>1</v>
      </c>
      <c r="Y1209" s="2"/>
      <c r="Z1209" s="2"/>
      <c r="AA1209" s="2"/>
      <c r="AB1209" s="2"/>
      <c r="AC1209" s="2"/>
    </row>
    <row r="1210" spans="1:29" ht="10.5" hidden="1">
      <c r="A1210" s="2">
        <f t="shared" si="410"/>
        <v>35</v>
      </c>
      <c r="B1210" s="2" t="str">
        <f>VLOOKUP($A1210,Controle!$B$4:$F$68,2,FALSE)</f>
        <v>Muzambinho 1</v>
      </c>
      <c r="C1210" s="2" t="str">
        <f>VLOOKUP($A1210,Controle!$B$4:$F$68,3,FALSE)</f>
        <v>MORI MINAS IV</v>
      </c>
      <c r="D1210" s="2" t="str">
        <f>VLOOKUP($A1210,Controle!$B$4:$F$68,4,FALSE)</f>
        <v>NewCo IV</v>
      </c>
      <c r="E1210" s="2">
        <f>VLOOKUP($A1210,Controle!$B$4:$F$68,5,FALSE)</f>
        <v>3</v>
      </c>
      <c r="F1210" s="3" t="str">
        <f t="shared" si="409"/>
        <v>Serviços Auxiliares - Drenagem</v>
      </c>
      <c r="G1210" s="2" t="str">
        <f>VLOOKUP($A1210,Controle!$B$4:$G$68,6,FALSE)</f>
        <v>Solatio</v>
      </c>
      <c r="H1210" s="6" t="s">
        <v>191</v>
      </c>
      <c r="I1210" s="6">
        <v>992738.49</v>
      </c>
      <c r="J1210" s="6">
        <v>0</v>
      </c>
      <c r="K1210" s="6">
        <v>0</v>
      </c>
      <c r="L1210" s="6">
        <v>0</v>
      </c>
      <c r="M1210" s="6">
        <v>0</v>
      </c>
      <c r="N1210" s="6">
        <v>0</v>
      </c>
      <c r="O1210" s="4">
        <f t="shared" si="406"/>
        <v>992738.49</v>
      </c>
      <c r="P1210" s="5">
        <f>SUMIFS('Desenvolvimento diário'!$H:$H,'Desenvolvimento diário'!$Q:$Q,$B1210,'Desenvolvimento diário'!$P:$P,$F1210,'Desenvolvimento diário'!$R:$R,"Sim")</f>
        <v>0</v>
      </c>
      <c r="Q1210" s="5">
        <f>SUMIFS('Desenvolvimento diário'!$H:$H,'Desenvolvimento diário'!$Q:$Q,$B1210,'Desenvolvimento diário'!$P:$P,$F1210,'Desenvolvimento diário'!$R:$R,"Não")</f>
        <v>992738.49</v>
      </c>
      <c r="R1210" s="4">
        <f t="shared" si="407"/>
        <v>992738.49</v>
      </c>
      <c r="S1210" s="27">
        <f t="shared" si="408"/>
        <v>0</v>
      </c>
      <c r="T1210" s="12">
        <f t="shared" si="398"/>
        <v>1</v>
      </c>
      <c r="Y1210" s="2"/>
      <c r="Z1210" s="2"/>
      <c r="AA1210" s="2"/>
      <c r="AB1210" s="2"/>
      <c r="AC1210" s="2"/>
    </row>
    <row r="1211" spans="1:29" ht="10.5" hidden="1">
      <c r="A1211" s="2">
        <f t="shared" si="410"/>
        <v>35</v>
      </c>
      <c r="B1211" s="2" t="str">
        <f>VLOOKUP($A1211,Controle!$B$4:$F$68,2,FALSE)</f>
        <v>Muzambinho 1</v>
      </c>
      <c r="C1211" s="2" t="str">
        <f>VLOOKUP($A1211,Controle!$B$4:$F$68,3,FALSE)</f>
        <v>MORI MINAS IV</v>
      </c>
      <c r="D1211" s="2" t="str">
        <f>VLOOKUP($A1211,Controle!$B$4:$F$68,4,FALSE)</f>
        <v>NewCo IV</v>
      </c>
      <c r="E1211" s="2">
        <f>VLOOKUP($A1211,Controle!$B$4:$F$68,5,FALSE)</f>
        <v>3</v>
      </c>
      <c r="F1211" s="3" t="str">
        <f t="shared" si="409"/>
        <v>Serviços Auxiliares - Terraplanagem</v>
      </c>
      <c r="G1211" s="2" t="str">
        <f>VLOOKUP($A1211,Controle!$B$4:$G$68,6,FALSE)</f>
        <v>Solatio</v>
      </c>
      <c r="H1211" s="6" t="s">
        <v>214</v>
      </c>
      <c r="I1211" s="6">
        <v>1265485.6000000001</v>
      </c>
      <c r="J1211" s="6">
        <v>86249.919999999998</v>
      </c>
      <c r="K1211" s="6">
        <v>0</v>
      </c>
      <c r="L1211" s="6">
        <v>0</v>
      </c>
      <c r="M1211" s="6">
        <v>0</v>
      </c>
      <c r="N1211" s="6">
        <v>0</v>
      </c>
      <c r="O1211" s="4">
        <f t="shared" si="406"/>
        <v>1351735.52</v>
      </c>
      <c r="P1211" s="5">
        <f>SUMIFS('Desenvolvimento diário'!$H:$H,'Desenvolvimento diário'!$Q:$Q,$B1211,'Desenvolvimento diário'!$P:$P,$F1211,'Desenvolvimento diário'!$R:$R,"Sim")</f>
        <v>0</v>
      </c>
      <c r="Q1211" s="5">
        <f>SUMIFS('Desenvolvimento diário'!$H:$H,'Desenvolvimento diário'!$Q:$Q,$B1211,'Desenvolvimento diário'!$P:$P,$F1211,'Desenvolvimento diário'!$R:$R,"Não")</f>
        <v>1351735.52</v>
      </c>
      <c r="R1211" s="4">
        <f t="shared" si="407"/>
        <v>1351735.52</v>
      </c>
      <c r="S1211" s="27">
        <f t="shared" si="408"/>
        <v>0</v>
      </c>
      <c r="T1211" s="12">
        <f t="shared" si="398"/>
        <v>1</v>
      </c>
      <c r="Y1211" s="2"/>
      <c r="Z1211" s="2"/>
      <c r="AA1211" s="2"/>
      <c r="AB1211" s="2"/>
      <c r="AC1211" s="2"/>
    </row>
    <row r="1212" spans="1:29" hidden="1">
      <c r="A1212" s="2">
        <f t="shared" si="410"/>
        <v>35</v>
      </c>
      <c r="B1212" s="2" t="str">
        <f>VLOOKUP($A1212,Controle!$B$4:$F$68,2,FALSE)</f>
        <v>Muzambinho 1</v>
      </c>
      <c r="C1212" s="2" t="str">
        <f>VLOOKUP($A1212,Controle!$B$4:$F$68,3,FALSE)</f>
        <v>MORI MINAS IV</v>
      </c>
      <c r="D1212" s="2" t="str">
        <f>VLOOKUP($A1212,Controle!$B$4:$F$68,4,FALSE)</f>
        <v>NewCo IV</v>
      </c>
      <c r="E1212" s="2">
        <f>VLOOKUP($A1212,Controle!$B$4:$F$68,5,FALSE)</f>
        <v>3</v>
      </c>
      <c r="F1212" s="3" t="str">
        <f t="shared" si="409"/>
        <v>Serviços Auxiliares - Supressão Vegetal</v>
      </c>
      <c r="G1212" s="2" t="str">
        <f>VLOOKUP($A1212,Controle!$B$4:$G$68,6,FALSE)</f>
        <v>Solatio</v>
      </c>
      <c r="H1212" s="6" t="s">
        <v>155</v>
      </c>
      <c r="I1212" s="6">
        <v>130000</v>
      </c>
      <c r="J1212" s="6">
        <v>25000</v>
      </c>
      <c r="K1212" s="6">
        <v>21500</v>
      </c>
      <c r="L1212" s="6">
        <v>71901.179999999993</v>
      </c>
      <c r="M1212" s="854">
        <v>57384.55</v>
      </c>
      <c r="N1212" s="6">
        <v>0</v>
      </c>
      <c r="O1212" s="4">
        <f t="shared" si="406"/>
        <v>305785.73</v>
      </c>
      <c r="P1212" s="5">
        <f>SUMIFS('Desenvolvimento diário'!$H:$H,'Desenvolvimento diário'!$Q:$Q,$B1212,'Desenvolvimento diário'!$P:$P,$F1212,'Desenvolvimento diário'!$R:$R,"Sim")</f>
        <v>0</v>
      </c>
      <c r="Q1212" s="5">
        <f>SUMIFS('Desenvolvimento diário'!$H:$H,'Desenvolvimento diário'!$Q:$Q,$B1212,'Desenvolvimento diário'!$P:$P,$F1212,'Desenvolvimento diário'!$R:$R,"Não")</f>
        <v>305785.73</v>
      </c>
      <c r="R1212" s="4">
        <f t="shared" si="407"/>
        <v>305785.73</v>
      </c>
      <c r="S1212" s="4">
        <f t="shared" si="408"/>
        <v>0</v>
      </c>
      <c r="T1212" s="12">
        <f t="shared" si="398"/>
        <v>1</v>
      </c>
      <c r="Y1212" s="2"/>
      <c r="Z1212" s="2"/>
      <c r="AA1212" s="2"/>
      <c r="AB1212" s="2"/>
      <c r="AC1212" s="2"/>
    </row>
    <row r="1213" spans="1:29" ht="10.5" hidden="1">
      <c r="A1213" s="2">
        <f t="shared" si="410"/>
        <v>35</v>
      </c>
      <c r="B1213" s="2" t="str">
        <f>VLOOKUP($A1213,Controle!$B$4:$F$68,2,FALSE)</f>
        <v>Muzambinho 1</v>
      </c>
      <c r="C1213" s="2" t="str">
        <f>VLOOKUP($A1213,Controle!$B$4:$F$68,3,FALSE)</f>
        <v>MORI MINAS IV</v>
      </c>
      <c r="D1213" s="2" t="str">
        <f>VLOOKUP($A1213,Controle!$B$4:$F$68,4,FALSE)</f>
        <v>NewCo IV</v>
      </c>
      <c r="E1213" s="2">
        <f>VLOOKUP($A1213,Controle!$B$4:$F$68,5,FALSE)</f>
        <v>3</v>
      </c>
      <c r="F1213" s="3" t="str">
        <f t="shared" si="409"/>
        <v>RDR-Rede de Distribuição Rural</v>
      </c>
      <c r="G1213" s="2" t="str">
        <f>VLOOKUP($A1213,Controle!$B$4:$G$68,6,FALSE)</f>
        <v>Solatio</v>
      </c>
      <c r="H1213" s="6">
        <v>0</v>
      </c>
      <c r="I1213" s="6">
        <v>0</v>
      </c>
      <c r="J1213" s="6">
        <v>0</v>
      </c>
      <c r="K1213" s="6">
        <v>0</v>
      </c>
      <c r="L1213" s="6">
        <v>0</v>
      </c>
      <c r="M1213" s="6">
        <v>0</v>
      </c>
      <c r="N1213" s="6">
        <v>0</v>
      </c>
      <c r="O1213" s="4">
        <f t="shared" si="406"/>
        <v>0</v>
      </c>
      <c r="P1213" s="5">
        <f>SUMIFS('Desenvolvimento diário'!$H:$H,'Desenvolvimento diário'!$Q:$Q,$B1213,'Desenvolvimento diário'!$P:$P,$F1213,'Desenvolvimento diário'!$R:$R,"Sim")</f>
        <v>0</v>
      </c>
      <c r="Q1213" s="5">
        <f>SUMIFS('Desenvolvimento diário'!$H:$H,'Desenvolvimento diário'!$Q:$Q,$B1213,'Desenvolvimento diário'!$P:$P,$F1213,'Desenvolvimento diário'!$R:$R,"Não")</f>
        <v>0</v>
      </c>
      <c r="R1213" s="4">
        <f t="shared" si="407"/>
        <v>0</v>
      </c>
      <c r="S1213" s="4">
        <f t="shared" si="408"/>
        <v>0</v>
      </c>
      <c r="T1213" s="12">
        <f t="shared" si="398"/>
        <v>0</v>
      </c>
      <c r="Y1213" s="2"/>
      <c r="Z1213" s="2"/>
      <c r="AA1213" s="2"/>
      <c r="AB1213" s="2"/>
      <c r="AC1213" s="2"/>
    </row>
    <row r="1214" spans="1:29" ht="10.5" hidden="1">
      <c r="A1214" s="2">
        <f t="shared" si="410"/>
        <v>35</v>
      </c>
      <c r="B1214" s="2" t="str">
        <f>VLOOKUP($A1214,Controle!$B$4:$F$68,2,FALSE)</f>
        <v>Muzambinho 1</v>
      </c>
      <c r="C1214" s="2" t="str">
        <f>VLOOKUP($A1214,Controle!$B$4:$F$68,3,FALSE)</f>
        <v>MORI MINAS IV</v>
      </c>
      <c r="D1214" s="2" t="str">
        <f>VLOOKUP($A1214,Controle!$B$4:$F$68,4,FALSE)</f>
        <v>NewCo IV</v>
      </c>
      <c r="E1214" s="2">
        <f>VLOOKUP($A1214,Controle!$B$4:$F$68,5,FALSE)</f>
        <v>3</v>
      </c>
      <c r="F1214" s="3" t="str">
        <f t="shared" si="409"/>
        <v>Escopo COMERC</v>
      </c>
      <c r="G1214" s="2" t="str">
        <f>VLOOKUP($A1214,Controle!$B$4:$G$68,6,FALSE)</f>
        <v>Solatio</v>
      </c>
      <c r="H1214" s="6">
        <v>0</v>
      </c>
      <c r="I1214" s="6">
        <v>219563.59999999998</v>
      </c>
      <c r="J1214" s="29">
        <v>32000</v>
      </c>
      <c r="K1214" s="29"/>
      <c r="L1214" s="6">
        <v>0</v>
      </c>
      <c r="M1214" s="6">
        <v>0</v>
      </c>
      <c r="N1214" s="6">
        <v>0</v>
      </c>
      <c r="O1214" s="4">
        <f t="shared" si="406"/>
        <v>251563.59999999998</v>
      </c>
      <c r="P1214" s="5">
        <f>SUMIFS('Desenvolvimento diário'!$H:$H,'Desenvolvimento diário'!$Q:$Q,$B1214,'Desenvolvimento diário'!$P:$P,$F1214,'Desenvolvimento diário'!$R:$R,"Sim")</f>
        <v>0</v>
      </c>
      <c r="Q1214" s="5">
        <f>SUMIFS('Desenvolvimento diário'!$H:$H,'Desenvolvimento diário'!$Q:$Q,$B1214,'Desenvolvimento diário'!$P:$P,$F1214,'Desenvolvimento diário'!$R:$R,"Não")</f>
        <v>223562.37999999998</v>
      </c>
      <c r="R1214" s="4">
        <f t="shared" si="407"/>
        <v>223562.37999999998</v>
      </c>
      <c r="S1214" s="1010">
        <f t="shared" si="408"/>
        <v>28001.22</v>
      </c>
      <c r="T1214" s="12">
        <f t="shared" si="398"/>
        <v>0.88869128920082241</v>
      </c>
      <c r="U1214" s="1011" t="s">
        <v>166</v>
      </c>
      <c r="V1214" s="1011" t="s">
        <v>167</v>
      </c>
      <c r="Y1214" s="2"/>
      <c r="Z1214" s="2"/>
      <c r="AA1214" s="2"/>
      <c r="AB1214" s="2"/>
      <c r="AC1214" s="2"/>
    </row>
    <row r="1215" spans="1:29" ht="10.5" hidden="1">
      <c r="A1215" s="2">
        <f t="shared" si="410"/>
        <v>35</v>
      </c>
      <c r="B1215" s="2" t="str">
        <f>VLOOKUP($A1215,Controle!$B$4:$F$68,2,FALSE)</f>
        <v>Muzambinho 1</v>
      </c>
      <c r="C1215" s="2" t="str">
        <f>VLOOKUP($A1215,Controle!$B$4:$F$68,3,FALSE)</f>
        <v>MORI MINAS IV</v>
      </c>
      <c r="D1215" s="2" t="str">
        <f>VLOOKUP($A1215,Controle!$B$4:$F$68,4,FALSE)</f>
        <v>NewCo IV</v>
      </c>
      <c r="E1215" s="2">
        <f>VLOOKUP($A1215,Controle!$B$4:$F$68,5,FALSE)</f>
        <v>3</v>
      </c>
      <c r="F1215" s="3" t="str">
        <f t="shared" si="409"/>
        <v>Escopo COMERC - Segurança</v>
      </c>
      <c r="G1215" s="2" t="str">
        <f>VLOOKUP($A1215,Controle!$B$4:$G$68,6,FALSE)</f>
        <v>Solatio</v>
      </c>
      <c r="H1215" s="6">
        <v>0</v>
      </c>
      <c r="I1215" s="6">
        <f t="shared" ref="I1214:I1215" si="411">R1215</f>
        <v>123238.43</v>
      </c>
      <c r="J1215" s="6">
        <v>0</v>
      </c>
      <c r="K1215" s="6">
        <v>0</v>
      </c>
      <c r="L1215" s="6">
        <v>0</v>
      </c>
      <c r="M1215" s="6">
        <v>0</v>
      </c>
      <c r="N1215" s="6">
        <v>0</v>
      </c>
      <c r="O1215" s="4">
        <f t="shared" si="406"/>
        <v>123238.43</v>
      </c>
      <c r="P1215" s="5">
        <f>SUMIFS('Desenvolvimento diário'!$H:$H,'Desenvolvimento diário'!$Q:$Q,$B1215,'Desenvolvimento diário'!$P:$P,$F1215,'Desenvolvimento diário'!$R:$R,"Sim")</f>
        <v>0</v>
      </c>
      <c r="Q1215" s="5">
        <f>SUMIFS('Desenvolvimento diário'!$H:$H,'Desenvolvimento diário'!$Q:$Q,$B1215,'Desenvolvimento diário'!$P:$P,$F1215,'Desenvolvimento diário'!$R:$R,"Não")</f>
        <v>123238.43</v>
      </c>
      <c r="R1215" s="4">
        <f t="shared" si="407"/>
        <v>123238.43</v>
      </c>
      <c r="S1215" s="4">
        <f t="shared" si="408"/>
        <v>0</v>
      </c>
      <c r="T1215" s="12">
        <f t="shared" si="398"/>
        <v>1</v>
      </c>
      <c r="Y1215" s="2"/>
      <c r="Z1215" s="2"/>
      <c r="AA1215" s="2"/>
      <c r="AB1215" s="2"/>
      <c r="AC1215" s="2"/>
    </row>
    <row r="1216" spans="1:29" ht="10.5" hidden="1">
      <c r="A1216" s="2">
        <f t="shared" si="410"/>
        <v>35</v>
      </c>
      <c r="B1216" s="2" t="str">
        <f>VLOOKUP($A1216,Controle!$B$4:$F$68,2,FALSE)</f>
        <v>Muzambinho 1</v>
      </c>
      <c r="C1216" s="2" t="str">
        <f>VLOOKUP($A1216,Controle!$B$4:$F$68,3,FALSE)</f>
        <v>MORI MINAS IV</v>
      </c>
      <c r="D1216" s="2" t="str">
        <f>VLOOKUP($A1216,Controle!$B$4:$F$68,4,FALSE)</f>
        <v>NewCo IV</v>
      </c>
      <c r="E1216" s="2">
        <f>VLOOKUP($A1216,Controle!$B$4:$F$68,5,FALSE)</f>
        <v>3</v>
      </c>
      <c r="F1216" s="3" t="str">
        <f t="shared" si="409"/>
        <v>Conexão MT - Obras Transferencia</v>
      </c>
      <c r="G1216" s="2" t="str">
        <f>VLOOKUP($A1216,Controle!$B$4:$G$68,6,FALSE)</f>
        <v>Solatio</v>
      </c>
      <c r="H1216" s="6" t="s">
        <v>168</v>
      </c>
      <c r="I1216" s="6">
        <v>2250000</v>
      </c>
      <c r="J1216" s="6">
        <v>302750</v>
      </c>
      <c r="K1216" s="6">
        <v>0</v>
      </c>
      <c r="L1216" s="6">
        <v>0</v>
      </c>
      <c r="M1216" s="6">
        <v>0</v>
      </c>
      <c r="N1216" s="6">
        <v>0</v>
      </c>
      <c r="O1216" s="4">
        <f t="shared" si="406"/>
        <v>2552750</v>
      </c>
      <c r="P1216" s="5">
        <f>SUMIFS('Desenvolvimento diário'!$H:$H,'Desenvolvimento diário'!$Q:$Q,$B1216,'Desenvolvimento diário'!$P:$P,$F1216,'Desenvolvimento diário'!$R:$R,"Sim")</f>
        <v>1148070.68</v>
      </c>
      <c r="Q1216" s="5">
        <f>SUMIFS('Desenvolvimento diário'!$H:$H,'Desenvolvimento diário'!$Q:$Q,$B1216,'Desenvolvimento diário'!$P:$P,$F1216,'Desenvolvimento diário'!$R:$R,"Não")</f>
        <v>1404679.32</v>
      </c>
      <c r="R1216" s="4">
        <f t="shared" si="407"/>
        <v>2552750</v>
      </c>
      <c r="S1216" s="43">
        <f t="shared" si="408"/>
        <v>0</v>
      </c>
      <c r="T1216" s="12">
        <f t="shared" si="398"/>
        <v>1</v>
      </c>
      <c r="Y1216" s="2"/>
      <c r="Z1216" s="2"/>
      <c r="AA1216" s="2"/>
      <c r="AB1216" s="2"/>
      <c r="AC1216" s="2"/>
    </row>
    <row r="1217" spans="1:29" ht="10.5" hidden="1">
      <c r="A1217" s="2">
        <f t="shared" si="410"/>
        <v>35</v>
      </c>
      <c r="B1217" s="2" t="str">
        <f>VLOOKUP($A1217,Controle!$B$4:$F$68,2,FALSE)</f>
        <v>Muzambinho 1</v>
      </c>
      <c r="C1217" s="2" t="str">
        <f>VLOOKUP($A1217,Controle!$B$4:$F$68,3,FALSE)</f>
        <v>MORI MINAS IV</v>
      </c>
      <c r="D1217" s="2" t="str">
        <f>VLOOKUP($A1217,Controle!$B$4:$F$68,4,FALSE)</f>
        <v>NewCo IV</v>
      </c>
      <c r="E1217" s="2">
        <f>VLOOKUP($A1217,Controle!$B$4:$F$68,5,FALSE)</f>
        <v>3</v>
      </c>
      <c r="F1217" s="3" t="str">
        <f t="shared" si="409"/>
        <v>Bases de Contaniers</v>
      </c>
      <c r="G1217" s="2" t="str">
        <f>VLOOKUP($A1217,Controle!$B$4:$G$68,6,FALSE)</f>
        <v>Solatio</v>
      </c>
      <c r="H1217" s="6">
        <v>0</v>
      </c>
      <c r="I1217" s="6">
        <v>0</v>
      </c>
      <c r="J1217" s="6">
        <v>0</v>
      </c>
      <c r="K1217" s="6">
        <v>0</v>
      </c>
      <c r="L1217" s="6">
        <v>0</v>
      </c>
      <c r="M1217" s="6">
        <v>0</v>
      </c>
      <c r="N1217" s="6">
        <v>0</v>
      </c>
      <c r="O1217" s="4">
        <f t="shared" si="406"/>
        <v>0</v>
      </c>
      <c r="P1217" s="5">
        <f>SUMIFS('Desenvolvimento diário'!$H:$H,'Desenvolvimento diário'!$Q:$Q,$B1217,'Desenvolvimento diário'!$P:$P,$F1217,'Desenvolvimento diário'!$R:$R,"Sim")</f>
        <v>0</v>
      </c>
      <c r="Q1217" s="5">
        <f>SUMIFS('Desenvolvimento diário'!$H:$H,'Desenvolvimento diário'!$Q:$Q,$B1217,'Desenvolvimento diário'!$P:$P,$F1217,'Desenvolvimento diário'!$R:$R,"Não")</f>
        <v>0</v>
      </c>
      <c r="R1217" s="4">
        <f t="shared" si="407"/>
        <v>0</v>
      </c>
      <c r="S1217" s="4">
        <f t="shared" si="408"/>
        <v>0</v>
      </c>
      <c r="T1217" s="12">
        <f t="shared" si="398"/>
        <v>0</v>
      </c>
      <c r="Y1217" s="2"/>
      <c r="Z1217" s="2"/>
      <c r="AA1217" s="2"/>
      <c r="AB1217" s="2"/>
      <c r="AC1217" s="2"/>
    </row>
    <row r="1218" spans="1:29" ht="10.5" hidden="1">
      <c r="A1218" s="2">
        <f t="shared" si="410"/>
        <v>35</v>
      </c>
      <c r="B1218" s="2" t="str">
        <f>VLOOKUP($A1218,Controle!$B$4:$F$68,2,FALSE)</f>
        <v>Muzambinho 1</v>
      </c>
      <c r="C1218" s="2" t="str">
        <f>VLOOKUP($A1218,Controle!$B$4:$F$68,3,FALSE)</f>
        <v>MORI MINAS IV</v>
      </c>
      <c r="D1218" s="2" t="str">
        <f>VLOOKUP($A1218,Controle!$B$4:$F$68,4,FALSE)</f>
        <v>NewCo IV</v>
      </c>
      <c r="E1218" s="2">
        <f>VLOOKUP($A1218,Controle!$B$4:$F$68,5,FALSE)</f>
        <v>3</v>
      </c>
      <c r="F1218" s="3" t="str">
        <f t="shared" si="409"/>
        <v>Construção - Serviços de Construção - Ase Engenharia</v>
      </c>
      <c r="G1218" s="2" t="str">
        <f>VLOOKUP($A1218,Controle!$B$4:$G$68,6,FALSE)</f>
        <v>Solatio</v>
      </c>
      <c r="H1218" s="6">
        <v>0</v>
      </c>
      <c r="I1218" s="6">
        <v>0</v>
      </c>
      <c r="J1218" s="6">
        <v>0</v>
      </c>
      <c r="K1218" s="6">
        <v>0</v>
      </c>
      <c r="L1218" s="6">
        <v>0</v>
      </c>
      <c r="M1218" s="6">
        <v>0</v>
      </c>
      <c r="N1218" s="6">
        <v>0</v>
      </c>
      <c r="O1218" s="4">
        <f t="shared" si="406"/>
        <v>0</v>
      </c>
      <c r="P1218" s="5">
        <f>SUMIFS('Desenvolvimento diário'!$H:$H,'Desenvolvimento diário'!$Q:$Q,$B1218,'Desenvolvimento diário'!$P:$P,$F1218,'Desenvolvimento diário'!$R:$R,"Sim")</f>
        <v>0</v>
      </c>
      <c r="Q1218" s="5">
        <f>SUMIFS('Desenvolvimento diário'!$H:$H,'Desenvolvimento diário'!$Q:$Q,$B1218,'Desenvolvimento diário'!$P:$P,$F1218,'Desenvolvimento diário'!$R:$R,"Não")</f>
        <v>0</v>
      </c>
      <c r="R1218" s="4">
        <f t="shared" si="407"/>
        <v>0</v>
      </c>
      <c r="S1218" s="4">
        <f t="shared" si="408"/>
        <v>0</v>
      </c>
      <c r="T1218" s="12">
        <f t="shared" si="398"/>
        <v>0</v>
      </c>
      <c r="Y1218" s="2"/>
      <c r="Z1218" s="2"/>
      <c r="AA1218" s="2"/>
      <c r="AB1218" s="2"/>
      <c r="AC1218" s="2"/>
    </row>
    <row r="1219" spans="1:29" ht="10.5" hidden="1">
      <c r="A1219" s="2">
        <f t="shared" si="410"/>
        <v>35</v>
      </c>
      <c r="B1219" s="2" t="str">
        <f>VLOOKUP($A1219,Controle!$B$4:$F$68,2,FALSE)</f>
        <v>Muzambinho 1</v>
      </c>
      <c r="C1219" s="2" t="str">
        <f>VLOOKUP($A1219,Controle!$B$4:$F$68,3,FALSE)</f>
        <v>MORI MINAS IV</v>
      </c>
      <c r="D1219" s="2" t="str">
        <f>VLOOKUP($A1219,Controle!$B$4:$F$68,4,FALSE)</f>
        <v>NewCo IV</v>
      </c>
      <c r="E1219" s="2">
        <f>VLOOKUP($A1219,Controle!$B$4:$F$68,5,FALSE)</f>
        <v>3</v>
      </c>
      <c r="F1219" s="3" t="str">
        <f t="shared" si="409"/>
        <v>Full EPC - Contrato Sobressalentes</v>
      </c>
      <c r="G1219" s="2" t="str">
        <f>VLOOKUP($A1219,Controle!$B$4:$G$68,6,FALSE)</f>
        <v>Solatio</v>
      </c>
      <c r="H1219" s="6">
        <v>0</v>
      </c>
      <c r="I1219" s="6">
        <v>0</v>
      </c>
      <c r="J1219" s="6">
        <v>0</v>
      </c>
      <c r="K1219" s="6">
        <v>0</v>
      </c>
      <c r="L1219" s="6">
        <v>0</v>
      </c>
      <c r="M1219" s="6">
        <v>0</v>
      </c>
      <c r="N1219" s="6">
        <v>0</v>
      </c>
      <c r="O1219" s="4">
        <f t="shared" si="406"/>
        <v>0</v>
      </c>
      <c r="P1219" s="5">
        <f>SUMIFS('Desenvolvimento diário'!$H:$H,'Desenvolvimento diário'!$Q:$Q,$B1219,'Desenvolvimento diário'!$P:$P,$F1219,'Desenvolvimento diário'!$R:$R,"Sim")</f>
        <v>0</v>
      </c>
      <c r="Q1219" s="5">
        <f>SUMIFS('Desenvolvimento diário'!$H:$H,'Desenvolvimento diário'!$Q:$Q,$B1219,'Desenvolvimento diário'!$P:$P,$F1219,'Desenvolvimento diário'!$R:$R,"Não")</f>
        <v>0</v>
      </c>
      <c r="R1219" s="4">
        <f t="shared" si="407"/>
        <v>0</v>
      </c>
      <c r="S1219" s="4">
        <f t="shared" si="408"/>
        <v>0</v>
      </c>
      <c r="T1219" s="12">
        <f t="shared" si="398"/>
        <v>0</v>
      </c>
      <c r="Y1219" s="2"/>
      <c r="Z1219" s="2"/>
      <c r="AA1219" s="2"/>
      <c r="AB1219" s="2"/>
      <c r="AC1219" s="2"/>
    </row>
    <row r="1220" spans="1:29" ht="10.5" hidden="1">
      <c r="A1220" s="2">
        <f t="shared" si="410"/>
        <v>35</v>
      </c>
      <c r="B1220" s="2" t="str">
        <f>VLOOKUP($A1220,Controle!$B$4:$F$68,2,FALSE)</f>
        <v>Muzambinho 1</v>
      </c>
      <c r="C1220" s="2" t="str">
        <f>VLOOKUP($A1220,Controle!$B$4:$F$68,3,FALSE)</f>
        <v>MORI MINAS IV</v>
      </c>
      <c r="D1220" s="2" t="str">
        <f>VLOOKUP($A1220,Controle!$B$4:$F$68,4,FALSE)</f>
        <v>NewCo IV</v>
      </c>
      <c r="E1220" s="2">
        <f>VLOOKUP($A1220,Controle!$B$4:$F$68,5,FALSE)</f>
        <v>3</v>
      </c>
      <c r="F1220" s="3" t="str">
        <f t="shared" si="409"/>
        <v>Construção - Serviços de Construção - NOVA MORADA</v>
      </c>
      <c r="G1220" s="2" t="str">
        <f>VLOOKUP($A1220,Controle!$B$4:$G$68,6,FALSE)</f>
        <v>Solatio</v>
      </c>
      <c r="H1220" s="6" t="s">
        <v>210</v>
      </c>
      <c r="I1220" s="6">
        <v>100312.77</v>
      </c>
      <c r="J1220" s="6">
        <v>0</v>
      </c>
      <c r="K1220" s="6">
        <v>0</v>
      </c>
      <c r="L1220" s="6">
        <v>0</v>
      </c>
      <c r="M1220" s="6">
        <v>0</v>
      </c>
      <c r="N1220" s="6">
        <v>0</v>
      </c>
      <c r="O1220" s="4">
        <f t="shared" si="406"/>
        <v>100312.77</v>
      </c>
      <c r="P1220" s="5">
        <f>SUMIFS('Desenvolvimento diário'!$H:$H,'Desenvolvimento diário'!$Q:$Q,$B1220,'Desenvolvimento diário'!$P:$P,$F1220,'Desenvolvimento diário'!$R:$R,"Sim")</f>
        <v>0</v>
      </c>
      <c r="Q1220" s="5">
        <f>SUMIFS('Desenvolvimento diário'!$H:$H,'Desenvolvimento diário'!$Q:$Q,$B1220,'Desenvolvimento diário'!$P:$P,$F1220,'Desenvolvimento diário'!$R:$R,"Não")</f>
        <v>100312.77</v>
      </c>
      <c r="R1220" s="4">
        <f t="shared" si="407"/>
        <v>100312.77</v>
      </c>
      <c r="S1220" s="27">
        <f t="shared" si="408"/>
        <v>0</v>
      </c>
      <c r="T1220" s="12">
        <f t="shared" si="398"/>
        <v>1</v>
      </c>
      <c r="Y1220" s="2"/>
      <c r="Z1220" s="2"/>
      <c r="AA1220" s="2"/>
      <c r="AB1220" s="2"/>
      <c r="AC1220" s="2"/>
    </row>
    <row r="1221" spans="1:29" ht="10.5" hidden="1">
      <c r="A1221" s="2">
        <f t="shared" si="410"/>
        <v>35</v>
      </c>
      <c r="B1221" s="2" t="str">
        <f>VLOOKUP($A1221,Controle!$B$4:$F$68,2,FALSE)</f>
        <v>Muzambinho 1</v>
      </c>
      <c r="C1221" s="2" t="str">
        <f>VLOOKUP($A1221,Controle!$B$4:$F$68,3,FALSE)</f>
        <v>MORI MINAS IV</v>
      </c>
      <c r="D1221" s="2" t="str">
        <f>VLOOKUP($A1221,Controle!$B$4:$F$68,4,FALSE)</f>
        <v>NewCo IV</v>
      </c>
      <c r="E1221" s="2">
        <f>VLOOKUP($A1221,Controle!$B$4:$F$68,5,FALSE)</f>
        <v>3</v>
      </c>
      <c r="F1221" s="3" t="str">
        <f t="shared" si="409"/>
        <v>Equipamentos Curva A -  Contrato Sobressalentes - SETTA</v>
      </c>
      <c r="G1221" s="2" t="str">
        <f>VLOOKUP($A1221,Controle!$B$4:$G$68,6,FALSE)</f>
        <v>Solatio</v>
      </c>
      <c r="H1221" s="6">
        <v>0</v>
      </c>
      <c r="I1221" s="6">
        <v>0</v>
      </c>
      <c r="J1221" s="6">
        <v>0</v>
      </c>
      <c r="K1221" s="6">
        <v>0</v>
      </c>
      <c r="L1221" s="6">
        <v>0</v>
      </c>
      <c r="M1221" s="6">
        <v>0</v>
      </c>
      <c r="N1221" s="6">
        <v>0</v>
      </c>
      <c r="O1221" s="4">
        <f t="shared" si="406"/>
        <v>0</v>
      </c>
      <c r="P1221" s="5">
        <f>SUMIFS('Desenvolvimento diário'!$H:$H,'Desenvolvimento diário'!$Q:$Q,$B1221,'Desenvolvimento diário'!$P:$P,$F1221,'Desenvolvimento diário'!$R:$R,"Sim")</f>
        <v>0</v>
      </c>
      <c r="Q1221" s="5">
        <f>SUMIFS('Desenvolvimento diário'!$H:$H,'Desenvolvimento diário'!$Q:$Q,$B1221,'Desenvolvimento diário'!$P:$P,$F1221,'Desenvolvimento diário'!$R:$R,"Não")</f>
        <v>0</v>
      </c>
      <c r="R1221" s="4">
        <f t="shared" si="407"/>
        <v>0</v>
      </c>
      <c r="S1221" s="4">
        <f t="shared" si="408"/>
        <v>0</v>
      </c>
      <c r="T1221" s="12">
        <f t="shared" si="398"/>
        <v>0</v>
      </c>
      <c r="Y1221" s="2"/>
      <c r="Z1221" s="2"/>
      <c r="AA1221" s="2"/>
      <c r="AB1221" s="2"/>
      <c r="AC1221" s="2"/>
    </row>
    <row r="1222" spans="1:29" ht="10.5" hidden="1">
      <c r="A1222" s="2">
        <f t="shared" si="410"/>
        <v>35</v>
      </c>
      <c r="B1222" s="2" t="str">
        <f>VLOOKUP($A1222,Controle!$B$4:$F$68,2,FALSE)</f>
        <v>Muzambinho 1</v>
      </c>
      <c r="C1222" s="2" t="str">
        <f>VLOOKUP($A1222,Controle!$B$4:$F$68,3,FALSE)</f>
        <v>MORI MINAS IV</v>
      </c>
      <c r="D1222" s="2" t="str">
        <f>VLOOKUP($A1222,Controle!$B$4:$F$68,4,FALSE)</f>
        <v>NewCo IV</v>
      </c>
      <c r="E1222" s="2">
        <f>VLOOKUP($A1222,Controle!$B$4:$F$68,5,FALSE)</f>
        <v>3</v>
      </c>
      <c r="F1222" s="3" t="str">
        <f t="shared" si="409"/>
        <v>Equipamentos Curva A -  Contrato Sobressalentes - Arctech</v>
      </c>
      <c r="G1222" s="2" t="str">
        <f>VLOOKUP($A1222,Controle!$B$4:$G$68,6,FALSE)</f>
        <v>Solatio</v>
      </c>
      <c r="H1222" s="6">
        <v>0</v>
      </c>
      <c r="I1222" s="6">
        <v>0</v>
      </c>
      <c r="J1222" s="6">
        <v>0</v>
      </c>
      <c r="K1222" s="6">
        <v>0</v>
      </c>
      <c r="L1222" s="6">
        <v>0</v>
      </c>
      <c r="M1222" s="6">
        <v>0</v>
      </c>
      <c r="N1222" s="6">
        <v>0</v>
      </c>
      <c r="O1222" s="4">
        <f t="shared" si="406"/>
        <v>0</v>
      </c>
      <c r="P1222" s="5">
        <f>SUMIFS('Desenvolvimento diário'!$H:$H,'Desenvolvimento diário'!$Q:$Q,$B1222,'Desenvolvimento diário'!$P:$P,$F1222,'Desenvolvimento diário'!$R:$R,"Sim")</f>
        <v>0</v>
      </c>
      <c r="Q1222" s="5">
        <f>SUMIFS('Desenvolvimento diário'!$H:$H,'Desenvolvimento diário'!$Q:$Q,$B1222,'Desenvolvimento diário'!$P:$P,$F1222,'Desenvolvimento diário'!$R:$R,"Não")</f>
        <v>0</v>
      </c>
      <c r="R1222" s="4">
        <f t="shared" si="407"/>
        <v>0</v>
      </c>
      <c r="S1222" s="4">
        <f t="shared" si="408"/>
        <v>0</v>
      </c>
      <c r="T1222" s="12">
        <f t="shared" si="398"/>
        <v>0</v>
      </c>
      <c r="Y1222" s="2"/>
      <c r="Z1222" s="2"/>
      <c r="AA1222" s="2"/>
      <c r="AB1222" s="2"/>
      <c r="AC1222" s="2"/>
    </row>
    <row r="1223" spans="1:29" hidden="1">
      <c r="A1223" s="2">
        <f t="shared" si="410"/>
        <v>35</v>
      </c>
      <c r="B1223" s="2" t="str">
        <f>VLOOKUP($A1223,Controle!$B$4:$F$68,2,FALSE)</f>
        <v>Muzambinho 1</v>
      </c>
      <c r="C1223" s="2" t="str">
        <f>VLOOKUP($A1223,Controle!$B$4:$F$68,3,FALSE)</f>
        <v>MORI MINAS IV</v>
      </c>
      <c r="D1223" s="2" t="str">
        <f>VLOOKUP($A1223,Controle!$B$4:$F$68,4,FALSE)</f>
        <v>NewCo IV</v>
      </c>
      <c r="E1223" s="2">
        <f>VLOOKUP($A1223,Controle!$B$4:$F$68,5,FALSE)</f>
        <v>3</v>
      </c>
      <c r="F1223" s="3" t="str">
        <f t="shared" si="409"/>
        <v>Equipamentos Curva A -  Contrato Sobressalentes - Romagnole</v>
      </c>
      <c r="G1223" s="2" t="str">
        <f>VLOOKUP($A1223,Controle!$B$4:$G$68,6,FALSE)</f>
        <v>Solatio</v>
      </c>
      <c r="H1223" s="7">
        <v>0</v>
      </c>
      <c r="I1223" s="7">
        <v>0</v>
      </c>
      <c r="J1223" s="7">
        <v>0</v>
      </c>
      <c r="K1223" s="7">
        <v>0</v>
      </c>
      <c r="L1223" s="7">
        <v>0</v>
      </c>
      <c r="M1223" s="7">
        <v>0</v>
      </c>
      <c r="N1223" s="7">
        <v>0</v>
      </c>
      <c r="O1223" s="4">
        <f t="shared" si="406"/>
        <v>0</v>
      </c>
      <c r="P1223" s="17">
        <f>SUMIFS('Desenvolvimento diário'!$H:$H,'Desenvolvimento diário'!$Q:$Q,$B1223,'Desenvolvimento diário'!$P:$P,$F1223,'Desenvolvimento diário'!$R:$R,"Sim")</f>
        <v>0</v>
      </c>
      <c r="Q1223" s="17">
        <f>SUMIFS('Desenvolvimento diário'!$H:$H,'Desenvolvimento diário'!$Q:$Q,$B1223,'Desenvolvimento diário'!$P:$P,$F1223,'Desenvolvimento diário'!$R:$R,"Não")</f>
        <v>0</v>
      </c>
      <c r="R1223" s="4">
        <f t="shared" si="407"/>
        <v>0</v>
      </c>
      <c r="S1223" s="4">
        <f t="shared" si="408"/>
        <v>0</v>
      </c>
      <c r="T1223" s="12">
        <f t="shared" si="398"/>
        <v>0</v>
      </c>
      <c r="Y1223" s="2"/>
      <c r="Z1223" s="2"/>
      <c r="AA1223" s="2"/>
      <c r="AB1223" s="2"/>
      <c r="AC1223" s="2"/>
    </row>
    <row r="1224" spans="1:29" hidden="1">
      <c r="A1224" s="2">
        <f t="shared" si="410"/>
        <v>35</v>
      </c>
      <c r="B1224" s="2" t="str">
        <f>VLOOKUP($A1224,Controle!$B$4:$F$68,2,FALSE)</f>
        <v>Muzambinho 1</v>
      </c>
      <c r="C1224" s="2" t="str">
        <f>VLOOKUP($A1224,Controle!$B$4:$F$68,3,FALSE)</f>
        <v>MORI MINAS IV</v>
      </c>
      <c r="D1224" s="2" t="str">
        <f>VLOOKUP($A1224,Controle!$B$4:$F$68,4,FALSE)</f>
        <v>NewCo IV</v>
      </c>
      <c r="E1224" s="2">
        <f>VLOOKUP($A1224,Controle!$B$4:$F$68,5,FALSE)</f>
        <v>3</v>
      </c>
      <c r="F1224" s="3" t="str">
        <f t="shared" si="409"/>
        <v>GOS FLORESTAL - (PRAD - Recuperação Area Ambiental)</v>
      </c>
      <c r="G1224" s="2" t="str">
        <f>VLOOKUP($A1224,Controle!$B$4:$G$68,6,FALSE)</f>
        <v>Solatio</v>
      </c>
      <c r="H1224" s="506" t="s">
        <v>170</v>
      </c>
      <c r="I1224" s="6">
        <v>0</v>
      </c>
      <c r="J1224" s="506"/>
      <c r="K1224" s="506">
        <v>0</v>
      </c>
      <c r="L1224" s="506">
        <v>0</v>
      </c>
      <c r="M1224" s="506">
        <v>0</v>
      </c>
      <c r="N1224" s="506">
        <v>0</v>
      </c>
      <c r="O1224" s="39">
        <f t="shared" si="406"/>
        <v>0</v>
      </c>
      <c r="P1224" s="17">
        <f>SUMIFS('Desenvolvimento diário'!$H:$H,'Desenvolvimento diário'!$Q:$Q,$B1224,'Desenvolvimento diário'!$P:$P,$F1224,'Desenvolvimento diário'!$R:$R,"Sim")</f>
        <v>0</v>
      </c>
      <c r="Q1224" s="17">
        <f>SUMIFS('Desenvolvimento diário'!$H:$H,'Desenvolvimento diário'!$Q:$Q,$B1224,'Desenvolvimento diário'!$P:$P,$F1224,'Desenvolvimento diário'!$R:$R,"Não")</f>
        <v>0</v>
      </c>
      <c r="R1224" s="4">
        <f t="shared" si="407"/>
        <v>0</v>
      </c>
      <c r="S1224" s="4">
        <f t="shared" si="408"/>
        <v>0</v>
      </c>
      <c r="T1224" s="12">
        <f t="shared" ref="T1224:T1225" si="412">IFERROR(R1224/O1224,0)</f>
        <v>0</v>
      </c>
      <c r="Y1224" s="2"/>
      <c r="Z1224" s="2"/>
      <c r="AA1224" s="2"/>
      <c r="AB1224" s="2"/>
      <c r="AC1224" s="2"/>
    </row>
    <row r="1225" spans="1:29" hidden="1">
      <c r="A1225" s="2">
        <f t="shared" si="410"/>
        <v>35</v>
      </c>
      <c r="B1225" s="2" t="str">
        <f>VLOOKUP($A1225,Controle!$B$4:$F$68,2,FALSE)</f>
        <v>Muzambinho 1</v>
      </c>
      <c r="C1225" s="2" t="str">
        <f>VLOOKUP($A1225,Controle!$B$4:$F$68,3,FALSE)</f>
        <v>MORI MINAS IV</v>
      </c>
      <c r="D1225" s="2" t="str">
        <f>VLOOKUP($A1225,Controle!$B$4:$F$68,4,FALSE)</f>
        <v>NewCo IV</v>
      </c>
      <c r="E1225" s="2">
        <f>VLOOKUP($A1225,Controle!$B$4:$F$68,5,FALSE)</f>
        <v>3</v>
      </c>
      <c r="F1225" s="3" t="str">
        <f t="shared" si="409"/>
        <v>Cercamento das bacias de contenção ciclo 2</v>
      </c>
      <c r="G1225" s="2" t="str">
        <f>VLOOKUP($A1225,Controle!$B$4:$G$68,6,FALSE)</f>
        <v>Solatio</v>
      </c>
      <c r="H1225" s="506" t="s">
        <v>172</v>
      </c>
      <c r="I1225" s="6"/>
      <c r="J1225" s="506"/>
      <c r="K1225" s="506">
        <v>0</v>
      </c>
      <c r="L1225" s="506">
        <v>0</v>
      </c>
      <c r="M1225" s="506">
        <v>0</v>
      </c>
      <c r="N1225" s="506">
        <v>0</v>
      </c>
      <c r="O1225" s="39">
        <f t="shared" si="406"/>
        <v>0</v>
      </c>
      <c r="P1225" s="17">
        <f>SUMIFS('Desenvolvimento diário'!$H:$H,'Desenvolvimento diário'!$Q:$Q,$B1225,'Desenvolvimento diário'!$P:$P,$F1225,'Desenvolvimento diário'!$R:$R,"Sim")</f>
        <v>0</v>
      </c>
      <c r="Q1225" s="17">
        <f>SUMIFS('Desenvolvimento diário'!$H:$H,'Desenvolvimento diário'!$Q:$Q,$B1225,'Desenvolvimento diário'!$P:$P,$F1225,'Desenvolvimento diário'!$R:$R,"Não")</f>
        <v>0</v>
      </c>
      <c r="R1225" s="4">
        <f t="shared" si="407"/>
        <v>0</v>
      </c>
      <c r="S1225" s="1030">
        <f t="shared" si="408"/>
        <v>0</v>
      </c>
      <c r="T1225" s="12">
        <f t="shared" si="412"/>
        <v>0</v>
      </c>
      <c r="U1225" s="1029" t="s">
        <v>166</v>
      </c>
      <c r="V1225" s="1029" t="s">
        <v>94</v>
      </c>
      <c r="Y1225" s="2"/>
      <c r="Z1225" s="2"/>
      <c r="AA1225" s="2"/>
      <c r="AB1225" s="2"/>
      <c r="AC1225" s="2"/>
    </row>
    <row r="1226" spans="1:29" hidden="1">
      <c r="A1226" s="8">
        <f>A1223</f>
        <v>35</v>
      </c>
      <c r="B1226" s="9" t="str">
        <f t="shared" ref="B1226" si="413">B1223</f>
        <v>Muzambinho 1</v>
      </c>
      <c r="C1226" s="9" t="str">
        <f t="shared" ref="C1226" si="414">C1223</f>
        <v>MORI MINAS IV</v>
      </c>
      <c r="D1226" s="9" t="str">
        <f t="shared" ref="D1226" si="415">D1223</f>
        <v>NewCo IV</v>
      </c>
      <c r="E1226" s="9">
        <f t="shared" ref="E1226" si="416">E1223</f>
        <v>3</v>
      </c>
      <c r="F1226" s="10" t="s">
        <v>158</v>
      </c>
      <c r="G1226" s="9" t="str">
        <f>G1223</f>
        <v>Solatio</v>
      </c>
      <c r="H1226" s="9"/>
      <c r="I1226" s="9">
        <f>SUBTOTAL(9,I1192:I1225)</f>
        <v>0</v>
      </c>
      <c r="J1226" s="9">
        <f t="shared" ref="J1226:S1226" si="417">SUBTOTAL(9,J1192:J1225)</f>
        <v>0</v>
      </c>
      <c r="K1226" s="9">
        <f t="shared" si="417"/>
        <v>0</v>
      </c>
      <c r="L1226" s="9">
        <f t="shared" si="417"/>
        <v>0</v>
      </c>
      <c r="M1226" s="9">
        <f t="shared" si="417"/>
        <v>0</v>
      </c>
      <c r="N1226" s="9">
        <f t="shared" si="417"/>
        <v>0</v>
      </c>
      <c r="O1226" s="9">
        <f t="shared" si="417"/>
        <v>0</v>
      </c>
      <c r="P1226" s="9">
        <f t="shared" si="417"/>
        <v>0</v>
      </c>
      <c r="Q1226" s="9">
        <f t="shared" si="417"/>
        <v>0</v>
      </c>
      <c r="R1226" s="9">
        <f t="shared" si="417"/>
        <v>0</v>
      </c>
      <c r="S1226" s="9">
        <f t="shared" si="417"/>
        <v>0</v>
      </c>
      <c r="T1226" s="13">
        <f>IFERROR(R1226/O1226,0)</f>
        <v>0</v>
      </c>
      <c r="U1226" s="11">
        <f>SUBTOTAL(9,U1192:U1225)</f>
        <v>0</v>
      </c>
      <c r="Y1226" s="2"/>
      <c r="Z1226" s="2"/>
      <c r="AA1226" s="2"/>
      <c r="AB1226" s="2"/>
      <c r="AC1226" s="2"/>
    </row>
    <row r="1227" spans="1:29" ht="10.5" hidden="1">
      <c r="A1227" s="2">
        <f>A1192+1</f>
        <v>36</v>
      </c>
      <c r="B1227" s="2" t="str">
        <f>VLOOKUP($A1227,Controle!$B$4:$F$68,2,FALSE)</f>
        <v>Paracatu 4</v>
      </c>
      <c r="C1227" s="2" t="str">
        <f>VLOOKUP($A1227,Controle!$B$4:$F$68,3,FALSE)</f>
        <v xml:space="preserve">ESTRELA DO NORTE </v>
      </c>
      <c r="D1227" s="2" t="str">
        <f>VLOOKUP($A1227,Controle!$B$4:$F$68,4,FALSE)</f>
        <v>EDN</v>
      </c>
      <c r="E1227" s="2">
        <f>VLOOKUP($A1227,Controle!$B$4:$F$68,5,FALSE)</f>
        <v>3</v>
      </c>
      <c r="F1227" s="3" t="str">
        <f>F1192</f>
        <v>Conexão AT - Obras</v>
      </c>
      <c r="G1227" s="2" t="str">
        <f>VLOOKUP($A1227,Controle!$B$4:$G$68,6,FALSE)</f>
        <v>Apolo</v>
      </c>
      <c r="H1227" s="6">
        <v>0</v>
      </c>
      <c r="I1227" s="6">
        <v>0</v>
      </c>
      <c r="J1227" s="6">
        <v>0</v>
      </c>
      <c r="K1227" s="6">
        <v>0</v>
      </c>
      <c r="L1227" s="6">
        <v>0</v>
      </c>
      <c r="M1227" s="6">
        <v>0</v>
      </c>
      <c r="N1227" s="6">
        <v>0</v>
      </c>
      <c r="O1227" s="4">
        <f t="shared" ref="O1227:O1260" si="418">SUM(I1227:N1227)</f>
        <v>0</v>
      </c>
      <c r="P1227" s="5">
        <f>SUMIFS('Desenvolvimento diário'!$H:$H,'Desenvolvimento diário'!$Q:$Q,$B1227,'Desenvolvimento diário'!$P:$P,$F1227,'Desenvolvimento diário'!$R:$R,"Sim")</f>
        <v>0</v>
      </c>
      <c r="Q1227" s="5">
        <f>SUMIFS('Desenvolvimento diário'!$H:$H,'Desenvolvimento diário'!$Q:$Q,$B1227,'Desenvolvimento diário'!$P:$P,$F1227,'Desenvolvimento diário'!$R:$R,"Não")</f>
        <v>0</v>
      </c>
      <c r="R1227" s="4">
        <f t="shared" ref="R1227:R1260" si="419">SUM(P1227:Q1227)</f>
        <v>0</v>
      </c>
      <c r="S1227" s="4">
        <f t="shared" ref="S1227:S1260" si="420">O1227-R1227</f>
        <v>0</v>
      </c>
      <c r="T1227" s="12">
        <f t="shared" ref="T1226:T1291" si="421">IFERROR(R1227/O1227,0)</f>
        <v>0</v>
      </c>
      <c r="Y1227" s="2"/>
      <c r="Z1227" s="2"/>
      <c r="AA1227" s="2"/>
      <c r="AB1227" s="2"/>
      <c r="AC1227" s="2"/>
    </row>
    <row r="1228" spans="1:29" ht="10.5" hidden="1">
      <c r="A1228" s="2">
        <f t="shared" ref="A1228:A1260" si="422">A1227</f>
        <v>36</v>
      </c>
      <c r="B1228" s="2" t="str">
        <f>VLOOKUP($A1228,Controle!$B$4:$F$68,2,FALSE)</f>
        <v>Paracatu 4</v>
      </c>
      <c r="C1228" s="2" t="str">
        <f>VLOOKUP($A1228,Controle!$B$4:$F$68,3,FALSE)</f>
        <v xml:space="preserve">ESTRELA DO NORTE </v>
      </c>
      <c r="D1228" s="2" t="str">
        <f>VLOOKUP($A1228,Controle!$B$4:$F$68,4,FALSE)</f>
        <v>EDN</v>
      </c>
      <c r="E1228" s="2">
        <f>VLOOKUP($A1228,Controle!$B$4:$F$68,5,FALSE)</f>
        <v>3</v>
      </c>
      <c r="F1228" s="3" t="str">
        <f t="shared" ref="F1228:F1236" si="423">F1193</f>
        <v>Conexão MT - Obras</v>
      </c>
      <c r="G1228" s="2" t="str">
        <f>VLOOKUP($A1228,Controle!$B$4:$G$68,6,FALSE)</f>
        <v>Apolo</v>
      </c>
      <c r="H1228" s="6" t="s">
        <v>168</v>
      </c>
      <c r="I1228" s="6">
        <v>2685745</v>
      </c>
      <c r="J1228" s="6">
        <v>0</v>
      </c>
      <c r="K1228" s="6">
        <v>0</v>
      </c>
      <c r="L1228" s="6">
        <v>0</v>
      </c>
      <c r="M1228" s="6">
        <v>0</v>
      </c>
      <c r="N1228" s="6">
        <v>0</v>
      </c>
      <c r="O1228" s="4">
        <f t="shared" si="418"/>
        <v>2685745</v>
      </c>
      <c r="P1228" s="5">
        <f>SUMIFS('Desenvolvimento diário'!$H:$H,'Desenvolvimento diário'!$Q:$Q,$B1228,'Desenvolvimento diário'!$P:$P,$F1228,'Desenvolvimento diário'!$R:$R,"Sim")</f>
        <v>1424131.1600000001</v>
      </c>
      <c r="Q1228" s="5">
        <f>SUMIFS('Desenvolvimento diário'!$H:$H,'Desenvolvimento diário'!$Q:$Q,$B1228,'Desenvolvimento diário'!$P:$P,$F1228,'Desenvolvimento diário'!$R:$R,"Não")</f>
        <v>1261613.8400000001</v>
      </c>
      <c r="R1228" s="4">
        <f t="shared" si="419"/>
        <v>2685745</v>
      </c>
      <c r="S1228" s="43">
        <f t="shared" si="420"/>
        <v>0</v>
      </c>
      <c r="T1228" s="12">
        <f t="shared" si="421"/>
        <v>1</v>
      </c>
      <c r="Y1228" s="2"/>
      <c r="Z1228" s="2"/>
      <c r="AA1228" s="2"/>
      <c r="AB1228" s="2"/>
      <c r="AC1228" s="2"/>
    </row>
    <row r="1229" spans="1:29" ht="10.5" hidden="1">
      <c r="A1229" s="2">
        <f t="shared" si="422"/>
        <v>36</v>
      </c>
      <c r="B1229" s="2" t="str">
        <f>VLOOKUP($A1229,Controle!$B$4:$F$68,2,FALSE)</f>
        <v>Paracatu 4</v>
      </c>
      <c r="C1229" s="2" t="str">
        <f>VLOOKUP($A1229,Controle!$B$4:$F$68,3,FALSE)</f>
        <v xml:space="preserve">ESTRELA DO NORTE </v>
      </c>
      <c r="D1229" s="2" t="str">
        <f>VLOOKUP($A1229,Controle!$B$4:$F$68,4,FALSE)</f>
        <v>EDN</v>
      </c>
      <c r="E1229" s="2">
        <f>VLOOKUP($A1229,Controle!$B$4:$F$68,5,FALSE)</f>
        <v>3</v>
      </c>
      <c r="F1229" s="3" t="str">
        <f t="shared" si="423"/>
        <v>Construção - Serviços de Construção</v>
      </c>
      <c r="G1229" s="2" t="str">
        <f>VLOOKUP($A1229,Controle!$B$4:$G$68,6,FALSE)</f>
        <v>Apolo</v>
      </c>
      <c r="H1229" s="6" t="s">
        <v>201</v>
      </c>
      <c r="I1229" s="6">
        <f>2943154.685-0.24</f>
        <v>2943154.4449999998</v>
      </c>
      <c r="J1229" s="6">
        <v>399552.97</v>
      </c>
      <c r="K1229" s="6">
        <f>(67038+173230.13)/2</f>
        <v>120134.065</v>
      </c>
      <c r="L1229" s="6">
        <v>0</v>
      </c>
      <c r="M1229" s="6">
        <v>0</v>
      </c>
      <c r="N1229" s="6">
        <v>0</v>
      </c>
      <c r="O1229" s="4">
        <f t="shared" si="418"/>
        <v>3462841.48</v>
      </c>
      <c r="P1229" s="5">
        <f>SUMIFS('Desenvolvimento diário'!$H:$H,'Desenvolvimento diário'!$Q:$Q,$B1229,'Desenvolvimento diário'!$P:$P,$F1229,'Desenvolvimento diário'!$R:$R,"Sim")</f>
        <v>83237.490000000005</v>
      </c>
      <c r="Q1229" s="5">
        <f>SUMIFS('Desenvolvimento diário'!$H:$H,'Desenvolvimento diário'!$Q:$Q,$B1229,'Desenvolvimento diário'!$P:$P,$F1229,'Desenvolvimento diário'!$R:$R,"Não")</f>
        <v>3379603.99</v>
      </c>
      <c r="R1229" s="4">
        <f t="shared" si="419"/>
        <v>3462841.4800000004</v>
      </c>
      <c r="S1229" s="137">
        <f t="shared" si="420"/>
        <v>0</v>
      </c>
      <c r="T1229" s="12">
        <f t="shared" si="421"/>
        <v>1.0000000000000002</v>
      </c>
      <c r="Y1229" s="2"/>
      <c r="Z1229" s="2"/>
      <c r="AA1229" s="2"/>
      <c r="AB1229" s="2"/>
      <c r="AC1229" s="2"/>
    </row>
    <row r="1230" spans="1:29" ht="10.5" hidden="1">
      <c r="A1230" s="2">
        <f t="shared" si="422"/>
        <v>36</v>
      </c>
      <c r="B1230" s="2" t="str">
        <f>VLOOKUP($A1230,Controle!$B$4:$F$68,2,FALSE)</f>
        <v>Paracatu 4</v>
      </c>
      <c r="C1230" s="2" t="str">
        <f>VLOOKUP($A1230,Controle!$B$4:$F$68,3,FALSE)</f>
        <v xml:space="preserve">ESTRELA DO NORTE </v>
      </c>
      <c r="D1230" s="2" t="str">
        <f>VLOOKUP($A1230,Controle!$B$4:$F$68,4,FALSE)</f>
        <v>EDN</v>
      </c>
      <c r="E1230" s="2">
        <f>VLOOKUP($A1230,Controle!$B$4:$F$68,5,FALSE)</f>
        <v>3</v>
      </c>
      <c r="F1230" s="3" t="str">
        <f t="shared" si="423"/>
        <v>Construção - Serviços de Construção - Substituição</v>
      </c>
      <c r="G1230" s="2" t="str">
        <f>VLOOKUP($A1230,Controle!$B$4:$G$68,6,FALSE)</f>
        <v>Apolo</v>
      </c>
      <c r="H1230" s="6">
        <v>0</v>
      </c>
      <c r="I1230" s="6">
        <v>0</v>
      </c>
      <c r="J1230" s="6">
        <v>0</v>
      </c>
      <c r="K1230" s="6">
        <v>0</v>
      </c>
      <c r="L1230" s="6">
        <v>0</v>
      </c>
      <c r="M1230" s="6">
        <v>0</v>
      </c>
      <c r="N1230" s="6">
        <v>0</v>
      </c>
      <c r="O1230" s="4">
        <f t="shared" si="418"/>
        <v>0</v>
      </c>
      <c r="P1230" s="5">
        <f>SUMIFS('Desenvolvimento diário'!$H:$H,'Desenvolvimento diário'!$Q:$Q,$B1230,'Desenvolvimento diário'!$P:$P,$F1230,'Desenvolvimento diário'!$R:$R,"Sim")</f>
        <v>0</v>
      </c>
      <c r="Q1230" s="5">
        <f>SUMIFS('Desenvolvimento diário'!$H:$H,'Desenvolvimento diário'!$Q:$Q,$B1230,'Desenvolvimento diário'!$P:$P,$F1230,'Desenvolvimento diário'!$R:$R,"Não")</f>
        <v>0</v>
      </c>
      <c r="R1230" s="4">
        <f t="shared" si="419"/>
        <v>0</v>
      </c>
      <c r="S1230" s="4">
        <f t="shared" si="420"/>
        <v>0</v>
      </c>
      <c r="T1230" s="12">
        <f t="shared" si="421"/>
        <v>0</v>
      </c>
      <c r="Y1230" s="2"/>
      <c r="Z1230" s="2"/>
      <c r="AA1230" s="2"/>
      <c r="AB1230" s="2"/>
      <c r="AC1230" s="2"/>
    </row>
    <row r="1231" spans="1:29" ht="10.5" hidden="1">
      <c r="A1231" s="2">
        <f t="shared" si="422"/>
        <v>36</v>
      </c>
      <c r="B1231" s="2" t="str">
        <f>VLOOKUP($A1231,Controle!$B$4:$F$68,2,FALSE)</f>
        <v>Paracatu 4</v>
      </c>
      <c r="C1231" s="2" t="str">
        <f>VLOOKUP($A1231,Controle!$B$4:$F$68,3,FALSE)</f>
        <v xml:space="preserve">ESTRELA DO NORTE </v>
      </c>
      <c r="D1231" s="2" t="str">
        <f>VLOOKUP($A1231,Controle!$B$4:$F$68,4,FALSE)</f>
        <v>EDN</v>
      </c>
      <c r="E1231" s="2">
        <f>VLOOKUP($A1231,Controle!$B$4:$F$68,5,FALSE)</f>
        <v>3</v>
      </c>
      <c r="F1231" s="3" t="str">
        <f t="shared" si="423"/>
        <v>Construção - RDA Interno</v>
      </c>
      <c r="G1231" s="2" t="str">
        <f>VLOOKUP($A1231,Controle!$B$4:$G$68,6,FALSE)</f>
        <v>Apolo</v>
      </c>
      <c r="H1231" s="6" t="s">
        <v>168</v>
      </c>
      <c r="I1231" s="6">
        <f>506565.07-0.1</f>
        <v>506564.97000000003</v>
      </c>
      <c r="J1231" s="6">
        <v>0</v>
      </c>
      <c r="K1231" s="6">
        <v>0</v>
      </c>
      <c r="L1231" s="6">
        <v>0</v>
      </c>
      <c r="M1231" s="6">
        <v>0</v>
      </c>
      <c r="N1231" s="6">
        <v>0</v>
      </c>
      <c r="O1231" s="4">
        <f t="shared" si="418"/>
        <v>506564.97000000003</v>
      </c>
      <c r="P1231" s="5">
        <f>SUMIFS('Desenvolvimento diário'!$H:$H,'Desenvolvimento diário'!$Q:$Q,$B1231,'Desenvolvimento diário'!$P:$P,$F1231,'Desenvolvimento diário'!$R:$R,"Sim")</f>
        <v>146400.87999999998</v>
      </c>
      <c r="Q1231" s="5">
        <f>SUMIFS('Desenvolvimento diário'!$H:$H,'Desenvolvimento diário'!$Q:$Q,$B1231,'Desenvolvimento diário'!$P:$P,$F1231,'Desenvolvimento diário'!$R:$R,"Não")</f>
        <v>360164.09</v>
      </c>
      <c r="R1231" s="4">
        <f t="shared" si="419"/>
        <v>506564.97</v>
      </c>
      <c r="S1231" s="4">
        <f t="shared" si="420"/>
        <v>0</v>
      </c>
      <c r="T1231" s="12">
        <f t="shared" si="421"/>
        <v>0.99999999999999989</v>
      </c>
      <c r="Y1231" s="2"/>
      <c r="Z1231" s="2"/>
      <c r="AA1231" s="2"/>
      <c r="AB1231" s="2"/>
      <c r="AC1231" s="2"/>
    </row>
    <row r="1232" spans="1:29" ht="10.5" hidden="1">
      <c r="A1232" s="2">
        <f t="shared" si="422"/>
        <v>36</v>
      </c>
      <c r="B1232" s="2" t="str">
        <f>VLOOKUP($A1232,Controle!$B$4:$F$68,2,FALSE)</f>
        <v>Paracatu 4</v>
      </c>
      <c r="C1232" s="2" t="str">
        <f>VLOOKUP($A1232,Controle!$B$4:$F$68,3,FALSE)</f>
        <v xml:space="preserve">ESTRELA DO NORTE </v>
      </c>
      <c r="D1232" s="2" t="str">
        <f>VLOOKUP($A1232,Controle!$B$4:$F$68,4,FALSE)</f>
        <v>EDN</v>
      </c>
      <c r="E1232" s="2">
        <f>VLOOKUP($A1232,Controle!$B$4:$F$68,5,FALSE)</f>
        <v>3</v>
      </c>
      <c r="F1232" s="3" t="str">
        <f t="shared" si="423"/>
        <v>Full EPC - Contrato</v>
      </c>
      <c r="G1232" s="2" t="str">
        <f>VLOOKUP($A1232,Controle!$B$4:$G$68,6,FALSE)</f>
        <v>Apolo</v>
      </c>
      <c r="H1232" s="6">
        <v>0</v>
      </c>
      <c r="I1232" s="6">
        <v>0</v>
      </c>
      <c r="J1232" s="6">
        <v>0</v>
      </c>
      <c r="K1232" s="6">
        <v>0</v>
      </c>
      <c r="L1232" s="6">
        <v>0</v>
      </c>
      <c r="M1232" s="6">
        <v>0</v>
      </c>
      <c r="N1232" s="6">
        <v>0</v>
      </c>
      <c r="O1232" s="4">
        <f t="shared" si="418"/>
        <v>0</v>
      </c>
      <c r="P1232" s="5">
        <f>SUMIFS('Desenvolvimento diário'!$H:$H,'Desenvolvimento diário'!$Q:$Q,$B1232,'Desenvolvimento diário'!$P:$P,$F1232,'Desenvolvimento diário'!$R:$R,"Sim")</f>
        <v>0</v>
      </c>
      <c r="Q1232" s="5">
        <f>SUMIFS('Desenvolvimento diário'!$H:$H,'Desenvolvimento diário'!$Q:$Q,$B1232,'Desenvolvimento diário'!$P:$P,$F1232,'Desenvolvimento diário'!$R:$R,"Não")</f>
        <v>0</v>
      </c>
      <c r="R1232" s="4">
        <f t="shared" si="419"/>
        <v>0</v>
      </c>
      <c r="S1232" s="4">
        <f t="shared" si="420"/>
        <v>0</v>
      </c>
      <c r="T1232" s="12">
        <f t="shared" si="421"/>
        <v>0</v>
      </c>
      <c r="Y1232" s="2"/>
      <c r="Z1232" s="2"/>
      <c r="AA1232" s="2"/>
      <c r="AB1232" s="2"/>
      <c r="AC1232" s="2"/>
    </row>
    <row r="1233" spans="1:29" ht="10.5" hidden="1">
      <c r="A1233" s="2">
        <f t="shared" si="422"/>
        <v>36</v>
      </c>
      <c r="B1233" s="2" t="str">
        <f>VLOOKUP($A1233,Controle!$B$4:$F$68,2,FALSE)</f>
        <v>Paracatu 4</v>
      </c>
      <c r="C1233" s="2" t="str">
        <f>VLOOKUP($A1233,Controle!$B$4:$F$68,3,FALSE)</f>
        <v xml:space="preserve">ESTRELA DO NORTE </v>
      </c>
      <c r="D1233" s="2" t="str">
        <f>VLOOKUP($A1233,Controle!$B$4:$F$68,4,FALSE)</f>
        <v>EDN</v>
      </c>
      <c r="E1233" s="2">
        <f>VLOOKUP($A1233,Controle!$B$4:$F$68,5,FALSE)</f>
        <v>3</v>
      </c>
      <c r="F1233" s="3" t="str">
        <f t="shared" si="423"/>
        <v>Equipamentos Curva A - Outros (Transformadores)</v>
      </c>
      <c r="G1233" s="2" t="str">
        <f>VLOOKUP($A1233,Controle!$B$4:$G$68,6,FALSE)</f>
        <v>Apolo</v>
      </c>
      <c r="H1233" s="28" t="s">
        <v>144</v>
      </c>
      <c r="I1233" s="28">
        <v>269053.46999999997</v>
      </c>
      <c r="J1233" s="6">
        <v>0</v>
      </c>
      <c r="K1233" s="6">
        <v>0</v>
      </c>
      <c r="L1233" s="6">
        <v>0</v>
      </c>
      <c r="M1233" s="6">
        <v>0</v>
      </c>
      <c r="N1233" s="6">
        <v>0</v>
      </c>
      <c r="O1233" s="4">
        <f t="shared" si="418"/>
        <v>269053.46999999997</v>
      </c>
      <c r="P1233" s="5">
        <f>SUMIFS('Desenvolvimento diário'!$H:$H,'Desenvolvimento diário'!$Q:$Q,$B1233,'Desenvolvimento diário'!$P:$P,$F1233,'Desenvolvimento diário'!$R:$R,"Sim")</f>
        <v>0</v>
      </c>
      <c r="Q1233" s="5">
        <f>SUMIFS('Desenvolvimento diário'!$H:$H,'Desenvolvimento diário'!$Q:$Q,$B1233,'Desenvolvimento diário'!$P:$P,$F1233,'Desenvolvimento diário'!$R:$R,"Não")</f>
        <v>269053.46999999997</v>
      </c>
      <c r="R1233" s="4">
        <f t="shared" si="419"/>
        <v>269053.46999999997</v>
      </c>
      <c r="S1233" s="4">
        <f t="shared" si="420"/>
        <v>0</v>
      </c>
      <c r="T1233" s="12">
        <f t="shared" si="421"/>
        <v>1</v>
      </c>
      <c r="Y1233" s="2"/>
      <c r="Z1233" s="2"/>
      <c r="AA1233" s="2"/>
      <c r="AB1233" s="2"/>
      <c r="AC1233" s="2"/>
    </row>
    <row r="1234" spans="1:29" ht="10.5" hidden="1">
      <c r="A1234" s="2">
        <f t="shared" si="422"/>
        <v>36</v>
      </c>
      <c r="B1234" s="2" t="str">
        <f>VLOOKUP($A1234,Controle!$B$4:$F$68,2,FALSE)</f>
        <v>Paracatu 4</v>
      </c>
      <c r="C1234" s="2" t="str">
        <f>VLOOKUP($A1234,Controle!$B$4:$F$68,3,FALSE)</f>
        <v xml:space="preserve">ESTRELA DO NORTE </v>
      </c>
      <c r="D1234" s="2" t="str">
        <f>VLOOKUP($A1234,Controle!$B$4:$F$68,4,FALSE)</f>
        <v>EDN</v>
      </c>
      <c r="E1234" s="2">
        <f>VLOOKUP($A1234,Controle!$B$4:$F$68,5,FALSE)</f>
        <v>3</v>
      </c>
      <c r="F1234" s="3" t="str">
        <f t="shared" si="423"/>
        <v>Equipamentos Curva A - Outros (Cabine + Skid)</v>
      </c>
      <c r="G1234" s="2" t="str">
        <f>VLOOKUP($A1234,Controle!$B$4:$G$68,6,FALSE)</f>
        <v>Apolo</v>
      </c>
      <c r="H1234" s="28" t="s">
        <v>196</v>
      </c>
      <c r="I1234" s="28">
        <v>664377.93000000005</v>
      </c>
      <c r="J1234" s="6">
        <v>6454.39</v>
      </c>
      <c r="K1234" s="6">
        <v>0</v>
      </c>
      <c r="L1234" s="6">
        <v>0</v>
      </c>
      <c r="M1234" s="6">
        <v>0</v>
      </c>
      <c r="N1234" s="6">
        <v>0</v>
      </c>
      <c r="O1234" s="4">
        <f t="shared" si="418"/>
        <v>670832.32000000007</v>
      </c>
      <c r="P1234" s="5">
        <f>SUMIFS('Desenvolvimento diário'!$H:$H,'Desenvolvimento diário'!$Q:$Q,$B1234,'Desenvolvimento diário'!$P:$P,$F1234,'Desenvolvimento diário'!$R:$R,"Sim")</f>
        <v>0</v>
      </c>
      <c r="Q1234" s="5">
        <f>SUMIFS('Desenvolvimento diário'!$H:$H,'Desenvolvimento diário'!$Q:$Q,$B1234,'Desenvolvimento diário'!$P:$P,$F1234,'Desenvolvimento diário'!$R:$R,"Não")</f>
        <v>670832.32000000007</v>
      </c>
      <c r="R1234" s="4">
        <f t="shared" si="419"/>
        <v>670832.32000000007</v>
      </c>
      <c r="S1234" s="137">
        <f t="shared" si="420"/>
        <v>0</v>
      </c>
      <c r="T1234" s="12">
        <f t="shared" si="421"/>
        <v>1</v>
      </c>
      <c r="Y1234" s="2"/>
      <c r="Z1234" s="2"/>
      <c r="AA1234" s="2"/>
      <c r="AB1234" s="2"/>
      <c r="AC1234" s="2"/>
    </row>
    <row r="1235" spans="1:29" ht="10.5" hidden="1">
      <c r="A1235" s="2">
        <f t="shared" si="422"/>
        <v>36</v>
      </c>
      <c r="B1235" s="2" t="str">
        <f>VLOOKUP($A1235,Controle!$B$4:$F$68,2,FALSE)</f>
        <v>Paracatu 4</v>
      </c>
      <c r="C1235" s="2" t="str">
        <f>VLOOKUP($A1235,Controle!$B$4:$F$68,3,FALSE)</f>
        <v xml:space="preserve">ESTRELA DO NORTE </v>
      </c>
      <c r="D1235" s="2" t="str">
        <f>VLOOKUP($A1235,Controle!$B$4:$F$68,4,FALSE)</f>
        <v>EDN</v>
      </c>
      <c r="E1235" s="2">
        <f>VLOOKUP($A1235,Controle!$B$4:$F$68,5,FALSE)</f>
        <v>3</v>
      </c>
      <c r="F1235" s="3" t="str">
        <f t="shared" si="423"/>
        <v>Equipamentos Curva A - Outros (Cabine + Skid + Transformador)</v>
      </c>
      <c r="G1235" s="2" t="str">
        <f>VLOOKUP($A1235,Controle!$B$4:$G$68,6,FALSE)</f>
        <v>Apolo</v>
      </c>
      <c r="H1235" s="28">
        <v>0</v>
      </c>
      <c r="I1235" s="28">
        <v>0</v>
      </c>
      <c r="J1235" s="6">
        <v>0</v>
      </c>
      <c r="K1235" s="6">
        <v>0</v>
      </c>
      <c r="L1235" s="6">
        <v>0</v>
      </c>
      <c r="M1235" s="6">
        <v>0</v>
      </c>
      <c r="N1235" s="6">
        <v>0</v>
      </c>
      <c r="O1235" s="4">
        <f t="shared" si="418"/>
        <v>0</v>
      </c>
      <c r="P1235" s="5">
        <f>SUMIFS('Desenvolvimento diário'!$H:$H,'Desenvolvimento diário'!$Q:$Q,$B1235,'Desenvolvimento diário'!$P:$P,$F1235,'Desenvolvimento diário'!$R:$R,"Sim")</f>
        <v>0</v>
      </c>
      <c r="Q1235" s="5">
        <f>SUMIFS('Desenvolvimento diário'!$H:$H,'Desenvolvimento diário'!$Q:$Q,$B1235,'Desenvolvimento diário'!$P:$P,$F1235,'Desenvolvimento diário'!$R:$R,"Não")</f>
        <v>0</v>
      </c>
      <c r="R1235" s="4">
        <f t="shared" si="419"/>
        <v>0</v>
      </c>
      <c r="S1235" s="4">
        <f t="shared" si="420"/>
        <v>0</v>
      </c>
      <c r="T1235" s="12">
        <f t="shared" si="421"/>
        <v>0</v>
      </c>
      <c r="Y1235" s="2"/>
      <c r="Z1235" s="2"/>
      <c r="AA1235" s="2"/>
      <c r="AB1235" s="2"/>
      <c r="AC1235" s="2"/>
    </row>
    <row r="1236" spans="1:29" ht="10.5" hidden="1">
      <c r="A1236" s="2">
        <f t="shared" si="422"/>
        <v>36</v>
      </c>
      <c r="B1236" s="2" t="str">
        <f>VLOOKUP($A1236,Controle!$B$4:$F$68,2,FALSE)</f>
        <v>Paracatu 4</v>
      </c>
      <c r="C1236" s="2" t="str">
        <f>VLOOKUP($A1236,Controle!$B$4:$F$68,3,FALSE)</f>
        <v xml:space="preserve">ESTRELA DO NORTE </v>
      </c>
      <c r="D1236" s="2" t="str">
        <f>VLOOKUP($A1236,Controle!$B$4:$F$68,4,FALSE)</f>
        <v>EDN</v>
      </c>
      <c r="E1236" s="2">
        <f>VLOOKUP($A1236,Controle!$B$4:$F$68,5,FALSE)</f>
        <v>3</v>
      </c>
      <c r="F1236" s="3" t="str">
        <f t="shared" si="423"/>
        <v>Desenvolvimento de projeto - Projetos - (Eng° Proprietario)</v>
      </c>
      <c r="G1236" s="2" t="str">
        <f>VLOOKUP($A1236,Controle!$B$4:$G$68,6,FALSE)</f>
        <v>Apolo</v>
      </c>
      <c r="H1236" s="6">
        <v>0</v>
      </c>
      <c r="I1236" s="6">
        <v>0</v>
      </c>
      <c r="J1236" s="6">
        <v>0</v>
      </c>
      <c r="K1236" s="6">
        <v>0</v>
      </c>
      <c r="L1236" s="6">
        <v>0</v>
      </c>
      <c r="M1236" s="6">
        <v>0</v>
      </c>
      <c r="N1236" s="6">
        <v>0</v>
      </c>
      <c r="O1236" s="4">
        <f t="shared" si="418"/>
        <v>0</v>
      </c>
      <c r="P1236" s="5">
        <f>SUMIFS('Desenvolvimento diário'!$H:$H,'Desenvolvimento diário'!$Q:$Q,$B1236,'Desenvolvimento diário'!$P:$P,$F1236,'Desenvolvimento diário'!$R:$R,"Sim")</f>
        <v>0</v>
      </c>
      <c r="Q1236" s="5">
        <f>SUMIFS('Desenvolvimento diário'!$H:$H,'Desenvolvimento diário'!$Q:$Q,$B1236,'Desenvolvimento diário'!$P:$P,$F1236,'Desenvolvimento diário'!$R:$R,"Não")</f>
        <v>0</v>
      </c>
      <c r="R1236" s="4">
        <f t="shared" si="419"/>
        <v>0</v>
      </c>
      <c r="S1236" s="4">
        <f t="shared" si="420"/>
        <v>0</v>
      </c>
      <c r="T1236" s="12">
        <f t="shared" si="421"/>
        <v>0</v>
      </c>
      <c r="Y1236" s="2"/>
      <c r="Z1236" s="2"/>
      <c r="AA1236" s="2"/>
      <c r="AB1236" s="2"/>
      <c r="AC1236" s="2"/>
    </row>
    <row r="1237" spans="1:29" ht="10.5" hidden="1">
      <c r="A1237" s="2">
        <f t="shared" si="422"/>
        <v>36</v>
      </c>
      <c r="B1237" s="2" t="str">
        <f>VLOOKUP($A1237,Controle!$B$4:$F$68,2,FALSE)</f>
        <v>Paracatu 4</v>
      </c>
      <c r="C1237" s="2" t="str">
        <f>VLOOKUP($A1237,Controle!$B$4:$F$68,3,FALSE)</f>
        <v xml:space="preserve">ESTRELA DO NORTE </v>
      </c>
      <c r="D1237" s="2" t="str">
        <f>VLOOKUP($A1237,Controle!$B$4:$F$68,4,FALSE)</f>
        <v>EDN</v>
      </c>
      <c r="E1237" s="2">
        <f>VLOOKUP($A1237,Controle!$B$4:$F$68,5,FALSE)</f>
        <v>3</v>
      </c>
      <c r="F1237" s="3" t="str">
        <f>F1167</f>
        <v>Desenvolvimento de projeto - Projetos - Executivos</v>
      </c>
      <c r="G1237" s="2" t="str">
        <f>VLOOKUP($A1237,Controle!$B$4:$G$68,6,FALSE)</f>
        <v>Apolo</v>
      </c>
      <c r="H1237" s="6" t="s">
        <v>146</v>
      </c>
      <c r="I1237" s="6">
        <v>71000</v>
      </c>
      <c r="J1237" s="6">
        <v>3000</v>
      </c>
      <c r="K1237" s="6">
        <v>15000</v>
      </c>
      <c r="L1237" s="6">
        <v>0</v>
      </c>
      <c r="M1237" s="6">
        <v>0</v>
      </c>
      <c r="N1237" s="6">
        <v>0</v>
      </c>
      <c r="O1237" s="4">
        <f>SUM(I1237:N1237)</f>
        <v>89000</v>
      </c>
      <c r="P1237" s="5">
        <f>SUMIFS('Desenvolvimento diário'!$H:$H,'Desenvolvimento diário'!$Q:$Q,$B1237,'Desenvolvimento diário'!$P:$P,$F1237,'Desenvolvimento diário'!$R:$R,"Sim")</f>
        <v>0</v>
      </c>
      <c r="Q1237" s="5">
        <f>SUMIFS('Desenvolvimento diário'!$H:$H,'Desenvolvimento diário'!$Q:$Q,$B1237,'Desenvolvimento diário'!$P:$P,$F1237,'Desenvolvimento diário'!$R:$R,"Não")</f>
        <v>89000</v>
      </c>
      <c r="R1237" s="4">
        <f>SUM(P1237:Q1237)</f>
        <v>89000</v>
      </c>
      <c r="S1237" s="4">
        <f>O1237-R1237</f>
        <v>0</v>
      </c>
      <c r="T1237" s="12">
        <f>IFERROR(R1237/O1237,0)</f>
        <v>1</v>
      </c>
      <c r="Y1237" s="2"/>
      <c r="Z1237" s="2"/>
      <c r="AA1237" s="2"/>
      <c r="AB1237" s="2"/>
      <c r="AC1237" s="2"/>
    </row>
    <row r="1238" spans="1:29" ht="10.5" hidden="1">
      <c r="A1238" s="2">
        <f t="shared" si="422"/>
        <v>36</v>
      </c>
      <c r="B1238" s="2" t="str">
        <f>VLOOKUP($A1238,Controle!$B$4:$F$68,2,FALSE)</f>
        <v>Paracatu 4</v>
      </c>
      <c r="C1238" s="2" t="str">
        <f>VLOOKUP($A1238,Controle!$B$4:$F$68,3,FALSE)</f>
        <v xml:space="preserve">ESTRELA DO NORTE </v>
      </c>
      <c r="D1238" s="2" t="str">
        <f>VLOOKUP($A1238,Controle!$B$4:$F$68,4,FALSE)</f>
        <v>EDN</v>
      </c>
      <c r="E1238" s="2">
        <f>VLOOKUP($A1238,Controle!$B$4:$F$68,5,FALSE)</f>
        <v>3</v>
      </c>
      <c r="F1238" s="3" t="str">
        <f>F1203</f>
        <v>Desenvolvimento de projeto - Projetos Básica</v>
      </c>
      <c r="G1238" s="2" t="str">
        <f>VLOOKUP($A1238,Controle!$B$4:$G$68,6,FALSE)</f>
        <v>Apolo</v>
      </c>
      <c r="H1238" s="6">
        <v>0</v>
      </c>
      <c r="I1238" s="6">
        <v>0</v>
      </c>
      <c r="J1238" s="6">
        <v>0</v>
      </c>
      <c r="K1238" s="6">
        <v>0</v>
      </c>
      <c r="L1238" s="6">
        <v>0</v>
      </c>
      <c r="M1238" s="6">
        <v>0</v>
      </c>
      <c r="N1238" s="6">
        <v>0</v>
      </c>
      <c r="O1238" s="4">
        <f t="shared" si="418"/>
        <v>0</v>
      </c>
      <c r="P1238" s="5">
        <f>SUMIFS('Desenvolvimento diário'!$H:$H,'Desenvolvimento diário'!$Q:$Q,$B1238,'Desenvolvimento diário'!$P:$P,$F1238,'Desenvolvimento diário'!$R:$R,"Sim")</f>
        <v>0</v>
      </c>
      <c r="Q1238" s="5">
        <f>SUMIFS('Desenvolvimento diário'!$H:$H,'Desenvolvimento diário'!$Q:$Q,$B1238,'Desenvolvimento diário'!$P:$P,$F1238,'Desenvolvimento diário'!$R:$R,"Não")</f>
        <v>0</v>
      </c>
      <c r="R1238" s="4">
        <f t="shared" si="419"/>
        <v>0</v>
      </c>
      <c r="S1238" s="4">
        <f t="shared" si="420"/>
        <v>0</v>
      </c>
      <c r="T1238" s="12">
        <f t="shared" si="421"/>
        <v>0</v>
      </c>
      <c r="Y1238" s="2"/>
      <c r="Z1238" s="2"/>
      <c r="AA1238" s="2"/>
      <c r="AB1238" s="2"/>
      <c r="AC1238" s="2"/>
    </row>
    <row r="1239" spans="1:29" ht="10.5" hidden="1">
      <c r="A1239" s="2">
        <f t="shared" si="422"/>
        <v>36</v>
      </c>
      <c r="B1239" s="2" t="str">
        <f>VLOOKUP($A1239,Controle!$B$4:$F$68,2,FALSE)</f>
        <v>Paracatu 4</v>
      </c>
      <c r="C1239" s="2" t="str">
        <f>VLOOKUP($A1239,Controle!$B$4:$F$68,3,FALSE)</f>
        <v xml:space="preserve">ESTRELA DO NORTE </v>
      </c>
      <c r="D1239" s="2" t="str">
        <f>VLOOKUP($A1239,Controle!$B$4:$F$68,4,FALSE)</f>
        <v>EDN</v>
      </c>
      <c r="E1239" s="2">
        <f>VLOOKUP($A1239,Controle!$B$4:$F$68,5,FALSE)</f>
        <v>3</v>
      </c>
      <c r="F1239" s="3" t="str">
        <f>F1204</f>
        <v>Desenvolvimento de projeto - Projetos Detalhada</v>
      </c>
      <c r="G1239" s="2" t="str">
        <f>VLOOKUP($A1239,Controle!$B$4:$G$68,6,FALSE)</f>
        <v>Apolo</v>
      </c>
      <c r="H1239" s="6">
        <v>0</v>
      </c>
      <c r="I1239" s="6">
        <v>0</v>
      </c>
      <c r="J1239" s="6">
        <v>0</v>
      </c>
      <c r="K1239" s="6">
        <v>0</v>
      </c>
      <c r="L1239" s="6">
        <v>0</v>
      </c>
      <c r="M1239" s="6">
        <v>0</v>
      </c>
      <c r="N1239" s="6">
        <v>0</v>
      </c>
      <c r="O1239" s="4">
        <f t="shared" si="418"/>
        <v>0</v>
      </c>
      <c r="P1239" s="5">
        <f>SUMIFS('Desenvolvimento diário'!$H:$H,'Desenvolvimento diário'!$Q:$Q,$B1239,'Desenvolvimento diário'!$P:$P,$F1239,'Desenvolvimento diário'!$R:$R,"Sim")</f>
        <v>0</v>
      </c>
      <c r="Q1239" s="5">
        <f>SUMIFS('Desenvolvimento diário'!$H:$H,'Desenvolvimento diário'!$Q:$Q,$B1239,'Desenvolvimento diário'!$P:$P,$F1239,'Desenvolvimento diário'!$R:$R,"Não")</f>
        <v>0</v>
      </c>
      <c r="R1239" s="4">
        <f t="shared" si="419"/>
        <v>0</v>
      </c>
      <c r="S1239" s="4">
        <f t="shared" si="420"/>
        <v>0</v>
      </c>
      <c r="T1239" s="12">
        <f t="shared" si="421"/>
        <v>0</v>
      </c>
      <c r="Y1239" s="2"/>
      <c r="Z1239" s="2"/>
      <c r="AA1239" s="2"/>
      <c r="AB1239" s="2"/>
      <c r="AC1239" s="2"/>
    </row>
    <row r="1240" spans="1:29" ht="10.5" hidden="1">
      <c r="A1240" s="2">
        <f t="shared" si="422"/>
        <v>36</v>
      </c>
      <c r="B1240" s="2" t="str">
        <f>VLOOKUP($A1240,Controle!$B$4:$F$68,2,FALSE)</f>
        <v>Paracatu 4</v>
      </c>
      <c r="C1240" s="2" t="str">
        <f>VLOOKUP($A1240,Controle!$B$4:$F$68,3,FALSE)</f>
        <v xml:space="preserve">ESTRELA DO NORTE </v>
      </c>
      <c r="D1240" s="2" t="str">
        <f>VLOOKUP($A1240,Controle!$B$4:$F$68,4,FALSE)</f>
        <v>EDN</v>
      </c>
      <c r="E1240" s="2">
        <f>VLOOKUP($A1240,Controle!$B$4:$F$68,5,FALSE)</f>
        <v>3</v>
      </c>
      <c r="F1240" s="3" t="str">
        <f>F1205</f>
        <v>Desenvolvimento de projeto - Ambiental / Outros</v>
      </c>
      <c r="G1240" s="2" t="str">
        <f>VLOOKUP($A1240,Controle!$B$4:$G$68,6,FALSE)</f>
        <v>Apolo</v>
      </c>
      <c r="H1240" s="6" t="s">
        <v>148</v>
      </c>
      <c r="I1240" s="6">
        <f>R1240</f>
        <v>79025.385000000009</v>
      </c>
      <c r="J1240" s="6">
        <v>0</v>
      </c>
      <c r="K1240" s="6">
        <v>0</v>
      </c>
      <c r="L1240" s="6">
        <v>0</v>
      </c>
      <c r="M1240" s="6">
        <v>0</v>
      </c>
      <c r="N1240" s="6">
        <v>0</v>
      </c>
      <c r="O1240" s="4">
        <f t="shared" si="418"/>
        <v>79025.385000000009</v>
      </c>
      <c r="P1240" s="5">
        <f>SUMIFS('Desenvolvimento diário'!$H:$H,'Desenvolvimento diário'!$Q:$Q,$B1240,'Desenvolvimento diário'!$P:$P,$F1240,'Desenvolvimento diário'!$R:$R,"Sim")</f>
        <v>0</v>
      </c>
      <c r="Q1240" s="5">
        <f>SUMIFS('Desenvolvimento diário'!$H:$H,'Desenvolvimento diário'!$Q:$Q,$B1240,'Desenvolvimento diário'!$P:$P,$F1240,'Desenvolvimento diário'!$R:$R,"Não")</f>
        <v>79025.385000000009</v>
      </c>
      <c r="R1240" s="4">
        <f t="shared" si="419"/>
        <v>79025.385000000009</v>
      </c>
      <c r="S1240" s="4">
        <f t="shared" si="420"/>
        <v>0</v>
      </c>
      <c r="T1240" s="12">
        <f t="shared" si="421"/>
        <v>1</v>
      </c>
      <c r="Y1240" s="2"/>
      <c r="Z1240" s="2"/>
      <c r="AA1240" s="2"/>
      <c r="AB1240" s="2"/>
      <c r="AC1240" s="2"/>
    </row>
    <row r="1241" spans="1:29" hidden="1">
      <c r="A1241" s="2">
        <f t="shared" si="422"/>
        <v>36</v>
      </c>
      <c r="B1241" s="34" t="str">
        <f>VLOOKUP($A1241,Controle!$B$4:$F$68,2,FALSE)</f>
        <v>Paracatu 4</v>
      </c>
      <c r="C1241" s="2" t="str">
        <f>VLOOKUP($A1241,Controle!$B$4:$F$68,3,FALSE)</f>
        <v xml:space="preserve">ESTRELA DO NORTE </v>
      </c>
      <c r="D1241" s="2" t="str">
        <f>VLOOKUP($A1241,Controle!$B$4:$F$68,4,FALSE)</f>
        <v>EDN</v>
      </c>
      <c r="E1241" s="2">
        <f>VLOOKUP($A1241,Controle!$B$4:$F$68,5,FALSE)</f>
        <v>3</v>
      </c>
      <c r="F1241" s="3" t="str">
        <f>F1206</f>
        <v>Desenvolvimento de projeto - Coordenograma</v>
      </c>
      <c r="G1241" s="2" t="str">
        <f>VLOOKUP($A1241,Controle!$B$4:$G$68,6,FALSE)</f>
        <v>Apolo</v>
      </c>
      <c r="H1241" s="31" t="s">
        <v>149</v>
      </c>
      <c r="I1241" s="31">
        <v>6206.9</v>
      </c>
      <c r="J1241" s="31">
        <v>0</v>
      </c>
      <c r="K1241" s="31">
        <v>0</v>
      </c>
      <c r="L1241" s="6">
        <v>0</v>
      </c>
      <c r="M1241" s="6">
        <v>0</v>
      </c>
      <c r="N1241" s="6">
        <v>0</v>
      </c>
      <c r="O1241" s="4">
        <f t="shared" si="418"/>
        <v>6206.9</v>
      </c>
      <c r="P1241" s="5">
        <f>SUMIFS('Desenvolvimento diário'!$H:$H,'Desenvolvimento diário'!$Q:$Q,$B1241,'Desenvolvimento diário'!$P:$P,$F1241,'Desenvolvimento diário'!$R:$R,"Sim")</f>
        <v>0</v>
      </c>
      <c r="Q1241" s="5">
        <f>SUMIFS('Desenvolvimento diário'!$H:$H,'Desenvolvimento diário'!$Q:$Q,$B1241,'Desenvolvimento diário'!$P:$P,$F1241,'Desenvolvimento diário'!$R:$R,"Não")</f>
        <v>6206.9</v>
      </c>
      <c r="R1241" s="4">
        <f t="shared" si="419"/>
        <v>6206.9</v>
      </c>
      <c r="S1241" s="93">
        <f t="shared" si="420"/>
        <v>0</v>
      </c>
      <c r="T1241" s="12">
        <f t="shared" si="421"/>
        <v>1</v>
      </c>
      <c r="Y1241" s="2"/>
      <c r="Z1241" s="2"/>
      <c r="AA1241" s="2"/>
      <c r="AB1241" s="2"/>
      <c r="AC1241" s="2"/>
    </row>
    <row r="1242" spans="1:29" ht="10.5" hidden="1">
      <c r="A1242" s="2">
        <f t="shared" si="422"/>
        <v>36</v>
      </c>
      <c r="B1242" s="2" t="str">
        <f>VLOOKUP($A1242,Controle!$B$4:$F$68,2,FALSE)</f>
        <v>Paracatu 4</v>
      </c>
      <c r="C1242" s="2" t="str">
        <f>VLOOKUP($A1242,Controle!$B$4:$F$68,3,FALSE)</f>
        <v xml:space="preserve">ESTRELA DO NORTE </v>
      </c>
      <c r="D1242" s="2" t="str">
        <f>VLOOKUP($A1242,Controle!$B$4:$F$68,4,FALSE)</f>
        <v>EDN</v>
      </c>
      <c r="E1242" s="2">
        <f>VLOOKUP($A1242,Controle!$B$4:$F$68,5,FALSE)</f>
        <v>3</v>
      </c>
      <c r="F1242" s="3" t="str">
        <f>F1207</f>
        <v>Sistemas de Monitoramento - Supervisório</v>
      </c>
      <c r="G1242" s="2" t="str">
        <f>VLOOKUP($A1242,Controle!$B$4:$G$68,6,FALSE)</f>
        <v>Apolo</v>
      </c>
      <c r="H1242" s="6" t="s">
        <v>150</v>
      </c>
      <c r="I1242" s="6">
        <f>136155+(0.01)</f>
        <v>136155.01</v>
      </c>
      <c r="J1242" s="6"/>
      <c r="K1242" s="6">
        <v>0</v>
      </c>
      <c r="L1242" s="6">
        <v>0</v>
      </c>
      <c r="M1242" s="6">
        <v>0</v>
      </c>
      <c r="N1242" s="6">
        <v>0</v>
      </c>
      <c r="O1242" s="4">
        <f t="shared" si="418"/>
        <v>136155.01</v>
      </c>
      <c r="P1242" s="5">
        <f>SUMIFS('Desenvolvimento diário'!$H:$H,'Desenvolvimento diário'!$Q:$Q,$B1242,'Desenvolvimento diário'!$P:$P,$F1242,'Desenvolvimento diário'!$R:$R,"Sim")</f>
        <v>5821.02</v>
      </c>
      <c r="Q1242" s="5">
        <f>SUMIFS('Desenvolvimento diário'!$H:$H,'Desenvolvimento diário'!$Q:$Q,$B1242,'Desenvolvimento diário'!$P:$P,$F1242,'Desenvolvimento diário'!$R:$R,"Não")</f>
        <v>130333.99</v>
      </c>
      <c r="R1242" s="4">
        <f t="shared" si="419"/>
        <v>136155.01</v>
      </c>
      <c r="S1242" s="137">
        <f t="shared" si="420"/>
        <v>0</v>
      </c>
      <c r="T1242" s="12">
        <f t="shared" si="421"/>
        <v>1</v>
      </c>
      <c r="Y1242" s="2"/>
      <c r="Z1242" s="2"/>
      <c r="AA1242" s="2"/>
      <c r="AB1242" s="2"/>
      <c r="AC1242" s="2"/>
    </row>
    <row r="1243" spans="1:29" ht="10.5" hidden="1">
      <c r="A1243" s="2">
        <f t="shared" si="422"/>
        <v>36</v>
      </c>
      <c r="B1243" s="2" t="str">
        <f>VLOOKUP($A1243,Controle!$B$4:$F$68,2,FALSE)</f>
        <v>Paracatu 4</v>
      </c>
      <c r="C1243" s="2" t="str">
        <f>VLOOKUP($A1243,Controle!$B$4:$F$68,3,FALSE)</f>
        <v xml:space="preserve">ESTRELA DO NORTE </v>
      </c>
      <c r="D1243" s="2" t="str">
        <f>VLOOKUP($A1243,Controle!$B$4:$F$68,4,FALSE)</f>
        <v>EDN</v>
      </c>
      <c r="E1243" s="2">
        <f>VLOOKUP($A1243,Controle!$B$4:$F$68,5,FALSE)</f>
        <v>3</v>
      </c>
      <c r="F1243" s="3" t="str">
        <f>F1208</f>
        <v>Sistemas de Monitoramento - Estações Solarimétricas</v>
      </c>
      <c r="G1243" s="2" t="str">
        <f>VLOOKUP($A1243,Controle!$B$4:$G$68,6,FALSE)</f>
        <v>Apolo</v>
      </c>
      <c r="H1243" s="28" t="s">
        <v>151</v>
      </c>
      <c r="I1243" s="28">
        <v>48276.516000000003</v>
      </c>
      <c r="J1243" s="6">
        <v>0</v>
      </c>
      <c r="K1243" s="6">
        <v>0</v>
      </c>
      <c r="L1243" s="6">
        <v>0</v>
      </c>
      <c r="M1243" s="6">
        <v>0</v>
      </c>
      <c r="N1243" s="6">
        <v>0</v>
      </c>
      <c r="O1243" s="4">
        <f t="shared" si="418"/>
        <v>48276.516000000003</v>
      </c>
      <c r="P1243" s="5">
        <f>SUMIFS('Desenvolvimento diário'!$H:$H,'Desenvolvimento diário'!$Q:$Q,$B1243,'Desenvolvimento diário'!$P:$P,$F1243,'Desenvolvimento diário'!$R:$R,"Sim")</f>
        <v>0</v>
      </c>
      <c r="Q1243" s="5">
        <f>SUMIFS('Desenvolvimento diário'!$H:$H,'Desenvolvimento diário'!$Q:$Q,$B1243,'Desenvolvimento diário'!$P:$P,$F1243,'Desenvolvimento diário'!$R:$R,"Não")</f>
        <v>48276.516000000003</v>
      </c>
      <c r="R1243" s="4">
        <f t="shared" si="419"/>
        <v>48276.516000000003</v>
      </c>
      <c r="S1243" s="4">
        <f t="shared" si="420"/>
        <v>0</v>
      </c>
      <c r="T1243" s="12">
        <f t="shared" si="421"/>
        <v>1</v>
      </c>
      <c r="Y1243" s="2"/>
      <c r="Z1243" s="2"/>
      <c r="AA1243" s="2"/>
      <c r="AB1243" s="2"/>
      <c r="AC1243" s="2"/>
    </row>
    <row r="1244" spans="1:29" hidden="1">
      <c r="A1244" s="2">
        <f t="shared" si="422"/>
        <v>36</v>
      </c>
      <c r="B1244" s="2" t="str">
        <f>VLOOKUP($A1244,Controle!$B$4:$F$68,2,FALSE)</f>
        <v>Paracatu 4</v>
      </c>
      <c r="C1244" s="2" t="str">
        <f>VLOOKUP($A1244,Controle!$B$4:$F$68,3,FALSE)</f>
        <v xml:space="preserve">ESTRELA DO NORTE </v>
      </c>
      <c r="D1244" s="2" t="str">
        <f>VLOOKUP($A1244,Controle!$B$4:$F$68,4,FALSE)</f>
        <v>EDN</v>
      </c>
      <c r="E1244" s="2">
        <f>VLOOKUP($A1244,Controle!$B$4:$F$68,5,FALSE)</f>
        <v>3</v>
      </c>
      <c r="F1244" s="3" t="str">
        <f>F1209</f>
        <v>Sistemas de Monitoramento - CFTV</v>
      </c>
      <c r="G1244" s="2" t="str">
        <f>VLOOKUP($A1244,Controle!$B$4:$G$68,6,FALSE)</f>
        <v>Apolo</v>
      </c>
      <c r="H1244" s="31" t="s">
        <v>152</v>
      </c>
      <c r="I1244" s="6">
        <f>285467.13-42932.63</f>
        <v>242534.5</v>
      </c>
      <c r="J1244" s="29"/>
      <c r="K1244" s="6">
        <v>0</v>
      </c>
      <c r="L1244" s="6">
        <v>0</v>
      </c>
      <c r="M1244" s="6">
        <v>0</v>
      </c>
      <c r="N1244" s="6">
        <v>0</v>
      </c>
      <c r="O1244" s="4">
        <f t="shared" si="418"/>
        <v>242534.5</v>
      </c>
      <c r="P1244" s="5">
        <f>SUMIFS('Desenvolvimento diário'!$H:$H,'Desenvolvimento diário'!$Q:$Q,$B1244,'Desenvolvimento diário'!$P:$P,$F1244,'Desenvolvimento diário'!$R:$R,"Sim")</f>
        <v>0</v>
      </c>
      <c r="Q1244" s="5">
        <f>SUMIFS('Desenvolvimento diário'!$H:$H,'Desenvolvimento diário'!$Q:$Q,$B1244,'Desenvolvimento diário'!$P:$P,$F1244,'Desenvolvimento diário'!$R:$R,"Não")</f>
        <v>242534.5</v>
      </c>
      <c r="R1244" s="4">
        <f t="shared" si="419"/>
        <v>242534.5</v>
      </c>
      <c r="S1244" s="4">
        <f t="shared" si="420"/>
        <v>0</v>
      </c>
      <c r="T1244" s="12">
        <f t="shared" si="421"/>
        <v>1</v>
      </c>
      <c r="Y1244" s="2"/>
      <c r="Z1244" s="2"/>
      <c r="AA1244" s="2"/>
      <c r="AB1244" s="2"/>
      <c r="AC1244" s="2"/>
    </row>
    <row r="1245" spans="1:29" ht="10.5" hidden="1">
      <c r="A1245" s="2">
        <f t="shared" si="422"/>
        <v>36</v>
      </c>
      <c r="B1245" s="2" t="str">
        <f>VLOOKUP($A1245,Controle!$B$4:$F$68,2,FALSE)</f>
        <v>Paracatu 4</v>
      </c>
      <c r="C1245" s="2" t="str">
        <f>VLOOKUP($A1245,Controle!$B$4:$F$68,3,FALSE)</f>
        <v xml:space="preserve">ESTRELA DO NORTE </v>
      </c>
      <c r="D1245" s="2" t="str">
        <f>VLOOKUP($A1245,Controle!$B$4:$F$68,4,FALSE)</f>
        <v>EDN</v>
      </c>
      <c r="E1245" s="2">
        <f>VLOOKUP($A1245,Controle!$B$4:$F$68,5,FALSE)</f>
        <v>3</v>
      </c>
      <c r="F1245" s="3" t="str">
        <f>F1210</f>
        <v>Serviços Auxiliares - Drenagem</v>
      </c>
      <c r="G1245" s="2" t="str">
        <f>VLOOKUP($A1245,Controle!$B$4:$G$68,6,FALSE)</f>
        <v>Apolo</v>
      </c>
      <c r="H1245" s="6" t="s">
        <v>175</v>
      </c>
      <c r="I1245" s="31">
        <v>469543.56</v>
      </c>
      <c r="J1245" s="6">
        <v>83261.88</v>
      </c>
      <c r="K1245" s="6">
        <v>0</v>
      </c>
      <c r="L1245" s="6">
        <v>0</v>
      </c>
      <c r="M1245" s="6">
        <v>0</v>
      </c>
      <c r="N1245" s="6">
        <v>0</v>
      </c>
      <c r="O1245" s="4">
        <f t="shared" si="418"/>
        <v>552805.43999999994</v>
      </c>
      <c r="P1245" s="5">
        <f>SUMIFS('Desenvolvimento diário'!$H:$H,'Desenvolvimento diário'!$Q:$Q,$B1245,'Desenvolvimento diário'!$P:$P,$F1245,'Desenvolvimento diário'!$R:$R,"Sim")</f>
        <v>149236.20000000001</v>
      </c>
      <c r="Q1245" s="5">
        <f>SUMIFS('Desenvolvimento diário'!$H:$H,'Desenvolvimento diário'!$Q:$Q,$B1245,'Desenvolvimento diário'!$P:$P,$F1245,'Desenvolvimento diário'!$R:$R,"Não")</f>
        <v>403569.24</v>
      </c>
      <c r="R1245" s="4">
        <f t="shared" si="419"/>
        <v>552805.43999999994</v>
      </c>
      <c r="S1245" s="4">
        <f t="shared" si="420"/>
        <v>0</v>
      </c>
      <c r="T1245" s="12">
        <f t="shared" si="421"/>
        <v>1</v>
      </c>
      <c r="Y1245" s="2"/>
      <c r="Z1245" s="2"/>
      <c r="AA1245" s="2"/>
      <c r="AB1245" s="2"/>
      <c r="AC1245" s="2"/>
    </row>
    <row r="1246" spans="1:29" ht="10.5" hidden="1">
      <c r="A1246" s="2">
        <f t="shared" si="422"/>
        <v>36</v>
      </c>
      <c r="B1246" s="2" t="str">
        <f>VLOOKUP($A1246,Controle!$B$4:$F$68,2,FALSE)</f>
        <v>Paracatu 4</v>
      </c>
      <c r="C1246" s="2" t="str">
        <f>VLOOKUP($A1246,Controle!$B$4:$F$68,3,FALSE)</f>
        <v xml:space="preserve">ESTRELA DO NORTE </v>
      </c>
      <c r="D1246" s="2" t="str">
        <f>VLOOKUP($A1246,Controle!$B$4:$F$68,4,FALSE)</f>
        <v>EDN</v>
      </c>
      <c r="E1246" s="2">
        <f>VLOOKUP($A1246,Controle!$B$4:$F$68,5,FALSE)</f>
        <v>3</v>
      </c>
      <c r="F1246" s="3" t="str">
        <f>F1211</f>
        <v>Serviços Auxiliares - Terraplanagem</v>
      </c>
      <c r="G1246" s="2" t="str">
        <f>VLOOKUP($A1246,Controle!$B$4:$G$68,6,FALSE)</f>
        <v>Apolo</v>
      </c>
      <c r="H1246" s="6" t="s">
        <v>175</v>
      </c>
      <c r="I1246" s="31">
        <v>737147.29</v>
      </c>
      <c r="J1246" s="6">
        <v>297803.7</v>
      </c>
      <c r="K1246" s="6">
        <v>0</v>
      </c>
      <c r="L1246" s="6">
        <v>0</v>
      </c>
      <c r="M1246" s="6">
        <v>0</v>
      </c>
      <c r="N1246" s="6">
        <v>0</v>
      </c>
      <c r="O1246" s="4">
        <f>SUM(I1246:N1246)-0.43</f>
        <v>1034950.5599999999</v>
      </c>
      <c r="P1246" s="5">
        <f>SUMIFS('Desenvolvimento diário'!$H:$H,'Desenvolvimento diário'!$Q:$Q,$B1246,'Desenvolvimento diário'!$P:$P,$F1246,'Desenvolvimento diário'!$R:$R,"Sim")</f>
        <v>700870.64</v>
      </c>
      <c r="Q1246" s="5">
        <f>SUMIFS('Desenvolvimento diário'!$H:$H,'Desenvolvimento diário'!$Q:$Q,$B1246,'Desenvolvimento diário'!$P:$P,$F1246,'Desenvolvimento diário'!$R:$R,"Não")</f>
        <v>334079.92000000004</v>
      </c>
      <c r="R1246" s="4">
        <f t="shared" si="419"/>
        <v>1034950.56</v>
      </c>
      <c r="S1246" s="4">
        <f t="shared" si="420"/>
        <v>0</v>
      </c>
      <c r="T1246" s="12">
        <f t="shared" si="421"/>
        <v>1.0000000000000002</v>
      </c>
      <c r="Y1246" s="2"/>
      <c r="Z1246" s="2"/>
      <c r="AA1246" s="2"/>
      <c r="AB1246" s="2"/>
      <c r="AC1246" s="2"/>
    </row>
    <row r="1247" spans="1:29" ht="10.5" hidden="1">
      <c r="A1247" s="2">
        <f t="shared" si="422"/>
        <v>36</v>
      </c>
      <c r="B1247" s="2" t="str">
        <f>VLOOKUP($A1247,Controle!$B$4:$F$68,2,FALSE)</f>
        <v>Paracatu 4</v>
      </c>
      <c r="C1247" s="2" t="str">
        <f>VLOOKUP($A1247,Controle!$B$4:$F$68,3,FALSE)</f>
        <v xml:space="preserve">ESTRELA DO NORTE </v>
      </c>
      <c r="D1247" s="2" t="str">
        <f>VLOOKUP($A1247,Controle!$B$4:$F$68,4,FALSE)</f>
        <v>EDN</v>
      </c>
      <c r="E1247" s="2">
        <f>VLOOKUP($A1247,Controle!$B$4:$F$68,5,FALSE)</f>
        <v>3</v>
      </c>
      <c r="F1247" s="3" t="str">
        <f>F1212</f>
        <v>Serviços Auxiliares - Supressão Vegetal</v>
      </c>
      <c r="G1247" s="2" t="str">
        <f>VLOOKUP($A1247,Controle!$B$4:$G$68,6,FALSE)</f>
        <v>Apolo</v>
      </c>
      <c r="H1247" s="6">
        <v>0</v>
      </c>
      <c r="I1247" s="6">
        <v>0</v>
      </c>
      <c r="J1247" s="6">
        <v>0</v>
      </c>
      <c r="K1247" s="6">
        <v>0</v>
      </c>
      <c r="L1247" s="6">
        <v>0</v>
      </c>
      <c r="M1247" s="6">
        <v>0</v>
      </c>
      <c r="N1247" s="6">
        <v>0</v>
      </c>
      <c r="O1247" s="4">
        <f t="shared" si="418"/>
        <v>0</v>
      </c>
      <c r="P1247" s="5">
        <f>SUMIFS('Desenvolvimento diário'!$H:$H,'Desenvolvimento diário'!$Q:$Q,$B1247,'Desenvolvimento diário'!$P:$P,$F1247,'Desenvolvimento diário'!$R:$R,"Sim")</f>
        <v>0</v>
      </c>
      <c r="Q1247" s="5">
        <f>SUMIFS('Desenvolvimento diário'!$H:$H,'Desenvolvimento diário'!$Q:$Q,$B1247,'Desenvolvimento diário'!$P:$P,$F1247,'Desenvolvimento diário'!$R:$R,"Não")</f>
        <v>0</v>
      </c>
      <c r="R1247" s="4">
        <f t="shared" si="419"/>
        <v>0</v>
      </c>
      <c r="S1247" s="4">
        <f t="shared" si="420"/>
        <v>0</v>
      </c>
      <c r="T1247" s="12">
        <f t="shared" si="421"/>
        <v>0</v>
      </c>
      <c r="Y1247" s="2"/>
      <c r="Z1247" s="2"/>
      <c r="AA1247" s="2"/>
      <c r="AB1247" s="2"/>
      <c r="AC1247" s="2"/>
    </row>
    <row r="1248" spans="1:29" ht="10.5" hidden="1">
      <c r="A1248" s="2">
        <f t="shared" si="422"/>
        <v>36</v>
      </c>
      <c r="B1248" s="2" t="str">
        <f>VLOOKUP($A1248,Controle!$B$4:$F$68,2,FALSE)</f>
        <v>Paracatu 4</v>
      </c>
      <c r="C1248" s="2" t="str">
        <f>VLOOKUP($A1248,Controle!$B$4:$F$68,3,FALSE)</f>
        <v xml:space="preserve">ESTRELA DO NORTE </v>
      </c>
      <c r="D1248" s="2" t="str">
        <f>VLOOKUP($A1248,Controle!$B$4:$F$68,4,FALSE)</f>
        <v>EDN</v>
      </c>
      <c r="E1248" s="2">
        <f>VLOOKUP($A1248,Controle!$B$4:$F$68,5,FALSE)</f>
        <v>3</v>
      </c>
      <c r="F1248" s="3" t="str">
        <f>F1213</f>
        <v>RDR-Rede de Distribuição Rural</v>
      </c>
      <c r="G1248" s="2" t="str">
        <f>VLOOKUP($A1248,Controle!$B$4:$G$68,6,FALSE)</f>
        <v>Apolo</v>
      </c>
      <c r="H1248" s="6">
        <v>0</v>
      </c>
      <c r="I1248" s="6">
        <v>0</v>
      </c>
      <c r="J1248" s="6">
        <v>0</v>
      </c>
      <c r="K1248" s="6">
        <v>0</v>
      </c>
      <c r="L1248" s="6">
        <v>0</v>
      </c>
      <c r="M1248" s="6">
        <v>0</v>
      </c>
      <c r="N1248" s="6">
        <v>0</v>
      </c>
      <c r="O1248" s="4">
        <f t="shared" si="418"/>
        <v>0</v>
      </c>
      <c r="P1248" s="5">
        <f>SUMIFS('Desenvolvimento diário'!$H:$H,'Desenvolvimento diário'!$Q:$Q,$B1248,'Desenvolvimento diário'!$P:$P,$F1248,'Desenvolvimento diário'!$R:$R,"Sim")</f>
        <v>0</v>
      </c>
      <c r="Q1248" s="5">
        <f>SUMIFS('Desenvolvimento diário'!$H:$H,'Desenvolvimento diário'!$Q:$Q,$B1248,'Desenvolvimento diário'!$P:$P,$F1248,'Desenvolvimento diário'!$R:$R,"Não")</f>
        <v>0</v>
      </c>
      <c r="R1248" s="4">
        <f t="shared" si="419"/>
        <v>0</v>
      </c>
      <c r="S1248" s="4">
        <f t="shared" si="420"/>
        <v>0</v>
      </c>
      <c r="T1248" s="12">
        <f t="shared" si="421"/>
        <v>0</v>
      </c>
      <c r="Y1248" s="2"/>
      <c r="Z1248" s="2"/>
      <c r="AA1248" s="2"/>
      <c r="AB1248" s="2"/>
      <c r="AC1248" s="2"/>
    </row>
    <row r="1249" spans="1:29" ht="10.5" hidden="1">
      <c r="A1249" s="2">
        <f t="shared" si="422"/>
        <v>36</v>
      </c>
      <c r="B1249" s="2" t="str">
        <f>VLOOKUP($A1249,Controle!$B$4:$F$68,2,FALSE)</f>
        <v>Paracatu 4</v>
      </c>
      <c r="C1249" s="2" t="str">
        <f>VLOOKUP($A1249,Controle!$B$4:$F$68,3,FALSE)</f>
        <v xml:space="preserve">ESTRELA DO NORTE </v>
      </c>
      <c r="D1249" s="2" t="str">
        <f>VLOOKUP($A1249,Controle!$B$4:$F$68,4,FALSE)</f>
        <v>EDN</v>
      </c>
      <c r="E1249" s="2">
        <f>VLOOKUP($A1249,Controle!$B$4:$F$68,5,FALSE)</f>
        <v>3</v>
      </c>
      <c r="F1249" s="3" t="str">
        <f>F1214</f>
        <v>Escopo COMERC</v>
      </c>
      <c r="G1249" s="2" t="str">
        <f>VLOOKUP($A1249,Controle!$B$4:$G$68,6,FALSE)</f>
        <v>Apolo</v>
      </c>
      <c r="H1249" s="6">
        <v>0</v>
      </c>
      <c r="I1249" s="6">
        <v>138786.26999999999</v>
      </c>
      <c r="J1249" s="29">
        <v>21000</v>
      </c>
      <c r="K1249" s="29"/>
      <c r="L1249" s="6">
        <v>0</v>
      </c>
      <c r="M1249" s="6">
        <v>0</v>
      </c>
      <c r="N1249" s="6">
        <v>0</v>
      </c>
      <c r="O1249" s="4">
        <f t="shared" si="418"/>
        <v>159786.26999999999</v>
      </c>
      <c r="P1249" s="5">
        <f>SUMIFS('Desenvolvimento diário'!$H:$H,'Desenvolvimento diário'!$Q:$Q,$B1249,'Desenvolvimento diário'!$P:$P,$F1249,'Desenvolvimento diário'!$R:$R,"Sim")</f>
        <v>30373.34</v>
      </c>
      <c r="Q1249" s="5">
        <f>SUMIFS('Desenvolvimento diário'!$H:$H,'Desenvolvimento diário'!$Q:$Q,$B1249,'Desenvolvimento diário'!$P:$P,$F1249,'Desenvolvimento diário'!$R:$R,"Não")</f>
        <v>109411.70999999999</v>
      </c>
      <c r="R1249" s="4">
        <f t="shared" si="419"/>
        <v>139785.04999999999</v>
      </c>
      <c r="S1249" s="1010">
        <f t="shared" si="420"/>
        <v>20001.22</v>
      </c>
      <c r="T1249" s="12">
        <f t="shared" si="421"/>
        <v>0.87482516489057538</v>
      </c>
      <c r="U1249" s="1011" t="s">
        <v>166</v>
      </c>
      <c r="V1249" s="1011" t="s">
        <v>167</v>
      </c>
      <c r="Y1249" s="2"/>
      <c r="Z1249" s="2"/>
      <c r="AA1249" s="2"/>
      <c r="AB1249" s="2"/>
      <c r="AC1249" s="2"/>
    </row>
    <row r="1250" spans="1:29" ht="10.5" hidden="1">
      <c r="A1250" s="2">
        <f t="shared" si="422"/>
        <v>36</v>
      </c>
      <c r="B1250" s="2" t="str">
        <f>VLOOKUP($A1250,Controle!$B$4:$F$68,2,FALSE)</f>
        <v>Paracatu 4</v>
      </c>
      <c r="C1250" s="2" t="str">
        <f>VLOOKUP($A1250,Controle!$B$4:$F$68,3,FALSE)</f>
        <v xml:space="preserve">ESTRELA DO NORTE </v>
      </c>
      <c r="D1250" s="2" t="str">
        <f>VLOOKUP($A1250,Controle!$B$4:$F$68,4,FALSE)</f>
        <v>EDN</v>
      </c>
      <c r="E1250" s="2">
        <f>VLOOKUP($A1250,Controle!$B$4:$F$68,5,FALSE)</f>
        <v>3</v>
      </c>
      <c r="F1250" s="3" t="str">
        <f>F1215</f>
        <v>Escopo COMERC - Segurança</v>
      </c>
      <c r="G1250" s="2" t="str">
        <f>VLOOKUP($A1250,Controle!$B$4:$G$68,6,FALSE)</f>
        <v>Apolo</v>
      </c>
      <c r="H1250" s="6">
        <v>0</v>
      </c>
      <c r="I1250" s="6">
        <f t="shared" ref="I1249:I1250" si="424">R1250</f>
        <v>136722.96000000002</v>
      </c>
      <c r="J1250" s="6">
        <v>0</v>
      </c>
      <c r="K1250" s="6">
        <v>0</v>
      </c>
      <c r="L1250" s="6">
        <v>0</v>
      </c>
      <c r="M1250" s="6">
        <v>0</v>
      </c>
      <c r="N1250" s="6">
        <v>0</v>
      </c>
      <c r="O1250" s="4">
        <f t="shared" si="418"/>
        <v>136722.96000000002</v>
      </c>
      <c r="P1250" s="5">
        <f>SUMIFS('Desenvolvimento diário'!$H:$H,'Desenvolvimento diário'!$Q:$Q,$B1250,'Desenvolvimento diário'!$P:$P,$F1250,'Desenvolvimento diário'!$R:$R,"Sim")</f>
        <v>0</v>
      </c>
      <c r="Q1250" s="5">
        <f>SUMIFS('Desenvolvimento diário'!$H:$H,'Desenvolvimento diário'!$Q:$Q,$B1250,'Desenvolvimento diário'!$P:$P,$F1250,'Desenvolvimento diário'!$R:$R,"Não")</f>
        <v>136722.96000000002</v>
      </c>
      <c r="R1250" s="4">
        <f t="shared" si="419"/>
        <v>136722.96000000002</v>
      </c>
      <c r="S1250" s="4">
        <f t="shared" si="420"/>
        <v>0</v>
      </c>
      <c r="T1250" s="12">
        <f t="shared" si="421"/>
        <v>1</v>
      </c>
      <c r="Y1250" s="2"/>
      <c r="Z1250" s="2"/>
      <c r="AA1250" s="2"/>
      <c r="AB1250" s="2"/>
      <c r="AC1250" s="2"/>
    </row>
    <row r="1251" spans="1:29" ht="10.5" hidden="1">
      <c r="A1251" s="2">
        <f t="shared" si="422"/>
        <v>36</v>
      </c>
      <c r="B1251" s="2" t="str">
        <f>VLOOKUP($A1251,Controle!$B$4:$F$68,2,FALSE)</f>
        <v>Paracatu 4</v>
      </c>
      <c r="C1251" s="2" t="str">
        <f>VLOOKUP($A1251,Controle!$B$4:$F$68,3,FALSE)</f>
        <v xml:space="preserve">ESTRELA DO NORTE </v>
      </c>
      <c r="D1251" s="2" t="str">
        <f>VLOOKUP($A1251,Controle!$B$4:$F$68,4,FALSE)</f>
        <v>EDN</v>
      </c>
      <c r="E1251" s="2">
        <f>VLOOKUP($A1251,Controle!$B$4:$F$68,5,FALSE)</f>
        <v>3</v>
      </c>
      <c r="F1251" s="3" t="str">
        <f>F1216</f>
        <v>Conexão MT - Obras Transferencia</v>
      </c>
      <c r="G1251" s="2" t="str">
        <f>VLOOKUP($A1251,Controle!$B$4:$G$68,6,FALSE)</f>
        <v>Apolo</v>
      </c>
      <c r="H1251" s="6">
        <v>0</v>
      </c>
      <c r="I1251" s="6">
        <v>0</v>
      </c>
      <c r="J1251" s="6">
        <v>0</v>
      </c>
      <c r="K1251" s="6">
        <v>0</v>
      </c>
      <c r="L1251" s="6">
        <v>0</v>
      </c>
      <c r="M1251" s="6">
        <v>0</v>
      </c>
      <c r="N1251" s="6">
        <v>0</v>
      </c>
      <c r="O1251" s="4">
        <f t="shared" si="418"/>
        <v>0</v>
      </c>
      <c r="P1251" s="5">
        <f>SUMIFS('Desenvolvimento diário'!$H:$H,'Desenvolvimento diário'!$Q:$Q,$B1251,'Desenvolvimento diário'!$P:$P,$F1251,'Desenvolvimento diário'!$R:$R,"Sim")</f>
        <v>0</v>
      </c>
      <c r="Q1251" s="5">
        <f>SUMIFS('Desenvolvimento diário'!$H:$H,'Desenvolvimento diário'!$Q:$Q,$B1251,'Desenvolvimento diário'!$P:$P,$F1251,'Desenvolvimento diário'!$R:$R,"Não")</f>
        <v>0</v>
      </c>
      <c r="R1251" s="4">
        <f t="shared" si="419"/>
        <v>0</v>
      </c>
      <c r="S1251" s="4">
        <f t="shared" si="420"/>
        <v>0</v>
      </c>
      <c r="T1251" s="12">
        <f t="shared" si="421"/>
        <v>0</v>
      </c>
      <c r="Y1251" s="2"/>
      <c r="Z1251" s="2"/>
      <c r="AA1251" s="2"/>
      <c r="AB1251" s="2"/>
      <c r="AC1251" s="2"/>
    </row>
    <row r="1252" spans="1:29" ht="10.5" hidden="1">
      <c r="A1252" s="2">
        <f t="shared" si="422"/>
        <v>36</v>
      </c>
      <c r="B1252" s="2" t="str">
        <f>VLOOKUP($A1252,Controle!$B$4:$F$68,2,FALSE)</f>
        <v>Paracatu 4</v>
      </c>
      <c r="C1252" s="2" t="str">
        <f>VLOOKUP($A1252,Controle!$B$4:$F$68,3,FALSE)</f>
        <v xml:space="preserve">ESTRELA DO NORTE </v>
      </c>
      <c r="D1252" s="2" t="str">
        <f>VLOOKUP($A1252,Controle!$B$4:$F$68,4,FALSE)</f>
        <v>EDN</v>
      </c>
      <c r="E1252" s="2">
        <f>VLOOKUP($A1252,Controle!$B$4:$F$68,5,FALSE)</f>
        <v>3</v>
      </c>
      <c r="F1252" s="3" t="str">
        <f>F1217</f>
        <v>Bases de Contaniers</v>
      </c>
      <c r="G1252" s="2" t="str">
        <f>VLOOKUP($A1252,Controle!$B$4:$G$68,6,FALSE)</f>
        <v>Apolo</v>
      </c>
      <c r="H1252" s="6">
        <v>0</v>
      </c>
      <c r="I1252" s="6">
        <v>0</v>
      </c>
      <c r="J1252" s="6">
        <v>0</v>
      </c>
      <c r="K1252" s="6">
        <v>0</v>
      </c>
      <c r="L1252" s="6">
        <v>0</v>
      </c>
      <c r="M1252" s="6">
        <v>0</v>
      </c>
      <c r="N1252" s="6">
        <v>0</v>
      </c>
      <c r="O1252" s="4">
        <f t="shared" si="418"/>
        <v>0</v>
      </c>
      <c r="P1252" s="5">
        <f>SUMIFS('Desenvolvimento diário'!$H:$H,'Desenvolvimento diário'!$Q:$Q,$B1252,'Desenvolvimento diário'!$P:$P,$F1252,'Desenvolvimento diário'!$R:$R,"Sim")</f>
        <v>0</v>
      </c>
      <c r="Q1252" s="5">
        <f>SUMIFS('Desenvolvimento diário'!$H:$H,'Desenvolvimento diário'!$Q:$Q,$B1252,'Desenvolvimento diário'!$P:$P,$F1252,'Desenvolvimento diário'!$R:$R,"Não")</f>
        <v>0</v>
      </c>
      <c r="R1252" s="4">
        <f t="shared" si="419"/>
        <v>0</v>
      </c>
      <c r="S1252" s="4">
        <f t="shared" si="420"/>
        <v>0</v>
      </c>
      <c r="T1252" s="12">
        <f t="shared" si="421"/>
        <v>0</v>
      </c>
      <c r="Y1252" s="2"/>
      <c r="Z1252" s="2"/>
      <c r="AA1252" s="2"/>
      <c r="AB1252" s="2"/>
      <c r="AC1252" s="2"/>
    </row>
    <row r="1253" spans="1:29" ht="10.5" hidden="1">
      <c r="A1253" s="2">
        <f t="shared" si="422"/>
        <v>36</v>
      </c>
      <c r="B1253" s="2" t="str">
        <f>VLOOKUP($A1253,Controle!$B$4:$F$68,2,FALSE)</f>
        <v>Paracatu 4</v>
      </c>
      <c r="C1253" s="2" t="str">
        <f>VLOOKUP($A1253,Controle!$B$4:$F$68,3,FALSE)</f>
        <v xml:space="preserve">ESTRELA DO NORTE </v>
      </c>
      <c r="D1253" s="2" t="str">
        <f>VLOOKUP($A1253,Controle!$B$4:$F$68,4,FALSE)</f>
        <v>EDN</v>
      </c>
      <c r="E1253" s="2">
        <f>VLOOKUP($A1253,Controle!$B$4:$F$68,5,FALSE)</f>
        <v>3</v>
      </c>
      <c r="F1253" s="3" t="str">
        <f>F1218</f>
        <v>Construção - Serviços de Construção - Ase Engenharia</v>
      </c>
      <c r="G1253" s="2" t="str">
        <f>VLOOKUP($A1253,Controle!$B$4:$G$68,6,FALSE)</f>
        <v>Apolo</v>
      </c>
      <c r="H1253" s="6">
        <v>0</v>
      </c>
      <c r="I1253" s="6">
        <v>0</v>
      </c>
      <c r="J1253" s="6">
        <v>0</v>
      </c>
      <c r="K1253" s="6">
        <v>0</v>
      </c>
      <c r="L1253" s="6">
        <v>0</v>
      </c>
      <c r="M1253" s="6">
        <v>0</v>
      </c>
      <c r="N1253" s="6">
        <v>0</v>
      </c>
      <c r="O1253" s="4">
        <f t="shared" si="418"/>
        <v>0</v>
      </c>
      <c r="P1253" s="5">
        <f>SUMIFS('Desenvolvimento diário'!$H:$H,'Desenvolvimento diário'!$Q:$Q,$B1253,'Desenvolvimento diário'!$P:$P,$F1253,'Desenvolvimento diário'!$R:$R,"Sim")</f>
        <v>0</v>
      </c>
      <c r="Q1253" s="5">
        <f>SUMIFS('Desenvolvimento diário'!$H:$H,'Desenvolvimento diário'!$Q:$Q,$B1253,'Desenvolvimento diário'!$P:$P,$F1253,'Desenvolvimento diário'!$R:$R,"Não")</f>
        <v>0</v>
      </c>
      <c r="R1253" s="4">
        <f t="shared" si="419"/>
        <v>0</v>
      </c>
      <c r="S1253" s="4">
        <f t="shared" si="420"/>
        <v>0</v>
      </c>
      <c r="T1253" s="12">
        <f t="shared" si="421"/>
        <v>0</v>
      </c>
      <c r="Y1253" s="2"/>
      <c r="Z1253" s="2"/>
      <c r="AA1253" s="2"/>
      <c r="AB1253" s="2"/>
      <c r="AC1253" s="2"/>
    </row>
    <row r="1254" spans="1:29" ht="10.5" hidden="1">
      <c r="A1254" s="2">
        <f t="shared" si="422"/>
        <v>36</v>
      </c>
      <c r="B1254" s="2" t="str">
        <f>VLOOKUP($A1254,Controle!$B$4:$F$68,2,FALSE)</f>
        <v>Paracatu 4</v>
      </c>
      <c r="C1254" s="2" t="str">
        <f>VLOOKUP($A1254,Controle!$B$4:$F$68,3,FALSE)</f>
        <v xml:space="preserve">ESTRELA DO NORTE </v>
      </c>
      <c r="D1254" s="2" t="str">
        <f>VLOOKUP($A1254,Controle!$B$4:$F$68,4,FALSE)</f>
        <v>EDN</v>
      </c>
      <c r="E1254" s="2">
        <f>VLOOKUP($A1254,Controle!$B$4:$F$68,5,FALSE)</f>
        <v>3</v>
      </c>
      <c r="F1254" s="3" t="str">
        <f>F1219</f>
        <v>Full EPC - Contrato Sobressalentes</v>
      </c>
      <c r="G1254" s="2" t="str">
        <f>VLOOKUP($A1254,Controle!$B$4:$G$68,6,FALSE)</f>
        <v>Apolo</v>
      </c>
      <c r="H1254" s="6">
        <v>0</v>
      </c>
      <c r="I1254" s="6">
        <v>0</v>
      </c>
      <c r="J1254" s="6">
        <v>0</v>
      </c>
      <c r="K1254" s="6">
        <v>0</v>
      </c>
      <c r="L1254" s="6">
        <v>0</v>
      </c>
      <c r="M1254" s="6">
        <v>0</v>
      </c>
      <c r="N1254" s="6">
        <v>0</v>
      </c>
      <c r="O1254" s="4">
        <f t="shared" si="418"/>
        <v>0</v>
      </c>
      <c r="P1254" s="5">
        <f>SUMIFS('Desenvolvimento diário'!$H:$H,'Desenvolvimento diário'!$Q:$Q,$B1254,'Desenvolvimento diário'!$P:$P,$F1254,'Desenvolvimento diário'!$R:$R,"Sim")</f>
        <v>0</v>
      </c>
      <c r="Q1254" s="5">
        <f>SUMIFS('Desenvolvimento diário'!$H:$H,'Desenvolvimento diário'!$Q:$Q,$B1254,'Desenvolvimento diário'!$P:$P,$F1254,'Desenvolvimento diário'!$R:$R,"Não")</f>
        <v>0</v>
      </c>
      <c r="R1254" s="4">
        <f t="shared" si="419"/>
        <v>0</v>
      </c>
      <c r="S1254" s="4">
        <f t="shared" si="420"/>
        <v>0</v>
      </c>
      <c r="T1254" s="12">
        <f t="shared" si="421"/>
        <v>0</v>
      </c>
      <c r="Y1254" s="2"/>
      <c r="Z1254" s="2"/>
      <c r="AA1254" s="2"/>
      <c r="AB1254" s="2"/>
      <c r="AC1254" s="2"/>
    </row>
    <row r="1255" spans="1:29" ht="10.5" hidden="1">
      <c r="A1255" s="2">
        <f t="shared" si="422"/>
        <v>36</v>
      </c>
      <c r="B1255" s="2" t="str">
        <f>VLOOKUP($A1255,Controle!$B$4:$F$68,2,FALSE)</f>
        <v>Paracatu 4</v>
      </c>
      <c r="C1255" s="2" t="str">
        <f>VLOOKUP($A1255,Controle!$B$4:$F$68,3,FALSE)</f>
        <v xml:space="preserve">ESTRELA DO NORTE </v>
      </c>
      <c r="D1255" s="2" t="str">
        <f>VLOOKUP($A1255,Controle!$B$4:$F$68,4,FALSE)</f>
        <v>EDN</v>
      </c>
      <c r="E1255" s="2">
        <f>VLOOKUP($A1255,Controle!$B$4:$F$68,5,FALSE)</f>
        <v>3</v>
      </c>
      <c r="F1255" s="3" t="str">
        <f>F1220</f>
        <v>Construção - Serviços de Construção - NOVA MORADA</v>
      </c>
      <c r="G1255" s="2" t="str">
        <f>VLOOKUP($A1255,Controle!$B$4:$G$68,6,FALSE)</f>
        <v>Apolo</v>
      </c>
      <c r="H1255" s="6">
        <v>0</v>
      </c>
      <c r="I1255" s="6">
        <v>0</v>
      </c>
      <c r="J1255" s="6">
        <v>0</v>
      </c>
      <c r="K1255" s="6">
        <v>0</v>
      </c>
      <c r="L1255" s="6">
        <v>0</v>
      </c>
      <c r="M1255" s="6">
        <v>0</v>
      </c>
      <c r="N1255" s="6">
        <v>0</v>
      </c>
      <c r="O1255" s="4">
        <f t="shared" si="418"/>
        <v>0</v>
      </c>
      <c r="P1255" s="5">
        <f>SUMIFS('Desenvolvimento diário'!$H:$H,'Desenvolvimento diário'!$Q:$Q,$B1255,'Desenvolvimento diário'!$P:$P,$F1255,'Desenvolvimento diário'!$R:$R,"Sim")</f>
        <v>0</v>
      </c>
      <c r="Q1255" s="5">
        <f>SUMIFS('Desenvolvimento diário'!$H:$H,'Desenvolvimento diário'!$Q:$Q,$B1255,'Desenvolvimento diário'!$P:$P,$F1255,'Desenvolvimento diário'!$R:$R,"Não")</f>
        <v>0</v>
      </c>
      <c r="R1255" s="4">
        <f t="shared" si="419"/>
        <v>0</v>
      </c>
      <c r="S1255" s="4">
        <f t="shared" si="420"/>
        <v>0</v>
      </c>
      <c r="T1255" s="12">
        <f t="shared" si="421"/>
        <v>0</v>
      </c>
      <c r="Y1255" s="2"/>
      <c r="Z1255" s="2"/>
      <c r="AA1255" s="2"/>
      <c r="AB1255" s="2"/>
      <c r="AC1255" s="2"/>
    </row>
    <row r="1256" spans="1:29" ht="10.5" hidden="1">
      <c r="A1256" s="2">
        <f t="shared" si="422"/>
        <v>36</v>
      </c>
      <c r="B1256" s="2" t="str">
        <f>VLOOKUP($A1256,Controle!$B$4:$F$68,2,FALSE)</f>
        <v>Paracatu 4</v>
      </c>
      <c r="C1256" s="2" t="str">
        <f>VLOOKUP($A1256,Controle!$B$4:$F$68,3,FALSE)</f>
        <v xml:space="preserve">ESTRELA DO NORTE </v>
      </c>
      <c r="D1256" s="2" t="str">
        <f>VLOOKUP($A1256,Controle!$B$4:$F$68,4,FALSE)</f>
        <v>EDN</v>
      </c>
      <c r="E1256" s="2">
        <f>VLOOKUP($A1256,Controle!$B$4:$F$68,5,FALSE)</f>
        <v>3</v>
      </c>
      <c r="F1256" s="3" t="str">
        <f>F1221</f>
        <v>Equipamentos Curva A -  Contrato Sobressalentes - SETTA</v>
      </c>
      <c r="G1256" s="2" t="str">
        <f>VLOOKUP($A1256,Controle!$B$4:$G$68,6,FALSE)</f>
        <v>Apolo</v>
      </c>
      <c r="H1256" s="6">
        <v>0</v>
      </c>
      <c r="I1256" s="6">
        <v>0</v>
      </c>
      <c r="J1256" s="6">
        <v>0</v>
      </c>
      <c r="K1256" s="6">
        <v>0</v>
      </c>
      <c r="L1256" s="6">
        <v>0</v>
      </c>
      <c r="M1256" s="6">
        <v>0</v>
      </c>
      <c r="N1256" s="6">
        <v>0</v>
      </c>
      <c r="O1256" s="4">
        <f t="shared" si="418"/>
        <v>0</v>
      </c>
      <c r="P1256" s="5">
        <f>SUMIFS('Desenvolvimento diário'!$H:$H,'Desenvolvimento diário'!$Q:$Q,$B1256,'Desenvolvimento diário'!$P:$P,$F1256,'Desenvolvimento diário'!$R:$R,"Sim")</f>
        <v>0</v>
      </c>
      <c r="Q1256" s="5">
        <f>SUMIFS('Desenvolvimento diário'!$H:$H,'Desenvolvimento diário'!$Q:$Q,$B1256,'Desenvolvimento diário'!$P:$P,$F1256,'Desenvolvimento diário'!$R:$R,"Não")</f>
        <v>0</v>
      </c>
      <c r="R1256" s="4">
        <f t="shared" si="419"/>
        <v>0</v>
      </c>
      <c r="S1256" s="4">
        <f t="shared" si="420"/>
        <v>0</v>
      </c>
      <c r="T1256" s="12">
        <f t="shared" si="421"/>
        <v>0</v>
      </c>
      <c r="Y1256" s="2"/>
      <c r="Z1256" s="2"/>
      <c r="AA1256" s="2"/>
      <c r="AB1256" s="2"/>
      <c r="AC1256" s="2"/>
    </row>
    <row r="1257" spans="1:29" ht="10.5" hidden="1">
      <c r="A1257" s="2">
        <f t="shared" si="422"/>
        <v>36</v>
      </c>
      <c r="B1257" s="2" t="str">
        <f>VLOOKUP($A1257,Controle!$B$4:$F$68,2,FALSE)</f>
        <v>Paracatu 4</v>
      </c>
      <c r="C1257" s="2" t="str">
        <f>VLOOKUP($A1257,Controle!$B$4:$F$68,3,FALSE)</f>
        <v xml:space="preserve">ESTRELA DO NORTE </v>
      </c>
      <c r="D1257" s="2" t="str">
        <f>VLOOKUP($A1257,Controle!$B$4:$F$68,4,FALSE)</f>
        <v>EDN</v>
      </c>
      <c r="E1257" s="2">
        <f>VLOOKUP($A1257,Controle!$B$4:$F$68,5,FALSE)</f>
        <v>3</v>
      </c>
      <c r="F1257" s="3" t="str">
        <f t="shared" ref="F1257:F1260" si="425">F1222</f>
        <v>Equipamentos Curva A -  Contrato Sobressalentes - Arctech</v>
      </c>
      <c r="G1257" s="2" t="str">
        <f>VLOOKUP($A1257,Controle!$B$4:$G$68,6,FALSE)</f>
        <v>Apolo</v>
      </c>
      <c r="H1257" s="6">
        <v>0</v>
      </c>
      <c r="I1257" s="6">
        <v>0</v>
      </c>
      <c r="J1257" s="6">
        <v>0</v>
      </c>
      <c r="K1257" s="6">
        <v>0</v>
      </c>
      <c r="L1257" s="6">
        <v>0</v>
      </c>
      <c r="M1257" s="6">
        <v>0</v>
      </c>
      <c r="N1257" s="6">
        <v>0</v>
      </c>
      <c r="O1257" s="4">
        <f t="shared" si="418"/>
        <v>0</v>
      </c>
      <c r="P1257" s="5">
        <f>SUMIFS('Desenvolvimento diário'!$H:$H,'Desenvolvimento diário'!$Q:$Q,$B1257,'Desenvolvimento diário'!$P:$P,$F1257,'Desenvolvimento diário'!$R:$R,"Sim")</f>
        <v>0</v>
      </c>
      <c r="Q1257" s="5">
        <f>SUMIFS('Desenvolvimento diário'!$H:$H,'Desenvolvimento diário'!$Q:$Q,$B1257,'Desenvolvimento diário'!$P:$P,$F1257,'Desenvolvimento diário'!$R:$R,"Não")</f>
        <v>0</v>
      </c>
      <c r="R1257" s="4">
        <f t="shared" si="419"/>
        <v>0</v>
      </c>
      <c r="S1257" s="4">
        <f t="shared" si="420"/>
        <v>0</v>
      </c>
      <c r="T1257" s="12">
        <f t="shared" si="421"/>
        <v>0</v>
      </c>
      <c r="Y1257" s="2"/>
      <c r="Z1257" s="2"/>
      <c r="AA1257" s="2"/>
      <c r="AB1257" s="2"/>
      <c r="AC1257" s="2"/>
    </row>
    <row r="1258" spans="1:29" hidden="1">
      <c r="A1258" s="2">
        <f t="shared" si="422"/>
        <v>36</v>
      </c>
      <c r="B1258" s="2" t="str">
        <f>VLOOKUP($A1258,Controle!$B$4:$F$68,2,FALSE)</f>
        <v>Paracatu 4</v>
      </c>
      <c r="C1258" s="2" t="str">
        <f>VLOOKUP($A1258,Controle!$B$4:$F$68,3,FALSE)</f>
        <v xml:space="preserve">ESTRELA DO NORTE </v>
      </c>
      <c r="D1258" s="2" t="str">
        <f>VLOOKUP($A1258,Controle!$B$4:$F$68,4,FALSE)</f>
        <v>EDN</v>
      </c>
      <c r="E1258" s="2">
        <f>VLOOKUP($A1258,Controle!$B$4:$F$68,5,FALSE)</f>
        <v>3</v>
      </c>
      <c r="F1258" s="3" t="str">
        <f t="shared" si="425"/>
        <v>Equipamentos Curva A -  Contrato Sobressalentes - Romagnole</v>
      </c>
      <c r="G1258" s="2" t="str">
        <f>VLOOKUP($A1258,Controle!$B$4:$G$68,6,FALSE)</f>
        <v>Apolo</v>
      </c>
      <c r="H1258" s="7">
        <v>0</v>
      </c>
      <c r="I1258" s="7">
        <v>0</v>
      </c>
      <c r="J1258" s="7">
        <v>0</v>
      </c>
      <c r="K1258" s="7">
        <v>0</v>
      </c>
      <c r="L1258" s="7">
        <v>0</v>
      </c>
      <c r="M1258" s="7">
        <v>0</v>
      </c>
      <c r="N1258" s="7">
        <v>0</v>
      </c>
      <c r="O1258" s="4">
        <f t="shared" si="418"/>
        <v>0</v>
      </c>
      <c r="P1258" s="17">
        <f>SUMIFS('Desenvolvimento diário'!$H:$H,'Desenvolvimento diário'!$Q:$Q,$B1258,'Desenvolvimento diário'!$P:$P,$F1258,'Desenvolvimento diário'!$R:$R,"Sim")</f>
        <v>0</v>
      </c>
      <c r="Q1258" s="17">
        <f>SUMIFS('Desenvolvimento diário'!$H:$H,'Desenvolvimento diário'!$Q:$Q,$B1258,'Desenvolvimento diário'!$P:$P,$F1258,'Desenvolvimento diário'!$R:$R,"Não")</f>
        <v>0</v>
      </c>
      <c r="R1258" s="4">
        <f t="shared" si="419"/>
        <v>0</v>
      </c>
      <c r="S1258" s="4">
        <f t="shared" si="420"/>
        <v>0</v>
      </c>
      <c r="T1258" s="12">
        <f t="shared" si="421"/>
        <v>0</v>
      </c>
      <c r="Y1258" s="2"/>
      <c r="Z1258" s="2"/>
      <c r="AA1258" s="2"/>
      <c r="AB1258" s="2"/>
      <c r="AC1258" s="2"/>
    </row>
    <row r="1259" spans="1:29" hidden="1">
      <c r="A1259" s="2">
        <f t="shared" si="422"/>
        <v>36</v>
      </c>
      <c r="B1259" s="2" t="str">
        <f>VLOOKUP($A1259,Controle!$B$4:$F$68,2,FALSE)</f>
        <v>Paracatu 4</v>
      </c>
      <c r="C1259" s="2" t="str">
        <f>VLOOKUP($A1259,Controle!$B$4:$F$68,3,FALSE)</f>
        <v xml:space="preserve">ESTRELA DO NORTE </v>
      </c>
      <c r="D1259" s="2" t="str">
        <f>VLOOKUP($A1259,Controle!$B$4:$F$68,4,FALSE)</f>
        <v>EDN</v>
      </c>
      <c r="E1259" s="2">
        <f>VLOOKUP($A1259,Controle!$B$4:$F$68,5,FALSE)</f>
        <v>3</v>
      </c>
      <c r="F1259" s="3" t="str">
        <f t="shared" si="425"/>
        <v>GOS FLORESTAL - (PRAD - Recuperação Area Ambiental)</v>
      </c>
      <c r="G1259" s="2" t="str">
        <f>VLOOKUP($A1259,Controle!$B$4:$G$68,6,FALSE)</f>
        <v>Apolo</v>
      </c>
      <c r="H1259" s="506" t="s">
        <v>170</v>
      </c>
      <c r="I1259" s="6">
        <v>0</v>
      </c>
      <c r="J1259" s="506"/>
      <c r="K1259" s="506">
        <v>0</v>
      </c>
      <c r="L1259" s="506">
        <v>0</v>
      </c>
      <c r="M1259" s="506">
        <v>0</v>
      </c>
      <c r="N1259" s="506">
        <v>0</v>
      </c>
      <c r="O1259" s="39">
        <f t="shared" si="418"/>
        <v>0</v>
      </c>
      <c r="P1259" s="17">
        <f>SUMIFS('Desenvolvimento diário'!$H:$H,'Desenvolvimento diário'!$Q:$Q,$B1259,'Desenvolvimento diário'!$P:$P,$F1259,'Desenvolvimento diário'!$R:$R,"Sim")</f>
        <v>0</v>
      </c>
      <c r="Q1259" s="17">
        <f>SUMIFS('Desenvolvimento diário'!$H:$H,'Desenvolvimento diário'!$Q:$Q,$B1259,'Desenvolvimento diário'!$P:$P,$F1259,'Desenvolvimento diário'!$R:$R,"Não")</f>
        <v>0</v>
      </c>
      <c r="R1259" s="4">
        <f t="shared" si="419"/>
        <v>0</v>
      </c>
      <c r="S1259" s="4">
        <f t="shared" si="420"/>
        <v>0</v>
      </c>
      <c r="T1259" s="12">
        <f t="shared" si="421"/>
        <v>0</v>
      </c>
      <c r="Y1259" s="2"/>
      <c r="Z1259" s="2"/>
      <c r="AA1259" s="2"/>
      <c r="AB1259" s="2"/>
      <c r="AC1259" s="2"/>
    </row>
    <row r="1260" spans="1:29" hidden="1">
      <c r="A1260" s="2">
        <f t="shared" si="422"/>
        <v>36</v>
      </c>
      <c r="B1260" s="2" t="str">
        <f>VLOOKUP($A1260,Controle!$B$4:$F$68,2,FALSE)</f>
        <v>Paracatu 4</v>
      </c>
      <c r="C1260" s="2" t="str">
        <f>VLOOKUP($A1260,Controle!$B$4:$F$68,3,FALSE)</f>
        <v xml:space="preserve">ESTRELA DO NORTE </v>
      </c>
      <c r="D1260" s="2" t="str">
        <f>VLOOKUP($A1260,Controle!$B$4:$F$68,4,FALSE)</f>
        <v>EDN</v>
      </c>
      <c r="E1260" s="2">
        <f>VLOOKUP($A1260,Controle!$B$4:$F$68,5,FALSE)</f>
        <v>3</v>
      </c>
      <c r="F1260" s="3" t="str">
        <f t="shared" si="425"/>
        <v>Cercamento das bacias de contenção ciclo 2</v>
      </c>
      <c r="G1260" s="2" t="str">
        <f>VLOOKUP($A1260,Controle!$B$4:$G$68,6,FALSE)</f>
        <v>Apolo</v>
      </c>
      <c r="H1260" s="506" t="s">
        <v>172</v>
      </c>
      <c r="I1260" s="6"/>
      <c r="J1260" s="506"/>
      <c r="K1260" s="506">
        <v>0</v>
      </c>
      <c r="L1260" s="506">
        <v>0</v>
      </c>
      <c r="M1260" s="506">
        <v>0</v>
      </c>
      <c r="N1260" s="506">
        <v>0</v>
      </c>
      <c r="O1260" s="39">
        <f t="shared" si="418"/>
        <v>0</v>
      </c>
      <c r="P1260" s="17">
        <f>SUMIFS('Desenvolvimento diário'!$H:$H,'Desenvolvimento diário'!$Q:$Q,$B1260,'Desenvolvimento diário'!$P:$P,$F1260,'Desenvolvimento diário'!$R:$R,"Sim")</f>
        <v>0</v>
      </c>
      <c r="Q1260" s="17">
        <f>SUMIFS('Desenvolvimento diário'!$H:$H,'Desenvolvimento diário'!$Q:$Q,$B1260,'Desenvolvimento diário'!$P:$P,$F1260,'Desenvolvimento diário'!$R:$R,"Não")</f>
        <v>0</v>
      </c>
      <c r="R1260" s="4">
        <f t="shared" si="419"/>
        <v>0</v>
      </c>
      <c r="S1260" s="1030">
        <f t="shared" si="420"/>
        <v>0</v>
      </c>
      <c r="T1260" s="12">
        <f t="shared" si="421"/>
        <v>0</v>
      </c>
      <c r="U1260" s="1029" t="s">
        <v>166</v>
      </c>
      <c r="V1260" s="1029" t="s">
        <v>94</v>
      </c>
      <c r="Y1260" s="2"/>
      <c r="Z1260" s="2"/>
      <c r="AA1260" s="2"/>
      <c r="AB1260" s="2"/>
      <c r="AC1260" s="2"/>
    </row>
    <row r="1261" spans="1:29" hidden="1">
      <c r="A1261" s="8">
        <f>A1258</f>
        <v>36</v>
      </c>
      <c r="B1261" s="9" t="str">
        <f t="shared" ref="B1261" si="426">B1258</f>
        <v>Paracatu 4</v>
      </c>
      <c r="C1261" s="9" t="str">
        <f t="shared" ref="C1261" si="427">C1258</f>
        <v xml:space="preserve">ESTRELA DO NORTE </v>
      </c>
      <c r="D1261" s="9" t="str">
        <f t="shared" ref="D1261" si="428">D1258</f>
        <v>EDN</v>
      </c>
      <c r="E1261" s="9">
        <f t="shared" ref="E1261" si="429">E1258</f>
        <v>3</v>
      </c>
      <c r="F1261" s="10" t="s">
        <v>158</v>
      </c>
      <c r="G1261" s="9" t="str">
        <f>G1258</f>
        <v>Apolo</v>
      </c>
      <c r="H1261" s="9"/>
      <c r="I1261" s="9">
        <f>SUBTOTAL(9,I1227:I1260)</f>
        <v>0</v>
      </c>
      <c r="J1261" s="9">
        <f t="shared" ref="J1261:S1261" si="430">SUBTOTAL(9,J1227:J1260)</f>
        <v>0</v>
      </c>
      <c r="K1261" s="9">
        <f t="shared" si="430"/>
        <v>0</v>
      </c>
      <c r="L1261" s="9">
        <f t="shared" si="430"/>
        <v>0</v>
      </c>
      <c r="M1261" s="9">
        <f t="shared" si="430"/>
        <v>0</v>
      </c>
      <c r="N1261" s="9">
        <f t="shared" si="430"/>
        <v>0</v>
      </c>
      <c r="O1261" s="9">
        <f t="shared" si="430"/>
        <v>0</v>
      </c>
      <c r="P1261" s="9">
        <f t="shared" si="430"/>
        <v>0</v>
      </c>
      <c r="Q1261" s="9">
        <f t="shared" si="430"/>
        <v>0</v>
      </c>
      <c r="R1261" s="9">
        <f t="shared" si="430"/>
        <v>0</v>
      </c>
      <c r="S1261" s="9">
        <f t="shared" si="430"/>
        <v>0</v>
      </c>
      <c r="T1261" s="13">
        <f t="shared" si="421"/>
        <v>0</v>
      </c>
      <c r="U1261" s="11">
        <f>SUBTOTAL(9,U1227:U1260)</f>
        <v>0</v>
      </c>
      <c r="Y1261" s="2"/>
      <c r="Z1261" s="2"/>
      <c r="AA1261" s="2"/>
      <c r="AB1261" s="2"/>
      <c r="AC1261" s="2"/>
    </row>
    <row r="1262" spans="1:29" ht="10.5" hidden="1">
      <c r="A1262" s="2">
        <f>A1227+1</f>
        <v>37</v>
      </c>
      <c r="B1262" s="2" t="str">
        <f>VLOOKUP($A1262,Controle!$B$4:$F$68,2,FALSE)</f>
        <v>Paracatu 5</v>
      </c>
      <c r="C1262" s="2" t="str">
        <f>VLOOKUP($A1262,Controle!$B$4:$F$68,3,FALSE)</f>
        <v xml:space="preserve">ESTRELA DO NORTE </v>
      </c>
      <c r="D1262" s="2" t="str">
        <f>VLOOKUP($A1262,Controle!$B$4:$F$68,4,FALSE)</f>
        <v>EDN</v>
      </c>
      <c r="E1262" s="2">
        <f>VLOOKUP($A1262,Controle!$B$4:$F$68,5,FALSE)</f>
        <v>3</v>
      </c>
      <c r="F1262" s="3" t="str">
        <f t="shared" ref="F1262:F1272" si="431">F1227</f>
        <v>Conexão AT - Obras</v>
      </c>
      <c r="G1262" s="2" t="str">
        <f>VLOOKUP($A1262,Controle!$B$4:$G$68,6,FALSE)</f>
        <v>Apolo</v>
      </c>
      <c r="H1262" s="6">
        <v>0</v>
      </c>
      <c r="I1262" s="6">
        <v>0</v>
      </c>
      <c r="J1262" s="6">
        <v>0</v>
      </c>
      <c r="K1262" s="6">
        <v>0</v>
      </c>
      <c r="L1262" s="6">
        <v>0</v>
      </c>
      <c r="M1262" s="6">
        <v>0</v>
      </c>
      <c r="N1262" s="6">
        <v>0</v>
      </c>
      <c r="O1262" s="4">
        <f t="shared" ref="O1262:O1295" si="432">SUM(I1262:N1262)</f>
        <v>0</v>
      </c>
      <c r="P1262" s="5">
        <f>SUMIFS('Desenvolvimento diário'!$H:$H,'Desenvolvimento diário'!$Q:$Q,$B1262,'Desenvolvimento diário'!$P:$P,$F1262,'Desenvolvimento diário'!$R:$R,"Sim")</f>
        <v>0</v>
      </c>
      <c r="Q1262" s="5">
        <f>SUMIFS('Desenvolvimento diário'!$H:$H,'Desenvolvimento diário'!$Q:$Q,$B1262,'Desenvolvimento diário'!$P:$P,$F1262,'Desenvolvimento diário'!$R:$R,"Não")</f>
        <v>0</v>
      </c>
      <c r="R1262" s="4">
        <f t="shared" ref="R1262:R1295" si="433">SUM(P1262:Q1262)</f>
        <v>0</v>
      </c>
      <c r="S1262" s="4">
        <f t="shared" ref="S1262:S1295" si="434">O1262-R1262</f>
        <v>0</v>
      </c>
      <c r="T1262" s="12">
        <f t="shared" si="421"/>
        <v>0</v>
      </c>
      <c r="Y1262" s="2"/>
      <c r="Z1262" s="2"/>
      <c r="AA1262" s="2"/>
      <c r="AB1262" s="2"/>
      <c r="AC1262" s="2"/>
    </row>
    <row r="1263" spans="1:29" ht="10.5" hidden="1">
      <c r="A1263" s="2">
        <f t="shared" ref="A1263:A1295" si="435">A1262</f>
        <v>37</v>
      </c>
      <c r="B1263" s="2" t="str">
        <f>VLOOKUP($A1263,Controle!$B$4:$F$68,2,FALSE)</f>
        <v>Paracatu 5</v>
      </c>
      <c r="C1263" s="2" t="str">
        <f>VLOOKUP($A1263,Controle!$B$4:$F$68,3,FALSE)</f>
        <v xml:space="preserve">ESTRELA DO NORTE </v>
      </c>
      <c r="D1263" s="2" t="str">
        <f>VLOOKUP($A1263,Controle!$B$4:$F$68,4,FALSE)</f>
        <v>EDN</v>
      </c>
      <c r="E1263" s="2">
        <f>VLOOKUP($A1263,Controle!$B$4:$F$68,5,FALSE)</f>
        <v>3</v>
      </c>
      <c r="F1263" s="3" t="str">
        <f t="shared" si="431"/>
        <v>Conexão MT - Obras</v>
      </c>
      <c r="G1263" s="2" t="str">
        <f>VLOOKUP($A1263,Controle!$B$4:$G$68,6,FALSE)</f>
        <v>Apolo</v>
      </c>
      <c r="H1263" s="6" t="s">
        <v>168</v>
      </c>
      <c r="I1263" s="6">
        <v>2479975</v>
      </c>
      <c r="J1263" s="6">
        <v>64000</v>
      </c>
      <c r="K1263" s="6">
        <v>0</v>
      </c>
      <c r="L1263" s="6">
        <v>0</v>
      </c>
      <c r="M1263" s="6">
        <v>0</v>
      </c>
      <c r="N1263" s="6">
        <v>0</v>
      </c>
      <c r="O1263" s="4">
        <f t="shared" si="432"/>
        <v>2543975</v>
      </c>
      <c r="P1263" s="5">
        <f>SUMIFS('Desenvolvimento diário'!$H:$H,'Desenvolvimento diário'!$Q:$Q,$B1263,'Desenvolvimento diário'!$P:$P,$F1263,'Desenvolvimento diário'!$R:$R,"Sim")</f>
        <v>1202255.7000000002</v>
      </c>
      <c r="Q1263" s="5">
        <f>SUMIFS('Desenvolvimento diário'!$H:$H,'Desenvolvimento diário'!$Q:$Q,$B1263,'Desenvolvimento diário'!$P:$P,$F1263,'Desenvolvimento diário'!$R:$R,"Não")</f>
        <v>1341719.3</v>
      </c>
      <c r="R1263" s="4">
        <f t="shared" si="433"/>
        <v>2543975</v>
      </c>
      <c r="S1263" s="27">
        <f t="shared" si="434"/>
        <v>0</v>
      </c>
      <c r="T1263" s="12">
        <f t="shared" si="421"/>
        <v>1</v>
      </c>
      <c r="Y1263" s="2"/>
      <c r="Z1263" s="2"/>
      <c r="AA1263" s="2"/>
      <c r="AB1263" s="2"/>
      <c r="AC1263" s="2"/>
    </row>
    <row r="1264" spans="1:29" ht="10.5" hidden="1">
      <c r="A1264" s="2">
        <f t="shared" si="435"/>
        <v>37</v>
      </c>
      <c r="B1264" s="2" t="str">
        <f>VLOOKUP($A1264,Controle!$B$4:$F$68,2,FALSE)</f>
        <v>Paracatu 5</v>
      </c>
      <c r="C1264" s="2" t="str">
        <f>VLOOKUP($A1264,Controle!$B$4:$F$68,3,FALSE)</f>
        <v xml:space="preserve">ESTRELA DO NORTE </v>
      </c>
      <c r="D1264" s="2" t="str">
        <f>VLOOKUP($A1264,Controle!$B$4:$F$68,4,FALSE)</f>
        <v>EDN</v>
      </c>
      <c r="E1264" s="2">
        <f>VLOOKUP($A1264,Controle!$B$4:$F$68,5,FALSE)</f>
        <v>3</v>
      </c>
      <c r="F1264" s="3" t="str">
        <f t="shared" si="431"/>
        <v>Construção - Serviços de Construção</v>
      </c>
      <c r="G1264" s="2" t="str">
        <f>VLOOKUP($A1264,Controle!$B$4:$G$68,6,FALSE)</f>
        <v>Apolo</v>
      </c>
      <c r="H1264" s="6" t="s">
        <v>201</v>
      </c>
      <c r="I1264" s="6">
        <f>2943154.685-0.19</f>
        <v>2943154.4950000001</v>
      </c>
      <c r="J1264" s="6">
        <v>241568.23</v>
      </c>
      <c r="K1264" s="6">
        <f>(67038+173230.13)/2</f>
        <v>120134.065</v>
      </c>
      <c r="L1264" s="6">
        <v>0</v>
      </c>
      <c r="M1264" s="6">
        <v>0</v>
      </c>
      <c r="N1264" s="6">
        <v>0</v>
      </c>
      <c r="O1264" s="4">
        <f t="shared" si="432"/>
        <v>3304856.79</v>
      </c>
      <c r="P1264" s="5">
        <f>SUMIFS('Desenvolvimento diário'!$H:$H,'Desenvolvimento diário'!$Q:$Q,$B1264,'Desenvolvimento diário'!$P:$P,$F1264,'Desenvolvimento diário'!$R:$R,"Sim")</f>
        <v>104459.73</v>
      </c>
      <c r="Q1264" s="5">
        <f>SUMIFS('Desenvolvimento diário'!$H:$H,'Desenvolvimento diário'!$Q:$Q,$B1264,'Desenvolvimento diário'!$P:$P,$F1264,'Desenvolvimento diário'!$R:$R,"Não")</f>
        <v>3200397.0599999996</v>
      </c>
      <c r="R1264" s="4">
        <f t="shared" si="433"/>
        <v>3304856.7899999996</v>
      </c>
      <c r="S1264" s="137">
        <f t="shared" si="434"/>
        <v>0</v>
      </c>
      <c r="T1264" s="12">
        <f t="shared" si="421"/>
        <v>0.99999999999999989</v>
      </c>
      <c r="Y1264" s="2"/>
      <c r="Z1264" s="2"/>
      <c r="AA1264" s="2"/>
      <c r="AB1264" s="2"/>
      <c r="AC1264" s="2"/>
    </row>
    <row r="1265" spans="1:29" ht="10.5" hidden="1">
      <c r="A1265" s="2">
        <f t="shared" si="435"/>
        <v>37</v>
      </c>
      <c r="B1265" s="2" t="str">
        <f>VLOOKUP($A1265,Controle!$B$4:$F$68,2,FALSE)</f>
        <v>Paracatu 5</v>
      </c>
      <c r="C1265" s="2" t="str">
        <f>VLOOKUP($A1265,Controle!$B$4:$F$68,3,FALSE)</f>
        <v xml:space="preserve">ESTRELA DO NORTE </v>
      </c>
      <c r="D1265" s="2" t="str">
        <f>VLOOKUP($A1265,Controle!$B$4:$F$68,4,FALSE)</f>
        <v>EDN</v>
      </c>
      <c r="E1265" s="2">
        <f>VLOOKUP($A1265,Controle!$B$4:$F$68,5,FALSE)</f>
        <v>3</v>
      </c>
      <c r="F1265" s="3" t="str">
        <f t="shared" si="431"/>
        <v>Construção - Serviços de Construção - Substituição</v>
      </c>
      <c r="G1265" s="2" t="str">
        <f>VLOOKUP($A1265,Controle!$B$4:$G$68,6,FALSE)</f>
        <v>Apolo</v>
      </c>
      <c r="H1265" s="6">
        <v>0</v>
      </c>
      <c r="I1265" s="6">
        <v>0</v>
      </c>
      <c r="J1265" s="6">
        <v>0</v>
      </c>
      <c r="K1265" s="6">
        <v>0</v>
      </c>
      <c r="L1265" s="6">
        <v>0</v>
      </c>
      <c r="M1265" s="6">
        <v>0</v>
      </c>
      <c r="N1265" s="6">
        <v>0</v>
      </c>
      <c r="O1265" s="4">
        <f t="shared" si="432"/>
        <v>0</v>
      </c>
      <c r="P1265" s="5">
        <f>SUMIFS('Desenvolvimento diário'!$H:$H,'Desenvolvimento diário'!$Q:$Q,$B1265,'Desenvolvimento diário'!$P:$P,$F1265,'Desenvolvimento diário'!$R:$R,"Sim")</f>
        <v>0</v>
      </c>
      <c r="Q1265" s="5">
        <f>SUMIFS('Desenvolvimento diário'!$H:$H,'Desenvolvimento diário'!$Q:$Q,$B1265,'Desenvolvimento diário'!$P:$P,$F1265,'Desenvolvimento diário'!$R:$R,"Não")</f>
        <v>0</v>
      </c>
      <c r="R1265" s="4">
        <f t="shared" si="433"/>
        <v>0</v>
      </c>
      <c r="S1265" s="4">
        <f t="shared" si="434"/>
        <v>0</v>
      </c>
      <c r="T1265" s="12">
        <f t="shared" si="421"/>
        <v>0</v>
      </c>
      <c r="Y1265" s="2"/>
      <c r="Z1265" s="2"/>
      <c r="AA1265" s="2"/>
      <c r="AB1265" s="2"/>
      <c r="AC1265" s="2"/>
    </row>
    <row r="1266" spans="1:29" ht="10.5" hidden="1">
      <c r="A1266" s="2">
        <f t="shared" si="435"/>
        <v>37</v>
      </c>
      <c r="B1266" s="2" t="str">
        <f>VLOOKUP($A1266,Controle!$B$4:$F$68,2,FALSE)</f>
        <v>Paracatu 5</v>
      </c>
      <c r="C1266" s="2" t="str">
        <f>VLOOKUP($A1266,Controle!$B$4:$F$68,3,FALSE)</f>
        <v xml:space="preserve">ESTRELA DO NORTE </v>
      </c>
      <c r="D1266" s="2" t="str">
        <f>VLOOKUP($A1266,Controle!$B$4:$F$68,4,FALSE)</f>
        <v>EDN</v>
      </c>
      <c r="E1266" s="2">
        <f>VLOOKUP($A1266,Controle!$B$4:$F$68,5,FALSE)</f>
        <v>3</v>
      </c>
      <c r="F1266" s="3" t="str">
        <f t="shared" si="431"/>
        <v>Construção - RDA Interno</v>
      </c>
      <c r="G1266" s="2" t="str">
        <f>VLOOKUP($A1266,Controle!$B$4:$G$68,6,FALSE)</f>
        <v>Apolo</v>
      </c>
      <c r="H1266" s="6" t="s">
        <v>168</v>
      </c>
      <c r="I1266" s="6">
        <f>740175.17-0.1</f>
        <v>740175.07000000007</v>
      </c>
      <c r="J1266" s="6">
        <v>0</v>
      </c>
      <c r="K1266" s="6">
        <v>0</v>
      </c>
      <c r="L1266" s="6">
        <v>0</v>
      </c>
      <c r="M1266" s="6">
        <v>0</v>
      </c>
      <c r="N1266" s="6">
        <v>0</v>
      </c>
      <c r="O1266" s="4">
        <f t="shared" si="432"/>
        <v>740175.07000000007</v>
      </c>
      <c r="P1266" s="5">
        <f>SUMIFS('Desenvolvimento diário'!$H:$H,'Desenvolvimento diário'!$Q:$Q,$B1266,'Desenvolvimento diário'!$P:$P,$F1266,'Desenvolvimento diário'!$R:$R,"Sim")</f>
        <v>194329.83000000002</v>
      </c>
      <c r="Q1266" s="5">
        <f>SUMIFS('Desenvolvimento diário'!$H:$H,'Desenvolvimento diário'!$Q:$Q,$B1266,'Desenvolvimento diário'!$P:$P,$F1266,'Desenvolvimento diário'!$R:$R,"Não")</f>
        <v>545845.24</v>
      </c>
      <c r="R1266" s="43">
        <f t="shared" si="433"/>
        <v>740175.07000000007</v>
      </c>
      <c r="S1266" s="137">
        <f t="shared" si="434"/>
        <v>0</v>
      </c>
      <c r="T1266" s="12">
        <f t="shared" si="421"/>
        <v>1</v>
      </c>
      <c r="Y1266" s="2"/>
      <c r="Z1266" s="2"/>
      <c r="AA1266" s="2"/>
      <c r="AB1266" s="2"/>
      <c r="AC1266" s="2"/>
    </row>
    <row r="1267" spans="1:29" ht="10.5" hidden="1">
      <c r="A1267" s="2">
        <f t="shared" si="435"/>
        <v>37</v>
      </c>
      <c r="B1267" s="2" t="str">
        <f>VLOOKUP($A1267,Controle!$B$4:$F$68,2,FALSE)</f>
        <v>Paracatu 5</v>
      </c>
      <c r="C1267" s="2" t="str">
        <f>VLOOKUP($A1267,Controle!$B$4:$F$68,3,FALSE)</f>
        <v xml:space="preserve">ESTRELA DO NORTE </v>
      </c>
      <c r="D1267" s="2" t="str">
        <f>VLOOKUP($A1267,Controle!$B$4:$F$68,4,FALSE)</f>
        <v>EDN</v>
      </c>
      <c r="E1267" s="2">
        <f>VLOOKUP($A1267,Controle!$B$4:$F$68,5,FALSE)</f>
        <v>3</v>
      </c>
      <c r="F1267" s="3" t="str">
        <f t="shared" si="431"/>
        <v>Full EPC - Contrato</v>
      </c>
      <c r="G1267" s="2" t="str">
        <f>VLOOKUP($A1267,Controle!$B$4:$G$68,6,FALSE)</f>
        <v>Apolo</v>
      </c>
      <c r="H1267" s="6">
        <v>0</v>
      </c>
      <c r="I1267" s="6">
        <v>0</v>
      </c>
      <c r="J1267" s="6">
        <v>0</v>
      </c>
      <c r="K1267" s="6">
        <v>0</v>
      </c>
      <c r="L1267" s="6">
        <v>0</v>
      </c>
      <c r="M1267" s="6">
        <v>0</v>
      </c>
      <c r="N1267" s="6">
        <v>0</v>
      </c>
      <c r="O1267" s="4">
        <f t="shared" si="432"/>
        <v>0</v>
      </c>
      <c r="P1267" s="5">
        <f>SUMIFS('Desenvolvimento diário'!$H:$H,'Desenvolvimento diário'!$Q:$Q,$B1267,'Desenvolvimento diário'!$P:$P,$F1267,'Desenvolvimento diário'!$R:$R,"Sim")</f>
        <v>0</v>
      </c>
      <c r="Q1267" s="5">
        <f>SUMIFS('Desenvolvimento diário'!$H:$H,'Desenvolvimento diário'!$Q:$Q,$B1267,'Desenvolvimento diário'!$P:$P,$F1267,'Desenvolvimento diário'!$R:$R,"Não")</f>
        <v>0</v>
      </c>
      <c r="R1267" s="4">
        <f t="shared" si="433"/>
        <v>0</v>
      </c>
      <c r="S1267" s="4">
        <f t="shared" si="434"/>
        <v>0</v>
      </c>
      <c r="T1267" s="12">
        <f t="shared" si="421"/>
        <v>0</v>
      </c>
      <c r="Y1267" s="2"/>
      <c r="Z1267" s="2"/>
      <c r="AA1267" s="2"/>
      <c r="AB1267" s="2"/>
      <c r="AC1267" s="2"/>
    </row>
    <row r="1268" spans="1:29" ht="10.5" hidden="1">
      <c r="A1268" s="2">
        <f t="shared" si="435"/>
        <v>37</v>
      </c>
      <c r="B1268" s="2" t="str">
        <f>VLOOKUP($A1268,Controle!$B$4:$F$68,2,FALSE)</f>
        <v>Paracatu 5</v>
      </c>
      <c r="C1268" s="2" t="str">
        <f>VLOOKUP($A1268,Controle!$B$4:$F$68,3,FALSE)</f>
        <v xml:space="preserve">ESTRELA DO NORTE </v>
      </c>
      <c r="D1268" s="2" t="str">
        <f>VLOOKUP($A1268,Controle!$B$4:$F$68,4,FALSE)</f>
        <v>EDN</v>
      </c>
      <c r="E1268" s="2">
        <f>VLOOKUP($A1268,Controle!$B$4:$F$68,5,FALSE)</f>
        <v>3</v>
      </c>
      <c r="F1268" s="3" t="str">
        <f t="shared" si="431"/>
        <v>Equipamentos Curva A - Outros (Transformadores)</v>
      </c>
      <c r="G1268" s="2" t="str">
        <f>VLOOKUP($A1268,Controle!$B$4:$G$68,6,FALSE)</f>
        <v>Apolo</v>
      </c>
      <c r="H1268" s="28" t="s">
        <v>144</v>
      </c>
      <c r="I1268" s="28">
        <v>269053.46999999997</v>
      </c>
      <c r="J1268" s="6">
        <v>0</v>
      </c>
      <c r="K1268" s="6">
        <v>0</v>
      </c>
      <c r="L1268" s="6">
        <v>0</v>
      </c>
      <c r="M1268" s="6">
        <v>0</v>
      </c>
      <c r="N1268" s="6">
        <v>0</v>
      </c>
      <c r="O1268" s="4">
        <f t="shared" si="432"/>
        <v>269053.46999999997</v>
      </c>
      <c r="P1268" s="5">
        <f>SUMIFS('Desenvolvimento diário'!$H:$H,'Desenvolvimento diário'!$Q:$Q,$B1268,'Desenvolvimento diário'!$P:$P,$F1268,'Desenvolvimento diário'!$R:$R,"Sim")</f>
        <v>0</v>
      </c>
      <c r="Q1268" s="5">
        <f>SUMIFS('Desenvolvimento diário'!$H:$H,'Desenvolvimento diário'!$Q:$Q,$B1268,'Desenvolvimento diário'!$P:$P,$F1268,'Desenvolvimento diário'!$R:$R,"Não")</f>
        <v>269053.46999999997</v>
      </c>
      <c r="R1268" s="4">
        <f t="shared" si="433"/>
        <v>269053.46999999997</v>
      </c>
      <c r="S1268" s="4">
        <f t="shared" si="434"/>
        <v>0</v>
      </c>
      <c r="T1268" s="12">
        <f t="shared" si="421"/>
        <v>1</v>
      </c>
      <c r="Y1268" s="2"/>
      <c r="Z1268" s="2"/>
      <c r="AA1268" s="2"/>
      <c r="AB1268" s="2"/>
      <c r="AC1268" s="2"/>
    </row>
    <row r="1269" spans="1:29" ht="10.5" hidden="1">
      <c r="A1269" s="2">
        <f t="shared" si="435"/>
        <v>37</v>
      </c>
      <c r="B1269" s="2" t="str">
        <f>VLOOKUP($A1269,Controle!$B$4:$F$68,2,FALSE)</f>
        <v>Paracatu 5</v>
      </c>
      <c r="C1269" s="2" t="str">
        <f>VLOOKUP($A1269,Controle!$B$4:$F$68,3,FALSE)</f>
        <v xml:space="preserve">ESTRELA DO NORTE </v>
      </c>
      <c r="D1269" s="2" t="str">
        <f>VLOOKUP($A1269,Controle!$B$4:$F$68,4,FALSE)</f>
        <v>EDN</v>
      </c>
      <c r="E1269" s="2">
        <f>VLOOKUP($A1269,Controle!$B$4:$F$68,5,FALSE)</f>
        <v>3</v>
      </c>
      <c r="F1269" s="3" t="str">
        <f t="shared" si="431"/>
        <v>Equipamentos Curva A - Outros (Cabine + Skid)</v>
      </c>
      <c r="G1269" s="2" t="str">
        <f>VLOOKUP($A1269,Controle!$B$4:$G$68,6,FALSE)</f>
        <v>Apolo</v>
      </c>
      <c r="H1269" s="28" t="s">
        <v>196</v>
      </c>
      <c r="I1269" s="28">
        <v>702186.35</v>
      </c>
      <c r="J1269" s="6">
        <v>6454.39</v>
      </c>
      <c r="K1269" s="6">
        <v>0</v>
      </c>
      <c r="L1269" s="6">
        <v>0</v>
      </c>
      <c r="M1269" s="6">
        <v>0</v>
      </c>
      <c r="N1269" s="6">
        <v>0</v>
      </c>
      <c r="O1269" s="4">
        <f t="shared" si="432"/>
        <v>708640.74</v>
      </c>
      <c r="P1269" s="5">
        <f>SUMIFS('Desenvolvimento diário'!$H:$H,'Desenvolvimento diário'!$Q:$Q,$B1269,'Desenvolvimento diário'!$P:$P,$F1269,'Desenvolvimento diário'!$R:$R,"Sim")</f>
        <v>0</v>
      </c>
      <c r="Q1269" s="5">
        <f>SUMIFS('Desenvolvimento diário'!$H:$H,'Desenvolvimento diário'!$Q:$Q,$B1269,'Desenvolvimento diário'!$P:$P,$F1269,'Desenvolvimento diário'!$R:$R,"Não")</f>
        <v>708640.74</v>
      </c>
      <c r="R1269" s="4">
        <f t="shared" si="433"/>
        <v>708640.74</v>
      </c>
      <c r="S1269" s="195">
        <f t="shared" si="434"/>
        <v>0</v>
      </c>
      <c r="T1269" s="12">
        <f t="shared" si="421"/>
        <v>1</v>
      </c>
      <c r="Y1269" s="2"/>
      <c r="Z1269" s="2"/>
      <c r="AA1269" s="2"/>
      <c r="AB1269" s="2"/>
      <c r="AC1269" s="2"/>
    </row>
    <row r="1270" spans="1:29" ht="10.5" hidden="1">
      <c r="A1270" s="2">
        <f t="shared" si="435"/>
        <v>37</v>
      </c>
      <c r="B1270" s="2" t="str">
        <f>VLOOKUP($A1270,Controle!$B$4:$F$68,2,FALSE)</f>
        <v>Paracatu 5</v>
      </c>
      <c r="C1270" s="2" t="str">
        <f>VLOOKUP($A1270,Controle!$B$4:$F$68,3,FALSE)</f>
        <v xml:space="preserve">ESTRELA DO NORTE </v>
      </c>
      <c r="D1270" s="2" t="str">
        <f>VLOOKUP($A1270,Controle!$B$4:$F$68,4,FALSE)</f>
        <v>EDN</v>
      </c>
      <c r="E1270" s="2">
        <f>VLOOKUP($A1270,Controle!$B$4:$F$68,5,FALSE)</f>
        <v>3</v>
      </c>
      <c r="F1270" s="3" t="str">
        <f t="shared" si="431"/>
        <v>Equipamentos Curva A - Outros (Cabine + Skid + Transformador)</v>
      </c>
      <c r="G1270" s="2" t="str">
        <f>VLOOKUP($A1270,Controle!$B$4:$G$68,6,FALSE)</f>
        <v>Apolo</v>
      </c>
      <c r="H1270" s="28">
        <v>0</v>
      </c>
      <c r="I1270" s="28">
        <v>0</v>
      </c>
      <c r="J1270" s="6">
        <v>0</v>
      </c>
      <c r="K1270" s="6">
        <v>0</v>
      </c>
      <c r="L1270" s="6">
        <v>0</v>
      </c>
      <c r="M1270" s="6">
        <v>0</v>
      </c>
      <c r="N1270" s="6">
        <v>0</v>
      </c>
      <c r="O1270" s="4">
        <f t="shared" si="432"/>
        <v>0</v>
      </c>
      <c r="P1270" s="5">
        <f>SUMIFS('Desenvolvimento diário'!$H:$H,'Desenvolvimento diário'!$Q:$Q,$B1270,'Desenvolvimento diário'!$P:$P,$F1270,'Desenvolvimento diário'!$R:$R,"Sim")</f>
        <v>0</v>
      </c>
      <c r="Q1270" s="5">
        <f>SUMIFS('Desenvolvimento diário'!$H:$H,'Desenvolvimento diário'!$Q:$Q,$B1270,'Desenvolvimento diário'!$P:$P,$F1270,'Desenvolvimento diário'!$R:$R,"Não")</f>
        <v>0</v>
      </c>
      <c r="R1270" s="4">
        <f t="shared" si="433"/>
        <v>0</v>
      </c>
      <c r="S1270" s="4">
        <f t="shared" si="434"/>
        <v>0</v>
      </c>
      <c r="T1270" s="12">
        <f t="shared" si="421"/>
        <v>0</v>
      </c>
      <c r="Y1270" s="2"/>
      <c r="Z1270" s="2"/>
      <c r="AA1270" s="2"/>
      <c r="AB1270" s="2"/>
      <c r="AC1270" s="2"/>
    </row>
    <row r="1271" spans="1:29" ht="10.5" hidden="1">
      <c r="A1271" s="2">
        <f t="shared" si="435"/>
        <v>37</v>
      </c>
      <c r="B1271" s="2" t="str">
        <f>VLOOKUP($A1271,Controle!$B$4:$F$68,2,FALSE)</f>
        <v>Paracatu 5</v>
      </c>
      <c r="C1271" s="2" t="str">
        <f>VLOOKUP($A1271,Controle!$B$4:$F$68,3,FALSE)</f>
        <v xml:space="preserve">ESTRELA DO NORTE </v>
      </c>
      <c r="D1271" s="2" t="str">
        <f>VLOOKUP($A1271,Controle!$B$4:$F$68,4,FALSE)</f>
        <v>EDN</v>
      </c>
      <c r="E1271" s="2">
        <f>VLOOKUP($A1271,Controle!$B$4:$F$68,5,FALSE)</f>
        <v>3</v>
      </c>
      <c r="F1271" s="3" t="str">
        <f t="shared" si="431"/>
        <v>Desenvolvimento de projeto - Projetos - (Eng° Proprietario)</v>
      </c>
      <c r="G1271" s="2" t="str">
        <f>VLOOKUP($A1271,Controle!$B$4:$G$68,6,FALSE)</f>
        <v>Apolo</v>
      </c>
      <c r="H1271" s="6">
        <v>0</v>
      </c>
      <c r="I1271" s="6">
        <v>0</v>
      </c>
      <c r="J1271" s="6">
        <v>0</v>
      </c>
      <c r="K1271" s="6">
        <v>0</v>
      </c>
      <c r="L1271" s="6">
        <v>0</v>
      </c>
      <c r="M1271" s="6">
        <v>0</v>
      </c>
      <c r="N1271" s="6">
        <v>0</v>
      </c>
      <c r="O1271" s="4">
        <f t="shared" si="432"/>
        <v>0</v>
      </c>
      <c r="P1271" s="5">
        <f>SUMIFS('Desenvolvimento diário'!$H:$H,'Desenvolvimento diário'!$Q:$Q,$B1271,'Desenvolvimento diário'!$P:$P,$F1271,'Desenvolvimento diário'!$R:$R,"Sim")</f>
        <v>0</v>
      </c>
      <c r="Q1271" s="5">
        <f>SUMIFS('Desenvolvimento diário'!$H:$H,'Desenvolvimento diário'!$Q:$Q,$B1271,'Desenvolvimento diário'!$P:$P,$F1271,'Desenvolvimento diário'!$R:$R,"Não")</f>
        <v>0</v>
      </c>
      <c r="R1271" s="4">
        <f t="shared" si="433"/>
        <v>0</v>
      </c>
      <c r="S1271" s="4">
        <f t="shared" si="434"/>
        <v>0</v>
      </c>
      <c r="T1271" s="12">
        <f t="shared" si="421"/>
        <v>0</v>
      </c>
      <c r="Y1271" s="2"/>
      <c r="Z1271" s="2"/>
      <c r="AA1271" s="2"/>
      <c r="AB1271" s="2"/>
      <c r="AC1271" s="2"/>
    </row>
    <row r="1272" spans="1:29" ht="10.5" hidden="1">
      <c r="A1272" s="2">
        <f>A1271</f>
        <v>37</v>
      </c>
      <c r="B1272" s="2" t="str">
        <f>VLOOKUP($A1272,Controle!$B$4:$F$68,2,FALSE)</f>
        <v>Paracatu 5</v>
      </c>
      <c r="C1272" s="2" t="str">
        <f>VLOOKUP($A1272,Controle!$B$4:$F$68,3,FALSE)</f>
        <v xml:space="preserve">ESTRELA DO NORTE </v>
      </c>
      <c r="D1272" s="2" t="str">
        <f>VLOOKUP($A1272,Controle!$B$4:$F$68,4,FALSE)</f>
        <v>EDN</v>
      </c>
      <c r="E1272" s="2">
        <f>VLOOKUP($A1272,Controle!$B$4:$F$68,5,FALSE)</f>
        <v>3</v>
      </c>
      <c r="F1272" s="3" t="str">
        <f t="shared" si="431"/>
        <v>Desenvolvimento de projeto - Projetos - Executivos</v>
      </c>
      <c r="G1272" s="2" t="str">
        <f>VLOOKUP($A1272,Controle!$B$4:$G$68,6,FALSE)</f>
        <v>Apolo</v>
      </c>
      <c r="H1272" s="6" t="s">
        <v>146</v>
      </c>
      <c r="I1272" s="6">
        <v>71000</v>
      </c>
      <c r="J1272" s="6">
        <v>3000</v>
      </c>
      <c r="K1272" s="6">
        <v>5000</v>
      </c>
      <c r="L1272" s="6">
        <v>0</v>
      </c>
      <c r="M1272" s="6">
        <v>0</v>
      </c>
      <c r="N1272" s="6">
        <v>0</v>
      </c>
      <c r="O1272" s="4">
        <f t="shared" si="432"/>
        <v>79000</v>
      </c>
      <c r="P1272" s="5">
        <f>SUMIFS('Desenvolvimento diário'!$H:$H,'Desenvolvimento diário'!$Q:$Q,$B1272,'Desenvolvimento diário'!$P:$P,$F1272,'Desenvolvimento diário'!$R:$R,"Sim")</f>
        <v>0</v>
      </c>
      <c r="Q1272" s="5">
        <f>SUMIFS('Desenvolvimento diário'!$H:$H,'Desenvolvimento diário'!$Q:$Q,$B1272,'Desenvolvimento diário'!$P:$P,$F1272,'Desenvolvimento diário'!$R:$R,"Não")</f>
        <v>79000</v>
      </c>
      <c r="R1272" s="4">
        <f t="shared" si="433"/>
        <v>79000</v>
      </c>
      <c r="S1272" s="4">
        <f t="shared" si="434"/>
        <v>0</v>
      </c>
      <c r="T1272" s="12">
        <f t="shared" si="421"/>
        <v>1</v>
      </c>
      <c r="Y1272" s="2"/>
      <c r="Z1272" s="2"/>
      <c r="AA1272" s="2"/>
      <c r="AB1272" s="2"/>
      <c r="AC1272" s="2"/>
    </row>
    <row r="1273" spans="1:29" ht="10.5" hidden="1">
      <c r="A1273" s="2">
        <f t="shared" si="435"/>
        <v>37</v>
      </c>
      <c r="B1273" s="2" t="str">
        <f>VLOOKUP($A1273,Controle!$B$4:$F$68,2,FALSE)</f>
        <v>Paracatu 5</v>
      </c>
      <c r="C1273" s="2" t="str">
        <f>VLOOKUP($A1273,Controle!$B$4:$F$68,3,FALSE)</f>
        <v xml:space="preserve">ESTRELA DO NORTE </v>
      </c>
      <c r="D1273" s="2" t="str">
        <f>VLOOKUP($A1273,Controle!$B$4:$F$68,4,FALSE)</f>
        <v>EDN</v>
      </c>
      <c r="E1273" s="2">
        <f>VLOOKUP($A1273,Controle!$B$4:$F$68,5,FALSE)</f>
        <v>3</v>
      </c>
      <c r="F1273" s="3" t="str">
        <f>F1238</f>
        <v>Desenvolvimento de projeto - Projetos Básica</v>
      </c>
      <c r="G1273" s="2" t="str">
        <f>VLOOKUP($A1273,Controle!$B$4:$G$68,6,FALSE)</f>
        <v>Apolo</v>
      </c>
      <c r="H1273" s="6">
        <v>0</v>
      </c>
      <c r="I1273" s="6">
        <v>0</v>
      </c>
      <c r="J1273" s="6">
        <v>0</v>
      </c>
      <c r="K1273" s="6">
        <v>0</v>
      </c>
      <c r="L1273" s="6">
        <v>0</v>
      </c>
      <c r="M1273" s="6">
        <v>0</v>
      </c>
      <c r="N1273" s="6">
        <v>0</v>
      </c>
      <c r="O1273" s="4">
        <f t="shared" si="432"/>
        <v>0</v>
      </c>
      <c r="P1273" s="5">
        <f>SUMIFS('Desenvolvimento diário'!$H:$H,'Desenvolvimento diário'!$Q:$Q,$B1273,'Desenvolvimento diário'!$P:$P,$F1273,'Desenvolvimento diário'!$R:$R,"Sim")</f>
        <v>0</v>
      </c>
      <c r="Q1273" s="5">
        <f>SUMIFS('Desenvolvimento diário'!$H:$H,'Desenvolvimento diário'!$Q:$Q,$B1273,'Desenvolvimento diário'!$P:$P,$F1273,'Desenvolvimento diário'!$R:$R,"Não")</f>
        <v>0</v>
      </c>
      <c r="R1273" s="4">
        <f t="shared" si="433"/>
        <v>0</v>
      </c>
      <c r="S1273" s="4">
        <f t="shared" si="434"/>
        <v>0</v>
      </c>
      <c r="T1273" s="12">
        <f t="shared" si="421"/>
        <v>0</v>
      </c>
      <c r="Y1273" s="2"/>
      <c r="Z1273" s="2"/>
      <c r="AA1273" s="2"/>
      <c r="AB1273" s="2"/>
      <c r="AC1273" s="2"/>
    </row>
    <row r="1274" spans="1:29" ht="10.5" hidden="1">
      <c r="A1274" s="2">
        <f t="shared" si="435"/>
        <v>37</v>
      </c>
      <c r="B1274" s="2" t="str">
        <f>VLOOKUP($A1274,Controle!$B$4:$F$68,2,FALSE)</f>
        <v>Paracatu 5</v>
      </c>
      <c r="C1274" s="2" t="str">
        <f>VLOOKUP($A1274,Controle!$B$4:$F$68,3,FALSE)</f>
        <v xml:space="preserve">ESTRELA DO NORTE </v>
      </c>
      <c r="D1274" s="2" t="str">
        <f>VLOOKUP($A1274,Controle!$B$4:$F$68,4,FALSE)</f>
        <v>EDN</v>
      </c>
      <c r="E1274" s="2">
        <f>VLOOKUP($A1274,Controle!$B$4:$F$68,5,FALSE)</f>
        <v>3</v>
      </c>
      <c r="F1274" s="3" t="str">
        <f>F1239</f>
        <v>Desenvolvimento de projeto - Projetos Detalhada</v>
      </c>
      <c r="G1274" s="2" t="str">
        <f>VLOOKUP($A1274,Controle!$B$4:$G$68,6,FALSE)</f>
        <v>Apolo</v>
      </c>
      <c r="H1274" s="6">
        <v>0</v>
      </c>
      <c r="I1274" s="6">
        <v>0</v>
      </c>
      <c r="J1274" s="6">
        <v>0</v>
      </c>
      <c r="K1274" s="6">
        <v>0</v>
      </c>
      <c r="L1274" s="6">
        <v>0</v>
      </c>
      <c r="M1274" s="6">
        <v>0</v>
      </c>
      <c r="N1274" s="6">
        <v>0</v>
      </c>
      <c r="O1274" s="4">
        <f t="shared" si="432"/>
        <v>0</v>
      </c>
      <c r="P1274" s="5">
        <f>SUMIFS('Desenvolvimento diário'!$H:$H,'Desenvolvimento diário'!$Q:$Q,$B1274,'Desenvolvimento diário'!$P:$P,$F1274,'Desenvolvimento diário'!$R:$R,"Sim")</f>
        <v>0</v>
      </c>
      <c r="Q1274" s="5">
        <f>SUMIFS('Desenvolvimento diário'!$H:$H,'Desenvolvimento diário'!$Q:$Q,$B1274,'Desenvolvimento diário'!$P:$P,$F1274,'Desenvolvimento diário'!$R:$R,"Não")</f>
        <v>0</v>
      </c>
      <c r="R1274" s="4">
        <f t="shared" si="433"/>
        <v>0</v>
      </c>
      <c r="S1274" s="4">
        <f t="shared" si="434"/>
        <v>0</v>
      </c>
      <c r="T1274" s="12">
        <f t="shared" si="421"/>
        <v>0</v>
      </c>
      <c r="Y1274" s="2"/>
      <c r="Z1274" s="2"/>
      <c r="AA1274" s="2"/>
      <c r="AB1274" s="2"/>
      <c r="AC1274" s="2"/>
    </row>
    <row r="1275" spans="1:29" ht="10.5" hidden="1">
      <c r="A1275" s="2">
        <f t="shared" si="435"/>
        <v>37</v>
      </c>
      <c r="B1275" s="2" t="str">
        <f>VLOOKUP($A1275,Controle!$B$4:$F$68,2,FALSE)</f>
        <v>Paracatu 5</v>
      </c>
      <c r="C1275" s="2" t="str">
        <f>VLOOKUP($A1275,Controle!$B$4:$F$68,3,FALSE)</f>
        <v xml:space="preserve">ESTRELA DO NORTE </v>
      </c>
      <c r="D1275" s="2" t="str">
        <f>VLOOKUP($A1275,Controle!$B$4:$F$68,4,FALSE)</f>
        <v>EDN</v>
      </c>
      <c r="E1275" s="2">
        <f>VLOOKUP($A1275,Controle!$B$4:$F$68,5,FALSE)</f>
        <v>3</v>
      </c>
      <c r="F1275" s="3" t="str">
        <f>F1240</f>
        <v>Desenvolvimento de projeto - Ambiental / Outros</v>
      </c>
      <c r="G1275" s="2" t="str">
        <f>VLOOKUP($A1275,Controle!$B$4:$G$68,6,FALSE)</f>
        <v>Apolo</v>
      </c>
      <c r="H1275" s="6" t="s">
        <v>148</v>
      </c>
      <c r="I1275" s="6">
        <f>R1275</f>
        <v>82747.285000000003</v>
      </c>
      <c r="J1275" s="6">
        <v>0</v>
      </c>
      <c r="K1275" s="6">
        <v>0</v>
      </c>
      <c r="L1275" s="6">
        <v>0</v>
      </c>
      <c r="M1275" s="6">
        <v>0</v>
      </c>
      <c r="N1275" s="6">
        <v>0</v>
      </c>
      <c r="O1275" s="4">
        <f t="shared" si="432"/>
        <v>82747.285000000003</v>
      </c>
      <c r="P1275" s="5">
        <f>SUMIFS('Desenvolvimento diário'!$H:$H,'Desenvolvimento diário'!$Q:$Q,$B1275,'Desenvolvimento diário'!$P:$P,$F1275,'Desenvolvimento diário'!$R:$R,"Sim")</f>
        <v>0</v>
      </c>
      <c r="Q1275" s="5">
        <f>SUMIFS('Desenvolvimento diário'!$H:$H,'Desenvolvimento diário'!$Q:$Q,$B1275,'Desenvolvimento diário'!$P:$P,$F1275,'Desenvolvimento diário'!$R:$R,"Não")</f>
        <v>82747.285000000003</v>
      </c>
      <c r="R1275" s="4">
        <f t="shared" si="433"/>
        <v>82747.285000000003</v>
      </c>
      <c r="S1275" s="4">
        <f t="shared" si="434"/>
        <v>0</v>
      </c>
      <c r="T1275" s="12">
        <f t="shared" si="421"/>
        <v>1</v>
      </c>
      <c r="Y1275" s="2"/>
      <c r="Z1275" s="2"/>
      <c r="AA1275" s="2"/>
      <c r="AB1275" s="2"/>
      <c r="AC1275" s="2"/>
    </row>
    <row r="1276" spans="1:29" hidden="1">
      <c r="A1276" s="2">
        <f t="shared" si="435"/>
        <v>37</v>
      </c>
      <c r="B1276" s="2" t="str">
        <f>VLOOKUP($A1276,Controle!$B$4:$F$68,2,FALSE)</f>
        <v>Paracatu 5</v>
      </c>
      <c r="C1276" s="2" t="str">
        <f>VLOOKUP($A1276,Controle!$B$4:$F$68,3,FALSE)</f>
        <v xml:space="preserve">ESTRELA DO NORTE </v>
      </c>
      <c r="D1276" s="2" t="str">
        <f>VLOOKUP($A1276,Controle!$B$4:$F$68,4,FALSE)</f>
        <v>EDN</v>
      </c>
      <c r="E1276" s="2">
        <f>VLOOKUP($A1276,Controle!$B$4:$F$68,5,FALSE)</f>
        <v>3</v>
      </c>
      <c r="F1276" s="3" t="str">
        <f>F1241</f>
        <v>Desenvolvimento de projeto - Coordenograma</v>
      </c>
      <c r="G1276" s="2" t="str">
        <f>VLOOKUP($A1276,Controle!$B$4:$G$68,6,FALSE)</f>
        <v>Apolo</v>
      </c>
      <c r="H1276" s="31" t="s">
        <v>149</v>
      </c>
      <c r="I1276" s="31">
        <v>6206.9</v>
      </c>
      <c r="J1276" s="31">
        <v>0</v>
      </c>
      <c r="K1276" s="31">
        <v>0</v>
      </c>
      <c r="L1276" s="6">
        <v>0</v>
      </c>
      <c r="M1276" s="6">
        <v>0</v>
      </c>
      <c r="N1276" s="6">
        <v>0</v>
      </c>
      <c r="O1276" s="4">
        <f t="shared" si="432"/>
        <v>6206.9</v>
      </c>
      <c r="P1276" s="5">
        <f>SUMIFS('Desenvolvimento diário'!$H:$H,'Desenvolvimento diário'!$Q:$Q,$B1276,'Desenvolvimento diário'!$P:$P,$F1276,'Desenvolvimento diário'!$R:$R,"Sim")</f>
        <v>0</v>
      </c>
      <c r="Q1276" s="5">
        <f>SUMIFS('Desenvolvimento diário'!$H:$H,'Desenvolvimento diário'!$Q:$Q,$B1276,'Desenvolvimento diário'!$P:$P,$F1276,'Desenvolvimento diário'!$R:$R,"Não")</f>
        <v>6206.9</v>
      </c>
      <c r="R1276" s="4">
        <f t="shared" si="433"/>
        <v>6206.9</v>
      </c>
      <c r="S1276" s="93">
        <f t="shared" si="434"/>
        <v>0</v>
      </c>
      <c r="T1276" s="12">
        <f t="shared" si="421"/>
        <v>1</v>
      </c>
      <c r="Y1276" s="2"/>
      <c r="Z1276" s="2"/>
      <c r="AA1276" s="2"/>
      <c r="AB1276" s="2"/>
      <c r="AC1276" s="2"/>
    </row>
    <row r="1277" spans="1:29" ht="10.5" hidden="1">
      <c r="A1277" s="2">
        <f t="shared" si="435"/>
        <v>37</v>
      </c>
      <c r="B1277" s="2" t="str">
        <f>VLOOKUP($A1277,Controle!$B$4:$F$68,2,FALSE)</f>
        <v>Paracatu 5</v>
      </c>
      <c r="C1277" s="2" t="str">
        <f>VLOOKUP($A1277,Controle!$B$4:$F$68,3,FALSE)</f>
        <v xml:space="preserve">ESTRELA DO NORTE </v>
      </c>
      <c r="D1277" s="2" t="str">
        <f>VLOOKUP($A1277,Controle!$B$4:$F$68,4,FALSE)</f>
        <v>EDN</v>
      </c>
      <c r="E1277" s="2">
        <f>VLOOKUP($A1277,Controle!$B$4:$F$68,5,FALSE)</f>
        <v>3</v>
      </c>
      <c r="F1277" s="3" t="str">
        <f>F1242</f>
        <v>Sistemas de Monitoramento - Supervisório</v>
      </c>
      <c r="G1277" s="2" t="str">
        <f>VLOOKUP($A1277,Controle!$B$4:$G$68,6,FALSE)</f>
        <v>Apolo</v>
      </c>
      <c r="H1277" s="6" t="s">
        <v>150</v>
      </c>
      <c r="I1277" s="6">
        <f>136155+(0.01)</f>
        <v>136155.01</v>
      </c>
      <c r="J1277" s="6"/>
      <c r="K1277" s="6">
        <v>0</v>
      </c>
      <c r="L1277" s="6">
        <v>0</v>
      </c>
      <c r="M1277" s="6">
        <v>0</v>
      </c>
      <c r="N1277" s="6">
        <v>0</v>
      </c>
      <c r="O1277" s="4">
        <f t="shared" si="432"/>
        <v>136155.01</v>
      </c>
      <c r="P1277" s="5">
        <f>SUMIFS('Desenvolvimento diário'!$H:$H,'Desenvolvimento diário'!$Q:$Q,$B1277,'Desenvolvimento diário'!$P:$P,$F1277,'Desenvolvimento diário'!$R:$R,"Sim")</f>
        <v>5821.02</v>
      </c>
      <c r="Q1277" s="5">
        <f>SUMIFS('Desenvolvimento diário'!$H:$H,'Desenvolvimento diário'!$Q:$Q,$B1277,'Desenvolvimento diário'!$P:$P,$F1277,'Desenvolvimento diário'!$R:$R,"Não")</f>
        <v>130333.99</v>
      </c>
      <c r="R1277" s="4">
        <f t="shared" si="433"/>
        <v>136155.01</v>
      </c>
      <c r="S1277" s="137">
        <f t="shared" si="434"/>
        <v>0</v>
      </c>
      <c r="T1277" s="12">
        <f t="shared" si="421"/>
        <v>1</v>
      </c>
      <c r="Y1277" s="2"/>
      <c r="Z1277" s="2"/>
      <c r="AA1277" s="2"/>
      <c r="AB1277" s="2"/>
      <c r="AC1277" s="2"/>
    </row>
    <row r="1278" spans="1:29" ht="10.5" hidden="1">
      <c r="A1278" s="2">
        <f t="shared" si="435"/>
        <v>37</v>
      </c>
      <c r="B1278" s="2" t="str">
        <f>VLOOKUP($A1278,Controle!$B$4:$F$68,2,FALSE)</f>
        <v>Paracatu 5</v>
      </c>
      <c r="C1278" s="2" t="str">
        <f>VLOOKUP($A1278,Controle!$B$4:$F$68,3,FALSE)</f>
        <v xml:space="preserve">ESTRELA DO NORTE </v>
      </c>
      <c r="D1278" s="2" t="str">
        <f>VLOOKUP($A1278,Controle!$B$4:$F$68,4,FALSE)</f>
        <v>EDN</v>
      </c>
      <c r="E1278" s="2">
        <f>VLOOKUP($A1278,Controle!$B$4:$F$68,5,FALSE)</f>
        <v>3</v>
      </c>
      <c r="F1278" s="3" t="str">
        <f>F1243</f>
        <v>Sistemas de Monitoramento - Estações Solarimétricas</v>
      </c>
      <c r="G1278" s="2" t="str">
        <f>VLOOKUP($A1278,Controle!$B$4:$G$68,6,FALSE)</f>
        <v>Apolo</v>
      </c>
      <c r="H1278" s="28" t="s">
        <v>151</v>
      </c>
      <c r="I1278" s="28">
        <v>48276.516000000003</v>
      </c>
      <c r="J1278" s="6">
        <v>0</v>
      </c>
      <c r="K1278" s="6">
        <v>0</v>
      </c>
      <c r="L1278" s="6">
        <v>0</v>
      </c>
      <c r="M1278" s="6">
        <v>0</v>
      </c>
      <c r="N1278" s="6">
        <v>0</v>
      </c>
      <c r="O1278" s="4">
        <f t="shared" si="432"/>
        <v>48276.516000000003</v>
      </c>
      <c r="P1278" s="5">
        <f>SUMIFS('Desenvolvimento diário'!$H:$H,'Desenvolvimento diário'!$Q:$Q,$B1278,'Desenvolvimento diário'!$P:$P,$F1278,'Desenvolvimento diário'!$R:$R,"Sim")</f>
        <v>0</v>
      </c>
      <c r="Q1278" s="5">
        <f>SUMIFS('Desenvolvimento diário'!$H:$H,'Desenvolvimento diário'!$Q:$Q,$B1278,'Desenvolvimento diário'!$P:$P,$F1278,'Desenvolvimento diário'!$R:$R,"Não")</f>
        <v>48276.516000000003</v>
      </c>
      <c r="R1278" s="4">
        <f t="shared" si="433"/>
        <v>48276.516000000003</v>
      </c>
      <c r="S1278" s="4">
        <f t="shared" si="434"/>
        <v>0</v>
      </c>
      <c r="T1278" s="12">
        <f t="shared" si="421"/>
        <v>1</v>
      </c>
      <c r="Y1278" s="2"/>
      <c r="Z1278" s="2"/>
      <c r="AA1278" s="2"/>
      <c r="AB1278" s="2"/>
      <c r="AC1278" s="2"/>
    </row>
    <row r="1279" spans="1:29" hidden="1">
      <c r="A1279" s="2">
        <f t="shared" si="435"/>
        <v>37</v>
      </c>
      <c r="B1279" s="2" t="str">
        <f>VLOOKUP($A1279,Controle!$B$4:$F$68,2,FALSE)</f>
        <v>Paracatu 5</v>
      </c>
      <c r="C1279" s="2" t="str">
        <f>VLOOKUP($A1279,Controle!$B$4:$F$68,3,FALSE)</f>
        <v xml:space="preserve">ESTRELA DO NORTE </v>
      </c>
      <c r="D1279" s="2" t="str">
        <f>VLOOKUP($A1279,Controle!$B$4:$F$68,4,FALSE)</f>
        <v>EDN</v>
      </c>
      <c r="E1279" s="2">
        <f>VLOOKUP($A1279,Controle!$B$4:$F$68,5,FALSE)</f>
        <v>3</v>
      </c>
      <c r="F1279" s="3" t="str">
        <f>F1244</f>
        <v>Sistemas de Monitoramento - CFTV</v>
      </c>
      <c r="G1279" s="2" t="str">
        <f>VLOOKUP($A1279,Controle!$B$4:$G$68,6,FALSE)</f>
        <v>Apolo</v>
      </c>
      <c r="H1279" s="31" t="s">
        <v>152</v>
      </c>
      <c r="I1279" s="6">
        <f>285467.13-35787.77</f>
        <v>249679.36000000002</v>
      </c>
      <c r="J1279" s="29"/>
      <c r="K1279" s="6">
        <v>0</v>
      </c>
      <c r="L1279" s="6">
        <v>0</v>
      </c>
      <c r="M1279" s="6">
        <v>0</v>
      </c>
      <c r="N1279" s="6">
        <v>0</v>
      </c>
      <c r="O1279" s="4">
        <f t="shared" si="432"/>
        <v>249679.36000000002</v>
      </c>
      <c r="P1279" s="5">
        <f>SUMIFS('Desenvolvimento diário'!$H:$H,'Desenvolvimento diário'!$Q:$Q,$B1279,'Desenvolvimento diário'!$P:$P,$F1279,'Desenvolvimento diário'!$R:$R,"Sim")</f>
        <v>0</v>
      </c>
      <c r="Q1279" s="5">
        <f>SUMIFS('Desenvolvimento diário'!$H:$H,'Desenvolvimento diário'!$Q:$Q,$B1279,'Desenvolvimento diário'!$P:$P,$F1279,'Desenvolvimento diário'!$R:$R,"Não")</f>
        <v>249679.35999999999</v>
      </c>
      <c r="R1279" s="4">
        <f t="shared" si="433"/>
        <v>249679.35999999999</v>
      </c>
      <c r="S1279" s="4">
        <f t="shared" si="434"/>
        <v>0</v>
      </c>
      <c r="T1279" s="12">
        <f t="shared" si="421"/>
        <v>0.99999999999999989</v>
      </c>
      <c r="Y1279" s="2"/>
      <c r="Z1279" s="2"/>
      <c r="AA1279" s="2"/>
      <c r="AB1279" s="2"/>
      <c r="AC1279" s="2"/>
    </row>
    <row r="1280" spans="1:29" ht="10.5" hidden="1">
      <c r="A1280" s="2">
        <f t="shared" si="435"/>
        <v>37</v>
      </c>
      <c r="B1280" s="2" t="str">
        <f>VLOOKUP($A1280,Controle!$B$4:$F$68,2,FALSE)</f>
        <v>Paracatu 5</v>
      </c>
      <c r="C1280" s="2" t="str">
        <f>VLOOKUP($A1280,Controle!$B$4:$F$68,3,FALSE)</f>
        <v xml:space="preserve">ESTRELA DO NORTE </v>
      </c>
      <c r="D1280" s="2" t="str">
        <f>VLOOKUP($A1280,Controle!$B$4:$F$68,4,FALSE)</f>
        <v>EDN</v>
      </c>
      <c r="E1280" s="2">
        <f>VLOOKUP($A1280,Controle!$B$4:$F$68,5,FALSE)</f>
        <v>3</v>
      </c>
      <c r="F1280" s="3" t="str">
        <f>F1245</f>
        <v>Serviços Auxiliares - Drenagem</v>
      </c>
      <c r="G1280" s="2" t="str">
        <f>VLOOKUP($A1280,Controle!$B$4:$G$68,6,FALSE)</f>
        <v>Apolo</v>
      </c>
      <c r="H1280" s="6" t="s">
        <v>175</v>
      </c>
      <c r="I1280" s="31">
        <v>374473.38</v>
      </c>
      <c r="J1280" s="6">
        <v>0</v>
      </c>
      <c r="K1280" s="6">
        <v>0</v>
      </c>
      <c r="L1280" s="6">
        <v>0</v>
      </c>
      <c r="M1280" s="6">
        <v>0</v>
      </c>
      <c r="N1280" s="6">
        <v>0</v>
      </c>
      <c r="O1280" s="4">
        <f t="shared" si="432"/>
        <v>374473.38</v>
      </c>
      <c r="P1280" s="5">
        <f>SUMIFS('Desenvolvimento diário'!$H:$H,'Desenvolvimento diário'!$Q:$Q,$B1280,'Desenvolvimento diário'!$P:$P,$F1280,'Desenvolvimento diário'!$R:$R,"Sim")</f>
        <v>148302.37</v>
      </c>
      <c r="Q1280" s="5">
        <f>SUMIFS('Desenvolvimento diário'!$H:$H,'Desenvolvimento diário'!$Q:$Q,$B1280,'Desenvolvimento diário'!$P:$P,$F1280,'Desenvolvimento diário'!$R:$R,"Não")</f>
        <v>226171.01</v>
      </c>
      <c r="R1280" s="4">
        <f t="shared" si="433"/>
        <v>374473.38</v>
      </c>
      <c r="S1280" s="4">
        <f t="shared" si="434"/>
        <v>0</v>
      </c>
      <c r="T1280" s="12">
        <f t="shared" si="421"/>
        <v>1</v>
      </c>
      <c r="Y1280" s="2"/>
      <c r="Z1280" s="2"/>
      <c r="AA1280" s="2"/>
      <c r="AB1280" s="2"/>
      <c r="AC1280" s="2"/>
    </row>
    <row r="1281" spans="1:29" ht="10.5" hidden="1">
      <c r="A1281" s="2">
        <f t="shared" si="435"/>
        <v>37</v>
      </c>
      <c r="B1281" s="2" t="str">
        <f>VLOOKUP($A1281,Controle!$B$4:$F$68,2,FALSE)</f>
        <v>Paracatu 5</v>
      </c>
      <c r="C1281" s="2" t="str">
        <f>VLOOKUP($A1281,Controle!$B$4:$F$68,3,FALSE)</f>
        <v xml:space="preserve">ESTRELA DO NORTE </v>
      </c>
      <c r="D1281" s="2" t="str">
        <f>VLOOKUP($A1281,Controle!$B$4:$F$68,4,FALSE)</f>
        <v>EDN</v>
      </c>
      <c r="E1281" s="2">
        <f>VLOOKUP($A1281,Controle!$B$4:$F$68,5,FALSE)</f>
        <v>3</v>
      </c>
      <c r="F1281" s="3" t="str">
        <f>F1246</f>
        <v>Serviços Auxiliares - Terraplanagem</v>
      </c>
      <c r="G1281" s="2" t="str">
        <f>VLOOKUP($A1281,Controle!$B$4:$G$68,6,FALSE)</f>
        <v>Apolo</v>
      </c>
      <c r="H1281" s="6" t="s">
        <v>175</v>
      </c>
      <c r="I1281" s="31">
        <v>583536.03</v>
      </c>
      <c r="J1281" s="6">
        <v>0</v>
      </c>
      <c r="K1281" s="6">
        <v>0</v>
      </c>
      <c r="L1281" s="6">
        <v>0</v>
      </c>
      <c r="M1281" s="6">
        <v>0</v>
      </c>
      <c r="N1281" s="6">
        <v>0</v>
      </c>
      <c r="O1281" s="4">
        <f t="shared" si="432"/>
        <v>583536.03</v>
      </c>
      <c r="P1281" s="5">
        <f>SUMIFS('Desenvolvimento diário'!$H:$H,'Desenvolvimento diário'!$Q:$Q,$B1281,'Desenvolvimento diário'!$P:$P,$F1281,'Desenvolvimento diário'!$R:$R,"Sim")</f>
        <v>527250.65999999992</v>
      </c>
      <c r="Q1281" s="5">
        <f>SUMIFS('Desenvolvimento diário'!$H:$H,'Desenvolvimento diário'!$Q:$Q,$B1281,'Desenvolvimento diário'!$P:$P,$F1281,'Desenvolvimento diário'!$R:$R,"Não")</f>
        <v>56285.369999999995</v>
      </c>
      <c r="R1281" s="4">
        <f t="shared" si="433"/>
        <v>583536.02999999991</v>
      </c>
      <c r="S1281" s="4">
        <f t="shared" si="434"/>
        <v>0</v>
      </c>
      <c r="T1281" s="12">
        <f t="shared" si="421"/>
        <v>0.99999999999999978</v>
      </c>
      <c r="Y1281" s="2"/>
      <c r="Z1281" s="2"/>
      <c r="AA1281" s="2"/>
      <c r="AB1281" s="2"/>
      <c r="AC1281" s="2"/>
    </row>
    <row r="1282" spans="1:29" ht="10.5" hidden="1">
      <c r="A1282" s="2">
        <f t="shared" si="435"/>
        <v>37</v>
      </c>
      <c r="B1282" s="2" t="str">
        <f>VLOOKUP($A1282,Controle!$B$4:$F$68,2,FALSE)</f>
        <v>Paracatu 5</v>
      </c>
      <c r="C1282" s="2" t="str">
        <f>VLOOKUP($A1282,Controle!$B$4:$F$68,3,FALSE)</f>
        <v xml:space="preserve">ESTRELA DO NORTE </v>
      </c>
      <c r="D1282" s="2" t="str">
        <f>VLOOKUP($A1282,Controle!$B$4:$F$68,4,FALSE)</f>
        <v>EDN</v>
      </c>
      <c r="E1282" s="2">
        <f>VLOOKUP($A1282,Controle!$B$4:$F$68,5,FALSE)</f>
        <v>3</v>
      </c>
      <c r="F1282" s="3" t="str">
        <f>F1247</f>
        <v>Serviços Auxiliares - Supressão Vegetal</v>
      </c>
      <c r="G1282" s="2" t="str">
        <f>VLOOKUP($A1282,Controle!$B$4:$G$68,6,FALSE)</f>
        <v>Apolo</v>
      </c>
      <c r="H1282" s="6">
        <v>0</v>
      </c>
      <c r="I1282" s="6">
        <v>0</v>
      </c>
      <c r="J1282" s="6">
        <v>0</v>
      </c>
      <c r="K1282" s="6">
        <v>0</v>
      </c>
      <c r="L1282" s="6">
        <v>0</v>
      </c>
      <c r="M1282" s="6">
        <v>0</v>
      </c>
      <c r="N1282" s="6">
        <v>0</v>
      </c>
      <c r="O1282" s="4">
        <f t="shared" si="432"/>
        <v>0</v>
      </c>
      <c r="P1282" s="5">
        <f>SUMIFS('Desenvolvimento diário'!$H:$H,'Desenvolvimento diário'!$Q:$Q,$B1282,'Desenvolvimento diário'!$P:$P,$F1282,'Desenvolvimento diário'!$R:$R,"Sim")</f>
        <v>0</v>
      </c>
      <c r="Q1282" s="5">
        <f>SUMIFS('Desenvolvimento diário'!$H:$H,'Desenvolvimento diário'!$Q:$Q,$B1282,'Desenvolvimento diário'!$P:$P,$F1282,'Desenvolvimento diário'!$R:$R,"Não")</f>
        <v>0</v>
      </c>
      <c r="R1282" s="4">
        <f t="shared" si="433"/>
        <v>0</v>
      </c>
      <c r="S1282" s="4">
        <f t="shared" si="434"/>
        <v>0</v>
      </c>
      <c r="T1282" s="12">
        <f t="shared" si="421"/>
        <v>0</v>
      </c>
      <c r="Y1282" s="2"/>
      <c r="Z1282" s="2"/>
      <c r="AA1282" s="2"/>
      <c r="AB1282" s="2"/>
      <c r="AC1282" s="2"/>
    </row>
    <row r="1283" spans="1:29" ht="10.5" hidden="1">
      <c r="A1283" s="2">
        <f t="shared" si="435"/>
        <v>37</v>
      </c>
      <c r="B1283" s="2" t="str">
        <f>VLOOKUP($A1283,Controle!$B$4:$F$68,2,FALSE)</f>
        <v>Paracatu 5</v>
      </c>
      <c r="C1283" s="2" t="str">
        <f>VLOOKUP($A1283,Controle!$B$4:$F$68,3,FALSE)</f>
        <v xml:space="preserve">ESTRELA DO NORTE </v>
      </c>
      <c r="D1283" s="2" t="str">
        <f>VLOOKUP($A1283,Controle!$B$4:$F$68,4,FALSE)</f>
        <v>EDN</v>
      </c>
      <c r="E1283" s="2">
        <f>VLOOKUP($A1283,Controle!$B$4:$F$68,5,FALSE)</f>
        <v>3</v>
      </c>
      <c r="F1283" s="3" t="str">
        <f>F1248</f>
        <v>RDR-Rede de Distribuição Rural</v>
      </c>
      <c r="G1283" s="2" t="str">
        <f>VLOOKUP($A1283,Controle!$B$4:$G$68,6,FALSE)</f>
        <v>Apolo</v>
      </c>
      <c r="H1283" s="6">
        <v>0</v>
      </c>
      <c r="I1283" s="6">
        <v>0</v>
      </c>
      <c r="J1283" s="6">
        <v>0</v>
      </c>
      <c r="K1283" s="6">
        <v>0</v>
      </c>
      <c r="L1283" s="6">
        <v>0</v>
      </c>
      <c r="M1283" s="6">
        <v>0</v>
      </c>
      <c r="N1283" s="6">
        <v>0</v>
      </c>
      <c r="O1283" s="4">
        <f t="shared" si="432"/>
        <v>0</v>
      </c>
      <c r="P1283" s="5">
        <f>SUMIFS('Desenvolvimento diário'!$H:$H,'Desenvolvimento diário'!$Q:$Q,$B1283,'Desenvolvimento diário'!$P:$P,$F1283,'Desenvolvimento diário'!$R:$R,"Sim")</f>
        <v>0</v>
      </c>
      <c r="Q1283" s="5">
        <f>SUMIFS('Desenvolvimento diário'!$H:$H,'Desenvolvimento diário'!$Q:$Q,$B1283,'Desenvolvimento diário'!$P:$P,$F1283,'Desenvolvimento diário'!$R:$R,"Não")</f>
        <v>0</v>
      </c>
      <c r="R1283" s="4">
        <f t="shared" si="433"/>
        <v>0</v>
      </c>
      <c r="S1283" s="4">
        <f t="shared" si="434"/>
        <v>0</v>
      </c>
      <c r="T1283" s="12">
        <f t="shared" si="421"/>
        <v>0</v>
      </c>
      <c r="Y1283" s="2"/>
      <c r="Z1283" s="2"/>
      <c r="AA1283" s="2"/>
      <c r="AB1283" s="2"/>
      <c r="AC1283" s="2"/>
    </row>
    <row r="1284" spans="1:29" ht="10.5" hidden="1">
      <c r="A1284" s="2">
        <f t="shared" si="435"/>
        <v>37</v>
      </c>
      <c r="B1284" s="2" t="str">
        <f>VLOOKUP($A1284,Controle!$B$4:$F$68,2,FALSE)</f>
        <v>Paracatu 5</v>
      </c>
      <c r="C1284" s="2" t="str">
        <f>VLOOKUP($A1284,Controle!$B$4:$F$68,3,FALSE)</f>
        <v xml:space="preserve">ESTRELA DO NORTE </v>
      </c>
      <c r="D1284" s="2" t="str">
        <f>VLOOKUP($A1284,Controle!$B$4:$F$68,4,FALSE)</f>
        <v>EDN</v>
      </c>
      <c r="E1284" s="2">
        <f>VLOOKUP($A1284,Controle!$B$4:$F$68,5,FALSE)</f>
        <v>3</v>
      </c>
      <c r="F1284" s="3" t="str">
        <f>F1249</f>
        <v>Escopo COMERC</v>
      </c>
      <c r="G1284" s="2" t="str">
        <f>VLOOKUP($A1284,Controle!$B$4:$G$68,6,FALSE)</f>
        <v>Apolo</v>
      </c>
      <c r="H1284" s="6">
        <v>0</v>
      </c>
      <c r="I1284" s="6">
        <v>127975.98999999999</v>
      </c>
      <c r="J1284" s="29">
        <v>21000</v>
      </c>
      <c r="K1284" s="29"/>
      <c r="L1284" s="6">
        <v>0</v>
      </c>
      <c r="M1284" s="6">
        <v>0</v>
      </c>
      <c r="N1284" s="6">
        <v>0</v>
      </c>
      <c r="O1284" s="4">
        <f t="shared" si="432"/>
        <v>148975.99</v>
      </c>
      <c r="P1284" s="5">
        <f>SUMIFS('Desenvolvimento diário'!$H:$H,'Desenvolvimento diário'!$Q:$Q,$B1284,'Desenvolvimento diário'!$P:$P,$F1284,'Desenvolvimento diário'!$R:$R,"Sim")</f>
        <v>41763.339999999997</v>
      </c>
      <c r="Q1284" s="5">
        <f>SUMIFS('Desenvolvimento diário'!$H:$H,'Desenvolvimento diário'!$Q:$Q,$B1284,'Desenvolvimento diário'!$P:$P,$F1284,'Desenvolvimento diário'!$R:$R,"Não")</f>
        <v>87211.43</v>
      </c>
      <c r="R1284" s="4">
        <f t="shared" si="433"/>
        <v>128974.76999999999</v>
      </c>
      <c r="S1284" s="1010">
        <f t="shared" si="434"/>
        <v>20001.22</v>
      </c>
      <c r="T1284" s="12">
        <f t="shared" si="421"/>
        <v>0.86574198969914551</v>
      </c>
      <c r="U1284" s="1011" t="s">
        <v>166</v>
      </c>
      <c r="V1284" s="1011" t="s">
        <v>167</v>
      </c>
      <c r="Y1284" s="2"/>
      <c r="Z1284" s="2"/>
      <c r="AA1284" s="2"/>
      <c r="AB1284" s="2"/>
      <c r="AC1284" s="2"/>
    </row>
    <row r="1285" spans="1:29" ht="10.5" hidden="1">
      <c r="A1285" s="2">
        <f t="shared" si="435"/>
        <v>37</v>
      </c>
      <c r="B1285" s="2" t="str">
        <f>VLOOKUP($A1285,Controle!$B$4:$F$68,2,FALSE)</f>
        <v>Paracatu 5</v>
      </c>
      <c r="C1285" s="2" t="str">
        <f>VLOOKUP($A1285,Controle!$B$4:$F$68,3,FALSE)</f>
        <v xml:space="preserve">ESTRELA DO NORTE </v>
      </c>
      <c r="D1285" s="2" t="str">
        <f>VLOOKUP($A1285,Controle!$B$4:$F$68,4,FALSE)</f>
        <v>EDN</v>
      </c>
      <c r="E1285" s="2">
        <f>VLOOKUP($A1285,Controle!$B$4:$F$68,5,FALSE)</f>
        <v>3</v>
      </c>
      <c r="F1285" s="3" t="str">
        <f>F1250</f>
        <v>Escopo COMERC - Segurança</v>
      </c>
      <c r="G1285" s="2" t="str">
        <f>VLOOKUP($A1285,Controle!$B$4:$G$68,6,FALSE)</f>
        <v>Apolo</v>
      </c>
      <c r="H1285" s="6">
        <v>0</v>
      </c>
      <c r="I1285" s="6">
        <f t="shared" ref="I1284:I1285" si="436">R1285</f>
        <v>114030.96000000002</v>
      </c>
      <c r="J1285" s="6">
        <v>0</v>
      </c>
      <c r="K1285" s="6">
        <v>0</v>
      </c>
      <c r="L1285" s="6">
        <v>0</v>
      </c>
      <c r="M1285" s="6">
        <v>0</v>
      </c>
      <c r="N1285" s="6">
        <v>0</v>
      </c>
      <c r="O1285" s="4">
        <f t="shared" si="432"/>
        <v>114030.96000000002</v>
      </c>
      <c r="P1285" s="5">
        <f>SUMIFS('Desenvolvimento diário'!$H:$H,'Desenvolvimento diário'!$Q:$Q,$B1285,'Desenvolvimento diário'!$P:$P,$F1285,'Desenvolvimento diário'!$R:$R,"Sim")</f>
        <v>0</v>
      </c>
      <c r="Q1285" s="5">
        <f>SUMIFS('Desenvolvimento diário'!$H:$H,'Desenvolvimento diário'!$Q:$Q,$B1285,'Desenvolvimento diário'!$P:$P,$F1285,'Desenvolvimento diário'!$R:$R,"Não")</f>
        <v>114030.96000000002</v>
      </c>
      <c r="R1285" s="4">
        <f t="shared" si="433"/>
        <v>114030.96000000002</v>
      </c>
      <c r="S1285" s="4">
        <f t="shared" si="434"/>
        <v>0</v>
      </c>
      <c r="T1285" s="12">
        <f t="shared" si="421"/>
        <v>1</v>
      </c>
      <c r="Y1285" s="2"/>
      <c r="Z1285" s="2"/>
      <c r="AA1285" s="2"/>
      <c r="AB1285" s="2"/>
      <c r="AC1285" s="2"/>
    </row>
    <row r="1286" spans="1:29" ht="10.5" hidden="1">
      <c r="A1286" s="2">
        <f t="shared" si="435"/>
        <v>37</v>
      </c>
      <c r="B1286" s="2" t="str">
        <f>VLOOKUP($A1286,Controle!$B$4:$F$68,2,FALSE)</f>
        <v>Paracatu 5</v>
      </c>
      <c r="C1286" s="2" t="str">
        <f>VLOOKUP($A1286,Controle!$B$4:$F$68,3,FALSE)</f>
        <v xml:space="preserve">ESTRELA DO NORTE </v>
      </c>
      <c r="D1286" s="2" t="str">
        <f>VLOOKUP($A1286,Controle!$B$4:$F$68,4,FALSE)</f>
        <v>EDN</v>
      </c>
      <c r="E1286" s="2">
        <f>VLOOKUP($A1286,Controle!$B$4:$F$68,5,FALSE)</f>
        <v>3</v>
      </c>
      <c r="F1286" s="3" t="str">
        <f>F1251</f>
        <v>Conexão MT - Obras Transferencia</v>
      </c>
      <c r="G1286" s="2" t="str">
        <f>VLOOKUP($A1286,Controle!$B$4:$G$68,6,FALSE)</f>
        <v>Apolo</v>
      </c>
      <c r="H1286" s="6">
        <v>0</v>
      </c>
      <c r="I1286" s="6">
        <v>0</v>
      </c>
      <c r="J1286" s="6">
        <v>0</v>
      </c>
      <c r="K1286" s="6">
        <v>0</v>
      </c>
      <c r="L1286" s="6">
        <v>0</v>
      </c>
      <c r="M1286" s="6">
        <v>0</v>
      </c>
      <c r="N1286" s="6">
        <v>0</v>
      </c>
      <c r="O1286" s="4">
        <f t="shared" si="432"/>
        <v>0</v>
      </c>
      <c r="P1286" s="5">
        <f>SUMIFS('Desenvolvimento diário'!$H:$H,'Desenvolvimento diário'!$Q:$Q,$B1286,'Desenvolvimento diário'!$P:$P,$F1286,'Desenvolvimento diário'!$R:$R,"Sim")</f>
        <v>0</v>
      </c>
      <c r="Q1286" s="5">
        <f>SUMIFS('Desenvolvimento diário'!$H:$H,'Desenvolvimento diário'!$Q:$Q,$B1286,'Desenvolvimento diário'!$P:$P,$F1286,'Desenvolvimento diário'!$R:$R,"Não")</f>
        <v>0</v>
      </c>
      <c r="R1286" s="4">
        <f t="shared" si="433"/>
        <v>0</v>
      </c>
      <c r="S1286" s="4">
        <f t="shared" si="434"/>
        <v>0</v>
      </c>
      <c r="T1286" s="12">
        <f t="shared" si="421"/>
        <v>0</v>
      </c>
      <c r="Y1286" s="2"/>
      <c r="Z1286" s="2"/>
      <c r="AA1286" s="2"/>
      <c r="AB1286" s="2"/>
      <c r="AC1286" s="2"/>
    </row>
    <row r="1287" spans="1:29" ht="10.5" hidden="1">
      <c r="A1287" s="2">
        <f t="shared" si="435"/>
        <v>37</v>
      </c>
      <c r="B1287" s="2" t="str">
        <f>VLOOKUP($A1287,Controle!$B$4:$F$68,2,FALSE)</f>
        <v>Paracatu 5</v>
      </c>
      <c r="C1287" s="2" t="str">
        <f>VLOOKUP($A1287,Controle!$B$4:$F$68,3,FALSE)</f>
        <v xml:space="preserve">ESTRELA DO NORTE </v>
      </c>
      <c r="D1287" s="2" t="str">
        <f>VLOOKUP($A1287,Controle!$B$4:$F$68,4,FALSE)</f>
        <v>EDN</v>
      </c>
      <c r="E1287" s="2">
        <f>VLOOKUP($A1287,Controle!$B$4:$F$68,5,FALSE)</f>
        <v>3</v>
      </c>
      <c r="F1287" s="3" t="str">
        <f>F1252</f>
        <v>Bases de Contaniers</v>
      </c>
      <c r="G1287" s="2" t="str">
        <f>VLOOKUP($A1287,Controle!$B$4:$G$68,6,FALSE)</f>
        <v>Apolo</v>
      </c>
      <c r="H1287" s="6">
        <v>0</v>
      </c>
      <c r="I1287" s="6">
        <v>0</v>
      </c>
      <c r="J1287" s="6">
        <v>0</v>
      </c>
      <c r="K1287" s="6">
        <v>0</v>
      </c>
      <c r="L1287" s="6">
        <v>0</v>
      </c>
      <c r="M1287" s="6">
        <v>0</v>
      </c>
      <c r="N1287" s="6">
        <v>0</v>
      </c>
      <c r="O1287" s="4">
        <f t="shared" si="432"/>
        <v>0</v>
      </c>
      <c r="P1287" s="5">
        <f>SUMIFS('Desenvolvimento diário'!$H:$H,'Desenvolvimento diário'!$Q:$Q,$B1287,'Desenvolvimento diário'!$P:$P,$F1287,'Desenvolvimento diário'!$R:$R,"Sim")</f>
        <v>0</v>
      </c>
      <c r="Q1287" s="5">
        <f>SUMIFS('Desenvolvimento diário'!$H:$H,'Desenvolvimento diário'!$Q:$Q,$B1287,'Desenvolvimento diário'!$P:$P,$F1287,'Desenvolvimento diário'!$R:$R,"Não")</f>
        <v>0</v>
      </c>
      <c r="R1287" s="4">
        <f t="shared" si="433"/>
        <v>0</v>
      </c>
      <c r="S1287" s="4">
        <f t="shared" si="434"/>
        <v>0</v>
      </c>
      <c r="T1287" s="12">
        <f t="shared" si="421"/>
        <v>0</v>
      </c>
      <c r="Y1287" s="2"/>
      <c r="Z1287" s="2"/>
      <c r="AA1287" s="2"/>
      <c r="AB1287" s="2"/>
      <c r="AC1287" s="2"/>
    </row>
    <row r="1288" spans="1:29" ht="10.5" hidden="1">
      <c r="A1288" s="2">
        <f t="shared" si="435"/>
        <v>37</v>
      </c>
      <c r="B1288" s="2" t="str">
        <f>VLOOKUP($A1288,Controle!$B$4:$F$68,2,FALSE)</f>
        <v>Paracatu 5</v>
      </c>
      <c r="C1288" s="2" t="str">
        <f>VLOOKUP($A1288,Controle!$B$4:$F$68,3,FALSE)</f>
        <v xml:space="preserve">ESTRELA DO NORTE </v>
      </c>
      <c r="D1288" s="2" t="str">
        <f>VLOOKUP($A1288,Controle!$B$4:$F$68,4,FALSE)</f>
        <v>EDN</v>
      </c>
      <c r="E1288" s="2">
        <f>VLOOKUP($A1288,Controle!$B$4:$F$68,5,FALSE)</f>
        <v>3</v>
      </c>
      <c r="F1288" s="3" t="str">
        <f t="shared" ref="F1288:F1295" si="437">F1253</f>
        <v>Construção - Serviços de Construção - Ase Engenharia</v>
      </c>
      <c r="G1288" s="2" t="str">
        <f>VLOOKUP($A1288,Controle!$B$4:$G$68,6,FALSE)</f>
        <v>Apolo</v>
      </c>
      <c r="H1288" s="6">
        <v>0</v>
      </c>
      <c r="I1288" s="6">
        <v>0</v>
      </c>
      <c r="J1288" s="6">
        <v>0</v>
      </c>
      <c r="K1288" s="6">
        <v>0</v>
      </c>
      <c r="L1288" s="6">
        <v>0</v>
      </c>
      <c r="M1288" s="6">
        <v>0</v>
      </c>
      <c r="N1288" s="6">
        <v>0</v>
      </c>
      <c r="O1288" s="4">
        <f t="shared" si="432"/>
        <v>0</v>
      </c>
      <c r="P1288" s="5">
        <f>SUMIFS('Desenvolvimento diário'!$H:$H,'Desenvolvimento diário'!$Q:$Q,$B1288,'Desenvolvimento diário'!$P:$P,$F1288,'Desenvolvimento diário'!$R:$R,"Sim")</f>
        <v>0</v>
      </c>
      <c r="Q1288" s="5">
        <f>SUMIFS('Desenvolvimento diário'!$H:$H,'Desenvolvimento diário'!$Q:$Q,$B1288,'Desenvolvimento diário'!$P:$P,$F1288,'Desenvolvimento diário'!$R:$R,"Não")</f>
        <v>0</v>
      </c>
      <c r="R1288" s="4">
        <f t="shared" si="433"/>
        <v>0</v>
      </c>
      <c r="S1288" s="4">
        <f t="shared" si="434"/>
        <v>0</v>
      </c>
      <c r="T1288" s="12">
        <f t="shared" si="421"/>
        <v>0</v>
      </c>
      <c r="Y1288" s="2"/>
      <c r="Z1288" s="2"/>
      <c r="AA1288" s="2"/>
      <c r="AB1288" s="2"/>
      <c r="AC1288" s="2"/>
    </row>
    <row r="1289" spans="1:29" ht="10.5" hidden="1">
      <c r="A1289" s="2">
        <f t="shared" si="435"/>
        <v>37</v>
      </c>
      <c r="B1289" s="2" t="str">
        <f>VLOOKUP($A1289,Controle!$B$4:$F$68,2,FALSE)</f>
        <v>Paracatu 5</v>
      </c>
      <c r="C1289" s="2" t="str">
        <f>VLOOKUP($A1289,Controle!$B$4:$F$68,3,FALSE)</f>
        <v xml:space="preserve">ESTRELA DO NORTE </v>
      </c>
      <c r="D1289" s="2" t="str">
        <f>VLOOKUP($A1289,Controle!$B$4:$F$68,4,FALSE)</f>
        <v>EDN</v>
      </c>
      <c r="E1289" s="2">
        <f>VLOOKUP($A1289,Controle!$B$4:$F$68,5,FALSE)</f>
        <v>3</v>
      </c>
      <c r="F1289" s="3" t="str">
        <f t="shared" si="437"/>
        <v>Full EPC - Contrato Sobressalentes</v>
      </c>
      <c r="G1289" s="2" t="str">
        <f>VLOOKUP($A1289,Controle!$B$4:$G$68,6,FALSE)</f>
        <v>Apolo</v>
      </c>
      <c r="H1289" s="6">
        <v>0</v>
      </c>
      <c r="I1289" s="6">
        <v>0</v>
      </c>
      <c r="J1289" s="6">
        <v>0</v>
      </c>
      <c r="K1289" s="6">
        <v>0</v>
      </c>
      <c r="L1289" s="6">
        <v>0</v>
      </c>
      <c r="M1289" s="6">
        <v>0</v>
      </c>
      <c r="N1289" s="6">
        <v>0</v>
      </c>
      <c r="O1289" s="4">
        <f t="shared" si="432"/>
        <v>0</v>
      </c>
      <c r="P1289" s="5">
        <f>SUMIFS('Desenvolvimento diário'!$H:$H,'Desenvolvimento diário'!$Q:$Q,$B1289,'Desenvolvimento diário'!$P:$P,$F1289,'Desenvolvimento diário'!$R:$R,"Sim")</f>
        <v>0</v>
      </c>
      <c r="Q1289" s="5">
        <f>SUMIFS('Desenvolvimento diário'!$H:$H,'Desenvolvimento diário'!$Q:$Q,$B1289,'Desenvolvimento diário'!$P:$P,$F1289,'Desenvolvimento diário'!$R:$R,"Não")</f>
        <v>0</v>
      </c>
      <c r="R1289" s="4">
        <f t="shared" si="433"/>
        <v>0</v>
      </c>
      <c r="S1289" s="4">
        <f t="shared" si="434"/>
        <v>0</v>
      </c>
      <c r="T1289" s="12">
        <f t="shared" si="421"/>
        <v>0</v>
      </c>
      <c r="Y1289" s="2"/>
      <c r="Z1289" s="2"/>
      <c r="AA1289" s="2"/>
      <c r="AB1289" s="2"/>
      <c r="AC1289" s="2"/>
    </row>
    <row r="1290" spans="1:29" ht="10.5" hidden="1">
      <c r="A1290" s="2">
        <f t="shared" si="435"/>
        <v>37</v>
      </c>
      <c r="B1290" s="2" t="str">
        <f>VLOOKUP($A1290,Controle!$B$4:$F$68,2,FALSE)</f>
        <v>Paracatu 5</v>
      </c>
      <c r="C1290" s="2" t="str">
        <f>VLOOKUP($A1290,Controle!$B$4:$F$68,3,FALSE)</f>
        <v xml:space="preserve">ESTRELA DO NORTE </v>
      </c>
      <c r="D1290" s="2" t="str">
        <f>VLOOKUP($A1290,Controle!$B$4:$F$68,4,FALSE)</f>
        <v>EDN</v>
      </c>
      <c r="E1290" s="2">
        <f>VLOOKUP($A1290,Controle!$B$4:$F$68,5,FALSE)</f>
        <v>3</v>
      </c>
      <c r="F1290" s="3" t="str">
        <f t="shared" si="437"/>
        <v>Construção - Serviços de Construção - NOVA MORADA</v>
      </c>
      <c r="G1290" s="2" t="str">
        <f>VLOOKUP($A1290,Controle!$B$4:$G$68,6,FALSE)</f>
        <v>Apolo</v>
      </c>
      <c r="H1290" s="6">
        <v>0</v>
      </c>
      <c r="I1290" s="6">
        <v>0</v>
      </c>
      <c r="J1290" s="6">
        <v>0</v>
      </c>
      <c r="K1290" s="6">
        <v>0</v>
      </c>
      <c r="L1290" s="6">
        <v>0</v>
      </c>
      <c r="M1290" s="6">
        <v>0</v>
      </c>
      <c r="N1290" s="6">
        <v>0</v>
      </c>
      <c r="O1290" s="4">
        <f t="shared" si="432"/>
        <v>0</v>
      </c>
      <c r="P1290" s="5">
        <f>SUMIFS('Desenvolvimento diário'!$H:$H,'Desenvolvimento diário'!$Q:$Q,$B1290,'Desenvolvimento diário'!$P:$P,$F1290,'Desenvolvimento diário'!$R:$R,"Sim")</f>
        <v>0</v>
      </c>
      <c r="Q1290" s="5">
        <f>SUMIFS('Desenvolvimento diário'!$H:$H,'Desenvolvimento diário'!$Q:$Q,$B1290,'Desenvolvimento diário'!$P:$P,$F1290,'Desenvolvimento diário'!$R:$R,"Não")</f>
        <v>0</v>
      </c>
      <c r="R1290" s="4">
        <f t="shared" si="433"/>
        <v>0</v>
      </c>
      <c r="S1290" s="4">
        <f t="shared" si="434"/>
        <v>0</v>
      </c>
      <c r="T1290" s="12">
        <f t="shared" si="421"/>
        <v>0</v>
      </c>
      <c r="Y1290" s="2"/>
      <c r="Z1290" s="2"/>
      <c r="AA1290" s="2"/>
      <c r="AB1290" s="2"/>
      <c r="AC1290" s="2"/>
    </row>
    <row r="1291" spans="1:29" ht="10.5" hidden="1">
      <c r="A1291" s="2">
        <f t="shared" si="435"/>
        <v>37</v>
      </c>
      <c r="B1291" s="2" t="str">
        <f>VLOOKUP($A1291,Controle!$B$4:$F$68,2,FALSE)</f>
        <v>Paracatu 5</v>
      </c>
      <c r="C1291" s="2" t="str">
        <f>VLOOKUP($A1291,Controle!$B$4:$F$68,3,FALSE)</f>
        <v xml:space="preserve">ESTRELA DO NORTE </v>
      </c>
      <c r="D1291" s="2" t="str">
        <f>VLOOKUP($A1291,Controle!$B$4:$F$68,4,FALSE)</f>
        <v>EDN</v>
      </c>
      <c r="E1291" s="2">
        <f>VLOOKUP($A1291,Controle!$B$4:$F$68,5,FALSE)</f>
        <v>3</v>
      </c>
      <c r="F1291" s="3" t="str">
        <f t="shared" si="437"/>
        <v>Equipamentos Curva A -  Contrato Sobressalentes - SETTA</v>
      </c>
      <c r="G1291" s="2" t="str">
        <f>VLOOKUP($A1291,Controle!$B$4:$G$68,6,FALSE)</f>
        <v>Apolo</v>
      </c>
      <c r="H1291" s="6">
        <v>0</v>
      </c>
      <c r="I1291" s="6">
        <v>0</v>
      </c>
      <c r="J1291" s="6">
        <v>0</v>
      </c>
      <c r="K1291" s="6">
        <v>0</v>
      </c>
      <c r="L1291" s="6">
        <v>0</v>
      </c>
      <c r="M1291" s="6">
        <v>0</v>
      </c>
      <c r="N1291" s="6">
        <v>0</v>
      </c>
      <c r="O1291" s="4">
        <f t="shared" si="432"/>
        <v>0</v>
      </c>
      <c r="P1291" s="5">
        <f>SUMIFS('Desenvolvimento diário'!$H:$H,'Desenvolvimento diário'!$Q:$Q,$B1291,'Desenvolvimento diário'!$P:$P,$F1291,'Desenvolvimento diário'!$R:$R,"Sim")</f>
        <v>0</v>
      </c>
      <c r="Q1291" s="5">
        <f>SUMIFS('Desenvolvimento diário'!$H:$H,'Desenvolvimento diário'!$Q:$Q,$B1291,'Desenvolvimento diário'!$P:$P,$F1291,'Desenvolvimento diário'!$R:$R,"Não")</f>
        <v>0</v>
      </c>
      <c r="R1291" s="4">
        <f t="shared" si="433"/>
        <v>0</v>
      </c>
      <c r="S1291" s="4">
        <f t="shared" si="434"/>
        <v>0</v>
      </c>
      <c r="T1291" s="12">
        <f t="shared" si="421"/>
        <v>0</v>
      </c>
      <c r="Y1291" s="2"/>
      <c r="Z1291" s="2"/>
      <c r="AA1291" s="2"/>
      <c r="AB1291" s="2"/>
      <c r="AC1291" s="2"/>
    </row>
    <row r="1292" spans="1:29" ht="10.5" hidden="1">
      <c r="A1292" s="2">
        <f t="shared" si="435"/>
        <v>37</v>
      </c>
      <c r="B1292" s="2" t="str">
        <f>VLOOKUP($A1292,Controle!$B$4:$F$68,2,FALSE)</f>
        <v>Paracatu 5</v>
      </c>
      <c r="C1292" s="2" t="str">
        <f>VLOOKUP($A1292,Controle!$B$4:$F$68,3,FALSE)</f>
        <v xml:space="preserve">ESTRELA DO NORTE </v>
      </c>
      <c r="D1292" s="2" t="str">
        <f>VLOOKUP($A1292,Controle!$B$4:$F$68,4,FALSE)</f>
        <v>EDN</v>
      </c>
      <c r="E1292" s="2">
        <f>VLOOKUP($A1292,Controle!$B$4:$F$68,5,FALSE)</f>
        <v>3</v>
      </c>
      <c r="F1292" s="3" t="str">
        <f t="shared" si="437"/>
        <v>Equipamentos Curva A -  Contrato Sobressalentes - Arctech</v>
      </c>
      <c r="G1292" s="2" t="str">
        <f>VLOOKUP($A1292,Controle!$B$4:$G$68,6,FALSE)</f>
        <v>Apolo</v>
      </c>
      <c r="H1292" s="6">
        <v>0</v>
      </c>
      <c r="I1292" s="6">
        <v>0</v>
      </c>
      <c r="J1292" s="6">
        <v>0</v>
      </c>
      <c r="K1292" s="6">
        <v>0</v>
      </c>
      <c r="L1292" s="6">
        <v>0</v>
      </c>
      <c r="M1292" s="6">
        <v>0</v>
      </c>
      <c r="N1292" s="6">
        <v>0</v>
      </c>
      <c r="O1292" s="4">
        <f t="shared" si="432"/>
        <v>0</v>
      </c>
      <c r="P1292" s="5">
        <f>SUMIFS('Desenvolvimento diário'!$H:$H,'Desenvolvimento diário'!$Q:$Q,$B1292,'Desenvolvimento diário'!$P:$P,$F1292,'Desenvolvimento diário'!$R:$R,"Sim")</f>
        <v>0</v>
      </c>
      <c r="Q1292" s="5">
        <f>SUMIFS('Desenvolvimento diário'!$H:$H,'Desenvolvimento diário'!$Q:$Q,$B1292,'Desenvolvimento diário'!$P:$P,$F1292,'Desenvolvimento diário'!$R:$R,"Não")</f>
        <v>0</v>
      </c>
      <c r="R1292" s="4">
        <f t="shared" si="433"/>
        <v>0</v>
      </c>
      <c r="S1292" s="4">
        <f t="shared" si="434"/>
        <v>0</v>
      </c>
      <c r="T1292" s="12">
        <f t="shared" ref="T1292:T1359" si="438">IFERROR(R1292/O1292,0)</f>
        <v>0</v>
      </c>
      <c r="Y1292" s="2"/>
      <c r="Z1292" s="2"/>
      <c r="AA1292" s="2"/>
      <c r="AB1292" s="2"/>
      <c r="AC1292" s="2"/>
    </row>
    <row r="1293" spans="1:29" hidden="1">
      <c r="A1293" s="2">
        <f t="shared" si="435"/>
        <v>37</v>
      </c>
      <c r="B1293" s="2" t="str">
        <f>VLOOKUP($A1293,Controle!$B$4:$F$68,2,FALSE)</f>
        <v>Paracatu 5</v>
      </c>
      <c r="C1293" s="2" t="str">
        <f>VLOOKUP($A1293,Controle!$B$4:$F$68,3,FALSE)</f>
        <v xml:space="preserve">ESTRELA DO NORTE </v>
      </c>
      <c r="D1293" s="2" t="str">
        <f>VLOOKUP($A1293,Controle!$B$4:$F$68,4,FALSE)</f>
        <v>EDN</v>
      </c>
      <c r="E1293" s="2">
        <f>VLOOKUP($A1293,Controle!$B$4:$F$68,5,FALSE)</f>
        <v>3</v>
      </c>
      <c r="F1293" s="3" t="str">
        <f t="shared" si="437"/>
        <v>Equipamentos Curva A -  Contrato Sobressalentes - Romagnole</v>
      </c>
      <c r="G1293" s="2" t="str">
        <f>VLOOKUP($A1293,Controle!$B$4:$G$68,6,FALSE)</f>
        <v>Apolo</v>
      </c>
      <c r="H1293" s="7">
        <v>0</v>
      </c>
      <c r="I1293" s="7">
        <v>0</v>
      </c>
      <c r="J1293" s="7">
        <v>0</v>
      </c>
      <c r="K1293" s="7">
        <v>0</v>
      </c>
      <c r="L1293" s="7">
        <v>0</v>
      </c>
      <c r="M1293" s="7">
        <v>0</v>
      </c>
      <c r="N1293" s="7">
        <v>0</v>
      </c>
      <c r="O1293" s="4">
        <f t="shared" si="432"/>
        <v>0</v>
      </c>
      <c r="P1293" s="17">
        <f>SUMIFS('Desenvolvimento diário'!$H:$H,'Desenvolvimento diário'!$Q:$Q,$B1293,'Desenvolvimento diário'!$P:$P,$F1293,'Desenvolvimento diário'!$R:$R,"Sim")</f>
        <v>0</v>
      </c>
      <c r="Q1293" s="17">
        <f>SUMIFS('Desenvolvimento diário'!$H:$H,'Desenvolvimento diário'!$Q:$Q,$B1293,'Desenvolvimento diário'!$P:$P,$F1293,'Desenvolvimento diário'!$R:$R,"Não")</f>
        <v>0</v>
      </c>
      <c r="R1293" s="4">
        <f t="shared" si="433"/>
        <v>0</v>
      </c>
      <c r="S1293" s="4">
        <f t="shared" si="434"/>
        <v>0</v>
      </c>
      <c r="T1293" s="12">
        <f t="shared" si="438"/>
        <v>0</v>
      </c>
      <c r="Y1293" s="2"/>
      <c r="Z1293" s="2"/>
      <c r="AA1293" s="2"/>
      <c r="AB1293" s="2"/>
      <c r="AC1293" s="2"/>
    </row>
    <row r="1294" spans="1:29" hidden="1">
      <c r="A1294" s="2">
        <f t="shared" si="435"/>
        <v>37</v>
      </c>
      <c r="B1294" s="2" t="str">
        <f>VLOOKUP($A1294,Controle!$B$4:$F$68,2,FALSE)</f>
        <v>Paracatu 5</v>
      </c>
      <c r="C1294" s="2" t="str">
        <f>VLOOKUP($A1294,Controle!$B$4:$F$68,3,FALSE)</f>
        <v xml:space="preserve">ESTRELA DO NORTE </v>
      </c>
      <c r="D1294" s="2" t="str">
        <f>VLOOKUP($A1294,Controle!$B$4:$F$68,4,FALSE)</f>
        <v>EDN</v>
      </c>
      <c r="E1294" s="2">
        <f>VLOOKUP($A1294,Controle!$B$4:$F$68,5,FALSE)</f>
        <v>3</v>
      </c>
      <c r="F1294" s="3" t="str">
        <f t="shared" si="437"/>
        <v>GOS FLORESTAL - (PRAD - Recuperação Area Ambiental)</v>
      </c>
      <c r="G1294" s="2" t="str">
        <f>VLOOKUP($A1294,Controle!$B$4:$G$68,6,FALSE)</f>
        <v>Apolo</v>
      </c>
      <c r="H1294" s="506" t="s">
        <v>170</v>
      </c>
      <c r="I1294" s="6">
        <v>0</v>
      </c>
      <c r="J1294" s="506"/>
      <c r="K1294" s="506">
        <v>0</v>
      </c>
      <c r="L1294" s="506">
        <v>0</v>
      </c>
      <c r="M1294" s="506">
        <v>0</v>
      </c>
      <c r="N1294" s="506">
        <v>0</v>
      </c>
      <c r="O1294" s="39">
        <f t="shared" si="432"/>
        <v>0</v>
      </c>
      <c r="P1294" s="17">
        <f>SUMIFS('Desenvolvimento diário'!$H:$H,'Desenvolvimento diário'!$Q:$Q,$B1294,'Desenvolvimento diário'!$P:$P,$F1294,'Desenvolvimento diário'!$R:$R,"Sim")</f>
        <v>0</v>
      </c>
      <c r="Q1294" s="17">
        <f>SUMIFS('Desenvolvimento diário'!$H:$H,'Desenvolvimento diário'!$Q:$Q,$B1294,'Desenvolvimento diário'!$P:$P,$F1294,'Desenvolvimento diário'!$R:$R,"Não")</f>
        <v>0</v>
      </c>
      <c r="R1294" s="4">
        <f t="shared" si="433"/>
        <v>0</v>
      </c>
      <c r="S1294" s="4">
        <f t="shared" si="434"/>
        <v>0</v>
      </c>
      <c r="T1294" s="12">
        <f t="shared" si="438"/>
        <v>0</v>
      </c>
      <c r="Y1294" s="2"/>
      <c r="Z1294" s="2"/>
      <c r="AA1294" s="2"/>
      <c r="AB1294" s="2"/>
      <c r="AC1294" s="2"/>
    </row>
    <row r="1295" spans="1:29" hidden="1">
      <c r="A1295" s="2">
        <f t="shared" si="435"/>
        <v>37</v>
      </c>
      <c r="B1295" s="2" t="str">
        <f>VLOOKUP($A1295,Controle!$B$4:$F$68,2,FALSE)</f>
        <v>Paracatu 5</v>
      </c>
      <c r="C1295" s="2" t="str">
        <f>VLOOKUP($A1295,Controle!$B$4:$F$68,3,FALSE)</f>
        <v xml:space="preserve">ESTRELA DO NORTE </v>
      </c>
      <c r="D1295" s="2" t="str">
        <f>VLOOKUP($A1295,Controle!$B$4:$F$68,4,FALSE)</f>
        <v>EDN</v>
      </c>
      <c r="E1295" s="2">
        <f>VLOOKUP($A1295,Controle!$B$4:$F$68,5,FALSE)</f>
        <v>3</v>
      </c>
      <c r="F1295" s="3" t="str">
        <f t="shared" si="437"/>
        <v>Cercamento das bacias de contenção ciclo 2</v>
      </c>
      <c r="G1295" s="2" t="str">
        <f>VLOOKUP($A1295,Controle!$B$4:$G$68,6,FALSE)</f>
        <v>Apolo</v>
      </c>
      <c r="H1295" s="506" t="s">
        <v>172</v>
      </c>
      <c r="I1295" s="6"/>
      <c r="J1295" s="506"/>
      <c r="K1295" s="506">
        <v>0</v>
      </c>
      <c r="L1295" s="506">
        <v>0</v>
      </c>
      <c r="M1295" s="506">
        <v>0</v>
      </c>
      <c r="N1295" s="506">
        <v>0</v>
      </c>
      <c r="O1295" s="39">
        <f t="shared" si="432"/>
        <v>0</v>
      </c>
      <c r="P1295" s="17">
        <f>SUMIFS('Desenvolvimento diário'!$H:$H,'Desenvolvimento diário'!$Q:$Q,$B1295,'Desenvolvimento diário'!$P:$P,$F1295,'Desenvolvimento diário'!$R:$R,"Sim")</f>
        <v>0</v>
      </c>
      <c r="Q1295" s="17">
        <f>SUMIFS('Desenvolvimento diário'!$H:$H,'Desenvolvimento diário'!$Q:$Q,$B1295,'Desenvolvimento diário'!$P:$P,$F1295,'Desenvolvimento diário'!$R:$R,"Não")</f>
        <v>0</v>
      </c>
      <c r="R1295" s="4">
        <f t="shared" si="433"/>
        <v>0</v>
      </c>
      <c r="S1295" s="1030">
        <f t="shared" si="434"/>
        <v>0</v>
      </c>
      <c r="T1295" s="12">
        <f t="shared" si="438"/>
        <v>0</v>
      </c>
      <c r="U1295" s="1029" t="s">
        <v>166</v>
      </c>
      <c r="V1295" s="1029" t="s">
        <v>94</v>
      </c>
      <c r="Y1295" s="2"/>
      <c r="Z1295" s="2"/>
      <c r="AA1295" s="2"/>
      <c r="AB1295" s="2"/>
      <c r="AC1295" s="2"/>
    </row>
    <row r="1296" spans="1:29" hidden="1">
      <c r="A1296" s="8">
        <f>A1293</f>
        <v>37</v>
      </c>
      <c r="B1296" s="9" t="str">
        <f t="shared" ref="B1296" si="439">B1293</f>
        <v>Paracatu 5</v>
      </c>
      <c r="C1296" s="9" t="str">
        <f t="shared" ref="C1296" si="440">C1293</f>
        <v xml:space="preserve">ESTRELA DO NORTE </v>
      </c>
      <c r="D1296" s="9" t="str">
        <f t="shared" ref="D1296" si="441">D1293</f>
        <v>EDN</v>
      </c>
      <c r="E1296" s="9">
        <f t="shared" ref="E1296" si="442">E1293</f>
        <v>3</v>
      </c>
      <c r="F1296" s="10" t="s">
        <v>158</v>
      </c>
      <c r="G1296" s="9" t="str">
        <f>G1293</f>
        <v>Apolo</v>
      </c>
      <c r="H1296" s="9"/>
      <c r="I1296" s="9">
        <f>SUBTOTAL(9,I1262:I1295)</f>
        <v>0</v>
      </c>
      <c r="J1296" s="9">
        <f t="shared" ref="J1296:S1296" si="443">SUBTOTAL(9,J1262:J1295)</f>
        <v>0</v>
      </c>
      <c r="K1296" s="9">
        <f t="shared" si="443"/>
        <v>0</v>
      </c>
      <c r="L1296" s="9">
        <f t="shared" si="443"/>
        <v>0</v>
      </c>
      <c r="M1296" s="9">
        <f t="shared" si="443"/>
        <v>0</v>
      </c>
      <c r="N1296" s="9">
        <f t="shared" si="443"/>
        <v>0</v>
      </c>
      <c r="O1296" s="9">
        <f t="shared" si="443"/>
        <v>0</v>
      </c>
      <c r="P1296" s="9">
        <f t="shared" si="443"/>
        <v>0</v>
      </c>
      <c r="Q1296" s="9">
        <f t="shared" si="443"/>
        <v>0</v>
      </c>
      <c r="R1296" s="9">
        <f t="shared" si="443"/>
        <v>0</v>
      </c>
      <c r="S1296" s="9">
        <f t="shared" si="443"/>
        <v>0</v>
      </c>
      <c r="T1296" s="13">
        <f>IFERROR(R1296/O1296,0)</f>
        <v>0</v>
      </c>
      <c r="U1296" s="11">
        <f>SUBTOTAL(9,U1262:U1295)</f>
        <v>0</v>
      </c>
      <c r="Y1296" s="2"/>
      <c r="Z1296" s="2"/>
      <c r="AA1296" s="2"/>
      <c r="AB1296" s="2"/>
      <c r="AC1296" s="2"/>
    </row>
    <row r="1297" spans="1:29" ht="10.5" hidden="1">
      <c r="A1297" s="2">
        <f>A1262+1</f>
        <v>38</v>
      </c>
      <c r="B1297" s="2" t="str">
        <f>VLOOKUP($A1297,Controle!$B$4:$F$68,2,FALSE)</f>
        <v>Alfenas 4</v>
      </c>
      <c r="C1297" s="2" t="str">
        <f>VLOOKUP($A1297,Controle!$B$4:$F$68,3,FALSE)</f>
        <v>MORI MINAS V</v>
      </c>
      <c r="D1297" s="2" t="str">
        <f>VLOOKUP($A1297,Controle!$B$4:$F$68,4,FALSE)</f>
        <v>NewCo V</v>
      </c>
      <c r="E1297" s="2">
        <f>VLOOKUP($A1297,Controle!$B$4:$F$68,5,FALSE)</f>
        <v>2</v>
      </c>
      <c r="F1297" s="3" t="str">
        <f>F1262</f>
        <v>Conexão AT - Obras</v>
      </c>
      <c r="G1297" s="2" t="str">
        <f>VLOOKUP($A1297,Controle!$B$4:$G$68,6,FALSE)</f>
        <v>Solatio</v>
      </c>
      <c r="H1297" s="6" t="s">
        <v>141</v>
      </c>
      <c r="I1297" s="29">
        <v>50000</v>
      </c>
      <c r="J1297" s="6">
        <v>0</v>
      </c>
      <c r="K1297" s="6">
        <v>0</v>
      </c>
      <c r="L1297" s="6">
        <v>0</v>
      </c>
      <c r="M1297" s="6">
        <v>0</v>
      </c>
      <c r="N1297" s="6">
        <v>0</v>
      </c>
      <c r="O1297" s="4">
        <f t="shared" ref="O1297:O1330" si="444">SUM(I1297:N1297)</f>
        <v>50000</v>
      </c>
      <c r="P1297" s="5">
        <f>SUMIFS('Desenvolvimento diário'!$H:$H,'Desenvolvimento diário'!$Q:$Q,$B1297,'Desenvolvimento diário'!$P:$P,$F1297,'Desenvolvimento diário'!$R:$R,"Sim")</f>
        <v>400</v>
      </c>
      <c r="Q1297" s="5">
        <f>SUMIFS('Desenvolvimento diário'!$H:$H,'Desenvolvimento diário'!$Q:$Q,$B1297,'Desenvolvimento diário'!$P:$P,$F1297,'Desenvolvimento diário'!$R:$R,"Não")</f>
        <v>49600</v>
      </c>
      <c r="R1297" s="4">
        <f t="shared" ref="R1297:R1330" si="445">SUM(P1297:Q1297)</f>
        <v>50000</v>
      </c>
      <c r="S1297" s="39">
        <f t="shared" ref="S1297:S1330" si="446">O1297-R1297</f>
        <v>0</v>
      </c>
      <c r="T1297" s="12">
        <f t="shared" si="438"/>
        <v>1</v>
      </c>
      <c r="Y1297" s="2"/>
      <c r="Z1297" s="2"/>
      <c r="AA1297" s="2"/>
      <c r="AB1297" s="2"/>
      <c r="AC1297" s="2"/>
    </row>
    <row r="1298" spans="1:29" ht="10.5" hidden="1">
      <c r="A1298" s="2">
        <f t="shared" ref="A1298:A1330" si="447">A1297</f>
        <v>38</v>
      </c>
      <c r="B1298" s="2" t="str">
        <f>VLOOKUP($A1298,Controle!$B$4:$F$68,2,FALSE)</f>
        <v>Alfenas 4</v>
      </c>
      <c r="C1298" s="2" t="str">
        <f>VLOOKUP($A1298,Controle!$B$4:$F$68,3,FALSE)</f>
        <v>MORI MINAS V</v>
      </c>
      <c r="D1298" s="2" t="str">
        <f>VLOOKUP($A1298,Controle!$B$4:$F$68,4,FALSE)</f>
        <v>NewCo V</v>
      </c>
      <c r="E1298" s="2">
        <f>VLOOKUP($A1298,Controle!$B$4:$F$68,5,FALSE)</f>
        <v>2</v>
      </c>
      <c r="F1298" s="3" t="str">
        <f>F1263</f>
        <v>Conexão MT - Obras</v>
      </c>
      <c r="G1298" s="2" t="str">
        <f>VLOOKUP($A1298,Controle!$B$4:$G$68,6,FALSE)</f>
        <v>Solatio</v>
      </c>
      <c r="H1298" s="6" t="s">
        <v>141</v>
      </c>
      <c r="I1298" s="6">
        <v>1143286.05</v>
      </c>
      <c r="J1298" s="6">
        <v>213042.56</v>
      </c>
      <c r="K1298" s="6">
        <v>1491499.77</v>
      </c>
      <c r="L1298" s="6">
        <v>1124845.8700000001</v>
      </c>
      <c r="M1298" s="6">
        <v>0</v>
      </c>
      <c r="N1298" s="6">
        <v>0</v>
      </c>
      <c r="O1298" s="4">
        <f>SUM(I1298:N1298)</f>
        <v>3972674.25</v>
      </c>
      <c r="P1298" s="5">
        <f>SUMIFS('Desenvolvimento diário'!$H:$H,'Desenvolvimento diário'!$Q:$Q,$B1298,'Desenvolvimento diário'!$P:$P,$F1298,'Desenvolvimento diário'!$R:$R,"Sim")</f>
        <v>2049779.7799999998</v>
      </c>
      <c r="Q1298" s="5">
        <f>SUMIFS('Desenvolvimento diário'!$H:$H,'Desenvolvimento diário'!$Q:$Q,$B1298,'Desenvolvimento diário'!$P:$P,$F1298,'Desenvolvimento diário'!$R:$R,"Não")</f>
        <v>1922894.47</v>
      </c>
      <c r="R1298" s="4">
        <f t="shared" si="445"/>
        <v>3972674.25</v>
      </c>
      <c r="S1298" s="27">
        <f t="shared" si="446"/>
        <v>0</v>
      </c>
      <c r="T1298" s="12">
        <f t="shared" si="438"/>
        <v>1</v>
      </c>
      <c r="Y1298" s="2"/>
      <c r="Z1298" s="2"/>
      <c r="AA1298" s="2"/>
      <c r="AB1298" s="2"/>
      <c r="AC1298" s="2"/>
    </row>
    <row r="1299" spans="1:29" ht="10.5" hidden="1">
      <c r="A1299" s="2">
        <f t="shared" si="447"/>
        <v>38</v>
      </c>
      <c r="B1299" s="2" t="str">
        <f>VLOOKUP($A1299,Controle!$B$4:$F$68,2,FALSE)</f>
        <v>Alfenas 4</v>
      </c>
      <c r="C1299" s="2" t="str">
        <f>VLOOKUP($A1299,Controle!$B$4:$F$68,3,FALSE)</f>
        <v>MORI MINAS V</v>
      </c>
      <c r="D1299" s="2" t="str">
        <f>VLOOKUP($A1299,Controle!$B$4:$F$68,4,FALSE)</f>
        <v>NewCo V</v>
      </c>
      <c r="E1299" s="2">
        <f>VLOOKUP($A1299,Controle!$B$4:$F$68,5,FALSE)</f>
        <v>2</v>
      </c>
      <c r="F1299" s="3" t="str">
        <f>F1264</f>
        <v>Construção - Serviços de Construção</v>
      </c>
      <c r="G1299" s="2" t="str">
        <f>VLOOKUP($A1299,Controle!$B$4:$G$68,6,FALSE)</f>
        <v>Solatio</v>
      </c>
      <c r="H1299" s="6" t="s">
        <v>147</v>
      </c>
      <c r="I1299" s="6">
        <v>2691000</v>
      </c>
      <c r="J1299" s="6">
        <v>49665</v>
      </c>
      <c r="K1299" s="6">
        <v>52647</v>
      </c>
      <c r="L1299" s="6">
        <v>42155.08</v>
      </c>
      <c r="M1299" s="6">
        <v>378047.19</v>
      </c>
      <c r="N1299" s="6">
        <v>352296.21</v>
      </c>
      <c r="O1299" s="4">
        <f t="shared" si="444"/>
        <v>3565810.48</v>
      </c>
      <c r="P1299" s="5">
        <f>SUMIFS('Desenvolvimento diário'!$H:$H,'Desenvolvimento diário'!$Q:$Q,$B1299,'Desenvolvimento diário'!$P:$P,$F1299,'Desenvolvimento diário'!$R:$R,"Sim")</f>
        <v>1787319.3599999999</v>
      </c>
      <c r="Q1299" s="5">
        <f>SUMIFS('Desenvolvimento diário'!$H:$H,'Desenvolvimento diário'!$Q:$Q,$B1299,'Desenvolvimento diário'!$P:$P,$F1299,'Desenvolvimento diário'!$R:$R,"Não")</f>
        <v>1767721.26</v>
      </c>
      <c r="R1299" s="4">
        <f t="shared" si="445"/>
        <v>3555040.62</v>
      </c>
      <c r="S1299" s="33">
        <f t="shared" si="446"/>
        <v>10769.85999999987</v>
      </c>
      <c r="T1299" s="12">
        <f t="shared" si="438"/>
        <v>0.9969796880511721</v>
      </c>
      <c r="U1299" s="510" t="s">
        <v>162</v>
      </c>
      <c r="V1299" s="510" t="s">
        <v>163</v>
      </c>
      <c r="Y1299" s="2"/>
      <c r="Z1299" s="2"/>
      <c r="AA1299" s="2"/>
      <c r="AB1299" s="2"/>
      <c r="AC1299" s="2"/>
    </row>
    <row r="1300" spans="1:29" ht="10.5" hidden="1">
      <c r="A1300" s="2">
        <f t="shared" si="447"/>
        <v>38</v>
      </c>
      <c r="B1300" s="2" t="str">
        <f>VLOOKUP($A1300,Controle!$B$4:$F$68,2,FALSE)</f>
        <v>Alfenas 4</v>
      </c>
      <c r="C1300" s="2" t="str">
        <f>VLOOKUP($A1300,Controle!$B$4:$F$68,3,FALSE)</f>
        <v>MORI MINAS V</v>
      </c>
      <c r="D1300" s="2" t="str">
        <f>VLOOKUP($A1300,Controle!$B$4:$F$68,4,FALSE)</f>
        <v>NewCo V</v>
      </c>
      <c r="E1300" s="2">
        <f>VLOOKUP($A1300,Controle!$B$4:$F$68,5,FALSE)</f>
        <v>2</v>
      </c>
      <c r="F1300" s="3" t="str">
        <f>F1265</f>
        <v>Construção - Serviços de Construção - Substituição</v>
      </c>
      <c r="G1300" s="2" t="str">
        <f>VLOOKUP($A1300,Controle!$B$4:$G$68,6,FALSE)</f>
        <v>Solatio</v>
      </c>
      <c r="H1300" s="6">
        <v>0</v>
      </c>
      <c r="I1300" s="6">
        <v>0</v>
      </c>
      <c r="J1300" s="6">
        <v>0</v>
      </c>
      <c r="K1300" s="6">
        <v>0</v>
      </c>
      <c r="L1300" s="6">
        <v>0</v>
      </c>
      <c r="M1300" s="6">
        <v>0</v>
      </c>
      <c r="N1300" s="6">
        <v>0</v>
      </c>
      <c r="O1300" s="4">
        <f t="shared" si="444"/>
        <v>0</v>
      </c>
      <c r="P1300" s="5">
        <f>SUMIFS('Desenvolvimento diário'!$H:$H,'Desenvolvimento diário'!$Q:$Q,$B1300,'Desenvolvimento diário'!$P:$P,$F1300,'Desenvolvimento diário'!$R:$R,"Sim")</f>
        <v>0</v>
      </c>
      <c r="Q1300" s="5">
        <f>SUMIFS('Desenvolvimento diário'!$H:$H,'Desenvolvimento diário'!$Q:$Q,$B1300,'Desenvolvimento diário'!$P:$P,$F1300,'Desenvolvimento diário'!$R:$R,"Não")</f>
        <v>0</v>
      </c>
      <c r="R1300" s="4">
        <f t="shared" si="445"/>
        <v>0</v>
      </c>
      <c r="S1300" s="4">
        <f t="shared" si="446"/>
        <v>0</v>
      </c>
      <c r="T1300" s="12">
        <f t="shared" si="438"/>
        <v>0</v>
      </c>
      <c r="Y1300" s="2"/>
      <c r="Z1300" s="2"/>
      <c r="AA1300" s="2"/>
      <c r="AB1300" s="2"/>
      <c r="AC1300" s="2"/>
    </row>
    <row r="1301" spans="1:29" ht="10.5" hidden="1">
      <c r="A1301" s="2">
        <f t="shared" si="447"/>
        <v>38</v>
      </c>
      <c r="B1301" s="34" t="str">
        <f>VLOOKUP($A1301,Controle!$B$4:$F$68,2,FALSE)</f>
        <v>Alfenas 4</v>
      </c>
      <c r="C1301" s="2" t="str">
        <f>VLOOKUP($A1301,Controle!$B$4:$F$68,3,FALSE)</f>
        <v>MORI MINAS V</v>
      </c>
      <c r="D1301" s="2" t="str">
        <f>VLOOKUP($A1301,Controle!$B$4:$F$68,4,FALSE)</f>
        <v>NewCo V</v>
      </c>
      <c r="E1301" s="2">
        <f>VLOOKUP($A1301,Controle!$B$4:$F$68,5,FALSE)</f>
        <v>2</v>
      </c>
      <c r="F1301" s="3" t="str">
        <f>F1266</f>
        <v>Construção - RDA Interno</v>
      </c>
      <c r="G1301" s="2" t="str">
        <f>VLOOKUP($A1301,Controle!$B$4:$G$68,6,FALSE)</f>
        <v>Solatio</v>
      </c>
      <c r="H1301" s="6" t="s">
        <v>143</v>
      </c>
      <c r="I1301" s="6">
        <v>396969.3</v>
      </c>
      <c r="J1301" s="6">
        <v>6400</v>
      </c>
      <c r="K1301" s="6">
        <v>7304.5454</v>
      </c>
      <c r="L1301" s="6">
        <v>0</v>
      </c>
      <c r="M1301" s="6">
        <v>0</v>
      </c>
      <c r="N1301" s="6">
        <v>0</v>
      </c>
      <c r="O1301" s="4">
        <f>SUM(I1301:N1301)-0.0454</f>
        <v>410673.8</v>
      </c>
      <c r="P1301" s="5">
        <f>SUMIFS('Desenvolvimento diário'!$H:$H,'Desenvolvimento diário'!$Q:$Q,$B1301,'Desenvolvimento diário'!$P:$P,$F1301,'Desenvolvimento diário'!$R:$R,"Sim")</f>
        <v>0</v>
      </c>
      <c r="Q1301" s="5">
        <f>SUMIFS('Desenvolvimento diário'!$H:$H,'Desenvolvimento diário'!$Q:$Q,$B1301,'Desenvolvimento diário'!$P:$P,$F1301,'Desenvolvimento diário'!$R:$R,"Não")</f>
        <v>410673.8</v>
      </c>
      <c r="R1301" s="4">
        <f t="shared" si="445"/>
        <v>410673.8</v>
      </c>
      <c r="S1301" s="176">
        <f t="shared" si="446"/>
        <v>0</v>
      </c>
      <c r="T1301" s="12">
        <f t="shared" si="438"/>
        <v>1</v>
      </c>
      <c r="Y1301" s="2"/>
      <c r="Z1301" s="2"/>
      <c r="AA1301" s="2"/>
      <c r="AB1301" s="2"/>
      <c r="AC1301" s="2"/>
    </row>
    <row r="1302" spans="1:29" ht="10.5" hidden="1">
      <c r="A1302" s="2">
        <f t="shared" si="447"/>
        <v>38</v>
      </c>
      <c r="B1302" s="2" t="str">
        <f>VLOOKUP($A1302,Controle!$B$4:$F$68,2,FALSE)</f>
        <v>Alfenas 4</v>
      </c>
      <c r="C1302" s="2" t="str">
        <f>VLOOKUP($A1302,Controle!$B$4:$F$68,3,FALSE)</f>
        <v>MORI MINAS V</v>
      </c>
      <c r="D1302" s="2" t="str">
        <f>VLOOKUP($A1302,Controle!$B$4:$F$68,4,FALSE)</f>
        <v>NewCo V</v>
      </c>
      <c r="E1302" s="2">
        <f>VLOOKUP($A1302,Controle!$B$4:$F$68,5,FALSE)</f>
        <v>2</v>
      </c>
      <c r="F1302" s="3" t="str">
        <f>F1267</f>
        <v>Full EPC - Contrato</v>
      </c>
      <c r="G1302" s="2" t="str">
        <f>VLOOKUP($A1302,Controle!$B$4:$G$68,6,FALSE)</f>
        <v>Solatio</v>
      </c>
      <c r="H1302" s="6">
        <v>0</v>
      </c>
      <c r="I1302" s="6">
        <v>0</v>
      </c>
      <c r="J1302" s="6">
        <v>0</v>
      </c>
      <c r="K1302" s="6">
        <v>0</v>
      </c>
      <c r="L1302" s="6">
        <v>0</v>
      </c>
      <c r="M1302" s="6">
        <v>0</v>
      </c>
      <c r="N1302" s="6">
        <v>0</v>
      </c>
      <c r="O1302" s="4">
        <f t="shared" si="444"/>
        <v>0</v>
      </c>
      <c r="P1302" s="5">
        <f>SUMIFS('Desenvolvimento diário'!$H:$H,'Desenvolvimento diário'!$Q:$Q,$B1302,'Desenvolvimento diário'!$P:$P,$F1302,'Desenvolvimento diário'!$R:$R,"Sim")</f>
        <v>0</v>
      </c>
      <c r="Q1302" s="5">
        <f>SUMIFS('Desenvolvimento diário'!$H:$H,'Desenvolvimento diário'!$Q:$Q,$B1302,'Desenvolvimento diário'!$P:$P,$F1302,'Desenvolvimento diário'!$R:$R,"Não")</f>
        <v>0</v>
      </c>
      <c r="R1302" s="4">
        <f t="shared" si="445"/>
        <v>0</v>
      </c>
      <c r="S1302" s="4">
        <f t="shared" si="446"/>
        <v>0</v>
      </c>
      <c r="T1302" s="12">
        <f t="shared" si="438"/>
        <v>0</v>
      </c>
      <c r="Y1302" s="2"/>
      <c r="Z1302" s="2"/>
      <c r="AA1302" s="2"/>
      <c r="AB1302" s="2"/>
      <c r="AC1302" s="2"/>
    </row>
    <row r="1303" spans="1:29" ht="10.5" hidden="1">
      <c r="A1303" s="2">
        <f t="shared" si="447"/>
        <v>38</v>
      </c>
      <c r="B1303" s="2" t="str">
        <f>VLOOKUP($A1303,Controle!$B$4:$F$68,2,FALSE)</f>
        <v>Alfenas 4</v>
      </c>
      <c r="C1303" s="2" t="str">
        <f>VLOOKUP($A1303,Controle!$B$4:$F$68,3,FALSE)</f>
        <v>MORI MINAS V</v>
      </c>
      <c r="D1303" s="2" t="str">
        <f>VLOOKUP($A1303,Controle!$B$4:$F$68,4,FALSE)</f>
        <v>NewCo V</v>
      </c>
      <c r="E1303" s="2">
        <f>VLOOKUP($A1303,Controle!$B$4:$F$68,5,FALSE)</f>
        <v>2</v>
      </c>
      <c r="F1303" s="3" t="str">
        <f>F1268</f>
        <v>Equipamentos Curva A - Outros (Transformadores)</v>
      </c>
      <c r="G1303" s="2" t="str">
        <f>VLOOKUP($A1303,Controle!$B$4:$G$68,6,FALSE)</f>
        <v>Solatio</v>
      </c>
      <c r="H1303" s="6">
        <v>0</v>
      </c>
      <c r="I1303" s="6">
        <v>0</v>
      </c>
      <c r="J1303" s="6">
        <v>0</v>
      </c>
      <c r="K1303" s="6">
        <v>0</v>
      </c>
      <c r="L1303" s="6">
        <v>0</v>
      </c>
      <c r="M1303" s="6">
        <v>0</v>
      </c>
      <c r="N1303" s="6">
        <v>0</v>
      </c>
      <c r="O1303" s="4">
        <f t="shared" si="444"/>
        <v>0</v>
      </c>
      <c r="P1303" s="5">
        <f>SUMIFS('Desenvolvimento diário'!$H:$H,'Desenvolvimento diário'!$Q:$Q,$B1303,'Desenvolvimento diário'!$P:$P,$F1303,'Desenvolvimento diário'!$R:$R,"Sim")</f>
        <v>0</v>
      </c>
      <c r="Q1303" s="5">
        <f>SUMIFS('Desenvolvimento diário'!$H:$H,'Desenvolvimento diário'!$Q:$Q,$B1303,'Desenvolvimento diário'!$P:$P,$F1303,'Desenvolvimento diário'!$R:$R,"Não")</f>
        <v>0</v>
      </c>
      <c r="R1303" s="4">
        <f t="shared" si="445"/>
        <v>0</v>
      </c>
      <c r="S1303" s="4">
        <f t="shared" si="446"/>
        <v>0</v>
      </c>
      <c r="T1303" s="12">
        <f t="shared" si="438"/>
        <v>0</v>
      </c>
      <c r="Y1303" s="2"/>
      <c r="Z1303" s="2"/>
      <c r="AA1303" s="2"/>
      <c r="AB1303" s="2"/>
      <c r="AC1303" s="2"/>
    </row>
    <row r="1304" spans="1:29" ht="10.5" hidden="1">
      <c r="A1304" s="2">
        <f t="shared" si="447"/>
        <v>38</v>
      </c>
      <c r="B1304" s="2" t="str">
        <f>VLOOKUP($A1304,Controle!$B$4:$F$68,2,FALSE)</f>
        <v>Alfenas 4</v>
      </c>
      <c r="C1304" s="2" t="str">
        <f>VLOOKUP($A1304,Controle!$B$4:$F$68,3,FALSE)</f>
        <v>MORI MINAS V</v>
      </c>
      <c r="D1304" s="2" t="str">
        <f>VLOOKUP($A1304,Controle!$B$4:$F$68,4,FALSE)</f>
        <v>NewCo V</v>
      </c>
      <c r="E1304" s="2">
        <f>VLOOKUP($A1304,Controle!$B$4:$F$68,5,FALSE)</f>
        <v>2</v>
      </c>
      <c r="F1304" s="3" t="str">
        <f>F1269</f>
        <v>Equipamentos Curva A - Outros (Cabine + Skid)</v>
      </c>
      <c r="G1304" s="2" t="str">
        <f>VLOOKUP($A1304,Controle!$B$4:$G$68,6,FALSE)</f>
        <v>Solatio</v>
      </c>
      <c r="H1304" s="6">
        <v>0</v>
      </c>
      <c r="I1304" s="6">
        <v>0</v>
      </c>
      <c r="J1304" s="6">
        <v>0</v>
      </c>
      <c r="K1304" s="6">
        <v>0</v>
      </c>
      <c r="L1304" s="6">
        <v>0</v>
      </c>
      <c r="M1304" s="6">
        <v>0</v>
      </c>
      <c r="N1304" s="6">
        <v>0</v>
      </c>
      <c r="O1304" s="4">
        <f t="shared" si="444"/>
        <v>0</v>
      </c>
      <c r="P1304" s="5">
        <f>SUMIFS('Desenvolvimento diário'!$H:$H,'Desenvolvimento diário'!$Q:$Q,$B1304,'Desenvolvimento diário'!$P:$P,$F1304,'Desenvolvimento diário'!$R:$R,"Sim")</f>
        <v>0</v>
      </c>
      <c r="Q1304" s="5">
        <f>SUMIFS('Desenvolvimento diário'!$H:$H,'Desenvolvimento diário'!$Q:$Q,$B1304,'Desenvolvimento diário'!$P:$P,$F1304,'Desenvolvimento diário'!$R:$R,"Não")</f>
        <v>0</v>
      </c>
      <c r="R1304" s="4">
        <f t="shared" si="445"/>
        <v>0</v>
      </c>
      <c r="S1304" s="4">
        <f t="shared" si="446"/>
        <v>0</v>
      </c>
      <c r="T1304" s="12">
        <f t="shared" si="438"/>
        <v>0</v>
      </c>
      <c r="Y1304" s="2"/>
      <c r="Z1304" s="2"/>
      <c r="AA1304" s="2"/>
      <c r="AB1304" s="2"/>
      <c r="AC1304" s="2"/>
    </row>
    <row r="1305" spans="1:29" ht="10.5" hidden="1">
      <c r="A1305" s="2">
        <f t="shared" si="447"/>
        <v>38</v>
      </c>
      <c r="B1305" s="2" t="str">
        <f>VLOOKUP($A1305,Controle!$B$4:$F$68,2,FALSE)</f>
        <v>Alfenas 4</v>
      </c>
      <c r="C1305" s="2" t="str">
        <f>VLOOKUP($A1305,Controle!$B$4:$F$68,3,FALSE)</f>
        <v>MORI MINAS V</v>
      </c>
      <c r="D1305" s="2" t="str">
        <f>VLOOKUP($A1305,Controle!$B$4:$F$68,4,FALSE)</f>
        <v>NewCo V</v>
      </c>
      <c r="E1305" s="2">
        <f>VLOOKUP($A1305,Controle!$B$4:$F$68,5,FALSE)</f>
        <v>2</v>
      </c>
      <c r="F1305" s="3" t="str">
        <f>F1270</f>
        <v>Equipamentos Curva A - Outros (Cabine + Skid + Transformador)</v>
      </c>
      <c r="G1305" s="2" t="str">
        <f>VLOOKUP($A1305,Controle!$B$4:$G$68,6,FALSE)</f>
        <v>Solatio</v>
      </c>
      <c r="H1305" s="6" t="s">
        <v>144</v>
      </c>
      <c r="I1305" s="6">
        <v>1272043.6767779998</v>
      </c>
      <c r="J1305" s="6">
        <v>0</v>
      </c>
      <c r="K1305" s="6">
        <v>0</v>
      </c>
      <c r="L1305" s="6">
        <v>0</v>
      </c>
      <c r="M1305" s="6">
        <v>0</v>
      </c>
      <c r="N1305" s="6">
        <v>0</v>
      </c>
      <c r="O1305" s="4">
        <f t="shared" si="444"/>
        <v>1272043.6767779998</v>
      </c>
      <c r="P1305" s="5">
        <f>SUMIFS('Desenvolvimento diário'!$H:$H,'Desenvolvimento diário'!$Q:$Q,$B1305,'Desenvolvimento diário'!$P:$P,$F1305,'Desenvolvimento diário'!$R:$R,"Sim")</f>
        <v>0</v>
      </c>
      <c r="Q1305" s="5">
        <f>SUMIFS('Desenvolvimento diário'!$H:$H,'Desenvolvimento diário'!$Q:$Q,$B1305,'Desenvolvimento diário'!$P:$P,$F1305,'Desenvolvimento diário'!$R:$R,"Não")</f>
        <v>1272043.6767779998</v>
      </c>
      <c r="R1305" s="4">
        <f t="shared" si="445"/>
        <v>1272043.6767779998</v>
      </c>
      <c r="S1305" s="4">
        <f t="shared" si="446"/>
        <v>0</v>
      </c>
      <c r="T1305" s="12">
        <f t="shared" si="438"/>
        <v>1</v>
      </c>
      <c r="Y1305" s="2"/>
      <c r="Z1305" s="2"/>
      <c r="AA1305" s="2"/>
      <c r="AB1305" s="2"/>
      <c r="AC1305" s="2"/>
    </row>
    <row r="1306" spans="1:29" ht="10.5" hidden="1">
      <c r="A1306" s="2">
        <f t="shared" si="447"/>
        <v>38</v>
      </c>
      <c r="B1306" s="2" t="str">
        <f>VLOOKUP($A1306,Controle!$B$4:$F$68,2,FALSE)</f>
        <v>Alfenas 4</v>
      </c>
      <c r="C1306" s="2" t="str">
        <f>VLOOKUP($A1306,Controle!$B$4:$F$68,3,FALSE)</f>
        <v>MORI MINAS V</v>
      </c>
      <c r="D1306" s="2" t="str">
        <f>VLOOKUP($A1306,Controle!$B$4:$F$68,4,FALSE)</f>
        <v>NewCo V</v>
      </c>
      <c r="E1306" s="2">
        <f>VLOOKUP($A1306,Controle!$B$4:$F$68,5,FALSE)</f>
        <v>2</v>
      </c>
      <c r="F1306" s="3" t="str">
        <f>F1271</f>
        <v>Desenvolvimento de projeto - Projetos - (Eng° Proprietario)</v>
      </c>
      <c r="G1306" s="2" t="str">
        <f>VLOOKUP($A1306,Controle!$B$4:$G$68,6,FALSE)</f>
        <v>Solatio</v>
      </c>
      <c r="H1306" s="6" t="s">
        <v>145</v>
      </c>
      <c r="I1306" s="6">
        <v>0</v>
      </c>
      <c r="J1306" s="6">
        <v>0</v>
      </c>
      <c r="K1306" s="6">
        <v>0</v>
      </c>
      <c r="L1306" s="6">
        <v>0</v>
      </c>
      <c r="M1306" s="6">
        <v>0</v>
      </c>
      <c r="N1306" s="6">
        <v>0</v>
      </c>
      <c r="O1306" s="4">
        <f t="shared" si="444"/>
        <v>0</v>
      </c>
      <c r="P1306" s="5">
        <f>SUMIFS('Desenvolvimento diário'!$H:$H,'Desenvolvimento diário'!$Q:$Q,$B1306,'Desenvolvimento diário'!$P:$P,$F1306,'Desenvolvimento diário'!$R:$R,"Sim")</f>
        <v>0</v>
      </c>
      <c r="Q1306" s="5">
        <f>SUMIFS('Desenvolvimento diário'!$H:$H,'Desenvolvimento diário'!$Q:$Q,$B1306,'Desenvolvimento diário'!$P:$P,$F1306,'Desenvolvimento diário'!$R:$R,"Não")</f>
        <v>0</v>
      </c>
      <c r="R1306" s="4">
        <f t="shared" si="445"/>
        <v>0</v>
      </c>
      <c r="S1306" s="4">
        <f t="shared" si="446"/>
        <v>0</v>
      </c>
      <c r="T1306" s="12">
        <f t="shared" si="438"/>
        <v>0</v>
      </c>
      <c r="Y1306" s="2"/>
      <c r="Z1306" s="2"/>
      <c r="AA1306" s="2"/>
      <c r="AB1306" s="2"/>
      <c r="AC1306" s="2"/>
    </row>
    <row r="1307" spans="1:29" ht="10.5" hidden="1">
      <c r="A1307" s="2">
        <f t="shared" si="447"/>
        <v>38</v>
      </c>
      <c r="B1307" s="2" t="str">
        <f>VLOOKUP($A1307,Controle!$B$4:$F$68,2,FALSE)</f>
        <v>Alfenas 4</v>
      </c>
      <c r="C1307" s="2" t="str">
        <f>VLOOKUP($A1307,Controle!$B$4:$F$68,3,FALSE)</f>
        <v>MORI MINAS V</v>
      </c>
      <c r="D1307" s="2" t="str">
        <f>VLOOKUP($A1307,Controle!$B$4:$F$68,4,FALSE)</f>
        <v>NewCo V</v>
      </c>
      <c r="E1307" s="2">
        <f>VLOOKUP($A1307,Controle!$B$4:$F$68,5,FALSE)</f>
        <v>2</v>
      </c>
      <c r="F1307" s="3" t="str">
        <f t="shared" ref="F1307:F1330" si="448">F1272</f>
        <v>Desenvolvimento de projeto - Projetos - Executivos</v>
      </c>
      <c r="G1307" s="2" t="str">
        <f>VLOOKUP($A1307,Controle!$B$4:$G$68,6,FALSE)</f>
        <v>Solatio</v>
      </c>
      <c r="H1307" s="6">
        <v>0</v>
      </c>
      <c r="I1307" s="6">
        <v>0</v>
      </c>
      <c r="J1307" s="6">
        <v>0</v>
      </c>
      <c r="K1307" s="6">
        <v>0</v>
      </c>
      <c r="L1307" s="6">
        <v>0</v>
      </c>
      <c r="M1307" s="6">
        <v>0</v>
      </c>
      <c r="N1307" s="6">
        <v>0</v>
      </c>
      <c r="O1307" s="4">
        <f t="shared" si="444"/>
        <v>0</v>
      </c>
      <c r="P1307" s="5">
        <f>SUMIFS('Desenvolvimento diário'!$H:$H,'Desenvolvimento diário'!$Q:$Q,$B1307,'Desenvolvimento diário'!$P:$P,$F1307,'Desenvolvimento diário'!$R:$R,"Sim")</f>
        <v>0</v>
      </c>
      <c r="Q1307" s="5">
        <f>SUMIFS('Desenvolvimento diário'!$H:$H,'Desenvolvimento diário'!$Q:$Q,$B1307,'Desenvolvimento diário'!$P:$P,$F1307,'Desenvolvimento diário'!$R:$R,"Não")</f>
        <v>0</v>
      </c>
      <c r="R1307" s="4">
        <f t="shared" si="445"/>
        <v>0</v>
      </c>
      <c r="S1307" s="4">
        <f t="shared" si="446"/>
        <v>0</v>
      </c>
      <c r="T1307" s="12">
        <f t="shared" si="438"/>
        <v>0</v>
      </c>
      <c r="Y1307" s="2"/>
      <c r="Z1307" s="2"/>
      <c r="AA1307" s="2"/>
      <c r="AB1307" s="2"/>
      <c r="AC1307" s="2"/>
    </row>
    <row r="1308" spans="1:29" ht="10.5" hidden="1">
      <c r="A1308" s="2">
        <f t="shared" si="447"/>
        <v>38</v>
      </c>
      <c r="B1308" s="2" t="str">
        <f>VLOOKUP($A1308,Controle!$B$4:$F$68,2,FALSE)</f>
        <v>Alfenas 4</v>
      </c>
      <c r="C1308" s="2" t="str">
        <f>VLOOKUP($A1308,Controle!$B$4:$F$68,3,FALSE)</f>
        <v>MORI MINAS V</v>
      </c>
      <c r="D1308" s="2" t="str">
        <f>VLOOKUP($A1308,Controle!$B$4:$F$68,4,FALSE)</f>
        <v>NewCo V</v>
      </c>
      <c r="E1308" s="2">
        <f>VLOOKUP($A1308,Controle!$B$4:$F$68,5,FALSE)</f>
        <v>2</v>
      </c>
      <c r="F1308" s="3" t="str">
        <f t="shared" si="448"/>
        <v>Desenvolvimento de projeto - Projetos Básica</v>
      </c>
      <c r="G1308" s="2" t="str">
        <f>VLOOKUP($A1308,Controle!$B$4:$G$68,6,FALSE)</f>
        <v>Solatio</v>
      </c>
      <c r="H1308" s="6">
        <v>0</v>
      </c>
      <c r="I1308" s="6">
        <v>0</v>
      </c>
      <c r="J1308" s="6">
        <v>0</v>
      </c>
      <c r="K1308" s="6">
        <v>0</v>
      </c>
      <c r="L1308" s="6">
        <v>0</v>
      </c>
      <c r="M1308" s="6">
        <v>0</v>
      </c>
      <c r="N1308" s="6">
        <v>0</v>
      </c>
      <c r="O1308" s="4">
        <f t="shared" si="444"/>
        <v>0</v>
      </c>
      <c r="P1308" s="5">
        <f>SUMIFS('Desenvolvimento diário'!$H:$H,'Desenvolvimento diário'!$Q:$Q,$B1308,'Desenvolvimento diário'!$P:$P,$F1308,'Desenvolvimento diário'!$R:$R,"Sim")</f>
        <v>0</v>
      </c>
      <c r="Q1308" s="5">
        <f>SUMIFS('Desenvolvimento diário'!$H:$H,'Desenvolvimento diário'!$Q:$Q,$B1308,'Desenvolvimento diário'!$P:$P,$F1308,'Desenvolvimento diário'!$R:$R,"Não")</f>
        <v>0</v>
      </c>
      <c r="R1308" s="4">
        <f t="shared" si="445"/>
        <v>0</v>
      </c>
      <c r="S1308" s="4">
        <f t="shared" si="446"/>
        <v>0</v>
      </c>
      <c r="T1308" s="12">
        <f t="shared" si="438"/>
        <v>0</v>
      </c>
      <c r="Y1308" s="2"/>
      <c r="Z1308" s="2"/>
      <c r="AA1308" s="2"/>
      <c r="AB1308" s="2"/>
      <c r="AC1308" s="2"/>
    </row>
    <row r="1309" spans="1:29" ht="10.5" hidden="1">
      <c r="A1309" s="2">
        <f t="shared" si="447"/>
        <v>38</v>
      </c>
      <c r="B1309" s="2" t="str">
        <f>VLOOKUP($A1309,Controle!$B$4:$F$68,2,FALSE)</f>
        <v>Alfenas 4</v>
      </c>
      <c r="C1309" s="2" t="str">
        <f>VLOOKUP($A1309,Controle!$B$4:$F$68,3,FALSE)</f>
        <v>MORI MINAS V</v>
      </c>
      <c r="D1309" s="2" t="str">
        <f>VLOOKUP($A1309,Controle!$B$4:$F$68,4,FALSE)</f>
        <v>NewCo V</v>
      </c>
      <c r="E1309" s="2">
        <f>VLOOKUP($A1309,Controle!$B$4:$F$68,5,FALSE)</f>
        <v>2</v>
      </c>
      <c r="F1309" s="3" t="str">
        <f t="shared" si="448"/>
        <v>Desenvolvimento de projeto - Projetos Detalhada</v>
      </c>
      <c r="G1309" s="2" t="str">
        <f>VLOOKUP($A1309,Controle!$B$4:$G$68,6,FALSE)</f>
        <v>Solatio</v>
      </c>
      <c r="H1309" s="6" t="s">
        <v>147</v>
      </c>
      <c r="I1309" s="6">
        <f>93783-0.01667</f>
        <v>93782.983330000003</v>
      </c>
      <c r="J1309" s="6">
        <v>51850.15</v>
      </c>
      <c r="K1309" s="6">
        <v>0</v>
      </c>
      <c r="L1309" s="6">
        <v>0</v>
      </c>
      <c r="M1309" s="6">
        <v>0</v>
      </c>
      <c r="N1309" s="6">
        <v>0</v>
      </c>
      <c r="O1309" s="4">
        <f t="shared" si="444"/>
        <v>145633.13333000001</v>
      </c>
      <c r="P1309" s="5">
        <f>SUMIFS('Desenvolvimento diário'!$H:$H,'Desenvolvimento diário'!$Q:$Q,$B1309,'Desenvolvimento diário'!$P:$P,$F1309,'Desenvolvimento diário'!$R:$R,"Sim")</f>
        <v>0</v>
      </c>
      <c r="Q1309" s="5">
        <f>SUMIFS('Desenvolvimento diário'!$H:$H,'Desenvolvimento diário'!$Q:$Q,$B1309,'Desenvolvimento diário'!$P:$P,$F1309,'Desenvolvimento diário'!$R:$R,"Não")</f>
        <v>145633.13333000001</v>
      </c>
      <c r="R1309" s="4">
        <f t="shared" si="445"/>
        <v>145633.13333000001</v>
      </c>
      <c r="S1309" s="176">
        <f t="shared" si="446"/>
        <v>0</v>
      </c>
      <c r="T1309" s="12">
        <f t="shared" si="438"/>
        <v>1</v>
      </c>
      <c r="Y1309" s="2"/>
      <c r="Z1309" s="2"/>
      <c r="AA1309" s="2"/>
      <c r="AB1309" s="2"/>
      <c r="AC1309" s="2"/>
    </row>
    <row r="1310" spans="1:29" ht="10.5" hidden="1">
      <c r="A1310" s="2">
        <f t="shared" si="447"/>
        <v>38</v>
      </c>
      <c r="B1310" s="2" t="str">
        <f>VLOOKUP($A1310,Controle!$B$4:$F$68,2,FALSE)</f>
        <v>Alfenas 4</v>
      </c>
      <c r="C1310" s="2" t="str">
        <f>VLOOKUP($A1310,Controle!$B$4:$F$68,3,FALSE)</f>
        <v>MORI MINAS V</v>
      </c>
      <c r="D1310" s="2" t="str">
        <f>VLOOKUP($A1310,Controle!$B$4:$F$68,4,FALSE)</f>
        <v>NewCo V</v>
      </c>
      <c r="E1310" s="2">
        <f>VLOOKUP($A1310,Controle!$B$4:$F$68,5,FALSE)</f>
        <v>2</v>
      </c>
      <c r="F1310" s="3" t="str">
        <f t="shared" si="448"/>
        <v>Desenvolvimento de projeto - Ambiental / Outros</v>
      </c>
      <c r="G1310" s="2" t="str">
        <f>VLOOKUP($A1310,Controle!$B$4:$G$68,6,FALSE)</f>
        <v>Solatio</v>
      </c>
      <c r="H1310" s="6" t="s">
        <v>148</v>
      </c>
      <c r="I1310" s="6">
        <f>R1310</f>
        <v>92168.999999999985</v>
      </c>
      <c r="J1310" s="6">
        <v>0</v>
      </c>
      <c r="K1310" s="6">
        <v>0</v>
      </c>
      <c r="L1310" s="6">
        <v>0</v>
      </c>
      <c r="M1310" s="6">
        <v>0</v>
      </c>
      <c r="N1310" s="6">
        <v>0</v>
      </c>
      <c r="O1310" s="4">
        <f t="shared" si="444"/>
        <v>92168.999999999985</v>
      </c>
      <c r="P1310" s="5">
        <f>SUMIFS('Desenvolvimento diário'!$H:$H,'Desenvolvimento diário'!$Q:$Q,$B1310,'Desenvolvimento diário'!$P:$P,$F1310,'Desenvolvimento diário'!$R:$R,"Sim")</f>
        <v>0</v>
      </c>
      <c r="Q1310" s="5">
        <f>SUMIFS('Desenvolvimento diário'!$H:$H,'Desenvolvimento diário'!$Q:$Q,$B1310,'Desenvolvimento diário'!$P:$P,$F1310,'Desenvolvimento diário'!$R:$R,"Não")</f>
        <v>92168.999999999985</v>
      </c>
      <c r="R1310" s="4">
        <f t="shared" si="445"/>
        <v>92168.999999999985</v>
      </c>
      <c r="S1310" s="4">
        <f t="shared" si="446"/>
        <v>0</v>
      </c>
      <c r="T1310" s="12">
        <f t="shared" si="438"/>
        <v>1</v>
      </c>
      <c r="Y1310" s="2"/>
      <c r="Z1310" s="2"/>
      <c r="AA1310" s="2"/>
      <c r="AB1310" s="2"/>
      <c r="AC1310" s="2"/>
    </row>
    <row r="1311" spans="1:29" hidden="1">
      <c r="A1311" s="2">
        <f t="shared" si="447"/>
        <v>38</v>
      </c>
      <c r="B1311" s="2" t="str">
        <f>VLOOKUP($A1311,Controle!$B$4:$F$68,2,FALSE)</f>
        <v>Alfenas 4</v>
      </c>
      <c r="C1311" s="2" t="str">
        <f>VLOOKUP($A1311,Controle!$B$4:$F$68,3,FALSE)</f>
        <v>MORI MINAS V</v>
      </c>
      <c r="D1311" s="2" t="str">
        <f>VLOOKUP($A1311,Controle!$B$4:$F$68,4,FALSE)</f>
        <v>NewCo V</v>
      </c>
      <c r="E1311" s="2">
        <f>VLOOKUP($A1311,Controle!$B$4:$F$68,5,FALSE)</f>
        <v>2</v>
      </c>
      <c r="F1311" s="3" t="str">
        <f t="shared" si="448"/>
        <v>Desenvolvimento de projeto - Coordenograma</v>
      </c>
      <c r="G1311" s="2" t="str">
        <f>VLOOKUP($A1311,Controle!$B$4:$G$68,6,FALSE)</f>
        <v>Solatio</v>
      </c>
      <c r="H1311" s="31" t="s">
        <v>149</v>
      </c>
      <c r="I1311" s="31">
        <v>6206.9</v>
      </c>
      <c r="J1311" s="31">
        <v>0</v>
      </c>
      <c r="K1311" s="31">
        <v>0</v>
      </c>
      <c r="L1311" s="6">
        <v>0</v>
      </c>
      <c r="M1311" s="6">
        <v>0</v>
      </c>
      <c r="N1311" s="6">
        <v>0</v>
      </c>
      <c r="O1311" s="4">
        <f t="shared" si="444"/>
        <v>6206.9</v>
      </c>
      <c r="P1311" s="5">
        <f>SUMIFS('Desenvolvimento diário'!$H:$H,'Desenvolvimento diário'!$Q:$Q,$B1311,'Desenvolvimento diário'!$P:$P,$F1311,'Desenvolvimento diário'!$R:$R,"Sim")</f>
        <v>0</v>
      </c>
      <c r="Q1311" s="5">
        <f>SUMIFS('Desenvolvimento diário'!$H:$H,'Desenvolvimento diário'!$Q:$Q,$B1311,'Desenvolvimento diário'!$P:$P,$F1311,'Desenvolvimento diário'!$R:$R,"Não")</f>
        <v>6206.9</v>
      </c>
      <c r="R1311" s="4">
        <f t="shared" si="445"/>
        <v>6206.9</v>
      </c>
      <c r="S1311" s="4">
        <f t="shared" si="446"/>
        <v>0</v>
      </c>
      <c r="T1311" s="12">
        <f t="shared" si="438"/>
        <v>1</v>
      </c>
      <c r="Y1311" s="2"/>
      <c r="Z1311" s="2"/>
      <c r="AA1311" s="2"/>
      <c r="AB1311" s="2"/>
      <c r="AC1311" s="2"/>
    </row>
    <row r="1312" spans="1:29" ht="10.5" hidden="1">
      <c r="A1312" s="2">
        <f t="shared" si="447"/>
        <v>38</v>
      </c>
      <c r="B1312" s="2" t="str">
        <f>VLOOKUP($A1312,Controle!$B$4:$F$68,2,FALSE)</f>
        <v>Alfenas 4</v>
      </c>
      <c r="C1312" s="2" t="str">
        <f>VLOOKUP($A1312,Controle!$B$4:$F$68,3,FALSE)</f>
        <v>MORI MINAS V</v>
      </c>
      <c r="D1312" s="2" t="str">
        <f>VLOOKUP($A1312,Controle!$B$4:$F$68,4,FALSE)</f>
        <v>NewCo V</v>
      </c>
      <c r="E1312" s="2">
        <f>VLOOKUP($A1312,Controle!$B$4:$F$68,5,FALSE)</f>
        <v>2</v>
      </c>
      <c r="F1312" s="3" t="str">
        <f>F1277</f>
        <v>Sistemas de Monitoramento - Supervisório</v>
      </c>
      <c r="G1312" s="2" t="str">
        <f>VLOOKUP($A1312,Controle!$B$4:$G$68,6,FALSE)</f>
        <v>Solatio</v>
      </c>
      <c r="H1312" s="6" t="s">
        <v>150</v>
      </c>
      <c r="I1312" s="6">
        <f>136155+(0.01)</f>
        <v>136155.01</v>
      </c>
      <c r="J1312" s="6"/>
      <c r="K1312" s="6">
        <v>0</v>
      </c>
      <c r="L1312" s="6">
        <v>0</v>
      </c>
      <c r="M1312" s="6">
        <v>0</v>
      </c>
      <c r="N1312" s="6">
        <v>0</v>
      </c>
      <c r="O1312" s="4">
        <f t="shared" si="444"/>
        <v>136155.01</v>
      </c>
      <c r="P1312" s="5">
        <f>SUMIFS('Desenvolvimento diário'!$H:$H,'Desenvolvimento diário'!$Q:$Q,$B1312,'Desenvolvimento diário'!$P:$P,$F1312,'Desenvolvimento diário'!$R:$R,"Sim")</f>
        <v>5821.02</v>
      </c>
      <c r="Q1312" s="5">
        <f>SUMIFS('Desenvolvimento diário'!$H:$H,'Desenvolvimento diário'!$Q:$Q,$B1312,'Desenvolvimento diário'!$P:$P,$F1312,'Desenvolvimento diário'!$R:$R,"Não")</f>
        <v>130333.99</v>
      </c>
      <c r="R1312" s="4">
        <f t="shared" si="445"/>
        <v>136155.01</v>
      </c>
      <c r="S1312" s="137">
        <f t="shared" si="446"/>
        <v>0</v>
      </c>
      <c r="T1312" s="12">
        <f t="shared" si="438"/>
        <v>1</v>
      </c>
      <c r="Y1312" s="2"/>
      <c r="Z1312" s="2"/>
      <c r="AA1312" s="2"/>
      <c r="AB1312" s="2"/>
      <c r="AC1312" s="2"/>
    </row>
    <row r="1313" spans="1:29" ht="10.5" hidden="1">
      <c r="A1313" s="2">
        <f t="shared" si="447"/>
        <v>38</v>
      </c>
      <c r="B1313" s="2" t="str">
        <f>VLOOKUP($A1313,Controle!$B$4:$F$68,2,FALSE)</f>
        <v>Alfenas 4</v>
      </c>
      <c r="C1313" s="2" t="str">
        <f>VLOOKUP($A1313,Controle!$B$4:$F$68,3,FALSE)</f>
        <v>MORI MINAS V</v>
      </c>
      <c r="D1313" s="2" t="str">
        <f>VLOOKUP($A1313,Controle!$B$4:$F$68,4,FALSE)</f>
        <v>NewCo V</v>
      </c>
      <c r="E1313" s="2">
        <f>VLOOKUP($A1313,Controle!$B$4:$F$68,5,FALSE)</f>
        <v>2</v>
      </c>
      <c r="F1313" s="3" t="str">
        <f t="shared" si="448"/>
        <v>Sistemas de Monitoramento - Estações Solarimétricas</v>
      </c>
      <c r="G1313" s="2" t="str">
        <f>VLOOKUP($A1313,Controle!$B$4:$G$68,6,FALSE)</f>
        <v>Solatio</v>
      </c>
      <c r="H1313" s="6" t="s">
        <v>151</v>
      </c>
      <c r="I1313" s="6">
        <v>48276.516000000003</v>
      </c>
      <c r="J1313" s="6">
        <v>0</v>
      </c>
      <c r="K1313" s="6">
        <v>0</v>
      </c>
      <c r="L1313" s="6">
        <v>0</v>
      </c>
      <c r="M1313" s="6">
        <v>0</v>
      </c>
      <c r="N1313" s="6">
        <v>0</v>
      </c>
      <c r="O1313" s="4">
        <f t="shared" si="444"/>
        <v>48276.516000000003</v>
      </c>
      <c r="P1313" s="5">
        <f>SUMIFS('Desenvolvimento diário'!$H:$H,'Desenvolvimento diário'!$Q:$Q,$B1313,'Desenvolvimento diário'!$P:$P,$F1313,'Desenvolvimento diário'!$R:$R,"Sim")</f>
        <v>0</v>
      </c>
      <c r="Q1313" s="5">
        <f>SUMIFS('Desenvolvimento diário'!$H:$H,'Desenvolvimento diário'!$Q:$Q,$B1313,'Desenvolvimento diário'!$P:$P,$F1313,'Desenvolvimento diário'!$R:$R,"Não")</f>
        <v>48276.516000000003</v>
      </c>
      <c r="R1313" s="4">
        <f t="shared" si="445"/>
        <v>48276.516000000003</v>
      </c>
      <c r="S1313" s="4">
        <f t="shared" si="446"/>
        <v>0</v>
      </c>
      <c r="T1313" s="12">
        <f t="shared" si="438"/>
        <v>1</v>
      </c>
      <c r="Y1313" s="2"/>
      <c r="Z1313" s="2"/>
      <c r="AA1313" s="2"/>
      <c r="AB1313" s="2"/>
      <c r="AC1313" s="2"/>
    </row>
    <row r="1314" spans="1:29" hidden="1">
      <c r="A1314" s="2">
        <f t="shared" si="447"/>
        <v>38</v>
      </c>
      <c r="B1314" s="2" t="str">
        <f>VLOOKUP($A1314,Controle!$B$4:$F$68,2,FALSE)</f>
        <v>Alfenas 4</v>
      </c>
      <c r="C1314" s="2" t="str">
        <f>VLOOKUP($A1314,Controle!$B$4:$F$68,3,FALSE)</f>
        <v>MORI MINAS V</v>
      </c>
      <c r="D1314" s="2" t="str">
        <f>VLOOKUP($A1314,Controle!$B$4:$F$68,4,FALSE)</f>
        <v>NewCo V</v>
      </c>
      <c r="E1314" s="2">
        <f>VLOOKUP($A1314,Controle!$B$4:$F$68,5,FALSE)</f>
        <v>2</v>
      </c>
      <c r="F1314" s="3" t="str">
        <f t="shared" si="448"/>
        <v>Sistemas de Monitoramento - CFTV</v>
      </c>
      <c r="G1314" s="2" t="str">
        <f>VLOOKUP($A1314,Controle!$B$4:$G$68,6,FALSE)</f>
        <v>Solatio</v>
      </c>
      <c r="H1314" s="31" t="s">
        <v>152</v>
      </c>
      <c r="I1314" s="6">
        <v>322939.81</v>
      </c>
      <c r="J1314" s="6">
        <v>0</v>
      </c>
      <c r="K1314" s="1068">
        <v>15784.2</v>
      </c>
      <c r="L1314" s="6">
        <v>0</v>
      </c>
      <c r="M1314" s="6">
        <v>0</v>
      </c>
      <c r="N1314" s="6"/>
      <c r="O1314" s="4">
        <f t="shared" si="444"/>
        <v>338724.01</v>
      </c>
      <c r="P1314" s="5">
        <f>SUMIFS('Desenvolvimento diário'!$H:$H,'Desenvolvimento diário'!$Q:$Q,$B1314,'Desenvolvimento diário'!$P:$P,$F1314,'Desenvolvimento diário'!$R:$R,"Sim")</f>
        <v>0</v>
      </c>
      <c r="Q1314" s="5">
        <f>SUMIFS('Desenvolvimento diário'!$H:$H,'Desenvolvimento diário'!$Q:$Q,$B1314,'Desenvolvimento diário'!$P:$P,$F1314,'Desenvolvimento diário'!$R:$R,"Não")</f>
        <v>338724.01</v>
      </c>
      <c r="R1314" s="4">
        <f t="shared" si="445"/>
        <v>338724.01</v>
      </c>
      <c r="S1314" s="1020">
        <f t="shared" si="446"/>
        <v>0</v>
      </c>
      <c r="T1314" s="12">
        <f t="shared" si="438"/>
        <v>1</v>
      </c>
      <c r="U1314" s="1021" t="s">
        <v>166</v>
      </c>
      <c r="V1314" s="1021" t="s">
        <v>215</v>
      </c>
      <c r="Y1314" s="2"/>
      <c r="Z1314" s="2"/>
      <c r="AA1314" s="2"/>
      <c r="AB1314" s="2"/>
      <c r="AC1314" s="2"/>
    </row>
    <row r="1315" spans="1:29" ht="10.5">
      <c r="A1315" s="2">
        <f t="shared" si="447"/>
        <v>38</v>
      </c>
      <c r="B1315" s="2" t="str">
        <f>VLOOKUP($A1315,Controle!$B$4:$F$68,2,FALSE)</f>
        <v>Alfenas 4</v>
      </c>
      <c r="C1315" s="2" t="str">
        <f>VLOOKUP($A1315,Controle!$B$4:$F$68,3,FALSE)</f>
        <v>MORI MINAS V</v>
      </c>
      <c r="D1315" s="2" t="str">
        <f>VLOOKUP($A1315,Controle!$B$4:$F$68,4,FALSE)</f>
        <v>NewCo V</v>
      </c>
      <c r="E1315" s="2">
        <f>VLOOKUP($A1315,Controle!$B$4:$F$68,5,FALSE)</f>
        <v>2</v>
      </c>
      <c r="F1315" s="3" t="str">
        <f t="shared" si="448"/>
        <v>Serviços Auxiliares - Drenagem</v>
      </c>
      <c r="G1315" s="2" t="str">
        <f>VLOOKUP($A1315,Controle!$B$4:$G$68,6,FALSE)</f>
        <v>Solatio</v>
      </c>
      <c r="H1315" s="6" t="s">
        <v>216</v>
      </c>
      <c r="I1315" s="6">
        <v>1060562</v>
      </c>
      <c r="J1315" s="28">
        <v>1710976.72</v>
      </c>
      <c r="K1315" s="6">
        <v>0</v>
      </c>
      <c r="L1315" s="6">
        <v>0</v>
      </c>
      <c r="M1315" s="6">
        <v>0</v>
      </c>
      <c r="N1315" s="6">
        <v>0</v>
      </c>
      <c r="O1315" s="4">
        <f t="shared" si="444"/>
        <v>2771538.7199999997</v>
      </c>
      <c r="P1315" s="5">
        <f>SUMIFS('Desenvolvimento diário'!$H:$H,'Desenvolvimento diário'!$Q:$Q,$B1315,'Desenvolvimento diário'!$P:$P,$F1315,'Desenvolvimento diário'!$R:$R,"Sim")</f>
        <v>0</v>
      </c>
      <c r="Q1315" s="5">
        <f>SUMIFS('Desenvolvimento diário'!$H:$H,'Desenvolvimento diário'!$Q:$Q,$B1315,'Desenvolvimento diário'!$P:$P,$F1315,'Desenvolvimento diário'!$R:$R,"Não")</f>
        <v>2686059.88</v>
      </c>
      <c r="R1315" s="4">
        <f t="shared" si="445"/>
        <v>2686059.88</v>
      </c>
      <c r="S1315" s="1008">
        <f t="shared" si="446"/>
        <v>85478.839999999851</v>
      </c>
      <c r="T1315" s="12">
        <f t="shared" si="438"/>
        <v>0.96915834536852519</v>
      </c>
      <c r="U1315" s="1012" t="s">
        <v>166</v>
      </c>
      <c r="V1315" s="1012" t="s">
        <v>174</v>
      </c>
      <c r="Y1315" s="2"/>
      <c r="Z1315" s="2"/>
      <c r="AA1315" s="2"/>
      <c r="AB1315" s="2"/>
      <c r="AC1315" s="2"/>
    </row>
    <row r="1316" spans="1:29" ht="10.5" hidden="1">
      <c r="A1316" s="2">
        <f t="shared" si="447"/>
        <v>38</v>
      </c>
      <c r="B1316" s="2" t="str">
        <f>VLOOKUP($A1316,Controle!$B$4:$F$68,2,FALSE)</f>
        <v>Alfenas 4</v>
      </c>
      <c r="C1316" s="2" t="str">
        <f>VLOOKUP($A1316,Controle!$B$4:$F$68,3,FALSE)</f>
        <v>MORI MINAS V</v>
      </c>
      <c r="D1316" s="2" t="str">
        <f>VLOOKUP($A1316,Controle!$B$4:$F$68,4,FALSE)</f>
        <v>NewCo V</v>
      </c>
      <c r="E1316" s="2">
        <f>VLOOKUP($A1316,Controle!$B$4:$F$68,5,FALSE)</f>
        <v>2</v>
      </c>
      <c r="F1316" s="3" t="str">
        <f t="shared" si="448"/>
        <v>Serviços Auxiliares - Terraplanagem</v>
      </c>
      <c r="G1316" s="2" t="str">
        <f>VLOOKUP($A1316,Controle!$B$4:$G$68,6,FALSE)</f>
        <v>Solatio</v>
      </c>
      <c r="H1316" s="6" t="s">
        <v>217</v>
      </c>
      <c r="I1316" s="6">
        <v>2051295.8</v>
      </c>
      <c r="J1316" s="6">
        <v>267778.71000000002</v>
      </c>
      <c r="K1316" s="6">
        <v>228180.32</v>
      </c>
      <c r="L1316" s="6">
        <v>0</v>
      </c>
      <c r="M1316" s="6">
        <v>0</v>
      </c>
      <c r="N1316" s="6">
        <v>0</v>
      </c>
      <c r="O1316" s="4">
        <f t="shared" si="444"/>
        <v>2547254.83</v>
      </c>
      <c r="P1316" s="5">
        <f>SUMIFS('Desenvolvimento diário'!$H:$H,'Desenvolvimento diário'!$Q:$Q,$B1316,'Desenvolvimento diário'!$P:$P,$F1316,'Desenvolvimento diário'!$R:$R,"Sim")</f>
        <v>0</v>
      </c>
      <c r="Q1316" s="5">
        <f>SUMIFS('Desenvolvimento diário'!$H:$H,'Desenvolvimento diário'!$Q:$Q,$B1316,'Desenvolvimento diário'!$P:$P,$F1316,'Desenvolvimento diário'!$R:$R,"Não")</f>
        <v>2547254.83</v>
      </c>
      <c r="R1316" s="4">
        <f t="shared" si="445"/>
        <v>2547254.83</v>
      </c>
      <c r="S1316" s="27">
        <f t="shared" si="446"/>
        <v>0</v>
      </c>
      <c r="T1316" s="12">
        <f t="shared" si="438"/>
        <v>1</v>
      </c>
      <c r="Y1316" s="2"/>
      <c r="Z1316" s="2"/>
      <c r="AA1316" s="2"/>
      <c r="AB1316" s="2"/>
      <c r="AC1316" s="2"/>
    </row>
    <row r="1317" spans="1:29" ht="10.5" hidden="1">
      <c r="A1317" s="2">
        <f t="shared" si="447"/>
        <v>38</v>
      </c>
      <c r="B1317" s="2" t="str">
        <f>VLOOKUP($A1317,Controle!$B$4:$F$68,2,FALSE)</f>
        <v>Alfenas 4</v>
      </c>
      <c r="C1317" s="2" t="str">
        <f>VLOOKUP($A1317,Controle!$B$4:$F$68,3,FALSE)</f>
        <v>MORI MINAS V</v>
      </c>
      <c r="D1317" s="2" t="str">
        <f>VLOOKUP($A1317,Controle!$B$4:$F$68,4,FALSE)</f>
        <v>NewCo V</v>
      </c>
      <c r="E1317" s="2">
        <f>VLOOKUP($A1317,Controle!$B$4:$F$68,5,FALSE)</f>
        <v>2</v>
      </c>
      <c r="F1317" s="3" t="str">
        <f t="shared" si="448"/>
        <v>Serviços Auxiliares - Supressão Vegetal</v>
      </c>
      <c r="G1317" s="2" t="str">
        <f>VLOOKUP($A1317,Controle!$B$4:$G$68,6,FALSE)</f>
        <v>Solatio</v>
      </c>
      <c r="H1317" s="6" t="s">
        <v>218</v>
      </c>
      <c r="I1317" s="6">
        <v>84175</v>
      </c>
      <c r="J1317" s="6">
        <v>25000</v>
      </c>
      <c r="K1317" s="6">
        <v>0</v>
      </c>
      <c r="L1317" s="6">
        <v>0</v>
      </c>
      <c r="M1317" s="6">
        <v>0</v>
      </c>
      <c r="N1317" s="6">
        <v>0</v>
      </c>
      <c r="O1317" s="4">
        <f t="shared" si="444"/>
        <v>109175</v>
      </c>
      <c r="P1317" s="5">
        <f>SUMIFS('Desenvolvimento diário'!$H:$H,'Desenvolvimento diário'!$Q:$Q,$B1317,'Desenvolvimento diário'!$P:$P,$F1317,'Desenvolvimento diário'!$R:$R,"Sim")</f>
        <v>0</v>
      </c>
      <c r="Q1317" s="5">
        <f>SUMIFS('Desenvolvimento diário'!$H:$H,'Desenvolvimento diário'!$Q:$Q,$B1317,'Desenvolvimento diário'!$P:$P,$F1317,'Desenvolvimento diário'!$R:$R,"Não")</f>
        <v>109175</v>
      </c>
      <c r="R1317" s="4">
        <f t="shared" si="445"/>
        <v>109175</v>
      </c>
      <c r="S1317" s="4">
        <f t="shared" si="446"/>
        <v>0</v>
      </c>
      <c r="T1317" s="12">
        <f t="shared" si="438"/>
        <v>1</v>
      </c>
      <c r="Y1317" s="2"/>
      <c r="Z1317" s="2"/>
      <c r="AA1317" s="2"/>
      <c r="AB1317" s="2"/>
      <c r="AC1317" s="2"/>
    </row>
    <row r="1318" spans="1:29" ht="10.5" hidden="1">
      <c r="A1318" s="2">
        <f t="shared" si="447"/>
        <v>38</v>
      </c>
      <c r="B1318" s="2" t="str">
        <f>VLOOKUP($A1318,Controle!$B$4:$F$68,2,FALSE)</f>
        <v>Alfenas 4</v>
      </c>
      <c r="C1318" s="2" t="str">
        <f>VLOOKUP($A1318,Controle!$B$4:$F$68,3,FALSE)</f>
        <v>MORI MINAS V</v>
      </c>
      <c r="D1318" s="2" t="str">
        <f>VLOOKUP($A1318,Controle!$B$4:$F$68,4,FALSE)</f>
        <v>NewCo V</v>
      </c>
      <c r="E1318" s="2">
        <f>VLOOKUP($A1318,Controle!$B$4:$F$68,5,FALSE)</f>
        <v>2</v>
      </c>
      <c r="F1318" s="3" t="str">
        <f t="shared" si="448"/>
        <v>RDR-Rede de Distribuição Rural</v>
      </c>
      <c r="G1318" s="2" t="str">
        <f>VLOOKUP($A1318,Controle!$B$4:$G$68,6,FALSE)</f>
        <v>Solatio</v>
      </c>
      <c r="H1318" s="6">
        <v>0</v>
      </c>
      <c r="I1318" s="6">
        <v>0</v>
      </c>
      <c r="J1318" s="6">
        <v>0</v>
      </c>
      <c r="K1318" s="6">
        <v>0</v>
      </c>
      <c r="L1318" s="6">
        <v>0</v>
      </c>
      <c r="M1318" s="6">
        <v>0</v>
      </c>
      <c r="N1318" s="6">
        <v>0</v>
      </c>
      <c r="O1318" s="4">
        <f t="shared" si="444"/>
        <v>0</v>
      </c>
      <c r="P1318" s="5">
        <f>SUMIFS('Desenvolvimento diário'!$H:$H,'Desenvolvimento diário'!$Q:$Q,$B1318,'Desenvolvimento diário'!$P:$P,$F1318,'Desenvolvimento diário'!$R:$R,"Sim")</f>
        <v>0</v>
      </c>
      <c r="Q1318" s="5">
        <f>SUMIFS('Desenvolvimento diário'!$H:$H,'Desenvolvimento diário'!$Q:$Q,$B1318,'Desenvolvimento diário'!$P:$P,$F1318,'Desenvolvimento diário'!$R:$R,"Não")</f>
        <v>0</v>
      </c>
      <c r="R1318" s="4">
        <f t="shared" si="445"/>
        <v>0</v>
      </c>
      <c r="S1318" s="4">
        <f t="shared" si="446"/>
        <v>0</v>
      </c>
      <c r="T1318" s="12">
        <f t="shared" si="438"/>
        <v>0</v>
      </c>
      <c r="Y1318" s="2"/>
      <c r="Z1318" s="2"/>
      <c r="AA1318" s="2"/>
      <c r="AB1318" s="2"/>
      <c r="AC1318" s="2"/>
    </row>
    <row r="1319" spans="1:29" hidden="1">
      <c r="A1319" s="2">
        <f t="shared" si="447"/>
        <v>38</v>
      </c>
      <c r="B1319" s="2" t="str">
        <f>VLOOKUP($A1319,Controle!$B$4:$F$68,2,FALSE)</f>
        <v>Alfenas 4</v>
      </c>
      <c r="C1319" s="2" t="str">
        <f>VLOOKUP($A1319,Controle!$B$4:$F$68,3,FALSE)</f>
        <v>MORI MINAS V</v>
      </c>
      <c r="D1319" s="2" t="str">
        <f>VLOOKUP($A1319,Controle!$B$4:$F$68,4,FALSE)</f>
        <v>NewCo V</v>
      </c>
      <c r="E1319" s="2">
        <f>VLOOKUP($A1319,Controle!$B$4:$F$68,5,FALSE)</f>
        <v>2</v>
      </c>
      <c r="F1319" s="3" t="str">
        <f t="shared" si="448"/>
        <v>Escopo COMERC</v>
      </c>
      <c r="G1319" s="2" t="str">
        <f>VLOOKUP($A1319,Controle!$B$4:$G$68,6,FALSE)</f>
        <v>Solatio</v>
      </c>
      <c r="H1319" s="6">
        <v>0</v>
      </c>
      <c r="I1319" s="6">
        <v>113104.17000000001</v>
      </c>
      <c r="J1319" s="29">
        <v>73600</v>
      </c>
      <c r="K1319" s="29"/>
      <c r="L1319" s="6">
        <v>0</v>
      </c>
      <c r="M1319" s="6">
        <v>0</v>
      </c>
      <c r="N1319" s="6">
        <v>0</v>
      </c>
      <c r="O1319" s="4">
        <f t="shared" si="444"/>
        <v>186704.17</v>
      </c>
      <c r="P1319" s="5">
        <f>SUMIFS('Desenvolvimento diário'!$H:$H,'Desenvolvimento diário'!$Q:$Q,$B1319,'Desenvolvimento diário'!$P:$P,$F1319,'Desenvolvimento diário'!$R:$R,"Sim")</f>
        <v>1459</v>
      </c>
      <c r="Q1319" s="5">
        <f>SUMIFS('Desenvolvimento diário'!$H:$H,'Desenvolvimento diário'!$Q:$Q,$B1319,'Desenvolvimento diário'!$P:$P,$F1319,'Desenvolvimento diário'!$R:$R,"Não")</f>
        <v>112643.95000000001</v>
      </c>
      <c r="R1319" s="4">
        <f t="shared" si="445"/>
        <v>114102.95000000001</v>
      </c>
      <c r="S1319" s="1010">
        <f t="shared" si="446"/>
        <v>72601.22</v>
      </c>
      <c r="T1319" s="12">
        <f t="shared" si="438"/>
        <v>0.61114301839107288</v>
      </c>
      <c r="U1319" s="1011" t="s">
        <v>166</v>
      </c>
      <c r="V1319" s="1011" t="s">
        <v>167</v>
      </c>
      <c r="Y1319" s="2"/>
      <c r="Z1319" s="2"/>
      <c r="AA1319" s="2"/>
      <c r="AB1319" s="2"/>
      <c r="AC1319" s="2"/>
    </row>
    <row r="1320" spans="1:29" ht="10.5" hidden="1">
      <c r="A1320" s="2">
        <f t="shared" si="447"/>
        <v>38</v>
      </c>
      <c r="B1320" s="2" t="str">
        <f>VLOOKUP($A1320,Controle!$B$4:$F$68,2,FALSE)</f>
        <v>Alfenas 4</v>
      </c>
      <c r="C1320" s="2" t="str">
        <f>VLOOKUP($A1320,Controle!$B$4:$F$68,3,FALSE)</f>
        <v>MORI MINAS V</v>
      </c>
      <c r="D1320" s="2" t="str">
        <f>VLOOKUP($A1320,Controle!$B$4:$F$68,4,FALSE)</f>
        <v>NewCo V</v>
      </c>
      <c r="E1320" s="2">
        <f>VLOOKUP($A1320,Controle!$B$4:$F$68,5,FALSE)</f>
        <v>2</v>
      </c>
      <c r="F1320" s="3" t="str">
        <f t="shared" si="448"/>
        <v>Escopo COMERC - Segurança</v>
      </c>
      <c r="G1320" s="2" t="str">
        <f>VLOOKUP($A1320,Controle!$B$4:$G$68,6,FALSE)</f>
        <v>Solatio</v>
      </c>
      <c r="H1320" s="6">
        <v>0</v>
      </c>
      <c r="I1320" s="6">
        <f t="shared" ref="I1319:I1320" si="449">R1320</f>
        <v>534337.69000000018</v>
      </c>
      <c r="J1320" s="6">
        <v>0</v>
      </c>
      <c r="K1320" s="6">
        <v>0</v>
      </c>
      <c r="L1320" s="6">
        <v>0</v>
      </c>
      <c r="M1320" s="6">
        <v>0</v>
      </c>
      <c r="N1320" s="6">
        <v>0</v>
      </c>
      <c r="O1320" s="4">
        <f t="shared" si="444"/>
        <v>534337.69000000018</v>
      </c>
      <c r="P1320" s="5">
        <f>SUMIFS('Desenvolvimento diário'!$H:$H,'Desenvolvimento diário'!$Q:$Q,$B1320,'Desenvolvimento diário'!$P:$P,$F1320,'Desenvolvimento diário'!$R:$R,"Sim")</f>
        <v>26596.9</v>
      </c>
      <c r="Q1320" s="5">
        <f>SUMIFS('Desenvolvimento diário'!$H:$H,'Desenvolvimento diário'!$Q:$Q,$B1320,'Desenvolvimento diário'!$P:$P,$F1320,'Desenvolvimento diário'!$R:$R,"Não")</f>
        <v>507740.79000000015</v>
      </c>
      <c r="R1320" s="4">
        <f t="shared" si="445"/>
        <v>534337.69000000018</v>
      </c>
      <c r="S1320" s="4">
        <f t="shared" si="446"/>
        <v>0</v>
      </c>
      <c r="T1320" s="12">
        <f t="shared" si="438"/>
        <v>1</v>
      </c>
      <c r="Y1320" s="2"/>
      <c r="Z1320" s="2"/>
      <c r="AA1320" s="2"/>
      <c r="AB1320" s="2"/>
      <c r="AC1320" s="2"/>
    </row>
    <row r="1321" spans="1:29" ht="10.5" hidden="1">
      <c r="A1321" s="2">
        <f t="shared" si="447"/>
        <v>38</v>
      </c>
      <c r="B1321" s="2" t="str">
        <f>VLOOKUP($A1321,Controle!$B$4:$F$68,2,FALSE)</f>
        <v>Alfenas 4</v>
      </c>
      <c r="C1321" s="2" t="str">
        <f>VLOOKUP($A1321,Controle!$B$4:$F$68,3,FALSE)</f>
        <v>MORI MINAS V</v>
      </c>
      <c r="D1321" s="2" t="str">
        <f>VLOOKUP($A1321,Controle!$B$4:$F$68,4,FALSE)</f>
        <v>NewCo V</v>
      </c>
      <c r="E1321" s="2">
        <f>VLOOKUP($A1321,Controle!$B$4:$F$68,5,FALSE)</f>
        <v>2</v>
      </c>
      <c r="F1321" s="3" t="str">
        <f t="shared" si="448"/>
        <v>Conexão MT - Obras Transferencia</v>
      </c>
      <c r="G1321" s="2" t="str">
        <f>VLOOKUP($A1321,Controle!$B$4:$G$68,6,FALSE)</f>
        <v>Solatio</v>
      </c>
      <c r="H1321" s="6">
        <v>0</v>
      </c>
      <c r="I1321" s="6">
        <v>0</v>
      </c>
      <c r="J1321" s="6">
        <v>0</v>
      </c>
      <c r="K1321" s="6">
        <v>0</v>
      </c>
      <c r="L1321" s="6">
        <v>0</v>
      </c>
      <c r="M1321" s="6">
        <v>0</v>
      </c>
      <c r="N1321" s="6">
        <v>0</v>
      </c>
      <c r="O1321" s="4">
        <f t="shared" si="444"/>
        <v>0</v>
      </c>
      <c r="P1321" s="5">
        <f>SUMIFS('Desenvolvimento diário'!$H:$H,'Desenvolvimento diário'!$Q:$Q,$B1321,'Desenvolvimento diário'!$P:$P,$F1321,'Desenvolvimento diário'!$R:$R,"Sim")</f>
        <v>0</v>
      </c>
      <c r="Q1321" s="5">
        <f>SUMIFS('Desenvolvimento diário'!$H:$H,'Desenvolvimento diário'!$Q:$Q,$B1321,'Desenvolvimento diário'!$P:$P,$F1321,'Desenvolvimento diário'!$R:$R,"Não")</f>
        <v>0</v>
      </c>
      <c r="R1321" s="4">
        <f t="shared" si="445"/>
        <v>0</v>
      </c>
      <c r="S1321" s="4">
        <f t="shared" si="446"/>
        <v>0</v>
      </c>
      <c r="T1321" s="12">
        <f t="shared" si="438"/>
        <v>0</v>
      </c>
      <c r="Y1321" s="2"/>
      <c r="Z1321" s="2"/>
      <c r="AA1321" s="2"/>
      <c r="AB1321" s="2"/>
      <c r="AC1321" s="2"/>
    </row>
    <row r="1322" spans="1:29" ht="10.5" hidden="1">
      <c r="A1322" s="2">
        <f t="shared" si="447"/>
        <v>38</v>
      </c>
      <c r="B1322" s="2" t="str">
        <f>VLOOKUP($A1322,Controle!$B$4:$F$68,2,FALSE)</f>
        <v>Alfenas 4</v>
      </c>
      <c r="C1322" s="2" t="str">
        <f>VLOOKUP($A1322,Controle!$B$4:$F$68,3,FALSE)</f>
        <v>MORI MINAS V</v>
      </c>
      <c r="D1322" s="2" t="str">
        <f>VLOOKUP($A1322,Controle!$B$4:$F$68,4,FALSE)</f>
        <v>NewCo V</v>
      </c>
      <c r="E1322" s="2">
        <f>VLOOKUP($A1322,Controle!$B$4:$F$68,5,FALSE)</f>
        <v>2</v>
      </c>
      <c r="F1322" s="3" t="str">
        <f t="shared" si="448"/>
        <v>Bases de Contaniers</v>
      </c>
      <c r="G1322" s="2" t="str">
        <f>VLOOKUP($A1322,Controle!$B$4:$G$68,6,FALSE)</f>
        <v>Solatio</v>
      </c>
      <c r="H1322" s="6">
        <v>0</v>
      </c>
      <c r="I1322" s="6">
        <v>0</v>
      </c>
      <c r="J1322" s="6">
        <v>0</v>
      </c>
      <c r="K1322" s="6">
        <v>0</v>
      </c>
      <c r="L1322" s="6">
        <v>0</v>
      </c>
      <c r="M1322" s="6">
        <v>0</v>
      </c>
      <c r="N1322" s="6">
        <v>0</v>
      </c>
      <c r="O1322" s="4">
        <f t="shared" si="444"/>
        <v>0</v>
      </c>
      <c r="P1322" s="5">
        <f>SUMIFS('Desenvolvimento diário'!$H:$H,'Desenvolvimento diário'!$Q:$Q,$B1322,'Desenvolvimento diário'!$P:$P,$F1322,'Desenvolvimento diário'!$R:$R,"Sim")</f>
        <v>0</v>
      </c>
      <c r="Q1322" s="5">
        <f>SUMIFS('Desenvolvimento diário'!$H:$H,'Desenvolvimento diário'!$Q:$Q,$B1322,'Desenvolvimento diário'!$P:$P,$F1322,'Desenvolvimento diário'!$R:$R,"Não")</f>
        <v>0</v>
      </c>
      <c r="R1322" s="4">
        <f t="shared" si="445"/>
        <v>0</v>
      </c>
      <c r="S1322" s="4">
        <f t="shared" si="446"/>
        <v>0</v>
      </c>
      <c r="T1322" s="12">
        <f t="shared" si="438"/>
        <v>0</v>
      </c>
      <c r="Y1322" s="2"/>
      <c r="Z1322" s="2"/>
      <c r="AA1322" s="2"/>
      <c r="AB1322" s="2"/>
      <c r="AC1322" s="2"/>
    </row>
    <row r="1323" spans="1:29" ht="10.5" hidden="1">
      <c r="A1323" s="2">
        <f t="shared" si="447"/>
        <v>38</v>
      </c>
      <c r="B1323" s="2" t="str">
        <f>VLOOKUP($A1323,Controle!$B$4:$F$68,2,FALSE)</f>
        <v>Alfenas 4</v>
      </c>
      <c r="C1323" s="2" t="str">
        <f>VLOOKUP($A1323,Controle!$B$4:$F$68,3,FALSE)</f>
        <v>MORI MINAS V</v>
      </c>
      <c r="D1323" s="2" t="str">
        <f>VLOOKUP($A1323,Controle!$B$4:$F$68,4,FALSE)</f>
        <v>NewCo V</v>
      </c>
      <c r="E1323" s="2">
        <f>VLOOKUP($A1323,Controle!$B$4:$F$68,5,FALSE)</f>
        <v>2</v>
      </c>
      <c r="F1323" s="3" t="str">
        <f t="shared" si="448"/>
        <v>Construção - Serviços de Construção - Ase Engenharia</v>
      </c>
      <c r="G1323" s="2" t="str">
        <f>VLOOKUP($A1323,Controle!$B$4:$G$68,6,FALSE)</f>
        <v>Solatio</v>
      </c>
      <c r="H1323" s="6">
        <v>0</v>
      </c>
      <c r="I1323" s="6">
        <v>0</v>
      </c>
      <c r="J1323" s="6">
        <v>0</v>
      </c>
      <c r="K1323" s="6">
        <v>0</v>
      </c>
      <c r="L1323" s="6">
        <v>0</v>
      </c>
      <c r="M1323" s="6">
        <v>0</v>
      </c>
      <c r="N1323" s="6">
        <v>0</v>
      </c>
      <c r="O1323" s="4">
        <f t="shared" si="444"/>
        <v>0</v>
      </c>
      <c r="P1323" s="5">
        <f>SUMIFS('Desenvolvimento diário'!$H:$H,'Desenvolvimento diário'!$Q:$Q,$B1323,'Desenvolvimento diário'!$P:$P,$F1323,'Desenvolvimento diário'!$R:$R,"Sim")</f>
        <v>0</v>
      </c>
      <c r="Q1323" s="5">
        <f>SUMIFS('Desenvolvimento diário'!$H:$H,'Desenvolvimento diário'!$Q:$Q,$B1323,'Desenvolvimento diário'!$P:$P,$F1323,'Desenvolvimento diário'!$R:$R,"Não")</f>
        <v>0</v>
      </c>
      <c r="R1323" s="4">
        <f t="shared" si="445"/>
        <v>0</v>
      </c>
      <c r="S1323" s="4">
        <f t="shared" si="446"/>
        <v>0</v>
      </c>
      <c r="T1323" s="12">
        <f t="shared" si="438"/>
        <v>0</v>
      </c>
      <c r="Y1323" s="2"/>
      <c r="Z1323" s="2"/>
      <c r="AA1323" s="2"/>
      <c r="AB1323" s="2"/>
      <c r="AC1323" s="2"/>
    </row>
    <row r="1324" spans="1:29" ht="10.5" hidden="1">
      <c r="A1324" s="2">
        <f t="shared" si="447"/>
        <v>38</v>
      </c>
      <c r="B1324" s="2" t="str">
        <f>VLOOKUP($A1324,Controle!$B$4:$F$68,2,FALSE)</f>
        <v>Alfenas 4</v>
      </c>
      <c r="C1324" s="2" t="str">
        <f>VLOOKUP($A1324,Controle!$B$4:$F$68,3,FALSE)</f>
        <v>MORI MINAS V</v>
      </c>
      <c r="D1324" s="2" t="str">
        <f>VLOOKUP($A1324,Controle!$B$4:$F$68,4,FALSE)</f>
        <v>NewCo V</v>
      </c>
      <c r="E1324" s="2">
        <f>VLOOKUP($A1324,Controle!$B$4:$F$68,5,FALSE)</f>
        <v>2</v>
      </c>
      <c r="F1324" s="3" t="str">
        <f t="shared" si="448"/>
        <v>Full EPC - Contrato Sobressalentes</v>
      </c>
      <c r="G1324" s="2" t="str">
        <f>VLOOKUP($A1324,Controle!$B$4:$G$68,6,FALSE)</f>
        <v>Solatio</v>
      </c>
      <c r="H1324" s="6">
        <v>0</v>
      </c>
      <c r="I1324" s="6">
        <v>0</v>
      </c>
      <c r="J1324" s="6">
        <v>0</v>
      </c>
      <c r="K1324" s="6">
        <v>0</v>
      </c>
      <c r="L1324" s="6">
        <v>0</v>
      </c>
      <c r="M1324" s="6">
        <v>0</v>
      </c>
      <c r="N1324" s="6">
        <v>0</v>
      </c>
      <c r="O1324" s="4">
        <f t="shared" si="444"/>
        <v>0</v>
      </c>
      <c r="P1324" s="5">
        <f>SUMIFS('Desenvolvimento diário'!$H:$H,'Desenvolvimento diário'!$Q:$Q,$B1324,'Desenvolvimento diário'!$P:$P,$F1324,'Desenvolvimento diário'!$R:$R,"Sim")</f>
        <v>0</v>
      </c>
      <c r="Q1324" s="5">
        <f>SUMIFS('Desenvolvimento diário'!$H:$H,'Desenvolvimento diário'!$Q:$Q,$B1324,'Desenvolvimento diário'!$P:$P,$F1324,'Desenvolvimento diário'!$R:$R,"Não")</f>
        <v>0</v>
      </c>
      <c r="R1324" s="4">
        <f t="shared" si="445"/>
        <v>0</v>
      </c>
      <c r="S1324" s="4">
        <f t="shared" si="446"/>
        <v>0</v>
      </c>
      <c r="T1324" s="12">
        <f t="shared" si="438"/>
        <v>0</v>
      </c>
      <c r="Y1324" s="2"/>
      <c r="Z1324" s="2"/>
      <c r="AA1324" s="2"/>
      <c r="AB1324" s="2"/>
      <c r="AC1324" s="2"/>
    </row>
    <row r="1325" spans="1:29" ht="10.5" hidden="1">
      <c r="A1325" s="2">
        <f t="shared" si="447"/>
        <v>38</v>
      </c>
      <c r="B1325" s="2" t="str">
        <f>VLOOKUP($A1325,Controle!$B$4:$F$68,2,FALSE)</f>
        <v>Alfenas 4</v>
      </c>
      <c r="C1325" s="2" t="str">
        <f>VLOOKUP($A1325,Controle!$B$4:$F$68,3,FALSE)</f>
        <v>MORI MINAS V</v>
      </c>
      <c r="D1325" s="2" t="str">
        <f>VLOOKUP($A1325,Controle!$B$4:$F$68,4,FALSE)</f>
        <v>NewCo V</v>
      </c>
      <c r="E1325" s="2">
        <f>VLOOKUP($A1325,Controle!$B$4:$F$68,5,FALSE)</f>
        <v>2</v>
      </c>
      <c r="F1325" s="3" t="str">
        <f t="shared" si="448"/>
        <v>Construção - Serviços de Construção - NOVA MORADA</v>
      </c>
      <c r="G1325" s="2" t="str">
        <f>VLOOKUP($A1325,Controle!$B$4:$G$68,6,FALSE)</f>
        <v>Solatio</v>
      </c>
      <c r="H1325" s="6">
        <v>0</v>
      </c>
      <c r="I1325" s="6">
        <v>0</v>
      </c>
      <c r="J1325" s="6">
        <v>0</v>
      </c>
      <c r="K1325" s="6">
        <v>0</v>
      </c>
      <c r="L1325" s="6">
        <v>0</v>
      </c>
      <c r="M1325" s="6">
        <v>0</v>
      </c>
      <c r="N1325" s="6">
        <v>0</v>
      </c>
      <c r="O1325" s="4">
        <f t="shared" si="444"/>
        <v>0</v>
      </c>
      <c r="P1325" s="5">
        <f>SUMIFS('Desenvolvimento diário'!$H:$H,'Desenvolvimento diário'!$Q:$Q,$B1325,'Desenvolvimento diário'!$P:$P,$F1325,'Desenvolvimento diário'!$R:$R,"Sim")</f>
        <v>0</v>
      </c>
      <c r="Q1325" s="5">
        <f>SUMIFS('Desenvolvimento diário'!$H:$H,'Desenvolvimento diário'!$Q:$Q,$B1325,'Desenvolvimento diário'!$P:$P,$F1325,'Desenvolvimento diário'!$R:$R,"Não")</f>
        <v>0</v>
      </c>
      <c r="R1325" s="4">
        <f t="shared" si="445"/>
        <v>0</v>
      </c>
      <c r="S1325" s="4">
        <f t="shared" si="446"/>
        <v>0</v>
      </c>
      <c r="T1325" s="12">
        <f t="shared" si="438"/>
        <v>0</v>
      </c>
      <c r="Y1325" s="2"/>
      <c r="Z1325" s="2"/>
      <c r="AA1325" s="2"/>
      <c r="AB1325" s="2"/>
      <c r="AC1325" s="2"/>
    </row>
    <row r="1326" spans="1:29" ht="10.5" hidden="1">
      <c r="A1326" s="2">
        <f t="shared" si="447"/>
        <v>38</v>
      </c>
      <c r="B1326" s="2" t="str">
        <f>VLOOKUP($A1326,Controle!$B$4:$F$68,2,FALSE)</f>
        <v>Alfenas 4</v>
      </c>
      <c r="C1326" s="2" t="str">
        <f>VLOOKUP($A1326,Controle!$B$4:$F$68,3,FALSE)</f>
        <v>MORI MINAS V</v>
      </c>
      <c r="D1326" s="2" t="str">
        <f>VLOOKUP($A1326,Controle!$B$4:$F$68,4,FALSE)</f>
        <v>NewCo V</v>
      </c>
      <c r="E1326" s="2">
        <f>VLOOKUP($A1326,Controle!$B$4:$F$68,5,FALSE)</f>
        <v>2</v>
      </c>
      <c r="F1326" s="3" t="str">
        <f t="shared" si="448"/>
        <v>Equipamentos Curva A -  Contrato Sobressalentes - SETTA</v>
      </c>
      <c r="G1326" s="2" t="str">
        <f>VLOOKUP($A1326,Controle!$B$4:$G$68,6,FALSE)</f>
        <v>Solatio</v>
      </c>
      <c r="H1326" s="6">
        <v>0</v>
      </c>
      <c r="I1326" s="6">
        <v>0</v>
      </c>
      <c r="J1326" s="6">
        <v>0</v>
      </c>
      <c r="K1326" s="6">
        <v>0</v>
      </c>
      <c r="L1326" s="6">
        <v>0</v>
      </c>
      <c r="M1326" s="6">
        <v>0</v>
      </c>
      <c r="N1326" s="6">
        <v>0</v>
      </c>
      <c r="O1326" s="4">
        <f t="shared" si="444"/>
        <v>0</v>
      </c>
      <c r="P1326" s="5">
        <f>SUMIFS('Desenvolvimento diário'!$H:$H,'Desenvolvimento diário'!$Q:$Q,$B1326,'Desenvolvimento diário'!$P:$P,$F1326,'Desenvolvimento diário'!$R:$R,"Sim")</f>
        <v>0</v>
      </c>
      <c r="Q1326" s="5">
        <f>SUMIFS('Desenvolvimento diário'!$H:$H,'Desenvolvimento diário'!$Q:$Q,$B1326,'Desenvolvimento diário'!$P:$P,$F1326,'Desenvolvimento diário'!$R:$R,"Não")</f>
        <v>0</v>
      </c>
      <c r="R1326" s="4">
        <f t="shared" si="445"/>
        <v>0</v>
      </c>
      <c r="S1326" s="4">
        <f t="shared" si="446"/>
        <v>0</v>
      </c>
      <c r="T1326" s="12">
        <f t="shared" si="438"/>
        <v>0</v>
      </c>
      <c r="Y1326" s="2"/>
      <c r="Z1326" s="2"/>
      <c r="AA1326" s="2"/>
      <c r="AB1326" s="2"/>
      <c r="AC1326" s="2"/>
    </row>
    <row r="1327" spans="1:29" ht="10.5" hidden="1">
      <c r="A1327" s="2">
        <f t="shared" si="447"/>
        <v>38</v>
      </c>
      <c r="B1327" s="2" t="str">
        <f>VLOOKUP($A1327,Controle!$B$4:$F$68,2,FALSE)</f>
        <v>Alfenas 4</v>
      </c>
      <c r="C1327" s="2" t="str">
        <f>VLOOKUP($A1327,Controle!$B$4:$F$68,3,FALSE)</f>
        <v>MORI MINAS V</v>
      </c>
      <c r="D1327" s="2" t="str">
        <f>VLOOKUP($A1327,Controle!$B$4:$F$68,4,FALSE)</f>
        <v>NewCo V</v>
      </c>
      <c r="E1327" s="2">
        <f>VLOOKUP($A1327,Controle!$B$4:$F$68,5,FALSE)</f>
        <v>2</v>
      </c>
      <c r="F1327" s="3" t="str">
        <f t="shared" si="448"/>
        <v>Equipamentos Curva A -  Contrato Sobressalentes - Arctech</v>
      </c>
      <c r="G1327" s="2" t="str">
        <f>VLOOKUP($A1327,Controle!$B$4:$G$68,6,FALSE)</f>
        <v>Solatio</v>
      </c>
      <c r="H1327" s="6">
        <v>0</v>
      </c>
      <c r="I1327" s="6">
        <v>0</v>
      </c>
      <c r="J1327" s="6">
        <v>0</v>
      </c>
      <c r="K1327" s="6">
        <v>0</v>
      </c>
      <c r="L1327" s="6">
        <v>0</v>
      </c>
      <c r="M1327" s="6">
        <v>0</v>
      </c>
      <c r="N1327" s="6">
        <v>0</v>
      </c>
      <c r="O1327" s="4">
        <f t="shared" si="444"/>
        <v>0</v>
      </c>
      <c r="P1327" s="5">
        <f>SUMIFS('Desenvolvimento diário'!$H:$H,'Desenvolvimento diário'!$Q:$Q,$B1327,'Desenvolvimento diário'!$P:$P,$F1327,'Desenvolvimento diário'!$R:$R,"Sim")</f>
        <v>0</v>
      </c>
      <c r="Q1327" s="5">
        <f>SUMIFS('Desenvolvimento diário'!$H:$H,'Desenvolvimento diário'!$Q:$Q,$B1327,'Desenvolvimento diário'!$P:$P,$F1327,'Desenvolvimento diário'!$R:$R,"Não")</f>
        <v>0</v>
      </c>
      <c r="R1327" s="4">
        <f t="shared" si="445"/>
        <v>0</v>
      </c>
      <c r="S1327" s="4">
        <f t="shared" si="446"/>
        <v>0</v>
      </c>
      <c r="T1327" s="12">
        <f t="shared" si="438"/>
        <v>0</v>
      </c>
      <c r="Y1327" s="2"/>
      <c r="Z1327" s="2"/>
      <c r="AA1327" s="2"/>
      <c r="AB1327" s="2"/>
      <c r="AC1327" s="2"/>
    </row>
    <row r="1328" spans="1:29" hidden="1">
      <c r="A1328" s="2">
        <f t="shared" si="447"/>
        <v>38</v>
      </c>
      <c r="B1328" s="2" t="str">
        <f>VLOOKUP($A1328,Controle!$B$4:$F$68,2,FALSE)</f>
        <v>Alfenas 4</v>
      </c>
      <c r="C1328" s="2" t="str">
        <f>VLOOKUP($A1328,Controle!$B$4:$F$68,3,FALSE)</f>
        <v>MORI MINAS V</v>
      </c>
      <c r="D1328" s="2" t="str">
        <f>VLOOKUP($A1328,Controle!$B$4:$F$68,4,FALSE)</f>
        <v>NewCo V</v>
      </c>
      <c r="E1328" s="2">
        <f>VLOOKUP($A1328,Controle!$B$4:$F$68,5,FALSE)</f>
        <v>2</v>
      </c>
      <c r="F1328" s="3" t="str">
        <f t="shared" si="448"/>
        <v>Equipamentos Curva A -  Contrato Sobressalentes - Romagnole</v>
      </c>
      <c r="G1328" s="2" t="str">
        <f>VLOOKUP($A1328,Controle!$B$4:$G$68,6,FALSE)</f>
        <v>Solatio</v>
      </c>
      <c r="H1328" s="7">
        <v>0</v>
      </c>
      <c r="I1328" s="7">
        <v>0</v>
      </c>
      <c r="J1328" s="7">
        <v>0</v>
      </c>
      <c r="K1328" s="7">
        <v>0</v>
      </c>
      <c r="L1328" s="7">
        <v>0</v>
      </c>
      <c r="M1328" s="7">
        <v>0</v>
      </c>
      <c r="N1328" s="7">
        <v>0</v>
      </c>
      <c r="O1328" s="4">
        <f t="shared" si="444"/>
        <v>0</v>
      </c>
      <c r="P1328" s="17">
        <f>SUMIFS('Desenvolvimento diário'!$H:$H,'Desenvolvimento diário'!$Q:$Q,$B1328,'Desenvolvimento diário'!$P:$P,$F1328,'Desenvolvimento diário'!$R:$R,"Sim")</f>
        <v>0</v>
      </c>
      <c r="Q1328" s="17">
        <f>SUMIFS('Desenvolvimento diário'!$H:$H,'Desenvolvimento diário'!$Q:$Q,$B1328,'Desenvolvimento diário'!$P:$P,$F1328,'Desenvolvimento diário'!$R:$R,"Não")</f>
        <v>0</v>
      </c>
      <c r="R1328" s="4">
        <f t="shared" si="445"/>
        <v>0</v>
      </c>
      <c r="S1328" s="4">
        <f t="shared" si="446"/>
        <v>0</v>
      </c>
      <c r="T1328" s="12">
        <f t="shared" si="438"/>
        <v>0</v>
      </c>
      <c r="Y1328" s="2"/>
      <c r="Z1328" s="2"/>
      <c r="AA1328" s="2"/>
      <c r="AB1328" s="2"/>
      <c r="AC1328" s="2"/>
    </row>
    <row r="1329" spans="1:29" hidden="1">
      <c r="A1329" s="2">
        <f t="shared" si="447"/>
        <v>38</v>
      </c>
      <c r="B1329" s="2" t="str">
        <f>VLOOKUP($A1329,Controle!$B$4:$F$68,2,FALSE)</f>
        <v>Alfenas 4</v>
      </c>
      <c r="C1329" s="2" t="str">
        <f>VLOOKUP($A1329,Controle!$B$4:$F$68,3,FALSE)</f>
        <v>MORI MINAS V</v>
      </c>
      <c r="D1329" s="2" t="str">
        <f>VLOOKUP($A1329,Controle!$B$4:$F$68,4,FALSE)</f>
        <v>NewCo V</v>
      </c>
      <c r="E1329" s="2">
        <f>VLOOKUP($A1329,Controle!$B$4:$F$68,5,FALSE)</f>
        <v>2</v>
      </c>
      <c r="F1329" s="3" t="str">
        <f t="shared" si="448"/>
        <v>GOS FLORESTAL - (PRAD - Recuperação Area Ambiental)</v>
      </c>
      <c r="G1329" s="2" t="str">
        <f>VLOOKUP($A1329,Controle!$B$4:$G$68,6,FALSE)</f>
        <v>Solatio</v>
      </c>
      <c r="H1329" s="506" t="s">
        <v>170</v>
      </c>
      <c r="I1329" s="6">
        <v>368640</v>
      </c>
      <c r="J1329" s="506"/>
      <c r="K1329" s="506">
        <v>0</v>
      </c>
      <c r="L1329" s="506">
        <v>0</v>
      </c>
      <c r="M1329" s="506">
        <v>0</v>
      </c>
      <c r="N1329" s="506">
        <v>0</v>
      </c>
      <c r="O1329" s="39">
        <f t="shared" si="444"/>
        <v>368640</v>
      </c>
      <c r="P1329" s="17">
        <f>SUMIFS('Desenvolvimento diário'!$H:$H,'Desenvolvimento diário'!$Q:$Q,$B1329,'Desenvolvimento diário'!$P:$P,$F1329,'Desenvolvimento diário'!$R:$R,"Sim")</f>
        <v>0</v>
      </c>
      <c r="Q1329" s="17">
        <f>SUMIFS('Desenvolvimento diário'!$H:$H,'Desenvolvimento diário'!$Q:$Q,$B1329,'Desenvolvimento diário'!$P:$P,$F1329,'Desenvolvimento diário'!$R:$R,"Não")</f>
        <v>368640</v>
      </c>
      <c r="R1329" s="4">
        <f t="shared" si="445"/>
        <v>368640</v>
      </c>
      <c r="S1329" s="1019">
        <f t="shared" si="446"/>
        <v>0</v>
      </c>
      <c r="T1329" s="12">
        <f t="shared" ref="T1329:T1330" si="450">IFERROR(R1329/O1329,0)</f>
        <v>1</v>
      </c>
      <c r="U1329" s="1019" t="s">
        <v>166</v>
      </c>
      <c r="V1329" s="1041" t="s">
        <v>171</v>
      </c>
      <c r="Y1329" s="2"/>
      <c r="Z1329" s="2"/>
      <c r="AA1329" s="2"/>
      <c r="AB1329" s="2"/>
      <c r="AC1329" s="2"/>
    </row>
    <row r="1330" spans="1:29" hidden="1">
      <c r="A1330" s="2">
        <f t="shared" si="447"/>
        <v>38</v>
      </c>
      <c r="B1330" s="2" t="str">
        <f>VLOOKUP($A1330,Controle!$B$4:$F$68,2,FALSE)</f>
        <v>Alfenas 4</v>
      </c>
      <c r="C1330" s="2" t="str">
        <f>VLOOKUP($A1330,Controle!$B$4:$F$68,3,FALSE)</f>
        <v>MORI MINAS V</v>
      </c>
      <c r="D1330" s="2" t="str">
        <f>VLOOKUP($A1330,Controle!$B$4:$F$68,4,FALSE)</f>
        <v>NewCo V</v>
      </c>
      <c r="E1330" s="2">
        <f>VLOOKUP($A1330,Controle!$B$4:$F$68,5,FALSE)</f>
        <v>2</v>
      </c>
      <c r="F1330" s="3" t="str">
        <f t="shared" si="448"/>
        <v>Cercamento das bacias de contenção ciclo 2</v>
      </c>
      <c r="G1330" s="2" t="str">
        <f>VLOOKUP($A1330,Controle!$B$4:$G$68,6,FALSE)</f>
        <v>Solatio</v>
      </c>
      <c r="H1330" s="506" t="s">
        <v>172</v>
      </c>
      <c r="I1330" s="6"/>
      <c r="J1330" s="506"/>
      <c r="K1330" s="506">
        <v>0</v>
      </c>
      <c r="L1330" s="506">
        <v>0</v>
      </c>
      <c r="M1330" s="506">
        <v>0</v>
      </c>
      <c r="N1330" s="506">
        <v>0</v>
      </c>
      <c r="O1330" s="39">
        <f t="shared" si="444"/>
        <v>0</v>
      </c>
      <c r="P1330" s="17">
        <f>SUMIFS('Desenvolvimento diário'!$H:$H,'Desenvolvimento diário'!$Q:$Q,$B1330,'Desenvolvimento diário'!$P:$P,$F1330,'Desenvolvimento diário'!$R:$R,"Sim")</f>
        <v>0</v>
      </c>
      <c r="Q1330" s="17">
        <f>SUMIFS('Desenvolvimento diário'!$H:$H,'Desenvolvimento diário'!$Q:$Q,$B1330,'Desenvolvimento diário'!$P:$P,$F1330,'Desenvolvimento diário'!$R:$R,"Não")</f>
        <v>0</v>
      </c>
      <c r="R1330" s="4">
        <f t="shared" si="445"/>
        <v>0</v>
      </c>
      <c r="S1330" s="1030">
        <f t="shared" si="446"/>
        <v>0</v>
      </c>
      <c r="T1330" s="12">
        <f t="shared" si="450"/>
        <v>0</v>
      </c>
      <c r="U1330" s="1029" t="s">
        <v>166</v>
      </c>
      <c r="V1330" s="1029" t="s">
        <v>94</v>
      </c>
      <c r="Y1330" s="2"/>
      <c r="Z1330" s="2"/>
      <c r="AA1330" s="2"/>
      <c r="AB1330" s="2"/>
      <c r="AC1330" s="2"/>
    </row>
    <row r="1331" spans="1:29" hidden="1">
      <c r="A1331" s="8">
        <f>A1328</f>
        <v>38</v>
      </c>
      <c r="B1331" s="9" t="str">
        <f t="shared" ref="B1331" si="451">B1328</f>
        <v>Alfenas 4</v>
      </c>
      <c r="C1331" s="9" t="str">
        <f t="shared" ref="C1331" si="452">C1328</f>
        <v>MORI MINAS V</v>
      </c>
      <c r="D1331" s="9" t="str">
        <f t="shared" ref="D1331" si="453">D1328</f>
        <v>NewCo V</v>
      </c>
      <c r="E1331" s="9">
        <f t="shared" ref="E1331" si="454">E1328</f>
        <v>2</v>
      </c>
      <c r="F1331" s="10" t="s">
        <v>158</v>
      </c>
      <c r="G1331" s="9" t="str">
        <f>G1328</f>
        <v>Solatio</v>
      </c>
      <c r="H1331" s="9"/>
      <c r="I1331" s="9">
        <f>SUBTOTAL(9,I1297:I1330)</f>
        <v>1060562</v>
      </c>
      <c r="J1331" s="9">
        <f t="shared" ref="J1331:S1331" si="455">SUBTOTAL(9,J1297:J1330)</f>
        <v>1710976.72</v>
      </c>
      <c r="K1331" s="9">
        <f t="shared" si="455"/>
        <v>0</v>
      </c>
      <c r="L1331" s="9">
        <f t="shared" si="455"/>
        <v>0</v>
      </c>
      <c r="M1331" s="9">
        <f t="shared" si="455"/>
        <v>0</v>
      </c>
      <c r="N1331" s="9">
        <f t="shared" si="455"/>
        <v>0</v>
      </c>
      <c r="O1331" s="9">
        <f t="shared" si="455"/>
        <v>2771538.7199999997</v>
      </c>
      <c r="P1331" s="9">
        <f t="shared" si="455"/>
        <v>0</v>
      </c>
      <c r="Q1331" s="9">
        <f t="shared" si="455"/>
        <v>2686059.88</v>
      </c>
      <c r="R1331" s="9">
        <f t="shared" si="455"/>
        <v>2686059.88</v>
      </c>
      <c r="S1331" s="9">
        <f t="shared" si="455"/>
        <v>85478.839999999851</v>
      </c>
      <c r="T1331" s="13">
        <f>IFERROR(R1331/O1331,0)</f>
        <v>0.96915834536852519</v>
      </c>
      <c r="U1331" s="11">
        <f>SUBTOTAL(9,U1297:U1330)</f>
        <v>0</v>
      </c>
      <c r="Y1331" s="2"/>
      <c r="Z1331" s="2"/>
      <c r="AA1331" s="2"/>
      <c r="AB1331" s="2"/>
      <c r="AC1331" s="2"/>
    </row>
    <row r="1332" spans="1:29" ht="10.5" hidden="1">
      <c r="A1332" s="2">
        <f>A1297+1</f>
        <v>39</v>
      </c>
      <c r="B1332" s="2" t="str">
        <f>VLOOKUP($A1332,Controle!$B$4:$F$68,2,FALSE)</f>
        <v>Arcos 7</v>
      </c>
      <c r="C1332" s="2" t="str">
        <f>VLOOKUP($A1332,Controle!$B$4:$F$68,3,FALSE)</f>
        <v>MORI MINAS IV</v>
      </c>
      <c r="D1332" s="2" t="str">
        <f>VLOOKUP($A1332,Controle!$B$4:$F$68,4,FALSE)</f>
        <v>NewCo IV</v>
      </c>
      <c r="E1332" s="2">
        <f>VLOOKUP($A1332,Controle!$B$4:$F$68,5,FALSE)</f>
        <v>1</v>
      </c>
      <c r="F1332" s="3" t="str">
        <f t="shared" ref="F1332:F1365" si="456">F1297</f>
        <v>Conexão AT - Obras</v>
      </c>
      <c r="G1332" s="2" t="str">
        <f>VLOOKUP($A1332,Controle!$B$4:$G$68,6,FALSE)</f>
        <v>Solatio</v>
      </c>
      <c r="H1332" s="6" t="s">
        <v>141</v>
      </c>
      <c r="I1332" s="31">
        <v>150000</v>
      </c>
      <c r="J1332" s="6">
        <v>0</v>
      </c>
      <c r="K1332" s="6">
        <v>0</v>
      </c>
      <c r="L1332" s="6">
        <v>0</v>
      </c>
      <c r="M1332" s="6">
        <v>0</v>
      </c>
      <c r="N1332" s="6">
        <v>0</v>
      </c>
      <c r="O1332" s="4">
        <f t="shared" ref="O1332:O1365" si="457">SUM(I1332:N1332)</f>
        <v>150000</v>
      </c>
      <c r="P1332" s="5">
        <f>SUMIFS('Desenvolvimento diário'!$H:$H,'Desenvolvimento diário'!$Q:$Q,$B1332,'Desenvolvimento diário'!$P:$P,$F1332,'Desenvolvimento diário'!$R:$R,"Sim")</f>
        <v>49477.03</v>
      </c>
      <c r="Q1332" s="5">
        <f>SUMIFS('Desenvolvimento diário'!$H:$H,'Desenvolvimento diário'!$Q:$Q,$B1332,'Desenvolvimento diário'!$P:$P,$F1332,'Desenvolvimento diário'!$R:$R,"Não")</f>
        <v>100522.96999999997</v>
      </c>
      <c r="R1332" s="4">
        <f t="shared" ref="R1332:R1365" si="458">SUM(P1332:Q1332)</f>
        <v>149999.99999999997</v>
      </c>
      <c r="S1332" s="27">
        <f t="shared" ref="S1332:S1365" si="459">O1332-R1332</f>
        <v>0</v>
      </c>
      <c r="T1332" s="12">
        <f t="shared" si="438"/>
        <v>0.99999999999999978</v>
      </c>
      <c r="Y1332" s="2"/>
      <c r="Z1332" s="2"/>
      <c r="AA1332" s="2"/>
      <c r="AB1332" s="2"/>
      <c r="AC1332" s="2"/>
    </row>
    <row r="1333" spans="1:29" hidden="1">
      <c r="A1333" s="2">
        <f t="shared" ref="A1333:A1365" si="460">A1332</f>
        <v>39</v>
      </c>
      <c r="B1333" s="2" t="str">
        <f>VLOOKUP($A1333,Controle!$B$4:$F$68,2,FALSE)</f>
        <v>Arcos 7</v>
      </c>
      <c r="C1333" s="2" t="str">
        <f>VLOOKUP($A1333,Controle!$B$4:$F$68,3,FALSE)</f>
        <v>MORI MINAS IV</v>
      </c>
      <c r="D1333" s="2" t="str">
        <f>VLOOKUP($A1333,Controle!$B$4:$F$68,4,FALSE)</f>
        <v>NewCo IV</v>
      </c>
      <c r="E1333" s="2">
        <f>VLOOKUP($A1333,Controle!$B$4:$F$68,5,FALSE)</f>
        <v>1</v>
      </c>
      <c r="F1333" s="3" t="str">
        <f t="shared" si="456"/>
        <v>Conexão MT - Obras</v>
      </c>
      <c r="G1333" s="2" t="str">
        <f>VLOOKUP($A1333,Controle!$B$4:$G$68,6,FALSE)</f>
        <v>Solatio</v>
      </c>
      <c r="H1333" s="6" t="s">
        <v>141</v>
      </c>
      <c r="I1333" s="6">
        <v>922314.79</v>
      </c>
      <c r="J1333" s="6">
        <v>1227685.21</v>
      </c>
      <c r="K1333" s="6">
        <v>56000</v>
      </c>
      <c r="L1333" s="6">
        <v>288432</v>
      </c>
      <c r="M1333" s="28">
        <f>(-238851.78)</f>
        <v>-238851.78</v>
      </c>
      <c r="N1333" s="6">
        <v>0</v>
      </c>
      <c r="O1333" s="4">
        <f t="shared" si="457"/>
        <v>2255580.2200000002</v>
      </c>
      <c r="P1333" s="5">
        <f>SUMIFS('Desenvolvimento diário'!$H:$H,'Desenvolvimento diário'!$Q:$Q,$B1333,'Desenvolvimento diário'!$P:$P,$F1333,'Desenvolvimento diário'!$R:$R,"Sim")</f>
        <v>1448580.2200000002</v>
      </c>
      <c r="Q1333" s="5">
        <f>SUMIFS('Desenvolvimento diário'!$H:$H,'Desenvolvimento diário'!$Q:$Q,$B1333,'Desenvolvimento diário'!$P:$P,$F1333,'Desenvolvimento diário'!$R:$R,"Não")</f>
        <v>807000</v>
      </c>
      <c r="R1333" s="4">
        <f t="shared" si="458"/>
        <v>2255580.2200000002</v>
      </c>
      <c r="S1333" s="27">
        <f t="shared" si="459"/>
        <v>0</v>
      </c>
      <c r="T1333" s="12">
        <f t="shared" si="438"/>
        <v>1</v>
      </c>
      <c r="V1333" s="30"/>
      <c r="W1333" s="34"/>
      <c r="X1333" s="34"/>
      <c r="Y1333" s="2"/>
      <c r="Z1333" s="2"/>
      <c r="AA1333" s="2"/>
      <c r="AB1333" s="2"/>
      <c r="AC1333" s="2"/>
    </row>
    <row r="1334" spans="1:29" ht="10.5" hidden="1">
      <c r="A1334" s="2">
        <f t="shared" si="460"/>
        <v>39</v>
      </c>
      <c r="B1334" s="2" t="str">
        <f>VLOOKUP($A1334,Controle!$B$4:$F$68,2,FALSE)</f>
        <v>Arcos 7</v>
      </c>
      <c r="C1334" s="2" t="str">
        <f>VLOOKUP($A1334,Controle!$B$4:$F$68,3,FALSE)</f>
        <v>MORI MINAS IV</v>
      </c>
      <c r="D1334" s="2" t="str">
        <f>VLOOKUP($A1334,Controle!$B$4:$F$68,4,FALSE)</f>
        <v>NewCo IV</v>
      </c>
      <c r="E1334" s="2">
        <f>VLOOKUP($A1334,Controle!$B$4:$F$68,5,FALSE)</f>
        <v>1</v>
      </c>
      <c r="F1334" s="3" t="str">
        <f t="shared" si="456"/>
        <v>Construção - Serviços de Construção</v>
      </c>
      <c r="G1334" s="2" t="str">
        <f>VLOOKUP($A1334,Controle!$B$4:$G$68,6,FALSE)</f>
        <v>Solatio</v>
      </c>
      <c r="H1334" s="6" t="s">
        <v>206</v>
      </c>
      <c r="I1334" s="6">
        <v>3294445</v>
      </c>
      <c r="J1334" s="6">
        <v>433345.87</v>
      </c>
      <c r="K1334" s="6">
        <v>0</v>
      </c>
      <c r="L1334" s="6">
        <v>0</v>
      </c>
      <c r="M1334" s="6">
        <v>0</v>
      </c>
      <c r="N1334" s="6">
        <v>0</v>
      </c>
      <c r="O1334" s="4">
        <f t="shared" si="457"/>
        <v>3727790.87</v>
      </c>
      <c r="P1334" s="5">
        <f>SUMIFS('Desenvolvimento diário'!$H:$H,'Desenvolvimento diário'!$Q:$Q,$B1334,'Desenvolvimento diário'!$P:$P,$F1334,'Desenvolvimento diário'!$R:$R,"Sim")</f>
        <v>898367.03000000014</v>
      </c>
      <c r="Q1334" s="5">
        <f>SUMIFS('Desenvolvimento diário'!$H:$H,'Desenvolvimento diário'!$Q:$Q,$B1334,'Desenvolvimento diário'!$P:$P,$F1334,'Desenvolvimento diário'!$R:$R,"Não")</f>
        <v>2824050.2799999989</v>
      </c>
      <c r="R1334" s="4">
        <f t="shared" si="458"/>
        <v>3722417.3099999991</v>
      </c>
      <c r="S1334" s="33">
        <f t="shared" si="459"/>
        <v>5373.5600000009872</v>
      </c>
      <c r="T1334" s="12">
        <f t="shared" si="438"/>
        <v>0.99855851355738712</v>
      </c>
      <c r="U1334" s="510" t="s">
        <v>162</v>
      </c>
      <c r="V1334" s="510" t="s">
        <v>163</v>
      </c>
      <c r="Y1334" s="2"/>
      <c r="Z1334" s="2"/>
      <c r="AA1334" s="2"/>
      <c r="AB1334" s="2"/>
      <c r="AC1334" s="2"/>
    </row>
    <row r="1335" spans="1:29" ht="10.5" hidden="1">
      <c r="A1335" s="2">
        <f t="shared" si="460"/>
        <v>39</v>
      </c>
      <c r="B1335" s="2" t="str">
        <f>VLOOKUP($A1335,Controle!$B$4:$F$68,2,FALSE)</f>
        <v>Arcos 7</v>
      </c>
      <c r="C1335" s="2" t="str">
        <f>VLOOKUP($A1335,Controle!$B$4:$F$68,3,FALSE)</f>
        <v>MORI MINAS IV</v>
      </c>
      <c r="D1335" s="2" t="str">
        <f>VLOOKUP($A1335,Controle!$B$4:$F$68,4,FALSE)</f>
        <v>NewCo IV</v>
      </c>
      <c r="E1335" s="2">
        <f>VLOOKUP($A1335,Controle!$B$4:$F$68,5,FALSE)</f>
        <v>1</v>
      </c>
      <c r="F1335" s="3" t="str">
        <f t="shared" si="456"/>
        <v>Construção - Serviços de Construção - Substituição</v>
      </c>
      <c r="G1335" s="2" t="str">
        <f>VLOOKUP($A1335,Controle!$B$4:$G$68,6,FALSE)</f>
        <v>Solatio</v>
      </c>
      <c r="H1335" s="6" t="s">
        <v>202</v>
      </c>
      <c r="I1335" s="6">
        <v>2740702.22</v>
      </c>
      <c r="J1335" s="6">
        <v>0</v>
      </c>
      <c r="K1335" s="6">
        <v>0</v>
      </c>
      <c r="L1335" s="6">
        <v>0</v>
      </c>
      <c r="M1335" s="6">
        <v>0</v>
      </c>
      <c r="N1335" s="6">
        <v>0</v>
      </c>
      <c r="O1335" s="4">
        <f t="shared" si="457"/>
        <v>2740702.22</v>
      </c>
      <c r="P1335" s="5">
        <f>SUMIFS('Desenvolvimento diário'!$H:$H,'Desenvolvimento diário'!$Q:$Q,$B1335,'Desenvolvimento diário'!$P:$P,$F1335,'Desenvolvimento diário'!$R:$R,"Sim")</f>
        <v>852425.59999999986</v>
      </c>
      <c r="Q1335" s="5">
        <f>SUMIFS('Desenvolvimento diário'!$H:$H,'Desenvolvimento diário'!$Q:$Q,$B1335,'Desenvolvimento diário'!$P:$P,$F1335,'Desenvolvimento diário'!$R:$R,"Não")</f>
        <v>781100.13</v>
      </c>
      <c r="R1335" s="4">
        <f t="shared" si="458"/>
        <v>1633525.73</v>
      </c>
      <c r="S1335" s="33">
        <f t="shared" si="459"/>
        <v>1107176.4900000002</v>
      </c>
      <c r="T1335" s="12">
        <f t="shared" si="438"/>
        <v>0.59602452177383936</v>
      </c>
      <c r="U1335" s="510" t="s">
        <v>162</v>
      </c>
      <c r="V1335" s="510" t="s">
        <v>163</v>
      </c>
      <c r="Y1335" s="2"/>
      <c r="Z1335" s="2"/>
      <c r="AA1335" s="2"/>
      <c r="AB1335" s="2"/>
      <c r="AC1335" s="2"/>
    </row>
    <row r="1336" spans="1:29" ht="10.5" hidden="1">
      <c r="A1336" s="2">
        <f t="shared" si="460"/>
        <v>39</v>
      </c>
      <c r="B1336" s="2" t="str">
        <f>VLOOKUP($A1336,Controle!$B$4:$F$68,2,FALSE)</f>
        <v>Arcos 7</v>
      </c>
      <c r="C1336" s="2" t="str">
        <f>VLOOKUP($A1336,Controle!$B$4:$F$68,3,FALSE)</f>
        <v>MORI MINAS IV</v>
      </c>
      <c r="D1336" s="2" t="str">
        <f>VLOOKUP($A1336,Controle!$B$4:$F$68,4,FALSE)</f>
        <v>NewCo IV</v>
      </c>
      <c r="E1336" s="2">
        <f>VLOOKUP($A1336,Controle!$B$4:$F$68,5,FALSE)</f>
        <v>1</v>
      </c>
      <c r="F1336" s="3" t="str">
        <f t="shared" si="456"/>
        <v>Construção - RDA Interno</v>
      </c>
      <c r="G1336" s="2" t="str">
        <f>VLOOKUP($A1336,Controle!$B$4:$G$68,6,FALSE)</f>
        <v>Solatio</v>
      </c>
      <c r="H1336" s="6" t="s">
        <v>168</v>
      </c>
      <c r="I1336" s="6">
        <v>330000</v>
      </c>
      <c r="J1336" s="6">
        <v>0</v>
      </c>
      <c r="K1336" s="6">
        <v>0</v>
      </c>
      <c r="L1336" s="6">
        <v>0</v>
      </c>
      <c r="M1336" s="6">
        <v>0</v>
      </c>
      <c r="N1336" s="6">
        <v>0</v>
      </c>
      <c r="O1336" s="4">
        <f t="shared" si="457"/>
        <v>330000</v>
      </c>
      <c r="P1336" s="5">
        <f>SUMIFS('Desenvolvimento diário'!$H:$H,'Desenvolvimento diário'!$Q:$Q,$B1336,'Desenvolvimento diário'!$P:$P,$F1336,'Desenvolvimento diário'!$R:$R,"Sim")</f>
        <v>0</v>
      </c>
      <c r="Q1336" s="5">
        <f>SUMIFS('Desenvolvimento diário'!$H:$H,'Desenvolvimento diário'!$Q:$Q,$B1336,'Desenvolvimento diário'!$P:$P,$F1336,'Desenvolvimento diário'!$R:$R,"Não")</f>
        <v>330000</v>
      </c>
      <c r="R1336" s="4">
        <f t="shared" si="458"/>
        <v>330000</v>
      </c>
      <c r="S1336" s="4">
        <f t="shared" si="459"/>
        <v>0</v>
      </c>
      <c r="T1336" s="12">
        <f t="shared" si="438"/>
        <v>1</v>
      </c>
      <c r="Y1336" s="2"/>
      <c r="Z1336" s="2"/>
      <c r="AA1336" s="2"/>
      <c r="AB1336" s="2"/>
      <c r="AC1336" s="2"/>
    </row>
    <row r="1337" spans="1:29" ht="10.5" hidden="1">
      <c r="A1337" s="2">
        <f t="shared" si="460"/>
        <v>39</v>
      </c>
      <c r="B1337" s="2" t="str">
        <f>VLOOKUP($A1337,Controle!$B$4:$F$68,2,FALSE)</f>
        <v>Arcos 7</v>
      </c>
      <c r="C1337" s="2" t="str">
        <f>VLOOKUP($A1337,Controle!$B$4:$F$68,3,FALSE)</f>
        <v>MORI MINAS IV</v>
      </c>
      <c r="D1337" s="2" t="str">
        <f>VLOOKUP($A1337,Controle!$B$4:$F$68,4,FALSE)</f>
        <v>NewCo IV</v>
      </c>
      <c r="E1337" s="2">
        <f>VLOOKUP($A1337,Controle!$B$4:$F$68,5,FALSE)</f>
        <v>1</v>
      </c>
      <c r="F1337" s="3" t="str">
        <f t="shared" si="456"/>
        <v>Full EPC - Contrato</v>
      </c>
      <c r="G1337" s="2" t="str">
        <f>VLOOKUP($A1337,Controle!$B$4:$G$68,6,FALSE)</f>
        <v>Solatio</v>
      </c>
      <c r="H1337" s="6">
        <v>0</v>
      </c>
      <c r="I1337" s="6">
        <v>0</v>
      </c>
      <c r="J1337" s="6">
        <v>0</v>
      </c>
      <c r="K1337" s="6">
        <v>0</v>
      </c>
      <c r="L1337" s="6">
        <v>0</v>
      </c>
      <c r="M1337" s="6">
        <v>0</v>
      </c>
      <c r="N1337" s="6">
        <v>0</v>
      </c>
      <c r="O1337" s="4">
        <f t="shared" si="457"/>
        <v>0</v>
      </c>
      <c r="P1337" s="5">
        <f>SUMIFS('Desenvolvimento diário'!$H:$H,'Desenvolvimento diário'!$Q:$Q,$B1337,'Desenvolvimento diário'!$P:$P,$F1337,'Desenvolvimento diário'!$R:$R,"Sim")</f>
        <v>0</v>
      </c>
      <c r="Q1337" s="5">
        <f>SUMIFS('Desenvolvimento diário'!$H:$H,'Desenvolvimento diário'!$Q:$Q,$B1337,'Desenvolvimento diário'!$P:$P,$F1337,'Desenvolvimento diário'!$R:$R,"Não")</f>
        <v>0</v>
      </c>
      <c r="R1337" s="4">
        <f t="shared" si="458"/>
        <v>0</v>
      </c>
      <c r="S1337" s="4">
        <f t="shared" si="459"/>
        <v>0</v>
      </c>
      <c r="T1337" s="12">
        <f t="shared" si="438"/>
        <v>0</v>
      </c>
      <c r="Y1337" s="2"/>
      <c r="Z1337" s="2"/>
      <c r="AA1337" s="2"/>
      <c r="AB1337" s="2"/>
      <c r="AC1337" s="2"/>
    </row>
    <row r="1338" spans="1:29" ht="10.5" hidden="1">
      <c r="A1338" s="2">
        <f t="shared" si="460"/>
        <v>39</v>
      </c>
      <c r="B1338" s="2" t="str">
        <f>VLOOKUP($A1338,Controle!$B$4:$F$68,2,FALSE)</f>
        <v>Arcos 7</v>
      </c>
      <c r="C1338" s="2" t="str">
        <f>VLOOKUP($A1338,Controle!$B$4:$F$68,3,FALSE)</f>
        <v>MORI MINAS IV</v>
      </c>
      <c r="D1338" s="2" t="str">
        <f>VLOOKUP($A1338,Controle!$B$4:$F$68,4,FALSE)</f>
        <v>NewCo IV</v>
      </c>
      <c r="E1338" s="2">
        <f>VLOOKUP($A1338,Controle!$B$4:$F$68,5,FALSE)</f>
        <v>1</v>
      </c>
      <c r="F1338" s="3" t="str">
        <f t="shared" si="456"/>
        <v>Equipamentos Curva A - Outros (Transformadores)</v>
      </c>
      <c r="G1338" s="2" t="str">
        <f>VLOOKUP($A1338,Controle!$B$4:$G$68,6,FALSE)</f>
        <v>Solatio</v>
      </c>
      <c r="H1338" s="6">
        <v>0</v>
      </c>
      <c r="I1338" s="6">
        <v>0</v>
      </c>
      <c r="J1338" s="6">
        <v>0</v>
      </c>
      <c r="K1338" s="6">
        <v>0</v>
      </c>
      <c r="L1338" s="6">
        <v>0</v>
      </c>
      <c r="M1338" s="6">
        <v>0</v>
      </c>
      <c r="N1338" s="6">
        <v>0</v>
      </c>
      <c r="O1338" s="4">
        <f t="shared" si="457"/>
        <v>0</v>
      </c>
      <c r="P1338" s="5">
        <f>SUMIFS('Desenvolvimento diário'!$H:$H,'Desenvolvimento diário'!$Q:$Q,$B1338,'Desenvolvimento diário'!$P:$P,$F1338,'Desenvolvimento diário'!$R:$R,"Sim")</f>
        <v>0</v>
      </c>
      <c r="Q1338" s="5">
        <f>SUMIFS('Desenvolvimento diário'!$H:$H,'Desenvolvimento diário'!$Q:$Q,$B1338,'Desenvolvimento diário'!$P:$P,$F1338,'Desenvolvimento diário'!$R:$R,"Não")</f>
        <v>0</v>
      </c>
      <c r="R1338" s="4">
        <f t="shared" si="458"/>
        <v>0</v>
      </c>
      <c r="S1338" s="4">
        <f t="shared" si="459"/>
        <v>0</v>
      </c>
      <c r="T1338" s="12">
        <f t="shared" si="438"/>
        <v>0</v>
      </c>
      <c r="Y1338" s="2"/>
      <c r="Z1338" s="2"/>
      <c r="AA1338" s="2"/>
      <c r="AB1338" s="2"/>
      <c r="AC1338" s="2"/>
    </row>
    <row r="1339" spans="1:29" ht="10.5" hidden="1">
      <c r="A1339" s="2">
        <f t="shared" si="460"/>
        <v>39</v>
      </c>
      <c r="B1339" s="2" t="str">
        <f>VLOOKUP($A1339,Controle!$B$4:$F$68,2,FALSE)</f>
        <v>Arcos 7</v>
      </c>
      <c r="C1339" s="2" t="str">
        <f>VLOOKUP($A1339,Controle!$B$4:$F$68,3,FALSE)</f>
        <v>MORI MINAS IV</v>
      </c>
      <c r="D1339" s="2" t="str">
        <f>VLOOKUP($A1339,Controle!$B$4:$F$68,4,FALSE)</f>
        <v>NewCo IV</v>
      </c>
      <c r="E1339" s="2">
        <f>VLOOKUP($A1339,Controle!$B$4:$F$68,5,FALSE)</f>
        <v>1</v>
      </c>
      <c r="F1339" s="3" t="str">
        <f t="shared" si="456"/>
        <v>Equipamentos Curva A - Outros (Cabine + Skid)</v>
      </c>
      <c r="G1339" s="2" t="str">
        <f>VLOOKUP($A1339,Controle!$B$4:$G$68,6,FALSE)</f>
        <v>Solatio</v>
      </c>
      <c r="H1339" s="6">
        <v>0</v>
      </c>
      <c r="I1339" s="6">
        <v>0</v>
      </c>
      <c r="J1339" s="6">
        <v>0</v>
      </c>
      <c r="K1339" s="6">
        <v>0</v>
      </c>
      <c r="L1339" s="6">
        <v>0</v>
      </c>
      <c r="M1339" s="6">
        <v>0</v>
      </c>
      <c r="N1339" s="6">
        <v>0</v>
      </c>
      <c r="O1339" s="4">
        <f t="shared" si="457"/>
        <v>0</v>
      </c>
      <c r="P1339" s="5">
        <f>SUMIFS('Desenvolvimento diário'!$H:$H,'Desenvolvimento diário'!$Q:$Q,$B1339,'Desenvolvimento diário'!$P:$P,$F1339,'Desenvolvimento diário'!$R:$R,"Sim")</f>
        <v>0</v>
      </c>
      <c r="Q1339" s="5">
        <f>SUMIFS('Desenvolvimento diário'!$H:$H,'Desenvolvimento diário'!$Q:$Q,$B1339,'Desenvolvimento diário'!$P:$P,$F1339,'Desenvolvimento diário'!$R:$R,"Não")</f>
        <v>0</v>
      </c>
      <c r="R1339" s="4">
        <f t="shared" si="458"/>
        <v>0</v>
      </c>
      <c r="S1339" s="4">
        <f t="shared" si="459"/>
        <v>0</v>
      </c>
      <c r="T1339" s="12">
        <f t="shared" si="438"/>
        <v>0</v>
      </c>
      <c r="Y1339" s="2"/>
      <c r="Z1339" s="2"/>
      <c r="AA1339" s="2"/>
      <c r="AB1339" s="2"/>
      <c r="AC1339" s="2"/>
    </row>
    <row r="1340" spans="1:29" ht="10.5" hidden="1">
      <c r="A1340" s="2">
        <f t="shared" si="460"/>
        <v>39</v>
      </c>
      <c r="B1340" s="2" t="str">
        <f>VLOOKUP($A1340,Controle!$B$4:$F$68,2,FALSE)</f>
        <v>Arcos 7</v>
      </c>
      <c r="C1340" s="2" t="str">
        <f>VLOOKUP($A1340,Controle!$B$4:$F$68,3,FALSE)</f>
        <v>MORI MINAS IV</v>
      </c>
      <c r="D1340" s="2" t="str">
        <f>VLOOKUP($A1340,Controle!$B$4:$F$68,4,FALSE)</f>
        <v>NewCo IV</v>
      </c>
      <c r="E1340" s="2">
        <f>VLOOKUP($A1340,Controle!$B$4:$F$68,5,FALSE)</f>
        <v>1</v>
      </c>
      <c r="F1340" s="3" t="str">
        <f t="shared" si="456"/>
        <v>Equipamentos Curva A - Outros (Cabine + Skid + Transformador)</v>
      </c>
      <c r="G1340" s="2" t="str">
        <f>VLOOKUP($A1340,Controle!$B$4:$G$68,6,FALSE)</f>
        <v>Solatio</v>
      </c>
      <c r="H1340" s="6" t="s">
        <v>144</v>
      </c>
      <c r="I1340" s="6">
        <v>1336206.156465</v>
      </c>
      <c r="J1340" s="6">
        <v>0</v>
      </c>
      <c r="K1340" s="6">
        <v>0</v>
      </c>
      <c r="L1340" s="6">
        <v>0</v>
      </c>
      <c r="M1340" s="6">
        <v>0</v>
      </c>
      <c r="N1340" s="6">
        <v>0</v>
      </c>
      <c r="O1340" s="4">
        <f t="shared" si="457"/>
        <v>1336206.156465</v>
      </c>
      <c r="P1340" s="5">
        <f>SUMIFS('Desenvolvimento diário'!$H:$H,'Desenvolvimento diário'!$Q:$Q,$B1340,'Desenvolvimento diário'!$P:$P,$F1340,'Desenvolvimento diário'!$R:$R,"Sim")</f>
        <v>0</v>
      </c>
      <c r="Q1340" s="5">
        <f>SUMIFS('Desenvolvimento diário'!$H:$H,'Desenvolvimento diário'!$Q:$Q,$B1340,'Desenvolvimento diário'!$P:$P,$F1340,'Desenvolvimento diário'!$R:$R,"Não")</f>
        <v>1336206.156465</v>
      </c>
      <c r="R1340" s="4">
        <f t="shared" si="458"/>
        <v>1336206.156465</v>
      </c>
      <c r="S1340" s="4">
        <f t="shared" si="459"/>
        <v>0</v>
      </c>
      <c r="T1340" s="12">
        <f t="shared" si="438"/>
        <v>1</v>
      </c>
      <c r="Y1340" s="2"/>
      <c r="Z1340" s="2"/>
      <c r="AA1340" s="2"/>
      <c r="AB1340" s="2"/>
      <c r="AC1340" s="2"/>
    </row>
    <row r="1341" spans="1:29" ht="10.5" hidden="1">
      <c r="A1341" s="2">
        <f t="shared" si="460"/>
        <v>39</v>
      </c>
      <c r="B1341" s="2" t="str">
        <f>VLOOKUP($A1341,Controle!$B$4:$F$68,2,FALSE)</f>
        <v>Arcos 7</v>
      </c>
      <c r="C1341" s="2" t="str">
        <f>VLOOKUP($A1341,Controle!$B$4:$F$68,3,FALSE)</f>
        <v>MORI MINAS IV</v>
      </c>
      <c r="D1341" s="2" t="str">
        <f>VLOOKUP($A1341,Controle!$B$4:$F$68,4,FALSE)</f>
        <v>NewCo IV</v>
      </c>
      <c r="E1341" s="2">
        <f>VLOOKUP($A1341,Controle!$B$4:$F$68,5,FALSE)</f>
        <v>1</v>
      </c>
      <c r="F1341" s="3" t="str">
        <f t="shared" si="456"/>
        <v>Desenvolvimento de projeto - Projetos - (Eng° Proprietario)</v>
      </c>
      <c r="G1341" s="2" t="str">
        <f>VLOOKUP($A1341,Controle!$B$4:$G$68,6,FALSE)</f>
        <v>Solatio</v>
      </c>
      <c r="H1341" s="6" t="s">
        <v>145</v>
      </c>
      <c r="I1341" s="6">
        <v>0</v>
      </c>
      <c r="J1341" s="6">
        <v>0</v>
      </c>
      <c r="K1341" s="6">
        <v>0</v>
      </c>
      <c r="L1341" s="6">
        <v>0</v>
      </c>
      <c r="M1341" s="6">
        <v>0</v>
      </c>
      <c r="N1341" s="6">
        <v>0</v>
      </c>
      <c r="O1341" s="4">
        <f t="shared" si="457"/>
        <v>0</v>
      </c>
      <c r="P1341" s="5">
        <f>SUMIFS('Desenvolvimento diário'!$H:$H,'Desenvolvimento diário'!$Q:$Q,$B1341,'Desenvolvimento diário'!$P:$P,$F1341,'Desenvolvimento diário'!$R:$R,"Sim")</f>
        <v>0</v>
      </c>
      <c r="Q1341" s="5">
        <f>SUMIFS('Desenvolvimento diário'!$H:$H,'Desenvolvimento diário'!$Q:$Q,$B1341,'Desenvolvimento diário'!$P:$P,$F1341,'Desenvolvimento diário'!$R:$R,"Não")</f>
        <v>0</v>
      </c>
      <c r="R1341" s="4">
        <f t="shared" si="458"/>
        <v>0</v>
      </c>
      <c r="S1341" s="4">
        <f t="shared" si="459"/>
        <v>0</v>
      </c>
      <c r="T1341" s="12">
        <f t="shared" si="438"/>
        <v>0</v>
      </c>
      <c r="Y1341" s="2"/>
      <c r="Z1341" s="2"/>
      <c r="AA1341" s="2"/>
      <c r="AB1341" s="2"/>
      <c r="AC1341" s="2"/>
    </row>
    <row r="1342" spans="1:29" ht="10.5" hidden="1">
      <c r="A1342" s="2">
        <f t="shared" si="460"/>
        <v>39</v>
      </c>
      <c r="B1342" s="2" t="str">
        <f>VLOOKUP($A1342,Controle!$B$4:$F$68,2,FALSE)</f>
        <v>Arcos 7</v>
      </c>
      <c r="C1342" s="2" t="str">
        <f>VLOOKUP($A1342,Controle!$B$4:$F$68,3,FALSE)</f>
        <v>MORI MINAS IV</v>
      </c>
      <c r="D1342" s="2" t="str">
        <f>VLOOKUP($A1342,Controle!$B$4:$F$68,4,FALSE)</f>
        <v>NewCo IV</v>
      </c>
      <c r="E1342" s="2">
        <f>VLOOKUP($A1342,Controle!$B$4:$F$68,5,FALSE)</f>
        <v>1</v>
      </c>
      <c r="F1342" s="3" t="str">
        <f t="shared" si="456"/>
        <v>Desenvolvimento de projeto - Projetos - Executivos</v>
      </c>
      <c r="G1342" s="2" t="str">
        <f>VLOOKUP($A1342,Controle!$B$4:$G$68,6,FALSE)</f>
        <v>Solatio</v>
      </c>
      <c r="H1342" s="6" t="s">
        <v>146</v>
      </c>
      <c r="I1342" s="6">
        <v>36466.699999999997</v>
      </c>
      <c r="J1342" s="6">
        <v>0</v>
      </c>
      <c r="K1342" s="6">
        <v>0</v>
      </c>
      <c r="L1342" s="6">
        <v>0</v>
      </c>
      <c r="M1342" s="6">
        <v>0</v>
      </c>
      <c r="N1342" s="6">
        <v>0</v>
      </c>
      <c r="O1342" s="4">
        <f t="shared" si="457"/>
        <v>36466.699999999997</v>
      </c>
      <c r="P1342" s="5">
        <f>SUMIFS('Desenvolvimento diário'!$H:$H,'Desenvolvimento diário'!$Q:$Q,$B1342,'Desenvolvimento diário'!$P:$P,$F1342,'Desenvolvimento diário'!$R:$R,"Sim")</f>
        <v>0</v>
      </c>
      <c r="Q1342" s="5">
        <f>SUMIFS('Desenvolvimento diário'!$H:$H,'Desenvolvimento diário'!$Q:$Q,$B1342,'Desenvolvimento diário'!$P:$P,$F1342,'Desenvolvimento diário'!$R:$R,"Não")</f>
        <v>36466.699999999997</v>
      </c>
      <c r="R1342" s="4">
        <f t="shared" si="458"/>
        <v>36466.699999999997</v>
      </c>
      <c r="S1342" s="4">
        <f t="shared" si="459"/>
        <v>0</v>
      </c>
      <c r="T1342" s="12">
        <f t="shared" si="438"/>
        <v>1</v>
      </c>
      <c r="Y1342" s="2"/>
      <c r="Z1342" s="2"/>
      <c r="AA1342" s="2"/>
      <c r="AB1342" s="2"/>
      <c r="AC1342" s="2"/>
    </row>
    <row r="1343" spans="1:29" ht="10.5" hidden="1">
      <c r="A1343" s="2">
        <f t="shared" si="460"/>
        <v>39</v>
      </c>
      <c r="B1343" s="2" t="str">
        <f>VLOOKUP($A1343,Controle!$B$4:$F$68,2,FALSE)</f>
        <v>Arcos 7</v>
      </c>
      <c r="C1343" s="2" t="str">
        <f>VLOOKUP($A1343,Controle!$B$4:$F$68,3,FALSE)</f>
        <v>MORI MINAS IV</v>
      </c>
      <c r="D1343" s="2" t="str">
        <f>VLOOKUP($A1343,Controle!$B$4:$F$68,4,FALSE)</f>
        <v>NewCo IV</v>
      </c>
      <c r="E1343" s="2">
        <f>VLOOKUP($A1343,Controle!$B$4:$F$68,5,FALSE)</f>
        <v>1</v>
      </c>
      <c r="F1343" s="3" t="str">
        <f t="shared" si="456"/>
        <v>Desenvolvimento de projeto - Projetos Básica</v>
      </c>
      <c r="G1343" s="2" t="str">
        <f>VLOOKUP($A1343,Controle!$B$4:$G$68,6,FALSE)</f>
        <v>Solatio</v>
      </c>
      <c r="H1343" s="6">
        <v>0</v>
      </c>
      <c r="I1343" s="6">
        <v>0</v>
      </c>
      <c r="J1343" s="6">
        <v>0</v>
      </c>
      <c r="K1343" s="6">
        <v>0</v>
      </c>
      <c r="L1343" s="6">
        <v>0</v>
      </c>
      <c r="M1343" s="6">
        <v>0</v>
      </c>
      <c r="N1343" s="6">
        <v>0</v>
      </c>
      <c r="O1343" s="4">
        <f t="shared" si="457"/>
        <v>0</v>
      </c>
      <c r="P1343" s="5">
        <f>SUMIFS('Desenvolvimento diário'!$H:$H,'Desenvolvimento diário'!$Q:$Q,$B1343,'Desenvolvimento diário'!$P:$P,$F1343,'Desenvolvimento diário'!$R:$R,"Sim")</f>
        <v>0</v>
      </c>
      <c r="Q1343" s="5">
        <f>SUMIFS('Desenvolvimento diário'!$H:$H,'Desenvolvimento diário'!$Q:$Q,$B1343,'Desenvolvimento diário'!$P:$P,$F1343,'Desenvolvimento diário'!$R:$R,"Não")</f>
        <v>0</v>
      </c>
      <c r="R1343" s="4">
        <f t="shared" si="458"/>
        <v>0</v>
      </c>
      <c r="S1343" s="4">
        <f t="shared" si="459"/>
        <v>0</v>
      </c>
      <c r="T1343" s="12">
        <f t="shared" si="438"/>
        <v>0</v>
      </c>
      <c r="Y1343" s="2"/>
      <c r="Z1343" s="2"/>
      <c r="AA1343" s="2"/>
      <c r="AB1343" s="2"/>
      <c r="AC1343" s="2"/>
    </row>
    <row r="1344" spans="1:29" ht="10.5" hidden="1">
      <c r="A1344" s="2">
        <f t="shared" si="460"/>
        <v>39</v>
      </c>
      <c r="B1344" s="2" t="str">
        <f>VLOOKUP($A1344,Controle!$B$4:$F$68,2,FALSE)</f>
        <v>Arcos 7</v>
      </c>
      <c r="C1344" s="2" t="str">
        <f>VLOOKUP($A1344,Controle!$B$4:$F$68,3,FALSE)</f>
        <v>MORI MINAS IV</v>
      </c>
      <c r="D1344" s="2" t="str">
        <f>VLOOKUP($A1344,Controle!$B$4:$F$68,4,FALSE)</f>
        <v>NewCo IV</v>
      </c>
      <c r="E1344" s="2">
        <f>VLOOKUP($A1344,Controle!$B$4:$F$68,5,FALSE)</f>
        <v>1</v>
      </c>
      <c r="F1344" s="3" t="str">
        <f t="shared" si="456"/>
        <v>Desenvolvimento de projeto - Projetos Detalhada</v>
      </c>
      <c r="G1344" s="2" t="str">
        <f>VLOOKUP($A1344,Controle!$B$4:$G$68,6,FALSE)</f>
        <v>Solatio</v>
      </c>
      <c r="H1344" s="6">
        <v>0</v>
      </c>
      <c r="I1344" s="6">
        <v>0</v>
      </c>
      <c r="J1344" s="6">
        <v>0</v>
      </c>
      <c r="K1344" s="6">
        <v>0</v>
      </c>
      <c r="L1344" s="6">
        <v>0</v>
      </c>
      <c r="M1344" s="6">
        <v>0</v>
      </c>
      <c r="N1344" s="6">
        <v>0</v>
      </c>
      <c r="O1344" s="4">
        <f t="shared" si="457"/>
        <v>0</v>
      </c>
      <c r="P1344" s="5">
        <f>SUMIFS('Desenvolvimento diário'!$H:$H,'Desenvolvimento diário'!$Q:$Q,$B1344,'Desenvolvimento diário'!$P:$P,$F1344,'Desenvolvimento diário'!$R:$R,"Sim")</f>
        <v>0</v>
      </c>
      <c r="Q1344" s="5">
        <f>SUMIFS('Desenvolvimento diário'!$H:$H,'Desenvolvimento diário'!$Q:$Q,$B1344,'Desenvolvimento diário'!$P:$P,$F1344,'Desenvolvimento diário'!$R:$R,"Não")</f>
        <v>0</v>
      </c>
      <c r="R1344" s="4">
        <f t="shared" si="458"/>
        <v>0</v>
      </c>
      <c r="S1344" s="4">
        <f t="shared" si="459"/>
        <v>0</v>
      </c>
      <c r="T1344" s="12">
        <f t="shared" si="438"/>
        <v>0</v>
      </c>
      <c r="Y1344" s="2"/>
      <c r="Z1344" s="2"/>
      <c r="AA1344" s="2"/>
      <c r="AB1344" s="2"/>
      <c r="AC1344" s="2"/>
    </row>
    <row r="1345" spans="1:29" ht="10.5" hidden="1">
      <c r="A1345" s="2">
        <f t="shared" si="460"/>
        <v>39</v>
      </c>
      <c r="B1345" s="2" t="str">
        <f>VLOOKUP($A1345,Controle!$B$4:$F$68,2,FALSE)</f>
        <v>Arcos 7</v>
      </c>
      <c r="C1345" s="2" t="str">
        <f>VLOOKUP($A1345,Controle!$B$4:$F$68,3,FALSE)</f>
        <v>MORI MINAS IV</v>
      </c>
      <c r="D1345" s="2" t="str">
        <f>VLOOKUP($A1345,Controle!$B$4:$F$68,4,FALSE)</f>
        <v>NewCo IV</v>
      </c>
      <c r="E1345" s="2">
        <f>VLOOKUP($A1345,Controle!$B$4:$F$68,5,FALSE)</f>
        <v>1</v>
      </c>
      <c r="F1345" s="3" t="str">
        <f t="shared" si="456"/>
        <v>Desenvolvimento de projeto - Ambiental / Outros</v>
      </c>
      <c r="G1345" s="2" t="str">
        <f>VLOOKUP($A1345,Controle!$B$4:$G$68,6,FALSE)</f>
        <v>Solatio</v>
      </c>
      <c r="H1345" s="6" t="s">
        <v>148</v>
      </c>
      <c r="I1345" s="6">
        <f>R1345</f>
        <v>134079.76999999999</v>
      </c>
      <c r="J1345" s="6">
        <v>0</v>
      </c>
      <c r="K1345" s="6">
        <v>0</v>
      </c>
      <c r="L1345" s="6">
        <v>0</v>
      </c>
      <c r="M1345" s="6">
        <v>0</v>
      </c>
      <c r="N1345" s="6">
        <v>0</v>
      </c>
      <c r="O1345" s="4">
        <f t="shared" si="457"/>
        <v>134079.76999999999</v>
      </c>
      <c r="P1345" s="5">
        <f>SUMIFS('Desenvolvimento diário'!$H:$H,'Desenvolvimento diário'!$Q:$Q,$B1345,'Desenvolvimento diário'!$P:$P,$F1345,'Desenvolvimento diário'!$R:$R,"Sim")</f>
        <v>0</v>
      </c>
      <c r="Q1345" s="5">
        <f>SUMIFS('Desenvolvimento diário'!$H:$H,'Desenvolvimento diário'!$Q:$Q,$B1345,'Desenvolvimento diário'!$P:$P,$F1345,'Desenvolvimento diário'!$R:$R,"Não")</f>
        <v>134079.76999999999</v>
      </c>
      <c r="R1345" s="4">
        <f t="shared" si="458"/>
        <v>134079.76999999999</v>
      </c>
      <c r="S1345" s="4">
        <f t="shared" si="459"/>
        <v>0</v>
      </c>
      <c r="T1345" s="12">
        <f t="shared" si="438"/>
        <v>1</v>
      </c>
      <c r="Y1345" s="2"/>
      <c r="Z1345" s="2"/>
      <c r="AA1345" s="2"/>
      <c r="AB1345" s="2"/>
      <c r="AC1345" s="2"/>
    </row>
    <row r="1346" spans="1:29" hidden="1">
      <c r="A1346" s="2">
        <f t="shared" si="460"/>
        <v>39</v>
      </c>
      <c r="B1346" s="2" t="str">
        <f>VLOOKUP($A1346,Controle!$B$4:$F$68,2,FALSE)</f>
        <v>Arcos 7</v>
      </c>
      <c r="C1346" s="2" t="str">
        <f>VLOOKUP($A1346,Controle!$B$4:$F$68,3,FALSE)</f>
        <v>MORI MINAS IV</v>
      </c>
      <c r="D1346" s="2" t="str">
        <f>VLOOKUP($A1346,Controle!$B$4:$F$68,4,FALSE)</f>
        <v>NewCo IV</v>
      </c>
      <c r="E1346" s="2">
        <f>VLOOKUP($A1346,Controle!$B$4:$F$68,5,FALSE)</f>
        <v>1</v>
      </c>
      <c r="F1346" s="3" t="str">
        <f t="shared" si="456"/>
        <v>Desenvolvimento de projeto - Coordenograma</v>
      </c>
      <c r="G1346" s="2" t="str">
        <f>VLOOKUP($A1346,Controle!$B$4:$G$68,6,FALSE)</f>
        <v>Solatio</v>
      </c>
      <c r="H1346" s="31" t="s">
        <v>149</v>
      </c>
      <c r="I1346" s="31">
        <v>6206.9</v>
      </c>
      <c r="J1346" s="31">
        <v>0</v>
      </c>
      <c r="K1346" s="31">
        <v>0</v>
      </c>
      <c r="L1346" s="6">
        <v>0</v>
      </c>
      <c r="M1346" s="6">
        <v>0</v>
      </c>
      <c r="N1346" s="6">
        <v>0</v>
      </c>
      <c r="O1346" s="4">
        <f t="shared" si="457"/>
        <v>6206.9</v>
      </c>
      <c r="P1346" s="5">
        <f>SUMIFS('Desenvolvimento diário'!$H:$H,'Desenvolvimento diário'!$Q:$Q,$B1346,'Desenvolvimento diário'!$P:$P,$F1346,'Desenvolvimento diário'!$R:$R,"Sim")</f>
        <v>0</v>
      </c>
      <c r="Q1346" s="5">
        <f>SUMIFS('Desenvolvimento diário'!$H:$H,'Desenvolvimento diário'!$Q:$Q,$B1346,'Desenvolvimento diário'!$P:$P,$F1346,'Desenvolvimento diário'!$R:$R,"Não")</f>
        <v>6206.9</v>
      </c>
      <c r="R1346" s="4">
        <f t="shared" si="458"/>
        <v>6206.9</v>
      </c>
      <c r="S1346" s="4">
        <f t="shared" si="459"/>
        <v>0</v>
      </c>
      <c r="T1346" s="12">
        <f t="shared" si="438"/>
        <v>1</v>
      </c>
      <c r="Y1346" s="2"/>
      <c r="Z1346" s="2"/>
      <c r="AA1346" s="2"/>
      <c r="AB1346" s="2"/>
      <c r="AC1346" s="2"/>
    </row>
    <row r="1347" spans="1:29" ht="10.5" hidden="1">
      <c r="A1347" s="2">
        <f t="shared" si="460"/>
        <v>39</v>
      </c>
      <c r="B1347" s="2" t="str">
        <f>VLOOKUP($A1347,Controle!$B$4:$F$68,2,FALSE)</f>
        <v>Arcos 7</v>
      </c>
      <c r="C1347" s="2" t="str">
        <f>VLOOKUP($A1347,Controle!$B$4:$F$68,3,FALSE)</f>
        <v>MORI MINAS IV</v>
      </c>
      <c r="D1347" s="2" t="str">
        <f>VLOOKUP($A1347,Controle!$B$4:$F$68,4,FALSE)</f>
        <v>NewCo IV</v>
      </c>
      <c r="E1347" s="2">
        <f>VLOOKUP($A1347,Controle!$B$4:$F$68,5,FALSE)</f>
        <v>1</v>
      </c>
      <c r="F1347" s="3" t="str">
        <f t="shared" si="456"/>
        <v>Sistemas de Monitoramento - Supervisório</v>
      </c>
      <c r="G1347" s="2" t="str">
        <f>VLOOKUP($A1347,Controle!$B$4:$G$68,6,FALSE)</f>
        <v>Solatio</v>
      </c>
      <c r="H1347" s="6" t="s">
        <v>150</v>
      </c>
      <c r="I1347" s="6">
        <f>136155+(0.01)</f>
        <v>136155.01</v>
      </c>
      <c r="J1347" s="6"/>
      <c r="K1347" s="6">
        <v>0</v>
      </c>
      <c r="L1347" s="6">
        <v>0</v>
      </c>
      <c r="M1347" s="6">
        <v>0</v>
      </c>
      <c r="N1347" s="6">
        <v>0</v>
      </c>
      <c r="O1347" s="4">
        <f t="shared" si="457"/>
        <v>136155.01</v>
      </c>
      <c r="P1347" s="5">
        <f>SUMIFS('Desenvolvimento diário'!$H:$H,'Desenvolvimento diário'!$Q:$Q,$B1347,'Desenvolvimento diário'!$P:$P,$F1347,'Desenvolvimento diário'!$R:$R,"Sim")</f>
        <v>5821.02</v>
      </c>
      <c r="Q1347" s="5">
        <f>SUMIFS('Desenvolvimento diário'!$H:$H,'Desenvolvimento diário'!$Q:$Q,$B1347,'Desenvolvimento diário'!$P:$P,$F1347,'Desenvolvimento diário'!$R:$R,"Não")</f>
        <v>130333.99</v>
      </c>
      <c r="R1347" s="4">
        <f t="shared" si="458"/>
        <v>136155.01</v>
      </c>
      <c r="S1347" s="137">
        <f t="shared" si="459"/>
        <v>0</v>
      </c>
      <c r="T1347" s="12">
        <f t="shared" si="438"/>
        <v>1</v>
      </c>
      <c r="Y1347" s="2"/>
      <c r="Z1347" s="2"/>
      <c r="AA1347" s="2"/>
      <c r="AB1347" s="2"/>
      <c r="AC1347" s="2"/>
    </row>
    <row r="1348" spans="1:29" ht="10.5" hidden="1">
      <c r="A1348" s="2">
        <f t="shared" si="460"/>
        <v>39</v>
      </c>
      <c r="B1348" s="2" t="str">
        <f>VLOOKUP($A1348,Controle!$B$4:$F$68,2,FALSE)</f>
        <v>Arcos 7</v>
      </c>
      <c r="C1348" s="2" t="str">
        <f>VLOOKUP($A1348,Controle!$B$4:$F$68,3,FALSE)</f>
        <v>MORI MINAS IV</v>
      </c>
      <c r="D1348" s="2" t="str">
        <f>VLOOKUP($A1348,Controle!$B$4:$F$68,4,FALSE)</f>
        <v>NewCo IV</v>
      </c>
      <c r="E1348" s="2">
        <f>VLOOKUP($A1348,Controle!$B$4:$F$68,5,FALSE)</f>
        <v>1</v>
      </c>
      <c r="F1348" s="3" t="str">
        <f t="shared" si="456"/>
        <v>Sistemas de Monitoramento - Estações Solarimétricas</v>
      </c>
      <c r="G1348" s="2" t="str">
        <f>VLOOKUP($A1348,Controle!$B$4:$G$68,6,FALSE)</f>
        <v>Solatio</v>
      </c>
      <c r="H1348" s="6" t="s">
        <v>151</v>
      </c>
      <c r="I1348" s="6">
        <v>48276.516000000003</v>
      </c>
      <c r="J1348" s="6">
        <v>0</v>
      </c>
      <c r="K1348" s="6">
        <v>0</v>
      </c>
      <c r="L1348" s="6">
        <v>0</v>
      </c>
      <c r="M1348" s="6">
        <v>0</v>
      </c>
      <c r="N1348" s="6">
        <v>0</v>
      </c>
      <c r="O1348" s="4">
        <f t="shared" si="457"/>
        <v>48276.516000000003</v>
      </c>
      <c r="P1348" s="5">
        <f>SUMIFS('Desenvolvimento diário'!$H:$H,'Desenvolvimento diário'!$Q:$Q,$B1348,'Desenvolvimento diário'!$P:$P,$F1348,'Desenvolvimento diário'!$R:$R,"Sim")</f>
        <v>0</v>
      </c>
      <c r="Q1348" s="5">
        <f>SUMIFS('Desenvolvimento diário'!$H:$H,'Desenvolvimento diário'!$Q:$Q,$B1348,'Desenvolvimento diário'!$P:$P,$F1348,'Desenvolvimento diário'!$R:$R,"Não")</f>
        <v>48276.516000000003</v>
      </c>
      <c r="R1348" s="4">
        <f t="shared" si="458"/>
        <v>48276.516000000003</v>
      </c>
      <c r="S1348" s="4">
        <f t="shared" si="459"/>
        <v>0</v>
      </c>
      <c r="T1348" s="12">
        <f t="shared" si="438"/>
        <v>1</v>
      </c>
      <c r="Y1348" s="2"/>
      <c r="Z1348" s="2"/>
      <c r="AA1348" s="2"/>
      <c r="AB1348" s="2"/>
      <c r="AC1348" s="2"/>
    </row>
    <row r="1349" spans="1:29" hidden="1">
      <c r="A1349" s="2">
        <f t="shared" si="460"/>
        <v>39</v>
      </c>
      <c r="B1349" s="2" t="str">
        <f>VLOOKUP($A1349,Controle!$B$4:$F$68,2,FALSE)</f>
        <v>Arcos 7</v>
      </c>
      <c r="C1349" s="2" t="str">
        <f>VLOOKUP($A1349,Controle!$B$4:$F$68,3,FALSE)</f>
        <v>MORI MINAS IV</v>
      </c>
      <c r="D1349" s="2" t="str">
        <f>VLOOKUP($A1349,Controle!$B$4:$F$68,4,FALSE)</f>
        <v>NewCo IV</v>
      </c>
      <c r="E1349" s="2">
        <f>VLOOKUP($A1349,Controle!$B$4:$F$68,5,FALSE)</f>
        <v>1</v>
      </c>
      <c r="F1349" s="3" t="str">
        <f t="shared" si="456"/>
        <v>Sistemas de Monitoramento - CFTV</v>
      </c>
      <c r="G1349" s="2" t="str">
        <f>VLOOKUP($A1349,Controle!$B$4:$G$68,6,FALSE)</f>
        <v>Solatio</v>
      </c>
      <c r="H1349" s="31" t="s">
        <v>152</v>
      </c>
      <c r="I1349" s="6">
        <v>270240.90999999997</v>
      </c>
      <c r="J1349" s="6">
        <v>0</v>
      </c>
      <c r="K1349" s="28">
        <v>8403.68</v>
      </c>
      <c r="L1349" s="6">
        <v>0</v>
      </c>
      <c r="M1349" s="6">
        <v>0</v>
      </c>
      <c r="N1349" s="6">
        <v>0</v>
      </c>
      <c r="O1349" s="4">
        <f t="shared" si="457"/>
        <v>278644.58999999997</v>
      </c>
      <c r="P1349" s="5">
        <f>SUMIFS('Desenvolvimento diário'!$H:$H,'Desenvolvimento diário'!$Q:$Q,$B1349,'Desenvolvimento diário'!$P:$P,$F1349,'Desenvolvimento diário'!$R:$R,"Sim")</f>
        <v>0</v>
      </c>
      <c r="Q1349" s="5">
        <f>SUMIFS('Desenvolvimento diário'!$H:$H,'Desenvolvimento diário'!$Q:$Q,$B1349,'Desenvolvimento diário'!$P:$P,$F1349,'Desenvolvimento diário'!$R:$R,"Não")</f>
        <v>278644.58999999997</v>
      </c>
      <c r="R1349" s="4">
        <f t="shared" si="458"/>
        <v>278644.58999999997</v>
      </c>
      <c r="S1349" s="4">
        <f t="shared" si="459"/>
        <v>0</v>
      </c>
      <c r="T1349" s="12">
        <f t="shared" si="438"/>
        <v>1</v>
      </c>
      <c r="Y1349" s="2"/>
      <c r="Z1349" s="2"/>
      <c r="AA1349" s="2"/>
      <c r="AB1349" s="2"/>
      <c r="AC1349" s="2"/>
    </row>
    <row r="1350" spans="1:29" ht="10.5" hidden="1">
      <c r="A1350" s="2">
        <f t="shared" si="460"/>
        <v>39</v>
      </c>
      <c r="B1350" s="2" t="str">
        <f>VLOOKUP($A1350,Controle!$B$4:$F$68,2,FALSE)</f>
        <v>Arcos 7</v>
      </c>
      <c r="C1350" s="2" t="str">
        <f>VLOOKUP($A1350,Controle!$B$4:$F$68,3,FALSE)</f>
        <v>MORI MINAS IV</v>
      </c>
      <c r="D1350" s="2" t="str">
        <f>VLOOKUP($A1350,Controle!$B$4:$F$68,4,FALSE)</f>
        <v>NewCo IV</v>
      </c>
      <c r="E1350" s="2">
        <f>VLOOKUP($A1350,Controle!$B$4:$F$68,5,FALSE)</f>
        <v>1</v>
      </c>
      <c r="F1350" s="3" t="str">
        <f t="shared" si="456"/>
        <v>Serviços Auxiliares - Drenagem</v>
      </c>
      <c r="G1350" s="2" t="str">
        <f>VLOOKUP($A1350,Controle!$B$4:$G$68,6,FALSE)</f>
        <v>Solatio</v>
      </c>
      <c r="H1350" s="6" t="s">
        <v>185</v>
      </c>
      <c r="I1350" s="6">
        <v>561417.93000000005</v>
      </c>
      <c r="J1350" s="6">
        <v>0</v>
      </c>
      <c r="K1350" s="6">
        <v>0</v>
      </c>
      <c r="L1350" s="6">
        <v>0</v>
      </c>
      <c r="M1350" s="6">
        <v>0</v>
      </c>
      <c r="N1350" s="6">
        <v>0</v>
      </c>
      <c r="O1350" s="4">
        <f t="shared" si="457"/>
        <v>561417.93000000005</v>
      </c>
      <c r="P1350" s="5">
        <f>SUMIFS('Desenvolvimento diário'!$H:$H,'Desenvolvimento diário'!$Q:$Q,$B1350,'Desenvolvimento diário'!$P:$P,$F1350,'Desenvolvimento diário'!$R:$R,"Sim")</f>
        <v>0</v>
      </c>
      <c r="Q1350" s="5">
        <f>SUMIFS('Desenvolvimento diário'!$H:$H,'Desenvolvimento diário'!$Q:$Q,$B1350,'Desenvolvimento diário'!$P:$P,$F1350,'Desenvolvimento diário'!$R:$R,"Não")</f>
        <v>561417.93000000005</v>
      </c>
      <c r="R1350" s="4">
        <f t="shared" si="458"/>
        <v>561417.93000000005</v>
      </c>
      <c r="S1350" s="27">
        <f t="shared" si="459"/>
        <v>0</v>
      </c>
      <c r="T1350" s="12">
        <f t="shared" si="438"/>
        <v>1</v>
      </c>
      <c r="Y1350" s="2"/>
      <c r="Z1350" s="2"/>
      <c r="AA1350" s="2"/>
      <c r="AB1350" s="2"/>
      <c r="AC1350" s="2"/>
    </row>
    <row r="1351" spans="1:29" ht="10.5" hidden="1">
      <c r="A1351" s="2">
        <f t="shared" si="460"/>
        <v>39</v>
      </c>
      <c r="B1351" s="2" t="str">
        <f>VLOOKUP($A1351,Controle!$B$4:$F$68,2,FALSE)</f>
        <v>Arcos 7</v>
      </c>
      <c r="C1351" s="2" t="str">
        <f>VLOOKUP($A1351,Controle!$B$4:$F$68,3,FALSE)</f>
        <v>MORI MINAS IV</v>
      </c>
      <c r="D1351" s="2" t="str">
        <f>VLOOKUP($A1351,Controle!$B$4:$F$68,4,FALSE)</f>
        <v>NewCo IV</v>
      </c>
      <c r="E1351" s="2">
        <f>VLOOKUP($A1351,Controle!$B$4:$F$68,5,FALSE)</f>
        <v>1</v>
      </c>
      <c r="F1351" s="3" t="str">
        <f t="shared" si="456"/>
        <v>Serviços Auxiliares - Terraplanagem</v>
      </c>
      <c r="G1351" s="2" t="str">
        <f>VLOOKUP($A1351,Controle!$B$4:$G$68,6,FALSE)</f>
        <v>Solatio</v>
      </c>
      <c r="H1351" s="6" t="s">
        <v>219</v>
      </c>
      <c r="I1351" s="6">
        <v>340000</v>
      </c>
      <c r="J1351" s="6">
        <v>0</v>
      </c>
      <c r="K1351" s="6">
        <v>0</v>
      </c>
      <c r="L1351" s="6">
        <v>0</v>
      </c>
      <c r="M1351" s="6">
        <v>0</v>
      </c>
      <c r="N1351" s="6">
        <v>0</v>
      </c>
      <c r="O1351" s="4">
        <f t="shared" si="457"/>
        <v>340000</v>
      </c>
      <c r="P1351" s="5">
        <f>SUMIFS('Desenvolvimento diário'!$H:$H,'Desenvolvimento diário'!$Q:$Q,$B1351,'Desenvolvimento diário'!$P:$P,$F1351,'Desenvolvimento diário'!$R:$R,"Sim")</f>
        <v>0</v>
      </c>
      <c r="Q1351" s="5">
        <f>SUMIFS('Desenvolvimento diário'!$H:$H,'Desenvolvimento diário'!$Q:$Q,$B1351,'Desenvolvimento diário'!$P:$P,$F1351,'Desenvolvimento diário'!$R:$R,"Não")</f>
        <v>340000</v>
      </c>
      <c r="R1351" s="4">
        <f t="shared" si="458"/>
        <v>340000</v>
      </c>
      <c r="S1351" s="4">
        <f t="shared" si="459"/>
        <v>0</v>
      </c>
      <c r="T1351" s="12">
        <f t="shared" si="438"/>
        <v>1</v>
      </c>
      <c r="Y1351" s="2"/>
      <c r="Z1351" s="2"/>
      <c r="AA1351" s="2"/>
      <c r="AB1351" s="2"/>
      <c r="AC1351" s="2"/>
    </row>
    <row r="1352" spans="1:29" ht="10.5" hidden="1">
      <c r="A1352" s="2">
        <f t="shared" si="460"/>
        <v>39</v>
      </c>
      <c r="B1352" s="2" t="str">
        <f>VLOOKUP($A1352,Controle!$B$4:$F$68,2,FALSE)</f>
        <v>Arcos 7</v>
      </c>
      <c r="C1352" s="2" t="str">
        <f>VLOOKUP($A1352,Controle!$B$4:$F$68,3,FALSE)</f>
        <v>MORI MINAS IV</v>
      </c>
      <c r="D1352" s="2" t="str">
        <f>VLOOKUP($A1352,Controle!$B$4:$F$68,4,FALSE)</f>
        <v>NewCo IV</v>
      </c>
      <c r="E1352" s="2">
        <f>VLOOKUP($A1352,Controle!$B$4:$F$68,5,FALSE)</f>
        <v>1</v>
      </c>
      <c r="F1352" s="3" t="str">
        <f t="shared" si="456"/>
        <v>Serviços Auxiliares - Supressão Vegetal</v>
      </c>
      <c r="G1352" s="2" t="str">
        <f>VLOOKUP($A1352,Controle!$B$4:$G$68,6,FALSE)</f>
        <v>Solatio</v>
      </c>
      <c r="H1352" s="6" t="s">
        <v>220</v>
      </c>
      <c r="I1352" s="6">
        <v>119860</v>
      </c>
      <c r="J1352" s="6">
        <v>26768</v>
      </c>
      <c r="K1352" s="6">
        <v>7000</v>
      </c>
      <c r="L1352" s="6">
        <v>39570</v>
      </c>
      <c r="M1352" s="6">
        <v>0</v>
      </c>
      <c r="N1352" s="6">
        <v>0</v>
      </c>
      <c r="O1352" s="4">
        <f t="shared" si="457"/>
        <v>193198</v>
      </c>
      <c r="P1352" s="5">
        <f>SUMIFS('Desenvolvimento diário'!$H:$H,'Desenvolvimento diário'!$Q:$Q,$B1352,'Desenvolvimento diário'!$P:$P,$F1352,'Desenvolvimento diário'!$R:$R,"Sim")</f>
        <v>0</v>
      </c>
      <c r="Q1352" s="5">
        <f>SUMIFS('Desenvolvimento diário'!$H:$H,'Desenvolvimento diário'!$Q:$Q,$B1352,'Desenvolvimento diário'!$P:$P,$F1352,'Desenvolvimento diário'!$R:$R,"Não")</f>
        <v>193198</v>
      </c>
      <c r="R1352" s="4">
        <f t="shared" si="458"/>
        <v>193198</v>
      </c>
      <c r="S1352" s="27">
        <f t="shared" si="459"/>
        <v>0</v>
      </c>
      <c r="T1352" s="12">
        <f t="shared" si="438"/>
        <v>1</v>
      </c>
      <c r="Y1352" s="2"/>
      <c r="Z1352" s="2"/>
      <c r="AA1352" s="2"/>
      <c r="AB1352" s="2"/>
      <c r="AC1352" s="2"/>
    </row>
    <row r="1353" spans="1:29" ht="10.5" hidden="1">
      <c r="A1353" s="2">
        <f t="shared" si="460"/>
        <v>39</v>
      </c>
      <c r="B1353" s="2" t="str">
        <f>VLOOKUP($A1353,Controle!$B$4:$F$68,2,FALSE)</f>
        <v>Arcos 7</v>
      </c>
      <c r="C1353" s="2" t="str">
        <f>VLOOKUP($A1353,Controle!$B$4:$F$68,3,FALSE)</f>
        <v>MORI MINAS IV</v>
      </c>
      <c r="D1353" s="2" t="str">
        <f>VLOOKUP($A1353,Controle!$B$4:$F$68,4,FALSE)</f>
        <v>NewCo IV</v>
      </c>
      <c r="E1353" s="2">
        <f>VLOOKUP($A1353,Controle!$B$4:$F$68,5,FALSE)</f>
        <v>1</v>
      </c>
      <c r="F1353" s="3" t="str">
        <f t="shared" si="456"/>
        <v>RDR-Rede de Distribuição Rural</v>
      </c>
      <c r="G1353" s="2" t="str">
        <f>VLOOKUP($A1353,Controle!$B$4:$G$68,6,FALSE)</f>
        <v>Solatio</v>
      </c>
      <c r="H1353" s="6">
        <v>0</v>
      </c>
      <c r="I1353" s="6">
        <v>0</v>
      </c>
      <c r="J1353" s="6">
        <v>0</v>
      </c>
      <c r="K1353" s="6">
        <v>0</v>
      </c>
      <c r="L1353" s="6">
        <v>0</v>
      </c>
      <c r="M1353" s="6">
        <v>0</v>
      </c>
      <c r="N1353" s="6">
        <v>0</v>
      </c>
      <c r="O1353" s="4">
        <f t="shared" si="457"/>
        <v>0</v>
      </c>
      <c r="P1353" s="5">
        <f>SUMIFS('Desenvolvimento diário'!$H:$H,'Desenvolvimento diário'!$Q:$Q,$B1353,'Desenvolvimento diário'!$P:$P,$F1353,'Desenvolvimento diário'!$R:$R,"Sim")</f>
        <v>0</v>
      </c>
      <c r="Q1353" s="5">
        <f>SUMIFS('Desenvolvimento diário'!$H:$H,'Desenvolvimento diário'!$Q:$Q,$B1353,'Desenvolvimento diário'!$P:$P,$F1353,'Desenvolvimento diário'!$R:$R,"Não")</f>
        <v>0</v>
      </c>
      <c r="R1353" s="4">
        <f t="shared" si="458"/>
        <v>0</v>
      </c>
      <c r="S1353" s="4">
        <f t="shared" si="459"/>
        <v>0</v>
      </c>
      <c r="T1353" s="12">
        <f t="shared" si="438"/>
        <v>0</v>
      </c>
      <c r="Y1353" s="2"/>
      <c r="Z1353" s="2"/>
      <c r="AA1353" s="2"/>
      <c r="AB1353" s="2"/>
      <c r="AC1353" s="2"/>
    </row>
    <row r="1354" spans="1:29" ht="10.5" hidden="1">
      <c r="A1354" s="2">
        <f t="shared" si="460"/>
        <v>39</v>
      </c>
      <c r="B1354" s="2" t="str">
        <f>VLOOKUP($A1354,Controle!$B$4:$F$68,2,FALSE)</f>
        <v>Arcos 7</v>
      </c>
      <c r="C1354" s="2" t="str">
        <f>VLOOKUP($A1354,Controle!$B$4:$F$68,3,FALSE)</f>
        <v>MORI MINAS IV</v>
      </c>
      <c r="D1354" s="2" t="str">
        <f>VLOOKUP($A1354,Controle!$B$4:$F$68,4,FALSE)</f>
        <v>NewCo IV</v>
      </c>
      <c r="E1354" s="2">
        <f>VLOOKUP($A1354,Controle!$B$4:$F$68,5,FALSE)</f>
        <v>1</v>
      </c>
      <c r="F1354" s="3" t="str">
        <f t="shared" si="456"/>
        <v>Escopo COMERC</v>
      </c>
      <c r="G1354" s="2" t="str">
        <f>VLOOKUP($A1354,Controle!$B$4:$G$68,6,FALSE)</f>
        <v>Solatio</v>
      </c>
      <c r="H1354" s="6">
        <v>0</v>
      </c>
      <c r="I1354" s="6">
        <v>375962.02999999997</v>
      </c>
      <c r="J1354" s="29">
        <v>21000</v>
      </c>
      <c r="K1354" s="29"/>
      <c r="L1354" s="6">
        <v>0</v>
      </c>
      <c r="M1354" s="6">
        <v>0</v>
      </c>
      <c r="N1354" s="6">
        <v>0</v>
      </c>
      <c r="O1354" s="4">
        <f t="shared" si="457"/>
        <v>396962.02999999997</v>
      </c>
      <c r="P1354" s="5">
        <f>SUMIFS('Desenvolvimento diário'!$H:$H,'Desenvolvimento diário'!$Q:$Q,$B1354,'Desenvolvimento diário'!$P:$P,$F1354,'Desenvolvimento diário'!$R:$R,"Sim")</f>
        <v>0</v>
      </c>
      <c r="Q1354" s="5">
        <f>SUMIFS('Desenvolvimento diário'!$H:$H,'Desenvolvimento diário'!$Q:$Q,$B1354,'Desenvolvimento diário'!$P:$P,$F1354,'Desenvolvimento diário'!$R:$R,"Não")</f>
        <v>376960.81</v>
      </c>
      <c r="R1354" s="4">
        <f t="shared" si="458"/>
        <v>376960.81</v>
      </c>
      <c r="S1354" s="1010">
        <f t="shared" si="459"/>
        <v>20001.219999999972</v>
      </c>
      <c r="T1354" s="12">
        <f t="shared" si="438"/>
        <v>0.94961427419141331</v>
      </c>
      <c r="U1354" s="1011" t="s">
        <v>166</v>
      </c>
      <c r="V1354" s="1011" t="s">
        <v>167</v>
      </c>
      <c r="Y1354" s="2"/>
      <c r="Z1354" s="2"/>
      <c r="AA1354" s="2"/>
      <c r="AB1354" s="2"/>
      <c r="AC1354" s="2"/>
    </row>
    <row r="1355" spans="1:29" ht="10.5" hidden="1">
      <c r="A1355" s="2">
        <f t="shared" si="460"/>
        <v>39</v>
      </c>
      <c r="B1355" s="2" t="str">
        <f>VLOOKUP($A1355,Controle!$B$4:$F$68,2,FALSE)</f>
        <v>Arcos 7</v>
      </c>
      <c r="C1355" s="2" t="str">
        <f>VLOOKUP($A1355,Controle!$B$4:$F$68,3,FALSE)</f>
        <v>MORI MINAS IV</v>
      </c>
      <c r="D1355" s="2" t="str">
        <f>VLOOKUP($A1355,Controle!$B$4:$F$68,4,FALSE)</f>
        <v>NewCo IV</v>
      </c>
      <c r="E1355" s="2">
        <f>VLOOKUP($A1355,Controle!$B$4:$F$68,5,FALSE)</f>
        <v>1</v>
      </c>
      <c r="F1355" s="3" t="str">
        <f t="shared" si="456"/>
        <v>Escopo COMERC - Segurança</v>
      </c>
      <c r="G1355" s="2" t="str">
        <f>VLOOKUP($A1355,Controle!$B$4:$G$68,6,FALSE)</f>
        <v>Solatio</v>
      </c>
      <c r="H1355" s="6">
        <v>0</v>
      </c>
      <c r="I1355" s="6">
        <f t="shared" ref="I1354:I1355" si="461">R1355</f>
        <v>219511.82</v>
      </c>
      <c r="J1355" s="6">
        <v>0</v>
      </c>
      <c r="K1355" s="6">
        <v>0</v>
      </c>
      <c r="L1355" s="6">
        <v>0</v>
      </c>
      <c r="M1355" s="6">
        <v>0</v>
      </c>
      <c r="N1355" s="6">
        <v>0</v>
      </c>
      <c r="O1355" s="4">
        <f t="shared" si="457"/>
        <v>219511.82</v>
      </c>
      <c r="P1355" s="5">
        <f>SUMIFS('Desenvolvimento diário'!$H:$H,'Desenvolvimento diário'!$Q:$Q,$B1355,'Desenvolvimento diário'!$P:$P,$F1355,'Desenvolvimento diário'!$R:$R,"Sim")</f>
        <v>29495.21</v>
      </c>
      <c r="Q1355" s="5">
        <f>SUMIFS('Desenvolvimento diário'!$H:$H,'Desenvolvimento diário'!$Q:$Q,$B1355,'Desenvolvimento diário'!$P:$P,$F1355,'Desenvolvimento diário'!$R:$R,"Não")</f>
        <v>190016.61000000002</v>
      </c>
      <c r="R1355" s="4">
        <f t="shared" si="458"/>
        <v>219511.82</v>
      </c>
      <c r="S1355" s="4">
        <f t="shared" si="459"/>
        <v>0</v>
      </c>
      <c r="T1355" s="12">
        <f t="shared" si="438"/>
        <v>1</v>
      </c>
      <c r="Y1355" s="2"/>
      <c r="Z1355" s="2"/>
      <c r="AA1355" s="2"/>
      <c r="AB1355" s="2"/>
      <c r="AC1355" s="2"/>
    </row>
    <row r="1356" spans="1:29" ht="10.5" hidden="1">
      <c r="A1356" s="2">
        <f t="shared" si="460"/>
        <v>39</v>
      </c>
      <c r="B1356" s="2" t="str">
        <f>VLOOKUP($A1356,Controle!$B$4:$F$68,2,FALSE)</f>
        <v>Arcos 7</v>
      </c>
      <c r="C1356" s="2" t="str">
        <f>VLOOKUP($A1356,Controle!$B$4:$F$68,3,FALSE)</f>
        <v>MORI MINAS IV</v>
      </c>
      <c r="D1356" s="2" t="str">
        <f>VLOOKUP($A1356,Controle!$B$4:$F$68,4,FALSE)</f>
        <v>NewCo IV</v>
      </c>
      <c r="E1356" s="2">
        <f>VLOOKUP($A1356,Controle!$B$4:$F$68,5,FALSE)</f>
        <v>1</v>
      </c>
      <c r="F1356" s="3" t="str">
        <f t="shared" si="456"/>
        <v>Conexão MT - Obras Transferencia</v>
      </c>
      <c r="G1356" s="2" t="str">
        <f>VLOOKUP($A1356,Controle!$B$4:$G$68,6,FALSE)</f>
        <v>Solatio</v>
      </c>
      <c r="H1356" s="6">
        <v>0</v>
      </c>
      <c r="I1356" s="6">
        <v>0</v>
      </c>
      <c r="J1356" s="6">
        <v>0</v>
      </c>
      <c r="K1356" s="6">
        <v>0</v>
      </c>
      <c r="L1356" s="6">
        <v>0</v>
      </c>
      <c r="M1356" s="6">
        <v>0</v>
      </c>
      <c r="N1356" s="6">
        <v>0</v>
      </c>
      <c r="O1356" s="4">
        <f t="shared" si="457"/>
        <v>0</v>
      </c>
      <c r="P1356" s="5">
        <f>SUMIFS('Desenvolvimento diário'!$H:$H,'Desenvolvimento diário'!$Q:$Q,$B1356,'Desenvolvimento diário'!$P:$P,$F1356,'Desenvolvimento diário'!$R:$R,"Sim")</f>
        <v>0</v>
      </c>
      <c r="Q1356" s="5">
        <f>SUMIFS('Desenvolvimento diário'!$H:$H,'Desenvolvimento diário'!$Q:$Q,$B1356,'Desenvolvimento diário'!$P:$P,$F1356,'Desenvolvimento diário'!$R:$R,"Não")</f>
        <v>0</v>
      </c>
      <c r="R1356" s="4">
        <f t="shared" si="458"/>
        <v>0</v>
      </c>
      <c r="S1356" s="4">
        <f t="shared" si="459"/>
        <v>0</v>
      </c>
      <c r="T1356" s="12">
        <f t="shared" si="438"/>
        <v>0</v>
      </c>
      <c r="Y1356" s="2"/>
      <c r="Z1356" s="2"/>
      <c r="AA1356" s="2"/>
      <c r="AB1356" s="2"/>
      <c r="AC1356" s="2"/>
    </row>
    <row r="1357" spans="1:29" ht="10.5" hidden="1">
      <c r="A1357" s="2">
        <f t="shared" si="460"/>
        <v>39</v>
      </c>
      <c r="B1357" s="2" t="str">
        <f>VLOOKUP($A1357,Controle!$B$4:$F$68,2,FALSE)</f>
        <v>Arcos 7</v>
      </c>
      <c r="C1357" s="2" t="str">
        <f>VLOOKUP($A1357,Controle!$B$4:$F$68,3,FALSE)</f>
        <v>MORI MINAS IV</v>
      </c>
      <c r="D1357" s="2" t="str">
        <f>VLOOKUP($A1357,Controle!$B$4:$F$68,4,FALSE)</f>
        <v>NewCo IV</v>
      </c>
      <c r="E1357" s="2">
        <f>VLOOKUP($A1357,Controle!$B$4:$F$68,5,FALSE)</f>
        <v>1</v>
      </c>
      <c r="F1357" s="3" t="str">
        <f t="shared" si="456"/>
        <v>Bases de Contaniers</v>
      </c>
      <c r="G1357" s="2" t="str">
        <f>VLOOKUP($A1357,Controle!$B$4:$G$68,6,FALSE)</f>
        <v>Solatio</v>
      </c>
      <c r="H1357" s="6">
        <v>0</v>
      </c>
      <c r="I1357" s="6">
        <v>0</v>
      </c>
      <c r="J1357" s="6">
        <v>0</v>
      </c>
      <c r="K1357" s="6">
        <v>0</v>
      </c>
      <c r="L1357" s="6">
        <v>0</v>
      </c>
      <c r="M1357" s="6">
        <v>0</v>
      </c>
      <c r="N1357" s="6">
        <v>0</v>
      </c>
      <c r="O1357" s="4">
        <f t="shared" si="457"/>
        <v>0</v>
      </c>
      <c r="P1357" s="5">
        <f>SUMIFS('Desenvolvimento diário'!$H:$H,'Desenvolvimento diário'!$Q:$Q,$B1357,'Desenvolvimento diário'!$P:$P,$F1357,'Desenvolvimento diário'!$R:$R,"Sim")</f>
        <v>0</v>
      </c>
      <c r="Q1357" s="5">
        <f>SUMIFS('Desenvolvimento diário'!$H:$H,'Desenvolvimento diário'!$Q:$Q,$B1357,'Desenvolvimento diário'!$P:$P,$F1357,'Desenvolvimento diário'!$R:$R,"Não")</f>
        <v>0</v>
      </c>
      <c r="R1357" s="4">
        <f t="shared" si="458"/>
        <v>0</v>
      </c>
      <c r="S1357" s="4">
        <f t="shared" si="459"/>
        <v>0</v>
      </c>
      <c r="T1357" s="12">
        <f t="shared" si="438"/>
        <v>0</v>
      </c>
      <c r="Y1357" s="2"/>
      <c r="Z1357" s="2"/>
      <c r="AA1357" s="2"/>
      <c r="AB1357" s="2"/>
      <c r="AC1357" s="2"/>
    </row>
    <row r="1358" spans="1:29" ht="10.5" hidden="1">
      <c r="A1358" s="2">
        <f t="shared" si="460"/>
        <v>39</v>
      </c>
      <c r="B1358" s="2" t="str">
        <f>VLOOKUP($A1358,Controle!$B$4:$F$68,2,FALSE)</f>
        <v>Arcos 7</v>
      </c>
      <c r="C1358" s="2" t="str">
        <f>VLOOKUP($A1358,Controle!$B$4:$F$68,3,FALSE)</f>
        <v>MORI MINAS IV</v>
      </c>
      <c r="D1358" s="2" t="str">
        <f>VLOOKUP($A1358,Controle!$B$4:$F$68,4,FALSE)</f>
        <v>NewCo IV</v>
      </c>
      <c r="E1358" s="2">
        <f>VLOOKUP($A1358,Controle!$B$4:$F$68,5,FALSE)</f>
        <v>1</v>
      </c>
      <c r="F1358" s="3" t="str">
        <f t="shared" si="456"/>
        <v>Construção - Serviços de Construção - Ase Engenharia</v>
      </c>
      <c r="G1358" s="2" t="str">
        <f>VLOOKUP($A1358,Controle!$B$4:$G$68,6,FALSE)</f>
        <v>Solatio</v>
      </c>
      <c r="H1358" s="6">
        <v>0</v>
      </c>
      <c r="I1358" s="6">
        <v>0</v>
      </c>
      <c r="J1358" s="6">
        <v>0</v>
      </c>
      <c r="K1358" s="6">
        <v>0</v>
      </c>
      <c r="L1358" s="6">
        <v>0</v>
      </c>
      <c r="M1358" s="6">
        <v>0</v>
      </c>
      <c r="N1358" s="6">
        <v>0</v>
      </c>
      <c r="O1358" s="4">
        <f t="shared" si="457"/>
        <v>0</v>
      </c>
      <c r="P1358" s="5">
        <f>SUMIFS('Desenvolvimento diário'!$H:$H,'Desenvolvimento diário'!$Q:$Q,$B1358,'Desenvolvimento diário'!$P:$P,$F1358,'Desenvolvimento diário'!$R:$R,"Sim")</f>
        <v>0</v>
      </c>
      <c r="Q1358" s="5">
        <f>SUMIFS('Desenvolvimento diário'!$H:$H,'Desenvolvimento diário'!$Q:$Q,$B1358,'Desenvolvimento diário'!$P:$P,$F1358,'Desenvolvimento diário'!$R:$R,"Não")</f>
        <v>0</v>
      </c>
      <c r="R1358" s="4">
        <f t="shared" si="458"/>
        <v>0</v>
      </c>
      <c r="S1358" s="4">
        <f t="shared" si="459"/>
        <v>0</v>
      </c>
      <c r="T1358" s="12">
        <f t="shared" si="438"/>
        <v>0</v>
      </c>
      <c r="Y1358" s="2"/>
      <c r="Z1358" s="2"/>
      <c r="AA1358" s="2"/>
      <c r="AB1358" s="2"/>
      <c r="AC1358" s="2"/>
    </row>
    <row r="1359" spans="1:29" ht="10.5" hidden="1">
      <c r="A1359" s="2">
        <f t="shared" si="460"/>
        <v>39</v>
      </c>
      <c r="B1359" s="2" t="str">
        <f>VLOOKUP($A1359,Controle!$B$4:$F$68,2,FALSE)</f>
        <v>Arcos 7</v>
      </c>
      <c r="C1359" s="2" t="str">
        <f>VLOOKUP($A1359,Controle!$B$4:$F$68,3,FALSE)</f>
        <v>MORI MINAS IV</v>
      </c>
      <c r="D1359" s="2" t="str">
        <f>VLOOKUP($A1359,Controle!$B$4:$F$68,4,FALSE)</f>
        <v>NewCo IV</v>
      </c>
      <c r="E1359" s="2">
        <f>VLOOKUP($A1359,Controle!$B$4:$F$68,5,FALSE)</f>
        <v>1</v>
      </c>
      <c r="F1359" s="3" t="str">
        <f t="shared" si="456"/>
        <v>Full EPC - Contrato Sobressalentes</v>
      </c>
      <c r="G1359" s="2" t="str">
        <f>VLOOKUP($A1359,Controle!$B$4:$G$68,6,FALSE)</f>
        <v>Solatio</v>
      </c>
      <c r="H1359" s="6">
        <v>0</v>
      </c>
      <c r="I1359" s="6">
        <v>0</v>
      </c>
      <c r="J1359" s="6">
        <v>0</v>
      </c>
      <c r="K1359" s="6">
        <v>0</v>
      </c>
      <c r="L1359" s="6">
        <v>0</v>
      </c>
      <c r="M1359" s="6">
        <v>0</v>
      </c>
      <c r="N1359" s="6">
        <v>0</v>
      </c>
      <c r="O1359" s="4">
        <f t="shared" si="457"/>
        <v>0</v>
      </c>
      <c r="P1359" s="5">
        <f>SUMIFS('Desenvolvimento diário'!$H:$H,'Desenvolvimento diário'!$Q:$Q,$B1359,'Desenvolvimento diário'!$P:$P,$F1359,'Desenvolvimento diário'!$R:$R,"Sim")</f>
        <v>0</v>
      </c>
      <c r="Q1359" s="5">
        <f>SUMIFS('Desenvolvimento diário'!$H:$H,'Desenvolvimento diário'!$Q:$Q,$B1359,'Desenvolvimento diário'!$P:$P,$F1359,'Desenvolvimento diário'!$R:$R,"Não")</f>
        <v>0</v>
      </c>
      <c r="R1359" s="4">
        <f t="shared" si="458"/>
        <v>0</v>
      </c>
      <c r="S1359" s="4">
        <f t="shared" si="459"/>
        <v>0</v>
      </c>
      <c r="T1359" s="12">
        <f t="shared" si="438"/>
        <v>0</v>
      </c>
      <c r="Y1359" s="2"/>
      <c r="Z1359" s="2"/>
      <c r="AA1359" s="2"/>
      <c r="AB1359" s="2"/>
      <c r="AC1359" s="2"/>
    </row>
    <row r="1360" spans="1:29" ht="10.5" hidden="1">
      <c r="A1360" s="2">
        <f t="shared" si="460"/>
        <v>39</v>
      </c>
      <c r="B1360" s="2" t="str">
        <f>VLOOKUP($A1360,Controle!$B$4:$F$68,2,FALSE)</f>
        <v>Arcos 7</v>
      </c>
      <c r="C1360" s="2" t="str">
        <f>VLOOKUP($A1360,Controle!$B$4:$F$68,3,FALSE)</f>
        <v>MORI MINAS IV</v>
      </c>
      <c r="D1360" s="2" t="str">
        <f>VLOOKUP($A1360,Controle!$B$4:$F$68,4,FALSE)</f>
        <v>NewCo IV</v>
      </c>
      <c r="E1360" s="2">
        <f>VLOOKUP($A1360,Controle!$B$4:$F$68,5,FALSE)</f>
        <v>1</v>
      </c>
      <c r="F1360" s="3" t="str">
        <f t="shared" si="456"/>
        <v>Construção - Serviços de Construção - NOVA MORADA</v>
      </c>
      <c r="G1360" s="2" t="str">
        <f>VLOOKUP($A1360,Controle!$B$4:$G$68,6,FALSE)</f>
        <v>Solatio</v>
      </c>
      <c r="H1360" s="6">
        <v>0</v>
      </c>
      <c r="I1360" s="6">
        <v>0</v>
      </c>
      <c r="J1360" s="6">
        <v>0</v>
      </c>
      <c r="K1360" s="6">
        <v>0</v>
      </c>
      <c r="L1360" s="6">
        <v>0</v>
      </c>
      <c r="M1360" s="6">
        <v>0</v>
      </c>
      <c r="N1360" s="6">
        <v>0</v>
      </c>
      <c r="O1360" s="4">
        <f t="shared" si="457"/>
        <v>0</v>
      </c>
      <c r="P1360" s="5">
        <f>SUMIFS('Desenvolvimento diário'!$H:$H,'Desenvolvimento diário'!$Q:$Q,$B1360,'Desenvolvimento diário'!$P:$P,$F1360,'Desenvolvimento diário'!$R:$R,"Sim")</f>
        <v>0</v>
      </c>
      <c r="Q1360" s="5">
        <f>SUMIFS('Desenvolvimento diário'!$H:$H,'Desenvolvimento diário'!$Q:$Q,$B1360,'Desenvolvimento diário'!$P:$P,$F1360,'Desenvolvimento diário'!$R:$R,"Não")</f>
        <v>0</v>
      </c>
      <c r="R1360" s="4">
        <f t="shared" si="458"/>
        <v>0</v>
      </c>
      <c r="S1360" s="4">
        <f t="shared" si="459"/>
        <v>0</v>
      </c>
      <c r="T1360" s="12">
        <f t="shared" ref="T1360:T1427" si="462">IFERROR(R1360/O1360,0)</f>
        <v>0</v>
      </c>
      <c r="Y1360" s="2"/>
      <c r="Z1360" s="2"/>
      <c r="AA1360" s="2"/>
      <c r="AB1360" s="2"/>
      <c r="AC1360" s="2"/>
    </row>
    <row r="1361" spans="1:29" ht="10.5" hidden="1">
      <c r="A1361" s="2">
        <f t="shared" si="460"/>
        <v>39</v>
      </c>
      <c r="B1361" s="2" t="str">
        <f>VLOOKUP($A1361,Controle!$B$4:$F$68,2,FALSE)</f>
        <v>Arcos 7</v>
      </c>
      <c r="C1361" s="2" t="str">
        <f>VLOOKUP($A1361,Controle!$B$4:$F$68,3,FALSE)</f>
        <v>MORI MINAS IV</v>
      </c>
      <c r="D1361" s="2" t="str">
        <f>VLOOKUP($A1361,Controle!$B$4:$F$68,4,FALSE)</f>
        <v>NewCo IV</v>
      </c>
      <c r="E1361" s="2">
        <f>VLOOKUP($A1361,Controle!$B$4:$F$68,5,FALSE)</f>
        <v>1</v>
      </c>
      <c r="F1361" s="3" t="str">
        <f t="shared" si="456"/>
        <v>Equipamentos Curva A -  Contrato Sobressalentes - SETTA</v>
      </c>
      <c r="G1361" s="2" t="str">
        <f>VLOOKUP($A1361,Controle!$B$4:$G$68,6,FALSE)</f>
        <v>Solatio</v>
      </c>
      <c r="H1361" s="6">
        <v>0</v>
      </c>
      <c r="I1361" s="6">
        <v>0</v>
      </c>
      <c r="J1361" s="6">
        <v>0</v>
      </c>
      <c r="K1361" s="6">
        <v>0</v>
      </c>
      <c r="L1361" s="6">
        <v>0</v>
      </c>
      <c r="M1361" s="6">
        <v>0</v>
      </c>
      <c r="N1361" s="6">
        <v>0</v>
      </c>
      <c r="O1361" s="4">
        <f t="shared" si="457"/>
        <v>0</v>
      </c>
      <c r="P1361" s="5">
        <f>SUMIFS('Desenvolvimento diário'!$H:$H,'Desenvolvimento diário'!$Q:$Q,$B1361,'Desenvolvimento diário'!$P:$P,$F1361,'Desenvolvimento diário'!$R:$R,"Sim")</f>
        <v>0</v>
      </c>
      <c r="Q1361" s="5">
        <f>SUMIFS('Desenvolvimento diário'!$H:$H,'Desenvolvimento diário'!$Q:$Q,$B1361,'Desenvolvimento diário'!$P:$P,$F1361,'Desenvolvimento diário'!$R:$R,"Não")</f>
        <v>0</v>
      </c>
      <c r="R1361" s="4">
        <f t="shared" si="458"/>
        <v>0</v>
      </c>
      <c r="S1361" s="4">
        <f t="shared" si="459"/>
        <v>0</v>
      </c>
      <c r="T1361" s="12">
        <f t="shared" si="462"/>
        <v>0</v>
      </c>
      <c r="Y1361" s="2"/>
      <c r="Z1361" s="2"/>
      <c r="AA1361" s="2"/>
      <c r="AB1361" s="2"/>
      <c r="AC1361" s="2"/>
    </row>
    <row r="1362" spans="1:29" ht="10.5" hidden="1">
      <c r="A1362" s="2">
        <f t="shared" si="460"/>
        <v>39</v>
      </c>
      <c r="B1362" s="2" t="str">
        <f>VLOOKUP($A1362,Controle!$B$4:$F$68,2,FALSE)</f>
        <v>Arcos 7</v>
      </c>
      <c r="C1362" s="2" t="str">
        <f>VLOOKUP($A1362,Controle!$B$4:$F$68,3,FALSE)</f>
        <v>MORI MINAS IV</v>
      </c>
      <c r="D1362" s="2" t="str">
        <f>VLOOKUP($A1362,Controle!$B$4:$F$68,4,FALSE)</f>
        <v>NewCo IV</v>
      </c>
      <c r="E1362" s="2">
        <f>VLOOKUP($A1362,Controle!$B$4:$F$68,5,FALSE)</f>
        <v>1</v>
      </c>
      <c r="F1362" s="3" t="str">
        <f t="shared" si="456"/>
        <v>Equipamentos Curva A -  Contrato Sobressalentes - Arctech</v>
      </c>
      <c r="G1362" s="2" t="str">
        <f>VLOOKUP($A1362,Controle!$B$4:$G$68,6,FALSE)</f>
        <v>Solatio</v>
      </c>
      <c r="H1362" s="6">
        <v>0</v>
      </c>
      <c r="I1362" s="6">
        <v>0</v>
      </c>
      <c r="J1362" s="6">
        <v>0</v>
      </c>
      <c r="K1362" s="6">
        <v>0</v>
      </c>
      <c r="L1362" s="6">
        <v>0</v>
      </c>
      <c r="M1362" s="6">
        <v>0</v>
      </c>
      <c r="N1362" s="6">
        <v>0</v>
      </c>
      <c r="O1362" s="4">
        <f t="shared" si="457"/>
        <v>0</v>
      </c>
      <c r="P1362" s="5">
        <f>SUMIFS('Desenvolvimento diário'!$H:$H,'Desenvolvimento diário'!$Q:$Q,$B1362,'Desenvolvimento diário'!$P:$P,$F1362,'Desenvolvimento diário'!$R:$R,"Sim")</f>
        <v>0</v>
      </c>
      <c r="Q1362" s="5">
        <f>SUMIFS('Desenvolvimento diário'!$H:$H,'Desenvolvimento diário'!$Q:$Q,$B1362,'Desenvolvimento diário'!$P:$P,$F1362,'Desenvolvimento diário'!$R:$R,"Não")</f>
        <v>0</v>
      </c>
      <c r="R1362" s="4">
        <f t="shared" si="458"/>
        <v>0</v>
      </c>
      <c r="S1362" s="4">
        <f t="shared" si="459"/>
        <v>0</v>
      </c>
      <c r="T1362" s="12">
        <f t="shared" si="462"/>
        <v>0</v>
      </c>
      <c r="Y1362" s="2"/>
      <c r="Z1362" s="2"/>
      <c r="AA1362" s="2"/>
      <c r="AB1362" s="2"/>
      <c r="AC1362" s="2"/>
    </row>
    <row r="1363" spans="1:29" hidden="1">
      <c r="A1363" s="2">
        <f t="shared" si="460"/>
        <v>39</v>
      </c>
      <c r="B1363" s="2" t="str">
        <f>VLOOKUP($A1363,Controle!$B$4:$F$68,2,FALSE)</f>
        <v>Arcos 7</v>
      </c>
      <c r="C1363" s="2" t="str">
        <f>VLOOKUP($A1363,Controle!$B$4:$F$68,3,FALSE)</f>
        <v>MORI MINAS IV</v>
      </c>
      <c r="D1363" s="2" t="str">
        <f>VLOOKUP($A1363,Controle!$B$4:$F$68,4,FALSE)</f>
        <v>NewCo IV</v>
      </c>
      <c r="E1363" s="2">
        <f>VLOOKUP($A1363,Controle!$B$4:$F$68,5,FALSE)</f>
        <v>1</v>
      </c>
      <c r="F1363" s="3" t="str">
        <f t="shared" si="456"/>
        <v>Equipamentos Curva A -  Contrato Sobressalentes - Romagnole</v>
      </c>
      <c r="G1363" s="2" t="str">
        <f>VLOOKUP($A1363,Controle!$B$4:$G$68,6,FALSE)</f>
        <v>Solatio</v>
      </c>
      <c r="H1363" s="7">
        <v>0</v>
      </c>
      <c r="I1363" s="7">
        <v>0</v>
      </c>
      <c r="J1363" s="7">
        <v>0</v>
      </c>
      <c r="K1363" s="7">
        <v>0</v>
      </c>
      <c r="L1363" s="7">
        <v>0</v>
      </c>
      <c r="M1363" s="7">
        <v>0</v>
      </c>
      <c r="N1363" s="7">
        <v>0</v>
      </c>
      <c r="O1363" s="4">
        <f t="shared" si="457"/>
        <v>0</v>
      </c>
      <c r="P1363" s="17">
        <f>SUMIFS('Desenvolvimento diário'!$H:$H,'Desenvolvimento diário'!$Q:$Q,$B1363,'Desenvolvimento diário'!$P:$P,$F1363,'Desenvolvimento diário'!$R:$R,"Sim")</f>
        <v>0</v>
      </c>
      <c r="Q1363" s="17">
        <f>SUMIFS('Desenvolvimento diário'!$H:$H,'Desenvolvimento diário'!$Q:$Q,$B1363,'Desenvolvimento diário'!$P:$P,$F1363,'Desenvolvimento diário'!$R:$R,"Não")</f>
        <v>0</v>
      </c>
      <c r="R1363" s="4">
        <f t="shared" si="458"/>
        <v>0</v>
      </c>
      <c r="S1363" s="4">
        <f t="shared" si="459"/>
        <v>0</v>
      </c>
      <c r="T1363" s="12">
        <f t="shared" si="462"/>
        <v>0</v>
      </c>
      <c r="Y1363" s="2"/>
      <c r="Z1363" s="2"/>
      <c r="AA1363" s="2"/>
      <c r="AB1363" s="2"/>
      <c r="AC1363" s="2"/>
    </row>
    <row r="1364" spans="1:29" hidden="1">
      <c r="A1364" s="2">
        <f t="shared" si="460"/>
        <v>39</v>
      </c>
      <c r="B1364" s="2" t="str">
        <f>VLOOKUP($A1364,Controle!$B$4:$F$68,2,FALSE)</f>
        <v>Arcos 7</v>
      </c>
      <c r="C1364" s="2" t="str">
        <f>VLOOKUP($A1364,Controle!$B$4:$F$68,3,FALSE)</f>
        <v>MORI MINAS IV</v>
      </c>
      <c r="D1364" s="2" t="str">
        <f>VLOOKUP($A1364,Controle!$B$4:$F$68,4,FALSE)</f>
        <v>NewCo IV</v>
      </c>
      <c r="E1364" s="2">
        <f>VLOOKUP($A1364,Controle!$B$4:$F$68,5,FALSE)</f>
        <v>1</v>
      </c>
      <c r="F1364" s="3" t="str">
        <f t="shared" si="456"/>
        <v>GOS FLORESTAL - (PRAD - Recuperação Area Ambiental)</v>
      </c>
      <c r="G1364" s="2" t="str">
        <f>VLOOKUP($A1364,Controle!$B$4:$G$68,6,FALSE)</f>
        <v>Solatio</v>
      </c>
      <c r="H1364" s="506" t="s">
        <v>170</v>
      </c>
      <c r="I1364" s="6">
        <v>0</v>
      </c>
      <c r="J1364" s="506"/>
      <c r="K1364" s="506">
        <v>0</v>
      </c>
      <c r="L1364" s="506">
        <v>0</v>
      </c>
      <c r="M1364" s="506">
        <v>0</v>
      </c>
      <c r="N1364" s="506">
        <v>0</v>
      </c>
      <c r="O1364" s="39">
        <f t="shared" si="457"/>
        <v>0</v>
      </c>
      <c r="P1364" s="17">
        <f>SUMIFS('Desenvolvimento diário'!$H:$H,'Desenvolvimento diário'!$Q:$Q,$B1364,'Desenvolvimento diário'!$P:$P,$F1364,'Desenvolvimento diário'!$R:$R,"Sim")</f>
        <v>0</v>
      </c>
      <c r="Q1364" s="17">
        <f>SUMIFS('Desenvolvimento diário'!$H:$H,'Desenvolvimento diário'!$Q:$Q,$B1364,'Desenvolvimento diário'!$P:$P,$F1364,'Desenvolvimento diário'!$R:$R,"Não")</f>
        <v>0</v>
      </c>
      <c r="R1364" s="4">
        <f t="shared" si="458"/>
        <v>0</v>
      </c>
      <c r="S1364" s="4">
        <f t="shared" si="459"/>
        <v>0</v>
      </c>
      <c r="T1364" s="12">
        <f t="shared" si="462"/>
        <v>0</v>
      </c>
      <c r="Y1364" s="2"/>
      <c r="Z1364" s="2"/>
      <c r="AA1364" s="2"/>
      <c r="AB1364" s="2"/>
      <c r="AC1364" s="2"/>
    </row>
    <row r="1365" spans="1:29" hidden="1">
      <c r="A1365" s="2">
        <f t="shared" si="460"/>
        <v>39</v>
      </c>
      <c r="B1365" s="2" t="str">
        <f>VLOOKUP($A1365,Controle!$B$4:$F$68,2,FALSE)</f>
        <v>Arcos 7</v>
      </c>
      <c r="C1365" s="2" t="str">
        <f>VLOOKUP($A1365,Controle!$B$4:$F$68,3,FALSE)</f>
        <v>MORI MINAS IV</v>
      </c>
      <c r="D1365" s="2" t="str">
        <f>VLOOKUP($A1365,Controle!$B$4:$F$68,4,FALSE)</f>
        <v>NewCo IV</v>
      </c>
      <c r="E1365" s="2">
        <f>VLOOKUP($A1365,Controle!$B$4:$F$68,5,FALSE)</f>
        <v>1</v>
      </c>
      <c r="F1365" s="3" t="str">
        <f t="shared" si="456"/>
        <v>Cercamento das bacias de contenção ciclo 2</v>
      </c>
      <c r="G1365" s="2" t="str">
        <f>VLOOKUP($A1365,Controle!$B$4:$G$68,6,FALSE)</f>
        <v>Solatio</v>
      </c>
      <c r="H1365" s="506" t="s">
        <v>172</v>
      </c>
      <c r="I1365" s="6"/>
      <c r="J1365" s="506"/>
      <c r="K1365" s="506">
        <v>0</v>
      </c>
      <c r="L1365" s="506">
        <v>0</v>
      </c>
      <c r="M1365" s="506">
        <v>0</v>
      </c>
      <c r="N1365" s="506">
        <v>0</v>
      </c>
      <c r="O1365" s="39">
        <f t="shared" si="457"/>
        <v>0</v>
      </c>
      <c r="P1365" s="17">
        <f>SUMIFS('Desenvolvimento diário'!$H:$H,'Desenvolvimento diário'!$Q:$Q,$B1365,'Desenvolvimento diário'!$P:$P,$F1365,'Desenvolvimento diário'!$R:$R,"Sim")</f>
        <v>0</v>
      </c>
      <c r="Q1365" s="17">
        <f>SUMIFS('Desenvolvimento diário'!$H:$H,'Desenvolvimento diário'!$Q:$Q,$B1365,'Desenvolvimento diário'!$P:$P,$F1365,'Desenvolvimento diário'!$R:$R,"Não")</f>
        <v>0</v>
      </c>
      <c r="R1365" s="4">
        <f t="shared" si="458"/>
        <v>0</v>
      </c>
      <c r="S1365" s="1030">
        <f t="shared" si="459"/>
        <v>0</v>
      </c>
      <c r="T1365" s="12">
        <f t="shared" si="462"/>
        <v>0</v>
      </c>
      <c r="U1365" s="1029" t="s">
        <v>166</v>
      </c>
      <c r="V1365" s="1029" t="s">
        <v>94</v>
      </c>
      <c r="Y1365" s="2"/>
      <c r="Z1365" s="2"/>
      <c r="AA1365" s="2"/>
      <c r="AB1365" s="2"/>
      <c r="AC1365" s="2"/>
    </row>
    <row r="1366" spans="1:29" hidden="1">
      <c r="A1366" s="8">
        <f>A1363</f>
        <v>39</v>
      </c>
      <c r="B1366" s="9" t="str">
        <f t="shared" ref="B1366" si="463">B1363</f>
        <v>Arcos 7</v>
      </c>
      <c r="C1366" s="9" t="str">
        <f t="shared" ref="C1366" si="464">C1363</f>
        <v>MORI MINAS IV</v>
      </c>
      <c r="D1366" s="9" t="str">
        <f t="shared" ref="D1366" si="465">D1363</f>
        <v>NewCo IV</v>
      </c>
      <c r="E1366" s="9">
        <f t="shared" ref="E1366" si="466">E1363</f>
        <v>1</v>
      </c>
      <c r="F1366" s="10" t="s">
        <v>158</v>
      </c>
      <c r="G1366" s="9" t="str">
        <f>G1363</f>
        <v>Solatio</v>
      </c>
      <c r="H1366" s="9"/>
      <c r="I1366" s="9">
        <f>SUBTOTAL(9,I1332:I1365)</f>
        <v>0</v>
      </c>
      <c r="J1366" s="9">
        <f t="shared" ref="J1366:S1366" si="467">SUBTOTAL(9,J1332:J1365)</f>
        <v>0</v>
      </c>
      <c r="K1366" s="9">
        <f t="shared" si="467"/>
        <v>0</v>
      </c>
      <c r="L1366" s="9">
        <f t="shared" si="467"/>
        <v>0</v>
      </c>
      <c r="M1366" s="9">
        <f t="shared" si="467"/>
        <v>0</v>
      </c>
      <c r="N1366" s="9">
        <f t="shared" si="467"/>
        <v>0</v>
      </c>
      <c r="O1366" s="9">
        <f t="shared" si="467"/>
        <v>0</v>
      </c>
      <c r="P1366" s="9">
        <f t="shared" si="467"/>
        <v>0</v>
      </c>
      <c r="Q1366" s="9">
        <f t="shared" si="467"/>
        <v>0</v>
      </c>
      <c r="R1366" s="9">
        <f t="shared" si="467"/>
        <v>0</v>
      </c>
      <c r="S1366" s="9">
        <f t="shared" si="467"/>
        <v>0</v>
      </c>
      <c r="T1366" s="13">
        <f>IFERROR(R1366/O1366,0)</f>
        <v>0</v>
      </c>
      <c r="U1366" s="11">
        <f>SUBTOTAL(9,U1332:U1365)</f>
        <v>0</v>
      </c>
      <c r="Y1366" s="2"/>
      <c r="Z1366" s="2"/>
      <c r="AA1366" s="2"/>
      <c r="AB1366" s="2"/>
      <c r="AC1366" s="2"/>
    </row>
    <row r="1367" spans="1:29" ht="10.5" hidden="1">
      <c r="A1367" s="2">
        <f>A1332+1</f>
        <v>40</v>
      </c>
      <c r="B1367" s="2" t="str">
        <f>VLOOKUP($A1367,Controle!$B$4:$F$68,2,FALSE)</f>
        <v>Bambuí 1.1</v>
      </c>
      <c r="C1367" s="2" t="str">
        <f>VLOOKUP($A1367,Controle!$B$4:$F$68,3,FALSE)</f>
        <v>MORI MINAS IV</v>
      </c>
      <c r="D1367" s="2" t="str">
        <f>VLOOKUP($A1367,Controle!$B$4:$F$68,4,FALSE)</f>
        <v>NewCo IV</v>
      </c>
      <c r="E1367" s="2" t="str">
        <f>VLOOKUP($A1367,Controle!$B$4:$F$68,5,FALSE)</f>
        <v>Weg</v>
      </c>
      <c r="F1367" s="3" t="str">
        <f t="shared" ref="F1367:F1400" si="468">F1332</f>
        <v>Conexão AT - Obras</v>
      </c>
      <c r="G1367" s="2" t="str">
        <f>VLOOKUP($A1367,Controle!$B$4:$G$68,6,FALSE)</f>
        <v>Solatio</v>
      </c>
      <c r="H1367" s="6" t="s">
        <v>141</v>
      </c>
      <c r="I1367" s="29">
        <v>150000</v>
      </c>
      <c r="J1367" s="6">
        <v>0</v>
      </c>
      <c r="K1367" s="6">
        <v>0</v>
      </c>
      <c r="L1367" s="6">
        <v>0</v>
      </c>
      <c r="M1367" s="6">
        <v>0</v>
      </c>
      <c r="N1367" s="6">
        <v>0</v>
      </c>
      <c r="O1367" s="4">
        <f t="shared" ref="O1367:O1400" si="469">SUM(I1367:N1367)</f>
        <v>150000</v>
      </c>
      <c r="P1367" s="5">
        <f>SUMIFS('Desenvolvimento diário'!$H:$H,'Desenvolvimento diário'!$Q:$Q,$B1367,'Desenvolvimento diário'!$P:$P,$F1367,'Desenvolvimento diário'!$R:$R,"Sim")</f>
        <v>0</v>
      </c>
      <c r="Q1367" s="5">
        <f>SUMIFS('Desenvolvimento diário'!$H:$H,'Desenvolvimento diário'!$Q:$Q,$B1367,'Desenvolvimento diário'!$P:$P,$F1367,'Desenvolvimento diário'!$R:$R,"Não")</f>
        <v>150000</v>
      </c>
      <c r="R1367" s="4">
        <f t="shared" ref="R1367:R1400" si="470">SUM(P1367:Q1367)</f>
        <v>150000</v>
      </c>
      <c r="S1367" s="4">
        <f>O1367-R1367</f>
        <v>0</v>
      </c>
      <c r="T1367" s="12">
        <f t="shared" si="462"/>
        <v>1</v>
      </c>
      <c r="Y1367" s="2"/>
      <c r="Z1367" s="2"/>
      <c r="AA1367" s="2"/>
      <c r="AB1367" s="2"/>
      <c r="AC1367" s="2"/>
    </row>
    <row r="1368" spans="1:29" ht="10.5" hidden="1">
      <c r="A1368" s="2">
        <f t="shared" ref="A1368:A1400" si="471">A1367</f>
        <v>40</v>
      </c>
      <c r="B1368" s="2" t="str">
        <f>VLOOKUP($A1368,Controle!$B$4:$F$68,2,FALSE)</f>
        <v>Bambuí 1.1</v>
      </c>
      <c r="C1368" s="2" t="str">
        <f>VLOOKUP($A1368,Controle!$B$4:$F$68,3,FALSE)</f>
        <v>MORI MINAS IV</v>
      </c>
      <c r="D1368" s="2" t="str">
        <f>VLOOKUP($A1368,Controle!$B$4:$F$68,4,FALSE)</f>
        <v>NewCo IV</v>
      </c>
      <c r="E1368" s="2" t="str">
        <f>VLOOKUP($A1368,Controle!$B$4:$F$68,5,FALSE)</f>
        <v>Weg</v>
      </c>
      <c r="F1368" s="3" t="str">
        <f t="shared" si="468"/>
        <v>Conexão MT - Obras</v>
      </c>
      <c r="G1368" s="2" t="str">
        <f>VLOOKUP($A1368,Controle!$B$4:$G$68,6,FALSE)</f>
        <v>Solatio</v>
      </c>
      <c r="H1368" s="6" t="s">
        <v>221</v>
      </c>
      <c r="I1368" s="6">
        <v>484223.14</v>
      </c>
      <c r="J1368" s="6">
        <v>84582.030000000028</v>
      </c>
      <c r="K1368" s="6">
        <v>0</v>
      </c>
      <c r="L1368" s="6">
        <v>0</v>
      </c>
      <c r="M1368" s="6">
        <v>0</v>
      </c>
      <c r="N1368" s="6">
        <v>0</v>
      </c>
      <c r="O1368" s="4">
        <f t="shared" si="469"/>
        <v>568805.17000000004</v>
      </c>
      <c r="P1368" s="5">
        <f>SUMIFS('Desenvolvimento diário'!$H:$H,'Desenvolvimento diário'!$Q:$Q,$B1368,'Desenvolvimento diário'!$P:$P,$F1368,'Desenvolvimento diário'!$R:$R,"Sim")</f>
        <v>0</v>
      </c>
      <c r="Q1368" s="5">
        <f>SUMIFS('Desenvolvimento diário'!$H:$H,'Desenvolvimento diário'!$Q:$Q,$B1368,'Desenvolvimento diário'!$P:$P,$F1368,'Desenvolvimento diário'!$R:$R,"Não")</f>
        <v>568805.17000000004</v>
      </c>
      <c r="R1368" s="4">
        <f t="shared" si="470"/>
        <v>568805.17000000004</v>
      </c>
      <c r="S1368" s="4">
        <f t="shared" ref="S1367:S1400" si="472">O1368-R1368</f>
        <v>0</v>
      </c>
      <c r="T1368" s="12">
        <f t="shared" si="462"/>
        <v>1</v>
      </c>
      <c r="Y1368" s="2"/>
      <c r="Z1368" s="2"/>
      <c r="AA1368" s="2"/>
      <c r="AB1368" s="2"/>
      <c r="AC1368" s="2"/>
    </row>
    <row r="1369" spans="1:29" ht="10.5" hidden="1">
      <c r="A1369" s="2">
        <f t="shared" si="471"/>
        <v>40</v>
      </c>
      <c r="B1369" s="2" t="str">
        <f>VLOOKUP($A1369,Controle!$B$4:$F$68,2,FALSE)</f>
        <v>Bambuí 1.1</v>
      </c>
      <c r="C1369" s="2" t="str">
        <f>VLOOKUP($A1369,Controle!$B$4:$F$68,3,FALSE)</f>
        <v>MORI MINAS IV</v>
      </c>
      <c r="D1369" s="2" t="str">
        <f>VLOOKUP($A1369,Controle!$B$4:$F$68,4,FALSE)</f>
        <v>NewCo IV</v>
      </c>
      <c r="E1369" s="2" t="str">
        <f>VLOOKUP($A1369,Controle!$B$4:$F$68,5,FALSE)</f>
        <v>Weg</v>
      </c>
      <c r="F1369" s="3" t="str">
        <f t="shared" si="468"/>
        <v>Construção - Serviços de Construção</v>
      </c>
      <c r="G1369" s="2" t="str">
        <f>VLOOKUP($A1369,Controle!$B$4:$G$68,6,FALSE)</f>
        <v>Solatio</v>
      </c>
      <c r="H1369" s="6">
        <v>0</v>
      </c>
      <c r="I1369" s="6">
        <v>0</v>
      </c>
      <c r="J1369" s="6">
        <v>0</v>
      </c>
      <c r="K1369" s="6">
        <v>0</v>
      </c>
      <c r="L1369" s="6">
        <v>0</v>
      </c>
      <c r="M1369" s="6">
        <v>0</v>
      </c>
      <c r="N1369" s="6">
        <v>0</v>
      </c>
      <c r="O1369" s="4">
        <f t="shared" si="469"/>
        <v>0</v>
      </c>
      <c r="P1369" s="5">
        <f>SUMIFS('Desenvolvimento diário'!$H:$H,'Desenvolvimento diário'!$Q:$Q,$B1369,'Desenvolvimento diário'!$P:$P,$F1369,'Desenvolvimento diário'!$R:$R,"Sim")</f>
        <v>0</v>
      </c>
      <c r="Q1369" s="5">
        <f>SUMIFS('Desenvolvimento diário'!$H:$H,'Desenvolvimento diário'!$Q:$Q,$B1369,'Desenvolvimento diário'!$P:$P,$F1369,'Desenvolvimento diário'!$R:$R,"Não")</f>
        <v>0</v>
      </c>
      <c r="R1369" s="4">
        <f t="shared" si="470"/>
        <v>0</v>
      </c>
      <c r="S1369" s="4">
        <f t="shared" si="472"/>
        <v>0</v>
      </c>
      <c r="T1369" s="12">
        <f t="shared" si="462"/>
        <v>0</v>
      </c>
      <c r="Y1369" s="2"/>
      <c r="Z1369" s="2"/>
      <c r="AA1369" s="2"/>
      <c r="AB1369" s="2"/>
      <c r="AC1369" s="2"/>
    </row>
    <row r="1370" spans="1:29" ht="10.5" hidden="1">
      <c r="A1370" s="2">
        <f t="shared" si="471"/>
        <v>40</v>
      </c>
      <c r="B1370" s="2" t="str">
        <f>VLOOKUP($A1370,Controle!$B$4:$F$68,2,FALSE)</f>
        <v>Bambuí 1.1</v>
      </c>
      <c r="C1370" s="2" t="str">
        <f>VLOOKUP($A1370,Controle!$B$4:$F$68,3,FALSE)</f>
        <v>MORI MINAS IV</v>
      </c>
      <c r="D1370" s="2" t="str">
        <f>VLOOKUP($A1370,Controle!$B$4:$F$68,4,FALSE)</f>
        <v>NewCo IV</v>
      </c>
      <c r="E1370" s="2" t="str">
        <f>VLOOKUP($A1370,Controle!$B$4:$F$68,5,FALSE)</f>
        <v>Weg</v>
      </c>
      <c r="F1370" s="3" t="str">
        <f t="shared" si="468"/>
        <v>Construção - Serviços de Construção - Substituição</v>
      </c>
      <c r="G1370" s="2" t="str">
        <f>VLOOKUP($A1370,Controle!$B$4:$G$68,6,FALSE)</f>
        <v>Solatio</v>
      </c>
      <c r="H1370" s="6">
        <v>0</v>
      </c>
      <c r="I1370" s="6">
        <v>0</v>
      </c>
      <c r="J1370" s="6">
        <v>0</v>
      </c>
      <c r="K1370" s="6">
        <v>0</v>
      </c>
      <c r="L1370" s="6">
        <v>0</v>
      </c>
      <c r="M1370" s="6">
        <v>0</v>
      </c>
      <c r="N1370" s="6">
        <v>0</v>
      </c>
      <c r="O1370" s="4">
        <f t="shared" si="469"/>
        <v>0</v>
      </c>
      <c r="P1370" s="5">
        <f>SUMIFS('Desenvolvimento diário'!$H:$H,'Desenvolvimento diário'!$Q:$Q,$B1370,'Desenvolvimento diário'!$P:$P,$F1370,'Desenvolvimento diário'!$R:$R,"Sim")</f>
        <v>0</v>
      </c>
      <c r="Q1370" s="5">
        <f>SUMIFS('Desenvolvimento diário'!$H:$H,'Desenvolvimento diário'!$Q:$Q,$B1370,'Desenvolvimento diário'!$P:$P,$F1370,'Desenvolvimento diário'!$R:$R,"Não")</f>
        <v>0</v>
      </c>
      <c r="R1370" s="4">
        <f t="shared" si="470"/>
        <v>0</v>
      </c>
      <c r="S1370" s="4">
        <f t="shared" si="472"/>
        <v>0</v>
      </c>
      <c r="T1370" s="12">
        <f t="shared" si="462"/>
        <v>0</v>
      </c>
      <c r="Y1370" s="2"/>
      <c r="Z1370" s="2"/>
      <c r="AA1370" s="2"/>
      <c r="AB1370" s="2"/>
      <c r="AC1370" s="2"/>
    </row>
    <row r="1371" spans="1:29" ht="10.5" hidden="1">
      <c r="A1371" s="2">
        <f t="shared" si="471"/>
        <v>40</v>
      </c>
      <c r="B1371" s="2" t="str">
        <f>VLOOKUP($A1371,Controle!$B$4:$F$68,2,FALSE)</f>
        <v>Bambuí 1.1</v>
      </c>
      <c r="C1371" s="2" t="str">
        <f>VLOOKUP($A1371,Controle!$B$4:$F$68,3,FALSE)</f>
        <v>MORI MINAS IV</v>
      </c>
      <c r="D1371" s="2" t="str">
        <f>VLOOKUP($A1371,Controle!$B$4:$F$68,4,FALSE)</f>
        <v>NewCo IV</v>
      </c>
      <c r="E1371" s="2" t="str">
        <f>VLOOKUP($A1371,Controle!$B$4:$F$68,5,FALSE)</f>
        <v>Weg</v>
      </c>
      <c r="F1371" s="3" t="str">
        <f t="shared" si="468"/>
        <v>Construção - RDA Interno</v>
      </c>
      <c r="G1371" s="2" t="str">
        <f>VLOOKUP($A1371,Controle!$B$4:$G$68,6,FALSE)</f>
        <v>Solatio</v>
      </c>
      <c r="H1371" s="6">
        <v>0</v>
      </c>
      <c r="I1371" s="6">
        <v>0</v>
      </c>
      <c r="J1371" s="6">
        <v>0</v>
      </c>
      <c r="K1371" s="6">
        <v>0</v>
      </c>
      <c r="L1371" s="6">
        <v>0</v>
      </c>
      <c r="M1371" s="6">
        <v>0</v>
      </c>
      <c r="N1371" s="6">
        <v>0</v>
      </c>
      <c r="O1371" s="4">
        <f t="shared" si="469"/>
        <v>0</v>
      </c>
      <c r="P1371" s="5">
        <f>SUMIFS('Desenvolvimento diário'!$H:$H,'Desenvolvimento diário'!$Q:$Q,$B1371,'Desenvolvimento diário'!$P:$P,$F1371,'Desenvolvimento diário'!$R:$R,"Sim")</f>
        <v>0</v>
      </c>
      <c r="Q1371" s="5">
        <f>SUMIFS('Desenvolvimento diário'!$H:$H,'Desenvolvimento diário'!$Q:$Q,$B1371,'Desenvolvimento diário'!$P:$P,$F1371,'Desenvolvimento diário'!$R:$R,"Não")</f>
        <v>0</v>
      </c>
      <c r="R1371" s="4">
        <f t="shared" si="470"/>
        <v>0</v>
      </c>
      <c r="S1371" s="4">
        <f t="shared" si="472"/>
        <v>0</v>
      </c>
      <c r="T1371" s="12">
        <f t="shared" si="462"/>
        <v>0</v>
      </c>
      <c r="Y1371" s="2"/>
      <c r="Z1371" s="2"/>
      <c r="AA1371" s="2"/>
      <c r="AB1371" s="2"/>
      <c r="AC1371" s="2"/>
    </row>
    <row r="1372" spans="1:29" ht="10.5" hidden="1">
      <c r="A1372" s="2">
        <f t="shared" si="471"/>
        <v>40</v>
      </c>
      <c r="B1372" s="2" t="str">
        <f>VLOOKUP($A1372,Controle!$B$4:$F$68,2,FALSE)</f>
        <v>Bambuí 1.1</v>
      </c>
      <c r="C1372" s="2" t="str">
        <f>VLOOKUP($A1372,Controle!$B$4:$F$68,3,FALSE)</f>
        <v>MORI MINAS IV</v>
      </c>
      <c r="D1372" s="2" t="str">
        <f>VLOOKUP($A1372,Controle!$B$4:$F$68,4,FALSE)</f>
        <v>NewCo IV</v>
      </c>
      <c r="E1372" s="2" t="str">
        <f>VLOOKUP($A1372,Controle!$B$4:$F$68,5,FALSE)</f>
        <v>Weg</v>
      </c>
      <c r="F1372" s="3" t="str">
        <f t="shared" si="468"/>
        <v>Full EPC - Contrato</v>
      </c>
      <c r="G1372" s="2" t="str">
        <f>VLOOKUP($A1372,Controle!$B$4:$G$68,6,FALSE)</f>
        <v>Solatio</v>
      </c>
      <c r="H1372" s="6" t="s">
        <v>21</v>
      </c>
      <c r="I1372" s="6">
        <v>14646682.470000001</v>
      </c>
      <c r="J1372" s="6"/>
      <c r="K1372" s="6">
        <v>0</v>
      </c>
      <c r="L1372" s="6">
        <v>0</v>
      </c>
      <c r="M1372" s="6">
        <v>0</v>
      </c>
      <c r="N1372" s="6">
        <v>0</v>
      </c>
      <c r="O1372" s="4">
        <f t="shared" si="469"/>
        <v>14646682.470000001</v>
      </c>
      <c r="P1372" s="5">
        <f>SUMIFS('Desenvolvimento diário'!$H:$H,'Desenvolvimento diário'!$Q:$Q,$B1372,'Desenvolvimento diário'!$P:$P,$F1372,'Desenvolvimento diário'!$R:$R,"Sim")</f>
        <v>0</v>
      </c>
      <c r="Q1372" s="5">
        <f>SUMIFS('Desenvolvimento diário'!$H:$H,'Desenvolvimento diário'!$Q:$Q,$B1372,'Desenvolvimento diário'!$P:$P,$F1372,'Desenvolvimento diário'!$R:$R,"Não")</f>
        <v>14646682.470000001</v>
      </c>
      <c r="R1372" s="4">
        <f t="shared" si="470"/>
        <v>14646682.470000001</v>
      </c>
      <c r="S1372" s="4">
        <f t="shared" si="472"/>
        <v>0</v>
      </c>
      <c r="T1372" s="12">
        <f t="shared" si="462"/>
        <v>1</v>
      </c>
      <c r="Y1372" s="2"/>
      <c r="Z1372" s="2"/>
      <c r="AA1372" s="2"/>
      <c r="AB1372" s="2"/>
      <c r="AC1372" s="2"/>
    </row>
    <row r="1373" spans="1:29" ht="10.5" hidden="1">
      <c r="A1373" s="2">
        <f t="shared" si="471"/>
        <v>40</v>
      </c>
      <c r="B1373" s="2" t="str">
        <f>VLOOKUP($A1373,Controle!$B$4:$F$68,2,FALSE)</f>
        <v>Bambuí 1.1</v>
      </c>
      <c r="C1373" s="2" t="str">
        <f>VLOOKUP($A1373,Controle!$B$4:$F$68,3,FALSE)</f>
        <v>MORI MINAS IV</v>
      </c>
      <c r="D1373" s="2" t="str">
        <f>VLOOKUP($A1373,Controle!$B$4:$F$68,4,FALSE)</f>
        <v>NewCo IV</v>
      </c>
      <c r="E1373" s="2" t="str">
        <f>VLOOKUP($A1373,Controle!$B$4:$F$68,5,FALSE)</f>
        <v>Weg</v>
      </c>
      <c r="F1373" s="3" t="str">
        <f t="shared" si="468"/>
        <v>Equipamentos Curva A - Outros (Transformadores)</v>
      </c>
      <c r="G1373" s="2" t="str">
        <f>VLOOKUP($A1373,Controle!$B$4:$G$68,6,FALSE)</f>
        <v>Solatio</v>
      </c>
      <c r="H1373" s="6">
        <v>0</v>
      </c>
      <c r="I1373" s="6">
        <v>0</v>
      </c>
      <c r="J1373" s="6">
        <v>0</v>
      </c>
      <c r="K1373" s="6">
        <v>0</v>
      </c>
      <c r="L1373" s="6">
        <v>0</v>
      </c>
      <c r="M1373" s="6">
        <v>0</v>
      </c>
      <c r="N1373" s="6">
        <v>0</v>
      </c>
      <c r="O1373" s="4">
        <f t="shared" si="469"/>
        <v>0</v>
      </c>
      <c r="P1373" s="5">
        <f>SUMIFS('Desenvolvimento diário'!$H:$H,'Desenvolvimento diário'!$Q:$Q,$B1373,'Desenvolvimento diário'!$P:$P,$F1373,'Desenvolvimento diário'!$R:$R,"Sim")</f>
        <v>0</v>
      </c>
      <c r="Q1373" s="5">
        <f>SUMIFS('Desenvolvimento diário'!$H:$H,'Desenvolvimento diário'!$Q:$Q,$B1373,'Desenvolvimento diário'!$P:$P,$F1373,'Desenvolvimento diário'!$R:$R,"Não")</f>
        <v>0</v>
      </c>
      <c r="R1373" s="4">
        <f t="shared" si="470"/>
        <v>0</v>
      </c>
      <c r="S1373" s="4">
        <f t="shared" si="472"/>
        <v>0</v>
      </c>
      <c r="T1373" s="12">
        <f t="shared" si="462"/>
        <v>0</v>
      </c>
      <c r="Y1373" s="2"/>
      <c r="Z1373" s="2"/>
      <c r="AA1373" s="2"/>
      <c r="AB1373" s="2"/>
      <c r="AC1373" s="2"/>
    </row>
    <row r="1374" spans="1:29" ht="10.5" hidden="1">
      <c r="A1374" s="2">
        <f t="shared" si="471"/>
        <v>40</v>
      </c>
      <c r="B1374" s="2" t="str">
        <f>VLOOKUP($A1374,Controle!$B$4:$F$68,2,FALSE)</f>
        <v>Bambuí 1.1</v>
      </c>
      <c r="C1374" s="2" t="str">
        <f>VLOOKUP($A1374,Controle!$B$4:$F$68,3,FALSE)</f>
        <v>MORI MINAS IV</v>
      </c>
      <c r="D1374" s="2" t="str">
        <f>VLOOKUP($A1374,Controle!$B$4:$F$68,4,FALSE)</f>
        <v>NewCo IV</v>
      </c>
      <c r="E1374" s="2" t="str">
        <f>VLOOKUP($A1374,Controle!$B$4:$F$68,5,FALSE)</f>
        <v>Weg</v>
      </c>
      <c r="F1374" s="3" t="str">
        <f t="shared" si="468"/>
        <v>Equipamentos Curva A - Outros (Cabine + Skid)</v>
      </c>
      <c r="G1374" s="2" t="str">
        <f>VLOOKUP($A1374,Controle!$B$4:$G$68,6,FALSE)</f>
        <v>Solatio</v>
      </c>
      <c r="H1374" s="6">
        <v>0</v>
      </c>
      <c r="I1374" s="6">
        <v>0</v>
      </c>
      <c r="J1374" s="6">
        <v>0</v>
      </c>
      <c r="K1374" s="6">
        <v>0</v>
      </c>
      <c r="L1374" s="6">
        <v>0</v>
      </c>
      <c r="M1374" s="6">
        <v>0</v>
      </c>
      <c r="N1374" s="6">
        <v>0</v>
      </c>
      <c r="O1374" s="4">
        <f t="shared" si="469"/>
        <v>0</v>
      </c>
      <c r="P1374" s="5">
        <f>SUMIFS('Desenvolvimento diário'!$H:$H,'Desenvolvimento diário'!$Q:$Q,$B1374,'Desenvolvimento diário'!$P:$P,$F1374,'Desenvolvimento diário'!$R:$R,"Sim")</f>
        <v>0</v>
      </c>
      <c r="Q1374" s="5">
        <f>SUMIFS('Desenvolvimento diário'!$H:$H,'Desenvolvimento diário'!$Q:$Q,$B1374,'Desenvolvimento diário'!$P:$P,$F1374,'Desenvolvimento diário'!$R:$R,"Não")</f>
        <v>0</v>
      </c>
      <c r="R1374" s="4">
        <f t="shared" si="470"/>
        <v>0</v>
      </c>
      <c r="S1374" s="4">
        <f t="shared" si="472"/>
        <v>0</v>
      </c>
      <c r="T1374" s="12">
        <f t="shared" si="462"/>
        <v>0</v>
      </c>
      <c r="Y1374" s="2"/>
      <c r="Z1374" s="2"/>
      <c r="AA1374" s="2"/>
      <c r="AB1374" s="2"/>
      <c r="AC1374" s="2"/>
    </row>
    <row r="1375" spans="1:29" ht="10.5" hidden="1">
      <c r="A1375" s="2">
        <f t="shared" si="471"/>
        <v>40</v>
      </c>
      <c r="B1375" s="2" t="str">
        <f>VLOOKUP($A1375,Controle!$B$4:$F$68,2,FALSE)</f>
        <v>Bambuí 1.1</v>
      </c>
      <c r="C1375" s="2" t="str">
        <f>VLOOKUP($A1375,Controle!$B$4:$F$68,3,FALSE)</f>
        <v>MORI MINAS IV</v>
      </c>
      <c r="D1375" s="2" t="str">
        <f>VLOOKUP($A1375,Controle!$B$4:$F$68,4,FALSE)</f>
        <v>NewCo IV</v>
      </c>
      <c r="E1375" s="2" t="str">
        <f>VLOOKUP($A1375,Controle!$B$4:$F$68,5,FALSE)</f>
        <v>Weg</v>
      </c>
      <c r="F1375" s="3" t="str">
        <f t="shared" si="468"/>
        <v>Equipamentos Curva A - Outros (Cabine + Skid + Transformador)</v>
      </c>
      <c r="G1375" s="2" t="str">
        <f>VLOOKUP($A1375,Controle!$B$4:$G$68,6,FALSE)</f>
        <v>Solatio</v>
      </c>
      <c r="H1375" s="6" t="s">
        <v>144</v>
      </c>
      <c r="I1375" s="6">
        <v>318595.83325000003</v>
      </c>
      <c r="J1375" s="6">
        <v>0</v>
      </c>
      <c r="K1375" s="6">
        <v>0</v>
      </c>
      <c r="L1375" s="6">
        <v>0</v>
      </c>
      <c r="M1375" s="6">
        <v>0</v>
      </c>
      <c r="N1375" s="6">
        <v>0</v>
      </c>
      <c r="O1375" s="4">
        <f t="shared" si="469"/>
        <v>318595.83325000003</v>
      </c>
      <c r="P1375" s="5">
        <f>SUMIFS('Desenvolvimento diário'!$H:$H,'Desenvolvimento diário'!$Q:$Q,$B1375,'Desenvolvimento diário'!$P:$P,$F1375,'Desenvolvimento diário'!$R:$R,"Sim")</f>
        <v>0</v>
      </c>
      <c r="Q1375" s="5">
        <f>SUMIFS('Desenvolvimento diário'!$H:$H,'Desenvolvimento diário'!$Q:$Q,$B1375,'Desenvolvimento diário'!$P:$P,$F1375,'Desenvolvimento diário'!$R:$R,"Não")</f>
        <v>318595.83325000003</v>
      </c>
      <c r="R1375" s="4">
        <f t="shared" si="470"/>
        <v>318595.83325000003</v>
      </c>
      <c r="S1375" s="4">
        <f t="shared" si="472"/>
        <v>0</v>
      </c>
      <c r="T1375" s="12">
        <f t="shared" si="462"/>
        <v>1</v>
      </c>
      <c r="Y1375" s="2"/>
      <c r="Z1375" s="2"/>
      <c r="AA1375" s="2"/>
      <c r="AB1375" s="2"/>
      <c r="AC1375" s="2"/>
    </row>
    <row r="1376" spans="1:29" ht="10.5" hidden="1">
      <c r="A1376" s="2">
        <f t="shared" si="471"/>
        <v>40</v>
      </c>
      <c r="B1376" s="2" t="str">
        <f>VLOOKUP($A1376,Controle!$B$4:$F$68,2,FALSE)</f>
        <v>Bambuí 1.1</v>
      </c>
      <c r="C1376" s="2" t="str">
        <f>VLOOKUP($A1376,Controle!$B$4:$F$68,3,FALSE)</f>
        <v>MORI MINAS IV</v>
      </c>
      <c r="D1376" s="2" t="str">
        <f>VLOOKUP($A1376,Controle!$B$4:$F$68,4,FALSE)</f>
        <v>NewCo IV</v>
      </c>
      <c r="E1376" s="2" t="str">
        <f>VLOOKUP($A1376,Controle!$B$4:$F$68,5,FALSE)</f>
        <v>Weg</v>
      </c>
      <c r="F1376" s="3" t="str">
        <f t="shared" si="468"/>
        <v>Desenvolvimento de projeto - Projetos - (Eng° Proprietario)</v>
      </c>
      <c r="G1376" s="2" t="str">
        <f>VLOOKUP($A1376,Controle!$B$4:$G$68,6,FALSE)</f>
        <v>Solatio</v>
      </c>
      <c r="H1376" s="6" t="s">
        <v>176</v>
      </c>
      <c r="I1376" s="6">
        <f>R1376</f>
        <v>57742.98</v>
      </c>
      <c r="J1376" s="6">
        <v>0</v>
      </c>
      <c r="K1376" s="6">
        <v>0</v>
      </c>
      <c r="L1376" s="6">
        <v>0</v>
      </c>
      <c r="M1376" s="6">
        <v>0</v>
      </c>
      <c r="N1376" s="6">
        <v>0</v>
      </c>
      <c r="O1376" s="4">
        <f t="shared" si="469"/>
        <v>57742.98</v>
      </c>
      <c r="P1376" s="5">
        <f>SUMIFS('Desenvolvimento diário'!$H:$H,'Desenvolvimento diário'!$Q:$Q,$B1376,'Desenvolvimento diário'!$P:$P,$F1376,'Desenvolvimento diário'!$R:$R,"Sim")</f>
        <v>0</v>
      </c>
      <c r="Q1376" s="5">
        <f>SUMIFS('Desenvolvimento diário'!$H:$H,'Desenvolvimento diário'!$Q:$Q,$B1376,'Desenvolvimento diário'!$P:$P,$F1376,'Desenvolvimento diário'!$R:$R,"Não")</f>
        <v>57742.98</v>
      </c>
      <c r="R1376" s="4">
        <f t="shared" si="470"/>
        <v>57742.98</v>
      </c>
      <c r="S1376" s="4">
        <f t="shared" si="472"/>
        <v>0</v>
      </c>
      <c r="T1376" s="12">
        <f t="shared" si="462"/>
        <v>1</v>
      </c>
      <c r="Y1376" s="2"/>
      <c r="Z1376" s="2"/>
      <c r="AA1376" s="2"/>
      <c r="AB1376" s="2"/>
      <c r="AC1376" s="2"/>
    </row>
    <row r="1377" spans="1:29" ht="10.5" hidden="1">
      <c r="A1377" s="2">
        <f t="shared" si="471"/>
        <v>40</v>
      </c>
      <c r="B1377" s="2" t="str">
        <f>VLOOKUP($A1377,Controle!$B$4:$F$68,2,FALSE)</f>
        <v>Bambuí 1.1</v>
      </c>
      <c r="C1377" s="2" t="str">
        <f>VLOOKUP($A1377,Controle!$B$4:$F$68,3,FALSE)</f>
        <v>MORI MINAS IV</v>
      </c>
      <c r="D1377" s="2" t="str">
        <f>VLOOKUP($A1377,Controle!$B$4:$F$68,4,FALSE)</f>
        <v>NewCo IV</v>
      </c>
      <c r="E1377" s="2" t="str">
        <f>VLOOKUP($A1377,Controle!$B$4:$F$68,5,FALSE)</f>
        <v>Weg</v>
      </c>
      <c r="F1377" s="3" t="str">
        <f t="shared" si="468"/>
        <v>Desenvolvimento de projeto - Projetos - Executivos</v>
      </c>
      <c r="G1377" s="2" t="str">
        <f>VLOOKUP($A1377,Controle!$B$4:$G$68,6,FALSE)</f>
        <v>Solatio</v>
      </c>
      <c r="H1377" s="6">
        <v>0</v>
      </c>
      <c r="I1377" s="6">
        <v>0</v>
      </c>
      <c r="J1377" s="6">
        <v>0</v>
      </c>
      <c r="K1377" s="6">
        <v>0</v>
      </c>
      <c r="L1377" s="6">
        <v>0</v>
      </c>
      <c r="M1377" s="6">
        <v>0</v>
      </c>
      <c r="N1377" s="6">
        <v>0</v>
      </c>
      <c r="O1377" s="4">
        <f t="shared" si="469"/>
        <v>0</v>
      </c>
      <c r="P1377" s="5">
        <f>SUMIFS('Desenvolvimento diário'!$H:$H,'Desenvolvimento diário'!$Q:$Q,$B1377,'Desenvolvimento diário'!$P:$P,$F1377,'Desenvolvimento diário'!$R:$R,"Sim")</f>
        <v>0</v>
      </c>
      <c r="Q1377" s="5">
        <f>SUMIFS('Desenvolvimento diário'!$H:$H,'Desenvolvimento diário'!$Q:$Q,$B1377,'Desenvolvimento diário'!$P:$P,$F1377,'Desenvolvimento diário'!$R:$R,"Não")</f>
        <v>0</v>
      </c>
      <c r="R1377" s="4">
        <f t="shared" si="470"/>
        <v>0</v>
      </c>
      <c r="S1377" s="4">
        <f t="shared" si="472"/>
        <v>0</v>
      </c>
      <c r="T1377" s="12">
        <f t="shared" si="462"/>
        <v>0</v>
      </c>
      <c r="Y1377" s="2"/>
      <c r="Z1377" s="2"/>
      <c r="AA1377" s="2"/>
      <c r="AB1377" s="2"/>
      <c r="AC1377" s="2"/>
    </row>
    <row r="1378" spans="1:29" ht="10.5" hidden="1">
      <c r="A1378" s="2">
        <f t="shared" si="471"/>
        <v>40</v>
      </c>
      <c r="B1378" s="2" t="str">
        <f>VLOOKUP($A1378,Controle!$B$4:$F$68,2,FALSE)</f>
        <v>Bambuí 1.1</v>
      </c>
      <c r="C1378" s="2" t="str">
        <f>VLOOKUP($A1378,Controle!$B$4:$F$68,3,FALSE)</f>
        <v>MORI MINAS IV</v>
      </c>
      <c r="D1378" s="2" t="str">
        <f>VLOOKUP($A1378,Controle!$B$4:$F$68,4,FALSE)</f>
        <v>NewCo IV</v>
      </c>
      <c r="E1378" s="2" t="str">
        <f>VLOOKUP($A1378,Controle!$B$4:$F$68,5,FALSE)</f>
        <v>Weg</v>
      </c>
      <c r="F1378" s="3" t="str">
        <f t="shared" si="468"/>
        <v>Desenvolvimento de projeto - Projetos Básica</v>
      </c>
      <c r="G1378" s="2" t="str">
        <f>VLOOKUP($A1378,Controle!$B$4:$G$68,6,FALSE)</f>
        <v>Solatio</v>
      </c>
      <c r="H1378" s="6">
        <v>0</v>
      </c>
      <c r="I1378" s="6">
        <v>0</v>
      </c>
      <c r="J1378" s="6">
        <v>0</v>
      </c>
      <c r="K1378" s="6">
        <v>0</v>
      </c>
      <c r="L1378" s="6">
        <v>0</v>
      </c>
      <c r="M1378" s="6">
        <v>0</v>
      </c>
      <c r="N1378" s="6">
        <v>0</v>
      </c>
      <c r="O1378" s="4">
        <f t="shared" si="469"/>
        <v>0</v>
      </c>
      <c r="P1378" s="5">
        <f>SUMIFS('Desenvolvimento diário'!$H:$H,'Desenvolvimento diário'!$Q:$Q,$B1378,'Desenvolvimento diário'!$P:$P,$F1378,'Desenvolvimento diário'!$R:$R,"Sim")</f>
        <v>0</v>
      </c>
      <c r="Q1378" s="5">
        <f>SUMIFS('Desenvolvimento diário'!$H:$H,'Desenvolvimento diário'!$Q:$Q,$B1378,'Desenvolvimento diário'!$P:$P,$F1378,'Desenvolvimento diário'!$R:$R,"Não")</f>
        <v>0</v>
      </c>
      <c r="R1378" s="4">
        <f t="shared" si="470"/>
        <v>0</v>
      </c>
      <c r="S1378" s="4">
        <f t="shared" si="472"/>
        <v>0</v>
      </c>
      <c r="T1378" s="12">
        <f t="shared" si="462"/>
        <v>0</v>
      </c>
      <c r="Y1378" s="2"/>
      <c r="Z1378" s="2"/>
      <c r="AA1378" s="2"/>
      <c r="AB1378" s="2"/>
      <c r="AC1378" s="2"/>
    </row>
    <row r="1379" spans="1:29" ht="10.5" hidden="1">
      <c r="A1379" s="2">
        <f t="shared" si="471"/>
        <v>40</v>
      </c>
      <c r="B1379" s="2" t="str">
        <f>VLOOKUP($A1379,Controle!$B$4:$F$68,2,FALSE)</f>
        <v>Bambuí 1.1</v>
      </c>
      <c r="C1379" s="2" t="str">
        <f>VLOOKUP($A1379,Controle!$B$4:$F$68,3,FALSE)</f>
        <v>MORI MINAS IV</v>
      </c>
      <c r="D1379" s="2" t="str">
        <f>VLOOKUP($A1379,Controle!$B$4:$F$68,4,FALSE)</f>
        <v>NewCo IV</v>
      </c>
      <c r="E1379" s="2" t="str">
        <f>VLOOKUP($A1379,Controle!$B$4:$F$68,5,FALSE)</f>
        <v>Weg</v>
      </c>
      <c r="F1379" s="3" t="str">
        <f t="shared" si="468"/>
        <v>Desenvolvimento de projeto - Projetos Detalhada</v>
      </c>
      <c r="G1379" s="2" t="str">
        <f>VLOOKUP($A1379,Controle!$B$4:$G$68,6,FALSE)</f>
        <v>Solatio</v>
      </c>
      <c r="H1379" s="6">
        <v>0</v>
      </c>
      <c r="I1379" s="6">
        <v>0</v>
      </c>
      <c r="J1379" s="6">
        <v>0</v>
      </c>
      <c r="K1379" s="6">
        <v>0</v>
      </c>
      <c r="L1379" s="6">
        <v>0</v>
      </c>
      <c r="M1379" s="6">
        <v>0</v>
      </c>
      <c r="N1379" s="6">
        <v>0</v>
      </c>
      <c r="O1379" s="4">
        <f t="shared" si="469"/>
        <v>0</v>
      </c>
      <c r="P1379" s="5">
        <f>SUMIFS('Desenvolvimento diário'!$H:$H,'Desenvolvimento diário'!$Q:$Q,$B1379,'Desenvolvimento diário'!$P:$P,$F1379,'Desenvolvimento diário'!$R:$R,"Sim")</f>
        <v>0</v>
      </c>
      <c r="Q1379" s="5">
        <f>SUMIFS('Desenvolvimento diário'!$H:$H,'Desenvolvimento diário'!$Q:$Q,$B1379,'Desenvolvimento diário'!$P:$P,$F1379,'Desenvolvimento diário'!$R:$R,"Não")</f>
        <v>0</v>
      </c>
      <c r="R1379" s="4">
        <f t="shared" si="470"/>
        <v>0</v>
      </c>
      <c r="S1379" s="4">
        <f t="shared" si="472"/>
        <v>0</v>
      </c>
      <c r="T1379" s="12">
        <f t="shared" si="462"/>
        <v>0</v>
      </c>
      <c r="Y1379" s="2"/>
      <c r="Z1379" s="2"/>
      <c r="AA1379" s="2"/>
      <c r="AB1379" s="2"/>
      <c r="AC1379" s="2"/>
    </row>
    <row r="1380" spans="1:29" ht="10.5" hidden="1">
      <c r="A1380" s="2">
        <f t="shared" si="471"/>
        <v>40</v>
      </c>
      <c r="B1380" s="2" t="str">
        <f>VLOOKUP($A1380,Controle!$B$4:$F$68,2,FALSE)</f>
        <v>Bambuí 1.1</v>
      </c>
      <c r="C1380" s="2" t="str">
        <f>VLOOKUP($A1380,Controle!$B$4:$F$68,3,FALSE)</f>
        <v>MORI MINAS IV</v>
      </c>
      <c r="D1380" s="2" t="str">
        <f>VLOOKUP($A1380,Controle!$B$4:$F$68,4,FALSE)</f>
        <v>NewCo IV</v>
      </c>
      <c r="E1380" s="2" t="str">
        <f>VLOOKUP($A1380,Controle!$B$4:$F$68,5,FALSE)</f>
        <v>Weg</v>
      </c>
      <c r="F1380" s="3" t="str">
        <f t="shared" si="468"/>
        <v>Desenvolvimento de projeto - Ambiental / Outros</v>
      </c>
      <c r="G1380" s="2" t="str">
        <f>VLOOKUP($A1380,Controle!$B$4:$G$68,6,FALSE)</f>
        <v>Solatio</v>
      </c>
      <c r="H1380" s="6" t="s">
        <v>148</v>
      </c>
      <c r="I1380" s="6">
        <f>R1380</f>
        <v>31882.82</v>
      </c>
      <c r="J1380" s="6">
        <v>0</v>
      </c>
      <c r="K1380" s="6">
        <v>0</v>
      </c>
      <c r="L1380" s="6">
        <v>0</v>
      </c>
      <c r="M1380" s="6">
        <v>0</v>
      </c>
      <c r="N1380" s="6">
        <v>0</v>
      </c>
      <c r="O1380" s="4">
        <f t="shared" si="469"/>
        <v>31882.82</v>
      </c>
      <c r="P1380" s="5">
        <f>SUMIFS('Desenvolvimento diário'!$H:$H,'Desenvolvimento diário'!$Q:$Q,$B1380,'Desenvolvimento diário'!$P:$P,$F1380,'Desenvolvimento diário'!$R:$R,"Sim")</f>
        <v>0</v>
      </c>
      <c r="Q1380" s="5">
        <f>SUMIFS('Desenvolvimento diário'!$H:$H,'Desenvolvimento diário'!$Q:$Q,$B1380,'Desenvolvimento diário'!$P:$P,$F1380,'Desenvolvimento diário'!$R:$R,"Não")</f>
        <v>31882.82</v>
      </c>
      <c r="R1380" s="4">
        <f t="shared" si="470"/>
        <v>31882.82</v>
      </c>
      <c r="S1380" s="4">
        <f t="shared" si="472"/>
        <v>0</v>
      </c>
      <c r="T1380" s="12">
        <f t="shared" si="462"/>
        <v>1</v>
      </c>
      <c r="Y1380" s="2"/>
      <c r="Z1380" s="2"/>
      <c r="AA1380" s="2"/>
      <c r="AB1380" s="2"/>
      <c r="AC1380" s="2"/>
    </row>
    <row r="1381" spans="1:29" hidden="1">
      <c r="A1381" s="2">
        <f t="shared" si="471"/>
        <v>40</v>
      </c>
      <c r="B1381" s="2" t="str">
        <f>VLOOKUP($A1381,Controle!$B$4:$F$68,2,FALSE)</f>
        <v>Bambuí 1.1</v>
      </c>
      <c r="C1381" s="2" t="str">
        <f>VLOOKUP($A1381,Controle!$B$4:$F$68,3,FALSE)</f>
        <v>MORI MINAS IV</v>
      </c>
      <c r="D1381" s="2" t="str">
        <f>VLOOKUP($A1381,Controle!$B$4:$F$68,4,FALSE)</f>
        <v>NewCo IV</v>
      </c>
      <c r="E1381" s="2" t="str">
        <f>VLOOKUP($A1381,Controle!$B$4:$F$68,5,FALSE)</f>
        <v>Weg</v>
      </c>
      <c r="F1381" s="3" t="str">
        <f t="shared" si="468"/>
        <v>Desenvolvimento de projeto - Coordenograma</v>
      </c>
      <c r="G1381" s="2" t="str">
        <f>VLOOKUP($A1381,Controle!$B$4:$G$68,6,FALSE)</f>
        <v>Solatio</v>
      </c>
      <c r="H1381" s="31" t="s">
        <v>149</v>
      </c>
      <c r="I1381" s="31">
        <v>6206.9</v>
      </c>
      <c r="J1381" s="31">
        <v>2281.25</v>
      </c>
      <c r="K1381" s="31">
        <v>0</v>
      </c>
      <c r="L1381" s="6">
        <v>0</v>
      </c>
      <c r="M1381" s="6">
        <v>0</v>
      </c>
      <c r="N1381" s="6">
        <v>0</v>
      </c>
      <c r="O1381" s="4">
        <f t="shared" si="469"/>
        <v>8488.15</v>
      </c>
      <c r="P1381" s="5">
        <f>SUMIFS('Desenvolvimento diário'!$H:$H,'Desenvolvimento diário'!$Q:$Q,$B1381,'Desenvolvimento diário'!$P:$P,$F1381,'Desenvolvimento diário'!$R:$R,"Sim")</f>
        <v>0</v>
      </c>
      <c r="Q1381" s="5">
        <f>SUMIFS('Desenvolvimento diário'!$H:$H,'Desenvolvimento diário'!$Q:$Q,$B1381,'Desenvolvimento diário'!$P:$P,$F1381,'Desenvolvimento diário'!$R:$R,"Não")</f>
        <v>8488.15</v>
      </c>
      <c r="R1381" s="4">
        <f t="shared" si="470"/>
        <v>8488.15</v>
      </c>
      <c r="S1381" s="4">
        <f t="shared" si="472"/>
        <v>0</v>
      </c>
      <c r="T1381" s="12">
        <f t="shared" si="462"/>
        <v>1</v>
      </c>
    </row>
    <row r="1382" spans="1:29" ht="10.5" hidden="1">
      <c r="A1382" s="2">
        <f t="shared" si="471"/>
        <v>40</v>
      </c>
      <c r="B1382" s="2" t="str">
        <f>VLOOKUP($A1382,Controle!$B$4:$F$68,2,FALSE)</f>
        <v>Bambuí 1.1</v>
      </c>
      <c r="C1382" s="2" t="str">
        <f>VLOOKUP($A1382,Controle!$B$4:$F$68,3,FALSE)</f>
        <v>MORI MINAS IV</v>
      </c>
      <c r="D1382" s="2" t="str">
        <f>VLOOKUP($A1382,Controle!$B$4:$F$68,4,FALSE)</f>
        <v>NewCo IV</v>
      </c>
      <c r="E1382" s="2" t="str">
        <f>VLOOKUP($A1382,Controle!$B$4:$F$68,5,FALSE)</f>
        <v>Weg</v>
      </c>
      <c r="F1382" s="3" t="str">
        <f t="shared" si="468"/>
        <v>Sistemas de Monitoramento - Supervisório</v>
      </c>
      <c r="G1382" s="2" t="str">
        <f>VLOOKUP($A1382,Controle!$B$4:$G$68,6,FALSE)</f>
        <v>Solatio</v>
      </c>
      <c r="H1382" s="6" t="s">
        <v>150</v>
      </c>
      <c r="I1382" s="6">
        <v>136154.97</v>
      </c>
      <c r="J1382" s="6"/>
      <c r="K1382" s="6">
        <v>0</v>
      </c>
      <c r="L1382" s="6">
        <v>0</v>
      </c>
      <c r="M1382" s="6">
        <v>0</v>
      </c>
      <c r="N1382" s="6">
        <v>0</v>
      </c>
      <c r="O1382" s="4">
        <f t="shared" si="469"/>
        <v>136154.97</v>
      </c>
      <c r="P1382" s="5">
        <f>SUMIFS('Desenvolvimento diário'!$H:$H,'Desenvolvimento diário'!$Q:$Q,$B1382,'Desenvolvimento diário'!$P:$P,$F1382,'Desenvolvimento diário'!$R:$R,"Sim")</f>
        <v>12000</v>
      </c>
      <c r="Q1382" s="5">
        <f>SUMIFS('Desenvolvimento diário'!$H:$H,'Desenvolvimento diário'!$Q:$Q,$B1382,'Desenvolvimento diário'!$P:$P,$F1382,'Desenvolvimento diário'!$R:$R,"Não")</f>
        <v>124154.97</v>
      </c>
      <c r="R1382" s="4">
        <f t="shared" si="470"/>
        <v>136154.97</v>
      </c>
      <c r="S1382" s="4">
        <f t="shared" si="472"/>
        <v>0</v>
      </c>
      <c r="T1382" s="12">
        <f t="shared" si="462"/>
        <v>1</v>
      </c>
      <c r="Y1382" s="2"/>
      <c r="Z1382" s="2"/>
      <c r="AA1382" s="2"/>
      <c r="AB1382" s="2"/>
      <c r="AC1382" s="2"/>
    </row>
    <row r="1383" spans="1:29" ht="10.5" hidden="1">
      <c r="A1383" s="2">
        <f t="shared" si="471"/>
        <v>40</v>
      </c>
      <c r="B1383" s="2" t="str">
        <f>VLOOKUP($A1383,Controle!$B$4:$F$68,2,FALSE)</f>
        <v>Bambuí 1.1</v>
      </c>
      <c r="C1383" s="2" t="str">
        <f>VLOOKUP($A1383,Controle!$B$4:$F$68,3,FALSE)</f>
        <v>MORI MINAS IV</v>
      </c>
      <c r="D1383" s="2" t="str">
        <f>VLOOKUP($A1383,Controle!$B$4:$F$68,4,FALSE)</f>
        <v>NewCo IV</v>
      </c>
      <c r="E1383" s="2" t="str">
        <f>VLOOKUP($A1383,Controle!$B$4:$F$68,5,FALSE)</f>
        <v>Weg</v>
      </c>
      <c r="F1383" s="3" t="str">
        <f t="shared" si="468"/>
        <v>Sistemas de Monitoramento - Estações Solarimétricas</v>
      </c>
      <c r="G1383" s="2" t="str">
        <f>VLOOKUP($A1383,Controle!$B$4:$G$68,6,FALSE)</f>
        <v>Solatio</v>
      </c>
      <c r="H1383" s="6">
        <v>0</v>
      </c>
      <c r="I1383" s="6">
        <v>0</v>
      </c>
      <c r="J1383" s="6">
        <v>0</v>
      </c>
      <c r="K1383" s="6">
        <v>0</v>
      </c>
      <c r="L1383" s="6">
        <v>0</v>
      </c>
      <c r="M1383" s="6">
        <v>0</v>
      </c>
      <c r="N1383" s="6">
        <v>0</v>
      </c>
      <c r="O1383" s="4">
        <f t="shared" si="469"/>
        <v>0</v>
      </c>
      <c r="P1383" s="5">
        <f>SUMIFS('Desenvolvimento diário'!$H:$H,'Desenvolvimento diário'!$Q:$Q,$B1383,'Desenvolvimento diário'!$P:$P,$F1383,'Desenvolvimento diário'!$R:$R,"Sim")</f>
        <v>0</v>
      </c>
      <c r="Q1383" s="5">
        <f>SUMIFS('Desenvolvimento diário'!$H:$H,'Desenvolvimento diário'!$Q:$Q,$B1383,'Desenvolvimento diário'!$P:$P,$F1383,'Desenvolvimento diário'!$R:$R,"Não")</f>
        <v>0</v>
      </c>
      <c r="R1383" s="4">
        <f t="shared" si="470"/>
        <v>0</v>
      </c>
      <c r="S1383" s="4">
        <f t="shared" si="472"/>
        <v>0</v>
      </c>
      <c r="T1383" s="12">
        <f t="shared" si="462"/>
        <v>0</v>
      </c>
      <c r="Y1383" s="2"/>
      <c r="Z1383" s="2"/>
      <c r="AA1383" s="2"/>
      <c r="AB1383" s="2"/>
      <c r="AC1383" s="2"/>
    </row>
    <row r="1384" spans="1:29" hidden="1">
      <c r="A1384" s="2">
        <f t="shared" si="471"/>
        <v>40</v>
      </c>
      <c r="B1384" s="2" t="str">
        <f>VLOOKUP($A1384,Controle!$B$4:$F$68,2,FALSE)</f>
        <v>Bambuí 1.1</v>
      </c>
      <c r="C1384" s="2" t="str">
        <f>VLOOKUP($A1384,Controle!$B$4:$F$68,3,FALSE)</f>
        <v>MORI MINAS IV</v>
      </c>
      <c r="D1384" s="2" t="str">
        <f>VLOOKUP($A1384,Controle!$B$4:$F$68,4,FALSE)</f>
        <v>NewCo IV</v>
      </c>
      <c r="E1384" s="2" t="str">
        <f>VLOOKUP($A1384,Controle!$B$4:$F$68,5,FALSE)</f>
        <v>Weg</v>
      </c>
      <c r="F1384" s="3" t="str">
        <f t="shared" si="468"/>
        <v>Sistemas de Monitoramento - CFTV</v>
      </c>
      <c r="G1384" s="2" t="str">
        <f>VLOOKUP($A1384,Controle!$B$4:$G$68,6,FALSE)</f>
        <v>Solatio</v>
      </c>
      <c r="H1384" s="31" t="s">
        <v>152</v>
      </c>
      <c r="I1384" s="6">
        <v>261668.28</v>
      </c>
      <c r="J1384" s="28">
        <v>4730.5200000000004</v>
      </c>
      <c r="K1384" s="6">
        <v>0</v>
      </c>
      <c r="L1384" s="6">
        <v>0</v>
      </c>
      <c r="M1384" s="6">
        <v>0</v>
      </c>
      <c r="N1384" s="6">
        <v>0</v>
      </c>
      <c r="O1384" s="4">
        <f t="shared" si="469"/>
        <v>266398.8</v>
      </c>
      <c r="P1384" s="5">
        <f>SUMIFS('Desenvolvimento diário'!$H:$H,'Desenvolvimento diário'!$Q:$Q,$B1384,'Desenvolvimento diário'!$P:$P,$F1384,'Desenvolvimento diário'!$R:$R,"Sim")</f>
        <v>17976.21</v>
      </c>
      <c r="Q1384" s="5">
        <f>SUMIFS('Desenvolvimento diário'!$H:$H,'Desenvolvimento diário'!$Q:$Q,$B1384,'Desenvolvimento diário'!$P:$P,$F1384,'Desenvolvimento diário'!$R:$R,"Não")</f>
        <v>248422.59</v>
      </c>
      <c r="R1384" s="4">
        <f t="shared" si="470"/>
        <v>266398.8</v>
      </c>
      <c r="S1384" s="4">
        <f t="shared" si="472"/>
        <v>0</v>
      </c>
      <c r="T1384" s="12">
        <f t="shared" si="462"/>
        <v>1</v>
      </c>
      <c r="Y1384" s="2"/>
      <c r="Z1384" s="2"/>
      <c r="AA1384" s="2"/>
      <c r="AB1384" s="2"/>
      <c r="AC1384" s="2"/>
    </row>
    <row r="1385" spans="1:29" ht="10.5" hidden="1">
      <c r="A1385" s="2">
        <f t="shared" si="471"/>
        <v>40</v>
      </c>
      <c r="B1385" s="2" t="str">
        <f>VLOOKUP($A1385,Controle!$B$4:$F$68,2,FALSE)</f>
        <v>Bambuí 1.1</v>
      </c>
      <c r="C1385" s="2" t="str">
        <f>VLOOKUP($A1385,Controle!$B$4:$F$68,3,FALSE)</f>
        <v>MORI MINAS IV</v>
      </c>
      <c r="D1385" s="2" t="str">
        <f>VLOOKUP($A1385,Controle!$B$4:$F$68,4,FALSE)</f>
        <v>NewCo IV</v>
      </c>
      <c r="E1385" s="2" t="str">
        <f>VLOOKUP($A1385,Controle!$B$4:$F$68,5,FALSE)</f>
        <v>Weg</v>
      </c>
      <c r="F1385" s="3" t="str">
        <f t="shared" si="468"/>
        <v>Serviços Auxiliares - Drenagem</v>
      </c>
      <c r="G1385" s="2" t="str">
        <f>VLOOKUP($A1385,Controle!$B$4:$G$68,6,FALSE)</f>
        <v>Solatio</v>
      </c>
      <c r="H1385" s="6" t="s">
        <v>185</v>
      </c>
      <c r="I1385" s="6">
        <v>186860.34</v>
      </c>
      <c r="J1385" s="6">
        <v>0</v>
      </c>
      <c r="K1385" s="6">
        <v>0</v>
      </c>
      <c r="L1385" s="6">
        <v>0</v>
      </c>
      <c r="M1385" s="6">
        <v>0</v>
      </c>
      <c r="N1385" s="6">
        <v>0</v>
      </c>
      <c r="O1385" s="4">
        <f t="shared" si="469"/>
        <v>186860.34</v>
      </c>
      <c r="P1385" s="5">
        <f>SUMIFS('Desenvolvimento diário'!$H:$H,'Desenvolvimento diário'!$Q:$Q,$B1385,'Desenvolvimento diário'!$P:$P,$F1385,'Desenvolvimento diário'!$R:$R,"Sim")</f>
        <v>0</v>
      </c>
      <c r="Q1385" s="5">
        <f>SUMIFS('Desenvolvimento diário'!$H:$H,'Desenvolvimento diário'!$Q:$Q,$B1385,'Desenvolvimento diário'!$P:$P,$F1385,'Desenvolvimento diário'!$R:$R,"Não")</f>
        <v>186860.34</v>
      </c>
      <c r="R1385" s="4">
        <f t="shared" si="470"/>
        <v>186860.34</v>
      </c>
      <c r="S1385" s="4">
        <f t="shared" si="472"/>
        <v>0</v>
      </c>
      <c r="T1385" s="12">
        <f t="shared" si="462"/>
        <v>1</v>
      </c>
      <c r="Y1385" s="2"/>
      <c r="Z1385" s="2"/>
      <c r="AA1385" s="2"/>
      <c r="AB1385" s="2"/>
      <c r="AC1385" s="2"/>
    </row>
    <row r="1386" spans="1:29" ht="10.5" hidden="1">
      <c r="A1386" s="2">
        <f t="shared" si="471"/>
        <v>40</v>
      </c>
      <c r="B1386" s="2" t="str">
        <f>VLOOKUP($A1386,Controle!$B$4:$F$68,2,FALSE)</f>
        <v>Bambuí 1.1</v>
      </c>
      <c r="C1386" s="2" t="str">
        <f>VLOOKUP($A1386,Controle!$B$4:$F$68,3,FALSE)</f>
        <v>MORI MINAS IV</v>
      </c>
      <c r="D1386" s="2" t="str">
        <f>VLOOKUP($A1386,Controle!$B$4:$F$68,4,FALSE)</f>
        <v>NewCo IV</v>
      </c>
      <c r="E1386" s="2" t="str">
        <f>VLOOKUP($A1386,Controle!$B$4:$F$68,5,FALSE)</f>
        <v>Weg</v>
      </c>
      <c r="F1386" s="3" t="str">
        <f t="shared" si="468"/>
        <v>Serviços Auxiliares - Terraplanagem</v>
      </c>
      <c r="G1386" s="2" t="str">
        <f>VLOOKUP($A1386,Controle!$B$4:$G$68,6,FALSE)</f>
        <v>Solatio</v>
      </c>
      <c r="H1386" s="6" t="s">
        <v>154</v>
      </c>
      <c r="I1386" s="6">
        <f>550111.97+(0.0055)</f>
        <v>550111.97549999994</v>
      </c>
      <c r="J1386" s="6">
        <v>0</v>
      </c>
      <c r="K1386" s="6">
        <v>0</v>
      </c>
      <c r="L1386" s="6">
        <v>0</v>
      </c>
      <c r="M1386" s="6">
        <v>0</v>
      </c>
      <c r="N1386" s="6">
        <v>0</v>
      </c>
      <c r="O1386" s="4">
        <f t="shared" si="469"/>
        <v>550111.97549999994</v>
      </c>
      <c r="P1386" s="5">
        <f>SUMIFS('Desenvolvimento diário'!$H:$H,'Desenvolvimento diário'!$Q:$Q,$B1386,'Desenvolvimento diário'!$P:$P,$F1386,'Desenvolvimento diário'!$R:$R,"Sim")</f>
        <v>0</v>
      </c>
      <c r="Q1386" s="5">
        <f>SUMIFS('Desenvolvimento diário'!$H:$H,'Desenvolvimento diário'!$Q:$Q,$B1386,'Desenvolvimento diário'!$P:$P,$F1386,'Desenvolvimento diário'!$R:$R,"Não")</f>
        <v>550111.97549999994</v>
      </c>
      <c r="R1386" s="4">
        <f t="shared" si="470"/>
        <v>550111.97549999994</v>
      </c>
      <c r="S1386" s="137">
        <f t="shared" si="472"/>
        <v>0</v>
      </c>
      <c r="T1386" s="12">
        <f t="shared" si="462"/>
        <v>1</v>
      </c>
      <c r="Y1386" s="2"/>
      <c r="Z1386" s="2"/>
      <c r="AA1386" s="2"/>
      <c r="AB1386" s="2"/>
      <c r="AC1386" s="2"/>
    </row>
    <row r="1387" spans="1:29" ht="10.5" hidden="1">
      <c r="A1387" s="2">
        <f t="shared" si="471"/>
        <v>40</v>
      </c>
      <c r="B1387" s="2" t="str">
        <f>VLOOKUP($A1387,Controle!$B$4:$F$68,2,FALSE)</f>
        <v>Bambuí 1.1</v>
      </c>
      <c r="C1387" s="2" t="str">
        <f>VLOOKUP($A1387,Controle!$B$4:$F$68,3,FALSE)</f>
        <v>MORI MINAS IV</v>
      </c>
      <c r="D1387" s="2" t="str">
        <f>VLOOKUP($A1387,Controle!$B$4:$F$68,4,FALSE)</f>
        <v>NewCo IV</v>
      </c>
      <c r="E1387" s="2" t="str">
        <f>VLOOKUP($A1387,Controle!$B$4:$F$68,5,FALSE)</f>
        <v>Weg</v>
      </c>
      <c r="F1387" s="3" t="str">
        <f t="shared" si="468"/>
        <v>Serviços Auxiliares - Supressão Vegetal</v>
      </c>
      <c r="G1387" s="2" t="str">
        <f>VLOOKUP($A1387,Controle!$B$4:$G$68,6,FALSE)</f>
        <v>Solatio</v>
      </c>
      <c r="H1387" s="6" t="s">
        <v>141</v>
      </c>
      <c r="I1387" s="6">
        <v>38000</v>
      </c>
      <c r="J1387" s="6">
        <v>0</v>
      </c>
      <c r="K1387" s="6">
        <v>0</v>
      </c>
      <c r="L1387" s="6">
        <v>0</v>
      </c>
      <c r="M1387" s="6">
        <v>0</v>
      </c>
      <c r="N1387" s="6">
        <v>0</v>
      </c>
      <c r="O1387" s="4">
        <f t="shared" si="469"/>
        <v>38000</v>
      </c>
      <c r="P1387" s="5">
        <f>SUMIFS('Desenvolvimento diário'!$H:$H,'Desenvolvimento diário'!$Q:$Q,$B1387,'Desenvolvimento diário'!$P:$P,$F1387,'Desenvolvimento diário'!$R:$R,"Sim")</f>
        <v>0</v>
      </c>
      <c r="Q1387" s="5">
        <f>SUMIFS('Desenvolvimento diário'!$H:$H,'Desenvolvimento diário'!$Q:$Q,$B1387,'Desenvolvimento diário'!$P:$P,$F1387,'Desenvolvimento diário'!$R:$R,"Não")</f>
        <v>38000</v>
      </c>
      <c r="R1387" s="4">
        <f t="shared" si="470"/>
        <v>38000</v>
      </c>
      <c r="S1387" s="4">
        <f t="shared" si="472"/>
        <v>0</v>
      </c>
      <c r="T1387" s="12">
        <f t="shared" si="462"/>
        <v>1</v>
      </c>
      <c r="Y1387" s="2"/>
      <c r="Z1387" s="2"/>
      <c r="AA1387" s="2"/>
      <c r="AB1387" s="2"/>
      <c r="AC1387" s="2"/>
    </row>
    <row r="1388" spans="1:29" ht="10.5" hidden="1">
      <c r="A1388" s="2">
        <f t="shared" si="471"/>
        <v>40</v>
      </c>
      <c r="B1388" s="2" t="str">
        <f>VLOOKUP($A1388,Controle!$B$4:$F$68,2,FALSE)</f>
        <v>Bambuí 1.1</v>
      </c>
      <c r="C1388" s="2" t="str">
        <f>VLOOKUP($A1388,Controle!$B$4:$F$68,3,FALSE)</f>
        <v>MORI MINAS IV</v>
      </c>
      <c r="D1388" s="2" t="str">
        <f>VLOOKUP($A1388,Controle!$B$4:$F$68,4,FALSE)</f>
        <v>NewCo IV</v>
      </c>
      <c r="E1388" s="2" t="str">
        <f>VLOOKUP($A1388,Controle!$B$4:$F$68,5,FALSE)</f>
        <v>Weg</v>
      </c>
      <c r="F1388" s="3" t="str">
        <f t="shared" si="468"/>
        <v>RDR-Rede de Distribuição Rural</v>
      </c>
      <c r="G1388" s="2" t="str">
        <f>VLOOKUP($A1388,Controle!$B$4:$G$68,6,FALSE)</f>
        <v>Solatio</v>
      </c>
      <c r="H1388" s="6">
        <v>0</v>
      </c>
      <c r="I1388" s="6">
        <v>0</v>
      </c>
      <c r="J1388" s="6">
        <v>0</v>
      </c>
      <c r="K1388" s="6">
        <v>0</v>
      </c>
      <c r="L1388" s="6">
        <v>0</v>
      </c>
      <c r="M1388" s="6">
        <v>0</v>
      </c>
      <c r="N1388" s="6">
        <v>0</v>
      </c>
      <c r="O1388" s="4">
        <f t="shared" si="469"/>
        <v>0</v>
      </c>
      <c r="P1388" s="5">
        <f>SUMIFS('Desenvolvimento diário'!$H:$H,'Desenvolvimento diário'!$Q:$Q,$B1388,'Desenvolvimento diário'!$P:$P,$F1388,'Desenvolvimento diário'!$R:$R,"Sim")</f>
        <v>0</v>
      </c>
      <c r="Q1388" s="5">
        <f>SUMIFS('Desenvolvimento diário'!$H:$H,'Desenvolvimento diário'!$Q:$Q,$B1388,'Desenvolvimento diário'!$P:$P,$F1388,'Desenvolvimento diário'!$R:$R,"Não")</f>
        <v>0</v>
      </c>
      <c r="R1388" s="4">
        <f t="shared" si="470"/>
        <v>0</v>
      </c>
      <c r="S1388" s="4">
        <f t="shared" si="472"/>
        <v>0</v>
      </c>
      <c r="T1388" s="12">
        <f t="shared" si="462"/>
        <v>0</v>
      </c>
      <c r="Y1388" s="2"/>
      <c r="Z1388" s="2"/>
      <c r="AA1388" s="2"/>
      <c r="AB1388" s="2"/>
      <c r="AC1388" s="2"/>
    </row>
    <row r="1389" spans="1:29" ht="10.5" hidden="1">
      <c r="A1389" s="2">
        <f t="shared" si="471"/>
        <v>40</v>
      </c>
      <c r="B1389" s="2" t="str">
        <f>VLOOKUP($A1389,Controle!$B$4:$F$68,2,FALSE)</f>
        <v>Bambuí 1.1</v>
      </c>
      <c r="C1389" s="2" t="str">
        <f>VLOOKUP($A1389,Controle!$B$4:$F$68,3,FALSE)</f>
        <v>MORI MINAS IV</v>
      </c>
      <c r="D1389" s="2" t="str">
        <f>VLOOKUP($A1389,Controle!$B$4:$F$68,4,FALSE)</f>
        <v>NewCo IV</v>
      </c>
      <c r="E1389" s="2" t="str">
        <f>VLOOKUP($A1389,Controle!$B$4:$F$68,5,FALSE)</f>
        <v>Weg</v>
      </c>
      <c r="F1389" s="3" t="str">
        <f t="shared" si="468"/>
        <v>Escopo COMERC</v>
      </c>
      <c r="G1389" s="2" t="str">
        <f>VLOOKUP($A1389,Controle!$B$4:$G$68,6,FALSE)</f>
        <v>Solatio</v>
      </c>
      <c r="H1389" s="6">
        <v>0</v>
      </c>
      <c r="I1389" s="6">
        <v>44102.270000000004</v>
      </c>
      <c r="J1389" s="29">
        <v>13000</v>
      </c>
      <c r="K1389" s="29"/>
      <c r="L1389" s="6">
        <v>0</v>
      </c>
      <c r="M1389" s="6">
        <v>0</v>
      </c>
      <c r="N1389" s="6">
        <v>0</v>
      </c>
      <c r="O1389" s="4">
        <f t="shared" si="469"/>
        <v>57102.270000000004</v>
      </c>
      <c r="P1389" s="5">
        <f>SUMIFS('Desenvolvimento diário'!$H:$H,'Desenvolvimento diário'!$Q:$Q,$B1389,'Desenvolvimento diário'!$P:$P,$F1389,'Desenvolvimento diário'!$R:$R,"Sim")</f>
        <v>0</v>
      </c>
      <c r="Q1389" s="5">
        <f>SUMIFS('Desenvolvimento diário'!$H:$H,'Desenvolvimento diário'!$Q:$Q,$B1389,'Desenvolvimento diário'!$P:$P,$F1389,'Desenvolvimento diário'!$R:$R,"Não")</f>
        <v>44102.270000000004</v>
      </c>
      <c r="R1389" s="4">
        <f t="shared" si="470"/>
        <v>44102.270000000004</v>
      </c>
      <c r="S1389" s="1010">
        <f t="shared" si="472"/>
        <v>13000</v>
      </c>
      <c r="T1389" s="12">
        <f t="shared" si="462"/>
        <v>0.77233829758431671</v>
      </c>
      <c r="U1389" s="1011" t="s">
        <v>166</v>
      </c>
      <c r="V1389" s="1011" t="s">
        <v>167</v>
      </c>
      <c r="Y1389" s="2"/>
      <c r="Z1389" s="2"/>
      <c r="AA1389" s="2"/>
      <c r="AB1389" s="2"/>
      <c r="AC1389" s="2"/>
    </row>
    <row r="1390" spans="1:29" ht="10.5" hidden="1">
      <c r="A1390" s="2">
        <f t="shared" si="471"/>
        <v>40</v>
      </c>
      <c r="B1390" s="2" t="str">
        <f>VLOOKUP($A1390,Controle!$B$4:$F$68,2,FALSE)</f>
        <v>Bambuí 1.1</v>
      </c>
      <c r="C1390" s="2" t="str">
        <f>VLOOKUP($A1390,Controle!$B$4:$F$68,3,FALSE)</f>
        <v>MORI MINAS IV</v>
      </c>
      <c r="D1390" s="2" t="str">
        <f>VLOOKUP($A1390,Controle!$B$4:$F$68,4,FALSE)</f>
        <v>NewCo IV</v>
      </c>
      <c r="E1390" s="2" t="str">
        <f>VLOOKUP($A1390,Controle!$B$4:$F$68,5,FALSE)</f>
        <v>Weg</v>
      </c>
      <c r="F1390" s="3" t="str">
        <f t="shared" si="468"/>
        <v>Escopo COMERC - Segurança</v>
      </c>
      <c r="G1390" s="2" t="str">
        <f>VLOOKUP($A1390,Controle!$B$4:$G$68,6,FALSE)</f>
        <v>Solatio</v>
      </c>
      <c r="H1390" s="6">
        <v>0</v>
      </c>
      <c r="I1390" s="6">
        <f t="shared" ref="I1389:I1390" si="473">R1390</f>
        <v>104737.11</v>
      </c>
      <c r="J1390" s="6">
        <v>0</v>
      </c>
      <c r="K1390" s="6">
        <v>0</v>
      </c>
      <c r="L1390" s="6">
        <v>0</v>
      </c>
      <c r="M1390" s="6">
        <v>0</v>
      </c>
      <c r="N1390" s="6">
        <v>0</v>
      </c>
      <c r="O1390" s="4">
        <f t="shared" si="469"/>
        <v>104737.11</v>
      </c>
      <c r="P1390" s="5">
        <f>SUMIFS('Desenvolvimento diário'!$H:$H,'Desenvolvimento diário'!$Q:$Q,$B1390,'Desenvolvimento diário'!$P:$P,$F1390,'Desenvolvimento diário'!$R:$R,"Sim")</f>
        <v>0</v>
      </c>
      <c r="Q1390" s="5">
        <f>SUMIFS('Desenvolvimento diário'!$H:$H,'Desenvolvimento diário'!$Q:$Q,$B1390,'Desenvolvimento diário'!$P:$P,$F1390,'Desenvolvimento diário'!$R:$R,"Não")</f>
        <v>104737.11</v>
      </c>
      <c r="R1390" s="4">
        <f t="shared" si="470"/>
        <v>104737.11</v>
      </c>
      <c r="S1390" s="4">
        <f t="shared" si="472"/>
        <v>0</v>
      </c>
      <c r="T1390" s="12">
        <f t="shared" si="462"/>
        <v>1</v>
      </c>
      <c r="Y1390" s="2"/>
      <c r="Z1390" s="2"/>
      <c r="AA1390" s="2"/>
      <c r="AB1390" s="2"/>
      <c r="AC1390" s="2"/>
    </row>
    <row r="1391" spans="1:29" ht="10.5" hidden="1">
      <c r="A1391" s="2">
        <f t="shared" si="471"/>
        <v>40</v>
      </c>
      <c r="B1391" s="2" t="str">
        <f>VLOOKUP($A1391,Controle!$B$4:$F$68,2,FALSE)</f>
        <v>Bambuí 1.1</v>
      </c>
      <c r="C1391" s="2" t="str">
        <f>VLOOKUP($A1391,Controle!$B$4:$F$68,3,FALSE)</f>
        <v>MORI MINAS IV</v>
      </c>
      <c r="D1391" s="2" t="str">
        <f>VLOOKUP($A1391,Controle!$B$4:$F$68,4,FALSE)</f>
        <v>NewCo IV</v>
      </c>
      <c r="E1391" s="2" t="str">
        <f>VLOOKUP($A1391,Controle!$B$4:$F$68,5,FALSE)</f>
        <v>Weg</v>
      </c>
      <c r="F1391" s="3" t="str">
        <f t="shared" si="468"/>
        <v>Conexão MT - Obras Transferencia</v>
      </c>
      <c r="G1391" s="2" t="str">
        <f>VLOOKUP($A1391,Controle!$B$4:$G$68,6,FALSE)</f>
        <v>Solatio</v>
      </c>
      <c r="H1391" s="6">
        <v>0</v>
      </c>
      <c r="I1391" s="6">
        <v>0</v>
      </c>
      <c r="J1391" s="6">
        <v>0</v>
      </c>
      <c r="K1391" s="6">
        <v>0</v>
      </c>
      <c r="L1391" s="6">
        <v>0</v>
      </c>
      <c r="M1391" s="6">
        <v>0</v>
      </c>
      <c r="N1391" s="6">
        <v>0</v>
      </c>
      <c r="O1391" s="4">
        <f t="shared" si="469"/>
        <v>0</v>
      </c>
      <c r="P1391" s="5">
        <f>SUMIFS('Desenvolvimento diário'!$H:$H,'Desenvolvimento diário'!$Q:$Q,$B1391,'Desenvolvimento diário'!$P:$P,$F1391,'Desenvolvimento diário'!$R:$R,"Sim")</f>
        <v>0</v>
      </c>
      <c r="Q1391" s="5">
        <f>SUMIFS('Desenvolvimento diário'!$H:$H,'Desenvolvimento diário'!$Q:$Q,$B1391,'Desenvolvimento diário'!$P:$P,$F1391,'Desenvolvimento diário'!$R:$R,"Não")</f>
        <v>0</v>
      </c>
      <c r="R1391" s="4">
        <f t="shared" si="470"/>
        <v>0</v>
      </c>
      <c r="S1391" s="4">
        <f t="shared" si="472"/>
        <v>0</v>
      </c>
      <c r="T1391" s="12">
        <f t="shared" si="462"/>
        <v>0</v>
      </c>
      <c r="Y1391" s="2"/>
      <c r="Z1391" s="2"/>
      <c r="AA1391" s="2"/>
      <c r="AB1391" s="2"/>
      <c r="AC1391" s="2"/>
    </row>
    <row r="1392" spans="1:29" ht="10.5" hidden="1">
      <c r="A1392" s="2">
        <f t="shared" si="471"/>
        <v>40</v>
      </c>
      <c r="B1392" s="2" t="str">
        <f>VLOOKUP($A1392,Controle!$B$4:$F$68,2,FALSE)</f>
        <v>Bambuí 1.1</v>
      </c>
      <c r="C1392" s="2" t="str">
        <f>VLOOKUP($A1392,Controle!$B$4:$F$68,3,FALSE)</f>
        <v>MORI MINAS IV</v>
      </c>
      <c r="D1392" s="2" t="str">
        <f>VLOOKUP($A1392,Controle!$B$4:$F$68,4,FALSE)</f>
        <v>NewCo IV</v>
      </c>
      <c r="E1392" s="2" t="str">
        <f>VLOOKUP($A1392,Controle!$B$4:$F$68,5,FALSE)</f>
        <v>Weg</v>
      </c>
      <c r="F1392" s="3" t="str">
        <f t="shared" si="468"/>
        <v>Bases de Contaniers</v>
      </c>
      <c r="G1392" s="2" t="str">
        <f>VLOOKUP($A1392,Controle!$B$4:$G$68,6,FALSE)</f>
        <v>Solatio</v>
      </c>
      <c r="H1392" s="6" t="s">
        <v>208</v>
      </c>
      <c r="I1392" s="6">
        <v>114900</v>
      </c>
      <c r="J1392" s="6">
        <v>0</v>
      </c>
      <c r="K1392" s="6">
        <v>0</v>
      </c>
      <c r="L1392" s="6">
        <v>0</v>
      </c>
      <c r="M1392" s="6">
        <v>0</v>
      </c>
      <c r="N1392" s="6">
        <v>0</v>
      </c>
      <c r="O1392" s="4">
        <f t="shared" si="469"/>
        <v>114900</v>
      </c>
      <c r="P1392" s="5">
        <f>SUMIFS('Desenvolvimento diário'!$H:$H,'Desenvolvimento diário'!$Q:$Q,$B1392,'Desenvolvimento diário'!$P:$P,$F1392,'Desenvolvimento diário'!$R:$R,"Sim")</f>
        <v>0</v>
      </c>
      <c r="Q1392" s="5">
        <f>SUMIFS('Desenvolvimento diário'!$H:$H,'Desenvolvimento diário'!$Q:$Q,$B1392,'Desenvolvimento diário'!$P:$P,$F1392,'Desenvolvimento diário'!$R:$R,"Não")</f>
        <v>114900</v>
      </c>
      <c r="R1392" s="4">
        <f t="shared" si="470"/>
        <v>114900</v>
      </c>
      <c r="S1392" s="4">
        <f t="shared" si="472"/>
        <v>0</v>
      </c>
      <c r="T1392" s="12">
        <f t="shared" si="462"/>
        <v>1</v>
      </c>
      <c r="Y1392" s="2"/>
      <c r="Z1392" s="2"/>
      <c r="AA1392" s="2"/>
      <c r="AB1392" s="2"/>
      <c r="AC1392" s="2"/>
    </row>
    <row r="1393" spans="1:29" ht="10.5" hidden="1">
      <c r="A1393" s="2">
        <f t="shared" si="471"/>
        <v>40</v>
      </c>
      <c r="B1393" s="2" t="str">
        <f>VLOOKUP($A1393,Controle!$B$4:$F$68,2,FALSE)</f>
        <v>Bambuí 1.1</v>
      </c>
      <c r="C1393" s="2" t="str">
        <f>VLOOKUP($A1393,Controle!$B$4:$F$68,3,FALSE)</f>
        <v>MORI MINAS IV</v>
      </c>
      <c r="D1393" s="2" t="str">
        <f>VLOOKUP($A1393,Controle!$B$4:$F$68,4,FALSE)</f>
        <v>NewCo IV</v>
      </c>
      <c r="E1393" s="2" t="str">
        <f>VLOOKUP($A1393,Controle!$B$4:$F$68,5,FALSE)</f>
        <v>Weg</v>
      </c>
      <c r="F1393" s="3" t="str">
        <f t="shared" si="468"/>
        <v>Construção - Serviços de Construção - Ase Engenharia</v>
      </c>
      <c r="G1393" s="2" t="str">
        <f>VLOOKUP($A1393,Controle!$B$4:$G$68,6,FALSE)</f>
        <v>Solatio</v>
      </c>
      <c r="H1393" s="6">
        <v>0</v>
      </c>
      <c r="I1393" s="6">
        <v>0</v>
      </c>
      <c r="J1393" s="6">
        <v>0</v>
      </c>
      <c r="K1393" s="6">
        <v>0</v>
      </c>
      <c r="L1393" s="6">
        <v>0</v>
      </c>
      <c r="M1393" s="6">
        <v>0</v>
      </c>
      <c r="N1393" s="6">
        <v>0</v>
      </c>
      <c r="O1393" s="4">
        <f t="shared" si="469"/>
        <v>0</v>
      </c>
      <c r="P1393" s="5">
        <f>SUMIFS('Desenvolvimento diário'!$H:$H,'Desenvolvimento diário'!$Q:$Q,$B1393,'Desenvolvimento diário'!$P:$P,$F1393,'Desenvolvimento diário'!$R:$R,"Sim")</f>
        <v>0</v>
      </c>
      <c r="Q1393" s="5">
        <f>SUMIFS('Desenvolvimento diário'!$H:$H,'Desenvolvimento diário'!$Q:$Q,$B1393,'Desenvolvimento diário'!$P:$P,$F1393,'Desenvolvimento diário'!$R:$R,"Não")</f>
        <v>0</v>
      </c>
      <c r="R1393" s="4">
        <f t="shared" si="470"/>
        <v>0</v>
      </c>
      <c r="S1393" s="4">
        <f t="shared" si="472"/>
        <v>0</v>
      </c>
      <c r="T1393" s="12">
        <f t="shared" si="462"/>
        <v>0</v>
      </c>
      <c r="Y1393" s="2"/>
      <c r="Z1393" s="2"/>
      <c r="AA1393" s="2"/>
      <c r="AB1393" s="2"/>
      <c r="AC1393" s="2"/>
    </row>
    <row r="1394" spans="1:29" ht="10.5" hidden="1">
      <c r="A1394" s="2">
        <f t="shared" si="471"/>
        <v>40</v>
      </c>
      <c r="B1394" s="2" t="str">
        <f>VLOOKUP($A1394,Controle!$B$4:$F$68,2,FALSE)</f>
        <v>Bambuí 1.1</v>
      </c>
      <c r="C1394" s="2" t="str">
        <f>VLOOKUP($A1394,Controle!$B$4:$F$68,3,FALSE)</f>
        <v>MORI MINAS IV</v>
      </c>
      <c r="D1394" s="2" t="str">
        <f>VLOOKUP($A1394,Controle!$B$4:$F$68,4,FALSE)</f>
        <v>NewCo IV</v>
      </c>
      <c r="E1394" s="2" t="str">
        <f>VLOOKUP($A1394,Controle!$B$4:$F$68,5,FALSE)</f>
        <v>Weg</v>
      </c>
      <c r="F1394" s="3" t="str">
        <f t="shared" si="468"/>
        <v>Full EPC - Contrato Sobressalentes</v>
      </c>
      <c r="G1394" s="2" t="str">
        <f>VLOOKUP($A1394,Controle!$B$4:$G$68,6,FALSE)</f>
        <v>Solatio</v>
      </c>
      <c r="H1394" s="6" t="s">
        <v>21</v>
      </c>
      <c r="I1394" s="6">
        <v>226979.96</v>
      </c>
      <c r="J1394" s="6">
        <v>0</v>
      </c>
      <c r="K1394" s="6">
        <v>0</v>
      </c>
      <c r="L1394" s="6">
        <v>0</v>
      </c>
      <c r="M1394" s="6">
        <v>0</v>
      </c>
      <c r="N1394" s="6">
        <v>0</v>
      </c>
      <c r="O1394" s="4">
        <f t="shared" si="469"/>
        <v>226979.96</v>
      </c>
      <c r="P1394" s="5">
        <f>SUMIFS('Desenvolvimento diário'!$H:$H,'Desenvolvimento diário'!$Q:$Q,$B1394,'Desenvolvimento diário'!$P:$P,$F1394,'Desenvolvimento diário'!$R:$R,"Sim")</f>
        <v>0</v>
      </c>
      <c r="Q1394" s="5">
        <f>SUMIFS('Desenvolvimento diário'!$H:$H,'Desenvolvimento diário'!$Q:$Q,$B1394,'Desenvolvimento diário'!$P:$P,$F1394,'Desenvolvimento diário'!$R:$R,"Não")</f>
        <v>226979.96</v>
      </c>
      <c r="R1394" s="4">
        <f t="shared" si="470"/>
        <v>226979.96</v>
      </c>
      <c r="S1394" s="4">
        <f t="shared" si="472"/>
        <v>0</v>
      </c>
      <c r="T1394" s="12">
        <f t="shared" si="462"/>
        <v>1</v>
      </c>
      <c r="Y1394" s="2"/>
      <c r="Z1394" s="2"/>
      <c r="AA1394" s="2"/>
      <c r="AB1394" s="2"/>
      <c r="AC1394" s="2"/>
    </row>
    <row r="1395" spans="1:29" ht="10.5" hidden="1">
      <c r="A1395" s="2">
        <f t="shared" si="471"/>
        <v>40</v>
      </c>
      <c r="B1395" s="2" t="str">
        <f>VLOOKUP($A1395,Controle!$B$4:$F$68,2,FALSE)</f>
        <v>Bambuí 1.1</v>
      </c>
      <c r="C1395" s="2" t="str">
        <f>VLOOKUP($A1395,Controle!$B$4:$F$68,3,FALSE)</f>
        <v>MORI MINAS IV</v>
      </c>
      <c r="D1395" s="2" t="str">
        <f>VLOOKUP($A1395,Controle!$B$4:$F$68,4,FALSE)</f>
        <v>NewCo IV</v>
      </c>
      <c r="E1395" s="2" t="str">
        <f>VLOOKUP($A1395,Controle!$B$4:$F$68,5,FALSE)</f>
        <v>Weg</v>
      </c>
      <c r="F1395" s="3" t="str">
        <f t="shared" si="468"/>
        <v>Construção - Serviços de Construção - NOVA MORADA</v>
      </c>
      <c r="G1395" s="2" t="str">
        <f>VLOOKUP($A1395,Controle!$B$4:$G$68,6,FALSE)</f>
        <v>Solatio</v>
      </c>
      <c r="H1395" s="6">
        <v>0</v>
      </c>
      <c r="I1395" s="6">
        <v>0</v>
      </c>
      <c r="J1395" s="6">
        <v>0</v>
      </c>
      <c r="K1395" s="6">
        <v>0</v>
      </c>
      <c r="L1395" s="6">
        <v>0</v>
      </c>
      <c r="M1395" s="6">
        <v>0</v>
      </c>
      <c r="N1395" s="6">
        <v>0</v>
      </c>
      <c r="O1395" s="4">
        <f t="shared" si="469"/>
        <v>0</v>
      </c>
      <c r="P1395" s="5">
        <f>SUMIFS('Desenvolvimento diário'!$H:$H,'Desenvolvimento diário'!$Q:$Q,$B1395,'Desenvolvimento diário'!$P:$P,$F1395,'Desenvolvimento diário'!$R:$R,"Sim")</f>
        <v>0</v>
      </c>
      <c r="Q1395" s="5">
        <f>SUMIFS('Desenvolvimento diário'!$H:$H,'Desenvolvimento diário'!$Q:$Q,$B1395,'Desenvolvimento diário'!$P:$P,$F1395,'Desenvolvimento diário'!$R:$R,"Não")</f>
        <v>0</v>
      </c>
      <c r="R1395" s="4">
        <f t="shared" si="470"/>
        <v>0</v>
      </c>
      <c r="S1395" s="4">
        <f t="shared" si="472"/>
        <v>0</v>
      </c>
      <c r="T1395" s="12">
        <f t="shared" si="462"/>
        <v>0</v>
      </c>
      <c r="Y1395" s="2"/>
      <c r="Z1395" s="2"/>
      <c r="AA1395" s="2"/>
      <c r="AB1395" s="2"/>
      <c r="AC1395" s="2"/>
    </row>
    <row r="1396" spans="1:29" ht="10.5" hidden="1">
      <c r="A1396" s="2">
        <f t="shared" si="471"/>
        <v>40</v>
      </c>
      <c r="B1396" s="2" t="str">
        <f>VLOOKUP($A1396,Controle!$B$4:$F$68,2,FALSE)</f>
        <v>Bambuí 1.1</v>
      </c>
      <c r="C1396" s="2" t="str">
        <f>VLOOKUP($A1396,Controle!$B$4:$F$68,3,FALSE)</f>
        <v>MORI MINAS IV</v>
      </c>
      <c r="D1396" s="2" t="str">
        <f>VLOOKUP($A1396,Controle!$B$4:$F$68,4,FALSE)</f>
        <v>NewCo IV</v>
      </c>
      <c r="E1396" s="2" t="str">
        <f>VLOOKUP($A1396,Controle!$B$4:$F$68,5,FALSE)</f>
        <v>Weg</v>
      </c>
      <c r="F1396" s="3" t="str">
        <f t="shared" si="468"/>
        <v>Equipamentos Curva A -  Contrato Sobressalentes - SETTA</v>
      </c>
      <c r="G1396" s="2" t="str">
        <f>VLOOKUP($A1396,Controle!$B$4:$G$68,6,FALSE)</f>
        <v>Solatio</v>
      </c>
      <c r="H1396" s="6">
        <v>0</v>
      </c>
      <c r="I1396" s="6">
        <v>0</v>
      </c>
      <c r="J1396" s="6">
        <v>0</v>
      </c>
      <c r="K1396" s="6">
        <v>0</v>
      </c>
      <c r="L1396" s="6">
        <v>0</v>
      </c>
      <c r="M1396" s="6">
        <v>0</v>
      </c>
      <c r="N1396" s="6">
        <v>0</v>
      </c>
      <c r="O1396" s="4">
        <f t="shared" si="469"/>
        <v>0</v>
      </c>
      <c r="P1396" s="5">
        <f>SUMIFS('Desenvolvimento diário'!$H:$H,'Desenvolvimento diário'!$Q:$Q,$B1396,'Desenvolvimento diário'!$P:$P,$F1396,'Desenvolvimento diário'!$R:$R,"Sim")</f>
        <v>0</v>
      </c>
      <c r="Q1396" s="5">
        <f>SUMIFS('Desenvolvimento diário'!$H:$H,'Desenvolvimento diário'!$Q:$Q,$B1396,'Desenvolvimento diário'!$P:$P,$F1396,'Desenvolvimento diário'!$R:$R,"Não")</f>
        <v>0</v>
      </c>
      <c r="R1396" s="4">
        <f t="shared" si="470"/>
        <v>0</v>
      </c>
      <c r="S1396" s="4">
        <f t="shared" si="472"/>
        <v>0</v>
      </c>
      <c r="T1396" s="12">
        <f t="shared" si="462"/>
        <v>0</v>
      </c>
      <c r="Y1396" s="2"/>
      <c r="Z1396" s="2"/>
      <c r="AA1396" s="2"/>
      <c r="AB1396" s="2"/>
      <c r="AC1396" s="2"/>
    </row>
    <row r="1397" spans="1:29" ht="10.5" hidden="1">
      <c r="A1397" s="2">
        <f t="shared" si="471"/>
        <v>40</v>
      </c>
      <c r="B1397" s="2" t="str">
        <f>VLOOKUP($A1397,Controle!$B$4:$F$68,2,FALSE)</f>
        <v>Bambuí 1.1</v>
      </c>
      <c r="C1397" s="2" t="str">
        <f>VLOOKUP($A1397,Controle!$B$4:$F$68,3,FALSE)</f>
        <v>MORI MINAS IV</v>
      </c>
      <c r="D1397" s="2" t="str">
        <f>VLOOKUP($A1397,Controle!$B$4:$F$68,4,FALSE)</f>
        <v>NewCo IV</v>
      </c>
      <c r="E1397" s="2" t="str">
        <f>VLOOKUP($A1397,Controle!$B$4:$F$68,5,FALSE)</f>
        <v>Weg</v>
      </c>
      <c r="F1397" s="3" t="str">
        <f t="shared" si="468"/>
        <v>Equipamentos Curva A -  Contrato Sobressalentes - Arctech</v>
      </c>
      <c r="G1397" s="2" t="str">
        <f>VLOOKUP($A1397,Controle!$B$4:$G$68,6,FALSE)</f>
        <v>Solatio</v>
      </c>
      <c r="H1397" s="6">
        <v>0</v>
      </c>
      <c r="I1397" s="6">
        <v>0</v>
      </c>
      <c r="J1397" s="6">
        <v>0</v>
      </c>
      <c r="K1397" s="6">
        <v>0</v>
      </c>
      <c r="L1397" s="6">
        <v>0</v>
      </c>
      <c r="M1397" s="6">
        <v>0</v>
      </c>
      <c r="N1397" s="6">
        <v>0</v>
      </c>
      <c r="O1397" s="4">
        <f t="shared" si="469"/>
        <v>0</v>
      </c>
      <c r="P1397" s="5">
        <f>SUMIFS('Desenvolvimento diário'!$H:$H,'Desenvolvimento diário'!$Q:$Q,$B1397,'Desenvolvimento diário'!$P:$P,$F1397,'Desenvolvimento diário'!$R:$R,"Sim")</f>
        <v>0</v>
      </c>
      <c r="Q1397" s="5">
        <f>SUMIFS('Desenvolvimento diário'!$H:$H,'Desenvolvimento diário'!$Q:$Q,$B1397,'Desenvolvimento diário'!$P:$P,$F1397,'Desenvolvimento diário'!$R:$R,"Não")</f>
        <v>0</v>
      </c>
      <c r="R1397" s="4">
        <f t="shared" si="470"/>
        <v>0</v>
      </c>
      <c r="S1397" s="4">
        <f t="shared" si="472"/>
        <v>0</v>
      </c>
      <c r="T1397" s="12">
        <f t="shared" si="462"/>
        <v>0</v>
      </c>
      <c r="Y1397" s="2"/>
      <c r="Z1397" s="2"/>
      <c r="AA1397" s="2"/>
      <c r="AB1397" s="2"/>
      <c r="AC1397" s="2"/>
    </row>
    <row r="1398" spans="1:29" hidden="1">
      <c r="A1398" s="2">
        <f t="shared" si="471"/>
        <v>40</v>
      </c>
      <c r="B1398" s="94" t="str">
        <f>VLOOKUP($A1398,Controle!$B$4:$F$68,2,FALSE)</f>
        <v>Bambuí 1.1</v>
      </c>
      <c r="C1398" s="94" t="str">
        <f>VLOOKUP($A1398,Controle!$B$4:$F$68,3,FALSE)</f>
        <v>MORI MINAS IV</v>
      </c>
      <c r="D1398" s="94" t="str">
        <f>VLOOKUP($A1398,Controle!$B$4:$F$68,4,FALSE)</f>
        <v>NewCo IV</v>
      </c>
      <c r="E1398" s="94" t="str">
        <f>VLOOKUP($A1398,Controle!$B$4:$F$68,5,FALSE)</f>
        <v>Weg</v>
      </c>
      <c r="F1398" s="37" t="str">
        <f t="shared" si="468"/>
        <v>Equipamentos Curva A -  Contrato Sobressalentes - Romagnole</v>
      </c>
      <c r="G1398" s="94" t="str">
        <f>VLOOKUP($A1398,Controle!$B$4:$G$68,6,FALSE)</f>
        <v>Solatio</v>
      </c>
      <c r="H1398" s="506" t="s">
        <v>169</v>
      </c>
      <c r="I1398" s="506">
        <v>74370.210000000006</v>
      </c>
      <c r="J1398" s="506">
        <v>104053.08</v>
      </c>
      <c r="K1398" s="506">
        <v>0</v>
      </c>
      <c r="L1398" s="506">
        <v>0</v>
      </c>
      <c r="M1398" s="506">
        <v>0</v>
      </c>
      <c r="N1398" s="506">
        <v>0</v>
      </c>
      <c r="O1398" s="39">
        <f t="shared" si="469"/>
        <v>178423.29</v>
      </c>
      <c r="P1398" s="17">
        <f>SUMIFS('Desenvolvimento diário'!$H:$H,'Desenvolvimento diário'!$Q:$Q,$B1398,'Desenvolvimento diário'!$P:$P,$F1398,'Desenvolvimento diário'!$R:$R,"Sim")</f>
        <v>0</v>
      </c>
      <c r="Q1398" s="17">
        <f>SUMIFS('Desenvolvimento diário'!$H:$H,'Desenvolvimento diário'!$Q:$Q,$B1398,'Desenvolvimento diário'!$P:$P,$F1398,'Desenvolvimento diário'!$R:$R,"Não")</f>
        <v>178423.29</v>
      </c>
      <c r="R1398" s="4">
        <f t="shared" si="470"/>
        <v>178423.29</v>
      </c>
      <c r="S1398" s="4">
        <f t="shared" si="472"/>
        <v>0</v>
      </c>
      <c r="T1398" s="12">
        <f t="shared" si="462"/>
        <v>1</v>
      </c>
      <c r="Y1398" s="2"/>
      <c r="Z1398" s="2"/>
      <c r="AA1398" s="2"/>
      <c r="AB1398" s="2"/>
      <c r="AC1398" s="2"/>
    </row>
    <row r="1399" spans="1:29" hidden="1">
      <c r="A1399" s="2">
        <f t="shared" si="471"/>
        <v>40</v>
      </c>
      <c r="B1399" s="2" t="str">
        <f>VLOOKUP($A1399,Controle!$B$4:$F$68,2,FALSE)</f>
        <v>Bambuí 1.1</v>
      </c>
      <c r="C1399" s="2" t="str">
        <f>VLOOKUP($A1399,Controle!$B$4:$F$68,3,FALSE)</f>
        <v>MORI MINAS IV</v>
      </c>
      <c r="D1399" s="2" t="str">
        <f>VLOOKUP($A1399,Controle!$B$4:$F$68,4,FALSE)</f>
        <v>NewCo IV</v>
      </c>
      <c r="E1399" s="2" t="str">
        <f>VLOOKUP($A1399,Controle!$B$4:$F$68,5,FALSE)</f>
        <v>Weg</v>
      </c>
      <c r="F1399" s="3" t="str">
        <f t="shared" si="468"/>
        <v>GOS FLORESTAL - (PRAD - Recuperação Area Ambiental)</v>
      </c>
      <c r="G1399" s="2" t="str">
        <f>VLOOKUP($A1399,Controle!$B$4:$G$68,6,FALSE)</f>
        <v>Solatio</v>
      </c>
      <c r="H1399" s="506" t="s">
        <v>170</v>
      </c>
      <c r="I1399" s="6">
        <v>0</v>
      </c>
      <c r="J1399" s="506"/>
      <c r="K1399" s="506">
        <v>0</v>
      </c>
      <c r="L1399" s="506">
        <v>0</v>
      </c>
      <c r="M1399" s="506">
        <v>0</v>
      </c>
      <c r="N1399" s="506">
        <v>0</v>
      </c>
      <c r="O1399" s="39">
        <f t="shared" si="469"/>
        <v>0</v>
      </c>
      <c r="P1399" s="17">
        <f>SUMIFS('Desenvolvimento diário'!$H:$H,'Desenvolvimento diário'!$Q:$Q,$B1399,'Desenvolvimento diário'!$P:$P,$F1399,'Desenvolvimento diário'!$R:$R,"Sim")</f>
        <v>0</v>
      </c>
      <c r="Q1399" s="17">
        <f>SUMIFS('Desenvolvimento diário'!$H:$H,'Desenvolvimento diário'!$Q:$Q,$B1399,'Desenvolvimento diário'!$P:$P,$F1399,'Desenvolvimento diário'!$R:$R,"Não")</f>
        <v>0</v>
      </c>
      <c r="R1399" s="4">
        <f t="shared" si="470"/>
        <v>0</v>
      </c>
      <c r="S1399" s="4">
        <f t="shared" si="472"/>
        <v>0</v>
      </c>
      <c r="T1399" s="12">
        <f t="shared" ref="T1399:T1400" si="474">IFERROR(R1399/O1399,0)</f>
        <v>0</v>
      </c>
      <c r="Y1399" s="2"/>
      <c r="Z1399" s="2"/>
      <c r="AA1399" s="2"/>
      <c r="AB1399" s="2"/>
      <c r="AC1399" s="2"/>
    </row>
    <row r="1400" spans="1:29" hidden="1">
      <c r="A1400" s="2">
        <f t="shared" si="471"/>
        <v>40</v>
      </c>
      <c r="B1400" s="2" t="str">
        <f>VLOOKUP($A1400,Controle!$B$4:$F$68,2,FALSE)</f>
        <v>Bambuí 1.1</v>
      </c>
      <c r="C1400" s="2" t="str">
        <f>VLOOKUP($A1400,Controle!$B$4:$F$68,3,FALSE)</f>
        <v>MORI MINAS IV</v>
      </c>
      <c r="D1400" s="2" t="str">
        <f>VLOOKUP($A1400,Controle!$B$4:$F$68,4,FALSE)</f>
        <v>NewCo IV</v>
      </c>
      <c r="E1400" s="2" t="str">
        <f>VLOOKUP($A1400,Controle!$B$4:$F$68,5,FALSE)</f>
        <v>Weg</v>
      </c>
      <c r="F1400" s="3" t="str">
        <f t="shared" si="468"/>
        <v>Cercamento das bacias de contenção ciclo 2</v>
      </c>
      <c r="G1400" s="2" t="str">
        <f>VLOOKUP($A1400,Controle!$B$4:$G$68,6,FALSE)</f>
        <v>Solatio</v>
      </c>
      <c r="H1400" s="506" t="s">
        <v>172</v>
      </c>
      <c r="I1400" s="6"/>
      <c r="J1400" s="506"/>
      <c r="K1400" s="506">
        <v>0</v>
      </c>
      <c r="L1400" s="506">
        <v>0</v>
      </c>
      <c r="M1400" s="506">
        <v>0</v>
      </c>
      <c r="N1400" s="506">
        <v>0</v>
      </c>
      <c r="O1400" s="39">
        <f t="shared" si="469"/>
        <v>0</v>
      </c>
      <c r="P1400" s="17">
        <f>SUMIFS('Desenvolvimento diário'!$H:$H,'Desenvolvimento diário'!$Q:$Q,$B1400,'Desenvolvimento diário'!$P:$P,$F1400,'Desenvolvimento diário'!$R:$R,"Sim")</f>
        <v>0</v>
      </c>
      <c r="Q1400" s="17">
        <f>SUMIFS('Desenvolvimento diário'!$H:$H,'Desenvolvimento diário'!$Q:$Q,$B1400,'Desenvolvimento diário'!$P:$P,$F1400,'Desenvolvimento diário'!$R:$R,"Não")</f>
        <v>0</v>
      </c>
      <c r="R1400" s="4">
        <f t="shared" si="470"/>
        <v>0</v>
      </c>
      <c r="S1400" s="1030">
        <f t="shared" si="472"/>
        <v>0</v>
      </c>
      <c r="T1400" s="12">
        <f t="shared" si="474"/>
        <v>0</v>
      </c>
      <c r="U1400" s="1029" t="s">
        <v>166</v>
      </c>
      <c r="V1400" s="1029" t="s">
        <v>94</v>
      </c>
      <c r="Y1400" s="2"/>
      <c r="Z1400" s="2"/>
      <c r="AA1400" s="2"/>
      <c r="AB1400" s="2"/>
      <c r="AC1400" s="2"/>
    </row>
    <row r="1401" spans="1:29" hidden="1">
      <c r="A1401" s="8">
        <f>A1398</f>
        <v>40</v>
      </c>
      <c r="B1401" s="9" t="str">
        <f t="shared" ref="B1401" si="475">B1398</f>
        <v>Bambuí 1.1</v>
      </c>
      <c r="C1401" s="9" t="str">
        <f t="shared" ref="C1401" si="476">C1398</f>
        <v>MORI MINAS IV</v>
      </c>
      <c r="D1401" s="9" t="str">
        <f t="shared" ref="D1401" si="477">D1398</f>
        <v>NewCo IV</v>
      </c>
      <c r="E1401" s="9" t="str">
        <f t="shared" ref="E1401" si="478">E1398</f>
        <v>Weg</v>
      </c>
      <c r="F1401" s="10" t="s">
        <v>158</v>
      </c>
      <c r="G1401" s="9" t="str">
        <f>G1398</f>
        <v>Solatio</v>
      </c>
      <c r="H1401" s="9"/>
      <c r="I1401" s="9">
        <f>SUBTOTAL(9,I1367:I1400)</f>
        <v>0</v>
      </c>
      <c r="J1401" s="9">
        <f t="shared" ref="J1401:S1401" si="479">SUBTOTAL(9,J1367:J1400)</f>
        <v>0</v>
      </c>
      <c r="K1401" s="9">
        <f t="shared" si="479"/>
        <v>0</v>
      </c>
      <c r="L1401" s="9">
        <f t="shared" si="479"/>
        <v>0</v>
      </c>
      <c r="M1401" s="9">
        <f t="shared" si="479"/>
        <v>0</v>
      </c>
      <c r="N1401" s="9">
        <f t="shared" si="479"/>
        <v>0</v>
      </c>
      <c r="O1401" s="9">
        <f t="shared" si="479"/>
        <v>0</v>
      </c>
      <c r="P1401" s="9">
        <f t="shared" si="479"/>
        <v>0</v>
      </c>
      <c r="Q1401" s="9">
        <f t="shared" si="479"/>
        <v>0</v>
      </c>
      <c r="R1401" s="9">
        <f t="shared" si="479"/>
        <v>0</v>
      </c>
      <c r="S1401" s="9">
        <f t="shared" si="479"/>
        <v>0</v>
      </c>
      <c r="T1401" s="13">
        <f t="shared" si="462"/>
        <v>0</v>
      </c>
      <c r="U1401" s="11">
        <f>SUBTOTAL(9,U1367:U1400)</f>
        <v>0</v>
      </c>
      <c r="Y1401" s="2"/>
      <c r="Z1401" s="2"/>
      <c r="AA1401" s="2"/>
      <c r="AB1401" s="2"/>
      <c r="AC1401" s="2"/>
    </row>
    <row r="1402" spans="1:29" hidden="1">
      <c r="A1402" s="2">
        <f>A1367+1</f>
        <v>41</v>
      </c>
      <c r="B1402" s="2" t="str">
        <f>VLOOKUP($A1402,Controle!$B$4:$F$68,2,FALSE)</f>
        <v>Bambuí 1.2</v>
      </c>
      <c r="C1402" s="2" t="str">
        <f>VLOOKUP($A1402,Controle!$B$4:$F$68,3,FALSE)</f>
        <v>MORI MINAS V</v>
      </c>
      <c r="D1402" s="2" t="str">
        <f>VLOOKUP($A1402,Controle!$B$4:$F$68,4,FALSE)</f>
        <v>NewCo V</v>
      </c>
      <c r="E1402" s="2" t="str">
        <f>VLOOKUP($A1402,Controle!$B$4:$F$68,5,FALSE)</f>
        <v>Weg</v>
      </c>
      <c r="F1402" s="3" t="str">
        <f t="shared" ref="F1402:F1435" si="480">F1367</f>
        <v>Conexão AT - Obras</v>
      </c>
      <c r="G1402" s="2" t="str">
        <f>VLOOKUP($A1402,Controle!$B$4:$G$68,6,FALSE)</f>
        <v>Solatio</v>
      </c>
      <c r="H1402" s="6" t="s">
        <v>141</v>
      </c>
      <c r="I1402" s="31">
        <v>748000</v>
      </c>
      <c r="J1402" s="6">
        <v>0</v>
      </c>
      <c r="K1402" s="6">
        <v>0</v>
      </c>
      <c r="L1402" s="6">
        <v>0</v>
      </c>
      <c r="M1402" s="6">
        <v>0</v>
      </c>
      <c r="N1402" s="6">
        <v>0</v>
      </c>
      <c r="O1402" s="4">
        <f t="shared" ref="O1402:O1435" si="481">SUM(I1402:N1402)</f>
        <v>748000</v>
      </c>
      <c r="P1402" s="5">
        <f>SUMIFS('Desenvolvimento diário'!$H:$H,'Desenvolvimento diário'!$Q:$Q,$B1402,'Desenvolvimento diário'!$P:$P,$F1402,'Desenvolvimento diário'!$R:$R,"Sim")</f>
        <v>160328.39000000001</v>
      </c>
      <c r="Q1402" s="5">
        <f>SUMIFS('Desenvolvimento diário'!$H:$H,'Desenvolvimento diário'!$Q:$Q,$B1402,'Desenvolvimento diário'!$P:$P,$F1402,'Desenvolvimento diário'!$R:$R,"Não")</f>
        <v>587671.6100000001</v>
      </c>
      <c r="R1402" s="4">
        <f t="shared" ref="R1402:R1435" si="482">SUM(P1402:Q1402)</f>
        <v>748000.00000000012</v>
      </c>
      <c r="S1402" s="39">
        <f t="shared" ref="S1402:S1435" si="483">O1402-R1402</f>
        <v>0</v>
      </c>
      <c r="T1402" s="12">
        <f t="shared" si="462"/>
        <v>1.0000000000000002</v>
      </c>
      <c r="Y1402" s="2"/>
      <c r="Z1402" s="2"/>
      <c r="AA1402" s="2"/>
      <c r="AB1402" s="2"/>
      <c r="AC1402" s="2"/>
    </row>
    <row r="1403" spans="1:29" ht="10.5" hidden="1">
      <c r="A1403" s="2">
        <f t="shared" ref="A1403:A1435" si="484">A1402</f>
        <v>41</v>
      </c>
      <c r="B1403" s="2" t="str">
        <f>VLOOKUP($A1403,Controle!$B$4:$F$68,2,FALSE)</f>
        <v>Bambuí 1.2</v>
      </c>
      <c r="C1403" s="2" t="str">
        <f>VLOOKUP($A1403,Controle!$B$4:$F$68,3,FALSE)</f>
        <v>MORI MINAS V</v>
      </c>
      <c r="D1403" s="2" t="str">
        <f>VLOOKUP($A1403,Controle!$B$4:$F$68,4,FALSE)</f>
        <v>NewCo V</v>
      </c>
      <c r="E1403" s="2" t="str">
        <f>VLOOKUP($A1403,Controle!$B$4:$F$68,5,FALSE)</f>
        <v>Weg</v>
      </c>
      <c r="F1403" s="3" t="str">
        <f t="shared" si="480"/>
        <v>Conexão MT - Obras</v>
      </c>
      <c r="G1403" s="2" t="str">
        <f>VLOOKUP($A1403,Controle!$B$4:$G$68,6,FALSE)</f>
        <v>Solatio</v>
      </c>
      <c r="H1403" s="6" t="s">
        <v>141</v>
      </c>
      <c r="I1403" s="6">
        <v>752000</v>
      </c>
      <c r="J1403" s="6">
        <v>160000</v>
      </c>
      <c r="K1403" s="6">
        <v>0</v>
      </c>
      <c r="L1403" s="6">
        <v>0</v>
      </c>
      <c r="M1403" s="6">
        <v>0</v>
      </c>
      <c r="N1403" s="6">
        <v>0</v>
      </c>
      <c r="O1403" s="4">
        <f t="shared" si="481"/>
        <v>912000</v>
      </c>
      <c r="P1403" s="5">
        <f>SUMIFS('Desenvolvimento diário'!$H:$H,'Desenvolvimento diário'!$Q:$Q,$B1403,'Desenvolvimento diário'!$P:$P,$F1403,'Desenvolvimento diário'!$R:$R,"Sim")</f>
        <v>144208.44</v>
      </c>
      <c r="Q1403" s="5">
        <f>SUMIFS('Desenvolvimento diário'!$H:$H,'Desenvolvimento diário'!$Q:$Q,$B1403,'Desenvolvimento diário'!$P:$P,$F1403,'Desenvolvimento diário'!$R:$R,"Não")</f>
        <v>767791.56</v>
      </c>
      <c r="R1403" s="4">
        <f t="shared" si="482"/>
        <v>912000</v>
      </c>
      <c r="S1403" s="4">
        <f t="shared" si="483"/>
        <v>0</v>
      </c>
      <c r="T1403" s="12">
        <f t="shared" si="462"/>
        <v>1</v>
      </c>
      <c r="Y1403" s="2"/>
      <c r="Z1403" s="2"/>
      <c r="AA1403" s="2"/>
      <c r="AB1403" s="2"/>
      <c r="AC1403" s="2"/>
    </row>
    <row r="1404" spans="1:29" ht="10.5" hidden="1">
      <c r="A1404" s="2">
        <f t="shared" si="484"/>
        <v>41</v>
      </c>
      <c r="B1404" s="2" t="str">
        <f>VLOOKUP($A1404,Controle!$B$4:$F$68,2,FALSE)</f>
        <v>Bambuí 1.2</v>
      </c>
      <c r="C1404" s="2" t="str">
        <f>VLOOKUP($A1404,Controle!$B$4:$F$68,3,FALSE)</f>
        <v>MORI MINAS V</v>
      </c>
      <c r="D1404" s="2" t="str">
        <f>VLOOKUP($A1404,Controle!$B$4:$F$68,4,FALSE)</f>
        <v>NewCo V</v>
      </c>
      <c r="E1404" s="2" t="str">
        <f>VLOOKUP($A1404,Controle!$B$4:$F$68,5,FALSE)</f>
        <v>Weg</v>
      </c>
      <c r="F1404" s="3" t="str">
        <f t="shared" si="480"/>
        <v>Construção - Serviços de Construção</v>
      </c>
      <c r="G1404" s="2" t="str">
        <f>VLOOKUP($A1404,Controle!$B$4:$G$68,6,FALSE)</f>
        <v>Solatio</v>
      </c>
      <c r="H1404" s="6">
        <v>0</v>
      </c>
      <c r="I1404" s="6">
        <v>0</v>
      </c>
      <c r="J1404" s="6">
        <v>0</v>
      </c>
      <c r="K1404" s="6">
        <v>0</v>
      </c>
      <c r="L1404" s="6">
        <v>0</v>
      </c>
      <c r="M1404" s="6">
        <v>0</v>
      </c>
      <c r="N1404" s="6">
        <v>0</v>
      </c>
      <c r="O1404" s="4">
        <f t="shared" si="481"/>
        <v>0</v>
      </c>
      <c r="P1404" s="5">
        <f>SUMIFS('Desenvolvimento diário'!$H:$H,'Desenvolvimento diário'!$Q:$Q,$B1404,'Desenvolvimento diário'!$P:$P,$F1404,'Desenvolvimento diário'!$R:$R,"Sim")</f>
        <v>0</v>
      </c>
      <c r="Q1404" s="5">
        <f>SUMIFS('Desenvolvimento diário'!$H:$H,'Desenvolvimento diário'!$Q:$Q,$B1404,'Desenvolvimento diário'!$P:$P,$F1404,'Desenvolvimento diário'!$R:$R,"Não")</f>
        <v>0</v>
      </c>
      <c r="R1404" s="4">
        <f t="shared" si="482"/>
        <v>0</v>
      </c>
      <c r="S1404" s="4">
        <f t="shared" si="483"/>
        <v>0</v>
      </c>
      <c r="T1404" s="12">
        <f t="shared" si="462"/>
        <v>0</v>
      </c>
      <c r="Y1404" s="2"/>
      <c r="Z1404" s="2"/>
      <c r="AA1404" s="2"/>
      <c r="AB1404" s="2"/>
      <c r="AC1404" s="2"/>
    </row>
    <row r="1405" spans="1:29" ht="10.5" hidden="1">
      <c r="A1405" s="2">
        <f t="shared" si="484"/>
        <v>41</v>
      </c>
      <c r="B1405" s="2" t="str">
        <f>VLOOKUP($A1405,Controle!$B$4:$F$68,2,FALSE)</f>
        <v>Bambuí 1.2</v>
      </c>
      <c r="C1405" s="2" t="str">
        <f>VLOOKUP($A1405,Controle!$B$4:$F$68,3,FALSE)</f>
        <v>MORI MINAS V</v>
      </c>
      <c r="D1405" s="2" t="str">
        <f>VLOOKUP($A1405,Controle!$B$4:$F$68,4,FALSE)</f>
        <v>NewCo V</v>
      </c>
      <c r="E1405" s="2" t="str">
        <f>VLOOKUP($A1405,Controle!$B$4:$F$68,5,FALSE)</f>
        <v>Weg</v>
      </c>
      <c r="F1405" s="3" t="str">
        <f t="shared" si="480"/>
        <v>Construção - Serviços de Construção - Substituição</v>
      </c>
      <c r="G1405" s="2" t="str">
        <f>VLOOKUP($A1405,Controle!$B$4:$G$68,6,FALSE)</f>
        <v>Solatio</v>
      </c>
      <c r="H1405" s="6">
        <v>0</v>
      </c>
      <c r="I1405" s="6">
        <v>0</v>
      </c>
      <c r="J1405" s="6">
        <v>0</v>
      </c>
      <c r="K1405" s="6">
        <v>0</v>
      </c>
      <c r="L1405" s="6">
        <v>0</v>
      </c>
      <c r="M1405" s="6">
        <v>0</v>
      </c>
      <c r="N1405" s="6">
        <v>0</v>
      </c>
      <c r="O1405" s="4">
        <f t="shared" si="481"/>
        <v>0</v>
      </c>
      <c r="P1405" s="5">
        <f>SUMIFS('Desenvolvimento diário'!$H:$H,'Desenvolvimento diário'!$Q:$Q,$B1405,'Desenvolvimento diário'!$P:$P,$F1405,'Desenvolvimento diário'!$R:$R,"Sim")</f>
        <v>0</v>
      </c>
      <c r="Q1405" s="5">
        <f>SUMIFS('Desenvolvimento diário'!$H:$H,'Desenvolvimento diário'!$Q:$Q,$B1405,'Desenvolvimento diário'!$P:$P,$F1405,'Desenvolvimento diário'!$R:$R,"Não")</f>
        <v>0</v>
      </c>
      <c r="R1405" s="4">
        <f t="shared" si="482"/>
        <v>0</v>
      </c>
      <c r="S1405" s="4">
        <f t="shared" si="483"/>
        <v>0</v>
      </c>
      <c r="T1405" s="12">
        <f t="shared" si="462"/>
        <v>0</v>
      </c>
      <c r="Y1405" s="2"/>
      <c r="Z1405" s="2"/>
      <c r="AA1405" s="2"/>
      <c r="AB1405" s="2"/>
      <c r="AC1405" s="2"/>
    </row>
    <row r="1406" spans="1:29" ht="10.5" hidden="1">
      <c r="A1406" s="2">
        <f t="shared" si="484"/>
        <v>41</v>
      </c>
      <c r="B1406" s="2" t="str">
        <f>VLOOKUP($A1406,Controle!$B$4:$F$68,2,FALSE)</f>
        <v>Bambuí 1.2</v>
      </c>
      <c r="C1406" s="2" t="str">
        <f>VLOOKUP($A1406,Controle!$B$4:$F$68,3,FALSE)</f>
        <v>MORI MINAS V</v>
      </c>
      <c r="D1406" s="2" t="str">
        <f>VLOOKUP($A1406,Controle!$B$4:$F$68,4,FALSE)</f>
        <v>NewCo V</v>
      </c>
      <c r="E1406" s="2" t="str">
        <f>VLOOKUP($A1406,Controle!$B$4:$F$68,5,FALSE)</f>
        <v>Weg</v>
      </c>
      <c r="F1406" s="3" t="str">
        <f t="shared" si="480"/>
        <v>Construção - RDA Interno</v>
      </c>
      <c r="G1406" s="2" t="str">
        <f>VLOOKUP($A1406,Controle!$B$4:$G$68,6,FALSE)</f>
        <v>Solatio</v>
      </c>
      <c r="H1406" s="6">
        <v>0</v>
      </c>
      <c r="I1406" s="6">
        <v>0</v>
      </c>
      <c r="J1406" s="6">
        <v>0</v>
      </c>
      <c r="K1406" s="6">
        <v>0</v>
      </c>
      <c r="L1406" s="6">
        <v>0</v>
      </c>
      <c r="M1406" s="6">
        <v>0</v>
      </c>
      <c r="N1406" s="6">
        <v>0</v>
      </c>
      <c r="O1406" s="4">
        <f t="shared" si="481"/>
        <v>0</v>
      </c>
      <c r="P1406" s="5">
        <f>SUMIFS('Desenvolvimento diário'!$H:$H,'Desenvolvimento diário'!$Q:$Q,$B1406,'Desenvolvimento diário'!$P:$P,$F1406,'Desenvolvimento diário'!$R:$R,"Sim")</f>
        <v>0</v>
      </c>
      <c r="Q1406" s="5">
        <f>SUMIFS('Desenvolvimento diário'!$H:$H,'Desenvolvimento diário'!$Q:$Q,$B1406,'Desenvolvimento diário'!$P:$P,$F1406,'Desenvolvimento diário'!$R:$R,"Não")</f>
        <v>0</v>
      </c>
      <c r="R1406" s="4">
        <f t="shared" si="482"/>
        <v>0</v>
      </c>
      <c r="S1406" s="4">
        <f t="shared" si="483"/>
        <v>0</v>
      </c>
      <c r="T1406" s="12">
        <f t="shared" si="462"/>
        <v>0</v>
      </c>
      <c r="Y1406" s="2"/>
      <c r="Z1406" s="2"/>
      <c r="AA1406" s="2"/>
      <c r="AB1406" s="2"/>
      <c r="AC1406" s="2"/>
    </row>
    <row r="1407" spans="1:29" ht="10.5" hidden="1">
      <c r="A1407" s="2">
        <f t="shared" si="484"/>
        <v>41</v>
      </c>
      <c r="B1407" s="2" t="str">
        <f>VLOOKUP($A1407,Controle!$B$4:$F$68,2,FALSE)</f>
        <v>Bambuí 1.2</v>
      </c>
      <c r="C1407" s="2" t="str">
        <f>VLOOKUP($A1407,Controle!$B$4:$F$68,3,FALSE)</f>
        <v>MORI MINAS V</v>
      </c>
      <c r="D1407" s="2" t="str">
        <f>VLOOKUP($A1407,Controle!$B$4:$F$68,4,FALSE)</f>
        <v>NewCo V</v>
      </c>
      <c r="E1407" s="2" t="str">
        <f>VLOOKUP($A1407,Controle!$B$4:$F$68,5,FALSE)</f>
        <v>Weg</v>
      </c>
      <c r="F1407" s="3" t="str">
        <f t="shared" si="480"/>
        <v>Full EPC - Contrato</v>
      </c>
      <c r="G1407" s="2" t="str">
        <f>VLOOKUP($A1407,Controle!$B$4:$G$68,6,FALSE)</f>
        <v>Solatio</v>
      </c>
      <c r="H1407" s="6" t="s">
        <v>21</v>
      </c>
      <c r="I1407" s="6">
        <v>14646682.470000001</v>
      </c>
      <c r="J1407" s="6"/>
      <c r="K1407" s="6" t="s">
        <v>193</v>
      </c>
      <c r="L1407" s="6">
        <v>0</v>
      </c>
      <c r="M1407" s="6">
        <v>0</v>
      </c>
      <c r="N1407" s="6">
        <v>0</v>
      </c>
      <c r="O1407" s="4">
        <f t="shared" si="481"/>
        <v>14646682.470000001</v>
      </c>
      <c r="P1407" s="5">
        <f>SUMIFS('Desenvolvimento diário'!$H:$H,'Desenvolvimento diário'!$Q:$Q,$B1407,'Desenvolvimento diário'!$P:$P,$F1407,'Desenvolvimento diário'!$R:$R,"Sim")</f>
        <v>0</v>
      </c>
      <c r="Q1407" s="5">
        <f>SUMIFS('Desenvolvimento diário'!$H:$H,'Desenvolvimento diário'!$Q:$Q,$B1407,'Desenvolvimento diário'!$P:$P,$F1407,'Desenvolvimento diário'!$R:$R,"Não")</f>
        <v>14646682.470000001</v>
      </c>
      <c r="R1407" s="4">
        <f t="shared" si="482"/>
        <v>14646682.470000001</v>
      </c>
      <c r="S1407" s="4">
        <f t="shared" si="483"/>
        <v>0</v>
      </c>
      <c r="T1407" s="12">
        <f t="shared" si="462"/>
        <v>1</v>
      </c>
      <c r="Y1407" s="2"/>
      <c r="Z1407" s="2"/>
      <c r="AA1407" s="2"/>
      <c r="AB1407" s="2"/>
      <c r="AC1407" s="2"/>
    </row>
    <row r="1408" spans="1:29" ht="10.5" hidden="1">
      <c r="A1408" s="2">
        <f t="shared" si="484"/>
        <v>41</v>
      </c>
      <c r="B1408" s="2" t="str">
        <f>VLOOKUP($A1408,Controle!$B$4:$F$68,2,FALSE)</f>
        <v>Bambuí 1.2</v>
      </c>
      <c r="C1408" s="2" t="str">
        <f>VLOOKUP($A1408,Controle!$B$4:$F$68,3,FALSE)</f>
        <v>MORI MINAS V</v>
      </c>
      <c r="D1408" s="2" t="str">
        <f>VLOOKUP($A1408,Controle!$B$4:$F$68,4,FALSE)</f>
        <v>NewCo V</v>
      </c>
      <c r="E1408" s="2" t="str">
        <f>VLOOKUP($A1408,Controle!$B$4:$F$68,5,FALSE)</f>
        <v>Weg</v>
      </c>
      <c r="F1408" s="3" t="str">
        <f t="shared" si="480"/>
        <v>Equipamentos Curva A - Outros (Transformadores)</v>
      </c>
      <c r="G1408" s="2" t="str">
        <f>VLOOKUP($A1408,Controle!$B$4:$G$68,6,FALSE)</f>
        <v>Solatio</v>
      </c>
      <c r="H1408" s="6">
        <v>0</v>
      </c>
      <c r="I1408" s="6">
        <v>0</v>
      </c>
      <c r="J1408" s="6">
        <v>0</v>
      </c>
      <c r="K1408" s="6">
        <v>0</v>
      </c>
      <c r="L1408" s="6">
        <v>0</v>
      </c>
      <c r="M1408" s="6">
        <v>0</v>
      </c>
      <c r="N1408" s="6">
        <v>0</v>
      </c>
      <c r="O1408" s="4">
        <f t="shared" si="481"/>
        <v>0</v>
      </c>
      <c r="P1408" s="5">
        <f>SUMIFS('Desenvolvimento diário'!$H:$H,'Desenvolvimento diário'!$Q:$Q,$B1408,'Desenvolvimento diário'!$P:$P,$F1408,'Desenvolvimento diário'!$R:$R,"Sim")</f>
        <v>0</v>
      </c>
      <c r="Q1408" s="5">
        <f>SUMIFS('Desenvolvimento diário'!$H:$H,'Desenvolvimento diário'!$Q:$Q,$B1408,'Desenvolvimento diário'!$P:$P,$F1408,'Desenvolvimento diário'!$R:$R,"Não")</f>
        <v>0</v>
      </c>
      <c r="R1408" s="4">
        <f t="shared" si="482"/>
        <v>0</v>
      </c>
      <c r="S1408" s="4">
        <f t="shared" si="483"/>
        <v>0</v>
      </c>
      <c r="T1408" s="12">
        <f t="shared" si="462"/>
        <v>0</v>
      </c>
      <c r="Y1408" s="2"/>
      <c r="Z1408" s="2"/>
      <c r="AA1408" s="2"/>
      <c r="AB1408" s="2"/>
      <c r="AC1408" s="2"/>
    </row>
    <row r="1409" spans="1:29" ht="10.5" hidden="1">
      <c r="A1409" s="2">
        <f t="shared" si="484"/>
        <v>41</v>
      </c>
      <c r="B1409" s="2" t="str">
        <f>VLOOKUP($A1409,Controle!$B$4:$F$68,2,FALSE)</f>
        <v>Bambuí 1.2</v>
      </c>
      <c r="C1409" s="2" t="str">
        <f>VLOOKUP($A1409,Controle!$B$4:$F$68,3,FALSE)</f>
        <v>MORI MINAS V</v>
      </c>
      <c r="D1409" s="2" t="str">
        <f>VLOOKUP($A1409,Controle!$B$4:$F$68,4,FALSE)</f>
        <v>NewCo V</v>
      </c>
      <c r="E1409" s="2" t="str">
        <f>VLOOKUP($A1409,Controle!$B$4:$F$68,5,FALSE)</f>
        <v>Weg</v>
      </c>
      <c r="F1409" s="3" t="str">
        <f t="shared" si="480"/>
        <v>Equipamentos Curva A - Outros (Cabine + Skid)</v>
      </c>
      <c r="G1409" s="2" t="str">
        <f>VLOOKUP($A1409,Controle!$B$4:$G$68,6,FALSE)</f>
        <v>Solatio</v>
      </c>
      <c r="H1409" s="6">
        <v>0</v>
      </c>
      <c r="I1409" s="6">
        <v>0</v>
      </c>
      <c r="J1409" s="6">
        <v>0</v>
      </c>
      <c r="K1409" s="6">
        <v>0</v>
      </c>
      <c r="L1409" s="6">
        <v>0</v>
      </c>
      <c r="M1409" s="6">
        <v>0</v>
      </c>
      <c r="N1409" s="6">
        <v>0</v>
      </c>
      <c r="O1409" s="4">
        <f t="shared" si="481"/>
        <v>0</v>
      </c>
      <c r="P1409" s="5">
        <f>SUMIFS('Desenvolvimento diário'!$H:$H,'Desenvolvimento diário'!$Q:$Q,$B1409,'Desenvolvimento diário'!$P:$P,$F1409,'Desenvolvimento diário'!$R:$R,"Sim")</f>
        <v>0</v>
      </c>
      <c r="Q1409" s="5">
        <f>SUMIFS('Desenvolvimento diário'!$H:$H,'Desenvolvimento diário'!$Q:$Q,$B1409,'Desenvolvimento diário'!$P:$P,$F1409,'Desenvolvimento diário'!$R:$R,"Não")</f>
        <v>0</v>
      </c>
      <c r="R1409" s="4">
        <f t="shared" si="482"/>
        <v>0</v>
      </c>
      <c r="S1409" s="4">
        <f t="shared" si="483"/>
        <v>0</v>
      </c>
      <c r="T1409" s="12">
        <f t="shared" si="462"/>
        <v>0</v>
      </c>
      <c r="Y1409" s="2"/>
      <c r="Z1409" s="2"/>
      <c r="AA1409" s="2"/>
      <c r="AB1409" s="2"/>
      <c r="AC1409" s="2"/>
    </row>
    <row r="1410" spans="1:29" ht="10.5" hidden="1">
      <c r="A1410" s="2">
        <f t="shared" si="484"/>
        <v>41</v>
      </c>
      <c r="B1410" s="2" t="str">
        <f>VLOOKUP($A1410,Controle!$B$4:$F$68,2,FALSE)</f>
        <v>Bambuí 1.2</v>
      </c>
      <c r="C1410" s="2" t="str">
        <f>VLOOKUP($A1410,Controle!$B$4:$F$68,3,FALSE)</f>
        <v>MORI MINAS V</v>
      </c>
      <c r="D1410" s="2" t="str">
        <f>VLOOKUP($A1410,Controle!$B$4:$F$68,4,FALSE)</f>
        <v>NewCo V</v>
      </c>
      <c r="E1410" s="2" t="str">
        <f>VLOOKUP($A1410,Controle!$B$4:$F$68,5,FALSE)</f>
        <v>Weg</v>
      </c>
      <c r="F1410" s="3" t="str">
        <f t="shared" si="480"/>
        <v>Equipamentos Curva A - Outros (Cabine + Skid + Transformador)</v>
      </c>
      <c r="G1410" s="2" t="str">
        <f>VLOOKUP($A1410,Controle!$B$4:$G$68,6,FALSE)</f>
        <v>Solatio</v>
      </c>
      <c r="H1410" s="6" t="s">
        <v>144</v>
      </c>
      <c r="I1410" s="6">
        <v>318595.83325000003</v>
      </c>
      <c r="J1410" s="6">
        <v>0</v>
      </c>
      <c r="K1410" s="6">
        <v>0</v>
      </c>
      <c r="L1410" s="6">
        <v>0</v>
      </c>
      <c r="M1410" s="6">
        <v>0</v>
      </c>
      <c r="N1410" s="6">
        <v>0</v>
      </c>
      <c r="O1410" s="4">
        <f t="shared" si="481"/>
        <v>318595.83325000003</v>
      </c>
      <c r="P1410" s="5">
        <f>SUMIFS('Desenvolvimento diário'!$H:$H,'Desenvolvimento diário'!$Q:$Q,$B1410,'Desenvolvimento diário'!$P:$P,$F1410,'Desenvolvimento diário'!$R:$R,"Sim")</f>
        <v>0</v>
      </c>
      <c r="Q1410" s="5">
        <f>SUMIFS('Desenvolvimento diário'!$H:$H,'Desenvolvimento diário'!$Q:$Q,$B1410,'Desenvolvimento diário'!$P:$P,$F1410,'Desenvolvimento diário'!$R:$R,"Não")</f>
        <v>318595.83325000003</v>
      </c>
      <c r="R1410" s="4">
        <f t="shared" si="482"/>
        <v>318595.83325000003</v>
      </c>
      <c r="S1410" s="4">
        <f t="shared" si="483"/>
        <v>0</v>
      </c>
      <c r="T1410" s="12">
        <f t="shared" si="462"/>
        <v>1</v>
      </c>
      <c r="Y1410" s="2"/>
      <c r="Z1410" s="2"/>
      <c r="AA1410" s="2"/>
      <c r="AB1410" s="2"/>
      <c r="AC1410" s="2"/>
    </row>
    <row r="1411" spans="1:29" ht="10.5" hidden="1">
      <c r="A1411" s="2">
        <f t="shared" si="484"/>
        <v>41</v>
      </c>
      <c r="B1411" s="2" t="str">
        <f>VLOOKUP($A1411,Controle!$B$4:$F$68,2,FALSE)</f>
        <v>Bambuí 1.2</v>
      </c>
      <c r="C1411" s="2" t="str">
        <f>VLOOKUP($A1411,Controle!$B$4:$F$68,3,FALSE)</f>
        <v>MORI MINAS V</v>
      </c>
      <c r="D1411" s="2" t="str">
        <f>VLOOKUP($A1411,Controle!$B$4:$F$68,4,FALSE)</f>
        <v>NewCo V</v>
      </c>
      <c r="E1411" s="2" t="str">
        <f>VLOOKUP($A1411,Controle!$B$4:$F$68,5,FALSE)</f>
        <v>Weg</v>
      </c>
      <c r="F1411" s="3" t="str">
        <f t="shared" si="480"/>
        <v>Desenvolvimento de projeto - Projetos - (Eng° Proprietario)</v>
      </c>
      <c r="G1411" s="2" t="str">
        <f>VLOOKUP($A1411,Controle!$B$4:$G$68,6,FALSE)</f>
        <v>Solatio</v>
      </c>
      <c r="H1411" s="6" t="s">
        <v>176</v>
      </c>
      <c r="I1411" s="6">
        <f>R1411</f>
        <v>99513.180000000008</v>
      </c>
      <c r="J1411" s="6">
        <v>0</v>
      </c>
      <c r="K1411" s="6">
        <v>0</v>
      </c>
      <c r="L1411" s="6">
        <v>0</v>
      </c>
      <c r="M1411" s="6">
        <v>0</v>
      </c>
      <c r="N1411" s="6">
        <v>0</v>
      </c>
      <c r="O1411" s="4">
        <f t="shared" si="481"/>
        <v>99513.180000000008</v>
      </c>
      <c r="P1411" s="5">
        <f>SUMIFS('Desenvolvimento diário'!$H:$H,'Desenvolvimento diário'!$Q:$Q,$B1411,'Desenvolvimento diário'!$P:$P,$F1411,'Desenvolvimento diário'!$R:$R,"Sim")</f>
        <v>0</v>
      </c>
      <c r="Q1411" s="5">
        <f>SUMIFS('Desenvolvimento diário'!$H:$H,'Desenvolvimento diário'!$Q:$Q,$B1411,'Desenvolvimento diário'!$P:$P,$F1411,'Desenvolvimento diário'!$R:$R,"Não")</f>
        <v>99513.180000000008</v>
      </c>
      <c r="R1411" s="4">
        <f t="shared" si="482"/>
        <v>99513.180000000008</v>
      </c>
      <c r="S1411" s="4">
        <f t="shared" si="483"/>
        <v>0</v>
      </c>
      <c r="T1411" s="12">
        <f t="shared" si="462"/>
        <v>1</v>
      </c>
      <c r="Y1411" s="2"/>
      <c r="Z1411" s="2"/>
      <c r="AA1411" s="2"/>
      <c r="AB1411" s="2"/>
      <c r="AC1411" s="2"/>
    </row>
    <row r="1412" spans="1:29" ht="10.5" hidden="1">
      <c r="A1412" s="2">
        <f t="shared" si="484"/>
        <v>41</v>
      </c>
      <c r="B1412" s="2" t="str">
        <f>VLOOKUP($A1412,Controle!$B$4:$F$68,2,FALSE)</f>
        <v>Bambuí 1.2</v>
      </c>
      <c r="C1412" s="2" t="str">
        <f>VLOOKUP($A1412,Controle!$B$4:$F$68,3,FALSE)</f>
        <v>MORI MINAS V</v>
      </c>
      <c r="D1412" s="2" t="str">
        <f>VLOOKUP($A1412,Controle!$B$4:$F$68,4,FALSE)</f>
        <v>NewCo V</v>
      </c>
      <c r="E1412" s="2" t="str">
        <f>VLOOKUP($A1412,Controle!$B$4:$F$68,5,FALSE)</f>
        <v>Weg</v>
      </c>
      <c r="F1412" s="3" t="str">
        <f t="shared" si="480"/>
        <v>Desenvolvimento de projeto - Projetos - Executivos</v>
      </c>
      <c r="G1412" s="2" t="str">
        <f>VLOOKUP($A1412,Controle!$B$4:$G$68,6,FALSE)</f>
        <v>Solatio</v>
      </c>
      <c r="H1412" s="6">
        <v>0</v>
      </c>
      <c r="I1412" s="6">
        <v>0</v>
      </c>
      <c r="J1412" s="6">
        <v>0</v>
      </c>
      <c r="K1412" s="6">
        <v>0</v>
      </c>
      <c r="L1412" s="6">
        <v>0</v>
      </c>
      <c r="M1412" s="6">
        <v>0</v>
      </c>
      <c r="N1412" s="6">
        <v>0</v>
      </c>
      <c r="O1412" s="4">
        <f t="shared" si="481"/>
        <v>0</v>
      </c>
      <c r="P1412" s="5">
        <f>SUMIFS('Desenvolvimento diário'!$H:$H,'Desenvolvimento diário'!$Q:$Q,$B1412,'Desenvolvimento diário'!$P:$P,$F1412,'Desenvolvimento diário'!$R:$R,"Sim")</f>
        <v>0</v>
      </c>
      <c r="Q1412" s="5">
        <f>SUMIFS('Desenvolvimento diário'!$H:$H,'Desenvolvimento diário'!$Q:$Q,$B1412,'Desenvolvimento diário'!$P:$P,$F1412,'Desenvolvimento diário'!$R:$R,"Não")</f>
        <v>0</v>
      </c>
      <c r="R1412" s="4">
        <f t="shared" si="482"/>
        <v>0</v>
      </c>
      <c r="S1412" s="4">
        <f t="shared" si="483"/>
        <v>0</v>
      </c>
      <c r="T1412" s="12">
        <f t="shared" si="462"/>
        <v>0</v>
      </c>
      <c r="Y1412" s="2"/>
      <c r="Z1412" s="2"/>
      <c r="AA1412" s="2"/>
      <c r="AB1412" s="2"/>
      <c r="AC1412" s="2"/>
    </row>
    <row r="1413" spans="1:29" ht="10.5" hidden="1">
      <c r="A1413" s="2">
        <f t="shared" si="484"/>
        <v>41</v>
      </c>
      <c r="B1413" s="2" t="str">
        <f>VLOOKUP($A1413,Controle!$B$4:$F$68,2,FALSE)</f>
        <v>Bambuí 1.2</v>
      </c>
      <c r="C1413" s="2" t="str">
        <f>VLOOKUP($A1413,Controle!$B$4:$F$68,3,FALSE)</f>
        <v>MORI MINAS V</v>
      </c>
      <c r="D1413" s="2" t="str">
        <f>VLOOKUP($A1413,Controle!$B$4:$F$68,4,FALSE)</f>
        <v>NewCo V</v>
      </c>
      <c r="E1413" s="2" t="str">
        <f>VLOOKUP($A1413,Controle!$B$4:$F$68,5,FALSE)</f>
        <v>Weg</v>
      </c>
      <c r="F1413" s="3" t="str">
        <f t="shared" si="480"/>
        <v>Desenvolvimento de projeto - Projetos Básica</v>
      </c>
      <c r="G1413" s="2" t="str">
        <f>VLOOKUP($A1413,Controle!$B$4:$G$68,6,FALSE)</f>
        <v>Solatio</v>
      </c>
      <c r="H1413" s="6">
        <v>0</v>
      </c>
      <c r="I1413" s="6">
        <v>0</v>
      </c>
      <c r="J1413" s="6">
        <v>0</v>
      </c>
      <c r="K1413" s="6">
        <v>0</v>
      </c>
      <c r="L1413" s="6">
        <v>0</v>
      </c>
      <c r="M1413" s="6">
        <v>0</v>
      </c>
      <c r="N1413" s="6">
        <v>0</v>
      </c>
      <c r="O1413" s="4">
        <f t="shared" si="481"/>
        <v>0</v>
      </c>
      <c r="P1413" s="5">
        <f>SUMIFS('Desenvolvimento diário'!$H:$H,'Desenvolvimento diário'!$Q:$Q,$B1413,'Desenvolvimento diário'!$P:$P,$F1413,'Desenvolvimento diário'!$R:$R,"Sim")</f>
        <v>0</v>
      </c>
      <c r="Q1413" s="5">
        <f>SUMIFS('Desenvolvimento diário'!$H:$H,'Desenvolvimento diário'!$Q:$Q,$B1413,'Desenvolvimento diário'!$P:$P,$F1413,'Desenvolvimento diário'!$R:$R,"Não")</f>
        <v>0</v>
      </c>
      <c r="R1413" s="4">
        <f t="shared" si="482"/>
        <v>0</v>
      </c>
      <c r="S1413" s="4">
        <f t="shared" si="483"/>
        <v>0</v>
      </c>
      <c r="T1413" s="12">
        <f t="shared" si="462"/>
        <v>0</v>
      </c>
      <c r="Y1413" s="2"/>
      <c r="Z1413" s="2"/>
      <c r="AA1413" s="2"/>
      <c r="AB1413" s="2"/>
      <c r="AC1413" s="2"/>
    </row>
    <row r="1414" spans="1:29" ht="10.5" hidden="1">
      <c r="A1414" s="2">
        <f t="shared" si="484"/>
        <v>41</v>
      </c>
      <c r="B1414" s="2" t="str">
        <f>VLOOKUP($A1414,Controle!$B$4:$F$68,2,FALSE)</f>
        <v>Bambuí 1.2</v>
      </c>
      <c r="C1414" s="2" t="str">
        <f>VLOOKUP($A1414,Controle!$B$4:$F$68,3,FALSE)</f>
        <v>MORI MINAS V</v>
      </c>
      <c r="D1414" s="2" t="str">
        <f>VLOOKUP($A1414,Controle!$B$4:$F$68,4,FALSE)</f>
        <v>NewCo V</v>
      </c>
      <c r="E1414" s="2" t="str">
        <f>VLOOKUP($A1414,Controle!$B$4:$F$68,5,FALSE)</f>
        <v>Weg</v>
      </c>
      <c r="F1414" s="3" t="str">
        <f t="shared" si="480"/>
        <v>Desenvolvimento de projeto - Projetos Detalhada</v>
      </c>
      <c r="G1414" s="2" t="str">
        <f>VLOOKUP($A1414,Controle!$B$4:$G$68,6,FALSE)</f>
        <v>Solatio</v>
      </c>
      <c r="H1414" s="6">
        <v>0</v>
      </c>
      <c r="I1414" s="6">
        <v>0</v>
      </c>
      <c r="J1414" s="6">
        <v>0</v>
      </c>
      <c r="K1414" s="6">
        <v>0</v>
      </c>
      <c r="L1414" s="6">
        <v>0</v>
      </c>
      <c r="M1414" s="6">
        <v>0</v>
      </c>
      <c r="N1414" s="6">
        <v>0</v>
      </c>
      <c r="O1414" s="4">
        <f t="shared" si="481"/>
        <v>0</v>
      </c>
      <c r="P1414" s="5">
        <f>SUMIFS('Desenvolvimento diário'!$H:$H,'Desenvolvimento diário'!$Q:$Q,$B1414,'Desenvolvimento diário'!$P:$P,$F1414,'Desenvolvimento diário'!$R:$R,"Sim")</f>
        <v>0</v>
      </c>
      <c r="Q1414" s="5">
        <f>SUMIFS('Desenvolvimento diário'!$H:$H,'Desenvolvimento diário'!$Q:$Q,$B1414,'Desenvolvimento diário'!$P:$P,$F1414,'Desenvolvimento diário'!$R:$R,"Não")</f>
        <v>0</v>
      </c>
      <c r="R1414" s="4">
        <f t="shared" si="482"/>
        <v>0</v>
      </c>
      <c r="S1414" s="4">
        <f t="shared" si="483"/>
        <v>0</v>
      </c>
      <c r="T1414" s="12">
        <f t="shared" si="462"/>
        <v>0</v>
      </c>
      <c r="Y1414" s="2"/>
      <c r="Z1414" s="2"/>
      <c r="AA1414" s="2"/>
      <c r="AB1414" s="2"/>
      <c r="AC1414" s="2"/>
    </row>
    <row r="1415" spans="1:29" ht="10.5" hidden="1">
      <c r="A1415" s="2">
        <f t="shared" si="484"/>
        <v>41</v>
      </c>
      <c r="B1415" s="2" t="str">
        <f>VLOOKUP($A1415,Controle!$B$4:$F$68,2,FALSE)</f>
        <v>Bambuí 1.2</v>
      </c>
      <c r="C1415" s="2" t="str">
        <f>VLOOKUP($A1415,Controle!$B$4:$F$68,3,FALSE)</f>
        <v>MORI MINAS V</v>
      </c>
      <c r="D1415" s="2" t="str">
        <f>VLOOKUP($A1415,Controle!$B$4:$F$68,4,FALSE)</f>
        <v>NewCo V</v>
      </c>
      <c r="E1415" s="2" t="str">
        <f>VLOOKUP($A1415,Controle!$B$4:$F$68,5,FALSE)</f>
        <v>Weg</v>
      </c>
      <c r="F1415" s="3" t="str">
        <f t="shared" si="480"/>
        <v>Desenvolvimento de projeto - Ambiental / Outros</v>
      </c>
      <c r="G1415" s="2" t="str">
        <f>VLOOKUP($A1415,Controle!$B$4:$G$68,6,FALSE)</f>
        <v>Solatio</v>
      </c>
      <c r="H1415" s="6" t="s">
        <v>148</v>
      </c>
      <c r="I1415" s="6">
        <f>R1415</f>
        <v>24522.82</v>
      </c>
      <c r="J1415" s="6">
        <v>0</v>
      </c>
      <c r="K1415" s="6">
        <v>0</v>
      </c>
      <c r="L1415" s="6">
        <v>0</v>
      </c>
      <c r="M1415" s="6">
        <v>0</v>
      </c>
      <c r="N1415" s="6">
        <v>0</v>
      </c>
      <c r="O1415" s="4">
        <f t="shared" si="481"/>
        <v>24522.82</v>
      </c>
      <c r="P1415" s="5">
        <f>SUMIFS('Desenvolvimento diário'!$H:$H,'Desenvolvimento diário'!$Q:$Q,$B1415,'Desenvolvimento diário'!$P:$P,$F1415,'Desenvolvimento diário'!$R:$R,"Sim")</f>
        <v>0</v>
      </c>
      <c r="Q1415" s="5">
        <f>SUMIFS('Desenvolvimento diário'!$H:$H,'Desenvolvimento diário'!$Q:$Q,$B1415,'Desenvolvimento diário'!$P:$P,$F1415,'Desenvolvimento diário'!$R:$R,"Não")</f>
        <v>24522.82</v>
      </c>
      <c r="R1415" s="4">
        <f t="shared" si="482"/>
        <v>24522.82</v>
      </c>
      <c r="S1415" s="4">
        <f t="shared" si="483"/>
        <v>0</v>
      </c>
      <c r="T1415" s="12">
        <f t="shared" si="462"/>
        <v>1</v>
      </c>
      <c r="Y1415" s="2"/>
      <c r="Z1415" s="2"/>
      <c r="AA1415" s="2"/>
      <c r="AB1415" s="2"/>
      <c r="AC1415" s="2"/>
    </row>
    <row r="1416" spans="1:29" hidden="1">
      <c r="A1416" s="2">
        <f t="shared" si="484"/>
        <v>41</v>
      </c>
      <c r="B1416" s="2" t="str">
        <f>VLOOKUP($A1416,Controle!$B$4:$F$68,2,FALSE)</f>
        <v>Bambuí 1.2</v>
      </c>
      <c r="C1416" s="2" t="str">
        <f>VLOOKUP($A1416,Controle!$B$4:$F$68,3,FALSE)</f>
        <v>MORI MINAS V</v>
      </c>
      <c r="D1416" s="2" t="str">
        <f>VLOOKUP($A1416,Controle!$B$4:$F$68,4,FALSE)</f>
        <v>NewCo V</v>
      </c>
      <c r="E1416" s="2" t="str">
        <f>VLOOKUP($A1416,Controle!$B$4:$F$68,5,FALSE)</f>
        <v>Weg</v>
      </c>
      <c r="F1416" s="3" t="str">
        <f t="shared" si="480"/>
        <v>Desenvolvimento de projeto - Coordenograma</v>
      </c>
      <c r="G1416" s="2" t="str">
        <f>VLOOKUP($A1416,Controle!$B$4:$G$68,6,FALSE)</f>
        <v>Solatio</v>
      </c>
      <c r="H1416" s="31" t="s">
        <v>149</v>
      </c>
      <c r="I1416" s="31">
        <v>6206.9</v>
      </c>
      <c r="J1416" s="31">
        <v>2281.25</v>
      </c>
      <c r="K1416" s="31">
        <v>0</v>
      </c>
      <c r="L1416" s="6">
        <v>0</v>
      </c>
      <c r="M1416" s="6">
        <v>0</v>
      </c>
      <c r="N1416" s="6">
        <v>0</v>
      </c>
      <c r="O1416" s="4">
        <f t="shared" si="481"/>
        <v>8488.15</v>
      </c>
      <c r="P1416" s="5">
        <f>SUMIFS('Desenvolvimento diário'!$H:$H,'Desenvolvimento diário'!$Q:$Q,$B1416,'Desenvolvimento diário'!$P:$P,$F1416,'Desenvolvimento diário'!$R:$R,"Sim")</f>
        <v>0</v>
      </c>
      <c r="Q1416" s="5">
        <f>SUMIFS('Desenvolvimento diário'!$H:$H,'Desenvolvimento diário'!$Q:$Q,$B1416,'Desenvolvimento diário'!$P:$P,$F1416,'Desenvolvimento diário'!$R:$R,"Não")</f>
        <v>8488.15</v>
      </c>
      <c r="R1416" s="4">
        <f t="shared" si="482"/>
        <v>8488.15</v>
      </c>
      <c r="S1416" s="4">
        <f t="shared" si="483"/>
        <v>0</v>
      </c>
      <c r="T1416" s="12">
        <f t="shared" si="462"/>
        <v>1</v>
      </c>
      <c r="Y1416" s="2"/>
      <c r="Z1416" s="2"/>
      <c r="AA1416" s="2"/>
      <c r="AB1416" s="2"/>
      <c r="AC1416" s="2"/>
    </row>
    <row r="1417" spans="1:29" ht="10.5" hidden="1">
      <c r="A1417" s="2">
        <f t="shared" si="484"/>
        <v>41</v>
      </c>
      <c r="B1417" s="2" t="str">
        <f>VLOOKUP($A1417,Controle!$B$4:$F$68,2,FALSE)</f>
        <v>Bambuí 1.2</v>
      </c>
      <c r="C1417" s="2" t="str">
        <f>VLOOKUP($A1417,Controle!$B$4:$F$68,3,FALSE)</f>
        <v>MORI MINAS V</v>
      </c>
      <c r="D1417" s="2" t="str">
        <f>VLOOKUP($A1417,Controle!$B$4:$F$68,4,FALSE)</f>
        <v>NewCo V</v>
      </c>
      <c r="E1417" s="2" t="str">
        <f>VLOOKUP($A1417,Controle!$B$4:$F$68,5,FALSE)</f>
        <v>Weg</v>
      </c>
      <c r="F1417" s="3" t="str">
        <f t="shared" si="480"/>
        <v>Sistemas de Monitoramento - Supervisório</v>
      </c>
      <c r="G1417" s="2" t="str">
        <f>VLOOKUP($A1417,Controle!$B$4:$G$68,6,FALSE)</f>
        <v>Solatio</v>
      </c>
      <c r="H1417" s="6" t="s">
        <v>150</v>
      </c>
      <c r="I1417" s="6">
        <v>136154.93</v>
      </c>
      <c r="J1417" s="6"/>
      <c r="K1417" s="6">
        <v>0</v>
      </c>
      <c r="L1417" s="6">
        <v>0</v>
      </c>
      <c r="M1417" s="6">
        <v>0</v>
      </c>
      <c r="N1417" s="6">
        <v>0</v>
      </c>
      <c r="O1417" s="4">
        <f t="shared" si="481"/>
        <v>136154.93</v>
      </c>
      <c r="P1417" s="5">
        <f>SUMIFS('Desenvolvimento diário'!$H:$H,'Desenvolvimento diário'!$Q:$Q,$B1417,'Desenvolvimento diário'!$P:$P,$F1417,'Desenvolvimento diário'!$R:$R,"Sim")</f>
        <v>12000</v>
      </c>
      <c r="Q1417" s="5">
        <f>SUMIFS('Desenvolvimento diário'!$H:$H,'Desenvolvimento diário'!$Q:$Q,$B1417,'Desenvolvimento diário'!$P:$P,$F1417,'Desenvolvimento diário'!$R:$R,"Não")</f>
        <v>124154.93</v>
      </c>
      <c r="R1417" s="4">
        <f t="shared" si="482"/>
        <v>136154.93</v>
      </c>
      <c r="S1417" s="4">
        <f t="shared" si="483"/>
        <v>0</v>
      </c>
      <c r="T1417" s="12">
        <f t="shared" si="462"/>
        <v>1</v>
      </c>
      <c r="Y1417" s="2"/>
      <c r="Z1417" s="2"/>
      <c r="AA1417" s="2"/>
      <c r="AB1417" s="2"/>
      <c r="AC1417" s="2"/>
    </row>
    <row r="1418" spans="1:29" ht="10.5" hidden="1">
      <c r="A1418" s="2">
        <f t="shared" si="484"/>
        <v>41</v>
      </c>
      <c r="B1418" s="2" t="str">
        <f>VLOOKUP($A1418,Controle!$B$4:$F$68,2,FALSE)</f>
        <v>Bambuí 1.2</v>
      </c>
      <c r="C1418" s="2" t="str">
        <f>VLOOKUP($A1418,Controle!$B$4:$F$68,3,FALSE)</f>
        <v>MORI MINAS V</v>
      </c>
      <c r="D1418" s="2" t="str">
        <f>VLOOKUP($A1418,Controle!$B$4:$F$68,4,FALSE)</f>
        <v>NewCo V</v>
      </c>
      <c r="E1418" s="2" t="str">
        <f>VLOOKUP($A1418,Controle!$B$4:$F$68,5,FALSE)</f>
        <v>Weg</v>
      </c>
      <c r="F1418" s="3" t="str">
        <f t="shared" si="480"/>
        <v>Sistemas de Monitoramento - Estações Solarimétricas</v>
      </c>
      <c r="G1418" s="2" t="str">
        <f>VLOOKUP($A1418,Controle!$B$4:$G$68,6,FALSE)</f>
        <v>Solatio</v>
      </c>
      <c r="H1418" s="6">
        <v>0</v>
      </c>
      <c r="I1418" s="6">
        <v>0</v>
      </c>
      <c r="J1418" s="6">
        <v>0</v>
      </c>
      <c r="K1418" s="6">
        <v>0</v>
      </c>
      <c r="L1418" s="6">
        <v>0</v>
      </c>
      <c r="M1418" s="6">
        <v>0</v>
      </c>
      <c r="N1418" s="6">
        <v>0</v>
      </c>
      <c r="O1418" s="4">
        <f t="shared" si="481"/>
        <v>0</v>
      </c>
      <c r="P1418" s="5">
        <f>SUMIFS('Desenvolvimento diário'!$H:$H,'Desenvolvimento diário'!$Q:$Q,$B1418,'Desenvolvimento diário'!$P:$P,$F1418,'Desenvolvimento diário'!$R:$R,"Sim")</f>
        <v>0</v>
      </c>
      <c r="Q1418" s="5">
        <f>SUMIFS('Desenvolvimento diário'!$H:$H,'Desenvolvimento diário'!$Q:$Q,$B1418,'Desenvolvimento diário'!$P:$P,$F1418,'Desenvolvimento diário'!$R:$R,"Não")</f>
        <v>0</v>
      </c>
      <c r="R1418" s="4">
        <f t="shared" si="482"/>
        <v>0</v>
      </c>
      <c r="S1418" s="4">
        <f t="shared" si="483"/>
        <v>0</v>
      </c>
      <c r="T1418" s="12">
        <f t="shared" si="462"/>
        <v>0</v>
      </c>
      <c r="Y1418" s="2"/>
      <c r="Z1418" s="2"/>
      <c r="AA1418" s="2"/>
      <c r="AB1418" s="2"/>
      <c r="AC1418" s="2"/>
    </row>
    <row r="1419" spans="1:29" hidden="1">
      <c r="A1419" s="2">
        <f t="shared" si="484"/>
        <v>41</v>
      </c>
      <c r="B1419" s="2" t="str">
        <f>VLOOKUP($A1419,Controle!$B$4:$F$68,2,FALSE)</f>
        <v>Bambuí 1.2</v>
      </c>
      <c r="C1419" s="2" t="str">
        <f>VLOOKUP($A1419,Controle!$B$4:$F$68,3,FALSE)</f>
        <v>MORI MINAS V</v>
      </c>
      <c r="D1419" s="2" t="str">
        <f>VLOOKUP($A1419,Controle!$B$4:$F$68,4,FALSE)</f>
        <v>NewCo V</v>
      </c>
      <c r="E1419" s="2" t="str">
        <f>VLOOKUP($A1419,Controle!$B$4:$F$68,5,FALSE)</f>
        <v>Weg</v>
      </c>
      <c r="F1419" s="3" t="str">
        <f t="shared" si="480"/>
        <v>Sistemas de Monitoramento - CFTV</v>
      </c>
      <c r="G1419" s="2" t="str">
        <f>VLOOKUP($A1419,Controle!$B$4:$G$68,6,FALSE)</f>
        <v>Solatio</v>
      </c>
      <c r="H1419" s="31" t="s">
        <v>152</v>
      </c>
      <c r="I1419" s="6">
        <v>285467.13</v>
      </c>
      <c r="J1419" s="28">
        <v>3153.68</v>
      </c>
      <c r="K1419" s="6">
        <v>0</v>
      </c>
      <c r="L1419" s="6">
        <v>0</v>
      </c>
      <c r="M1419" s="6">
        <v>0</v>
      </c>
      <c r="N1419" s="6">
        <v>0</v>
      </c>
      <c r="O1419" s="4">
        <f t="shared" si="481"/>
        <v>288620.81</v>
      </c>
      <c r="P1419" s="5">
        <f>SUMIFS('Desenvolvimento diário'!$H:$H,'Desenvolvimento diário'!$Q:$Q,$B1419,'Desenvolvimento diário'!$P:$P,$F1419,'Desenvolvimento diário'!$R:$R,"Sim")</f>
        <v>15385.35</v>
      </c>
      <c r="Q1419" s="5">
        <f>SUMIFS('Desenvolvimento diário'!$H:$H,'Desenvolvimento diário'!$Q:$Q,$B1419,'Desenvolvimento diário'!$P:$P,$F1419,'Desenvolvimento diário'!$R:$R,"Não")</f>
        <v>273235.46000000002</v>
      </c>
      <c r="R1419" s="4">
        <f t="shared" si="482"/>
        <v>288620.81</v>
      </c>
      <c r="S1419" s="27">
        <f t="shared" si="483"/>
        <v>0</v>
      </c>
      <c r="T1419" s="12">
        <f t="shared" si="462"/>
        <v>1</v>
      </c>
      <c r="Y1419" s="2"/>
      <c r="Z1419" s="2"/>
      <c r="AA1419" s="2"/>
      <c r="AB1419" s="2"/>
      <c r="AC1419" s="2"/>
    </row>
    <row r="1420" spans="1:29" ht="10.5" hidden="1">
      <c r="A1420" s="2">
        <f t="shared" si="484"/>
        <v>41</v>
      </c>
      <c r="B1420" s="2" t="str">
        <f>VLOOKUP($A1420,Controle!$B$4:$F$68,2,FALSE)</f>
        <v>Bambuí 1.2</v>
      </c>
      <c r="C1420" s="2" t="str">
        <f>VLOOKUP($A1420,Controle!$B$4:$F$68,3,FALSE)</f>
        <v>MORI MINAS V</v>
      </c>
      <c r="D1420" s="2" t="str">
        <f>VLOOKUP($A1420,Controle!$B$4:$F$68,4,FALSE)</f>
        <v>NewCo V</v>
      </c>
      <c r="E1420" s="2" t="str">
        <f>VLOOKUP($A1420,Controle!$B$4:$F$68,5,FALSE)</f>
        <v>Weg</v>
      </c>
      <c r="F1420" s="3" t="str">
        <f t="shared" si="480"/>
        <v>Serviços Auxiliares - Drenagem</v>
      </c>
      <c r="G1420" s="2" t="str">
        <f>VLOOKUP($A1420,Controle!$B$4:$G$68,6,FALSE)</f>
        <v>Solatio</v>
      </c>
      <c r="H1420" s="6" t="s">
        <v>185</v>
      </c>
      <c r="I1420" s="6">
        <v>140403.22</v>
      </c>
      <c r="J1420" s="6">
        <v>0</v>
      </c>
      <c r="K1420" s="6">
        <v>0</v>
      </c>
      <c r="L1420" s="6">
        <v>0</v>
      </c>
      <c r="M1420" s="6">
        <v>0</v>
      </c>
      <c r="N1420" s="6">
        <v>0</v>
      </c>
      <c r="O1420" s="4">
        <f t="shared" si="481"/>
        <v>140403.22</v>
      </c>
      <c r="P1420" s="5">
        <f>SUMIFS('Desenvolvimento diário'!$H:$H,'Desenvolvimento diário'!$Q:$Q,$B1420,'Desenvolvimento diário'!$P:$P,$F1420,'Desenvolvimento diário'!$R:$R,"Sim")</f>
        <v>0</v>
      </c>
      <c r="Q1420" s="5">
        <f>SUMIFS('Desenvolvimento diário'!$H:$H,'Desenvolvimento diário'!$Q:$Q,$B1420,'Desenvolvimento diário'!$P:$P,$F1420,'Desenvolvimento diário'!$R:$R,"Não")</f>
        <v>140403.22</v>
      </c>
      <c r="R1420" s="4">
        <f t="shared" si="482"/>
        <v>140403.22</v>
      </c>
      <c r="S1420" s="4">
        <f t="shared" si="483"/>
        <v>0</v>
      </c>
      <c r="T1420" s="12">
        <f t="shared" si="462"/>
        <v>1</v>
      </c>
      <c r="Y1420" s="2"/>
      <c r="Z1420" s="2"/>
      <c r="AA1420" s="2"/>
      <c r="AB1420" s="2"/>
      <c r="AC1420" s="2"/>
    </row>
    <row r="1421" spans="1:29" ht="10.5" hidden="1">
      <c r="A1421" s="2">
        <f t="shared" si="484"/>
        <v>41</v>
      </c>
      <c r="B1421" s="2" t="str">
        <f>VLOOKUP($A1421,Controle!$B$4:$F$68,2,FALSE)</f>
        <v>Bambuí 1.2</v>
      </c>
      <c r="C1421" s="2" t="str">
        <f>VLOOKUP($A1421,Controle!$B$4:$F$68,3,FALSE)</f>
        <v>MORI MINAS V</v>
      </c>
      <c r="D1421" s="2" t="str">
        <f>VLOOKUP($A1421,Controle!$B$4:$F$68,4,FALSE)</f>
        <v>NewCo V</v>
      </c>
      <c r="E1421" s="2" t="str">
        <f>VLOOKUP($A1421,Controle!$B$4:$F$68,5,FALSE)</f>
        <v>Weg</v>
      </c>
      <c r="F1421" s="3" t="str">
        <f t="shared" si="480"/>
        <v>Serviços Auxiliares - Terraplanagem</v>
      </c>
      <c r="G1421" s="2" t="str">
        <f>VLOOKUP($A1421,Controle!$B$4:$G$68,6,FALSE)</f>
        <v>Solatio</v>
      </c>
      <c r="H1421" s="6" t="s">
        <v>154</v>
      </c>
      <c r="I1421" s="6">
        <f>450342.5+(0.005)</f>
        <v>450342.505</v>
      </c>
      <c r="J1421" s="6">
        <v>0</v>
      </c>
      <c r="K1421" s="6">
        <v>0</v>
      </c>
      <c r="L1421" s="6">
        <v>0</v>
      </c>
      <c r="M1421" s="6">
        <v>0</v>
      </c>
      <c r="N1421" s="6">
        <v>0</v>
      </c>
      <c r="O1421" s="4">
        <f t="shared" si="481"/>
        <v>450342.505</v>
      </c>
      <c r="P1421" s="5">
        <f>SUMIFS('Desenvolvimento diário'!$H:$H,'Desenvolvimento diário'!$Q:$Q,$B1421,'Desenvolvimento diário'!$P:$P,$F1421,'Desenvolvimento diário'!$R:$R,"Sim")</f>
        <v>0</v>
      </c>
      <c r="Q1421" s="5">
        <f>SUMIFS('Desenvolvimento diário'!$H:$H,'Desenvolvimento diário'!$Q:$Q,$B1421,'Desenvolvimento diário'!$P:$P,$F1421,'Desenvolvimento diário'!$R:$R,"Não")</f>
        <v>450342.505</v>
      </c>
      <c r="R1421" s="4">
        <f t="shared" si="482"/>
        <v>450342.505</v>
      </c>
      <c r="S1421" s="137">
        <f t="shared" si="483"/>
        <v>0</v>
      </c>
      <c r="T1421" s="12">
        <f t="shared" si="462"/>
        <v>1</v>
      </c>
      <c r="Y1421" s="2"/>
      <c r="Z1421" s="2"/>
      <c r="AA1421" s="2"/>
      <c r="AB1421" s="2"/>
      <c r="AC1421" s="2"/>
    </row>
    <row r="1422" spans="1:29" ht="10.5" hidden="1">
      <c r="A1422" s="2">
        <f t="shared" si="484"/>
        <v>41</v>
      </c>
      <c r="B1422" s="2" t="str">
        <f>VLOOKUP($A1422,Controle!$B$4:$F$68,2,FALSE)</f>
        <v>Bambuí 1.2</v>
      </c>
      <c r="C1422" s="2" t="str">
        <f>VLOOKUP($A1422,Controle!$B$4:$F$68,3,FALSE)</f>
        <v>MORI MINAS V</v>
      </c>
      <c r="D1422" s="2" t="str">
        <f>VLOOKUP($A1422,Controle!$B$4:$F$68,4,FALSE)</f>
        <v>NewCo V</v>
      </c>
      <c r="E1422" s="2" t="str">
        <f>VLOOKUP($A1422,Controle!$B$4:$F$68,5,FALSE)</f>
        <v>Weg</v>
      </c>
      <c r="F1422" s="3" t="str">
        <f t="shared" si="480"/>
        <v>Serviços Auxiliares - Supressão Vegetal</v>
      </c>
      <c r="G1422" s="2" t="str">
        <f>VLOOKUP($A1422,Controle!$B$4:$G$68,6,FALSE)</f>
        <v>Solatio</v>
      </c>
      <c r="H1422" s="6">
        <v>0</v>
      </c>
      <c r="I1422" s="6">
        <v>0</v>
      </c>
      <c r="J1422" s="6">
        <v>0</v>
      </c>
      <c r="K1422" s="6">
        <v>0</v>
      </c>
      <c r="L1422" s="6">
        <v>0</v>
      </c>
      <c r="M1422" s="6">
        <v>0</v>
      </c>
      <c r="N1422" s="6">
        <v>0</v>
      </c>
      <c r="O1422" s="4">
        <f t="shared" si="481"/>
        <v>0</v>
      </c>
      <c r="P1422" s="5">
        <f>SUMIFS('Desenvolvimento diário'!$H:$H,'Desenvolvimento diário'!$Q:$Q,$B1422,'Desenvolvimento diário'!$P:$P,$F1422,'Desenvolvimento diário'!$R:$R,"Sim")</f>
        <v>0</v>
      </c>
      <c r="Q1422" s="5">
        <f>SUMIFS('Desenvolvimento diário'!$H:$H,'Desenvolvimento diário'!$Q:$Q,$B1422,'Desenvolvimento diário'!$P:$P,$F1422,'Desenvolvimento diário'!$R:$R,"Não")</f>
        <v>0</v>
      </c>
      <c r="R1422" s="4">
        <f t="shared" si="482"/>
        <v>0</v>
      </c>
      <c r="S1422" s="4">
        <f t="shared" si="483"/>
        <v>0</v>
      </c>
      <c r="T1422" s="12">
        <f t="shared" si="462"/>
        <v>0</v>
      </c>
      <c r="Y1422" s="2"/>
      <c r="Z1422" s="2"/>
      <c r="AA1422" s="2"/>
      <c r="AB1422" s="2"/>
      <c r="AC1422" s="2"/>
    </row>
    <row r="1423" spans="1:29" ht="10.5" hidden="1">
      <c r="A1423" s="2">
        <f t="shared" si="484"/>
        <v>41</v>
      </c>
      <c r="B1423" s="2" t="str">
        <f>VLOOKUP($A1423,Controle!$B$4:$F$68,2,FALSE)</f>
        <v>Bambuí 1.2</v>
      </c>
      <c r="C1423" s="2" t="str">
        <f>VLOOKUP($A1423,Controle!$B$4:$F$68,3,FALSE)</f>
        <v>MORI MINAS V</v>
      </c>
      <c r="D1423" s="2" t="str">
        <f>VLOOKUP($A1423,Controle!$B$4:$F$68,4,FALSE)</f>
        <v>NewCo V</v>
      </c>
      <c r="E1423" s="2" t="str">
        <f>VLOOKUP($A1423,Controle!$B$4:$F$68,5,FALSE)</f>
        <v>Weg</v>
      </c>
      <c r="F1423" s="3" t="str">
        <f t="shared" si="480"/>
        <v>RDR-Rede de Distribuição Rural</v>
      </c>
      <c r="G1423" s="2" t="str">
        <f>VLOOKUP($A1423,Controle!$B$4:$G$68,6,FALSE)</f>
        <v>Solatio</v>
      </c>
      <c r="H1423" s="6">
        <v>0</v>
      </c>
      <c r="I1423" s="6">
        <v>0</v>
      </c>
      <c r="J1423" s="6">
        <v>0</v>
      </c>
      <c r="K1423" s="6">
        <v>0</v>
      </c>
      <c r="L1423" s="6">
        <v>0</v>
      </c>
      <c r="M1423" s="6">
        <v>0</v>
      </c>
      <c r="N1423" s="6">
        <v>0</v>
      </c>
      <c r="O1423" s="4">
        <f t="shared" si="481"/>
        <v>0</v>
      </c>
      <c r="P1423" s="5">
        <f>SUMIFS('Desenvolvimento diário'!$H:$H,'Desenvolvimento diário'!$Q:$Q,$B1423,'Desenvolvimento diário'!$P:$P,$F1423,'Desenvolvimento diário'!$R:$R,"Sim")</f>
        <v>0</v>
      </c>
      <c r="Q1423" s="5">
        <f>SUMIFS('Desenvolvimento diário'!$H:$H,'Desenvolvimento diário'!$Q:$Q,$B1423,'Desenvolvimento diário'!$P:$P,$F1423,'Desenvolvimento diário'!$R:$R,"Não")</f>
        <v>0</v>
      </c>
      <c r="R1423" s="4">
        <f t="shared" si="482"/>
        <v>0</v>
      </c>
      <c r="S1423" s="4">
        <f t="shared" si="483"/>
        <v>0</v>
      </c>
      <c r="T1423" s="12">
        <f t="shared" si="462"/>
        <v>0</v>
      </c>
      <c r="Y1423" s="2"/>
      <c r="Z1423" s="2"/>
      <c r="AA1423" s="2"/>
      <c r="AB1423" s="2"/>
      <c r="AC1423" s="2"/>
    </row>
    <row r="1424" spans="1:29" ht="10.5" hidden="1">
      <c r="A1424" s="2">
        <f t="shared" si="484"/>
        <v>41</v>
      </c>
      <c r="B1424" s="2" t="str">
        <f>VLOOKUP($A1424,Controle!$B$4:$F$68,2,FALSE)</f>
        <v>Bambuí 1.2</v>
      </c>
      <c r="C1424" s="2" t="str">
        <f>VLOOKUP($A1424,Controle!$B$4:$F$68,3,FALSE)</f>
        <v>MORI MINAS V</v>
      </c>
      <c r="D1424" s="2" t="str">
        <f>VLOOKUP($A1424,Controle!$B$4:$F$68,4,FALSE)</f>
        <v>NewCo V</v>
      </c>
      <c r="E1424" s="2" t="str">
        <f>VLOOKUP($A1424,Controle!$B$4:$F$68,5,FALSE)</f>
        <v>Weg</v>
      </c>
      <c r="F1424" s="3" t="str">
        <f t="shared" si="480"/>
        <v>Escopo COMERC</v>
      </c>
      <c r="G1424" s="2" t="str">
        <f>VLOOKUP($A1424,Controle!$B$4:$G$68,6,FALSE)</f>
        <v>Solatio</v>
      </c>
      <c r="H1424" s="6">
        <v>0</v>
      </c>
      <c r="I1424" s="6">
        <v>79047.8</v>
      </c>
      <c r="J1424" s="29">
        <v>13000</v>
      </c>
      <c r="K1424" s="29"/>
      <c r="L1424" s="6">
        <v>0</v>
      </c>
      <c r="M1424" s="6">
        <v>0</v>
      </c>
      <c r="N1424" s="6">
        <v>0</v>
      </c>
      <c r="O1424" s="4">
        <f t="shared" si="481"/>
        <v>92047.8</v>
      </c>
      <c r="P1424" s="5">
        <f>SUMIFS('Desenvolvimento diário'!$H:$H,'Desenvolvimento diário'!$Q:$Q,$B1424,'Desenvolvimento diário'!$P:$P,$F1424,'Desenvolvimento diário'!$R:$R,"Sim")</f>
        <v>0</v>
      </c>
      <c r="Q1424" s="5">
        <f>SUMIFS('Desenvolvimento diário'!$H:$H,'Desenvolvimento diário'!$Q:$Q,$B1424,'Desenvolvimento diário'!$P:$P,$F1424,'Desenvolvimento diário'!$R:$R,"Não")</f>
        <v>79047.8</v>
      </c>
      <c r="R1424" s="4">
        <f t="shared" si="482"/>
        <v>79047.8</v>
      </c>
      <c r="S1424" s="1010">
        <f t="shared" si="483"/>
        <v>13000</v>
      </c>
      <c r="T1424" s="12">
        <f t="shared" si="462"/>
        <v>0.85876903087308987</v>
      </c>
      <c r="U1424" s="1011" t="s">
        <v>166</v>
      </c>
      <c r="V1424" s="1011" t="s">
        <v>167</v>
      </c>
      <c r="Y1424" s="2"/>
      <c r="Z1424" s="2"/>
      <c r="AA1424" s="2"/>
      <c r="AB1424" s="2"/>
      <c r="AC1424" s="2"/>
    </row>
    <row r="1425" spans="1:29" ht="10.5" hidden="1">
      <c r="A1425" s="2">
        <f t="shared" si="484"/>
        <v>41</v>
      </c>
      <c r="B1425" s="2" t="str">
        <f>VLOOKUP($A1425,Controle!$B$4:$F$68,2,FALSE)</f>
        <v>Bambuí 1.2</v>
      </c>
      <c r="C1425" s="2" t="str">
        <f>VLOOKUP($A1425,Controle!$B$4:$F$68,3,FALSE)</f>
        <v>MORI MINAS V</v>
      </c>
      <c r="D1425" s="2" t="str">
        <f>VLOOKUP($A1425,Controle!$B$4:$F$68,4,FALSE)</f>
        <v>NewCo V</v>
      </c>
      <c r="E1425" s="2" t="str">
        <f>VLOOKUP($A1425,Controle!$B$4:$F$68,5,FALSE)</f>
        <v>Weg</v>
      </c>
      <c r="F1425" s="3" t="str">
        <f t="shared" si="480"/>
        <v>Escopo COMERC - Segurança</v>
      </c>
      <c r="G1425" s="2" t="str">
        <f>VLOOKUP($A1425,Controle!$B$4:$G$68,6,FALSE)</f>
        <v>Solatio</v>
      </c>
      <c r="H1425" s="6">
        <v>0</v>
      </c>
      <c r="I1425" s="6">
        <f t="shared" ref="I1424:I1425" si="485">R1425</f>
        <v>44887.34</v>
      </c>
      <c r="J1425" s="6">
        <v>0</v>
      </c>
      <c r="K1425" s="6">
        <v>0</v>
      </c>
      <c r="L1425" s="6">
        <v>0</v>
      </c>
      <c r="M1425" s="6">
        <v>0</v>
      </c>
      <c r="N1425" s="6">
        <v>0</v>
      </c>
      <c r="O1425" s="4">
        <f t="shared" si="481"/>
        <v>44887.34</v>
      </c>
      <c r="P1425" s="5">
        <f>SUMIFS('Desenvolvimento diário'!$H:$H,'Desenvolvimento diário'!$Q:$Q,$B1425,'Desenvolvimento diário'!$P:$P,$F1425,'Desenvolvimento diário'!$R:$R,"Sim")</f>
        <v>0</v>
      </c>
      <c r="Q1425" s="5">
        <f>SUMIFS('Desenvolvimento diário'!$H:$H,'Desenvolvimento diário'!$Q:$Q,$B1425,'Desenvolvimento diário'!$P:$P,$F1425,'Desenvolvimento diário'!$R:$R,"Não")</f>
        <v>44887.34</v>
      </c>
      <c r="R1425" s="4">
        <f t="shared" si="482"/>
        <v>44887.34</v>
      </c>
      <c r="S1425" s="4">
        <f t="shared" si="483"/>
        <v>0</v>
      </c>
      <c r="T1425" s="12">
        <f t="shared" si="462"/>
        <v>1</v>
      </c>
      <c r="Y1425" s="2"/>
      <c r="Z1425" s="2"/>
      <c r="AA1425" s="2"/>
      <c r="AB1425" s="2"/>
      <c r="AC1425" s="2"/>
    </row>
    <row r="1426" spans="1:29" ht="10.5" hidden="1">
      <c r="A1426" s="2">
        <f t="shared" si="484"/>
        <v>41</v>
      </c>
      <c r="B1426" s="2" t="str">
        <f>VLOOKUP($A1426,Controle!$B$4:$F$68,2,FALSE)</f>
        <v>Bambuí 1.2</v>
      </c>
      <c r="C1426" s="2" t="str">
        <f>VLOOKUP($A1426,Controle!$B$4:$F$68,3,FALSE)</f>
        <v>MORI MINAS V</v>
      </c>
      <c r="D1426" s="2" t="str">
        <f>VLOOKUP($A1426,Controle!$B$4:$F$68,4,FALSE)</f>
        <v>NewCo V</v>
      </c>
      <c r="E1426" s="2" t="str">
        <f>VLOOKUP($A1426,Controle!$B$4:$F$68,5,FALSE)</f>
        <v>Weg</v>
      </c>
      <c r="F1426" s="3" t="str">
        <f t="shared" si="480"/>
        <v>Conexão MT - Obras Transferencia</v>
      </c>
      <c r="G1426" s="2" t="str">
        <f>VLOOKUP($A1426,Controle!$B$4:$G$68,6,FALSE)</f>
        <v>Solatio</v>
      </c>
      <c r="H1426" s="6">
        <v>0</v>
      </c>
      <c r="I1426" s="6">
        <v>0</v>
      </c>
      <c r="J1426" s="6">
        <v>0</v>
      </c>
      <c r="K1426" s="6">
        <v>0</v>
      </c>
      <c r="L1426" s="6">
        <v>0</v>
      </c>
      <c r="M1426" s="6">
        <v>0</v>
      </c>
      <c r="N1426" s="6">
        <v>0</v>
      </c>
      <c r="O1426" s="4">
        <f t="shared" si="481"/>
        <v>0</v>
      </c>
      <c r="P1426" s="5">
        <f>SUMIFS('Desenvolvimento diário'!$H:$H,'Desenvolvimento diário'!$Q:$Q,$B1426,'Desenvolvimento diário'!$P:$P,$F1426,'Desenvolvimento diário'!$R:$R,"Sim")</f>
        <v>0</v>
      </c>
      <c r="Q1426" s="5">
        <f>SUMIFS('Desenvolvimento diário'!$H:$H,'Desenvolvimento diário'!$Q:$Q,$B1426,'Desenvolvimento diário'!$P:$P,$F1426,'Desenvolvimento diário'!$R:$R,"Não")</f>
        <v>0</v>
      </c>
      <c r="R1426" s="4">
        <f t="shared" si="482"/>
        <v>0</v>
      </c>
      <c r="S1426" s="4">
        <f t="shared" si="483"/>
        <v>0</v>
      </c>
      <c r="T1426" s="12">
        <f t="shared" si="462"/>
        <v>0</v>
      </c>
      <c r="Y1426" s="2"/>
      <c r="Z1426" s="2"/>
      <c r="AA1426" s="2"/>
      <c r="AB1426" s="2"/>
      <c r="AC1426" s="2"/>
    </row>
    <row r="1427" spans="1:29" ht="10.5" hidden="1">
      <c r="A1427" s="2">
        <f t="shared" si="484"/>
        <v>41</v>
      </c>
      <c r="B1427" s="2" t="str">
        <f>VLOOKUP($A1427,Controle!$B$4:$F$68,2,FALSE)</f>
        <v>Bambuí 1.2</v>
      </c>
      <c r="C1427" s="2" t="str">
        <f>VLOOKUP($A1427,Controle!$B$4:$F$68,3,FALSE)</f>
        <v>MORI MINAS V</v>
      </c>
      <c r="D1427" s="2" t="str">
        <f>VLOOKUP($A1427,Controle!$B$4:$F$68,4,FALSE)</f>
        <v>NewCo V</v>
      </c>
      <c r="E1427" s="2" t="str">
        <f>VLOOKUP($A1427,Controle!$B$4:$F$68,5,FALSE)</f>
        <v>Weg</v>
      </c>
      <c r="F1427" s="3" t="str">
        <f t="shared" si="480"/>
        <v>Bases de Contaniers</v>
      </c>
      <c r="G1427" s="2" t="str">
        <f>VLOOKUP($A1427,Controle!$B$4:$G$68,6,FALSE)</f>
        <v>Solatio</v>
      </c>
      <c r="H1427" s="6" t="s">
        <v>208</v>
      </c>
      <c r="I1427" s="6">
        <v>114900</v>
      </c>
      <c r="J1427" s="6">
        <v>0</v>
      </c>
      <c r="K1427" s="6">
        <v>0</v>
      </c>
      <c r="L1427" s="6">
        <v>0</v>
      </c>
      <c r="M1427" s="6">
        <v>0</v>
      </c>
      <c r="N1427" s="6">
        <v>0</v>
      </c>
      <c r="O1427" s="4">
        <f t="shared" si="481"/>
        <v>114900</v>
      </c>
      <c r="P1427" s="5">
        <f>SUMIFS('Desenvolvimento diário'!$H:$H,'Desenvolvimento diário'!$Q:$Q,$B1427,'Desenvolvimento diário'!$P:$P,$F1427,'Desenvolvimento diário'!$R:$R,"Sim")</f>
        <v>0</v>
      </c>
      <c r="Q1427" s="5">
        <f>SUMIFS('Desenvolvimento diário'!$H:$H,'Desenvolvimento diário'!$Q:$Q,$B1427,'Desenvolvimento diário'!$P:$P,$F1427,'Desenvolvimento diário'!$R:$R,"Não")</f>
        <v>114900</v>
      </c>
      <c r="R1427" s="4">
        <f t="shared" si="482"/>
        <v>114900</v>
      </c>
      <c r="S1427" s="4">
        <f t="shared" si="483"/>
        <v>0</v>
      </c>
      <c r="T1427" s="12">
        <f t="shared" si="462"/>
        <v>1</v>
      </c>
      <c r="Y1427" s="2"/>
      <c r="Z1427" s="2"/>
      <c r="AA1427" s="2"/>
      <c r="AB1427" s="2"/>
      <c r="AC1427" s="2"/>
    </row>
    <row r="1428" spans="1:29" ht="10.5" hidden="1">
      <c r="A1428" s="2">
        <f t="shared" si="484"/>
        <v>41</v>
      </c>
      <c r="B1428" s="2" t="str">
        <f>VLOOKUP($A1428,Controle!$B$4:$F$68,2,FALSE)</f>
        <v>Bambuí 1.2</v>
      </c>
      <c r="C1428" s="2" t="str">
        <f>VLOOKUP($A1428,Controle!$B$4:$F$68,3,FALSE)</f>
        <v>MORI MINAS V</v>
      </c>
      <c r="D1428" s="2" t="str">
        <f>VLOOKUP($A1428,Controle!$B$4:$F$68,4,FALSE)</f>
        <v>NewCo V</v>
      </c>
      <c r="E1428" s="2" t="str">
        <f>VLOOKUP($A1428,Controle!$B$4:$F$68,5,FALSE)</f>
        <v>Weg</v>
      </c>
      <c r="F1428" s="3" t="str">
        <f t="shared" si="480"/>
        <v>Construção - Serviços de Construção - Ase Engenharia</v>
      </c>
      <c r="G1428" s="2" t="str">
        <f>VLOOKUP($A1428,Controle!$B$4:$G$68,6,FALSE)</f>
        <v>Solatio</v>
      </c>
      <c r="H1428" s="6">
        <v>0</v>
      </c>
      <c r="I1428" s="6">
        <v>0</v>
      </c>
      <c r="J1428" s="6">
        <v>0</v>
      </c>
      <c r="K1428" s="6">
        <v>0</v>
      </c>
      <c r="L1428" s="6">
        <v>0</v>
      </c>
      <c r="M1428" s="6">
        <v>0</v>
      </c>
      <c r="N1428" s="6">
        <v>0</v>
      </c>
      <c r="O1428" s="4">
        <f t="shared" si="481"/>
        <v>0</v>
      </c>
      <c r="P1428" s="5">
        <f>SUMIFS('Desenvolvimento diário'!$H:$H,'Desenvolvimento diário'!$Q:$Q,$B1428,'Desenvolvimento diário'!$P:$P,$F1428,'Desenvolvimento diário'!$R:$R,"Sim")</f>
        <v>0</v>
      </c>
      <c r="Q1428" s="5">
        <f>SUMIFS('Desenvolvimento diário'!$H:$H,'Desenvolvimento diário'!$Q:$Q,$B1428,'Desenvolvimento diário'!$P:$P,$F1428,'Desenvolvimento diário'!$R:$R,"Não")</f>
        <v>0</v>
      </c>
      <c r="R1428" s="4">
        <f t="shared" si="482"/>
        <v>0</v>
      </c>
      <c r="S1428" s="4">
        <f t="shared" si="483"/>
        <v>0</v>
      </c>
      <c r="T1428" s="12">
        <f t="shared" ref="T1428:T1495" si="486">IFERROR(R1428/O1428,0)</f>
        <v>0</v>
      </c>
      <c r="Y1428" s="2"/>
      <c r="Z1428" s="2"/>
      <c r="AA1428" s="2"/>
      <c r="AB1428" s="2"/>
      <c r="AC1428" s="2"/>
    </row>
    <row r="1429" spans="1:29" ht="10.5" hidden="1">
      <c r="A1429" s="2">
        <f t="shared" si="484"/>
        <v>41</v>
      </c>
      <c r="B1429" s="2" t="str">
        <f>VLOOKUP($A1429,Controle!$B$4:$F$68,2,FALSE)</f>
        <v>Bambuí 1.2</v>
      </c>
      <c r="C1429" s="2" t="str">
        <f>VLOOKUP($A1429,Controle!$B$4:$F$68,3,FALSE)</f>
        <v>MORI MINAS V</v>
      </c>
      <c r="D1429" s="2" t="str">
        <f>VLOOKUP($A1429,Controle!$B$4:$F$68,4,FALSE)</f>
        <v>NewCo V</v>
      </c>
      <c r="E1429" s="2" t="str">
        <f>VLOOKUP($A1429,Controle!$B$4:$F$68,5,FALSE)</f>
        <v>Weg</v>
      </c>
      <c r="F1429" s="3" t="str">
        <f t="shared" si="480"/>
        <v>Full EPC - Contrato Sobressalentes</v>
      </c>
      <c r="G1429" s="2" t="str">
        <f>VLOOKUP($A1429,Controle!$B$4:$G$68,6,FALSE)</f>
        <v>Solatio</v>
      </c>
      <c r="H1429" s="6" t="s">
        <v>21</v>
      </c>
      <c r="I1429" s="6">
        <v>164270.59</v>
      </c>
      <c r="J1429" s="6">
        <v>0</v>
      </c>
      <c r="K1429" s="6">
        <v>0</v>
      </c>
      <c r="L1429" s="6">
        <v>0</v>
      </c>
      <c r="M1429" s="6">
        <v>0</v>
      </c>
      <c r="N1429" s="6">
        <v>0</v>
      </c>
      <c r="O1429" s="4">
        <f t="shared" si="481"/>
        <v>164270.59</v>
      </c>
      <c r="P1429" s="5">
        <f>SUMIFS('Desenvolvimento diário'!$H:$H,'Desenvolvimento diário'!$Q:$Q,$B1429,'Desenvolvimento diário'!$P:$P,$F1429,'Desenvolvimento diário'!$R:$R,"Sim")</f>
        <v>0</v>
      </c>
      <c r="Q1429" s="5">
        <f>SUMIFS('Desenvolvimento diário'!$H:$H,'Desenvolvimento diário'!$Q:$Q,$B1429,'Desenvolvimento diário'!$P:$P,$F1429,'Desenvolvimento diário'!$R:$R,"Não")</f>
        <v>164270.59</v>
      </c>
      <c r="R1429" s="4">
        <f t="shared" si="482"/>
        <v>164270.59</v>
      </c>
      <c r="S1429" s="4">
        <f t="shared" si="483"/>
        <v>0</v>
      </c>
      <c r="T1429" s="12">
        <f t="shared" si="486"/>
        <v>1</v>
      </c>
      <c r="Y1429" s="2"/>
      <c r="Z1429" s="2"/>
      <c r="AA1429" s="2"/>
      <c r="AB1429" s="2"/>
      <c r="AC1429" s="2"/>
    </row>
    <row r="1430" spans="1:29" hidden="1">
      <c r="A1430" s="2">
        <f t="shared" si="484"/>
        <v>41</v>
      </c>
      <c r="B1430" s="2" t="str">
        <f>VLOOKUP($A1430,Controle!$B$4:$F$68,2,FALSE)</f>
        <v>Bambuí 1.2</v>
      </c>
      <c r="C1430" s="2" t="str">
        <f>VLOOKUP($A1430,Controle!$B$4:$F$68,3,FALSE)</f>
        <v>MORI MINAS V</v>
      </c>
      <c r="D1430" s="2" t="str">
        <f>VLOOKUP($A1430,Controle!$B$4:$F$68,4,FALSE)</f>
        <v>NewCo V</v>
      </c>
      <c r="E1430" s="2" t="str">
        <f>VLOOKUP($A1430,Controle!$B$4:$F$68,5,FALSE)</f>
        <v>Weg</v>
      </c>
      <c r="F1430" s="3" t="str">
        <f t="shared" si="480"/>
        <v>Construção - Serviços de Construção - NOVA MORADA</v>
      </c>
      <c r="G1430" s="2" t="str">
        <f>VLOOKUP($A1430,Controle!$B$4:$G$68,6,FALSE)</f>
        <v>Solatio</v>
      </c>
      <c r="H1430" s="6">
        <v>0</v>
      </c>
      <c r="I1430" s="6">
        <v>0</v>
      </c>
      <c r="J1430" s="6">
        <v>0</v>
      </c>
      <c r="K1430" s="6">
        <v>0</v>
      </c>
      <c r="L1430" s="6">
        <v>0</v>
      </c>
      <c r="M1430" s="6">
        <v>0</v>
      </c>
      <c r="N1430" s="6">
        <v>0</v>
      </c>
      <c r="O1430" s="4">
        <f t="shared" si="481"/>
        <v>0</v>
      </c>
      <c r="P1430" s="5">
        <f>SUMIFS('Desenvolvimento diário'!$H:$H,'Desenvolvimento diário'!$Q:$Q,$B1430,'Desenvolvimento diário'!$P:$P,$F1430,'Desenvolvimento diário'!$R:$R,"Sim")</f>
        <v>0</v>
      </c>
      <c r="Q1430" s="5">
        <f>SUMIFS('Desenvolvimento diário'!$H:$H,'Desenvolvimento diário'!$Q:$Q,$B1430,'Desenvolvimento diário'!$P:$P,$F1430,'Desenvolvimento diário'!$R:$R,"Não")</f>
        <v>0</v>
      </c>
      <c r="R1430" s="4">
        <f t="shared" si="482"/>
        <v>0</v>
      </c>
      <c r="S1430" s="4">
        <f t="shared" si="483"/>
        <v>0</v>
      </c>
      <c r="T1430" s="12">
        <f t="shared" si="486"/>
        <v>0</v>
      </c>
      <c r="Y1430" s="2"/>
      <c r="Z1430" s="2"/>
      <c r="AA1430" s="2"/>
      <c r="AB1430" s="2"/>
      <c r="AC1430" s="2"/>
    </row>
    <row r="1431" spans="1:29" hidden="1">
      <c r="A1431" s="2">
        <f t="shared" si="484"/>
        <v>41</v>
      </c>
      <c r="B1431" s="2" t="str">
        <f>VLOOKUP($A1431,Controle!$B$4:$F$68,2,FALSE)</f>
        <v>Bambuí 1.2</v>
      </c>
      <c r="C1431" s="2" t="str">
        <f>VLOOKUP($A1431,Controle!$B$4:$F$68,3,FALSE)</f>
        <v>MORI MINAS V</v>
      </c>
      <c r="D1431" s="2" t="str">
        <f>VLOOKUP($A1431,Controle!$B$4:$F$68,4,FALSE)</f>
        <v>NewCo V</v>
      </c>
      <c r="E1431" s="2" t="str">
        <f>VLOOKUP($A1431,Controle!$B$4:$F$68,5,FALSE)</f>
        <v>Weg</v>
      </c>
      <c r="F1431" s="3" t="str">
        <f t="shared" si="480"/>
        <v>Equipamentos Curva A -  Contrato Sobressalentes - SETTA</v>
      </c>
      <c r="G1431" s="2" t="str">
        <f>VLOOKUP($A1431,Controle!$B$4:$G$68,6,FALSE)</f>
        <v>Solatio</v>
      </c>
      <c r="H1431" s="6">
        <v>0</v>
      </c>
      <c r="I1431" s="6">
        <v>0</v>
      </c>
      <c r="J1431" s="6">
        <v>0</v>
      </c>
      <c r="K1431" s="6">
        <v>0</v>
      </c>
      <c r="L1431" s="6">
        <v>0</v>
      </c>
      <c r="M1431" s="6">
        <v>0</v>
      </c>
      <c r="N1431" s="6">
        <v>0</v>
      </c>
      <c r="O1431" s="4">
        <f t="shared" si="481"/>
        <v>0</v>
      </c>
      <c r="P1431" s="5">
        <f>SUMIFS('Desenvolvimento diário'!$H:$H,'Desenvolvimento diário'!$Q:$Q,$B1431,'Desenvolvimento diário'!$P:$P,$F1431,'Desenvolvimento diário'!$R:$R,"Sim")</f>
        <v>0</v>
      </c>
      <c r="Q1431" s="5">
        <f>SUMIFS('Desenvolvimento diário'!$H:$H,'Desenvolvimento diário'!$Q:$Q,$B1431,'Desenvolvimento diário'!$P:$P,$F1431,'Desenvolvimento diário'!$R:$R,"Não")</f>
        <v>0</v>
      </c>
      <c r="R1431" s="4">
        <f t="shared" si="482"/>
        <v>0</v>
      </c>
      <c r="S1431" s="4">
        <f t="shared" si="483"/>
        <v>0</v>
      </c>
      <c r="T1431" s="12">
        <f t="shared" si="486"/>
        <v>0</v>
      </c>
      <c r="Y1431" s="2"/>
      <c r="Z1431" s="2"/>
      <c r="AA1431" s="2"/>
      <c r="AB1431" s="2"/>
      <c r="AC1431" s="2"/>
    </row>
    <row r="1432" spans="1:29" hidden="1">
      <c r="A1432" s="2">
        <f t="shared" si="484"/>
        <v>41</v>
      </c>
      <c r="B1432" s="2" t="str">
        <f>VLOOKUP($A1432,Controle!$B$4:$F$68,2,FALSE)</f>
        <v>Bambuí 1.2</v>
      </c>
      <c r="C1432" s="2" t="str">
        <f>VLOOKUP($A1432,Controle!$B$4:$F$68,3,FALSE)</f>
        <v>MORI MINAS V</v>
      </c>
      <c r="D1432" s="2" t="str">
        <f>VLOOKUP($A1432,Controle!$B$4:$F$68,4,FALSE)</f>
        <v>NewCo V</v>
      </c>
      <c r="E1432" s="2" t="str">
        <f>VLOOKUP($A1432,Controle!$B$4:$F$68,5,FALSE)</f>
        <v>Weg</v>
      </c>
      <c r="F1432" s="3" t="str">
        <f t="shared" si="480"/>
        <v>Equipamentos Curva A -  Contrato Sobressalentes - Arctech</v>
      </c>
      <c r="G1432" s="2" t="str">
        <f>VLOOKUP($A1432,Controle!$B$4:$G$68,6,FALSE)</f>
        <v>Solatio</v>
      </c>
      <c r="H1432" s="6">
        <v>0</v>
      </c>
      <c r="I1432" s="6">
        <v>0</v>
      </c>
      <c r="J1432" s="6">
        <v>0</v>
      </c>
      <c r="K1432" s="6">
        <v>0</v>
      </c>
      <c r="L1432" s="6">
        <v>0</v>
      </c>
      <c r="M1432" s="6">
        <v>0</v>
      </c>
      <c r="N1432" s="6">
        <v>0</v>
      </c>
      <c r="O1432" s="4">
        <f t="shared" si="481"/>
        <v>0</v>
      </c>
      <c r="P1432" s="5">
        <f>SUMIFS('Desenvolvimento diário'!$H:$H,'Desenvolvimento diário'!$Q:$Q,$B1432,'Desenvolvimento diário'!$P:$P,$F1432,'Desenvolvimento diário'!$R:$R,"Sim")</f>
        <v>0</v>
      </c>
      <c r="Q1432" s="5">
        <f>SUMIFS('Desenvolvimento diário'!$H:$H,'Desenvolvimento diário'!$Q:$Q,$B1432,'Desenvolvimento diário'!$P:$P,$F1432,'Desenvolvimento diário'!$R:$R,"Não")</f>
        <v>0</v>
      </c>
      <c r="R1432" s="4">
        <f t="shared" si="482"/>
        <v>0</v>
      </c>
      <c r="S1432" s="4">
        <f t="shared" si="483"/>
        <v>0</v>
      </c>
      <c r="T1432" s="12">
        <f t="shared" si="486"/>
        <v>0</v>
      </c>
      <c r="Y1432" s="2"/>
      <c r="Z1432" s="2"/>
      <c r="AA1432" s="2"/>
      <c r="AB1432" s="2"/>
      <c r="AC1432" s="2"/>
    </row>
    <row r="1433" spans="1:29" hidden="1">
      <c r="A1433" s="2">
        <f t="shared" si="484"/>
        <v>41</v>
      </c>
      <c r="B1433" s="2" t="str">
        <f>VLOOKUP($A1433,Controle!$B$4:$F$68,2,FALSE)</f>
        <v>Bambuí 1.2</v>
      </c>
      <c r="C1433" s="2" t="str">
        <f>VLOOKUP($A1433,Controle!$B$4:$F$68,3,FALSE)</f>
        <v>MORI MINAS V</v>
      </c>
      <c r="D1433" s="2" t="str">
        <f>VLOOKUP($A1433,Controle!$B$4:$F$68,4,FALSE)</f>
        <v>NewCo V</v>
      </c>
      <c r="E1433" s="2" t="str">
        <f>VLOOKUP($A1433,Controle!$B$4:$F$68,5,FALSE)</f>
        <v>Weg</v>
      </c>
      <c r="F1433" s="3" t="str">
        <f t="shared" si="480"/>
        <v>Equipamentos Curva A -  Contrato Sobressalentes - Romagnole</v>
      </c>
      <c r="G1433" s="2" t="str">
        <f>VLOOKUP($A1433,Controle!$B$4:$G$68,6,FALSE)</f>
        <v>Solatio</v>
      </c>
      <c r="H1433" s="7">
        <v>0</v>
      </c>
      <c r="I1433" s="7">
        <v>0</v>
      </c>
      <c r="J1433" s="7">
        <v>0</v>
      </c>
      <c r="K1433" s="7">
        <v>0</v>
      </c>
      <c r="L1433" s="7">
        <v>0</v>
      </c>
      <c r="M1433" s="7">
        <v>0</v>
      </c>
      <c r="N1433" s="7">
        <v>0</v>
      </c>
      <c r="O1433" s="4">
        <f t="shared" si="481"/>
        <v>0</v>
      </c>
      <c r="P1433" s="17">
        <f>SUMIFS('Desenvolvimento diário'!$H:$H,'Desenvolvimento diário'!$Q:$Q,$B1433,'Desenvolvimento diário'!$P:$P,$F1433,'Desenvolvimento diário'!$R:$R,"Sim")</f>
        <v>0</v>
      </c>
      <c r="Q1433" s="17">
        <f>SUMIFS('Desenvolvimento diário'!$H:$H,'Desenvolvimento diário'!$Q:$Q,$B1433,'Desenvolvimento diário'!$P:$P,$F1433,'Desenvolvimento diário'!$R:$R,"Não")</f>
        <v>0</v>
      </c>
      <c r="R1433" s="4">
        <f t="shared" si="482"/>
        <v>0</v>
      </c>
      <c r="S1433" s="4">
        <f t="shared" si="483"/>
        <v>0</v>
      </c>
      <c r="T1433" s="12">
        <f t="shared" si="486"/>
        <v>0</v>
      </c>
      <c r="Y1433" s="2"/>
      <c r="Z1433" s="2"/>
      <c r="AA1433" s="2"/>
      <c r="AB1433" s="2"/>
      <c r="AC1433" s="2"/>
    </row>
    <row r="1434" spans="1:29" hidden="1">
      <c r="A1434" s="2">
        <f t="shared" si="484"/>
        <v>41</v>
      </c>
      <c r="B1434" s="2" t="str">
        <f>VLOOKUP($A1434,Controle!$B$4:$F$68,2,FALSE)</f>
        <v>Bambuí 1.2</v>
      </c>
      <c r="C1434" s="2" t="str">
        <f>VLOOKUP($A1434,Controle!$B$4:$F$68,3,FALSE)</f>
        <v>MORI MINAS V</v>
      </c>
      <c r="D1434" s="2" t="str">
        <f>VLOOKUP($A1434,Controle!$B$4:$F$68,4,FALSE)</f>
        <v>NewCo V</v>
      </c>
      <c r="E1434" s="2" t="str">
        <f>VLOOKUP($A1434,Controle!$B$4:$F$68,5,FALSE)</f>
        <v>Weg</v>
      </c>
      <c r="F1434" s="3" t="str">
        <f t="shared" si="480"/>
        <v>GOS FLORESTAL - (PRAD - Recuperação Area Ambiental)</v>
      </c>
      <c r="G1434" s="2" t="str">
        <f>VLOOKUP($A1434,Controle!$B$4:$G$68,6,FALSE)</f>
        <v>Solatio</v>
      </c>
      <c r="H1434" s="506" t="s">
        <v>170</v>
      </c>
      <c r="I1434" s="6">
        <v>0</v>
      </c>
      <c r="J1434" s="506"/>
      <c r="K1434" s="506">
        <v>0</v>
      </c>
      <c r="L1434" s="506">
        <v>0</v>
      </c>
      <c r="M1434" s="506">
        <v>0</v>
      </c>
      <c r="N1434" s="506">
        <v>0</v>
      </c>
      <c r="O1434" s="39">
        <f t="shared" si="481"/>
        <v>0</v>
      </c>
      <c r="P1434" s="17">
        <f>SUMIFS('Desenvolvimento diário'!$H:$H,'Desenvolvimento diário'!$Q:$Q,$B1434,'Desenvolvimento diário'!$P:$P,$F1434,'Desenvolvimento diário'!$R:$R,"Sim")</f>
        <v>0</v>
      </c>
      <c r="Q1434" s="17">
        <f>SUMIFS('Desenvolvimento diário'!$H:$H,'Desenvolvimento diário'!$Q:$Q,$B1434,'Desenvolvimento diário'!$P:$P,$F1434,'Desenvolvimento diário'!$R:$R,"Não")</f>
        <v>0</v>
      </c>
      <c r="R1434" s="4">
        <f t="shared" si="482"/>
        <v>0</v>
      </c>
      <c r="S1434" s="4">
        <f t="shared" si="483"/>
        <v>0</v>
      </c>
      <c r="T1434" s="12">
        <f t="shared" si="486"/>
        <v>0</v>
      </c>
      <c r="Y1434" s="2"/>
      <c r="Z1434" s="2"/>
      <c r="AA1434" s="2"/>
      <c r="AB1434" s="2"/>
      <c r="AC1434" s="2"/>
    </row>
    <row r="1435" spans="1:29" hidden="1">
      <c r="A1435" s="2">
        <f t="shared" si="484"/>
        <v>41</v>
      </c>
      <c r="B1435" s="2" t="str">
        <f>VLOOKUP($A1435,Controle!$B$4:$F$68,2,FALSE)</f>
        <v>Bambuí 1.2</v>
      </c>
      <c r="C1435" s="2" t="str">
        <f>VLOOKUP($A1435,Controle!$B$4:$F$68,3,FALSE)</f>
        <v>MORI MINAS V</v>
      </c>
      <c r="D1435" s="2" t="str">
        <f>VLOOKUP($A1435,Controle!$B$4:$F$68,4,FALSE)</f>
        <v>NewCo V</v>
      </c>
      <c r="E1435" s="2" t="str">
        <f>VLOOKUP($A1435,Controle!$B$4:$F$68,5,FALSE)</f>
        <v>Weg</v>
      </c>
      <c r="F1435" s="3" t="str">
        <f t="shared" si="480"/>
        <v>Cercamento das bacias de contenção ciclo 2</v>
      </c>
      <c r="G1435" s="2" t="str">
        <f>VLOOKUP($A1435,Controle!$B$4:$G$68,6,FALSE)</f>
        <v>Solatio</v>
      </c>
      <c r="H1435" s="506" t="s">
        <v>172</v>
      </c>
      <c r="I1435" s="6"/>
      <c r="J1435" s="506"/>
      <c r="K1435" s="506">
        <v>0</v>
      </c>
      <c r="L1435" s="506">
        <v>0</v>
      </c>
      <c r="M1435" s="506">
        <v>0</v>
      </c>
      <c r="N1435" s="506">
        <v>0</v>
      </c>
      <c r="O1435" s="39">
        <f t="shared" si="481"/>
        <v>0</v>
      </c>
      <c r="P1435" s="17">
        <f>SUMIFS('Desenvolvimento diário'!$H:$H,'Desenvolvimento diário'!$Q:$Q,$B1435,'Desenvolvimento diário'!$P:$P,$F1435,'Desenvolvimento diário'!$R:$R,"Sim")</f>
        <v>0</v>
      </c>
      <c r="Q1435" s="17">
        <f>SUMIFS('Desenvolvimento diário'!$H:$H,'Desenvolvimento diário'!$Q:$Q,$B1435,'Desenvolvimento diário'!$P:$P,$F1435,'Desenvolvimento diário'!$R:$R,"Não")</f>
        <v>0</v>
      </c>
      <c r="R1435" s="4">
        <f t="shared" si="482"/>
        <v>0</v>
      </c>
      <c r="S1435" s="1030">
        <f t="shared" si="483"/>
        <v>0</v>
      </c>
      <c r="T1435" s="12">
        <f t="shared" si="486"/>
        <v>0</v>
      </c>
      <c r="U1435" s="1029" t="s">
        <v>166</v>
      </c>
      <c r="V1435" s="1029" t="s">
        <v>94</v>
      </c>
      <c r="Y1435" s="2"/>
      <c r="Z1435" s="2"/>
      <c r="AA1435" s="2"/>
      <c r="AB1435" s="2"/>
      <c r="AC1435" s="2"/>
    </row>
    <row r="1436" spans="1:29" hidden="1">
      <c r="A1436" s="8">
        <f>A1433</f>
        <v>41</v>
      </c>
      <c r="B1436" s="9" t="str">
        <f t="shared" ref="B1436" si="487">B1433</f>
        <v>Bambuí 1.2</v>
      </c>
      <c r="C1436" s="9" t="str">
        <f t="shared" ref="C1436" si="488">C1433</f>
        <v>MORI MINAS V</v>
      </c>
      <c r="D1436" s="9" t="str">
        <f t="shared" ref="D1436" si="489">D1433</f>
        <v>NewCo V</v>
      </c>
      <c r="E1436" s="9" t="str">
        <f t="shared" ref="E1436" si="490">E1433</f>
        <v>Weg</v>
      </c>
      <c r="F1436" s="10" t="s">
        <v>158</v>
      </c>
      <c r="G1436" s="9" t="str">
        <f>G1433</f>
        <v>Solatio</v>
      </c>
      <c r="H1436" s="9"/>
      <c r="I1436" s="9">
        <f>SUBTOTAL(9,I1402:I1435)</f>
        <v>0</v>
      </c>
      <c r="J1436" s="9">
        <f t="shared" ref="J1436:S1436" si="491">SUBTOTAL(9,J1402:J1435)</f>
        <v>0</v>
      </c>
      <c r="K1436" s="9">
        <f t="shared" si="491"/>
        <v>0</v>
      </c>
      <c r="L1436" s="9">
        <f t="shared" si="491"/>
        <v>0</v>
      </c>
      <c r="M1436" s="9">
        <f t="shared" si="491"/>
        <v>0</v>
      </c>
      <c r="N1436" s="9">
        <f t="shared" si="491"/>
        <v>0</v>
      </c>
      <c r="O1436" s="9">
        <f t="shared" si="491"/>
        <v>0</v>
      </c>
      <c r="P1436" s="9">
        <f t="shared" si="491"/>
        <v>0</v>
      </c>
      <c r="Q1436" s="9">
        <f t="shared" si="491"/>
        <v>0</v>
      </c>
      <c r="R1436" s="9">
        <f t="shared" si="491"/>
        <v>0</v>
      </c>
      <c r="S1436" s="9">
        <f t="shared" si="491"/>
        <v>0</v>
      </c>
      <c r="T1436" s="13">
        <f t="shared" si="486"/>
        <v>0</v>
      </c>
      <c r="U1436" s="11">
        <f>SUBTOTAL(9,U1402:U1435)</f>
        <v>0</v>
      </c>
      <c r="Y1436" s="2"/>
      <c r="Z1436" s="2"/>
      <c r="AA1436" s="2"/>
      <c r="AB1436" s="2"/>
      <c r="AC1436" s="2"/>
    </row>
    <row r="1437" spans="1:29" hidden="1">
      <c r="A1437" s="2">
        <f>A1402+1</f>
        <v>42</v>
      </c>
      <c r="B1437" s="2" t="str">
        <f>VLOOKUP($A1437,Controle!$B$4:$F$68,2,FALSE)</f>
        <v>Campo Belo 1</v>
      </c>
      <c r="C1437" s="2" t="str">
        <f>VLOOKUP($A1437,Controle!$B$4:$F$68,3,FALSE)</f>
        <v>MORI MINAS IV</v>
      </c>
      <c r="D1437" s="2" t="str">
        <f>VLOOKUP($A1437,Controle!$B$4:$F$68,4,FALSE)</f>
        <v>NewCo IV</v>
      </c>
      <c r="E1437" s="2">
        <f>VLOOKUP($A1437,Controle!$B$4:$F$68,5,FALSE)</f>
        <v>2</v>
      </c>
      <c r="F1437" s="3" t="str">
        <f t="shared" ref="F1437:F1470" si="492">F1402</f>
        <v>Conexão AT - Obras</v>
      </c>
      <c r="G1437" s="2" t="str">
        <f>VLOOKUP($A1437,Controle!$B$4:$G$68,6,FALSE)</f>
        <v>Solatio</v>
      </c>
      <c r="H1437" s="6" t="s">
        <v>141</v>
      </c>
      <c r="I1437" s="29">
        <v>150000</v>
      </c>
      <c r="J1437" s="6">
        <v>0</v>
      </c>
      <c r="K1437" s="6">
        <v>0</v>
      </c>
      <c r="L1437" s="6">
        <v>0</v>
      </c>
      <c r="M1437" s="6">
        <v>0</v>
      </c>
      <c r="N1437" s="6">
        <v>0</v>
      </c>
      <c r="O1437" s="4">
        <f t="shared" ref="O1437:O1470" si="493">SUM(I1437:N1437)</f>
        <v>150000</v>
      </c>
      <c r="P1437" s="5">
        <f>SUMIFS('Desenvolvimento diário'!$H:$H,'Desenvolvimento diário'!$Q:$Q,$B1437,'Desenvolvimento diário'!$P:$P,$F1437,'Desenvolvimento diário'!$R:$R,"Sim")</f>
        <v>0</v>
      </c>
      <c r="Q1437" s="5">
        <f>SUMIFS('Desenvolvimento diário'!$H:$H,'Desenvolvimento diário'!$Q:$Q,$B1437,'Desenvolvimento diário'!$P:$P,$F1437,'Desenvolvimento diário'!$R:$R,"Não")</f>
        <v>150000</v>
      </c>
      <c r="R1437" s="4">
        <f t="shared" ref="R1437:R1470" si="494">SUM(P1437:Q1437)</f>
        <v>150000</v>
      </c>
      <c r="S1437" s="4">
        <f t="shared" ref="S1437:S1470" si="495">O1437-R1437</f>
        <v>0</v>
      </c>
      <c r="T1437" s="12">
        <f t="shared" si="486"/>
        <v>1</v>
      </c>
      <c r="Y1437" s="2"/>
      <c r="Z1437" s="2"/>
      <c r="AA1437" s="2"/>
      <c r="AB1437" s="2"/>
      <c r="AC1437" s="2"/>
    </row>
    <row r="1438" spans="1:29" ht="10.5" hidden="1">
      <c r="A1438" s="2">
        <f t="shared" ref="A1438:A1470" si="496">A1437</f>
        <v>42</v>
      </c>
      <c r="B1438" s="2" t="str">
        <f>VLOOKUP($A1438,Controle!$B$4:$F$68,2,FALSE)</f>
        <v>Campo Belo 1</v>
      </c>
      <c r="C1438" s="2" t="str">
        <f>VLOOKUP($A1438,Controle!$B$4:$F$68,3,FALSE)</f>
        <v>MORI MINAS IV</v>
      </c>
      <c r="D1438" s="2" t="str">
        <f>VLOOKUP($A1438,Controle!$B$4:$F$68,4,FALSE)</f>
        <v>NewCo IV</v>
      </c>
      <c r="E1438" s="2">
        <f>VLOOKUP($A1438,Controle!$B$4:$F$68,5,FALSE)</f>
        <v>2</v>
      </c>
      <c r="F1438" s="3" t="str">
        <f t="shared" si="492"/>
        <v>Conexão MT - Obras</v>
      </c>
      <c r="G1438" s="2" t="str">
        <f>VLOOKUP($A1438,Controle!$B$4:$G$68,6,FALSE)</f>
        <v>Solatio</v>
      </c>
      <c r="H1438" s="6" t="s">
        <v>141</v>
      </c>
      <c r="I1438" s="6">
        <v>1551000</v>
      </c>
      <c r="J1438" s="6">
        <v>656100</v>
      </c>
      <c r="K1438" s="6">
        <v>1409433.51</v>
      </c>
      <c r="L1438" s="31">
        <v>1235706.81</v>
      </c>
      <c r="M1438" s="28">
        <v>-196336.62</v>
      </c>
      <c r="N1438" s="6">
        <v>0</v>
      </c>
      <c r="O1438" s="4">
        <f t="shared" si="493"/>
        <v>4655903.7</v>
      </c>
      <c r="P1438" s="5">
        <f>SUMIFS('Desenvolvimento diário'!$H:$H,'Desenvolvimento diário'!$Q:$Q,$B1438,'Desenvolvimento diário'!$P:$P,$F1438,'Desenvolvimento diário'!$R:$R,"Sim")</f>
        <v>3388467.4599999995</v>
      </c>
      <c r="Q1438" s="5">
        <f>SUMIFS('Desenvolvimento diário'!$H:$H,'Desenvolvimento diário'!$Q:$Q,$B1438,'Desenvolvimento diário'!$P:$P,$F1438,'Desenvolvimento diário'!$R:$R,"Não")</f>
        <v>1267436.24</v>
      </c>
      <c r="R1438" s="4">
        <f t="shared" si="494"/>
        <v>4655903.6999999993</v>
      </c>
      <c r="S1438" s="4">
        <f>O1438-R1438</f>
        <v>0</v>
      </c>
      <c r="T1438" s="12">
        <f t="shared" si="486"/>
        <v>0.99999999999999978</v>
      </c>
      <c r="Y1438" s="2"/>
      <c r="Z1438" s="2"/>
      <c r="AA1438" s="2"/>
      <c r="AB1438" s="2"/>
      <c r="AC1438" s="2"/>
    </row>
    <row r="1439" spans="1:29" ht="10.5" hidden="1">
      <c r="A1439" s="2">
        <f t="shared" si="496"/>
        <v>42</v>
      </c>
      <c r="B1439" s="94" t="str">
        <f>VLOOKUP($A1439,Controle!$B$4:$F$68,2,FALSE)</f>
        <v>Campo Belo 1</v>
      </c>
      <c r="C1439" s="2" t="str">
        <f>VLOOKUP($A1439,Controle!$B$4:$F$68,3,FALSE)</f>
        <v>MORI MINAS IV</v>
      </c>
      <c r="D1439" s="2" t="str">
        <f>VLOOKUP($A1439,Controle!$B$4:$F$68,4,FALSE)</f>
        <v>NewCo IV</v>
      </c>
      <c r="E1439" s="2">
        <f>VLOOKUP($A1439,Controle!$B$4:$F$68,5,FALSE)</f>
        <v>2</v>
      </c>
      <c r="F1439" s="3" t="str">
        <f t="shared" si="492"/>
        <v>Construção - Serviços de Construção</v>
      </c>
      <c r="G1439" s="2" t="str">
        <f>VLOOKUP($A1439,Controle!$B$4:$G$68,6,FALSE)</f>
        <v>Solatio</v>
      </c>
      <c r="H1439" s="6" t="s">
        <v>147</v>
      </c>
      <c r="I1439" s="6">
        <v>2691000</v>
      </c>
      <c r="J1439" s="6">
        <v>52647</v>
      </c>
      <c r="K1439" s="6">
        <v>416116</v>
      </c>
      <c r="L1439" s="6">
        <v>49665</v>
      </c>
      <c r="M1439" s="6">
        <v>0</v>
      </c>
      <c r="N1439" s="6">
        <v>1164903.1200000001</v>
      </c>
      <c r="O1439" s="4">
        <f t="shared" si="493"/>
        <v>4374331.12</v>
      </c>
      <c r="P1439" s="5">
        <f>SUMIFS('Desenvolvimento diário'!$H:$H,'Desenvolvimento diário'!$Q:$Q,$B1439,'Desenvolvimento diário'!$P:$P,$F1439,'Desenvolvimento diário'!$R:$R,"Sim")</f>
        <v>492414.91000000003</v>
      </c>
      <c r="Q1439" s="5">
        <f>SUMIFS('Desenvolvimento diário'!$H:$H,'Desenvolvimento diário'!$Q:$Q,$B1439,'Desenvolvimento diário'!$P:$P,$F1439,'Desenvolvimento diário'!$R:$R,"Não")</f>
        <v>3871987.6499999994</v>
      </c>
      <c r="R1439" s="4">
        <f t="shared" si="494"/>
        <v>4364402.5599999996</v>
      </c>
      <c r="S1439" s="33">
        <f t="shared" si="495"/>
        <v>9928.5600000005215</v>
      </c>
      <c r="T1439" s="12">
        <f t="shared" si="486"/>
        <v>0.99773026784492702</v>
      </c>
      <c r="U1439" s="510" t="s">
        <v>162</v>
      </c>
      <c r="V1439" s="510" t="s">
        <v>163</v>
      </c>
      <c r="Y1439" s="2"/>
      <c r="Z1439" s="2"/>
      <c r="AA1439" s="2"/>
      <c r="AB1439" s="2"/>
      <c r="AC1439" s="2"/>
    </row>
    <row r="1440" spans="1:29" ht="10.5" hidden="1">
      <c r="A1440" s="2">
        <f t="shared" si="496"/>
        <v>42</v>
      </c>
      <c r="B1440" s="2" t="str">
        <f>VLOOKUP($A1440,Controle!$B$4:$F$68,2,FALSE)</f>
        <v>Campo Belo 1</v>
      </c>
      <c r="C1440" s="2" t="str">
        <f>VLOOKUP($A1440,Controle!$B$4:$F$68,3,FALSE)</f>
        <v>MORI MINAS IV</v>
      </c>
      <c r="D1440" s="2" t="str">
        <f>VLOOKUP($A1440,Controle!$B$4:$F$68,4,FALSE)</f>
        <v>NewCo IV</v>
      </c>
      <c r="E1440" s="2">
        <f>VLOOKUP($A1440,Controle!$B$4:$F$68,5,FALSE)</f>
        <v>2</v>
      </c>
      <c r="F1440" s="3" t="str">
        <f t="shared" si="492"/>
        <v>Construção - Serviços de Construção - Substituição</v>
      </c>
      <c r="G1440" s="2" t="str">
        <f>VLOOKUP($A1440,Controle!$B$4:$G$68,6,FALSE)</f>
        <v>Solatio</v>
      </c>
      <c r="H1440" s="6">
        <v>0</v>
      </c>
      <c r="I1440" s="6">
        <v>0</v>
      </c>
      <c r="J1440" s="6">
        <v>0</v>
      </c>
      <c r="K1440" s="6">
        <v>0</v>
      </c>
      <c r="L1440" s="6">
        <v>0</v>
      </c>
      <c r="M1440" s="6">
        <v>0</v>
      </c>
      <c r="N1440" s="6">
        <v>0</v>
      </c>
      <c r="O1440" s="4">
        <f t="shared" si="493"/>
        <v>0</v>
      </c>
      <c r="P1440" s="5">
        <f>SUMIFS('Desenvolvimento diário'!$H:$H,'Desenvolvimento diário'!$Q:$Q,$B1440,'Desenvolvimento diário'!$P:$P,$F1440,'Desenvolvimento diário'!$R:$R,"Sim")</f>
        <v>0</v>
      </c>
      <c r="Q1440" s="5">
        <f>SUMIFS('Desenvolvimento diário'!$H:$H,'Desenvolvimento diário'!$Q:$Q,$B1440,'Desenvolvimento diário'!$P:$P,$F1440,'Desenvolvimento diário'!$R:$R,"Não")</f>
        <v>0</v>
      </c>
      <c r="R1440" s="4">
        <f t="shared" si="494"/>
        <v>0</v>
      </c>
      <c r="S1440" s="4">
        <f t="shared" si="495"/>
        <v>0</v>
      </c>
      <c r="T1440" s="12">
        <f t="shared" si="486"/>
        <v>0</v>
      </c>
      <c r="Y1440" s="2"/>
      <c r="Z1440" s="2"/>
      <c r="AA1440" s="2"/>
      <c r="AB1440" s="2"/>
      <c r="AC1440" s="2"/>
    </row>
    <row r="1441" spans="1:29" ht="10.5" hidden="1">
      <c r="A1441" s="2">
        <f t="shared" si="496"/>
        <v>42</v>
      </c>
      <c r="B1441" s="34" t="str">
        <f>VLOOKUP($A1441,Controle!$B$4:$F$68,2,FALSE)</f>
        <v>Campo Belo 1</v>
      </c>
      <c r="C1441" s="2" t="str">
        <f>VLOOKUP($A1441,Controle!$B$4:$F$68,3,FALSE)</f>
        <v>MORI MINAS IV</v>
      </c>
      <c r="D1441" s="2" t="str">
        <f>VLOOKUP($A1441,Controle!$B$4:$F$68,4,FALSE)</f>
        <v>NewCo IV</v>
      </c>
      <c r="E1441" s="2">
        <f>VLOOKUP($A1441,Controle!$B$4:$F$68,5,FALSE)</f>
        <v>2</v>
      </c>
      <c r="F1441" s="3" t="str">
        <f t="shared" si="492"/>
        <v>Construção - RDA Interno</v>
      </c>
      <c r="G1441" s="2" t="str">
        <f>VLOOKUP($A1441,Controle!$B$4:$G$68,6,FALSE)</f>
        <v>Solatio</v>
      </c>
      <c r="H1441" s="6" t="s">
        <v>143</v>
      </c>
      <c r="I1441" s="6">
        <v>428479.2</v>
      </c>
      <c r="J1441" s="6">
        <v>6400</v>
      </c>
      <c r="K1441" s="6">
        <v>7304.5454</v>
      </c>
      <c r="L1441" s="6">
        <v>0</v>
      </c>
      <c r="M1441" s="6">
        <v>0</v>
      </c>
      <c r="N1441" s="6">
        <v>0</v>
      </c>
      <c r="O1441" s="4">
        <f>SUM(I1441:N1441)+0.0046</f>
        <v>442183.75</v>
      </c>
      <c r="P1441" s="5">
        <f>SUMIFS('Desenvolvimento diário'!$H:$H,'Desenvolvimento diário'!$Q:$Q,$B1441,'Desenvolvimento diário'!$P:$P,$F1441,'Desenvolvimento diário'!$R:$R,"Sim")</f>
        <v>0</v>
      </c>
      <c r="Q1441" s="5">
        <f>SUMIFS('Desenvolvimento diário'!$H:$H,'Desenvolvimento diário'!$Q:$Q,$B1441,'Desenvolvimento diário'!$P:$P,$F1441,'Desenvolvimento diário'!$R:$R,"Não")</f>
        <v>442183.75</v>
      </c>
      <c r="R1441" s="4">
        <f t="shared" si="494"/>
        <v>442183.75</v>
      </c>
      <c r="S1441" s="137">
        <f t="shared" si="495"/>
        <v>0</v>
      </c>
      <c r="T1441" s="12">
        <f t="shared" si="486"/>
        <v>1</v>
      </c>
      <c r="Y1441" s="2"/>
      <c r="Z1441" s="2"/>
      <c r="AA1441" s="2"/>
      <c r="AB1441" s="2"/>
      <c r="AC1441" s="2"/>
    </row>
    <row r="1442" spans="1:29" ht="10.5" hidden="1">
      <c r="A1442" s="2">
        <f t="shared" si="496"/>
        <v>42</v>
      </c>
      <c r="B1442" s="2" t="str">
        <f>VLOOKUP($A1442,Controle!$B$4:$F$68,2,FALSE)</f>
        <v>Campo Belo 1</v>
      </c>
      <c r="C1442" s="2" t="str">
        <f>VLOOKUP($A1442,Controle!$B$4:$F$68,3,FALSE)</f>
        <v>MORI MINAS IV</v>
      </c>
      <c r="D1442" s="2" t="str">
        <f>VLOOKUP($A1442,Controle!$B$4:$F$68,4,FALSE)</f>
        <v>NewCo IV</v>
      </c>
      <c r="E1442" s="2">
        <f>VLOOKUP($A1442,Controle!$B$4:$F$68,5,FALSE)</f>
        <v>2</v>
      </c>
      <c r="F1442" s="3" t="str">
        <f t="shared" si="492"/>
        <v>Full EPC - Contrato</v>
      </c>
      <c r="G1442" s="2" t="str">
        <f>VLOOKUP($A1442,Controle!$B$4:$G$68,6,FALSE)</f>
        <v>Solatio</v>
      </c>
      <c r="H1442" s="6">
        <v>0</v>
      </c>
      <c r="I1442" s="6">
        <v>0</v>
      </c>
      <c r="J1442" s="6">
        <v>0</v>
      </c>
      <c r="K1442" s="6">
        <v>0</v>
      </c>
      <c r="L1442" s="6">
        <v>0</v>
      </c>
      <c r="M1442" s="6">
        <v>0</v>
      </c>
      <c r="N1442" s="6">
        <v>0</v>
      </c>
      <c r="O1442" s="4">
        <f t="shared" si="493"/>
        <v>0</v>
      </c>
      <c r="P1442" s="5">
        <f>SUMIFS('Desenvolvimento diário'!$H:$H,'Desenvolvimento diário'!$Q:$Q,$B1442,'Desenvolvimento diário'!$P:$P,$F1442,'Desenvolvimento diário'!$R:$R,"Sim")</f>
        <v>0</v>
      </c>
      <c r="Q1442" s="5">
        <f>SUMIFS('Desenvolvimento diário'!$H:$H,'Desenvolvimento diário'!$Q:$Q,$B1442,'Desenvolvimento diário'!$P:$P,$F1442,'Desenvolvimento diário'!$R:$R,"Não")</f>
        <v>0</v>
      </c>
      <c r="R1442" s="4">
        <f t="shared" si="494"/>
        <v>0</v>
      </c>
      <c r="S1442" s="4">
        <f t="shared" si="495"/>
        <v>0</v>
      </c>
      <c r="T1442" s="12">
        <f t="shared" si="486"/>
        <v>0</v>
      </c>
      <c r="Y1442" s="2"/>
      <c r="Z1442" s="2"/>
      <c r="AA1442" s="2"/>
      <c r="AB1442" s="2"/>
      <c r="AC1442" s="2"/>
    </row>
    <row r="1443" spans="1:29" ht="10.5" hidden="1">
      <c r="A1443" s="2">
        <f t="shared" si="496"/>
        <v>42</v>
      </c>
      <c r="B1443" s="2" t="str">
        <f>VLOOKUP($A1443,Controle!$B$4:$F$68,2,FALSE)</f>
        <v>Campo Belo 1</v>
      </c>
      <c r="C1443" s="2" t="str">
        <f>VLOOKUP($A1443,Controle!$B$4:$F$68,3,FALSE)</f>
        <v>MORI MINAS IV</v>
      </c>
      <c r="D1443" s="2" t="str">
        <f>VLOOKUP($A1443,Controle!$B$4:$F$68,4,FALSE)</f>
        <v>NewCo IV</v>
      </c>
      <c r="E1443" s="2">
        <f>VLOOKUP($A1443,Controle!$B$4:$F$68,5,FALSE)</f>
        <v>2</v>
      </c>
      <c r="F1443" s="3" t="str">
        <f t="shared" si="492"/>
        <v>Equipamentos Curva A - Outros (Transformadores)</v>
      </c>
      <c r="G1443" s="2" t="str">
        <f>VLOOKUP($A1443,Controle!$B$4:$G$68,6,FALSE)</f>
        <v>Solatio</v>
      </c>
      <c r="H1443" s="6">
        <v>0</v>
      </c>
      <c r="I1443" s="6">
        <v>0</v>
      </c>
      <c r="J1443" s="6">
        <v>0</v>
      </c>
      <c r="K1443" s="6">
        <v>0</v>
      </c>
      <c r="L1443" s="6">
        <v>0</v>
      </c>
      <c r="M1443" s="6">
        <v>0</v>
      </c>
      <c r="N1443" s="6">
        <v>0</v>
      </c>
      <c r="O1443" s="4">
        <f t="shared" si="493"/>
        <v>0</v>
      </c>
      <c r="P1443" s="5">
        <f>SUMIFS('Desenvolvimento diário'!$H:$H,'Desenvolvimento diário'!$Q:$Q,$B1443,'Desenvolvimento diário'!$P:$P,$F1443,'Desenvolvimento diário'!$R:$R,"Sim")</f>
        <v>0</v>
      </c>
      <c r="Q1443" s="5">
        <f>SUMIFS('Desenvolvimento diário'!$H:$H,'Desenvolvimento diário'!$Q:$Q,$B1443,'Desenvolvimento diário'!$P:$P,$F1443,'Desenvolvimento diário'!$R:$R,"Não")</f>
        <v>0</v>
      </c>
      <c r="R1443" s="4">
        <f t="shared" si="494"/>
        <v>0</v>
      </c>
      <c r="S1443" s="4">
        <f t="shared" si="495"/>
        <v>0</v>
      </c>
      <c r="T1443" s="12">
        <f t="shared" si="486"/>
        <v>0</v>
      </c>
      <c r="Y1443" s="2"/>
      <c r="Z1443" s="2"/>
      <c r="AA1443" s="2"/>
      <c r="AB1443" s="2"/>
      <c r="AC1443" s="2"/>
    </row>
    <row r="1444" spans="1:29" ht="10.5" hidden="1">
      <c r="A1444" s="2">
        <f t="shared" si="496"/>
        <v>42</v>
      </c>
      <c r="B1444" s="2" t="str">
        <f>VLOOKUP($A1444,Controle!$B$4:$F$68,2,FALSE)</f>
        <v>Campo Belo 1</v>
      </c>
      <c r="C1444" s="2" t="str">
        <f>VLOOKUP($A1444,Controle!$B$4:$F$68,3,FALSE)</f>
        <v>MORI MINAS IV</v>
      </c>
      <c r="D1444" s="2" t="str">
        <f>VLOOKUP($A1444,Controle!$B$4:$F$68,4,FALSE)</f>
        <v>NewCo IV</v>
      </c>
      <c r="E1444" s="2">
        <f>VLOOKUP($A1444,Controle!$B$4:$F$68,5,FALSE)</f>
        <v>2</v>
      </c>
      <c r="F1444" s="3" t="str">
        <f t="shared" si="492"/>
        <v>Equipamentos Curva A - Outros (Cabine + Skid)</v>
      </c>
      <c r="G1444" s="2" t="str">
        <f>VLOOKUP($A1444,Controle!$B$4:$G$68,6,FALSE)</f>
        <v>Solatio</v>
      </c>
      <c r="H1444" s="6">
        <v>0</v>
      </c>
      <c r="I1444" s="6">
        <v>0</v>
      </c>
      <c r="J1444" s="6">
        <v>0</v>
      </c>
      <c r="K1444" s="6">
        <v>0</v>
      </c>
      <c r="L1444" s="6">
        <v>0</v>
      </c>
      <c r="M1444" s="6">
        <v>0</v>
      </c>
      <c r="N1444" s="6">
        <v>0</v>
      </c>
      <c r="O1444" s="4">
        <f t="shared" si="493"/>
        <v>0</v>
      </c>
      <c r="P1444" s="5">
        <f>SUMIFS('Desenvolvimento diário'!$H:$H,'Desenvolvimento diário'!$Q:$Q,$B1444,'Desenvolvimento diário'!$P:$P,$F1444,'Desenvolvimento diário'!$R:$R,"Sim")</f>
        <v>0</v>
      </c>
      <c r="Q1444" s="5">
        <f>SUMIFS('Desenvolvimento diário'!$H:$H,'Desenvolvimento diário'!$Q:$Q,$B1444,'Desenvolvimento diário'!$P:$P,$F1444,'Desenvolvimento diário'!$R:$R,"Não")</f>
        <v>0</v>
      </c>
      <c r="R1444" s="4">
        <f t="shared" si="494"/>
        <v>0</v>
      </c>
      <c r="S1444" s="4">
        <f t="shared" si="495"/>
        <v>0</v>
      </c>
      <c r="T1444" s="12">
        <f t="shared" si="486"/>
        <v>0</v>
      </c>
      <c r="Y1444" s="2"/>
      <c r="Z1444" s="2"/>
      <c r="AA1444" s="2"/>
      <c r="AB1444" s="2"/>
      <c r="AC1444" s="2"/>
    </row>
    <row r="1445" spans="1:29" ht="10.5" hidden="1">
      <c r="A1445" s="2">
        <f t="shared" si="496"/>
        <v>42</v>
      </c>
      <c r="B1445" s="2" t="str">
        <f>VLOOKUP($A1445,Controle!$B$4:$F$68,2,FALSE)</f>
        <v>Campo Belo 1</v>
      </c>
      <c r="C1445" s="2" t="str">
        <f>VLOOKUP($A1445,Controle!$B$4:$F$68,3,FALSE)</f>
        <v>MORI MINAS IV</v>
      </c>
      <c r="D1445" s="2" t="str">
        <f>VLOOKUP($A1445,Controle!$B$4:$F$68,4,FALSE)</f>
        <v>NewCo IV</v>
      </c>
      <c r="E1445" s="2">
        <f>VLOOKUP($A1445,Controle!$B$4:$F$68,5,FALSE)</f>
        <v>2</v>
      </c>
      <c r="F1445" s="3" t="str">
        <f t="shared" si="492"/>
        <v>Equipamentos Curva A - Outros (Cabine + Skid + Transformador)</v>
      </c>
      <c r="G1445" s="2" t="str">
        <f>VLOOKUP($A1445,Controle!$B$4:$G$68,6,FALSE)</f>
        <v>Solatio</v>
      </c>
      <c r="H1445" s="6" t="s">
        <v>144</v>
      </c>
      <c r="I1445" s="6">
        <v>1264270.6073759999</v>
      </c>
      <c r="J1445" s="6">
        <v>0</v>
      </c>
      <c r="K1445" s="6">
        <v>0</v>
      </c>
      <c r="L1445" s="6">
        <v>0</v>
      </c>
      <c r="M1445" s="6">
        <v>0</v>
      </c>
      <c r="N1445" s="6">
        <v>0</v>
      </c>
      <c r="O1445" s="4">
        <f t="shared" si="493"/>
        <v>1264270.6073759999</v>
      </c>
      <c r="P1445" s="5">
        <f>SUMIFS('Desenvolvimento diário'!$H:$H,'Desenvolvimento diário'!$Q:$Q,$B1445,'Desenvolvimento diário'!$P:$P,$F1445,'Desenvolvimento diário'!$R:$R,"Sim")</f>
        <v>0</v>
      </c>
      <c r="Q1445" s="5">
        <f>SUMIFS('Desenvolvimento diário'!$H:$H,'Desenvolvimento diário'!$Q:$Q,$B1445,'Desenvolvimento diário'!$P:$P,$F1445,'Desenvolvimento diário'!$R:$R,"Não")</f>
        <v>1264270.6073759999</v>
      </c>
      <c r="R1445" s="4">
        <f t="shared" si="494"/>
        <v>1264270.6073759999</v>
      </c>
      <c r="S1445" s="4">
        <f t="shared" si="495"/>
        <v>0</v>
      </c>
      <c r="T1445" s="12">
        <f t="shared" si="486"/>
        <v>1</v>
      </c>
      <c r="Y1445" s="2"/>
      <c r="Z1445" s="2"/>
      <c r="AA1445" s="2"/>
      <c r="AB1445" s="2"/>
      <c r="AC1445" s="2"/>
    </row>
    <row r="1446" spans="1:29" ht="10.5" hidden="1">
      <c r="A1446" s="2">
        <f t="shared" si="496"/>
        <v>42</v>
      </c>
      <c r="B1446" s="2" t="str">
        <f>VLOOKUP($A1446,Controle!$B$4:$F$68,2,FALSE)</f>
        <v>Campo Belo 1</v>
      </c>
      <c r="C1446" s="2" t="str">
        <f>VLOOKUP($A1446,Controle!$B$4:$F$68,3,FALSE)</f>
        <v>MORI MINAS IV</v>
      </c>
      <c r="D1446" s="2" t="str">
        <f>VLOOKUP($A1446,Controle!$B$4:$F$68,4,FALSE)</f>
        <v>NewCo IV</v>
      </c>
      <c r="E1446" s="2">
        <f>VLOOKUP($A1446,Controle!$B$4:$F$68,5,FALSE)</f>
        <v>2</v>
      </c>
      <c r="F1446" s="3" t="str">
        <f t="shared" si="492"/>
        <v>Desenvolvimento de projeto - Projetos - (Eng° Proprietario)</v>
      </c>
      <c r="G1446" s="2" t="str">
        <f>VLOOKUP($A1446,Controle!$B$4:$G$68,6,FALSE)</f>
        <v>Solatio</v>
      </c>
      <c r="H1446" s="6" t="s">
        <v>145</v>
      </c>
      <c r="I1446" s="6">
        <v>0</v>
      </c>
      <c r="J1446" s="6">
        <v>0</v>
      </c>
      <c r="K1446" s="6">
        <v>0</v>
      </c>
      <c r="L1446" s="6">
        <v>0</v>
      </c>
      <c r="M1446" s="6">
        <v>0</v>
      </c>
      <c r="N1446" s="6">
        <v>0</v>
      </c>
      <c r="O1446" s="4">
        <f t="shared" si="493"/>
        <v>0</v>
      </c>
      <c r="P1446" s="5">
        <f>SUMIFS('Desenvolvimento diário'!$H:$H,'Desenvolvimento diário'!$Q:$Q,$B1446,'Desenvolvimento diário'!$P:$P,$F1446,'Desenvolvimento diário'!$R:$R,"Sim")</f>
        <v>0</v>
      </c>
      <c r="Q1446" s="5">
        <f>SUMIFS('Desenvolvimento diário'!$H:$H,'Desenvolvimento diário'!$Q:$Q,$B1446,'Desenvolvimento diário'!$P:$P,$F1446,'Desenvolvimento diário'!$R:$R,"Não")</f>
        <v>0</v>
      </c>
      <c r="R1446" s="4">
        <f t="shared" si="494"/>
        <v>0</v>
      </c>
      <c r="S1446" s="4">
        <f t="shared" si="495"/>
        <v>0</v>
      </c>
      <c r="T1446" s="12">
        <f t="shared" si="486"/>
        <v>0</v>
      </c>
      <c r="Y1446" s="2"/>
      <c r="Z1446" s="2"/>
      <c r="AA1446" s="2"/>
      <c r="AB1446" s="2"/>
      <c r="AC1446" s="2"/>
    </row>
    <row r="1447" spans="1:29" ht="10.5" hidden="1">
      <c r="A1447" s="2">
        <f t="shared" si="496"/>
        <v>42</v>
      </c>
      <c r="B1447" s="2" t="str">
        <f>VLOOKUP($A1447,Controle!$B$4:$F$68,2,FALSE)</f>
        <v>Campo Belo 1</v>
      </c>
      <c r="C1447" s="2" t="str">
        <f>VLOOKUP($A1447,Controle!$B$4:$F$68,3,FALSE)</f>
        <v>MORI MINAS IV</v>
      </c>
      <c r="D1447" s="2" t="str">
        <f>VLOOKUP($A1447,Controle!$B$4:$F$68,4,FALSE)</f>
        <v>NewCo IV</v>
      </c>
      <c r="E1447" s="2">
        <f>VLOOKUP($A1447,Controle!$B$4:$F$68,5,FALSE)</f>
        <v>2</v>
      </c>
      <c r="F1447" s="3" t="str">
        <f t="shared" si="492"/>
        <v>Desenvolvimento de projeto - Projetos - Executivos</v>
      </c>
      <c r="G1447" s="2" t="str">
        <f>VLOOKUP($A1447,Controle!$B$4:$G$68,6,FALSE)</f>
        <v>Solatio</v>
      </c>
      <c r="H1447" s="6">
        <v>0</v>
      </c>
      <c r="I1447" s="6">
        <v>0</v>
      </c>
      <c r="J1447" s="6">
        <v>0</v>
      </c>
      <c r="K1447" s="6">
        <v>0</v>
      </c>
      <c r="L1447" s="6">
        <v>0</v>
      </c>
      <c r="M1447" s="6">
        <v>0</v>
      </c>
      <c r="N1447" s="6">
        <v>0</v>
      </c>
      <c r="O1447" s="4">
        <f t="shared" si="493"/>
        <v>0</v>
      </c>
      <c r="P1447" s="5">
        <f>SUMIFS('Desenvolvimento diário'!$H:$H,'Desenvolvimento diário'!$Q:$Q,$B1447,'Desenvolvimento diário'!$P:$P,$F1447,'Desenvolvimento diário'!$R:$R,"Sim")</f>
        <v>0</v>
      </c>
      <c r="Q1447" s="5">
        <f>SUMIFS('Desenvolvimento diário'!$H:$H,'Desenvolvimento diário'!$Q:$Q,$B1447,'Desenvolvimento diário'!$P:$P,$F1447,'Desenvolvimento diário'!$R:$R,"Não")</f>
        <v>0</v>
      </c>
      <c r="R1447" s="4">
        <f t="shared" si="494"/>
        <v>0</v>
      </c>
      <c r="S1447" s="4">
        <f t="shared" si="495"/>
        <v>0</v>
      </c>
      <c r="T1447" s="12">
        <f t="shared" si="486"/>
        <v>0</v>
      </c>
      <c r="Y1447" s="2"/>
      <c r="Z1447" s="2"/>
      <c r="AA1447" s="2"/>
      <c r="AB1447" s="2"/>
      <c r="AC1447" s="2"/>
    </row>
    <row r="1448" spans="1:29" ht="10.5" hidden="1">
      <c r="A1448" s="2">
        <f t="shared" si="496"/>
        <v>42</v>
      </c>
      <c r="B1448" s="2" t="str">
        <f>VLOOKUP($A1448,Controle!$B$4:$F$68,2,FALSE)</f>
        <v>Campo Belo 1</v>
      </c>
      <c r="C1448" s="2" t="str">
        <f>VLOOKUP($A1448,Controle!$B$4:$F$68,3,FALSE)</f>
        <v>MORI MINAS IV</v>
      </c>
      <c r="D1448" s="2" t="str">
        <f>VLOOKUP($A1448,Controle!$B$4:$F$68,4,FALSE)</f>
        <v>NewCo IV</v>
      </c>
      <c r="E1448" s="2">
        <f>VLOOKUP($A1448,Controle!$B$4:$F$68,5,FALSE)</f>
        <v>2</v>
      </c>
      <c r="F1448" s="3" t="str">
        <f t="shared" si="492"/>
        <v>Desenvolvimento de projeto - Projetos Básica</v>
      </c>
      <c r="G1448" s="2" t="str">
        <f>VLOOKUP($A1448,Controle!$B$4:$G$68,6,FALSE)</f>
        <v>Solatio</v>
      </c>
      <c r="H1448" s="6">
        <v>0</v>
      </c>
      <c r="I1448" s="6">
        <v>0</v>
      </c>
      <c r="J1448" s="6">
        <v>0</v>
      </c>
      <c r="K1448" s="6">
        <v>0</v>
      </c>
      <c r="L1448" s="6">
        <v>0</v>
      </c>
      <c r="M1448" s="6">
        <v>0</v>
      </c>
      <c r="N1448" s="6">
        <v>0</v>
      </c>
      <c r="O1448" s="4">
        <f t="shared" si="493"/>
        <v>0</v>
      </c>
      <c r="P1448" s="5">
        <f>SUMIFS('Desenvolvimento diário'!$H:$H,'Desenvolvimento diário'!$Q:$Q,$B1448,'Desenvolvimento diário'!$P:$P,$F1448,'Desenvolvimento diário'!$R:$R,"Sim")</f>
        <v>0</v>
      </c>
      <c r="Q1448" s="5">
        <f>SUMIFS('Desenvolvimento diário'!$H:$H,'Desenvolvimento diário'!$Q:$Q,$B1448,'Desenvolvimento diário'!$P:$P,$F1448,'Desenvolvimento diário'!$R:$R,"Não")</f>
        <v>0</v>
      </c>
      <c r="R1448" s="4">
        <f t="shared" si="494"/>
        <v>0</v>
      </c>
      <c r="S1448" s="4">
        <f t="shared" si="495"/>
        <v>0</v>
      </c>
      <c r="T1448" s="12">
        <f t="shared" si="486"/>
        <v>0</v>
      </c>
      <c r="Y1448" s="2"/>
      <c r="Z1448" s="2"/>
      <c r="AA1448" s="2"/>
      <c r="AB1448" s="2"/>
      <c r="AC1448" s="2"/>
    </row>
    <row r="1449" spans="1:29" ht="10.5" hidden="1">
      <c r="A1449" s="2">
        <f t="shared" si="496"/>
        <v>42</v>
      </c>
      <c r="B1449" s="2" t="str">
        <f>VLOOKUP($A1449,Controle!$B$4:$F$68,2,FALSE)</f>
        <v>Campo Belo 1</v>
      </c>
      <c r="C1449" s="2" t="str">
        <f>VLOOKUP($A1449,Controle!$B$4:$F$68,3,FALSE)</f>
        <v>MORI MINAS IV</v>
      </c>
      <c r="D1449" s="2" t="str">
        <f>VLOOKUP($A1449,Controle!$B$4:$F$68,4,FALSE)</f>
        <v>NewCo IV</v>
      </c>
      <c r="E1449" s="2">
        <f>VLOOKUP($A1449,Controle!$B$4:$F$68,5,FALSE)</f>
        <v>2</v>
      </c>
      <c r="F1449" s="3" t="str">
        <f t="shared" si="492"/>
        <v>Desenvolvimento de projeto - Projetos Detalhada</v>
      </c>
      <c r="G1449" s="2" t="str">
        <f>VLOOKUP($A1449,Controle!$B$4:$G$68,6,FALSE)</f>
        <v>Solatio</v>
      </c>
      <c r="H1449" s="6" t="s">
        <v>147</v>
      </c>
      <c r="I1449" s="6">
        <v>93783</v>
      </c>
      <c r="J1449" s="6">
        <v>53816.11</v>
      </c>
      <c r="K1449" s="6">
        <v>0</v>
      </c>
      <c r="L1449" s="6">
        <v>0</v>
      </c>
      <c r="M1449" s="6">
        <v>0</v>
      </c>
      <c r="N1449" s="6">
        <v>0</v>
      </c>
      <c r="O1449" s="4">
        <f>SUM(I1449:N1449)+0.38</f>
        <v>147599.49</v>
      </c>
      <c r="P1449" s="5">
        <f>SUMIFS('Desenvolvimento diário'!$H:$H,'Desenvolvimento diário'!$Q:$Q,$B1449,'Desenvolvimento diário'!$P:$P,$F1449,'Desenvolvimento diário'!$R:$R,"Sim")</f>
        <v>0</v>
      </c>
      <c r="Q1449" s="5">
        <f>SUMIFS('Desenvolvimento diário'!$H:$H,'Desenvolvimento diário'!$Q:$Q,$B1449,'Desenvolvimento diário'!$P:$P,$F1449,'Desenvolvimento diário'!$R:$R,"Não")</f>
        <v>147599.49</v>
      </c>
      <c r="R1449" s="4">
        <f t="shared" si="494"/>
        <v>147599.49</v>
      </c>
      <c r="S1449" s="175">
        <f t="shared" si="495"/>
        <v>0</v>
      </c>
      <c r="T1449" s="12">
        <f t="shared" si="486"/>
        <v>1</v>
      </c>
      <c r="Y1449" s="2"/>
      <c r="Z1449" s="2"/>
      <c r="AA1449" s="2"/>
      <c r="AB1449" s="2"/>
      <c r="AC1449" s="2"/>
    </row>
    <row r="1450" spans="1:29" ht="10.5" hidden="1">
      <c r="A1450" s="2">
        <f t="shared" si="496"/>
        <v>42</v>
      </c>
      <c r="B1450" s="2" t="str">
        <f>VLOOKUP($A1450,Controle!$B$4:$F$68,2,FALSE)</f>
        <v>Campo Belo 1</v>
      </c>
      <c r="C1450" s="2" t="str">
        <f>VLOOKUP($A1450,Controle!$B$4:$F$68,3,FALSE)</f>
        <v>MORI MINAS IV</v>
      </c>
      <c r="D1450" s="2" t="str">
        <f>VLOOKUP($A1450,Controle!$B$4:$F$68,4,FALSE)</f>
        <v>NewCo IV</v>
      </c>
      <c r="E1450" s="2">
        <f>VLOOKUP($A1450,Controle!$B$4:$F$68,5,FALSE)</f>
        <v>2</v>
      </c>
      <c r="F1450" s="3" t="str">
        <f t="shared" si="492"/>
        <v>Desenvolvimento de projeto - Ambiental / Outros</v>
      </c>
      <c r="G1450" s="2" t="str">
        <f>VLOOKUP($A1450,Controle!$B$4:$G$68,6,FALSE)</f>
        <v>Solatio</v>
      </c>
      <c r="H1450" s="6" t="s">
        <v>148</v>
      </c>
      <c r="I1450" s="6">
        <f>R1450</f>
        <v>121289.95999999999</v>
      </c>
      <c r="J1450" s="6">
        <v>0</v>
      </c>
      <c r="K1450" s="6">
        <v>0</v>
      </c>
      <c r="L1450" s="6">
        <v>0</v>
      </c>
      <c r="M1450" s="6">
        <v>0</v>
      </c>
      <c r="N1450" s="6">
        <v>0</v>
      </c>
      <c r="O1450" s="4">
        <f t="shared" si="493"/>
        <v>121289.95999999999</v>
      </c>
      <c r="P1450" s="5">
        <f>SUMIFS('Desenvolvimento diário'!$H:$H,'Desenvolvimento diário'!$Q:$Q,$B1450,'Desenvolvimento diário'!$P:$P,$F1450,'Desenvolvimento diário'!$R:$R,"Sim")</f>
        <v>0</v>
      </c>
      <c r="Q1450" s="5">
        <f>SUMIFS('Desenvolvimento diário'!$H:$H,'Desenvolvimento diário'!$Q:$Q,$B1450,'Desenvolvimento diário'!$P:$P,$F1450,'Desenvolvimento diário'!$R:$R,"Não")</f>
        <v>121289.95999999999</v>
      </c>
      <c r="R1450" s="4">
        <f t="shared" si="494"/>
        <v>121289.95999999999</v>
      </c>
      <c r="S1450" s="4">
        <f t="shared" si="495"/>
        <v>0</v>
      </c>
      <c r="T1450" s="12">
        <f t="shared" si="486"/>
        <v>1</v>
      </c>
      <c r="Y1450" s="2"/>
      <c r="Z1450" s="2"/>
      <c r="AA1450" s="2"/>
      <c r="AB1450" s="2"/>
      <c r="AC1450" s="2"/>
    </row>
    <row r="1451" spans="1:29" hidden="1">
      <c r="A1451" s="2">
        <f t="shared" si="496"/>
        <v>42</v>
      </c>
      <c r="B1451" s="2" t="str">
        <f>VLOOKUP($A1451,Controle!$B$4:$F$68,2,FALSE)</f>
        <v>Campo Belo 1</v>
      </c>
      <c r="C1451" s="2" t="str">
        <f>VLOOKUP($A1451,Controle!$B$4:$F$68,3,FALSE)</f>
        <v>MORI MINAS IV</v>
      </c>
      <c r="D1451" s="2" t="str">
        <f>VLOOKUP($A1451,Controle!$B$4:$F$68,4,FALSE)</f>
        <v>NewCo IV</v>
      </c>
      <c r="E1451" s="2">
        <f>VLOOKUP($A1451,Controle!$B$4:$F$68,5,FALSE)</f>
        <v>2</v>
      </c>
      <c r="F1451" s="3" t="str">
        <f t="shared" si="492"/>
        <v>Desenvolvimento de projeto - Coordenograma</v>
      </c>
      <c r="G1451" s="2" t="str">
        <f>VLOOKUP($A1451,Controle!$B$4:$G$68,6,FALSE)</f>
        <v>Solatio</v>
      </c>
      <c r="H1451" s="31" t="s">
        <v>149</v>
      </c>
      <c r="I1451" s="31">
        <v>6206.9</v>
      </c>
      <c r="J1451" s="31">
        <v>2281.25</v>
      </c>
      <c r="K1451" s="31">
        <v>0</v>
      </c>
      <c r="L1451" s="6">
        <v>0</v>
      </c>
      <c r="M1451" s="6">
        <v>0</v>
      </c>
      <c r="N1451" s="6">
        <v>0</v>
      </c>
      <c r="O1451" s="4">
        <f t="shared" si="493"/>
        <v>8488.15</v>
      </c>
      <c r="P1451" s="5">
        <f>SUMIFS('Desenvolvimento diário'!$H:$H,'Desenvolvimento diário'!$Q:$Q,$B1451,'Desenvolvimento diário'!$P:$P,$F1451,'Desenvolvimento diário'!$R:$R,"Sim")</f>
        <v>0</v>
      </c>
      <c r="Q1451" s="5">
        <f>SUMIFS('Desenvolvimento diário'!$H:$H,'Desenvolvimento diário'!$Q:$Q,$B1451,'Desenvolvimento diário'!$P:$P,$F1451,'Desenvolvimento diário'!$R:$R,"Não")</f>
        <v>8488.15</v>
      </c>
      <c r="R1451" s="4">
        <f t="shared" si="494"/>
        <v>8488.15</v>
      </c>
      <c r="S1451" s="4">
        <f t="shared" si="495"/>
        <v>0</v>
      </c>
      <c r="T1451" s="12">
        <f t="shared" si="486"/>
        <v>1</v>
      </c>
      <c r="Y1451" s="2"/>
      <c r="Z1451" s="2"/>
      <c r="AA1451" s="2"/>
      <c r="AB1451" s="2"/>
      <c r="AC1451" s="2"/>
    </row>
    <row r="1452" spans="1:29" ht="10.5" hidden="1">
      <c r="A1452" s="2">
        <f t="shared" si="496"/>
        <v>42</v>
      </c>
      <c r="B1452" s="2" t="str">
        <f>VLOOKUP($A1452,Controle!$B$4:$F$68,2,FALSE)</f>
        <v>Campo Belo 1</v>
      </c>
      <c r="C1452" s="2" t="str">
        <f>VLOOKUP($A1452,Controle!$B$4:$F$68,3,FALSE)</f>
        <v>MORI MINAS IV</v>
      </c>
      <c r="D1452" s="2" t="str">
        <f>VLOOKUP($A1452,Controle!$B$4:$F$68,4,FALSE)</f>
        <v>NewCo IV</v>
      </c>
      <c r="E1452" s="2">
        <f>VLOOKUP($A1452,Controle!$B$4:$F$68,5,FALSE)</f>
        <v>2</v>
      </c>
      <c r="F1452" s="3" t="str">
        <f t="shared" si="492"/>
        <v>Sistemas de Monitoramento - Supervisório</v>
      </c>
      <c r="G1452" s="2" t="str">
        <f>VLOOKUP($A1452,Controle!$B$4:$G$68,6,FALSE)</f>
        <v>Solatio</v>
      </c>
      <c r="H1452" s="6" t="s">
        <v>150</v>
      </c>
      <c r="I1452" s="6">
        <f>136155+(0.01)</f>
        <v>136155.01</v>
      </c>
      <c r="J1452" s="6"/>
      <c r="K1452" s="6">
        <v>0</v>
      </c>
      <c r="L1452" s="6">
        <v>0</v>
      </c>
      <c r="M1452" s="6">
        <v>0</v>
      </c>
      <c r="N1452" s="6">
        <v>0</v>
      </c>
      <c r="O1452" s="4">
        <f t="shared" si="493"/>
        <v>136155.01</v>
      </c>
      <c r="P1452" s="5">
        <f>SUMIFS('Desenvolvimento diário'!$H:$H,'Desenvolvimento diário'!$Q:$Q,$B1452,'Desenvolvimento diário'!$P:$P,$F1452,'Desenvolvimento diário'!$R:$R,"Sim")</f>
        <v>5821.02</v>
      </c>
      <c r="Q1452" s="5">
        <f>SUMIFS('Desenvolvimento diário'!$H:$H,'Desenvolvimento diário'!$Q:$Q,$B1452,'Desenvolvimento diário'!$P:$P,$F1452,'Desenvolvimento diário'!$R:$R,"Não")</f>
        <v>130333.99</v>
      </c>
      <c r="R1452" s="4">
        <f t="shared" si="494"/>
        <v>136155.01</v>
      </c>
      <c r="S1452" s="43">
        <f t="shared" si="495"/>
        <v>0</v>
      </c>
      <c r="T1452" s="12">
        <f t="shared" si="486"/>
        <v>1</v>
      </c>
      <c r="Y1452" s="2"/>
      <c r="Z1452" s="2"/>
      <c r="AA1452" s="2"/>
      <c r="AB1452" s="2"/>
      <c r="AC1452" s="2"/>
    </row>
    <row r="1453" spans="1:29" ht="10.5" hidden="1">
      <c r="A1453" s="2">
        <f t="shared" si="496"/>
        <v>42</v>
      </c>
      <c r="B1453" s="2" t="str">
        <f>VLOOKUP($A1453,Controle!$B$4:$F$68,2,FALSE)</f>
        <v>Campo Belo 1</v>
      </c>
      <c r="C1453" s="2" t="str">
        <f>VLOOKUP($A1453,Controle!$B$4:$F$68,3,FALSE)</f>
        <v>MORI MINAS IV</v>
      </c>
      <c r="D1453" s="2" t="str">
        <f>VLOOKUP($A1453,Controle!$B$4:$F$68,4,FALSE)</f>
        <v>NewCo IV</v>
      </c>
      <c r="E1453" s="2">
        <f>VLOOKUP($A1453,Controle!$B$4:$F$68,5,FALSE)</f>
        <v>2</v>
      </c>
      <c r="F1453" s="3" t="str">
        <f t="shared" si="492"/>
        <v>Sistemas de Monitoramento - Estações Solarimétricas</v>
      </c>
      <c r="G1453" s="2" t="str">
        <f>VLOOKUP($A1453,Controle!$B$4:$G$68,6,FALSE)</f>
        <v>Solatio</v>
      </c>
      <c r="H1453" s="6" t="s">
        <v>151</v>
      </c>
      <c r="I1453" s="6">
        <v>48276.516000000003</v>
      </c>
      <c r="J1453" s="6">
        <v>0</v>
      </c>
      <c r="K1453" s="6">
        <v>0</v>
      </c>
      <c r="L1453" s="6">
        <v>0</v>
      </c>
      <c r="M1453" s="6">
        <v>0</v>
      </c>
      <c r="N1453" s="6">
        <v>0</v>
      </c>
      <c r="O1453" s="4">
        <f t="shared" si="493"/>
        <v>48276.516000000003</v>
      </c>
      <c r="P1453" s="5">
        <f>SUMIFS('Desenvolvimento diário'!$H:$H,'Desenvolvimento diário'!$Q:$Q,$B1453,'Desenvolvimento diário'!$P:$P,$F1453,'Desenvolvimento diário'!$R:$R,"Sim")</f>
        <v>0</v>
      </c>
      <c r="Q1453" s="5">
        <f>SUMIFS('Desenvolvimento diário'!$H:$H,'Desenvolvimento diário'!$Q:$Q,$B1453,'Desenvolvimento diário'!$P:$P,$F1453,'Desenvolvimento diário'!$R:$R,"Não")</f>
        <v>48276.516000000003</v>
      </c>
      <c r="R1453" s="4">
        <f t="shared" si="494"/>
        <v>48276.516000000003</v>
      </c>
      <c r="S1453" s="4">
        <f t="shared" si="495"/>
        <v>0</v>
      </c>
      <c r="T1453" s="12">
        <f t="shared" si="486"/>
        <v>1</v>
      </c>
      <c r="Y1453" s="2"/>
      <c r="Z1453" s="2"/>
      <c r="AA1453" s="2"/>
      <c r="AB1453" s="2"/>
      <c r="AC1453" s="2"/>
    </row>
    <row r="1454" spans="1:29" hidden="1">
      <c r="A1454" s="2">
        <f t="shared" si="496"/>
        <v>42</v>
      </c>
      <c r="B1454" s="2" t="str">
        <f>VLOOKUP($A1454,Controle!$B$4:$F$68,2,FALSE)</f>
        <v>Campo Belo 1</v>
      </c>
      <c r="C1454" s="2" t="str">
        <f>VLOOKUP($A1454,Controle!$B$4:$F$68,3,FALSE)</f>
        <v>MORI MINAS IV</v>
      </c>
      <c r="D1454" s="2" t="str">
        <f>VLOOKUP($A1454,Controle!$B$4:$F$68,4,FALSE)</f>
        <v>NewCo IV</v>
      </c>
      <c r="E1454" s="2">
        <f>VLOOKUP($A1454,Controle!$B$4:$F$68,5,FALSE)</f>
        <v>2</v>
      </c>
      <c r="F1454" s="3" t="str">
        <f t="shared" si="492"/>
        <v>Sistemas de Monitoramento - CFTV</v>
      </c>
      <c r="G1454" s="2" t="str">
        <f>VLOOKUP($A1454,Controle!$B$4:$G$68,6,FALSE)</f>
        <v>Solatio</v>
      </c>
      <c r="H1454" s="31" t="s">
        <v>152</v>
      </c>
      <c r="I1454" s="6">
        <v>295918.52</v>
      </c>
      <c r="J1454" s="6">
        <v>0</v>
      </c>
      <c r="K1454" s="1068">
        <v>10634.2</v>
      </c>
      <c r="L1454" s="6">
        <v>0</v>
      </c>
      <c r="M1454" s="6">
        <v>0</v>
      </c>
      <c r="N1454" s="6"/>
      <c r="O1454" s="4">
        <f t="shared" si="493"/>
        <v>306552.72000000003</v>
      </c>
      <c r="P1454" s="5">
        <f>SUMIFS('Desenvolvimento diário'!$H:$H,'Desenvolvimento diário'!$Q:$Q,$B1454,'Desenvolvimento diário'!$P:$P,$F1454,'Desenvolvimento diário'!$R:$R,"Sim")</f>
        <v>0</v>
      </c>
      <c r="Q1454" s="5">
        <f>SUMIFS('Desenvolvimento diário'!$H:$H,'Desenvolvimento diário'!$Q:$Q,$B1454,'Desenvolvimento diário'!$P:$P,$F1454,'Desenvolvimento diário'!$R:$R,"Não")</f>
        <v>306552.72000000003</v>
      </c>
      <c r="R1454" s="4">
        <f t="shared" si="494"/>
        <v>306552.72000000003</v>
      </c>
      <c r="S1454" s="1020">
        <f t="shared" si="495"/>
        <v>0</v>
      </c>
      <c r="T1454" s="12">
        <f t="shared" si="486"/>
        <v>1</v>
      </c>
      <c r="U1454" s="1021" t="s">
        <v>166</v>
      </c>
      <c r="V1454" s="1021" t="s">
        <v>222</v>
      </c>
      <c r="Y1454" s="2"/>
      <c r="Z1454" s="2"/>
      <c r="AA1454" s="2"/>
      <c r="AB1454" s="2"/>
      <c r="AC1454" s="2"/>
    </row>
    <row r="1455" spans="1:29" ht="10.5" hidden="1">
      <c r="A1455" s="2">
        <f t="shared" si="496"/>
        <v>42</v>
      </c>
      <c r="B1455" s="2" t="str">
        <f>VLOOKUP($A1455,Controle!$B$4:$F$68,2,FALSE)</f>
        <v>Campo Belo 1</v>
      </c>
      <c r="C1455" s="2" t="str">
        <f>VLOOKUP($A1455,Controle!$B$4:$F$68,3,FALSE)</f>
        <v>MORI MINAS IV</v>
      </c>
      <c r="D1455" s="2" t="str">
        <f>VLOOKUP($A1455,Controle!$B$4:$F$68,4,FALSE)</f>
        <v>NewCo IV</v>
      </c>
      <c r="E1455" s="2">
        <f>VLOOKUP($A1455,Controle!$B$4:$F$68,5,FALSE)</f>
        <v>2</v>
      </c>
      <c r="F1455" s="3" t="str">
        <f t="shared" si="492"/>
        <v>Serviços Auxiliares - Drenagem</v>
      </c>
      <c r="G1455" s="2" t="str">
        <f>VLOOKUP($A1455,Controle!$B$4:$G$68,6,FALSE)</f>
        <v>Solatio</v>
      </c>
      <c r="H1455" s="6" t="s">
        <v>223</v>
      </c>
      <c r="I1455" s="6">
        <v>865606.06</v>
      </c>
      <c r="J1455" s="6">
        <v>94504.9</v>
      </c>
      <c r="K1455" s="6">
        <v>0</v>
      </c>
      <c r="L1455" s="6">
        <v>0</v>
      </c>
      <c r="M1455" s="6">
        <v>0</v>
      </c>
      <c r="N1455" s="6">
        <v>0</v>
      </c>
      <c r="O1455" s="4">
        <f t="shared" si="493"/>
        <v>960110.96000000008</v>
      </c>
      <c r="P1455" s="5">
        <f>SUMIFS('Desenvolvimento diário'!$H:$H,'Desenvolvimento diário'!$Q:$Q,$B1455,'Desenvolvimento diário'!$P:$P,$F1455,'Desenvolvimento diário'!$R:$R,"Sim")</f>
        <v>0</v>
      </c>
      <c r="Q1455" s="5">
        <f>SUMIFS('Desenvolvimento diário'!$H:$H,'Desenvolvimento diário'!$Q:$Q,$B1455,'Desenvolvimento diário'!$P:$P,$F1455,'Desenvolvimento diário'!$R:$R,"Não")</f>
        <v>960110.96000000008</v>
      </c>
      <c r="R1455" s="4">
        <f t="shared" si="494"/>
        <v>960110.96000000008</v>
      </c>
      <c r="S1455" s="27">
        <f t="shared" si="495"/>
        <v>0</v>
      </c>
      <c r="T1455" s="12">
        <f t="shared" si="486"/>
        <v>1</v>
      </c>
      <c r="Y1455" s="2"/>
      <c r="Z1455" s="2"/>
      <c r="AA1455" s="2"/>
      <c r="AB1455" s="2"/>
      <c r="AC1455" s="2"/>
    </row>
    <row r="1456" spans="1:29" hidden="1">
      <c r="A1456" s="2">
        <f t="shared" si="496"/>
        <v>42</v>
      </c>
      <c r="B1456" s="2" t="str">
        <f>VLOOKUP($A1456,Controle!$B$4:$F$68,2,FALSE)</f>
        <v>Campo Belo 1</v>
      </c>
      <c r="C1456" s="2" t="str">
        <f>VLOOKUP($A1456,Controle!$B$4:$F$68,3,FALSE)</f>
        <v>MORI MINAS IV</v>
      </c>
      <c r="D1456" s="2" t="str">
        <f>VLOOKUP($A1456,Controle!$B$4:$F$68,4,FALSE)</f>
        <v>NewCo IV</v>
      </c>
      <c r="E1456" s="2">
        <f>VLOOKUP($A1456,Controle!$B$4:$F$68,5,FALSE)</f>
        <v>2</v>
      </c>
      <c r="F1456" s="3" t="str">
        <f t="shared" si="492"/>
        <v>Serviços Auxiliares - Terraplanagem</v>
      </c>
      <c r="G1456" s="2" t="str">
        <f>VLOOKUP($A1456,Controle!$B$4:$G$68,6,FALSE)</f>
        <v>Solatio</v>
      </c>
      <c r="H1456" s="6" t="s">
        <v>214</v>
      </c>
      <c r="I1456" s="6">
        <v>1518756.48</v>
      </c>
      <c r="J1456" s="31">
        <v>360559.71</v>
      </c>
      <c r="K1456" s="31">
        <v>79215</v>
      </c>
      <c r="L1456" s="6">
        <v>0</v>
      </c>
      <c r="M1456" s="6">
        <v>0</v>
      </c>
      <c r="N1456" s="6">
        <v>0</v>
      </c>
      <c r="O1456" s="4">
        <f t="shared" si="493"/>
        <v>1958531.19</v>
      </c>
      <c r="P1456" s="5">
        <f>SUMIFS('Desenvolvimento diário'!$H:$H,'Desenvolvimento diário'!$Q:$Q,$B1456,'Desenvolvimento diário'!$P:$P,$F1456,'Desenvolvimento diário'!$R:$R,"Sim")</f>
        <v>0</v>
      </c>
      <c r="Q1456" s="5">
        <f>SUMIFS('Desenvolvimento diário'!$H:$H,'Desenvolvimento diário'!$Q:$Q,$B1456,'Desenvolvimento diário'!$P:$P,$F1456,'Desenvolvimento diário'!$R:$R,"Não")</f>
        <v>1958531.19</v>
      </c>
      <c r="R1456" s="4">
        <f t="shared" si="494"/>
        <v>1958531.19</v>
      </c>
      <c r="S1456" s="27">
        <f t="shared" si="495"/>
        <v>0</v>
      </c>
      <c r="T1456" s="12">
        <f t="shared" si="486"/>
        <v>1</v>
      </c>
      <c r="Y1456" s="2"/>
      <c r="Z1456" s="2"/>
      <c r="AA1456" s="2"/>
      <c r="AB1456" s="2"/>
      <c r="AC1456" s="2"/>
    </row>
    <row r="1457" spans="1:29" ht="10.5" hidden="1">
      <c r="A1457" s="2">
        <f t="shared" si="496"/>
        <v>42</v>
      </c>
      <c r="B1457" s="2" t="str">
        <f>VLOOKUP($A1457,Controle!$B$4:$F$68,2,FALSE)</f>
        <v>Campo Belo 1</v>
      </c>
      <c r="C1457" s="2" t="str">
        <f>VLOOKUP($A1457,Controle!$B$4:$F$68,3,FALSE)</f>
        <v>MORI MINAS IV</v>
      </c>
      <c r="D1457" s="2" t="str">
        <f>VLOOKUP($A1457,Controle!$B$4:$F$68,4,FALSE)</f>
        <v>NewCo IV</v>
      </c>
      <c r="E1457" s="2">
        <f>VLOOKUP($A1457,Controle!$B$4:$F$68,5,FALSE)</f>
        <v>2</v>
      </c>
      <c r="F1457" s="3" t="str">
        <f t="shared" si="492"/>
        <v>Serviços Auxiliares - Supressão Vegetal</v>
      </c>
      <c r="G1457" s="2" t="str">
        <f>VLOOKUP($A1457,Controle!$B$4:$G$68,6,FALSE)</f>
        <v>Solatio</v>
      </c>
      <c r="H1457" s="6" t="s">
        <v>155</v>
      </c>
      <c r="I1457" s="6">
        <v>80274.98</v>
      </c>
      <c r="J1457" s="6">
        <v>25000</v>
      </c>
      <c r="K1457" s="6">
        <v>34910</v>
      </c>
      <c r="L1457" s="6">
        <v>0</v>
      </c>
      <c r="M1457" s="6">
        <v>0</v>
      </c>
      <c r="N1457" s="6">
        <v>0</v>
      </c>
      <c r="O1457" s="4">
        <f t="shared" si="493"/>
        <v>140184.97999999998</v>
      </c>
      <c r="P1457" s="5">
        <f>SUMIFS('Desenvolvimento diário'!$H:$H,'Desenvolvimento diário'!$Q:$Q,$B1457,'Desenvolvimento diário'!$P:$P,$F1457,'Desenvolvimento diário'!$R:$R,"Sim")</f>
        <v>0</v>
      </c>
      <c r="Q1457" s="5">
        <f>SUMIFS('Desenvolvimento diário'!$H:$H,'Desenvolvimento diário'!$Q:$Q,$B1457,'Desenvolvimento diário'!$P:$P,$F1457,'Desenvolvimento diário'!$R:$R,"Não")</f>
        <v>140184.97999999998</v>
      </c>
      <c r="R1457" s="4">
        <f t="shared" si="494"/>
        <v>140184.97999999998</v>
      </c>
      <c r="S1457" s="27">
        <f t="shared" si="495"/>
        <v>0</v>
      </c>
      <c r="T1457" s="36">
        <f t="shared" si="486"/>
        <v>1</v>
      </c>
      <c r="U1457" s="34"/>
      <c r="V1457" s="34"/>
      <c r="Y1457" s="2"/>
      <c r="Z1457" s="2"/>
      <c r="AA1457" s="2"/>
      <c r="AB1457" s="2"/>
      <c r="AC1457" s="2"/>
    </row>
    <row r="1458" spans="1:29" ht="10.5" hidden="1">
      <c r="A1458" s="2">
        <f t="shared" si="496"/>
        <v>42</v>
      </c>
      <c r="B1458" s="2" t="str">
        <f>VLOOKUP($A1458,Controle!$B$4:$F$68,2,FALSE)</f>
        <v>Campo Belo 1</v>
      </c>
      <c r="C1458" s="2" t="str">
        <f>VLOOKUP($A1458,Controle!$B$4:$F$68,3,FALSE)</f>
        <v>MORI MINAS IV</v>
      </c>
      <c r="D1458" s="2" t="str">
        <f>VLOOKUP($A1458,Controle!$B$4:$F$68,4,FALSE)</f>
        <v>NewCo IV</v>
      </c>
      <c r="E1458" s="2">
        <f>VLOOKUP($A1458,Controle!$B$4:$F$68,5,FALSE)</f>
        <v>2</v>
      </c>
      <c r="F1458" s="3" t="str">
        <f t="shared" si="492"/>
        <v>RDR-Rede de Distribuição Rural</v>
      </c>
      <c r="G1458" s="2" t="str">
        <f>VLOOKUP($A1458,Controle!$B$4:$G$68,6,FALSE)</f>
        <v>Solatio</v>
      </c>
      <c r="H1458" s="6">
        <v>0</v>
      </c>
      <c r="I1458" s="6">
        <v>0</v>
      </c>
      <c r="J1458" s="6">
        <v>0</v>
      </c>
      <c r="K1458" s="6">
        <v>0</v>
      </c>
      <c r="L1458" s="6">
        <v>0</v>
      </c>
      <c r="M1458" s="6">
        <v>0</v>
      </c>
      <c r="N1458" s="6">
        <v>0</v>
      </c>
      <c r="O1458" s="4">
        <f t="shared" si="493"/>
        <v>0</v>
      </c>
      <c r="P1458" s="5">
        <f>SUMIFS('Desenvolvimento diário'!$H:$H,'Desenvolvimento diário'!$Q:$Q,$B1458,'Desenvolvimento diário'!$P:$P,$F1458,'Desenvolvimento diário'!$R:$R,"Sim")</f>
        <v>0</v>
      </c>
      <c r="Q1458" s="5">
        <f>SUMIFS('Desenvolvimento diário'!$H:$H,'Desenvolvimento diário'!$Q:$Q,$B1458,'Desenvolvimento diário'!$P:$P,$F1458,'Desenvolvimento diário'!$R:$R,"Não")</f>
        <v>0</v>
      </c>
      <c r="R1458" s="4">
        <f t="shared" si="494"/>
        <v>0</v>
      </c>
      <c r="S1458" s="4">
        <f t="shared" si="495"/>
        <v>0</v>
      </c>
      <c r="T1458" s="12">
        <f t="shared" si="486"/>
        <v>0</v>
      </c>
      <c r="Y1458" s="2"/>
      <c r="Z1458" s="2"/>
      <c r="AA1458" s="2"/>
      <c r="AB1458" s="2"/>
      <c r="AC1458" s="2"/>
    </row>
    <row r="1459" spans="1:29" ht="10.5" hidden="1">
      <c r="A1459" s="2">
        <f t="shared" si="496"/>
        <v>42</v>
      </c>
      <c r="B1459" s="2" t="str">
        <f>VLOOKUP($A1459,Controle!$B$4:$F$68,2,FALSE)</f>
        <v>Campo Belo 1</v>
      </c>
      <c r="C1459" s="2" t="str">
        <f>VLOOKUP($A1459,Controle!$B$4:$F$68,3,FALSE)</f>
        <v>MORI MINAS IV</v>
      </c>
      <c r="D1459" s="2" t="str">
        <f>VLOOKUP($A1459,Controle!$B$4:$F$68,4,FALSE)</f>
        <v>NewCo IV</v>
      </c>
      <c r="E1459" s="2">
        <f>VLOOKUP($A1459,Controle!$B$4:$F$68,5,FALSE)</f>
        <v>2</v>
      </c>
      <c r="F1459" s="3" t="str">
        <f t="shared" si="492"/>
        <v>Escopo COMERC</v>
      </c>
      <c r="G1459" s="2" t="str">
        <f>VLOOKUP($A1459,Controle!$B$4:$G$68,6,FALSE)</f>
        <v>Solatio</v>
      </c>
      <c r="H1459" s="6">
        <v>0</v>
      </c>
      <c r="I1459" s="6">
        <v>208546.46999999997</v>
      </c>
      <c r="J1459" s="29">
        <v>97312.04</v>
      </c>
      <c r="K1459" s="29"/>
      <c r="L1459" s="6">
        <v>0</v>
      </c>
      <c r="M1459" s="6">
        <v>0</v>
      </c>
      <c r="N1459" s="6">
        <v>0</v>
      </c>
      <c r="O1459" s="4">
        <f t="shared" si="493"/>
        <v>305858.50999999995</v>
      </c>
      <c r="P1459" s="5">
        <f>SUMIFS('Desenvolvimento diário'!$H:$H,'Desenvolvimento diário'!$Q:$Q,$B1459,'Desenvolvimento diário'!$P:$P,$F1459,'Desenvolvimento diário'!$R:$R,"Sim")</f>
        <v>1459</v>
      </c>
      <c r="Q1459" s="5">
        <f>SUMIFS('Desenvolvimento diário'!$H:$H,'Desenvolvimento diário'!$Q:$Q,$B1459,'Desenvolvimento diário'!$P:$P,$F1459,'Desenvolvimento diário'!$R:$R,"Não")</f>
        <v>247898.28999999998</v>
      </c>
      <c r="R1459" s="4">
        <f t="shared" si="494"/>
        <v>249357.28999999998</v>
      </c>
      <c r="S1459" s="1010">
        <f t="shared" si="495"/>
        <v>56501.219999999972</v>
      </c>
      <c r="T1459" s="12">
        <f t="shared" si="486"/>
        <v>0.81527007373442062</v>
      </c>
      <c r="U1459" s="1011" t="s">
        <v>166</v>
      </c>
      <c r="V1459" s="1011" t="s">
        <v>167</v>
      </c>
      <c r="Y1459" s="2"/>
      <c r="Z1459" s="2"/>
      <c r="AA1459" s="2"/>
      <c r="AB1459" s="2"/>
      <c r="AC1459" s="2"/>
    </row>
    <row r="1460" spans="1:29" ht="10.5" hidden="1">
      <c r="A1460" s="2">
        <f t="shared" si="496"/>
        <v>42</v>
      </c>
      <c r="B1460" s="2" t="str">
        <f>VLOOKUP($A1460,Controle!$B$4:$F$68,2,FALSE)</f>
        <v>Campo Belo 1</v>
      </c>
      <c r="C1460" s="2" t="str">
        <f>VLOOKUP($A1460,Controle!$B$4:$F$68,3,FALSE)</f>
        <v>MORI MINAS IV</v>
      </c>
      <c r="D1460" s="2" t="str">
        <f>VLOOKUP($A1460,Controle!$B$4:$F$68,4,FALSE)</f>
        <v>NewCo IV</v>
      </c>
      <c r="E1460" s="2">
        <f>VLOOKUP($A1460,Controle!$B$4:$F$68,5,FALSE)</f>
        <v>2</v>
      </c>
      <c r="F1460" s="3" t="str">
        <f t="shared" si="492"/>
        <v>Escopo COMERC - Segurança</v>
      </c>
      <c r="G1460" s="2" t="str">
        <f>VLOOKUP($A1460,Controle!$B$4:$G$68,6,FALSE)</f>
        <v>Solatio</v>
      </c>
      <c r="H1460" s="6">
        <v>0</v>
      </c>
      <c r="I1460" s="6">
        <f t="shared" ref="I1459:I1460" si="497">R1460</f>
        <v>379099.20000000013</v>
      </c>
      <c r="J1460" s="6">
        <v>0</v>
      </c>
      <c r="K1460" s="6">
        <v>0</v>
      </c>
      <c r="L1460" s="6">
        <v>0</v>
      </c>
      <c r="M1460" s="6">
        <v>0</v>
      </c>
      <c r="N1460" s="6">
        <v>0</v>
      </c>
      <c r="O1460" s="4">
        <f t="shared" si="493"/>
        <v>379099.20000000013</v>
      </c>
      <c r="P1460" s="5">
        <f>SUMIFS('Desenvolvimento diário'!$H:$H,'Desenvolvimento diário'!$Q:$Q,$B1460,'Desenvolvimento diário'!$P:$P,$F1460,'Desenvolvimento diário'!$R:$R,"Sim")</f>
        <v>0</v>
      </c>
      <c r="Q1460" s="5">
        <f>SUMIFS('Desenvolvimento diário'!$H:$H,'Desenvolvimento diário'!$Q:$Q,$B1460,'Desenvolvimento diário'!$P:$P,$F1460,'Desenvolvimento diário'!$R:$R,"Não")</f>
        <v>379099.20000000013</v>
      </c>
      <c r="R1460" s="4">
        <f t="shared" si="494"/>
        <v>379099.20000000013</v>
      </c>
      <c r="S1460" s="4">
        <f t="shared" si="495"/>
        <v>0</v>
      </c>
      <c r="T1460" s="12">
        <f t="shared" si="486"/>
        <v>1</v>
      </c>
      <c r="Y1460" s="2"/>
      <c r="Z1460" s="2"/>
      <c r="AA1460" s="2"/>
      <c r="AB1460" s="2"/>
      <c r="AC1460" s="2"/>
    </row>
    <row r="1461" spans="1:29" ht="10.5" hidden="1">
      <c r="A1461" s="2">
        <f t="shared" si="496"/>
        <v>42</v>
      </c>
      <c r="B1461" s="2" t="str">
        <f>VLOOKUP($A1461,Controle!$B$4:$F$68,2,FALSE)</f>
        <v>Campo Belo 1</v>
      </c>
      <c r="C1461" s="2" t="str">
        <f>VLOOKUP($A1461,Controle!$B$4:$F$68,3,FALSE)</f>
        <v>MORI MINAS IV</v>
      </c>
      <c r="D1461" s="2" t="str">
        <f>VLOOKUP($A1461,Controle!$B$4:$F$68,4,FALSE)</f>
        <v>NewCo IV</v>
      </c>
      <c r="E1461" s="2">
        <f>VLOOKUP($A1461,Controle!$B$4:$F$68,5,FALSE)</f>
        <v>2</v>
      </c>
      <c r="F1461" s="3" t="str">
        <f t="shared" si="492"/>
        <v>Conexão MT - Obras Transferencia</v>
      </c>
      <c r="G1461" s="2" t="str">
        <f>VLOOKUP($A1461,Controle!$B$4:$G$68,6,FALSE)</f>
        <v>Solatio</v>
      </c>
      <c r="H1461" s="6">
        <v>0</v>
      </c>
      <c r="I1461" s="6">
        <v>0</v>
      </c>
      <c r="J1461" s="6">
        <v>0</v>
      </c>
      <c r="K1461" s="6">
        <v>0</v>
      </c>
      <c r="L1461" s="6">
        <v>0</v>
      </c>
      <c r="M1461" s="6">
        <v>0</v>
      </c>
      <c r="N1461" s="6">
        <v>0</v>
      </c>
      <c r="O1461" s="4">
        <f t="shared" si="493"/>
        <v>0</v>
      </c>
      <c r="P1461" s="5">
        <f>SUMIFS('Desenvolvimento diário'!$H:$H,'Desenvolvimento diário'!$Q:$Q,$B1461,'Desenvolvimento diário'!$P:$P,$F1461,'Desenvolvimento diário'!$R:$R,"Sim")</f>
        <v>0</v>
      </c>
      <c r="Q1461" s="5">
        <f>SUMIFS('Desenvolvimento diário'!$H:$H,'Desenvolvimento diário'!$Q:$Q,$B1461,'Desenvolvimento diário'!$P:$P,$F1461,'Desenvolvimento diário'!$R:$R,"Não")</f>
        <v>0</v>
      </c>
      <c r="R1461" s="4">
        <f t="shared" si="494"/>
        <v>0</v>
      </c>
      <c r="S1461" s="4">
        <f t="shared" si="495"/>
        <v>0</v>
      </c>
      <c r="T1461" s="12">
        <f t="shared" si="486"/>
        <v>0</v>
      </c>
      <c r="Y1461" s="2"/>
      <c r="Z1461" s="2"/>
      <c r="AA1461" s="2"/>
      <c r="AB1461" s="2"/>
      <c r="AC1461" s="2"/>
    </row>
    <row r="1462" spans="1:29" ht="10.5" hidden="1">
      <c r="A1462" s="2">
        <f t="shared" si="496"/>
        <v>42</v>
      </c>
      <c r="B1462" s="2" t="str">
        <f>VLOOKUP($A1462,Controle!$B$4:$F$68,2,FALSE)</f>
        <v>Campo Belo 1</v>
      </c>
      <c r="C1462" s="2" t="str">
        <f>VLOOKUP($A1462,Controle!$B$4:$F$68,3,FALSE)</f>
        <v>MORI MINAS IV</v>
      </c>
      <c r="D1462" s="2" t="str">
        <f>VLOOKUP($A1462,Controle!$B$4:$F$68,4,FALSE)</f>
        <v>NewCo IV</v>
      </c>
      <c r="E1462" s="2">
        <f>VLOOKUP($A1462,Controle!$B$4:$F$68,5,FALSE)</f>
        <v>2</v>
      </c>
      <c r="F1462" s="3" t="str">
        <f t="shared" si="492"/>
        <v>Bases de Contaniers</v>
      </c>
      <c r="G1462" s="2" t="str">
        <f>VLOOKUP($A1462,Controle!$B$4:$G$68,6,FALSE)</f>
        <v>Solatio</v>
      </c>
      <c r="H1462" s="6">
        <v>0</v>
      </c>
      <c r="I1462" s="6">
        <v>0</v>
      </c>
      <c r="J1462" s="6">
        <v>0</v>
      </c>
      <c r="K1462" s="6">
        <v>0</v>
      </c>
      <c r="L1462" s="6">
        <v>0</v>
      </c>
      <c r="M1462" s="6">
        <v>0</v>
      </c>
      <c r="N1462" s="6">
        <v>0</v>
      </c>
      <c r="O1462" s="4">
        <f t="shared" si="493"/>
        <v>0</v>
      </c>
      <c r="P1462" s="5">
        <f>SUMIFS('Desenvolvimento diário'!$H:$H,'Desenvolvimento diário'!$Q:$Q,$B1462,'Desenvolvimento diário'!$P:$P,$F1462,'Desenvolvimento diário'!$R:$R,"Sim")</f>
        <v>0</v>
      </c>
      <c r="Q1462" s="5">
        <f>SUMIFS('Desenvolvimento diário'!$H:$H,'Desenvolvimento diário'!$Q:$Q,$B1462,'Desenvolvimento diário'!$P:$P,$F1462,'Desenvolvimento diário'!$R:$R,"Não")</f>
        <v>0</v>
      </c>
      <c r="R1462" s="4">
        <f t="shared" si="494"/>
        <v>0</v>
      </c>
      <c r="S1462" s="4">
        <f t="shared" si="495"/>
        <v>0</v>
      </c>
      <c r="T1462" s="12">
        <f t="shared" si="486"/>
        <v>0</v>
      </c>
      <c r="Y1462" s="2"/>
      <c r="Z1462" s="2"/>
      <c r="AA1462" s="2"/>
      <c r="AB1462" s="2"/>
      <c r="AC1462" s="2"/>
    </row>
    <row r="1463" spans="1:29" ht="10.5" hidden="1">
      <c r="A1463" s="2">
        <f t="shared" si="496"/>
        <v>42</v>
      </c>
      <c r="B1463" s="2" t="str">
        <f>VLOOKUP($A1463,Controle!$B$4:$F$68,2,FALSE)</f>
        <v>Campo Belo 1</v>
      </c>
      <c r="C1463" s="2" t="str">
        <f>VLOOKUP($A1463,Controle!$B$4:$F$68,3,FALSE)</f>
        <v>MORI MINAS IV</v>
      </c>
      <c r="D1463" s="2" t="str">
        <f>VLOOKUP($A1463,Controle!$B$4:$F$68,4,FALSE)</f>
        <v>NewCo IV</v>
      </c>
      <c r="E1463" s="2">
        <f>VLOOKUP($A1463,Controle!$B$4:$F$68,5,FALSE)</f>
        <v>2</v>
      </c>
      <c r="F1463" s="3" t="str">
        <f t="shared" si="492"/>
        <v>Construção - Serviços de Construção - Ase Engenharia</v>
      </c>
      <c r="G1463" s="2" t="str">
        <f>VLOOKUP($A1463,Controle!$B$4:$G$68,6,FALSE)</f>
        <v>Solatio</v>
      </c>
      <c r="H1463" s="6">
        <v>0</v>
      </c>
      <c r="I1463" s="6">
        <v>0</v>
      </c>
      <c r="J1463" s="6">
        <v>0</v>
      </c>
      <c r="K1463" s="6">
        <v>0</v>
      </c>
      <c r="L1463" s="6">
        <v>0</v>
      </c>
      <c r="M1463" s="6">
        <v>0</v>
      </c>
      <c r="N1463" s="6">
        <v>0</v>
      </c>
      <c r="O1463" s="4">
        <f t="shared" si="493"/>
        <v>0</v>
      </c>
      <c r="P1463" s="5">
        <f>SUMIFS('Desenvolvimento diário'!$H:$H,'Desenvolvimento diário'!$Q:$Q,$B1463,'Desenvolvimento diário'!$P:$P,$F1463,'Desenvolvimento diário'!$R:$R,"Sim")</f>
        <v>0</v>
      </c>
      <c r="Q1463" s="5">
        <f>SUMIFS('Desenvolvimento diário'!$H:$H,'Desenvolvimento diário'!$Q:$Q,$B1463,'Desenvolvimento diário'!$P:$P,$F1463,'Desenvolvimento diário'!$R:$R,"Não")</f>
        <v>0</v>
      </c>
      <c r="R1463" s="4">
        <f t="shared" si="494"/>
        <v>0</v>
      </c>
      <c r="S1463" s="4">
        <f t="shared" si="495"/>
        <v>0</v>
      </c>
      <c r="T1463" s="12">
        <f t="shared" si="486"/>
        <v>0</v>
      </c>
      <c r="Y1463" s="2"/>
      <c r="Z1463" s="2"/>
      <c r="AA1463" s="2"/>
      <c r="AB1463" s="2"/>
      <c r="AC1463" s="2"/>
    </row>
    <row r="1464" spans="1:29" ht="10.5" hidden="1">
      <c r="A1464" s="2">
        <f t="shared" si="496"/>
        <v>42</v>
      </c>
      <c r="B1464" s="2" t="str">
        <f>VLOOKUP($A1464,Controle!$B$4:$F$68,2,FALSE)</f>
        <v>Campo Belo 1</v>
      </c>
      <c r="C1464" s="2" t="str">
        <f>VLOOKUP($A1464,Controle!$B$4:$F$68,3,FALSE)</f>
        <v>MORI MINAS IV</v>
      </c>
      <c r="D1464" s="2" t="str">
        <f>VLOOKUP($A1464,Controle!$B$4:$F$68,4,FALSE)</f>
        <v>NewCo IV</v>
      </c>
      <c r="E1464" s="2">
        <f>VLOOKUP($A1464,Controle!$B$4:$F$68,5,FALSE)</f>
        <v>2</v>
      </c>
      <c r="F1464" s="3" t="str">
        <f t="shared" si="492"/>
        <v>Full EPC - Contrato Sobressalentes</v>
      </c>
      <c r="G1464" s="2" t="str">
        <f>VLOOKUP($A1464,Controle!$B$4:$G$68,6,FALSE)</f>
        <v>Solatio</v>
      </c>
      <c r="H1464" s="6">
        <v>0</v>
      </c>
      <c r="I1464" s="6">
        <v>0</v>
      </c>
      <c r="J1464" s="6">
        <v>0</v>
      </c>
      <c r="K1464" s="6">
        <v>0</v>
      </c>
      <c r="L1464" s="6">
        <v>0</v>
      </c>
      <c r="M1464" s="6">
        <v>0</v>
      </c>
      <c r="N1464" s="6">
        <v>0</v>
      </c>
      <c r="O1464" s="4">
        <f t="shared" si="493"/>
        <v>0</v>
      </c>
      <c r="P1464" s="5">
        <f>SUMIFS('Desenvolvimento diário'!$H:$H,'Desenvolvimento diário'!$Q:$Q,$B1464,'Desenvolvimento diário'!$P:$P,$F1464,'Desenvolvimento diário'!$R:$R,"Sim")</f>
        <v>0</v>
      </c>
      <c r="Q1464" s="5">
        <f>SUMIFS('Desenvolvimento diário'!$H:$H,'Desenvolvimento diário'!$Q:$Q,$B1464,'Desenvolvimento diário'!$P:$P,$F1464,'Desenvolvimento diário'!$R:$R,"Não")</f>
        <v>0</v>
      </c>
      <c r="R1464" s="4">
        <f t="shared" si="494"/>
        <v>0</v>
      </c>
      <c r="S1464" s="4">
        <f t="shared" si="495"/>
        <v>0</v>
      </c>
      <c r="T1464" s="12">
        <f t="shared" si="486"/>
        <v>0</v>
      </c>
      <c r="Y1464" s="2"/>
      <c r="Z1464" s="2"/>
      <c r="AA1464" s="2"/>
      <c r="AB1464" s="2"/>
      <c r="AC1464" s="2"/>
    </row>
    <row r="1465" spans="1:29" ht="10.5" hidden="1">
      <c r="A1465" s="2">
        <f t="shared" si="496"/>
        <v>42</v>
      </c>
      <c r="B1465" s="2" t="str">
        <f>VLOOKUP($A1465,Controle!$B$4:$F$68,2,FALSE)</f>
        <v>Campo Belo 1</v>
      </c>
      <c r="C1465" s="2" t="str">
        <f>VLOOKUP($A1465,Controle!$B$4:$F$68,3,FALSE)</f>
        <v>MORI MINAS IV</v>
      </c>
      <c r="D1465" s="2" t="str">
        <f>VLOOKUP($A1465,Controle!$B$4:$F$68,4,FALSE)</f>
        <v>NewCo IV</v>
      </c>
      <c r="E1465" s="2">
        <f>VLOOKUP($A1465,Controle!$B$4:$F$68,5,FALSE)</f>
        <v>2</v>
      </c>
      <c r="F1465" s="3" t="str">
        <f t="shared" si="492"/>
        <v>Construção - Serviços de Construção - NOVA MORADA</v>
      </c>
      <c r="G1465" s="2" t="str">
        <f>VLOOKUP($A1465,Controle!$B$4:$G$68,6,FALSE)</f>
        <v>Solatio</v>
      </c>
      <c r="H1465" s="6">
        <v>0</v>
      </c>
      <c r="I1465" s="6">
        <v>0</v>
      </c>
      <c r="J1465" s="6">
        <v>0</v>
      </c>
      <c r="K1465" s="6">
        <v>0</v>
      </c>
      <c r="L1465" s="6">
        <v>0</v>
      </c>
      <c r="M1465" s="6">
        <v>0</v>
      </c>
      <c r="N1465" s="6">
        <v>0</v>
      </c>
      <c r="O1465" s="4">
        <f t="shared" si="493"/>
        <v>0</v>
      </c>
      <c r="P1465" s="5">
        <f>SUMIFS('Desenvolvimento diário'!$H:$H,'Desenvolvimento diário'!$Q:$Q,$B1465,'Desenvolvimento diário'!$P:$P,$F1465,'Desenvolvimento diário'!$R:$R,"Sim")</f>
        <v>0</v>
      </c>
      <c r="Q1465" s="5">
        <f>SUMIFS('Desenvolvimento diário'!$H:$H,'Desenvolvimento diário'!$Q:$Q,$B1465,'Desenvolvimento diário'!$P:$P,$F1465,'Desenvolvimento diário'!$R:$R,"Não")</f>
        <v>0</v>
      </c>
      <c r="R1465" s="4">
        <f t="shared" si="494"/>
        <v>0</v>
      </c>
      <c r="S1465" s="4">
        <f t="shared" si="495"/>
        <v>0</v>
      </c>
      <c r="T1465" s="12">
        <f t="shared" si="486"/>
        <v>0</v>
      </c>
      <c r="Y1465" s="2"/>
      <c r="Z1465" s="2"/>
      <c r="AA1465" s="2"/>
      <c r="AB1465" s="2"/>
      <c r="AC1465" s="2"/>
    </row>
    <row r="1466" spans="1:29" ht="10.5" hidden="1">
      <c r="A1466" s="2">
        <f t="shared" si="496"/>
        <v>42</v>
      </c>
      <c r="B1466" s="2" t="str">
        <f>VLOOKUP($A1466,Controle!$B$4:$F$68,2,FALSE)</f>
        <v>Campo Belo 1</v>
      </c>
      <c r="C1466" s="2" t="str">
        <f>VLOOKUP($A1466,Controle!$B$4:$F$68,3,FALSE)</f>
        <v>MORI MINAS IV</v>
      </c>
      <c r="D1466" s="2" t="str">
        <f>VLOOKUP($A1466,Controle!$B$4:$F$68,4,FALSE)</f>
        <v>NewCo IV</v>
      </c>
      <c r="E1466" s="2">
        <f>VLOOKUP($A1466,Controle!$B$4:$F$68,5,FALSE)</f>
        <v>2</v>
      </c>
      <c r="F1466" s="3" t="str">
        <f t="shared" si="492"/>
        <v>Equipamentos Curva A -  Contrato Sobressalentes - SETTA</v>
      </c>
      <c r="G1466" s="2" t="str">
        <f>VLOOKUP($A1466,Controle!$B$4:$G$68,6,FALSE)</f>
        <v>Solatio</v>
      </c>
      <c r="H1466" s="6">
        <v>0</v>
      </c>
      <c r="I1466" s="6">
        <v>0</v>
      </c>
      <c r="J1466" s="6">
        <v>0</v>
      </c>
      <c r="K1466" s="6">
        <v>0</v>
      </c>
      <c r="L1466" s="6">
        <v>0</v>
      </c>
      <c r="M1466" s="6">
        <v>0</v>
      </c>
      <c r="N1466" s="6">
        <v>0</v>
      </c>
      <c r="O1466" s="4">
        <f t="shared" si="493"/>
        <v>0</v>
      </c>
      <c r="P1466" s="5">
        <f>SUMIFS('Desenvolvimento diário'!$H:$H,'Desenvolvimento diário'!$Q:$Q,$B1466,'Desenvolvimento diário'!$P:$P,$F1466,'Desenvolvimento diário'!$R:$R,"Sim")</f>
        <v>0</v>
      </c>
      <c r="Q1466" s="5">
        <f>SUMIFS('Desenvolvimento diário'!$H:$H,'Desenvolvimento diário'!$Q:$Q,$B1466,'Desenvolvimento diário'!$P:$P,$F1466,'Desenvolvimento diário'!$R:$R,"Não")</f>
        <v>0</v>
      </c>
      <c r="R1466" s="4">
        <f t="shared" si="494"/>
        <v>0</v>
      </c>
      <c r="S1466" s="4">
        <f t="shared" si="495"/>
        <v>0</v>
      </c>
      <c r="T1466" s="12">
        <f t="shared" si="486"/>
        <v>0</v>
      </c>
      <c r="Y1466" s="2"/>
      <c r="Z1466" s="2"/>
      <c r="AA1466" s="2"/>
      <c r="AB1466" s="2"/>
      <c r="AC1466" s="2"/>
    </row>
    <row r="1467" spans="1:29" ht="10.5" hidden="1">
      <c r="A1467" s="2">
        <f t="shared" si="496"/>
        <v>42</v>
      </c>
      <c r="B1467" s="2" t="str">
        <f>VLOOKUP($A1467,Controle!$B$4:$F$68,2,FALSE)</f>
        <v>Campo Belo 1</v>
      </c>
      <c r="C1467" s="2" t="str">
        <f>VLOOKUP($A1467,Controle!$B$4:$F$68,3,FALSE)</f>
        <v>MORI MINAS IV</v>
      </c>
      <c r="D1467" s="2" t="str">
        <f>VLOOKUP($A1467,Controle!$B$4:$F$68,4,FALSE)</f>
        <v>NewCo IV</v>
      </c>
      <c r="E1467" s="2">
        <f>VLOOKUP($A1467,Controle!$B$4:$F$68,5,FALSE)</f>
        <v>2</v>
      </c>
      <c r="F1467" s="3" t="str">
        <f t="shared" si="492"/>
        <v>Equipamentos Curva A -  Contrato Sobressalentes - Arctech</v>
      </c>
      <c r="G1467" s="2" t="str">
        <f>VLOOKUP($A1467,Controle!$B$4:$G$68,6,FALSE)</f>
        <v>Solatio</v>
      </c>
      <c r="H1467" s="6">
        <v>0</v>
      </c>
      <c r="I1467" s="6">
        <v>0</v>
      </c>
      <c r="J1467" s="6">
        <v>0</v>
      </c>
      <c r="K1467" s="6">
        <v>0</v>
      </c>
      <c r="L1467" s="6">
        <v>0</v>
      </c>
      <c r="M1467" s="6">
        <v>0</v>
      </c>
      <c r="N1467" s="6">
        <v>0</v>
      </c>
      <c r="O1467" s="4">
        <f t="shared" si="493"/>
        <v>0</v>
      </c>
      <c r="P1467" s="5">
        <f>SUMIFS('Desenvolvimento diário'!$H:$H,'Desenvolvimento diário'!$Q:$Q,$B1467,'Desenvolvimento diário'!$P:$P,$F1467,'Desenvolvimento diário'!$R:$R,"Sim")</f>
        <v>0</v>
      </c>
      <c r="Q1467" s="5">
        <f>SUMIFS('Desenvolvimento diário'!$H:$H,'Desenvolvimento diário'!$Q:$Q,$B1467,'Desenvolvimento diário'!$P:$P,$F1467,'Desenvolvimento diário'!$R:$R,"Não")</f>
        <v>0</v>
      </c>
      <c r="R1467" s="4">
        <f t="shared" si="494"/>
        <v>0</v>
      </c>
      <c r="S1467" s="4">
        <f t="shared" si="495"/>
        <v>0</v>
      </c>
      <c r="T1467" s="12">
        <f t="shared" si="486"/>
        <v>0</v>
      </c>
      <c r="Y1467" s="2"/>
      <c r="Z1467" s="2"/>
      <c r="AA1467" s="2"/>
      <c r="AB1467" s="2"/>
      <c r="AC1467" s="2"/>
    </row>
    <row r="1468" spans="1:29" hidden="1">
      <c r="A1468" s="2">
        <f t="shared" si="496"/>
        <v>42</v>
      </c>
      <c r="B1468" s="2" t="str">
        <f>VLOOKUP($A1468,Controle!$B$4:$F$68,2,FALSE)</f>
        <v>Campo Belo 1</v>
      </c>
      <c r="C1468" s="2" t="str">
        <f>VLOOKUP($A1468,Controle!$B$4:$F$68,3,FALSE)</f>
        <v>MORI MINAS IV</v>
      </c>
      <c r="D1468" s="2" t="str">
        <f>VLOOKUP($A1468,Controle!$B$4:$F$68,4,FALSE)</f>
        <v>NewCo IV</v>
      </c>
      <c r="E1468" s="2">
        <f>VLOOKUP($A1468,Controle!$B$4:$F$68,5,FALSE)</f>
        <v>2</v>
      </c>
      <c r="F1468" s="3" t="str">
        <f t="shared" si="492"/>
        <v>Equipamentos Curva A -  Contrato Sobressalentes - Romagnole</v>
      </c>
      <c r="G1468" s="2" t="str">
        <f>VLOOKUP($A1468,Controle!$B$4:$G$68,6,FALSE)</f>
        <v>Solatio</v>
      </c>
      <c r="H1468" s="7">
        <v>0</v>
      </c>
      <c r="I1468" s="7">
        <v>0</v>
      </c>
      <c r="J1468" s="7">
        <v>0</v>
      </c>
      <c r="K1468" s="7">
        <v>0</v>
      </c>
      <c r="L1468" s="7">
        <v>0</v>
      </c>
      <c r="M1468" s="7">
        <v>0</v>
      </c>
      <c r="N1468" s="7">
        <v>0</v>
      </c>
      <c r="O1468" s="4">
        <f t="shared" si="493"/>
        <v>0</v>
      </c>
      <c r="P1468" s="17">
        <f>SUMIFS('Desenvolvimento diário'!$H:$H,'Desenvolvimento diário'!$Q:$Q,$B1468,'Desenvolvimento diário'!$P:$P,$F1468,'Desenvolvimento diário'!$R:$R,"Sim")</f>
        <v>0</v>
      </c>
      <c r="Q1468" s="17">
        <f>SUMIFS('Desenvolvimento diário'!$H:$H,'Desenvolvimento diário'!$Q:$Q,$B1468,'Desenvolvimento diário'!$P:$P,$F1468,'Desenvolvimento diário'!$R:$R,"Não")</f>
        <v>0</v>
      </c>
      <c r="R1468" s="4">
        <f t="shared" si="494"/>
        <v>0</v>
      </c>
      <c r="S1468" s="4">
        <f t="shared" si="495"/>
        <v>0</v>
      </c>
      <c r="T1468" s="12">
        <f t="shared" si="486"/>
        <v>0</v>
      </c>
      <c r="Y1468" s="2"/>
      <c r="Z1468" s="2"/>
      <c r="AA1468" s="2"/>
      <c r="AB1468" s="2"/>
      <c r="AC1468" s="2"/>
    </row>
    <row r="1469" spans="1:29" hidden="1">
      <c r="A1469" s="2">
        <f t="shared" si="496"/>
        <v>42</v>
      </c>
      <c r="B1469" s="2" t="str">
        <f>VLOOKUP($A1469,Controle!$B$4:$F$68,2,FALSE)</f>
        <v>Campo Belo 1</v>
      </c>
      <c r="C1469" s="2" t="str">
        <f>VLOOKUP($A1469,Controle!$B$4:$F$68,3,FALSE)</f>
        <v>MORI MINAS IV</v>
      </c>
      <c r="D1469" s="2" t="str">
        <f>VLOOKUP($A1469,Controle!$B$4:$F$68,4,FALSE)</f>
        <v>NewCo IV</v>
      </c>
      <c r="E1469" s="2">
        <f>VLOOKUP($A1469,Controle!$B$4:$F$68,5,FALSE)</f>
        <v>2</v>
      </c>
      <c r="F1469" s="3" t="str">
        <f t="shared" si="492"/>
        <v>GOS FLORESTAL - (PRAD - Recuperação Area Ambiental)</v>
      </c>
      <c r="G1469" s="2" t="str">
        <f>VLOOKUP($A1469,Controle!$B$4:$G$68,6,FALSE)</f>
        <v>Solatio</v>
      </c>
      <c r="H1469" s="506" t="s">
        <v>170</v>
      </c>
      <c r="I1469" s="6">
        <v>0</v>
      </c>
      <c r="J1469" s="506"/>
      <c r="K1469" s="506">
        <v>0</v>
      </c>
      <c r="L1469" s="506">
        <v>0</v>
      </c>
      <c r="M1469" s="506">
        <v>0</v>
      </c>
      <c r="N1469" s="506">
        <v>0</v>
      </c>
      <c r="O1469" s="39">
        <f t="shared" si="493"/>
        <v>0</v>
      </c>
      <c r="P1469" s="17">
        <f>SUMIFS('Desenvolvimento diário'!$H:$H,'Desenvolvimento diário'!$Q:$Q,$B1469,'Desenvolvimento diário'!$P:$P,$F1469,'Desenvolvimento diário'!$R:$R,"Sim")</f>
        <v>0</v>
      </c>
      <c r="Q1469" s="17">
        <f>SUMIFS('Desenvolvimento diário'!$H:$H,'Desenvolvimento diário'!$Q:$Q,$B1469,'Desenvolvimento diário'!$P:$P,$F1469,'Desenvolvimento diário'!$R:$R,"Não")</f>
        <v>0</v>
      </c>
      <c r="R1469" s="4">
        <f t="shared" si="494"/>
        <v>0</v>
      </c>
      <c r="S1469" s="4">
        <f t="shared" si="495"/>
        <v>0</v>
      </c>
      <c r="T1469" s="12">
        <f t="shared" ref="T1469:T1470" si="498">IFERROR(R1469/O1469,0)</f>
        <v>0</v>
      </c>
      <c r="Y1469" s="2"/>
      <c r="Z1469" s="2"/>
      <c r="AA1469" s="2"/>
      <c r="AB1469" s="2"/>
      <c r="AC1469" s="2"/>
    </row>
    <row r="1470" spans="1:29" hidden="1">
      <c r="A1470" s="2">
        <f t="shared" si="496"/>
        <v>42</v>
      </c>
      <c r="B1470" s="2" t="str">
        <f>VLOOKUP($A1470,Controle!$B$4:$F$68,2,FALSE)</f>
        <v>Campo Belo 1</v>
      </c>
      <c r="C1470" s="2" t="str">
        <f>VLOOKUP($A1470,Controle!$B$4:$F$68,3,FALSE)</f>
        <v>MORI MINAS IV</v>
      </c>
      <c r="D1470" s="2" t="str">
        <f>VLOOKUP($A1470,Controle!$B$4:$F$68,4,FALSE)</f>
        <v>NewCo IV</v>
      </c>
      <c r="E1470" s="2">
        <f>VLOOKUP($A1470,Controle!$B$4:$F$68,5,FALSE)</f>
        <v>2</v>
      </c>
      <c r="F1470" s="3" t="str">
        <f t="shared" si="492"/>
        <v>Cercamento das bacias de contenção ciclo 2</v>
      </c>
      <c r="G1470" s="2" t="str">
        <f>VLOOKUP($A1470,Controle!$B$4:$G$68,6,FALSE)</f>
        <v>Solatio</v>
      </c>
      <c r="H1470" s="506" t="s">
        <v>172</v>
      </c>
      <c r="I1470" s="6"/>
      <c r="J1470" s="506"/>
      <c r="K1470" s="506">
        <v>0</v>
      </c>
      <c r="L1470" s="506">
        <v>0</v>
      </c>
      <c r="M1470" s="506">
        <v>0</v>
      </c>
      <c r="N1470" s="506">
        <v>0</v>
      </c>
      <c r="O1470" s="39">
        <f t="shared" si="493"/>
        <v>0</v>
      </c>
      <c r="P1470" s="17">
        <f>SUMIFS('Desenvolvimento diário'!$H:$H,'Desenvolvimento diário'!$Q:$Q,$B1470,'Desenvolvimento diário'!$P:$P,$F1470,'Desenvolvimento diário'!$R:$R,"Sim")</f>
        <v>0</v>
      </c>
      <c r="Q1470" s="17">
        <f>SUMIFS('Desenvolvimento diário'!$H:$H,'Desenvolvimento diário'!$Q:$Q,$B1470,'Desenvolvimento diário'!$P:$P,$F1470,'Desenvolvimento diário'!$R:$R,"Não")</f>
        <v>0</v>
      </c>
      <c r="R1470" s="4">
        <f t="shared" si="494"/>
        <v>0</v>
      </c>
      <c r="S1470" s="1030">
        <f t="shared" si="495"/>
        <v>0</v>
      </c>
      <c r="T1470" s="12">
        <f t="shared" si="498"/>
        <v>0</v>
      </c>
      <c r="U1470" s="1029" t="s">
        <v>166</v>
      </c>
      <c r="V1470" s="1029" t="s">
        <v>94</v>
      </c>
      <c r="Y1470" s="2"/>
      <c r="Z1470" s="2"/>
      <c r="AA1470" s="2"/>
      <c r="AB1470" s="2"/>
      <c r="AC1470" s="2"/>
    </row>
    <row r="1471" spans="1:29" hidden="1">
      <c r="A1471" s="8">
        <f>A1468</f>
        <v>42</v>
      </c>
      <c r="B1471" s="9" t="str">
        <f t="shared" ref="B1471" si="499">B1468</f>
        <v>Campo Belo 1</v>
      </c>
      <c r="C1471" s="9" t="str">
        <f t="shared" ref="C1471" si="500">C1468</f>
        <v>MORI MINAS IV</v>
      </c>
      <c r="D1471" s="9" t="str">
        <f t="shared" ref="D1471" si="501">D1468</f>
        <v>NewCo IV</v>
      </c>
      <c r="E1471" s="9">
        <f t="shared" ref="E1471" si="502">E1468</f>
        <v>2</v>
      </c>
      <c r="F1471" s="10" t="s">
        <v>158</v>
      </c>
      <c r="G1471" s="9" t="str">
        <f>G1468</f>
        <v>Solatio</v>
      </c>
      <c r="H1471" s="9"/>
      <c r="I1471" s="9">
        <f>SUBTOTAL(9,I1437:I1470)</f>
        <v>0</v>
      </c>
      <c r="J1471" s="9">
        <f t="shared" ref="J1471:S1471" si="503">SUBTOTAL(9,J1437:J1470)</f>
        <v>0</v>
      </c>
      <c r="K1471" s="9">
        <f t="shared" si="503"/>
        <v>0</v>
      </c>
      <c r="L1471" s="9">
        <f t="shared" si="503"/>
        <v>0</v>
      </c>
      <c r="M1471" s="9">
        <f t="shared" si="503"/>
        <v>0</v>
      </c>
      <c r="N1471" s="9">
        <f t="shared" si="503"/>
        <v>0</v>
      </c>
      <c r="O1471" s="9">
        <f t="shared" si="503"/>
        <v>0</v>
      </c>
      <c r="P1471" s="9">
        <f t="shared" si="503"/>
        <v>0</v>
      </c>
      <c r="Q1471" s="9">
        <f t="shared" si="503"/>
        <v>0</v>
      </c>
      <c r="R1471" s="9">
        <f t="shared" si="503"/>
        <v>0</v>
      </c>
      <c r="S1471" s="9">
        <f t="shared" si="503"/>
        <v>0</v>
      </c>
      <c r="T1471" s="13">
        <f>IFERROR(R1471/O1471,0)</f>
        <v>0</v>
      </c>
      <c r="U1471" s="11">
        <f>SUBTOTAL(9,U1437:U1471)</f>
        <v>0</v>
      </c>
      <c r="Y1471" s="2"/>
      <c r="Z1471" s="2"/>
      <c r="AA1471" s="2"/>
      <c r="AB1471" s="2"/>
      <c r="AC1471" s="2"/>
    </row>
    <row r="1472" spans="1:29" ht="10.5" hidden="1">
      <c r="A1472" s="2">
        <f>A1437+1</f>
        <v>43</v>
      </c>
      <c r="B1472" s="2" t="str">
        <f>VLOOKUP($A1472,Controle!$B$4:$F$68,2,FALSE)</f>
        <v>Campo Belo 2</v>
      </c>
      <c r="C1472" s="2" t="str">
        <f>VLOOKUP($A1472,Controle!$B$4:$F$68,3,FALSE)</f>
        <v>MORI MINAS V</v>
      </c>
      <c r="D1472" s="2" t="str">
        <f>VLOOKUP($A1472,Controle!$B$4:$F$68,4,FALSE)</f>
        <v>NewCo V</v>
      </c>
      <c r="E1472" s="2">
        <f>VLOOKUP($A1472,Controle!$B$4:$F$68,5,FALSE)</f>
        <v>2</v>
      </c>
      <c r="F1472" s="3" t="str">
        <f t="shared" ref="F1472:F1488" si="504">F1437</f>
        <v>Conexão AT - Obras</v>
      </c>
      <c r="G1472" s="2" t="str">
        <f>VLOOKUP($A1472,Controle!$B$4:$G$68,6,FALSE)</f>
        <v>Solatio</v>
      </c>
      <c r="H1472" s="6" t="s">
        <v>141</v>
      </c>
      <c r="I1472" s="31">
        <v>150000</v>
      </c>
      <c r="J1472" s="6">
        <v>0</v>
      </c>
      <c r="K1472" s="6">
        <v>0</v>
      </c>
      <c r="L1472" s="6">
        <v>0</v>
      </c>
      <c r="M1472" s="6">
        <v>0</v>
      </c>
      <c r="N1472" s="6">
        <v>0</v>
      </c>
      <c r="O1472" s="4">
        <f t="shared" ref="O1472:O1505" si="505">SUM(I1472:N1472)</f>
        <v>150000</v>
      </c>
      <c r="P1472" s="5">
        <f>SUMIFS('Desenvolvimento diário'!$H:$H,'Desenvolvimento diário'!$Q:$Q,$B1472,'Desenvolvimento diário'!$P:$P,$F1472,'Desenvolvimento diário'!$R:$R,"Sim")</f>
        <v>15250</v>
      </c>
      <c r="Q1472" s="5">
        <f>SUMIFS('Desenvolvimento diário'!$H:$H,'Desenvolvimento diário'!$Q:$Q,$B1472,'Desenvolvimento diário'!$P:$P,$F1472,'Desenvolvimento diário'!$R:$R,"Não")</f>
        <v>134750</v>
      </c>
      <c r="R1472" s="4">
        <f t="shared" ref="R1472:R1505" si="506">SUM(P1472:Q1472)</f>
        <v>150000</v>
      </c>
      <c r="S1472" s="38">
        <f t="shared" ref="S1472:S1505" si="507">O1472-R1472</f>
        <v>0</v>
      </c>
      <c r="T1472" s="12">
        <f t="shared" si="486"/>
        <v>1</v>
      </c>
      <c r="Y1472" s="2"/>
      <c r="Z1472" s="2"/>
      <c r="AA1472" s="2"/>
      <c r="AB1472" s="2"/>
      <c r="AC1472" s="2"/>
    </row>
    <row r="1473" spans="1:29" ht="10.5" hidden="1">
      <c r="A1473" s="2">
        <f t="shared" ref="A1473:A1505" si="508">A1472</f>
        <v>43</v>
      </c>
      <c r="B1473" s="2" t="str">
        <f>VLOOKUP($A1473,Controle!$B$4:$F$68,2,FALSE)</f>
        <v>Campo Belo 2</v>
      </c>
      <c r="C1473" s="2" t="str">
        <f>VLOOKUP($A1473,Controle!$B$4:$F$68,3,FALSE)</f>
        <v>MORI MINAS V</v>
      </c>
      <c r="D1473" s="2" t="str">
        <f>VLOOKUP($A1473,Controle!$B$4:$F$68,4,FALSE)</f>
        <v>NewCo V</v>
      </c>
      <c r="E1473" s="2">
        <f>VLOOKUP($A1473,Controle!$B$4:$F$68,5,FALSE)</f>
        <v>2</v>
      </c>
      <c r="F1473" s="3" t="str">
        <f t="shared" si="504"/>
        <v>Conexão MT - Obras</v>
      </c>
      <c r="G1473" s="2" t="str">
        <f>VLOOKUP($A1473,Controle!$B$4:$G$68,6,FALSE)</f>
        <v>Solatio</v>
      </c>
      <c r="H1473" s="6" t="s">
        <v>141</v>
      </c>
      <c r="I1473" s="6">
        <v>1666000</v>
      </c>
      <c r="J1473" s="6">
        <v>1160600</v>
      </c>
      <c r="K1473" s="31">
        <v>1151920</v>
      </c>
      <c r="L1473" s="6">
        <v>154000</v>
      </c>
      <c r="M1473" s="6">
        <v>0</v>
      </c>
      <c r="N1473" s="6">
        <v>0</v>
      </c>
      <c r="O1473" s="4">
        <f t="shared" si="505"/>
        <v>4132520</v>
      </c>
      <c r="P1473" s="5">
        <f>SUMIFS('Desenvolvimento diário'!$H:$H,'Desenvolvimento diário'!$Q:$Q,$B1473,'Desenvolvimento diário'!$P:$P,$F1473,'Desenvolvimento diário'!$R:$R,"Sim")</f>
        <v>1216455.1499999999</v>
      </c>
      <c r="Q1473" s="5">
        <f>SUMIFS('Desenvolvimento diário'!$H:$H,'Desenvolvimento diário'!$Q:$Q,$B1473,'Desenvolvimento diário'!$P:$P,$F1473,'Desenvolvimento diário'!$R:$R,"Não")</f>
        <v>2916064.85</v>
      </c>
      <c r="R1473" s="4">
        <f t="shared" si="506"/>
        <v>4132520</v>
      </c>
      <c r="S1473" s="190">
        <f t="shared" si="507"/>
        <v>0</v>
      </c>
      <c r="T1473" s="12">
        <f t="shared" si="486"/>
        <v>1</v>
      </c>
      <c r="V1473" s="30"/>
      <c r="Y1473" s="2"/>
      <c r="Z1473" s="2"/>
      <c r="AA1473" s="2"/>
      <c r="AB1473" s="2"/>
      <c r="AC1473" s="2"/>
    </row>
    <row r="1474" spans="1:29" ht="10.5" hidden="1">
      <c r="A1474" s="2">
        <f t="shared" si="508"/>
        <v>43</v>
      </c>
      <c r="B1474" s="2" t="str">
        <f>VLOOKUP($A1474,Controle!$B$4:$F$68,2,FALSE)</f>
        <v>Campo Belo 2</v>
      </c>
      <c r="C1474" s="2" t="str">
        <f>VLOOKUP($A1474,Controle!$B$4:$F$68,3,FALSE)</f>
        <v>MORI MINAS V</v>
      </c>
      <c r="D1474" s="2" t="str">
        <f>VLOOKUP($A1474,Controle!$B$4:$F$68,4,FALSE)</f>
        <v>NewCo V</v>
      </c>
      <c r="E1474" s="2">
        <f>VLOOKUP($A1474,Controle!$B$4:$F$68,5,FALSE)</f>
        <v>2</v>
      </c>
      <c r="F1474" s="3" t="str">
        <f t="shared" si="504"/>
        <v>Construção - Serviços de Construção</v>
      </c>
      <c r="G1474" s="2" t="str">
        <f>VLOOKUP($A1474,Controle!$B$4:$G$68,6,FALSE)</f>
        <v>Solatio</v>
      </c>
      <c r="H1474" s="6" t="s">
        <v>147</v>
      </c>
      <c r="I1474" s="6">
        <v>2691000</v>
      </c>
      <c r="J1474" s="6">
        <f>52647+49665</f>
        <v>102312</v>
      </c>
      <c r="K1474" s="6">
        <v>380777.95</v>
      </c>
      <c r="L1474" s="6">
        <v>20198.77</v>
      </c>
      <c r="M1474" s="6">
        <v>501445.48</v>
      </c>
      <c r="N1474" s="6">
        <v>59095.21</v>
      </c>
      <c r="O1474" s="4">
        <f t="shared" si="505"/>
        <v>3754829.41</v>
      </c>
      <c r="P1474" s="5">
        <f>SUMIFS('Desenvolvimento diário'!$H:$H,'Desenvolvimento diário'!$Q:$Q,$B1474,'Desenvolvimento diário'!$P:$P,$F1474,'Desenvolvimento diário'!$R:$R,"Sim")</f>
        <v>570595.18000000005</v>
      </c>
      <c r="Q1474" s="5">
        <f>SUMIFS('Desenvolvimento diário'!$H:$H,'Desenvolvimento diário'!$Q:$Q,$B1474,'Desenvolvimento diário'!$P:$P,$F1474,'Desenvolvimento diário'!$R:$R,"Não")</f>
        <v>3177004.1899999995</v>
      </c>
      <c r="R1474" s="4">
        <f t="shared" si="506"/>
        <v>3747599.3699999996</v>
      </c>
      <c r="S1474" s="33">
        <f t="shared" si="507"/>
        <v>7230.0400000005029</v>
      </c>
      <c r="T1474" s="12">
        <f t="shared" si="486"/>
        <v>0.99807446911416398</v>
      </c>
      <c r="U1474" s="510" t="s">
        <v>162</v>
      </c>
      <c r="V1474" s="510" t="s">
        <v>163</v>
      </c>
      <c r="Y1474" s="2"/>
      <c r="Z1474" s="2"/>
      <c r="AA1474" s="2"/>
      <c r="AB1474" s="2"/>
      <c r="AC1474" s="2"/>
    </row>
    <row r="1475" spans="1:29" ht="10.5" hidden="1">
      <c r="A1475" s="2">
        <f t="shared" si="508"/>
        <v>43</v>
      </c>
      <c r="B1475" s="2" t="str">
        <f>VLOOKUP($A1475,Controle!$B$4:$F$68,2,FALSE)</f>
        <v>Campo Belo 2</v>
      </c>
      <c r="C1475" s="2" t="str">
        <f>VLOOKUP($A1475,Controle!$B$4:$F$68,3,FALSE)</f>
        <v>MORI MINAS V</v>
      </c>
      <c r="D1475" s="2" t="str">
        <f>VLOOKUP($A1475,Controle!$B$4:$F$68,4,FALSE)</f>
        <v>NewCo V</v>
      </c>
      <c r="E1475" s="2">
        <f>VLOOKUP($A1475,Controle!$B$4:$F$68,5,FALSE)</f>
        <v>2</v>
      </c>
      <c r="F1475" s="3" t="str">
        <f t="shared" si="504"/>
        <v>Construção - Serviços de Construção - Substituição</v>
      </c>
      <c r="G1475" s="2" t="str">
        <f>VLOOKUP($A1475,Controle!$B$4:$G$68,6,FALSE)</f>
        <v>Solatio</v>
      </c>
      <c r="H1475" s="6">
        <v>0</v>
      </c>
      <c r="I1475" s="6">
        <v>0</v>
      </c>
      <c r="J1475" s="6">
        <v>0</v>
      </c>
      <c r="K1475" s="6">
        <v>0</v>
      </c>
      <c r="L1475" s="6">
        <v>0</v>
      </c>
      <c r="M1475" s="6">
        <v>0</v>
      </c>
      <c r="N1475" s="6">
        <v>0</v>
      </c>
      <c r="O1475" s="4">
        <f t="shared" si="505"/>
        <v>0</v>
      </c>
      <c r="P1475" s="5">
        <f>SUMIFS('Desenvolvimento diário'!$H:$H,'Desenvolvimento diário'!$Q:$Q,$B1475,'Desenvolvimento diário'!$P:$P,$F1475,'Desenvolvimento diário'!$R:$R,"Sim")</f>
        <v>0</v>
      </c>
      <c r="Q1475" s="5">
        <f>SUMIFS('Desenvolvimento diário'!$H:$H,'Desenvolvimento diário'!$Q:$Q,$B1475,'Desenvolvimento diário'!$P:$P,$F1475,'Desenvolvimento diário'!$R:$R,"Não")</f>
        <v>0</v>
      </c>
      <c r="R1475" s="4">
        <f t="shared" si="506"/>
        <v>0</v>
      </c>
      <c r="S1475" s="4">
        <f t="shared" si="507"/>
        <v>0</v>
      </c>
      <c r="T1475" s="12">
        <f t="shared" si="486"/>
        <v>0</v>
      </c>
      <c r="Y1475" s="2"/>
      <c r="Z1475" s="2"/>
      <c r="AA1475" s="2"/>
      <c r="AB1475" s="2"/>
      <c r="AC1475" s="2"/>
    </row>
    <row r="1476" spans="1:29" ht="10.5" hidden="1">
      <c r="A1476" s="2">
        <f t="shared" si="508"/>
        <v>43</v>
      </c>
      <c r="B1476" s="34" t="str">
        <f>VLOOKUP($A1476,Controle!$B$4:$F$68,2,FALSE)</f>
        <v>Campo Belo 2</v>
      </c>
      <c r="C1476" s="2" t="str">
        <f>VLOOKUP($A1476,Controle!$B$4:$F$68,3,FALSE)</f>
        <v>MORI MINAS V</v>
      </c>
      <c r="D1476" s="2" t="str">
        <f>VLOOKUP($A1476,Controle!$B$4:$F$68,4,FALSE)</f>
        <v>NewCo V</v>
      </c>
      <c r="E1476" s="2">
        <f>VLOOKUP($A1476,Controle!$B$4:$F$68,5,FALSE)</f>
        <v>2</v>
      </c>
      <c r="F1476" s="3" t="str">
        <f t="shared" si="504"/>
        <v>Construção - RDA Interno</v>
      </c>
      <c r="G1476" s="2" t="str">
        <f>VLOOKUP($A1476,Controle!$B$4:$G$68,6,FALSE)</f>
        <v>Solatio</v>
      </c>
      <c r="H1476" s="6" t="s">
        <v>143</v>
      </c>
      <c r="I1476" s="6">
        <v>436294.40000000002</v>
      </c>
      <c r="J1476" s="6">
        <v>6400</v>
      </c>
      <c r="K1476" s="6">
        <v>7304.5454</v>
      </c>
      <c r="L1476" s="6">
        <v>0</v>
      </c>
      <c r="M1476" s="6">
        <v>0</v>
      </c>
      <c r="N1476" s="6">
        <v>0</v>
      </c>
      <c r="O1476" s="4">
        <f>SUM(I1476:N1476)+0.0046</f>
        <v>449998.95</v>
      </c>
      <c r="P1476" s="5">
        <f>SUMIFS('Desenvolvimento diário'!$H:$H,'Desenvolvimento diário'!$Q:$Q,$B1476,'Desenvolvimento diário'!$P:$P,$F1476,'Desenvolvimento diário'!$R:$R,"Sim")</f>
        <v>0</v>
      </c>
      <c r="Q1476" s="5">
        <f>SUMIFS('Desenvolvimento diário'!$H:$H,'Desenvolvimento diário'!$Q:$Q,$B1476,'Desenvolvimento diário'!$P:$P,$F1476,'Desenvolvimento diário'!$R:$R,"Não")</f>
        <v>449998.94999999995</v>
      </c>
      <c r="R1476" s="4">
        <f t="shared" si="506"/>
        <v>449998.94999999995</v>
      </c>
      <c r="S1476" s="176">
        <f t="shared" si="507"/>
        <v>0</v>
      </c>
      <c r="T1476" s="12">
        <f t="shared" si="486"/>
        <v>0.99999999999999989</v>
      </c>
      <c r="Y1476" s="2"/>
      <c r="Z1476" s="2"/>
      <c r="AA1476" s="2"/>
      <c r="AB1476" s="2"/>
      <c r="AC1476" s="2"/>
    </row>
    <row r="1477" spans="1:29" ht="10.5" hidden="1">
      <c r="A1477" s="2">
        <f t="shared" si="508"/>
        <v>43</v>
      </c>
      <c r="B1477" s="2" t="str">
        <f>VLOOKUP($A1477,Controle!$B$4:$F$68,2,FALSE)</f>
        <v>Campo Belo 2</v>
      </c>
      <c r="C1477" s="2" t="str">
        <f>VLOOKUP($A1477,Controle!$B$4:$F$68,3,FALSE)</f>
        <v>MORI MINAS V</v>
      </c>
      <c r="D1477" s="2" t="str">
        <f>VLOOKUP($A1477,Controle!$B$4:$F$68,4,FALSE)</f>
        <v>NewCo V</v>
      </c>
      <c r="E1477" s="2">
        <f>VLOOKUP($A1477,Controle!$B$4:$F$68,5,FALSE)</f>
        <v>2</v>
      </c>
      <c r="F1477" s="3" t="str">
        <f t="shared" si="504"/>
        <v>Full EPC - Contrato</v>
      </c>
      <c r="G1477" s="2" t="str">
        <f>VLOOKUP($A1477,Controle!$B$4:$G$68,6,FALSE)</f>
        <v>Solatio</v>
      </c>
      <c r="H1477" s="6">
        <v>0</v>
      </c>
      <c r="I1477" s="6">
        <v>0</v>
      </c>
      <c r="J1477" s="6">
        <v>0</v>
      </c>
      <c r="K1477" s="6">
        <v>0</v>
      </c>
      <c r="L1477" s="6">
        <v>0</v>
      </c>
      <c r="M1477" s="6">
        <v>0</v>
      </c>
      <c r="N1477" s="6">
        <v>0</v>
      </c>
      <c r="O1477" s="4">
        <f t="shared" si="505"/>
        <v>0</v>
      </c>
      <c r="P1477" s="5">
        <f>SUMIFS('Desenvolvimento diário'!$H:$H,'Desenvolvimento diário'!$Q:$Q,$B1477,'Desenvolvimento diário'!$P:$P,$F1477,'Desenvolvimento diário'!$R:$R,"Sim")</f>
        <v>0</v>
      </c>
      <c r="Q1477" s="5">
        <f>SUMIFS('Desenvolvimento diário'!$H:$H,'Desenvolvimento diário'!$Q:$Q,$B1477,'Desenvolvimento diário'!$P:$P,$F1477,'Desenvolvimento diário'!$R:$R,"Não")</f>
        <v>0</v>
      </c>
      <c r="R1477" s="4">
        <f t="shared" si="506"/>
        <v>0</v>
      </c>
      <c r="S1477" s="4">
        <f t="shared" si="507"/>
        <v>0</v>
      </c>
      <c r="T1477" s="12">
        <f t="shared" si="486"/>
        <v>0</v>
      </c>
      <c r="Y1477" s="2"/>
      <c r="Z1477" s="2"/>
      <c r="AA1477" s="2"/>
      <c r="AB1477" s="2"/>
      <c r="AC1477" s="2"/>
    </row>
    <row r="1478" spans="1:29" ht="10.5" hidden="1">
      <c r="A1478" s="2">
        <f t="shared" si="508"/>
        <v>43</v>
      </c>
      <c r="B1478" s="2" t="str">
        <f>VLOOKUP($A1478,Controle!$B$4:$F$68,2,FALSE)</f>
        <v>Campo Belo 2</v>
      </c>
      <c r="C1478" s="2" t="str">
        <f>VLOOKUP($A1478,Controle!$B$4:$F$68,3,FALSE)</f>
        <v>MORI MINAS V</v>
      </c>
      <c r="D1478" s="2" t="str">
        <f>VLOOKUP($A1478,Controle!$B$4:$F$68,4,FALSE)</f>
        <v>NewCo V</v>
      </c>
      <c r="E1478" s="2">
        <f>VLOOKUP($A1478,Controle!$B$4:$F$68,5,FALSE)</f>
        <v>2</v>
      </c>
      <c r="F1478" s="3" t="str">
        <f t="shared" si="504"/>
        <v>Equipamentos Curva A - Outros (Transformadores)</v>
      </c>
      <c r="G1478" s="2" t="str">
        <f>VLOOKUP($A1478,Controle!$B$4:$G$68,6,FALSE)</f>
        <v>Solatio</v>
      </c>
      <c r="H1478" s="6">
        <v>0</v>
      </c>
      <c r="I1478" s="6">
        <v>0</v>
      </c>
      <c r="J1478" s="6">
        <v>0</v>
      </c>
      <c r="K1478" s="6">
        <v>0</v>
      </c>
      <c r="L1478" s="6">
        <v>0</v>
      </c>
      <c r="M1478" s="6">
        <v>0</v>
      </c>
      <c r="N1478" s="6">
        <v>0</v>
      </c>
      <c r="O1478" s="4">
        <f t="shared" si="505"/>
        <v>0</v>
      </c>
      <c r="P1478" s="5">
        <f>SUMIFS('Desenvolvimento diário'!$H:$H,'Desenvolvimento diário'!$Q:$Q,$B1478,'Desenvolvimento diário'!$P:$P,$F1478,'Desenvolvimento diário'!$R:$R,"Sim")</f>
        <v>0</v>
      </c>
      <c r="Q1478" s="5">
        <f>SUMIFS('Desenvolvimento diário'!$H:$H,'Desenvolvimento diário'!$Q:$Q,$B1478,'Desenvolvimento diário'!$P:$P,$F1478,'Desenvolvimento diário'!$R:$R,"Não")</f>
        <v>0</v>
      </c>
      <c r="R1478" s="4">
        <f t="shared" si="506"/>
        <v>0</v>
      </c>
      <c r="S1478" s="4">
        <f t="shared" si="507"/>
        <v>0</v>
      </c>
      <c r="T1478" s="12">
        <f t="shared" si="486"/>
        <v>0</v>
      </c>
      <c r="Y1478" s="2"/>
      <c r="Z1478" s="2"/>
      <c r="AA1478" s="2"/>
      <c r="AB1478" s="2"/>
      <c r="AC1478" s="2"/>
    </row>
    <row r="1479" spans="1:29" ht="10.5" hidden="1">
      <c r="A1479" s="2">
        <f t="shared" si="508"/>
        <v>43</v>
      </c>
      <c r="B1479" s="2" t="str">
        <f>VLOOKUP($A1479,Controle!$B$4:$F$68,2,FALSE)</f>
        <v>Campo Belo 2</v>
      </c>
      <c r="C1479" s="2" t="str">
        <f>VLOOKUP($A1479,Controle!$B$4:$F$68,3,FALSE)</f>
        <v>MORI MINAS V</v>
      </c>
      <c r="D1479" s="2" t="str">
        <f>VLOOKUP($A1479,Controle!$B$4:$F$68,4,FALSE)</f>
        <v>NewCo V</v>
      </c>
      <c r="E1479" s="2">
        <f>VLOOKUP($A1479,Controle!$B$4:$F$68,5,FALSE)</f>
        <v>2</v>
      </c>
      <c r="F1479" s="3" t="str">
        <f t="shared" si="504"/>
        <v>Equipamentos Curva A - Outros (Cabine + Skid)</v>
      </c>
      <c r="G1479" s="2" t="str">
        <f>VLOOKUP($A1479,Controle!$B$4:$G$68,6,FALSE)</f>
        <v>Solatio</v>
      </c>
      <c r="H1479" s="6">
        <v>0</v>
      </c>
      <c r="I1479" s="6">
        <v>0</v>
      </c>
      <c r="J1479" s="6">
        <v>0</v>
      </c>
      <c r="K1479" s="6">
        <v>0</v>
      </c>
      <c r="L1479" s="6">
        <v>0</v>
      </c>
      <c r="M1479" s="6">
        <v>0</v>
      </c>
      <c r="N1479" s="6">
        <v>0</v>
      </c>
      <c r="O1479" s="4">
        <f t="shared" si="505"/>
        <v>0</v>
      </c>
      <c r="P1479" s="5">
        <f>SUMIFS('Desenvolvimento diário'!$H:$H,'Desenvolvimento diário'!$Q:$Q,$B1479,'Desenvolvimento diário'!$P:$P,$F1479,'Desenvolvimento diário'!$R:$R,"Sim")</f>
        <v>0</v>
      </c>
      <c r="Q1479" s="5">
        <f>SUMIFS('Desenvolvimento diário'!$H:$H,'Desenvolvimento diário'!$Q:$Q,$B1479,'Desenvolvimento diário'!$P:$P,$F1479,'Desenvolvimento diário'!$R:$R,"Não")</f>
        <v>0</v>
      </c>
      <c r="R1479" s="4">
        <f t="shared" si="506"/>
        <v>0</v>
      </c>
      <c r="S1479" s="4">
        <f t="shared" si="507"/>
        <v>0</v>
      </c>
      <c r="T1479" s="12">
        <f t="shared" si="486"/>
        <v>0</v>
      </c>
      <c r="Y1479" s="2"/>
      <c r="Z1479" s="2"/>
      <c r="AA1479" s="2"/>
      <c r="AB1479" s="2"/>
      <c r="AC1479" s="2"/>
    </row>
    <row r="1480" spans="1:29" ht="10.5" hidden="1">
      <c r="A1480" s="2">
        <f t="shared" si="508"/>
        <v>43</v>
      </c>
      <c r="B1480" s="2" t="str">
        <f>VLOOKUP($A1480,Controle!$B$4:$F$68,2,FALSE)</f>
        <v>Campo Belo 2</v>
      </c>
      <c r="C1480" s="2" t="str">
        <f>VLOOKUP($A1480,Controle!$B$4:$F$68,3,FALSE)</f>
        <v>MORI MINAS V</v>
      </c>
      <c r="D1480" s="2" t="str">
        <f>VLOOKUP($A1480,Controle!$B$4:$F$68,4,FALSE)</f>
        <v>NewCo V</v>
      </c>
      <c r="E1480" s="2">
        <f>VLOOKUP($A1480,Controle!$B$4:$F$68,5,FALSE)</f>
        <v>2</v>
      </c>
      <c r="F1480" s="3" t="str">
        <f t="shared" si="504"/>
        <v>Equipamentos Curva A - Outros (Cabine + Skid + Transformador)</v>
      </c>
      <c r="G1480" s="2" t="str">
        <f>VLOOKUP($A1480,Controle!$B$4:$G$68,6,FALSE)</f>
        <v>Solatio</v>
      </c>
      <c r="H1480" s="6" t="s">
        <v>144</v>
      </c>
      <c r="I1480" s="6">
        <v>1262270.6073759999</v>
      </c>
      <c r="J1480" s="6">
        <v>0</v>
      </c>
      <c r="K1480" s="6">
        <v>0</v>
      </c>
      <c r="L1480" s="6">
        <v>0</v>
      </c>
      <c r="M1480" s="6">
        <v>0</v>
      </c>
      <c r="N1480" s="6">
        <v>0</v>
      </c>
      <c r="O1480" s="4">
        <f t="shared" si="505"/>
        <v>1262270.6073759999</v>
      </c>
      <c r="P1480" s="5">
        <f>SUMIFS('Desenvolvimento diário'!$H:$H,'Desenvolvimento diário'!$Q:$Q,$B1480,'Desenvolvimento diário'!$P:$P,$F1480,'Desenvolvimento diário'!$R:$R,"Sim")</f>
        <v>0</v>
      </c>
      <c r="Q1480" s="5">
        <f>SUMIFS('Desenvolvimento diário'!$H:$H,'Desenvolvimento diário'!$Q:$Q,$B1480,'Desenvolvimento diário'!$P:$P,$F1480,'Desenvolvimento diário'!$R:$R,"Não")</f>
        <v>1262270.6073759999</v>
      </c>
      <c r="R1480" s="4">
        <f t="shared" si="506"/>
        <v>1262270.6073759999</v>
      </c>
      <c r="S1480" s="4">
        <f t="shared" si="507"/>
        <v>0</v>
      </c>
      <c r="T1480" s="12">
        <f t="shared" si="486"/>
        <v>1</v>
      </c>
      <c r="Y1480" s="2"/>
      <c r="Z1480" s="2"/>
      <c r="AA1480" s="2"/>
      <c r="AB1480" s="2"/>
      <c r="AC1480" s="2"/>
    </row>
    <row r="1481" spans="1:29" ht="10.5" hidden="1">
      <c r="A1481" s="2">
        <f t="shared" si="508"/>
        <v>43</v>
      </c>
      <c r="B1481" s="2" t="str">
        <f>VLOOKUP($A1481,Controle!$B$4:$F$68,2,FALSE)</f>
        <v>Campo Belo 2</v>
      </c>
      <c r="C1481" s="2" t="str">
        <f>VLOOKUP($A1481,Controle!$B$4:$F$68,3,FALSE)</f>
        <v>MORI MINAS V</v>
      </c>
      <c r="D1481" s="2" t="str">
        <f>VLOOKUP($A1481,Controle!$B$4:$F$68,4,FALSE)</f>
        <v>NewCo V</v>
      </c>
      <c r="E1481" s="2">
        <f>VLOOKUP($A1481,Controle!$B$4:$F$68,5,FALSE)</f>
        <v>2</v>
      </c>
      <c r="F1481" s="3" t="str">
        <f t="shared" si="504"/>
        <v>Desenvolvimento de projeto - Projetos - (Eng° Proprietario)</v>
      </c>
      <c r="G1481" s="2" t="str">
        <f>VLOOKUP($A1481,Controle!$B$4:$G$68,6,FALSE)</f>
        <v>Solatio</v>
      </c>
      <c r="H1481" s="6" t="s">
        <v>145</v>
      </c>
      <c r="I1481" s="6">
        <v>0</v>
      </c>
      <c r="J1481" s="6">
        <v>0</v>
      </c>
      <c r="K1481" s="6">
        <v>0</v>
      </c>
      <c r="L1481" s="6">
        <v>0</v>
      </c>
      <c r="M1481" s="6">
        <v>0</v>
      </c>
      <c r="N1481" s="6">
        <v>0</v>
      </c>
      <c r="O1481" s="4">
        <f t="shared" si="505"/>
        <v>0</v>
      </c>
      <c r="P1481" s="5">
        <f>SUMIFS('Desenvolvimento diário'!$H:$H,'Desenvolvimento diário'!$Q:$Q,$B1481,'Desenvolvimento diário'!$P:$P,$F1481,'Desenvolvimento diário'!$R:$R,"Sim")</f>
        <v>0</v>
      </c>
      <c r="Q1481" s="5">
        <f>SUMIFS('Desenvolvimento diário'!$H:$H,'Desenvolvimento diário'!$Q:$Q,$B1481,'Desenvolvimento diário'!$P:$P,$F1481,'Desenvolvimento diário'!$R:$R,"Não")</f>
        <v>0</v>
      </c>
      <c r="R1481" s="4">
        <f t="shared" si="506"/>
        <v>0</v>
      </c>
      <c r="S1481" s="4">
        <f t="shared" si="507"/>
        <v>0</v>
      </c>
      <c r="T1481" s="12">
        <f t="shared" si="486"/>
        <v>0</v>
      </c>
      <c r="Y1481" s="2"/>
      <c r="Z1481" s="2"/>
      <c r="AA1481" s="2"/>
      <c r="AB1481" s="2"/>
      <c r="AC1481" s="2"/>
    </row>
    <row r="1482" spans="1:29" ht="10.5" hidden="1">
      <c r="A1482" s="2">
        <f t="shared" si="508"/>
        <v>43</v>
      </c>
      <c r="B1482" s="2" t="str">
        <f>VLOOKUP($A1482,Controle!$B$4:$F$68,2,FALSE)</f>
        <v>Campo Belo 2</v>
      </c>
      <c r="C1482" s="2" t="str">
        <f>VLOOKUP($A1482,Controle!$B$4:$F$68,3,FALSE)</f>
        <v>MORI MINAS V</v>
      </c>
      <c r="D1482" s="2" t="str">
        <f>VLOOKUP($A1482,Controle!$B$4:$F$68,4,FALSE)</f>
        <v>NewCo V</v>
      </c>
      <c r="E1482" s="2">
        <f>VLOOKUP($A1482,Controle!$B$4:$F$68,5,FALSE)</f>
        <v>2</v>
      </c>
      <c r="F1482" s="3" t="str">
        <f t="shared" si="504"/>
        <v>Desenvolvimento de projeto - Projetos - Executivos</v>
      </c>
      <c r="G1482" s="2" t="str">
        <f>VLOOKUP($A1482,Controle!$B$4:$G$68,6,FALSE)</f>
        <v>Solatio</v>
      </c>
      <c r="H1482" s="6">
        <v>0</v>
      </c>
      <c r="I1482" s="6">
        <v>0</v>
      </c>
      <c r="J1482" s="6">
        <v>0</v>
      </c>
      <c r="K1482" s="6">
        <v>0</v>
      </c>
      <c r="L1482" s="6">
        <v>0</v>
      </c>
      <c r="M1482" s="6">
        <v>0</v>
      </c>
      <c r="N1482" s="6">
        <v>0</v>
      </c>
      <c r="O1482" s="4">
        <f t="shared" si="505"/>
        <v>0</v>
      </c>
      <c r="P1482" s="5">
        <f>SUMIFS('Desenvolvimento diário'!$H:$H,'Desenvolvimento diário'!$Q:$Q,$B1482,'Desenvolvimento diário'!$P:$P,$F1482,'Desenvolvimento diário'!$R:$R,"Sim")</f>
        <v>0</v>
      </c>
      <c r="Q1482" s="5">
        <f>SUMIFS('Desenvolvimento diário'!$H:$H,'Desenvolvimento diário'!$Q:$Q,$B1482,'Desenvolvimento diário'!$P:$P,$F1482,'Desenvolvimento diário'!$R:$R,"Não")</f>
        <v>0</v>
      </c>
      <c r="R1482" s="4">
        <f t="shared" si="506"/>
        <v>0</v>
      </c>
      <c r="S1482" s="4">
        <f t="shared" si="507"/>
        <v>0</v>
      </c>
      <c r="T1482" s="12">
        <f t="shared" si="486"/>
        <v>0</v>
      </c>
      <c r="Y1482" s="2"/>
      <c r="Z1482" s="2"/>
      <c r="AA1482" s="2"/>
      <c r="AB1482" s="2"/>
      <c r="AC1482" s="2"/>
    </row>
    <row r="1483" spans="1:29" ht="10.5" hidden="1">
      <c r="A1483" s="2">
        <f t="shared" si="508"/>
        <v>43</v>
      </c>
      <c r="B1483" s="2" t="str">
        <f>VLOOKUP($A1483,Controle!$B$4:$F$68,2,FALSE)</f>
        <v>Campo Belo 2</v>
      </c>
      <c r="C1483" s="2" t="str">
        <f>VLOOKUP($A1483,Controle!$B$4:$F$68,3,FALSE)</f>
        <v>MORI MINAS V</v>
      </c>
      <c r="D1483" s="2" t="str">
        <f>VLOOKUP($A1483,Controle!$B$4:$F$68,4,FALSE)</f>
        <v>NewCo V</v>
      </c>
      <c r="E1483" s="2">
        <f>VLOOKUP($A1483,Controle!$B$4:$F$68,5,FALSE)</f>
        <v>2</v>
      </c>
      <c r="F1483" s="3" t="str">
        <f t="shared" si="504"/>
        <v>Desenvolvimento de projeto - Projetos Básica</v>
      </c>
      <c r="G1483" s="2" t="str">
        <f>VLOOKUP($A1483,Controle!$B$4:$G$68,6,FALSE)</f>
        <v>Solatio</v>
      </c>
      <c r="H1483" s="6">
        <v>0</v>
      </c>
      <c r="I1483" s="6">
        <v>0</v>
      </c>
      <c r="J1483" s="6">
        <v>0</v>
      </c>
      <c r="K1483" s="6">
        <v>0</v>
      </c>
      <c r="L1483" s="6">
        <v>0</v>
      </c>
      <c r="M1483" s="6">
        <v>0</v>
      </c>
      <c r="N1483" s="6">
        <v>0</v>
      </c>
      <c r="O1483" s="4">
        <f t="shared" si="505"/>
        <v>0</v>
      </c>
      <c r="P1483" s="5">
        <f>SUMIFS('Desenvolvimento diário'!$H:$H,'Desenvolvimento diário'!$Q:$Q,$B1483,'Desenvolvimento diário'!$P:$P,$F1483,'Desenvolvimento diário'!$R:$R,"Sim")</f>
        <v>0</v>
      </c>
      <c r="Q1483" s="5">
        <f>SUMIFS('Desenvolvimento diário'!$H:$H,'Desenvolvimento diário'!$Q:$Q,$B1483,'Desenvolvimento diário'!$P:$P,$F1483,'Desenvolvimento diário'!$R:$R,"Não")</f>
        <v>0</v>
      </c>
      <c r="R1483" s="4">
        <f t="shared" si="506"/>
        <v>0</v>
      </c>
      <c r="S1483" s="4">
        <f t="shared" si="507"/>
        <v>0</v>
      </c>
      <c r="T1483" s="12">
        <f t="shared" si="486"/>
        <v>0</v>
      </c>
      <c r="Y1483" s="2"/>
      <c r="Z1483" s="2"/>
      <c r="AA1483" s="2"/>
      <c r="AB1483" s="2"/>
      <c r="AC1483" s="2"/>
    </row>
    <row r="1484" spans="1:29" ht="10.5" hidden="1">
      <c r="A1484" s="2">
        <f t="shared" si="508"/>
        <v>43</v>
      </c>
      <c r="B1484" s="2" t="str">
        <f>VLOOKUP($A1484,Controle!$B$4:$F$68,2,FALSE)</f>
        <v>Campo Belo 2</v>
      </c>
      <c r="C1484" s="2" t="str">
        <f>VLOOKUP($A1484,Controle!$B$4:$F$68,3,FALSE)</f>
        <v>MORI MINAS V</v>
      </c>
      <c r="D1484" s="2" t="str">
        <f>VLOOKUP($A1484,Controle!$B$4:$F$68,4,FALSE)</f>
        <v>NewCo V</v>
      </c>
      <c r="E1484" s="2">
        <f>VLOOKUP($A1484,Controle!$B$4:$F$68,5,FALSE)</f>
        <v>2</v>
      </c>
      <c r="F1484" s="3" t="str">
        <f t="shared" si="504"/>
        <v>Desenvolvimento de projeto - Projetos Detalhada</v>
      </c>
      <c r="G1484" s="2" t="str">
        <f>VLOOKUP($A1484,Controle!$B$4:$G$68,6,FALSE)</f>
        <v>Solatio</v>
      </c>
      <c r="H1484" s="6" t="s">
        <v>147</v>
      </c>
      <c r="I1484" s="6">
        <f>93783-0.01667</f>
        <v>93782.983330000003</v>
      </c>
      <c r="J1484" s="6">
        <v>79969.7</v>
      </c>
      <c r="K1484" s="6">
        <v>0</v>
      </c>
      <c r="L1484" s="6">
        <v>0</v>
      </c>
      <c r="M1484" s="6">
        <v>0</v>
      </c>
      <c r="N1484" s="6">
        <v>0</v>
      </c>
      <c r="O1484" s="4">
        <f t="shared" si="505"/>
        <v>173752.68333</v>
      </c>
      <c r="P1484" s="5">
        <f>SUMIFS('Desenvolvimento diário'!$H:$H,'Desenvolvimento diário'!$Q:$Q,$B1484,'Desenvolvimento diário'!$P:$P,$F1484,'Desenvolvimento diário'!$R:$R,"Sim")</f>
        <v>0</v>
      </c>
      <c r="Q1484" s="5">
        <f>SUMIFS('Desenvolvimento diário'!$H:$H,'Desenvolvimento diário'!$Q:$Q,$B1484,'Desenvolvimento diário'!$P:$P,$F1484,'Desenvolvimento diário'!$R:$R,"Não")</f>
        <v>173752.68333</v>
      </c>
      <c r="R1484" s="4">
        <f t="shared" si="506"/>
        <v>173752.68333</v>
      </c>
      <c r="S1484" s="176">
        <f t="shared" si="507"/>
        <v>0</v>
      </c>
      <c r="T1484" s="12">
        <f t="shared" si="486"/>
        <v>1</v>
      </c>
      <c r="Y1484" s="2"/>
      <c r="Z1484" s="2"/>
      <c r="AA1484" s="2"/>
      <c r="AB1484" s="2"/>
      <c r="AC1484" s="2"/>
    </row>
    <row r="1485" spans="1:29" ht="10.5" hidden="1">
      <c r="A1485" s="2">
        <f t="shared" si="508"/>
        <v>43</v>
      </c>
      <c r="B1485" s="2" t="str">
        <f>VLOOKUP($A1485,Controle!$B$4:$F$68,2,FALSE)</f>
        <v>Campo Belo 2</v>
      </c>
      <c r="C1485" s="2" t="str">
        <f>VLOOKUP($A1485,Controle!$B$4:$F$68,3,FALSE)</f>
        <v>MORI MINAS V</v>
      </c>
      <c r="D1485" s="2" t="str">
        <f>VLOOKUP($A1485,Controle!$B$4:$F$68,4,FALSE)</f>
        <v>NewCo V</v>
      </c>
      <c r="E1485" s="2">
        <f>VLOOKUP($A1485,Controle!$B$4:$F$68,5,FALSE)</f>
        <v>2</v>
      </c>
      <c r="F1485" s="3" t="str">
        <f t="shared" si="504"/>
        <v>Desenvolvimento de projeto - Ambiental / Outros</v>
      </c>
      <c r="G1485" s="2" t="str">
        <f>VLOOKUP($A1485,Controle!$B$4:$G$68,6,FALSE)</f>
        <v>Solatio</v>
      </c>
      <c r="H1485" s="6" t="s">
        <v>148</v>
      </c>
      <c r="I1485" s="6">
        <f>R1485</f>
        <v>79666.31</v>
      </c>
      <c r="J1485" s="6">
        <v>0</v>
      </c>
      <c r="K1485" s="6">
        <v>0</v>
      </c>
      <c r="L1485" s="6">
        <v>0</v>
      </c>
      <c r="M1485" s="6">
        <v>0</v>
      </c>
      <c r="N1485" s="6">
        <v>0</v>
      </c>
      <c r="O1485" s="4">
        <f t="shared" si="505"/>
        <v>79666.31</v>
      </c>
      <c r="P1485" s="5">
        <f>SUMIFS('Desenvolvimento diário'!$H:$H,'Desenvolvimento diário'!$Q:$Q,$B1485,'Desenvolvimento diário'!$P:$P,$F1485,'Desenvolvimento diário'!$R:$R,"Sim")</f>
        <v>0</v>
      </c>
      <c r="Q1485" s="5">
        <f>SUMIFS('Desenvolvimento diário'!$H:$H,'Desenvolvimento diário'!$Q:$Q,$B1485,'Desenvolvimento diário'!$P:$P,$F1485,'Desenvolvimento diário'!$R:$R,"Não")</f>
        <v>79666.31</v>
      </c>
      <c r="R1485" s="4">
        <f t="shared" si="506"/>
        <v>79666.31</v>
      </c>
      <c r="S1485" s="4">
        <f t="shared" si="507"/>
        <v>0</v>
      </c>
      <c r="T1485" s="12">
        <f t="shared" si="486"/>
        <v>1</v>
      </c>
      <c r="Y1485" s="2"/>
      <c r="Z1485" s="2"/>
      <c r="AA1485" s="2"/>
      <c r="AB1485" s="2"/>
      <c r="AC1485" s="2"/>
    </row>
    <row r="1486" spans="1:29" hidden="1">
      <c r="A1486" s="2">
        <f t="shared" si="508"/>
        <v>43</v>
      </c>
      <c r="B1486" s="2" t="str">
        <f>VLOOKUP($A1486,Controle!$B$4:$F$68,2,FALSE)</f>
        <v>Campo Belo 2</v>
      </c>
      <c r="C1486" s="2" t="str">
        <f>VLOOKUP($A1486,Controle!$B$4:$F$68,3,FALSE)</f>
        <v>MORI MINAS V</v>
      </c>
      <c r="D1486" s="2" t="str">
        <f>VLOOKUP($A1486,Controle!$B$4:$F$68,4,FALSE)</f>
        <v>NewCo V</v>
      </c>
      <c r="E1486" s="2">
        <f>VLOOKUP($A1486,Controle!$B$4:$F$68,5,FALSE)</f>
        <v>2</v>
      </c>
      <c r="F1486" s="3" t="str">
        <f t="shared" si="504"/>
        <v>Desenvolvimento de projeto - Coordenograma</v>
      </c>
      <c r="G1486" s="2" t="str">
        <f>VLOOKUP($A1486,Controle!$B$4:$G$68,6,FALSE)</f>
        <v>Solatio</v>
      </c>
      <c r="H1486" s="31" t="s">
        <v>149</v>
      </c>
      <c r="I1486" s="31">
        <v>6206.9</v>
      </c>
      <c r="J1486" s="31">
        <v>2281.25</v>
      </c>
      <c r="K1486" s="31">
        <v>0</v>
      </c>
      <c r="L1486" s="6">
        <v>0</v>
      </c>
      <c r="M1486" s="6">
        <v>0</v>
      </c>
      <c r="N1486" s="6">
        <v>0</v>
      </c>
      <c r="O1486" s="4">
        <f t="shared" si="505"/>
        <v>8488.15</v>
      </c>
      <c r="P1486" s="5">
        <f>SUMIFS('Desenvolvimento diário'!$H:$H,'Desenvolvimento diário'!$Q:$Q,$B1486,'Desenvolvimento diário'!$P:$P,$F1486,'Desenvolvimento diário'!$R:$R,"Sim")</f>
        <v>0</v>
      </c>
      <c r="Q1486" s="5">
        <f>SUMIFS('Desenvolvimento diário'!$H:$H,'Desenvolvimento diário'!$Q:$Q,$B1486,'Desenvolvimento diário'!$P:$P,$F1486,'Desenvolvimento diário'!$R:$R,"Não")</f>
        <v>8488.15</v>
      </c>
      <c r="R1486" s="4">
        <f t="shared" si="506"/>
        <v>8488.15</v>
      </c>
      <c r="S1486" s="4">
        <f t="shared" si="507"/>
        <v>0</v>
      </c>
      <c r="T1486" s="12">
        <f t="shared" si="486"/>
        <v>1</v>
      </c>
      <c r="Y1486" s="2"/>
      <c r="Z1486" s="2"/>
      <c r="AA1486" s="2"/>
      <c r="AB1486" s="2"/>
      <c r="AC1486" s="2"/>
    </row>
    <row r="1487" spans="1:29" ht="10.5" hidden="1">
      <c r="A1487" s="2">
        <f t="shared" si="508"/>
        <v>43</v>
      </c>
      <c r="B1487" s="2" t="str">
        <f>VLOOKUP($A1487,Controle!$B$4:$F$68,2,FALSE)</f>
        <v>Campo Belo 2</v>
      </c>
      <c r="C1487" s="2" t="str">
        <f>VLOOKUP($A1487,Controle!$B$4:$F$68,3,FALSE)</f>
        <v>MORI MINAS V</v>
      </c>
      <c r="D1487" s="2" t="str">
        <f>VLOOKUP($A1487,Controle!$B$4:$F$68,4,FALSE)</f>
        <v>NewCo V</v>
      </c>
      <c r="E1487" s="2">
        <f>VLOOKUP($A1487,Controle!$B$4:$F$68,5,FALSE)</f>
        <v>2</v>
      </c>
      <c r="F1487" s="3" t="str">
        <f t="shared" si="504"/>
        <v>Sistemas de Monitoramento - Supervisório</v>
      </c>
      <c r="G1487" s="2" t="str">
        <f>VLOOKUP($A1487,Controle!$B$4:$G$68,6,FALSE)</f>
        <v>Solatio</v>
      </c>
      <c r="H1487" s="6" t="s">
        <v>150</v>
      </c>
      <c r="I1487" s="6">
        <v>136155</v>
      </c>
      <c r="J1487" s="6"/>
      <c r="K1487" s="6">
        <v>0</v>
      </c>
      <c r="L1487" s="6">
        <v>0</v>
      </c>
      <c r="M1487" s="6">
        <v>0</v>
      </c>
      <c r="N1487" s="6">
        <v>0</v>
      </c>
      <c r="O1487" s="4">
        <f t="shared" si="505"/>
        <v>136155</v>
      </c>
      <c r="P1487" s="5">
        <f>SUMIFS('Desenvolvimento diário'!$H:$H,'Desenvolvimento diário'!$Q:$Q,$B1487,'Desenvolvimento diário'!$P:$P,$F1487,'Desenvolvimento diário'!$R:$R,"Sim")</f>
        <v>9683.6500000000015</v>
      </c>
      <c r="Q1487" s="5">
        <f>SUMIFS('Desenvolvimento diário'!$H:$H,'Desenvolvimento diário'!$Q:$Q,$B1487,'Desenvolvimento diário'!$P:$P,$F1487,'Desenvolvimento diário'!$R:$R,"Não")</f>
        <v>126471.35</v>
      </c>
      <c r="R1487" s="4">
        <f t="shared" si="506"/>
        <v>136155</v>
      </c>
      <c r="S1487" s="4">
        <f t="shared" si="507"/>
        <v>0</v>
      </c>
      <c r="T1487" s="12">
        <f t="shared" si="486"/>
        <v>1</v>
      </c>
      <c r="Y1487" s="2"/>
      <c r="Z1487" s="2"/>
      <c r="AA1487" s="2"/>
      <c r="AB1487" s="2"/>
      <c r="AC1487" s="2"/>
    </row>
    <row r="1488" spans="1:29" ht="10.5" hidden="1">
      <c r="A1488" s="2">
        <f t="shared" si="508"/>
        <v>43</v>
      </c>
      <c r="B1488" s="2" t="str">
        <f>VLOOKUP($A1488,Controle!$B$4:$F$68,2,FALSE)</f>
        <v>Campo Belo 2</v>
      </c>
      <c r="C1488" s="2" t="str">
        <f>VLOOKUP($A1488,Controle!$B$4:$F$68,3,FALSE)</f>
        <v>MORI MINAS V</v>
      </c>
      <c r="D1488" s="2" t="str">
        <f>VLOOKUP($A1488,Controle!$B$4:$F$68,4,FALSE)</f>
        <v>NewCo V</v>
      </c>
      <c r="E1488" s="2">
        <f>VLOOKUP($A1488,Controle!$B$4:$F$68,5,FALSE)</f>
        <v>2</v>
      </c>
      <c r="F1488" s="3" t="str">
        <f t="shared" si="504"/>
        <v>Sistemas de Monitoramento - Estações Solarimétricas</v>
      </c>
      <c r="G1488" s="2" t="str">
        <f>VLOOKUP($A1488,Controle!$B$4:$G$68,6,FALSE)</f>
        <v>Solatio</v>
      </c>
      <c r="H1488" s="6" t="s">
        <v>151</v>
      </c>
      <c r="I1488" s="6">
        <v>48276.516000000003</v>
      </c>
      <c r="J1488" s="6">
        <v>0</v>
      </c>
      <c r="K1488" s="6">
        <v>0</v>
      </c>
      <c r="L1488" s="6">
        <v>0</v>
      </c>
      <c r="M1488" s="6">
        <v>0</v>
      </c>
      <c r="N1488" s="6">
        <v>0</v>
      </c>
      <c r="O1488" s="4">
        <f t="shared" si="505"/>
        <v>48276.516000000003</v>
      </c>
      <c r="P1488" s="5">
        <f>SUMIFS('Desenvolvimento diário'!$H:$H,'Desenvolvimento diário'!$Q:$Q,$B1488,'Desenvolvimento diário'!$P:$P,$F1488,'Desenvolvimento diário'!$R:$R,"Sim")</f>
        <v>0</v>
      </c>
      <c r="Q1488" s="5">
        <f>SUMIFS('Desenvolvimento diário'!$H:$H,'Desenvolvimento diário'!$Q:$Q,$B1488,'Desenvolvimento diário'!$P:$P,$F1488,'Desenvolvimento diário'!$R:$R,"Não")</f>
        <v>48276.516000000003</v>
      </c>
      <c r="R1488" s="4">
        <f t="shared" si="506"/>
        <v>48276.516000000003</v>
      </c>
      <c r="S1488" s="4">
        <f t="shared" si="507"/>
        <v>0</v>
      </c>
      <c r="T1488" s="12">
        <f t="shared" si="486"/>
        <v>1</v>
      </c>
      <c r="Y1488" s="2"/>
      <c r="Z1488" s="2"/>
      <c r="AA1488" s="2"/>
      <c r="AB1488" s="2"/>
      <c r="AC1488" s="2"/>
    </row>
    <row r="1489" spans="1:29" hidden="1">
      <c r="A1489" s="2">
        <f>A1488</f>
        <v>43</v>
      </c>
      <c r="B1489" s="2" t="str">
        <f>VLOOKUP($A1489,Controle!$B$4:$F$68,2,FALSE)</f>
        <v>Campo Belo 2</v>
      </c>
      <c r="C1489" s="2" t="str">
        <f>VLOOKUP($A1489,Controle!$B$4:$F$68,3,FALSE)</f>
        <v>MORI MINAS V</v>
      </c>
      <c r="D1489" s="2" t="str">
        <f>VLOOKUP($A1489,Controle!$B$4:$F$68,4,FALSE)</f>
        <v>NewCo V</v>
      </c>
      <c r="E1489" s="2">
        <f>VLOOKUP($A1489,Controle!$B$4:$F$68,5,FALSE)</f>
        <v>2</v>
      </c>
      <c r="F1489" s="3" t="str">
        <f>F1454</f>
        <v>Sistemas de Monitoramento - CFTV</v>
      </c>
      <c r="G1489" s="2" t="str">
        <f>VLOOKUP($A1489,Controle!$B$4:$G$68,6,FALSE)</f>
        <v>Solatio</v>
      </c>
      <c r="H1489" s="31" t="s">
        <v>152</v>
      </c>
      <c r="I1489" s="6">
        <v>285467.13</v>
      </c>
      <c r="J1489" s="6">
        <v>0</v>
      </c>
      <c r="K1489" s="1068">
        <v>10634.2</v>
      </c>
      <c r="L1489" s="6">
        <v>0</v>
      </c>
      <c r="M1489" s="6">
        <v>0</v>
      </c>
      <c r="N1489" s="6"/>
      <c r="O1489" s="4">
        <f>SUM(I1489:N1489)</f>
        <v>296101.33</v>
      </c>
      <c r="P1489" s="5">
        <f>SUMIFS('Desenvolvimento diário'!$H:$H,'Desenvolvimento diário'!$Q:$Q,$B1489,'Desenvolvimento diário'!$P:$P,$F1489,'Desenvolvimento diário'!$R:$R,"Sim")</f>
        <v>0</v>
      </c>
      <c r="Q1489" s="5">
        <f>SUMIFS('Desenvolvimento diário'!$H:$H,'Desenvolvimento diário'!$Q:$Q,$B1489,'Desenvolvimento diário'!$P:$P,$F1489,'Desenvolvimento diário'!$R:$R,"Não")</f>
        <v>296101.33</v>
      </c>
      <c r="R1489" s="4">
        <f>SUM(P1489:Q1489)</f>
        <v>296101.33</v>
      </c>
      <c r="S1489" s="1020">
        <f>O1489-R1489</f>
        <v>0</v>
      </c>
      <c r="T1489" s="12">
        <f>IFERROR(R1489/O1489,0)</f>
        <v>1</v>
      </c>
      <c r="U1489" s="1021" t="s">
        <v>166</v>
      </c>
      <c r="V1489" s="1021" t="s">
        <v>215</v>
      </c>
      <c r="Y1489" s="2"/>
      <c r="Z1489" s="2"/>
      <c r="AA1489" s="2"/>
      <c r="AB1489" s="2"/>
      <c r="AC1489" s="2"/>
    </row>
    <row r="1490" spans="1:29" ht="10.5" hidden="1">
      <c r="A1490" s="2">
        <f>A1489</f>
        <v>43</v>
      </c>
      <c r="B1490" s="2" t="str">
        <f>VLOOKUP($A1490,Controle!$B$4:$F$68,2,FALSE)</f>
        <v>Campo Belo 2</v>
      </c>
      <c r="C1490" s="2" t="str">
        <f>VLOOKUP($A1490,Controle!$B$4:$F$68,3,FALSE)</f>
        <v>MORI MINAS V</v>
      </c>
      <c r="D1490" s="2" t="str">
        <f>VLOOKUP($A1490,Controle!$B$4:$F$68,4,FALSE)</f>
        <v>NewCo V</v>
      </c>
      <c r="E1490" s="2">
        <f>VLOOKUP($A1490,Controle!$B$4:$F$68,5,FALSE)</f>
        <v>2</v>
      </c>
      <c r="F1490" s="3" t="str">
        <f>F1455</f>
        <v>Serviços Auxiliares - Drenagem</v>
      </c>
      <c r="G1490" s="2" t="str">
        <f>VLOOKUP($A1490,Controle!$B$4:$G$68,6,FALSE)</f>
        <v>Solatio</v>
      </c>
      <c r="H1490" s="6" t="s">
        <v>223</v>
      </c>
      <c r="I1490" s="6">
        <v>966182.18</v>
      </c>
      <c r="J1490" s="6">
        <v>55921</v>
      </c>
      <c r="K1490" s="6">
        <v>0</v>
      </c>
      <c r="L1490" s="6">
        <v>0</v>
      </c>
      <c r="M1490" s="6">
        <v>0</v>
      </c>
      <c r="N1490" s="6">
        <v>0</v>
      </c>
      <c r="O1490" s="4">
        <f t="shared" si="505"/>
        <v>1022103.18</v>
      </c>
      <c r="P1490" s="5">
        <f>SUMIFS('Desenvolvimento diário'!$H:$H,'Desenvolvimento diário'!$Q:$Q,$B1490,'Desenvolvimento diário'!$P:$P,$F1490,'Desenvolvimento diário'!$R:$R,"Sim")</f>
        <v>0</v>
      </c>
      <c r="Q1490" s="5">
        <f>SUMIFS('Desenvolvimento diário'!$H:$H,'Desenvolvimento diário'!$Q:$Q,$B1490,'Desenvolvimento diário'!$P:$P,$F1490,'Desenvolvimento diário'!$R:$R,"Não")</f>
        <v>1022103.18</v>
      </c>
      <c r="R1490" s="4">
        <f t="shared" si="506"/>
        <v>1022103.18</v>
      </c>
      <c r="S1490" s="27">
        <f t="shared" si="507"/>
        <v>0</v>
      </c>
      <c r="T1490" s="12">
        <f t="shared" si="486"/>
        <v>1</v>
      </c>
      <c r="Y1490" s="2"/>
      <c r="Z1490" s="2"/>
      <c r="AA1490" s="2"/>
      <c r="AB1490" s="2"/>
      <c r="AC1490" s="2"/>
    </row>
    <row r="1491" spans="1:29" ht="10.5" hidden="1">
      <c r="A1491" s="2">
        <f t="shared" si="508"/>
        <v>43</v>
      </c>
      <c r="B1491" s="2" t="str">
        <f>VLOOKUP($A1491,Controle!$B$4:$F$68,2,FALSE)</f>
        <v>Campo Belo 2</v>
      </c>
      <c r="C1491" s="2" t="str">
        <f>VLOOKUP($A1491,Controle!$B$4:$F$68,3,FALSE)</f>
        <v>MORI MINAS V</v>
      </c>
      <c r="D1491" s="2" t="str">
        <f>VLOOKUP($A1491,Controle!$B$4:$F$68,4,FALSE)</f>
        <v>NewCo V</v>
      </c>
      <c r="E1491" s="2">
        <f>VLOOKUP($A1491,Controle!$B$4:$F$68,5,FALSE)</f>
        <v>2</v>
      </c>
      <c r="F1491" s="3" t="str">
        <f>F1456</f>
        <v>Serviços Auxiliares - Terraplanagem</v>
      </c>
      <c r="G1491" s="2" t="str">
        <f>VLOOKUP($A1491,Controle!$B$4:$G$68,6,FALSE)</f>
        <v>Solatio</v>
      </c>
      <c r="H1491" s="6" t="s">
        <v>214</v>
      </c>
      <c r="I1491" s="6">
        <v>1683414.04</v>
      </c>
      <c r="J1491" s="6">
        <v>478074.5</v>
      </c>
      <c r="K1491" s="6">
        <v>290585.06</v>
      </c>
      <c r="L1491" s="6">
        <v>0</v>
      </c>
      <c r="M1491" s="6">
        <v>0</v>
      </c>
      <c r="N1491" s="6">
        <v>0</v>
      </c>
      <c r="O1491" s="4">
        <f>SUM(I1491:N1491)</f>
        <v>2452073.6</v>
      </c>
      <c r="P1491" s="5">
        <f>SUMIFS('Desenvolvimento diário'!$H:$H,'Desenvolvimento diário'!$Q:$Q,$B1491,'Desenvolvimento diário'!$P:$P,$F1491,'Desenvolvimento diário'!$R:$R,"Sim")</f>
        <v>0</v>
      </c>
      <c r="Q1491" s="5">
        <f>SUMIFS('Desenvolvimento diário'!$H:$H,'Desenvolvimento diário'!$Q:$Q,$B1491,'Desenvolvimento diário'!$P:$P,$F1491,'Desenvolvimento diário'!$R:$R,"Não")</f>
        <v>2452073.6</v>
      </c>
      <c r="R1491" s="4">
        <f t="shared" si="506"/>
        <v>2452073.6</v>
      </c>
      <c r="S1491" s="27">
        <f t="shared" si="507"/>
        <v>0</v>
      </c>
      <c r="T1491" s="12">
        <f t="shared" si="486"/>
        <v>1</v>
      </c>
      <c r="Y1491" s="2"/>
      <c r="Z1491" s="2"/>
      <c r="AA1491" s="2"/>
      <c r="AB1491" s="2"/>
      <c r="AC1491" s="2"/>
    </row>
    <row r="1492" spans="1:29" ht="10.5" hidden="1">
      <c r="A1492" s="2">
        <f t="shared" si="508"/>
        <v>43</v>
      </c>
      <c r="B1492" s="2" t="str">
        <f>VLOOKUP($A1492,Controle!$B$4:$F$68,2,FALSE)</f>
        <v>Campo Belo 2</v>
      </c>
      <c r="C1492" s="2" t="str">
        <f>VLOOKUP($A1492,Controle!$B$4:$F$68,3,FALSE)</f>
        <v>MORI MINAS V</v>
      </c>
      <c r="D1492" s="2" t="str">
        <f>VLOOKUP($A1492,Controle!$B$4:$F$68,4,FALSE)</f>
        <v>NewCo V</v>
      </c>
      <c r="E1492" s="2">
        <f>VLOOKUP($A1492,Controle!$B$4:$F$68,5,FALSE)</f>
        <v>2</v>
      </c>
      <c r="F1492" s="37" t="str">
        <f>F1457</f>
        <v>Serviços Auxiliares - Supressão Vegetal</v>
      </c>
      <c r="G1492" s="2" t="str">
        <f>VLOOKUP($A1492,Controle!$B$4:$G$68,6,FALSE)</f>
        <v>Solatio</v>
      </c>
      <c r="H1492" s="6" t="s">
        <v>155</v>
      </c>
      <c r="I1492" s="6">
        <v>88429.15</v>
      </c>
      <c r="J1492" s="6">
        <v>17823.78</v>
      </c>
      <c r="K1492" s="6">
        <v>41910</v>
      </c>
      <c r="L1492" s="6">
        <v>0</v>
      </c>
      <c r="M1492" s="6">
        <v>0</v>
      </c>
      <c r="N1492" s="6">
        <v>0</v>
      </c>
      <c r="O1492" s="4">
        <f t="shared" si="505"/>
        <v>148162.93</v>
      </c>
      <c r="P1492" s="5">
        <f>SUMIFS('Desenvolvimento diário'!$H:$H,'Desenvolvimento diário'!$Q:$Q,$B1492,'Desenvolvimento diário'!$P:$P,$F1492,'Desenvolvimento diário'!$R:$R,"Sim")</f>
        <v>0</v>
      </c>
      <c r="Q1492" s="5">
        <f>SUMIFS('Desenvolvimento diário'!$H:$H,'Desenvolvimento diário'!$Q:$Q,$B1492,'Desenvolvimento diário'!$P:$P,$F1492,'Desenvolvimento diário'!$R:$R,"Não")</f>
        <v>106252.93</v>
      </c>
      <c r="R1492" s="4">
        <f t="shared" si="506"/>
        <v>106252.93</v>
      </c>
      <c r="S1492" s="27">
        <f t="shared" si="507"/>
        <v>41910</v>
      </c>
      <c r="T1492" s="36">
        <f t="shared" si="486"/>
        <v>0.71713572349034937</v>
      </c>
      <c r="U1492" s="34" t="s">
        <v>162</v>
      </c>
      <c r="V1492" s="34" t="s">
        <v>224</v>
      </c>
      <c r="Y1492" s="2"/>
      <c r="Z1492" s="2"/>
      <c r="AA1492" s="2"/>
      <c r="AB1492" s="2"/>
      <c r="AC1492" s="2"/>
    </row>
    <row r="1493" spans="1:29" ht="10.5" hidden="1">
      <c r="A1493" s="2">
        <f t="shared" si="508"/>
        <v>43</v>
      </c>
      <c r="B1493" s="2" t="str">
        <f>VLOOKUP($A1493,Controle!$B$4:$F$68,2,FALSE)</f>
        <v>Campo Belo 2</v>
      </c>
      <c r="C1493" s="2" t="str">
        <f>VLOOKUP($A1493,Controle!$B$4:$F$68,3,FALSE)</f>
        <v>MORI MINAS V</v>
      </c>
      <c r="D1493" s="2" t="str">
        <f>VLOOKUP($A1493,Controle!$B$4:$F$68,4,FALSE)</f>
        <v>NewCo V</v>
      </c>
      <c r="E1493" s="2">
        <f>VLOOKUP($A1493,Controle!$B$4:$F$68,5,FALSE)</f>
        <v>2</v>
      </c>
      <c r="F1493" s="3" t="str">
        <f>F1458</f>
        <v>RDR-Rede de Distribuição Rural</v>
      </c>
      <c r="G1493" s="2" t="str">
        <f>VLOOKUP($A1493,Controle!$B$4:$G$68,6,FALSE)</f>
        <v>Solatio</v>
      </c>
      <c r="H1493" s="6">
        <v>0</v>
      </c>
      <c r="I1493" s="6">
        <v>0</v>
      </c>
      <c r="J1493" s="6">
        <v>0</v>
      </c>
      <c r="K1493" s="6">
        <v>0</v>
      </c>
      <c r="L1493" s="6">
        <v>0</v>
      </c>
      <c r="M1493" s="6">
        <v>0</v>
      </c>
      <c r="N1493" s="6">
        <v>0</v>
      </c>
      <c r="O1493" s="4">
        <f t="shared" si="505"/>
        <v>0</v>
      </c>
      <c r="P1493" s="5">
        <f>SUMIFS('Desenvolvimento diário'!$H:$H,'Desenvolvimento diário'!$Q:$Q,$B1493,'Desenvolvimento diário'!$P:$P,$F1493,'Desenvolvimento diário'!$R:$R,"Sim")</f>
        <v>0</v>
      </c>
      <c r="Q1493" s="5">
        <f>SUMIFS('Desenvolvimento diário'!$H:$H,'Desenvolvimento diário'!$Q:$Q,$B1493,'Desenvolvimento diário'!$P:$P,$F1493,'Desenvolvimento diário'!$R:$R,"Não")</f>
        <v>0</v>
      </c>
      <c r="R1493" s="4">
        <f t="shared" si="506"/>
        <v>0</v>
      </c>
      <c r="S1493" s="4">
        <f t="shared" si="507"/>
        <v>0</v>
      </c>
      <c r="T1493" s="12">
        <f t="shared" si="486"/>
        <v>0</v>
      </c>
      <c r="Y1493" s="2"/>
      <c r="Z1493" s="2"/>
      <c r="AA1493" s="2"/>
      <c r="AB1493" s="2"/>
      <c r="AC1493" s="2"/>
    </row>
    <row r="1494" spans="1:29" hidden="1">
      <c r="A1494" s="2">
        <f t="shared" si="508"/>
        <v>43</v>
      </c>
      <c r="B1494" s="2" t="str">
        <f>VLOOKUP($A1494,Controle!$B$4:$F$68,2,FALSE)</f>
        <v>Campo Belo 2</v>
      </c>
      <c r="C1494" s="2" t="str">
        <f>VLOOKUP($A1494,Controle!$B$4:$F$68,3,FALSE)</f>
        <v>MORI MINAS V</v>
      </c>
      <c r="D1494" s="2" t="str">
        <f>VLOOKUP($A1494,Controle!$B$4:$F$68,4,FALSE)</f>
        <v>NewCo V</v>
      </c>
      <c r="E1494" s="2">
        <f>VLOOKUP($A1494,Controle!$B$4:$F$68,5,FALSE)</f>
        <v>2</v>
      </c>
      <c r="F1494" s="3" t="str">
        <f>F1459</f>
        <v>Escopo COMERC</v>
      </c>
      <c r="G1494" s="2" t="str">
        <f>VLOOKUP($A1494,Controle!$B$4:$G$68,6,FALSE)</f>
        <v>Solatio</v>
      </c>
      <c r="H1494" s="6">
        <v>0</v>
      </c>
      <c r="I1494" s="6">
        <v>108426.17</v>
      </c>
      <c r="J1494" s="32">
        <v>179686.08</v>
      </c>
      <c r="K1494" s="29"/>
      <c r="L1494" s="6">
        <v>0</v>
      </c>
      <c r="M1494" s="6">
        <v>0</v>
      </c>
      <c r="N1494" s="6">
        <v>0</v>
      </c>
      <c r="O1494" s="4">
        <f t="shared" si="505"/>
        <v>288112.25</v>
      </c>
      <c r="P1494" s="5">
        <f>SUMIFS('Desenvolvimento diário'!$H:$H,'Desenvolvimento diário'!$Q:$Q,$B1494,'Desenvolvimento diário'!$P:$P,$F1494,'Desenvolvimento diário'!$R:$R,"Sim")</f>
        <v>0</v>
      </c>
      <c r="Q1494" s="5">
        <f>SUMIFS('Desenvolvimento diário'!$H:$H,'Desenvolvimento diário'!$Q:$Q,$B1494,'Desenvolvimento diário'!$P:$P,$F1494,'Desenvolvimento diário'!$R:$R,"Não")</f>
        <v>162341.56</v>
      </c>
      <c r="R1494" s="4">
        <f t="shared" si="506"/>
        <v>162341.56</v>
      </c>
      <c r="S1494" s="1010">
        <f t="shared" si="507"/>
        <v>125770.69</v>
      </c>
      <c r="T1494" s="12">
        <f t="shared" si="486"/>
        <v>0.56346635729650507</v>
      </c>
      <c r="U1494" s="1011" t="s">
        <v>166</v>
      </c>
      <c r="V1494" s="1011" t="s">
        <v>167</v>
      </c>
      <c r="Y1494" s="2"/>
      <c r="Z1494" s="2"/>
      <c r="AA1494" s="2"/>
      <c r="AB1494" s="2"/>
      <c r="AC1494" s="2"/>
    </row>
    <row r="1495" spans="1:29" ht="10.5" hidden="1">
      <c r="A1495" s="2">
        <f t="shared" si="508"/>
        <v>43</v>
      </c>
      <c r="B1495" s="2" t="str">
        <f>VLOOKUP($A1495,Controle!$B$4:$F$68,2,FALSE)</f>
        <v>Campo Belo 2</v>
      </c>
      <c r="C1495" s="2" t="str">
        <f>VLOOKUP($A1495,Controle!$B$4:$F$68,3,FALSE)</f>
        <v>MORI MINAS V</v>
      </c>
      <c r="D1495" s="2" t="str">
        <f>VLOOKUP($A1495,Controle!$B$4:$F$68,4,FALSE)</f>
        <v>NewCo V</v>
      </c>
      <c r="E1495" s="2">
        <f>VLOOKUP($A1495,Controle!$B$4:$F$68,5,FALSE)</f>
        <v>2</v>
      </c>
      <c r="F1495" s="3" t="str">
        <f>F1460</f>
        <v>Escopo COMERC - Segurança</v>
      </c>
      <c r="G1495" s="2" t="str">
        <f>VLOOKUP($A1495,Controle!$B$4:$G$68,6,FALSE)</f>
        <v>Solatio</v>
      </c>
      <c r="H1495" s="6">
        <v>0</v>
      </c>
      <c r="I1495" s="6">
        <f t="shared" ref="I1494:I1495" si="509">R1495</f>
        <v>426031.25</v>
      </c>
      <c r="J1495" s="6">
        <v>0</v>
      </c>
      <c r="K1495" s="6">
        <v>0</v>
      </c>
      <c r="L1495" s="6">
        <v>0</v>
      </c>
      <c r="M1495" s="6">
        <v>0</v>
      </c>
      <c r="N1495" s="6">
        <v>0</v>
      </c>
      <c r="O1495" s="4">
        <f t="shared" si="505"/>
        <v>426031.25</v>
      </c>
      <c r="P1495" s="5">
        <f>SUMIFS('Desenvolvimento diário'!$H:$H,'Desenvolvimento diário'!$Q:$Q,$B1495,'Desenvolvimento diário'!$P:$P,$F1495,'Desenvolvimento diário'!$R:$R,"Sim")</f>
        <v>10878</v>
      </c>
      <c r="Q1495" s="5">
        <f>SUMIFS('Desenvolvimento diário'!$H:$H,'Desenvolvimento diário'!$Q:$Q,$B1495,'Desenvolvimento diário'!$P:$P,$F1495,'Desenvolvimento diário'!$R:$R,"Não")</f>
        <v>415153.25</v>
      </c>
      <c r="R1495" s="4">
        <f t="shared" si="506"/>
        <v>426031.25</v>
      </c>
      <c r="S1495" s="4">
        <f t="shared" si="507"/>
        <v>0</v>
      </c>
      <c r="T1495" s="12">
        <f t="shared" si="486"/>
        <v>1</v>
      </c>
      <c r="Y1495" s="2"/>
      <c r="Z1495" s="2"/>
      <c r="AA1495" s="2"/>
      <c r="AB1495" s="2"/>
      <c r="AC1495" s="2"/>
    </row>
    <row r="1496" spans="1:29" ht="10.5" hidden="1">
      <c r="A1496" s="2">
        <f t="shared" si="508"/>
        <v>43</v>
      </c>
      <c r="B1496" s="2" t="str">
        <f>VLOOKUP($A1496,Controle!$B$4:$F$68,2,FALSE)</f>
        <v>Campo Belo 2</v>
      </c>
      <c r="C1496" s="2" t="str">
        <f>VLOOKUP($A1496,Controle!$B$4:$F$68,3,FALSE)</f>
        <v>MORI MINAS V</v>
      </c>
      <c r="D1496" s="2" t="str">
        <f>VLOOKUP($A1496,Controle!$B$4:$F$68,4,FALSE)</f>
        <v>NewCo V</v>
      </c>
      <c r="E1496" s="2">
        <f>VLOOKUP($A1496,Controle!$B$4:$F$68,5,FALSE)</f>
        <v>2</v>
      </c>
      <c r="F1496" s="3" t="str">
        <f>F1461</f>
        <v>Conexão MT - Obras Transferencia</v>
      </c>
      <c r="G1496" s="2" t="str">
        <f>VLOOKUP($A1496,Controle!$B$4:$G$68,6,FALSE)</f>
        <v>Solatio</v>
      </c>
      <c r="H1496" s="6">
        <v>0</v>
      </c>
      <c r="I1496" s="6">
        <v>0</v>
      </c>
      <c r="J1496" s="6">
        <v>0</v>
      </c>
      <c r="K1496" s="6">
        <v>0</v>
      </c>
      <c r="L1496" s="6">
        <v>0</v>
      </c>
      <c r="M1496" s="6">
        <v>0</v>
      </c>
      <c r="N1496" s="6">
        <v>0</v>
      </c>
      <c r="O1496" s="4">
        <f t="shared" si="505"/>
        <v>0</v>
      </c>
      <c r="P1496" s="5">
        <f>SUMIFS('Desenvolvimento diário'!$H:$H,'Desenvolvimento diário'!$Q:$Q,$B1496,'Desenvolvimento diário'!$P:$P,$F1496,'Desenvolvimento diário'!$R:$R,"Sim")</f>
        <v>0</v>
      </c>
      <c r="Q1496" s="5">
        <f>SUMIFS('Desenvolvimento diário'!$H:$H,'Desenvolvimento diário'!$Q:$Q,$B1496,'Desenvolvimento diário'!$P:$P,$F1496,'Desenvolvimento diário'!$R:$R,"Não")</f>
        <v>0</v>
      </c>
      <c r="R1496" s="4">
        <f t="shared" si="506"/>
        <v>0</v>
      </c>
      <c r="S1496" s="4">
        <f t="shared" si="507"/>
        <v>0</v>
      </c>
      <c r="T1496" s="12">
        <f t="shared" ref="T1496:T1563" si="510">IFERROR(R1496/O1496,0)</f>
        <v>0</v>
      </c>
      <c r="Y1496" s="2"/>
      <c r="Z1496" s="2"/>
      <c r="AA1496" s="2"/>
      <c r="AB1496" s="2"/>
      <c r="AC1496" s="2"/>
    </row>
    <row r="1497" spans="1:29" ht="10.5" hidden="1">
      <c r="A1497" s="2">
        <f t="shared" si="508"/>
        <v>43</v>
      </c>
      <c r="B1497" s="2" t="str">
        <f>VLOOKUP($A1497,Controle!$B$4:$F$68,2,FALSE)</f>
        <v>Campo Belo 2</v>
      </c>
      <c r="C1497" s="2" t="str">
        <f>VLOOKUP($A1497,Controle!$B$4:$F$68,3,FALSE)</f>
        <v>MORI MINAS V</v>
      </c>
      <c r="D1497" s="2" t="str">
        <f>VLOOKUP($A1497,Controle!$B$4:$F$68,4,FALSE)</f>
        <v>NewCo V</v>
      </c>
      <c r="E1497" s="2">
        <f>VLOOKUP($A1497,Controle!$B$4:$F$68,5,FALSE)</f>
        <v>2</v>
      </c>
      <c r="F1497" s="3" t="str">
        <f>F1462</f>
        <v>Bases de Contaniers</v>
      </c>
      <c r="G1497" s="2" t="str">
        <f>VLOOKUP($A1497,Controle!$B$4:$G$68,6,FALSE)</f>
        <v>Solatio</v>
      </c>
      <c r="H1497" s="6">
        <v>0</v>
      </c>
      <c r="I1497" s="6">
        <v>0</v>
      </c>
      <c r="J1497" s="6">
        <v>0</v>
      </c>
      <c r="K1497" s="6">
        <v>0</v>
      </c>
      <c r="L1497" s="6">
        <v>0</v>
      </c>
      <c r="M1497" s="6">
        <v>0</v>
      </c>
      <c r="N1497" s="6">
        <v>0</v>
      </c>
      <c r="O1497" s="4">
        <f t="shared" si="505"/>
        <v>0</v>
      </c>
      <c r="P1497" s="5">
        <f>SUMIFS('Desenvolvimento diário'!$H:$H,'Desenvolvimento diário'!$Q:$Q,$B1497,'Desenvolvimento diário'!$P:$P,$F1497,'Desenvolvimento diário'!$R:$R,"Sim")</f>
        <v>0</v>
      </c>
      <c r="Q1497" s="5">
        <f>SUMIFS('Desenvolvimento diário'!$H:$H,'Desenvolvimento diário'!$Q:$Q,$B1497,'Desenvolvimento diário'!$P:$P,$F1497,'Desenvolvimento diário'!$R:$R,"Não")</f>
        <v>0</v>
      </c>
      <c r="R1497" s="4">
        <f t="shared" si="506"/>
        <v>0</v>
      </c>
      <c r="S1497" s="4">
        <f t="shared" si="507"/>
        <v>0</v>
      </c>
      <c r="T1497" s="12">
        <f t="shared" si="510"/>
        <v>0</v>
      </c>
      <c r="Y1497" s="2"/>
      <c r="Z1497" s="2"/>
      <c r="AA1497" s="2"/>
      <c r="AB1497" s="2"/>
      <c r="AC1497" s="2"/>
    </row>
    <row r="1498" spans="1:29" ht="10.5" hidden="1">
      <c r="A1498" s="2">
        <f t="shared" si="508"/>
        <v>43</v>
      </c>
      <c r="B1498" s="2" t="str">
        <f>VLOOKUP($A1498,Controle!$B$4:$F$68,2,FALSE)</f>
        <v>Campo Belo 2</v>
      </c>
      <c r="C1498" s="2" t="str">
        <f>VLOOKUP($A1498,Controle!$B$4:$F$68,3,FALSE)</f>
        <v>MORI MINAS V</v>
      </c>
      <c r="D1498" s="2" t="str">
        <f>VLOOKUP($A1498,Controle!$B$4:$F$68,4,FALSE)</f>
        <v>NewCo V</v>
      </c>
      <c r="E1498" s="2">
        <f>VLOOKUP($A1498,Controle!$B$4:$F$68,5,FALSE)</f>
        <v>2</v>
      </c>
      <c r="F1498" s="3" t="str">
        <f>F1463</f>
        <v>Construção - Serviços de Construção - Ase Engenharia</v>
      </c>
      <c r="G1498" s="2" t="str">
        <f>VLOOKUP($A1498,Controle!$B$4:$G$68,6,FALSE)</f>
        <v>Solatio</v>
      </c>
      <c r="H1498" s="6">
        <v>0</v>
      </c>
      <c r="I1498" s="6">
        <v>0</v>
      </c>
      <c r="J1498" s="6">
        <v>0</v>
      </c>
      <c r="K1498" s="6">
        <v>0</v>
      </c>
      <c r="L1498" s="6">
        <v>0</v>
      </c>
      <c r="M1498" s="6">
        <v>0</v>
      </c>
      <c r="N1498" s="6">
        <v>0</v>
      </c>
      <c r="O1498" s="4">
        <f t="shared" si="505"/>
        <v>0</v>
      </c>
      <c r="P1498" s="5">
        <f>SUMIFS('Desenvolvimento diário'!$H:$H,'Desenvolvimento diário'!$Q:$Q,$B1498,'Desenvolvimento diário'!$P:$P,$F1498,'Desenvolvimento diário'!$R:$R,"Sim")</f>
        <v>0</v>
      </c>
      <c r="Q1498" s="5">
        <f>SUMIFS('Desenvolvimento diário'!$H:$H,'Desenvolvimento diário'!$Q:$Q,$B1498,'Desenvolvimento diário'!$P:$P,$F1498,'Desenvolvimento diário'!$R:$R,"Não")</f>
        <v>0</v>
      </c>
      <c r="R1498" s="4">
        <f t="shared" si="506"/>
        <v>0</v>
      </c>
      <c r="S1498" s="4">
        <f t="shared" si="507"/>
        <v>0</v>
      </c>
      <c r="T1498" s="12">
        <f t="shared" si="510"/>
        <v>0</v>
      </c>
      <c r="Y1498" s="2"/>
      <c r="Z1498" s="2"/>
      <c r="AA1498" s="2"/>
      <c r="AB1498" s="2"/>
      <c r="AC1498" s="2"/>
    </row>
    <row r="1499" spans="1:29" ht="10.5" hidden="1">
      <c r="A1499" s="2">
        <f t="shared" si="508"/>
        <v>43</v>
      </c>
      <c r="B1499" s="2" t="str">
        <f>VLOOKUP($A1499,Controle!$B$4:$F$68,2,FALSE)</f>
        <v>Campo Belo 2</v>
      </c>
      <c r="C1499" s="2" t="str">
        <f>VLOOKUP($A1499,Controle!$B$4:$F$68,3,FALSE)</f>
        <v>MORI MINAS V</v>
      </c>
      <c r="D1499" s="2" t="str">
        <f>VLOOKUP($A1499,Controle!$B$4:$F$68,4,FALSE)</f>
        <v>NewCo V</v>
      </c>
      <c r="E1499" s="2">
        <f>VLOOKUP($A1499,Controle!$B$4:$F$68,5,FALSE)</f>
        <v>2</v>
      </c>
      <c r="F1499" s="3" t="str">
        <f>F1464</f>
        <v>Full EPC - Contrato Sobressalentes</v>
      </c>
      <c r="G1499" s="2" t="str">
        <f>VLOOKUP($A1499,Controle!$B$4:$G$68,6,FALSE)</f>
        <v>Solatio</v>
      </c>
      <c r="H1499" s="6">
        <v>0</v>
      </c>
      <c r="I1499" s="6">
        <v>0</v>
      </c>
      <c r="J1499" s="6">
        <v>0</v>
      </c>
      <c r="K1499" s="6">
        <v>0</v>
      </c>
      <c r="L1499" s="6">
        <v>0</v>
      </c>
      <c r="M1499" s="6">
        <v>0</v>
      </c>
      <c r="N1499" s="6">
        <v>0</v>
      </c>
      <c r="O1499" s="4">
        <f t="shared" si="505"/>
        <v>0</v>
      </c>
      <c r="P1499" s="5">
        <f>SUMIFS('Desenvolvimento diário'!$H:$H,'Desenvolvimento diário'!$Q:$Q,$B1499,'Desenvolvimento diário'!$P:$P,$F1499,'Desenvolvimento diário'!$R:$R,"Sim")</f>
        <v>0</v>
      </c>
      <c r="Q1499" s="5">
        <f>SUMIFS('Desenvolvimento diário'!$H:$H,'Desenvolvimento diário'!$Q:$Q,$B1499,'Desenvolvimento diário'!$P:$P,$F1499,'Desenvolvimento diário'!$R:$R,"Não")</f>
        <v>0</v>
      </c>
      <c r="R1499" s="4">
        <f t="shared" si="506"/>
        <v>0</v>
      </c>
      <c r="S1499" s="4">
        <f t="shared" si="507"/>
        <v>0</v>
      </c>
      <c r="T1499" s="12">
        <f t="shared" si="510"/>
        <v>0</v>
      </c>
      <c r="Y1499" s="2"/>
      <c r="Z1499" s="2"/>
      <c r="AA1499" s="2"/>
      <c r="AB1499" s="2"/>
      <c r="AC1499" s="2"/>
    </row>
    <row r="1500" spans="1:29" ht="10.5" hidden="1">
      <c r="A1500" s="2">
        <f t="shared" si="508"/>
        <v>43</v>
      </c>
      <c r="B1500" s="2" t="str">
        <f>VLOOKUP($A1500,Controle!$B$4:$F$68,2,FALSE)</f>
        <v>Campo Belo 2</v>
      </c>
      <c r="C1500" s="2" t="str">
        <f>VLOOKUP($A1500,Controle!$B$4:$F$68,3,FALSE)</f>
        <v>MORI MINAS V</v>
      </c>
      <c r="D1500" s="2" t="str">
        <f>VLOOKUP($A1500,Controle!$B$4:$F$68,4,FALSE)</f>
        <v>NewCo V</v>
      </c>
      <c r="E1500" s="2">
        <f>VLOOKUP($A1500,Controle!$B$4:$F$68,5,FALSE)</f>
        <v>2</v>
      </c>
      <c r="F1500" s="3" t="str">
        <f>F1465</f>
        <v>Construção - Serviços de Construção - NOVA MORADA</v>
      </c>
      <c r="G1500" s="2" t="str">
        <f>VLOOKUP($A1500,Controle!$B$4:$G$68,6,FALSE)</f>
        <v>Solatio</v>
      </c>
      <c r="H1500" s="6">
        <v>0</v>
      </c>
      <c r="I1500" s="6">
        <v>0</v>
      </c>
      <c r="J1500" s="6">
        <v>0</v>
      </c>
      <c r="K1500" s="6">
        <v>0</v>
      </c>
      <c r="L1500" s="6">
        <v>0</v>
      </c>
      <c r="M1500" s="6">
        <v>0</v>
      </c>
      <c r="N1500" s="6">
        <v>0</v>
      </c>
      <c r="O1500" s="4">
        <f t="shared" si="505"/>
        <v>0</v>
      </c>
      <c r="P1500" s="5">
        <f>SUMIFS('Desenvolvimento diário'!$H:$H,'Desenvolvimento diário'!$Q:$Q,$B1500,'Desenvolvimento diário'!$P:$P,$F1500,'Desenvolvimento diário'!$R:$R,"Sim")</f>
        <v>0</v>
      </c>
      <c r="Q1500" s="5">
        <f>SUMIFS('Desenvolvimento diário'!$H:$H,'Desenvolvimento diário'!$Q:$Q,$B1500,'Desenvolvimento diário'!$P:$P,$F1500,'Desenvolvimento diário'!$R:$R,"Não")</f>
        <v>0</v>
      </c>
      <c r="R1500" s="4">
        <f t="shared" si="506"/>
        <v>0</v>
      </c>
      <c r="S1500" s="4">
        <f t="shared" si="507"/>
        <v>0</v>
      </c>
      <c r="T1500" s="12">
        <f t="shared" si="510"/>
        <v>0</v>
      </c>
      <c r="Y1500" s="2"/>
      <c r="Z1500" s="2"/>
      <c r="AA1500" s="2"/>
      <c r="AB1500" s="2"/>
      <c r="AC1500" s="2"/>
    </row>
    <row r="1501" spans="1:29" ht="10.5" hidden="1">
      <c r="A1501" s="2">
        <f t="shared" si="508"/>
        <v>43</v>
      </c>
      <c r="B1501" s="2" t="str">
        <f>VLOOKUP($A1501,Controle!$B$4:$F$68,2,FALSE)</f>
        <v>Campo Belo 2</v>
      </c>
      <c r="C1501" s="2" t="str">
        <f>VLOOKUP($A1501,Controle!$B$4:$F$68,3,FALSE)</f>
        <v>MORI MINAS V</v>
      </c>
      <c r="D1501" s="2" t="str">
        <f>VLOOKUP($A1501,Controle!$B$4:$F$68,4,FALSE)</f>
        <v>NewCo V</v>
      </c>
      <c r="E1501" s="2">
        <f>VLOOKUP($A1501,Controle!$B$4:$F$68,5,FALSE)</f>
        <v>2</v>
      </c>
      <c r="F1501" s="3" t="str">
        <f>F1466</f>
        <v>Equipamentos Curva A -  Contrato Sobressalentes - SETTA</v>
      </c>
      <c r="G1501" s="2" t="str">
        <f>VLOOKUP($A1501,Controle!$B$4:$G$68,6,FALSE)</f>
        <v>Solatio</v>
      </c>
      <c r="H1501" s="6">
        <v>0</v>
      </c>
      <c r="I1501" s="6">
        <v>0</v>
      </c>
      <c r="J1501" s="6">
        <v>0</v>
      </c>
      <c r="K1501" s="6">
        <v>0</v>
      </c>
      <c r="L1501" s="6">
        <v>0</v>
      </c>
      <c r="M1501" s="6">
        <v>0</v>
      </c>
      <c r="N1501" s="6">
        <v>0</v>
      </c>
      <c r="O1501" s="4">
        <f t="shared" si="505"/>
        <v>0</v>
      </c>
      <c r="P1501" s="5">
        <f>SUMIFS('Desenvolvimento diário'!$H:$H,'Desenvolvimento diário'!$Q:$Q,$B1501,'Desenvolvimento diário'!$P:$P,$F1501,'Desenvolvimento diário'!$R:$R,"Sim")</f>
        <v>0</v>
      </c>
      <c r="Q1501" s="5">
        <f>SUMIFS('Desenvolvimento diário'!$H:$H,'Desenvolvimento diário'!$Q:$Q,$B1501,'Desenvolvimento diário'!$P:$P,$F1501,'Desenvolvimento diário'!$R:$R,"Não")</f>
        <v>0</v>
      </c>
      <c r="R1501" s="4">
        <f t="shared" si="506"/>
        <v>0</v>
      </c>
      <c r="S1501" s="4">
        <f t="shared" si="507"/>
        <v>0</v>
      </c>
      <c r="T1501" s="12">
        <f t="shared" si="510"/>
        <v>0</v>
      </c>
      <c r="Y1501" s="2"/>
      <c r="Z1501" s="2"/>
      <c r="AA1501" s="2"/>
      <c r="AB1501" s="2"/>
      <c r="AC1501" s="2"/>
    </row>
    <row r="1502" spans="1:29" ht="10.5" hidden="1">
      <c r="A1502" s="2">
        <f t="shared" si="508"/>
        <v>43</v>
      </c>
      <c r="B1502" s="2" t="str">
        <f>VLOOKUP($A1502,Controle!$B$4:$F$68,2,FALSE)</f>
        <v>Campo Belo 2</v>
      </c>
      <c r="C1502" s="2" t="str">
        <f>VLOOKUP($A1502,Controle!$B$4:$F$68,3,FALSE)</f>
        <v>MORI MINAS V</v>
      </c>
      <c r="D1502" s="2" t="str">
        <f>VLOOKUP($A1502,Controle!$B$4:$F$68,4,FALSE)</f>
        <v>NewCo V</v>
      </c>
      <c r="E1502" s="2">
        <f>VLOOKUP($A1502,Controle!$B$4:$F$68,5,FALSE)</f>
        <v>2</v>
      </c>
      <c r="F1502" s="3" t="str">
        <f>F1467</f>
        <v>Equipamentos Curva A -  Contrato Sobressalentes - Arctech</v>
      </c>
      <c r="G1502" s="2" t="str">
        <f>VLOOKUP($A1502,Controle!$B$4:$G$68,6,FALSE)</f>
        <v>Solatio</v>
      </c>
      <c r="H1502" s="6">
        <v>0</v>
      </c>
      <c r="I1502" s="6">
        <v>0</v>
      </c>
      <c r="J1502" s="6">
        <v>0</v>
      </c>
      <c r="K1502" s="6">
        <v>0</v>
      </c>
      <c r="L1502" s="6">
        <v>0</v>
      </c>
      <c r="M1502" s="6">
        <v>0</v>
      </c>
      <c r="N1502" s="6">
        <v>0</v>
      </c>
      <c r="O1502" s="4">
        <f t="shared" si="505"/>
        <v>0</v>
      </c>
      <c r="P1502" s="5">
        <f>SUMIFS('Desenvolvimento diário'!$H:$H,'Desenvolvimento diário'!$Q:$Q,$B1502,'Desenvolvimento diário'!$P:$P,$F1502,'Desenvolvimento diário'!$R:$R,"Sim")</f>
        <v>0</v>
      </c>
      <c r="Q1502" s="5">
        <f>SUMIFS('Desenvolvimento diário'!$H:$H,'Desenvolvimento diário'!$Q:$Q,$B1502,'Desenvolvimento diário'!$P:$P,$F1502,'Desenvolvimento diário'!$R:$R,"Não")</f>
        <v>0</v>
      </c>
      <c r="R1502" s="4">
        <f t="shared" si="506"/>
        <v>0</v>
      </c>
      <c r="S1502" s="4">
        <f t="shared" si="507"/>
        <v>0</v>
      </c>
      <c r="T1502" s="12">
        <f t="shared" si="510"/>
        <v>0</v>
      </c>
      <c r="Y1502" s="2"/>
      <c r="Z1502" s="2"/>
      <c r="AA1502" s="2"/>
      <c r="AB1502" s="2"/>
      <c r="AC1502" s="2"/>
    </row>
    <row r="1503" spans="1:29" hidden="1">
      <c r="A1503" s="2">
        <f t="shared" si="508"/>
        <v>43</v>
      </c>
      <c r="B1503" s="2" t="str">
        <f>VLOOKUP($A1503,Controle!$B$4:$F$68,2,FALSE)</f>
        <v>Campo Belo 2</v>
      </c>
      <c r="C1503" s="2" t="str">
        <f>VLOOKUP($A1503,Controle!$B$4:$F$68,3,FALSE)</f>
        <v>MORI MINAS V</v>
      </c>
      <c r="D1503" s="2" t="str">
        <f>VLOOKUP($A1503,Controle!$B$4:$F$68,4,FALSE)</f>
        <v>NewCo V</v>
      </c>
      <c r="E1503" s="2">
        <f>VLOOKUP($A1503,Controle!$B$4:$F$68,5,FALSE)</f>
        <v>2</v>
      </c>
      <c r="F1503" s="3" t="str">
        <f>F1468</f>
        <v>Equipamentos Curva A -  Contrato Sobressalentes - Romagnole</v>
      </c>
      <c r="G1503" s="2" t="str">
        <f>VLOOKUP($A1503,Controle!$B$4:$G$68,6,FALSE)</f>
        <v>Solatio</v>
      </c>
      <c r="H1503" s="506" t="s">
        <v>169</v>
      </c>
      <c r="I1503" s="506">
        <v>278314.46000000002</v>
      </c>
      <c r="J1503" s="7">
        <v>0</v>
      </c>
      <c r="K1503" s="506">
        <v>0</v>
      </c>
      <c r="L1503" s="506">
        <v>0</v>
      </c>
      <c r="M1503" s="506">
        <v>0</v>
      </c>
      <c r="N1503" s="506">
        <v>0</v>
      </c>
      <c r="O1503" s="39">
        <f t="shared" si="505"/>
        <v>278314.46000000002</v>
      </c>
      <c r="P1503" s="17">
        <f>SUMIFS('Desenvolvimento diário'!$H:$H,'Desenvolvimento diário'!$Q:$Q,$B1503,'Desenvolvimento diário'!$P:$P,$F1503,'Desenvolvimento diário'!$R:$R,"Sim")</f>
        <v>0</v>
      </c>
      <c r="Q1503" s="17">
        <f>SUMIFS('Desenvolvimento diário'!$H:$H,'Desenvolvimento diário'!$Q:$Q,$B1503,'Desenvolvimento diário'!$P:$P,$F1503,'Desenvolvimento diário'!$R:$R,"Não")</f>
        <v>278314.46000000002</v>
      </c>
      <c r="R1503" s="4">
        <f t="shared" si="506"/>
        <v>278314.46000000002</v>
      </c>
      <c r="S1503" s="4">
        <f t="shared" si="507"/>
        <v>0</v>
      </c>
      <c r="T1503" s="12">
        <f t="shared" si="510"/>
        <v>1</v>
      </c>
      <c r="Y1503" s="2"/>
      <c r="Z1503" s="2"/>
      <c r="AA1503" s="2"/>
      <c r="AB1503" s="2"/>
      <c r="AC1503" s="2"/>
    </row>
    <row r="1504" spans="1:29" hidden="1">
      <c r="A1504" s="2">
        <f t="shared" si="508"/>
        <v>43</v>
      </c>
      <c r="B1504" s="2" t="str">
        <f>VLOOKUP($A1504,Controle!$B$4:$F$68,2,FALSE)</f>
        <v>Campo Belo 2</v>
      </c>
      <c r="C1504" s="2" t="str">
        <f>VLOOKUP($A1504,Controle!$B$4:$F$68,3,FALSE)</f>
        <v>MORI MINAS V</v>
      </c>
      <c r="D1504" s="2" t="str">
        <f>VLOOKUP($A1504,Controle!$B$4:$F$68,4,FALSE)</f>
        <v>NewCo V</v>
      </c>
      <c r="E1504" s="2">
        <f>VLOOKUP($A1504,Controle!$B$4:$F$68,5,FALSE)</f>
        <v>2</v>
      </c>
      <c r="F1504" s="3" t="str">
        <f>F1469</f>
        <v>GOS FLORESTAL - (PRAD - Recuperação Area Ambiental)</v>
      </c>
      <c r="G1504" s="2" t="str">
        <f>VLOOKUP($A1504,Controle!$B$4:$G$68,6,FALSE)</f>
        <v>Solatio</v>
      </c>
      <c r="H1504" s="506" t="s">
        <v>170</v>
      </c>
      <c r="I1504" s="6">
        <v>0</v>
      </c>
      <c r="J1504" s="506"/>
      <c r="K1504" s="506">
        <v>0</v>
      </c>
      <c r="L1504" s="506">
        <v>0</v>
      </c>
      <c r="M1504" s="506">
        <v>0</v>
      </c>
      <c r="N1504" s="506">
        <v>0</v>
      </c>
      <c r="O1504" s="39">
        <f t="shared" si="505"/>
        <v>0</v>
      </c>
      <c r="P1504" s="17">
        <f>SUMIFS('Desenvolvimento diário'!$H:$H,'Desenvolvimento diário'!$Q:$Q,$B1504,'Desenvolvimento diário'!$P:$P,$F1504,'Desenvolvimento diário'!$R:$R,"Sim")</f>
        <v>0</v>
      </c>
      <c r="Q1504" s="17">
        <f>SUMIFS('Desenvolvimento diário'!$H:$H,'Desenvolvimento diário'!$Q:$Q,$B1504,'Desenvolvimento diário'!$P:$P,$F1504,'Desenvolvimento diário'!$R:$R,"Não")</f>
        <v>0</v>
      </c>
      <c r="R1504" s="4">
        <f t="shared" si="506"/>
        <v>0</v>
      </c>
      <c r="S1504" s="4">
        <f t="shared" si="507"/>
        <v>0</v>
      </c>
      <c r="T1504" s="12">
        <f t="shared" si="510"/>
        <v>0</v>
      </c>
      <c r="Y1504" s="2"/>
      <c r="Z1504" s="2"/>
      <c r="AA1504" s="2"/>
      <c r="AB1504" s="2"/>
      <c r="AC1504" s="2"/>
    </row>
    <row r="1505" spans="1:29" hidden="1">
      <c r="A1505" s="2">
        <f t="shared" si="508"/>
        <v>43</v>
      </c>
      <c r="B1505" s="2" t="str">
        <f>VLOOKUP($A1505,Controle!$B$4:$F$68,2,FALSE)</f>
        <v>Campo Belo 2</v>
      </c>
      <c r="C1505" s="2" t="str">
        <f>VLOOKUP($A1505,Controle!$B$4:$F$68,3,FALSE)</f>
        <v>MORI MINAS V</v>
      </c>
      <c r="D1505" s="2" t="str">
        <f>VLOOKUP($A1505,Controle!$B$4:$F$68,4,FALSE)</f>
        <v>NewCo V</v>
      </c>
      <c r="E1505" s="2">
        <f>VLOOKUP($A1505,Controle!$B$4:$F$68,5,FALSE)</f>
        <v>2</v>
      </c>
      <c r="F1505" s="3" t="str">
        <f>F1470</f>
        <v>Cercamento das bacias de contenção ciclo 2</v>
      </c>
      <c r="G1505" s="2" t="str">
        <f>VLOOKUP($A1505,Controle!$B$4:$G$68,6,FALSE)</f>
        <v>Solatio</v>
      </c>
      <c r="H1505" s="506" t="s">
        <v>172</v>
      </c>
      <c r="I1505" s="6"/>
      <c r="J1505" s="506"/>
      <c r="K1505" s="506">
        <v>0</v>
      </c>
      <c r="L1505" s="506">
        <v>0</v>
      </c>
      <c r="M1505" s="506">
        <v>0</v>
      </c>
      <c r="N1505" s="506">
        <v>0</v>
      </c>
      <c r="O1505" s="39">
        <f t="shared" si="505"/>
        <v>0</v>
      </c>
      <c r="P1505" s="17">
        <f>SUMIFS('Desenvolvimento diário'!$H:$H,'Desenvolvimento diário'!$Q:$Q,$B1505,'Desenvolvimento diário'!$P:$P,$F1505,'Desenvolvimento diário'!$R:$R,"Sim")</f>
        <v>0</v>
      </c>
      <c r="Q1505" s="17">
        <f>SUMIFS('Desenvolvimento diário'!$H:$H,'Desenvolvimento diário'!$Q:$Q,$B1505,'Desenvolvimento diário'!$P:$P,$F1505,'Desenvolvimento diário'!$R:$R,"Não")</f>
        <v>0</v>
      </c>
      <c r="R1505" s="4">
        <f t="shared" si="506"/>
        <v>0</v>
      </c>
      <c r="S1505" s="1030">
        <f t="shared" si="507"/>
        <v>0</v>
      </c>
      <c r="T1505" s="12">
        <f t="shared" si="510"/>
        <v>0</v>
      </c>
      <c r="U1505" s="1029" t="s">
        <v>166</v>
      </c>
      <c r="V1505" s="1029" t="s">
        <v>94</v>
      </c>
      <c r="Y1505" s="2"/>
      <c r="Z1505" s="2"/>
      <c r="AA1505" s="2"/>
      <c r="AB1505" s="2"/>
      <c r="AC1505" s="2"/>
    </row>
    <row r="1506" spans="1:29" hidden="1">
      <c r="A1506" s="8">
        <f>A1503</f>
        <v>43</v>
      </c>
      <c r="B1506" s="9" t="str">
        <f t="shared" ref="B1506" si="511">B1503</f>
        <v>Campo Belo 2</v>
      </c>
      <c r="C1506" s="9" t="str">
        <f t="shared" ref="C1506" si="512">C1503</f>
        <v>MORI MINAS V</v>
      </c>
      <c r="D1506" s="9" t="str">
        <f t="shared" ref="D1506" si="513">D1503</f>
        <v>NewCo V</v>
      </c>
      <c r="E1506" s="9">
        <f t="shared" ref="E1506" si="514">E1503</f>
        <v>2</v>
      </c>
      <c r="F1506" s="10" t="s">
        <v>158</v>
      </c>
      <c r="G1506" s="9" t="str">
        <f>G1503</f>
        <v>Solatio</v>
      </c>
      <c r="H1506" s="9"/>
      <c r="I1506" s="9">
        <f>SUBTOTAL(9,I1472:I1505)</f>
        <v>0</v>
      </c>
      <c r="J1506" s="9">
        <f t="shared" ref="J1506:S1506" si="515">SUBTOTAL(9,J1472:J1505)</f>
        <v>0</v>
      </c>
      <c r="K1506" s="9">
        <f t="shared" si="515"/>
        <v>0</v>
      </c>
      <c r="L1506" s="9">
        <f t="shared" si="515"/>
        <v>0</v>
      </c>
      <c r="M1506" s="9">
        <f t="shared" si="515"/>
        <v>0</v>
      </c>
      <c r="N1506" s="9">
        <f t="shared" si="515"/>
        <v>0</v>
      </c>
      <c r="O1506" s="9">
        <f t="shared" si="515"/>
        <v>0</v>
      </c>
      <c r="P1506" s="9">
        <f t="shared" si="515"/>
        <v>0</v>
      </c>
      <c r="Q1506" s="9">
        <f t="shared" si="515"/>
        <v>0</v>
      </c>
      <c r="R1506" s="9">
        <f t="shared" si="515"/>
        <v>0</v>
      </c>
      <c r="S1506" s="9">
        <f t="shared" si="515"/>
        <v>0</v>
      </c>
      <c r="T1506" s="13">
        <f>IFERROR(R1506/O1506,0)</f>
        <v>0</v>
      </c>
      <c r="U1506" s="11">
        <f>SUBTOTAL(9,U1472:U1505)</f>
        <v>0</v>
      </c>
      <c r="Y1506" s="2"/>
      <c r="Z1506" s="2"/>
      <c r="AA1506" s="2"/>
      <c r="AB1506" s="2"/>
      <c r="AC1506" s="2"/>
    </row>
    <row r="1507" spans="1:29" ht="10.5" hidden="1">
      <c r="A1507" s="2">
        <f>A1472+1</f>
        <v>44</v>
      </c>
      <c r="B1507" s="2" t="str">
        <f>VLOOKUP($A1507,Controle!$B$4:$F$68,2,FALSE)</f>
        <v>Campo Belo 3</v>
      </c>
      <c r="C1507" s="2" t="str">
        <f>VLOOKUP($A1507,Controle!$B$4:$F$68,3,FALSE)</f>
        <v>MORI MINAS IV</v>
      </c>
      <c r="D1507" s="2" t="str">
        <f>VLOOKUP($A1507,Controle!$B$4:$F$68,4,FALSE)</f>
        <v>NewCo IV</v>
      </c>
      <c r="E1507" s="2" t="str">
        <f>VLOOKUP($A1507,Controle!$B$4:$F$68,5,FALSE)</f>
        <v>Weg</v>
      </c>
      <c r="F1507" s="3" t="str">
        <f>F1472</f>
        <v>Conexão AT - Obras</v>
      </c>
      <c r="G1507" s="2" t="str">
        <f>VLOOKUP($A1507,Controle!$B$4:$G$68,6,FALSE)</f>
        <v>Solatio</v>
      </c>
      <c r="H1507" s="6" t="s">
        <v>141</v>
      </c>
      <c r="I1507" s="29">
        <f>401000-0.01</f>
        <v>400999.99</v>
      </c>
      <c r="J1507" s="6">
        <v>0</v>
      </c>
      <c r="K1507" s="6">
        <v>0</v>
      </c>
      <c r="L1507" s="6">
        <v>0</v>
      </c>
      <c r="M1507" s="6">
        <v>0</v>
      </c>
      <c r="N1507" s="6">
        <v>0</v>
      </c>
      <c r="O1507" s="4">
        <f t="shared" ref="O1507:O1538" si="516">SUM(I1507:N1507)</f>
        <v>400999.99</v>
      </c>
      <c r="P1507" s="5">
        <f>SUMIFS('Desenvolvimento diário'!$H:$H,'Desenvolvimento diário'!$Q:$Q,$B1507,'Desenvolvimento diário'!$P:$P,$F1507,'Desenvolvimento diário'!$R:$R,"Sim")</f>
        <v>107491.27</v>
      </c>
      <c r="Q1507" s="5">
        <f>SUMIFS('Desenvolvimento diário'!$H:$H,'Desenvolvimento diário'!$Q:$Q,$B1507,'Desenvolvimento diário'!$P:$P,$F1507,'Desenvolvimento diário'!$R:$R,"Não")</f>
        <v>293508.72000000003</v>
      </c>
      <c r="R1507" s="4">
        <f t="shared" ref="R1507:R1538" si="517">SUM(P1507:Q1507)</f>
        <v>400999.99000000005</v>
      </c>
      <c r="S1507" s="4">
        <f t="shared" ref="S1507:S1538" si="518">O1507-R1507</f>
        <v>0</v>
      </c>
      <c r="T1507" s="12">
        <f t="shared" si="510"/>
        <v>1.0000000000000002</v>
      </c>
      <c r="Y1507" s="2"/>
      <c r="Z1507" s="2"/>
      <c r="AA1507" s="2"/>
      <c r="AB1507" s="2"/>
      <c r="AC1507" s="2"/>
    </row>
    <row r="1508" spans="1:29" ht="10.5" hidden="1">
      <c r="A1508" s="2">
        <f t="shared" ref="A1508:A1540" si="519">A1507</f>
        <v>44</v>
      </c>
      <c r="B1508" s="2" t="str">
        <f>VLOOKUP($A1508,Controle!$B$4:$F$68,2,FALSE)</f>
        <v>Campo Belo 3</v>
      </c>
      <c r="C1508" s="2" t="str">
        <f>VLOOKUP($A1508,Controle!$B$4:$F$68,3,FALSE)</f>
        <v>MORI MINAS IV</v>
      </c>
      <c r="D1508" s="2" t="str">
        <f>VLOOKUP($A1508,Controle!$B$4:$F$68,4,FALSE)</f>
        <v>NewCo IV</v>
      </c>
      <c r="E1508" s="2" t="str">
        <f>VLOOKUP($A1508,Controle!$B$4:$F$68,5,FALSE)</f>
        <v>Weg</v>
      </c>
      <c r="F1508" s="3" t="str">
        <f>F1473</f>
        <v>Conexão MT - Obras</v>
      </c>
      <c r="G1508" s="2" t="str">
        <f>VLOOKUP($A1508,Controle!$B$4:$G$68,6,FALSE)</f>
        <v>Solatio</v>
      </c>
      <c r="H1508" s="6" t="s">
        <v>141</v>
      </c>
      <c r="I1508" s="6">
        <v>877000</v>
      </c>
      <c r="J1508" s="6">
        <v>359239</v>
      </c>
      <c r="K1508" s="6">
        <v>0</v>
      </c>
      <c r="L1508" s="6">
        <v>0</v>
      </c>
      <c r="M1508" s="6">
        <v>0</v>
      </c>
      <c r="N1508" s="6">
        <v>0</v>
      </c>
      <c r="O1508" s="4">
        <f t="shared" si="516"/>
        <v>1236239</v>
      </c>
      <c r="P1508" s="5">
        <f>SUMIFS('Desenvolvimento diário'!$H:$H,'Desenvolvimento diário'!$Q:$Q,$B1508,'Desenvolvimento diário'!$P:$P,$F1508,'Desenvolvimento diário'!$R:$R,"Sim")</f>
        <v>458942.66</v>
      </c>
      <c r="Q1508" s="5">
        <f>SUMIFS('Desenvolvimento diário'!$H:$H,'Desenvolvimento diário'!$Q:$Q,$B1508,'Desenvolvimento diário'!$P:$P,$F1508,'Desenvolvimento diário'!$R:$R,"Não")</f>
        <v>777296.34</v>
      </c>
      <c r="R1508" s="4">
        <f t="shared" si="517"/>
        <v>1236239</v>
      </c>
      <c r="S1508" s="27">
        <f t="shared" si="518"/>
        <v>0</v>
      </c>
      <c r="T1508" s="12">
        <f t="shared" si="510"/>
        <v>1</v>
      </c>
      <c r="Y1508" s="2"/>
      <c r="Z1508" s="2"/>
      <c r="AA1508" s="2"/>
      <c r="AB1508" s="2"/>
      <c r="AC1508" s="2"/>
    </row>
    <row r="1509" spans="1:29" ht="10.5" hidden="1">
      <c r="A1509" s="2">
        <f t="shared" si="519"/>
        <v>44</v>
      </c>
      <c r="B1509" s="2" t="str">
        <f>VLOOKUP($A1509,Controle!$B$4:$F$68,2,FALSE)</f>
        <v>Campo Belo 3</v>
      </c>
      <c r="C1509" s="2" t="str">
        <f>VLOOKUP($A1509,Controle!$B$4:$F$68,3,FALSE)</f>
        <v>MORI MINAS IV</v>
      </c>
      <c r="D1509" s="2" t="str">
        <f>VLOOKUP($A1509,Controle!$B$4:$F$68,4,FALSE)</f>
        <v>NewCo IV</v>
      </c>
      <c r="E1509" s="2" t="str">
        <f>VLOOKUP($A1509,Controle!$B$4:$F$68,5,FALSE)</f>
        <v>Weg</v>
      </c>
      <c r="F1509" s="3" t="str">
        <f>F1474</f>
        <v>Construção - Serviços de Construção</v>
      </c>
      <c r="G1509" s="2" t="str">
        <f>VLOOKUP($A1509,Controle!$B$4:$G$68,6,FALSE)</f>
        <v>Solatio</v>
      </c>
      <c r="H1509" s="6">
        <v>0</v>
      </c>
      <c r="I1509" s="6">
        <v>0</v>
      </c>
      <c r="J1509" s="6">
        <v>0</v>
      </c>
      <c r="K1509" s="6">
        <v>0</v>
      </c>
      <c r="L1509" s="6">
        <v>0</v>
      </c>
      <c r="M1509" s="6">
        <v>0</v>
      </c>
      <c r="N1509" s="6">
        <v>0</v>
      </c>
      <c r="O1509" s="4">
        <f t="shared" si="516"/>
        <v>0</v>
      </c>
      <c r="P1509" s="5">
        <f>SUMIFS('Desenvolvimento diário'!$H:$H,'Desenvolvimento diário'!$Q:$Q,$B1509,'Desenvolvimento diário'!$P:$P,$F1509,'Desenvolvimento diário'!$R:$R,"Sim")</f>
        <v>0</v>
      </c>
      <c r="Q1509" s="5">
        <f>SUMIFS('Desenvolvimento diário'!$H:$H,'Desenvolvimento diário'!$Q:$Q,$B1509,'Desenvolvimento diário'!$P:$P,$F1509,'Desenvolvimento diário'!$R:$R,"Não")</f>
        <v>0</v>
      </c>
      <c r="R1509" s="4">
        <f t="shared" si="517"/>
        <v>0</v>
      </c>
      <c r="S1509" s="4">
        <f t="shared" si="518"/>
        <v>0</v>
      </c>
      <c r="T1509" s="12">
        <f t="shared" si="510"/>
        <v>0</v>
      </c>
      <c r="Y1509" s="2"/>
      <c r="Z1509" s="2"/>
      <c r="AA1509" s="2"/>
      <c r="AB1509" s="2"/>
      <c r="AC1509" s="2"/>
    </row>
    <row r="1510" spans="1:29" ht="10.5" hidden="1">
      <c r="A1510" s="2">
        <f t="shared" si="519"/>
        <v>44</v>
      </c>
      <c r="B1510" s="2" t="str">
        <f>VLOOKUP($A1510,Controle!$B$4:$F$68,2,FALSE)</f>
        <v>Campo Belo 3</v>
      </c>
      <c r="C1510" s="2" t="str">
        <f>VLOOKUP($A1510,Controle!$B$4:$F$68,3,FALSE)</f>
        <v>MORI MINAS IV</v>
      </c>
      <c r="D1510" s="2" t="str">
        <f>VLOOKUP($A1510,Controle!$B$4:$F$68,4,FALSE)</f>
        <v>NewCo IV</v>
      </c>
      <c r="E1510" s="2" t="str">
        <f>VLOOKUP($A1510,Controle!$B$4:$F$68,5,FALSE)</f>
        <v>Weg</v>
      </c>
      <c r="F1510" s="3" t="str">
        <f>F1475</f>
        <v>Construção - Serviços de Construção - Substituição</v>
      </c>
      <c r="G1510" s="2" t="str">
        <f>VLOOKUP($A1510,Controle!$B$4:$G$68,6,FALSE)</f>
        <v>Solatio</v>
      </c>
      <c r="H1510" s="6">
        <v>0</v>
      </c>
      <c r="I1510" s="6">
        <v>0</v>
      </c>
      <c r="J1510" s="6">
        <v>0</v>
      </c>
      <c r="K1510" s="6">
        <v>0</v>
      </c>
      <c r="L1510" s="6">
        <v>0</v>
      </c>
      <c r="M1510" s="6">
        <v>0</v>
      </c>
      <c r="N1510" s="6">
        <v>0</v>
      </c>
      <c r="O1510" s="4">
        <f t="shared" si="516"/>
        <v>0</v>
      </c>
      <c r="P1510" s="5">
        <f>SUMIFS('Desenvolvimento diário'!$H:$H,'Desenvolvimento diário'!$Q:$Q,$B1510,'Desenvolvimento diário'!$P:$P,$F1510,'Desenvolvimento diário'!$R:$R,"Sim")</f>
        <v>0</v>
      </c>
      <c r="Q1510" s="5">
        <f>SUMIFS('Desenvolvimento diário'!$H:$H,'Desenvolvimento diário'!$Q:$Q,$B1510,'Desenvolvimento diário'!$P:$P,$F1510,'Desenvolvimento diário'!$R:$R,"Não")</f>
        <v>0</v>
      </c>
      <c r="R1510" s="4">
        <f t="shared" si="517"/>
        <v>0</v>
      </c>
      <c r="S1510" s="4">
        <f t="shared" si="518"/>
        <v>0</v>
      </c>
      <c r="T1510" s="12">
        <f t="shared" si="510"/>
        <v>0</v>
      </c>
      <c r="Y1510" s="2"/>
      <c r="Z1510" s="2"/>
      <c r="AA1510" s="2"/>
      <c r="AB1510" s="2"/>
      <c r="AC1510" s="2"/>
    </row>
    <row r="1511" spans="1:29" ht="10.5" hidden="1">
      <c r="A1511" s="2">
        <f t="shared" si="519"/>
        <v>44</v>
      </c>
      <c r="B1511" s="2" t="str">
        <f>VLOOKUP($A1511,Controle!$B$4:$F$68,2,FALSE)</f>
        <v>Campo Belo 3</v>
      </c>
      <c r="C1511" s="2" t="str">
        <f>VLOOKUP($A1511,Controle!$B$4:$F$68,3,FALSE)</f>
        <v>MORI MINAS IV</v>
      </c>
      <c r="D1511" s="2" t="str">
        <f>VLOOKUP($A1511,Controle!$B$4:$F$68,4,FALSE)</f>
        <v>NewCo IV</v>
      </c>
      <c r="E1511" s="2" t="str">
        <f>VLOOKUP($A1511,Controle!$B$4:$F$68,5,FALSE)</f>
        <v>Weg</v>
      </c>
      <c r="F1511" s="3" t="str">
        <f>F1476</f>
        <v>Construção - RDA Interno</v>
      </c>
      <c r="G1511" s="2" t="str">
        <f>VLOOKUP($A1511,Controle!$B$4:$G$68,6,FALSE)</f>
        <v>Solatio</v>
      </c>
      <c r="H1511" s="6">
        <v>0</v>
      </c>
      <c r="I1511" s="6">
        <v>0</v>
      </c>
      <c r="J1511" s="6">
        <v>0</v>
      </c>
      <c r="K1511" s="6">
        <v>0</v>
      </c>
      <c r="L1511" s="6">
        <v>0</v>
      </c>
      <c r="M1511" s="6">
        <v>0</v>
      </c>
      <c r="N1511" s="6">
        <v>0</v>
      </c>
      <c r="O1511" s="4">
        <f t="shared" si="516"/>
        <v>0</v>
      </c>
      <c r="P1511" s="5">
        <f>SUMIFS('Desenvolvimento diário'!$H:$H,'Desenvolvimento diário'!$Q:$Q,$B1511,'Desenvolvimento diário'!$P:$P,$F1511,'Desenvolvimento diário'!$R:$R,"Sim")</f>
        <v>0</v>
      </c>
      <c r="Q1511" s="5">
        <f>SUMIFS('Desenvolvimento diário'!$H:$H,'Desenvolvimento diário'!$Q:$Q,$B1511,'Desenvolvimento diário'!$P:$P,$F1511,'Desenvolvimento diário'!$R:$R,"Não")</f>
        <v>0</v>
      </c>
      <c r="R1511" s="4">
        <f t="shared" si="517"/>
        <v>0</v>
      </c>
      <c r="S1511" s="4">
        <f t="shared" si="518"/>
        <v>0</v>
      </c>
      <c r="T1511" s="12">
        <f t="shared" si="510"/>
        <v>0</v>
      </c>
      <c r="Y1511" s="2"/>
      <c r="Z1511" s="2"/>
      <c r="AA1511" s="2"/>
      <c r="AB1511" s="2"/>
      <c r="AC1511" s="2"/>
    </row>
    <row r="1512" spans="1:29" ht="10.5" hidden="1">
      <c r="A1512" s="2">
        <f t="shared" si="519"/>
        <v>44</v>
      </c>
      <c r="B1512" s="2" t="str">
        <f>VLOOKUP($A1512,Controle!$B$4:$F$68,2,FALSE)</f>
        <v>Campo Belo 3</v>
      </c>
      <c r="C1512" s="2" t="str">
        <f>VLOOKUP($A1512,Controle!$B$4:$F$68,3,FALSE)</f>
        <v>MORI MINAS IV</v>
      </c>
      <c r="D1512" s="2" t="str">
        <f>VLOOKUP($A1512,Controle!$B$4:$F$68,4,FALSE)</f>
        <v>NewCo IV</v>
      </c>
      <c r="E1512" s="2" t="str">
        <f>VLOOKUP($A1512,Controle!$B$4:$F$68,5,FALSE)</f>
        <v>Weg</v>
      </c>
      <c r="F1512" s="3" t="str">
        <f>F1477</f>
        <v>Full EPC - Contrato</v>
      </c>
      <c r="G1512" s="2" t="str">
        <f>VLOOKUP($A1512,Controle!$B$4:$G$68,6,FALSE)</f>
        <v>Solatio</v>
      </c>
      <c r="H1512" s="6" t="s">
        <v>21</v>
      </c>
      <c r="I1512" s="6">
        <f>14646682.47-0.1</f>
        <v>14646682.370000001</v>
      </c>
      <c r="J1512" s="6"/>
      <c r="K1512" s="6">
        <v>0</v>
      </c>
      <c r="L1512" s="6">
        <v>0</v>
      </c>
      <c r="M1512" s="6">
        <v>0</v>
      </c>
      <c r="N1512" s="6">
        <v>0</v>
      </c>
      <c r="O1512" s="4">
        <f t="shared" si="516"/>
        <v>14646682.370000001</v>
      </c>
      <c r="P1512" s="5">
        <f>SUMIFS('Desenvolvimento diário'!$H:$H,'Desenvolvimento diário'!$Q:$Q,$B1512,'Desenvolvimento diário'!$P:$P,$F1512,'Desenvolvimento diário'!$R:$R,"Sim")</f>
        <v>0</v>
      </c>
      <c r="Q1512" s="5">
        <f>SUMIFS('Desenvolvimento diário'!$H:$H,'Desenvolvimento diário'!$Q:$Q,$B1512,'Desenvolvimento diário'!$P:$P,$F1512,'Desenvolvimento diário'!$R:$R,"Não")</f>
        <v>14646682.369999999</v>
      </c>
      <c r="R1512" s="4">
        <f t="shared" si="517"/>
        <v>14646682.369999999</v>
      </c>
      <c r="S1512" s="137">
        <f t="shared" si="518"/>
        <v>0</v>
      </c>
      <c r="T1512" s="12">
        <f t="shared" si="510"/>
        <v>0.99999999999999989</v>
      </c>
      <c r="Y1512" s="2"/>
      <c r="Z1512" s="2"/>
      <c r="AA1512" s="2"/>
      <c r="AB1512" s="2"/>
      <c r="AC1512" s="2"/>
    </row>
    <row r="1513" spans="1:29" ht="10.5" hidden="1">
      <c r="A1513" s="2">
        <f t="shared" si="519"/>
        <v>44</v>
      </c>
      <c r="B1513" s="2" t="str">
        <f>VLOOKUP($A1513,Controle!$B$4:$F$68,2,FALSE)</f>
        <v>Campo Belo 3</v>
      </c>
      <c r="C1513" s="2" t="str">
        <f>VLOOKUP($A1513,Controle!$B$4:$F$68,3,FALSE)</f>
        <v>MORI MINAS IV</v>
      </c>
      <c r="D1513" s="2" t="str">
        <f>VLOOKUP($A1513,Controle!$B$4:$F$68,4,FALSE)</f>
        <v>NewCo IV</v>
      </c>
      <c r="E1513" s="2" t="str">
        <f>VLOOKUP($A1513,Controle!$B$4:$F$68,5,FALSE)</f>
        <v>Weg</v>
      </c>
      <c r="F1513" s="3" t="str">
        <f>F1478</f>
        <v>Equipamentos Curva A - Outros (Transformadores)</v>
      </c>
      <c r="G1513" s="2" t="str">
        <f>VLOOKUP($A1513,Controle!$B$4:$G$68,6,FALSE)</f>
        <v>Solatio</v>
      </c>
      <c r="H1513" s="6">
        <v>0</v>
      </c>
      <c r="I1513" s="6">
        <v>0</v>
      </c>
      <c r="J1513" s="6">
        <v>0</v>
      </c>
      <c r="K1513" s="6">
        <v>0</v>
      </c>
      <c r="L1513" s="6">
        <v>0</v>
      </c>
      <c r="M1513" s="6">
        <v>0</v>
      </c>
      <c r="N1513" s="6">
        <v>0</v>
      </c>
      <c r="O1513" s="4">
        <f t="shared" si="516"/>
        <v>0</v>
      </c>
      <c r="P1513" s="5">
        <f>SUMIFS('Desenvolvimento diário'!$H:$H,'Desenvolvimento diário'!$Q:$Q,$B1513,'Desenvolvimento diário'!$P:$P,$F1513,'Desenvolvimento diário'!$R:$R,"Sim")</f>
        <v>0</v>
      </c>
      <c r="Q1513" s="5">
        <f>SUMIFS('Desenvolvimento diário'!$H:$H,'Desenvolvimento diário'!$Q:$Q,$B1513,'Desenvolvimento diário'!$P:$P,$F1513,'Desenvolvimento diário'!$R:$R,"Não")</f>
        <v>0</v>
      </c>
      <c r="R1513" s="4">
        <f t="shared" si="517"/>
        <v>0</v>
      </c>
      <c r="S1513" s="4">
        <f t="shared" si="518"/>
        <v>0</v>
      </c>
      <c r="T1513" s="12">
        <f t="shared" si="510"/>
        <v>0</v>
      </c>
      <c r="Y1513" s="2"/>
      <c r="Z1513" s="2"/>
      <c r="AA1513" s="2"/>
      <c r="AB1513" s="2"/>
      <c r="AC1513" s="2"/>
    </row>
    <row r="1514" spans="1:29" ht="10.5" hidden="1">
      <c r="A1514" s="2">
        <f t="shared" si="519"/>
        <v>44</v>
      </c>
      <c r="B1514" s="2" t="str">
        <f>VLOOKUP($A1514,Controle!$B$4:$F$68,2,FALSE)</f>
        <v>Campo Belo 3</v>
      </c>
      <c r="C1514" s="2" t="str">
        <f>VLOOKUP($A1514,Controle!$B$4:$F$68,3,FALSE)</f>
        <v>MORI MINAS IV</v>
      </c>
      <c r="D1514" s="2" t="str">
        <f>VLOOKUP($A1514,Controle!$B$4:$F$68,4,FALSE)</f>
        <v>NewCo IV</v>
      </c>
      <c r="E1514" s="2" t="str">
        <f>VLOOKUP($A1514,Controle!$B$4:$F$68,5,FALSE)</f>
        <v>Weg</v>
      </c>
      <c r="F1514" s="3" t="str">
        <f>F1479</f>
        <v>Equipamentos Curva A - Outros (Cabine + Skid)</v>
      </c>
      <c r="G1514" s="2" t="str">
        <f>VLOOKUP($A1514,Controle!$B$4:$G$68,6,FALSE)</f>
        <v>Solatio</v>
      </c>
      <c r="H1514" s="6">
        <v>0</v>
      </c>
      <c r="I1514" s="6">
        <v>0</v>
      </c>
      <c r="J1514" s="6">
        <v>0</v>
      </c>
      <c r="K1514" s="6">
        <v>0</v>
      </c>
      <c r="L1514" s="6">
        <v>0</v>
      </c>
      <c r="M1514" s="6">
        <v>0</v>
      </c>
      <c r="N1514" s="6">
        <v>0</v>
      </c>
      <c r="O1514" s="4">
        <f t="shared" si="516"/>
        <v>0</v>
      </c>
      <c r="P1514" s="5">
        <f>SUMIFS('Desenvolvimento diário'!$H:$H,'Desenvolvimento diário'!$Q:$Q,$B1514,'Desenvolvimento diário'!$P:$P,$F1514,'Desenvolvimento diário'!$R:$R,"Sim")</f>
        <v>0</v>
      </c>
      <c r="Q1514" s="5">
        <f>SUMIFS('Desenvolvimento diário'!$H:$H,'Desenvolvimento diário'!$Q:$Q,$B1514,'Desenvolvimento diário'!$P:$P,$F1514,'Desenvolvimento diário'!$R:$R,"Não")</f>
        <v>0</v>
      </c>
      <c r="R1514" s="4">
        <f t="shared" si="517"/>
        <v>0</v>
      </c>
      <c r="S1514" s="4">
        <f t="shared" si="518"/>
        <v>0</v>
      </c>
      <c r="T1514" s="12">
        <f t="shared" si="510"/>
        <v>0</v>
      </c>
      <c r="Y1514" s="2"/>
      <c r="Z1514" s="2"/>
      <c r="AA1514" s="2"/>
      <c r="AB1514" s="2"/>
      <c r="AC1514" s="2"/>
    </row>
    <row r="1515" spans="1:29" ht="10.5" hidden="1">
      <c r="A1515" s="2">
        <f t="shared" si="519"/>
        <v>44</v>
      </c>
      <c r="B1515" s="2" t="str">
        <f>VLOOKUP($A1515,Controle!$B$4:$F$68,2,FALSE)</f>
        <v>Campo Belo 3</v>
      </c>
      <c r="C1515" s="2" t="str">
        <f>VLOOKUP($A1515,Controle!$B$4:$F$68,3,FALSE)</f>
        <v>MORI MINAS IV</v>
      </c>
      <c r="D1515" s="2" t="str">
        <f>VLOOKUP($A1515,Controle!$B$4:$F$68,4,FALSE)</f>
        <v>NewCo IV</v>
      </c>
      <c r="E1515" s="2" t="str">
        <f>VLOOKUP($A1515,Controle!$B$4:$F$68,5,FALSE)</f>
        <v>Weg</v>
      </c>
      <c r="F1515" s="3" t="str">
        <f>F1480</f>
        <v>Equipamentos Curva A - Outros (Cabine + Skid + Transformador)</v>
      </c>
      <c r="G1515" s="2" t="str">
        <f>VLOOKUP($A1515,Controle!$B$4:$G$68,6,FALSE)</f>
        <v>Solatio</v>
      </c>
      <c r="H1515" s="6" t="s">
        <v>144</v>
      </c>
      <c r="I1515" s="6">
        <v>363312.36630237999</v>
      </c>
      <c r="J1515" s="6">
        <v>0</v>
      </c>
      <c r="K1515" s="6">
        <v>0</v>
      </c>
      <c r="L1515" s="6">
        <v>0</v>
      </c>
      <c r="M1515" s="6">
        <v>0</v>
      </c>
      <c r="N1515" s="6">
        <v>0</v>
      </c>
      <c r="O1515" s="4">
        <f t="shared" si="516"/>
        <v>363312.36630237999</v>
      </c>
      <c r="P1515" s="5">
        <f>SUMIFS('Desenvolvimento diário'!$H:$H,'Desenvolvimento diário'!$Q:$Q,$B1515,'Desenvolvimento diário'!$P:$P,$F1515,'Desenvolvimento diário'!$R:$R,"Sim")</f>
        <v>0</v>
      </c>
      <c r="Q1515" s="5">
        <f>SUMIFS('Desenvolvimento diário'!$H:$H,'Desenvolvimento diário'!$Q:$Q,$B1515,'Desenvolvimento diário'!$P:$P,$F1515,'Desenvolvimento diário'!$R:$R,"Não")</f>
        <v>363312.36630237999</v>
      </c>
      <c r="R1515" s="4">
        <f t="shared" si="517"/>
        <v>363312.36630237999</v>
      </c>
      <c r="S1515" s="4">
        <f t="shared" si="518"/>
        <v>0</v>
      </c>
      <c r="T1515" s="12">
        <f t="shared" si="510"/>
        <v>1</v>
      </c>
      <c r="Y1515" s="2"/>
      <c r="Z1515" s="2"/>
      <c r="AA1515" s="2"/>
      <c r="AB1515" s="2"/>
      <c r="AC1515" s="2"/>
    </row>
    <row r="1516" spans="1:29" ht="10.5" hidden="1">
      <c r="A1516" s="2">
        <f t="shared" si="519"/>
        <v>44</v>
      </c>
      <c r="B1516" s="2" t="str">
        <f>VLOOKUP($A1516,Controle!$B$4:$F$68,2,FALSE)</f>
        <v>Campo Belo 3</v>
      </c>
      <c r="C1516" s="2" t="str">
        <f>VLOOKUP($A1516,Controle!$B$4:$F$68,3,FALSE)</f>
        <v>MORI MINAS IV</v>
      </c>
      <c r="D1516" s="2" t="str">
        <f>VLOOKUP($A1516,Controle!$B$4:$F$68,4,FALSE)</f>
        <v>NewCo IV</v>
      </c>
      <c r="E1516" s="2" t="str">
        <f>VLOOKUP($A1516,Controle!$B$4:$F$68,5,FALSE)</f>
        <v>Weg</v>
      </c>
      <c r="F1516" s="3" t="str">
        <f>F1481</f>
        <v>Desenvolvimento de projeto - Projetos - (Eng° Proprietario)</v>
      </c>
      <c r="G1516" s="2" t="str">
        <f>VLOOKUP($A1516,Controle!$B$4:$G$68,6,FALSE)</f>
        <v>Solatio</v>
      </c>
      <c r="H1516" s="6" t="s">
        <v>176</v>
      </c>
      <c r="I1516" s="6">
        <f>R1516</f>
        <v>168487.4</v>
      </c>
      <c r="J1516" s="6">
        <v>0</v>
      </c>
      <c r="K1516" s="6">
        <v>0</v>
      </c>
      <c r="L1516" s="6">
        <v>0</v>
      </c>
      <c r="M1516" s="6">
        <v>0</v>
      </c>
      <c r="N1516" s="6">
        <v>0</v>
      </c>
      <c r="O1516" s="4">
        <f t="shared" si="516"/>
        <v>168487.4</v>
      </c>
      <c r="P1516" s="5">
        <f>SUMIFS('Desenvolvimento diário'!$H:$H,'Desenvolvimento diário'!$Q:$Q,$B1516,'Desenvolvimento diário'!$P:$P,$F1516,'Desenvolvimento diário'!$R:$R,"Sim")</f>
        <v>0</v>
      </c>
      <c r="Q1516" s="5">
        <f>SUMIFS('Desenvolvimento diário'!$H:$H,'Desenvolvimento diário'!$Q:$Q,$B1516,'Desenvolvimento diário'!$P:$P,$F1516,'Desenvolvimento diário'!$R:$R,"Não")</f>
        <v>168487.4</v>
      </c>
      <c r="R1516" s="4">
        <f t="shared" si="517"/>
        <v>168487.4</v>
      </c>
      <c r="S1516" s="4">
        <f t="shared" si="518"/>
        <v>0</v>
      </c>
      <c r="T1516" s="12">
        <f t="shared" si="510"/>
        <v>1</v>
      </c>
      <c r="Y1516" s="2"/>
      <c r="Z1516" s="2"/>
      <c r="AA1516" s="2"/>
      <c r="AB1516" s="2"/>
      <c r="AC1516" s="2"/>
    </row>
    <row r="1517" spans="1:29" ht="10.5" hidden="1">
      <c r="A1517" s="2">
        <f t="shared" si="519"/>
        <v>44</v>
      </c>
      <c r="B1517" s="2" t="str">
        <f>VLOOKUP($A1517,Controle!$B$4:$F$68,2,FALSE)</f>
        <v>Campo Belo 3</v>
      </c>
      <c r="C1517" s="2" t="str">
        <f>VLOOKUP($A1517,Controle!$B$4:$F$68,3,FALSE)</f>
        <v>MORI MINAS IV</v>
      </c>
      <c r="D1517" s="2" t="str">
        <f>VLOOKUP($A1517,Controle!$B$4:$F$68,4,FALSE)</f>
        <v>NewCo IV</v>
      </c>
      <c r="E1517" s="2" t="str">
        <f>VLOOKUP($A1517,Controle!$B$4:$F$68,5,FALSE)</f>
        <v>Weg</v>
      </c>
      <c r="F1517" s="3" t="str">
        <f>F1482</f>
        <v>Desenvolvimento de projeto - Projetos - Executivos</v>
      </c>
      <c r="G1517" s="2" t="str">
        <f>VLOOKUP($A1517,Controle!$B$4:$G$68,6,FALSE)</f>
        <v>Solatio</v>
      </c>
      <c r="H1517" s="6">
        <v>0</v>
      </c>
      <c r="I1517" s="6">
        <v>0</v>
      </c>
      <c r="J1517" s="6">
        <v>0</v>
      </c>
      <c r="K1517" s="6">
        <v>0</v>
      </c>
      <c r="L1517" s="6">
        <v>0</v>
      </c>
      <c r="M1517" s="6">
        <v>0</v>
      </c>
      <c r="N1517" s="6">
        <v>0</v>
      </c>
      <c r="O1517" s="4">
        <f t="shared" si="516"/>
        <v>0</v>
      </c>
      <c r="P1517" s="5">
        <f>SUMIFS('Desenvolvimento diário'!$H:$H,'Desenvolvimento diário'!$Q:$Q,$B1517,'Desenvolvimento diário'!$P:$P,$F1517,'Desenvolvimento diário'!$R:$R,"Sim")</f>
        <v>0</v>
      </c>
      <c r="Q1517" s="5">
        <f>SUMIFS('Desenvolvimento diário'!$H:$H,'Desenvolvimento diário'!$Q:$Q,$B1517,'Desenvolvimento diário'!$P:$P,$F1517,'Desenvolvimento diário'!$R:$R,"Não")</f>
        <v>0</v>
      </c>
      <c r="R1517" s="4">
        <f t="shared" si="517"/>
        <v>0</v>
      </c>
      <c r="S1517" s="4">
        <f t="shared" si="518"/>
        <v>0</v>
      </c>
      <c r="T1517" s="12">
        <f t="shared" si="510"/>
        <v>0</v>
      </c>
      <c r="Y1517" s="2"/>
      <c r="Z1517" s="2"/>
      <c r="AA1517" s="2"/>
      <c r="AB1517" s="2"/>
      <c r="AC1517" s="2"/>
    </row>
    <row r="1518" spans="1:29" ht="10.5" hidden="1">
      <c r="A1518" s="2">
        <f t="shared" si="519"/>
        <v>44</v>
      </c>
      <c r="B1518" s="2" t="str">
        <f>VLOOKUP($A1518,Controle!$B$4:$F$68,2,FALSE)</f>
        <v>Campo Belo 3</v>
      </c>
      <c r="C1518" s="2" t="str">
        <f>VLOOKUP($A1518,Controle!$B$4:$F$68,3,FALSE)</f>
        <v>MORI MINAS IV</v>
      </c>
      <c r="D1518" s="2" t="str">
        <f>VLOOKUP($A1518,Controle!$B$4:$F$68,4,FALSE)</f>
        <v>NewCo IV</v>
      </c>
      <c r="E1518" s="2" t="str">
        <f>VLOOKUP($A1518,Controle!$B$4:$F$68,5,FALSE)</f>
        <v>Weg</v>
      </c>
      <c r="F1518" s="3" t="str">
        <f>F1483</f>
        <v>Desenvolvimento de projeto - Projetos Básica</v>
      </c>
      <c r="G1518" s="2" t="str">
        <f>VLOOKUP($A1518,Controle!$B$4:$G$68,6,FALSE)</f>
        <v>Solatio</v>
      </c>
      <c r="H1518" s="6">
        <v>0</v>
      </c>
      <c r="I1518" s="6">
        <v>0</v>
      </c>
      <c r="J1518" s="6">
        <v>0</v>
      </c>
      <c r="K1518" s="6">
        <v>0</v>
      </c>
      <c r="L1518" s="6">
        <v>0</v>
      </c>
      <c r="M1518" s="6">
        <v>0</v>
      </c>
      <c r="N1518" s="6">
        <v>0</v>
      </c>
      <c r="O1518" s="4">
        <f t="shared" si="516"/>
        <v>0</v>
      </c>
      <c r="P1518" s="5">
        <f>SUMIFS('Desenvolvimento diário'!$H:$H,'Desenvolvimento diário'!$Q:$Q,$B1518,'Desenvolvimento diário'!$P:$P,$F1518,'Desenvolvimento diário'!$R:$R,"Sim")</f>
        <v>0</v>
      </c>
      <c r="Q1518" s="5">
        <f>SUMIFS('Desenvolvimento diário'!$H:$H,'Desenvolvimento diário'!$Q:$Q,$B1518,'Desenvolvimento diário'!$P:$P,$F1518,'Desenvolvimento diário'!$R:$R,"Não")</f>
        <v>0</v>
      </c>
      <c r="R1518" s="4">
        <f t="shared" si="517"/>
        <v>0</v>
      </c>
      <c r="S1518" s="4">
        <f t="shared" si="518"/>
        <v>0</v>
      </c>
      <c r="T1518" s="12">
        <f t="shared" si="510"/>
        <v>0</v>
      </c>
      <c r="Y1518" s="2"/>
      <c r="Z1518" s="2"/>
      <c r="AA1518" s="2"/>
      <c r="AB1518" s="2"/>
      <c r="AC1518" s="2"/>
    </row>
    <row r="1519" spans="1:29" ht="10.5" hidden="1">
      <c r="A1519" s="2">
        <f t="shared" si="519"/>
        <v>44</v>
      </c>
      <c r="B1519" s="2" t="str">
        <f>VLOOKUP($A1519,Controle!$B$4:$F$68,2,FALSE)</f>
        <v>Campo Belo 3</v>
      </c>
      <c r="C1519" s="2" t="str">
        <f>VLOOKUP($A1519,Controle!$B$4:$F$68,3,FALSE)</f>
        <v>MORI MINAS IV</v>
      </c>
      <c r="D1519" s="2" t="str">
        <f>VLOOKUP($A1519,Controle!$B$4:$F$68,4,FALSE)</f>
        <v>NewCo IV</v>
      </c>
      <c r="E1519" s="2" t="str">
        <f>VLOOKUP($A1519,Controle!$B$4:$F$68,5,FALSE)</f>
        <v>Weg</v>
      </c>
      <c r="F1519" s="3" t="str">
        <f>F1484</f>
        <v>Desenvolvimento de projeto - Projetos Detalhada</v>
      </c>
      <c r="G1519" s="2" t="str">
        <f>VLOOKUP($A1519,Controle!$B$4:$G$68,6,FALSE)</f>
        <v>Solatio</v>
      </c>
      <c r="H1519" s="6">
        <v>0</v>
      </c>
      <c r="I1519" s="6">
        <v>0</v>
      </c>
      <c r="J1519" s="6">
        <v>0</v>
      </c>
      <c r="K1519" s="6">
        <v>0</v>
      </c>
      <c r="L1519" s="6">
        <v>0</v>
      </c>
      <c r="M1519" s="6">
        <v>0</v>
      </c>
      <c r="N1519" s="6">
        <v>0</v>
      </c>
      <c r="O1519" s="4">
        <f t="shared" si="516"/>
        <v>0</v>
      </c>
      <c r="P1519" s="5">
        <f>SUMIFS('Desenvolvimento diário'!$H:$H,'Desenvolvimento diário'!$Q:$Q,$B1519,'Desenvolvimento diário'!$P:$P,$F1519,'Desenvolvimento diário'!$R:$R,"Sim")</f>
        <v>0</v>
      </c>
      <c r="Q1519" s="5">
        <f>SUMIFS('Desenvolvimento diário'!$H:$H,'Desenvolvimento diário'!$Q:$Q,$B1519,'Desenvolvimento diário'!$P:$P,$F1519,'Desenvolvimento diário'!$R:$R,"Não")</f>
        <v>0</v>
      </c>
      <c r="R1519" s="4">
        <f t="shared" si="517"/>
        <v>0</v>
      </c>
      <c r="S1519" s="4">
        <f t="shared" si="518"/>
        <v>0</v>
      </c>
      <c r="T1519" s="12">
        <f t="shared" si="510"/>
        <v>0</v>
      </c>
      <c r="Y1519" s="2"/>
      <c r="Z1519" s="2"/>
      <c r="AA1519" s="2"/>
      <c r="AB1519" s="2"/>
      <c r="AC1519" s="2"/>
    </row>
    <row r="1520" spans="1:29" ht="10.5" hidden="1">
      <c r="A1520" s="2">
        <f t="shared" si="519"/>
        <v>44</v>
      </c>
      <c r="B1520" s="2" t="str">
        <f>VLOOKUP($A1520,Controle!$B$4:$F$68,2,FALSE)</f>
        <v>Campo Belo 3</v>
      </c>
      <c r="C1520" s="2" t="str">
        <f>VLOOKUP($A1520,Controle!$B$4:$F$68,3,FALSE)</f>
        <v>MORI MINAS IV</v>
      </c>
      <c r="D1520" s="2" t="str">
        <f>VLOOKUP($A1520,Controle!$B$4:$F$68,4,FALSE)</f>
        <v>NewCo IV</v>
      </c>
      <c r="E1520" s="2" t="str">
        <f>VLOOKUP($A1520,Controle!$B$4:$F$68,5,FALSE)</f>
        <v>Weg</v>
      </c>
      <c r="F1520" s="3" t="str">
        <f>F1485</f>
        <v>Desenvolvimento de projeto - Ambiental / Outros</v>
      </c>
      <c r="G1520" s="2" t="str">
        <f>VLOOKUP($A1520,Controle!$B$4:$G$68,6,FALSE)</f>
        <v>Solatio</v>
      </c>
      <c r="H1520" s="6" t="s">
        <v>148</v>
      </c>
      <c r="I1520" s="6">
        <f>R1520</f>
        <v>75302.700000000012</v>
      </c>
      <c r="J1520" s="6">
        <v>0</v>
      </c>
      <c r="K1520" s="6">
        <v>0</v>
      </c>
      <c r="L1520" s="6">
        <v>0</v>
      </c>
      <c r="M1520" s="6">
        <v>0</v>
      </c>
      <c r="N1520" s="6">
        <v>0</v>
      </c>
      <c r="O1520" s="4">
        <f t="shared" si="516"/>
        <v>75302.700000000012</v>
      </c>
      <c r="P1520" s="5">
        <f>SUMIFS('Desenvolvimento diário'!$H:$H,'Desenvolvimento diário'!$Q:$Q,$B1520,'Desenvolvimento diário'!$P:$P,$F1520,'Desenvolvimento diário'!$R:$R,"Sim")</f>
        <v>0</v>
      </c>
      <c r="Q1520" s="5">
        <f>SUMIFS('Desenvolvimento diário'!$H:$H,'Desenvolvimento diário'!$Q:$Q,$B1520,'Desenvolvimento diário'!$P:$P,$F1520,'Desenvolvimento diário'!$R:$R,"Não")</f>
        <v>75302.700000000012</v>
      </c>
      <c r="R1520" s="4">
        <f t="shared" si="517"/>
        <v>75302.700000000012</v>
      </c>
      <c r="S1520" s="4">
        <f t="shared" si="518"/>
        <v>0</v>
      </c>
      <c r="T1520" s="12">
        <f t="shared" si="510"/>
        <v>1</v>
      </c>
      <c r="Y1520" s="2"/>
      <c r="Z1520" s="2"/>
      <c r="AA1520" s="2"/>
      <c r="AB1520" s="2"/>
      <c r="AC1520" s="2"/>
    </row>
    <row r="1521" spans="1:29" hidden="1">
      <c r="A1521" s="2">
        <f t="shared" si="519"/>
        <v>44</v>
      </c>
      <c r="B1521" s="2" t="str">
        <f>VLOOKUP($A1521,Controle!$B$4:$F$68,2,FALSE)</f>
        <v>Campo Belo 3</v>
      </c>
      <c r="C1521" s="2" t="str">
        <f>VLOOKUP($A1521,Controle!$B$4:$F$68,3,FALSE)</f>
        <v>MORI MINAS IV</v>
      </c>
      <c r="D1521" s="2" t="str">
        <f>VLOOKUP($A1521,Controle!$B$4:$F$68,4,FALSE)</f>
        <v>NewCo IV</v>
      </c>
      <c r="E1521" s="2" t="str">
        <f>VLOOKUP($A1521,Controle!$B$4:$F$68,5,FALSE)</f>
        <v>Weg</v>
      </c>
      <c r="F1521" s="3" t="str">
        <f>F1486</f>
        <v>Desenvolvimento de projeto - Coordenograma</v>
      </c>
      <c r="G1521" s="2" t="str">
        <f>VLOOKUP($A1521,Controle!$B$4:$G$68,6,FALSE)</f>
        <v>Solatio</v>
      </c>
      <c r="H1521" s="31" t="s">
        <v>149</v>
      </c>
      <c r="I1521" s="31">
        <v>6206.9</v>
      </c>
      <c r="J1521" s="31">
        <v>2281.25</v>
      </c>
      <c r="K1521" s="31">
        <v>2281.25</v>
      </c>
      <c r="L1521" s="6">
        <v>0</v>
      </c>
      <c r="M1521" s="6">
        <v>0</v>
      </c>
      <c r="N1521" s="6">
        <v>0</v>
      </c>
      <c r="O1521" s="4">
        <f t="shared" si="516"/>
        <v>10769.4</v>
      </c>
      <c r="P1521" s="5">
        <f>SUMIFS('Desenvolvimento diário'!$H:$H,'Desenvolvimento diário'!$Q:$Q,$B1521,'Desenvolvimento diário'!$P:$P,$F1521,'Desenvolvimento diário'!$R:$R,"Sim")</f>
        <v>0</v>
      </c>
      <c r="Q1521" s="5">
        <f>SUMIFS('Desenvolvimento diário'!$H:$H,'Desenvolvimento diário'!$Q:$Q,$B1521,'Desenvolvimento diário'!$P:$P,$F1521,'Desenvolvimento diário'!$R:$R,"Não")</f>
        <v>10769.4</v>
      </c>
      <c r="R1521" s="4">
        <f t="shared" si="517"/>
        <v>10769.4</v>
      </c>
      <c r="S1521" s="4">
        <f t="shared" si="518"/>
        <v>0</v>
      </c>
      <c r="T1521" s="12">
        <f t="shared" si="510"/>
        <v>1</v>
      </c>
      <c r="Y1521" s="2"/>
      <c r="Z1521" s="2"/>
      <c r="AA1521" s="2"/>
      <c r="AB1521" s="2"/>
      <c r="AC1521" s="2"/>
    </row>
    <row r="1522" spans="1:29" ht="10.5" hidden="1">
      <c r="A1522" s="2">
        <f t="shared" si="519"/>
        <v>44</v>
      </c>
      <c r="B1522" s="2" t="str">
        <f>VLOOKUP($A1522,Controle!$B$4:$F$68,2,FALSE)</f>
        <v>Campo Belo 3</v>
      </c>
      <c r="C1522" s="2" t="str">
        <f>VLOOKUP($A1522,Controle!$B$4:$F$68,3,FALSE)</f>
        <v>MORI MINAS IV</v>
      </c>
      <c r="D1522" s="2" t="str">
        <f>VLOOKUP($A1522,Controle!$B$4:$F$68,4,FALSE)</f>
        <v>NewCo IV</v>
      </c>
      <c r="E1522" s="2" t="str">
        <f>VLOOKUP($A1522,Controle!$B$4:$F$68,5,FALSE)</f>
        <v>Weg</v>
      </c>
      <c r="F1522" s="3" t="str">
        <f>F1487</f>
        <v>Sistemas de Monitoramento - Supervisório</v>
      </c>
      <c r="G1522" s="2" t="str">
        <f>VLOOKUP($A1522,Controle!$B$4:$G$68,6,FALSE)</f>
        <v>Solatio</v>
      </c>
      <c r="H1522" s="6" t="s">
        <v>150</v>
      </c>
      <c r="I1522" s="6">
        <v>136155</v>
      </c>
      <c r="J1522" s="6"/>
      <c r="K1522" s="6">
        <v>0</v>
      </c>
      <c r="L1522" s="6">
        <v>0</v>
      </c>
      <c r="M1522" s="6">
        <v>0</v>
      </c>
      <c r="N1522" s="6">
        <v>0</v>
      </c>
      <c r="O1522" s="4">
        <f t="shared" si="516"/>
        <v>136155</v>
      </c>
      <c r="P1522" s="5">
        <f>SUMIFS('Desenvolvimento diário'!$H:$H,'Desenvolvimento diário'!$Q:$Q,$B1522,'Desenvolvimento diário'!$P:$P,$F1522,'Desenvolvimento diário'!$R:$R,"Sim")</f>
        <v>0</v>
      </c>
      <c r="Q1522" s="5">
        <f>SUMIFS('Desenvolvimento diário'!$H:$H,'Desenvolvimento diário'!$Q:$Q,$B1522,'Desenvolvimento diário'!$P:$P,$F1522,'Desenvolvimento diário'!$R:$R,"Não")</f>
        <v>136155</v>
      </c>
      <c r="R1522" s="4">
        <f t="shared" si="517"/>
        <v>136155</v>
      </c>
      <c r="S1522" s="4">
        <f t="shared" si="518"/>
        <v>0</v>
      </c>
      <c r="T1522" s="12">
        <f t="shared" si="510"/>
        <v>1</v>
      </c>
      <c r="Y1522" s="2"/>
      <c r="Z1522" s="2"/>
      <c r="AA1522" s="2"/>
      <c r="AB1522" s="2"/>
      <c r="AC1522" s="2"/>
    </row>
    <row r="1523" spans="1:29" ht="10.5" hidden="1">
      <c r="A1523" s="2">
        <f t="shared" si="519"/>
        <v>44</v>
      </c>
      <c r="B1523" s="2" t="str">
        <f>VLOOKUP($A1523,Controle!$B$4:$F$68,2,FALSE)</f>
        <v>Campo Belo 3</v>
      </c>
      <c r="C1523" s="2" t="str">
        <f>VLOOKUP($A1523,Controle!$B$4:$F$68,3,FALSE)</f>
        <v>MORI MINAS IV</v>
      </c>
      <c r="D1523" s="2" t="str">
        <f>VLOOKUP($A1523,Controle!$B$4:$F$68,4,FALSE)</f>
        <v>NewCo IV</v>
      </c>
      <c r="E1523" s="2" t="str">
        <f>VLOOKUP($A1523,Controle!$B$4:$F$68,5,FALSE)</f>
        <v>Weg</v>
      </c>
      <c r="F1523" s="3" t="str">
        <f>F1488</f>
        <v>Sistemas de Monitoramento - Estações Solarimétricas</v>
      </c>
      <c r="G1523" s="2" t="str">
        <f>VLOOKUP($A1523,Controle!$B$4:$G$68,6,FALSE)</f>
        <v>Solatio</v>
      </c>
      <c r="H1523" s="6">
        <v>0</v>
      </c>
      <c r="I1523" s="6">
        <v>0</v>
      </c>
      <c r="J1523" s="6">
        <v>0</v>
      </c>
      <c r="K1523" s="6">
        <v>0</v>
      </c>
      <c r="L1523" s="6">
        <v>0</v>
      </c>
      <c r="M1523" s="6">
        <v>0</v>
      </c>
      <c r="N1523" s="6">
        <v>0</v>
      </c>
      <c r="O1523" s="4">
        <f t="shared" si="516"/>
        <v>0</v>
      </c>
      <c r="P1523" s="5">
        <f>SUMIFS('Desenvolvimento diário'!$H:$H,'Desenvolvimento diário'!$Q:$Q,$B1523,'Desenvolvimento diário'!$P:$P,$F1523,'Desenvolvimento diário'!$R:$R,"Sim")</f>
        <v>0</v>
      </c>
      <c r="Q1523" s="5">
        <f>SUMIFS('Desenvolvimento diário'!$H:$H,'Desenvolvimento diário'!$Q:$Q,$B1523,'Desenvolvimento diário'!$P:$P,$F1523,'Desenvolvimento diário'!$R:$R,"Não")</f>
        <v>0</v>
      </c>
      <c r="R1523" s="4">
        <f t="shared" si="517"/>
        <v>0</v>
      </c>
      <c r="S1523" s="4">
        <f t="shared" si="518"/>
        <v>0</v>
      </c>
      <c r="T1523" s="12">
        <f t="shared" si="510"/>
        <v>0</v>
      </c>
      <c r="Y1523" s="2"/>
      <c r="Z1523" s="2"/>
      <c r="AA1523" s="2"/>
      <c r="AB1523" s="2"/>
      <c r="AC1523" s="2"/>
    </row>
    <row r="1524" spans="1:29" hidden="1">
      <c r="A1524" s="2">
        <f t="shared" si="519"/>
        <v>44</v>
      </c>
      <c r="B1524" s="2" t="str">
        <f>VLOOKUP($A1524,Controle!$B$4:$F$68,2,FALSE)</f>
        <v>Campo Belo 3</v>
      </c>
      <c r="C1524" s="2" t="str">
        <f>VLOOKUP($A1524,Controle!$B$4:$F$68,3,FALSE)</f>
        <v>MORI MINAS IV</v>
      </c>
      <c r="D1524" s="2" t="str">
        <f>VLOOKUP($A1524,Controle!$B$4:$F$68,4,FALSE)</f>
        <v>NewCo IV</v>
      </c>
      <c r="E1524" s="2" t="str">
        <f>VLOOKUP($A1524,Controle!$B$4:$F$68,5,FALSE)</f>
        <v>Weg</v>
      </c>
      <c r="F1524" s="3" t="str">
        <f>F1489</f>
        <v>Sistemas de Monitoramento - CFTV</v>
      </c>
      <c r="G1524" s="2" t="str">
        <f>VLOOKUP($A1524,Controle!$B$4:$G$68,6,FALSE)</f>
        <v>Solatio</v>
      </c>
      <c r="H1524" s="31" t="s">
        <v>152</v>
      </c>
      <c r="I1524" s="6">
        <v>322939.81</v>
      </c>
      <c r="J1524" s="28">
        <v>6307.36</v>
      </c>
      <c r="K1524" s="6">
        <v>0</v>
      </c>
      <c r="L1524" s="6">
        <v>0</v>
      </c>
      <c r="M1524" s="6">
        <v>0</v>
      </c>
      <c r="N1524" s="6">
        <v>0</v>
      </c>
      <c r="O1524" s="4">
        <f t="shared" si="516"/>
        <v>329247.17</v>
      </c>
      <c r="P1524" s="5">
        <f>SUMIFS('Desenvolvimento diário'!$H:$H,'Desenvolvimento diário'!$Q:$Q,$B1524,'Desenvolvimento diário'!$P:$P,$F1524,'Desenvolvimento diário'!$R:$R,"Sim")</f>
        <v>7709.86</v>
      </c>
      <c r="Q1524" s="5">
        <f>SUMIFS('Desenvolvimento diário'!$H:$H,'Desenvolvimento diário'!$Q:$Q,$B1524,'Desenvolvimento diário'!$P:$P,$F1524,'Desenvolvimento diário'!$R:$R,"Não")</f>
        <v>321537.31</v>
      </c>
      <c r="R1524" s="4">
        <f t="shared" si="517"/>
        <v>329247.17</v>
      </c>
      <c r="S1524" s="4">
        <f t="shared" si="518"/>
        <v>0</v>
      </c>
      <c r="T1524" s="12">
        <f t="shared" si="510"/>
        <v>1</v>
      </c>
      <c r="Y1524" s="2"/>
      <c r="Z1524" s="2"/>
      <c r="AA1524" s="2"/>
      <c r="AB1524" s="2"/>
      <c r="AC1524" s="2"/>
    </row>
    <row r="1525" spans="1:29" ht="10.5" hidden="1">
      <c r="A1525" s="2">
        <f t="shared" si="519"/>
        <v>44</v>
      </c>
      <c r="B1525" s="2" t="str">
        <f>VLOOKUP($A1525,Controle!$B$4:$F$68,2,FALSE)</f>
        <v>Campo Belo 3</v>
      </c>
      <c r="C1525" s="2" t="str">
        <f>VLOOKUP($A1525,Controle!$B$4:$F$68,3,FALSE)</f>
        <v>MORI MINAS IV</v>
      </c>
      <c r="D1525" s="2" t="str">
        <f>VLOOKUP($A1525,Controle!$B$4:$F$68,4,FALSE)</f>
        <v>NewCo IV</v>
      </c>
      <c r="E1525" s="2" t="str">
        <f>VLOOKUP($A1525,Controle!$B$4:$F$68,5,FALSE)</f>
        <v>Weg</v>
      </c>
      <c r="F1525" s="3" t="str">
        <f t="shared" ref="F1525:F1540" si="520">F1490</f>
        <v>Serviços Auxiliares - Drenagem</v>
      </c>
      <c r="G1525" s="2" t="str">
        <f>VLOOKUP($A1525,Controle!$B$4:$G$68,6,FALSE)</f>
        <v>Solatio</v>
      </c>
      <c r="H1525" s="6" t="s">
        <v>185</v>
      </c>
      <c r="I1525" s="6">
        <v>135255.29</v>
      </c>
      <c r="J1525" s="6">
        <v>0</v>
      </c>
      <c r="K1525" s="6">
        <v>0</v>
      </c>
      <c r="L1525" s="6">
        <v>0</v>
      </c>
      <c r="M1525" s="6">
        <v>0</v>
      </c>
      <c r="N1525" s="6">
        <v>0</v>
      </c>
      <c r="O1525" s="4">
        <f>SUM(I1525:N1525)</f>
        <v>135255.29</v>
      </c>
      <c r="P1525" s="5">
        <f>SUMIFS('Desenvolvimento diário'!$H:$H,'Desenvolvimento diário'!$Q:$Q,$B1525,'Desenvolvimento diário'!$P:$P,$F1525,'Desenvolvimento diário'!$R:$R,"Sim")</f>
        <v>0</v>
      </c>
      <c r="Q1525" s="5">
        <f>SUMIFS('Desenvolvimento diário'!$H:$H,'Desenvolvimento diário'!$Q:$Q,$B1525,'Desenvolvimento diário'!$P:$P,$F1525,'Desenvolvimento diário'!$R:$R,"Não")</f>
        <v>135255.29</v>
      </c>
      <c r="R1525" s="4">
        <f>SUM(P1525:Q1525)</f>
        <v>135255.29</v>
      </c>
      <c r="S1525" s="2">
        <f>O1525-R1525</f>
        <v>0</v>
      </c>
      <c r="T1525" s="12">
        <f>IFERROR(R1525/O1525,0)</f>
        <v>1</v>
      </c>
      <c r="Y1525" s="2"/>
      <c r="Z1525" s="2"/>
      <c r="AA1525" s="2"/>
      <c r="AB1525" s="2"/>
      <c r="AC1525" s="2"/>
    </row>
    <row r="1526" spans="1:29" ht="10.5" hidden="1">
      <c r="A1526" s="2">
        <f t="shared" si="519"/>
        <v>44</v>
      </c>
      <c r="B1526" s="2" t="str">
        <f>VLOOKUP($A1526,Controle!$B$4:$F$68,2,FALSE)</f>
        <v>Campo Belo 3</v>
      </c>
      <c r="C1526" s="2" t="str">
        <f>VLOOKUP($A1526,Controle!$B$4:$F$68,3,FALSE)</f>
        <v>MORI MINAS IV</v>
      </c>
      <c r="D1526" s="2" t="str">
        <f>VLOOKUP($A1526,Controle!$B$4:$F$68,4,FALSE)</f>
        <v>NewCo IV</v>
      </c>
      <c r="E1526" s="2" t="str">
        <f>VLOOKUP($A1526,Controle!$B$4:$F$68,5,FALSE)</f>
        <v>Weg</v>
      </c>
      <c r="F1526" s="3" t="str">
        <f t="shared" si="520"/>
        <v>Serviços Auxiliares - Terraplanagem</v>
      </c>
      <c r="G1526" s="2" t="str">
        <f>VLOOKUP($A1526,Controle!$B$4:$G$68,6,FALSE)</f>
        <v>Solatio</v>
      </c>
      <c r="H1526" s="6" t="s">
        <v>154</v>
      </c>
      <c r="I1526" s="6">
        <f>610391.45+(0.005)</f>
        <v>610391.45499999996</v>
      </c>
      <c r="J1526" s="6"/>
      <c r="K1526" s="6">
        <v>0</v>
      </c>
      <c r="L1526" s="6">
        <v>0</v>
      </c>
      <c r="M1526" s="6">
        <v>0</v>
      </c>
      <c r="N1526" s="6">
        <v>0</v>
      </c>
      <c r="O1526" s="4">
        <f>SUM(I1526:N1526)</f>
        <v>610391.45499999996</v>
      </c>
      <c r="P1526" s="5">
        <f>SUMIFS('Desenvolvimento diário'!$H:$H,'Desenvolvimento diário'!$Q:$Q,$B1526,'Desenvolvimento diário'!$P:$P,$F1526,'Desenvolvimento diário'!$R:$R,"Sim")</f>
        <v>0</v>
      </c>
      <c r="Q1526" s="5">
        <f>SUMIFS('Desenvolvimento diário'!$H:$H,'Desenvolvimento diário'!$Q:$Q,$B1526,'Desenvolvimento diário'!$P:$P,$F1526,'Desenvolvimento diário'!$R:$R,"Não")</f>
        <v>610391.45499999996</v>
      </c>
      <c r="R1526" s="4">
        <f>SUM(P1526:Q1526)</f>
        <v>610391.45499999996</v>
      </c>
      <c r="S1526" s="137">
        <f>O1526-R1526</f>
        <v>0</v>
      </c>
      <c r="T1526" s="12">
        <f>IFERROR(R1526/O1526,0)</f>
        <v>1</v>
      </c>
      <c r="Y1526" s="2"/>
      <c r="Z1526" s="2"/>
      <c r="AA1526" s="2"/>
      <c r="AB1526" s="2"/>
      <c r="AC1526" s="2"/>
    </row>
    <row r="1527" spans="1:29" hidden="1">
      <c r="A1527" s="2">
        <f t="shared" si="519"/>
        <v>44</v>
      </c>
      <c r="B1527" s="2" t="str">
        <f>VLOOKUP($A1527,Controle!$B$4:$F$68,2,FALSE)</f>
        <v>Campo Belo 3</v>
      </c>
      <c r="C1527" s="2" t="str">
        <f>VLOOKUP($A1527,Controle!$B$4:$F$68,3,FALSE)</f>
        <v>MORI MINAS IV</v>
      </c>
      <c r="D1527" s="2" t="str">
        <f>VLOOKUP($A1527,Controle!$B$4:$F$68,4,FALSE)</f>
        <v>NewCo IV</v>
      </c>
      <c r="E1527" s="2" t="str">
        <f>VLOOKUP($A1527,Controle!$B$4:$F$68,5,FALSE)</f>
        <v>Weg</v>
      </c>
      <c r="F1527" s="3" t="str">
        <f t="shared" si="520"/>
        <v>Serviços Auxiliares - Supressão Vegetal</v>
      </c>
      <c r="G1527" s="2" t="str">
        <f>VLOOKUP($A1527,Controle!$B$4:$G$68,6,FALSE)</f>
        <v>Solatio</v>
      </c>
      <c r="H1527" s="6" t="s">
        <v>155</v>
      </c>
      <c r="I1527" s="6">
        <v>60897.49</v>
      </c>
      <c r="J1527" s="6">
        <v>0</v>
      </c>
      <c r="K1527" s="6">
        <v>0</v>
      </c>
      <c r="L1527" s="6">
        <v>0</v>
      </c>
      <c r="M1527" s="6">
        <v>0</v>
      </c>
      <c r="N1527" s="6">
        <v>0</v>
      </c>
      <c r="O1527" s="4">
        <f>SUM(I1527:N1527)</f>
        <v>60897.49</v>
      </c>
      <c r="P1527" s="5">
        <f>SUMIFS('Desenvolvimento diário'!$H:$H,'Desenvolvimento diário'!$Q:$Q,$B1527,'Desenvolvimento diário'!$P:$P,$F1527,'Desenvolvimento diário'!$R:$R,"Sim")</f>
        <v>0</v>
      </c>
      <c r="Q1527" s="5">
        <f>SUMIFS('Desenvolvimento diário'!$H:$H,'Desenvolvimento diário'!$Q:$Q,$B1527,'Desenvolvimento diário'!$P:$P,$F1527,'Desenvolvimento diário'!$R:$R,"Não")</f>
        <v>60897.49</v>
      </c>
      <c r="R1527" s="4">
        <f>SUM(P1527:Q1527)</f>
        <v>60897.49</v>
      </c>
      <c r="S1527" s="4">
        <f>O1527-R1527</f>
        <v>0</v>
      </c>
      <c r="T1527" s="12">
        <f>IFERROR(R1527/O1527,0)</f>
        <v>1</v>
      </c>
      <c r="Y1527" s="2"/>
      <c r="Z1527" s="2"/>
      <c r="AA1527" s="2"/>
      <c r="AB1527" s="2"/>
      <c r="AC1527" s="2"/>
    </row>
    <row r="1528" spans="1:29" ht="10.5" hidden="1">
      <c r="A1528" s="2">
        <f t="shared" si="519"/>
        <v>44</v>
      </c>
      <c r="B1528" s="2" t="str">
        <f>VLOOKUP($A1528,Controle!$B$4:$F$68,2,FALSE)</f>
        <v>Campo Belo 3</v>
      </c>
      <c r="C1528" s="2" t="str">
        <f>VLOOKUP($A1528,Controle!$B$4:$F$68,3,FALSE)</f>
        <v>MORI MINAS IV</v>
      </c>
      <c r="D1528" s="2" t="str">
        <f>VLOOKUP($A1528,Controle!$B$4:$F$68,4,FALSE)</f>
        <v>NewCo IV</v>
      </c>
      <c r="E1528" s="2" t="str">
        <f>VLOOKUP($A1528,Controle!$B$4:$F$68,5,FALSE)</f>
        <v>Weg</v>
      </c>
      <c r="F1528" s="3" t="str">
        <f t="shared" si="520"/>
        <v>RDR-Rede de Distribuição Rural</v>
      </c>
      <c r="G1528" s="2" t="str">
        <f>VLOOKUP($A1528,Controle!$B$4:$G$68,6,FALSE)</f>
        <v>Solatio</v>
      </c>
      <c r="H1528" s="6" t="s">
        <v>141</v>
      </c>
      <c r="I1528" s="6">
        <v>195000</v>
      </c>
      <c r="J1528" s="6">
        <v>0</v>
      </c>
      <c r="K1528" s="6">
        <v>0</v>
      </c>
      <c r="L1528" s="6">
        <v>0</v>
      </c>
      <c r="M1528" s="6">
        <v>0</v>
      </c>
      <c r="N1528" s="6">
        <v>0</v>
      </c>
      <c r="O1528" s="4">
        <f>SUM(I1528:N1528)</f>
        <v>195000</v>
      </c>
      <c r="P1528" s="5">
        <f>SUMIFS('Desenvolvimento diário'!$H:$H,'Desenvolvimento diário'!$Q:$Q,$B1528,'Desenvolvimento diário'!$P:$P,$F1528,'Desenvolvimento diário'!$R:$R,"Sim")</f>
        <v>0</v>
      </c>
      <c r="Q1528" s="5">
        <f>SUMIFS('Desenvolvimento diário'!$H:$H,'Desenvolvimento diário'!$Q:$Q,$B1528,'Desenvolvimento diário'!$P:$P,$F1528,'Desenvolvimento diário'!$R:$R,"Não")</f>
        <v>195000</v>
      </c>
      <c r="R1528" s="4">
        <f>SUM(P1528:Q1528)</f>
        <v>195000</v>
      </c>
      <c r="S1528" s="4">
        <f>O1528-R1528</f>
        <v>0</v>
      </c>
      <c r="T1528" s="12">
        <f>IFERROR(R1528/O1528,0)</f>
        <v>1</v>
      </c>
      <c r="Y1528" s="2"/>
      <c r="Z1528" s="2"/>
      <c r="AA1528" s="2"/>
      <c r="AB1528" s="2"/>
      <c r="AC1528" s="2"/>
    </row>
    <row r="1529" spans="1:29" ht="10.5" hidden="1">
      <c r="A1529" s="2">
        <f t="shared" si="519"/>
        <v>44</v>
      </c>
      <c r="B1529" s="2" t="str">
        <f>VLOOKUP($A1529,Controle!$B$4:$F$68,2,FALSE)</f>
        <v>Campo Belo 3</v>
      </c>
      <c r="C1529" s="2" t="str">
        <f>VLOOKUP($A1529,Controle!$B$4:$F$68,3,FALSE)</f>
        <v>MORI MINAS IV</v>
      </c>
      <c r="D1529" s="2" t="str">
        <f>VLOOKUP($A1529,Controle!$B$4:$F$68,4,FALSE)</f>
        <v>NewCo IV</v>
      </c>
      <c r="E1529" s="2" t="str">
        <f>VLOOKUP($A1529,Controle!$B$4:$F$68,5,FALSE)</f>
        <v>Weg</v>
      </c>
      <c r="F1529" s="3" t="str">
        <f t="shared" si="520"/>
        <v>Escopo COMERC</v>
      </c>
      <c r="G1529" s="2" t="str">
        <f>VLOOKUP($A1529,Controle!$B$4:$G$68,6,FALSE)</f>
        <v>Solatio</v>
      </c>
      <c r="H1529" s="6">
        <v>0</v>
      </c>
      <c r="I1529" s="6">
        <v>36728.58</v>
      </c>
      <c r="J1529" s="29">
        <v>13000</v>
      </c>
      <c r="K1529" s="29"/>
      <c r="L1529" s="6">
        <v>0</v>
      </c>
      <c r="M1529" s="6">
        <v>0</v>
      </c>
      <c r="N1529" s="6">
        <v>0</v>
      </c>
      <c r="O1529" s="4">
        <f>SUM(I1529:N1529)</f>
        <v>49728.58</v>
      </c>
      <c r="P1529" s="5">
        <f>SUMIFS('Desenvolvimento diário'!$H:$H,'Desenvolvimento diário'!$Q:$Q,$B1529,'Desenvolvimento diário'!$P:$P,$F1529,'Desenvolvimento diário'!$R:$R,"Sim")</f>
        <v>0</v>
      </c>
      <c r="Q1529" s="5">
        <f>SUMIFS('Desenvolvimento diário'!$H:$H,'Desenvolvimento diário'!$Q:$Q,$B1529,'Desenvolvimento diário'!$P:$P,$F1529,'Desenvolvimento diário'!$R:$R,"Não")</f>
        <v>36728.58</v>
      </c>
      <c r="R1529" s="4">
        <f>SUM(P1529:Q1529)</f>
        <v>36728.58</v>
      </c>
      <c r="S1529" s="1010">
        <f>O1529-R1529</f>
        <v>13000</v>
      </c>
      <c r="T1529" s="12">
        <f>IFERROR(R1529/O1529,0)</f>
        <v>0.73858091262609948</v>
      </c>
      <c r="U1529" s="1011" t="s">
        <v>166</v>
      </c>
      <c r="V1529" s="1011" t="s">
        <v>167</v>
      </c>
      <c r="Y1529" s="2"/>
      <c r="Z1529" s="2"/>
      <c r="AA1529" s="2"/>
      <c r="AB1529" s="2"/>
      <c r="AC1529" s="2"/>
    </row>
    <row r="1530" spans="1:29" ht="10.5" hidden="1">
      <c r="A1530" s="2">
        <f t="shared" si="519"/>
        <v>44</v>
      </c>
      <c r="B1530" s="2" t="str">
        <f>VLOOKUP($A1530,Controle!$B$4:$F$68,2,FALSE)</f>
        <v>Campo Belo 3</v>
      </c>
      <c r="C1530" s="2" t="str">
        <f>VLOOKUP($A1530,Controle!$B$4:$F$68,3,FALSE)</f>
        <v>MORI MINAS IV</v>
      </c>
      <c r="D1530" s="2" t="str">
        <f>VLOOKUP($A1530,Controle!$B$4:$F$68,4,FALSE)</f>
        <v>NewCo IV</v>
      </c>
      <c r="E1530" s="2" t="str">
        <f>VLOOKUP($A1530,Controle!$B$4:$F$68,5,FALSE)</f>
        <v>Weg</v>
      </c>
      <c r="F1530" s="3" t="str">
        <f t="shared" si="520"/>
        <v>Escopo COMERC - Segurança</v>
      </c>
      <c r="G1530" s="2" t="str">
        <f>VLOOKUP($A1530,Controle!$B$4:$G$68,6,FALSE)</f>
        <v>Solatio</v>
      </c>
      <c r="H1530" s="6">
        <v>0</v>
      </c>
      <c r="I1530" s="6">
        <f>R1530</f>
        <v>10821.14</v>
      </c>
      <c r="J1530" s="6">
        <v>0</v>
      </c>
      <c r="K1530" s="6">
        <v>0</v>
      </c>
      <c r="L1530" s="6">
        <v>0</v>
      </c>
      <c r="M1530" s="6">
        <v>0</v>
      </c>
      <c r="N1530" s="6">
        <v>0</v>
      </c>
      <c r="O1530" s="4">
        <f>SUM(I1530:N1530)</f>
        <v>10821.14</v>
      </c>
      <c r="P1530" s="5">
        <f>SUMIFS('Desenvolvimento diário'!$H:$H,'Desenvolvimento diário'!$Q:$Q,$B1530,'Desenvolvimento diário'!$P:$P,$F1530,'Desenvolvimento diário'!$R:$R,"Sim")</f>
        <v>0</v>
      </c>
      <c r="Q1530" s="5">
        <f>SUMIFS('Desenvolvimento diário'!$H:$H,'Desenvolvimento diário'!$Q:$Q,$B1530,'Desenvolvimento diário'!$P:$P,$F1530,'Desenvolvimento diário'!$R:$R,"Não")</f>
        <v>10821.14</v>
      </c>
      <c r="R1530" s="4">
        <f>SUM(P1530:Q1530)</f>
        <v>10821.14</v>
      </c>
      <c r="S1530" s="4">
        <f>O1530-R1530</f>
        <v>0</v>
      </c>
      <c r="T1530" s="12">
        <f>IFERROR(R1530/O1530,0)</f>
        <v>1</v>
      </c>
      <c r="Y1530" s="2"/>
      <c r="Z1530" s="2"/>
      <c r="AA1530" s="2"/>
      <c r="AB1530" s="2"/>
      <c r="AC1530" s="2"/>
    </row>
    <row r="1531" spans="1:29" ht="10.5" hidden="1">
      <c r="A1531" s="2">
        <f t="shared" si="519"/>
        <v>44</v>
      </c>
      <c r="B1531" s="2" t="str">
        <f>VLOOKUP($A1531,Controle!$B$4:$F$68,2,FALSE)</f>
        <v>Campo Belo 3</v>
      </c>
      <c r="C1531" s="2" t="str">
        <f>VLOOKUP($A1531,Controle!$B$4:$F$68,3,FALSE)</f>
        <v>MORI MINAS IV</v>
      </c>
      <c r="D1531" s="2" t="str">
        <f>VLOOKUP($A1531,Controle!$B$4:$F$68,4,FALSE)</f>
        <v>NewCo IV</v>
      </c>
      <c r="E1531" s="2" t="str">
        <f>VLOOKUP($A1531,Controle!$B$4:$F$68,5,FALSE)</f>
        <v>Weg</v>
      </c>
      <c r="F1531" s="3" t="str">
        <f t="shared" si="520"/>
        <v>Conexão MT - Obras Transferencia</v>
      </c>
      <c r="G1531" s="2" t="str">
        <f>VLOOKUP($A1531,Controle!$B$4:$G$68,6,FALSE)</f>
        <v>Solatio</v>
      </c>
      <c r="H1531" s="6">
        <v>0</v>
      </c>
      <c r="I1531" s="6">
        <v>0</v>
      </c>
      <c r="J1531" s="6">
        <v>0</v>
      </c>
      <c r="K1531" s="6">
        <v>0</v>
      </c>
      <c r="L1531" s="6">
        <v>0</v>
      </c>
      <c r="M1531" s="6">
        <v>0</v>
      </c>
      <c r="N1531" s="6">
        <v>0</v>
      </c>
      <c r="O1531" s="4">
        <f>SUM(I1531:N1531)</f>
        <v>0</v>
      </c>
      <c r="P1531" s="5">
        <f>SUMIFS('Desenvolvimento diário'!$H:$H,'Desenvolvimento diário'!$Q:$Q,$B1531,'Desenvolvimento diário'!$P:$P,$F1531,'Desenvolvimento diário'!$R:$R,"Sim")</f>
        <v>0</v>
      </c>
      <c r="Q1531" s="5">
        <f>SUMIFS('Desenvolvimento diário'!$H:$H,'Desenvolvimento diário'!$Q:$Q,$B1531,'Desenvolvimento diário'!$P:$P,$F1531,'Desenvolvimento diário'!$R:$R,"Não")</f>
        <v>0</v>
      </c>
      <c r="R1531" s="4">
        <f>SUM(P1531:Q1531)</f>
        <v>0</v>
      </c>
      <c r="S1531" s="4">
        <f>O1531-R1531</f>
        <v>0</v>
      </c>
      <c r="T1531" s="12">
        <f>IFERROR(R1531/O1531,0)</f>
        <v>0</v>
      </c>
      <c r="Y1531" s="2"/>
      <c r="Z1531" s="2"/>
      <c r="AA1531" s="2"/>
      <c r="AB1531" s="2"/>
      <c r="AC1531" s="2"/>
    </row>
    <row r="1532" spans="1:29" ht="10.5" hidden="1">
      <c r="A1532" s="2">
        <f t="shared" si="519"/>
        <v>44</v>
      </c>
      <c r="B1532" s="2" t="str">
        <f>VLOOKUP($A1532,Controle!$B$4:$F$68,2,FALSE)</f>
        <v>Campo Belo 3</v>
      </c>
      <c r="C1532" s="2" t="str">
        <f>VLOOKUP($A1532,Controle!$B$4:$F$68,3,FALSE)</f>
        <v>MORI MINAS IV</v>
      </c>
      <c r="D1532" s="2" t="str">
        <f>VLOOKUP($A1532,Controle!$B$4:$F$68,4,FALSE)</f>
        <v>NewCo IV</v>
      </c>
      <c r="E1532" s="2" t="str">
        <f>VLOOKUP($A1532,Controle!$B$4:$F$68,5,FALSE)</f>
        <v>Weg</v>
      </c>
      <c r="F1532" s="3" t="str">
        <f t="shared" si="520"/>
        <v>Bases de Contaniers</v>
      </c>
      <c r="G1532" s="2" t="str">
        <f>VLOOKUP($A1532,Controle!$B$4:$G$68,6,FALSE)</f>
        <v>Solatio</v>
      </c>
      <c r="H1532" s="6" t="s">
        <v>225</v>
      </c>
      <c r="I1532" s="6">
        <v>114750.38</v>
      </c>
      <c r="J1532" s="6">
        <v>0</v>
      </c>
      <c r="K1532" s="6">
        <v>0</v>
      </c>
      <c r="L1532" s="6">
        <v>0</v>
      </c>
      <c r="M1532" s="6">
        <v>0</v>
      </c>
      <c r="N1532" s="6">
        <v>0</v>
      </c>
      <c r="O1532" s="4">
        <f>SUM(I1532:N1532)</f>
        <v>114750.38</v>
      </c>
      <c r="P1532" s="5">
        <f>SUMIFS('Desenvolvimento diário'!$H:$H,'Desenvolvimento diário'!$Q:$Q,$B1532,'Desenvolvimento diário'!$P:$P,$F1532,'Desenvolvimento diário'!$R:$R,"Sim")</f>
        <v>0</v>
      </c>
      <c r="Q1532" s="5">
        <f>SUMIFS('Desenvolvimento diário'!$H:$H,'Desenvolvimento diário'!$Q:$Q,$B1532,'Desenvolvimento diário'!$P:$P,$F1532,'Desenvolvimento diário'!$R:$R,"Não")</f>
        <v>114750.38</v>
      </c>
      <c r="R1532" s="4">
        <f>SUM(P1532:Q1532)</f>
        <v>114750.38</v>
      </c>
      <c r="S1532" s="4">
        <f>O1532-R1532</f>
        <v>0</v>
      </c>
      <c r="T1532" s="12">
        <f>IFERROR(R1532/O1532,0)</f>
        <v>1</v>
      </c>
      <c r="Y1532" s="2"/>
      <c r="Z1532" s="2"/>
      <c r="AA1532" s="2"/>
      <c r="AB1532" s="2"/>
      <c r="AC1532" s="2"/>
    </row>
    <row r="1533" spans="1:29" ht="10.5" hidden="1">
      <c r="A1533" s="2">
        <f t="shared" si="519"/>
        <v>44</v>
      </c>
      <c r="B1533" s="2" t="str">
        <f>VLOOKUP($A1533,Controle!$B$4:$F$68,2,FALSE)</f>
        <v>Campo Belo 3</v>
      </c>
      <c r="C1533" s="2" t="str">
        <f>VLOOKUP($A1533,Controle!$B$4:$F$68,3,FALSE)</f>
        <v>MORI MINAS IV</v>
      </c>
      <c r="D1533" s="2" t="str">
        <f>VLOOKUP($A1533,Controle!$B$4:$F$68,4,FALSE)</f>
        <v>NewCo IV</v>
      </c>
      <c r="E1533" s="2" t="str">
        <f>VLOOKUP($A1533,Controle!$B$4:$F$68,5,FALSE)</f>
        <v>Weg</v>
      </c>
      <c r="F1533" s="3" t="str">
        <f t="shared" si="520"/>
        <v>Construção - Serviços de Construção - Ase Engenharia</v>
      </c>
      <c r="G1533" s="2" t="str">
        <f>VLOOKUP($A1533,Controle!$B$4:$G$68,6,FALSE)</f>
        <v>Solatio</v>
      </c>
      <c r="H1533" s="6">
        <v>0</v>
      </c>
      <c r="I1533" s="6">
        <v>0</v>
      </c>
      <c r="J1533" s="6">
        <v>0</v>
      </c>
      <c r="K1533" s="6">
        <v>0</v>
      </c>
      <c r="L1533" s="6">
        <v>0</v>
      </c>
      <c r="M1533" s="6">
        <v>0</v>
      </c>
      <c r="N1533" s="6">
        <v>0</v>
      </c>
      <c r="O1533" s="4">
        <f>SUM(I1533:N1533)</f>
        <v>0</v>
      </c>
      <c r="P1533" s="5">
        <f>SUMIFS('Desenvolvimento diário'!$H:$H,'Desenvolvimento diário'!$Q:$Q,$B1533,'Desenvolvimento diário'!$P:$P,$F1533,'Desenvolvimento diário'!$R:$R,"Sim")</f>
        <v>0</v>
      </c>
      <c r="Q1533" s="5">
        <f>SUMIFS('Desenvolvimento diário'!$H:$H,'Desenvolvimento diário'!$Q:$Q,$B1533,'Desenvolvimento diário'!$P:$P,$F1533,'Desenvolvimento diário'!$R:$R,"Não")</f>
        <v>0</v>
      </c>
      <c r="R1533" s="4">
        <f>SUM(P1533:Q1533)</f>
        <v>0</v>
      </c>
      <c r="S1533" s="4">
        <f>O1533-R1533</f>
        <v>0</v>
      </c>
      <c r="T1533" s="12">
        <f>IFERROR(R1533/O1533,0)</f>
        <v>0</v>
      </c>
      <c r="Y1533" s="2"/>
      <c r="Z1533" s="2"/>
      <c r="AA1533" s="2"/>
      <c r="AB1533" s="2"/>
      <c r="AC1533" s="2"/>
    </row>
    <row r="1534" spans="1:29" ht="10.5" hidden="1">
      <c r="A1534" s="2">
        <f t="shared" si="519"/>
        <v>44</v>
      </c>
      <c r="B1534" s="2" t="str">
        <f>VLOOKUP($A1534,Controle!$B$4:$F$68,2,FALSE)</f>
        <v>Campo Belo 3</v>
      </c>
      <c r="C1534" s="2" t="str">
        <f>VLOOKUP($A1534,Controle!$B$4:$F$68,3,FALSE)</f>
        <v>MORI MINAS IV</v>
      </c>
      <c r="D1534" s="2" t="str">
        <f>VLOOKUP($A1534,Controle!$B$4:$F$68,4,FALSE)</f>
        <v>NewCo IV</v>
      </c>
      <c r="E1534" s="2" t="str">
        <f>VLOOKUP($A1534,Controle!$B$4:$F$68,5,FALSE)</f>
        <v>Weg</v>
      </c>
      <c r="F1534" s="3" t="str">
        <f t="shared" si="520"/>
        <v>Full EPC - Contrato Sobressalentes</v>
      </c>
      <c r="G1534" s="2" t="str">
        <f>VLOOKUP($A1534,Controle!$B$4:$G$68,6,FALSE)</f>
        <v>Solatio</v>
      </c>
      <c r="H1534" s="6" t="s">
        <v>21</v>
      </c>
      <c r="I1534" s="6">
        <v>216203.22</v>
      </c>
      <c r="J1534" s="6">
        <v>0</v>
      </c>
      <c r="K1534" s="6">
        <v>0</v>
      </c>
      <c r="L1534" s="6">
        <v>0</v>
      </c>
      <c r="M1534" s="6">
        <v>0</v>
      </c>
      <c r="N1534" s="6">
        <v>0</v>
      </c>
      <c r="O1534" s="4">
        <f>SUM(I1534:N1534)</f>
        <v>216203.22</v>
      </c>
      <c r="P1534" s="5">
        <f>SUMIFS('Desenvolvimento diário'!$H:$H,'Desenvolvimento diário'!$Q:$Q,$B1534,'Desenvolvimento diário'!$P:$P,$F1534,'Desenvolvimento diário'!$R:$R,"Sim")</f>
        <v>0</v>
      </c>
      <c r="Q1534" s="5">
        <f>SUMIFS('Desenvolvimento diário'!$H:$H,'Desenvolvimento diário'!$Q:$Q,$B1534,'Desenvolvimento diário'!$P:$P,$F1534,'Desenvolvimento diário'!$R:$R,"Não")</f>
        <v>216203.22</v>
      </c>
      <c r="R1534" s="4">
        <f>SUM(P1534:Q1534)</f>
        <v>216203.22</v>
      </c>
      <c r="S1534" s="4">
        <f>O1534-R1534</f>
        <v>0</v>
      </c>
      <c r="T1534" s="12">
        <f>IFERROR(R1534/O1534,0)</f>
        <v>1</v>
      </c>
      <c r="Y1534" s="2"/>
      <c r="Z1534" s="2"/>
      <c r="AA1534" s="2"/>
      <c r="AB1534" s="2"/>
      <c r="AC1534" s="2"/>
    </row>
    <row r="1535" spans="1:29" ht="10.5" hidden="1">
      <c r="A1535" s="2">
        <f t="shared" si="519"/>
        <v>44</v>
      </c>
      <c r="B1535" s="2" t="str">
        <f>VLOOKUP($A1535,Controle!$B$4:$F$68,2,FALSE)</f>
        <v>Campo Belo 3</v>
      </c>
      <c r="C1535" s="2" t="str">
        <f>VLOOKUP($A1535,Controle!$B$4:$F$68,3,FALSE)</f>
        <v>MORI MINAS IV</v>
      </c>
      <c r="D1535" s="2" t="str">
        <f>VLOOKUP($A1535,Controle!$B$4:$F$68,4,FALSE)</f>
        <v>NewCo IV</v>
      </c>
      <c r="E1535" s="2" t="str">
        <f>VLOOKUP($A1535,Controle!$B$4:$F$68,5,FALSE)</f>
        <v>Weg</v>
      </c>
      <c r="F1535" s="3" t="str">
        <f t="shared" si="520"/>
        <v>Construção - Serviços de Construção - NOVA MORADA</v>
      </c>
      <c r="G1535" s="2" t="str">
        <f>VLOOKUP($A1535,Controle!$B$4:$G$68,6,FALSE)</f>
        <v>Solatio</v>
      </c>
      <c r="H1535" s="6">
        <v>0</v>
      </c>
      <c r="I1535" s="6">
        <v>0</v>
      </c>
      <c r="J1535" s="6">
        <v>0</v>
      </c>
      <c r="K1535" s="6">
        <v>0</v>
      </c>
      <c r="L1535" s="6">
        <v>0</v>
      </c>
      <c r="M1535" s="6">
        <v>0</v>
      </c>
      <c r="N1535" s="6">
        <v>0</v>
      </c>
      <c r="O1535" s="4">
        <f>SUM(I1535:N1535)</f>
        <v>0</v>
      </c>
      <c r="P1535" s="5">
        <f>SUMIFS('Desenvolvimento diário'!$H:$H,'Desenvolvimento diário'!$Q:$Q,$B1535,'Desenvolvimento diário'!$P:$P,$F1535,'Desenvolvimento diário'!$R:$R,"Sim")</f>
        <v>0</v>
      </c>
      <c r="Q1535" s="5">
        <f>SUMIFS('Desenvolvimento diário'!$H:$H,'Desenvolvimento diário'!$Q:$Q,$B1535,'Desenvolvimento diário'!$P:$P,$F1535,'Desenvolvimento diário'!$R:$R,"Não")</f>
        <v>0</v>
      </c>
      <c r="R1535" s="4">
        <f>SUM(P1535:Q1535)</f>
        <v>0</v>
      </c>
      <c r="S1535" s="4">
        <f>O1535-R1535</f>
        <v>0</v>
      </c>
      <c r="T1535" s="12">
        <f>IFERROR(R1535/O1535,0)</f>
        <v>0</v>
      </c>
      <c r="Y1535" s="2"/>
      <c r="Z1535" s="2"/>
      <c r="AA1535" s="2"/>
      <c r="AB1535" s="2"/>
      <c r="AC1535" s="2"/>
    </row>
    <row r="1536" spans="1:29" ht="10.5" hidden="1">
      <c r="A1536" s="2">
        <f t="shared" si="519"/>
        <v>44</v>
      </c>
      <c r="B1536" s="2" t="str">
        <f>VLOOKUP($A1536,Controle!$B$4:$F$68,2,FALSE)</f>
        <v>Campo Belo 3</v>
      </c>
      <c r="C1536" s="2" t="str">
        <f>VLOOKUP($A1536,Controle!$B$4:$F$68,3,FALSE)</f>
        <v>MORI MINAS IV</v>
      </c>
      <c r="D1536" s="2" t="str">
        <f>VLOOKUP($A1536,Controle!$B$4:$F$68,4,FALSE)</f>
        <v>NewCo IV</v>
      </c>
      <c r="E1536" s="2" t="str">
        <f>VLOOKUP($A1536,Controle!$B$4:$F$68,5,FALSE)</f>
        <v>Weg</v>
      </c>
      <c r="F1536" s="3" t="str">
        <f t="shared" si="520"/>
        <v>Equipamentos Curva A -  Contrato Sobressalentes - SETTA</v>
      </c>
      <c r="G1536" s="2" t="str">
        <f>VLOOKUP($A1536,Controle!$B$4:$G$68,6,FALSE)</f>
        <v>Solatio</v>
      </c>
      <c r="H1536" s="6">
        <v>0</v>
      </c>
      <c r="I1536" s="6">
        <v>0</v>
      </c>
      <c r="J1536" s="6">
        <v>0</v>
      </c>
      <c r="K1536" s="6">
        <v>0</v>
      </c>
      <c r="L1536" s="6">
        <v>0</v>
      </c>
      <c r="M1536" s="6">
        <v>0</v>
      </c>
      <c r="N1536" s="6">
        <v>0</v>
      </c>
      <c r="O1536" s="4">
        <f>SUM(I1536:N1536)</f>
        <v>0</v>
      </c>
      <c r="P1536" s="5">
        <f>SUMIFS('Desenvolvimento diário'!$H:$H,'Desenvolvimento diário'!$Q:$Q,$B1536,'Desenvolvimento diário'!$P:$P,$F1536,'Desenvolvimento diário'!$R:$R,"Sim")</f>
        <v>0</v>
      </c>
      <c r="Q1536" s="5">
        <f>SUMIFS('Desenvolvimento diário'!$H:$H,'Desenvolvimento diário'!$Q:$Q,$B1536,'Desenvolvimento diário'!$P:$P,$F1536,'Desenvolvimento diário'!$R:$R,"Não")</f>
        <v>0</v>
      </c>
      <c r="R1536" s="4">
        <f>SUM(P1536:Q1536)</f>
        <v>0</v>
      </c>
      <c r="S1536" s="4">
        <f>O1536-R1536</f>
        <v>0</v>
      </c>
      <c r="T1536" s="12">
        <f>IFERROR(R1536/O1536,0)</f>
        <v>0</v>
      </c>
      <c r="Y1536" s="2"/>
      <c r="Z1536" s="2"/>
      <c r="AA1536" s="2"/>
      <c r="AB1536" s="2"/>
      <c r="AC1536" s="2"/>
    </row>
    <row r="1537" spans="1:29" ht="10.5" hidden="1">
      <c r="A1537" s="2">
        <f t="shared" si="519"/>
        <v>44</v>
      </c>
      <c r="B1537" s="2" t="str">
        <f>VLOOKUP($A1537,Controle!$B$4:$F$68,2,FALSE)</f>
        <v>Campo Belo 3</v>
      </c>
      <c r="C1537" s="2" t="str">
        <f>VLOOKUP($A1537,Controle!$B$4:$F$68,3,FALSE)</f>
        <v>MORI MINAS IV</v>
      </c>
      <c r="D1537" s="2" t="str">
        <f>VLOOKUP($A1537,Controle!$B$4:$F$68,4,FALSE)</f>
        <v>NewCo IV</v>
      </c>
      <c r="E1537" s="2" t="str">
        <f>VLOOKUP($A1537,Controle!$B$4:$F$68,5,FALSE)</f>
        <v>Weg</v>
      </c>
      <c r="F1537" s="3" t="str">
        <f t="shared" si="520"/>
        <v>Equipamentos Curva A -  Contrato Sobressalentes - Arctech</v>
      </c>
      <c r="G1537" s="2" t="str">
        <f>VLOOKUP($A1537,Controle!$B$4:$G$68,6,FALSE)</f>
        <v>Solatio</v>
      </c>
      <c r="H1537" s="6">
        <v>0</v>
      </c>
      <c r="I1537" s="6">
        <v>0</v>
      </c>
      <c r="J1537" s="6">
        <v>0</v>
      </c>
      <c r="K1537" s="6">
        <v>0</v>
      </c>
      <c r="L1537" s="6">
        <v>0</v>
      </c>
      <c r="M1537" s="6">
        <v>0</v>
      </c>
      <c r="N1537" s="6">
        <v>0</v>
      </c>
      <c r="O1537" s="4">
        <f>SUM(I1537:N1537)</f>
        <v>0</v>
      </c>
      <c r="P1537" s="5">
        <f>SUMIFS('Desenvolvimento diário'!$H:$H,'Desenvolvimento diário'!$Q:$Q,$B1537,'Desenvolvimento diário'!$P:$P,$F1537,'Desenvolvimento diário'!$R:$R,"Sim")</f>
        <v>0</v>
      </c>
      <c r="Q1537" s="5">
        <f>SUMIFS('Desenvolvimento diário'!$H:$H,'Desenvolvimento diário'!$Q:$Q,$B1537,'Desenvolvimento diário'!$P:$P,$F1537,'Desenvolvimento diário'!$R:$R,"Não")</f>
        <v>0</v>
      </c>
      <c r="R1537" s="4">
        <f>SUM(P1537:Q1537)</f>
        <v>0</v>
      </c>
      <c r="S1537" s="4">
        <f>O1537-R1537</f>
        <v>0</v>
      </c>
      <c r="T1537" s="12">
        <f>IFERROR(R1537/O1537,0)</f>
        <v>0</v>
      </c>
      <c r="Y1537" s="2"/>
      <c r="Z1537" s="2"/>
      <c r="AA1537" s="2"/>
      <c r="AB1537" s="2"/>
      <c r="AC1537" s="2"/>
    </row>
    <row r="1538" spans="1:29" hidden="1">
      <c r="A1538" s="2">
        <f t="shared" si="519"/>
        <v>44</v>
      </c>
      <c r="B1538" s="2" t="str">
        <f>VLOOKUP($A1538,Controle!$B$4:$F$68,2,FALSE)</f>
        <v>Campo Belo 3</v>
      </c>
      <c r="C1538" s="2" t="str">
        <f>VLOOKUP($A1538,Controle!$B$4:$F$68,3,FALSE)</f>
        <v>MORI MINAS IV</v>
      </c>
      <c r="D1538" s="2" t="str">
        <f>VLOOKUP($A1538,Controle!$B$4:$F$68,4,FALSE)</f>
        <v>NewCo IV</v>
      </c>
      <c r="E1538" s="2" t="str">
        <f>VLOOKUP($A1538,Controle!$B$4:$F$68,5,FALSE)</f>
        <v>Weg</v>
      </c>
      <c r="F1538" s="3" t="str">
        <f t="shared" si="520"/>
        <v>Equipamentos Curva A -  Contrato Sobressalentes - Romagnole</v>
      </c>
      <c r="G1538" s="2" t="str">
        <f>VLOOKUP($A1538,Controle!$B$4:$G$68,6,FALSE)</f>
        <v>Solatio</v>
      </c>
      <c r="H1538" s="7">
        <v>0</v>
      </c>
      <c r="I1538" s="7">
        <v>0</v>
      </c>
      <c r="J1538" s="7">
        <v>0</v>
      </c>
      <c r="K1538" s="7">
        <v>0</v>
      </c>
      <c r="L1538" s="7">
        <v>0</v>
      </c>
      <c r="M1538" s="7">
        <v>0</v>
      </c>
      <c r="N1538" s="7">
        <v>0</v>
      </c>
      <c r="O1538" s="4">
        <f>SUM(I1538:N1538)</f>
        <v>0</v>
      </c>
      <c r="P1538" s="17">
        <f>SUMIFS('Desenvolvimento diário'!$H:$H,'Desenvolvimento diário'!$Q:$Q,$B1538,'Desenvolvimento diário'!$P:$P,$F1538,'Desenvolvimento diário'!$R:$R,"Sim")</f>
        <v>0</v>
      </c>
      <c r="Q1538" s="17">
        <f>SUMIFS('Desenvolvimento diário'!$H:$H,'Desenvolvimento diário'!$Q:$Q,$B1538,'Desenvolvimento diário'!$P:$P,$F1538,'Desenvolvimento diário'!$R:$R,"Não")</f>
        <v>0</v>
      </c>
      <c r="R1538" s="4">
        <f>SUM(P1538:Q1538)</f>
        <v>0</v>
      </c>
      <c r="S1538" s="4">
        <f>O1538-R1538</f>
        <v>0</v>
      </c>
      <c r="T1538" s="12">
        <f>IFERROR(R1538/O1538,0)</f>
        <v>0</v>
      </c>
      <c r="Y1538" s="2"/>
      <c r="Z1538" s="2"/>
      <c r="AA1538" s="2"/>
      <c r="AB1538" s="2"/>
      <c r="AC1538" s="2"/>
    </row>
    <row r="1539" spans="1:29" hidden="1">
      <c r="A1539" s="2">
        <f t="shared" si="519"/>
        <v>44</v>
      </c>
      <c r="B1539" s="2" t="str">
        <f>VLOOKUP($A1539,Controle!$B$4:$F$68,2,FALSE)</f>
        <v>Campo Belo 3</v>
      </c>
      <c r="C1539" s="2" t="str">
        <f>VLOOKUP($A1539,Controle!$B$4:$F$68,3,FALSE)</f>
        <v>MORI MINAS IV</v>
      </c>
      <c r="D1539" s="2" t="str">
        <f>VLOOKUP($A1539,Controle!$B$4:$F$68,4,FALSE)</f>
        <v>NewCo IV</v>
      </c>
      <c r="E1539" s="2" t="str">
        <f>VLOOKUP($A1539,Controle!$B$4:$F$68,5,FALSE)</f>
        <v>Weg</v>
      </c>
      <c r="F1539" s="3" t="str">
        <f t="shared" si="520"/>
        <v>GOS FLORESTAL - (PRAD - Recuperação Area Ambiental)</v>
      </c>
      <c r="G1539" s="2" t="str">
        <f>VLOOKUP($A1539,Controle!$B$4:$G$68,6,FALSE)</f>
        <v>Solatio</v>
      </c>
      <c r="H1539" s="506" t="s">
        <v>170</v>
      </c>
      <c r="I1539" s="6">
        <v>0</v>
      </c>
      <c r="J1539" s="506"/>
      <c r="K1539" s="506">
        <v>0</v>
      </c>
      <c r="L1539" s="506">
        <v>0</v>
      </c>
      <c r="M1539" s="506">
        <v>0</v>
      </c>
      <c r="N1539" s="506">
        <v>0</v>
      </c>
      <c r="O1539" s="39">
        <f t="shared" ref="O1539:O1540" si="521">SUM(I1539:N1539)</f>
        <v>0</v>
      </c>
      <c r="P1539" s="17">
        <f>SUMIFS('Desenvolvimento diário'!$H:$H,'Desenvolvimento diário'!$Q:$Q,$B1539,'Desenvolvimento diário'!$P:$P,$F1539,'Desenvolvimento diário'!$R:$R,"Sim")</f>
        <v>0</v>
      </c>
      <c r="Q1539" s="17">
        <f>SUMIFS('Desenvolvimento diário'!$H:$H,'Desenvolvimento diário'!$Q:$Q,$B1539,'Desenvolvimento diário'!$P:$P,$F1539,'Desenvolvimento diário'!$R:$R,"Não")</f>
        <v>0</v>
      </c>
      <c r="R1539" s="4">
        <f t="shared" ref="R1539:R1540" si="522">SUM(P1539:Q1539)</f>
        <v>0</v>
      </c>
      <c r="S1539" s="4">
        <f t="shared" ref="S1539:S1540" si="523">O1539-R1539</f>
        <v>0</v>
      </c>
      <c r="T1539" s="12">
        <f t="shared" ref="T1539:T1540" si="524">IFERROR(R1539/O1539,0)</f>
        <v>0</v>
      </c>
      <c r="Y1539" s="2"/>
      <c r="Z1539" s="2"/>
      <c r="AA1539" s="2"/>
      <c r="AB1539" s="2"/>
      <c r="AC1539" s="2"/>
    </row>
    <row r="1540" spans="1:29" hidden="1">
      <c r="A1540" s="2">
        <f t="shared" si="519"/>
        <v>44</v>
      </c>
      <c r="B1540" s="2" t="str">
        <f>VLOOKUP($A1540,Controle!$B$4:$F$68,2,FALSE)</f>
        <v>Campo Belo 3</v>
      </c>
      <c r="C1540" s="2" t="str">
        <f>VLOOKUP($A1540,Controle!$B$4:$F$68,3,FALSE)</f>
        <v>MORI MINAS IV</v>
      </c>
      <c r="D1540" s="2" t="str">
        <f>VLOOKUP($A1540,Controle!$B$4:$F$68,4,FALSE)</f>
        <v>NewCo IV</v>
      </c>
      <c r="E1540" s="2" t="str">
        <f>VLOOKUP($A1540,Controle!$B$4:$F$68,5,FALSE)</f>
        <v>Weg</v>
      </c>
      <c r="F1540" s="3" t="str">
        <f t="shared" si="520"/>
        <v>Cercamento das bacias de contenção ciclo 2</v>
      </c>
      <c r="G1540" s="2" t="str">
        <f>VLOOKUP($A1540,Controle!$B$4:$G$68,6,FALSE)</f>
        <v>Solatio</v>
      </c>
      <c r="H1540" s="506" t="s">
        <v>172</v>
      </c>
      <c r="I1540" s="6"/>
      <c r="J1540" s="506"/>
      <c r="K1540" s="506">
        <v>0</v>
      </c>
      <c r="L1540" s="506">
        <v>0</v>
      </c>
      <c r="M1540" s="506">
        <v>0</v>
      </c>
      <c r="N1540" s="506">
        <v>0</v>
      </c>
      <c r="O1540" s="39">
        <f t="shared" si="521"/>
        <v>0</v>
      </c>
      <c r="P1540" s="17">
        <f>SUMIFS('Desenvolvimento diário'!$H:$H,'Desenvolvimento diário'!$Q:$Q,$B1540,'Desenvolvimento diário'!$P:$P,$F1540,'Desenvolvimento diário'!$R:$R,"Sim")</f>
        <v>0</v>
      </c>
      <c r="Q1540" s="17">
        <f>SUMIFS('Desenvolvimento diário'!$H:$H,'Desenvolvimento diário'!$Q:$Q,$B1540,'Desenvolvimento diário'!$P:$P,$F1540,'Desenvolvimento diário'!$R:$R,"Não")</f>
        <v>0</v>
      </c>
      <c r="R1540" s="4">
        <f t="shared" si="522"/>
        <v>0</v>
      </c>
      <c r="S1540" s="1030">
        <f t="shared" si="523"/>
        <v>0</v>
      </c>
      <c r="T1540" s="12">
        <f t="shared" si="524"/>
        <v>0</v>
      </c>
      <c r="U1540" s="1029" t="s">
        <v>166</v>
      </c>
      <c r="V1540" s="1029" t="s">
        <v>94</v>
      </c>
      <c r="Y1540" s="2"/>
      <c r="Z1540" s="2"/>
      <c r="AA1540" s="2"/>
      <c r="AB1540" s="2"/>
      <c r="AC1540" s="2"/>
    </row>
    <row r="1541" spans="1:29" hidden="1">
      <c r="A1541" s="8">
        <f>A1538</f>
        <v>44</v>
      </c>
      <c r="B1541" s="9" t="str">
        <f>B1538</f>
        <v>Campo Belo 3</v>
      </c>
      <c r="C1541" s="9" t="str">
        <f>C1538</f>
        <v>MORI MINAS IV</v>
      </c>
      <c r="D1541" s="9" t="str">
        <f>D1538</f>
        <v>NewCo IV</v>
      </c>
      <c r="E1541" s="9" t="str">
        <f>E1538</f>
        <v>Weg</v>
      </c>
      <c r="F1541" s="10" t="s">
        <v>158</v>
      </c>
      <c r="G1541" s="9" t="str">
        <f>G1538</f>
        <v>Solatio</v>
      </c>
      <c r="H1541" s="9"/>
      <c r="I1541" s="9">
        <f>SUBTOTAL(9,I1507:I1540)</f>
        <v>0</v>
      </c>
      <c r="J1541" s="9">
        <f t="shared" ref="J1541:S1541" si="525">SUBTOTAL(9,J1507:J1540)</f>
        <v>0</v>
      </c>
      <c r="K1541" s="9">
        <f t="shared" si="525"/>
        <v>0</v>
      </c>
      <c r="L1541" s="9">
        <f t="shared" si="525"/>
        <v>0</v>
      </c>
      <c r="M1541" s="9">
        <f t="shared" si="525"/>
        <v>0</v>
      </c>
      <c r="N1541" s="9">
        <f t="shared" si="525"/>
        <v>0</v>
      </c>
      <c r="O1541" s="9">
        <f t="shared" si="525"/>
        <v>0</v>
      </c>
      <c r="P1541" s="9">
        <f t="shared" si="525"/>
        <v>0</v>
      </c>
      <c r="Q1541" s="9">
        <f t="shared" si="525"/>
        <v>0</v>
      </c>
      <c r="R1541" s="9">
        <f t="shared" si="525"/>
        <v>0</v>
      </c>
      <c r="S1541" s="9">
        <f t="shared" si="525"/>
        <v>0</v>
      </c>
      <c r="T1541" s="13">
        <f>IFERROR(R1541/O1541,0)</f>
        <v>0</v>
      </c>
      <c r="U1541" s="11">
        <f>SUBTOTAL(9,U1507:U1540)</f>
        <v>0</v>
      </c>
      <c r="Y1541" s="2"/>
      <c r="Z1541" s="2"/>
      <c r="AA1541" s="2"/>
      <c r="AB1541" s="2"/>
      <c r="AC1541" s="2"/>
    </row>
    <row r="1542" spans="1:29" ht="10.5" hidden="1">
      <c r="A1542" s="2">
        <f>A1507+1</f>
        <v>45</v>
      </c>
      <c r="B1542" s="2" t="str">
        <f>VLOOKUP($A1542,Controle!$B$4:$F$68,2,FALSE)</f>
        <v>Campo Belo 4</v>
      </c>
      <c r="C1542" s="2" t="str">
        <f>VLOOKUP($A1542,Controle!$B$4:$F$68,3,FALSE)</f>
        <v>MORI MINAS V</v>
      </c>
      <c r="D1542" s="2" t="str">
        <f>VLOOKUP($A1542,Controle!$B$4:$F$68,4,FALSE)</f>
        <v>NewCo V</v>
      </c>
      <c r="E1542" s="2" t="str">
        <f>VLOOKUP($A1542,Controle!$B$4:$F$68,5,FALSE)</f>
        <v>Weg</v>
      </c>
      <c r="F1542" s="3" t="str">
        <f>F1507</f>
        <v>Conexão AT - Obras</v>
      </c>
      <c r="G1542" s="2" t="str">
        <f>VLOOKUP($A1542,Controle!$B$4:$G$68,6,FALSE)</f>
        <v>Solatio</v>
      </c>
      <c r="H1542" s="6" t="s">
        <v>141</v>
      </c>
      <c r="I1542" s="29">
        <f>915000-0.03</f>
        <v>914999.97</v>
      </c>
      <c r="J1542" s="6">
        <v>0</v>
      </c>
      <c r="K1542" s="6">
        <v>0</v>
      </c>
      <c r="L1542" s="6">
        <v>0</v>
      </c>
      <c r="M1542" s="6">
        <v>0</v>
      </c>
      <c r="N1542" s="6">
        <v>0</v>
      </c>
      <c r="O1542" s="4">
        <f>SUM(I1542:N1542)</f>
        <v>914999.97</v>
      </c>
      <c r="P1542" s="5">
        <f>SUMIFS('Desenvolvimento diário'!$H:$H,'Desenvolvimento diário'!$Q:$Q,$B1542,'Desenvolvimento diário'!$P:$P,$F1542,'Desenvolvimento diário'!$R:$R,"Sim")</f>
        <v>261030.56999999998</v>
      </c>
      <c r="Q1542" s="5">
        <f>SUMIFS('Desenvolvimento diário'!$H:$H,'Desenvolvimento diário'!$Q:$Q,$B1542,'Desenvolvimento diário'!$P:$P,$F1542,'Desenvolvimento diário'!$R:$R,"Não")</f>
        <v>653969.4</v>
      </c>
      <c r="R1542" s="4">
        <f>SUM(P1542:Q1542)</f>
        <v>914999.97</v>
      </c>
      <c r="S1542" s="27">
        <f>O1542-R1542</f>
        <v>0</v>
      </c>
      <c r="T1542" s="12">
        <f>IFERROR(R1542/O1542,0)</f>
        <v>1</v>
      </c>
      <c r="Y1542" s="2"/>
      <c r="Z1542" s="2"/>
      <c r="AA1542" s="2"/>
      <c r="AB1542" s="2"/>
      <c r="AC1542" s="2"/>
    </row>
    <row r="1543" spans="1:29" ht="10.5" hidden="1">
      <c r="A1543" s="2">
        <f>A1542</f>
        <v>45</v>
      </c>
      <c r="B1543" s="2" t="str">
        <f>VLOOKUP($A1543,Controle!$B$4:$F$68,2,FALSE)</f>
        <v>Campo Belo 4</v>
      </c>
      <c r="C1543" s="2" t="str">
        <f>VLOOKUP($A1543,Controle!$B$4:$F$68,3,FALSE)</f>
        <v>MORI MINAS V</v>
      </c>
      <c r="D1543" s="2" t="str">
        <f>VLOOKUP($A1543,Controle!$B$4:$F$68,4,FALSE)</f>
        <v>NewCo V</v>
      </c>
      <c r="E1543" s="2" t="str">
        <f>VLOOKUP($A1543,Controle!$B$4:$F$68,5,FALSE)</f>
        <v>Weg</v>
      </c>
      <c r="F1543" s="3" t="str">
        <f>F1508</f>
        <v>Conexão MT - Obras</v>
      </c>
      <c r="G1543" s="2" t="str">
        <f>VLOOKUP($A1543,Controle!$B$4:$G$68,6,FALSE)</f>
        <v>Solatio</v>
      </c>
      <c r="H1543" s="6" t="s">
        <v>221</v>
      </c>
      <c r="I1543" s="6">
        <v>359211.77</v>
      </c>
      <c r="J1543" s="6">
        <v>0</v>
      </c>
      <c r="K1543" s="6">
        <v>0</v>
      </c>
      <c r="L1543" s="6">
        <v>0</v>
      </c>
      <c r="M1543" s="6">
        <v>0</v>
      </c>
      <c r="N1543" s="6">
        <v>0</v>
      </c>
      <c r="O1543" s="4">
        <f>SUM(I1543:N1543)</f>
        <v>359211.77</v>
      </c>
      <c r="P1543" s="5">
        <f>SUMIFS('Desenvolvimento diário'!$H:$H,'Desenvolvimento diário'!$Q:$Q,$B1543,'Desenvolvimento diário'!$P:$P,$F1543,'Desenvolvimento diário'!$R:$R,"Sim")</f>
        <v>48972.33</v>
      </c>
      <c r="Q1543" s="5">
        <f>SUMIFS('Desenvolvimento diário'!$H:$H,'Desenvolvimento diário'!$Q:$Q,$B1543,'Desenvolvimento diário'!$P:$P,$F1543,'Desenvolvimento diário'!$R:$R,"Não")</f>
        <v>310239.44</v>
      </c>
      <c r="R1543" s="4">
        <f>SUM(P1543:Q1543)</f>
        <v>359211.77</v>
      </c>
      <c r="S1543" s="4">
        <f>O1543-R1543</f>
        <v>0</v>
      </c>
      <c r="T1543" s="12">
        <f>IFERROR(R1543/O1543,0)</f>
        <v>1</v>
      </c>
      <c r="Y1543" s="2"/>
      <c r="Z1543" s="2"/>
      <c r="AA1543" s="2"/>
      <c r="AB1543" s="2"/>
      <c r="AC1543" s="2"/>
    </row>
    <row r="1544" spans="1:29" ht="10.5" hidden="1">
      <c r="A1544" s="2">
        <f>A1543</f>
        <v>45</v>
      </c>
      <c r="B1544" s="2" t="str">
        <f>VLOOKUP($A1544,Controle!$B$4:$F$68,2,FALSE)</f>
        <v>Campo Belo 4</v>
      </c>
      <c r="C1544" s="2" t="str">
        <f>VLOOKUP($A1544,Controle!$B$4:$F$68,3,FALSE)</f>
        <v>MORI MINAS V</v>
      </c>
      <c r="D1544" s="2" t="str">
        <f>VLOOKUP($A1544,Controle!$B$4:$F$68,4,FALSE)</f>
        <v>NewCo V</v>
      </c>
      <c r="E1544" s="2" t="str">
        <f>VLOOKUP($A1544,Controle!$B$4:$F$68,5,FALSE)</f>
        <v>Weg</v>
      </c>
      <c r="F1544" s="3" t="str">
        <f>F1509</f>
        <v>Construção - Serviços de Construção</v>
      </c>
      <c r="G1544" s="2" t="str">
        <f>VLOOKUP($A1544,Controle!$B$4:$G$68,6,FALSE)</f>
        <v>Solatio</v>
      </c>
      <c r="H1544" s="6">
        <v>0</v>
      </c>
      <c r="I1544" s="6">
        <v>0</v>
      </c>
      <c r="J1544" s="6">
        <v>0</v>
      </c>
      <c r="K1544" s="6">
        <v>0</v>
      </c>
      <c r="L1544" s="6">
        <v>0</v>
      </c>
      <c r="M1544" s="6">
        <v>0</v>
      </c>
      <c r="N1544" s="6">
        <v>0</v>
      </c>
      <c r="O1544" s="4">
        <f>SUM(I1544:N1544)</f>
        <v>0</v>
      </c>
      <c r="P1544" s="5">
        <f>SUMIFS('Desenvolvimento diário'!$H:$H,'Desenvolvimento diário'!$Q:$Q,$B1544,'Desenvolvimento diário'!$P:$P,$F1544,'Desenvolvimento diário'!$R:$R,"Sim")</f>
        <v>0</v>
      </c>
      <c r="Q1544" s="5">
        <f>SUMIFS('Desenvolvimento diário'!$H:$H,'Desenvolvimento diário'!$Q:$Q,$B1544,'Desenvolvimento diário'!$P:$P,$F1544,'Desenvolvimento diário'!$R:$R,"Não")</f>
        <v>0</v>
      </c>
      <c r="R1544" s="4">
        <f>SUM(P1544:Q1544)</f>
        <v>0</v>
      </c>
      <c r="S1544" s="4">
        <f>O1544-R1544</f>
        <v>0</v>
      </c>
      <c r="T1544" s="12">
        <f>IFERROR(R1544/O1544,0)</f>
        <v>0</v>
      </c>
      <c r="Y1544" s="2"/>
      <c r="Z1544" s="2"/>
      <c r="AA1544" s="2"/>
      <c r="AB1544" s="2"/>
      <c r="AC1544" s="2"/>
    </row>
    <row r="1545" spans="1:29" ht="10.5" hidden="1">
      <c r="A1545" s="2">
        <f>A1544</f>
        <v>45</v>
      </c>
      <c r="B1545" s="2" t="str">
        <f>VLOOKUP($A1545,Controle!$B$4:$F$68,2,FALSE)</f>
        <v>Campo Belo 4</v>
      </c>
      <c r="C1545" s="2" t="str">
        <f>VLOOKUP($A1545,Controle!$B$4:$F$68,3,FALSE)</f>
        <v>MORI MINAS V</v>
      </c>
      <c r="D1545" s="2" t="str">
        <f>VLOOKUP($A1545,Controle!$B$4:$F$68,4,FALSE)</f>
        <v>NewCo V</v>
      </c>
      <c r="E1545" s="2" t="str">
        <f>VLOOKUP($A1545,Controle!$B$4:$F$68,5,FALSE)</f>
        <v>Weg</v>
      </c>
      <c r="F1545" s="3" t="str">
        <f>F1510</f>
        <v>Construção - Serviços de Construção - Substituição</v>
      </c>
      <c r="G1545" s="2" t="str">
        <f>VLOOKUP($A1545,Controle!$B$4:$G$68,6,FALSE)</f>
        <v>Solatio</v>
      </c>
      <c r="H1545" s="6">
        <v>0</v>
      </c>
      <c r="I1545" s="6">
        <v>0</v>
      </c>
      <c r="J1545" s="6">
        <v>0</v>
      </c>
      <c r="K1545" s="6">
        <v>0</v>
      </c>
      <c r="L1545" s="6">
        <v>0</v>
      </c>
      <c r="M1545" s="6">
        <v>0</v>
      </c>
      <c r="N1545" s="6">
        <v>0</v>
      </c>
      <c r="O1545" s="4">
        <f>SUM(I1545:N1545)</f>
        <v>0</v>
      </c>
      <c r="P1545" s="5">
        <f>SUMIFS('Desenvolvimento diário'!$H:$H,'Desenvolvimento diário'!$Q:$Q,$B1545,'Desenvolvimento diário'!$P:$P,$F1545,'Desenvolvimento diário'!$R:$R,"Sim")</f>
        <v>0</v>
      </c>
      <c r="Q1545" s="5">
        <f>SUMIFS('Desenvolvimento diário'!$H:$H,'Desenvolvimento diário'!$Q:$Q,$B1545,'Desenvolvimento diário'!$P:$P,$F1545,'Desenvolvimento diário'!$R:$R,"Não")</f>
        <v>0</v>
      </c>
      <c r="R1545" s="4">
        <f>SUM(P1545:Q1545)</f>
        <v>0</v>
      </c>
      <c r="S1545" s="4">
        <f>O1545-R1545</f>
        <v>0</v>
      </c>
      <c r="T1545" s="12">
        <f>IFERROR(R1545/O1545,0)</f>
        <v>0</v>
      </c>
      <c r="Y1545" s="2"/>
      <c r="Z1545" s="2"/>
      <c r="AA1545" s="2"/>
      <c r="AB1545" s="2"/>
      <c r="AC1545" s="2"/>
    </row>
    <row r="1546" spans="1:29" ht="10.5" hidden="1">
      <c r="A1546" s="2">
        <f>A1545</f>
        <v>45</v>
      </c>
      <c r="B1546" s="2" t="str">
        <f>VLOOKUP($A1546,Controle!$B$4:$F$68,2,FALSE)</f>
        <v>Campo Belo 4</v>
      </c>
      <c r="C1546" s="2" t="str">
        <f>VLOOKUP($A1546,Controle!$B$4:$F$68,3,FALSE)</f>
        <v>MORI MINAS V</v>
      </c>
      <c r="D1546" s="2" t="str">
        <f>VLOOKUP($A1546,Controle!$B$4:$F$68,4,FALSE)</f>
        <v>NewCo V</v>
      </c>
      <c r="E1546" s="2" t="str">
        <f>VLOOKUP($A1546,Controle!$B$4:$F$68,5,FALSE)</f>
        <v>Weg</v>
      </c>
      <c r="F1546" s="3" t="str">
        <f>F1511</f>
        <v>Construção - RDA Interno</v>
      </c>
      <c r="G1546" s="2" t="str">
        <f>VLOOKUP($A1546,Controle!$B$4:$G$68,6,FALSE)</f>
        <v>Solatio</v>
      </c>
      <c r="H1546" s="6">
        <v>0</v>
      </c>
      <c r="I1546" s="6">
        <v>0</v>
      </c>
      <c r="J1546" s="6">
        <v>0</v>
      </c>
      <c r="K1546" s="6">
        <v>0</v>
      </c>
      <c r="L1546" s="6">
        <v>0</v>
      </c>
      <c r="M1546" s="6">
        <v>0</v>
      </c>
      <c r="N1546" s="6">
        <v>0</v>
      </c>
      <c r="O1546" s="4">
        <f>SUM(I1546:N1546)</f>
        <v>0</v>
      </c>
      <c r="P1546" s="5">
        <f>SUMIFS('Desenvolvimento diário'!$H:$H,'Desenvolvimento diário'!$Q:$Q,$B1546,'Desenvolvimento diário'!$P:$P,$F1546,'Desenvolvimento diário'!$R:$R,"Sim")</f>
        <v>0</v>
      </c>
      <c r="Q1546" s="5">
        <f>SUMIFS('Desenvolvimento diário'!$H:$H,'Desenvolvimento diário'!$Q:$Q,$B1546,'Desenvolvimento diário'!$P:$P,$F1546,'Desenvolvimento diário'!$R:$R,"Não")</f>
        <v>0</v>
      </c>
      <c r="R1546" s="4">
        <f>SUM(P1546:Q1546)</f>
        <v>0</v>
      </c>
      <c r="S1546" s="4">
        <f>O1546-R1546</f>
        <v>0</v>
      </c>
      <c r="T1546" s="12">
        <f>IFERROR(R1546/O1546,0)</f>
        <v>0</v>
      </c>
      <c r="Y1546" s="2"/>
      <c r="Z1546" s="2"/>
      <c r="AA1546" s="2"/>
      <c r="AB1546" s="2"/>
      <c r="AC1546" s="2"/>
    </row>
    <row r="1547" spans="1:29" ht="10.5" hidden="1">
      <c r="A1547" s="2">
        <f>A1546</f>
        <v>45</v>
      </c>
      <c r="B1547" s="2" t="str">
        <f>VLOOKUP($A1547,Controle!$B$4:$F$68,2,FALSE)</f>
        <v>Campo Belo 4</v>
      </c>
      <c r="C1547" s="2" t="str">
        <f>VLOOKUP($A1547,Controle!$B$4:$F$68,3,FALSE)</f>
        <v>MORI MINAS V</v>
      </c>
      <c r="D1547" s="2" t="str">
        <f>VLOOKUP($A1547,Controle!$B$4:$F$68,4,FALSE)</f>
        <v>NewCo V</v>
      </c>
      <c r="E1547" s="2" t="str">
        <f>VLOOKUP($A1547,Controle!$B$4:$F$68,5,FALSE)</f>
        <v>Weg</v>
      </c>
      <c r="F1547" s="3" t="str">
        <f>F1512</f>
        <v>Full EPC - Contrato</v>
      </c>
      <c r="G1547" s="2" t="str">
        <f>VLOOKUP($A1547,Controle!$B$4:$G$68,6,FALSE)</f>
        <v>Solatio</v>
      </c>
      <c r="H1547" s="6" t="s">
        <v>21</v>
      </c>
      <c r="I1547" s="6">
        <v>14646682.470000001</v>
      </c>
      <c r="J1547" s="6"/>
      <c r="K1547" s="6">
        <v>0</v>
      </c>
      <c r="L1547" s="6">
        <v>0</v>
      </c>
      <c r="M1547" s="6">
        <v>0</v>
      </c>
      <c r="N1547" s="6">
        <v>0</v>
      </c>
      <c r="O1547" s="4">
        <f>SUM(I1547:N1547)</f>
        <v>14646682.470000001</v>
      </c>
      <c r="P1547" s="5">
        <f>SUMIFS('Desenvolvimento diário'!$H:$H,'Desenvolvimento diário'!$Q:$Q,$B1547,'Desenvolvimento diário'!$P:$P,$F1547,'Desenvolvimento diário'!$R:$R,"Sim")</f>
        <v>0</v>
      </c>
      <c r="Q1547" s="5">
        <f>SUMIFS('Desenvolvimento diário'!$H:$H,'Desenvolvimento diário'!$Q:$Q,$B1547,'Desenvolvimento diário'!$P:$P,$F1547,'Desenvolvimento diário'!$R:$R,"Não")</f>
        <v>14646682.469999999</v>
      </c>
      <c r="R1547" s="4">
        <f>SUM(P1547:Q1547)</f>
        <v>14646682.469999999</v>
      </c>
      <c r="S1547" s="1076">
        <f>O1547-R1547</f>
        <v>0</v>
      </c>
      <c r="T1547" s="12">
        <f>IFERROR(R1547/O1547,0)</f>
        <v>0.99999999999999989</v>
      </c>
      <c r="U1547" s="1014" t="s">
        <v>166</v>
      </c>
      <c r="V1547" s="1014" t="s">
        <v>184</v>
      </c>
      <c r="Y1547" s="2"/>
      <c r="Z1547" s="2"/>
      <c r="AA1547" s="2"/>
      <c r="AB1547" s="2"/>
      <c r="AC1547" s="2"/>
    </row>
    <row r="1548" spans="1:29" ht="10.5" hidden="1">
      <c r="A1548" s="2">
        <f>A1547</f>
        <v>45</v>
      </c>
      <c r="B1548" s="2" t="str">
        <f>VLOOKUP($A1548,Controle!$B$4:$F$68,2,FALSE)</f>
        <v>Campo Belo 4</v>
      </c>
      <c r="C1548" s="2" t="str">
        <f>VLOOKUP($A1548,Controle!$B$4:$F$68,3,FALSE)</f>
        <v>MORI MINAS V</v>
      </c>
      <c r="D1548" s="2" t="str">
        <f>VLOOKUP($A1548,Controle!$B$4:$F$68,4,FALSE)</f>
        <v>NewCo V</v>
      </c>
      <c r="E1548" s="2" t="str">
        <f>VLOOKUP($A1548,Controle!$B$4:$F$68,5,FALSE)</f>
        <v>Weg</v>
      </c>
      <c r="F1548" s="3" t="str">
        <f>F1513</f>
        <v>Equipamentos Curva A - Outros (Transformadores)</v>
      </c>
      <c r="G1548" s="2" t="str">
        <f>VLOOKUP($A1548,Controle!$B$4:$G$68,6,FALSE)</f>
        <v>Solatio</v>
      </c>
      <c r="H1548" s="6">
        <v>0</v>
      </c>
      <c r="I1548" s="6">
        <v>0</v>
      </c>
      <c r="J1548" s="6">
        <v>0</v>
      </c>
      <c r="K1548" s="6">
        <v>0</v>
      </c>
      <c r="L1548" s="6">
        <v>0</v>
      </c>
      <c r="M1548" s="6">
        <v>0</v>
      </c>
      <c r="N1548" s="6">
        <v>0</v>
      </c>
      <c r="O1548" s="4">
        <f>SUM(I1548:N1548)</f>
        <v>0</v>
      </c>
      <c r="P1548" s="5">
        <f>SUMIFS('Desenvolvimento diário'!$H:$H,'Desenvolvimento diário'!$Q:$Q,$B1548,'Desenvolvimento diário'!$P:$P,$F1548,'Desenvolvimento diário'!$R:$R,"Sim")</f>
        <v>0</v>
      </c>
      <c r="Q1548" s="5">
        <f>SUMIFS('Desenvolvimento diário'!$H:$H,'Desenvolvimento diário'!$Q:$Q,$B1548,'Desenvolvimento diário'!$P:$P,$F1548,'Desenvolvimento diário'!$R:$R,"Não")</f>
        <v>0</v>
      </c>
      <c r="R1548" s="4">
        <f>SUM(P1548:Q1548)</f>
        <v>0</v>
      </c>
      <c r="S1548" s="4">
        <f>O1548-R1548</f>
        <v>0</v>
      </c>
      <c r="T1548" s="12">
        <f>IFERROR(R1548/O1548,0)</f>
        <v>0</v>
      </c>
      <c r="Y1548" s="2"/>
      <c r="Z1548" s="2"/>
      <c r="AA1548" s="2"/>
      <c r="AB1548" s="2"/>
      <c r="AC1548" s="2"/>
    </row>
    <row r="1549" spans="1:29" ht="10.5" hidden="1">
      <c r="A1549" s="2">
        <f>A1548</f>
        <v>45</v>
      </c>
      <c r="B1549" s="2" t="str">
        <f>VLOOKUP($A1549,Controle!$B$4:$F$68,2,FALSE)</f>
        <v>Campo Belo 4</v>
      </c>
      <c r="C1549" s="2" t="str">
        <f>VLOOKUP($A1549,Controle!$B$4:$F$68,3,FALSE)</f>
        <v>MORI MINAS V</v>
      </c>
      <c r="D1549" s="2" t="str">
        <f>VLOOKUP($A1549,Controle!$B$4:$F$68,4,FALSE)</f>
        <v>NewCo V</v>
      </c>
      <c r="E1549" s="2" t="str">
        <f>VLOOKUP($A1549,Controle!$B$4:$F$68,5,FALSE)</f>
        <v>Weg</v>
      </c>
      <c r="F1549" s="3" t="str">
        <f>F1514</f>
        <v>Equipamentos Curva A - Outros (Cabine + Skid)</v>
      </c>
      <c r="G1549" s="2" t="str">
        <f>VLOOKUP($A1549,Controle!$B$4:$G$68,6,FALSE)</f>
        <v>Solatio</v>
      </c>
      <c r="H1549" s="6">
        <v>0</v>
      </c>
      <c r="I1549" s="6">
        <v>0</v>
      </c>
      <c r="J1549" s="6">
        <v>0</v>
      </c>
      <c r="K1549" s="6">
        <v>0</v>
      </c>
      <c r="L1549" s="6">
        <v>0</v>
      </c>
      <c r="M1549" s="6">
        <v>0</v>
      </c>
      <c r="N1549" s="6">
        <v>0</v>
      </c>
      <c r="O1549" s="4">
        <f>SUM(I1549:N1549)</f>
        <v>0</v>
      </c>
      <c r="P1549" s="5">
        <f>SUMIFS('Desenvolvimento diário'!$H:$H,'Desenvolvimento diário'!$Q:$Q,$B1549,'Desenvolvimento diário'!$P:$P,$F1549,'Desenvolvimento diário'!$R:$R,"Sim")</f>
        <v>0</v>
      </c>
      <c r="Q1549" s="5">
        <f>SUMIFS('Desenvolvimento diário'!$H:$H,'Desenvolvimento diário'!$Q:$Q,$B1549,'Desenvolvimento diário'!$P:$P,$F1549,'Desenvolvimento diário'!$R:$R,"Não")</f>
        <v>0</v>
      </c>
      <c r="R1549" s="4">
        <f>SUM(P1549:Q1549)</f>
        <v>0</v>
      </c>
      <c r="S1549" s="4">
        <f>O1549-R1549</f>
        <v>0</v>
      </c>
      <c r="T1549" s="12">
        <f>IFERROR(R1549/O1549,0)</f>
        <v>0</v>
      </c>
      <c r="Y1549" s="2"/>
      <c r="Z1549" s="2"/>
      <c r="AA1549" s="2"/>
      <c r="AB1549" s="2"/>
      <c r="AC1549" s="2"/>
    </row>
    <row r="1550" spans="1:29" ht="10.5" hidden="1">
      <c r="A1550" s="2">
        <f>A1549</f>
        <v>45</v>
      </c>
      <c r="B1550" s="2" t="str">
        <f>VLOOKUP($A1550,Controle!$B$4:$F$68,2,FALSE)</f>
        <v>Campo Belo 4</v>
      </c>
      <c r="C1550" s="2" t="str">
        <f>VLOOKUP($A1550,Controle!$B$4:$F$68,3,FALSE)</f>
        <v>MORI MINAS V</v>
      </c>
      <c r="D1550" s="2" t="str">
        <f>VLOOKUP($A1550,Controle!$B$4:$F$68,4,FALSE)</f>
        <v>NewCo V</v>
      </c>
      <c r="E1550" s="2" t="str">
        <f>VLOOKUP($A1550,Controle!$B$4:$F$68,5,FALSE)</f>
        <v>Weg</v>
      </c>
      <c r="F1550" s="3" t="str">
        <f>F1515</f>
        <v>Equipamentos Curva A - Outros (Cabine + Skid + Transformador)</v>
      </c>
      <c r="G1550" s="2" t="str">
        <f>VLOOKUP($A1550,Controle!$B$4:$G$68,6,FALSE)</f>
        <v>Solatio</v>
      </c>
      <c r="H1550" s="6" t="s">
        <v>144</v>
      </c>
      <c r="I1550" s="6">
        <v>363377.67356800003</v>
      </c>
      <c r="J1550" s="6">
        <v>0</v>
      </c>
      <c r="K1550" s="6">
        <v>0</v>
      </c>
      <c r="L1550" s="6">
        <v>0</v>
      </c>
      <c r="M1550" s="6">
        <v>0</v>
      </c>
      <c r="N1550" s="6">
        <v>0</v>
      </c>
      <c r="O1550" s="4">
        <f>SUM(I1550:N1550)</f>
        <v>363377.67356800003</v>
      </c>
      <c r="P1550" s="5">
        <f>SUMIFS('Desenvolvimento diário'!$H:$H,'Desenvolvimento diário'!$Q:$Q,$B1550,'Desenvolvimento diário'!$P:$P,$F1550,'Desenvolvimento diário'!$R:$R,"Sim")</f>
        <v>0</v>
      </c>
      <c r="Q1550" s="5">
        <f>SUMIFS('Desenvolvimento diário'!$H:$H,'Desenvolvimento diário'!$Q:$Q,$B1550,'Desenvolvimento diário'!$P:$P,$F1550,'Desenvolvimento diário'!$R:$R,"Não")</f>
        <v>363377.67356800003</v>
      </c>
      <c r="R1550" s="4">
        <f>SUM(P1550:Q1550)</f>
        <v>363377.67356800003</v>
      </c>
      <c r="S1550" s="4">
        <f>O1550-R1550</f>
        <v>0</v>
      </c>
      <c r="T1550" s="12">
        <f>IFERROR(R1550/O1550,0)</f>
        <v>1</v>
      </c>
      <c r="Y1550" s="2"/>
      <c r="Z1550" s="2"/>
      <c r="AA1550" s="2"/>
      <c r="AB1550" s="2"/>
      <c r="AC1550" s="2"/>
    </row>
    <row r="1551" spans="1:29" ht="10.5" hidden="1">
      <c r="A1551" s="2">
        <f>A1550</f>
        <v>45</v>
      </c>
      <c r="B1551" s="2" t="str">
        <f>VLOOKUP($A1551,Controle!$B$4:$F$68,2,FALSE)</f>
        <v>Campo Belo 4</v>
      </c>
      <c r="C1551" s="2" t="str">
        <f>VLOOKUP($A1551,Controle!$B$4:$F$68,3,FALSE)</f>
        <v>MORI MINAS V</v>
      </c>
      <c r="D1551" s="2" t="str">
        <f>VLOOKUP($A1551,Controle!$B$4:$F$68,4,FALSE)</f>
        <v>NewCo V</v>
      </c>
      <c r="E1551" s="2" t="str">
        <f>VLOOKUP($A1551,Controle!$B$4:$F$68,5,FALSE)</f>
        <v>Weg</v>
      </c>
      <c r="F1551" s="3" t="str">
        <f>F1516</f>
        <v>Desenvolvimento de projeto - Projetos - (Eng° Proprietario)</v>
      </c>
      <c r="G1551" s="2" t="str">
        <f>VLOOKUP($A1551,Controle!$B$4:$G$68,6,FALSE)</f>
        <v>Solatio</v>
      </c>
      <c r="H1551" s="6" t="s">
        <v>176</v>
      </c>
      <c r="I1551" s="6">
        <f>R1551</f>
        <v>167405.21</v>
      </c>
      <c r="J1551" s="6">
        <v>0</v>
      </c>
      <c r="K1551" s="6">
        <v>0</v>
      </c>
      <c r="L1551" s="6">
        <v>0</v>
      </c>
      <c r="M1551" s="6">
        <v>0</v>
      </c>
      <c r="N1551" s="6">
        <v>0</v>
      </c>
      <c r="O1551" s="4">
        <f>SUM(I1551:N1551)</f>
        <v>167405.21</v>
      </c>
      <c r="P1551" s="5">
        <f>SUMIFS('Desenvolvimento diário'!$H:$H,'Desenvolvimento diário'!$Q:$Q,$B1551,'Desenvolvimento diário'!$P:$P,$F1551,'Desenvolvimento diário'!$R:$R,"Sim")</f>
        <v>0</v>
      </c>
      <c r="Q1551" s="5">
        <f>SUMIFS('Desenvolvimento diário'!$H:$H,'Desenvolvimento diário'!$Q:$Q,$B1551,'Desenvolvimento diário'!$P:$P,$F1551,'Desenvolvimento diário'!$R:$R,"Não")</f>
        <v>167405.21</v>
      </c>
      <c r="R1551" s="4">
        <f>SUM(P1551:Q1551)</f>
        <v>167405.21</v>
      </c>
      <c r="S1551" s="4">
        <f>O1551-R1551</f>
        <v>0</v>
      </c>
      <c r="T1551" s="12">
        <f>IFERROR(R1551/O1551,0)</f>
        <v>1</v>
      </c>
      <c r="Y1551" s="2"/>
      <c r="Z1551" s="2"/>
      <c r="AA1551" s="2"/>
      <c r="AB1551" s="2"/>
      <c r="AC1551" s="2"/>
    </row>
    <row r="1552" spans="1:29" ht="10.5" hidden="1">
      <c r="A1552" s="2">
        <f>A1551</f>
        <v>45</v>
      </c>
      <c r="B1552" s="2" t="str">
        <f>VLOOKUP($A1552,Controle!$B$4:$F$68,2,FALSE)</f>
        <v>Campo Belo 4</v>
      </c>
      <c r="C1552" s="2" t="str">
        <f>VLOOKUP($A1552,Controle!$B$4:$F$68,3,FALSE)</f>
        <v>MORI MINAS V</v>
      </c>
      <c r="D1552" s="2" t="str">
        <f>VLOOKUP($A1552,Controle!$B$4:$F$68,4,FALSE)</f>
        <v>NewCo V</v>
      </c>
      <c r="E1552" s="2" t="str">
        <f>VLOOKUP($A1552,Controle!$B$4:$F$68,5,FALSE)</f>
        <v>Weg</v>
      </c>
      <c r="F1552" s="3" t="str">
        <f>F1517</f>
        <v>Desenvolvimento de projeto - Projetos - Executivos</v>
      </c>
      <c r="G1552" s="2" t="str">
        <f>VLOOKUP($A1552,Controle!$B$4:$G$68,6,FALSE)</f>
        <v>Solatio</v>
      </c>
      <c r="H1552" s="6">
        <v>0</v>
      </c>
      <c r="I1552" s="6">
        <v>0</v>
      </c>
      <c r="J1552" s="6">
        <v>0</v>
      </c>
      <c r="K1552" s="6">
        <v>0</v>
      </c>
      <c r="L1552" s="6">
        <v>0</v>
      </c>
      <c r="M1552" s="6">
        <v>0</v>
      </c>
      <c r="N1552" s="6">
        <v>0</v>
      </c>
      <c r="O1552" s="4">
        <f>SUM(I1552:N1552)</f>
        <v>0</v>
      </c>
      <c r="P1552" s="5">
        <f>SUMIFS('Desenvolvimento diário'!$H:$H,'Desenvolvimento diário'!$Q:$Q,$B1552,'Desenvolvimento diário'!$P:$P,$F1552,'Desenvolvimento diário'!$R:$R,"Sim")</f>
        <v>0</v>
      </c>
      <c r="Q1552" s="5">
        <f>SUMIFS('Desenvolvimento diário'!$H:$H,'Desenvolvimento diário'!$Q:$Q,$B1552,'Desenvolvimento diário'!$P:$P,$F1552,'Desenvolvimento diário'!$R:$R,"Não")</f>
        <v>0</v>
      </c>
      <c r="R1552" s="4">
        <f>SUM(P1552:Q1552)</f>
        <v>0</v>
      </c>
      <c r="S1552" s="4">
        <f>O1552-R1552</f>
        <v>0</v>
      </c>
      <c r="T1552" s="12">
        <f>IFERROR(R1552/O1552,0)</f>
        <v>0</v>
      </c>
      <c r="Y1552" s="2"/>
      <c r="Z1552" s="2"/>
      <c r="AA1552" s="2"/>
      <c r="AB1552" s="2"/>
      <c r="AC1552" s="2"/>
    </row>
    <row r="1553" spans="1:29" ht="10.5" hidden="1">
      <c r="A1553" s="2">
        <f>A1552</f>
        <v>45</v>
      </c>
      <c r="B1553" s="2" t="str">
        <f>VLOOKUP($A1553,Controle!$B$4:$F$68,2,FALSE)</f>
        <v>Campo Belo 4</v>
      </c>
      <c r="C1553" s="2" t="str">
        <f>VLOOKUP($A1553,Controle!$B$4:$F$68,3,FALSE)</f>
        <v>MORI MINAS V</v>
      </c>
      <c r="D1553" s="2" t="str">
        <f>VLOOKUP($A1553,Controle!$B$4:$F$68,4,FALSE)</f>
        <v>NewCo V</v>
      </c>
      <c r="E1553" s="2" t="str">
        <f>VLOOKUP($A1553,Controle!$B$4:$F$68,5,FALSE)</f>
        <v>Weg</v>
      </c>
      <c r="F1553" s="3" t="str">
        <f>F1518</f>
        <v>Desenvolvimento de projeto - Projetos Básica</v>
      </c>
      <c r="G1553" s="2" t="str">
        <f>VLOOKUP($A1553,Controle!$B$4:$G$68,6,FALSE)</f>
        <v>Solatio</v>
      </c>
      <c r="H1553" s="6">
        <v>0</v>
      </c>
      <c r="I1553" s="6">
        <v>0</v>
      </c>
      <c r="J1553" s="6">
        <v>0</v>
      </c>
      <c r="K1553" s="6">
        <v>0</v>
      </c>
      <c r="L1553" s="6">
        <v>0</v>
      </c>
      <c r="M1553" s="6">
        <v>0</v>
      </c>
      <c r="N1553" s="6">
        <v>0</v>
      </c>
      <c r="O1553" s="4">
        <f>SUM(I1553:N1553)</f>
        <v>0</v>
      </c>
      <c r="P1553" s="5">
        <f>SUMIFS('Desenvolvimento diário'!$H:$H,'Desenvolvimento diário'!$Q:$Q,$B1553,'Desenvolvimento diário'!$P:$P,$F1553,'Desenvolvimento diário'!$R:$R,"Sim")</f>
        <v>0</v>
      </c>
      <c r="Q1553" s="5">
        <f>SUMIFS('Desenvolvimento diário'!$H:$H,'Desenvolvimento diário'!$Q:$Q,$B1553,'Desenvolvimento diário'!$P:$P,$F1553,'Desenvolvimento diário'!$R:$R,"Não")</f>
        <v>0</v>
      </c>
      <c r="R1553" s="4">
        <f>SUM(P1553:Q1553)</f>
        <v>0</v>
      </c>
      <c r="S1553" s="4">
        <f>O1553-R1553</f>
        <v>0</v>
      </c>
      <c r="T1553" s="12">
        <f>IFERROR(R1553/O1553,0)</f>
        <v>0</v>
      </c>
      <c r="Y1553" s="2"/>
      <c r="Z1553" s="2"/>
      <c r="AA1553" s="2"/>
      <c r="AB1553" s="2"/>
      <c r="AC1553" s="2"/>
    </row>
    <row r="1554" spans="1:29" ht="10.5" hidden="1">
      <c r="A1554" s="2">
        <f>A1553</f>
        <v>45</v>
      </c>
      <c r="B1554" s="2" t="str">
        <f>VLOOKUP($A1554,Controle!$B$4:$F$68,2,FALSE)</f>
        <v>Campo Belo 4</v>
      </c>
      <c r="C1554" s="2" t="str">
        <f>VLOOKUP($A1554,Controle!$B$4:$F$68,3,FALSE)</f>
        <v>MORI MINAS V</v>
      </c>
      <c r="D1554" s="2" t="str">
        <f>VLOOKUP($A1554,Controle!$B$4:$F$68,4,FALSE)</f>
        <v>NewCo V</v>
      </c>
      <c r="E1554" s="2" t="str">
        <f>VLOOKUP($A1554,Controle!$B$4:$F$68,5,FALSE)</f>
        <v>Weg</v>
      </c>
      <c r="F1554" s="3" t="str">
        <f>F1519</f>
        <v>Desenvolvimento de projeto - Projetos Detalhada</v>
      </c>
      <c r="G1554" s="2" t="str">
        <f>VLOOKUP($A1554,Controle!$B$4:$G$68,6,FALSE)</f>
        <v>Solatio</v>
      </c>
      <c r="H1554" s="6">
        <v>0</v>
      </c>
      <c r="I1554" s="6">
        <v>0</v>
      </c>
      <c r="J1554" s="6">
        <v>0</v>
      </c>
      <c r="K1554" s="6">
        <v>0</v>
      </c>
      <c r="L1554" s="6">
        <v>0</v>
      </c>
      <c r="M1554" s="6">
        <v>0</v>
      </c>
      <c r="N1554" s="6">
        <v>0</v>
      </c>
      <c r="O1554" s="4">
        <f>SUM(I1554:N1554)</f>
        <v>0</v>
      </c>
      <c r="P1554" s="5">
        <f>SUMIFS('Desenvolvimento diário'!$H:$H,'Desenvolvimento diário'!$Q:$Q,$B1554,'Desenvolvimento diário'!$P:$P,$F1554,'Desenvolvimento diário'!$R:$R,"Sim")</f>
        <v>0</v>
      </c>
      <c r="Q1554" s="5">
        <f>SUMIFS('Desenvolvimento diário'!$H:$H,'Desenvolvimento diário'!$Q:$Q,$B1554,'Desenvolvimento diário'!$P:$P,$F1554,'Desenvolvimento diário'!$R:$R,"Não")</f>
        <v>0</v>
      </c>
      <c r="R1554" s="4">
        <f>SUM(P1554:Q1554)</f>
        <v>0</v>
      </c>
      <c r="S1554" s="4">
        <f>O1554-R1554</f>
        <v>0</v>
      </c>
      <c r="T1554" s="12">
        <f>IFERROR(R1554/O1554,0)</f>
        <v>0</v>
      </c>
      <c r="Y1554" s="2"/>
      <c r="Z1554" s="2"/>
      <c r="AA1554" s="2"/>
      <c r="AB1554" s="2"/>
      <c r="AC1554" s="2"/>
    </row>
    <row r="1555" spans="1:29" ht="10.5" hidden="1">
      <c r="A1555" s="2">
        <f>A1554</f>
        <v>45</v>
      </c>
      <c r="B1555" s="2" t="str">
        <f>VLOOKUP($A1555,Controle!$B$4:$F$68,2,FALSE)</f>
        <v>Campo Belo 4</v>
      </c>
      <c r="C1555" s="2" t="str">
        <f>VLOOKUP($A1555,Controle!$B$4:$F$68,3,FALSE)</f>
        <v>MORI MINAS V</v>
      </c>
      <c r="D1555" s="2" t="str">
        <f>VLOOKUP($A1555,Controle!$B$4:$F$68,4,FALSE)</f>
        <v>NewCo V</v>
      </c>
      <c r="E1555" s="2" t="str">
        <f>VLOOKUP($A1555,Controle!$B$4:$F$68,5,FALSE)</f>
        <v>Weg</v>
      </c>
      <c r="F1555" s="3" t="str">
        <f>F1520</f>
        <v>Desenvolvimento de projeto - Ambiental / Outros</v>
      </c>
      <c r="G1555" s="2" t="str">
        <f>VLOOKUP($A1555,Controle!$B$4:$G$68,6,FALSE)</f>
        <v>Solatio</v>
      </c>
      <c r="H1555" s="6" t="s">
        <v>148</v>
      </c>
      <c r="I1555" s="6">
        <f>R1555</f>
        <v>60855.79</v>
      </c>
      <c r="J1555" s="6">
        <v>0</v>
      </c>
      <c r="K1555" s="6">
        <v>0</v>
      </c>
      <c r="L1555" s="6">
        <v>0</v>
      </c>
      <c r="M1555" s="6">
        <v>0</v>
      </c>
      <c r="N1555" s="6">
        <v>0</v>
      </c>
      <c r="O1555" s="4">
        <f>SUM(I1555:N1555)</f>
        <v>60855.79</v>
      </c>
      <c r="P1555" s="5">
        <f>SUMIFS('Desenvolvimento diário'!$H:$H,'Desenvolvimento diário'!$Q:$Q,$B1555,'Desenvolvimento diário'!$P:$P,$F1555,'Desenvolvimento diário'!$R:$R,"Sim")</f>
        <v>0</v>
      </c>
      <c r="Q1555" s="5">
        <f>SUMIFS('Desenvolvimento diário'!$H:$H,'Desenvolvimento diário'!$Q:$Q,$B1555,'Desenvolvimento diário'!$P:$P,$F1555,'Desenvolvimento diário'!$R:$R,"Não")</f>
        <v>60855.79</v>
      </c>
      <c r="R1555" s="4">
        <f>SUM(P1555:Q1555)</f>
        <v>60855.79</v>
      </c>
      <c r="S1555" s="4">
        <f>O1555-R1555</f>
        <v>0</v>
      </c>
      <c r="T1555" s="12">
        <f>IFERROR(R1555/O1555,0)</f>
        <v>1</v>
      </c>
      <c r="Y1555" s="2"/>
      <c r="Z1555" s="2"/>
      <c r="AA1555" s="2"/>
      <c r="AB1555" s="2"/>
      <c r="AC1555" s="2"/>
    </row>
    <row r="1556" spans="1:29" hidden="1">
      <c r="A1556" s="2">
        <f>A1555</f>
        <v>45</v>
      </c>
      <c r="B1556" s="2" t="str">
        <f>VLOOKUP($A1556,Controle!$B$4:$F$68,2,FALSE)</f>
        <v>Campo Belo 4</v>
      </c>
      <c r="C1556" s="2" t="str">
        <f>VLOOKUP($A1556,Controle!$B$4:$F$68,3,FALSE)</f>
        <v>MORI MINAS V</v>
      </c>
      <c r="D1556" s="2" t="str">
        <f>VLOOKUP($A1556,Controle!$B$4:$F$68,4,FALSE)</f>
        <v>NewCo V</v>
      </c>
      <c r="E1556" s="2" t="str">
        <f>VLOOKUP($A1556,Controle!$B$4:$F$68,5,FALSE)</f>
        <v>Weg</v>
      </c>
      <c r="F1556" s="3" t="str">
        <f>F1521</f>
        <v>Desenvolvimento de projeto - Coordenograma</v>
      </c>
      <c r="G1556" s="2" t="str">
        <f>VLOOKUP($A1556,Controle!$B$4:$G$68,6,FALSE)</f>
        <v>Solatio</v>
      </c>
      <c r="H1556" s="31" t="s">
        <v>149</v>
      </c>
      <c r="I1556" s="31">
        <v>6206.9</v>
      </c>
      <c r="J1556" s="31">
        <v>2281.25</v>
      </c>
      <c r="K1556" s="31">
        <v>2281.25</v>
      </c>
      <c r="L1556" s="6">
        <v>0</v>
      </c>
      <c r="M1556" s="6">
        <v>0</v>
      </c>
      <c r="N1556" s="6">
        <v>0</v>
      </c>
      <c r="O1556" s="4">
        <f>SUM(I1556:N1556)</f>
        <v>10769.4</v>
      </c>
      <c r="P1556" s="5">
        <f>SUMIFS('Desenvolvimento diário'!$H:$H,'Desenvolvimento diário'!$Q:$Q,$B1556,'Desenvolvimento diário'!$P:$P,$F1556,'Desenvolvimento diário'!$R:$R,"Sim")</f>
        <v>0</v>
      </c>
      <c r="Q1556" s="5">
        <f>SUMIFS('Desenvolvimento diário'!$H:$H,'Desenvolvimento diário'!$Q:$Q,$B1556,'Desenvolvimento diário'!$P:$P,$F1556,'Desenvolvimento diário'!$R:$R,"Não")</f>
        <v>10769.4</v>
      </c>
      <c r="R1556" s="4">
        <f>SUM(P1556:Q1556)</f>
        <v>10769.4</v>
      </c>
      <c r="S1556" s="4">
        <f>O1556-R1556</f>
        <v>0</v>
      </c>
      <c r="T1556" s="12">
        <f>IFERROR(R1556/O1556,0)</f>
        <v>1</v>
      </c>
      <c r="Y1556" s="2"/>
      <c r="Z1556" s="2"/>
      <c r="AA1556" s="2"/>
      <c r="AB1556" s="2"/>
      <c r="AC1556" s="2"/>
    </row>
    <row r="1557" spans="1:29" ht="10.5" hidden="1">
      <c r="A1557" s="2">
        <f>A1556</f>
        <v>45</v>
      </c>
      <c r="B1557" s="2" t="str">
        <f>VLOOKUP($A1557,Controle!$B$4:$F$68,2,FALSE)</f>
        <v>Campo Belo 4</v>
      </c>
      <c r="C1557" s="2" t="str">
        <f>VLOOKUP($A1557,Controle!$B$4:$F$68,3,FALSE)</f>
        <v>MORI MINAS V</v>
      </c>
      <c r="D1557" s="2" t="str">
        <f>VLOOKUP($A1557,Controle!$B$4:$F$68,4,FALSE)</f>
        <v>NewCo V</v>
      </c>
      <c r="E1557" s="2" t="str">
        <f>VLOOKUP($A1557,Controle!$B$4:$F$68,5,FALSE)</f>
        <v>Weg</v>
      </c>
      <c r="F1557" s="3" t="str">
        <f>F1522</f>
        <v>Sistemas de Monitoramento - Supervisório</v>
      </c>
      <c r="G1557" s="2" t="str">
        <f>VLOOKUP($A1557,Controle!$B$4:$G$68,6,FALSE)</f>
        <v>Solatio</v>
      </c>
      <c r="H1557" s="6" t="s">
        <v>150</v>
      </c>
      <c r="I1557" s="6">
        <v>136154.98000000001</v>
      </c>
      <c r="J1557" s="6"/>
      <c r="K1557" s="6">
        <v>0</v>
      </c>
      <c r="L1557" s="6">
        <v>0</v>
      </c>
      <c r="M1557" s="6">
        <v>0</v>
      </c>
      <c r="N1557" s="6">
        <v>0</v>
      </c>
      <c r="O1557" s="4">
        <f>SUM(I1557:N1557)</f>
        <v>136154.98000000001</v>
      </c>
      <c r="P1557" s="5">
        <f>SUMIFS('Desenvolvimento diário'!$H:$H,'Desenvolvimento diário'!$Q:$Q,$B1557,'Desenvolvimento diário'!$P:$P,$F1557,'Desenvolvimento diário'!$R:$R,"Sim")</f>
        <v>43657.98</v>
      </c>
      <c r="Q1557" s="5">
        <f>SUMIFS('Desenvolvimento diário'!$H:$H,'Desenvolvimento diário'!$Q:$Q,$B1557,'Desenvolvimento diário'!$P:$P,$F1557,'Desenvolvimento diário'!$R:$R,"Não")</f>
        <v>92497.000000000015</v>
      </c>
      <c r="R1557" s="4">
        <f>SUM(P1557:Q1557)</f>
        <v>136154.98000000001</v>
      </c>
      <c r="S1557" s="4">
        <f>O1557-R1557</f>
        <v>0</v>
      </c>
      <c r="T1557" s="12">
        <f>IFERROR(R1557/O1557,0)</f>
        <v>1</v>
      </c>
      <c r="Y1557" s="2"/>
      <c r="Z1557" s="2"/>
      <c r="AA1557" s="2"/>
      <c r="AB1557" s="2"/>
      <c r="AC1557" s="2"/>
    </row>
    <row r="1558" spans="1:29" ht="10.5" hidden="1">
      <c r="A1558" s="2">
        <f>A1557</f>
        <v>45</v>
      </c>
      <c r="B1558" s="2" t="str">
        <f>VLOOKUP($A1558,Controle!$B$4:$F$68,2,FALSE)</f>
        <v>Campo Belo 4</v>
      </c>
      <c r="C1558" s="2" t="str">
        <f>VLOOKUP($A1558,Controle!$B$4:$F$68,3,FALSE)</f>
        <v>MORI MINAS V</v>
      </c>
      <c r="D1558" s="2" t="str">
        <f>VLOOKUP($A1558,Controle!$B$4:$F$68,4,FALSE)</f>
        <v>NewCo V</v>
      </c>
      <c r="E1558" s="2" t="str">
        <f>VLOOKUP($A1558,Controle!$B$4:$F$68,5,FALSE)</f>
        <v>Weg</v>
      </c>
      <c r="F1558" s="3" t="str">
        <f>F1523</f>
        <v>Sistemas de Monitoramento - Estações Solarimétricas</v>
      </c>
      <c r="G1558" s="2" t="str">
        <f>VLOOKUP($A1558,Controle!$B$4:$G$68,6,FALSE)</f>
        <v>Solatio</v>
      </c>
      <c r="H1558" s="6">
        <v>0</v>
      </c>
      <c r="I1558" s="6">
        <v>0</v>
      </c>
      <c r="J1558" s="6">
        <v>0</v>
      </c>
      <c r="K1558" s="6">
        <v>0</v>
      </c>
      <c r="L1558" s="6">
        <v>0</v>
      </c>
      <c r="M1558" s="6">
        <v>0</v>
      </c>
      <c r="N1558" s="6">
        <v>0</v>
      </c>
      <c r="O1558" s="4">
        <f>SUM(I1558:N1558)</f>
        <v>0</v>
      </c>
      <c r="P1558" s="5">
        <f>SUMIFS('Desenvolvimento diário'!$H:$H,'Desenvolvimento diário'!$Q:$Q,$B1558,'Desenvolvimento diário'!$P:$P,$F1558,'Desenvolvimento diário'!$R:$R,"Sim")</f>
        <v>0</v>
      </c>
      <c r="Q1558" s="5">
        <f>SUMIFS('Desenvolvimento diário'!$H:$H,'Desenvolvimento diário'!$Q:$Q,$B1558,'Desenvolvimento diário'!$P:$P,$F1558,'Desenvolvimento diário'!$R:$R,"Não")</f>
        <v>0</v>
      </c>
      <c r="R1558" s="4">
        <f>SUM(P1558:Q1558)</f>
        <v>0</v>
      </c>
      <c r="S1558" s="4">
        <f>O1558-R1558</f>
        <v>0</v>
      </c>
      <c r="T1558" s="12">
        <f>IFERROR(R1558/O1558,0)</f>
        <v>0</v>
      </c>
      <c r="Y1558" s="2"/>
      <c r="Z1558" s="2"/>
      <c r="AA1558" s="2"/>
      <c r="AB1558" s="2"/>
      <c r="AC1558" s="2"/>
    </row>
    <row r="1559" spans="1:29" hidden="1">
      <c r="A1559" s="2">
        <f>A1558</f>
        <v>45</v>
      </c>
      <c r="B1559" s="2" t="str">
        <f>VLOOKUP($A1559,Controle!$B$4:$F$68,2,FALSE)</f>
        <v>Campo Belo 4</v>
      </c>
      <c r="C1559" s="2" t="str">
        <f>VLOOKUP($A1559,Controle!$B$4:$F$68,3,FALSE)</f>
        <v>MORI MINAS V</v>
      </c>
      <c r="D1559" s="2" t="str">
        <f>VLOOKUP($A1559,Controle!$B$4:$F$68,4,FALSE)</f>
        <v>NewCo V</v>
      </c>
      <c r="E1559" s="2" t="str">
        <f>VLOOKUP($A1559,Controle!$B$4:$F$68,5,FALSE)</f>
        <v>Weg</v>
      </c>
      <c r="F1559" s="3" t="str">
        <f>F1524</f>
        <v>Sistemas de Monitoramento - CFTV</v>
      </c>
      <c r="G1559" s="2" t="str">
        <f>VLOOKUP($A1559,Controle!$B$4:$G$68,6,FALSE)</f>
        <v>Solatio</v>
      </c>
      <c r="H1559" s="31" t="s">
        <v>152</v>
      </c>
      <c r="I1559" s="6">
        <v>289840.90000000002</v>
      </c>
      <c r="J1559" s="6">
        <v>0</v>
      </c>
      <c r="K1559" s="28">
        <v>9157.36</v>
      </c>
      <c r="L1559" s="6">
        <v>0</v>
      </c>
      <c r="M1559" s="6">
        <v>0</v>
      </c>
      <c r="N1559" s="6">
        <v>0</v>
      </c>
      <c r="O1559" s="4">
        <f>SUM(I1559:N1559)</f>
        <v>298998.26</v>
      </c>
      <c r="P1559" s="5">
        <f>SUMIFS('Desenvolvimento diário'!$H:$H,'Desenvolvimento diário'!$Q:$Q,$B1559,'Desenvolvimento diário'!$P:$P,$F1559,'Desenvolvimento diário'!$R:$R,"Sim")</f>
        <v>0</v>
      </c>
      <c r="Q1559" s="5">
        <f>SUMIFS('Desenvolvimento diário'!$H:$H,'Desenvolvimento diário'!$Q:$Q,$B1559,'Desenvolvimento diário'!$P:$P,$F1559,'Desenvolvimento diário'!$R:$R,"Não")</f>
        <v>298998.25999999995</v>
      </c>
      <c r="R1559" s="4">
        <f>SUM(P1559:Q1559)</f>
        <v>298998.25999999995</v>
      </c>
      <c r="S1559" s="4">
        <f>O1559-R1559</f>
        <v>0</v>
      </c>
      <c r="T1559" s="12">
        <f>IFERROR(R1559/O1559,0)</f>
        <v>0.99999999999999978</v>
      </c>
      <c r="Y1559" s="2"/>
      <c r="Z1559" s="2"/>
      <c r="AA1559" s="2"/>
      <c r="AB1559" s="2"/>
      <c r="AC1559" s="2"/>
    </row>
    <row r="1560" spans="1:29" ht="10.5" hidden="1">
      <c r="A1560" s="2">
        <f>A1559</f>
        <v>45</v>
      </c>
      <c r="B1560" s="2" t="str">
        <f>VLOOKUP($A1560,Controle!$B$4:$F$68,2,FALSE)</f>
        <v>Campo Belo 4</v>
      </c>
      <c r="C1560" s="2" t="str">
        <f>VLOOKUP($A1560,Controle!$B$4:$F$68,3,FALSE)</f>
        <v>MORI MINAS V</v>
      </c>
      <c r="D1560" s="2" t="str">
        <f>VLOOKUP($A1560,Controle!$B$4:$F$68,4,FALSE)</f>
        <v>NewCo V</v>
      </c>
      <c r="E1560" s="2" t="str">
        <f>VLOOKUP($A1560,Controle!$B$4:$F$68,5,FALSE)</f>
        <v>Weg</v>
      </c>
      <c r="F1560" s="3" t="str">
        <f>F1525</f>
        <v>Serviços Auxiliares - Drenagem</v>
      </c>
      <c r="G1560" s="2" t="str">
        <f>VLOOKUP($A1560,Controle!$B$4:$G$68,6,FALSE)</f>
        <v>Solatio</v>
      </c>
      <c r="H1560" s="6" t="s">
        <v>185</v>
      </c>
      <c r="I1560" s="6">
        <v>204296.73</v>
      </c>
      <c r="J1560" s="6">
        <v>35306.25</v>
      </c>
      <c r="K1560" s="6">
        <v>0</v>
      </c>
      <c r="L1560" s="6">
        <v>0</v>
      </c>
      <c r="M1560" s="6">
        <v>0</v>
      </c>
      <c r="N1560" s="6">
        <v>0</v>
      </c>
      <c r="O1560" s="4">
        <f>SUM(I1560:N1560)</f>
        <v>239602.98</v>
      </c>
      <c r="P1560" s="5">
        <f>SUMIFS('Desenvolvimento diário'!$H:$H,'Desenvolvimento diário'!$Q:$Q,$B1560,'Desenvolvimento diário'!$P:$P,$F1560,'Desenvolvimento diário'!$R:$R,"Sim")</f>
        <v>0</v>
      </c>
      <c r="Q1560" s="5">
        <f>SUMIFS('Desenvolvimento diário'!$H:$H,'Desenvolvimento diário'!$Q:$Q,$B1560,'Desenvolvimento diário'!$P:$P,$F1560,'Desenvolvimento diário'!$R:$R,"Não")</f>
        <v>239602.98</v>
      </c>
      <c r="R1560" s="4">
        <f>SUM(P1560:Q1560)</f>
        <v>239602.98</v>
      </c>
      <c r="S1560" s="4">
        <f>O1560-R1560</f>
        <v>0</v>
      </c>
      <c r="T1560" s="12">
        <f>IFERROR(R1560/O1560,0)</f>
        <v>1</v>
      </c>
      <c r="Y1560" s="2"/>
      <c r="Z1560" s="2"/>
      <c r="AA1560" s="2"/>
      <c r="AB1560" s="2"/>
      <c r="AC1560" s="2"/>
    </row>
    <row r="1561" spans="1:29" ht="10.5" hidden="1">
      <c r="A1561" s="2">
        <f>A1560</f>
        <v>45</v>
      </c>
      <c r="B1561" s="2" t="str">
        <f>VLOOKUP($A1561,Controle!$B$4:$F$68,2,FALSE)</f>
        <v>Campo Belo 4</v>
      </c>
      <c r="C1561" s="2" t="str">
        <f>VLOOKUP($A1561,Controle!$B$4:$F$68,3,FALSE)</f>
        <v>MORI MINAS V</v>
      </c>
      <c r="D1561" s="2" t="str">
        <f>VLOOKUP($A1561,Controle!$B$4:$F$68,4,FALSE)</f>
        <v>NewCo V</v>
      </c>
      <c r="E1561" s="2" t="str">
        <f>VLOOKUP($A1561,Controle!$B$4:$F$68,5,FALSE)</f>
        <v>Weg</v>
      </c>
      <c r="F1561" s="3" t="str">
        <f>F1526</f>
        <v>Serviços Auxiliares - Terraplanagem</v>
      </c>
      <c r="G1561" s="2" t="str">
        <f>VLOOKUP($A1561,Controle!$B$4:$G$68,6,FALSE)</f>
        <v>Solatio</v>
      </c>
      <c r="H1561" s="6" t="s">
        <v>154</v>
      </c>
      <c r="I1561" s="6">
        <v>827234</v>
      </c>
      <c r="J1561" s="6">
        <v>0</v>
      </c>
      <c r="K1561" s="6">
        <v>0</v>
      </c>
      <c r="L1561" s="6">
        <v>0</v>
      </c>
      <c r="M1561" s="6">
        <v>0</v>
      </c>
      <c r="N1561" s="6">
        <v>0</v>
      </c>
      <c r="O1561" s="4">
        <f>SUM(I1561:N1561)</f>
        <v>827234</v>
      </c>
      <c r="P1561" s="5">
        <f>SUMIFS('Desenvolvimento diário'!$H:$H,'Desenvolvimento diário'!$Q:$Q,$B1561,'Desenvolvimento diário'!$P:$P,$F1561,'Desenvolvimento diário'!$R:$R,"Sim")</f>
        <v>0</v>
      </c>
      <c r="Q1561" s="5">
        <f>SUMIFS('Desenvolvimento diário'!$H:$H,'Desenvolvimento diário'!$Q:$Q,$B1561,'Desenvolvimento diário'!$P:$P,$F1561,'Desenvolvimento diário'!$R:$R,"Não")</f>
        <v>827234</v>
      </c>
      <c r="R1561" s="4">
        <f>SUM(P1561:Q1561)</f>
        <v>827234</v>
      </c>
      <c r="S1561" s="4">
        <f>O1561-R1561</f>
        <v>0</v>
      </c>
      <c r="T1561" s="12">
        <f>IFERROR(R1561/O1561,0)</f>
        <v>1</v>
      </c>
      <c r="Y1561" s="2"/>
      <c r="Z1561" s="2"/>
      <c r="AA1561" s="2"/>
      <c r="AB1561" s="2"/>
      <c r="AC1561" s="2"/>
    </row>
    <row r="1562" spans="1:29" ht="10.5" hidden="1">
      <c r="A1562" s="2">
        <f>A1561</f>
        <v>45</v>
      </c>
      <c r="B1562" s="2" t="str">
        <f>VLOOKUP($A1562,Controle!$B$4:$F$68,2,FALSE)</f>
        <v>Campo Belo 4</v>
      </c>
      <c r="C1562" s="2" t="str">
        <f>VLOOKUP($A1562,Controle!$B$4:$F$68,3,FALSE)</f>
        <v>MORI MINAS V</v>
      </c>
      <c r="D1562" s="2" t="str">
        <f>VLOOKUP($A1562,Controle!$B$4:$F$68,4,FALSE)</f>
        <v>NewCo V</v>
      </c>
      <c r="E1562" s="2" t="str">
        <f>VLOOKUP($A1562,Controle!$B$4:$F$68,5,FALSE)</f>
        <v>Weg</v>
      </c>
      <c r="F1562" s="3" t="str">
        <f>F1527</f>
        <v>Serviços Auxiliares - Supressão Vegetal</v>
      </c>
      <c r="G1562" s="2" t="str">
        <f>VLOOKUP($A1562,Controle!$B$4:$G$68,6,FALSE)</f>
        <v>Solatio</v>
      </c>
      <c r="H1562" s="6">
        <v>0</v>
      </c>
      <c r="I1562" s="6">
        <v>0</v>
      </c>
      <c r="J1562" s="6">
        <v>0</v>
      </c>
      <c r="K1562" s="6">
        <v>0</v>
      </c>
      <c r="L1562" s="6">
        <v>0</v>
      </c>
      <c r="M1562" s="6">
        <v>0</v>
      </c>
      <c r="N1562" s="6">
        <v>0</v>
      </c>
      <c r="O1562" s="4">
        <f>SUM(I1562:N1562)</f>
        <v>0</v>
      </c>
      <c r="P1562" s="5">
        <f>SUMIFS('Desenvolvimento diário'!$H:$H,'Desenvolvimento diário'!$Q:$Q,$B1562,'Desenvolvimento diário'!$P:$P,$F1562,'Desenvolvimento diário'!$R:$R,"Sim")</f>
        <v>0</v>
      </c>
      <c r="Q1562" s="5">
        <f>SUMIFS('Desenvolvimento diário'!$H:$H,'Desenvolvimento diário'!$Q:$Q,$B1562,'Desenvolvimento diário'!$P:$P,$F1562,'Desenvolvimento diário'!$R:$R,"Não")</f>
        <v>0</v>
      </c>
      <c r="R1562" s="4">
        <f>SUM(P1562:Q1562)</f>
        <v>0</v>
      </c>
      <c r="S1562" s="4">
        <f>O1562-R1562</f>
        <v>0</v>
      </c>
      <c r="T1562" s="12">
        <f>IFERROR(R1562/O1562,0)</f>
        <v>0</v>
      </c>
      <c r="Y1562" s="2"/>
      <c r="Z1562" s="2"/>
      <c r="AA1562" s="2"/>
      <c r="AB1562" s="2"/>
      <c r="AC1562" s="2"/>
    </row>
    <row r="1563" spans="1:29" ht="10.5" hidden="1">
      <c r="A1563" s="2">
        <f>A1562</f>
        <v>45</v>
      </c>
      <c r="B1563" s="2" t="str">
        <f>VLOOKUP($A1563,Controle!$B$4:$F$68,2,FALSE)</f>
        <v>Campo Belo 4</v>
      </c>
      <c r="C1563" s="2" t="str">
        <f>VLOOKUP($A1563,Controle!$B$4:$F$68,3,FALSE)</f>
        <v>MORI MINAS V</v>
      </c>
      <c r="D1563" s="2" t="str">
        <f>VLOOKUP($A1563,Controle!$B$4:$F$68,4,FALSE)</f>
        <v>NewCo V</v>
      </c>
      <c r="E1563" s="2" t="str">
        <f>VLOOKUP($A1563,Controle!$B$4:$F$68,5,FALSE)</f>
        <v>Weg</v>
      </c>
      <c r="F1563" s="3" t="str">
        <f>F1528</f>
        <v>RDR-Rede de Distribuição Rural</v>
      </c>
      <c r="G1563" s="2" t="str">
        <f>VLOOKUP($A1563,Controle!$B$4:$G$68,6,FALSE)</f>
        <v>Solatio</v>
      </c>
      <c r="H1563" s="6">
        <v>0</v>
      </c>
      <c r="I1563" s="6">
        <v>0</v>
      </c>
      <c r="J1563" s="6">
        <v>0</v>
      </c>
      <c r="K1563" s="6">
        <v>0</v>
      </c>
      <c r="L1563" s="6">
        <v>0</v>
      </c>
      <c r="M1563" s="6">
        <v>0</v>
      </c>
      <c r="N1563" s="6">
        <v>0</v>
      </c>
      <c r="O1563" s="4">
        <f>SUM(I1563:N1563)</f>
        <v>0</v>
      </c>
      <c r="P1563" s="5">
        <f>SUMIFS('Desenvolvimento diário'!$H:$H,'Desenvolvimento diário'!$Q:$Q,$B1563,'Desenvolvimento diário'!$P:$P,$F1563,'Desenvolvimento diário'!$R:$R,"Sim")</f>
        <v>0</v>
      </c>
      <c r="Q1563" s="5">
        <f>SUMIFS('Desenvolvimento diário'!$H:$H,'Desenvolvimento diário'!$Q:$Q,$B1563,'Desenvolvimento diário'!$P:$P,$F1563,'Desenvolvimento diário'!$R:$R,"Não")</f>
        <v>0</v>
      </c>
      <c r="R1563" s="4">
        <f>SUM(P1563:Q1563)</f>
        <v>0</v>
      </c>
      <c r="S1563" s="4">
        <f>O1563-R1563</f>
        <v>0</v>
      </c>
      <c r="T1563" s="12">
        <f>IFERROR(R1563/O1563,0)</f>
        <v>0</v>
      </c>
      <c r="Y1563" s="2"/>
      <c r="Z1563" s="2"/>
      <c r="AA1563" s="2"/>
      <c r="AB1563" s="2"/>
      <c r="AC1563" s="2"/>
    </row>
    <row r="1564" spans="1:29" ht="10.5" hidden="1">
      <c r="A1564" s="2">
        <f>A1563</f>
        <v>45</v>
      </c>
      <c r="B1564" s="2" t="str">
        <f>VLOOKUP($A1564,Controle!$B$4:$F$68,2,FALSE)</f>
        <v>Campo Belo 4</v>
      </c>
      <c r="C1564" s="2" t="str">
        <f>VLOOKUP($A1564,Controle!$B$4:$F$68,3,FALSE)</f>
        <v>MORI MINAS V</v>
      </c>
      <c r="D1564" s="2" t="str">
        <f>VLOOKUP($A1564,Controle!$B$4:$F$68,4,FALSE)</f>
        <v>NewCo V</v>
      </c>
      <c r="E1564" s="2" t="str">
        <f>VLOOKUP($A1564,Controle!$B$4:$F$68,5,FALSE)</f>
        <v>Weg</v>
      </c>
      <c r="F1564" s="3" t="str">
        <f>F1529</f>
        <v>Escopo COMERC</v>
      </c>
      <c r="G1564" s="2" t="str">
        <f>VLOOKUP($A1564,Controle!$B$4:$G$68,6,FALSE)</f>
        <v>Solatio</v>
      </c>
      <c r="H1564" s="6">
        <v>0</v>
      </c>
      <c r="I1564" s="6">
        <v>147463.97</v>
      </c>
      <c r="J1564" s="29">
        <v>13000</v>
      </c>
      <c r="K1564" s="29"/>
      <c r="L1564" s="6">
        <v>0</v>
      </c>
      <c r="M1564" s="6">
        <v>0</v>
      </c>
      <c r="N1564" s="6">
        <v>0</v>
      </c>
      <c r="O1564" s="4">
        <f>SUM(I1564:N1564)</f>
        <v>160463.97</v>
      </c>
      <c r="P1564" s="5">
        <f>SUMIFS('Desenvolvimento diário'!$H:$H,'Desenvolvimento diário'!$Q:$Q,$B1564,'Desenvolvimento diário'!$P:$P,$F1564,'Desenvolvimento diário'!$R:$R,"Sim")</f>
        <v>0</v>
      </c>
      <c r="Q1564" s="5">
        <f>SUMIFS('Desenvolvimento diário'!$H:$H,'Desenvolvimento diário'!$Q:$Q,$B1564,'Desenvolvimento diário'!$P:$P,$F1564,'Desenvolvimento diário'!$R:$R,"Não")</f>
        <v>147463.97</v>
      </c>
      <c r="R1564" s="4">
        <f>SUM(P1564:Q1564)</f>
        <v>147463.97</v>
      </c>
      <c r="S1564" s="1010">
        <f>O1564-R1564</f>
        <v>13000</v>
      </c>
      <c r="T1564" s="12">
        <f>IFERROR(R1564/O1564,0)</f>
        <v>0.91898492851697489</v>
      </c>
      <c r="U1564" s="1011" t="s">
        <v>166</v>
      </c>
      <c r="V1564" s="1011" t="s">
        <v>167</v>
      </c>
      <c r="Y1564" s="2"/>
      <c r="Z1564" s="2"/>
      <c r="AA1564" s="2"/>
      <c r="AB1564" s="2"/>
      <c r="AC1564" s="2"/>
    </row>
    <row r="1565" spans="1:29" ht="10.5" hidden="1">
      <c r="A1565" s="2">
        <f>A1564</f>
        <v>45</v>
      </c>
      <c r="B1565" s="2" t="str">
        <f>VLOOKUP($A1565,Controle!$B$4:$F$68,2,FALSE)</f>
        <v>Campo Belo 4</v>
      </c>
      <c r="C1565" s="2" t="str">
        <f>VLOOKUP($A1565,Controle!$B$4:$F$68,3,FALSE)</f>
        <v>MORI MINAS V</v>
      </c>
      <c r="D1565" s="2" t="str">
        <f>VLOOKUP($A1565,Controle!$B$4:$F$68,4,FALSE)</f>
        <v>NewCo V</v>
      </c>
      <c r="E1565" s="2" t="str">
        <f>VLOOKUP($A1565,Controle!$B$4:$F$68,5,FALSE)</f>
        <v>Weg</v>
      </c>
      <c r="F1565" s="3" t="str">
        <f>F1530</f>
        <v>Escopo COMERC - Segurança</v>
      </c>
      <c r="G1565" s="2" t="str">
        <f>VLOOKUP($A1565,Controle!$B$4:$G$68,6,FALSE)</f>
        <v>Solatio</v>
      </c>
      <c r="H1565" s="6">
        <v>0</v>
      </c>
      <c r="I1565" s="6">
        <f>R1565</f>
        <v>57993.700000000004</v>
      </c>
      <c r="J1565" s="6">
        <v>0</v>
      </c>
      <c r="K1565" s="6">
        <v>0</v>
      </c>
      <c r="L1565" s="6">
        <v>0</v>
      </c>
      <c r="M1565" s="6">
        <v>0</v>
      </c>
      <c r="N1565" s="6">
        <v>0</v>
      </c>
      <c r="O1565" s="4">
        <f>SUM(I1565:N1565)</f>
        <v>57993.700000000004</v>
      </c>
      <c r="P1565" s="5">
        <f>SUMIFS('Desenvolvimento diário'!$H:$H,'Desenvolvimento diário'!$Q:$Q,$B1565,'Desenvolvimento diário'!$P:$P,$F1565,'Desenvolvimento diário'!$R:$R,"Sim")</f>
        <v>0</v>
      </c>
      <c r="Q1565" s="5">
        <f>SUMIFS('Desenvolvimento diário'!$H:$H,'Desenvolvimento diário'!$Q:$Q,$B1565,'Desenvolvimento diário'!$P:$P,$F1565,'Desenvolvimento diário'!$R:$R,"Não")</f>
        <v>57993.700000000004</v>
      </c>
      <c r="R1565" s="4">
        <f>SUM(P1565:Q1565)</f>
        <v>57993.700000000004</v>
      </c>
      <c r="S1565" s="4">
        <f>O1565-R1565</f>
        <v>0</v>
      </c>
      <c r="T1565" s="12">
        <f>IFERROR(R1565/O1565,0)</f>
        <v>1</v>
      </c>
      <c r="Y1565" s="2"/>
      <c r="Z1565" s="2"/>
      <c r="AA1565" s="2"/>
      <c r="AB1565" s="2"/>
      <c r="AC1565" s="2"/>
    </row>
    <row r="1566" spans="1:29" ht="10.5" hidden="1">
      <c r="A1566" s="2">
        <f>A1565</f>
        <v>45</v>
      </c>
      <c r="B1566" s="2" t="str">
        <f>VLOOKUP($A1566,Controle!$B$4:$F$68,2,FALSE)</f>
        <v>Campo Belo 4</v>
      </c>
      <c r="C1566" s="2" t="str">
        <f>VLOOKUP($A1566,Controle!$B$4:$F$68,3,FALSE)</f>
        <v>MORI MINAS V</v>
      </c>
      <c r="D1566" s="2" t="str">
        <f>VLOOKUP($A1566,Controle!$B$4:$F$68,4,FALSE)</f>
        <v>NewCo V</v>
      </c>
      <c r="E1566" s="2" t="str">
        <f>VLOOKUP($A1566,Controle!$B$4:$F$68,5,FALSE)</f>
        <v>Weg</v>
      </c>
      <c r="F1566" s="3" t="str">
        <f>F1531</f>
        <v>Conexão MT - Obras Transferencia</v>
      </c>
      <c r="G1566" s="2" t="str">
        <f>VLOOKUP($A1566,Controle!$B$4:$G$68,6,FALSE)</f>
        <v>Solatio</v>
      </c>
      <c r="H1566" s="6">
        <v>0</v>
      </c>
      <c r="I1566" s="6">
        <v>0</v>
      </c>
      <c r="J1566" s="6">
        <v>0</v>
      </c>
      <c r="K1566" s="6">
        <v>0</v>
      </c>
      <c r="L1566" s="6">
        <v>0</v>
      </c>
      <c r="M1566" s="6">
        <v>0</v>
      </c>
      <c r="N1566" s="6">
        <v>0</v>
      </c>
      <c r="O1566" s="4">
        <f>SUM(I1566:N1566)</f>
        <v>0</v>
      </c>
      <c r="P1566" s="5">
        <f>SUMIFS('Desenvolvimento diário'!$H:$H,'Desenvolvimento diário'!$Q:$Q,$B1566,'Desenvolvimento diário'!$P:$P,$F1566,'Desenvolvimento diário'!$R:$R,"Sim")</f>
        <v>0</v>
      </c>
      <c r="Q1566" s="5">
        <f>SUMIFS('Desenvolvimento diário'!$H:$H,'Desenvolvimento diário'!$Q:$Q,$B1566,'Desenvolvimento diário'!$P:$P,$F1566,'Desenvolvimento diário'!$R:$R,"Não")</f>
        <v>0</v>
      </c>
      <c r="R1566" s="4">
        <f>SUM(P1566:Q1566)</f>
        <v>0</v>
      </c>
      <c r="S1566" s="4">
        <f>O1566-R1566</f>
        <v>0</v>
      </c>
      <c r="T1566" s="12">
        <f>IFERROR(R1566/O1566,0)</f>
        <v>0</v>
      </c>
      <c r="Y1566" s="2"/>
      <c r="Z1566" s="2"/>
      <c r="AA1566" s="2"/>
      <c r="AB1566" s="2"/>
      <c r="AC1566" s="2"/>
    </row>
    <row r="1567" spans="1:29" ht="10.5" hidden="1">
      <c r="A1567" s="2">
        <f>A1566</f>
        <v>45</v>
      </c>
      <c r="B1567" s="2" t="str">
        <f>VLOOKUP($A1567,Controle!$B$4:$F$68,2,FALSE)</f>
        <v>Campo Belo 4</v>
      </c>
      <c r="C1567" s="2" t="str">
        <f>VLOOKUP($A1567,Controle!$B$4:$F$68,3,FALSE)</f>
        <v>MORI MINAS V</v>
      </c>
      <c r="D1567" s="2" t="str">
        <f>VLOOKUP($A1567,Controle!$B$4:$F$68,4,FALSE)</f>
        <v>NewCo V</v>
      </c>
      <c r="E1567" s="2" t="str">
        <f>VLOOKUP($A1567,Controle!$B$4:$F$68,5,FALSE)</f>
        <v>Weg</v>
      </c>
      <c r="F1567" s="3" t="str">
        <f>F1532</f>
        <v>Bases de Contaniers</v>
      </c>
      <c r="G1567" s="2" t="str">
        <f>VLOOKUP($A1567,Controle!$B$4:$G$68,6,FALSE)</f>
        <v>Solatio</v>
      </c>
      <c r="H1567" s="6" t="s">
        <v>225</v>
      </c>
      <c r="I1567" s="6">
        <v>114750.38</v>
      </c>
      <c r="J1567" s="6">
        <v>0</v>
      </c>
      <c r="K1567" s="6">
        <v>0</v>
      </c>
      <c r="L1567" s="6">
        <v>0</v>
      </c>
      <c r="M1567" s="6">
        <v>0</v>
      </c>
      <c r="N1567" s="6">
        <v>0</v>
      </c>
      <c r="O1567" s="4">
        <f>SUM(I1567:N1567)</f>
        <v>114750.38</v>
      </c>
      <c r="P1567" s="5">
        <f>SUMIFS('Desenvolvimento diário'!$H:$H,'Desenvolvimento diário'!$Q:$Q,$B1567,'Desenvolvimento diário'!$P:$P,$F1567,'Desenvolvimento diário'!$R:$R,"Sim")</f>
        <v>0</v>
      </c>
      <c r="Q1567" s="5">
        <f>SUMIFS('Desenvolvimento diário'!$H:$H,'Desenvolvimento diário'!$Q:$Q,$B1567,'Desenvolvimento diário'!$P:$P,$F1567,'Desenvolvimento diário'!$R:$R,"Não")</f>
        <v>114750.38</v>
      </c>
      <c r="R1567" s="4">
        <f>SUM(P1567:Q1567)</f>
        <v>114750.38</v>
      </c>
      <c r="S1567" s="4">
        <f>O1567-R1567</f>
        <v>0</v>
      </c>
      <c r="T1567" s="12">
        <f>IFERROR(R1567/O1567,0)</f>
        <v>1</v>
      </c>
      <c r="Y1567" s="2"/>
      <c r="Z1567" s="2"/>
      <c r="AA1567" s="2"/>
      <c r="AB1567" s="2"/>
      <c r="AC1567" s="2"/>
    </row>
    <row r="1568" spans="1:29" ht="10.5" hidden="1">
      <c r="A1568" s="2">
        <f>A1567</f>
        <v>45</v>
      </c>
      <c r="B1568" s="2" t="str">
        <f>VLOOKUP($A1568,Controle!$B$4:$F$68,2,FALSE)</f>
        <v>Campo Belo 4</v>
      </c>
      <c r="C1568" s="2" t="str">
        <f>VLOOKUP($A1568,Controle!$B$4:$F$68,3,FALSE)</f>
        <v>MORI MINAS V</v>
      </c>
      <c r="D1568" s="2" t="str">
        <f>VLOOKUP($A1568,Controle!$B$4:$F$68,4,FALSE)</f>
        <v>NewCo V</v>
      </c>
      <c r="E1568" s="2" t="str">
        <f>VLOOKUP($A1568,Controle!$B$4:$F$68,5,FALSE)</f>
        <v>Weg</v>
      </c>
      <c r="F1568" s="3" t="str">
        <f>F1533</f>
        <v>Construção - Serviços de Construção - Ase Engenharia</v>
      </c>
      <c r="G1568" s="2" t="str">
        <f>VLOOKUP($A1568,Controle!$B$4:$G$68,6,FALSE)</f>
        <v>Solatio</v>
      </c>
      <c r="H1568" s="6">
        <v>0</v>
      </c>
      <c r="I1568" s="6">
        <v>0</v>
      </c>
      <c r="J1568" s="6">
        <v>0</v>
      </c>
      <c r="K1568" s="6">
        <v>0</v>
      </c>
      <c r="L1568" s="6">
        <v>0</v>
      </c>
      <c r="M1568" s="6">
        <v>0</v>
      </c>
      <c r="N1568" s="6">
        <v>0</v>
      </c>
      <c r="O1568" s="4">
        <f>SUM(I1568:N1568)</f>
        <v>0</v>
      </c>
      <c r="P1568" s="5">
        <f>SUMIFS('Desenvolvimento diário'!$H:$H,'Desenvolvimento diário'!$Q:$Q,$B1568,'Desenvolvimento diário'!$P:$P,$F1568,'Desenvolvimento diário'!$R:$R,"Sim")</f>
        <v>0</v>
      </c>
      <c r="Q1568" s="5">
        <f>SUMIFS('Desenvolvimento diário'!$H:$H,'Desenvolvimento diário'!$Q:$Q,$B1568,'Desenvolvimento diário'!$P:$P,$F1568,'Desenvolvimento diário'!$R:$R,"Não")</f>
        <v>0</v>
      </c>
      <c r="R1568" s="4">
        <f>SUM(P1568:Q1568)</f>
        <v>0</v>
      </c>
      <c r="S1568" s="4">
        <f>O1568-R1568</f>
        <v>0</v>
      </c>
      <c r="T1568" s="12">
        <f>IFERROR(R1568/O1568,0)</f>
        <v>0</v>
      </c>
      <c r="Y1568" s="2"/>
      <c r="Z1568" s="2"/>
      <c r="AA1568" s="2"/>
      <c r="AB1568" s="2"/>
      <c r="AC1568" s="2"/>
    </row>
    <row r="1569" spans="1:29" ht="10.5" hidden="1">
      <c r="A1569" s="2">
        <f>A1568</f>
        <v>45</v>
      </c>
      <c r="B1569" s="2" t="str">
        <f>VLOOKUP($A1569,Controle!$B$4:$F$68,2,FALSE)</f>
        <v>Campo Belo 4</v>
      </c>
      <c r="C1569" s="2" t="str">
        <f>VLOOKUP($A1569,Controle!$B$4:$F$68,3,FALSE)</f>
        <v>MORI MINAS V</v>
      </c>
      <c r="D1569" s="2" t="str">
        <f>VLOOKUP($A1569,Controle!$B$4:$F$68,4,FALSE)</f>
        <v>NewCo V</v>
      </c>
      <c r="E1569" s="2" t="str">
        <f>VLOOKUP($A1569,Controle!$B$4:$F$68,5,FALSE)</f>
        <v>Weg</v>
      </c>
      <c r="F1569" s="3" t="str">
        <f>F1534</f>
        <v>Full EPC - Contrato Sobressalentes</v>
      </c>
      <c r="G1569" s="2" t="str">
        <f>VLOOKUP($A1569,Controle!$B$4:$G$68,6,FALSE)</f>
        <v>Solatio</v>
      </c>
      <c r="H1569" s="6" t="s">
        <v>21</v>
      </c>
      <c r="I1569" s="6">
        <v>173619.05</v>
      </c>
      <c r="J1569" s="6">
        <v>0</v>
      </c>
      <c r="K1569" s="6">
        <v>0</v>
      </c>
      <c r="L1569" s="6">
        <v>0</v>
      </c>
      <c r="M1569" s="6">
        <v>0</v>
      </c>
      <c r="N1569" s="6">
        <v>0</v>
      </c>
      <c r="O1569" s="4">
        <f>SUM(I1569:N1569)</f>
        <v>173619.05</v>
      </c>
      <c r="P1569" s="5">
        <f>SUMIFS('Desenvolvimento diário'!$H:$H,'Desenvolvimento diário'!$Q:$Q,$B1569,'Desenvolvimento diário'!$P:$P,$F1569,'Desenvolvimento diário'!$R:$R,"Sim")</f>
        <v>0</v>
      </c>
      <c r="Q1569" s="5">
        <f>SUMIFS('Desenvolvimento diário'!$H:$H,'Desenvolvimento diário'!$Q:$Q,$B1569,'Desenvolvimento diário'!$P:$P,$F1569,'Desenvolvimento diário'!$R:$R,"Não")</f>
        <v>173619.05</v>
      </c>
      <c r="R1569" s="4">
        <f>SUM(P1569:Q1569)</f>
        <v>173619.05</v>
      </c>
      <c r="S1569" s="4">
        <f>O1569-R1569</f>
        <v>0</v>
      </c>
      <c r="T1569" s="12">
        <f>IFERROR(R1569/O1569,0)</f>
        <v>1</v>
      </c>
      <c r="Y1569" s="2"/>
      <c r="Z1569" s="2"/>
      <c r="AA1569" s="2"/>
      <c r="AB1569" s="2"/>
      <c r="AC1569" s="2"/>
    </row>
    <row r="1570" spans="1:29" ht="10.5" hidden="1">
      <c r="A1570" s="2">
        <f>A1569</f>
        <v>45</v>
      </c>
      <c r="B1570" s="2" t="str">
        <f>VLOOKUP($A1570,Controle!$B$4:$F$68,2,FALSE)</f>
        <v>Campo Belo 4</v>
      </c>
      <c r="C1570" s="2" t="str">
        <f>VLOOKUP($A1570,Controle!$B$4:$F$68,3,FALSE)</f>
        <v>MORI MINAS V</v>
      </c>
      <c r="D1570" s="2" t="str">
        <f>VLOOKUP($A1570,Controle!$B$4:$F$68,4,FALSE)</f>
        <v>NewCo V</v>
      </c>
      <c r="E1570" s="2" t="str">
        <f>VLOOKUP($A1570,Controle!$B$4:$F$68,5,FALSE)</f>
        <v>Weg</v>
      </c>
      <c r="F1570" s="3" t="str">
        <f>F1535</f>
        <v>Construção - Serviços de Construção - NOVA MORADA</v>
      </c>
      <c r="G1570" s="2" t="str">
        <f>VLOOKUP($A1570,Controle!$B$4:$G$68,6,FALSE)</f>
        <v>Solatio</v>
      </c>
      <c r="H1570" s="6">
        <v>0</v>
      </c>
      <c r="I1570" s="6">
        <v>0</v>
      </c>
      <c r="J1570" s="6">
        <v>0</v>
      </c>
      <c r="K1570" s="6">
        <v>0</v>
      </c>
      <c r="L1570" s="6">
        <v>0</v>
      </c>
      <c r="M1570" s="6">
        <v>0</v>
      </c>
      <c r="N1570" s="6">
        <v>0</v>
      </c>
      <c r="O1570" s="4">
        <f>SUM(I1570:N1570)</f>
        <v>0</v>
      </c>
      <c r="P1570" s="5">
        <f>SUMIFS('Desenvolvimento diário'!$H:$H,'Desenvolvimento diário'!$Q:$Q,$B1570,'Desenvolvimento diário'!$P:$P,$F1570,'Desenvolvimento diário'!$R:$R,"Sim")</f>
        <v>0</v>
      </c>
      <c r="Q1570" s="5">
        <f>SUMIFS('Desenvolvimento diário'!$H:$H,'Desenvolvimento diário'!$Q:$Q,$B1570,'Desenvolvimento diário'!$P:$P,$F1570,'Desenvolvimento diário'!$R:$R,"Não")</f>
        <v>0</v>
      </c>
      <c r="R1570" s="4">
        <f>SUM(P1570:Q1570)</f>
        <v>0</v>
      </c>
      <c r="S1570" s="4">
        <f>O1570-R1570</f>
        <v>0</v>
      </c>
      <c r="T1570" s="12">
        <f>IFERROR(R1570/O1570,0)</f>
        <v>0</v>
      </c>
      <c r="Y1570" s="2"/>
      <c r="Z1570" s="2"/>
      <c r="AA1570" s="2"/>
      <c r="AB1570" s="2"/>
      <c r="AC1570" s="2"/>
    </row>
    <row r="1571" spans="1:29" ht="10.5" hidden="1">
      <c r="A1571" s="2">
        <f>A1570</f>
        <v>45</v>
      </c>
      <c r="B1571" s="2" t="str">
        <f>VLOOKUP($A1571,Controle!$B$4:$F$68,2,FALSE)</f>
        <v>Campo Belo 4</v>
      </c>
      <c r="C1571" s="2" t="str">
        <f>VLOOKUP($A1571,Controle!$B$4:$F$68,3,FALSE)</f>
        <v>MORI MINAS V</v>
      </c>
      <c r="D1571" s="2" t="str">
        <f>VLOOKUP($A1571,Controle!$B$4:$F$68,4,FALSE)</f>
        <v>NewCo V</v>
      </c>
      <c r="E1571" s="2" t="str">
        <f>VLOOKUP($A1571,Controle!$B$4:$F$68,5,FALSE)</f>
        <v>Weg</v>
      </c>
      <c r="F1571" s="3" t="str">
        <f>F1536</f>
        <v>Equipamentos Curva A -  Contrato Sobressalentes - SETTA</v>
      </c>
      <c r="G1571" s="2" t="str">
        <f>VLOOKUP($A1571,Controle!$B$4:$G$68,6,FALSE)</f>
        <v>Solatio</v>
      </c>
      <c r="H1571" s="6">
        <v>0</v>
      </c>
      <c r="I1571" s="6">
        <v>0</v>
      </c>
      <c r="J1571" s="6">
        <v>0</v>
      </c>
      <c r="K1571" s="6">
        <v>0</v>
      </c>
      <c r="L1571" s="6">
        <v>0</v>
      </c>
      <c r="M1571" s="6">
        <v>0</v>
      </c>
      <c r="N1571" s="6">
        <v>0</v>
      </c>
      <c r="O1571" s="4">
        <f>SUM(I1571:N1571)</f>
        <v>0</v>
      </c>
      <c r="P1571" s="5">
        <f>SUMIFS('Desenvolvimento diário'!$H:$H,'Desenvolvimento diário'!$Q:$Q,$B1571,'Desenvolvimento diário'!$P:$P,$F1571,'Desenvolvimento diário'!$R:$R,"Sim")</f>
        <v>0</v>
      </c>
      <c r="Q1571" s="5">
        <f>SUMIFS('Desenvolvimento diário'!$H:$H,'Desenvolvimento diário'!$Q:$Q,$B1571,'Desenvolvimento diário'!$P:$P,$F1571,'Desenvolvimento diário'!$R:$R,"Não")</f>
        <v>0</v>
      </c>
      <c r="R1571" s="4">
        <f>SUM(P1571:Q1571)</f>
        <v>0</v>
      </c>
      <c r="S1571" s="4">
        <f>O1571-R1571</f>
        <v>0</v>
      </c>
      <c r="T1571" s="12">
        <f>IFERROR(R1571/O1571,0)</f>
        <v>0</v>
      </c>
      <c r="Y1571" s="2"/>
      <c r="Z1571" s="2"/>
      <c r="AA1571" s="2"/>
      <c r="AB1571" s="2"/>
      <c r="AC1571" s="2"/>
    </row>
    <row r="1572" spans="1:29" ht="10.5" hidden="1">
      <c r="A1572" s="2">
        <f>A1571</f>
        <v>45</v>
      </c>
      <c r="B1572" s="2" t="str">
        <f>VLOOKUP($A1572,Controle!$B$4:$F$68,2,FALSE)</f>
        <v>Campo Belo 4</v>
      </c>
      <c r="C1572" s="2" t="str">
        <f>VLOOKUP($A1572,Controle!$B$4:$F$68,3,FALSE)</f>
        <v>MORI MINAS V</v>
      </c>
      <c r="D1572" s="2" t="str">
        <f>VLOOKUP($A1572,Controle!$B$4:$F$68,4,FALSE)</f>
        <v>NewCo V</v>
      </c>
      <c r="E1572" s="2" t="str">
        <f>VLOOKUP($A1572,Controle!$B$4:$F$68,5,FALSE)</f>
        <v>Weg</v>
      </c>
      <c r="F1572" s="3" t="str">
        <f>F1537</f>
        <v>Equipamentos Curva A -  Contrato Sobressalentes - Arctech</v>
      </c>
      <c r="G1572" s="2" t="str">
        <f>VLOOKUP($A1572,Controle!$B$4:$G$68,6,FALSE)</f>
        <v>Solatio</v>
      </c>
      <c r="H1572" s="6">
        <v>0</v>
      </c>
      <c r="I1572" s="6">
        <v>0</v>
      </c>
      <c r="J1572" s="6">
        <v>0</v>
      </c>
      <c r="K1572" s="6">
        <v>0</v>
      </c>
      <c r="L1572" s="6">
        <v>0</v>
      </c>
      <c r="M1572" s="6">
        <v>0</v>
      </c>
      <c r="N1572" s="6">
        <v>0</v>
      </c>
      <c r="O1572" s="4">
        <f>SUM(I1572:N1572)</f>
        <v>0</v>
      </c>
      <c r="P1572" s="5">
        <f>SUMIFS('Desenvolvimento diário'!$H:$H,'Desenvolvimento diário'!$Q:$Q,$B1572,'Desenvolvimento diário'!$P:$P,$F1572,'Desenvolvimento diário'!$R:$R,"Sim")</f>
        <v>0</v>
      </c>
      <c r="Q1572" s="5">
        <f>SUMIFS('Desenvolvimento diário'!$H:$H,'Desenvolvimento diário'!$Q:$Q,$B1572,'Desenvolvimento diário'!$P:$P,$F1572,'Desenvolvimento diário'!$R:$R,"Não")</f>
        <v>0</v>
      </c>
      <c r="R1572" s="4">
        <f>SUM(P1572:Q1572)</f>
        <v>0</v>
      </c>
      <c r="S1572" s="4">
        <f>O1572-R1572</f>
        <v>0</v>
      </c>
      <c r="T1572" s="12">
        <f>IFERROR(R1572/O1572,0)</f>
        <v>0</v>
      </c>
      <c r="Y1572" s="2"/>
      <c r="Z1572" s="2"/>
      <c r="AA1572" s="2"/>
      <c r="AB1572" s="2"/>
      <c r="AC1572" s="2"/>
    </row>
    <row r="1573" spans="1:29" hidden="1">
      <c r="A1573" s="2">
        <f>A1572</f>
        <v>45</v>
      </c>
      <c r="B1573" s="2" t="str">
        <f>VLOOKUP($A1573,Controle!$B$4:$F$68,2,FALSE)</f>
        <v>Campo Belo 4</v>
      </c>
      <c r="C1573" s="2" t="str">
        <f>VLOOKUP($A1573,Controle!$B$4:$F$68,3,FALSE)</f>
        <v>MORI MINAS V</v>
      </c>
      <c r="D1573" s="2" t="str">
        <f>VLOOKUP($A1573,Controle!$B$4:$F$68,4,FALSE)</f>
        <v>NewCo V</v>
      </c>
      <c r="E1573" s="2" t="str">
        <f>VLOOKUP($A1573,Controle!$B$4:$F$68,5,FALSE)</f>
        <v>Weg</v>
      </c>
      <c r="F1573" s="3" t="str">
        <f>F1538</f>
        <v>Equipamentos Curva A -  Contrato Sobressalentes - Romagnole</v>
      </c>
      <c r="G1573" s="2" t="str">
        <f>VLOOKUP($A1573,Controle!$B$4:$G$68,6,FALSE)</f>
        <v>Solatio</v>
      </c>
      <c r="H1573" s="7">
        <v>0</v>
      </c>
      <c r="I1573" s="7">
        <v>0</v>
      </c>
      <c r="J1573" s="7">
        <v>0</v>
      </c>
      <c r="K1573" s="7">
        <v>0</v>
      </c>
      <c r="L1573" s="7">
        <v>0</v>
      </c>
      <c r="M1573" s="7">
        <v>0</v>
      </c>
      <c r="N1573" s="7">
        <v>0</v>
      </c>
      <c r="O1573" s="4">
        <f>SUM(I1573:N1573)</f>
        <v>0</v>
      </c>
      <c r="P1573" s="17">
        <f>SUMIFS('Desenvolvimento diário'!$H:$H,'Desenvolvimento diário'!$Q:$Q,$B1573,'Desenvolvimento diário'!$P:$P,$F1573,'Desenvolvimento diário'!$R:$R,"Sim")</f>
        <v>0</v>
      </c>
      <c r="Q1573" s="17">
        <f>SUMIFS('Desenvolvimento diário'!$H:$H,'Desenvolvimento diário'!$Q:$Q,$B1573,'Desenvolvimento diário'!$P:$P,$F1573,'Desenvolvimento diário'!$R:$R,"Não")</f>
        <v>0</v>
      </c>
      <c r="R1573" s="4">
        <f>SUM(P1573:Q1573)</f>
        <v>0</v>
      </c>
      <c r="S1573" s="4">
        <f>O1573-R1573</f>
        <v>0</v>
      </c>
      <c r="T1573" s="12">
        <f>IFERROR(R1573/O1573,0)</f>
        <v>0</v>
      </c>
      <c r="Y1573" s="2"/>
      <c r="Z1573" s="2"/>
      <c r="AA1573" s="2"/>
      <c r="AB1573" s="2"/>
      <c r="AC1573" s="2"/>
    </row>
    <row r="1574" spans="1:29" hidden="1">
      <c r="A1574" s="2">
        <f t="shared" ref="A1574:A1575" si="526">A1573</f>
        <v>45</v>
      </c>
      <c r="B1574" s="2" t="str">
        <f>VLOOKUP($A1574,Controle!$B$4:$F$68,2,FALSE)</f>
        <v>Campo Belo 4</v>
      </c>
      <c r="C1574" s="2" t="str">
        <f>VLOOKUP($A1574,Controle!$B$4:$F$68,3,FALSE)</f>
        <v>MORI MINAS V</v>
      </c>
      <c r="D1574" s="2" t="str">
        <f>VLOOKUP($A1574,Controle!$B$4:$F$68,4,FALSE)</f>
        <v>NewCo V</v>
      </c>
      <c r="E1574" s="2" t="str">
        <f>VLOOKUP($A1574,Controle!$B$4:$F$68,5,FALSE)</f>
        <v>Weg</v>
      </c>
      <c r="F1574" s="3" t="str">
        <f t="shared" ref="F1574:F1575" si="527">F1539</f>
        <v>GOS FLORESTAL - (PRAD - Recuperação Area Ambiental)</v>
      </c>
      <c r="G1574" s="2" t="str">
        <f>VLOOKUP($A1574,Controle!$B$4:$G$68,6,FALSE)</f>
        <v>Solatio</v>
      </c>
      <c r="H1574" s="506" t="s">
        <v>170</v>
      </c>
      <c r="I1574" s="6">
        <v>0</v>
      </c>
      <c r="J1574" s="506"/>
      <c r="K1574" s="506">
        <v>0</v>
      </c>
      <c r="L1574" s="506">
        <v>0</v>
      </c>
      <c r="M1574" s="506">
        <v>0</v>
      </c>
      <c r="N1574" s="506">
        <v>0</v>
      </c>
      <c r="O1574" s="39">
        <f t="shared" ref="O1574:O1575" si="528">SUM(I1574:N1574)</f>
        <v>0</v>
      </c>
      <c r="P1574" s="17">
        <f>SUMIFS('Desenvolvimento diário'!$H:$H,'Desenvolvimento diário'!$Q:$Q,$B1574,'Desenvolvimento diário'!$P:$P,$F1574,'Desenvolvimento diário'!$R:$R,"Sim")</f>
        <v>0</v>
      </c>
      <c r="Q1574" s="17">
        <f>SUMIFS('Desenvolvimento diário'!$H:$H,'Desenvolvimento diário'!$Q:$Q,$B1574,'Desenvolvimento diário'!$P:$P,$F1574,'Desenvolvimento diário'!$R:$R,"Não")</f>
        <v>0</v>
      </c>
      <c r="R1574" s="4">
        <f t="shared" ref="R1574:R1575" si="529">SUM(P1574:Q1574)</f>
        <v>0</v>
      </c>
      <c r="S1574" s="4">
        <f t="shared" ref="S1574:S1575" si="530">O1574-R1574</f>
        <v>0</v>
      </c>
      <c r="T1574" s="12">
        <f t="shared" ref="T1574:T1575" si="531">IFERROR(R1574/O1574,0)</f>
        <v>0</v>
      </c>
      <c r="Y1574" s="2"/>
      <c r="Z1574" s="2"/>
      <c r="AA1574" s="2"/>
      <c r="AB1574" s="2"/>
      <c r="AC1574" s="2"/>
    </row>
    <row r="1575" spans="1:29" hidden="1">
      <c r="A1575" s="2">
        <f t="shared" si="526"/>
        <v>45</v>
      </c>
      <c r="B1575" s="2" t="str">
        <f>VLOOKUP($A1575,Controle!$B$4:$F$68,2,FALSE)</f>
        <v>Campo Belo 4</v>
      </c>
      <c r="C1575" s="2" t="str">
        <f>VLOOKUP($A1575,Controle!$B$4:$F$68,3,FALSE)</f>
        <v>MORI MINAS V</v>
      </c>
      <c r="D1575" s="2" t="str">
        <f>VLOOKUP($A1575,Controle!$B$4:$F$68,4,FALSE)</f>
        <v>NewCo V</v>
      </c>
      <c r="E1575" s="2" t="str">
        <f>VLOOKUP($A1575,Controle!$B$4:$F$68,5,FALSE)</f>
        <v>Weg</v>
      </c>
      <c r="F1575" s="3" t="str">
        <f t="shared" si="527"/>
        <v>Cercamento das bacias de contenção ciclo 2</v>
      </c>
      <c r="G1575" s="2" t="str">
        <f>VLOOKUP($A1575,Controle!$B$4:$G$68,6,FALSE)</f>
        <v>Solatio</v>
      </c>
      <c r="H1575" s="506" t="s">
        <v>172</v>
      </c>
      <c r="I1575" s="6"/>
      <c r="J1575" s="506"/>
      <c r="K1575" s="506">
        <v>0</v>
      </c>
      <c r="L1575" s="506">
        <v>0</v>
      </c>
      <c r="M1575" s="506">
        <v>0</v>
      </c>
      <c r="N1575" s="506">
        <v>0</v>
      </c>
      <c r="O1575" s="39">
        <f t="shared" si="528"/>
        <v>0</v>
      </c>
      <c r="P1575" s="17">
        <f>SUMIFS('Desenvolvimento diário'!$H:$H,'Desenvolvimento diário'!$Q:$Q,$B1575,'Desenvolvimento diário'!$P:$P,$F1575,'Desenvolvimento diário'!$R:$R,"Sim")</f>
        <v>0</v>
      </c>
      <c r="Q1575" s="17">
        <f>SUMIFS('Desenvolvimento diário'!$H:$H,'Desenvolvimento diário'!$Q:$Q,$B1575,'Desenvolvimento diário'!$P:$P,$F1575,'Desenvolvimento diário'!$R:$R,"Não")</f>
        <v>0</v>
      </c>
      <c r="R1575" s="4">
        <f t="shared" si="529"/>
        <v>0</v>
      </c>
      <c r="S1575" s="1030">
        <f t="shared" si="530"/>
        <v>0</v>
      </c>
      <c r="T1575" s="12">
        <f t="shared" si="531"/>
        <v>0</v>
      </c>
      <c r="U1575" s="1029" t="s">
        <v>166</v>
      </c>
      <c r="V1575" s="1029" t="s">
        <v>94</v>
      </c>
      <c r="Y1575" s="2"/>
      <c r="Z1575" s="2"/>
      <c r="AA1575" s="2"/>
      <c r="AB1575" s="2"/>
      <c r="AC1575" s="2"/>
    </row>
    <row r="1576" spans="1:29" hidden="1">
      <c r="A1576" s="8">
        <f>A1573</f>
        <v>45</v>
      </c>
      <c r="B1576" s="9" t="str">
        <f>B1573</f>
        <v>Campo Belo 4</v>
      </c>
      <c r="C1576" s="9" t="str">
        <f>C1573</f>
        <v>MORI MINAS V</v>
      </c>
      <c r="D1576" s="9" t="str">
        <f>D1573</f>
        <v>NewCo V</v>
      </c>
      <c r="E1576" s="9" t="str">
        <f>E1573</f>
        <v>Weg</v>
      </c>
      <c r="F1576" s="10" t="s">
        <v>158</v>
      </c>
      <c r="G1576" s="9" t="str">
        <f>G1573</f>
        <v>Solatio</v>
      </c>
      <c r="H1576" s="9"/>
      <c r="I1576" s="9">
        <f>SUBTOTAL(9,I1542:I1575)</f>
        <v>0</v>
      </c>
      <c r="J1576" s="9">
        <f t="shared" ref="J1576:S1576" si="532">SUBTOTAL(9,J1542:J1575)</f>
        <v>0</v>
      </c>
      <c r="K1576" s="9">
        <f t="shared" si="532"/>
        <v>0</v>
      </c>
      <c r="L1576" s="9">
        <f t="shared" si="532"/>
        <v>0</v>
      </c>
      <c r="M1576" s="9">
        <f t="shared" si="532"/>
        <v>0</v>
      </c>
      <c r="N1576" s="9">
        <f t="shared" si="532"/>
        <v>0</v>
      </c>
      <c r="O1576" s="9">
        <f t="shared" si="532"/>
        <v>0</v>
      </c>
      <c r="P1576" s="9">
        <f t="shared" si="532"/>
        <v>0</v>
      </c>
      <c r="Q1576" s="9">
        <f t="shared" si="532"/>
        <v>0</v>
      </c>
      <c r="R1576" s="9">
        <f t="shared" si="532"/>
        <v>0</v>
      </c>
      <c r="S1576" s="9">
        <f t="shared" si="532"/>
        <v>0</v>
      </c>
      <c r="T1576" s="13">
        <f>IFERROR(R1576/O1576,0)</f>
        <v>0</v>
      </c>
      <c r="U1576" s="11">
        <f>SUBTOTAL(9,U1542:U1575)</f>
        <v>0</v>
      </c>
      <c r="Y1576" s="2"/>
      <c r="Z1576" s="2"/>
      <c r="AA1576" s="2"/>
      <c r="AB1576" s="2"/>
      <c r="AC1576" s="2"/>
    </row>
    <row r="1577" spans="1:29" ht="10.5" hidden="1">
      <c r="A1577" s="2">
        <f>A1542+1</f>
        <v>46</v>
      </c>
      <c r="B1577" s="2" t="str">
        <f>VLOOKUP($A1577,Controle!$B$4:$F$68,2,FALSE)</f>
        <v>Campo Belo 5</v>
      </c>
      <c r="C1577" s="2" t="str">
        <f>VLOOKUP($A1577,Controle!$B$4:$F$68,3,FALSE)</f>
        <v>MORI MINAS IV</v>
      </c>
      <c r="D1577" s="2" t="str">
        <f>VLOOKUP($A1577,Controle!$B$4:$F$68,4,FALSE)</f>
        <v>NewCo IV</v>
      </c>
      <c r="E1577" s="2">
        <f>VLOOKUP($A1577,Controle!$B$4:$F$68,5,FALSE)</f>
        <v>1</v>
      </c>
      <c r="F1577" s="3" t="str">
        <f>F1542</f>
        <v>Conexão AT - Obras</v>
      </c>
      <c r="G1577" s="2" t="str">
        <f>VLOOKUP($A1577,Controle!$B$4:$G$68,6,FALSE)</f>
        <v>Solatio</v>
      </c>
      <c r="H1577" s="6" t="s">
        <v>141</v>
      </c>
      <c r="I1577" s="6">
        <v>0</v>
      </c>
      <c r="J1577" s="6">
        <v>0</v>
      </c>
      <c r="K1577" s="6">
        <v>0</v>
      </c>
      <c r="L1577" s="6">
        <v>0</v>
      </c>
      <c r="M1577" s="6">
        <v>0</v>
      </c>
      <c r="N1577" s="6">
        <v>0</v>
      </c>
      <c r="O1577" s="4">
        <f>SUM(I1577:N1577)</f>
        <v>0</v>
      </c>
      <c r="P1577" s="5">
        <f>SUMIFS('Desenvolvimento diário'!$H:$H,'Desenvolvimento diário'!$Q:$Q,$B1577,'Desenvolvimento diário'!$P:$P,$F1577,'Desenvolvimento diário'!$R:$R,"Sim")</f>
        <v>0</v>
      </c>
      <c r="Q1577" s="5">
        <f>SUMIFS('Desenvolvimento diário'!$H:$H,'Desenvolvimento diário'!$Q:$Q,$B1577,'Desenvolvimento diário'!$P:$P,$F1577,'Desenvolvimento diário'!$R:$R,"Não")</f>
        <v>0</v>
      </c>
      <c r="R1577" s="4">
        <f>SUM(P1577:Q1577)</f>
        <v>0</v>
      </c>
      <c r="S1577" s="4">
        <f>O1577-R1577</f>
        <v>0</v>
      </c>
      <c r="T1577" s="12">
        <f>IFERROR(R1577/O1577,0)</f>
        <v>0</v>
      </c>
      <c r="Y1577" s="2"/>
      <c r="Z1577" s="2"/>
      <c r="AA1577" s="2"/>
      <c r="AB1577" s="2"/>
      <c r="AC1577" s="2"/>
    </row>
    <row r="1578" spans="1:29" ht="10.5" hidden="1">
      <c r="A1578" s="2">
        <f>A1577</f>
        <v>46</v>
      </c>
      <c r="B1578" s="2" t="str">
        <f>VLOOKUP($A1578,Controle!$B$4:$F$68,2,FALSE)</f>
        <v>Campo Belo 5</v>
      </c>
      <c r="C1578" s="2" t="str">
        <f>VLOOKUP($A1578,Controle!$B$4:$F$68,3,FALSE)</f>
        <v>MORI MINAS IV</v>
      </c>
      <c r="D1578" s="2" t="str">
        <f>VLOOKUP($A1578,Controle!$B$4:$F$68,4,FALSE)</f>
        <v>NewCo IV</v>
      </c>
      <c r="E1578" s="2">
        <f>VLOOKUP($A1578,Controle!$B$4:$F$68,5,FALSE)</f>
        <v>1</v>
      </c>
      <c r="F1578" s="3" t="str">
        <f>F1543</f>
        <v>Conexão MT - Obras</v>
      </c>
      <c r="G1578" s="2" t="str">
        <f>VLOOKUP($A1578,Controle!$B$4:$G$68,6,FALSE)</f>
        <v>Solatio</v>
      </c>
      <c r="H1578" s="6" t="s">
        <v>141</v>
      </c>
      <c r="I1578" s="6">
        <v>775000</v>
      </c>
      <c r="J1578" s="6">
        <v>550000</v>
      </c>
      <c r="K1578" s="6">
        <f>42000-0.09</f>
        <v>41999.91</v>
      </c>
      <c r="L1578" s="6">
        <v>0</v>
      </c>
      <c r="M1578" s="6">
        <v>0</v>
      </c>
      <c r="N1578" s="6">
        <v>0</v>
      </c>
      <c r="O1578" s="4">
        <f>SUM(I1578:N1578)</f>
        <v>1366999.91</v>
      </c>
      <c r="P1578" s="5">
        <f>SUMIFS('Desenvolvimento diário'!$H:$H,'Desenvolvimento diário'!$Q:$Q,$B1578,'Desenvolvimento diário'!$P:$P,$F1578,'Desenvolvimento diário'!$R:$R,"Sim")</f>
        <v>520623.82</v>
      </c>
      <c r="Q1578" s="5">
        <f>SUMIFS('Desenvolvimento diário'!$H:$H,'Desenvolvimento diário'!$Q:$Q,$B1578,'Desenvolvimento diário'!$P:$P,$F1578,'Desenvolvimento diário'!$R:$R,"Não")</f>
        <v>846376.09</v>
      </c>
      <c r="R1578" s="4">
        <f>SUM(P1578:Q1578)</f>
        <v>1366999.91</v>
      </c>
      <c r="S1578" s="43">
        <f>O1578-R1578</f>
        <v>0</v>
      </c>
      <c r="T1578" s="12">
        <f>IFERROR(R1578/O1578,0)</f>
        <v>1</v>
      </c>
      <c r="Y1578" s="2"/>
      <c r="Z1578" s="2"/>
      <c r="AA1578" s="2"/>
      <c r="AB1578" s="2"/>
      <c r="AC1578" s="2"/>
    </row>
    <row r="1579" spans="1:29" ht="10.5" hidden="1">
      <c r="A1579" s="2">
        <f>A1578</f>
        <v>46</v>
      </c>
      <c r="B1579" s="94" t="str">
        <f>VLOOKUP($A1579,Controle!$B$4:$F$68,2,FALSE)</f>
        <v>Campo Belo 5</v>
      </c>
      <c r="C1579" s="2" t="str">
        <f>VLOOKUP($A1579,Controle!$B$4:$F$68,3,FALSE)</f>
        <v>MORI MINAS IV</v>
      </c>
      <c r="D1579" s="2" t="str">
        <f>VLOOKUP($A1579,Controle!$B$4:$F$68,4,FALSE)</f>
        <v>NewCo IV</v>
      </c>
      <c r="E1579" s="2">
        <f>VLOOKUP($A1579,Controle!$B$4:$F$68,5,FALSE)</f>
        <v>1</v>
      </c>
      <c r="F1579" s="3" t="str">
        <f>F1544</f>
        <v>Construção - Serviços de Construção</v>
      </c>
      <c r="G1579" s="2" t="str">
        <f>VLOOKUP($A1579,Controle!$B$4:$G$68,6,FALSE)</f>
        <v>Solatio</v>
      </c>
      <c r="H1579" s="6" t="s">
        <v>147</v>
      </c>
      <c r="I1579" s="6">
        <v>2691000</v>
      </c>
      <c r="J1579" s="6">
        <v>103002</v>
      </c>
      <c r="K1579" s="6">
        <v>332247.90999999997</v>
      </c>
      <c r="L1579" s="6">
        <v>225052.78</v>
      </c>
      <c r="M1579" s="6">
        <f>45889.71+53102.86</f>
        <v>98992.57</v>
      </c>
      <c r="N1579" s="6">
        <v>708833.24</v>
      </c>
      <c r="O1579" s="4">
        <f>SUM(I1579:N1579)</f>
        <v>4159128.5</v>
      </c>
      <c r="P1579" s="5">
        <f>SUMIFS('Desenvolvimento diário'!$H:$H,'Desenvolvimento diário'!$Q:$Q,$B1579,'Desenvolvimento diário'!$P:$P,$F1579,'Desenvolvimento diário'!$R:$R,"Sim")</f>
        <v>806640.32000000007</v>
      </c>
      <c r="Q1579" s="5">
        <f>SUMIFS('Desenvolvimento diário'!$H:$H,'Desenvolvimento diário'!$Q:$Q,$B1579,'Desenvolvimento diário'!$P:$P,$F1579,'Desenvolvimento diário'!$R:$R,"Não")</f>
        <v>3264189.87</v>
      </c>
      <c r="R1579" s="4">
        <f>SUM(P1579:Q1579)</f>
        <v>4070830.1900000004</v>
      </c>
      <c r="S1579" s="33">
        <f>O1579-R1579</f>
        <v>88298.30999999959</v>
      </c>
      <c r="T1579" s="12">
        <f>IFERROR(R1579/O1579,0)</f>
        <v>0.97876999712800417</v>
      </c>
      <c r="U1579" s="510" t="s">
        <v>162</v>
      </c>
      <c r="V1579" s="510" t="s">
        <v>163</v>
      </c>
      <c r="Y1579" s="2"/>
      <c r="Z1579" s="2"/>
      <c r="AA1579" s="2"/>
      <c r="AB1579" s="2"/>
      <c r="AC1579" s="2"/>
    </row>
    <row r="1580" spans="1:29" ht="10.5" hidden="1">
      <c r="A1580" s="2">
        <f>A1579</f>
        <v>46</v>
      </c>
      <c r="B1580" s="2" t="str">
        <f>VLOOKUP($A1580,Controle!$B$4:$F$68,2,FALSE)</f>
        <v>Campo Belo 5</v>
      </c>
      <c r="C1580" s="2" t="str">
        <f>VLOOKUP($A1580,Controle!$B$4:$F$68,3,FALSE)</f>
        <v>MORI MINAS IV</v>
      </c>
      <c r="D1580" s="2" t="str">
        <f>VLOOKUP($A1580,Controle!$B$4:$F$68,4,FALSE)</f>
        <v>NewCo IV</v>
      </c>
      <c r="E1580" s="2">
        <f>VLOOKUP($A1580,Controle!$B$4:$F$68,5,FALSE)</f>
        <v>1</v>
      </c>
      <c r="F1580" s="3" t="str">
        <f>F1545</f>
        <v>Construção - Serviços de Construção - Substituição</v>
      </c>
      <c r="G1580" s="2" t="str">
        <f>VLOOKUP($A1580,Controle!$B$4:$G$68,6,FALSE)</f>
        <v>Solatio</v>
      </c>
      <c r="H1580" s="6">
        <v>0</v>
      </c>
      <c r="I1580" s="6">
        <v>0</v>
      </c>
      <c r="J1580" s="6">
        <v>0</v>
      </c>
      <c r="K1580" s="6">
        <v>0</v>
      </c>
      <c r="L1580" s="6">
        <v>0</v>
      </c>
      <c r="M1580" s="6">
        <v>0</v>
      </c>
      <c r="N1580" s="6">
        <v>0</v>
      </c>
      <c r="O1580" s="4">
        <f>SUM(I1580:N1580)</f>
        <v>0</v>
      </c>
      <c r="P1580" s="5">
        <f>SUMIFS('Desenvolvimento diário'!$H:$H,'Desenvolvimento diário'!$Q:$Q,$B1580,'Desenvolvimento diário'!$P:$P,$F1580,'Desenvolvimento diário'!$R:$R,"Sim")</f>
        <v>0</v>
      </c>
      <c r="Q1580" s="5">
        <f>SUMIFS('Desenvolvimento diário'!$H:$H,'Desenvolvimento diário'!$Q:$Q,$B1580,'Desenvolvimento diário'!$P:$P,$F1580,'Desenvolvimento diário'!$R:$R,"Não")</f>
        <v>0</v>
      </c>
      <c r="R1580" s="4">
        <f>SUM(P1580:Q1580)</f>
        <v>0</v>
      </c>
      <c r="S1580" s="4">
        <f>O1580-R1580</f>
        <v>0</v>
      </c>
      <c r="T1580" s="12">
        <f>IFERROR(R1580/O1580,0)</f>
        <v>0</v>
      </c>
      <c r="Y1580" s="2"/>
      <c r="Z1580" s="2"/>
      <c r="AA1580" s="2"/>
      <c r="AB1580" s="2"/>
      <c r="AC1580" s="2"/>
    </row>
    <row r="1581" spans="1:29" ht="10.5" hidden="1">
      <c r="A1581" s="2">
        <f>A1580</f>
        <v>46</v>
      </c>
      <c r="B1581" s="94" t="str">
        <f>VLOOKUP($A1581,Controle!$B$4:$F$68,2,FALSE)</f>
        <v>Campo Belo 5</v>
      </c>
      <c r="C1581" s="2" t="str">
        <f>VLOOKUP($A1581,Controle!$B$4:$F$68,3,FALSE)</f>
        <v>MORI MINAS IV</v>
      </c>
      <c r="D1581" s="2" t="str">
        <f>VLOOKUP($A1581,Controle!$B$4:$F$68,4,FALSE)</f>
        <v>NewCo IV</v>
      </c>
      <c r="E1581" s="2">
        <f>VLOOKUP($A1581,Controle!$B$4:$F$68,5,FALSE)</f>
        <v>1</v>
      </c>
      <c r="F1581" s="3" t="str">
        <f>F1546</f>
        <v>Construção - RDA Interno</v>
      </c>
      <c r="G1581" s="2" t="str">
        <f>VLOOKUP($A1581,Controle!$B$4:$G$68,6,FALSE)</f>
        <v>Solatio</v>
      </c>
      <c r="H1581" s="6" t="s">
        <v>168</v>
      </c>
      <c r="I1581" s="6">
        <v>330000</v>
      </c>
      <c r="J1581" s="6">
        <v>337090.01</v>
      </c>
      <c r="K1581" s="29">
        <f>102094.42+0.67-0.43</f>
        <v>102094.66</v>
      </c>
      <c r="L1581" s="6">
        <v>0</v>
      </c>
      <c r="M1581" s="6">
        <v>0</v>
      </c>
      <c r="N1581" s="6">
        <v>0</v>
      </c>
      <c r="O1581" s="4">
        <f>SUM(I1581:N1581)</f>
        <v>769184.67</v>
      </c>
      <c r="P1581" s="5">
        <f>SUMIFS('Desenvolvimento diário'!$H:$H,'Desenvolvimento diário'!$Q:$Q,$B1581,'Desenvolvimento diário'!$P:$P,$F1581,'Desenvolvimento diário'!$R:$R,"Sim")</f>
        <v>128924.31</v>
      </c>
      <c r="Q1581" s="5">
        <f>SUMIFS('Desenvolvimento diário'!$H:$H,'Desenvolvimento diário'!$Q:$Q,$B1581,'Desenvolvimento diário'!$P:$P,$F1581,'Desenvolvimento diário'!$R:$R,"Não")</f>
        <v>640260.36</v>
      </c>
      <c r="R1581" s="4">
        <f>SUM(P1581:Q1581)</f>
        <v>769184.66999999993</v>
      </c>
      <c r="S1581" s="43">
        <f>O1581-R1581</f>
        <v>0</v>
      </c>
      <c r="T1581" s="12">
        <f>IFERROR(R1581/O1581,0)</f>
        <v>0.99999999999999989</v>
      </c>
      <c r="Y1581" s="2"/>
      <c r="Z1581" s="2"/>
      <c r="AA1581" s="2"/>
      <c r="AB1581" s="2"/>
      <c r="AC1581" s="2"/>
    </row>
    <row r="1582" spans="1:29" ht="10.5" hidden="1">
      <c r="A1582" s="2">
        <f>A1581</f>
        <v>46</v>
      </c>
      <c r="B1582" s="2" t="str">
        <f>VLOOKUP($A1582,Controle!$B$4:$F$68,2,FALSE)</f>
        <v>Campo Belo 5</v>
      </c>
      <c r="C1582" s="2" t="str">
        <f>VLOOKUP($A1582,Controle!$B$4:$F$68,3,FALSE)</f>
        <v>MORI MINAS IV</v>
      </c>
      <c r="D1582" s="2" t="str">
        <f>VLOOKUP($A1582,Controle!$B$4:$F$68,4,FALSE)</f>
        <v>NewCo IV</v>
      </c>
      <c r="E1582" s="2">
        <f>VLOOKUP($A1582,Controle!$B$4:$F$68,5,FALSE)</f>
        <v>1</v>
      </c>
      <c r="F1582" s="3" t="str">
        <f>F1547</f>
        <v>Full EPC - Contrato</v>
      </c>
      <c r="G1582" s="2" t="str">
        <f>VLOOKUP($A1582,Controle!$B$4:$G$68,6,FALSE)</f>
        <v>Solatio</v>
      </c>
      <c r="H1582" s="6">
        <v>0</v>
      </c>
      <c r="I1582" s="6">
        <v>0</v>
      </c>
      <c r="J1582" s="6">
        <v>0</v>
      </c>
      <c r="K1582" s="6">
        <v>0</v>
      </c>
      <c r="L1582" s="6">
        <v>0</v>
      </c>
      <c r="M1582" s="6">
        <v>0</v>
      </c>
      <c r="N1582" s="6">
        <v>0</v>
      </c>
      <c r="O1582" s="4">
        <f>SUM(I1582:N1582)</f>
        <v>0</v>
      </c>
      <c r="P1582" s="5">
        <f>SUMIFS('Desenvolvimento diário'!$H:$H,'Desenvolvimento diário'!$Q:$Q,$B1582,'Desenvolvimento diário'!$P:$P,$F1582,'Desenvolvimento diário'!$R:$R,"Sim")</f>
        <v>0</v>
      </c>
      <c r="Q1582" s="5">
        <f>SUMIFS('Desenvolvimento diário'!$H:$H,'Desenvolvimento diário'!$Q:$Q,$B1582,'Desenvolvimento diário'!$P:$P,$F1582,'Desenvolvimento diário'!$R:$R,"Não")</f>
        <v>0</v>
      </c>
      <c r="R1582" s="4">
        <f>SUM(P1582:Q1582)</f>
        <v>0</v>
      </c>
      <c r="S1582" s="4">
        <f>O1582-R1582</f>
        <v>0</v>
      </c>
      <c r="T1582" s="12">
        <f>IFERROR(R1582/O1582,0)</f>
        <v>0</v>
      </c>
      <c r="Y1582" s="2"/>
      <c r="Z1582" s="2"/>
      <c r="AA1582" s="2"/>
      <c r="AB1582" s="2"/>
      <c r="AC1582" s="2"/>
    </row>
    <row r="1583" spans="1:29" ht="10.5" hidden="1">
      <c r="A1583" s="2">
        <f>A1582</f>
        <v>46</v>
      </c>
      <c r="B1583" s="2" t="str">
        <f>VLOOKUP($A1583,Controle!$B$4:$F$68,2,FALSE)</f>
        <v>Campo Belo 5</v>
      </c>
      <c r="C1583" s="2" t="str">
        <f>VLOOKUP($A1583,Controle!$B$4:$F$68,3,FALSE)</f>
        <v>MORI MINAS IV</v>
      </c>
      <c r="D1583" s="2" t="str">
        <f>VLOOKUP($A1583,Controle!$B$4:$F$68,4,FALSE)</f>
        <v>NewCo IV</v>
      </c>
      <c r="E1583" s="2">
        <f>VLOOKUP($A1583,Controle!$B$4:$F$68,5,FALSE)</f>
        <v>1</v>
      </c>
      <c r="F1583" s="3" t="str">
        <f>F1548</f>
        <v>Equipamentos Curva A - Outros (Transformadores)</v>
      </c>
      <c r="G1583" s="2" t="str">
        <f>VLOOKUP($A1583,Controle!$B$4:$G$68,6,FALSE)</f>
        <v>Solatio</v>
      </c>
      <c r="H1583" s="6">
        <v>0</v>
      </c>
      <c r="I1583" s="6">
        <v>0</v>
      </c>
      <c r="J1583" s="6">
        <v>0</v>
      </c>
      <c r="K1583" s="6">
        <v>0</v>
      </c>
      <c r="L1583" s="6">
        <v>0</v>
      </c>
      <c r="M1583" s="6">
        <v>0</v>
      </c>
      <c r="N1583" s="6">
        <v>0</v>
      </c>
      <c r="O1583" s="4">
        <f>SUM(I1583:N1583)</f>
        <v>0</v>
      </c>
      <c r="P1583" s="5">
        <f>SUMIFS('Desenvolvimento diário'!$H:$H,'Desenvolvimento diário'!$Q:$Q,$B1583,'Desenvolvimento diário'!$P:$P,$F1583,'Desenvolvimento diário'!$R:$R,"Sim")</f>
        <v>0</v>
      </c>
      <c r="Q1583" s="5">
        <f>SUMIFS('Desenvolvimento diário'!$H:$H,'Desenvolvimento diário'!$Q:$Q,$B1583,'Desenvolvimento diário'!$P:$P,$F1583,'Desenvolvimento diário'!$R:$R,"Não")</f>
        <v>0</v>
      </c>
      <c r="R1583" s="4">
        <f>SUM(P1583:Q1583)</f>
        <v>0</v>
      </c>
      <c r="S1583" s="4">
        <f>O1583-R1583</f>
        <v>0</v>
      </c>
      <c r="T1583" s="12">
        <f>IFERROR(R1583/O1583,0)</f>
        <v>0</v>
      </c>
      <c r="Y1583" s="2"/>
      <c r="Z1583" s="2"/>
      <c r="AA1583" s="2"/>
      <c r="AB1583" s="2"/>
      <c r="AC1583" s="2"/>
    </row>
    <row r="1584" spans="1:29" ht="10.5" hidden="1">
      <c r="A1584" s="2">
        <f>A1583</f>
        <v>46</v>
      </c>
      <c r="B1584" s="2" t="str">
        <f>VLOOKUP($A1584,Controle!$B$4:$F$68,2,FALSE)</f>
        <v>Campo Belo 5</v>
      </c>
      <c r="C1584" s="2" t="str">
        <f>VLOOKUP($A1584,Controle!$B$4:$F$68,3,FALSE)</f>
        <v>MORI MINAS IV</v>
      </c>
      <c r="D1584" s="2" t="str">
        <f>VLOOKUP($A1584,Controle!$B$4:$F$68,4,FALSE)</f>
        <v>NewCo IV</v>
      </c>
      <c r="E1584" s="2">
        <f>VLOOKUP($A1584,Controle!$B$4:$F$68,5,FALSE)</f>
        <v>1</v>
      </c>
      <c r="F1584" s="3" t="str">
        <f>F1549</f>
        <v>Equipamentos Curva A - Outros (Cabine + Skid)</v>
      </c>
      <c r="G1584" s="2" t="str">
        <f>VLOOKUP($A1584,Controle!$B$4:$G$68,6,FALSE)</f>
        <v>Solatio</v>
      </c>
      <c r="H1584" s="6">
        <v>0</v>
      </c>
      <c r="I1584" s="6">
        <v>0</v>
      </c>
      <c r="J1584" s="6">
        <v>0</v>
      </c>
      <c r="K1584" s="6">
        <v>0</v>
      </c>
      <c r="L1584" s="6">
        <v>0</v>
      </c>
      <c r="M1584" s="6">
        <v>0</v>
      </c>
      <c r="N1584" s="6">
        <v>0</v>
      </c>
      <c r="O1584" s="4">
        <f>SUM(I1584:N1584)</f>
        <v>0</v>
      </c>
      <c r="P1584" s="5">
        <f>SUMIFS('Desenvolvimento diário'!$H:$H,'Desenvolvimento diário'!$Q:$Q,$B1584,'Desenvolvimento diário'!$P:$P,$F1584,'Desenvolvimento diário'!$R:$R,"Sim")</f>
        <v>0</v>
      </c>
      <c r="Q1584" s="5">
        <f>SUMIFS('Desenvolvimento diário'!$H:$H,'Desenvolvimento diário'!$Q:$Q,$B1584,'Desenvolvimento diário'!$P:$P,$F1584,'Desenvolvimento diário'!$R:$R,"Não")</f>
        <v>0</v>
      </c>
      <c r="R1584" s="4">
        <f>SUM(P1584:Q1584)</f>
        <v>0</v>
      </c>
      <c r="S1584" s="4">
        <f>O1584-R1584</f>
        <v>0</v>
      </c>
      <c r="T1584" s="12">
        <f>IFERROR(R1584/O1584,0)</f>
        <v>0</v>
      </c>
      <c r="Y1584" s="2"/>
      <c r="Z1584" s="2"/>
      <c r="AA1584" s="2"/>
      <c r="AB1584" s="2"/>
      <c r="AC1584" s="2"/>
    </row>
    <row r="1585" spans="1:29" ht="10.5" hidden="1">
      <c r="A1585" s="2">
        <f>A1584</f>
        <v>46</v>
      </c>
      <c r="B1585" s="2" t="str">
        <f>VLOOKUP($A1585,Controle!$B$4:$F$68,2,FALSE)</f>
        <v>Campo Belo 5</v>
      </c>
      <c r="C1585" s="2" t="str">
        <f>VLOOKUP($A1585,Controle!$B$4:$F$68,3,FALSE)</f>
        <v>MORI MINAS IV</v>
      </c>
      <c r="D1585" s="2" t="str">
        <f>VLOOKUP($A1585,Controle!$B$4:$F$68,4,FALSE)</f>
        <v>NewCo IV</v>
      </c>
      <c r="E1585" s="2">
        <f>VLOOKUP($A1585,Controle!$B$4:$F$68,5,FALSE)</f>
        <v>1</v>
      </c>
      <c r="F1585" s="3" t="str">
        <f>F1550</f>
        <v>Equipamentos Curva A - Outros (Cabine + Skid + Transformador)</v>
      </c>
      <c r="G1585" s="2" t="str">
        <f>VLOOKUP($A1585,Controle!$B$4:$G$68,6,FALSE)</f>
        <v>Solatio</v>
      </c>
      <c r="H1585" s="6" t="s">
        <v>144</v>
      </c>
      <c r="I1585" s="6">
        <v>1310186.7643960002</v>
      </c>
      <c r="J1585" s="6">
        <v>0</v>
      </c>
      <c r="K1585" s="6">
        <v>0</v>
      </c>
      <c r="L1585" s="6">
        <v>0</v>
      </c>
      <c r="M1585" s="6">
        <v>0</v>
      </c>
      <c r="N1585" s="6">
        <v>0</v>
      </c>
      <c r="O1585" s="4">
        <f>SUM(I1585:N1585)</f>
        <v>1310186.7643960002</v>
      </c>
      <c r="P1585" s="5">
        <f>SUMIFS('Desenvolvimento diário'!$H:$H,'Desenvolvimento diário'!$Q:$Q,$B1585,'Desenvolvimento diário'!$P:$P,$F1585,'Desenvolvimento diário'!$R:$R,"Sim")</f>
        <v>0</v>
      </c>
      <c r="Q1585" s="5">
        <f>SUMIFS('Desenvolvimento diário'!$H:$H,'Desenvolvimento diário'!$Q:$Q,$B1585,'Desenvolvimento diário'!$P:$P,$F1585,'Desenvolvimento diário'!$R:$R,"Não")</f>
        <v>1310186.7643960002</v>
      </c>
      <c r="R1585" s="4">
        <f>SUM(P1585:Q1585)</f>
        <v>1310186.7643960002</v>
      </c>
      <c r="S1585" s="4">
        <f>O1585-R1585</f>
        <v>0</v>
      </c>
      <c r="T1585" s="12">
        <f>IFERROR(R1585/O1585,0)</f>
        <v>1</v>
      </c>
      <c r="Y1585" s="2"/>
      <c r="Z1585" s="2"/>
      <c r="AA1585" s="2"/>
      <c r="AB1585" s="2"/>
      <c r="AC1585" s="2"/>
    </row>
    <row r="1586" spans="1:29" ht="10.5" hidden="1">
      <c r="A1586" s="2">
        <f>A1585</f>
        <v>46</v>
      </c>
      <c r="B1586" s="2" t="str">
        <f>VLOOKUP($A1586,Controle!$B$4:$F$68,2,FALSE)</f>
        <v>Campo Belo 5</v>
      </c>
      <c r="C1586" s="2" t="str">
        <f>VLOOKUP($A1586,Controle!$B$4:$F$68,3,FALSE)</f>
        <v>MORI MINAS IV</v>
      </c>
      <c r="D1586" s="2" t="str">
        <f>VLOOKUP($A1586,Controle!$B$4:$F$68,4,FALSE)</f>
        <v>NewCo IV</v>
      </c>
      <c r="E1586" s="2">
        <f>VLOOKUP($A1586,Controle!$B$4:$F$68,5,FALSE)</f>
        <v>1</v>
      </c>
      <c r="F1586" s="3" t="str">
        <f>F1551</f>
        <v>Desenvolvimento de projeto - Projetos - (Eng° Proprietario)</v>
      </c>
      <c r="G1586" s="2" t="str">
        <f>VLOOKUP($A1586,Controle!$B$4:$G$68,6,FALSE)</f>
        <v>Solatio</v>
      </c>
      <c r="H1586" s="6" t="s">
        <v>145</v>
      </c>
      <c r="I1586" s="6">
        <v>0</v>
      </c>
      <c r="J1586" s="6">
        <v>0</v>
      </c>
      <c r="K1586" s="6">
        <v>0</v>
      </c>
      <c r="L1586" s="6">
        <v>0</v>
      </c>
      <c r="M1586" s="6">
        <v>0</v>
      </c>
      <c r="N1586" s="6">
        <v>0</v>
      </c>
      <c r="O1586" s="4">
        <f>SUM(I1586:N1586)</f>
        <v>0</v>
      </c>
      <c r="P1586" s="5">
        <f>SUMIFS('Desenvolvimento diário'!$H:$H,'Desenvolvimento diário'!$Q:$Q,$B1586,'Desenvolvimento diário'!$P:$P,$F1586,'Desenvolvimento diário'!$R:$R,"Sim")</f>
        <v>0</v>
      </c>
      <c r="Q1586" s="5">
        <f>SUMIFS('Desenvolvimento diário'!$H:$H,'Desenvolvimento diário'!$Q:$Q,$B1586,'Desenvolvimento diário'!$P:$P,$F1586,'Desenvolvimento diário'!$R:$R,"Não")</f>
        <v>0</v>
      </c>
      <c r="R1586" s="4">
        <f>SUM(P1586:Q1586)</f>
        <v>0</v>
      </c>
      <c r="S1586" s="4">
        <f>O1586-R1586</f>
        <v>0</v>
      </c>
      <c r="T1586" s="12">
        <f>IFERROR(R1586/O1586,0)</f>
        <v>0</v>
      </c>
      <c r="Y1586" s="2"/>
      <c r="Z1586" s="2"/>
      <c r="AA1586" s="2"/>
      <c r="AB1586" s="2"/>
      <c r="AC1586" s="2"/>
    </row>
    <row r="1587" spans="1:29" ht="10.5" hidden="1">
      <c r="A1587" s="2">
        <f>A1586</f>
        <v>46</v>
      </c>
      <c r="B1587" s="2" t="str">
        <f>VLOOKUP($A1587,Controle!$B$4:$F$68,2,FALSE)</f>
        <v>Campo Belo 5</v>
      </c>
      <c r="C1587" s="2" t="str">
        <f>VLOOKUP($A1587,Controle!$B$4:$F$68,3,FALSE)</f>
        <v>MORI MINAS IV</v>
      </c>
      <c r="D1587" s="2" t="str">
        <f>VLOOKUP($A1587,Controle!$B$4:$F$68,4,FALSE)</f>
        <v>NewCo IV</v>
      </c>
      <c r="E1587" s="2">
        <f>VLOOKUP($A1587,Controle!$B$4:$F$68,5,FALSE)</f>
        <v>1</v>
      </c>
      <c r="F1587" s="3" t="str">
        <f>F1552</f>
        <v>Desenvolvimento de projeto - Projetos - Executivos</v>
      </c>
      <c r="G1587" s="2" t="str">
        <f>VLOOKUP($A1587,Controle!$B$4:$G$68,6,FALSE)</f>
        <v>Solatio</v>
      </c>
      <c r="H1587" s="6" t="s">
        <v>146</v>
      </c>
      <c r="I1587" s="6">
        <v>47173.36</v>
      </c>
      <c r="J1587" s="6">
        <v>0</v>
      </c>
      <c r="K1587" s="6">
        <v>0</v>
      </c>
      <c r="L1587" s="6">
        <v>0</v>
      </c>
      <c r="M1587" s="6">
        <v>0</v>
      </c>
      <c r="N1587" s="6">
        <v>0</v>
      </c>
      <c r="O1587" s="4">
        <f>SUM(I1587:N1587)</f>
        <v>47173.36</v>
      </c>
      <c r="P1587" s="5">
        <f>SUMIFS('Desenvolvimento diário'!$H:$H,'Desenvolvimento diário'!$Q:$Q,$B1587,'Desenvolvimento diário'!$P:$P,$F1587,'Desenvolvimento diário'!$R:$R,"Sim")</f>
        <v>0</v>
      </c>
      <c r="Q1587" s="5">
        <f>SUMIFS('Desenvolvimento diário'!$H:$H,'Desenvolvimento diário'!$Q:$Q,$B1587,'Desenvolvimento diário'!$P:$P,$F1587,'Desenvolvimento diário'!$R:$R,"Não")</f>
        <v>47173.36</v>
      </c>
      <c r="R1587" s="4">
        <f>SUM(P1587:Q1587)</f>
        <v>47173.36</v>
      </c>
      <c r="S1587" s="4">
        <f>O1587-R1587</f>
        <v>0</v>
      </c>
      <c r="T1587" s="12">
        <f>IFERROR(R1587/O1587,0)</f>
        <v>1</v>
      </c>
      <c r="Y1587" s="2"/>
      <c r="Z1587" s="2"/>
      <c r="AA1587" s="2"/>
      <c r="AB1587" s="2"/>
      <c r="AC1587" s="2"/>
    </row>
    <row r="1588" spans="1:29" ht="10.5" hidden="1">
      <c r="A1588" s="2">
        <f>A1587</f>
        <v>46</v>
      </c>
      <c r="B1588" s="2" t="str">
        <f>VLOOKUP($A1588,Controle!$B$4:$F$68,2,FALSE)</f>
        <v>Campo Belo 5</v>
      </c>
      <c r="C1588" s="2" t="str">
        <f>VLOOKUP($A1588,Controle!$B$4:$F$68,3,FALSE)</f>
        <v>MORI MINAS IV</v>
      </c>
      <c r="D1588" s="2" t="str">
        <f>VLOOKUP($A1588,Controle!$B$4:$F$68,4,FALSE)</f>
        <v>NewCo IV</v>
      </c>
      <c r="E1588" s="2">
        <f>VLOOKUP($A1588,Controle!$B$4:$F$68,5,FALSE)</f>
        <v>1</v>
      </c>
      <c r="F1588" s="3" t="str">
        <f>F1553</f>
        <v>Desenvolvimento de projeto - Projetos Básica</v>
      </c>
      <c r="G1588" s="2" t="str">
        <f>VLOOKUP($A1588,Controle!$B$4:$G$68,6,FALSE)</f>
        <v>Solatio</v>
      </c>
      <c r="H1588" s="6">
        <v>0</v>
      </c>
      <c r="I1588" s="6">
        <v>0</v>
      </c>
      <c r="J1588" s="6">
        <v>0</v>
      </c>
      <c r="K1588" s="6">
        <v>0</v>
      </c>
      <c r="L1588" s="6">
        <v>0</v>
      </c>
      <c r="M1588" s="6">
        <v>0</v>
      </c>
      <c r="N1588" s="6">
        <v>0</v>
      </c>
      <c r="O1588" s="4">
        <f>SUM(I1588:N1588)</f>
        <v>0</v>
      </c>
      <c r="P1588" s="5">
        <f>SUMIFS('Desenvolvimento diário'!$H:$H,'Desenvolvimento diário'!$Q:$Q,$B1588,'Desenvolvimento diário'!$P:$P,$F1588,'Desenvolvimento diário'!$R:$R,"Sim")</f>
        <v>0</v>
      </c>
      <c r="Q1588" s="5">
        <f>SUMIFS('Desenvolvimento diário'!$H:$H,'Desenvolvimento diário'!$Q:$Q,$B1588,'Desenvolvimento diário'!$P:$P,$F1588,'Desenvolvimento diário'!$R:$R,"Não")</f>
        <v>0</v>
      </c>
      <c r="R1588" s="4">
        <f>SUM(P1588:Q1588)</f>
        <v>0</v>
      </c>
      <c r="S1588" s="4">
        <f>O1588-R1588</f>
        <v>0</v>
      </c>
      <c r="T1588" s="12">
        <f>IFERROR(R1588/O1588,0)</f>
        <v>0</v>
      </c>
      <c r="Y1588" s="2"/>
      <c r="Z1588" s="2"/>
      <c r="AA1588" s="2"/>
      <c r="AB1588" s="2"/>
      <c r="AC1588" s="2"/>
    </row>
    <row r="1589" spans="1:29" ht="10.5" hidden="1">
      <c r="A1589" s="2">
        <f>A1588</f>
        <v>46</v>
      </c>
      <c r="B1589" s="2" t="str">
        <f>VLOOKUP($A1589,Controle!$B$4:$F$68,2,FALSE)</f>
        <v>Campo Belo 5</v>
      </c>
      <c r="C1589" s="2" t="str">
        <f>VLOOKUP($A1589,Controle!$B$4:$F$68,3,FALSE)</f>
        <v>MORI MINAS IV</v>
      </c>
      <c r="D1589" s="2" t="str">
        <f>VLOOKUP($A1589,Controle!$B$4:$F$68,4,FALSE)</f>
        <v>NewCo IV</v>
      </c>
      <c r="E1589" s="2">
        <f>VLOOKUP($A1589,Controle!$B$4:$F$68,5,FALSE)</f>
        <v>1</v>
      </c>
      <c r="F1589" s="3" t="str">
        <f>F1554</f>
        <v>Desenvolvimento de projeto - Projetos Detalhada</v>
      </c>
      <c r="G1589" s="2" t="str">
        <f>VLOOKUP($A1589,Controle!$B$4:$G$68,6,FALSE)</f>
        <v>Solatio</v>
      </c>
      <c r="H1589" s="6">
        <v>0</v>
      </c>
      <c r="I1589" s="6">
        <v>0</v>
      </c>
      <c r="J1589" s="6">
        <v>0</v>
      </c>
      <c r="K1589" s="6">
        <v>0</v>
      </c>
      <c r="L1589" s="6">
        <v>0</v>
      </c>
      <c r="M1589" s="6">
        <v>0</v>
      </c>
      <c r="N1589" s="6">
        <v>0</v>
      </c>
      <c r="O1589" s="4">
        <f>SUM(I1589:N1589)</f>
        <v>0</v>
      </c>
      <c r="P1589" s="5">
        <f>SUMIFS('Desenvolvimento diário'!$H:$H,'Desenvolvimento diário'!$Q:$Q,$B1589,'Desenvolvimento diário'!$P:$P,$F1589,'Desenvolvimento diário'!$R:$R,"Sim")</f>
        <v>0</v>
      </c>
      <c r="Q1589" s="5">
        <f>SUMIFS('Desenvolvimento diário'!$H:$H,'Desenvolvimento diário'!$Q:$Q,$B1589,'Desenvolvimento diário'!$P:$P,$F1589,'Desenvolvimento diário'!$R:$R,"Não")</f>
        <v>0</v>
      </c>
      <c r="R1589" s="4">
        <f>SUM(P1589:Q1589)</f>
        <v>0</v>
      </c>
      <c r="S1589" s="4">
        <f>O1589-R1589</f>
        <v>0</v>
      </c>
      <c r="T1589" s="12">
        <f>IFERROR(R1589/O1589,0)</f>
        <v>0</v>
      </c>
      <c r="Y1589" s="2"/>
      <c r="Z1589" s="2"/>
      <c r="AA1589" s="2"/>
      <c r="AB1589" s="2"/>
      <c r="AC1589" s="2"/>
    </row>
    <row r="1590" spans="1:29" ht="10.5" hidden="1">
      <c r="A1590" s="2">
        <f>A1589</f>
        <v>46</v>
      </c>
      <c r="B1590" s="2" t="str">
        <f>VLOOKUP($A1590,Controle!$B$4:$F$68,2,FALSE)</f>
        <v>Campo Belo 5</v>
      </c>
      <c r="C1590" s="2" t="str">
        <f>VLOOKUP($A1590,Controle!$B$4:$F$68,3,FALSE)</f>
        <v>MORI MINAS IV</v>
      </c>
      <c r="D1590" s="2" t="str">
        <f>VLOOKUP($A1590,Controle!$B$4:$F$68,4,FALSE)</f>
        <v>NewCo IV</v>
      </c>
      <c r="E1590" s="2">
        <f>VLOOKUP($A1590,Controle!$B$4:$F$68,5,FALSE)</f>
        <v>1</v>
      </c>
      <c r="F1590" s="3" t="str">
        <f>F1555</f>
        <v>Desenvolvimento de projeto - Ambiental / Outros</v>
      </c>
      <c r="G1590" s="2" t="str">
        <f>VLOOKUP($A1590,Controle!$B$4:$G$68,6,FALSE)</f>
        <v>Solatio</v>
      </c>
      <c r="H1590" s="6" t="s">
        <v>148</v>
      </c>
      <c r="I1590" s="6">
        <f>R1590</f>
        <v>115601.78</v>
      </c>
      <c r="J1590" s="6">
        <v>0</v>
      </c>
      <c r="K1590" s="6">
        <v>0</v>
      </c>
      <c r="L1590" s="6">
        <v>0</v>
      </c>
      <c r="M1590" s="6">
        <v>0</v>
      </c>
      <c r="N1590" s="6">
        <v>0</v>
      </c>
      <c r="O1590" s="4">
        <f>SUM(I1590:N1590)</f>
        <v>115601.78</v>
      </c>
      <c r="P1590" s="5">
        <f>SUMIFS('Desenvolvimento diário'!$H:$H,'Desenvolvimento diário'!$Q:$Q,$B1590,'Desenvolvimento diário'!$P:$P,$F1590,'Desenvolvimento diário'!$R:$R,"Sim")</f>
        <v>0</v>
      </c>
      <c r="Q1590" s="5">
        <f>SUMIFS('Desenvolvimento diário'!$H:$H,'Desenvolvimento diário'!$Q:$Q,$B1590,'Desenvolvimento diário'!$P:$P,$F1590,'Desenvolvimento diário'!$R:$R,"Não")</f>
        <v>115601.78</v>
      </c>
      <c r="R1590" s="4">
        <f>SUM(P1590:Q1590)</f>
        <v>115601.78</v>
      </c>
      <c r="S1590" s="4">
        <f>O1590-R1590</f>
        <v>0</v>
      </c>
      <c r="T1590" s="12">
        <f>IFERROR(R1590/O1590,0)</f>
        <v>1</v>
      </c>
      <c r="Y1590" s="2"/>
      <c r="Z1590" s="2"/>
      <c r="AA1590" s="2"/>
      <c r="AB1590" s="2"/>
      <c r="AC1590" s="2"/>
    </row>
    <row r="1591" spans="1:29" hidden="1">
      <c r="A1591" s="2">
        <f>A1590</f>
        <v>46</v>
      </c>
      <c r="B1591" s="2" t="str">
        <f>VLOOKUP($A1591,Controle!$B$4:$F$68,2,FALSE)</f>
        <v>Campo Belo 5</v>
      </c>
      <c r="C1591" s="2" t="str">
        <f>VLOOKUP($A1591,Controle!$B$4:$F$68,3,FALSE)</f>
        <v>MORI MINAS IV</v>
      </c>
      <c r="D1591" s="2" t="str">
        <f>VLOOKUP($A1591,Controle!$B$4:$F$68,4,FALSE)</f>
        <v>NewCo IV</v>
      </c>
      <c r="E1591" s="2">
        <f>VLOOKUP($A1591,Controle!$B$4:$F$68,5,FALSE)</f>
        <v>1</v>
      </c>
      <c r="F1591" s="3" t="str">
        <f>F1556</f>
        <v>Desenvolvimento de projeto - Coordenograma</v>
      </c>
      <c r="G1591" s="2" t="str">
        <f>VLOOKUP($A1591,Controle!$B$4:$G$68,6,FALSE)</f>
        <v>Solatio</v>
      </c>
      <c r="H1591" s="31" t="s">
        <v>149</v>
      </c>
      <c r="I1591" s="31">
        <v>6206.9</v>
      </c>
      <c r="J1591" s="31">
        <v>2281.25</v>
      </c>
      <c r="K1591" s="31">
        <v>0</v>
      </c>
      <c r="L1591" s="6">
        <v>0</v>
      </c>
      <c r="M1591" s="6">
        <v>0</v>
      </c>
      <c r="N1591" s="6">
        <v>0</v>
      </c>
      <c r="O1591" s="4">
        <f>SUM(I1591:N1591)</f>
        <v>8488.15</v>
      </c>
      <c r="P1591" s="5">
        <f>SUMIFS('Desenvolvimento diário'!$H:$H,'Desenvolvimento diário'!$Q:$Q,$B1591,'Desenvolvimento diário'!$P:$P,$F1591,'Desenvolvimento diário'!$R:$R,"Sim")</f>
        <v>0</v>
      </c>
      <c r="Q1591" s="5">
        <f>SUMIFS('Desenvolvimento diário'!$H:$H,'Desenvolvimento diário'!$Q:$Q,$B1591,'Desenvolvimento diário'!$P:$P,$F1591,'Desenvolvimento diário'!$R:$R,"Não")</f>
        <v>8488.15</v>
      </c>
      <c r="R1591" s="4">
        <f>SUM(P1591:Q1591)</f>
        <v>8488.15</v>
      </c>
      <c r="S1591" s="4">
        <f>O1591-R1591</f>
        <v>0</v>
      </c>
      <c r="T1591" s="12">
        <f>IFERROR(R1591/O1591,0)</f>
        <v>1</v>
      </c>
      <c r="Y1591" s="2"/>
      <c r="Z1591" s="2"/>
      <c r="AA1591" s="2"/>
      <c r="AB1591" s="2"/>
      <c r="AC1591" s="2"/>
    </row>
    <row r="1592" spans="1:29" ht="10.5" hidden="1">
      <c r="A1592" s="2">
        <f>A1591</f>
        <v>46</v>
      </c>
      <c r="B1592" s="2" t="str">
        <f>VLOOKUP($A1592,Controle!$B$4:$F$68,2,FALSE)</f>
        <v>Campo Belo 5</v>
      </c>
      <c r="C1592" s="2" t="str">
        <f>VLOOKUP($A1592,Controle!$B$4:$F$68,3,FALSE)</f>
        <v>MORI MINAS IV</v>
      </c>
      <c r="D1592" s="2" t="str">
        <f>VLOOKUP($A1592,Controle!$B$4:$F$68,4,FALSE)</f>
        <v>NewCo IV</v>
      </c>
      <c r="E1592" s="2">
        <f>VLOOKUP($A1592,Controle!$B$4:$F$68,5,FALSE)</f>
        <v>1</v>
      </c>
      <c r="F1592" s="3" t="str">
        <f>F1557</f>
        <v>Sistemas de Monitoramento - Supervisório</v>
      </c>
      <c r="G1592" s="2" t="str">
        <f>VLOOKUP($A1592,Controle!$B$4:$G$68,6,FALSE)</f>
        <v>Solatio</v>
      </c>
      <c r="H1592" s="6" t="s">
        <v>150</v>
      </c>
      <c r="I1592" s="6">
        <f>136155+(0.01)</f>
        <v>136155.01</v>
      </c>
      <c r="J1592" s="6"/>
      <c r="K1592" s="6">
        <v>0</v>
      </c>
      <c r="L1592" s="6">
        <v>0</v>
      </c>
      <c r="M1592" s="6">
        <v>0</v>
      </c>
      <c r="N1592" s="6">
        <v>0</v>
      </c>
      <c r="O1592" s="4">
        <f>SUM(I1592:N1592)</f>
        <v>136155.01</v>
      </c>
      <c r="P1592" s="5">
        <f>SUMIFS('Desenvolvimento diário'!$H:$H,'Desenvolvimento diário'!$Q:$Q,$B1592,'Desenvolvimento diário'!$P:$P,$F1592,'Desenvolvimento diário'!$R:$R,"Sim")</f>
        <v>5821.02</v>
      </c>
      <c r="Q1592" s="5">
        <f>SUMIFS('Desenvolvimento diário'!$H:$H,'Desenvolvimento diário'!$Q:$Q,$B1592,'Desenvolvimento diário'!$P:$P,$F1592,'Desenvolvimento diário'!$R:$R,"Não")</f>
        <v>130333.99</v>
      </c>
      <c r="R1592" s="4">
        <f>SUM(P1592:Q1592)</f>
        <v>136155.01</v>
      </c>
      <c r="S1592" s="43">
        <f>O1592-R1592</f>
        <v>0</v>
      </c>
      <c r="T1592" s="12">
        <f>IFERROR(R1592/O1592,0)</f>
        <v>1</v>
      </c>
      <c r="Y1592" s="2"/>
      <c r="Z1592" s="2"/>
      <c r="AA1592" s="2"/>
      <c r="AB1592" s="2"/>
      <c r="AC1592" s="2"/>
    </row>
    <row r="1593" spans="1:29" ht="10.5" hidden="1">
      <c r="A1593" s="2">
        <f>A1592</f>
        <v>46</v>
      </c>
      <c r="B1593" s="2" t="str">
        <f>VLOOKUP($A1593,Controle!$B$4:$F$68,2,FALSE)</f>
        <v>Campo Belo 5</v>
      </c>
      <c r="C1593" s="2" t="str">
        <f>VLOOKUP($A1593,Controle!$B$4:$F$68,3,FALSE)</f>
        <v>MORI MINAS IV</v>
      </c>
      <c r="D1593" s="2" t="str">
        <f>VLOOKUP($A1593,Controle!$B$4:$F$68,4,FALSE)</f>
        <v>NewCo IV</v>
      </c>
      <c r="E1593" s="2">
        <f>VLOOKUP($A1593,Controle!$B$4:$F$68,5,FALSE)</f>
        <v>1</v>
      </c>
      <c r="F1593" s="3" t="str">
        <f>F1558</f>
        <v>Sistemas de Monitoramento - Estações Solarimétricas</v>
      </c>
      <c r="G1593" s="2" t="str">
        <f>VLOOKUP($A1593,Controle!$B$4:$G$68,6,FALSE)</f>
        <v>Solatio</v>
      </c>
      <c r="H1593" s="6" t="s">
        <v>151</v>
      </c>
      <c r="I1593" s="6">
        <v>48276.516000000003</v>
      </c>
      <c r="J1593" s="6">
        <v>0</v>
      </c>
      <c r="K1593" s="6">
        <v>0</v>
      </c>
      <c r="L1593" s="6">
        <v>0</v>
      </c>
      <c r="M1593" s="6">
        <v>0</v>
      </c>
      <c r="N1593" s="6">
        <v>0</v>
      </c>
      <c r="O1593" s="4">
        <f>SUM(I1593:N1593)</f>
        <v>48276.516000000003</v>
      </c>
      <c r="P1593" s="5">
        <f>SUMIFS('Desenvolvimento diário'!$H:$H,'Desenvolvimento diário'!$Q:$Q,$B1593,'Desenvolvimento diário'!$P:$P,$F1593,'Desenvolvimento diário'!$R:$R,"Sim")</f>
        <v>0</v>
      </c>
      <c r="Q1593" s="5">
        <f>SUMIFS('Desenvolvimento diário'!$H:$H,'Desenvolvimento diário'!$Q:$Q,$B1593,'Desenvolvimento diário'!$P:$P,$F1593,'Desenvolvimento diário'!$R:$R,"Não")</f>
        <v>48276.516000000003</v>
      </c>
      <c r="R1593" s="4">
        <f>SUM(P1593:Q1593)</f>
        <v>48276.516000000003</v>
      </c>
      <c r="S1593" s="4">
        <f>O1593-R1593</f>
        <v>0</v>
      </c>
      <c r="T1593" s="12">
        <f>IFERROR(R1593/O1593,0)</f>
        <v>1</v>
      </c>
      <c r="Y1593" s="2"/>
      <c r="Z1593" s="2"/>
      <c r="AA1593" s="2"/>
      <c r="AB1593" s="2"/>
      <c r="AC1593" s="2"/>
    </row>
    <row r="1594" spans="1:29" hidden="1">
      <c r="A1594" s="2">
        <f>A1593</f>
        <v>46</v>
      </c>
      <c r="B1594" s="2" t="str">
        <f>VLOOKUP($A1594,Controle!$B$4:$F$68,2,FALSE)</f>
        <v>Campo Belo 5</v>
      </c>
      <c r="C1594" s="2" t="str">
        <f>VLOOKUP($A1594,Controle!$B$4:$F$68,3,FALSE)</f>
        <v>MORI MINAS IV</v>
      </c>
      <c r="D1594" s="2" t="str">
        <f>VLOOKUP($A1594,Controle!$B$4:$F$68,4,FALSE)</f>
        <v>NewCo IV</v>
      </c>
      <c r="E1594" s="2">
        <f>VLOOKUP($A1594,Controle!$B$4:$F$68,5,FALSE)</f>
        <v>1</v>
      </c>
      <c r="F1594" s="3" t="str">
        <f>F1559</f>
        <v>Sistemas de Monitoramento - CFTV</v>
      </c>
      <c r="G1594" s="2" t="str">
        <f>VLOOKUP($A1594,Controle!$B$4:$G$68,6,FALSE)</f>
        <v>Solatio</v>
      </c>
      <c r="H1594" s="31" t="s">
        <v>152</v>
      </c>
      <c r="I1594" s="6">
        <f>322939.81</f>
        <v>322939.81</v>
      </c>
      <c r="J1594" s="29">
        <v>89889.62</v>
      </c>
      <c r="K1594" s="1068">
        <v>10800</v>
      </c>
      <c r="L1594" s="6">
        <v>0</v>
      </c>
      <c r="M1594" s="6">
        <v>0</v>
      </c>
      <c r="N1594" s="6"/>
      <c r="O1594" s="4">
        <f>SUM(I1594:N1594)</f>
        <v>423629.43</v>
      </c>
      <c r="P1594" s="5">
        <f>SUMIFS('Desenvolvimento diário'!$H:$H,'Desenvolvimento diário'!$Q:$Q,$B1594,'Desenvolvimento diário'!$P:$P,$F1594,'Desenvolvimento diário'!$R:$R,"Sim")</f>
        <v>0</v>
      </c>
      <c r="Q1594" s="5">
        <f>SUMIFS('Desenvolvimento diário'!$H:$H,'Desenvolvimento diário'!$Q:$Q,$B1594,'Desenvolvimento diário'!$P:$P,$F1594,'Desenvolvimento diário'!$R:$R,"Não")</f>
        <v>423629.43</v>
      </c>
      <c r="R1594" s="4">
        <f>SUM(P1594:Q1594)</f>
        <v>423629.43</v>
      </c>
      <c r="S1594" s="1093">
        <f>O1594-R1594</f>
        <v>0</v>
      </c>
      <c r="T1594" s="12">
        <f>IFERROR(R1594/O1594,0)</f>
        <v>1</v>
      </c>
      <c r="U1594" s="1021" t="s">
        <v>166</v>
      </c>
      <c r="V1594" s="1021" t="s">
        <v>215</v>
      </c>
      <c r="Y1594" s="2"/>
      <c r="Z1594" s="2"/>
      <c r="AA1594" s="2"/>
      <c r="AB1594" s="2"/>
      <c r="AC1594" s="2"/>
    </row>
    <row r="1595" spans="1:29" ht="10.5">
      <c r="A1595" s="2">
        <f>A1594</f>
        <v>46</v>
      </c>
      <c r="B1595" s="2" t="str">
        <f>VLOOKUP($A1595,Controle!$B$4:$F$68,2,FALSE)</f>
        <v>Campo Belo 5</v>
      </c>
      <c r="C1595" s="2" t="str">
        <f>VLOOKUP($A1595,Controle!$B$4:$F$68,3,FALSE)</f>
        <v>MORI MINAS IV</v>
      </c>
      <c r="D1595" s="2" t="str">
        <f>VLOOKUP($A1595,Controle!$B$4:$F$68,4,FALSE)</f>
        <v>NewCo IV</v>
      </c>
      <c r="E1595" s="2">
        <f>VLOOKUP($A1595,Controle!$B$4:$F$68,5,FALSE)</f>
        <v>1</v>
      </c>
      <c r="F1595" s="3" t="str">
        <f>F1560</f>
        <v>Serviços Auxiliares - Drenagem</v>
      </c>
      <c r="G1595" s="2" t="str">
        <f>VLOOKUP($A1595,Controle!$B$4:$G$68,6,FALSE)</f>
        <v>Solatio</v>
      </c>
      <c r="H1595" s="6" t="s">
        <v>226</v>
      </c>
      <c r="I1595" s="6">
        <v>528205.34</v>
      </c>
      <c r="J1595" s="28">
        <v>1862545.85</v>
      </c>
      <c r="K1595" s="6">
        <v>0</v>
      </c>
      <c r="L1595" s="6">
        <v>0</v>
      </c>
      <c r="M1595" s="6">
        <v>0</v>
      </c>
      <c r="N1595" s="6">
        <v>0</v>
      </c>
      <c r="O1595" s="4">
        <f>SUM(I1595:N1595)</f>
        <v>2390751.19</v>
      </c>
      <c r="P1595" s="5">
        <f>SUMIFS('Desenvolvimento diário'!$H:$H,'Desenvolvimento diário'!$Q:$Q,$B1595,'Desenvolvimento diário'!$P:$P,$F1595,'Desenvolvimento diário'!$R:$R,"Sim")</f>
        <v>0</v>
      </c>
      <c r="Q1595" s="5">
        <f>SUMIFS('Desenvolvimento diário'!$H:$H,'Desenvolvimento diário'!$Q:$Q,$B1595,'Desenvolvimento diário'!$P:$P,$F1595,'Desenvolvimento diário'!$R:$R,"Não")</f>
        <v>2330205.15</v>
      </c>
      <c r="R1595" s="4">
        <f>SUM(P1595:Q1595)</f>
        <v>2330205.15</v>
      </c>
      <c r="S1595" s="1008">
        <f>O1595-R1595</f>
        <v>60546.040000000037</v>
      </c>
      <c r="T1595" s="12">
        <f>IFERROR(R1595/O1595,0)</f>
        <v>0.9746748886905291</v>
      </c>
      <c r="U1595" s="1012" t="s">
        <v>166</v>
      </c>
      <c r="V1595" s="1012" t="s">
        <v>174</v>
      </c>
      <c r="Y1595" s="2"/>
      <c r="Z1595" s="2"/>
      <c r="AA1595" s="2"/>
      <c r="AB1595" s="2"/>
      <c r="AC1595" s="2"/>
    </row>
    <row r="1596" spans="1:29" ht="10.5" hidden="1">
      <c r="A1596" s="2">
        <f>A1595</f>
        <v>46</v>
      </c>
      <c r="B1596" s="2" t="str">
        <f>VLOOKUP($A1596,Controle!$B$4:$F$68,2,FALSE)</f>
        <v>Campo Belo 5</v>
      </c>
      <c r="C1596" s="2" t="str">
        <f>VLOOKUP($A1596,Controle!$B$4:$F$68,3,FALSE)</f>
        <v>MORI MINAS IV</v>
      </c>
      <c r="D1596" s="2" t="str">
        <f>VLOOKUP($A1596,Controle!$B$4:$F$68,4,FALSE)</f>
        <v>NewCo IV</v>
      </c>
      <c r="E1596" s="2">
        <f>VLOOKUP($A1596,Controle!$B$4:$F$68,5,FALSE)</f>
        <v>1</v>
      </c>
      <c r="F1596" s="3" t="str">
        <f>F1561</f>
        <v>Serviços Auxiliares - Terraplanagem</v>
      </c>
      <c r="G1596" s="2" t="str">
        <f>VLOOKUP($A1596,Controle!$B$4:$G$68,6,FALSE)</f>
        <v>Solatio</v>
      </c>
      <c r="H1596" s="6" t="s">
        <v>214</v>
      </c>
      <c r="I1596" s="6">
        <v>1311826.1299999999</v>
      </c>
      <c r="J1596" s="6">
        <v>356521.09</v>
      </c>
      <c r="K1596" s="6">
        <v>57800</v>
      </c>
      <c r="L1596" s="6">
        <v>50168.959999999999</v>
      </c>
      <c r="M1596" s="6">
        <v>0</v>
      </c>
      <c r="N1596" s="6">
        <v>0</v>
      </c>
      <c r="O1596" s="4">
        <f>SUM(I1596:N1596)</f>
        <v>1776316.18</v>
      </c>
      <c r="P1596" s="5">
        <f>SUMIFS('Desenvolvimento diário'!$H:$H,'Desenvolvimento diário'!$Q:$Q,$B1596,'Desenvolvimento diário'!$P:$P,$F1596,'Desenvolvimento diário'!$R:$R,"Sim")</f>
        <v>0</v>
      </c>
      <c r="Q1596" s="5">
        <f>SUMIFS('Desenvolvimento diário'!$H:$H,'Desenvolvimento diário'!$Q:$Q,$B1596,'Desenvolvimento diário'!$P:$P,$F1596,'Desenvolvimento diário'!$R:$R,"Não")</f>
        <v>1776316.1800000002</v>
      </c>
      <c r="R1596" s="4">
        <f>SUM(P1596:Q1596)</f>
        <v>1776316.1800000002</v>
      </c>
      <c r="S1596" s="4">
        <f>O1596-R1596</f>
        <v>0</v>
      </c>
      <c r="T1596" s="12">
        <f>IFERROR(R1596/O1596,0)</f>
        <v>1.0000000000000002</v>
      </c>
      <c r="Y1596" s="2"/>
      <c r="Z1596" s="2"/>
      <c r="AA1596" s="2"/>
      <c r="AB1596" s="2"/>
      <c r="AC1596" s="2"/>
    </row>
    <row r="1597" spans="1:29" ht="10.5" hidden="1">
      <c r="A1597" s="2">
        <f>A1596</f>
        <v>46</v>
      </c>
      <c r="B1597" s="2" t="str">
        <f>VLOOKUP($A1597,Controle!$B$4:$F$68,2,FALSE)</f>
        <v>Campo Belo 5</v>
      </c>
      <c r="C1597" s="2" t="str">
        <f>VLOOKUP($A1597,Controle!$B$4:$F$68,3,FALSE)</f>
        <v>MORI MINAS IV</v>
      </c>
      <c r="D1597" s="2" t="str">
        <f>VLOOKUP($A1597,Controle!$B$4:$F$68,4,FALSE)</f>
        <v>NewCo IV</v>
      </c>
      <c r="E1597" s="2">
        <f>VLOOKUP($A1597,Controle!$B$4:$F$68,5,FALSE)</f>
        <v>1</v>
      </c>
      <c r="F1597" s="37" t="str">
        <f>F1562</f>
        <v>Serviços Auxiliares - Supressão Vegetal</v>
      </c>
      <c r="G1597" s="2" t="str">
        <f>VLOOKUP($A1597,Controle!$B$4:$G$68,6,FALSE)</f>
        <v>Solatio</v>
      </c>
      <c r="H1597" s="6" t="s">
        <v>155</v>
      </c>
      <c r="I1597" s="6">
        <v>51567.74</v>
      </c>
      <c r="J1597" s="6">
        <v>48910</v>
      </c>
      <c r="K1597" s="6">
        <v>0</v>
      </c>
      <c r="L1597" s="6">
        <v>0</v>
      </c>
      <c r="M1597" s="6">
        <v>0</v>
      </c>
      <c r="N1597" s="6">
        <v>0</v>
      </c>
      <c r="O1597" s="4">
        <f>SUM(I1597:N1597)</f>
        <v>100477.73999999999</v>
      </c>
      <c r="P1597" s="5">
        <f>SUMIFS('Desenvolvimento diário'!$H:$H,'Desenvolvimento diário'!$Q:$Q,$B1597,'Desenvolvimento diário'!$P:$P,$F1597,'Desenvolvimento diário'!$R:$R,"Sim")</f>
        <v>0</v>
      </c>
      <c r="Q1597" s="5">
        <f>SUMIFS('Desenvolvimento diário'!$H:$H,'Desenvolvimento diário'!$Q:$Q,$B1597,'Desenvolvimento diário'!$P:$P,$F1597,'Desenvolvimento diário'!$R:$R,"Não")</f>
        <v>51567.74</v>
      </c>
      <c r="R1597" s="4">
        <f>SUM(P1597:Q1597)</f>
        <v>51567.74</v>
      </c>
      <c r="S1597" s="27">
        <f>O1597-R1597</f>
        <v>48909.999999999993</v>
      </c>
      <c r="T1597" s="36">
        <f>IFERROR(R1597/O1597,0)</f>
        <v>0.51322551641786529</v>
      </c>
      <c r="U1597" s="34" t="s">
        <v>162</v>
      </c>
      <c r="V1597" s="34" t="s">
        <v>224</v>
      </c>
      <c r="Y1597" s="2"/>
      <c r="Z1597" s="2"/>
      <c r="AA1597" s="2"/>
      <c r="AB1597" s="2"/>
      <c r="AC1597" s="2"/>
    </row>
    <row r="1598" spans="1:29" ht="10.5" hidden="1">
      <c r="A1598" s="2">
        <f>A1597</f>
        <v>46</v>
      </c>
      <c r="B1598" s="2" t="str">
        <f>VLOOKUP($A1598,Controle!$B$4:$F$68,2,FALSE)</f>
        <v>Campo Belo 5</v>
      </c>
      <c r="C1598" s="2" t="str">
        <f>VLOOKUP($A1598,Controle!$B$4:$F$68,3,FALSE)</f>
        <v>MORI MINAS IV</v>
      </c>
      <c r="D1598" s="2" t="str">
        <f>VLOOKUP($A1598,Controle!$B$4:$F$68,4,FALSE)</f>
        <v>NewCo IV</v>
      </c>
      <c r="E1598" s="2">
        <f>VLOOKUP($A1598,Controle!$B$4:$F$68,5,FALSE)</f>
        <v>1</v>
      </c>
      <c r="F1598" s="3" t="str">
        <f>F1563</f>
        <v>RDR-Rede de Distribuição Rural</v>
      </c>
      <c r="G1598" s="2" t="str">
        <f>VLOOKUP($A1598,Controle!$B$4:$G$68,6,FALSE)</f>
        <v>Solatio</v>
      </c>
      <c r="H1598" s="6">
        <v>0</v>
      </c>
      <c r="I1598" s="6">
        <v>0</v>
      </c>
      <c r="J1598" s="6">
        <v>0</v>
      </c>
      <c r="K1598" s="6">
        <v>0</v>
      </c>
      <c r="L1598" s="6">
        <v>0</v>
      </c>
      <c r="M1598" s="6">
        <v>0</v>
      </c>
      <c r="N1598" s="6">
        <v>0</v>
      </c>
      <c r="O1598" s="4">
        <f>SUM(I1598:N1598)</f>
        <v>0</v>
      </c>
      <c r="P1598" s="5">
        <f>SUMIFS('Desenvolvimento diário'!$H:$H,'Desenvolvimento diário'!$Q:$Q,$B1598,'Desenvolvimento diário'!$P:$P,$F1598,'Desenvolvimento diário'!$R:$R,"Sim")</f>
        <v>0</v>
      </c>
      <c r="Q1598" s="5">
        <f>SUMIFS('Desenvolvimento diário'!$H:$H,'Desenvolvimento diário'!$Q:$Q,$B1598,'Desenvolvimento diário'!$P:$P,$F1598,'Desenvolvimento diário'!$R:$R,"Não")</f>
        <v>0</v>
      </c>
      <c r="R1598" s="4">
        <f>SUM(P1598:Q1598)</f>
        <v>0</v>
      </c>
      <c r="S1598" s="4">
        <f>O1598-R1598</f>
        <v>0</v>
      </c>
      <c r="T1598" s="12">
        <f>IFERROR(R1598/O1598,0)</f>
        <v>0</v>
      </c>
      <c r="Y1598" s="2"/>
      <c r="Z1598" s="2"/>
      <c r="AA1598" s="2"/>
      <c r="AB1598" s="2"/>
      <c r="AC1598" s="2"/>
    </row>
    <row r="1599" spans="1:29" ht="10.5" hidden="1">
      <c r="A1599" s="2">
        <f>A1598</f>
        <v>46</v>
      </c>
      <c r="B1599" s="2" t="str">
        <f>VLOOKUP($A1599,Controle!$B$4:$F$68,2,FALSE)</f>
        <v>Campo Belo 5</v>
      </c>
      <c r="C1599" s="2" t="str">
        <f>VLOOKUP($A1599,Controle!$B$4:$F$68,3,FALSE)</f>
        <v>MORI MINAS IV</v>
      </c>
      <c r="D1599" s="2" t="str">
        <f>VLOOKUP($A1599,Controle!$B$4:$F$68,4,FALSE)</f>
        <v>NewCo IV</v>
      </c>
      <c r="E1599" s="2">
        <f>VLOOKUP($A1599,Controle!$B$4:$F$68,5,FALSE)</f>
        <v>1</v>
      </c>
      <c r="F1599" s="3" t="str">
        <f>F1564</f>
        <v>Escopo COMERC</v>
      </c>
      <c r="G1599" s="2" t="str">
        <f>VLOOKUP($A1599,Controle!$B$4:$G$68,6,FALSE)</f>
        <v>Solatio</v>
      </c>
      <c r="H1599" s="6">
        <v>0</v>
      </c>
      <c r="I1599" s="6">
        <v>97844.049999999988</v>
      </c>
      <c r="J1599" s="29">
        <v>137200</v>
      </c>
      <c r="K1599" s="29"/>
      <c r="L1599" s="6">
        <v>0</v>
      </c>
      <c r="M1599" s="6">
        <v>0</v>
      </c>
      <c r="N1599" s="6">
        <v>0</v>
      </c>
      <c r="O1599" s="4">
        <f>SUM(I1599:N1599)</f>
        <v>235044.05</v>
      </c>
      <c r="P1599" s="5">
        <f>SUMIFS('Desenvolvimento diário'!$H:$H,'Desenvolvimento diário'!$Q:$Q,$B1599,'Desenvolvimento diário'!$P:$P,$F1599,'Desenvolvimento diário'!$R:$R,"Sim")</f>
        <v>0</v>
      </c>
      <c r="Q1599" s="5">
        <f>SUMIFS('Desenvolvimento diário'!$H:$H,'Desenvolvimento diário'!$Q:$Q,$B1599,'Desenvolvimento diário'!$P:$P,$F1599,'Desenvolvimento diário'!$R:$R,"Não")</f>
        <v>101842.82999999999</v>
      </c>
      <c r="R1599" s="4">
        <f>SUM(P1599:Q1599)</f>
        <v>101842.82999999999</v>
      </c>
      <c r="S1599" s="1010">
        <f>O1599-R1599</f>
        <v>133201.22</v>
      </c>
      <c r="T1599" s="12">
        <f>IFERROR(R1599/O1599,0)</f>
        <v>0.43329252537981705</v>
      </c>
      <c r="U1599" s="1011" t="s">
        <v>166</v>
      </c>
      <c r="V1599" s="1011" t="s">
        <v>167</v>
      </c>
      <c r="Y1599" s="2"/>
      <c r="Z1599" s="2"/>
      <c r="AA1599" s="2"/>
      <c r="AB1599" s="2"/>
      <c r="AC1599" s="2"/>
    </row>
    <row r="1600" spans="1:29" ht="10.5" hidden="1">
      <c r="A1600" s="2">
        <f>A1599</f>
        <v>46</v>
      </c>
      <c r="B1600" s="2" t="str">
        <f>VLOOKUP($A1600,Controle!$B$4:$F$68,2,FALSE)</f>
        <v>Campo Belo 5</v>
      </c>
      <c r="C1600" s="2" t="str">
        <f>VLOOKUP($A1600,Controle!$B$4:$F$68,3,FALSE)</f>
        <v>MORI MINAS IV</v>
      </c>
      <c r="D1600" s="2" t="str">
        <f>VLOOKUP($A1600,Controle!$B$4:$F$68,4,FALSE)</f>
        <v>NewCo IV</v>
      </c>
      <c r="E1600" s="2">
        <f>VLOOKUP($A1600,Controle!$B$4:$F$68,5,FALSE)</f>
        <v>1</v>
      </c>
      <c r="F1600" s="3" t="str">
        <f>F1565</f>
        <v>Escopo COMERC - Segurança</v>
      </c>
      <c r="G1600" s="2" t="str">
        <f>VLOOKUP($A1600,Controle!$B$4:$G$68,6,FALSE)</f>
        <v>Solatio</v>
      </c>
      <c r="H1600" s="6">
        <v>0</v>
      </c>
      <c r="I1600" s="6">
        <f>R1600</f>
        <v>279474.53000000003</v>
      </c>
      <c r="J1600" s="6">
        <v>0</v>
      </c>
      <c r="K1600" s="6">
        <v>0</v>
      </c>
      <c r="L1600" s="6">
        <v>0</v>
      </c>
      <c r="M1600" s="6">
        <v>0</v>
      </c>
      <c r="N1600" s="6">
        <v>0</v>
      </c>
      <c r="O1600" s="4">
        <f>SUM(I1600:N1600)</f>
        <v>279474.53000000003</v>
      </c>
      <c r="P1600" s="5">
        <f>SUMIFS('Desenvolvimento diário'!$H:$H,'Desenvolvimento diário'!$Q:$Q,$B1600,'Desenvolvimento diário'!$P:$P,$F1600,'Desenvolvimento diário'!$R:$R,"Sim")</f>
        <v>0</v>
      </c>
      <c r="Q1600" s="5">
        <f>SUMIFS('Desenvolvimento diário'!$H:$H,'Desenvolvimento diário'!$Q:$Q,$B1600,'Desenvolvimento diário'!$P:$P,$F1600,'Desenvolvimento diário'!$R:$R,"Não")</f>
        <v>279474.53000000003</v>
      </c>
      <c r="R1600" s="4">
        <f>SUM(P1600:Q1600)</f>
        <v>279474.53000000003</v>
      </c>
      <c r="S1600" s="4">
        <f>O1600-R1600</f>
        <v>0</v>
      </c>
      <c r="T1600" s="12">
        <f>IFERROR(R1600/O1600,0)</f>
        <v>1</v>
      </c>
      <c r="Y1600" s="2"/>
      <c r="Z1600" s="2"/>
      <c r="AA1600" s="2"/>
      <c r="AB1600" s="2"/>
      <c r="AC1600" s="2"/>
    </row>
    <row r="1601" spans="1:29" ht="10.5" hidden="1">
      <c r="A1601" s="2">
        <f>A1600</f>
        <v>46</v>
      </c>
      <c r="B1601" s="2" t="str">
        <f>VLOOKUP($A1601,Controle!$B$4:$F$68,2,FALSE)</f>
        <v>Campo Belo 5</v>
      </c>
      <c r="C1601" s="2" t="str">
        <f>VLOOKUP($A1601,Controle!$B$4:$F$68,3,FALSE)</f>
        <v>MORI MINAS IV</v>
      </c>
      <c r="D1601" s="2" t="str">
        <f>VLOOKUP($A1601,Controle!$B$4:$F$68,4,FALSE)</f>
        <v>NewCo IV</v>
      </c>
      <c r="E1601" s="2">
        <f>VLOOKUP($A1601,Controle!$B$4:$F$68,5,FALSE)</f>
        <v>1</v>
      </c>
      <c r="F1601" s="3" t="str">
        <f>F1566</f>
        <v>Conexão MT - Obras Transferencia</v>
      </c>
      <c r="G1601" s="2" t="str">
        <f>VLOOKUP($A1601,Controle!$B$4:$G$68,6,FALSE)</f>
        <v>Solatio</v>
      </c>
      <c r="H1601" s="6">
        <v>0</v>
      </c>
      <c r="I1601" s="6">
        <v>0</v>
      </c>
      <c r="J1601" s="6">
        <v>0</v>
      </c>
      <c r="K1601" s="6">
        <v>0</v>
      </c>
      <c r="L1601" s="6">
        <v>0</v>
      </c>
      <c r="M1601" s="6">
        <v>0</v>
      </c>
      <c r="N1601" s="6">
        <v>0</v>
      </c>
      <c r="O1601" s="4">
        <f>SUM(I1601:N1601)</f>
        <v>0</v>
      </c>
      <c r="P1601" s="5">
        <f>SUMIFS('Desenvolvimento diário'!$H:$H,'Desenvolvimento diário'!$Q:$Q,$B1601,'Desenvolvimento diário'!$P:$P,$F1601,'Desenvolvimento diário'!$R:$R,"Sim")</f>
        <v>0</v>
      </c>
      <c r="Q1601" s="5">
        <f>SUMIFS('Desenvolvimento diário'!$H:$H,'Desenvolvimento diário'!$Q:$Q,$B1601,'Desenvolvimento diário'!$P:$P,$F1601,'Desenvolvimento diário'!$R:$R,"Não")</f>
        <v>0</v>
      </c>
      <c r="R1601" s="4">
        <f>SUM(P1601:Q1601)</f>
        <v>0</v>
      </c>
      <c r="S1601" s="4">
        <f>O1601-R1601</f>
        <v>0</v>
      </c>
      <c r="T1601" s="12">
        <f>IFERROR(R1601/O1601,0)</f>
        <v>0</v>
      </c>
      <c r="Y1601" s="2"/>
      <c r="Z1601" s="2"/>
      <c r="AA1601" s="2"/>
      <c r="AB1601" s="2"/>
      <c r="AC1601" s="2"/>
    </row>
    <row r="1602" spans="1:29" ht="10.5" hidden="1">
      <c r="A1602" s="2">
        <f>A1601</f>
        <v>46</v>
      </c>
      <c r="B1602" s="2" t="str">
        <f>VLOOKUP($A1602,Controle!$B$4:$F$68,2,FALSE)</f>
        <v>Campo Belo 5</v>
      </c>
      <c r="C1602" s="2" t="str">
        <f>VLOOKUP($A1602,Controle!$B$4:$F$68,3,FALSE)</f>
        <v>MORI MINAS IV</v>
      </c>
      <c r="D1602" s="2" t="str">
        <f>VLOOKUP($A1602,Controle!$B$4:$F$68,4,FALSE)</f>
        <v>NewCo IV</v>
      </c>
      <c r="E1602" s="2">
        <f>VLOOKUP($A1602,Controle!$B$4:$F$68,5,FALSE)</f>
        <v>1</v>
      </c>
      <c r="F1602" s="3" t="str">
        <f>F1567</f>
        <v>Bases de Contaniers</v>
      </c>
      <c r="G1602" s="2" t="str">
        <f>VLOOKUP($A1602,Controle!$B$4:$G$68,6,FALSE)</f>
        <v>Solatio</v>
      </c>
      <c r="H1602" s="6">
        <v>0</v>
      </c>
      <c r="I1602" s="6">
        <v>0</v>
      </c>
      <c r="J1602" s="6">
        <v>0</v>
      </c>
      <c r="K1602" s="6">
        <v>0</v>
      </c>
      <c r="L1602" s="6">
        <v>0</v>
      </c>
      <c r="M1602" s="6">
        <v>0</v>
      </c>
      <c r="N1602" s="6">
        <v>0</v>
      </c>
      <c r="O1602" s="4">
        <f>SUM(I1602:N1602)</f>
        <v>0</v>
      </c>
      <c r="P1602" s="5">
        <f>SUMIFS('Desenvolvimento diário'!$H:$H,'Desenvolvimento diário'!$Q:$Q,$B1602,'Desenvolvimento diário'!$P:$P,$F1602,'Desenvolvimento diário'!$R:$R,"Sim")</f>
        <v>0</v>
      </c>
      <c r="Q1602" s="5">
        <f>SUMIFS('Desenvolvimento diário'!$H:$H,'Desenvolvimento diário'!$Q:$Q,$B1602,'Desenvolvimento diário'!$P:$P,$F1602,'Desenvolvimento diário'!$R:$R,"Não")</f>
        <v>0</v>
      </c>
      <c r="R1602" s="4">
        <f>SUM(P1602:Q1602)</f>
        <v>0</v>
      </c>
      <c r="S1602" s="4">
        <f>O1602-R1602</f>
        <v>0</v>
      </c>
      <c r="T1602" s="12">
        <f>IFERROR(R1602/O1602,0)</f>
        <v>0</v>
      </c>
      <c r="Y1602" s="2"/>
      <c r="Z1602" s="2"/>
      <c r="AA1602" s="2"/>
      <c r="AB1602" s="2"/>
      <c r="AC1602" s="2"/>
    </row>
    <row r="1603" spans="1:29" ht="10.5" hidden="1">
      <c r="A1603" s="2">
        <f>A1602</f>
        <v>46</v>
      </c>
      <c r="B1603" s="2" t="str">
        <f>VLOOKUP($A1603,Controle!$B$4:$F$68,2,FALSE)</f>
        <v>Campo Belo 5</v>
      </c>
      <c r="C1603" s="2" t="str">
        <f>VLOOKUP($A1603,Controle!$B$4:$F$68,3,FALSE)</f>
        <v>MORI MINAS IV</v>
      </c>
      <c r="D1603" s="2" t="str">
        <f>VLOOKUP($A1603,Controle!$B$4:$F$68,4,FALSE)</f>
        <v>NewCo IV</v>
      </c>
      <c r="E1603" s="2">
        <f>VLOOKUP($A1603,Controle!$B$4:$F$68,5,FALSE)</f>
        <v>1</v>
      </c>
      <c r="F1603" s="3" t="str">
        <f>F1568</f>
        <v>Construção - Serviços de Construção - Ase Engenharia</v>
      </c>
      <c r="G1603" s="2" t="str">
        <f>VLOOKUP($A1603,Controle!$B$4:$G$68,6,FALSE)</f>
        <v>Solatio</v>
      </c>
      <c r="H1603" s="6">
        <v>0</v>
      </c>
      <c r="I1603" s="6">
        <v>0</v>
      </c>
      <c r="J1603" s="6">
        <v>0</v>
      </c>
      <c r="K1603" s="6">
        <v>0</v>
      </c>
      <c r="L1603" s="6">
        <v>0</v>
      </c>
      <c r="M1603" s="6">
        <v>0</v>
      </c>
      <c r="N1603" s="6">
        <v>0</v>
      </c>
      <c r="O1603" s="4">
        <f>SUM(I1603:N1603)</f>
        <v>0</v>
      </c>
      <c r="P1603" s="5">
        <f>SUMIFS('Desenvolvimento diário'!$H:$H,'Desenvolvimento diário'!$Q:$Q,$B1603,'Desenvolvimento diário'!$P:$P,$F1603,'Desenvolvimento diário'!$R:$R,"Sim")</f>
        <v>0</v>
      </c>
      <c r="Q1603" s="5">
        <f>SUMIFS('Desenvolvimento diário'!$H:$H,'Desenvolvimento diário'!$Q:$Q,$B1603,'Desenvolvimento diário'!$P:$P,$F1603,'Desenvolvimento diário'!$R:$R,"Não")</f>
        <v>0</v>
      </c>
      <c r="R1603" s="4">
        <f>SUM(P1603:Q1603)</f>
        <v>0</v>
      </c>
      <c r="S1603" s="4">
        <f>O1603-R1603</f>
        <v>0</v>
      </c>
      <c r="T1603" s="12">
        <f>IFERROR(R1603/O1603,0)</f>
        <v>0</v>
      </c>
      <c r="Y1603" s="2"/>
      <c r="Z1603" s="2"/>
      <c r="AA1603" s="2"/>
      <c r="AB1603" s="2"/>
      <c r="AC1603" s="2"/>
    </row>
    <row r="1604" spans="1:29" ht="10.5" hidden="1">
      <c r="A1604" s="2">
        <f>A1603</f>
        <v>46</v>
      </c>
      <c r="B1604" s="2" t="str">
        <f>VLOOKUP($A1604,Controle!$B$4:$F$68,2,FALSE)</f>
        <v>Campo Belo 5</v>
      </c>
      <c r="C1604" s="2" t="str">
        <f>VLOOKUP($A1604,Controle!$B$4:$F$68,3,FALSE)</f>
        <v>MORI MINAS IV</v>
      </c>
      <c r="D1604" s="2" t="str">
        <f>VLOOKUP($A1604,Controle!$B$4:$F$68,4,FALSE)</f>
        <v>NewCo IV</v>
      </c>
      <c r="E1604" s="2">
        <f>VLOOKUP($A1604,Controle!$B$4:$F$68,5,FALSE)</f>
        <v>1</v>
      </c>
      <c r="F1604" s="3" t="str">
        <f>F1569</f>
        <v>Full EPC - Contrato Sobressalentes</v>
      </c>
      <c r="G1604" s="2" t="str">
        <f>VLOOKUP($A1604,Controle!$B$4:$G$68,6,FALSE)</f>
        <v>Solatio</v>
      </c>
      <c r="H1604" s="6">
        <v>0</v>
      </c>
      <c r="I1604" s="6">
        <v>0</v>
      </c>
      <c r="J1604" s="6">
        <v>0</v>
      </c>
      <c r="K1604" s="6">
        <v>0</v>
      </c>
      <c r="L1604" s="6">
        <v>0</v>
      </c>
      <c r="M1604" s="6">
        <v>0</v>
      </c>
      <c r="N1604" s="6">
        <v>0</v>
      </c>
      <c r="O1604" s="4">
        <f>SUM(I1604:N1604)</f>
        <v>0</v>
      </c>
      <c r="P1604" s="5">
        <f>SUMIFS('Desenvolvimento diário'!$H:$H,'Desenvolvimento diário'!$Q:$Q,$B1604,'Desenvolvimento diário'!$P:$P,$F1604,'Desenvolvimento diário'!$R:$R,"Sim")</f>
        <v>0</v>
      </c>
      <c r="Q1604" s="5">
        <f>SUMIFS('Desenvolvimento diário'!$H:$H,'Desenvolvimento diário'!$Q:$Q,$B1604,'Desenvolvimento diário'!$P:$P,$F1604,'Desenvolvimento diário'!$R:$R,"Não")</f>
        <v>0</v>
      </c>
      <c r="R1604" s="4">
        <f>SUM(P1604:Q1604)</f>
        <v>0</v>
      </c>
      <c r="S1604" s="4">
        <f>O1604-R1604</f>
        <v>0</v>
      </c>
      <c r="T1604" s="12">
        <f>IFERROR(R1604/O1604,0)</f>
        <v>0</v>
      </c>
      <c r="Y1604" s="2"/>
      <c r="Z1604" s="2"/>
      <c r="AA1604" s="2"/>
      <c r="AB1604" s="2"/>
      <c r="AC1604" s="2"/>
    </row>
    <row r="1605" spans="1:29" ht="10.5" hidden="1">
      <c r="A1605" s="2">
        <f>A1604</f>
        <v>46</v>
      </c>
      <c r="B1605" s="2" t="str">
        <f>VLOOKUP($A1605,Controle!$B$4:$F$68,2,FALSE)</f>
        <v>Campo Belo 5</v>
      </c>
      <c r="C1605" s="2" t="str">
        <f>VLOOKUP($A1605,Controle!$B$4:$F$68,3,FALSE)</f>
        <v>MORI MINAS IV</v>
      </c>
      <c r="D1605" s="2" t="str">
        <f>VLOOKUP($A1605,Controle!$B$4:$F$68,4,FALSE)</f>
        <v>NewCo IV</v>
      </c>
      <c r="E1605" s="2">
        <f>VLOOKUP($A1605,Controle!$B$4:$F$68,5,FALSE)</f>
        <v>1</v>
      </c>
      <c r="F1605" s="3" t="str">
        <f>F1570</f>
        <v>Construção - Serviços de Construção - NOVA MORADA</v>
      </c>
      <c r="G1605" s="2" t="str">
        <f>VLOOKUP($A1605,Controle!$B$4:$G$68,6,FALSE)</f>
        <v>Solatio</v>
      </c>
      <c r="H1605" s="6">
        <v>0</v>
      </c>
      <c r="I1605" s="6">
        <v>0</v>
      </c>
      <c r="J1605" s="6">
        <v>0</v>
      </c>
      <c r="K1605" s="6">
        <v>0</v>
      </c>
      <c r="L1605" s="6">
        <v>0</v>
      </c>
      <c r="M1605" s="6">
        <v>0</v>
      </c>
      <c r="N1605" s="6">
        <v>0</v>
      </c>
      <c r="O1605" s="4">
        <f>SUM(I1605:N1605)</f>
        <v>0</v>
      </c>
      <c r="P1605" s="5">
        <f>SUMIFS('Desenvolvimento diário'!$H:$H,'Desenvolvimento diário'!$Q:$Q,$B1605,'Desenvolvimento diário'!$P:$P,$F1605,'Desenvolvimento diário'!$R:$R,"Sim")</f>
        <v>0</v>
      </c>
      <c r="Q1605" s="5">
        <f>SUMIFS('Desenvolvimento diário'!$H:$H,'Desenvolvimento diário'!$Q:$Q,$B1605,'Desenvolvimento diário'!$P:$P,$F1605,'Desenvolvimento diário'!$R:$R,"Não")</f>
        <v>0</v>
      </c>
      <c r="R1605" s="4">
        <f>SUM(P1605:Q1605)</f>
        <v>0</v>
      </c>
      <c r="S1605" s="4">
        <f>O1605-R1605</f>
        <v>0</v>
      </c>
      <c r="T1605" s="12">
        <f>IFERROR(R1605/O1605,0)</f>
        <v>0</v>
      </c>
      <c r="Y1605" s="2"/>
      <c r="Z1605" s="2"/>
      <c r="AA1605" s="2"/>
      <c r="AB1605" s="2"/>
      <c r="AC1605" s="2"/>
    </row>
    <row r="1606" spans="1:29" ht="10.5" hidden="1">
      <c r="A1606" s="2">
        <f>A1605</f>
        <v>46</v>
      </c>
      <c r="B1606" s="2" t="str">
        <f>VLOOKUP($A1606,Controle!$B$4:$F$68,2,FALSE)</f>
        <v>Campo Belo 5</v>
      </c>
      <c r="C1606" s="2" t="str">
        <f>VLOOKUP($A1606,Controle!$B$4:$F$68,3,FALSE)</f>
        <v>MORI MINAS IV</v>
      </c>
      <c r="D1606" s="2" t="str">
        <f>VLOOKUP($A1606,Controle!$B$4:$F$68,4,FALSE)</f>
        <v>NewCo IV</v>
      </c>
      <c r="E1606" s="2">
        <f>VLOOKUP($A1606,Controle!$B$4:$F$68,5,FALSE)</f>
        <v>1</v>
      </c>
      <c r="F1606" s="3" t="str">
        <f>F1571</f>
        <v>Equipamentos Curva A -  Contrato Sobressalentes - SETTA</v>
      </c>
      <c r="G1606" s="2" t="str">
        <f>VLOOKUP($A1606,Controle!$B$4:$G$68,6,FALSE)</f>
        <v>Solatio</v>
      </c>
      <c r="H1606" s="6">
        <v>0</v>
      </c>
      <c r="I1606" s="6">
        <v>0</v>
      </c>
      <c r="J1606" s="6">
        <v>0</v>
      </c>
      <c r="K1606" s="6">
        <v>0</v>
      </c>
      <c r="L1606" s="6">
        <v>0</v>
      </c>
      <c r="M1606" s="6">
        <v>0</v>
      </c>
      <c r="N1606" s="6">
        <v>0</v>
      </c>
      <c r="O1606" s="4">
        <f>SUM(I1606:N1606)</f>
        <v>0</v>
      </c>
      <c r="P1606" s="5">
        <f>SUMIFS('Desenvolvimento diário'!$H:$H,'Desenvolvimento diário'!$Q:$Q,$B1606,'Desenvolvimento diário'!$P:$P,$F1606,'Desenvolvimento diário'!$R:$R,"Sim")</f>
        <v>0</v>
      </c>
      <c r="Q1606" s="5">
        <f>SUMIFS('Desenvolvimento diário'!$H:$H,'Desenvolvimento diário'!$Q:$Q,$B1606,'Desenvolvimento diário'!$P:$P,$F1606,'Desenvolvimento diário'!$R:$R,"Não")</f>
        <v>0</v>
      </c>
      <c r="R1606" s="4">
        <f>SUM(P1606:Q1606)</f>
        <v>0</v>
      </c>
      <c r="S1606" s="4">
        <f>O1606-R1606</f>
        <v>0</v>
      </c>
      <c r="T1606" s="12">
        <f>IFERROR(R1606/O1606,0)</f>
        <v>0</v>
      </c>
      <c r="Y1606" s="2"/>
      <c r="Z1606" s="2"/>
      <c r="AA1606" s="2"/>
      <c r="AB1606" s="2"/>
      <c r="AC1606" s="2"/>
    </row>
    <row r="1607" spans="1:29" ht="10.5" hidden="1">
      <c r="A1607" s="2">
        <f>A1606</f>
        <v>46</v>
      </c>
      <c r="B1607" s="2" t="str">
        <f>VLOOKUP($A1607,Controle!$B$4:$F$68,2,FALSE)</f>
        <v>Campo Belo 5</v>
      </c>
      <c r="C1607" s="2" t="str">
        <f>VLOOKUP($A1607,Controle!$B$4:$F$68,3,FALSE)</f>
        <v>MORI MINAS IV</v>
      </c>
      <c r="D1607" s="2" t="str">
        <f>VLOOKUP($A1607,Controle!$B$4:$F$68,4,FALSE)</f>
        <v>NewCo IV</v>
      </c>
      <c r="E1607" s="2">
        <f>VLOOKUP($A1607,Controle!$B$4:$F$68,5,FALSE)</f>
        <v>1</v>
      </c>
      <c r="F1607" s="3" t="str">
        <f>F1572</f>
        <v>Equipamentos Curva A -  Contrato Sobressalentes - Arctech</v>
      </c>
      <c r="G1607" s="2" t="str">
        <f>VLOOKUP($A1607,Controle!$B$4:$G$68,6,FALSE)</f>
        <v>Solatio</v>
      </c>
      <c r="H1607" s="6">
        <v>0</v>
      </c>
      <c r="I1607" s="6">
        <v>0</v>
      </c>
      <c r="J1607" s="6">
        <v>0</v>
      </c>
      <c r="K1607" s="6">
        <v>0</v>
      </c>
      <c r="L1607" s="6">
        <v>0</v>
      </c>
      <c r="M1607" s="6">
        <v>0</v>
      </c>
      <c r="N1607" s="6">
        <v>0</v>
      </c>
      <c r="O1607" s="4">
        <f>SUM(I1607:N1607)</f>
        <v>0</v>
      </c>
      <c r="P1607" s="5">
        <f>SUMIFS('Desenvolvimento diário'!$H:$H,'Desenvolvimento diário'!$Q:$Q,$B1607,'Desenvolvimento diário'!$P:$P,$F1607,'Desenvolvimento diário'!$R:$R,"Sim")</f>
        <v>0</v>
      </c>
      <c r="Q1607" s="5">
        <f>SUMIFS('Desenvolvimento diário'!$H:$H,'Desenvolvimento diário'!$Q:$Q,$B1607,'Desenvolvimento diário'!$P:$P,$F1607,'Desenvolvimento diário'!$R:$R,"Não")</f>
        <v>0</v>
      </c>
      <c r="R1607" s="4">
        <f>SUM(P1607:Q1607)</f>
        <v>0</v>
      </c>
      <c r="S1607" s="4">
        <f>O1607-R1607</f>
        <v>0</v>
      </c>
      <c r="T1607" s="12">
        <f>IFERROR(R1607/O1607,0)</f>
        <v>0</v>
      </c>
      <c r="Y1607" s="2"/>
      <c r="Z1607" s="2"/>
      <c r="AA1607" s="2"/>
      <c r="AB1607" s="2"/>
      <c r="AC1607" s="2"/>
    </row>
    <row r="1608" spans="1:29" hidden="1">
      <c r="A1608" s="2">
        <f>A1607</f>
        <v>46</v>
      </c>
      <c r="B1608" s="2" t="str">
        <f>VLOOKUP($A1608,Controle!$B$4:$F$68,2,FALSE)</f>
        <v>Campo Belo 5</v>
      </c>
      <c r="C1608" s="2" t="str">
        <f>VLOOKUP($A1608,Controle!$B$4:$F$68,3,FALSE)</f>
        <v>MORI MINAS IV</v>
      </c>
      <c r="D1608" s="2" t="str">
        <f>VLOOKUP($A1608,Controle!$B$4:$F$68,4,FALSE)</f>
        <v>NewCo IV</v>
      </c>
      <c r="E1608" s="2">
        <f>VLOOKUP($A1608,Controle!$B$4:$F$68,5,FALSE)</f>
        <v>1</v>
      </c>
      <c r="F1608" s="3" t="str">
        <f>F1573</f>
        <v>Equipamentos Curva A -  Contrato Sobressalentes - Romagnole</v>
      </c>
      <c r="G1608" s="2" t="str">
        <f>VLOOKUP($A1608,Controle!$B$4:$G$68,6,FALSE)</f>
        <v>Solatio</v>
      </c>
      <c r="H1608" s="7">
        <v>0</v>
      </c>
      <c r="I1608" s="7">
        <v>0</v>
      </c>
      <c r="J1608" s="7">
        <v>0</v>
      </c>
      <c r="K1608" s="7">
        <v>0</v>
      </c>
      <c r="L1608" s="7">
        <v>0</v>
      </c>
      <c r="M1608" s="7">
        <v>0</v>
      </c>
      <c r="N1608" s="7">
        <v>0</v>
      </c>
      <c r="O1608" s="4">
        <f>SUM(I1608:N1608)</f>
        <v>0</v>
      </c>
      <c r="P1608" s="17">
        <f>SUMIFS('Desenvolvimento diário'!$H:$H,'Desenvolvimento diário'!$Q:$Q,$B1608,'Desenvolvimento diário'!$P:$P,$F1608,'Desenvolvimento diário'!$R:$R,"Sim")</f>
        <v>0</v>
      </c>
      <c r="Q1608" s="17">
        <f>SUMIFS('Desenvolvimento diário'!$H:$H,'Desenvolvimento diário'!$Q:$Q,$B1608,'Desenvolvimento diário'!$P:$P,$F1608,'Desenvolvimento diário'!$R:$R,"Não")</f>
        <v>0</v>
      </c>
      <c r="R1608" s="4">
        <f>SUM(P1608:Q1608)</f>
        <v>0</v>
      </c>
      <c r="S1608" s="4">
        <f>O1608-R1608</f>
        <v>0</v>
      </c>
      <c r="T1608" s="12">
        <f>IFERROR(R1608/O1608,0)</f>
        <v>0</v>
      </c>
      <c r="Y1608" s="2"/>
      <c r="Z1608" s="2"/>
      <c r="AA1608" s="2"/>
      <c r="AB1608" s="2"/>
      <c r="AC1608" s="2"/>
    </row>
    <row r="1609" spans="1:29" hidden="1">
      <c r="A1609" s="2">
        <f t="shared" ref="A1609:A1610" si="533">A1608</f>
        <v>46</v>
      </c>
      <c r="B1609" s="2" t="str">
        <f>VLOOKUP($A1609,Controle!$B$4:$F$68,2,FALSE)</f>
        <v>Campo Belo 5</v>
      </c>
      <c r="C1609" s="2" t="str">
        <f>VLOOKUP($A1609,Controle!$B$4:$F$68,3,FALSE)</f>
        <v>MORI MINAS IV</v>
      </c>
      <c r="D1609" s="2" t="str">
        <f>VLOOKUP($A1609,Controle!$B$4:$F$68,4,FALSE)</f>
        <v>NewCo IV</v>
      </c>
      <c r="E1609" s="2">
        <f>VLOOKUP($A1609,Controle!$B$4:$F$68,5,FALSE)</f>
        <v>1</v>
      </c>
      <c r="F1609" s="3" t="str">
        <f t="shared" ref="F1609:F1610" si="534">F1574</f>
        <v>GOS FLORESTAL - (PRAD - Recuperação Area Ambiental)</v>
      </c>
      <c r="G1609" s="2" t="str">
        <f>VLOOKUP($A1609,Controle!$B$4:$G$68,6,FALSE)</f>
        <v>Solatio</v>
      </c>
      <c r="H1609" s="506" t="s">
        <v>170</v>
      </c>
      <c r="I1609" s="6">
        <v>449280</v>
      </c>
      <c r="J1609" s="506"/>
      <c r="K1609" s="506">
        <v>0</v>
      </c>
      <c r="L1609" s="506">
        <v>0</v>
      </c>
      <c r="M1609" s="506">
        <v>0</v>
      </c>
      <c r="N1609" s="506">
        <v>0</v>
      </c>
      <c r="O1609" s="39">
        <f t="shared" ref="O1609:O1610" si="535">SUM(I1609:N1609)</f>
        <v>449280</v>
      </c>
      <c r="P1609" s="17">
        <f>SUMIFS('Desenvolvimento diário'!$H:$H,'Desenvolvimento diário'!$Q:$Q,$B1609,'Desenvolvimento diário'!$P:$P,$F1609,'Desenvolvimento diário'!$R:$R,"Sim")</f>
        <v>0</v>
      </c>
      <c r="Q1609" s="17">
        <f>SUMIFS('Desenvolvimento diário'!$H:$H,'Desenvolvimento diário'!$Q:$Q,$B1609,'Desenvolvimento diário'!$P:$P,$F1609,'Desenvolvimento diário'!$R:$R,"Não")</f>
        <v>449280</v>
      </c>
      <c r="R1609" s="4">
        <f t="shared" ref="R1609" si="536">SUM(P1609:Q1609)</f>
        <v>449280</v>
      </c>
      <c r="S1609" s="1019">
        <f t="shared" ref="S1609:S1610" si="537">O1609-R1609</f>
        <v>0</v>
      </c>
      <c r="T1609" s="12">
        <f t="shared" ref="T1609:T1610" si="538">IFERROR(R1609/O1609,0)</f>
        <v>1</v>
      </c>
      <c r="U1609" s="1019" t="s">
        <v>166</v>
      </c>
      <c r="V1609" s="1041" t="s">
        <v>171</v>
      </c>
      <c r="Y1609" s="2"/>
      <c r="Z1609" s="2"/>
      <c r="AA1609" s="2"/>
      <c r="AB1609" s="2"/>
      <c r="AC1609" s="2"/>
    </row>
    <row r="1610" spans="1:29" hidden="1">
      <c r="A1610" s="2">
        <f t="shared" si="533"/>
        <v>46</v>
      </c>
      <c r="B1610" s="2" t="str">
        <f>VLOOKUP($A1610,Controle!$B$4:$F$68,2,FALSE)</f>
        <v>Campo Belo 5</v>
      </c>
      <c r="C1610" s="2" t="str">
        <f>VLOOKUP($A1610,Controle!$B$4:$F$68,3,FALSE)</f>
        <v>MORI MINAS IV</v>
      </c>
      <c r="D1610" s="2" t="str">
        <f>VLOOKUP($A1610,Controle!$B$4:$F$68,4,FALSE)</f>
        <v>NewCo IV</v>
      </c>
      <c r="E1610" s="2">
        <f>VLOOKUP($A1610,Controle!$B$4:$F$68,5,FALSE)</f>
        <v>1</v>
      </c>
      <c r="F1610" s="3" t="str">
        <f t="shared" si="534"/>
        <v>Cercamento das bacias de contenção ciclo 2</v>
      </c>
      <c r="G1610" s="2" t="str">
        <f>VLOOKUP($A1610,Controle!$B$4:$G$68,6,FALSE)</f>
        <v>Solatio</v>
      </c>
      <c r="H1610" s="506" t="s">
        <v>172</v>
      </c>
      <c r="I1610" s="6"/>
      <c r="J1610" s="506"/>
      <c r="K1610" s="506">
        <v>0</v>
      </c>
      <c r="L1610" s="506">
        <v>0</v>
      </c>
      <c r="M1610" s="506">
        <v>0</v>
      </c>
      <c r="N1610" s="506">
        <v>0</v>
      </c>
      <c r="O1610" s="39">
        <f t="shared" si="535"/>
        <v>0</v>
      </c>
      <c r="P1610" s="17">
        <f>SUMIFS('Desenvolvimento diário'!$H:$H,'Desenvolvimento diário'!$Q:$Q,$B1610,'Desenvolvimento diário'!$P:$P,$F1610,'Desenvolvimento diário'!$R:$R,"Sim")</f>
        <v>0</v>
      </c>
      <c r="Q1610" s="17">
        <f>SUMIFS('Desenvolvimento diário'!$H:$H,'Desenvolvimento diário'!$Q:$Q,$B1610,'Desenvolvimento diário'!$P:$P,$F1610,'Desenvolvimento diário'!$R:$R,"Não")</f>
        <v>0</v>
      </c>
      <c r="R1610" s="4">
        <f t="shared" ref="R1609:R1610" si="539">SUM(P1610:Q1610)</f>
        <v>0</v>
      </c>
      <c r="S1610" s="1030">
        <f>O1610-R1610</f>
        <v>0</v>
      </c>
      <c r="T1610" s="12">
        <f t="shared" si="538"/>
        <v>0</v>
      </c>
      <c r="U1610" s="1029" t="s">
        <v>166</v>
      </c>
      <c r="V1610" s="1029" t="s">
        <v>94</v>
      </c>
      <c r="Y1610" s="2"/>
      <c r="Z1610" s="2"/>
      <c r="AA1610" s="2"/>
      <c r="AB1610" s="2"/>
      <c r="AC1610" s="2"/>
    </row>
    <row r="1611" spans="1:29" hidden="1">
      <c r="A1611" s="8">
        <f>A1608</f>
        <v>46</v>
      </c>
      <c r="B1611" s="9" t="str">
        <f>B1608</f>
        <v>Campo Belo 5</v>
      </c>
      <c r="C1611" s="9" t="str">
        <f>C1608</f>
        <v>MORI MINAS IV</v>
      </c>
      <c r="D1611" s="9" t="str">
        <f>D1608</f>
        <v>NewCo IV</v>
      </c>
      <c r="E1611" s="9">
        <f>E1608</f>
        <v>1</v>
      </c>
      <c r="F1611" s="10" t="s">
        <v>158</v>
      </c>
      <c r="G1611" s="9" t="str">
        <f>G1608</f>
        <v>Solatio</v>
      </c>
      <c r="H1611" s="9"/>
      <c r="I1611" s="9">
        <f>SUBTOTAL(9,I1577:I1610)</f>
        <v>528205.34</v>
      </c>
      <c r="J1611" s="9">
        <f t="shared" ref="J1611:S1611" si="540">SUBTOTAL(9,J1577:J1610)</f>
        <v>1862545.85</v>
      </c>
      <c r="K1611" s="9">
        <f t="shared" si="540"/>
        <v>0</v>
      </c>
      <c r="L1611" s="9">
        <f t="shared" si="540"/>
        <v>0</v>
      </c>
      <c r="M1611" s="9">
        <f t="shared" si="540"/>
        <v>0</v>
      </c>
      <c r="N1611" s="9">
        <f t="shared" si="540"/>
        <v>0</v>
      </c>
      <c r="O1611" s="9">
        <f t="shared" si="540"/>
        <v>2390751.19</v>
      </c>
      <c r="P1611" s="9">
        <f t="shared" si="540"/>
        <v>0</v>
      </c>
      <c r="Q1611" s="9">
        <f t="shared" si="540"/>
        <v>2330205.15</v>
      </c>
      <c r="R1611" s="9">
        <f t="shared" si="540"/>
        <v>2330205.15</v>
      </c>
      <c r="S1611" s="9">
        <f t="shared" si="540"/>
        <v>60546.040000000037</v>
      </c>
      <c r="T1611" s="13">
        <f>IFERROR(R1611/O1611,0)</f>
        <v>0.9746748886905291</v>
      </c>
      <c r="U1611" s="11">
        <f>SUBTOTAL(9,U1577:U1610)</f>
        <v>0</v>
      </c>
      <c r="Y1611" s="2"/>
      <c r="Z1611" s="2"/>
      <c r="AA1611" s="2"/>
      <c r="AB1611" s="2"/>
      <c r="AC1611" s="2"/>
    </row>
    <row r="1612" spans="1:29" ht="10.5" hidden="1">
      <c r="A1612" s="2">
        <f>A1577+1</f>
        <v>47</v>
      </c>
      <c r="B1612" s="2" t="str">
        <f>VLOOKUP($A1612,Controle!$B$4:$F$68,2,FALSE)</f>
        <v>Cássia 1</v>
      </c>
      <c r="C1612" s="2" t="str">
        <f>VLOOKUP($A1612,Controle!$B$4:$F$68,3,FALSE)</f>
        <v>MORI MINAS IV</v>
      </c>
      <c r="D1612" s="2" t="str">
        <f>VLOOKUP($A1612,Controle!$B$4:$F$68,4,FALSE)</f>
        <v>NewCo IV</v>
      </c>
      <c r="E1612" s="2" t="str">
        <f>VLOOKUP($A1612,Controle!$B$4:$F$68,5,FALSE)</f>
        <v>Weg</v>
      </c>
      <c r="F1612" s="3" t="str">
        <f>F1577</f>
        <v>Conexão AT - Obras</v>
      </c>
      <c r="G1612" s="2" t="str">
        <f>VLOOKUP($A1612,Controle!$B$4:$G$68,6,FALSE)</f>
        <v>Solatio</v>
      </c>
      <c r="H1612" s="6" t="s">
        <v>141</v>
      </c>
      <c r="I1612" s="29">
        <v>497088.18</v>
      </c>
      <c r="J1612" s="6">
        <v>0</v>
      </c>
      <c r="K1612" s="6">
        <v>0</v>
      </c>
      <c r="L1612" s="6">
        <v>0</v>
      </c>
      <c r="M1612" s="6">
        <v>0</v>
      </c>
      <c r="N1612" s="6">
        <v>0</v>
      </c>
      <c r="O1612" s="4">
        <f>SUM(I1612:N1612)</f>
        <v>497088.18</v>
      </c>
      <c r="P1612" s="5">
        <f>SUMIFS('Desenvolvimento diário'!$H:$H,'Desenvolvimento diário'!$Q:$Q,$B1612,'Desenvolvimento diário'!$P:$P,$F1612,'Desenvolvimento diário'!$R:$R,"Sim")</f>
        <v>142193.29999999999</v>
      </c>
      <c r="Q1612" s="5">
        <f>SUMIFS('Desenvolvimento diário'!$H:$H,'Desenvolvimento diário'!$Q:$Q,$B1612,'Desenvolvimento diário'!$P:$P,$F1612,'Desenvolvimento diário'!$R:$R,"Não")</f>
        <v>354894.88</v>
      </c>
      <c r="R1612" s="4">
        <f>SUM(P1612:Q1612)</f>
        <v>497088.18</v>
      </c>
      <c r="S1612" s="4">
        <f>O1612-R1612</f>
        <v>0</v>
      </c>
      <c r="T1612" s="12">
        <f>IFERROR(R1612/O1612,0)</f>
        <v>1</v>
      </c>
      <c r="Y1612" s="2"/>
      <c r="Z1612" s="2"/>
      <c r="AA1612" s="2"/>
      <c r="AB1612" s="2"/>
      <c r="AC1612" s="2"/>
    </row>
    <row r="1613" spans="1:29" ht="10.5" hidden="1">
      <c r="A1613" s="2">
        <f>A1612</f>
        <v>47</v>
      </c>
      <c r="B1613" s="2" t="str">
        <f>VLOOKUP($A1613,Controle!$B$4:$F$68,2,FALSE)</f>
        <v>Cássia 1</v>
      </c>
      <c r="C1613" s="2" t="str">
        <f>VLOOKUP($A1613,Controle!$B$4:$F$68,3,FALSE)</f>
        <v>MORI MINAS IV</v>
      </c>
      <c r="D1613" s="2" t="str">
        <f>VLOOKUP($A1613,Controle!$B$4:$F$68,4,FALSE)</f>
        <v>NewCo IV</v>
      </c>
      <c r="E1613" s="2" t="str">
        <f>VLOOKUP($A1613,Controle!$B$4:$F$68,5,FALSE)</f>
        <v>Weg</v>
      </c>
      <c r="F1613" s="3" t="str">
        <f>F1578</f>
        <v>Conexão MT - Obras</v>
      </c>
      <c r="G1613" s="2" t="str">
        <f>VLOOKUP($A1613,Controle!$B$4:$G$68,6,FALSE)</f>
        <v>Solatio</v>
      </c>
      <c r="H1613" s="6" t="s">
        <v>141</v>
      </c>
      <c r="I1613" s="6">
        <v>741694.81</v>
      </c>
      <c r="J1613" s="6">
        <v>421474.67</v>
      </c>
      <c r="K1613" s="6">
        <v>151000</v>
      </c>
      <c r="L1613" s="6">
        <v>0</v>
      </c>
      <c r="M1613" s="6">
        <v>0</v>
      </c>
      <c r="N1613" s="6">
        <v>0</v>
      </c>
      <c r="O1613" s="4">
        <f>SUM(I1613:N1613)</f>
        <v>1314169.48</v>
      </c>
      <c r="P1613" s="5">
        <f>SUMIFS('Desenvolvimento diário'!$H:$H,'Desenvolvimento diário'!$Q:$Q,$B1613,'Desenvolvimento diário'!$P:$P,$F1613,'Desenvolvimento diário'!$R:$R,"Sim")</f>
        <v>454804.13</v>
      </c>
      <c r="Q1613" s="5">
        <f>SUMIFS('Desenvolvimento diário'!$H:$H,'Desenvolvimento diário'!$Q:$Q,$B1613,'Desenvolvimento diário'!$P:$P,$F1613,'Desenvolvimento diário'!$R:$R,"Não")</f>
        <v>859365.35000000009</v>
      </c>
      <c r="R1613" s="4">
        <f>SUM(P1613:Q1613)</f>
        <v>1314169.48</v>
      </c>
      <c r="S1613" s="4">
        <f>O1613-R1613</f>
        <v>0</v>
      </c>
      <c r="T1613" s="12">
        <f>IFERROR(R1613/O1613,0)</f>
        <v>1</v>
      </c>
      <c r="Y1613" s="2"/>
      <c r="Z1613" s="2"/>
      <c r="AA1613" s="2"/>
      <c r="AB1613" s="2"/>
      <c r="AC1613" s="2"/>
    </row>
    <row r="1614" spans="1:29" ht="10.5" hidden="1">
      <c r="A1614" s="2">
        <f>A1613</f>
        <v>47</v>
      </c>
      <c r="B1614" s="2" t="str">
        <f>VLOOKUP($A1614,Controle!$B$4:$F$68,2,FALSE)</f>
        <v>Cássia 1</v>
      </c>
      <c r="C1614" s="2" t="str">
        <f>VLOOKUP($A1614,Controle!$B$4:$F$68,3,FALSE)</f>
        <v>MORI MINAS IV</v>
      </c>
      <c r="D1614" s="2" t="str">
        <f>VLOOKUP($A1614,Controle!$B$4:$F$68,4,FALSE)</f>
        <v>NewCo IV</v>
      </c>
      <c r="E1614" s="2" t="str">
        <f>VLOOKUP($A1614,Controle!$B$4:$F$68,5,FALSE)</f>
        <v>Weg</v>
      </c>
      <c r="F1614" s="3" t="str">
        <f>F1579</f>
        <v>Construção - Serviços de Construção</v>
      </c>
      <c r="G1614" s="2" t="str">
        <f>VLOOKUP($A1614,Controle!$B$4:$G$68,6,FALSE)</f>
        <v>Solatio</v>
      </c>
      <c r="H1614" s="6">
        <v>0</v>
      </c>
      <c r="I1614" s="6">
        <v>0</v>
      </c>
      <c r="J1614" s="6">
        <v>0</v>
      </c>
      <c r="K1614" s="6">
        <v>0</v>
      </c>
      <c r="L1614" s="6">
        <v>0</v>
      </c>
      <c r="M1614" s="6">
        <v>0</v>
      </c>
      <c r="N1614" s="6">
        <v>0</v>
      </c>
      <c r="O1614" s="4">
        <f>SUM(I1614:N1614)</f>
        <v>0</v>
      </c>
      <c r="P1614" s="5">
        <f>SUMIFS('Desenvolvimento diário'!$H:$H,'Desenvolvimento diário'!$Q:$Q,$B1614,'Desenvolvimento diário'!$P:$P,$F1614,'Desenvolvimento diário'!$R:$R,"Sim")</f>
        <v>0</v>
      </c>
      <c r="Q1614" s="5">
        <f>SUMIFS('Desenvolvimento diário'!$H:$H,'Desenvolvimento diário'!$Q:$Q,$B1614,'Desenvolvimento diário'!$P:$P,$F1614,'Desenvolvimento diário'!$R:$R,"Não")</f>
        <v>0</v>
      </c>
      <c r="R1614" s="4">
        <f>SUM(P1614:Q1614)</f>
        <v>0</v>
      </c>
      <c r="S1614" s="4">
        <f>O1614-R1614</f>
        <v>0</v>
      </c>
      <c r="T1614" s="12">
        <f>IFERROR(R1614/O1614,0)</f>
        <v>0</v>
      </c>
      <c r="Y1614" s="2"/>
      <c r="Z1614" s="2"/>
      <c r="AA1614" s="2"/>
      <c r="AB1614" s="2"/>
      <c r="AC1614" s="2"/>
    </row>
    <row r="1615" spans="1:29" ht="10.5" hidden="1">
      <c r="A1615" s="2">
        <f>A1614</f>
        <v>47</v>
      </c>
      <c r="B1615" s="2" t="str">
        <f>VLOOKUP($A1615,Controle!$B$4:$F$68,2,FALSE)</f>
        <v>Cássia 1</v>
      </c>
      <c r="C1615" s="2" t="str">
        <f>VLOOKUP($A1615,Controle!$B$4:$F$68,3,FALSE)</f>
        <v>MORI MINAS IV</v>
      </c>
      <c r="D1615" s="2" t="str">
        <f>VLOOKUP($A1615,Controle!$B$4:$F$68,4,FALSE)</f>
        <v>NewCo IV</v>
      </c>
      <c r="E1615" s="2" t="str">
        <f>VLOOKUP($A1615,Controle!$B$4:$F$68,5,FALSE)</f>
        <v>Weg</v>
      </c>
      <c r="F1615" s="3" t="str">
        <f>F1580</f>
        <v>Construção - Serviços de Construção - Substituição</v>
      </c>
      <c r="G1615" s="2" t="str">
        <f>VLOOKUP($A1615,Controle!$B$4:$G$68,6,FALSE)</f>
        <v>Solatio</v>
      </c>
      <c r="H1615" s="6">
        <v>0</v>
      </c>
      <c r="I1615" s="6">
        <v>0</v>
      </c>
      <c r="J1615" s="6">
        <v>0</v>
      </c>
      <c r="K1615" s="6">
        <v>0</v>
      </c>
      <c r="L1615" s="6">
        <v>0</v>
      </c>
      <c r="M1615" s="6">
        <v>0</v>
      </c>
      <c r="N1615" s="6">
        <v>0</v>
      </c>
      <c r="O1615" s="4">
        <f>SUM(I1615:N1615)</f>
        <v>0</v>
      </c>
      <c r="P1615" s="5">
        <f>SUMIFS('Desenvolvimento diário'!$H:$H,'Desenvolvimento diário'!$Q:$Q,$B1615,'Desenvolvimento diário'!$P:$P,$F1615,'Desenvolvimento diário'!$R:$R,"Sim")</f>
        <v>0</v>
      </c>
      <c r="Q1615" s="5">
        <f>SUMIFS('Desenvolvimento diário'!$H:$H,'Desenvolvimento diário'!$Q:$Q,$B1615,'Desenvolvimento diário'!$P:$P,$F1615,'Desenvolvimento diário'!$R:$R,"Não")</f>
        <v>0</v>
      </c>
      <c r="R1615" s="4">
        <f>SUM(P1615:Q1615)</f>
        <v>0</v>
      </c>
      <c r="S1615" s="4">
        <f>O1615-R1615</f>
        <v>0</v>
      </c>
      <c r="T1615" s="12">
        <f>IFERROR(R1615/O1615,0)</f>
        <v>0</v>
      </c>
      <c r="Y1615" s="2"/>
      <c r="Z1615" s="2"/>
      <c r="AA1615" s="2"/>
      <c r="AB1615" s="2"/>
      <c r="AC1615" s="2"/>
    </row>
    <row r="1616" spans="1:29" ht="10.5" hidden="1">
      <c r="A1616" s="2">
        <f>A1615</f>
        <v>47</v>
      </c>
      <c r="B1616" s="2" t="str">
        <f>VLOOKUP($A1616,Controle!$B$4:$F$68,2,FALSE)</f>
        <v>Cássia 1</v>
      </c>
      <c r="C1616" s="2" t="str">
        <f>VLOOKUP($A1616,Controle!$B$4:$F$68,3,FALSE)</f>
        <v>MORI MINAS IV</v>
      </c>
      <c r="D1616" s="2" t="str">
        <f>VLOOKUP($A1616,Controle!$B$4:$F$68,4,FALSE)</f>
        <v>NewCo IV</v>
      </c>
      <c r="E1616" s="2" t="str">
        <f>VLOOKUP($A1616,Controle!$B$4:$F$68,5,FALSE)</f>
        <v>Weg</v>
      </c>
      <c r="F1616" s="3" t="str">
        <f>F1581</f>
        <v>Construção - RDA Interno</v>
      </c>
      <c r="G1616" s="2" t="str">
        <f>VLOOKUP($A1616,Controle!$B$4:$G$68,6,FALSE)</f>
        <v>Solatio</v>
      </c>
      <c r="H1616" s="6">
        <v>0</v>
      </c>
      <c r="I1616" s="6">
        <v>0</v>
      </c>
      <c r="J1616" s="6">
        <v>0</v>
      </c>
      <c r="K1616" s="6">
        <v>0</v>
      </c>
      <c r="L1616" s="6">
        <v>0</v>
      </c>
      <c r="M1616" s="6">
        <v>0</v>
      </c>
      <c r="N1616" s="6">
        <v>0</v>
      </c>
      <c r="O1616" s="4">
        <f>SUM(I1616:N1616)</f>
        <v>0</v>
      </c>
      <c r="P1616" s="5">
        <f>SUMIFS('Desenvolvimento diário'!$H:$H,'Desenvolvimento diário'!$Q:$Q,$B1616,'Desenvolvimento diário'!$P:$P,$F1616,'Desenvolvimento diário'!$R:$R,"Sim")</f>
        <v>0</v>
      </c>
      <c r="Q1616" s="5">
        <f>SUMIFS('Desenvolvimento diário'!$H:$H,'Desenvolvimento diário'!$Q:$Q,$B1616,'Desenvolvimento diário'!$P:$P,$F1616,'Desenvolvimento diário'!$R:$R,"Não")</f>
        <v>0</v>
      </c>
      <c r="R1616" s="4">
        <f>SUM(P1616:Q1616)</f>
        <v>0</v>
      </c>
      <c r="S1616" s="4">
        <f>O1616-R1616</f>
        <v>0</v>
      </c>
      <c r="T1616" s="12">
        <f>IFERROR(R1616/O1616,0)</f>
        <v>0</v>
      </c>
      <c r="Y1616" s="2"/>
      <c r="Z1616" s="2"/>
      <c r="AA1616" s="2"/>
      <c r="AB1616" s="2"/>
      <c r="AC1616" s="2"/>
    </row>
    <row r="1617" spans="1:29" ht="10.5" hidden="1">
      <c r="A1617" s="2">
        <f>A1616</f>
        <v>47</v>
      </c>
      <c r="B1617" s="2" t="str">
        <f>VLOOKUP($A1617,Controle!$B$4:$F$68,2,FALSE)</f>
        <v>Cássia 1</v>
      </c>
      <c r="C1617" s="2" t="str">
        <f>VLOOKUP($A1617,Controle!$B$4:$F$68,3,FALSE)</f>
        <v>MORI MINAS IV</v>
      </c>
      <c r="D1617" s="2" t="str">
        <f>VLOOKUP($A1617,Controle!$B$4:$F$68,4,FALSE)</f>
        <v>NewCo IV</v>
      </c>
      <c r="E1617" s="2" t="str">
        <f>VLOOKUP($A1617,Controle!$B$4:$F$68,5,FALSE)</f>
        <v>Weg</v>
      </c>
      <c r="F1617" s="3" t="str">
        <f>F1582</f>
        <v>Full EPC - Contrato</v>
      </c>
      <c r="G1617" s="2" t="str">
        <f>VLOOKUP($A1617,Controle!$B$4:$G$68,6,FALSE)</f>
        <v>Solatio</v>
      </c>
      <c r="H1617" s="6" t="s">
        <v>21</v>
      </c>
      <c r="I1617" s="6">
        <v>14646682.470000001</v>
      </c>
      <c r="J1617" s="6">
        <v>0</v>
      </c>
      <c r="K1617" s="6">
        <v>0</v>
      </c>
      <c r="L1617" s="6">
        <v>0</v>
      </c>
      <c r="M1617" s="6">
        <v>0</v>
      </c>
      <c r="N1617" s="6">
        <v>0</v>
      </c>
      <c r="O1617" s="4">
        <f>SUM(I1617:N1617)</f>
        <v>14646682.470000001</v>
      </c>
      <c r="P1617" s="5">
        <f>SUMIFS('Desenvolvimento diário'!$H:$H,'Desenvolvimento diário'!$Q:$Q,$B1617,'Desenvolvimento diário'!$P:$P,$F1617,'Desenvolvimento diário'!$R:$R,"Sim")</f>
        <v>0</v>
      </c>
      <c r="Q1617" s="5">
        <f>SUMIFS('Desenvolvimento diário'!$H:$H,'Desenvolvimento diário'!$Q:$Q,$B1617,'Desenvolvimento diário'!$P:$P,$F1617,'Desenvolvimento diário'!$R:$R,"Não")</f>
        <v>14646682.470000001</v>
      </c>
      <c r="R1617" s="4">
        <f>SUM(P1617:Q1617)</f>
        <v>14646682.470000001</v>
      </c>
      <c r="S1617" s="4">
        <f>O1617-R1617</f>
        <v>0</v>
      </c>
      <c r="T1617" s="12">
        <f>IFERROR(R1617/O1617,0)</f>
        <v>1</v>
      </c>
      <c r="Y1617" s="2"/>
      <c r="Z1617" s="2"/>
      <c r="AA1617" s="2"/>
      <c r="AB1617" s="2"/>
      <c r="AC1617" s="2"/>
    </row>
    <row r="1618" spans="1:29" ht="10.5" hidden="1">
      <c r="A1618" s="2">
        <f>A1617</f>
        <v>47</v>
      </c>
      <c r="B1618" s="2" t="str">
        <f>VLOOKUP($A1618,Controle!$B$4:$F$68,2,FALSE)</f>
        <v>Cássia 1</v>
      </c>
      <c r="C1618" s="2" t="str">
        <f>VLOOKUP($A1618,Controle!$B$4:$F$68,3,FALSE)</f>
        <v>MORI MINAS IV</v>
      </c>
      <c r="D1618" s="2" t="str">
        <f>VLOOKUP($A1618,Controle!$B$4:$F$68,4,FALSE)</f>
        <v>NewCo IV</v>
      </c>
      <c r="E1618" s="2" t="str">
        <f>VLOOKUP($A1618,Controle!$B$4:$F$68,5,FALSE)</f>
        <v>Weg</v>
      </c>
      <c r="F1618" s="3" t="str">
        <f>F1583</f>
        <v>Equipamentos Curva A - Outros (Transformadores)</v>
      </c>
      <c r="G1618" s="2" t="str">
        <f>VLOOKUP($A1618,Controle!$B$4:$G$68,6,FALSE)</f>
        <v>Solatio</v>
      </c>
      <c r="H1618" s="6">
        <v>0</v>
      </c>
      <c r="I1618" s="6">
        <v>0</v>
      </c>
      <c r="J1618" s="6">
        <v>0</v>
      </c>
      <c r="K1618" s="6">
        <v>0</v>
      </c>
      <c r="L1618" s="6">
        <v>0</v>
      </c>
      <c r="M1618" s="6">
        <v>0</v>
      </c>
      <c r="N1618" s="6">
        <v>0</v>
      </c>
      <c r="O1618" s="4">
        <f>SUM(I1618:N1618)</f>
        <v>0</v>
      </c>
      <c r="P1618" s="5">
        <f>SUMIFS('Desenvolvimento diário'!$H:$H,'Desenvolvimento diário'!$Q:$Q,$B1618,'Desenvolvimento diário'!$P:$P,$F1618,'Desenvolvimento diário'!$R:$R,"Sim")</f>
        <v>0</v>
      </c>
      <c r="Q1618" s="5">
        <f>SUMIFS('Desenvolvimento diário'!$H:$H,'Desenvolvimento diário'!$Q:$Q,$B1618,'Desenvolvimento diário'!$P:$P,$F1618,'Desenvolvimento diário'!$R:$R,"Não")</f>
        <v>0</v>
      </c>
      <c r="R1618" s="4">
        <f>SUM(P1618:Q1618)</f>
        <v>0</v>
      </c>
      <c r="S1618" s="4">
        <f>O1618-R1618</f>
        <v>0</v>
      </c>
      <c r="T1618" s="12">
        <f>IFERROR(R1618/O1618,0)</f>
        <v>0</v>
      </c>
      <c r="Y1618" s="2"/>
      <c r="Z1618" s="2"/>
      <c r="AA1618" s="2"/>
      <c r="AB1618" s="2"/>
      <c r="AC1618" s="2"/>
    </row>
    <row r="1619" spans="1:29" ht="10.5" hidden="1">
      <c r="A1619" s="2">
        <f>A1618</f>
        <v>47</v>
      </c>
      <c r="B1619" s="2" t="str">
        <f>VLOOKUP($A1619,Controle!$B$4:$F$68,2,FALSE)</f>
        <v>Cássia 1</v>
      </c>
      <c r="C1619" s="2" t="str">
        <f>VLOOKUP($A1619,Controle!$B$4:$F$68,3,FALSE)</f>
        <v>MORI MINAS IV</v>
      </c>
      <c r="D1619" s="2" t="str">
        <f>VLOOKUP($A1619,Controle!$B$4:$F$68,4,FALSE)</f>
        <v>NewCo IV</v>
      </c>
      <c r="E1619" s="2" t="str">
        <f>VLOOKUP($A1619,Controle!$B$4:$F$68,5,FALSE)</f>
        <v>Weg</v>
      </c>
      <c r="F1619" s="3" t="str">
        <f>F1584</f>
        <v>Equipamentos Curva A - Outros (Cabine + Skid)</v>
      </c>
      <c r="G1619" s="2" t="str">
        <f>VLOOKUP($A1619,Controle!$B$4:$G$68,6,FALSE)</f>
        <v>Solatio</v>
      </c>
      <c r="H1619" s="6">
        <v>0</v>
      </c>
      <c r="I1619" s="6">
        <v>0</v>
      </c>
      <c r="J1619" s="6">
        <v>0</v>
      </c>
      <c r="K1619" s="6">
        <v>0</v>
      </c>
      <c r="L1619" s="6">
        <v>0</v>
      </c>
      <c r="M1619" s="6">
        <v>0</v>
      </c>
      <c r="N1619" s="6">
        <v>0</v>
      </c>
      <c r="O1619" s="4">
        <f>SUM(I1619:N1619)</f>
        <v>0</v>
      </c>
      <c r="P1619" s="5">
        <f>SUMIFS('Desenvolvimento diário'!$H:$H,'Desenvolvimento diário'!$Q:$Q,$B1619,'Desenvolvimento diário'!$P:$P,$F1619,'Desenvolvimento diário'!$R:$R,"Sim")</f>
        <v>0</v>
      </c>
      <c r="Q1619" s="5">
        <f>SUMIFS('Desenvolvimento diário'!$H:$H,'Desenvolvimento diário'!$Q:$Q,$B1619,'Desenvolvimento diário'!$P:$P,$F1619,'Desenvolvimento diário'!$R:$R,"Não")</f>
        <v>0</v>
      </c>
      <c r="R1619" s="4">
        <f>SUM(P1619:Q1619)</f>
        <v>0</v>
      </c>
      <c r="S1619" s="4">
        <f>O1619-R1619</f>
        <v>0</v>
      </c>
      <c r="T1619" s="12">
        <f>IFERROR(R1619/O1619,0)</f>
        <v>0</v>
      </c>
      <c r="Y1619" s="2"/>
      <c r="Z1619" s="2"/>
      <c r="AA1619" s="2"/>
      <c r="AB1619" s="2"/>
      <c r="AC1619" s="2"/>
    </row>
    <row r="1620" spans="1:29" ht="10.5" hidden="1">
      <c r="A1620" s="2">
        <f>A1619</f>
        <v>47</v>
      </c>
      <c r="B1620" s="2" t="str">
        <f>VLOOKUP($A1620,Controle!$B$4:$F$68,2,FALSE)</f>
        <v>Cássia 1</v>
      </c>
      <c r="C1620" s="2" t="str">
        <f>VLOOKUP($A1620,Controle!$B$4:$F$68,3,FALSE)</f>
        <v>MORI MINAS IV</v>
      </c>
      <c r="D1620" s="2" t="str">
        <f>VLOOKUP($A1620,Controle!$B$4:$F$68,4,FALSE)</f>
        <v>NewCo IV</v>
      </c>
      <c r="E1620" s="2" t="str">
        <f>VLOOKUP($A1620,Controle!$B$4:$F$68,5,FALSE)</f>
        <v>Weg</v>
      </c>
      <c r="F1620" s="3" t="str">
        <f>F1585</f>
        <v>Equipamentos Curva A - Outros (Cabine + Skid + Transformador)</v>
      </c>
      <c r="G1620" s="2" t="str">
        <f>VLOOKUP($A1620,Controle!$B$4:$G$68,6,FALSE)</f>
        <v>Solatio</v>
      </c>
      <c r="H1620" s="6" t="s">
        <v>144</v>
      </c>
      <c r="I1620" s="6">
        <v>318595.83325000003</v>
      </c>
      <c r="J1620" s="6">
        <v>0</v>
      </c>
      <c r="K1620" s="6">
        <v>0</v>
      </c>
      <c r="L1620" s="6">
        <v>0</v>
      </c>
      <c r="M1620" s="6">
        <v>0</v>
      </c>
      <c r="N1620" s="6">
        <v>0</v>
      </c>
      <c r="O1620" s="4">
        <f>SUM(I1620:N1620)</f>
        <v>318595.83325000003</v>
      </c>
      <c r="P1620" s="5">
        <f>SUMIFS('Desenvolvimento diário'!$H:$H,'Desenvolvimento diário'!$Q:$Q,$B1620,'Desenvolvimento diário'!$P:$P,$F1620,'Desenvolvimento diário'!$R:$R,"Sim")</f>
        <v>0</v>
      </c>
      <c r="Q1620" s="5">
        <f>SUMIFS('Desenvolvimento diário'!$H:$H,'Desenvolvimento diário'!$Q:$Q,$B1620,'Desenvolvimento diário'!$P:$P,$F1620,'Desenvolvimento diário'!$R:$R,"Não")</f>
        <v>318595.83325000003</v>
      </c>
      <c r="R1620" s="4">
        <f>SUM(P1620:Q1620)</f>
        <v>318595.83325000003</v>
      </c>
      <c r="S1620" s="4">
        <f>O1620-R1620</f>
        <v>0</v>
      </c>
      <c r="T1620" s="12">
        <f>IFERROR(R1620/O1620,0)</f>
        <v>1</v>
      </c>
      <c r="Y1620" s="2"/>
      <c r="Z1620" s="2"/>
      <c r="AA1620" s="2"/>
      <c r="AB1620" s="2"/>
      <c r="AC1620" s="2"/>
    </row>
    <row r="1621" spans="1:29" ht="10.5" hidden="1">
      <c r="A1621" s="2">
        <f>A1620</f>
        <v>47</v>
      </c>
      <c r="B1621" s="2" t="str">
        <f>VLOOKUP($A1621,Controle!$B$4:$F$68,2,FALSE)</f>
        <v>Cássia 1</v>
      </c>
      <c r="C1621" s="2" t="str">
        <f>VLOOKUP($A1621,Controle!$B$4:$F$68,3,FALSE)</f>
        <v>MORI MINAS IV</v>
      </c>
      <c r="D1621" s="2" t="str">
        <f>VLOOKUP($A1621,Controle!$B$4:$F$68,4,FALSE)</f>
        <v>NewCo IV</v>
      </c>
      <c r="E1621" s="2" t="str">
        <f>VLOOKUP($A1621,Controle!$B$4:$F$68,5,FALSE)</f>
        <v>Weg</v>
      </c>
      <c r="F1621" s="3" t="str">
        <f>F1586</f>
        <v>Desenvolvimento de projeto - Projetos - (Eng° Proprietario)</v>
      </c>
      <c r="G1621" s="2" t="str">
        <f>VLOOKUP($A1621,Controle!$B$4:$G$68,6,FALSE)</f>
        <v>Solatio</v>
      </c>
      <c r="H1621" s="6" t="s">
        <v>176</v>
      </c>
      <c r="I1621" s="6">
        <f>R1621</f>
        <v>102101.39999999998</v>
      </c>
      <c r="J1621" s="6">
        <v>0</v>
      </c>
      <c r="K1621" s="6">
        <v>0</v>
      </c>
      <c r="L1621" s="6">
        <v>0</v>
      </c>
      <c r="M1621" s="6">
        <v>0</v>
      </c>
      <c r="N1621" s="6">
        <v>0</v>
      </c>
      <c r="O1621" s="4">
        <f>SUM(I1621:N1621)</f>
        <v>102101.39999999998</v>
      </c>
      <c r="P1621" s="5">
        <f>SUMIFS('Desenvolvimento diário'!$H:$H,'Desenvolvimento diário'!$Q:$Q,$B1621,'Desenvolvimento diário'!$P:$P,$F1621,'Desenvolvimento diário'!$R:$R,"Sim")</f>
        <v>0</v>
      </c>
      <c r="Q1621" s="5">
        <f>SUMIFS('Desenvolvimento diário'!$H:$H,'Desenvolvimento diário'!$Q:$Q,$B1621,'Desenvolvimento diário'!$P:$P,$F1621,'Desenvolvimento diário'!$R:$R,"Não")</f>
        <v>102101.39999999998</v>
      </c>
      <c r="R1621" s="4">
        <f>SUM(P1621:Q1621)</f>
        <v>102101.39999999998</v>
      </c>
      <c r="S1621" s="4">
        <f>O1621-R1621</f>
        <v>0</v>
      </c>
      <c r="T1621" s="12">
        <f>IFERROR(R1621/O1621,0)</f>
        <v>1</v>
      </c>
      <c r="Y1621" s="2"/>
      <c r="Z1621" s="2"/>
      <c r="AA1621" s="2"/>
      <c r="AB1621" s="2"/>
      <c r="AC1621" s="2"/>
    </row>
    <row r="1622" spans="1:29" ht="10.5" hidden="1">
      <c r="A1622" s="2">
        <f>A1621</f>
        <v>47</v>
      </c>
      <c r="B1622" s="2" t="str">
        <f>VLOOKUP($A1622,Controle!$B$4:$F$68,2,FALSE)</f>
        <v>Cássia 1</v>
      </c>
      <c r="C1622" s="2" t="str">
        <f>VLOOKUP($A1622,Controle!$B$4:$F$68,3,FALSE)</f>
        <v>MORI MINAS IV</v>
      </c>
      <c r="D1622" s="2" t="str">
        <f>VLOOKUP($A1622,Controle!$B$4:$F$68,4,FALSE)</f>
        <v>NewCo IV</v>
      </c>
      <c r="E1622" s="2" t="str">
        <f>VLOOKUP($A1622,Controle!$B$4:$F$68,5,FALSE)</f>
        <v>Weg</v>
      </c>
      <c r="F1622" s="3" t="str">
        <f>F1587</f>
        <v>Desenvolvimento de projeto - Projetos - Executivos</v>
      </c>
      <c r="G1622" s="2" t="str">
        <f>VLOOKUP($A1622,Controle!$B$4:$G$68,6,FALSE)</f>
        <v>Solatio</v>
      </c>
      <c r="H1622" s="6">
        <v>0</v>
      </c>
      <c r="I1622" s="6">
        <v>0</v>
      </c>
      <c r="J1622" s="6">
        <v>0</v>
      </c>
      <c r="K1622" s="6">
        <v>0</v>
      </c>
      <c r="L1622" s="6">
        <v>0</v>
      </c>
      <c r="M1622" s="6">
        <v>0</v>
      </c>
      <c r="N1622" s="6">
        <v>0</v>
      </c>
      <c r="O1622" s="4">
        <f>SUM(I1622:N1622)</f>
        <v>0</v>
      </c>
      <c r="P1622" s="5">
        <f>SUMIFS('Desenvolvimento diário'!$H:$H,'Desenvolvimento diário'!$Q:$Q,$B1622,'Desenvolvimento diário'!$P:$P,$F1622,'Desenvolvimento diário'!$R:$R,"Sim")</f>
        <v>0</v>
      </c>
      <c r="Q1622" s="5">
        <f>SUMIFS('Desenvolvimento diário'!$H:$H,'Desenvolvimento diário'!$Q:$Q,$B1622,'Desenvolvimento diário'!$P:$P,$F1622,'Desenvolvimento diário'!$R:$R,"Não")</f>
        <v>0</v>
      </c>
      <c r="R1622" s="4">
        <f>SUM(P1622:Q1622)</f>
        <v>0</v>
      </c>
      <c r="S1622" s="4">
        <f>O1622-R1622</f>
        <v>0</v>
      </c>
      <c r="T1622" s="12">
        <f>IFERROR(R1622/O1622,0)</f>
        <v>0</v>
      </c>
      <c r="Y1622" s="2"/>
      <c r="Z1622" s="2"/>
      <c r="AA1622" s="2"/>
      <c r="AB1622" s="2"/>
      <c r="AC1622" s="2"/>
    </row>
    <row r="1623" spans="1:29" ht="10.5" hidden="1">
      <c r="A1623" s="2">
        <f>A1622</f>
        <v>47</v>
      </c>
      <c r="B1623" s="2" t="str">
        <f>VLOOKUP($A1623,Controle!$B$4:$F$68,2,FALSE)</f>
        <v>Cássia 1</v>
      </c>
      <c r="C1623" s="2" t="str">
        <f>VLOOKUP($A1623,Controle!$B$4:$F$68,3,FALSE)</f>
        <v>MORI MINAS IV</v>
      </c>
      <c r="D1623" s="2" t="str">
        <f>VLOOKUP($A1623,Controle!$B$4:$F$68,4,FALSE)</f>
        <v>NewCo IV</v>
      </c>
      <c r="E1623" s="2" t="str">
        <f>VLOOKUP($A1623,Controle!$B$4:$F$68,5,FALSE)</f>
        <v>Weg</v>
      </c>
      <c r="F1623" s="3" t="str">
        <f>F1588</f>
        <v>Desenvolvimento de projeto - Projetos Básica</v>
      </c>
      <c r="G1623" s="2" t="str">
        <f>VLOOKUP($A1623,Controle!$B$4:$G$68,6,FALSE)</f>
        <v>Solatio</v>
      </c>
      <c r="H1623" s="6">
        <v>0</v>
      </c>
      <c r="I1623" s="6">
        <v>0</v>
      </c>
      <c r="J1623" s="6">
        <v>0</v>
      </c>
      <c r="K1623" s="6">
        <v>0</v>
      </c>
      <c r="L1623" s="6">
        <v>0</v>
      </c>
      <c r="M1623" s="6">
        <v>0</v>
      </c>
      <c r="N1623" s="6">
        <v>0</v>
      </c>
      <c r="O1623" s="4">
        <f>SUM(I1623:N1623)</f>
        <v>0</v>
      </c>
      <c r="P1623" s="5">
        <f>SUMIFS('Desenvolvimento diário'!$H:$H,'Desenvolvimento diário'!$Q:$Q,$B1623,'Desenvolvimento diário'!$P:$P,$F1623,'Desenvolvimento diário'!$R:$R,"Sim")</f>
        <v>0</v>
      </c>
      <c r="Q1623" s="5">
        <f>SUMIFS('Desenvolvimento diário'!$H:$H,'Desenvolvimento diário'!$Q:$Q,$B1623,'Desenvolvimento diário'!$P:$P,$F1623,'Desenvolvimento diário'!$R:$R,"Não")</f>
        <v>0</v>
      </c>
      <c r="R1623" s="4">
        <f>SUM(P1623:Q1623)</f>
        <v>0</v>
      </c>
      <c r="S1623" s="4">
        <f>O1623-R1623</f>
        <v>0</v>
      </c>
      <c r="T1623" s="12">
        <f>IFERROR(R1623/O1623,0)</f>
        <v>0</v>
      </c>
      <c r="Y1623" s="2"/>
      <c r="Z1623" s="2"/>
      <c r="AA1623" s="2"/>
      <c r="AB1623" s="2"/>
      <c r="AC1623" s="2"/>
    </row>
    <row r="1624" spans="1:29" ht="10.5" hidden="1">
      <c r="A1624" s="2">
        <f>A1623</f>
        <v>47</v>
      </c>
      <c r="B1624" s="2" t="str">
        <f>VLOOKUP($A1624,Controle!$B$4:$F$68,2,FALSE)</f>
        <v>Cássia 1</v>
      </c>
      <c r="C1624" s="2" t="str">
        <f>VLOOKUP($A1624,Controle!$B$4:$F$68,3,FALSE)</f>
        <v>MORI MINAS IV</v>
      </c>
      <c r="D1624" s="2" t="str">
        <f>VLOOKUP($A1624,Controle!$B$4:$F$68,4,FALSE)</f>
        <v>NewCo IV</v>
      </c>
      <c r="E1624" s="2" t="str">
        <f>VLOOKUP($A1624,Controle!$B$4:$F$68,5,FALSE)</f>
        <v>Weg</v>
      </c>
      <c r="F1624" s="3" t="str">
        <f>F1589</f>
        <v>Desenvolvimento de projeto - Projetos Detalhada</v>
      </c>
      <c r="G1624" s="2" t="str">
        <f>VLOOKUP($A1624,Controle!$B$4:$G$68,6,FALSE)</f>
        <v>Solatio</v>
      </c>
      <c r="H1624" s="6">
        <v>0</v>
      </c>
      <c r="I1624" s="6">
        <v>0</v>
      </c>
      <c r="J1624" s="6">
        <v>0</v>
      </c>
      <c r="K1624" s="6">
        <v>0</v>
      </c>
      <c r="L1624" s="6">
        <v>0</v>
      </c>
      <c r="M1624" s="6">
        <v>0</v>
      </c>
      <c r="N1624" s="6">
        <v>0</v>
      </c>
      <c r="O1624" s="4">
        <f>SUM(I1624:N1624)</f>
        <v>0</v>
      </c>
      <c r="P1624" s="5">
        <f>SUMIFS('Desenvolvimento diário'!$H:$H,'Desenvolvimento diário'!$Q:$Q,$B1624,'Desenvolvimento diário'!$P:$P,$F1624,'Desenvolvimento diário'!$R:$R,"Sim")</f>
        <v>0</v>
      </c>
      <c r="Q1624" s="5">
        <f>SUMIFS('Desenvolvimento diário'!$H:$H,'Desenvolvimento diário'!$Q:$Q,$B1624,'Desenvolvimento diário'!$P:$P,$F1624,'Desenvolvimento diário'!$R:$R,"Não")</f>
        <v>0</v>
      </c>
      <c r="R1624" s="4">
        <f>SUM(P1624:Q1624)</f>
        <v>0</v>
      </c>
      <c r="S1624" s="4">
        <f>O1624-R1624</f>
        <v>0</v>
      </c>
      <c r="T1624" s="12">
        <f>IFERROR(R1624/O1624,0)</f>
        <v>0</v>
      </c>
      <c r="Y1624" s="2"/>
      <c r="Z1624" s="2"/>
      <c r="AA1624" s="2"/>
      <c r="AB1624" s="2"/>
      <c r="AC1624" s="2"/>
    </row>
    <row r="1625" spans="1:29" ht="10.5" hidden="1">
      <c r="A1625" s="2">
        <f>A1624</f>
        <v>47</v>
      </c>
      <c r="B1625" s="2" t="str">
        <f>VLOOKUP($A1625,Controle!$B$4:$F$68,2,FALSE)</f>
        <v>Cássia 1</v>
      </c>
      <c r="C1625" s="2" t="str">
        <f>VLOOKUP($A1625,Controle!$B$4:$F$68,3,FALSE)</f>
        <v>MORI MINAS IV</v>
      </c>
      <c r="D1625" s="2" t="str">
        <f>VLOOKUP($A1625,Controle!$B$4:$F$68,4,FALSE)</f>
        <v>NewCo IV</v>
      </c>
      <c r="E1625" s="2" t="str">
        <f>VLOOKUP($A1625,Controle!$B$4:$F$68,5,FALSE)</f>
        <v>Weg</v>
      </c>
      <c r="F1625" s="3" t="str">
        <f>F1590</f>
        <v>Desenvolvimento de projeto - Ambiental / Outros</v>
      </c>
      <c r="G1625" s="2" t="str">
        <f>VLOOKUP($A1625,Controle!$B$4:$G$68,6,FALSE)</f>
        <v>Solatio</v>
      </c>
      <c r="H1625" s="6" t="s">
        <v>148</v>
      </c>
      <c r="I1625" s="6">
        <f>R1625</f>
        <v>96820.950000000012</v>
      </c>
      <c r="J1625" s="6">
        <v>0</v>
      </c>
      <c r="K1625" s="6">
        <v>0</v>
      </c>
      <c r="L1625" s="6">
        <v>0</v>
      </c>
      <c r="M1625" s="6">
        <v>0</v>
      </c>
      <c r="N1625" s="6">
        <v>0</v>
      </c>
      <c r="O1625" s="4">
        <f>SUM(I1625:N1625)</f>
        <v>96820.950000000012</v>
      </c>
      <c r="P1625" s="5">
        <f>SUMIFS('Desenvolvimento diário'!$H:$H,'Desenvolvimento diário'!$Q:$Q,$B1625,'Desenvolvimento diário'!$P:$P,$F1625,'Desenvolvimento diário'!$R:$R,"Sim")</f>
        <v>0</v>
      </c>
      <c r="Q1625" s="5">
        <f>SUMIFS('Desenvolvimento diário'!$H:$H,'Desenvolvimento diário'!$Q:$Q,$B1625,'Desenvolvimento diário'!$P:$P,$F1625,'Desenvolvimento diário'!$R:$R,"Não")</f>
        <v>96820.950000000012</v>
      </c>
      <c r="R1625" s="4">
        <f>SUM(P1625:Q1625)</f>
        <v>96820.950000000012</v>
      </c>
      <c r="S1625" s="4">
        <f>O1625-R1625</f>
        <v>0</v>
      </c>
      <c r="T1625" s="12">
        <f>IFERROR(R1625/O1625,0)</f>
        <v>1</v>
      </c>
      <c r="Y1625" s="2"/>
      <c r="Z1625" s="2"/>
      <c r="AA1625" s="2"/>
      <c r="AB1625" s="2"/>
      <c r="AC1625" s="2"/>
    </row>
    <row r="1626" spans="1:29" hidden="1">
      <c r="A1626" s="2">
        <f>A1625</f>
        <v>47</v>
      </c>
      <c r="B1626" s="2" t="str">
        <f>VLOOKUP($A1626,Controle!$B$4:$F$68,2,FALSE)</f>
        <v>Cássia 1</v>
      </c>
      <c r="C1626" s="2" t="str">
        <f>VLOOKUP($A1626,Controle!$B$4:$F$68,3,FALSE)</f>
        <v>MORI MINAS IV</v>
      </c>
      <c r="D1626" s="2" t="str">
        <f>VLOOKUP($A1626,Controle!$B$4:$F$68,4,FALSE)</f>
        <v>NewCo IV</v>
      </c>
      <c r="E1626" s="2" t="str">
        <f>VLOOKUP($A1626,Controle!$B$4:$F$68,5,FALSE)</f>
        <v>Weg</v>
      </c>
      <c r="F1626" s="3" t="str">
        <f>F1591</f>
        <v>Desenvolvimento de projeto - Coordenograma</v>
      </c>
      <c r="G1626" s="2" t="str">
        <f>VLOOKUP($A1626,Controle!$B$4:$G$68,6,FALSE)</f>
        <v>Solatio</v>
      </c>
      <c r="H1626" s="31" t="s">
        <v>149</v>
      </c>
      <c r="I1626" s="31">
        <v>6206.9</v>
      </c>
      <c r="J1626" s="31">
        <v>2281.25</v>
      </c>
      <c r="K1626" s="31">
        <v>6206.9</v>
      </c>
      <c r="L1626" s="899"/>
      <c r="M1626" s="6">
        <v>0</v>
      </c>
      <c r="N1626" s="6">
        <v>0</v>
      </c>
      <c r="O1626" s="4">
        <f>SUM(I1626:N1626)</f>
        <v>14695.05</v>
      </c>
      <c r="P1626" s="5">
        <f>SUMIFS('Desenvolvimento diário'!$H:$H,'Desenvolvimento diário'!$Q:$Q,$B1626,'Desenvolvimento diário'!$P:$P,$F1626,'Desenvolvimento diário'!$R:$R,"Sim")</f>
        <v>0</v>
      </c>
      <c r="Q1626" s="5">
        <f>SUMIFS('Desenvolvimento diário'!$H:$H,'Desenvolvimento diário'!$Q:$Q,$B1626,'Desenvolvimento diário'!$P:$P,$F1626,'Desenvolvimento diário'!$R:$R,"Não")</f>
        <v>14695.05</v>
      </c>
      <c r="R1626" s="4">
        <f>SUM(P1626:Q1626)</f>
        <v>14695.05</v>
      </c>
      <c r="S1626" s="4">
        <f>O1626-R1626</f>
        <v>0</v>
      </c>
      <c r="T1626" s="12">
        <f>IFERROR(R1626/O1626,0)</f>
        <v>1</v>
      </c>
      <c r="Y1626" s="2"/>
      <c r="Z1626" s="2"/>
      <c r="AA1626" s="2"/>
      <c r="AB1626" s="2"/>
      <c r="AC1626" s="2"/>
    </row>
    <row r="1627" spans="1:29" ht="10.5" hidden="1">
      <c r="A1627" s="2">
        <f>A1626</f>
        <v>47</v>
      </c>
      <c r="B1627" s="2" t="str">
        <f>VLOOKUP($A1627,Controle!$B$4:$F$68,2,FALSE)</f>
        <v>Cássia 1</v>
      </c>
      <c r="C1627" s="2" t="str">
        <f>VLOOKUP($A1627,Controle!$B$4:$F$68,3,FALSE)</f>
        <v>MORI MINAS IV</v>
      </c>
      <c r="D1627" s="2" t="str">
        <f>VLOOKUP($A1627,Controle!$B$4:$F$68,4,FALSE)</f>
        <v>NewCo IV</v>
      </c>
      <c r="E1627" s="2" t="str">
        <f>VLOOKUP($A1627,Controle!$B$4:$F$68,5,FALSE)</f>
        <v>Weg</v>
      </c>
      <c r="F1627" s="3" t="str">
        <f>F1592</f>
        <v>Sistemas de Monitoramento - Supervisório</v>
      </c>
      <c r="G1627" s="2" t="str">
        <f>VLOOKUP($A1627,Controle!$B$4:$G$68,6,FALSE)</f>
        <v>Solatio</v>
      </c>
      <c r="H1627" s="6" t="s">
        <v>150</v>
      </c>
      <c r="I1627" s="6">
        <v>136155</v>
      </c>
      <c r="J1627" s="6"/>
      <c r="K1627" s="6">
        <v>0</v>
      </c>
      <c r="L1627" s="6">
        <v>0</v>
      </c>
      <c r="M1627" s="6">
        <v>0</v>
      </c>
      <c r="N1627" s="6">
        <v>0</v>
      </c>
      <c r="O1627" s="4">
        <f>SUM(I1627:N1627)</f>
        <v>136155</v>
      </c>
      <c r="P1627" s="5">
        <f>SUMIFS('Desenvolvimento diário'!$H:$H,'Desenvolvimento diário'!$Q:$Q,$B1627,'Desenvolvimento diário'!$P:$P,$F1627,'Desenvolvimento diário'!$R:$R,"Sim")</f>
        <v>0</v>
      </c>
      <c r="Q1627" s="5">
        <f>SUMIFS('Desenvolvimento diário'!$H:$H,'Desenvolvimento diário'!$Q:$Q,$B1627,'Desenvolvimento diário'!$P:$P,$F1627,'Desenvolvimento diário'!$R:$R,"Não")</f>
        <v>136155</v>
      </c>
      <c r="R1627" s="4">
        <f>SUM(P1627:Q1627)</f>
        <v>136155</v>
      </c>
      <c r="S1627" s="4">
        <f>O1627-R1627</f>
        <v>0</v>
      </c>
      <c r="T1627" s="12">
        <f>IFERROR(R1627/O1627,0)</f>
        <v>1</v>
      </c>
      <c r="Y1627" s="2"/>
      <c r="Z1627" s="2"/>
      <c r="AA1627" s="2"/>
      <c r="AB1627" s="2"/>
      <c r="AC1627" s="2"/>
    </row>
    <row r="1628" spans="1:29" ht="10.5" hidden="1">
      <c r="A1628" s="2">
        <f>A1627</f>
        <v>47</v>
      </c>
      <c r="B1628" s="2" t="str">
        <f>VLOOKUP($A1628,Controle!$B$4:$F$68,2,FALSE)</f>
        <v>Cássia 1</v>
      </c>
      <c r="C1628" s="2" t="str">
        <f>VLOOKUP($A1628,Controle!$B$4:$F$68,3,FALSE)</f>
        <v>MORI MINAS IV</v>
      </c>
      <c r="D1628" s="2" t="str">
        <f>VLOOKUP($A1628,Controle!$B$4:$F$68,4,FALSE)</f>
        <v>NewCo IV</v>
      </c>
      <c r="E1628" s="2" t="str">
        <f>VLOOKUP($A1628,Controle!$B$4:$F$68,5,FALSE)</f>
        <v>Weg</v>
      </c>
      <c r="F1628" s="3" t="str">
        <f>F1593</f>
        <v>Sistemas de Monitoramento - Estações Solarimétricas</v>
      </c>
      <c r="G1628" s="2" t="str">
        <f>VLOOKUP($A1628,Controle!$B$4:$G$68,6,FALSE)</f>
        <v>Solatio</v>
      </c>
      <c r="H1628" s="6">
        <v>0</v>
      </c>
      <c r="I1628" s="6">
        <v>0</v>
      </c>
      <c r="J1628" s="6">
        <v>0</v>
      </c>
      <c r="K1628" s="6">
        <v>0</v>
      </c>
      <c r="L1628" s="6">
        <v>0</v>
      </c>
      <c r="M1628" s="6">
        <v>0</v>
      </c>
      <c r="N1628" s="6">
        <v>0</v>
      </c>
      <c r="O1628" s="4">
        <f>SUM(I1628:N1628)</f>
        <v>0</v>
      </c>
      <c r="P1628" s="5">
        <f>SUMIFS('Desenvolvimento diário'!$H:$H,'Desenvolvimento diário'!$Q:$Q,$B1628,'Desenvolvimento diário'!$P:$P,$F1628,'Desenvolvimento diário'!$R:$R,"Sim")</f>
        <v>0</v>
      </c>
      <c r="Q1628" s="5">
        <f>SUMIFS('Desenvolvimento diário'!$H:$H,'Desenvolvimento diário'!$Q:$Q,$B1628,'Desenvolvimento diário'!$P:$P,$F1628,'Desenvolvimento diário'!$R:$R,"Não")</f>
        <v>0</v>
      </c>
      <c r="R1628" s="4">
        <f>SUM(P1628:Q1628)</f>
        <v>0</v>
      </c>
      <c r="S1628" s="4">
        <f>O1628-R1628</f>
        <v>0</v>
      </c>
      <c r="T1628" s="12">
        <f>IFERROR(R1628/O1628,0)</f>
        <v>0</v>
      </c>
      <c r="Y1628" s="2"/>
      <c r="Z1628" s="2"/>
      <c r="AA1628" s="2"/>
      <c r="AB1628" s="2"/>
      <c r="AC1628" s="2"/>
    </row>
    <row r="1629" spans="1:29" hidden="1">
      <c r="A1629" s="2">
        <f>A1628</f>
        <v>47</v>
      </c>
      <c r="B1629" s="2" t="str">
        <f>VLOOKUP($A1629,Controle!$B$4:$F$68,2,FALSE)</f>
        <v>Cássia 1</v>
      </c>
      <c r="C1629" s="2" t="str">
        <f>VLOOKUP($A1629,Controle!$B$4:$F$68,3,FALSE)</f>
        <v>MORI MINAS IV</v>
      </c>
      <c r="D1629" s="2" t="str">
        <f>VLOOKUP($A1629,Controle!$B$4:$F$68,4,FALSE)</f>
        <v>NewCo IV</v>
      </c>
      <c r="E1629" s="2" t="str">
        <f>VLOOKUP($A1629,Controle!$B$4:$F$68,5,FALSE)</f>
        <v>Weg</v>
      </c>
      <c r="F1629" s="3" t="str">
        <f>F1594</f>
        <v>Sistemas de Monitoramento - CFTV</v>
      </c>
      <c r="G1629" s="2" t="str">
        <f>VLOOKUP($A1629,Controle!$B$4:$G$68,6,FALSE)</f>
        <v>Solatio</v>
      </c>
      <c r="H1629" s="31" t="s">
        <v>152</v>
      </c>
      <c r="I1629" s="6">
        <v>343932.78</v>
      </c>
      <c r="J1629" s="28">
        <v>6307.36</v>
      </c>
      <c r="K1629" s="6">
        <v>0</v>
      </c>
      <c r="L1629" s="6">
        <v>0</v>
      </c>
      <c r="M1629" s="6">
        <v>0</v>
      </c>
      <c r="N1629" s="6">
        <v>0</v>
      </c>
      <c r="O1629" s="4">
        <f>SUM(I1629:N1629)</f>
        <v>350240.14</v>
      </c>
      <c r="P1629" s="5">
        <f>SUMIFS('Desenvolvimento diário'!$H:$H,'Desenvolvimento diário'!$Q:$Q,$B1629,'Desenvolvimento diário'!$P:$P,$F1629,'Desenvolvimento diário'!$R:$R,"Sim")</f>
        <v>969.58</v>
      </c>
      <c r="Q1629" s="5">
        <f>SUMIFS('Desenvolvimento diário'!$H:$H,'Desenvolvimento diário'!$Q:$Q,$B1629,'Desenvolvimento diário'!$P:$P,$F1629,'Desenvolvimento diário'!$R:$R,"Não")</f>
        <v>349270.56</v>
      </c>
      <c r="R1629" s="4">
        <f>SUM(P1629:Q1629)</f>
        <v>350240.14</v>
      </c>
      <c r="S1629" s="4">
        <f>O1629-R1629</f>
        <v>0</v>
      </c>
      <c r="T1629" s="12">
        <f>IFERROR(R1629/O1629,0)</f>
        <v>1</v>
      </c>
      <c r="Y1629" s="2"/>
      <c r="Z1629" s="2"/>
      <c r="AA1629" s="2"/>
      <c r="AB1629" s="2"/>
      <c r="AC1629" s="2"/>
    </row>
    <row r="1630" spans="1:29" ht="10.5" hidden="1">
      <c r="A1630" s="2">
        <f>A1629</f>
        <v>47</v>
      </c>
      <c r="B1630" s="2" t="str">
        <f>VLOOKUP($A1630,Controle!$B$4:$F$68,2,FALSE)</f>
        <v>Cássia 1</v>
      </c>
      <c r="C1630" s="2" t="str">
        <f>VLOOKUP($A1630,Controle!$B$4:$F$68,3,FALSE)</f>
        <v>MORI MINAS IV</v>
      </c>
      <c r="D1630" s="2" t="str">
        <f>VLOOKUP($A1630,Controle!$B$4:$F$68,4,FALSE)</f>
        <v>NewCo IV</v>
      </c>
      <c r="E1630" s="2" t="str">
        <f>VLOOKUP($A1630,Controle!$B$4:$F$68,5,FALSE)</f>
        <v>Weg</v>
      </c>
      <c r="F1630" s="3" t="str">
        <f>F1595</f>
        <v>Serviços Auxiliares - Drenagem</v>
      </c>
      <c r="G1630" s="2" t="str">
        <f>VLOOKUP($A1630,Controle!$B$4:$G$68,6,FALSE)</f>
        <v>Solatio</v>
      </c>
      <c r="H1630" s="6" t="s">
        <v>227</v>
      </c>
      <c r="I1630" s="6">
        <v>309545</v>
      </c>
      <c r="J1630" s="6">
        <v>0</v>
      </c>
      <c r="K1630" s="6">
        <v>0</v>
      </c>
      <c r="L1630" s="6">
        <v>0</v>
      </c>
      <c r="M1630" s="6">
        <v>0</v>
      </c>
      <c r="N1630" s="6">
        <v>0</v>
      </c>
      <c r="O1630" s="4">
        <f>SUM(I1630:N1630)</f>
        <v>309545</v>
      </c>
      <c r="P1630" s="5">
        <f>SUMIFS('Desenvolvimento diário'!$H:$H,'Desenvolvimento diário'!$Q:$Q,$B1630,'Desenvolvimento diário'!$P:$P,$F1630,'Desenvolvimento diário'!$R:$R,"Sim")</f>
        <v>0</v>
      </c>
      <c r="Q1630" s="5">
        <f>SUMIFS('Desenvolvimento diário'!$H:$H,'Desenvolvimento diário'!$Q:$Q,$B1630,'Desenvolvimento diário'!$P:$P,$F1630,'Desenvolvimento diário'!$R:$R,"Não")</f>
        <v>309545</v>
      </c>
      <c r="R1630" s="4">
        <f>SUM(P1630:Q1630)</f>
        <v>309545</v>
      </c>
      <c r="S1630" s="4">
        <f>O1630-R1630</f>
        <v>0</v>
      </c>
      <c r="T1630" s="12">
        <f>IFERROR(R1630/O1630,0)</f>
        <v>1</v>
      </c>
      <c r="Y1630" s="2"/>
      <c r="Z1630" s="2"/>
      <c r="AA1630" s="2"/>
      <c r="AB1630" s="2"/>
      <c r="AC1630" s="2"/>
    </row>
    <row r="1631" spans="1:29" ht="10.5" hidden="1">
      <c r="A1631" s="2">
        <f>A1630</f>
        <v>47</v>
      </c>
      <c r="B1631" s="2" t="str">
        <f>VLOOKUP($A1631,Controle!$B$4:$F$68,2,FALSE)</f>
        <v>Cássia 1</v>
      </c>
      <c r="C1631" s="2" t="str">
        <f>VLOOKUP($A1631,Controle!$B$4:$F$68,3,FALSE)</f>
        <v>MORI MINAS IV</v>
      </c>
      <c r="D1631" s="2" t="str">
        <f>VLOOKUP($A1631,Controle!$B$4:$F$68,4,FALSE)</f>
        <v>NewCo IV</v>
      </c>
      <c r="E1631" s="2" t="str">
        <f>VLOOKUP($A1631,Controle!$B$4:$F$68,5,FALSE)</f>
        <v>Weg</v>
      </c>
      <c r="F1631" s="3" t="str">
        <f>F1596</f>
        <v>Serviços Auxiliares - Terraplanagem</v>
      </c>
      <c r="G1631" s="2" t="str">
        <f>VLOOKUP($A1631,Controle!$B$4:$G$68,6,FALSE)</f>
        <v>Solatio</v>
      </c>
      <c r="H1631" s="6" t="s">
        <v>154</v>
      </c>
      <c r="I1631" s="6">
        <v>393002.66</v>
      </c>
      <c r="J1631" s="6">
        <v>0</v>
      </c>
      <c r="K1631" s="6">
        <v>0</v>
      </c>
      <c r="L1631" s="6">
        <v>0</v>
      </c>
      <c r="M1631" s="6">
        <v>0</v>
      </c>
      <c r="N1631" s="6">
        <v>0</v>
      </c>
      <c r="O1631" s="4">
        <f>SUM(I1631:N1631)</f>
        <v>393002.66</v>
      </c>
      <c r="P1631" s="5">
        <f>SUMIFS('Desenvolvimento diário'!$H:$H,'Desenvolvimento diário'!$Q:$Q,$B1631,'Desenvolvimento diário'!$P:$P,$F1631,'Desenvolvimento diário'!$R:$R,"Sim")</f>
        <v>0</v>
      </c>
      <c r="Q1631" s="5">
        <f>SUMIFS('Desenvolvimento diário'!$H:$H,'Desenvolvimento diário'!$Q:$Q,$B1631,'Desenvolvimento diário'!$P:$P,$F1631,'Desenvolvimento diário'!$R:$R,"Não")</f>
        <v>393002.66</v>
      </c>
      <c r="R1631" s="4">
        <f>SUM(P1631:Q1631)</f>
        <v>393002.66</v>
      </c>
      <c r="S1631" s="4">
        <f>O1631-R1631</f>
        <v>0</v>
      </c>
      <c r="T1631" s="12">
        <f>IFERROR(R1631/O1631,0)</f>
        <v>1</v>
      </c>
      <c r="Y1631" s="2"/>
      <c r="Z1631" s="2"/>
      <c r="AA1631" s="2"/>
      <c r="AB1631" s="2"/>
      <c r="AC1631" s="2"/>
    </row>
    <row r="1632" spans="1:29" ht="10.5" hidden="1">
      <c r="A1632" s="2">
        <f>A1631</f>
        <v>47</v>
      </c>
      <c r="B1632" s="2" t="str">
        <f>VLOOKUP($A1632,Controle!$B$4:$F$68,2,FALSE)</f>
        <v>Cássia 1</v>
      </c>
      <c r="C1632" s="2" t="str">
        <f>VLOOKUP($A1632,Controle!$B$4:$F$68,3,FALSE)</f>
        <v>MORI MINAS IV</v>
      </c>
      <c r="D1632" s="2" t="str">
        <f>VLOOKUP($A1632,Controle!$B$4:$F$68,4,FALSE)</f>
        <v>NewCo IV</v>
      </c>
      <c r="E1632" s="2" t="str">
        <f>VLOOKUP($A1632,Controle!$B$4:$F$68,5,FALSE)</f>
        <v>Weg</v>
      </c>
      <c r="F1632" s="3" t="str">
        <f>F1597</f>
        <v>Serviços Auxiliares - Supressão Vegetal</v>
      </c>
      <c r="G1632" s="2" t="str">
        <f>VLOOKUP($A1632,Controle!$B$4:$G$68,6,FALSE)</f>
        <v>Solatio</v>
      </c>
      <c r="H1632" s="6" t="s">
        <v>155</v>
      </c>
      <c r="I1632" s="6">
        <v>68460.63</v>
      </c>
      <c r="J1632" s="6">
        <v>0</v>
      </c>
      <c r="K1632" s="6">
        <v>0</v>
      </c>
      <c r="L1632" s="6">
        <v>0</v>
      </c>
      <c r="M1632" s="6">
        <v>0</v>
      </c>
      <c r="N1632" s="6">
        <v>0</v>
      </c>
      <c r="O1632" s="4">
        <f>SUM(I1632:N1632)</f>
        <v>68460.63</v>
      </c>
      <c r="P1632" s="5">
        <f>SUMIFS('Desenvolvimento diário'!$H:$H,'Desenvolvimento diário'!$Q:$Q,$B1632,'Desenvolvimento diário'!$P:$P,$F1632,'Desenvolvimento diário'!$R:$R,"Sim")</f>
        <v>0</v>
      </c>
      <c r="Q1632" s="5">
        <f>SUMIFS('Desenvolvimento diário'!$H:$H,'Desenvolvimento diário'!$Q:$Q,$B1632,'Desenvolvimento diário'!$P:$P,$F1632,'Desenvolvimento diário'!$R:$R,"Não")</f>
        <v>68460.63</v>
      </c>
      <c r="R1632" s="4">
        <f>SUM(P1632:Q1632)</f>
        <v>68460.63</v>
      </c>
      <c r="S1632" s="27">
        <f>O1632-R1632</f>
        <v>0</v>
      </c>
      <c r="T1632" s="36">
        <f>IFERROR(R1632/O1632,0)</f>
        <v>1</v>
      </c>
      <c r="U1632" s="34"/>
      <c r="V1632" s="34"/>
      <c r="Y1632" s="2"/>
      <c r="Z1632" s="2"/>
      <c r="AA1632" s="2"/>
      <c r="AB1632" s="2"/>
      <c r="AC1632" s="2"/>
    </row>
    <row r="1633" spans="1:29" ht="10.5" hidden="1">
      <c r="A1633" s="2">
        <f>A1632</f>
        <v>47</v>
      </c>
      <c r="B1633" s="2" t="str">
        <f>VLOOKUP($A1633,Controle!$B$4:$F$68,2,FALSE)</f>
        <v>Cássia 1</v>
      </c>
      <c r="C1633" s="2" t="str">
        <f>VLOOKUP($A1633,Controle!$B$4:$F$68,3,FALSE)</f>
        <v>MORI MINAS IV</v>
      </c>
      <c r="D1633" s="2" t="str">
        <f>VLOOKUP($A1633,Controle!$B$4:$F$68,4,FALSE)</f>
        <v>NewCo IV</v>
      </c>
      <c r="E1633" s="2" t="str">
        <f>VLOOKUP($A1633,Controle!$B$4:$F$68,5,FALSE)</f>
        <v>Weg</v>
      </c>
      <c r="F1633" s="3" t="str">
        <f>F1598</f>
        <v>RDR-Rede de Distribuição Rural</v>
      </c>
      <c r="G1633" s="2" t="str">
        <f>VLOOKUP($A1633,Controle!$B$4:$G$68,6,FALSE)</f>
        <v>Solatio</v>
      </c>
      <c r="H1633" s="6">
        <v>0</v>
      </c>
      <c r="I1633" s="6">
        <v>0</v>
      </c>
      <c r="J1633" s="6">
        <v>0</v>
      </c>
      <c r="K1633" s="6">
        <v>0</v>
      </c>
      <c r="L1633" s="6">
        <v>0</v>
      </c>
      <c r="M1633" s="6">
        <v>0</v>
      </c>
      <c r="N1633" s="6">
        <v>0</v>
      </c>
      <c r="O1633" s="4">
        <f>SUM(I1633:N1633)</f>
        <v>0</v>
      </c>
      <c r="P1633" s="5">
        <f>SUMIFS('Desenvolvimento diário'!$H:$H,'Desenvolvimento diário'!$Q:$Q,$B1633,'Desenvolvimento diário'!$P:$P,$F1633,'Desenvolvimento diário'!$R:$R,"Sim")</f>
        <v>0</v>
      </c>
      <c r="Q1633" s="5">
        <f>SUMIFS('Desenvolvimento diário'!$H:$H,'Desenvolvimento diário'!$Q:$Q,$B1633,'Desenvolvimento diário'!$P:$P,$F1633,'Desenvolvimento diário'!$R:$R,"Não")</f>
        <v>0</v>
      </c>
      <c r="R1633" s="4">
        <f>SUM(P1633:Q1633)</f>
        <v>0</v>
      </c>
      <c r="S1633" s="4">
        <f>O1633-R1633</f>
        <v>0</v>
      </c>
      <c r="T1633" s="12">
        <f>IFERROR(R1633/O1633,0)</f>
        <v>0</v>
      </c>
      <c r="Y1633" s="2"/>
      <c r="Z1633" s="2"/>
      <c r="AA1633" s="2"/>
      <c r="AB1633" s="2"/>
      <c r="AC1633" s="2"/>
    </row>
    <row r="1634" spans="1:29" ht="10.5" hidden="1">
      <c r="A1634" s="2">
        <f>A1633</f>
        <v>47</v>
      </c>
      <c r="B1634" s="2" t="str">
        <f>VLOOKUP($A1634,Controle!$B$4:$F$68,2,FALSE)</f>
        <v>Cássia 1</v>
      </c>
      <c r="C1634" s="2" t="str">
        <f>VLOOKUP($A1634,Controle!$B$4:$F$68,3,FALSE)</f>
        <v>MORI MINAS IV</v>
      </c>
      <c r="D1634" s="2" t="str">
        <f>VLOOKUP($A1634,Controle!$B$4:$F$68,4,FALSE)</f>
        <v>NewCo IV</v>
      </c>
      <c r="E1634" s="2" t="str">
        <f>VLOOKUP($A1634,Controle!$B$4:$F$68,5,FALSE)</f>
        <v>Weg</v>
      </c>
      <c r="F1634" s="3" t="str">
        <f>F1599</f>
        <v>Escopo COMERC</v>
      </c>
      <c r="G1634" s="2" t="str">
        <f>VLOOKUP($A1634,Controle!$B$4:$G$68,6,FALSE)</f>
        <v>Solatio</v>
      </c>
      <c r="H1634" s="6">
        <v>0</v>
      </c>
      <c r="I1634" s="6">
        <v>121385.48999999999</v>
      </c>
      <c r="J1634" s="29">
        <v>13000</v>
      </c>
      <c r="K1634" s="29"/>
      <c r="L1634" s="6">
        <v>0</v>
      </c>
      <c r="M1634" s="6">
        <v>0</v>
      </c>
      <c r="N1634" s="6">
        <v>0</v>
      </c>
      <c r="O1634" s="4">
        <f>SUM(I1634:N1634)</f>
        <v>134385.49</v>
      </c>
      <c r="P1634" s="5">
        <f>SUMIFS('Desenvolvimento diário'!$H:$H,'Desenvolvimento diário'!$Q:$Q,$B1634,'Desenvolvimento diário'!$P:$P,$F1634,'Desenvolvimento diário'!$R:$R,"Sim")</f>
        <v>0</v>
      </c>
      <c r="Q1634" s="5">
        <f>SUMIFS('Desenvolvimento diário'!$H:$H,'Desenvolvimento diário'!$Q:$Q,$B1634,'Desenvolvimento diário'!$P:$P,$F1634,'Desenvolvimento diário'!$R:$R,"Não")</f>
        <v>121385.48999999999</v>
      </c>
      <c r="R1634" s="4">
        <f>SUM(P1634:Q1634)</f>
        <v>121385.48999999999</v>
      </c>
      <c r="S1634" s="1010">
        <f>O1634-R1634</f>
        <v>13000</v>
      </c>
      <c r="T1634" s="12">
        <f>IFERROR(R1634/O1634,0)</f>
        <v>0.90326336571009269</v>
      </c>
      <c r="U1634" s="1011" t="s">
        <v>166</v>
      </c>
      <c r="V1634" s="1011" t="s">
        <v>167</v>
      </c>
      <c r="Y1634" s="2"/>
      <c r="Z1634" s="2"/>
      <c r="AA1634" s="2"/>
      <c r="AB1634" s="2"/>
      <c r="AC1634" s="2"/>
    </row>
    <row r="1635" spans="1:29" ht="10.5" hidden="1">
      <c r="A1635" s="2">
        <f>A1634</f>
        <v>47</v>
      </c>
      <c r="B1635" s="2" t="str">
        <f>VLOOKUP($A1635,Controle!$B$4:$F$68,2,FALSE)</f>
        <v>Cássia 1</v>
      </c>
      <c r="C1635" s="2" t="str">
        <f>VLOOKUP($A1635,Controle!$B$4:$F$68,3,FALSE)</f>
        <v>MORI MINAS IV</v>
      </c>
      <c r="D1635" s="2" t="str">
        <f>VLOOKUP($A1635,Controle!$B$4:$F$68,4,FALSE)</f>
        <v>NewCo IV</v>
      </c>
      <c r="E1635" s="2" t="str">
        <f>VLOOKUP($A1635,Controle!$B$4:$F$68,5,FALSE)</f>
        <v>Weg</v>
      </c>
      <c r="F1635" s="3" t="str">
        <f>F1600</f>
        <v>Escopo COMERC - Segurança</v>
      </c>
      <c r="G1635" s="2" t="str">
        <f>VLOOKUP($A1635,Controle!$B$4:$G$68,6,FALSE)</f>
        <v>Solatio</v>
      </c>
      <c r="H1635" s="6">
        <v>0</v>
      </c>
      <c r="I1635" s="6">
        <f>R1635</f>
        <v>85786.209999999992</v>
      </c>
      <c r="J1635" s="6">
        <v>0</v>
      </c>
      <c r="K1635" s="6">
        <v>0</v>
      </c>
      <c r="L1635" s="6">
        <v>0</v>
      </c>
      <c r="M1635" s="6">
        <v>0</v>
      </c>
      <c r="N1635" s="6">
        <v>0</v>
      </c>
      <c r="O1635" s="4">
        <f>SUM(I1635:N1635)</f>
        <v>85786.209999999992</v>
      </c>
      <c r="P1635" s="5">
        <f>SUMIFS('Desenvolvimento diário'!$H:$H,'Desenvolvimento diário'!$Q:$Q,$B1635,'Desenvolvimento diário'!$P:$P,$F1635,'Desenvolvimento diário'!$R:$R,"Sim")</f>
        <v>0</v>
      </c>
      <c r="Q1635" s="5">
        <f>SUMIFS('Desenvolvimento diário'!$H:$H,'Desenvolvimento diário'!$Q:$Q,$B1635,'Desenvolvimento diário'!$P:$P,$F1635,'Desenvolvimento diário'!$R:$R,"Não")</f>
        <v>85786.209999999992</v>
      </c>
      <c r="R1635" s="4">
        <f>SUM(P1635:Q1635)</f>
        <v>85786.209999999992</v>
      </c>
      <c r="S1635" s="4">
        <f>O1635-R1635</f>
        <v>0</v>
      </c>
      <c r="T1635" s="12">
        <f>IFERROR(R1635/O1635,0)</f>
        <v>1</v>
      </c>
      <c r="Y1635" s="2"/>
      <c r="Z1635" s="2"/>
      <c r="AA1635" s="2"/>
      <c r="AB1635" s="2"/>
      <c r="AC1635" s="2"/>
    </row>
    <row r="1636" spans="1:29" ht="10.5" hidden="1">
      <c r="A1636" s="2">
        <f>A1635</f>
        <v>47</v>
      </c>
      <c r="B1636" s="2" t="str">
        <f>VLOOKUP($A1636,Controle!$B$4:$F$68,2,FALSE)</f>
        <v>Cássia 1</v>
      </c>
      <c r="C1636" s="2" t="str">
        <f>VLOOKUP($A1636,Controle!$B$4:$F$68,3,FALSE)</f>
        <v>MORI MINAS IV</v>
      </c>
      <c r="D1636" s="2" t="str">
        <f>VLOOKUP($A1636,Controle!$B$4:$F$68,4,FALSE)</f>
        <v>NewCo IV</v>
      </c>
      <c r="E1636" s="2" t="str">
        <f>VLOOKUP($A1636,Controle!$B$4:$F$68,5,FALSE)</f>
        <v>Weg</v>
      </c>
      <c r="F1636" s="3" t="str">
        <f>F1601</f>
        <v>Conexão MT - Obras Transferencia</v>
      </c>
      <c r="G1636" s="2" t="str">
        <f>VLOOKUP($A1636,Controle!$B$4:$G$68,6,FALSE)</f>
        <v>Solatio</v>
      </c>
      <c r="H1636" s="6">
        <v>0</v>
      </c>
      <c r="I1636" s="6">
        <v>0</v>
      </c>
      <c r="J1636" s="6">
        <v>0</v>
      </c>
      <c r="K1636" s="6">
        <v>0</v>
      </c>
      <c r="L1636" s="6">
        <v>0</v>
      </c>
      <c r="M1636" s="6">
        <v>0</v>
      </c>
      <c r="N1636" s="6">
        <v>0</v>
      </c>
      <c r="O1636" s="4">
        <f>SUM(I1636:N1636)</f>
        <v>0</v>
      </c>
      <c r="P1636" s="5">
        <f>SUMIFS('Desenvolvimento diário'!$H:$H,'Desenvolvimento diário'!$Q:$Q,$B1636,'Desenvolvimento diário'!$P:$P,$F1636,'Desenvolvimento diário'!$R:$R,"Sim")</f>
        <v>0</v>
      </c>
      <c r="Q1636" s="5">
        <f>SUMIFS('Desenvolvimento diário'!$H:$H,'Desenvolvimento diário'!$Q:$Q,$B1636,'Desenvolvimento diário'!$P:$P,$F1636,'Desenvolvimento diário'!$R:$R,"Não")</f>
        <v>0</v>
      </c>
      <c r="R1636" s="4">
        <f>SUM(P1636:Q1636)</f>
        <v>0</v>
      </c>
      <c r="S1636" s="4">
        <f>O1636-R1636</f>
        <v>0</v>
      </c>
      <c r="T1636" s="12">
        <f>IFERROR(R1636/O1636,0)</f>
        <v>0</v>
      </c>
      <c r="Y1636" s="2"/>
      <c r="Z1636" s="2"/>
      <c r="AA1636" s="2"/>
      <c r="AB1636" s="2"/>
      <c r="AC1636" s="2"/>
    </row>
    <row r="1637" spans="1:29" ht="10.5" hidden="1">
      <c r="A1637" s="2">
        <f>A1636</f>
        <v>47</v>
      </c>
      <c r="B1637" s="2" t="str">
        <f>VLOOKUP($A1637,Controle!$B$4:$F$68,2,FALSE)</f>
        <v>Cássia 1</v>
      </c>
      <c r="C1637" s="2" t="str">
        <f>VLOOKUP($A1637,Controle!$B$4:$F$68,3,FALSE)</f>
        <v>MORI MINAS IV</v>
      </c>
      <c r="D1637" s="2" t="str">
        <f>VLOOKUP($A1637,Controle!$B$4:$F$68,4,FALSE)</f>
        <v>NewCo IV</v>
      </c>
      <c r="E1637" s="2" t="str">
        <f>VLOOKUP($A1637,Controle!$B$4:$F$68,5,FALSE)</f>
        <v>Weg</v>
      </c>
      <c r="F1637" s="3" t="str">
        <f>F1602</f>
        <v>Bases de Contaniers</v>
      </c>
      <c r="G1637" s="2" t="str">
        <f>VLOOKUP($A1637,Controle!$B$4:$G$68,6,FALSE)</f>
        <v>Solatio</v>
      </c>
      <c r="H1637" s="6" t="s">
        <v>208</v>
      </c>
      <c r="I1637" s="6">
        <v>114900</v>
      </c>
      <c r="J1637" s="6">
        <v>0</v>
      </c>
      <c r="K1637" s="6">
        <v>0</v>
      </c>
      <c r="L1637" s="6">
        <v>0</v>
      </c>
      <c r="M1637" s="6">
        <v>0</v>
      </c>
      <c r="N1637" s="6">
        <v>0</v>
      </c>
      <c r="O1637" s="4">
        <f>SUM(I1637:N1637)</f>
        <v>114900</v>
      </c>
      <c r="P1637" s="5">
        <f>SUMIFS('Desenvolvimento diário'!$H:$H,'Desenvolvimento diário'!$Q:$Q,$B1637,'Desenvolvimento diário'!$P:$P,$F1637,'Desenvolvimento diário'!$R:$R,"Sim")</f>
        <v>0</v>
      </c>
      <c r="Q1637" s="5">
        <f>SUMIFS('Desenvolvimento diário'!$H:$H,'Desenvolvimento diário'!$Q:$Q,$B1637,'Desenvolvimento diário'!$P:$P,$F1637,'Desenvolvimento diário'!$R:$R,"Não")</f>
        <v>114900</v>
      </c>
      <c r="R1637" s="4">
        <f>SUM(P1637:Q1637)</f>
        <v>114900</v>
      </c>
      <c r="S1637" s="4">
        <f>O1637-R1637</f>
        <v>0</v>
      </c>
      <c r="T1637" s="12">
        <f>IFERROR(R1637/O1637,0)</f>
        <v>1</v>
      </c>
      <c r="Y1637" s="2"/>
      <c r="Z1637" s="2"/>
      <c r="AA1637" s="2"/>
      <c r="AB1637" s="2"/>
      <c r="AC1637" s="2"/>
    </row>
    <row r="1638" spans="1:29" ht="10.5" hidden="1">
      <c r="A1638" s="2">
        <f>A1637</f>
        <v>47</v>
      </c>
      <c r="B1638" s="2" t="str">
        <f>VLOOKUP($A1638,Controle!$B$4:$F$68,2,FALSE)</f>
        <v>Cássia 1</v>
      </c>
      <c r="C1638" s="2" t="str">
        <f>VLOOKUP($A1638,Controle!$B$4:$F$68,3,FALSE)</f>
        <v>MORI MINAS IV</v>
      </c>
      <c r="D1638" s="2" t="str">
        <f>VLOOKUP($A1638,Controle!$B$4:$F$68,4,FALSE)</f>
        <v>NewCo IV</v>
      </c>
      <c r="E1638" s="2" t="str">
        <f>VLOOKUP($A1638,Controle!$B$4:$F$68,5,FALSE)</f>
        <v>Weg</v>
      </c>
      <c r="F1638" s="3" t="str">
        <f>F1603</f>
        <v>Construção - Serviços de Construção - Ase Engenharia</v>
      </c>
      <c r="G1638" s="2" t="str">
        <f>VLOOKUP($A1638,Controle!$B$4:$G$68,6,FALSE)</f>
        <v>Solatio</v>
      </c>
      <c r="H1638" s="6">
        <v>0</v>
      </c>
      <c r="I1638" s="6">
        <v>0</v>
      </c>
      <c r="J1638" s="6">
        <v>0</v>
      </c>
      <c r="K1638" s="6">
        <v>0</v>
      </c>
      <c r="L1638" s="6">
        <v>0</v>
      </c>
      <c r="M1638" s="6">
        <v>0</v>
      </c>
      <c r="N1638" s="6">
        <v>0</v>
      </c>
      <c r="O1638" s="4">
        <f>SUM(I1638:N1638)</f>
        <v>0</v>
      </c>
      <c r="P1638" s="5">
        <f>SUMIFS('Desenvolvimento diário'!$H:$H,'Desenvolvimento diário'!$Q:$Q,$B1638,'Desenvolvimento diário'!$P:$P,$F1638,'Desenvolvimento diário'!$R:$R,"Sim")</f>
        <v>0</v>
      </c>
      <c r="Q1638" s="5">
        <f>SUMIFS('Desenvolvimento diário'!$H:$H,'Desenvolvimento diário'!$Q:$Q,$B1638,'Desenvolvimento diário'!$P:$P,$F1638,'Desenvolvimento diário'!$R:$R,"Não")</f>
        <v>0</v>
      </c>
      <c r="R1638" s="4">
        <f>SUM(P1638:Q1638)</f>
        <v>0</v>
      </c>
      <c r="S1638" s="4">
        <f>O1638-R1638</f>
        <v>0</v>
      </c>
      <c r="T1638" s="12">
        <f>IFERROR(R1638/O1638,0)</f>
        <v>0</v>
      </c>
      <c r="Y1638" s="2"/>
      <c r="Z1638" s="2"/>
      <c r="AA1638" s="2"/>
      <c r="AB1638" s="2"/>
      <c r="AC1638" s="2"/>
    </row>
    <row r="1639" spans="1:29" ht="10.5" hidden="1">
      <c r="A1639" s="2">
        <f>A1638</f>
        <v>47</v>
      </c>
      <c r="B1639" s="2" t="str">
        <f>VLOOKUP($A1639,Controle!$B$4:$F$68,2,FALSE)</f>
        <v>Cássia 1</v>
      </c>
      <c r="C1639" s="2" t="str">
        <f>VLOOKUP($A1639,Controle!$B$4:$F$68,3,FALSE)</f>
        <v>MORI MINAS IV</v>
      </c>
      <c r="D1639" s="2" t="str">
        <f>VLOOKUP($A1639,Controle!$B$4:$F$68,4,FALSE)</f>
        <v>NewCo IV</v>
      </c>
      <c r="E1639" s="2" t="str">
        <f>VLOOKUP($A1639,Controle!$B$4:$F$68,5,FALSE)</f>
        <v>Weg</v>
      </c>
      <c r="F1639" s="3" t="str">
        <f>F1604</f>
        <v>Full EPC - Contrato Sobressalentes</v>
      </c>
      <c r="G1639" s="2" t="str">
        <f>VLOOKUP($A1639,Controle!$B$4:$G$68,6,FALSE)</f>
        <v>Solatio</v>
      </c>
      <c r="H1639" s="6" t="s">
        <v>21</v>
      </c>
      <c r="I1639" s="6">
        <v>230158.31</v>
      </c>
      <c r="J1639" s="6">
        <v>0</v>
      </c>
      <c r="K1639" s="6">
        <v>0</v>
      </c>
      <c r="L1639" s="6">
        <v>0</v>
      </c>
      <c r="M1639" s="6">
        <v>0</v>
      </c>
      <c r="N1639" s="6">
        <v>0</v>
      </c>
      <c r="O1639" s="4">
        <f>SUM(I1639:N1639)</f>
        <v>230158.31</v>
      </c>
      <c r="P1639" s="5">
        <f>SUMIFS('Desenvolvimento diário'!$H:$H,'Desenvolvimento diário'!$Q:$Q,$B1639,'Desenvolvimento diário'!$P:$P,$F1639,'Desenvolvimento diário'!$R:$R,"Sim")</f>
        <v>0</v>
      </c>
      <c r="Q1639" s="5">
        <f>SUMIFS('Desenvolvimento diário'!$H:$H,'Desenvolvimento diário'!$Q:$Q,$B1639,'Desenvolvimento diário'!$P:$P,$F1639,'Desenvolvimento diário'!$R:$R,"Não")</f>
        <v>230158.31</v>
      </c>
      <c r="R1639" s="4">
        <f>SUM(P1639:Q1639)</f>
        <v>230158.31</v>
      </c>
      <c r="S1639" s="4">
        <f>O1639-R1639</f>
        <v>0</v>
      </c>
      <c r="T1639" s="12">
        <f>IFERROR(R1639/O1639,0)</f>
        <v>1</v>
      </c>
      <c r="Y1639" s="2"/>
      <c r="Z1639" s="2"/>
      <c r="AA1639" s="2"/>
      <c r="AB1639" s="2"/>
      <c r="AC1639" s="2"/>
    </row>
    <row r="1640" spans="1:29" ht="10.5" hidden="1">
      <c r="A1640" s="2">
        <f>A1639</f>
        <v>47</v>
      </c>
      <c r="B1640" s="2" t="str">
        <f>VLOOKUP($A1640,Controle!$B$4:$F$68,2,FALSE)</f>
        <v>Cássia 1</v>
      </c>
      <c r="C1640" s="2" t="str">
        <f>VLOOKUP($A1640,Controle!$B$4:$F$68,3,FALSE)</f>
        <v>MORI MINAS IV</v>
      </c>
      <c r="D1640" s="2" t="str">
        <f>VLOOKUP($A1640,Controle!$B$4:$F$68,4,FALSE)</f>
        <v>NewCo IV</v>
      </c>
      <c r="E1640" s="2" t="str">
        <f>VLOOKUP($A1640,Controle!$B$4:$F$68,5,FALSE)</f>
        <v>Weg</v>
      </c>
      <c r="F1640" s="3" t="str">
        <f>F1605</f>
        <v>Construção - Serviços de Construção - NOVA MORADA</v>
      </c>
      <c r="G1640" s="2" t="str">
        <f>VLOOKUP($A1640,Controle!$B$4:$G$68,6,FALSE)</f>
        <v>Solatio</v>
      </c>
      <c r="H1640" s="6">
        <v>0</v>
      </c>
      <c r="I1640" s="6">
        <v>0</v>
      </c>
      <c r="J1640" s="6">
        <v>0</v>
      </c>
      <c r="K1640" s="6">
        <v>0</v>
      </c>
      <c r="L1640" s="6">
        <v>0</v>
      </c>
      <c r="M1640" s="6">
        <v>0</v>
      </c>
      <c r="N1640" s="6">
        <v>0</v>
      </c>
      <c r="O1640" s="4">
        <f>SUM(I1640:N1640)</f>
        <v>0</v>
      </c>
      <c r="P1640" s="5">
        <f>SUMIFS('Desenvolvimento diário'!$H:$H,'Desenvolvimento diário'!$Q:$Q,$B1640,'Desenvolvimento diário'!$P:$P,$F1640,'Desenvolvimento diário'!$R:$R,"Sim")</f>
        <v>0</v>
      </c>
      <c r="Q1640" s="5">
        <f>SUMIFS('Desenvolvimento diário'!$H:$H,'Desenvolvimento diário'!$Q:$Q,$B1640,'Desenvolvimento diário'!$P:$P,$F1640,'Desenvolvimento diário'!$R:$R,"Não")</f>
        <v>0</v>
      </c>
      <c r="R1640" s="4">
        <f>SUM(P1640:Q1640)</f>
        <v>0</v>
      </c>
      <c r="S1640" s="4">
        <f>O1640-R1640</f>
        <v>0</v>
      </c>
      <c r="T1640" s="12">
        <f>IFERROR(R1640/O1640,0)</f>
        <v>0</v>
      </c>
      <c r="Y1640" s="2"/>
      <c r="Z1640" s="2"/>
      <c r="AA1640" s="2"/>
      <c r="AB1640" s="2"/>
      <c r="AC1640" s="2"/>
    </row>
    <row r="1641" spans="1:29" ht="10.5" hidden="1">
      <c r="A1641" s="2">
        <f>A1640</f>
        <v>47</v>
      </c>
      <c r="B1641" s="2" t="str">
        <f>VLOOKUP($A1641,Controle!$B$4:$F$68,2,FALSE)</f>
        <v>Cássia 1</v>
      </c>
      <c r="C1641" s="2" t="str">
        <f>VLOOKUP($A1641,Controle!$B$4:$F$68,3,FALSE)</f>
        <v>MORI MINAS IV</v>
      </c>
      <c r="D1641" s="2" t="str">
        <f>VLOOKUP($A1641,Controle!$B$4:$F$68,4,FALSE)</f>
        <v>NewCo IV</v>
      </c>
      <c r="E1641" s="2" t="str">
        <f>VLOOKUP($A1641,Controle!$B$4:$F$68,5,FALSE)</f>
        <v>Weg</v>
      </c>
      <c r="F1641" s="3" t="str">
        <f>F1606</f>
        <v>Equipamentos Curva A -  Contrato Sobressalentes - SETTA</v>
      </c>
      <c r="G1641" s="2" t="str">
        <f>VLOOKUP($A1641,Controle!$B$4:$G$68,6,FALSE)</f>
        <v>Solatio</v>
      </c>
      <c r="H1641" s="6">
        <v>0</v>
      </c>
      <c r="I1641" s="6">
        <v>0</v>
      </c>
      <c r="J1641" s="6">
        <v>0</v>
      </c>
      <c r="K1641" s="6">
        <v>0</v>
      </c>
      <c r="L1641" s="6">
        <v>0</v>
      </c>
      <c r="M1641" s="6">
        <v>0</v>
      </c>
      <c r="N1641" s="6">
        <v>0</v>
      </c>
      <c r="O1641" s="4">
        <f>SUM(I1641:N1641)</f>
        <v>0</v>
      </c>
      <c r="P1641" s="5">
        <f>SUMIFS('Desenvolvimento diário'!$H:$H,'Desenvolvimento diário'!$Q:$Q,$B1641,'Desenvolvimento diário'!$P:$P,$F1641,'Desenvolvimento diário'!$R:$R,"Sim")</f>
        <v>0</v>
      </c>
      <c r="Q1641" s="5">
        <f>SUMIFS('Desenvolvimento diário'!$H:$H,'Desenvolvimento diário'!$Q:$Q,$B1641,'Desenvolvimento diário'!$P:$P,$F1641,'Desenvolvimento diário'!$R:$R,"Não")</f>
        <v>0</v>
      </c>
      <c r="R1641" s="4">
        <f>SUM(P1641:Q1641)</f>
        <v>0</v>
      </c>
      <c r="S1641" s="4">
        <f>O1641-R1641</f>
        <v>0</v>
      </c>
      <c r="T1641" s="12">
        <f>IFERROR(R1641/O1641,0)</f>
        <v>0</v>
      </c>
      <c r="Y1641" s="2"/>
      <c r="Z1641" s="2"/>
      <c r="AA1641" s="2"/>
      <c r="AB1641" s="2"/>
      <c r="AC1641" s="2"/>
    </row>
    <row r="1642" spans="1:29" ht="10.5" hidden="1">
      <c r="A1642" s="2">
        <f>A1641</f>
        <v>47</v>
      </c>
      <c r="B1642" s="2" t="str">
        <f>VLOOKUP($A1642,Controle!$B$4:$F$68,2,FALSE)</f>
        <v>Cássia 1</v>
      </c>
      <c r="C1642" s="2" t="str">
        <f>VLOOKUP($A1642,Controle!$B$4:$F$68,3,FALSE)</f>
        <v>MORI MINAS IV</v>
      </c>
      <c r="D1642" s="2" t="str">
        <f>VLOOKUP($A1642,Controle!$B$4:$F$68,4,FALSE)</f>
        <v>NewCo IV</v>
      </c>
      <c r="E1642" s="2" t="str">
        <f>VLOOKUP($A1642,Controle!$B$4:$F$68,5,FALSE)</f>
        <v>Weg</v>
      </c>
      <c r="F1642" s="3" t="str">
        <f>F1607</f>
        <v>Equipamentos Curva A -  Contrato Sobressalentes - Arctech</v>
      </c>
      <c r="G1642" s="2" t="str">
        <f>VLOOKUP($A1642,Controle!$B$4:$G$68,6,FALSE)</f>
        <v>Solatio</v>
      </c>
      <c r="H1642" s="6">
        <v>0</v>
      </c>
      <c r="I1642" s="6">
        <v>0</v>
      </c>
      <c r="J1642" s="6">
        <v>0</v>
      </c>
      <c r="K1642" s="6">
        <v>0</v>
      </c>
      <c r="L1642" s="6">
        <v>0</v>
      </c>
      <c r="M1642" s="6">
        <v>0</v>
      </c>
      <c r="N1642" s="6">
        <v>0</v>
      </c>
      <c r="O1642" s="4">
        <f>SUM(I1642:N1642)</f>
        <v>0</v>
      </c>
      <c r="P1642" s="5">
        <f>SUMIFS('Desenvolvimento diário'!$H:$H,'Desenvolvimento diário'!$Q:$Q,$B1642,'Desenvolvimento diário'!$P:$P,$F1642,'Desenvolvimento diário'!$R:$R,"Sim")</f>
        <v>0</v>
      </c>
      <c r="Q1642" s="5">
        <f>SUMIFS('Desenvolvimento diário'!$H:$H,'Desenvolvimento diário'!$Q:$Q,$B1642,'Desenvolvimento diário'!$P:$P,$F1642,'Desenvolvimento diário'!$R:$R,"Não")</f>
        <v>0</v>
      </c>
      <c r="R1642" s="4">
        <f>SUM(P1642:Q1642)</f>
        <v>0</v>
      </c>
      <c r="S1642" s="4">
        <f>O1642-R1642</f>
        <v>0</v>
      </c>
      <c r="T1642" s="12">
        <f>IFERROR(R1642/O1642,0)</f>
        <v>0</v>
      </c>
      <c r="Y1642" s="2"/>
      <c r="Z1642" s="2"/>
      <c r="AA1642" s="2"/>
      <c r="AB1642" s="2"/>
      <c r="AC1642" s="2"/>
    </row>
    <row r="1643" spans="1:29" hidden="1">
      <c r="A1643" s="2">
        <f>A1642</f>
        <v>47</v>
      </c>
      <c r="B1643" s="94" t="str">
        <f>VLOOKUP($A1643,Controle!$B$4:$F$68,2,FALSE)</f>
        <v>Cássia 1</v>
      </c>
      <c r="C1643" s="94" t="str">
        <f>VLOOKUP($A1643,Controle!$B$4:$F$68,3,FALSE)</f>
        <v>MORI MINAS IV</v>
      </c>
      <c r="D1643" s="94" t="str">
        <f>VLOOKUP($A1643,Controle!$B$4:$F$68,4,FALSE)</f>
        <v>NewCo IV</v>
      </c>
      <c r="E1643" s="94" t="str">
        <f>VLOOKUP($A1643,Controle!$B$4:$F$68,5,FALSE)</f>
        <v>Weg</v>
      </c>
      <c r="F1643" s="37" t="str">
        <f>F1608</f>
        <v>Equipamentos Curva A -  Contrato Sobressalentes - Romagnole</v>
      </c>
      <c r="G1643" s="94" t="str">
        <f>VLOOKUP($A1643,Controle!$B$4:$G$68,6,FALSE)</f>
        <v>Solatio</v>
      </c>
      <c r="H1643" s="506" t="s">
        <v>169</v>
      </c>
      <c r="I1643" s="506">
        <v>61525.07</v>
      </c>
      <c r="J1643" s="506">
        <v>0</v>
      </c>
      <c r="K1643" s="506">
        <v>0</v>
      </c>
      <c r="L1643" s="506">
        <v>0</v>
      </c>
      <c r="M1643" s="506">
        <v>0</v>
      </c>
      <c r="N1643" s="506">
        <v>0</v>
      </c>
      <c r="O1643" s="39">
        <f>SUM(I1643:N1643)</f>
        <v>61525.07</v>
      </c>
      <c r="P1643" s="17">
        <f>SUMIFS('Desenvolvimento diário'!$H:$H,'Desenvolvimento diário'!$Q:$Q,$B1643,'Desenvolvimento diário'!$P:$P,$F1643,'Desenvolvimento diário'!$R:$R,"Sim")</f>
        <v>0</v>
      </c>
      <c r="Q1643" s="17">
        <f>SUMIFS('Desenvolvimento diário'!$H:$H,'Desenvolvimento diário'!$Q:$Q,$B1643,'Desenvolvimento diário'!$P:$P,$F1643,'Desenvolvimento diário'!$R:$R,"Não")</f>
        <v>61525.07</v>
      </c>
      <c r="R1643" s="4">
        <f>SUM(P1643:Q1643)</f>
        <v>61525.07</v>
      </c>
      <c r="S1643" s="4">
        <f>O1643-R1643</f>
        <v>0</v>
      </c>
      <c r="T1643" s="12">
        <f>IFERROR(R1643/O1643,0)</f>
        <v>1</v>
      </c>
      <c r="Y1643" s="2"/>
      <c r="Z1643" s="2"/>
      <c r="AA1643" s="2"/>
      <c r="AB1643" s="2"/>
      <c r="AC1643" s="2"/>
    </row>
    <row r="1644" spans="1:29" hidden="1">
      <c r="A1644" s="2">
        <f t="shared" ref="A1644:A1645" si="541">A1643</f>
        <v>47</v>
      </c>
      <c r="B1644" s="2" t="str">
        <f>VLOOKUP($A1644,Controle!$B$4:$F$68,2,FALSE)</f>
        <v>Cássia 1</v>
      </c>
      <c r="C1644" s="2" t="str">
        <f>VLOOKUP($A1644,Controle!$B$4:$F$68,3,FALSE)</f>
        <v>MORI MINAS IV</v>
      </c>
      <c r="D1644" s="2" t="str">
        <f>VLOOKUP($A1644,Controle!$B$4:$F$68,4,FALSE)</f>
        <v>NewCo IV</v>
      </c>
      <c r="E1644" s="2" t="str">
        <f>VLOOKUP($A1644,Controle!$B$4:$F$68,5,FALSE)</f>
        <v>Weg</v>
      </c>
      <c r="F1644" s="3" t="str">
        <f t="shared" ref="F1644:F1645" si="542">F1609</f>
        <v>GOS FLORESTAL - (PRAD - Recuperação Area Ambiental)</v>
      </c>
      <c r="G1644" s="2" t="str">
        <f>VLOOKUP($A1644,Controle!$B$4:$G$68,6,FALSE)</f>
        <v>Solatio</v>
      </c>
      <c r="H1644" s="506" t="s">
        <v>170</v>
      </c>
      <c r="I1644" s="6">
        <v>0</v>
      </c>
      <c r="J1644" s="506"/>
      <c r="K1644" s="506">
        <v>0</v>
      </c>
      <c r="L1644" s="506">
        <v>0</v>
      </c>
      <c r="M1644" s="506">
        <v>0</v>
      </c>
      <c r="N1644" s="506">
        <v>0</v>
      </c>
      <c r="O1644" s="39">
        <f t="shared" ref="O1644:O1645" si="543">SUM(I1644:N1644)</f>
        <v>0</v>
      </c>
      <c r="P1644" s="17">
        <f>SUMIFS('Desenvolvimento diário'!$H:$H,'Desenvolvimento diário'!$Q:$Q,$B1644,'Desenvolvimento diário'!$P:$P,$F1644,'Desenvolvimento diário'!$R:$R,"Sim")</f>
        <v>0</v>
      </c>
      <c r="Q1644" s="17">
        <f>SUMIFS('Desenvolvimento diário'!$H:$H,'Desenvolvimento diário'!$Q:$Q,$B1644,'Desenvolvimento diário'!$P:$P,$F1644,'Desenvolvimento diário'!$R:$R,"Não")</f>
        <v>0</v>
      </c>
      <c r="R1644" s="4">
        <f t="shared" ref="R1644:R1645" si="544">SUM(P1644:Q1644)</f>
        <v>0</v>
      </c>
      <c r="S1644" s="4">
        <f t="shared" ref="S1644:S1645" si="545">O1644-R1644</f>
        <v>0</v>
      </c>
      <c r="T1644" s="12">
        <f t="shared" ref="T1644:T1645" si="546">IFERROR(R1644/O1644,0)</f>
        <v>0</v>
      </c>
      <c r="Y1644" s="2"/>
      <c r="Z1644" s="2"/>
      <c r="AA1644" s="2"/>
      <c r="AB1644" s="2"/>
      <c r="AC1644" s="2"/>
    </row>
    <row r="1645" spans="1:29" hidden="1">
      <c r="A1645" s="2">
        <f t="shared" si="541"/>
        <v>47</v>
      </c>
      <c r="B1645" s="2" t="str">
        <f>VLOOKUP($A1645,Controle!$B$4:$F$68,2,FALSE)</f>
        <v>Cássia 1</v>
      </c>
      <c r="C1645" s="2" t="str">
        <f>VLOOKUP($A1645,Controle!$B$4:$F$68,3,FALSE)</f>
        <v>MORI MINAS IV</v>
      </c>
      <c r="D1645" s="2" t="str">
        <f>VLOOKUP($A1645,Controle!$B$4:$F$68,4,FALSE)</f>
        <v>NewCo IV</v>
      </c>
      <c r="E1645" s="2" t="str">
        <f>VLOOKUP($A1645,Controle!$B$4:$F$68,5,FALSE)</f>
        <v>Weg</v>
      </c>
      <c r="F1645" s="3" t="str">
        <f t="shared" si="542"/>
        <v>Cercamento das bacias de contenção ciclo 2</v>
      </c>
      <c r="G1645" s="2" t="str">
        <f>VLOOKUP($A1645,Controle!$B$4:$G$68,6,FALSE)</f>
        <v>Solatio</v>
      </c>
      <c r="H1645" s="506" t="s">
        <v>172</v>
      </c>
      <c r="I1645" s="6"/>
      <c r="J1645" s="506"/>
      <c r="K1645" s="506">
        <v>0</v>
      </c>
      <c r="L1645" s="506">
        <v>0</v>
      </c>
      <c r="M1645" s="506">
        <v>0</v>
      </c>
      <c r="N1645" s="506">
        <v>0</v>
      </c>
      <c r="O1645" s="39">
        <f t="shared" si="543"/>
        <v>0</v>
      </c>
      <c r="P1645" s="17">
        <f>SUMIFS('Desenvolvimento diário'!$H:$H,'Desenvolvimento diário'!$Q:$Q,$B1645,'Desenvolvimento diário'!$P:$P,$F1645,'Desenvolvimento diário'!$R:$R,"Sim")</f>
        <v>0</v>
      </c>
      <c r="Q1645" s="17">
        <f>SUMIFS('Desenvolvimento diário'!$H:$H,'Desenvolvimento diário'!$Q:$Q,$B1645,'Desenvolvimento diário'!$P:$P,$F1645,'Desenvolvimento diário'!$R:$R,"Não")</f>
        <v>0</v>
      </c>
      <c r="R1645" s="4">
        <f t="shared" si="544"/>
        <v>0</v>
      </c>
      <c r="S1645" s="1030">
        <f t="shared" si="545"/>
        <v>0</v>
      </c>
      <c r="T1645" s="12">
        <f t="shared" si="546"/>
        <v>0</v>
      </c>
      <c r="U1645" s="1029" t="s">
        <v>166</v>
      </c>
      <c r="V1645" s="1029" t="s">
        <v>94</v>
      </c>
      <c r="Y1645" s="2"/>
      <c r="Z1645" s="2"/>
      <c r="AA1645" s="2"/>
      <c r="AB1645" s="2"/>
      <c r="AC1645" s="2"/>
    </row>
    <row r="1646" spans="1:29" hidden="1">
      <c r="A1646" s="8">
        <f>A1643</f>
        <v>47</v>
      </c>
      <c r="B1646" s="9" t="str">
        <f>B1643</f>
        <v>Cássia 1</v>
      </c>
      <c r="C1646" s="9" t="str">
        <f>C1643</f>
        <v>MORI MINAS IV</v>
      </c>
      <c r="D1646" s="9" t="str">
        <f>D1643</f>
        <v>NewCo IV</v>
      </c>
      <c r="E1646" s="9" t="str">
        <f>E1643</f>
        <v>Weg</v>
      </c>
      <c r="F1646" s="10" t="s">
        <v>158</v>
      </c>
      <c r="G1646" s="9" t="str">
        <f>G1643</f>
        <v>Solatio</v>
      </c>
      <c r="H1646" s="9"/>
      <c r="I1646" s="9">
        <f>SUBTOTAL(9,I1612:I1645)</f>
        <v>0</v>
      </c>
      <c r="J1646" s="9">
        <f t="shared" ref="J1646:S1646" si="547">SUBTOTAL(9,J1612:J1645)</f>
        <v>0</v>
      </c>
      <c r="K1646" s="9">
        <f t="shared" si="547"/>
        <v>0</v>
      </c>
      <c r="L1646" s="9">
        <f t="shared" si="547"/>
        <v>0</v>
      </c>
      <c r="M1646" s="9">
        <f t="shared" si="547"/>
        <v>0</v>
      </c>
      <c r="N1646" s="9">
        <f t="shared" si="547"/>
        <v>0</v>
      </c>
      <c r="O1646" s="9">
        <f t="shared" si="547"/>
        <v>0</v>
      </c>
      <c r="P1646" s="9">
        <f t="shared" si="547"/>
        <v>0</v>
      </c>
      <c r="Q1646" s="9">
        <f t="shared" si="547"/>
        <v>0</v>
      </c>
      <c r="R1646" s="9">
        <f t="shared" si="547"/>
        <v>0</v>
      </c>
      <c r="S1646" s="9">
        <f t="shared" si="547"/>
        <v>0</v>
      </c>
      <c r="T1646" s="13">
        <f>IFERROR(R1646/O1646,0)</f>
        <v>0</v>
      </c>
      <c r="U1646" s="11">
        <f>SUBTOTAL(9,U1612:U1645)</f>
        <v>0</v>
      </c>
      <c r="Y1646" s="2"/>
      <c r="Z1646" s="2"/>
      <c r="AA1646" s="2"/>
      <c r="AB1646" s="2"/>
      <c r="AC1646" s="2"/>
    </row>
    <row r="1647" spans="1:29" ht="10.5" hidden="1">
      <c r="A1647" s="2">
        <f>A1612+1</f>
        <v>48</v>
      </c>
      <c r="B1647" s="2" t="str">
        <f>VLOOKUP($A1647,Controle!$B$4:$F$68,2,FALSE)</f>
        <v>Cássia 2</v>
      </c>
      <c r="C1647" s="2" t="str">
        <f>VLOOKUP($A1647,Controle!$B$4:$F$68,3,FALSE)</f>
        <v>MORI MINAS V</v>
      </c>
      <c r="D1647" s="2" t="str">
        <f>VLOOKUP($A1647,Controle!$B$4:$F$68,4,FALSE)</f>
        <v>NewCo V</v>
      </c>
      <c r="E1647" s="2" t="str">
        <f>VLOOKUP($A1647,Controle!$B$4:$F$68,5,FALSE)</f>
        <v>Weg</v>
      </c>
      <c r="F1647" s="3" t="str">
        <f>F1612</f>
        <v>Conexão AT - Obras</v>
      </c>
      <c r="G1647" s="2" t="str">
        <f>VLOOKUP($A1647,Controle!$B$4:$G$68,6,FALSE)</f>
        <v>Solatio</v>
      </c>
      <c r="H1647" s="6" t="s">
        <v>141</v>
      </c>
      <c r="I1647" s="29">
        <v>379031.73</v>
      </c>
      <c r="J1647" s="6">
        <v>0</v>
      </c>
      <c r="K1647" s="6">
        <v>0</v>
      </c>
      <c r="L1647" s="6">
        <v>0</v>
      </c>
      <c r="M1647" s="6">
        <v>0</v>
      </c>
      <c r="N1647" s="6">
        <v>0</v>
      </c>
      <c r="O1647" s="4">
        <f>SUM(I1647:N1647)</f>
        <v>379031.73</v>
      </c>
      <c r="P1647" s="5">
        <f>SUMIFS('Desenvolvimento diário'!$H:$H,'Desenvolvimento diário'!$Q:$Q,$B1647,'Desenvolvimento diário'!$P:$P,$F1647,'Desenvolvimento diário'!$R:$R,"Sim")</f>
        <v>122716.26000000001</v>
      </c>
      <c r="Q1647" s="5">
        <f>SUMIFS('Desenvolvimento diário'!$H:$H,'Desenvolvimento diário'!$Q:$Q,$B1647,'Desenvolvimento diário'!$P:$P,$F1647,'Desenvolvimento diário'!$R:$R,"Não")</f>
        <v>256315.47</v>
      </c>
      <c r="R1647" s="4">
        <f>SUM(P1647:Q1647)</f>
        <v>379031.73</v>
      </c>
      <c r="S1647" s="40">
        <f>O1647-R1647</f>
        <v>0</v>
      </c>
      <c r="T1647" s="12">
        <f>IFERROR(R1647/O1647,0)</f>
        <v>1</v>
      </c>
      <c r="Y1647" s="2"/>
      <c r="Z1647" s="2"/>
      <c r="AA1647" s="2"/>
      <c r="AB1647" s="2"/>
      <c r="AC1647" s="2"/>
    </row>
    <row r="1648" spans="1:29" ht="10.5" hidden="1">
      <c r="A1648" s="2">
        <f>A1647</f>
        <v>48</v>
      </c>
      <c r="B1648" s="2" t="str">
        <f>VLOOKUP($A1648,Controle!$B$4:$F$68,2,FALSE)</f>
        <v>Cássia 2</v>
      </c>
      <c r="C1648" s="2" t="str">
        <f>VLOOKUP($A1648,Controle!$B$4:$F$68,3,FALSE)</f>
        <v>MORI MINAS V</v>
      </c>
      <c r="D1648" s="2" t="str">
        <f>VLOOKUP($A1648,Controle!$B$4:$F$68,4,FALSE)</f>
        <v>NewCo V</v>
      </c>
      <c r="E1648" s="2" t="str">
        <f>VLOOKUP($A1648,Controle!$B$4:$F$68,5,FALSE)</f>
        <v>Weg</v>
      </c>
      <c r="F1648" s="3" t="str">
        <f>F1613</f>
        <v>Conexão MT - Obras</v>
      </c>
      <c r="G1648" s="2" t="str">
        <f>VLOOKUP($A1648,Controle!$B$4:$G$68,6,FALSE)</f>
        <v>Solatio</v>
      </c>
      <c r="H1648" s="6" t="s">
        <v>141</v>
      </c>
      <c r="I1648" s="6">
        <v>1196127</v>
      </c>
      <c r="J1648" s="6">
        <f>835985.7-0.69</f>
        <v>835985.01</v>
      </c>
      <c r="K1648" s="6">
        <v>108000</v>
      </c>
      <c r="L1648" s="6">
        <v>0</v>
      </c>
      <c r="M1648" s="6">
        <v>0</v>
      </c>
      <c r="N1648" s="6">
        <v>0</v>
      </c>
      <c r="O1648" s="4">
        <f>SUM(I1648:N1648)</f>
        <v>2140112.0099999998</v>
      </c>
      <c r="P1648" s="5">
        <f>SUMIFS('Desenvolvimento diário'!$H:$H,'Desenvolvimento diário'!$Q:$Q,$B1648,'Desenvolvimento diário'!$P:$P,$F1648,'Desenvolvimento diário'!$R:$R,"Sim")</f>
        <v>889594.83</v>
      </c>
      <c r="Q1648" s="5">
        <f>SUMIFS('Desenvolvimento diário'!$H:$H,'Desenvolvimento diário'!$Q:$Q,$B1648,'Desenvolvimento diário'!$P:$P,$F1648,'Desenvolvimento diário'!$R:$R,"Não")</f>
        <v>1250517.18</v>
      </c>
      <c r="R1648" s="43">
        <f>SUM(P1648:Q1648)</f>
        <v>2140112.0099999998</v>
      </c>
      <c r="S1648" s="4">
        <f>O1648-R1648</f>
        <v>0</v>
      </c>
      <c r="T1648" s="12">
        <f>IFERROR(R1648/O1648,0)</f>
        <v>1</v>
      </c>
      <c r="Y1648" s="2"/>
      <c r="Z1648" s="2"/>
      <c r="AA1648" s="2"/>
      <c r="AB1648" s="2"/>
      <c r="AC1648" s="2"/>
    </row>
    <row r="1649" spans="1:29" ht="10.5" hidden="1">
      <c r="A1649" s="2">
        <f>A1648</f>
        <v>48</v>
      </c>
      <c r="B1649" s="2" t="str">
        <f>VLOOKUP($A1649,Controle!$B$4:$F$68,2,FALSE)</f>
        <v>Cássia 2</v>
      </c>
      <c r="C1649" s="2" t="str">
        <f>VLOOKUP($A1649,Controle!$B$4:$F$68,3,FALSE)</f>
        <v>MORI MINAS V</v>
      </c>
      <c r="D1649" s="2" t="str">
        <f>VLOOKUP($A1649,Controle!$B$4:$F$68,4,FALSE)</f>
        <v>NewCo V</v>
      </c>
      <c r="E1649" s="2" t="str">
        <f>VLOOKUP($A1649,Controle!$B$4:$F$68,5,FALSE)</f>
        <v>Weg</v>
      </c>
      <c r="F1649" s="3" t="str">
        <f>F1614</f>
        <v>Construção - Serviços de Construção</v>
      </c>
      <c r="G1649" s="2" t="str">
        <f>VLOOKUP($A1649,Controle!$B$4:$G$68,6,FALSE)</f>
        <v>Solatio</v>
      </c>
      <c r="H1649" s="6">
        <v>0</v>
      </c>
      <c r="I1649" s="6">
        <v>0</v>
      </c>
      <c r="J1649" s="6">
        <v>0</v>
      </c>
      <c r="K1649" s="6">
        <v>0</v>
      </c>
      <c r="L1649" s="6">
        <v>0</v>
      </c>
      <c r="M1649" s="6">
        <v>0</v>
      </c>
      <c r="N1649" s="6">
        <v>0</v>
      </c>
      <c r="O1649" s="4">
        <f>SUM(I1649:N1649)</f>
        <v>0</v>
      </c>
      <c r="P1649" s="5">
        <f>SUMIFS('Desenvolvimento diário'!$H:$H,'Desenvolvimento diário'!$Q:$Q,$B1649,'Desenvolvimento diário'!$P:$P,$F1649,'Desenvolvimento diário'!$R:$R,"Sim")</f>
        <v>0</v>
      </c>
      <c r="Q1649" s="5">
        <f>SUMIFS('Desenvolvimento diário'!$H:$H,'Desenvolvimento diário'!$Q:$Q,$B1649,'Desenvolvimento diário'!$P:$P,$F1649,'Desenvolvimento diário'!$R:$R,"Não")</f>
        <v>0</v>
      </c>
      <c r="R1649" s="4">
        <f>SUM(P1649:Q1649)</f>
        <v>0</v>
      </c>
      <c r="S1649" s="4">
        <f>O1649-R1649</f>
        <v>0</v>
      </c>
      <c r="T1649" s="12">
        <f>IFERROR(R1649/O1649,0)</f>
        <v>0</v>
      </c>
      <c r="Y1649" s="2"/>
      <c r="Z1649" s="2"/>
      <c r="AA1649" s="2"/>
      <c r="AB1649" s="2"/>
      <c r="AC1649" s="2"/>
    </row>
    <row r="1650" spans="1:29" ht="10.5" hidden="1">
      <c r="A1650" s="2">
        <f>A1649</f>
        <v>48</v>
      </c>
      <c r="B1650" s="2" t="str">
        <f>VLOOKUP($A1650,Controle!$B$4:$F$68,2,FALSE)</f>
        <v>Cássia 2</v>
      </c>
      <c r="C1650" s="2" t="str">
        <f>VLOOKUP($A1650,Controle!$B$4:$F$68,3,FALSE)</f>
        <v>MORI MINAS V</v>
      </c>
      <c r="D1650" s="2" t="str">
        <f>VLOOKUP($A1650,Controle!$B$4:$F$68,4,FALSE)</f>
        <v>NewCo V</v>
      </c>
      <c r="E1650" s="2" t="str">
        <f>VLOOKUP($A1650,Controle!$B$4:$F$68,5,FALSE)</f>
        <v>Weg</v>
      </c>
      <c r="F1650" s="3" t="str">
        <f>F1615</f>
        <v>Construção - Serviços de Construção - Substituição</v>
      </c>
      <c r="G1650" s="2" t="str">
        <f>VLOOKUP($A1650,Controle!$B$4:$G$68,6,FALSE)</f>
        <v>Solatio</v>
      </c>
      <c r="H1650" s="6">
        <v>0</v>
      </c>
      <c r="I1650" s="6">
        <v>0</v>
      </c>
      <c r="J1650" s="6">
        <v>0</v>
      </c>
      <c r="K1650" s="6">
        <v>0</v>
      </c>
      <c r="L1650" s="6">
        <v>0</v>
      </c>
      <c r="M1650" s="6">
        <v>0</v>
      </c>
      <c r="N1650" s="6">
        <v>0</v>
      </c>
      <c r="O1650" s="4">
        <f>SUM(I1650:N1650)</f>
        <v>0</v>
      </c>
      <c r="P1650" s="5">
        <f>SUMIFS('Desenvolvimento diário'!$H:$H,'Desenvolvimento diário'!$Q:$Q,$B1650,'Desenvolvimento diário'!$P:$P,$F1650,'Desenvolvimento diário'!$R:$R,"Sim")</f>
        <v>0</v>
      </c>
      <c r="Q1650" s="5">
        <f>SUMIFS('Desenvolvimento diário'!$H:$H,'Desenvolvimento diário'!$Q:$Q,$B1650,'Desenvolvimento diário'!$P:$P,$F1650,'Desenvolvimento diário'!$R:$R,"Não")</f>
        <v>0</v>
      </c>
      <c r="R1650" s="4">
        <f>SUM(P1650:Q1650)</f>
        <v>0</v>
      </c>
      <c r="S1650" s="4">
        <f>O1650-R1650</f>
        <v>0</v>
      </c>
      <c r="T1650" s="12">
        <f>IFERROR(R1650/O1650,0)</f>
        <v>0</v>
      </c>
      <c r="Y1650" s="2"/>
      <c r="Z1650" s="2"/>
      <c r="AA1650" s="2"/>
      <c r="AB1650" s="2"/>
      <c r="AC1650" s="2"/>
    </row>
    <row r="1651" spans="1:29" ht="10.5" hidden="1">
      <c r="A1651" s="2">
        <f>A1650</f>
        <v>48</v>
      </c>
      <c r="B1651" s="2" t="str">
        <f>VLOOKUP($A1651,Controle!$B$4:$F$68,2,FALSE)</f>
        <v>Cássia 2</v>
      </c>
      <c r="C1651" s="2" t="str">
        <f>VLOOKUP($A1651,Controle!$B$4:$F$68,3,FALSE)</f>
        <v>MORI MINAS V</v>
      </c>
      <c r="D1651" s="2" t="str">
        <f>VLOOKUP($A1651,Controle!$B$4:$F$68,4,FALSE)</f>
        <v>NewCo V</v>
      </c>
      <c r="E1651" s="2" t="str">
        <f>VLOOKUP($A1651,Controle!$B$4:$F$68,5,FALSE)</f>
        <v>Weg</v>
      </c>
      <c r="F1651" s="3" t="str">
        <f>F1616</f>
        <v>Construção - RDA Interno</v>
      </c>
      <c r="G1651" s="2" t="str">
        <f>VLOOKUP($A1651,Controle!$B$4:$G$68,6,FALSE)</f>
        <v>Solatio</v>
      </c>
      <c r="H1651" s="6">
        <v>0</v>
      </c>
      <c r="I1651" s="6">
        <v>0</v>
      </c>
      <c r="J1651" s="6">
        <v>0</v>
      </c>
      <c r="K1651" s="6">
        <v>0</v>
      </c>
      <c r="L1651" s="6">
        <v>0</v>
      </c>
      <c r="M1651" s="6">
        <v>0</v>
      </c>
      <c r="N1651" s="6">
        <v>0</v>
      </c>
      <c r="O1651" s="4">
        <f>SUM(I1651:N1651)</f>
        <v>0</v>
      </c>
      <c r="P1651" s="5">
        <f>SUMIFS('Desenvolvimento diário'!$H:$H,'Desenvolvimento diário'!$Q:$Q,$B1651,'Desenvolvimento diário'!$P:$P,$F1651,'Desenvolvimento diário'!$R:$R,"Sim")</f>
        <v>0</v>
      </c>
      <c r="Q1651" s="5">
        <f>SUMIFS('Desenvolvimento diário'!$H:$H,'Desenvolvimento diário'!$Q:$Q,$B1651,'Desenvolvimento diário'!$P:$P,$F1651,'Desenvolvimento diário'!$R:$R,"Não")</f>
        <v>0</v>
      </c>
      <c r="R1651" s="4">
        <f>SUM(P1651:Q1651)</f>
        <v>0</v>
      </c>
      <c r="S1651" s="4">
        <f>O1651-R1651</f>
        <v>0</v>
      </c>
      <c r="T1651" s="12">
        <f>IFERROR(R1651/O1651,0)</f>
        <v>0</v>
      </c>
      <c r="Y1651" s="2"/>
      <c r="Z1651" s="2"/>
      <c r="AA1651" s="2"/>
      <c r="AB1651" s="2"/>
      <c r="AC1651" s="2"/>
    </row>
    <row r="1652" spans="1:29" ht="10.5" hidden="1">
      <c r="A1652" s="2">
        <f>A1651</f>
        <v>48</v>
      </c>
      <c r="B1652" s="2" t="str">
        <f>VLOOKUP($A1652,Controle!$B$4:$F$68,2,FALSE)</f>
        <v>Cássia 2</v>
      </c>
      <c r="C1652" s="2" t="str">
        <f>VLOOKUP($A1652,Controle!$B$4:$F$68,3,FALSE)</f>
        <v>MORI MINAS V</v>
      </c>
      <c r="D1652" s="2" t="str">
        <f>VLOOKUP($A1652,Controle!$B$4:$F$68,4,FALSE)</f>
        <v>NewCo V</v>
      </c>
      <c r="E1652" s="2" t="str">
        <f>VLOOKUP($A1652,Controle!$B$4:$F$68,5,FALSE)</f>
        <v>Weg</v>
      </c>
      <c r="F1652" s="3" t="str">
        <f>F1617</f>
        <v>Full EPC - Contrato</v>
      </c>
      <c r="G1652" s="2" t="str">
        <f>VLOOKUP($A1652,Controle!$B$4:$G$68,6,FALSE)</f>
        <v>Solatio</v>
      </c>
      <c r="H1652" s="6" t="s">
        <v>21</v>
      </c>
      <c r="I1652" s="6">
        <v>11753510.619999999</v>
      </c>
      <c r="J1652" s="6">
        <v>0</v>
      </c>
      <c r="K1652" s="6">
        <v>0</v>
      </c>
      <c r="L1652" s="6">
        <v>0</v>
      </c>
      <c r="M1652" s="6">
        <v>0</v>
      </c>
      <c r="N1652" s="6">
        <v>0</v>
      </c>
      <c r="O1652" s="4">
        <f>SUM(I1652:N1652)</f>
        <v>11753510.619999999</v>
      </c>
      <c r="P1652" s="5">
        <f>SUMIFS('Desenvolvimento diário'!$H:$H,'Desenvolvimento diário'!$Q:$Q,$B1652,'Desenvolvimento diário'!$P:$P,$F1652,'Desenvolvimento diário'!$R:$R,"Sim")</f>
        <v>0</v>
      </c>
      <c r="Q1652" s="5">
        <f>SUMIFS('Desenvolvimento diário'!$H:$H,'Desenvolvimento diário'!$Q:$Q,$B1652,'Desenvolvimento diário'!$P:$P,$F1652,'Desenvolvimento diário'!$R:$R,"Não")</f>
        <v>11753510.620000001</v>
      </c>
      <c r="R1652" s="4">
        <f>SUM(P1652:Q1652)</f>
        <v>11753510.620000001</v>
      </c>
      <c r="S1652" s="1076">
        <f>O1652-R1652</f>
        <v>0</v>
      </c>
      <c r="T1652" s="12">
        <f>IFERROR(R1652/O1652,0)</f>
        <v>1.0000000000000002</v>
      </c>
      <c r="U1652" s="1014" t="s">
        <v>166</v>
      </c>
      <c r="V1652" s="1014" t="s">
        <v>184</v>
      </c>
      <c r="Y1652" s="2"/>
      <c r="Z1652" s="2"/>
      <c r="AA1652" s="2"/>
      <c r="AB1652" s="2"/>
      <c r="AC1652" s="2"/>
    </row>
    <row r="1653" spans="1:29" ht="10.5" hidden="1">
      <c r="A1653" s="2">
        <f>A1652</f>
        <v>48</v>
      </c>
      <c r="B1653" s="2" t="str">
        <f>VLOOKUP($A1653,Controle!$B$4:$F$68,2,FALSE)</f>
        <v>Cássia 2</v>
      </c>
      <c r="C1653" s="2" t="str">
        <f>VLOOKUP($A1653,Controle!$B$4:$F$68,3,FALSE)</f>
        <v>MORI MINAS V</v>
      </c>
      <c r="D1653" s="2" t="str">
        <f>VLOOKUP($A1653,Controle!$B$4:$F$68,4,FALSE)</f>
        <v>NewCo V</v>
      </c>
      <c r="E1653" s="2" t="str">
        <f>VLOOKUP($A1653,Controle!$B$4:$F$68,5,FALSE)</f>
        <v>Weg</v>
      </c>
      <c r="F1653" s="3" t="str">
        <f>F1618</f>
        <v>Equipamentos Curva A - Outros (Transformadores)</v>
      </c>
      <c r="G1653" s="2" t="str">
        <f>VLOOKUP($A1653,Controle!$B$4:$G$68,6,FALSE)</f>
        <v>Solatio</v>
      </c>
      <c r="H1653" s="6">
        <v>0</v>
      </c>
      <c r="I1653" s="6">
        <v>0</v>
      </c>
      <c r="J1653" s="6">
        <v>0</v>
      </c>
      <c r="K1653" s="6">
        <v>0</v>
      </c>
      <c r="L1653" s="6">
        <v>0</v>
      </c>
      <c r="M1653" s="6">
        <v>0</v>
      </c>
      <c r="N1653" s="6">
        <v>0</v>
      </c>
      <c r="O1653" s="4">
        <f>SUM(I1653:N1653)</f>
        <v>0</v>
      </c>
      <c r="P1653" s="5">
        <f>SUMIFS('Desenvolvimento diário'!$H:$H,'Desenvolvimento diário'!$Q:$Q,$B1653,'Desenvolvimento diário'!$P:$P,$F1653,'Desenvolvimento diário'!$R:$R,"Sim")</f>
        <v>0</v>
      </c>
      <c r="Q1653" s="5">
        <f>SUMIFS('Desenvolvimento diário'!$H:$H,'Desenvolvimento diário'!$Q:$Q,$B1653,'Desenvolvimento diário'!$P:$P,$F1653,'Desenvolvimento diário'!$R:$R,"Não")</f>
        <v>0</v>
      </c>
      <c r="R1653" s="4">
        <f>SUM(P1653:Q1653)</f>
        <v>0</v>
      </c>
      <c r="S1653" s="4">
        <f>O1653-R1653</f>
        <v>0</v>
      </c>
      <c r="T1653" s="12">
        <f>IFERROR(R1653/O1653,0)</f>
        <v>0</v>
      </c>
      <c r="Y1653" s="2"/>
      <c r="Z1653" s="2"/>
      <c r="AA1653" s="2"/>
      <c r="AB1653" s="2"/>
      <c r="AC1653" s="2"/>
    </row>
    <row r="1654" spans="1:29" ht="10.5" hidden="1">
      <c r="A1654" s="2">
        <f>A1653</f>
        <v>48</v>
      </c>
      <c r="B1654" s="2" t="str">
        <f>VLOOKUP($A1654,Controle!$B$4:$F$68,2,FALSE)</f>
        <v>Cássia 2</v>
      </c>
      <c r="C1654" s="2" t="str">
        <f>VLOOKUP($A1654,Controle!$B$4:$F$68,3,FALSE)</f>
        <v>MORI MINAS V</v>
      </c>
      <c r="D1654" s="2" t="str">
        <f>VLOOKUP($A1654,Controle!$B$4:$F$68,4,FALSE)</f>
        <v>NewCo V</v>
      </c>
      <c r="E1654" s="2" t="str">
        <f>VLOOKUP($A1654,Controle!$B$4:$F$68,5,FALSE)</f>
        <v>Weg</v>
      </c>
      <c r="F1654" s="3" t="str">
        <f>F1619</f>
        <v>Equipamentos Curva A - Outros (Cabine + Skid)</v>
      </c>
      <c r="G1654" s="2" t="str">
        <f>VLOOKUP($A1654,Controle!$B$4:$G$68,6,FALSE)</f>
        <v>Solatio</v>
      </c>
      <c r="H1654" s="6">
        <v>0</v>
      </c>
      <c r="I1654" s="6">
        <v>0</v>
      </c>
      <c r="J1654" s="6">
        <v>0</v>
      </c>
      <c r="K1654" s="6">
        <v>0</v>
      </c>
      <c r="L1654" s="6">
        <v>0</v>
      </c>
      <c r="M1654" s="6">
        <v>0</v>
      </c>
      <c r="N1654" s="6">
        <v>0</v>
      </c>
      <c r="O1654" s="4">
        <f>SUM(I1654:N1654)</f>
        <v>0</v>
      </c>
      <c r="P1654" s="5">
        <f>SUMIFS('Desenvolvimento diário'!$H:$H,'Desenvolvimento diário'!$Q:$Q,$B1654,'Desenvolvimento diário'!$P:$P,$F1654,'Desenvolvimento diário'!$R:$R,"Sim")</f>
        <v>0</v>
      </c>
      <c r="Q1654" s="5">
        <f>SUMIFS('Desenvolvimento diário'!$H:$H,'Desenvolvimento diário'!$Q:$Q,$B1654,'Desenvolvimento diário'!$P:$P,$F1654,'Desenvolvimento diário'!$R:$R,"Não")</f>
        <v>0</v>
      </c>
      <c r="R1654" s="4">
        <f>SUM(P1654:Q1654)</f>
        <v>0</v>
      </c>
      <c r="S1654" s="4">
        <f>O1654-R1654</f>
        <v>0</v>
      </c>
      <c r="T1654" s="12">
        <f>IFERROR(R1654/O1654,0)</f>
        <v>0</v>
      </c>
      <c r="Y1654" s="2"/>
      <c r="Z1654" s="2"/>
      <c r="AA1654" s="2"/>
      <c r="AB1654" s="2"/>
      <c r="AC1654" s="2"/>
    </row>
    <row r="1655" spans="1:29" ht="10.5" hidden="1">
      <c r="A1655" s="2">
        <f>A1654</f>
        <v>48</v>
      </c>
      <c r="B1655" s="2" t="str">
        <f>VLOOKUP($A1655,Controle!$B$4:$F$68,2,FALSE)</f>
        <v>Cássia 2</v>
      </c>
      <c r="C1655" s="2" t="str">
        <f>VLOOKUP($A1655,Controle!$B$4:$F$68,3,FALSE)</f>
        <v>MORI MINAS V</v>
      </c>
      <c r="D1655" s="2" t="str">
        <f>VLOOKUP($A1655,Controle!$B$4:$F$68,4,FALSE)</f>
        <v>NewCo V</v>
      </c>
      <c r="E1655" s="2" t="str">
        <f>VLOOKUP($A1655,Controle!$B$4:$F$68,5,FALSE)</f>
        <v>Weg</v>
      </c>
      <c r="F1655" s="3" t="str">
        <f>F1620</f>
        <v>Equipamentos Curva A - Outros (Cabine + Skid + Transformador)</v>
      </c>
      <c r="G1655" s="2" t="str">
        <f>VLOOKUP($A1655,Controle!$B$4:$G$68,6,FALSE)</f>
        <v>Solatio</v>
      </c>
      <c r="H1655" s="6" t="s">
        <v>144</v>
      </c>
      <c r="I1655" s="6">
        <v>225422.3186</v>
      </c>
      <c r="J1655" s="6">
        <v>0</v>
      </c>
      <c r="K1655" s="6">
        <v>0</v>
      </c>
      <c r="L1655" s="6">
        <v>0</v>
      </c>
      <c r="M1655" s="6">
        <v>0</v>
      </c>
      <c r="N1655" s="6">
        <v>0</v>
      </c>
      <c r="O1655" s="4">
        <f>SUM(I1655:N1655)</f>
        <v>225422.3186</v>
      </c>
      <c r="P1655" s="5">
        <f>SUMIFS('Desenvolvimento diário'!$H:$H,'Desenvolvimento diário'!$Q:$Q,$B1655,'Desenvolvimento diário'!$P:$P,$F1655,'Desenvolvimento diário'!$R:$R,"Sim")</f>
        <v>0</v>
      </c>
      <c r="Q1655" s="5">
        <f>SUMIFS('Desenvolvimento diário'!$H:$H,'Desenvolvimento diário'!$Q:$Q,$B1655,'Desenvolvimento diário'!$P:$P,$F1655,'Desenvolvimento diário'!$R:$R,"Não")</f>
        <v>225422.3186</v>
      </c>
      <c r="R1655" s="4">
        <f>SUM(P1655:Q1655)</f>
        <v>225422.3186</v>
      </c>
      <c r="S1655" s="4">
        <f>O1655-R1655</f>
        <v>0</v>
      </c>
      <c r="T1655" s="12">
        <f>IFERROR(R1655/O1655,0)</f>
        <v>1</v>
      </c>
      <c r="Y1655" s="2"/>
      <c r="Z1655" s="2"/>
      <c r="AA1655" s="2"/>
      <c r="AB1655" s="2"/>
      <c r="AC1655" s="2"/>
    </row>
    <row r="1656" spans="1:29" ht="10.5" hidden="1">
      <c r="A1656" s="2">
        <f>A1655</f>
        <v>48</v>
      </c>
      <c r="B1656" s="2" t="str">
        <f>VLOOKUP($A1656,Controle!$B$4:$F$68,2,FALSE)</f>
        <v>Cássia 2</v>
      </c>
      <c r="C1656" s="2" t="str">
        <f>VLOOKUP($A1656,Controle!$B$4:$F$68,3,FALSE)</f>
        <v>MORI MINAS V</v>
      </c>
      <c r="D1656" s="2" t="str">
        <f>VLOOKUP($A1656,Controle!$B$4:$F$68,4,FALSE)</f>
        <v>NewCo V</v>
      </c>
      <c r="E1656" s="2" t="str">
        <f>VLOOKUP($A1656,Controle!$B$4:$F$68,5,FALSE)</f>
        <v>Weg</v>
      </c>
      <c r="F1656" s="3" t="str">
        <f>F1621</f>
        <v>Desenvolvimento de projeto - Projetos - (Eng° Proprietario)</v>
      </c>
      <c r="G1656" s="2" t="str">
        <f>VLOOKUP($A1656,Controle!$B$4:$G$68,6,FALSE)</f>
        <v>Solatio</v>
      </c>
      <c r="H1656" s="6" t="s">
        <v>176</v>
      </c>
      <c r="I1656" s="6">
        <f>R1656</f>
        <v>93883.110000000015</v>
      </c>
      <c r="J1656" s="6">
        <v>0</v>
      </c>
      <c r="K1656" s="6">
        <v>0</v>
      </c>
      <c r="L1656" s="6">
        <v>0</v>
      </c>
      <c r="M1656" s="6">
        <v>0</v>
      </c>
      <c r="N1656" s="6">
        <v>0</v>
      </c>
      <c r="O1656" s="4">
        <f>SUM(I1656:N1656)</f>
        <v>93883.110000000015</v>
      </c>
      <c r="P1656" s="5">
        <f>SUMIFS('Desenvolvimento diário'!$H:$H,'Desenvolvimento diário'!$Q:$Q,$B1656,'Desenvolvimento diário'!$P:$P,$F1656,'Desenvolvimento diário'!$R:$R,"Sim")</f>
        <v>0</v>
      </c>
      <c r="Q1656" s="5">
        <f>SUMIFS('Desenvolvimento diário'!$H:$H,'Desenvolvimento diário'!$Q:$Q,$B1656,'Desenvolvimento diário'!$P:$P,$F1656,'Desenvolvimento diário'!$R:$R,"Não")</f>
        <v>93883.110000000015</v>
      </c>
      <c r="R1656" s="4">
        <f>SUM(P1656:Q1656)</f>
        <v>93883.110000000015</v>
      </c>
      <c r="S1656" s="4">
        <f>O1656-R1656</f>
        <v>0</v>
      </c>
      <c r="T1656" s="12">
        <f>IFERROR(R1656/O1656,0)</f>
        <v>1</v>
      </c>
      <c r="Y1656" s="2"/>
      <c r="Z1656" s="2"/>
      <c r="AA1656" s="2"/>
      <c r="AB1656" s="2"/>
      <c r="AC1656" s="2"/>
    </row>
    <row r="1657" spans="1:29" ht="10.5" hidden="1">
      <c r="A1657" s="2">
        <f>A1656</f>
        <v>48</v>
      </c>
      <c r="B1657" s="2" t="str">
        <f>VLOOKUP($A1657,Controle!$B$4:$F$68,2,FALSE)</f>
        <v>Cássia 2</v>
      </c>
      <c r="C1657" s="2" t="str">
        <f>VLOOKUP($A1657,Controle!$B$4:$F$68,3,FALSE)</f>
        <v>MORI MINAS V</v>
      </c>
      <c r="D1657" s="2" t="str">
        <f>VLOOKUP($A1657,Controle!$B$4:$F$68,4,FALSE)</f>
        <v>NewCo V</v>
      </c>
      <c r="E1657" s="2" t="str">
        <f>VLOOKUP($A1657,Controle!$B$4:$F$68,5,FALSE)</f>
        <v>Weg</v>
      </c>
      <c r="F1657" s="3" t="str">
        <f>F1622</f>
        <v>Desenvolvimento de projeto - Projetos - Executivos</v>
      </c>
      <c r="G1657" s="2" t="str">
        <f>VLOOKUP($A1657,Controle!$B$4:$G$68,6,FALSE)</f>
        <v>Solatio</v>
      </c>
      <c r="H1657" s="6">
        <v>0</v>
      </c>
      <c r="I1657" s="6">
        <v>0</v>
      </c>
      <c r="J1657" s="6">
        <v>0</v>
      </c>
      <c r="K1657" s="6">
        <v>0</v>
      </c>
      <c r="L1657" s="6">
        <v>0</v>
      </c>
      <c r="M1657" s="6">
        <v>0</v>
      </c>
      <c r="N1657" s="6">
        <v>0</v>
      </c>
      <c r="O1657" s="4">
        <f>SUM(I1657:N1657)</f>
        <v>0</v>
      </c>
      <c r="P1657" s="5">
        <f>SUMIFS('Desenvolvimento diário'!$H:$H,'Desenvolvimento diário'!$Q:$Q,$B1657,'Desenvolvimento diário'!$P:$P,$F1657,'Desenvolvimento diário'!$R:$R,"Sim")</f>
        <v>0</v>
      </c>
      <c r="Q1657" s="5">
        <f>SUMIFS('Desenvolvimento diário'!$H:$H,'Desenvolvimento diário'!$Q:$Q,$B1657,'Desenvolvimento diário'!$P:$P,$F1657,'Desenvolvimento diário'!$R:$R,"Não")</f>
        <v>0</v>
      </c>
      <c r="R1657" s="4">
        <f>SUM(P1657:Q1657)</f>
        <v>0</v>
      </c>
      <c r="S1657" s="4">
        <f>O1657-R1657</f>
        <v>0</v>
      </c>
      <c r="T1657" s="12">
        <f>IFERROR(R1657/O1657,0)</f>
        <v>0</v>
      </c>
      <c r="Y1657" s="2"/>
      <c r="Z1657" s="2"/>
      <c r="AA1657" s="2"/>
      <c r="AB1657" s="2"/>
      <c r="AC1657" s="2"/>
    </row>
    <row r="1658" spans="1:29" ht="10.5" hidden="1">
      <c r="A1658" s="2">
        <f>A1657</f>
        <v>48</v>
      </c>
      <c r="B1658" s="2" t="str">
        <f>VLOOKUP($A1658,Controle!$B$4:$F$68,2,FALSE)</f>
        <v>Cássia 2</v>
      </c>
      <c r="C1658" s="2" t="str">
        <f>VLOOKUP($A1658,Controle!$B$4:$F$68,3,FALSE)</f>
        <v>MORI MINAS V</v>
      </c>
      <c r="D1658" s="2" t="str">
        <f>VLOOKUP($A1658,Controle!$B$4:$F$68,4,FALSE)</f>
        <v>NewCo V</v>
      </c>
      <c r="E1658" s="2" t="str">
        <f>VLOOKUP($A1658,Controle!$B$4:$F$68,5,FALSE)</f>
        <v>Weg</v>
      </c>
      <c r="F1658" s="3" t="str">
        <f>F1623</f>
        <v>Desenvolvimento de projeto - Projetos Básica</v>
      </c>
      <c r="G1658" s="2" t="str">
        <f>VLOOKUP($A1658,Controle!$B$4:$G$68,6,FALSE)</f>
        <v>Solatio</v>
      </c>
      <c r="H1658" s="6">
        <v>0</v>
      </c>
      <c r="I1658" s="6">
        <v>0</v>
      </c>
      <c r="J1658" s="6">
        <v>0</v>
      </c>
      <c r="K1658" s="6">
        <v>0</v>
      </c>
      <c r="L1658" s="6">
        <v>0</v>
      </c>
      <c r="M1658" s="6">
        <v>0</v>
      </c>
      <c r="N1658" s="6">
        <v>0</v>
      </c>
      <c r="O1658" s="4">
        <f>SUM(I1658:N1658)</f>
        <v>0</v>
      </c>
      <c r="P1658" s="5">
        <f>SUMIFS('Desenvolvimento diário'!$H:$H,'Desenvolvimento diário'!$Q:$Q,$B1658,'Desenvolvimento diário'!$P:$P,$F1658,'Desenvolvimento diário'!$R:$R,"Sim")</f>
        <v>0</v>
      </c>
      <c r="Q1658" s="5">
        <f>SUMIFS('Desenvolvimento diário'!$H:$H,'Desenvolvimento diário'!$Q:$Q,$B1658,'Desenvolvimento diário'!$P:$P,$F1658,'Desenvolvimento diário'!$R:$R,"Não")</f>
        <v>0</v>
      </c>
      <c r="R1658" s="4">
        <f>SUM(P1658:Q1658)</f>
        <v>0</v>
      </c>
      <c r="S1658" s="4">
        <f>O1658-R1658</f>
        <v>0</v>
      </c>
      <c r="T1658" s="12">
        <f>IFERROR(R1658/O1658,0)</f>
        <v>0</v>
      </c>
      <c r="Y1658" s="2"/>
      <c r="Z1658" s="2"/>
      <c r="AA1658" s="2"/>
      <c r="AB1658" s="2"/>
      <c r="AC1658" s="2"/>
    </row>
    <row r="1659" spans="1:29" ht="10.5" hidden="1">
      <c r="A1659" s="2">
        <f>A1658</f>
        <v>48</v>
      </c>
      <c r="B1659" s="2" t="str">
        <f>VLOOKUP($A1659,Controle!$B$4:$F$68,2,FALSE)</f>
        <v>Cássia 2</v>
      </c>
      <c r="C1659" s="2" t="str">
        <f>VLOOKUP($A1659,Controle!$B$4:$F$68,3,FALSE)</f>
        <v>MORI MINAS V</v>
      </c>
      <c r="D1659" s="2" t="str">
        <f>VLOOKUP($A1659,Controle!$B$4:$F$68,4,FALSE)</f>
        <v>NewCo V</v>
      </c>
      <c r="E1659" s="2" t="str">
        <f>VLOOKUP($A1659,Controle!$B$4:$F$68,5,FALSE)</f>
        <v>Weg</v>
      </c>
      <c r="F1659" s="3" t="str">
        <f>F1624</f>
        <v>Desenvolvimento de projeto - Projetos Detalhada</v>
      </c>
      <c r="G1659" s="2" t="str">
        <f>VLOOKUP($A1659,Controle!$B$4:$G$68,6,FALSE)</f>
        <v>Solatio</v>
      </c>
      <c r="H1659" s="6">
        <v>0</v>
      </c>
      <c r="I1659" s="6">
        <v>0</v>
      </c>
      <c r="J1659" s="6">
        <v>0</v>
      </c>
      <c r="K1659" s="6">
        <v>0</v>
      </c>
      <c r="L1659" s="6">
        <v>0</v>
      </c>
      <c r="M1659" s="6">
        <v>0</v>
      </c>
      <c r="N1659" s="6">
        <v>0</v>
      </c>
      <c r="O1659" s="4">
        <f>SUM(I1659:N1659)</f>
        <v>0</v>
      </c>
      <c r="P1659" s="5">
        <f>SUMIFS('Desenvolvimento diário'!$H:$H,'Desenvolvimento diário'!$Q:$Q,$B1659,'Desenvolvimento diário'!$P:$P,$F1659,'Desenvolvimento diário'!$R:$R,"Sim")</f>
        <v>0</v>
      </c>
      <c r="Q1659" s="5">
        <f>SUMIFS('Desenvolvimento diário'!$H:$H,'Desenvolvimento diário'!$Q:$Q,$B1659,'Desenvolvimento diário'!$P:$P,$F1659,'Desenvolvimento diário'!$R:$R,"Não")</f>
        <v>0</v>
      </c>
      <c r="R1659" s="4">
        <f>SUM(P1659:Q1659)</f>
        <v>0</v>
      </c>
      <c r="S1659" s="4">
        <f>O1659-R1659</f>
        <v>0</v>
      </c>
      <c r="T1659" s="12">
        <f>IFERROR(R1659/O1659,0)</f>
        <v>0</v>
      </c>
      <c r="Y1659" s="2"/>
      <c r="Z1659" s="2"/>
      <c r="AA1659" s="2"/>
      <c r="AB1659" s="2"/>
      <c r="AC1659" s="2"/>
    </row>
    <row r="1660" spans="1:29" ht="10.5" hidden="1">
      <c r="A1660" s="2">
        <f>A1659</f>
        <v>48</v>
      </c>
      <c r="B1660" s="2" t="str">
        <f>VLOOKUP($A1660,Controle!$B$4:$F$68,2,FALSE)</f>
        <v>Cássia 2</v>
      </c>
      <c r="C1660" s="2" t="str">
        <f>VLOOKUP($A1660,Controle!$B$4:$F$68,3,FALSE)</f>
        <v>MORI MINAS V</v>
      </c>
      <c r="D1660" s="2" t="str">
        <f>VLOOKUP($A1660,Controle!$B$4:$F$68,4,FALSE)</f>
        <v>NewCo V</v>
      </c>
      <c r="E1660" s="2" t="str">
        <f>VLOOKUP($A1660,Controle!$B$4:$F$68,5,FALSE)</f>
        <v>Weg</v>
      </c>
      <c r="F1660" s="3" t="str">
        <f>F1625</f>
        <v>Desenvolvimento de projeto - Ambiental / Outros</v>
      </c>
      <c r="G1660" s="2" t="str">
        <f>VLOOKUP($A1660,Controle!$B$4:$G$68,6,FALSE)</f>
        <v>Solatio</v>
      </c>
      <c r="H1660" s="6" t="s">
        <v>148</v>
      </c>
      <c r="I1660" s="6">
        <f>R1660</f>
        <v>80443.63</v>
      </c>
      <c r="J1660" s="6">
        <v>0</v>
      </c>
      <c r="K1660" s="6">
        <v>0</v>
      </c>
      <c r="L1660" s="6">
        <v>0</v>
      </c>
      <c r="M1660" s="6">
        <v>0</v>
      </c>
      <c r="N1660" s="6">
        <v>0</v>
      </c>
      <c r="O1660" s="4">
        <f>SUM(I1660:N1660)</f>
        <v>80443.63</v>
      </c>
      <c r="P1660" s="5">
        <f>SUMIFS('Desenvolvimento diário'!$H:$H,'Desenvolvimento diário'!$Q:$Q,$B1660,'Desenvolvimento diário'!$P:$P,$F1660,'Desenvolvimento diário'!$R:$R,"Sim")</f>
        <v>0</v>
      </c>
      <c r="Q1660" s="5">
        <f>SUMIFS('Desenvolvimento diário'!$H:$H,'Desenvolvimento diário'!$Q:$Q,$B1660,'Desenvolvimento diário'!$P:$P,$F1660,'Desenvolvimento diário'!$R:$R,"Não")</f>
        <v>80443.63</v>
      </c>
      <c r="R1660" s="4">
        <f>SUM(P1660:Q1660)</f>
        <v>80443.63</v>
      </c>
      <c r="S1660" s="4">
        <f>O1660-R1660</f>
        <v>0</v>
      </c>
      <c r="T1660" s="12">
        <f>IFERROR(R1660/O1660,0)</f>
        <v>1</v>
      </c>
      <c r="Y1660" s="2"/>
      <c r="Z1660" s="2"/>
      <c r="AA1660" s="2"/>
      <c r="AB1660" s="2"/>
      <c r="AC1660" s="2"/>
    </row>
    <row r="1661" spans="1:29" hidden="1">
      <c r="A1661" s="2">
        <f>A1660</f>
        <v>48</v>
      </c>
      <c r="B1661" s="2" t="str">
        <f>VLOOKUP($A1661,Controle!$B$4:$F$68,2,FALSE)</f>
        <v>Cássia 2</v>
      </c>
      <c r="C1661" s="2" t="str">
        <f>VLOOKUP($A1661,Controle!$B$4:$F$68,3,FALSE)</f>
        <v>MORI MINAS V</v>
      </c>
      <c r="D1661" s="2" t="str">
        <f>VLOOKUP($A1661,Controle!$B$4:$F$68,4,FALSE)</f>
        <v>NewCo V</v>
      </c>
      <c r="E1661" s="2" t="str">
        <f>VLOOKUP($A1661,Controle!$B$4:$F$68,5,FALSE)</f>
        <v>Weg</v>
      </c>
      <c r="F1661" s="3" t="str">
        <f>F1626</f>
        <v>Desenvolvimento de projeto - Coordenograma</v>
      </c>
      <c r="G1661" s="2" t="str">
        <f>VLOOKUP($A1661,Controle!$B$4:$G$68,6,FALSE)</f>
        <v>Solatio</v>
      </c>
      <c r="H1661" s="31" t="s">
        <v>149</v>
      </c>
      <c r="I1661" s="31">
        <v>6206.9</v>
      </c>
      <c r="J1661" s="31">
        <v>2281.25</v>
      </c>
      <c r="K1661" s="31">
        <v>6206.9</v>
      </c>
      <c r="L1661" s="6">
        <v>0</v>
      </c>
      <c r="M1661" s="6">
        <v>0</v>
      </c>
      <c r="N1661" s="6">
        <v>0</v>
      </c>
      <c r="O1661" s="4">
        <f>SUM(I1661:N1661)</f>
        <v>14695.05</v>
      </c>
      <c r="P1661" s="5">
        <f>SUMIFS('Desenvolvimento diário'!$H:$H,'Desenvolvimento diário'!$Q:$Q,$B1661,'Desenvolvimento diário'!$P:$P,$F1661,'Desenvolvimento diário'!$R:$R,"Sim")</f>
        <v>0</v>
      </c>
      <c r="Q1661" s="5">
        <f>SUMIFS('Desenvolvimento diário'!$H:$H,'Desenvolvimento diário'!$Q:$Q,$B1661,'Desenvolvimento diário'!$P:$P,$F1661,'Desenvolvimento diário'!$R:$R,"Não")</f>
        <v>14695.05</v>
      </c>
      <c r="R1661" s="4">
        <f>SUM(P1661:Q1661)</f>
        <v>14695.05</v>
      </c>
      <c r="S1661" s="4">
        <f>O1661-R1661</f>
        <v>0</v>
      </c>
      <c r="T1661" s="12">
        <f>IFERROR(R1661/O1661,0)</f>
        <v>1</v>
      </c>
    </row>
    <row r="1662" spans="1:29" ht="10.5" hidden="1">
      <c r="A1662" s="2">
        <f>A1661</f>
        <v>48</v>
      </c>
      <c r="B1662" s="2" t="str">
        <f>VLOOKUP($A1662,Controle!$B$4:$F$68,2,FALSE)</f>
        <v>Cássia 2</v>
      </c>
      <c r="C1662" s="2" t="str">
        <f>VLOOKUP($A1662,Controle!$B$4:$F$68,3,FALSE)</f>
        <v>MORI MINAS V</v>
      </c>
      <c r="D1662" s="2" t="str">
        <f>VLOOKUP($A1662,Controle!$B$4:$F$68,4,FALSE)</f>
        <v>NewCo V</v>
      </c>
      <c r="E1662" s="2" t="str">
        <f>VLOOKUP($A1662,Controle!$B$4:$F$68,5,FALSE)</f>
        <v>Weg</v>
      </c>
      <c r="F1662" s="3" t="str">
        <f>F1627</f>
        <v>Sistemas de Monitoramento - Supervisório</v>
      </c>
      <c r="G1662" s="2" t="str">
        <f>VLOOKUP($A1662,Controle!$B$4:$G$68,6,FALSE)</f>
        <v>Solatio</v>
      </c>
      <c r="H1662" s="6" t="s">
        <v>150</v>
      </c>
      <c r="I1662" s="6">
        <v>126513.53</v>
      </c>
      <c r="J1662" s="6"/>
      <c r="K1662" s="6">
        <v>0</v>
      </c>
      <c r="L1662" s="6">
        <v>0</v>
      </c>
      <c r="M1662" s="6">
        <v>0</v>
      </c>
      <c r="N1662" s="6">
        <v>0</v>
      </c>
      <c r="O1662" s="4">
        <f>SUM(I1662:N1662)</f>
        <v>126513.53</v>
      </c>
      <c r="P1662" s="5">
        <f>SUMIFS('Desenvolvimento diário'!$H:$H,'Desenvolvimento diário'!$Q:$Q,$B1662,'Desenvolvimento diário'!$P:$P,$F1662,'Desenvolvimento diário'!$R:$R,"Sim")</f>
        <v>11839.99</v>
      </c>
      <c r="Q1662" s="5">
        <f>SUMIFS('Desenvolvimento diário'!$H:$H,'Desenvolvimento diário'!$Q:$Q,$B1662,'Desenvolvimento diário'!$P:$P,$F1662,'Desenvolvimento diário'!$R:$R,"Não")</f>
        <v>114673.54000000001</v>
      </c>
      <c r="R1662" s="4">
        <f>SUM(P1662:Q1662)</f>
        <v>126513.53000000001</v>
      </c>
      <c r="S1662" s="4">
        <f>O1662-R1662</f>
        <v>0</v>
      </c>
      <c r="T1662" s="12">
        <f>IFERROR(R1662/O1662,0)</f>
        <v>1.0000000000000002</v>
      </c>
      <c r="Y1662" s="2"/>
      <c r="Z1662" s="2"/>
      <c r="AA1662" s="2"/>
      <c r="AB1662" s="2"/>
      <c r="AC1662" s="2"/>
    </row>
    <row r="1663" spans="1:29" ht="10.5" hidden="1">
      <c r="A1663" s="2">
        <f>A1662</f>
        <v>48</v>
      </c>
      <c r="B1663" s="2" t="str">
        <f>VLOOKUP($A1663,Controle!$B$4:$F$68,2,FALSE)</f>
        <v>Cássia 2</v>
      </c>
      <c r="C1663" s="2" t="str">
        <f>VLOOKUP($A1663,Controle!$B$4:$F$68,3,FALSE)</f>
        <v>MORI MINAS V</v>
      </c>
      <c r="D1663" s="2" t="str">
        <f>VLOOKUP($A1663,Controle!$B$4:$F$68,4,FALSE)</f>
        <v>NewCo V</v>
      </c>
      <c r="E1663" s="2" t="str">
        <f>VLOOKUP($A1663,Controle!$B$4:$F$68,5,FALSE)</f>
        <v>Weg</v>
      </c>
      <c r="F1663" s="3" t="str">
        <f>F1628</f>
        <v>Sistemas de Monitoramento - Estações Solarimétricas</v>
      </c>
      <c r="G1663" s="2" t="str">
        <f>VLOOKUP($A1663,Controle!$B$4:$G$68,6,FALSE)</f>
        <v>Solatio</v>
      </c>
      <c r="H1663" s="6">
        <v>0</v>
      </c>
      <c r="I1663" s="6">
        <v>0</v>
      </c>
      <c r="J1663" s="6">
        <v>0</v>
      </c>
      <c r="K1663" s="6">
        <v>0</v>
      </c>
      <c r="L1663" s="6">
        <v>0</v>
      </c>
      <c r="M1663" s="6">
        <v>0</v>
      </c>
      <c r="N1663" s="6">
        <v>0</v>
      </c>
      <c r="O1663" s="4">
        <f>SUM(I1663:N1663)</f>
        <v>0</v>
      </c>
      <c r="P1663" s="5">
        <f>SUMIFS('Desenvolvimento diário'!$H:$H,'Desenvolvimento diário'!$Q:$Q,$B1663,'Desenvolvimento diário'!$P:$P,$F1663,'Desenvolvimento diário'!$R:$R,"Sim")</f>
        <v>0</v>
      </c>
      <c r="Q1663" s="5">
        <f>SUMIFS('Desenvolvimento diário'!$H:$H,'Desenvolvimento diário'!$Q:$Q,$B1663,'Desenvolvimento diário'!$P:$P,$F1663,'Desenvolvimento diário'!$R:$R,"Não")</f>
        <v>0</v>
      </c>
      <c r="R1663" s="4">
        <f>SUM(P1663:Q1663)</f>
        <v>0</v>
      </c>
      <c r="S1663" s="4">
        <f>O1663-R1663</f>
        <v>0</v>
      </c>
      <c r="T1663" s="12">
        <f>IFERROR(R1663/O1663,0)</f>
        <v>0</v>
      </c>
      <c r="Y1663" s="2"/>
      <c r="Z1663" s="2"/>
      <c r="AA1663" s="2"/>
      <c r="AB1663" s="2"/>
      <c r="AC1663" s="2"/>
    </row>
    <row r="1664" spans="1:29" hidden="1">
      <c r="A1664" s="2">
        <f>A1663</f>
        <v>48</v>
      </c>
      <c r="B1664" s="2" t="str">
        <f>VLOOKUP($A1664,Controle!$B$4:$F$68,2,FALSE)</f>
        <v>Cássia 2</v>
      </c>
      <c r="C1664" s="2" t="str">
        <f>VLOOKUP($A1664,Controle!$B$4:$F$68,3,FALSE)</f>
        <v>MORI MINAS V</v>
      </c>
      <c r="D1664" s="2" t="str">
        <f>VLOOKUP($A1664,Controle!$B$4:$F$68,4,FALSE)</f>
        <v>NewCo V</v>
      </c>
      <c r="E1664" s="2" t="str">
        <f>VLOOKUP($A1664,Controle!$B$4:$F$68,5,FALSE)</f>
        <v>Weg</v>
      </c>
      <c r="F1664" s="3" t="str">
        <f>F1629</f>
        <v>Sistemas de Monitoramento - CFTV</v>
      </c>
      <c r="G1664" s="2" t="str">
        <f>VLOOKUP($A1664,Controle!$B$4:$G$68,6,FALSE)</f>
        <v>Solatio</v>
      </c>
      <c r="H1664" s="31" t="s">
        <v>152</v>
      </c>
      <c r="I1664" s="6">
        <v>248414.57</v>
      </c>
      <c r="J1664" s="28">
        <v>1576.84</v>
      </c>
      <c r="K1664" s="6">
        <v>0</v>
      </c>
      <c r="L1664" s="6">
        <v>0</v>
      </c>
      <c r="M1664" s="6">
        <v>0</v>
      </c>
      <c r="N1664" s="6">
        <v>0</v>
      </c>
      <c r="O1664" s="4">
        <f>SUM(I1664:N1664)</f>
        <v>249991.41</v>
      </c>
      <c r="P1664" s="5">
        <f>SUMIFS('Desenvolvimento diário'!$H:$H,'Desenvolvimento diário'!$Q:$Q,$B1664,'Desenvolvimento diário'!$P:$P,$F1664,'Desenvolvimento diário'!$R:$R,"Sim")</f>
        <v>13690.93</v>
      </c>
      <c r="Q1664" s="5">
        <f>SUMIFS('Desenvolvimento diário'!$H:$H,'Desenvolvimento diário'!$Q:$Q,$B1664,'Desenvolvimento diário'!$P:$P,$F1664,'Desenvolvimento diário'!$R:$R,"Não")</f>
        <v>236300.48</v>
      </c>
      <c r="R1664" s="4">
        <f>SUM(P1664:Q1664)</f>
        <v>249991.41</v>
      </c>
      <c r="S1664" s="4">
        <f>O1664-R1664</f>
        <v>0</v>
      </c>
      <c r="T1664" s="12">
        <f>IFERROR(R1664/O1664,0)</f>
        <v>1</v>
      </c>
      <c r="Y1664" s="2"/>
      <c r="Z1664" s="2"/>
      <c r="AA1664" s="2"/>
      <c r="AB1664" s="2"/>
      <c r="AC1664" s="2"/>
    </row>
    <row r="1665" spans="1:29" ht="10.5" hidden="1">
      <c r="A1665" s="2">
        <f>A1664</f>
        <v>48</v>
      </c>
      <c r="B1665" s="2" t="str">
        <f>VLOOKUP($A1665,Controle!$B$4:$F$68,2,FALSE)</f>
        <v>Cássia 2</v>
      </c>
      <c r="C1665" s="2" t="str">
        <f>VLOOKUP($A1665,Controle!$B$4:$F$68,3,FALSE)</f>
        <v>MORI MINAS V</v>
      </c>
      <c r="D1665" s="2" t="str">
        <f>VLOOKUP($A1665,Controle!$B$4:$F$68,4,FALSE)</f>
        <v>NewCo V</v>
      </c>
      <c r="E1665" s="2" t="str">
        <f>VLOOKUP($A1665,Controle!$B$4:$F$68,5,FALSE)</f>
        <v>Weg</v>
      </c>
      <c r="F1665" s="3" t="str">
        <f>F1630</f>
        <v>Serviços Auxiliares - Drenagem</v>
      </c>
      <c r="G1665" s="2" t="str">
        <f>VLOOKUP($A1665,Controle!$B$4:$G$68,6,FALSE)</f>
        <v>Solatio</v>
      </c>
      <c r="H1665" s="6" t="s">
        <v>227</v>
      </c>
      <c r="I1665" s="6">
        <v>186044</v>
      </c>
      <c r="J1665" s="6">
        <v>0</v>
      </c>
      <c r="K1665" s="6">
        <v>0</v>
      </c>
      <c r="L1665" s="6">
        <v>0</v>
      </c>
      <c r="M1665" s="6">
        <v>0</v>
      </c>
      <c r="N1665" s="6">
        <v>0</v>
      </c>
      <c r="O1665" s="4">
        <f>SUM(I1665:N1665)</f>
        <v>186044</v>
      </c>
      <c r="P1665" s="5">
        <f>SUMIFS('Desenvolvimento diário'!$H:$H,'Desenvolvimento diário'!$Q:$Q,$B1665,'Desenvolvimento diário'!$P:$P,$F1665,'Desenvolvimento diário'!$R:$R,"Sim")</f>
        <v>0</v>
      </c>
      <c r="Q1665" s="5">
        <f>SUMIFS('Desenvolvimento diário'!$H:$H,'Desenvolvimento diário'!$Q:$Q,$B1665,'Desenvolvimento diário'!$P:$P,$F1665,'Desenvolvimento diário'!$R:$R,"Não")</f>
        <v>186044</v>
      </c>
      <c r="R1665" s="4">
        <f>SUM(P1665:Q1665)</f>
        <v>186044</v>
      </c>
      <c r="S1665" s="4">
        <f>O1665-R1665</f>
        <v>0</v>
      </c>
      <c r="T1665" s="12">
        <f>IFERROR(R1665/O1665,0)</f>
        <v>1</v>
      </c>
      <c r="Y1665" s="2"/>
      <c r="Z1665" s="2"/>
      <c r="AA1665" s="2"/>
      <c r="AB1665" s="2"/>
      <c r="AC1665" s="2"/>
    </row>
    <row r="1666" spans="1:29" ht="10.5" hidden="1">
      <c r="A1666" s="2">
        <f>A1665</f>
        <v>48</v>
      </c>
      <c r="B1666" s="2" t="str">
        <f>VLOOKUP($A1666,Controle!$B$4:$F$68,2,FALSE)</f>
        <v>Cássia 2</v>
      </c>
      <c r="C1666" s="2" t="str">
        <f>VLOOKUP($A1666,Controle!$B$4:$F$68,3,FALSE)</f>
        <v>MORI MINAS V</v>
      </c>
      <c r="D1666" s="2" t="str">
        <f>VLOOKUP($A1666,Controle!$B$4:$F$68,4,FALSE)</f>
        <v>NewCo V</v>
      </c>
      <c r="E1666" s="2" t="str">
        <f>VLOOKUP($A1666,Controle!$B$4:$F$68,5,FALSE)</f>
        <v>Weg</v>
      </c>
      <c r="F1666" s="3" t="str">
        <f>F1631</f>
        <v>Serviços Auxiliares - Terraplanagem</v>
      </c>
      <c r="G1666" s="2" t="str">
        <f>VLOOKUP($A1666,Controle!$B$4:$G$68,6,FALSE)</f>
        <v>Solatio</v>
      </c>
      <c r="H1666" s="6" t="s">
        <v>154</v>
      </c>
      <c r="I1666" s="6">
        <f>248837.43-0.01</f>
        <v>248837.41999999998</v>
      </c>
      <c r="J1666" s="6">
        <v>0</v>
      </c>
      <c r="K1666" s="6">
        <v>0</v>
      </c>
      <c r="L1666" s="6">
        <v>0</v>
      </c>
      <c r="M1666" s="6">
        <v>0</v>
      </c>
      <c r="N1666" s="6">
        <v>0</v>
      </c>
      <c r="O1666" s="4">
        <f>SUM(I1666:N1666)</f>
        <v>248837.41999999998</v>
      </c>
      <c r="P1666" s="5">
        <f>SUMIFS('Desenvolvimento diário'!$H:$H,'Desenvolvimento diário'!$Q:$Q,$B1666,'Desenvolvimento diário'!$P:$P,$F1666,'Desenvolvimento diário'!$R:$R,"Sim")</f>
        <v>0</v>
      </c>
      <c r="Q1666" s="5">
        <f>SUMIFS('Desenvolvimento diário'!$H:$H,'Desenvolvimento diário'!$Q:$Q,$B1666,'Desenvolvimento diário'!$P:$P,$F1666,'Desenvolvimento diário'!$R:$R,"Não")</f>
        <v>248837.41999999998</v>
      </c>
      <c r="R1666" s="4">
        <f>SUM(P1666:Q1666)</f>
        <v>248837.41999999998</v>
      </c>
      <c r="S1666" s="43">
        <f>O1666-R1666</f>
        <v>0</v>
      </c>
      <c r="T1666" s="12">
        <f>IFERROR(R1666/O1666,0)</f>
        <v>1</v>
      </c>
      <c r="Y1666" s="2"/>
      <c r="Z1666" s="2"/>
      <c r="AA1666" s="2"/>
      <c r="AB1666" s="2"/>
      <c r="AC1666" s="2"/>
    </row>
    <row r="1667" spans="1:29" ht="10.5" hidden="1">
      <c r="A1667" s="2">
        <f>A1666</f>
        <v>48</v>
      </c>
      <c r="B1667" s="2" t="str">
        <f>VLOOKUP($A1667,Controle!$B$4:$F$68,2,FALSE)</f>
        <v>Cássia 2</v>
      </c>
      <c r="C1667" s="2" t="str">
        <f>VLOOKUP($A1667,Controle!$B$4:$F$68,3,FALSE)</f>
        <v>MORI MINAS V</v>
      </c>
      <c r="D1667" s="2" t="str">
        <f>VLOOKUP($A1667,Controle!$B$4:$F$68,4,FALSE)</f>
        <v>NewCo V</v>
      </c>
      <c r="E1667" s="2" t="str">
        <f>VLOOKUP($A1667,Controle!$B$4:$F$68,5,FALSE)</f>
        <v>Weg</v>
      </c>
      <c r="F1667" s="3" t="str">
        <f>F1632</f>
        <v>Serviços Auxiliares - Supressão Vegetal</v>
      </c>
      <c r="G1667" s="2" t="str">
        <f>VLOOKUP($A1667,Controle!$B$4:$G$68,6,FALSE)</f>
        <v>Solatio</v>
      </c>
      <c r="H1667" s="6">
        <v>0</v>
      </c>
      <c r="I1667" s="6">
        <v>0</v>
      </c>
      <c r="J1667" s="6">
        <v>0</v>
      </c>
      <c r="K1667" s="6">
        <v>0</v>
      </c>
      <c r="L1667" s="6">
        <v>0</v>
      </c>
      <c r="M1667" s="6">
        <v>0</v>
      </c>
      <c r="N1667" s="6">
        <v>0</v>
      </c>
      <c r="O1667" s="4">
        <f>SUM(I1667:N1667)</f>
        <v>0</v>
      </c>
      <c r="P1667" s="5">
        <f>SUMIFS('Desenvolvimento diário'!$H:$H,'Desenvolvimento diário'!$Q:$Q,$B1667,'Desenvolvimento diário'!$P:$P,$F1667,'Desenvolvimento diário'!$R:$R,"Sim")</f>
        <v>0</v>
      </c>
      <c r="Q1667" s="5">
        <f>SUMIFS('Desenvolvimento diário'!$H:$H,'Desenvolvimento diário'!$Q:$Q,$B1667,'Desenvolvimento diário'!$P:$P,$F1667,'Desenvolvimento diário'!$R:$R,"Não")</f>
        <v>0</v>
      </c>
      <c r="R1667" s="4">
        <f>SUM(P1667:Q1667)</f>
        <v>0</v>
      </c>
      <c r="S1667" s="4">
        <f>O1667-R1667</f>
        <v>0</v>
      </c>
      <c r="T1667" s="12">
        <f>IFERROR(R1667/O1667,0)</f>
        <v>0</v>
      </c>
      <c r="Y1667" s="2"/>
      <c r="Z1667" s="2"/>
      <c r="AA1667" s="2"/>
      <c r="AB1667" s="2"/>
      <c r="AC1667" s="2"/>
    </row>
    <row r="1668" spans="1:29" ht="10.5" hidden="1">
      <c r="A1668" s="2">
        <f>A1667</f>
        <v>48</v>
      </c>
      <c r="B1668" s="2" t="str">
        <f>VLOOKUP($A1668,Controle!$B$4:$F$68,2,FALSE)</f>
        <v>Cássia 2</v>
      </c>
      <c r="C1668" s="2" t="str">
        <f>VLOOKUP($A1668,Controle!$B$4:$F$68,3,FALSE)</f>
        <v>MORI MINAS V</v>
      </c>
      <c r="D1668" s="2" t="str">
        <f>VLOOKUP($A1668,Controle!$B$4:$F$68,4,FALSE)</f>
        <v>NewCo V</v>
      </c>
      <c r="E1668" s="2" t="str">
        <f>VLOOKUP($A1668,Controle!$B$4:$F$68,5,FALSE)</f>
        <v>Weg</v>
      </c>
      <c r="F1668" s="3" t="str">
        <f>F1633</f>
        <v>RDR-Rede de Distribuição Rural</v>
      </c>
      <c r="G1668" s="2" t="str">
        <f>VLOOKUP($A1668,Controle!$B$4:$G$68,6,FALSE)</f>
        <v>Solatio</v>
      </c>
      <c r="H1668" s="6">
        <v>0</v>
      </c>
      <c r="I1668" s="6">
        <v>0</v>
      </c>
      <c r="J1668" s="6">
        <v>0</v>
      </c>
      <c r="K1668" s="6">
        <v>0</v>
      </c>
      <c r="L1668" s="6">
        <v>0</v>
      </c>
      <c r="M1668" s="6">
        <v>0</v>
      </c>
      <c r="N1668" s="6">
        <v>0</v>
      </c>
      <c r="O1668" s="4">
        <f>SUM(I1668:N1668)</f>
        <v>0</v>
      </c>
      <c r="P1668" s="5">
        <f>SUMIFS('Desenvolvimento diário'!$H:$H,'Desenvolvimento diário'!$Q:$Q,$B1668,'Desenvolvimento diário'!$P:$P,$F1668,'Desenvolvimento diário'!$R:$R,"Sim")</f>
        <v>0</v>
      </c>
      <c r="Q1668" s="5">
        <f>SUMIFS('Desenvolvimento diário'!$H:$H,'Desenvolvimento diário'!$Q:$Q,$B1668,'Desenvolvimento diário'!$P:$P,$F1668,'Desenvolvimento diário'!$R:$R,"Não")</f>
        <v>0</v>
      </c>
      <c r="R1668" s="4">
        <f>SUM(P1668:Q1668)</f>
        <v>0</v>
      </c>
      <c r="S1668" s="4">
        <f>O1668-R1668</f>
        <v>0</v>
      </c>
      <c r="T1668" s="12">
        <f>IFERROR(R1668/O1668,0)</f>
        <v>0</v>
      </c>
      <c r="Y1668" s="2"/>
      <c r="Z1668" s="2"/>
      <c r="AA1668" s="2"/>
      <c r="AB1668" s="2"/>
      <c r="AC1668" s="2"/>
    </row>
    <row r="1669" spans="1:29" ht="10.5" hidden="1">
      <c r="A1669" s="2">
        <f>A1668</f>
        <v>48</v>
      </c>
      <c r="B1669" s="2" t="str">
        <f>VLOOKUP($A1669,Controle!$B$4:$F$68,2,FALSE)</f>
        <v>Cássia 2</v>
      </c>
      <c r="C1669" s="2" t="str">
        <f>VLOOKUP($A1669,Controle!$B$4:$F$68,3,FALSE)</f>
        <v>MORI MINAS V</v>
      </c>
      <c r="D1669" s="2" t="str">
        <f>VLOOKUP($A1669,Controle!$B$4:$F$68,4,FALSE)</f>
        <v>NewCo V</v>
      </c>
      <c r="E1669" s="2" t="str">
        <f>VLOOKUP($A1669,Controle!$B$4:$F$68,5,FALSE)</f>
        <v>Weg</v>
      </c>
      <c r="F1669" s="3" t="str">
        <f>F1634</f>
        <v>Escopo COMERC</v>
      </c>
      <c r="G1669" s="2" t="str">
        <f>VLOOKUP($A1669,Controle!$B$4:$G$68,6,FALSE)</f>
        <v>Solatio</v>
      </c>
      <c r="H1669" s="6">
        <v>0</v>
      </c>
      <c r="I1669" s="6">
        <v>103635.85</v>
      </c>
      <c r="J1669" s="29">
        <v>13000</v>
      </c>
      <c r="K1669" s="29"/>
      <c r="L1669" s="6">
        <v>0</v>
      </c>
      <c r="M1669" s="6">
        <v>0</v>
      </c>
      <c r="N1669" s="6">
        <v>0</v>
      </c>
      <c r="O1669" s="4">
        <f>SUM(I1669:N1669)</f>
        <v>116635.85</v>
      </c>
      <c r="P1669" s="5">
        <f>SUMIFS('Desenvolvimento diário'!$H:$H,'Desenvolvimento diário'!$Q:$Q,$B1669,'Desenvolvimento diário'!$P:$P,$F1669,'Desenvolvimento diário'!$R:$R,"Sim")</f>
        <v>0</v>
      </c>
      <c r="Q1669" s="5">
        <f>SUMIFS('Desenvolvimento diário'!$H:$H,'Desenvolvimento diário'!$Q:$Q,$B1669,'Desenvolvimento diário'!$P:$P,$F1669,'Desenvolvimento diário'!$R:$R,"Não")</f>
        <v>103635.85</v>
      </c>
      <c r="R1669" s="4">
        <f>SUM(P1669:Q1669)</f>
        <v>103635.85</v>
      </c>
      <c r="S1669" s="1010">
        <f>O1669-R1669</f>
        <v>13000</v>
      </c>
      <c r="T1669" s="12">
        <f>IFERROR(R1669/O1669,0)</f>
        <v>0.88854198773361703</v>
      </c>
      <c r="U1669" s="1011" t="s">
        <v>166</v>
      </c>
      <c r="V1669" s="1011" t="s">
        <v>167</v>
      </c>
      <c r="Y1669" s="2"/>
      <c r="Z1669" s="2"/>
      <c r="AA1669" s="2"/>
      <c r="AB1669" s="2"/>
      <c r="AC1669" s="2"/>
    </row>
    <row r="1670" spans="1:29" ht="10.5" hidden="1">
      <c r="A1670" s="2">
        <f>A1669</f>
        <v>48</v>
      </c>
      <c r="B1670" s="2" t="str">
        <f>VLOOKUP($A1670,Controle!$B$4:$F$68,2,FALSE)</f>
        <v>Cássia 2</v>
      </c>
      <c r="C1670" s="2" t="str">
        <f>VLOOKUP($A1670,Controle!$B$4:$F$68,3,FALSE)</f>
        <v>MORI MINAS V</v>
      </c>
      <c r="D1670" s="2" t="str">
        <f>VLOOKUP($A1670,Controle!$B$4:$F$68,4,FALSE)</f>
        <v>NewCo V</v>
      </c>
      <c r="E1670" s="2" t="str">
        <f>VLOOKUP($A1670,Controle!$B$4:$F$68,5,FALSE)</f>
        <v>Weg</v>
      </c>
      <c r="F1670" s="3" t="str">
        <f>F1635</f>
        <v>Escopo COMERC - Segurança</v>
      </c>
      <c r="G1670" s="2" t="str">
        <f>VLOOKUP($A1670,Controle!$B$4:$G$68,6,FALSE)</f>
        <v>Solatio</v>
      </c>
      <c r="H1670" s="6">
        <v>0</v>
      </c>
      <c r="I1670" s="6">
        <f>R1670</f>
        <v>48729.53</v>
      </c>
      <c r="J1670" s="6">
        <v>0</v>
      </c>
      <c r="K1670" s="6">
        <v>0</v>
      </c>
      <c r="L1670" s="6">
        <v>0</v>
      </c>
      <c r="M1670" s="6">
        <v>0</v>
      </c>
      <c r="N1670" s="6">
        <v>0</v>
      </c>
      <c r="O1670" s="4">
        <f>SUM(I1670:N1670)</f>
        <v>48729.53</v>
      </c>
      <c r="P1670" s="5">
        <f>SUMIFS('Desenvolvimento diário'!$H:$H,'Desenvolvimento diário'!$Q:$Q,$B1670,'Desenvolvimento diário'!$P:$P,$F1670,'Desenvolvimento diário'!$R:$R,"Sim")</f>
        <v>0</v>
      </c>
      <c r="Q1670" s="5">
        <f>SUMIFS('Desenvolvimento diário'!$H:$H,'Desenvolvimento diário'!$Q:$Q,$B1670,'Desenvolvimento diário'!$P:$P,$F1670,'Desenvolvimento diário'!$R:$R,"Não")</f>
        <v>48729.53</v>
      </c>
      <c r="R1670" s="4">
        <f>SUM(P1670:Q1670)</f>
        <v>48729.53</v>
      </c>
      <c r="S1670" s="4">
        <f>O1670-R1670</f>
        <v>0</v>
      </c>
      <c r="T1670" s="12">
        <f>IFERROR(R1670/O1670,0)</f>
        <v>1</v>
      </c>
      <c r="Y1670" s="2"/>
      <c r="Z1670" s="2"/>
      <c r="AA1670" s="2"/>
      <c r="AB1670" s="2"/>
      <c r="AC1670" s="2"/>
    </row>
    <row r="1671" spans="1:29" ht="10.5" hidden="1">
      <c r="A1671" s="2">
        <f>A1670</f>
        <v>48</v>
      </c>
      <c r="B1671" s="2" t="str">
        <f>VLOOKUP($A1671,Controle!$B$4:$F$68,2,FALSE)</f>
        <v>Cássia 2</v>
      </c>
      <c r="C1671" s="2" t="str">
        <f>VLOOKUP($A1671,Controle!$B$4:$F$68,3,FALSE)</f>
        <v>MORI MINAS V</v>
      </c>
      <c r="D1671" s="2" t="str">
        <f>VLOOKUP($A1671,Controle!$B$4:$F$68,4,FALSE)</f>
        <v>NewCo V</v>
      </c>
      <c r="E1671" s="2" t="str">
        <f>VLOOKUP($A1671,Controle!$B$4:$F$68,5,FALSE)</f>
        <v>Weg</v>
      </c>
      <c r="F1671" s="3" t="str">
        <f>F1636</f>
        <v>Conexão MT - Obras Transferencia</v>
      </c>
      <c r="G1671" s="2" t="str">
        <f>VLOOKUP($A1671,Controle!$B$4:$G$68,6,FALSE)</f>
        <v>Solatio</v>
      </c>
      <c r="H1671" s="6">
        <v>0</v>
      </c>
      <c r="I1671" s="6">
        <v>0</v>
      </c>
      <c r="J1671" s="6">
        <v>0</v>
      </c>
      <c r="K1671" s="6">
        <v>0</v>
      </c>
      <c r="L1671" s="6">
        <v>0</v>
      </c>
      <c r="M1671" s="6">
        <v>0</v>
      </c>
      <c r="N1671" s="6">
        <v>0</v>
      </c>
      <c r="O1671" s="4">
        <f>SUM(I1671:N1671)</f>
        <v>0</v>
      </c>
      <c r="P1671" s="5">
        <f>SUMIFS('Desenvolvimento diário'!$H:$H,'Desenvolvimento diário'!$Q:$Q,$B1671,'Desenvolvimento diário'!$P:$P,$F1671,'Desenvolvimento diário'!$R:$R,"Sim")</f>
        <v>0</v>
      </c>
      <c r="Q1671" s="5">
        <f>SUMIFS('Desenvolvimento diário'!$H:$H,'Desenvolvimento diário'!$Q:$Q,$B1671,'Desenvolvimento diário'!$P:$P,$F1671,'Desenvolvimento diário'!$R:$R,"Não")</f>
        <v>0</v>
      </c>
      <c r="R1671" s="4">
        <f>SUM(P1671:Q1671)</f>
        <v>0</v>
      </c>
      <c r="S1671" s="4">
        <f>O1671-R1671</f>
        <v>0</v>
      </c>
      <c r="T1671" s="12">
        <f>IFERROR(R1671/O1671,0)</f>
        <v>0</v>
      </c>
      <c r="Y1671" s="2"/>
      <c r="Z1671" s="2"/>
      <c r="AA1671" s="2"/>
      <c r="AB1671" s="2"/>
      <c r="AC1671" s="2"/>
    </row>
    <row r="1672" spans="1:29" ht="10.5" hidden="1">
      <c r="A1672" s="2">
        <f>A1671</f>
        <v>48</v>
      </c>
      <c r="B1672" s="2" t="str">
        <f>VLOOKUP($A1672,Controle!$B$4:$F$68,2,FALSE)</f>
        <v>Cássia 2</v>
      </c>
      <c r="C1672" s="2" t="str">
        <f>VLOOKUP($A1672,Controle!$B$4:$F$68,3,FALSE)</f>
        <v>MORI MINAS V</v>
      </c>
      <c r="D1672" s="2" t="str">
        <f>VLOOKUP($A1672,Controle!$B$4:$F$68,4,FALSE)</f>
        <v>NewCo V</v>
      </c>
      <c r="E1672" s="2" t="str">
        <f>VLOOKUP($A1672,Controle!$B$4:$F$68,5,FALSE)</f>
        <v>Weg</v>
      </c>
      <c r="F1672" s="3" t="str">
        <f>F1637</f>
        <v>Bases de Contaniers</v>
      </c>
      <c r="G1672" s="2" t="str">
        <f>VLOOKUP($A1672,Controle!$B$4:$G$68,6,FALSE)</f>
        <v>Solatio</v>
      </c>
      <c r="H1672" s="6" t="s">
        <v>208</v>
      </c>
      <c r="I1672" s="6">
        <v>114900</v>
      </c>
      <c r="J1672" s="6">
        <v>0</v>
      </c>
      <c r="K1672" s="6">
        <v>0</v>
      </c>
      <c r="L1672" s="6">
        <v>0</v>
      </c>
      <c r="M1672" s="6">
        <v>0</v>
      </c>
      <c r="N1672" s="6">
        <v>0</v>
      </c>
      <c r="O1672" s="4">
        <f>SUM(I1672:N1672)</f>
        <v>114900</v>
      </c>
      <c r="P1672" s="5">
        <f>SUMIFS('Desenvolvimento diário'!$H:$H,'Desenvolvimento diário'!$Q:$Q,$B1672,'Desenvolvimento diário'!$P:$P,$F1672,'Desenvolvimento diário'!$R:$R,"Sim")</f>
        <v>0</v>
      </c>
      <c r="Q1672" s="5">
        <f>SUMIFS('Desenvolvimento diário'!$H:$H,'Desenvolvimento diário'!$Q:$Q,$B1672,'Desenvolvimento diário'!$P:$P,$F1672,'Desenvolvimento diário'!$R:$R,"Não")</f>
        <v>114900</v>
      </c>
      <c r="R1672" s="4">
        <f>SUM(P1672:Q1672)</f>
        <v>114900</v>
      </c>
      <c r="S1672" s="4">
        <f>O1672-R1672</f>
        <v>0</v>
      </c>
      <c r="T1672" s="12">
        <f>IFERROR(R1672/O1672,0)</f>
        <v>1</v>
      </c>
      <c r="Y1672" s="2"/>
      <c r="Z1672" s="2"/>
      <c r="AA1672" s="2"/>
      <c r="AB1672" s="2"/>
      <c r="AC1672" s="2"/>
    </row>
    <row r="1673" spans="1:29" ht="10.5" hidden="1">
      <c r="A1673" s="2">
        <f>A1672</f>
        <v>48</v>
      </c>
      <c r="B1673" s="2" t="str">
        <f>VLOOKUP($A1673,Controle!$B$4:$F$68,2,FALSE)</f>
        <v>Cássia 2</v>
      </c>
      <c r="C1673" s="2" t="str">
        <f>VLOOKUP($A1673,Controle!$B$4:$F$68,3,FALSE)</f>
        <v>MORI MINAS V</v>
      </c>
      <c r="D1673" s="2" t="str">
        <f>VLOOKUP($A1673,Controle!$B$4:$F$68,4,FALSE)</f>
        <v>NewCo V</v>
      </c>
      <c r="E1673" s="2" t="str">
        <f>VLOOKUP($A1673,Controle!$B$4:$F$68,5,FALSE)</f>
        <v>Weg</v>
      </c>
      <c r="F1673" s="3" t="str">
        <f>F1638</f>
        <v>Construção - Serviços de Construção - Ase Engenharia</v>
      </c>
      <c r="G1673" s="2" t="str">
        <f>VLOOKUP($A1673,Controle!$B$4:$G$68,6,FALSE)</f>
        <v>Solatio</v>
      </c>
      <c r="H1673" s="6">
        <v>0</v>
      </c>
      <c r="I1673" s="6">
        <v>0</v>
      </c>
      <c r="J1673" s="6">
        <v>0</v>
      </c>
      <c r="K1673" s="6">
        <v>0</v>
      </c>
      <c r="L1673" s="6">
        <v>0</v>
      </c>
      <c r="M1673" s="6">
        <v>0</v>
      </c>
      <c r="N1673" s="6">
        <v>0</v>
      </c>
      <c r="O1673" s="4">
        <f>SUM(I1673:N1673)</f>
        <v>0</v>
      </c>
      <c r="P1673" s="5">
        <f>SUMIFS('Desenvolvimento diário'!$H:$H,'Desenvolvimento diário'!$Q:$Q,$B1673,'Desenvolvimento diário'!$P:$P,$F1673,'Desenvolvimento diário'!$R:$R,"Sim")</f>
        <v>0</v>
      </c>
      <c r="Q1673" s="5">
        <f>SUMIFS('Desenvolvimento diário'!$H:$H,'Desenvolvimento diário'!$Q:$Q,$B1673,'Desenvolvimento diário'!$P:$P,$F1673,'Desenvolvimento diário'!$R:$R,"Não")</f>
        <v>0</v>
      </c>
      <c r="R1673" s="4">
        <f>SUM(P1673:Q1673)</f>
        <v>0</v>
      </c>
      <c r="S1673" s="4">
        <f>O1673-R1673</f>
        <v>0</v>
      </c>
      <c r="T1673" s="12">
        <f>IFERROR(R1673/O1673,0)</f>
        <v>0</v>
      </c>
      <c r="Y1673" s="2"/>
      <c r="Z1673" s="2"/>
      <c r="AA1673" s="2"/>
      <c r="AB1673" s="2"/>
      <c r="AC1673" s="2"/>
    </row>
    <row r="1674" spans="1:29" ht="10.5" hidden="1">
      <c r="A1674" s="2">
        <f>A1673</f>
        <v>48</v>
      </c>
      <c r="B1674" s="2" t="str">
        <f>VLOOKUP($A1674,Controle!$B$4:$F$68,2,FALSE)</f>
        <v>Cássia 2</v>
      </c>
      <c r="C1674" s="2" t="str">
        <f>VLOOKUP($A1674,Controle!$B$4:$F$68,3,FALSE)</f>
        <v>MORI MINAS V</v>
      </c>
      <c r="D1674" s="2" t="str">
        <f>VLOOKUP($A1674,Controle!$B$4:$F$68,4,FALSE)</f>
        <v>NewCo V</v>
      </c>
      <c r="E1674" s="2" t="str">
        <f>VLOOKUP($A1674,Controle!$B$4:$F$68,5,FALSE)</f>
        <v>Weg</v>
      </c>
      <c r="F1674" s="3" t="str">
        <f>F1639</f>
        <v>Full EPC - Contrato Sobressalentes</v>
      </c>
      <c r="G1674" s="2" t="str">
        <f>VLOOKUP($A1674,Controle!$B$4:$G$68,6,FALSE)</f>
        <v>Solatio</v>
      </c>
      <c r="H1674" s="6" t="s">
        <v>21</v>
      </c>
      <c r="I1674" s="6">
        <v>195254.82</v>
      </c>
      <c r="J1674" s="6">
        <v>0</v>
      </c>
      <c r="K1674" s="6">
        <v>0</v>
      </c>
      <c r="L1674" s="6">
        <v>0</v>
      </c>
      <c r="M1674" s="6">
        <v>0</v>
      </c>
      <c r="N1674" s="6">
        <v>0</v>
      </c>
      <c r="O1674" s="4">
        <f>SUM(I1674:N1674)</f>
        <v>195254.82</v>
      </c>
      <c r="P1674" s="5">
        <f>SUMIFS('Desenvolvimento diário'!$H:$H,'Desenvolvimento diário'!$Q:$Q,$B1674,'Desenvolvimento diário'!$P:$P,$F1674,'Desenvolvimento diário'!$R:$R,"Sim")</f>
        <v>0</v>
      </c>
      <c r="Q1674" s="5">
        <f>SUMIFS('Desenvolvimento diário'!$H:$H,'Desenvolvimento diário'!$Q:$Q,$B1674,'Desenvolvimento diário'!$P:$P,$F1674,'Desenvolvimento diário'!$R:$R,"Não")</f>
        <v>195254.82</v>
      </c>
      <c r="R1674" s="4">
        <f>SUM(P1674:Q1674)</f>
        <v>195254.82</v>
      </c>
      <c r="S1674" s="4">
        <f>O1674-R1674</f>
        <v>0</v>
      </c>
      <c r="T1674" s="12">
        <f>IFERROR(R1674/O1674,0)</f>
        <v>1</v>
      </c>
      <c r="Y1674" s="2"/>
      <c r="Z1674" s="2"/>
      <c r="AA1674" s="2"/>
      <c r="AB1674" s="2"/>
      <c r="AC1674" s="2"/>
    </row>
    <row r="1675" spans="1:29" ht="10.5" hidden="1">
      <c r="A1675" s="2">
        <f>A1674</f>
        <v>48</v>
      </c>
      <c r="B1675" s="2" t="str">
        <f>VLOOKUP($A1675,Controle!$B$4:$F$68,2,FALSE)</f>
        <v>Cássia 2</v>
      </c>
      <c r="C1675" s="2" t="str">
        <f>VLOOKUP($A1675,Controle!$B$4:$F$68,3,FALSE)</f>
        <v>MORI MINAS V</v>
      </c>
      <c r="D1675" s="2" t="str">
        <f>VLOOKUP($A1675,Controle!$B$4:$F$68,4,FALSE)</f>
        <v>NewCo V</v>
      </c>
      <c r="E1675" s="2" t="str">
        <f>VLOOKUP($A1675,Controle!$B$4:$F$68,5,FALSE)</f>
        <v>Weg</v>
      </c>
      <c r="F1675" s="3" t="str">
        <f>F1640</f>
        <v>Construção - Serviços de Construção - NOVA MORADA</v>
      </c>
      <c r="G1675" s="2" t="str">
        <f>VLOOKUP($A1675,Controle!$B$4:$G$68,6,FALSE)</f>
        <v>Solatio</v>
      </c>
      <c r="H1675" s="6">
        <v>0</v>
      </c>
      <c r="I1675" s="6">
        <v>0</v>
      </c>
      <c r="J1675" s="6">
        <v>0</v>
      </c>
      <c r="K1675" s="6">
        <v>0</v>
      </c>
      <c r="L1675" s="6">
        <v>0</v>
      </c>
      <c r="M1675" s="6">
        <v>0</v>
      </c>
      <c r="N1675" s="6">
        <v>0</v>
      </c>
      <c r="O1675" s="4">
        <f>SUM(I1675:N1675)</f>
        <v>0</v>
      </c>
      <c r="P1675" s="5">
        <f>SUMIFS('Desenvolvimento diário'!$H:$H,'Desenvolvimento diário'!$Q:$Q,$B1675,'Desenvolvimento diário'!$P:$P,$F1675,'Desenvolvimento diário'!$R:$R,"Sim")</f>
        <v>0</v>
      </c>
      <c r="Q1675" s="5">
        <f>SUMIFS('Desenvolvimento diário'!$H:$H,'Desenvolvimento diário'!$Q:$Q,$B1675,'Desenvolvimento diário'!$P:$P,$F1675,'Desenvolvimento diário'!$R:$R,"Não")</f>
        <v>0</v>
      </c>
      <c r="R1675" s="4">
        <f>SUM(P1675:Q1675)</f>
        <v>0</v>
      </c>
      <c r="S1675" s="4">
        <f>O1675-R1675</f>
        <v>0</v>
      </c>
      <c r="T1675" s="12">
        <f>IFERROR(R1675/O1675,0)</f>
        <v>0</v>
      </c>
      <c r="Y1675" s="2"/>
      <c r="Z1675" s="2"/>
      <c r="AA1675" s="2"/>
      <c r="AB1675" s="2"/>
      <c r="AC1675" s="2"/>
    </row>
    <row r="1676" spans="1:29" ht="10.5" hidden="1">
      <c r="A1676" s="2">
        <f>A1675</f>
        <v>48</v>
      </c>
      <c r="B1676" s="2" t="str">
        <f>VLOOKUP($A1676,Controle!$B$4:$F$68,2,FALSE)</f>
        <v>Cássia 2</v>
      </c>
      <c r="C1676" s="2" t="str">
        <f>VLOOKUP($A1676,Controle!$B$4:$F$68,3,FALSE)</f>
        <v>MORI MINAS V</v>
      </c>
      <c r="D1676" s="2" t="str">
        <f>VLOOKUP($A1676,Controle!$B$4:$F$68,4,FALSE)</f>
        <v>NewCo V</v>
      </c>
      <c r="E1676" s="2" t="str">
        <f>VLOOKUP($A1676,Controle!$B$4:$F$68,5,FALSE)</f>
        <v>Weg</v>
      </c>
      <c r="F1676" s="3" t="str">
        <f>F1641</f>
        <v>Equipamentos Curva A -  Contrato Sobressalentes - SETTA</v>
      </c>
      <c r="G1676" s="2" t="str">
        <f>VLOOKUP($A1676,Controle!$B$4:$G$68,6,FALSE)</f>
        <v>Solatio</v>
      </c>
      <c r="H1676" s="6">
        <v>0</v>
      </c>
      <c r="I1676" s="6">
        <v>0</v>
      </c>
      <c r="J1676" s="6">
        <v>0</v>
      </c>
      <c r="K1676" s="6">
        <v>0</v>
      </c>
      <c r="L1676" s="6">
        <v>0</v>
      </c>
      <c r="M1676" s="6">
        <v>0</v>
      </c>
      <c r="N1676" s="6">
        <v>0</v>
      </c>
      <c r="O1676" s="4">
        <f>SUM(I1676:N1676)</f>
        <v>0</v>
      </c>
      <c r="P1676" s="5">
        <f>SUMIFS('Desenvolvimento diário'!$H:$H,'Desenvolvimento diário'!$Q:$Q,$B1676,'Desenvolvimento diário'!$P:$P,$F1676,'Desenvolvimento diário'!$R:$R,"Sim")</f>
        <v>0</v>
      </c>
      <c r="Q1676" s="5">
        <f>SUMIFS('Desenvolvimento diário'!$H:$H,'Desenvolvimento diário'!$Q:$Q,$B1676,'Desenvolvimento diário'!$P:$P,$F1676,'Desenvolvimento diário'!$R:$R,"Não")</f>
        <v>0</v>
      </c>
      <c r="R1676" s="4">
        <f>SUM(P1676:Q1676)</f>
        <v>0</v>
      </c>
      <c r="S1676" s="4">
        <f>O1676-R1676</f>
        <v>0</v>
      </c>
      <c r="T1676" s="12">
        <f>IFERROR(R1676/O1676,0)</f>
        <v>0</v>
      </c>
      <c r="Y1676" s="2"/>
      <c r="Z1676" s="2"/>
      <c r="AA1676" s="2"/>
      <c r="AB1676" s="2"/>
      <c r="AC1676" s="2"/>
    </row>
    <row r="1677" spans="1:29" ht="10.5" hidden="1">
      <c r="A1677" s="2">
        <f>A1676</f>
        <v>48</v>
      </c>
      <c r="B1677" s="2" t="str">
        <f>VLOOKUP($A1677,Controle!$B$4:$F$68,2,FALSE)</f>
        <v>Cássia 2</v>
      </c>
      <c r="C1677" s="2" t="str">
        <f>VLOOKUP($A1677,Controle!$B$4:$F$68,3,FALSE)</f>
        <v>MORI MINAS V</v>
      </c>
      <c r="D1677" s="2" t="str">
        <f>VLOOKUP($A1677,Controle!$B$4:$F$68,4,FALSE)</f>
        <v>NewCo V</v>
      </c>
      <c r="E1677" s="2" t="str">
        <f>VLOOKUP($A1677,Controle!$B$4:$F$68,5,FALSE)</f>
        <v>Weg</v>
      </c>
      <c r="F1677" s="3" t="str">
        <f>F1642</f>
        <v>Equipamentos Curva A -  Contrato Sobressalentes - Arctech</v>
      </c>
      <c r="G1677" s="2" t="str">
        <f>VLOOKUP($A1677,Controle!$B$4:$G$68,6,FALSE)</f>
        <v>Solatio</v>
      </c>
      <c r="H1677" s="6">
        <v>0</v>
      </c>
      <c r="I1677" s="6">
        <v>0</v>
      </c>
      <c r="J1677" s="6">
        <v>0</v>
      </c>
      <c r="K1677" s="6">
        <v>0</v>
      </c>
      <c r="L1677" s="6">
        <v>0</v>
      </c>
      <c r="M1677" s="6">
        <v>0</v>
      </c>
      <c r="N1677" s="6">
        <v>0</v>
      </c>
      <c r="O1677" s="4">
        <f>SUM(I1677:N1677)</f>
        <v>0</v>
      </c>
      <c r="P1677" s="5">
        <f>SUMIFS('Desenvolvimento diário'!$H:$H,'Desenvolvimento diário'!$Q:$Q,$B1677,'Desenvolvimento diário'!$P:$P,$F1677,'Desenvolvimento diário'!$R:$R,"Sim")</f>
        <v>0</v>
      </c>
      <c r="Q1677" s="5">
        <f>SUMIFS('Desenvolvimento diário'!$H:$H,'Desenvolvimento diário'!$Q:$Q,$B1677,'Desenvolvimento diário'!$P:$P,$F1677,'Desenvolvimento diário'!$R:$R,"Não")</f>
        <v>0</v>
      </c>
      <c r="R1677" s="4">
        <f>SUM(P1677:Q1677)</f>
        <v>0</v>
      </c>
      <c r="S1677" s="4">
        <f>O1677-R1677</f>
        <v>0</v>
      </c>
      <c r="T1677" s="12">
        <f>IFERROR(R1677/O1677,0)</f>
        <v>0</v>
      </c>
      <c r="Y1677" s="2"/>
      <c r="Z1677" s="2"/>
      <c r="AA1677" s="2"/>
      <c r="AB1677" s="2"/>
      <c r="AC1677" s="2"/>
    </row>
    <row r="1678" spans="1:29" hidden="1">
      <c r="A1678" s="2">
        <f>A1677</f>
        <v>48</v>
      </c>
      <c r="B1678" s="2" t="str">
        <f>VLOOKUP($A1678,Controle!$B$4:$F$68,2,FALSE)</f>
        <v>Cássia 2</v>
      </c>
      <c r="C1678" s="2" t="str">
        <f>VLOOKUP($A1678,Controle!$B$4:$F$68,3,FALSE)</f>
        <v>MORI MINAS V</v>
      </c>
      <c r="D1678" s="2" t="str">
        <f>VLOOKUP($A1678,Controle!$B$4:$F$68,4,FALSE)</f>
        <v>NewCo V</v>
      </c>
      <c r="E1678" s="2" t="str">
        <f>VLOOKUP($A1678,Controle!$B$4:$F$68,5,FALSE)</f>
        <v>Weg</v>
      </c>
      <c r="F1678" s="3" t="str">
        <f>F1643</f>
        <v>Equipamentos Curva A -  Contrato Sobressalentes - Romagnole</v>
      </c>
      <c r="G1678" s="2" t="str">
        <f>VLOOKUP($A1678,Controle!$B$4:$G$68,6,FALSE)</f>
        <v>Solatio</v>
      </c>
      <c r="H1678" s="7">
        <v>0</v>
      </c>
      <c r="I1678" s="7">
        <v>0</v>
      </c>
      <c r="J1678" s="7">
        <v>0</v>
      </c>
      <c r="K1678" s="7">
        <v>0</v>
      </c>
      <c r="L1678" s="7">
        <v>0</v>
      </c>
      <c r="M1678" s="7">
        <v>0</v>
      </c>
      <c r="N1678" s="7">
        <v>0</v>
      </c>
      <c r="O1678" s="4">
        <f>SUM(I1678:N1678)</f>
        <v>0</v>
      </c>
      <c r="P1678" s="17">
        <f>SUMIFS('Desenvolvimento diário'!$H:$H,'Desenvolvimento diário'!$Q:$Q,$B1678,'Desenvolvimento diário'!$P:$P,$F1678,'Desenvolvimento diário'!$R:$R,"Sim")</f>
        <v>0</v>
      </c>
      <c r="Q1678" s="17">
        <f>SUMIFS('Desenvolvimento diário'!$H:$H,'Desenvolvimento diário'!$Q:$Q,$B1678,'Desenvolvimento diário'!$P:$P,$F1678,'Desenvolvimento diário'!$R:$R,"Não")</f>
        <v>0</v>
      </c>
      <c r="R1678" s="4">
        <f>SUM(P1678:Q1678)</f>
        <v>0</v>
      </c>
      <c r="S1678" s="4">
        <f>O1678-R1678</f>
        <v>0</v>
      </c>
      <c r="T1678" s="12">
        <f>IFERROR(R1678/O1678,0)</f>
        <v>0</v>
      </c>
      <c r="Y1678" s="2"/>
      <c r="Z1678" s="2"/>
      <c r="AA1678" s="2"/>
      <c r="AB1678" s="2"/>
      <c r="AC1678" s="2"/>
    </row>
    <row r="1679" spans="1:29" hidden="1">
      <c r="A1679" s="2">
        <f t="shared" ref="A1679:A1680" si="548">A1678</f>
        <v>48</v>
      </c>
      <c r="B1679" s="2" t="str">
        <f>VLOOKUP($A1679,Controle!$B$4:$F$68,2,FALSE)</f>
        <v>Cássia 2</v>
      </c>
      <c r="C1679" s="2" t="str">
        <f>VLOOKUP($A1679,Controle!$B$4:$F$68,3,FALSE)</f>
        <v>MORI MINAS V</v>
      </c>
      <c r="D1679" s="2" t="str">
        <f>VLOOKUP($A1679,Controle!$B$4:$F$68,4,FALSE)</f>
        <v>NewCo V</v>
      </c>
      <c r="E1679" s="2" t="str">
        <f>VLOOKUP($A1679,Controle!$B$4:$F$68,5,FALSE)</f>
        <v>Weg</v>
      </c>
      <c r="F1679" s="3" t="str">
        <f t="shared" ref="F1679:F1680" si="549">F1644</f>
        <v>GOS FLORESTAL - (PRAD - Recuperação Area Ambiental)</v>
      </c>
      <c r="G1679" s="2" t="str">
        <f>VLOOKUP($A1679,Controle!$B$4:$G$68,6,FALSE)</f>
        <v>Solatio</v>
      </c>
      <c r="H1679" s="506" t="s">
        <v>170</v>
      </c>
      <c r="I1679" s="6">
        <v>0</v>
      </c>
      <c r="J1679" s="506"/>
      <c r="K1679" s="506">
        <v>0</v>
      </c>
      <c r="L1679" s="506">
        <v>0</v>
      </c>
      <c r="M1679" s="506">
        <v>0</v>
      </c>
      <c r="N1679" s="506">
        <v>0</v>
      </c>
      <c r="O1679" s="39">
        <f t="shared" ref="O1679:O1680" si="550">SUM(I1679:N1679)</f>
        <v>0</v>
      </c>
      <c r="P1679" s="17">
        <f>SUMIFS('Desenvolvimento diário'!$H:$H,'Desenvolvimento diário'!$Q:$Q,$B1679,'Desenvolvimento diário'!$P:$P,$F1679,'Desenvolvimento diário'!$R:$R,"Sim")</f>
        <v>0</v>
      </c>
      <c r="Q1679" s="17">
        <f>SUMIFS('Desenvolvimento diário'!$H:$H,'Desenvolvimento diário'!$Q:$Q,$B1679,'Desenvolvimento diário'!$P:$P,$F1679,'Desenvolvimento diário'!$R:$R,"Não")</f>
        <v>0</v>
      </c>
      <c r="R1679" s="4">
        <f t="shared" ref="R1679:R1680" si="551">SUM(P1679:Q1679)</f>
        <v>0</v>
      </c>
      <c r="S1679" s="4">
        <f t="shared" ref="S1679:S1680" si="552">O1679-R1679</f>
        <v>0</v>
      </c>
      <c r="T1679" s="12">
        <f t="shared" ref="T1679:T1680" si="553">IFERROR(R1679/O1679,0)</f>
        <v>0</v>
      </c>
      <c r="Y1679" s="2"/>
      <c r="Z1679" s="2"/>
      <c r="AA1679" s="2"/>
      <c r="AB1679" s="2"/>
      <c r="AC1679" s="2"/>
    </row>
    <row r="1680" spans="1:29" hidden="1">
      <c r="A1680" s="2">
        <f t="shared" si="548"/>
        <v>48</v>
      </c>
      <c r="B1680" s="2" t="str">
        <f>VLOOKUP($A1680,Controle!$B$4:$F$68,2,FALSE)</f>
        <v>Cássia 2</v>
      </c>
      <c r="C1680" s="2" t="str">
        <f>VLOOKUP($A1680,Controle!$B$4:$F$68,3,FALSE)</f>
        <v>MORI MINAS V</v>
      </c>
      <c r="D1680" s="2" t="str">
        <f>VLOOKUP($A1680,Controle!$B$4:$F$68,4,FALSE)</f>
        <v>NewCo V</v>
      </c>
      <c r="E1680" s="2" t="str">
        <f>VLOOKUP($A1680,Controle!$B$4:$F$68,5,FALSE)</f>
        <v>Weg</v>
      </c>
      <c r="F1680" s="3" t="str">
        <f t="shared" si="549"/>
        <v>Cercamento das bacias de contenção ciclo 2</v>
      </c>
      <c r="G1680" s="2" t="str">
        <f>VLOOKUP($A1680,Controle!$B$4:$G$68,6,FALSE)</f>
        <v>Solatio</v>
      </c>
      <c r="H1680" s="506" t="s">
        <v>172</v>
      </c>
      <c r="I1680" s="6"/>
      <c r="J1680" s="506"/>
      <c r="K1680" s="506">
        <v>0</v>
      </c>
      <c r="L1680" s="506">
        <v>0</v>
      </c>
      <c r="M1680" s="506">
        <v>0</v>
      </c>
      <c r="N1680" s="506">
        <v>0</v>
      </c>
      <c r="O1680" s="39">
        <f t="shared" si="550"/>
        <v>0</v>
      </c>
      <c r="P1680" s="17">
        <f>SUMIFS('Desenvolvimento diário'!$H:$H,'Desenvolvimento diário'!$Q:$Q,$B1680,'Desenvolvimento diário'!$P:$P,$F1680,'Desenvolvimento diário'!$R:$R,"Sim")</f>
        <v>0</v>
      </c>
      <c r="Q1680" s="17">
        <f>SUMIFS('Desenvolvimento diário'!$H:$H,'Desenvolvimento diário'!$Q:$Q,$B1680,'Desenvolvimento diário'!$P:$P,$F1680,'Desenvolvimento diário'!$R:$R,"Não")</f>
        <v>0</v>
      </c>
      <c r="R1680" s="4">
        <f t="shared" si="551"/>
        <v>0</v>
      </c>
      <c r="S1680" s="1030">
        <f t="shared" si="552"/>
        <v>0</v>
      </c>
      <c r="T1680" s="12">
        <f t="shared" si="553"/>
        <v>0</v>
      </c>
      <c r="U1680" s="1029" t="s">
        <v>166</v>
      </c>
      <c r="V1680" s="1029" t="s">
        <v>94</v>
      </c>
      <c r="Y1680" s="2"/>
      <c r="Z1680" s="2"/>
      <c r="AA1680" s="2"/>
      <c r="AB1680" s="2"/>
      <c r="AC1680" s="2"/>
    </row>
    <row r="1681" spans="1:29" hidden="1">
      <c r="A1681" s="8">
        <f>A1678</f>
        <v>48</v>
      </c>
      <c r="B1681" s="9" t="str">
        <f>B1678</f>
        <v>Cássia 2</v>
      </c>
      <c r="C1681" s="9" t="str">
        <f>C1678</f>
        <v>MORI MINAS V</v>
      </c>
      <c r="D1681" s="9" t="str">
        <f>D1678</f>
        <v>NewCo V</v>
      </c>
      <c r="E1681" s="9" t="str">
        <f>E1678</f>
        <v>Weg</v>
      </c>
      <c r="F1681" s="10" t="s">
        <v>158</v>
      </c>
      <c r="G1681" s="9" t="str">
        <f>G1678</f>
        <v>Solatio</v>
      </c>
      <c r="H1681" s="9"/>
      <c r="I1681" s="9">
        <f>SUBTOTAL(9,I1647:I1680)</f>
        <v>0</v>
      </c>
      <c r="J1681" s="9">
        <f t="shared" ref="J1681:S1681" si="554">SUBTOTAL(9,J1647:J1680)</f>
        <v>0</v>
      </c>
      <c r="K1681" s="9">
        <f t="shared" si="554"/>
        <v>0</v>
      </c>
      <c r="L1681" s="9">
        <f t="shared" si="554"/>
        <v>0</v>
      </c>
      <c r="M1681" s="9">
        <f t="shared" si="554"/>
        <v>0</v>
      </c>
      <c r="N1681" s="9">
        <f t="shared" si="554"/>
        <v>0</v>
      </c>
      <c r="O1681" s="9">
        <f t="shared" si="554"/>
        <v>0</v>
      </c>
      <c r="P1681" s="9">
        <f t="shared" si="554"/>
        <v>0</v>
      </c>
      <c r="Q1681" s="9">
        <f t="shared" si="554"/>
        <v>0</v>
      </c>
      <c r="R1681" s="9">
        <f t="shared" si="554"/>
        <v>0</v>
      </c>
      <c r="S1681" s="9">
        <f t="shared" si="554"/>
        <v>0</v>
      </c>
      <c r="T1681" s="13">
        <f>IFERROR(R1681/O1681,0)</f>
        <v>0</v>
      </c>
      <c r="U1681" s="11">
        <f>SUBTOTAL(9,U1647:U1680)</f>
        <v>0</v>
      </c>
      <c r="Y1681" s="2"/>
      <c r="Z1681" s="2"/>
      <c r="AA1681" s="2"/>
      <c r="AB1681" s="2"/>
      <c r="AC1681" s="2"/>
    </row>
    <row r="1682" spans="1:29" ht="10.5" hidden="1">
      <c r="A1682" s="2">
        <f>A1647+1</f>
        <v>49</v>
      </c>
      <c r="B1682" s="2" t="str">
        <f>VLOOKUP($A1682,Controle!$B$4:$F$68,2,FALSE)</f>
        <v>Formiga 6</v>
      </c>
      <c r="C1682" s="2" t="str">
        <f>VLOOKUP($A1682,Controle!$B$4:$F$68,3,FALSE)</f>
        <v>MORI MINAS V</v>
      </c>
      <c r="D1682" s="2" t="str">
        <f>VLOOKUP($A1682,Controle!$B$4:$F$68,4,FALSE)</f>
        <v>NewCo V</v>
      </c>
      <c r="E1682" s="2">
        <f>VLOOKUP($A1682,Controle!$B$4:$F$68,5,FALSE)</f>
        <v>1</v>
      </c>
      <c r="F1682" s="3" t="str">
        <f>F1647</f>
        <v>Conexão AT - Obras</v>
      </c>
      <c r="G1682" s="2" t="str">
        <f>VLOOKUP($A1682,Controle!$B$4:$G$68,6,FALSE)</f>
        <v>Solatio</v>
      </c>
      <c r="H1682" s="6" t="s">
        <v>182</v>
      </c>
      <c r="I1682" s="6">
        <v>0</v>
      </c>
      <c r="J1682" s="6">
        <v>0</v>
      </c>
      <c r="K1682" s="6">
        <v>0</v>
      </c>
      <c r="L1682" s="6">
        <v>0</v>
      </c>
      <c r="M1682" s="6">
        <v>0</v>
      </c>
      <c r="N1682" s="6">
        <v>0</v>
      </c>
      <c r="O1682" s="4">
        <f>SUM(I1682:N1682)</f>
        <v>0</v>
      </c>
      <c r="P1682" s="5">
        <f>SUMIFS('Desenvolvimento diário'!$H:$H,'Desenvolvimento diário'!$Q:$Q,$B1682,'Desenvolvimento diário'!$P:$P,$F1682,'Desenvolvimento diário'!$R:$R,"Sim")</f>
        <v>0</v>
      </c>
      <c r="Q1682" s="5">
        <f>SUMIFS('Desenvolvimento diário'!$H:$H,'Desenvolvimento diário'!$Q:$Q,$B1682,'Desenvolvimento diário'!$P:$P,$F1682,'Desenvolvimento diário'!$R:$R,"Não")</f>
        <v>0</v>
      </c>
      <c r="R1682" s="4">
        <f>SUM(P1682:Q1682)</f>
        <v>0</v>
      </c>
      <c r="S1682" s="39">
        <f>O1682-R1682</f>
        <v>0</v>
      </c>
      <c r="T1682" s="12">
        <f>IFERROR(R1682/O1682,0)</f>
        <v>0</v>
      </c>
      <c r="Y1682" s="2"/>
      <c r="Z1682" s="2"/>
      <c r="AA1682" s="2"/>
      <c r="AB1682" s="2"/>
      <c r="AC1682" s="2"/>
    </row>
    <row r="1683" spans="1:29" ht="10.5" hidden="1">
      <c r="A1683" s="2">
        <f>A1682</f>
        <v>49</v>
      </c>
      <c r="B1683" s="2" t="str">
        <f>VLOOKUP($A1683,Controle!$B$4:$F$68,2,FALSE)</f>
        <v>Formiga 6</v>
      </c>
      <c r="C1683" s="2" t="str">
        <f>VLOOKUP($A1683,Controle!$B$4:$F$68,3,FALSE)</f>
        <v>MORI MINAS V</v>
      </c>
      <c r="D1683" s="2" t="str">
        <f>VLOOKUP($A1683,Controle!$B$4:$F$68,4,FALSE)</f>
        <v>NewCo V</v>
      </c>
      <c r="E1683" s="2">
        <f>VLOOKUP($A1683,Controle!$B$4:$F$68,5,FALSE)</f>
        <v>1</v>
      </c>
      <c r="F1683" s="3" t="str">
        <f>F1648</f>
        <v>Conexão MT - Obras</v>
      </c>
      <c r="G1683" s="2" t="str">
        <f>VLOOKUP($A1683,Controle!$B$4:$G$68,6,FALSE)</f>
        <v>Solatio</v>
      </c>
      <c r="H1683" s="6" t="s">
        <v>141</v>
      </c>
      <c r="I1683" s="6">
        <v>1301808.8999999999</v>
      </c>
      <c r="J1683" s="6">
        <v>1278192</v>
      </c>
      <c r="K1683" s="6">
        <v>900000</v>
      </c>
      <c r="L1683" s="6">
        <v>0</v>
      </c>
      <c r="M1683" s="6">
        <v>0</v>
      </c>
      <c r="N1683" s="6">
        <v>0</v>
      </c>
      <c r="O1683" s="4">
        <f>SUM(I1683:N1683)</f>
        <v>3480000.9</v>
      </c>
      <c r="P1683" s="5">
        <f>SUMIFS('Desenvolvimento diário'!$H:$H,'Desenvolvimento diário'!$Q:$Q,$B1683,'Desenvolvimento diário'!$P:$P,$F1683,'Desenvolvimento diário'!$R:$R,"Sim")</f>
        <v>1911852.9999999998</v>
      </c>
      <c r="Q1683" s="5">
        <f>SUMIFS('Desenvolvimento diário'!$H:$H,'Desenvolvimento diário'!$Q:$Q,$B1683,'Desenvolvimento diário'!$P:$P,$F1683,'Desenvolvimento diário'!$R:$R,"Não")</f>
        <v>1568146.95</v>
      </c>
      <c r="R1683" s="4">
        <f>SUM(P1683:Q1683)</f>
        <v>3479999.9499999997</v>
      </c>
      <c r="S1683" s="1022">
        <f>O1683-R1683</f>
        <v>0.95000000018626451</v>
      </c>
      <c r="T1683" s="12">
        <f>IFERROR(R1683/O1683,0)</f>
        <v>0.99999972701156481</v>
      </c>
      <c r="U1683" s="1023" t="s">
        <v>166</v>
      </c>
      <c r="V1683" s="1023" t="s">
        <v>228</v>
      </c>
      <c r="Y1683" s="2"/>
      <c r="Z1683" s="2"/>
      <c r="AA1683" s="2"/>
      <c r="AB1683" s="2"/>
      <c r="AC1683" s="2"/>
    </row>
    <row r="1684" spans="1:29" ht="10.5" hidden="1">
      <c r="A1684" s="2">
        <f>A1683</f>
        <v>49</v>
      </c>
      <c r="B1684" s="2" t="str">
        <f>VLOOKUP($A1684,Controle!$B$4:$F$68,2,FALSE)</f>
        <v>Formiga 6</v>
      </c>
      <c r="C1684" s="2" t="str">
        <f>VLOOKUP($A1684,Controle!$B$4:$F$68,3,FALSE)</f>
        <v>MORI MINAS V</v>
      </c>
      <c r="D1684" s="2" t="str">
        <f>VLOOKUP($A1684,Controle!$B$4:$F$68,4,FALSE)</f>
        <v>NewCo V</v>
      </c>
      <c r="E1684" s="2">
        <f>VLOOKUP($A1684,Controle!$B$4:$F$68,5,FALSE)</f>
        <v>1</v>
      </c>
      <c r="F1684" s="3" t="str">
        <f>F1649</f>
        <v>Construção - Serviços de Construção</v>
      </c>
      <c r="G1684" s="2" t="str">
        <f>VLOOKUP($A1684,Controle!$B$4:$G$68,6,FALSE)</f>
        <v>Solatio</v>
      </c>
      <c r="H1684" s="6" t="s">
        <v>206</v>
      </c>
      <c r="I1684" s="6">
        <v>3294445</v>
      </c>
      <c r="J1684" s="6">
        <v>338000</v>
      </c>
      <c r="K1684" s="6">
        <v>173295.13</v>
      </c>
      <c r="L1684" s="6">
        <v>321833.82</v>
      </c>
      <c r="M1684" s="6">
        <v>220939.17</v>
      </c>
      <c r="N1684" s="6">
        <v>0</v>
      </c>
      <c r="O1684" s="4">
        <f>SUM(I1684:N1684)</f>
        <v>4348513.12</v>
      </c>
      <c r="P1684" s="5">
        <f>SUMIFS('Desenvolvimento diário'!$H:$H,'Desenvolvimento diário'!$Q:$Q,$B1684,'Desenvolvimento diário'!$P:$P,$F1684,'Desenvolvimento diário'!$R:$R,"Sim")</f>
        <v>517560.88000000012</v>
      </c>
      <c r="Q1684" s="5">
        <f>SUMIFS('Desenvolvimento diário'!$H:$H,'Desenvolvimento diário'!$Q:$Q,$B1684,'Desenvolvimento diário'!$P:$P,$F1684,'Desenvolvimento diário'!$R:$R,"Não")</f>
        <v>3406497.62</v>
      </c>
      <c r="R1684" s="4">
        <f>SUM(P1684:Q1684)</f>
        <v>3924058.5</v>
      </c>
      <c r="S1684" s="33">
        <f>O1684-R1684</f>
        <v>424454.62000000011</v>
      </c>
      <c r="T1684" s="12">
        <f>IFERROR(R1684/O1684,0)</f>
        <v>0.90239086136182567</v>
      </c>
      <c r="U1684" s="510" t="s">
        <v>162</v>
      </c>
      <c r="V1684" s="510" t="s">
        <v>163</v>
      </c>
      <c r="Y1684" s="2"/>
      <c r="Z1684" s="2"/>
      <c r="AA1684" s="2"/>
      <c r="AB1684" s="2"/>
      <c r="AC1684" s="2"/>
    </row>
    <row r="1685" spans="1:29" ht="10.5" hidden="1">
      <c r="A1685" s="2">
        <f>A1684</f>
        <v>49</v>
      </c>
      <c r="B1685" s="2" t="str">
        <f>VLOOKUP($A1685,Controle!$B$4:$F$68,2,FALSE)</f>
        <v>Formiga 6</v>
      </c>
      <c r="C1685" s="2" t="str">
        <f>VLOOKUP($A1685,Controle!$B$4:$F$68,3,FALSE)</f>
        <v>MORI MINAS V</v>
      </c>
      <c r="D1685" s="2" t="str">
        <f>VLOOKUP($A1685,Controle!$B$4:$F$68,4,FALSE)</f>
        <v>NewCo V</v>
      </c>
      <c r="E1685" s="2">
        <f>VLOOKUP($A1685,Controle!$B$4:$F$68,5,FALSE)</f>
        <v>1</v>
      </c>
      <c r="F1685" s="3" t="str">
        <f>F1650</f>
        <v>Construção - Serviços de Construção - Substituição</v>
      </c>
      <c r="G1685" s="2" t="str">
        <f>VLOOKUP($A1685,Controle!$B$4:$G$68,6,FALSE)</f>
        <v>Solatio</v>
      </c>
      <c r="H1685" s="6" t="s">
        <v>202</v>
      </c>
      <c r="I1685" s="6">
        <v>2740702.22</v>
      </c>
      <c r="J1685" s="6">
        <v>0</v>
      </c>
      <c r="K1685" s="6">
        <v>0</v>
      </c>
      <c r="L1685" s="6">
        <v>0</v>
      </c>
      <c r="M1685" s="6">
        <v>0</v>
      </c>
      <c r="N1685" s="6">
        <v>0</v>
      </c>
      <c r="O1685" s="4">
        <f>SUM(I1685:N1685)</f>
        <v>2740702.22</v>
      </c>
      <c r="P1685" s="5">
        <f>SUMIFS('Desenvolvimento diário'!$H:$H,'Desenvolvimento diário'!$Q:$Q,$B1685,'Desenvolvimento diário'!$P:$P,$F1685,'Desenvolvimento diário'!$R:$R,"Sim")</f>
        <v>837093.83000000019</v>
      </c>
      <c r="Q1685" s="5">
        <f>SUMIFS('Desenvolvimento diário'!$H:$H,'Desenvolvimento diário'!$Q:$Q,$B1685,'Desenvolvimento diário'!$P:$P,$F1685,'Desenvolvimento diário'!$R:$R,"Não")</f>
        <v>685175.55</v>
      </c>
      <c r="R1685" s="4">
        <f>SUM(P1685:Q1685)</f>
        <v>1522269.3800000004</v>
      </c>
      <c r="S1685" s="33">
        <f>O1685-R1685</f>
        <v>1218432.8399999999</v>
      </c>
      <c r="T1685" s="12">
        <f>IFERROR(R1685/O1685,0)</f>
        <v>0.55543041812109029</v>
      </c>
      <c r="U1685" s="510" t="s">
        <v>162</v>
      </c>
      <c r="V1685" s="510" t="s">
        <v>163</v>
      </c>
      <c r="Y1685" s="2"/>
      <c r="Z1685" s="2"/>
      <c r="AA1685" s="2"/>
      <c r="AB1685" s="2"/>
      <c r="AC1685" s="2"/>
    </row>
    <row r="1686" spans="1:29" ht="14.45" hidden="1">
      <c r="A1686" s="2">
        <f>A1685</f>
        <v>49</v>
      </c>
      <c r="B1686" s="2" t="str">
        <f>VLOOKUP($A1686,Controle!$B$4:$F$68,2,FALSE)</f>
        <v>Formiga 6</v>
      </c>
      <c r="C1686" s="2" t="str">
        <f>VLOOKUP($A1686,Controle!$B$4:$F$68,3,FALSE)</f>
        <v>MORI MINAS V</v>
      </c>
      <c r="D1686" s="2" t="str">
        <f>VLOOKUP($A1686,Controle!$B$4:$F$68,4,FALSE)</f>
        <v>NewCo V</v>
      </c>
      <c r="E1686" s="2">
        <f>VLOOKUP($A1686,Controle!$B$4:$F$68,5,FALSE)</f>
        <v>1</v>
      </c>
      <c r="F1686" s="3" t="str">
        <f>F1651</f>
        <v>Construção - RDA Interno</v>
      </c>
      <c r="G1686" s="2" t="str">
        <f>VLOOKUP($A1686,Controle!$B$4:$G$68,6,FALSE)</f>
        <v>Solatio</v>
      </c>
      <c r="H1686" s="6" t="s">
        <v>168</v>
      </c>
      <c r="I1686" s="6">
        <v>330000</v>
      </c>
      <c r="J1686" s="6">
        <v>0</v>
      </c>
      <c r="K1686" s="6">
        <v>0</v>
      </c>
      <c r="L1686" s="6">
        <v>0</v>
      </c>
      <c r="M1686" s="6">
        <v>0</v>
      </c>
      <c r="N1686" s="6">
        <v>0</v>
      </c>
      <c r="O1686" s="4">
        <f>SUM(I1686:N1686)</f>
        <v>330000</v>
      </c>
      <c r="P1686" s="5">
        <f>SUMIFS('Desenvolvimento diário'!$H:$H,'Desenvolvimento diário'!$Q:$Q,$B1686,'Desenvolvimento diário'!$P:$P,$F1686,'Desenvolvimento diário'!$R:$R,"Sim")</f>
        <v>0</v>
      </c>
      <c r="Q1686" s="5">
        <f>SUMIFS('Desenvolvimento diário'!$H:$H,'Desenvolvimento diário'!$Q:$Q,$B1686,'Desenvolvimento diário'!$P:$P,$F1686,'Desenvolvimento diário'!$R:$R,"Não")</f>
        <v>330000</v>
      </c>
      <c r="R1686" s="4">
        <f>SUM(P1686:Q1686)</f>
        <v>330000</v>
      </c>
      <c r="S1686" s="4">
        <f>O1686-R1686</f>
        <v>0</v>
      </c>
      <c r="T1686" s="12">
        <f>IFERROR(R1686/O1686,0)</f>
        <v>1</v>
      </c>
      <c r="U1686" s="134"/>
      <c r="Y1686" s="2"/>
      <c r="Z1686" s="2"/>
      <c r="AA1686" s="2"/>
      <c r="AB1686" s="2"/>
      <c r="AC1686" s="2"/>
    </row>
    <row r="1687" spans="1:29" ht="10.5" hidden="1">
      <c r="A1687" s="2">
        <f>A1686</f>
        <v>49</v>
      </c>
      <c r="B1687" s="2" t="str">
        <f>VLOOKUP($A1687,Controle!$B$4:$F$68,2,FALSE)</f>
        <v>Formiga 6</v>
      </c>
      <c r="C1687" s="2" t="str">
        <f>VLOOKUP($A1687,Controle!$B$4:$F$68,3,FALSE)</f>
        <v>MORI MINAS V</v>
      </c>
      <c r="D1687" s="2" t="str">
        <f>VLOOKUP($A1687,Controle!$B$4:$F$68,4,FALSE)</f>
        <v>NewCo V</v>
      </c>
      <c r="E1687" s="2">
        <f>VLOOKUP($A1687,Controle!$B$4:$F$68,5,FALSE)</f>
        <v>1</v>
      </c>
      <c r="F1687" s="3" t="str">
        <f>F1652</f>
        <v>Full EPC - Contrato</v>
      </c>
      <c r="G1687" s="2" t="str">
        <f>VLOOKUP($A1687,Controle!$B$4:$G$68,6,FALSE)</f>
        <v>Solatio</v>
      </c>
      <c r="H1687" s="6">
        <v>0</v>
      </c>
      <c r="I1687" s="6">
        <v>0</v>
      </c>
      <c r="J1687" s="6">
        <v>0</v>
      </c>
      <c r="K1687" s="6">
        <v>0</v>
      </c>
      <c r="L1687" s="6">
        <v>0</v>
      </c>
      <c r="M1687" s="6">
        <v>0</v>
      </c>
      <c r="N1687" s="6">
        <v>0</v>
      </c>
      <c r="O1687" s="4">
        <f>SUM(I1687:N1687)</f>
        <v>0</v>
      </c>
      <c r="P1687" s="5">
        <f>SUMIFS('Desenvolvimento diário'!$H:$H,'Desenvolvimento diário'!$Q:$Q,$B1687,'Desenvolvimento diário'!$P:$P,$F1687,'Desenvolvimento diário'!$R:$R,"Sim")</f>
        <v>0</v>
      </c>
      <c r="Q1687" s="5">
        <f>SUMIFS('Desenvolvimento diário'!$H:$H,'Desenvolvimento diário'!$Q:$Q,$B1687,'Desenvolvimento diário'!$P:$P,$F1687,'Desenvolvimento diário'!$R:$R,"Não")</f>
        <v>0</v>
      </c>
      <c r="R1687" s="4">
        <f>SUM(P1687:Q1687)</f>
        <v>0</v>
      </c>
      <c r="S1687" s="4">
        <f>O1687-R1687</f>
        <v>0</v>
      </c>
      <c r="T1687" s="12">
        <f>IFERROR(R1687/O1687,0)</f>
        <v>0</v>
      </c>
      <c r="Y1687" s="2"/>
      <c r="Z1687" s="2"/>
      <c r="AA1687" s="2"/>
      <c r="AB1687" s="2"/>
      <c r="AC1687" s="2"/>
    </row>
    <row r="1688" spans="1:29" ht="10.5" hidden="1">
      <c r="A1688" s="2">
        <f>A1687</f>
        <v>49</v>
      </c>
      <c r="B1688" s="2" t="str">
        <f>VLOOKUP($A1688,Controle!$B$4:$F$68,2,FALSE)</f>
        <v>Formiga 6</v>
      </c>
      <c r="C1688" s="2" t="str">
        <f>VLOOKUP($A1688,Controle!$B$4:$F$68,3,FALSE)</f>
        <v>MORI MINAS V</v>
      </c>
      <c r="D1688" s="2" t="str">
        <f>VLOOKUP($A1688,Controle!$B$4:$F$68,4,FALSE)</f>
        <v>NewCo V</v>
      </c>
      <c r="E1688" s="2">
        <f>VLOOKUP($A1688,Controle!$B$4:$F$68,5,FALSE)</f>
        <v>1</v>
      </c>
      <c r="F1688" s="3" t="str">
        <f>F1653</f>
        <v>Equipamentos Curva A - Outros (Transformadores)</v>
      </c>
      <c r="G1688" s="2" t="str">
        <f>VLOOKUP($A1688,Controle!$B$4:$G$68,6,FALSE)</f>
        <v>Solatio</v>
      </c>
      <c r="H1688" s="6">
        <v>0</v>
      </c>
      <c r="I1688" s="6">
        <v>0</v>
      </c>
      <c r="J1688" s="6">
        <v>0</v>
      </c>
      <c r="K1688" s="6">
        <v>0</v>
      </c>
      <c r="L1688" s="6">
        <v>0</v>
      </c>
      <c r="M1688" s="6">
        <v>0</v>
      </c>
      <c r="N1688" s="6">
        <v>0</v>
      </c>
      <c r="O1688" s="4">
        <f>SUM(I1688:N1688)</f>
        <v>0</v>
      </c>
      <c r="P1688" s="5">
        <f>SUMIFS('Desenvolvimento diário'!$H:$H,'Desenvolvimento diário'!$Q:$Q,$B1688,'Desenvolvimento diário'!$P:$P,$F1688,'Desenvolvimento diário'!$R:$R,"Sim")</f>
        <v>0</v>
      </c>
      <c r="Q1688" s="5">
        <f>SUMIFS('Desenvolvimento diário'!$H:$H,'Desenvolvimento diário'!$Q:$Q,$B1688,'Desenvolvimento diário'!$P:$P,$F1688,'Desenvolvimento diário'!$R:$R,"Não")</f>
        <v>0</v>
      </c>
      <c r="R1688" s="4">
        <f>SUM(P1688:Q1688)</f>
        <v>0</v>
      </c>
      <c r="S1688" s="4">
        <f>O1688-R1688</f>
        <v>0</v>
      </c>
      <c r="T1688" s="12">
        <f>IFERROR(R1688/O1688,0)</f>
        <v>0</v>
      </c>
      <c r="Y1688" s="2"/>
      <c r="Z1688" s="2"/>
      <c r="AA1688" s="2"/>
      <c r="AB1688" s="2"/>
      <c r="AC1688" s="2"/>
    </row>
    <row r="1689" spans="1:29" ht="10.5" hidden="1">
      <c r="A1689" s="2">
        <f>A1688</f>
        <v>49</v>
      </c>
      <c r="B1689" s="2" t="str">
        <f>VLOOKUP($A1689,Controle!$B$4:$F$68,2,FALSE)</f>
        <v>Formiga 6</v>
      </c>
      <c r="C1689" s="2" t="str">
        <f>VLOOKUP($A1689,Controle!$B$4:$F$68,3,FALSE)</f>
        <v>MORI MINAS V</v>
      </c>
      <c r="D1689" s="2" t="str">
        <f>VLOOKUP($A1689,Controle!$B$4:$F$68,4,FALSE)</f>
        <v>NewCo V</v>
      </c>
      <c r="E1689" s="2">
        <f>VLOOKUP($A1689,Controle!$B$4:$F$68,5,FALSE)</f>
        <v>1</v>
      </c>
      <c r="F1689" s="3" t="str">
        <f>F1654</f>
        <v>Equipamentos Curva A - Outros (Cabine + Skid)</v>
      </c>
      <c r="G1689" s="2" t="str">
        <f>VLOOKUP($A1689,Controle!$B$4:$G$68,6,FALSE)</f>
        <v>Solatio</v>
      </c>
      <c r="H1689" s="6">
        <v>0</v>
      </c>
      <c r="I1689" s="6">
        <v>0</v>
      </c>
      <c r="J1689" s="6">
        <v>0</v>
      </c>
      <c r="K1689" s="6">
        <v>0</v>
      </c>
      <c r="L1689" s="6">
        <v>0</v>
      </c>
      <c r="M1689" s="6">
        <v>0</v>
      </c>
      <c r="N1689" s="6">
        <v>0</v>
      </c>
      <c r="O1689" s="4">
        <f>SUM(I1689:N1689)</f>
        <v>0</v>
      </c>
      <c r="P1689" s="5">
        <f>SUMIFS('Desenvolvimento diário'!$H:$H,'Desenvolvimento diário'!$Q:$Q,$B1689,'Desenvolvimento diário'!$P:$P,$F1689,'Desenvolvimento diário'!$R:$R,"Sim")</f>
        <v>0</v>
      </c>
      <c r="Q1689" s="5">
        <f>SUMIFS('Desenvolvimento diário'!$H:$H,'Desenvolvimento diário'!$Q:$Q,$B1689,'Desenvolvimento diário'!$P:$P,$F1689,'Desenvolvimento diário'!$R:$R,"Não")</f>
        <v>0</v>
      </c>
      <c r="R1689" s="4">
        <f>SUM(P1689:Q1689)</f>
        <v>0</v>
      </c>
      <c r="S1689" s="4">
        <f>O1689-R1689</f>
        <v>0</v>
      </c>
      <c r="T1689" s="12">
        <f>IFERROR(R1689/O1689,0)</f>
        <v>0</v>
      </c>
      <c r="Y1689" s="2"/>
      <c r="Z1689" s="2"/>
      <c r="AA1689" s="2"/>
      <c r="AB1689" s="2"/>
      <c r="AC1689" s="2"/>
    </row>
    <row r="1690" spans="1:29" ht="10.5" hidden="1">
      <c r="A1690" s="2">
        <f>A1689</f>
        <v>49</v>
      </c>
      <c r="B1690" s="2" t="str">
        <f>VLOOKUP($A1690,Controle!$B$4:$F$68,2,FALSE)</f>
        <v>Formiga 6</v>
      </c>
      <c r="C1690" s="2" t="str">
        <f>VLOOKUP($A1690,Controle!$B$4:$F$68,3,FALSE)</f>
        <v>MORI MINAS V</v>
      </c>
      <c r="D1690" s="2" t="str">
        <f>VLOOKUP($A1690,Controle!$B$4:$F$68,4,FALSE)</f>
        <v>NewCo V</v>
      </c>
      <c r="E1690" s="2">
        <f>VLOOKUP($A1690,Controle!$B$4:$F$68,5,FALSE)</f>
        <v>1</v>
      </c>
      <c r="F1690" s="3" t="str">
        <f>F1655</f>
        <v>Equipamentos Curva A - Outros (Cabine + Skid + Transformador)</v>
      </c>
      <c r="G1690" s="2" t="str">
        <f>VLOOKUP($A1690,Controle!$B$4:$G$68,6,FALSE)</f>
        <v>Solatio</v>
      </c>
      <c r="H1690" s="6" t="s">
        <v>144</v>
      </c>
      <c r="I1690" s="6">
        <v>1221848.37791</v>
      </c>
      <c r="J1690" s="6">
        <v>0</v>
      </c>
      <c r="K1690" s="6">
        <v>0</v>
      </c>
      <c r="L1690" s="6">
        <v>0</v>
      </c>
      <c r="M1690" s="6">
        <v>0</v>
      </c>
      <c r="N1690" s="6">
        <v>0</v>
      </c>
      <c r="O1690" s="4">
        <f>SUM(I1690:N1690)</f>
        <v>1221848.37791</v>
      </c>
      <c r="P1690" s="5">
        <f>SUMIFS('Desenvolvimento diário'!$H:$H,'Desenvolvimento diário'!$Q:$Q,$B1690,'Desenvolvimento diário'!$P:$P,$F1690,'Desenvolvimento diário'!$R:$R,"Sim")</f>
        <v>0</v>
      </c>
      <c r="Q1690" s="5">
        <f>SUMIFS('Desenvolvimento diário'!$H:$H,'Desenvolvimento diário'!$Q:$Q,$B1690,'Desenvolvimento diário'!$P:$P,$F1690,'Desenvolvimento diário'!$R:$R,"Não")</f>
        <v>1221848.37791</v>
      </c>
      <c r="R1690" s="4">
        <f>SUM(P1690:Q1690)</f>
        <v>1221848.37791</v>
      </c>
      <c r="S1690" s="4">
        <f>O1690-R1690</f>
        <v>0</v>
      </c>
      <c r="T1690" s="12">
        <f>IFERROR(R1690/O1690,0)</f>
        <v>1</v>
      </c>
      <c r="Y1690" s="2"/>
      <c r="Z1690" s="2"/>
      <c r="AA1690" s="2"/>
      <c r="AB1690" s="2"/>
      <c r="AC1690" s="2"/>
    </row>
    <row r="1691" spans="1:29" ht="10.5" hidden="1">
      <c r="A1691" s="2">
        <f>A1690</f>
        <v>49</v>
      </c>
      <c r="B1691" s="2" t="str">
        <f>VLOOKUP($A1691,Controle!$B$4:$F$68,2,FALSE)</f>
        <v>Formiga 6</v>
      </c>
      <c r="C1691" s="2" t="str">
        <f>VLOOKUP($A1691,Controle!$B$4:$F$68,3,FALSE)</f>
        <v>MORI MINAS V</v>
      </c>
      <c r="D1691" s="2" t="str">
        <f>VLOOKUP($A1691,Controle!$B$4:$F$68,4,FALSE)</f>
        <v>NewCo V</v>
      </c>
      <c r="E1691" s="2">
        <f>VLOOKUP($A1691,Controle!$B$4:$F$68,5,FALSE)</f>
        <v>1</v>
      </c>
      <c r="F1691" s="3" t="str">
        <f>F1656</f>
        <v>Desenvolvimento de projeto - Projetos - (Eng° Proprietario)</v>
      </c>
      <c r="G1691" s="2" t="str">
        <f>VLOOKUP($A1691,Controle!$B$4:$G$68,6,FALSE)</f>
        <v>Solatio</v>
      </c>
      <c r="H1691" s="6" t="s">
        <v>145</v>
      </c>
      <c r="I1691" s="6">
        <v>0</v>
      </c>
      <c r="J1691" s="6">
        <v>0</v>
      </c>
      <c r="K1691" s="6">
        <v>0</v>
      </c>
      <c r="L1691" s="6">
        <v>0</v>
      </c>
      <c r="M1691" s="6">
        <v>0</v>
      </c>
      <c r="N1691" s="6">
        <v>0</v>
      </c>
      <c r="O1691" s="4">
        <f>SUM(I1691:N1691)</f>
        <v>0</v>
      </c>
      <c r="P1691" s="5">
        <f>SUMIFS('Desenvolvimento diário'!$H:$H,'Desenvolvimento diário'!$Q:$Q,$B1691,'Desenvolvimento diário'!$P:$P,$F1691,'Desenvolvimento diário'!$R:$R,"Sim")</f>
        <v>0</v>
      </c>
      <c r="Q1691" s="5">
        <f>SUMIFS('Desenvolvimento diário'!$H:$H,'Desenvolvimento diário'!$Q:$Q,$B1691,'Desenvolvimento diário'!$P:$P,$F1691,'Desenvolvimento diário'!$R:$R,"Não")</f>
        <v>0</v>
      </c>
      <c r="R1691" s="4">
        <f>SUM(P1691:Q1691)</f>
        <v>0</v>
      </c>
      <c r="S1691" s="4">
        <f>O1691-R1691</f>
        <v>0</v>
      </c>
      <c r="T1691" s="12">
        <f>IFERROR(R1691/O1691,0)</f>
        <v>0</v>
      </c>
      <c r="Y1691" s="2"/>
      <c r="Z1691" s="2"/>
      <c r="AA1691" s="2"/>
      <c r="AB1691" s="2"/>
      <c r="AC1691" s="2"/>
    </row>
    <row r="1692" spans="1:29" ht="10.5" hidden="1">
      <c r="A1692" s="2">
        <f>A1691</f>
        <v>49</v>
      </c>
      <c r="B1692" s="2" t="str">
        <f>VLOOKUP($A1692,Controle!$B$4:$F$68,2,FALSE)</f>
        <v>Formiga 6</v>
      </c>
      <c r="C1692" s="2" t="str">
        <f>VLOOKUP($A1692,Controle!$B$4:$F$68,3,FALSE)</f>
        <v>MORI MINAS V</v>
      </c>
      <c r="D1692" s="2" t="str">
        <f>VLOOKUP($A1692,Controle!$B$4:$F$68,4,FALSE)</f>
        <v>NewCo V</v>
      </c>
      <c r="E1692" s="2">
        <f>VLOOKUP($A1692,Controle!$B$4:$F$68,5,FALSE)</f>
        <v>1</v>
      </c>
      <c r="F1692" s="3" t="str">
        <f>F1657</f>
        <v>Desenvolvimento de projeto - Projetos - Executivos</v>
      </c>
      <c r="G1692" s="2" t="str">
        <f>VLOOKUP($A1692,Controle!$B$4:$G$68,6,FALSE)</f>
        <v>Solatio</v>
      </c>
      <c r="H1692" s="6" t="s">
        <v>146</v>
      </c>
      <c r="I1692" s="6">
        <v>36466.699999999997</v>
      </c>
      <c r="J1692" s="6">
        <v>8850</v>
      </c>
      <c r="K1692" s="6">
        <v>0</v>
      </c>
      <c r="L1692" s="6">
        <v>0</v>
      </c>
      <c r="M1692" s="6">
        <v>0</v>
      </c>
      <c r="N1692" s="6">
        <v>0</v>
      </c>
      <c r="O1692" s="4">
        <f>SUM(I1692:N1692)</f>
        <v>45316.7</v>
      </c>
      <c r="P1692" s="5">
        <f>SUMIFS('Desenvolvimento diário'!$H:$H,'Desenvolvimento diário'!$Q:$Q,$B1692,'Desenvolvimento diário'!$P:$P,$F1692,'Desenvolvimento diário'!$R:$R,"Sim")</f>
        <v>0</v>
      </c>
      <c r="Q1692" s="5">
        <f>SUMIFS('Desenvolvimento diário'!$H:$H,'Desenvolvimento diário'!$Q:$Q,$B1692,'Desenvolvimento diário'!$P:$P,$F1692,'Desenvolvimento diário'!$R:$R,"Não")</f>
        <v>45316.7</v>
      </c>
      <c r="R1692" s="4">
        <f>SUM(P1692:Q1692)</f>
        <v>45316.7</v>
      </c>
      <c r="S1692" s="4">
        <f>O1692-R1692</f>
        <v>0</v>
      </c>
      <c r="T1692" s="12">
        <f>IFERROR(R1692/O1692,0)</f>
        <v>1</v>
      </c>
      <c r="Y1692" s="2"/>
      <c r="Z1692" s="2"/>
      <c r="AA1692" s="2"/>
      <c r="AB1692" s="2"/>
      <c r="AC1692" s="2"/>
    </row>
    <row r="1693" spans="1:29" ht="10.5" hidden="1">
      <c r="A1693" s="2">
        <f>A1692</f>
        <v>49</v>
      </c>
      <c r="B1693" s="2" t="str">
        <f>VLOOKUP($A1693,Controle!$B$4:$F$68,2,FALSE)</f>
        <v>Formiga 6</v>
      </c>
      <c r="C1693" s="2" t="str">
        <f>VLOOKUP($A1693,Controle!$B$4:$F$68,3,FALSE)</f>
        <v>MORI MINAS V</v>
      </c>
      <c r="D1693" s="2" t="str">
        <f>VLOOKUP($A1693,Controle!$B$4:$F$68,4,FALSE)</f>
        <v>NewCo V</v>
      </c>
      <c r="E1693" s="2">
        <f>VLOOKUP($A1693,Controle!$B$4:$F$68,5,FALSE)</f>
        <v>1</v>
      </c>
      <c r="F1693" s="3" t="str">
        <f>F1658</f>
        <v>Desenvolvimento de projeto - Projetos Básica</v>
      </c>
      <c r="G1693" s="2" t="str">
        <f>VLOOKUP($A1693,Controle!$B$4:$G$68,6,FALSE)</f>
        <v>Solatio</v>
      </c>
      <c r="H1693" s="6">
        <v>0</v>
      </c>
      <c r="I1693" s="6">
        <v>0</v>
      </c>
      <c r="J1693" s="6">
        <v>0</v>
      </c>
      <c r="K1693" s="6">
        <v>0</v>
      </c>
      <c r="L1693" s="6">
        <v>0</v>
      </c>
      <c r="M1693" s="6">
        <v>0</v>
      </c>
      <c r="N1693" s="6">
        <v>0</v>
      </c>
      <c r="O1693" s="4">
        <f>SUM(I1693:N1693)</f>
        <v>0</v>
      </c>
      <c r="P1693" s="5">
        <f>SUMIFS('Desenvolvimento diário'!$H:$H,'Desenvolvimento diário'!$Q:$Q,$B1693,'Desenvolvimento diário'!$P:$P,$F1693,'Desenvolvimento diário'!$R:$R,"Sim")</f>
        <v>0</v>
      </c>
      <c r="Q1693" s="5">
        <f>SUMIFS('Desenvolvimento diário'!$H:$H,'Desenvolvimento diário'!$Q:$Q,$B1693,'Desenvolvimento diário'!$P:$P,$F1693,'Desenvolvimento diário'!$R:$R,"Não")</f>
        <v>0</v>
      </c>
      <c r="R1693" s="4">
        <f>SUM(P1693:Q1693)</f>
        <v>0</v>
      </c>
      <c r="S1693" s="4">
        <f>O1693-R1693</f>
        <v>0</v>
      </c>
      <c r="T1693" s="12">
        <f>IFERROR(R1693/O1693,0)</f>
        <v>0</v>
      </c>
      <c r="Y1693" s="2"/>
      <c r="Z1693" s="2"/>
      <c r="AA1693" s="2"/>
      <c r="AB1693" s="2"/>
      <c r="AC1693" s="2"/>
    </row>
    <row r="1694" spans="1:29" ht="10.5" hidden="1">
      <c r="A1694" s="2">
        <f>A1693</f>
        <v>49</v>
      </c>
      <c r="B1694" s="2" t="str">
        <f>VLOOKUP($A1694,Controle!$B$4:$F$68,2,FALSE)</f>
        <v>Formiga 6</v>
      </c>
      <c r="C1694" s="2" t="str">
        <f>VLOOKUP($A1694,Controle!$B$4:$F$68,3,FALSE)</f>
        <v>MORI MINAS V</v>
      </c>
      <c r="D1694" s="2" t="str">
        <f>VLOOKUP($A1694,Controle!$B$4:$F$68,4,FALSE)</f>
        <v>NewCo V</v>
      </c>
      <c r="E1694" s="2">
        <f>VLOOKUP($A1694,Controle!$B$4:$F$68,5,FALSE)</f>
        <v>1</v>
      </c>
      <c r="F1694" s="3" t="str">
        <f>F1659</f>
        <v>Desenvolvimento de projeto - Projetos Detalhada</v>
      </c>
      <c r="G1694" s="2" t="str">
        <f>VLOOKUP($A1694,Controle!$B$4:$G$68,6,FALSE)</f>
        <v>Solatio</v>
      </c>
      <c r="H1694" s="6">
        <v>0</v>
      </c>
      <c r="I1694" s="6">
        <v>0</v>
      </c>
      <c r="J1694" s="6">
        <v>0</v>
      </c>
      <c r="K1694" s="6">
        <v>0</v>
      </c>
      <c r="L1694" s="6">
        <v>0</v>
      </c>
      <c r="M1694" s="6">
        <v>0</v>
      </c>
      <c r="N1694" s="6">
        <v>0</v>
      </c>
      <c r="O1694" s="4">
        <f>SUM(I1694:N1694)</f>
        <v>0</v>
      </c>
      <c r="P1694" s="5">
        <f>SUMIFS('Desenvolvimento diário'!$H:$H,'Desenvolvimento diário'!$Q:$Q,$B1694,'Desenvolvimento diário'!$P:$P,$F1694,'Desenvolvimento diário'!$R:$R,"Sim")</f>
        <v>0</v>
      </c>
      <c r="Q1694" s="5">
        <f>SUMIFS('Desenvolvimento diário'!$H:$H,'Desenvolvimento diário'!$Q:$Q,$B1694,'Desenvolvimento diário'!$P:$P,$F1694,'Desenvolvimento diário'!$R:$R,"Não")</f>
        <v>0</v>
      </c>
      <c r="R1694" s="4">
        <f>SUM(P1694:Q1694)</f>
        <v>0</v>
      </c>
      <c r="S1694" s="4">
        <f>O1694-R1694</f>
        <v>0</v>
      </c>
      <c r="T1694" s="12">
        <f>IFERROR(R1694/O1694,0)</f>
        <v>0</v>
      </c>
      <c r="Y1694" s="2"/>
      <c r="Z1694" s="2"/>
      <c r="AA1694" s="2"/>
      <c r="AB1694" s="2"/>
      <c r="AC1694" s="2"/>
    </row>
    <row r="1695" spans="1:29" ht="10.5" hidden="1">
      <c r="A1695" s="2">
        <f>A1694</f>
        <v>49</v>
      </c>
      <c r="B1695" s="2" t="str">
        <f>VLOOKUP($A1695,Controle!$B$4:$F$68,2,FALSE)</f>
        <v>Formiga 6</v>
      </c>
      <c r="C1695" s="2" t="str">
        <f>VLOOKUP($A1695,Controle!$B$4:$F$68,3,FALSE)</f>
        <v>MORI MINAS V</v>
      </c>
      <c r="D1695" s="2" t="str">
        <f>VLOOKUP($A1695,Controle!$B$4:$F$68,4,FALSE)</f>
        <v>NewCo V</v>
      </c>
      <c r="E1695" s="2">
        <f>VLOOKUP($A1695,Controle!$B$4:$F$68,5,FALSE)</f>
        <v>1</v>
      </c>
      <c r="F1695" s="3" t="str">
        <f>F1660</f>
        <v>Desenvolvimento de projeto - Ambiental / Outros</v>
      </c>
      <c r="G1695" s="2" t="str">
        <f>VLOOKUP($A1695,Controle!$B$4:$G$68,6,FALSE)</f>
        <v>Solatio</v>
      </c>
      <c r="H1695" s="6" t="s">
        <v>148</v>
      </c>
      <c r="I1695" s="6">
        <f>R1695</f>
        <v>149637.1</v>
      </c>
      <c r="J1695" s="6">
        <v>0</v>
      </c>
      <c r="K1695" s="6">
        <v>0</v>
      </c>
      <c r="L1695" s="6">
        <v>0</v>
      </c>
      <c r="M1695" s="6">
        <v>0</v>
      </c>
      <c r="N1695" s="6">
        <v>0</v>
      </c>
      <c r="O1695" s="4">
        <f>SUM(I1695:N1695)</f>
        <v>149637.1</v>
      </c>
      <c r="P1695" s="5">
        <f>SUMIFS('Desenvolvimento diário'!$H:$H,'Desenvolvimento diário'!$Q:$Q,$B1695,'Desenvolvimento diário'!$P:$P,$F1695,'Desenvolvimento diário'!$R:$R,"Sim")</f>
        <v>0</v>
      </c>
      <c r="Q1695" s="5">
        <f>SUMIFS('Desenvolvimento diário'!$H:$H,'Desenvolvimento diário'!$Q:$Q,$B1695,'Desenvolvimento diário'!$P:$P,$F1695,'Desenvolvimento diário'!$R:$R,"Não")</f>
        <v>149637.1</v>
      </c>
      <c r="R1695" s="4">
        <f>SUM(P1695:Q1695)</f>
        <v>149637.1</v>
      </c>
      <c r="S1695" s="4">
        <f>O1695-R1695</f>
        <v>0</v>
      </c>
      <c r="T1695" s="12">
        <f>IFERROR(R1695/O1695,0)</f>
        <v>1</v>
      </c>
      <c r="Y1695" s="2"/>
      <c r="Z1695" s="2"/>
      <c r="AA1695" s="2"/>
      <c r="AB1695" s="2"/>
      <c r="AC1695" s="2"/>
    </row>
    <row r="1696" spans="1:29" hidden="1">
      <c r="A1696" s="2">
        <f>A1695</f>
        <v>49</v>
      </c>
      <c r="B1696" s="2" t="str">
        <f>VLOOKUP($A1696,Controle!$B$4:$F$68,2,FALSE)</f>
        <v>Formiga 6</v>
      </c>
      <c r="C1696" s="2" t="str">
        <f>VLOOKUP($A1696,Controle!$B$4:$F$68,3,FALSE)</f>
        <v>MORI MINAS V</v>
      </c>
      <c r="D1696" s="2" t="str">
        <f>VLOOKUP($A1696,Controle!$B$4:$F$68,4,FALSE)</f>
        <v>NewCo V</v>
      </c>
      <c r="E1696" s="2">
        <f>VLOOKUP($A1696,Controle!$B$4:$F$68,5,FALSE)</f>
        <v>1</v>
      </c>
      <c r="F1696" s="3" t="str">
        <f>F1661</f>
        <v>Desenvolvimento de projeto - Coordenograma</v>
      </c>
      <c r="G1696" s="2" t="str">
        <f>VLOOKUP($A1696,Controle!$B$4:$G$68,6,FALSE)</f>
        <v>Solatio</v>
      </c>
      <c r="H1696" s="31" t="s">
        <v>149</v>
      </c>
      <c r="I1696" s="31">
        <v>6206.9</v>
      </c>
      <c r="J1696" s="31">
        <v>0</v>
      </c>
      <c r="K1696" s="31">
        <v>0</v>
      </c>
      <c r="L1696" s="6">
        <v>0</v>
      </c>
      <c r="M1696" s="6">
        <v>0</v>
      </c>
      <c r="N1696" s="6">
        <v>0</v>
      </c>
      <c r="O1696" s="4">
        <f>SUM(I1696:N1696)</f>
        <v>6206.9</v>
      </c>
      <c r="P1696" s="5">
        <f>SUMIFS('Desenvolvimento diário'!$H:$H,'Desenvolvimento diário'!$Q:$Q,$B1696,'Desenvolvimento diário'!$P:$P,$F1696,'Desenvolvimento diário'!$R:$R,"Sim")</f>
        <v>0</v>
      </c>
      <c r="Q1696" s="5">
        <f>SUMIFS('Desenvolvimento diário'!$H:$H,'Desenvolvimento diário'!$Q:$Q,$B1696,'Desenvolvimento diário'!$P:$P,$F1696,'Desenvolvimento diário'!$R:$R,"Não")</f>
        <v>6206.9</v>
      </c>
      <c r="R1696" s="4">
        <f>SUM(P1696:Q1696)</f>
        <v>6206.9</v>
      </c>
      <c r="S1696" s="4">
        <f>O1696-R1696</f>
        <v>0</v>
      </c>
      <c r="T1696" s="12">
        <f>IFERROR(R1696/O1696,0)</f>
        <v>1</v>
      </c>
      <c r="Y1696" s="2"/>
      <c r="Z1696" s="2"/>
      <c r="AA1696" s="2"/>
      <c r="AB1696" s="2"/>
      <c r="AC1696" s="2"/>
    </row>
    <row r="1697" spans="1:29" ht="10.5" hidden="1">
      <c r="A1697" s="2">
        <f>A1696</f>
        <v>49</v>
      </c>
      <c r="B1697" s="2" t="str">
        <f>VLOOKUP($A1697,Controle!$B$4:$F$68,2,FALSE)</f>
        <v>Formiga 6</v>
      </c>
      <c r="C1697" s="2" t="str">
        <f>VLOOKUP($A1697,Controle!$B$4:$F$68,3,FALSE)</f>
        <v>MORI MINAS V</v>
      </c>
      <c r="D1697" s="2" t="str">
        <f>VLOOKUP($A1697,Controle!$B$4:$F$68,4,FALSE)</f>
        <v>NewCo V</v>
      </c>
      <c r="E1697" s="2">
        <f>VLOOKUP($A1697,Controle!$B$4:$F$68,5,FALSE)</f>
        <v>1</v>
      </c>
      <c r="F1697" s="3" t="str">
        <f>F1662</f>
        <v>Sistemas de Monitoramento - Supervisório</v>
      </c>
      <c r="G1697" s="2" t="str">
        <f>VLOOKUP($A1697,Controle!$B$4:$G$68,6,FALSE)</f>
        <v>Solatio</v>
      </c>
      <c r="H1697" s="6" t="s">
        <v>150</v>
      </c>
      <c r="I1697" s="6">
        <v>136155</v>
      </c>
      <c r="J1697" s="6"/>
      <c r="K1697" s="6">
        <v>0</v>
      </c>
      <c r="L1697" s="6">
        <v>0</v>
      </c>
      <c r="M1697" s="6">
        <v>0</v>
      </c>
      <c r="N1697" s="6">
        <v>0</v>
      </c>
      <c r="O1697" s="4">
        <f>SUM(I1697:N1697)</f>
        <v>136155</v>
      </c>
      <c r="P1697" s="5">
        <f>SUMIFS('Desenvolvimento diário'!$H:$H,'Desenvolvimento diário'!$Q:$Q,$B1697,'Desenvolvimento diário'!$P:$P,$F1697,'Desenvolvimento diário'!$R:$R,"Sim")</f>
        <v>5821.02</v>
      </c>
      <c r="Q1697" s="5">
        <f>SUMIFS('Desenvolvimento diário'!$H:$H,'Desenvolvimento diário'!$Q:$Q,$B1697,'Desenvolvimento diário'!$P:$P,$F1697,'Desenvolvimento diário'!$R:$R,"Não")</f>
        <v>108525.97000000002</v>
      </c>
      <c r="R1697" s="4">
        <f>SUM(P1697:Q1697)</f>
        <v>114346.99000000002</v>
      </c>
      <c r="S1697" s="1022">
        <f>O1697-R1697</f>
        <v>21808.00999999998</v>
      </c>
      <c r="T1697" s="12">
        <f>IFERROR(R1697/O1697,0)</f>
        <v>0.83982953251808612</v>
      </c>
      <c r="U1697" s="1023" t="s">
        <v>166</v>
      </c>
      <c r="V1697" s="1023" t="s">
        <v>229</v>
      </c>
      <c r="Y1697" s="2"/>
      <c r="Z1697" s="2"/>
      <c r="AA1697" s="2"/>
      <c r="AB1697" s="2"/>
      <c r="AC1697" s="2"/>
    </row>
    <row r="1698" spans="1:29" ht="10.5" hidden="1">
      <c r="A1698" s="2">
        <f>A1697</f>
        <v>49</v>
      </c>
      <c r="B1698" s="2" t="str">
        <f>VLOOKUP($A1698,Controle!$B$4:$F$68,2,FALSE)</f>
        <v>Formiga 6</v>
      </c>
      <c r="C1698" s="2" t="str">
        <f>VLOOKUP($A1698,Controle!$B$4:$F$68,3,FALSE)</f>
        <v>MORI MINAS V</v>
      </c>
      <c r="D1698" s="2" t="str">
        <f>VLOOKUP($A1698,Controle!$B$4:$F$68,4,FALSE)</f>
        <v>NewCo V</v>
      </c>
      <c r="E1698" s="2">
        <f>VLOOKUP($A1698,Controle!$B$4:$F$68,5,FALSE)</f>
        <v>1</v>
      </c>
      <c r="F1698" s="3" t="str">
        <f>F1663</f>
        <v>Sistemas de Monitoramento - Estações Solarimétricas</v>
      </c>
      <c r="G1698" s="2" t="str">
        <f>VLOOKUP($A1698,Controle!$B$4:$G$68,6,FALSE)</f>
        <v>Solatio</v>
      </c>
      <c r="H1698" s="6" t="s">
        <v>151</v>
      </c>
      <c r="I1698" s="6">
        <v>48276.516000000003</v>
      </c>
      <c r="J1698" s="6">
        <v>0</v>
      </c>
      <c r="K1698" s="6">
        <v>0</v>
      </c>
      <c r="L1698" s="6">
        <v>0</v>
      </c>
      <c r="M1698" s="6">
        <v>0</v>
      </c>
      <c r="N1698" s="6">
        <v>0</v>
      </c>
      <c r="O1698" s="4">
        <f>SUM(I1698:N1698)</f>
        <v>48276.516000000003</v>
      </c>
      <c r="P1698" s="5">
        <f>SUMIFS('Desenvolvimento diário'!$H:$H,'Desenvolvimento diário'!$Q:$Q,$B1698,'Desenvolvimento diário'!$P:$P,$F1698,'Desenvolvimento diário'!$R:$R,"Sim")</f>
        <v>0</v>
      </c>
      <c r="Q1698" s="5">
        <f>SUMIFS('Desenvolvimento diário'!$H:$H,'Desenvolvimento diário'!$Q:$Q,$B1698,'Desenvolvimento diário'!$P:$P,$F1698,'Desenvolvimento diário'!$R:$R,"Não")</f>
        <v>48276.516000000003</v>
      </c>
      <c r="R1698" s="4">
        <f>SUM(P1698:Q1698)</f>
        <v>48276.516000000003</v>
      </c>
      <c r="S1698" s="4">
        <f>O1698-R1698</f>
        <v>0</v>
      </c>
      <c r="T1698" s="12">
        <f>IFERROR(R1698/O1698,0)</f>
        <v>1</v>
      </c>
      <c r="Y1698" s="2"/>
      <c r="Z1698" s="2"/>
      <c r="AA1698" s="2"/>
      <c r="AB1698" s="2"/>
      <c r="AC1698" s="2"/>
    </row>
    <row r="1699" spans="1:29" hidden="1">
      <c r="A1699" s="2">
        <f>A1698</f>
        <v>49</v>
      </c>
      <c r="B1699" s="2" t="str">
        <f>VLOOKUP($A1699,Controle!$B$4:$F$68,2,FALSE)</f>
        <v>Formiga 6</v>
      </c>
      <c r="C1699" s="2" t="str">
        <f>VLOOKUP($A1699,Controle!$B$4:$F$68,3,FALSE)</f>
        <v>MORI MINAS V</v>
      </c>
      <c r="D1699" s="2" t="str">
        <f>VLOOKUP($A1699,Controle!$B$4:$F$68,4,FALSE)</f>
        <v>NewCo V</v>
      </c>
      <c r="E1699" s="2">
        <f>VLOOKUP($A1699,Controle!$B$4:$F$68,5,FALSE)</f>
        <v>1</v>
      </c>
      <c r="F1699" s="3" t="str">
        <f>F1664</f>
        <v>Sistemas de Monitoramento - CFTV</v>
      </c>
      <c r="G1699" s="2" t="str">
        <f>VLOOKUP($A1699,Controle!$B$4:$G$68,6,FALSE)</f>
        <v>Solatio</v>
      </c>
      <c r="H1699" s="31" t="s">
        <v>152</v>
      </c>
      <c r="I1699" s="6">
        <v>299059.65000000002</v>
      </c>
      <c r="J1699" s="6">
        <v>0</v>
      </c>
      <c r="K1699" s="28">
        <v>6003.68</v>
      </c>
      <c r="L1699" s="6">
        <v>0</v>
      </c>
      <c r="M1699" s="6">
        <v>0</v>
      </c>
      <c r="N1699" s="6">
        <v>0</v>
      </c>
      <c r="O1699" s="4">
        <f>SUM(I1699:N1699)</f>
        <v>305063.33</v>
      </c>
      <c r="P1699" s="5">
        <f>SUMIFS('Desenvolvimento diário'!$H:$H,'Desenvolvimento diário'!$Q:$Q,$B1699,'Desenvolvimento diário'!$P:$P,$F1699,'Desenvolvimento diário'!$R:$R,"Sim")</f>
        <v>3344.74</v>
      </c>
      <c r="Q1699" s="5">
        <f>SUMIFS('Desenvolvimento diário'!$H:$H,'Desenvolvimento diário'!$Q:$Q,$B1699,'Desenvolvimento diário'!$P:$P,$F1699,'Desenvolvimento diário'!$R:$R,"Não")</f>
        <v>301718.59000000003</v>
      </c>
      <c r="R1699" s="4">
        <f>SUM(P1699:Q1699)</f>
        <v>305063.33</v>
      </c>
      <c r="S1699" s="4">
        <f>O1699-R1699</f>
        <v>0</v>
      </c>
      <c r="T1699" s="12">
        <f>IFERROR(R1699/O1699,0)</f>
        <v>1</v>
      </c>
      <c r="Y1699" s="2"/>
      <c r="Z1699" s="2"/>
      <c r="AA1699" s="2"/>
      <c r="AB1699" s="2"/>
      <c r="AC1699" s="2"/>
    </row>
    <row r="1700" spans="1:29" ht="10.5" hidden="1">
      <c r="A1700" s="2">
        <f>A1699</f>
        <v>49</v>
      </c>
      <c r="B1700" s="2" t="str">
        <f>VLOOKUP($A1700,Controle!$B$4:$F$68,2,FALSE)</f>
        <v>Formiga 6</v>
      </c>
      <c r="C1700" s="2" t="str">
        <f>VLOOKUP($A1700,Controle!$B$4:$F$68,3,FALSE)</f>
        <v>MORI MINAS V</v>
      </c>
      <c r="D1700" s="2" t="str">
        <f>VLOOKUP($A1700,Controle!$B$4:$F$68,4,FALSE)</f>
        <v>NewCo V</v>
      </c>
      <c r="E1700" s="2">
        <f>VLOOKUP($A1700,Controle!$B$4:$F$68,5,FALSE)</f>
        <v>1</v>
      </c>
      <c r="F1700" s="3" t="str">
        <f>F1665</f>
        <v>Serviços Auxiliares - Drenagem</v>
      </c>
      <c r="G1700" s="2" t="str">
        <f>VLOOKUP($A1700,Controle!$B$4:$G$68,6,FALSE)</f>
        <v>Solatio</v>
      </c>
      <c r="H1700" s="6" t="s">
        <v>208</v>
      </c>
      <c r="I1700" s="6">
        <v>1071581.3999999999</v>
      </c>
      <c r="J1700" s="6">
        <v>21200</v>
      </c>
      <c r="K1700" s="6">
        <v>0</v>
      </c>
      <c r="L1700" s="6">
        <v>0</v>
      </c>
      <c r="M1700" s="6">
        <v>0</v>
      </c>
      <c r="N1700" s="6">
        <v>0</v>
      </c>
      <c r="O1700" s="4">
        <f>SUM(I1700:N1700)</f>
        <v>1092781.3999999999</v>
      </c>
      <c r="P1700" s="5">
        <f>SUMIFS('Desenvolvimento diário'!$H:$H,'Desenvolvimento diário'!$Q:$Q,$B1700,'Desenvolvimento diário'!$P:$P,$F1700,'Desenvolvimento diário'!$R:$R,"Sim")</f>
        <v>0</v>
      </c>
      <c r="Q1700" s="5">
        <f>SUMIFS('Desenvolvimento diário'!$H:$H,'Desenvolvimento diário'!$Q:$Q,$B1700,'Desenvolvimento diário'!$P:$P,$F1700,'Desenvolvimento diário'!$R:$R,"Não")</f>
        <v>1092781.3999999999</v>
      </c>
      <c r="R1700" s="4">
        <f>SUM(P1700:Q1700)</f>
        <v>1092781.3999999999</v>
      </c>
      <c r="S1700" s="4">
        <f>O1700-R1700</f>
        <v>0</v>
      </c>
      <c r="T1700" s="12">
        <f>IFERROR(R1700/O1700,0)</f>
        <v>1</v>
      </c>
      <c r="U1700" s="34"/>
      <c r="Y1700" s="2"/>
      <c r="Z1700" s="2"/>
      <c r="AA1700" s="2"/>
      <c r="AB1700" s="2"/>
      <c r="AC1700" s="2"/>
    </row>
    <row r="1701" spans="1:29" ht="10.5" hidden="1">
      <c r="A1701" s="2">
        <f>A1700</f>
        <v>49</v>
      </c>
      <c r="B1701" s="2" t="str">
        <f>VLOOKUP($A1701,Controle!$B$4:$F$68,2,FALSE)</f>
        <v>Formiga 6</v>
      </c>
      <c r="C1701" s="2" t="str">
        <f>VLOOKUP($A1701,Controle!$B$4:$F$68,3,FALSE)</f>
        <v>MORI MINAS V</v>
      </c>
      <c r="D1701" s="2" t="str">
        <f>VLOOKUP($A1701,Controle!$B$4:$F$68,4,FALSE)</f>
        <v>NewCo V</v>
      </c>
      <c r="E1701" s="2">
        <f>VLOOKUP($A1701,Controle!$B$4:$F$68,5,FALSE)</f>
        <v>1</v>
      </c>
      <c r="F1701" s="30" t="str">
        <f>F1666</f>
        <v>Serviços Auxiliares - Terraplanagem</v>
      </c>
      <c r="G1701" s="2" t="str">
        <f>VLOOKUP($A1701,Controle!$B$4:$G$68,6,FALSE)</f>
        <v>Solatio</v>
      </c>
      <c r="H1701" s="6" t="s">
        <v>230</v>
      </c>
      <c r="I1701" s="6">
        <f>305000+432447.22</f>
        <v>737447.22</v>
      </c>
      <c r="J1701" s="6">
        <v>95319.33</v>
      </c>
      <c r="K1701" s="6">
        <v>0</v>
      </c>
      <c r="L1701" s="6">
        <v>0</v>
      </c>
      <c r="M1701" s="6">
        <v>0</v>
      </c>
      <c r="N1701" s="6">
        <v>0</v>
      </c>
      <c r="O1701" s="4">
        <f>SUM(I1701:N1701)</f>
        <v>832766.54999999993</v>
      </c>
      <c r="P1701" s="5">
        <f>SUMIFS('Desenvolvimento diário'!$H:$H,'Desenvolvimento diário'!$Q:$Q,$B1701,'Desenvolvimento diário'!$P:$P,$F1701,'Desenvolvimento diário'!$R:$R,"Sim")</f>
        <v>0</v>
      </c>
      <c r="Q1701" s="5">
        <f>SUMIFS('Desenvolvimento diário'!$H:$H,'Desenvolvimento diário'!$Q:$Q,$B1701,'Desenvolvimento diário'!$P:$P,$F1701,'Desenvolvimento diário'!$R:$R,"Não")</f>
        <v>832766.54999999993</v>
      </c>
      <c r="R1701" s="4">
        <f>SUM(P1701:Q1701)</f>
        <v>832766.54999999993</v>
      </c>
      <c r="S1701" s="27">
        <f>O1701-R1701</f>
        <v>0</v>
      </c>
      <c r="T1701" s="12">
        <f>IFERROR(R1701/O1701,0)</f>
        <v>1</v>
      </c>
      <c r="U1701" s="34"/>
      <c r="Y1701" s="2"/>
      <c r="Z1701" s="2"/>
      <c r="AA1701" s="2"/>
      <c r="AB1701" s="2"/>
      <c r="AC1701" s="2"/>
    </row>
    <row r="1702" spans="1:29" hidden="1">
      <c r="A1702" s="2">
        <f>A1701</f>
        <v>49</v>
      </c>
      <c r="B1702" s="2" t="str">
        <f>VLOOKUP($A1702,Controle!$B$4:$F$68,2,FALSE)</f>
        <v>Formiga 6</v>
      </c>
      <c r="C1702" s="2" t="str">
        <f>VLOOKUP($A1702,Controle!$B$4:$F$68,3,FALSE)</f>
        <v>MORI MINAS V</v>
      </c>
      <c r="D1702" s="2" t="str">
        <f>VLOOKUP($A1702,Controle!$B$4:$F$68,4,FALSE)</f>
        <v>NewCo V</v>
      </c>
      <c r="E1702" s="2">
        <f>VLOOKUP($A1702,Controle!$B$4:$F$68,5,FALSE)</f>
        <v>1</v>
      </c>
      <c r="F1702" s="3" t="str">
        <f>F1667</f>
        <v>Serviços Auxiliares - Supressão Vegetal</v>
      </c>
      <c r="G1702" s="2" t="str">
        <f>VLOOKUP($A1702,Controle!$B$4:$G$68,6,FALSE)</f>
        <v>Solatio</v>
      </c>
      <c r="H1702" s="854" t="s">
        <v>231</v>
      </c>
      <c r="I1702" s="6">
        <v>18550</v>
      </c>
      <c r="J1702" s="6">
        <v>131351.9</v>
      </c>
      <c r="K1702" s="6">
        <v>18000</v>
      </c>
      <c r="L1702" s="854">
        <v>90000</v>
      </c>
      <c r="M1702" s="6">
        <v>0</v>
      </c>
      <c r="N1702" s="6">
        <v>0</v>
      </c>
      <c r="O1702" s="4">
        <f>SUM(I1702:N1702)</f>
        <v>257901.9</v>
      </c>
      <c r="P1702" s="5">
        <f>SUMIFS('Desenvolvimento diário'!$H:$H,'Desenvolvimento diário'!$Q:$Q,$B1702,'Desenvolvimento diário'!$P:$P,$F1702,'Desenvolvimento diário'!$R:$R,"Sim")</f>
        <v>0</v>
      </c>
      <c r="Q1702" s="5">
        <f>SUMIFS('Desenvolvimento diário'!$H:$H,'Desenvolvimento diário'!$Q:$Q,$B1702,'Desenvolvimento diário'!$P:$P,$F1702,'Desenvolvimento diário'!$R:$R,"Não")</f>
        <v>257901.90000000002</v>
      </c>
      <c r="R1702" s="4">
        <f>SUM(P1702:Q1702)</f>
        <v>257901.90000000002</v>
      </c>
      <c r="S1702" s="27">
        <f>O1702-R1702</f>
        <v>0</v>
      </c>
      <c r="T1702" s="12">
        <f>IFERROR(R1702/O1702,0)</f>
        <v>1.0000000000000002</v>
      </c>
      <c r="U1702" s="34"/>
      <c r="Y1702" s="2"/>
      <c r="Z1702" s="2"/>
      <c r="AA1702" s="2"/>
      <c r="AB1702" s="2"/>
      <c r="AC1702" s="2"/>
    </row>
    <row r="1703" spans="1:29" ht="10.5" hidden="1">
      <c r="A1703" s="2">
        <f>A1702</f>
        <v>49</v>
      </c>
      <c r="B1703" s="2" t="str">
        <f>VLOOKUP($A1703,Controle!$B$4:$F$68,2,FALSE)</f>
        <v>Formiga 6</v>
      </c>
      <c r="C1703" s="2" t="str">
        <f>VLOOKUP($A1703,Controle!$B$4:$F$68,3,FALSE)</f>
        <v>MORI MINAS V</v>
      </c>
      <c r="D1703" s="2" t="str">
        <f>VLOOKUP($A1703,Controle!$B$4:$F$68,4,FALSE)</f>
        <v>NewCo V</v>
      </c>
      <c r="E1703" s="2">
        <f>VLOOKUP($A1703,Controle!$B$4:$F$68,5,FALSE)</f>
        <v>1</v>
      </c>
      <c r="F1703" s="3" t="str">
        <f>F1668</f>
        <v>RDR-Rede de Distribuição Rural</v>
      </c>
      <c r="G1703" s="2" t="str">
        <f>VLOOKUP($A1703,Controle!$B$4:$G$68,6,FALSE)</f>
        <v>Solatio</v>
      </c>
      <c r="H1703" s="6">
        <v>0</v>
      </c>
      <c r="I1703" s="6">
        <v>0</v>
      </c>
      <c r="J1703" s="6">
        <v>0</v>
      </c>
      <c r="K1703" s="6">
        <v>0</v>
      </c>
      <c r="L1703" s="6">
        <v>0</v>
      </c>
      <c r="M1703" s="6">
        <v>0</v>
      </c>
      <c r="N1703" s="6">
        <v>0</v>
      </c>
      <c r="O1703" s="4">
        <f>SUM(I1703:N1703)</f>
        <v>0</v>
      </c>
      <c r="P1703" s="5">
        <f>SUMIFS('Desenvolvimento diário'!$H:$H,'Desenvolvimento diário'!$Q:$Q,$B1703,'Desenvolvimento diário'!$P:$P,$F1703,'Desenvolvimento diário'!$R:$R,"Sim")</f>
        <v>0</v>
      </c>
      <c r="Q1703" s="5">
        <f>SUMIFS('Desenvolvimento diário'!$H:$H,'Desenvolvimento diário'!$Q:$Q,$B1703,'Desenvolvimento diário'!$P:$P,$F1703,'Desenvolvimento diário'!$R:$R,"Não")</f>
        <v>0</v>
      </c>
      <c r="R1703" s="4">
        <f>SUM(P1703:Q1703)</f>
        <v>0</v>
      </c>
      <c r="S1703" s="4">
        <f>O1703-R1703</f>
        <v>0</v>
      </c>
      <c r="T1703" s="12">
        <f>IFERROR(R1703/O1703,0)</f>
        <v>0</v>
      </c>
      <c r="Y1703" s="2"/>
      <c r="Z1703" s="2"/>
      <c r="AA1703" s="2"/>
      <c r="AB1703" s="2"/>
      <c r="AC1703" s="2"/>
    </row>
    <row r="1704" spans="1:29" hidden="1">
      <c r="A1704" s="2">
        <f>A1703</f>
        <v>49</v>
      </c>
      <c r="B1704" s="2" t="str">
        <f>VLOOKUP($A1704,Controle!$B$4:$F$68,2,FALSE)</f>
        <v>Formiga 6</v>
      </c>
      <c r="C1704" s="2" t="str">
        <f>VLOOKUP($A1704,Controle!$B$4:$F$68,3,FALSE)</f>
        <v>MORI MINAS V</v>
      </c>
      <c r="D1704" s="2" t="str">
        <f>VLOOKUP($A1704,Controle!$B$4:$F$68,4,FALSE)</f>
        <v>NewCo V</v>
      </c>
      <c r="E1704" s="2">
        <f>VLOOKUP($A1704,Controle!$B$4:$F$68,5,FALSE)</f>
        <v>1</v>
      </c>
      <c r="F1704" s="3" t="str">
        <f>F1669</f>
        <v>Escopo COMERC</v>
      </c>
      <c r="G1704" s="2" t="str">
        <f>VLOOKUP($A1704,Controle!$B$4:$G$68,6,FALSE)</f>
        <v>Solatio</v>
      </c>
      <c r="H1704" s="6">
        <v>0</v>
      </c>
      <c r="I1704" s="6">
        <v>678132.37999999977</v>
      </c>
      <c r="J1704" s="29">
        <v>215500</v>
      </c>
      <c r="K1704" s="29"/>
      <c r="L1704" s="6">
        <v>0</v>
      </c>
      <c r="M1704" s="6">
        <v>0</v>
      </c>
      <c r="N1704" s="6">
        <v>0</v>
      </c>
      <c r="O1704" s="4">
        <f>SUM(I1704:N1704)</f>
        <v>893632.37999999977</v>
      </c>
      <c r="P1704" s="5">
        <f>SUMIFS('Desenvolvimento diário'!$H:$H,'Desenvolvimento diário'!$Q:$Q,$B1704,'Desenvolvimento diário'!$P:$P,$F1704,'Desenvolvimento diário'!$R:$R,"Sim")</f>
        <v>0</v>
      </c>
      <c r="Q1704" s="5">
        <f>SUMIFS('Desenvolvimento diário'!$H:$H,'Desenvolvimento diário'!$Q:$Q,$B1704,'Desenvolvimento diário'!$P:$P,$F1704,'Desenvolvimento diário'!$R:$R,"Não")</f>
        <v>688866.01999999979</v>
      </c>
      <c r="R1704" s="4">
        <f>SUM(P1704:Q1704)</f>
        <v>688866.01999999979</v>
      </c>
      <c r="S1704" s="1010">
        <f>O1704-R1704</f>
        <v>204766.36</v>
      </c>
      <c r="T1704" s="12">
        <f>IFERROR(R1704/O1704,0)</f>
        <v>0.77086063063202781</v>
      </c>
      <c r="U1704" s="1011" t="s">
        <v>166</v>
      </c>
      <c r="V1704" s="1011" t="s">
        <v>167</v>
      </c>
      <c r="Y1704" s="2"/>
      <c r="Z1704" s="2"/>
      <c r="AA1704" s="2"/>
      <c r="AB1704" s="2"/>
      <c r="AC1704" s="2"/>
    </row>
    <row r="1705" spans="1:29" ht="10.5" hidden="1">
      <c r="A1705" s="2">
        <f>A1704</f>
        <v>49</v>
      </c>
      <c r="B1705" s="2" t="str">
        <f>VLOOKUP($A1705,Controle!$B$4:$F$68,2,FALSE)</f>
        <v>Formiga 6</v>
      </c>
      <c r="C1705" s="2" t="str">
        <f>VLOOKUP($A1705,Controle!$B$4:$F$68,3,FALSE)</f>
        <v>MORI MINAS V</v>
      </c>
      <c r="D1705" s="2" t="str">
        <f>VLOOKUP($A1705,Controle!$B$4:$F$68,4,FALSE)</f>
        <v>NewCo V</v>
      </c>
      <c r="E1705" s="2">
        <f>VLOOKUP($A1705,Controle!$B$4:$F$68,5,FALSE)</f>
        <v>1</v>
      </c>
      <c r="F1705" s="3" t="str">
        <f>F1670</f>
        <v>Escopo COMERC - Segurança</v>
      </c>
      <c r="G1705" s="2" t="str">
        <f>VLOOKUP($A1705,Controle!$B$4:$G$68,6,FALSE)</f>
        <v>Solatio</v>
      </c>
      <c r="H1705" s="6">
        <v>0</v>
      </c>
      <c r="I1705" s="6">
        <f>R1705</f>
        <v>560606.01000000013</v>
      </c>
      <c r="J1705" s="6">
        <v>0</v>
      </c>
      <c r="K1705" s="6">
        <v>0</v>
      </c>
      <c r="L1705" s="6">
        <v>0</v>
      </c>
      <c r="M1705" s="6">
        <v>0</v>
      </c>
      <c r="N1705" s="6">
        <v>0</v>
      </c>
      <c r="O1705" s="4">
        <f>SUM(I1705:N1705)</f>
        <v>560606.01000000013</v>
      </c>
      <c r="P1705" s="5">
        <f>SUMIFS('Desenvolvimento diário'!$H:$H,'Desenvolvimento diário'!$Q:$Q,$B1705,'Desenvolvimento diário'!$P:$P,$F1705,'Desenvolvimento diário'!$R:$R,"Sim")</f>
        <v>0</v>
      </c>
      <c r="Q1705" s="5">
        <f>SUMIFS('Desenvolvimento diário'!$H:$H,'Desenvolvimento diário'!$Q:$Q,$B1705,'Desenvolvimento diário'!$P:$P,$F1705,'Desenvolvimento diário'!$R:$R,"Não")</f>
        <v>560606.01000000013</v>
      </c>
      <c r="R1705" s="4">
        <f>SUM(P1705:Q1705)</f>
        <v>560606.01000000013</v>
      </c>
      <c r="S1705" s="4">
        <f>O1705-R1705</f>
        <v>0</v>
      </c>
      <c r="T1705" s="12">
        <f>IFERROR(R1705/O1705,0)</f>
        <v>1</v>
      </c>
      <c r="Y1705" s="2"/>
      <c r="Z1705" s="2"/>
      <c r="AA1705" s="2"/>
      <c r="AB1705" s="2"/>
      <c r="AC1705" s="2"/>
    </row>
    <row r="1706" spans="1:29" ht="10.5" hidden="1">
      <c r="A1706" s="2">
        <f>A1705</f>
        <v>49</v>
      </c>
      <c r="B1706" s="2" t="str">
        <f>VLOOKUP($A1706,Controle!$B$4:$F$68,2,FALSE)</f>
        <v>Formiga 6</v>
      </c>
      <c r="C1706" s="2" t="str">
        <f>VLOOKUP($A1706,Controle!$B$4:$F$68,3,FALSE)</f>
        <v>MORI MINAS V</v>
      </c>
      <c r="D1706" s="2" t="str">
        <f>VLOOKUP($A1706,Controle!$B$4:$F$68,4,FALSE)</f>
        <v>NewCo V</v>
      </c>
      <c r="E1706" s="2">
        <f>VLOOKUP($A1706,Controle!$B$4:$F$68,5,FALSE)</f>
        <v>1</v>
      </c>
      <c r="F1706" s="3" t="str">
        <f>F1671</f>
        <v>Conexão MT - Obras Transferencia</v>
      </c>
      <c r="G1706" s="2" t="str">
        <f>VLOOKUP($A1706,Controle!$B$4:$G$68,6,FALSE)</f>
        <v>Solatio</v>
      </c>
      <c r="H1706" s="6">
        <v>0</v>
      </c>
      <c r="I1706" s="6">
        <v>0</v>
      </c>
      <c r="J1706" s="6">
        <v>0</v>
      </c>
      <c r="K1706" s="6">
        <v>0</v>
      </c>
      <c r="L1706" s="6">
        <v>0</v>
      </c>
      <c r="M1706" s="6">
        <v>0</v>
      </c>
      <c r="N1706" s="6">
        <v>0</v>
      </c>
      <c r="O1706" s="4">
        <f>SUM(I1706:N1706)</f>
        <v>0</v>
      </c>
      <c r="P1706" s="5">
        <f>SUMIFS('Desenvolvimento diário'!$H:$H,'Desenvolvimento diário'!$Q:$Q,$B1706,'Desenvolvimento diário'!$P:$P,$F1706,'Desenvolvimento diário'!$R:$R,"Sim")</f>
        <v>0</v>
      </c>
      <c r="Q1706" s="5">
        <f>SUMIFS('Desenvolvimento diário'!$H:$H,'Desenvolvimento diário'!$Q:$Q,$B1706,'Desenvolvimento diário'!$P:$P,$F1706,'Desenvolvimento diário'!$R:$R,"Não")</f>
        <v>0</v>
      </c>
      <c r="R1706" s="4">
        <f>SUM(P1706:Q1706)</f>
        <v>0</v>
      </c>
      <c r="S1706" s="4">
        <f>O1706-R1706</f>
        <v>0</v>
      </c>
      <c r="T1706" s="12">
        <f>IFERROR(R1706/O1706,0)</f>
        <v>0</v>
      </c>
      <c r="Y1706" s="2"/>
      <c r="Z1706" s="2"/>
      <c r="AA1706" s="2"/>
      <c r="AB1706" s="2"/>
      <c r="AC1706" s="2"/>
    </row>
    <row r="1707" spans="1:29" ht="10.5" hidden="1">
      <c r="A1707" s="2">
        <f>A1706</f>
        <v>49</v>
      </c>
      <c r="B1707" s="2" t="str">
        <f>VLOOKUP($A1707,Controle!$B$4:$F$68,2,FALSE)</f>
        <v>Formiga 6</v>
      </c>
      <c r="C1707" s="2" t="str">
        <f>VLOOKUP($A1707,Controle!$B$4:$F$68,3,FALSE)</f>
        <v>MORI MINAS V</v>
      </c>
      <c r="D1707" s="2" t="str">
        <f>VLOOKUP($A1707,Controle!$B$4:$F$68,4,FALSE)</f>
        <v>NewCo V</v>
      </c>
      <c r="E1707" s="2">
        <f>VLOOKUP($A1707,Controle!$B$4:$F$68,5,FALSE)</f>
        <v>1</v>
      </c>
      <c r="F1707" s="3" t="str">
        <f>F1672</f>
        <v>Bases de Contaniers</v>
      </c>
      <c r="G1707" s="2" t="str">
        <f>VLOOKUP($A1707,Controle!$B$4:$G$68,6,FALSE)</f>
        <v>Solatio</v>
      </c>
      <c r="H1707" s="6"/>
      <c r="I1707" s="6">
        <v>0</v>
      </c>
      <c r="J1707" s="6">
        <v>0</v>
      </c>
      <c r="K1707" s="6">
        <v>0</v>
      </c>
      <c r="L1707" s="6">
        <v>0</v>
      </c>
      <c r="M1707" s="6">
        <v>0</v>
      </c>
      <c r="N1707" s="6">
        <v>0</v>
      </c>
      <c r="O1707" s="4">
        <f>SUM(I1707:N1707)</f>
        <v>0</v>
      </c>
      <c r="P1707" s="5">
        <f>SUMIFS('Desenvolvimento diário'!$H:$H,'Desenvolvimento diário'!$Q:$Q,$B1707,'Desenvolvimento diário'!$P:$P,$F1707,'Desenvolvimento diário'!$R:$R,"Sim")</f>
        <v>0</v>
      </c>
      <c r="Q1707" s="5">
        <f>SUMIFS('Desenvolvimento diário'!$H:$H,'Desenvolvimento diário'!$Q:$Q,$B1707,'Desenvolvimento diário'!$P:$P,$F1707,'Desenvolvimento diário'!$R:$R,"Não")</f>
        <v>0</v>
      </c>
      <c r="R1707" s="4">
        <f>SUM(P1707:Q1707)</f>
        <v>0</v>
      </c>
      <c r="S1707" s="4">
        <f>O1707-R1707</f>
        <v>0</v>
      </c>
      <c r="T1707" s="12">
        <f>IFERROR(R1707/O1707,0)</f>
        <v>0</v>
      </c>
      <c r="Y1707" s="2"/>
      <c r="Z1707" s="2"/>
      <c r="AA1707" s="2"/>
      <c r="AB1707" s="2"/>
      <c r="AC1707" s="2"/>
    </row>
    <row r="1708" spans="1:29" ht="10.5" hidden="1">
      <c r="A1708" s="2">
        <f>A1707</f>
        <v>49</v>
      </c>
      <c r="B1708" s="2" t="str">
        <f>VLOOKUP($A1708,Controle!$B$4:$F$68,2,FALSE)</f>
        <v>Formiga 6</v>
      </c>
      <c r="C1708" s="2" t="str">
        <f>VLOOKUP($A1708,Controle!$B$4:$F$68,3,FALSE)</f>
        <v>MORI MINAS V</v>
      </c>
      <c r="D1708" s="2" t="str">
        <f>VLOOKUP($A1708,Controle!$B$4:$F$68,4,FALSE)</f>
        <v>NewCo V</v>
      </c>
      <c r="E1708" s="2">
        <f>VLOOKUP($A1708,Controle!$B$4:$F$68,5,FALSE)</f>
        <v>1</v>
      </c>
      <c r="F1708" s="3" t="str">
        <f>F1673</f>
        <v>Construção - Serviços de Construção - Ase Engenharia</v>
      </c>
      <c r="G1708" s="2" t="str">
        <f>VLOOKUP($A1708,Controle!$B$4:$G$68,6,FALSE)</f>
        <v>Solatio</v>
      </c>
      <c r="H1708" s="6">
        <v>0</v>
      </c>
      <c r="I1708" s="6">
        <v>0</v>
      </c>
      <c r="J1708" s="6">
        <v>0</v>
      </c>
      <c r="K1708" s="6">
        <v>0</v>
      </c>
      <c r="L1708" s="6">
        <v>0</v>
      </c>
      <c r="M1708" s="6">
        <v>0</v>
      </c>
      <c r="N1708" s="6">
        <v>0</v>
      </c>
      <c r="O1708" s="4">
        <f>SUM(I1708:N1708)</f>
        <v>0</v>
      </c>
      <c r="P1708" s="5">
        <f>SUMIFS('Desenvolvimento diário'!$H:$H,'Desenvolvimento diário'!$Q:$Q,$B1708,'Desenvolvimento diário'!$P:$P,$F1708,'Desenvolvimento diário'!$R:$R,"Sim")</f>
        <v>0</v>
      </c>
      <c r="Q1708" s="5">
        <f>SUMIFS('Desenvolvimento diário'!$H:$H,'Desenvolvimento diário'!$Q:$Q,$B1708,'Desenvolvimento diário'!$P:$P,$F1708,'Desenvolvimento diário'!$R:$R,"Não")</f>
        <v>0</v>
      </c>
      <c r="R1708" s="4">
        <f>SUM(P1708:Q1708)</f>
        <v>0</v>
      </c>
      <c r="S1708" s="4">
        <f>O1708-R1708</f>
        <v>0</v>
      </c>
      <c r="T1708" s="12">
        <f>IFERROR(R1708/O1708,0)</f>
        <v>0</v>
      </c>
      <c r="Y1708" s="2"/>
      <c r="Z1708" s="2"/>
      <c r="AA1708" s="2"/>
      <c r="AB1708" s="2"/>
      <c r="AC1708" s="2"/>
    </row>
    <row r="1709" spans="1:29" ht="10.5" hidden="1">
      <c r="A1709" s="2">
        <f>A1708</f>
        <v>49</v>
      </c>
      <c r="B1709" s="2" t="str">
        <f>VLOOKUP($A1709,Controle!$B$4:$F$68,2,FALSE)</f>
        <v>Formiga 6</v>
      </c>
      <c r="C1709" s="2" t="str">
        <f>VLOOKUP($A1709,Controle!$B$4:$F$68,3,FALSE)</f>
        <v>MORI MINAS V</v>
      </c>
      <c r="D1709" s="2" t="str">
        <f>VLOOKUP($A1709,Controle!$B$4:$F$68,4,FALSE)</f>
        <v>NewCo V</v>
      </c>
      <c r="E1709" s="2">
        <f>VLOOKUP($A1709,Controle!$B$4:$F$68,5,FALSE)</f>
        <v>1</v>
      </c>
      <c r="F1709" s="3" t="str">
        <f>F1674</f>
        <v>Full EPC - Contrato Sobressalentes</v>
      </c>
      <c r="G1709" s="2" t="str">
        <f>VLOOKUP($A1709,Controle!$B$4:$G$68,6,FALSE)</f>
        <v>Solatio</v>
      </c>
      <c r="H1709" s="6">
        <v>0</v>
      </c>
      <c r="I1709" s="6">
        <v>0</v>
      </c>
      <c r="J1709" s="6">
        <v>0</v>
      </c>
      <c r="K1709" s="6">
        <v>0</v>
      </c>
      <c r="L1709" s="6">
        <v>0</v>
      </c>
      <c r="M1709" s="6">
        <v>0</v>
      </c>
      <c r="N1709" s="6">
        <v>0</v>
      </c>
      <c r="O1709" s="4">
        <f>SUM(I1709:N1709)</f>
        <v>0</v>
      </c>
      <c r="P1709" s="5">
        <f>SUMIFS('Desenvolvimento diário'!$H:$H,'Desenvolvimento diário'!$Q:$Q,$B1709,'Desenvolvimento diário'!$P:$P,$F1709,'Desenvolvimento diário'!$R:$R,"Sim")</f>
        <v>0</v>
      </c>
      <c r="Q1709" s="5">
        <f>SUMIFS('Desenvolvimento diário'!$H:$H,'Desenvolvimento diário'!$Q:$Q,$B1709,'Desenvolvimento diário'!$P:$P,$F1709,'Desenvolvimento diário'!$R:$R,"Não")</f>
        <v>0</v>
      </c>
      <c r="R1709" s="4">
        <f>SUM(P1709:Q1709)</f>
        <v>0</v>
      </c>
      <c r="S1709" s="4">
        <f>O1709-R1709</f>
        <v>0</v>
      </c>
      <c r="T1709" s="12">
        <f>IFERROR(R1709/O1709,0)</f>
        <v>0</v>
      </c>
      <c r="Y1709" s="2"/>
      <c r="Z1709" s="2"/>
      <c r="AA1709" s="2"/>
      <c r="AB1709" s="2"/>
      <c r="AC1709" s="2"/>
    </row>
    <row r="1710" spans="1:29" ht="10.5" hidden="1">
      <c r="A1710" s="2">
        <f>A1709</f>
        <v>49</v>
      </c>
      <c r="B1710" s="2" t="str">
        <f>VLOOKUP($A1710,Controle!$B$4:$F$68,2,FALSE)</f>
        <v>Formiga 6</v>
      </c>
      <c r="C1710" s="2" t="str">
        <f>VLOOKUP($A1710,Controle!$B$4:$F$68,3,FALSE)</f>
        <v>MORI MINAS V</v>
      </c>
      <c r="D1710" s="2" t="str">
        <f>VLOOKUP($A1710,Controle!$B$4:$F$68,4,FALSE)</f>
        <v>NewCo V</v>
      </c>
      <c r="E1710" s="2">
        <f>VLOOKUP($A1710,Controle!$B$4:$F$68,5,FALSE)</f>
        <v>1</v>
      </c>
      <c r="F1710" s="3" t="str">
        <f>F1675</f>
        <v>Construção - Serviços de Construção - NOVA MORADA</v>
      </c>
      <c r="G1710" s="2" t="str">
        <f>VLOOKUP($A1710,Controle!$B$4:$G$68,6,FALSE)</f>
        <v>Solatio</v>
      </c>
      <c r="H1710" s="6">
        <v>0</v>
      </c>
      <c r="I1710" s="6">
        <v>0</v>
      </c>
      <c r="J1710" s="6">
        <v>0</v>
      </c>
      <c r="K1710" s="6">
        <v>0</v>
      </c>
      <c r="L1710" s="6">
        <v>0</v>
      </c>
      <c r="M1710" s="6">
        <v>0</v>
      </c>
      <c r="N1710" s="6">
        <v>0</v>
      </c>
      <c r="O1710" s="4">
        <f>SUM(I1710:N1710)</f>
        <v>0</v>
      </c>
      <c r="P1710" s="5">
        <f>SUMIFS('Desenvolvimento diário'!$H:$H,'Desenvolvimento diário'!$Q:$Q,$B1710,'Desenvolvimento diário'!$P:$P,$F1710,'Desenvolvimento diário'!$R:$R,"Sim")</f>
        <v>0</v>
      </c>
      <c r="Q1710" s="5">
        <f>SUMIFS('Desenvolvimento diário'!$H:$H,'Desenvolvimento diário'!$Q:$Q,$B1710,'Desenvolvimento diário'!$P:$P,$F1710,'Desenvolvimento diário'!$R:$R,"Não")</f>
        <v>0</v>
      </c>
      <c r="R1710" s="4">
        <f>SUM(P1710:Q1710)</f>
        <v>0</v>
      </c>
      <c r="S1710" s="4">
        <f>O1710-R1710</f>
        <v>0</v>
      </c>
      <c r="T1710" s="12">
        <f>IFERROR(R1710/O1710,0)</f>
        <v>0</v>
      </c>
      <c r="Y1710" s="2"/>
      <c r="Z1710" s="2"/>
      <c r="AA1710" s="2"/>
      <c r="AB1710" s="2"/>
      <c r="AC1710" s="2"/>
    </row>
    <row r="1711" spans="1:29" ht="10.5" hidden="1">
      <c r="A1711" s="2">
        <f>A1710</f>
        <v>49</v>
      </c>
      <c r="B1711" s="2" t="str">
        <f>VLOOKUP($A1711,Controle!$B$4:$F$68,2,FALSE)</f>
        <v>Formiga 6</v>
      </c>
      <c r="C1711" s="2" t="str">
        <f>VLOOKUP($A1711,Controle!$B$4:$F$68,3,FALSE)</f>
        <v>MORI MINAS V</v>
      </c>
      <c r="D1711" s="2" t="str">
        <f>VLOOKUP($A1711,Controle!$B$4:$F$68,4,FALSE)</f>
        <v>NewCo V</v>
      </c>
      <c r="E1711" s="2">
        <f>VLOOKUP($A1711,Controle!$B$4:$F$68,5,FALSE)</f>
        <v>1</v>
      </c>
      <c r="F1711" s="3" t="str">
        <f>F1676</f>
        <v>Equipamentos Curva A -  Contrato Sobressalentes - SETTA</v>
      </c>
      <c r="G1711" s="2" t="str">
        <f>VLOOKUP($A1711,Controle!$B$4:$G$68,6,FALSE)</f>
        <v>Solatio</v>
      </c>
      <c r="H1711" s="6">
        <v>0</v>
      </c>
      <c r="I1711" s="6">
        <v>0</v>
      </c>
      <c r="J1711" s="6">
        <v>0</v>
      </c>
      <c r="K1711" s="6">
        <v>0</v>
      </c>
      <c r="L1711" s="6">
        <v>0</v>
      </c>
      <c r="M1711" s="6">
        <v>0</v>
      </c>
      <c r="N1711" s="6">
        <v>0</v>
      </c>
      <c r="O1711" s="4">
        <f>SUM(I1711:N1711)</f>
        <v>0</v>
      </c>
      <c r="P1711" s="5">
        <f>SUMIFS('Desenvolvimento diário'!$H:$H,'Desenvolvimento diário'!$Q:$Q,$B1711,'Desenvolvimento diário'!$P:$P,$F1711,'Desenvolvimento diário'!$R:$R,"Sim")</f>
        <v>0</v>
      </c>
      <c r="Q1711" s="5">
        <f>SUMIFS('Desenvolvimento diário'!$H:$H,'Desenvolvimento diário'!$Q:$Q,$B1711,'Desenvolvimento diário'!$P:$P,$F1711,'Desenvolvimento diário'!$R:$R,"Não")</f>
        <v>0</v>
      </c>
      <c r="R1711" s="4">
        <f>SUM(P1711:Q1711)</f>
        <v>0</v>
      </c>
      <c r="S1711" s="4">
        <f>O1711-R1711</f>
        <v>0</v>
      </c>
      <c r="T1711" s="12">
        <f>IFERROR(R1711/O1711,0)</f>
        <v>0</v>
      </c>
      <c r="Y1711" s="2"/>
      <c r="Z1711" s="2"/>
      <c r="AA1711" s="2"/>
      <c r="AB1711" s="2"/>
      <c r="AC1711" s="2"/>
    </row>
    <row r="1712" spans="1:29" ht="10.5" hidden="1">
      <c r="A1712" s="2">
        <f>A1711</f>
        <v>49</v>
      </c>
      <c r="B1712" s="2" t="str">
        <f>VLOOKUP($A1712,Controle!$B$4:$F$68,2,FALSE)</f>
        <v>Formiga 6</v>
      </c>
      <c r="C1712" s="2" t="str">
        <f>VLOOKUP($A1712,Controle!$B$4:$F$68,3,FALSE)</f>
        <v>MORI MINAS V</v>
      </c>
      <c r="D1712" s="2" t="str">
        <f>VLOOKUP($A1712,Controle!$B$4:$F$68,4,FALSE)</f>
        <v>NewCo V</v>
      </c>
      <c r="E1712" s="2">
        <f>VLOOKUP($A1712,Controle!$B$4:$F$68,5,FALSE)</f>
        <v>1</v>
      </c>
      <c r="F1712" s="3" t="str">
        <f>F1677</f>
        <v>Equipamentos Curva A -  Contrato Sobressalentes - Arctech</v>
      </c>
      <c r="G1712" s="2" t="str">
        <f>VLOOKUP($A1712,Controle!$B$4:$G$68,6,FALSE)</f>
        <v>Solatio</v>
      </c>
      <c r="H1712" s="6">
        <v>0</v>
      </c>
      <c r="I1712" s="6">
        <v>0</v>
      </c>
      <c r="J1712" s="6">
        <v>0</v>
      </c>
      <c r="K1712" s="6">
        <v>0</v>
      </c>
      <c r="L1712" s="6">
        <v>0</v>
      </c>
      <c r="M1712" s="6">
        <v>0</v>
      </c>
      <c r="N1712" s="6">
        <v>0</v>
      </c>
      <c r="O1712" s="4">
        <f>SUM(I1712:N1712)</f>
        <v>0</v>
      </c>
      <c r="P1712" s="5">
        <f>SUMIFS('Desenvolvimento diário'!$H:$H,'Desenvolvimento diário'!$Q:$Q,$B1712,'Desenvolvimento diário'!$P:$P,$F1712,'Desenvolvimento diário'!$R:$R,"Sim")</f>
        <v>0</v>
      </c>
      <c r="Q1712" s="5">
        <f>SUMIFS('Desenvolvimento diário'!$H:$H,'Desenvolvimento diário'!$Q:$Q,$B1712,'Desenvolvimento diário'!$P:$P,$F1712,'Desenvolvimento diário'!$R:$R,"Não")</f>
        <v>0</v>
      </c>
      <c r="R1712" s="4">
        <f>SUM(P1712:Q1712)</f>
        <v>0</v>
      </c>
      <c r="S1712" s="4">
        <f>O1712-R1712</f>
        <v>0</v>
      </c>
      <c r="T1712" s="12">
        <f>IFERROR(R1712/O1712,0)</f>
        <v>0</v>
      </c>
      <c r="Y1712" s="2"/>
      <c r="Z1712" s="2"/>
      <c r="AA1712" s="2"/>
      <c r="AB1712" s="2"/>
      <c r="AC1712" s="2"/>
    </row>
    <row r="1713" spans="1:29" hidden="1">
      <c r="A1713" s="2">
        <f>A1712</f>
        <v>49</v>
      </c>
      <c r="B1713" s="94" t="str">
        <f>VLOOKUP($A1713,Controle!$B$4:$F$68,2,FALSE)</f>
        <v>Formiga 6</v>
      </c>
      <c r="C1713" s="94" t="str">
        <f>VLOOKUP($A1713,Controle!$B$4:$F$68,3,FALSE)</f>
        <v>MORI MINAS V</v>
      </c>
      <c r="D1713" s="94" t="str">
        <f>VLOOKUP($A1713,Controle!$B$4:$F$68,4,FALSE)</f>
        <v>NewCo V</v>
      </c>
      <c r="E1713" s="94">
        <f>VLOOKUP($A1713,Controle!$B$4:$F$68,5,FALSE)</f>
        <v>1</v>
      </c>
      <c r="F1713" s="37" t="str">
        <f>F1678</f>
        <v>Equipamentos Curva A -  Contrato Sobressalentes - Romagnole</v>
      </c>
      <c r="G1713" s="94" t="str">
        <f>VLOOKUP($A1713,Controle!$B$4:$G$68,6,FALSE)</f>
        <v>Solatio</v>
      </c>
      <c r="H1713" s="506" t="s">
        <v>187</v>
      </c>
      <c r="I1713" s="506">
        <v>76084.41</v>
      </c>
      <c r="J1713" s="506">
        <v>104053.08</v>
      </c>
      <c r="K1713" s="506">
        <v>163896.51999999999</v>
      </c>
      <c r="L1713" s="506">
        <v>213000</v>
      </c>
      <c r="M1713" s="506">
        <v>0</v>
      </c>
      <c r="N1713" s="506">
        <v>0</v>
      </c>
      <c r="O1713" s="39">
        <f>SUM(I1713:N1713)</f>
        <v>557034.01</v>
      </c>
      <c r="P1713" s="17">
        <f>SUMIFS('Desenvolvimento diário'!$H:$H,'Desenvolvimento diário'!$Q:$Q,$B1713,'Desenvolvimento diário'!$P:$P,$F1713,'Desenvolvimento diário'!$R:$R,"Sim")</f>
        <v>0</v>
      </c>
      <c r="Q1713" s="17">
        <f>SUMIFS('Desenvolvimento diário'!$H:$H,'Desenvolvimento diário'!$Q:$Q,$B1713,'Desenvolvimento diário'!$P:$P,$F1713,'Desenvolvimento diário'!$R:$R,"Não")</f>
        <v>557034.01</v>
      </c>
      <c r="R1713" s="4">
        <f>SUM(P1713:Q1713)</f>
        <v>557034.01</v>
      </c>
      <c r="S1713" s="4">
        <f>O1713-R1713</f>
        <v>0</v>
      </c>
      <c r="T1713" s="12">
        <f>IFERROR(R1713/O1713,0)</f>
        <v>1</v>
      </c>
      <c r="Y1713" s="2"/>
      <c r="Z1713" s="2"/>
      <c r="AA1713" s="2"/>
      <c r="AB1713" s="2"/>
      <c r="AC1713" s="2"/>
    </row>
    <row r="1714" spans="1:29" hidden="1">
      <c r="A1714" s="2">
        <f t="shared" ref="A1714:A1715" si="555">A1713</f>
        <v>49</v>
      </c>
      <c r="B1714" s="2" t="str">
        <f>VLOOKUP($A1714,Controle!$B$4:$F$68,2,FALSE)</f>
        <v>Formiga 6</v>
      </c>
      <c r="C1714" s="2" t="str">
        <f>VLOOKUP($A1714,Controle!$B$4:$F$68,3,FALSE)</f>
        <v>MORI MINAS V</v>
      </c>
      <c r="D1714" s="2" t="str">
        <f>VLOOKUP($A1714,Controle!$B$4:$F$68,4,FALSE)</f>
        <v>NewCo V</v>
      </c>
      <c r="E1714" s="2">
        <f>VLOOKUP($A1714,Controle!$B$4:$F$68,5,FALSE)</f>
        <v>1</v>
      </c>
      <c r="F1714" s="3" t="str">
        <f t="shared" ref="F1714:F1715" si="556">F1679</f>
        <v>GOS FLORESTAL - (PRAD - Recuperação Area Ambiental)</v>
      </c>
      <c r="G1714" s="2" t="str">
        <f>VLOOKUP($A1714,Controle!$B$4:$G$68,6,FALSE)</f>
        <v>Solatio</v>
      </c>
      <c r="H1714" s="506" t="s">
        <v>170</v>
      </c>
      <c r="I1714" s="6">
        <v>355050.85</v>
      </c>
      <c r="J1714" s="506"/>
      <c r="K1714" s="506">
        <v>0</v>
      </c>
      <c r="L1714" s="506">
        <v>0</v>
      </c>
      <c r="M1714" s="506">
        <v>0</v>
      </c>
      <c r="N1714" s="506">
        <v>0</v>
      </c>
      <c r="O1714" s="39">
        <f t="shared" ref="O1714:O1715" si="557">SUM(I1714:N1714)</f>
        <v>355050.85</v>
      </c>
      <c r="P1714" s="17">
        <f>SUMIFS('Desenvolvimento diário'!$H:$H,'Desenvolvimento diário'!$Q:$Q,$B1714,'Desenvolvimento diário'!$P:$P,$F1714,'Desenvolvimento diário'!$R:$R,"Sim")</f>
        <v>0</v>
      </c>
      <c r="Q1714" s="17">
        <f>SUMIFS('Desenvolvimento diário'!$H:$H,'Desenvolvimento diário'!$Q:$Q,$B1714,'Desenvolvimento diário'!$P:$P,$F1714,'Desenvolvimento diário'!$R:$R,"Não")</f>
        <v>335050.85000000003</v>
      </c>
      <c r="R1714" s="4">
        <f t="shared" ref="R1714:R1715" si="558">SUM(P1714:Q1714)</f>
        <v>335050.85000000003</v>
      </c>
      <c r="S1714" s="1019">
        <f t="shared" ref="S1714:S1715" si="559">O1714-R1714</f>
        <v>19999.999999999942</v>
      </c>
      <c r="T1714" s="12">
        <f t="shared" ref="T1714:T1715" si="560">IFERROR(R1714/O1714,0)</f>
        <v>0.94367004050264924</v>
      </c>
      <c r="U1714" s="1019" t="s">
        <v>166</v>
      </c>
      <c r="V1714" s="1019" t="s">
        <v>232</v>
      </c>
      <c r="Y1714" s="2"/>
      <c r="Z1714" s="2"/>
      <c r="AA1714" s="2"/>
      <c r="AB1714" s="2"/>
      <c r="AC1714" s="2"/>
    </row>
    <row r="1715" spans="1:29" hidden="1">
      <c r="A1715" s="2">
        <f t="shared" si="555"/>
        <v>49</v>
      </c>
      <c r="B1715" s="2" t="str">
        <f>VLOOKUP($A1715,Controle!$B$4:$F$68,2,FALSE)</f>
        <v>Formiga 6</v>
      </c>
      <c r="C1715" s="2" t="str">
        <f>VLOOKUP($A1715,Controle!$B$4:$F$68,3,FALSE)</f>
        <v>MORI MINAS V</v>
      </c>
      <c r="D1715" s="2" t="str">
        <f>VLOOKUP($A1715,Controle!$B$4:$F$68,4,FALSE)</f>
        <v>NewCo V</v>
      </c>
      <c r="E1715" s="2">
        <f>VLOOKUP($A1715,Controle!$B$4:$F$68,5,FALSE)</f>
        <v>1</v>
      </c>
      <c r="F1715" s="3" t="str">
        <f t="shared" si="556"/>
        <v>Cercamento das bacias de contenção ciclo 2</v>
      </c>
      <c r="G1715" s="2" t="str">
        <f>VLOOKUP($A1715,Controle!$B$4:$G$68,6,FALSE)</f>
        <v>Solatio</v>
      </c>
      <c r="H1715" s="506" t="s">
        <v>172</v>
      </c>
      <c r="I1715" s="6"/>
      <c r="J1715" s="506"/>
      <c r="K1715" s="506">
        <v>0</v>
      </c>
      <c r="L1715" s="506">
        <v>0</v>
      </c>
      <c r="M1715" s="506">
        <v>0</v>
      </c>
      <c r="N1715" s="506">
        <v>0</v>
      </c>
      <c r="O1715" s="39">
        <f t="shared" si="557"/>
        <v>0</v>
      </c>
      <c r="P1715" s="17">
        <f>SUMIFS('Desenvolvimento diário'!$H:$H,'Desenvolvimento diário'!$Q:$Q,$B1715,'Desenvolvimento diário'!$P:$P,$F1715,'Desenvolvimento diário'!$R:$R,"Sim")</f>
        <v>0</v>
      </c>
      <c r="Q1715" s="17">
        <f>SUMIFS('Desenvolvimento diário'!$H:$H,'Desenvolvimento diário'!$Q:$Q,$B1715,'Desenvolvimento diário'!$P:$P,$F1715,'Desenvolvimento diário'!$R:$R,"Não")</f>
        <v>0</v>
      </c>
      <c r="R1715" s="4">
        <f t="shared" si="558"/>
        <v>0</v>
      </c>
      <c r="S1715" s="1030">
        <f t="shared" si="559"/>
        <v>0</v>
      </c>
      <c r="T1715" s="12">
        <f t="shared" si="560"/>
        <v>0</v>
      </c>
      <c r="U1715" s="1029" t="s">
        <v>166</v>
      </c>
      <c r="V1715" s="1029" t="s">
        <v>94</v>
      </c>
      <c r="Y1715" s="2"/>
      <c r="Z1715" s="2"/>
      <c r="AA1715" s="2"/>
      <c r="AB1715" s="2"/>
      <c r="AC1715" s="2"/>
    </row>
    <row r="1716" spans="1:29" hidden="1">
      <c r="A1716" s="8">
        <f>A1713</f>
        <v>49</v>
      </c>
      <c r="B1716" s="9" t="str">
        <f>B1713</f>
        <v>Formiga 6</v>
      </c>
      <c r="C1716" s="9" t="str">
        <f>C1713</f>
        <v>MORI MINAS V</v>
      </c>
      <c r="D1716" s="9" t="str">
        <f>D1713</f>
        <v>NewCo V</v>
      </c>
      <c r="E1716" s="9">
        <f>E1713</f>
        <v>1</v>
      </c>
      <c r="F1716" s="10" t="s">
        <v>158</v>
      </c>
      <c r="G1716" s="9" t="str">
        <f>G1713</f>
        <v>Solatio</v>
      </c>
      <c r="H1716" s="9"/>
      <c r="I1716" s="9">
        <f>SUBTOTAL(9,I1682:I1715)</f>
        <v>0</v>
      </c>
      <c r="J1716" s="9">
        <f t="shared" ref="J1716:S1716" si="561">SUBTOTAL(9,J1682:J1715)</f>
        <v>0</v>
      </c>
      <c r="K1716" s="9">
        <f t="shared" si="561"/>
        <v>0</v>
      </c>
      <c r="L1716" s="9">
        <f t="shared" si="561"/>
        <v>0</v>
      </c>
      <c r="M1716" s="9">
        <f t="shared" si="561"/>
        <v>0</v>
      </c>
      <c r="N1716" s="9">
        <f t="shared" si="561"/>
        <v>0</v>
      </c>
      <c r="O1716" s="9">
        <f t="shared" si="561"/>
        <v>0</v>
      </c>
      <c r="P1716" s="9">
        <f t="shared" si="561"/>
        <v>0</v>
      </c>
      <c r="Q1716" s="9">
        <f t="shared" si="561"/>
        <v>0</v>
      </c>
      <c r="R1716" s="9">
        <f t="shared" si="561"/>
        <v>0</v>
      </c>
      <c r="S1716" s="9">
        <f t="shared" si="561"/>
        <v>0</v>
      </c>
      <c r="T1716" s="13">
        <f>IFERROR(R1716/O1716,0)</f>
        <v>0</v>
      </c>
      <c r="U1716" s="11">
        <f>SUBTOTAL(9,U1682:U1715)</f>
        <v>0</v>
      </c>
      <c r="Y1716" s="2"/>
      <c r="Z1716" s="2"/>
      <c r="AA1716" s="2"/>
      <c r="AB1716" s="2"/>
      <c r="AC1716" s="2"/>
    </row>
    <row r="1717" spans="1:29" ht="10.5" hidden="1">
      <c r="A1717" s="2">
        <f>A1682+1</f>
        <v>50</v>
      </c>
      <c r="B1717" s="2" t="str">
        <f>VLOOKUP($A1717,Controle!$B$4:$F$68,2,FALSE)</f>
        <v>Passos 4</v>
      </c>
      <c r="C1717" s="2" t="str">
        <f>VLOOKUP($A1717,Controle!$B$4:$F$68,3,FALSE)</f>
        <v>MORI MINAS V</v>
      </c>
      <c r="D1717" s="2" t="str">
        <f>VLOOKUP($A1717,Controle!$B$4:$F$68,4,FALSE)</f>
        <v>NewCo V</v>
      </c>
      <c r="E1717" s="2">
        <f>VLOOKUP($A1717,Controle!$B$4:$F$68,5,FALSE)</f>
        <v>3</v>
      </c>
      <c r="F1717" s="3" t="str">
        <f>F1682</f>
        <v>Conexão AT - Obras</v>
      </c>
      <c r="G1717" s="2" t="str">
        <f>VLOOKUP($A1717,Controle!$B$4:$G$68,6,FALSE)</f>
        <v>Solatio</v>
      </c>
      <c r="H1717" s="6" t="s">
        <v>141</v>
      </c>
      <c r="I1717" s="29">
        <f>529045.71-0.01</f>
        <v>529045.69999999995</v>
      </c>
      <c r="J1717" s="6">
        <v>0</v>
      </c>
      <c r="K1717" s="6">
        <v>0</v>
      </c>
      <c r="L1717" s="6">
        <v>0</v>
      </c>
      <c r="M1717" s="6">
        <v>0</v>
      </c>
      <c r="N1717" s="6">
        <v>0</v>
      </c>
      <c r="O1717" s="4">
        <f>SUM(I1717:N1717)</f>
        <v>529045.69999999995</v>
      </c>
      <c r="P1717" s="5">
        <f>SUMIFS('Desenvolvimento diário'!$H:$H,'Desenvolvimento diário'!$Q:$Q,$B1717,'Desenvolvimento diário'!$P:$P,$F1717,'Desenvolvimento diário'!$R:$R,"Sim")</f>
        <v>317045.7</v>
      </c>
      <c r="Q1717" s="5">
        <f>SUMIFS('Desenvolvimento diário'!$H:$H,'Desenvolvimento diário'!$Q:$Q,$B1717,'Desenvolvimento diário'!$P:$P,$F1717,'Desenvolvimento diário'!$R:$R,"Não")</f>
        <v>212000</v>
      </c>
      <c r="R1717" s="4">
        <f>SUM(P1717:Q1717)</f>
        <v>529045.69999999995</v>
      </c>
      <c r="S1717" s="4">
        <f>O1717-R1717</f>
        <v>0</v>
      </c>
      <c r="T1717" s="12">
        <f>IFERROR(R1717/O1717,0)</f>
        <v>1</v>
      </c>
      <c r="Y1717" s="2"/>
      <c r="Z1717" s="2"/>
      <c r="AA1717" s="2"/>
      <c r="AB1717" s="2"/>
      <c r="AC1717" s="2"/>
    </row>
    <row r="1718" spans="1:29" ht="10.5" hidden="1">
      <c r="A1718" s="2">
        <f>A1717</f>
        <v>50</v>
      </c>
      <c r="B1718" s="2" t="str">
        <f>VLOOKUP($A1718,Controle!$B$4:$F$68,2,FALSE)</f>
        <v>Passos 4</v>
      </c>
      <c r="C1718" s="2" t="str">
        <f>VLOOKUP($A1718,Controle!$B$4:$F$68,3,FALSE)</f>
        <v>MORI MINAS V</v>
      </c>
      <c r="D1718" s="2" t="str">
        <f>VLOOKUP($A1718,Controle!$B$4:$F$68,4,FALSE)</f>
        <v>NewCo V</v>
      </c>
      <c r="E1718" s="2">
        <f>VLOOKUP($A1718,Controle!$B$4:$F$68,5,FALSE)</f>
        <v>3</v>
      </c>
      <c r="F1718" s="3" t="str">
        <f>F1683</f>
        <v>Conexão MT - Obras</v>
      </c>
      <c r="G1718" s="2" t="str">
        <f>VLOOKUP($A1718,Controle!$B$4:$G$68,6,FALSE)</f>
        <v>Solatio</v>
      </c>
      <c r="H1718" s="6" t="s">
        <v>141</v>
      </c>
      <c r="I1718" s="6">
        <v>1346963.9</v>
      </c>
      <c r="J1718" s="6">
        <v>253036.1</v>
      </c>
      <c r="K1718" s="6">
        <v>1657000</v>
      </c>
      <c r="L1718" s="6">
        <v>38700</v>
      </c>
      <c r="M1718" s="6">
        <v>-140698</v>
      </c>
      <c r="N1718" s="28">
        <v>-203403.17</v>
      </c>
      <c r="O1718" s="4">
        <f>SUM(I1718:N1718)</f>
        <v>2951598.83</v>
      </c>
      <c r="P1718" s="5">
        <f>SUMIFS('Desenvolvimento diário'!$H:$H,'Desenvolvimento diário'!$Q:$Q,$B1718,'Desenvolvimento diário'!$P:$P,$F1718,'Desenvolvimento diário'!$R:$R,"Sim")</f>
        <v>1043118.83</v>
      </c>
      <c r="Q1718" s="5">
        <f>SUMIFS('Desenvolvimento diário'!$H:$H,'Desenvolvimento diário'!$Q:$Q,$B1718,'Desenvolvimento diário'!$P:$P,$F1718,'Desenvolvimento diário'!$R:$R,"Não")</f>
        <v>1908480</v>
      </c>
      <c r="R1718" s="4">
        <f>SUM(P1718:Q1718)</f>
        <v>2951598.83</v>
      </c>
      <c r="S1718" s="4">
        <f>O1718-R1718</f>
        <v>0</v>
      </c>
      <c r="T1718" s="12">
        <f>IFERROR(R1718/O1718,0)</f>
        <v>1</v>
      </c>
      <c r="V1718" s="30"/>
      <c r="W1718" s="34"/>
      <c r="X1718" s="34"/>
      <c r="Y1718" s="2"/>
      <c r="Z1718" s="2"/>
      <c r="AA1718" s="2"/>
      <c r="AB1718" s="2"/>
      <c r="AC1718" s="2"/>
    </row>
    <row r="1719" spans="1:29" ht="10.5" hidden="1">
      <c r="A1719" s="2">
        <f>A1718</f>
        <v>50</v>
      </c>
      <c r="B1719" s="2" t="str">
        <f>VLOOKUP($A1719,Controle!$B$4:$F$68,2,FALSE)</f>
        <v>Passos 4</v>
      </c>
      <c r="C1719" s="2" t="str">
        <f>VLOOKUP($A1719,Controle!$B$4:$F$68,3,FALSE)</f>
        <v>MORI MINAS V</v>
      </c>
      <c r="D1719" s="2" t="str">
        <f>VLOOKUP($A1719,Controle!$B$4:$F$68,4,FALSE)</f>
        <v>NewCo V</v>
      </c>
      <c r="E1719" s="2">
        <f>VLOOKUP($A1719,Controle!$B$4:$F$68,5,FALSE)</f>
        <v>3</v>
      </c>
      <c r="F1719" s="3" t="str">
        <f>F1684</f>
        <v>Construção - Serviços de Construção</v>
      </c>
      <c r="G1719" s="2" t="str">
        <f>VLOOKUP($A1719,Controle!$B$4:$G$68,6,FALSE)</f>
        <v>Solatio</v>
      </c>
      <c r="H1719" s="6" t="s">
        <v>201</v>
      </c>
      <c r="I1719" s="6">
        <v>3718228.32</v>
      </c>
      <c r="J1719" s="6">
        <v>221091.84</v>
      </c>
      <c r="K1719" s="6">
        <f>259146.86-0.01</f>
        <v>259146.84999999998</v>
      </c>
      <c r="L1719" s="6">
        <v>0</v>
      </c>
      <c r="M1719" s="6">
        <v>0</v>
      </c>
      <c r="N1719" s="6">
        <v>0</v>
      </c>
      <c r="O1719" s="4">
        <f>SUM(I1719:N1719)</f>
        <v>4198467.01</v>
      </c>
      <c r="P1719" s="5">
        <f>SUMIFS('Desenvolvimento diário'!$H:$H,'Desenvolvimento diário'!$Q:$Q,$B1719,'Desenvolvimento diário'!$P:$P,$F1719,'Desenvolvimento diário'!$R:$R,"Sim")</f>
        <v>143589.32999999999</v>
      </c>
      <c r="Q1719" s="5">
        <f>SUMIFS('Desenvolvimento diário'!$H:$H,'Desenvolvimento diário'!$Q:$Q,$B1719,'Desenvolvimento diário'!$P:$P,$F1719,'Desenvolvimento diário'!$R:$R,"Não")</f>
        <v>4054877.6799999997</v>
      </c>
      <c r="R1719" s="4">
        <f>SUM(P1719:Q1719)</f>
        <v>4198467.01</v>
      </c>
      <c r="S1719" s="43">
        <f>O1719-R1719</f>
        <v>0</v>
      </c>
      <c r="T1719" s="12">
        <f>IFERROR(R1719/O1719,0)</f>
        <v>1</v>
      </c>
      <c r="Y1719" s="2"/>
      <c r="Z1719" s="2"/>
      <c r="AA1719" s="2"/>
      <c r="AB1719" s="2"/>
      <c r="AC1719" s="2"/>
    </row>
    <row r="1720" spans="1:29" ht="10.5" hidden="1">
      <c r="A1720" s="2">
        <f>A1719</f>
        <v>50</v>
      </c>
      <c r="B1720" s="2" t="str">
        <f>VLOOKUP($A1720,Controle!$B$4:$F$68,2,FALSE)</f>
        <v>Passos 4</v>
      </c>
      <c r="C1720" s="2" t="str">
        <f>VLOOKUP($A1720,Controle!$B$4:$F$68,3,FALSE)</f>
        <v>MORI MINAS V</v>
      </c>
      <c r="D1720" s="2" t="str">
        <f>VLOOKUP($A1720,Controle!$B$4:$F$68,4,FALSE)</f>
        <v>NewCo V</v>
      </c>
      <c r="E1720" s="2">
        <f>VLOOKUP($A1720,Controle!$B$4:$F$68,5,FALSE)</f>
        <v>3</v>
      </c>
      <c r="F1720" s="3" t="str">
        <f>F1685</f>
        <v>Construção - Serviços de Construção - Substituição</v>
      </c>
      <c r="G1720" s="2" t="str">
        <f>VLOOKUP($A1720,Controle!$B$4:$G$68,6,FALSE)</f>
        <v>Solatio</v>
      </c>
      <c r="H1720" s="6" t="s">
        <v>202</v>
      </c>
      <c r="I1720" s="6">
        <v>2740702.22</v>
      </c>
      <c r="J1720" s="6">
        <v>0</v>
      </c>
      <c r="K1720" s="6">
        <v>0</v>
      </c>
      <c r="L1720" s="6">
        <v>0</v>
      </c>
      <c r="M1720" s="6">
        <v>0</v>
      </c>
      <c r="N1720" s="6">
        <v>0</v>
      </c>
      <c r="O1720" s="4">
        <f>SUM(I1720:N1720)</f>
        <v>2740702.22</v>
      </c>
      <c r="P1720" s="5">
        <f>SUMIFS('Desenvolvimento diário'!$H:$H,'Desenvolvimento diário'!$Q:$Q,$B1720,'Desenvolvimento diário'!$P:$P,$F1720,'Desenvolvimento diário'!$R:$R,"Sim")</f>
        <v>498826.21</v>
      </c>
      <c r="Q1720" s="5">
        <f>SUMIFS('Desenvolvimento diário'!$H:$H,'Desenvolvimento diário'!$Q:$Q,$B1720,'Desenvolvimento diário'!$P:$P,$F1720,'Desenvolvimento diário'!$R:$R,"Não")</f>
        <v>274070.21999999997</v>
      </c>
      <c r="R1720" s="4">
        <f>SUM(P1720:Q1720)</f>
        <v>772896.42999999993</v>
      </c>
      <c r="S1720" s="33">
        <f>O1720-R1720</f>
        <v>1967805.7900000003</v>
      </c>
      <c r="T1720" s="12">
        <f>IFERROR(R1720/O1720,0)</f>
        <v>0.28200671505275748</v>
      </c>
      <c r="U1720" s="510" t="s">
        <v>162</v>
      </c>
      <c r="V1720" s="510" t="s">
        <v>163</v>
      </c>
      <c r="Y1720" s="2"/>
      <c r="Z1720" s="2"/>
      <c r="AA1720" s="2"/>
      <c r="AB1720" s="2"/>
      <c r="AC1720" s="2"/>
    </row>
    <row r="1721" spans="1:29" ht="10.5" hidden="1">
      <c r="A1721" s="2">
        <f>A1720</f>
        <v>50</v>
      </c>
      <c r="B1721" s="34" t="str">
        <f>VLOOKUP($A1721,Controle!$B$4:$F$68,2,FALSE)</f>
        <v>Passos 4</v>
      </c>
      <c r="C1721" s="2" t="str">
        <f>VLOOKUP($A1721,Controle!$B$4:$F$68,3,FALSE)</f>
        <v>MORI MINAS V</v>
      </c>
      <c r="D1721" s="2" t="str">
        <f>VLOOKUP($A1721,Controle!$B$4:$F$68,4,FALSE)</f>
        <v>NewCo V</v>
      </c>
      <c r="E1721" s="2">
        <f>VLOOKUP($A1721,Controle!$B$4:$F$68,5,FALSE)</f>
        <v>3</v>
      </c>
      <c r="F1721" s="3" t="str">
        <f>F1686</f>
        <v>Construção - RDA Interno</v>
      </c>
      <c r="G1721" s="2" t="str">
        <f>VLOOKUP($A1721,Controle!$B$4:$G$68,6,FALSE)</f>
        <v>Solatio</v>
      </c>
      <c r="H1721" s="6" t="s">
        <v>143</v>
      </c>
      <c r="I1721" s="6">
        <v>578450.69999999995</v>
      </c>
      <c r="J1721" s="6">
        <v>6400</v>
      </c>
      <c r="K1721" s="6">
        <v>7304.5454</v>
      </c>
      <c r="L1721" s="6">
        <v>0</v>
      </c>
      <c r="M1721" s="6">
        <v>0</v>
      </c>
      <c r="N1721" s="6">
        <v>0</v>
      </c>
      <c r="O1721" s="4">
        <f>SUM(I1721:N1721)+0.0046</f>
        <v>592155.24999999988</v>
      </c>
      <c r="P1721" s="5">
        <f>SUMIFS('Desenvolvimento diário'!$H:$H,'Desenvolvimento diário'!$Q:$Q,$B1721,'Desenvolvimento diário'!$P:$P,$F1721,'Desenvolvimento diário'!$R:$R,"Sim")</f>
        <v>0</v>
      </c>
      <c r="Q1721" s="5">
        <f>SUMIFS('Desenvolvimento diário'!$H:$H,'Desenvolvimento diário'!$Q:$Q,$B1721,'Desenvolvimento diário'!$P:$P,$F1721,'Desenvolvimento diário'!$R:$R,"Não")</f>
        <v>592155.25</v>
      </c>
      <c r="R1721" s="4">
        <f>SUM(P1721:Q1721)</f>
        <v>592155.25</v>
      </c>
      <c r="S1721" s="175">
        <f>O1721-R1721</f>
        <v>0</v>
      </c>
      <c r="T1721" s="12">
        <f>IFERROR(R1721/O1721,0)</f>
        <v>1.0000000000000002</v>
      </c>
      <c r="Y1721" s="2"/>
      <c r="Z1721" s="2"/>
      <c r="AA1721" s="2"/>
      <c r="AB1721" s="2"/>
      <c r="AC1721" s="2"/>
    </row>
    <row r="1722" spans="1:29" ht="10.5" hidden="1">
      <c r="A1722" s="2">
        <f>A1721</f>
        <v>50</v>
      </c>
      <c r="B1722" s="2" t="str">
        <f>VLOOKUP($A1722,Controle!$B$4:$F$68,2,FALSE)</f>
        <v>Passos 4</v>
      </c>
      <c r="C1722" s="2" t="str">
        <f>VLOOKUP($A1722,Controle!$B$4:$F$68,3,FALSE)</f>
        <v>MORI MINAS V</v>
      </c>
      <c r="D1722" s="2" t="str">
        <f>VLOOKUP($A1722,Controle!$B$4:$F$68,4,FALSE)</f>
        <v>NewCo V</v>
      </c>
      <c r="E1722" s="2">
        <f>VLOOKUP($A1722,Controle!$B$4:$F$68,5,FALSE)</f>
        <v>3</v>
      </c>
      <c r="F1722" s="3" t="str">
        <f>F1687</f>
        <v>Full EPC - Contrato</v>
      </c>
      <c r="G1722" s="2" t="str">
        <f>VLOOKUP($A1722,Controle!$B$4:$G$68,6,FALSE)</f>
        <v>Solatio</v>
      </c>
      <c r="H1722" s="6">
        <v>0</v>
      </c>
      <c r="I1722" s="6">
        <v>0</v>
      </c>
      <c r="J1722" s="6">
        <v>0</v>
      </c>
      <c r="K1722" s="6">
        <v>0</v>
      </c>
      <c r="L1722" s="6">
        <v>0</v>
      </c>
      <c r="M1722" s="6">
        <v>0</v>
      </c>
      <c r="N1722" s="6">
        <v>0</v>
      </c>
      <c r="O1722" s="4">
        <f>SUM(I1722:N1722)</f>
        <v>0</v>
      </c>
      <c r="P1722" s="5">
        <f>SUMIFS('Desenvolvimento diário'!$H:$H,'Desenvolvimento diário'!$Q:$Q,$B1722,'Desenvolvimento diário'!$P:$P,$F1722,'Desenvolvimento diário'!$R:$R,"Sim")</f>
        <v>0</v>
      </c>
      <c r="Q1722" s="5">
        <f>SUMIFS('Desenvolvimento diário'!$H:$H,'Desenvolvimento diário'!$Q:$Q,$B1722,'Desenvolvimento diário'!$P:$P,$F1722,'Desenvolvimento diário'!$R:$R,"Não")</f>
        <v>0</v>
      </c>
      <c r="R1722" s="4">
        <f>SUM(P1722:Q1722)</f>
        <v>0</v>
      </c>
      <c r="S1722" s="4">
        <f>O1722-R1722</f>
        <v>0</v>
      </c>
      <c r="T1722" s="12">
        <f>IFERROR(R1722/O1722,0)</f>
        <v>0</v>
      </c>
      <c r="Y1722" s="2"/>
      <c r="Z1722" s="2"/>
      <c r="AA1722" s="2"/>
      <c r="AB1722" s="2"/>
      <c r="AC1722" s="2"/>
    </row>
    <row r="1723" spans="1:29" ht="10.5" hidden="1">
      <c r="A1723" s="2">
        <f>A1722</f>
        <v>50</v>
      </c>
      <c r="B1723" s="2" t="str">
        <f>VLOOKUP($A1723,Controle!$B$4:$F$68,2,FALSE)</f>
        <v>Passos 4</v>
      </c>
      <c r="C1723" s="2" t="str">
        <f>VLOOKUP($A1723,Controle!$B$4:$F$68,3,FALSE)</f>
        <v>MORI MINAS V</v>
      </c>
      <c r="D1723" s="2" t="str">
        <f>VLOOKUP($A1723,Controle!$B$4:$F$68,4,FALSE)</f>
        <v>NewCo V</v>
      </c>
      <c r="E1723" s="2">
        <f>VLOOKUP($A1723,Controle!$B$4:$F$68,5,FALSE)</f>
        <v>3</v>
      </c>
      <c r="F1723" s="3" t="str">
        <f>F1688</f>
        <v>Equipamentos Curva A - Outros (Transformadores)</v>
      </c>
      <c r="G1723" s="2" t="str">
        <f>VLOOKUP($A1723,Controle!$B$4:$G$68,6,FALSE)</f>
        <v>Solatio</v>
      </c>
      <c r="H1723" s="6">
        <v>0</v>
      </c>
      <c r="I1723" s="6">
        <v>0</v>
      </c>
      <c r="J1723" s="6">
        <v>0</v>
      </c>
      <c r="K1723" s="6">
        <v>0</v>
      </c>
      <c r="L1723" s="6">
        <v>0</v>
      </c>
      <c r="M1723" s="6">
        <v>0</v>
      </c>
      <c r="N1723" s="6">
        <v>0</v>
      </c>
      <c r="O1723" s="4">
        <f>SUM(I1723:N1723)</f>
        <v>0</v>
      </c>
      <c r="P1723" s="5">
        <f>SUMIFS('Desenvolvimento diário'!$H:$H,'Desenvolvimento diário'!$Q:$Q,$B1723,'Desenvolvimento diário'!$P:$P,$F1723,'Desenvolvimento diário'!$R:$R,"Sim")</f>
        <v>0</v>
      </c>
      <c r="Q1723" s="5">
        <f>SUMIFS('Desenvolvimento diário'!$H:$H,'Desenvolvimento diário'!$Q:$Q,$B1723,'Desenvolvimento diário'!$P:$P,$F1723,'Desenvolvimento diário'!$R:$R,"Não")</f>
        <v>0</v>
      </c>
      <c r="R1723" s="4">
        <f>SUM(P1723:Q1723)</f>
        <v>0</v>
      </c>
      <c r="S1723" s="4">
        <f>O1723-R1723</f>
        <v>0</v>
      </c>
      <c r="T1723" s="12">
        <f>IFERROR(R1723/O1723,0)</f>
        <v>0</v>
      </c>
      <c r="Y1723" s="2"/>
      <c r="Z1723" s="2"/>
      <c r="AA1723" s="2"/>
      <c r="AB1723" s="2"/>
      <c r="AC1723" s="2"/>
    </row>
    <row r="1724" spans="1:29" ht="10.5" hidden="1">
      <c r="A1724" s="2">
        <f>A1723</f>
        <v>50</v>
      </c>
      <c r="B1724" s="2" t="str">
        <f>VLOOKUP($A1724,Controle!$B$4:$F$68,2,FALSE)</f>
        <v>Passos 4</v>
      </c>
      <c r="C1724" s="2" t="str">
        <f>VLOOKUP($A1724,Controle!$B$4:$F$68,3,FALSE)</f>
        <v>MORI MINAS V</v>
      </c>
      <c r="D1724" s="2" t="str">
        <f>VLOOKUP($A1724,Controle!$B$4:$F$68,4,FALSE)</f>
        <v>NewCo V</v>
      </c>
      <c r="E1724" s="2">
        <f>VLOOKUP($A1724,Controle!$B$4:$F$68,5,FALSE)</f>
        <v>3</v>
      </c>
      <c r="F1724" s="3" t="str">
        <f>F1689</f>
        <v>Equipamentos Curva A - Outros (Cabine + Skid)</v>
      </c>
      <c r="G1724" s="2" t="str">
        <f>VLOOKUP($A1724,Controle!$B$4:$G$68,6,FALSE)</f>
        <v>Solatio</v>
      </c>
      <c r="H1724" s="6">
        <v>0</v>
      </c>
      <c r="I1724" s="6">
        <v>0</v>
      </c>
      <c r="J1724" s="6">
        <v>0</v>
      </c>
      <c r="K1724" s="6">
        <v>0</v>
      </c>
      <c r="L1724" s="6">
        <v>0</v>
      </c>
      <c r="M1724" s="6">
        <v>0</v>
      </c>
      <c r="N1724" s="6">
        <v>0</v>
      </c>
      <c r="O1724" s="4">
        <f>SUM(I1724:N1724)</f>
        <v>0</v>
      </c>
      <c r="P1724" s="5">
        <f>SUMIFS('Desenvolvimento diário'!$H:$H,'Desenvolvimento diário'!$Q:$Q,$B1724,'Desenvolvimento diário'!$P:$P,$F1724,'Desenvolvimento diário'!$R:$R,"Sim")</f>
        <v>0</v>
      </c>
      <c r="Q1724" s="5">
        <f>SUMIFS('Desenvolvimento diário'!$H:$H,'Desenvolvimento diário'!$Q:$Q,$B1724,'Desenvolvimento diário'!$P:$P,$F1724,'Desenvolvimento diário'!$R:$R,"Não")</f>
        <v>0</v>
      </c>
      <c r="R1724" s="4">
        <f>SUM(P1724:Q1724)</f>
        <v>0</v>
      </c>
      <c r="S1724" s="4">
        <f>O1724-R1724</f>
        <v>0</v>
      </c>
      <c r="T1724" s="12">
        <f>IFERROR(R1724/O1724,0)</f>
        <v>0</v>
      </c>
      <c r="Y1724" s="2"/>
      <c r="Z1724" s="2"/>
      <c r="AA1724" s="2"/>
      <c r="AB1724" s="2"/>
      <c r="AC1724" s="2"/>
    </row>
    <row r="1725" spans="1:29" ht="10.5" hidden="1">
      <c r="A1725" s="2">
        <f>A1724</f>
        <v>50</v>
      </c>
      <c r="B1725" s="2" t="str">
        <f>VLOOKUP($A1725,Controle!$B$4:$F$68,2,FALSE)</f>
        <v>Passos 4</v>
      </c>
      <c r="C1725" s="2" t="str">
        <f>VLOOKUP($A1725,Controle!$B$4:$F$68,3,FALSE)</f>
        <v>MORI MINAS V</v>
      </c>
      <c r="D1725" s="2" t="str">
        <f>VLOOKUP($A1725,Controle!$B$4:$F$68,4,FALSE)</f>
        <v>NewCo V</v>
      </c>
      <c r="E1725" s="2">
        <f>VLOOKUP($A1725,Controle!$B$4:$F$68,5,FALSE)</f>
        <v>3</v>
      </c>
      <c r="F1725" s="3" t="str">
        <f>F1690</f>
        <v>Equipamentos Curva A - Outros (Cabine + Skid + Transformador)</v>
      </c>
      <c r="G1725" s="2" t="str">
        <f>VLOOKUP($A1725,Controle!$B$4:$G$68,6,FALSE)</f>
        <v>Solatio</v>
      </c>
      <c r="H1725" s="6" t="s">
        <v>144</v>
      </c>
      <c r="I1725" s="6">
        <v>1176651.726438514</v>
      </c>
      <c r="J1725" s="6">
        <v>0</v>
      </c>
      <c r="K1725" s="6">
        <v>0</v>
      </c>
      <c r="L1725" s="6">
        <v>0</v>
      </c>
      <c r="M1725" s="6">
        <v>0</v>
      </c>
      <c r="N1725" s="6">
        <v>0</v>
      </c>
      <c r="O1725" s="4">
        <f>SUM(I1725:N1725)</f>
        <v>1176651.726438514</v>
      </c>
      <c r="P1725" s="5">
        <f>SUMIFS('Desenvolvimento diário'!$H:$H,'Desenvolvimento diário'!$Q:$Q,$B1725,'Desenvolvimento diário'!$P:$P,$F1725,'Desenvolvimento diário'!$R:$R,"Sim")</f>
        <v>0</v>
      </c>
      <c r="Q1725" s="5">
        <f>SUMIFS('Desenvolvimento diário'!$H:$H,'Desenvolvimento diário'!$Q:$Q,$B1725,'Desenvolvimento diário'!$P:$P,$F1725,'Desenvolvimento diário'!$R:$R,"Não")</f>
        <v>1176651.726438514</v>
      </c>
      <c r="R1725" s="4">
        <f>SUM(P1725:Q1725)</f>
        <v>1176651.726438514</v>
      </c>
      <c r="S1725" s="4">
        <f>O1725-R1725</f>
        <v>0</v>
      </c>
      <c r="T1725" s="12">
        <f>IFERROR(R1725/O1725,0)</f>
        <v>1</v>
      </c>
      <c r="Y1725" s="2"/>
      <c r="Z1725" s="2"/>
      <c r="AA1725" s="2"/>
      <c r="AB1725" s="2"/>
      <c r="AC1725" s="2"/>
    </row>
    <row r="1726" spans="1:29" ht="10.5" hidden="1">
      <c r="A1726" s="2">
        <f>A1725</f>
        <v>50</v>
      </c>
      <c r="B1726" s="2" t="str">
        <f>VLOOKUP($A1726,Controle!$B$4:$F$68,2,FALSE)</f>
        <v>Passos 4</v>
      </c>
      <c r="C1726" s="2" t="str">
        <f>VLOOKUP($A1726,Controle!$B$4:$F$68,3,FALSE)</f>
        <v>MORI MINAS V</v>
      </c>
      <c r="D1726" s="2" t="str">
        <f>VLOOKUP($A1726,Controle!$B$4:$F$68,4,FALSE)</f>
        <v>NewCo V</v>
      </c>
      <c r="E1726" s="2">
        <f>VLOOKUP($A1726,Controle!$B$4:$F$68,5,FALSE)</f>
        <v>3</v>
      </c>
      <c r="F1726" s="3" t="str">
        <f>F1691</f>
        <v>Desenvolvimento de projeto - Projetos - (Eng° Proprietario)</v>
      </c>
      <c r="G1726" s="2" t="str">
        <f>VLOOKUP($A1726,Controle!$B$4:$G$68,6,FALSE)</f>
        <v>Solatio</v>
      </c>
      <c r="H1726" s="6" t="s">
        <v>145</v>
      </c>
      <c r="I1726" s="6">
        <v>0</v>
      </c>
      <c r="J1726" s="6">
        <v>0</v>
      </c>
      <c r="K1726" s="6">
        <v>0</v>
      </c>
      <c r="L1726" s="6">
        <v>0</v>
      </c>
      <c r="M1726" s="6">
        <v>0</v>
      </c>
      <c r="N1726" s="6">
        <v>0</v>
      </c>
      <c r="O1726" s="4">
        <f>SUM(I1726:N1726)</f>
        <v>0</v>
      </c>
      <c r="P1726" s="5">
        <f>SUMIFS('Desenvolvimento diário'!$H:$H,'Desenvolvimento diário'!$Q:$Q,$B1726,'Desenvolvimento diário'!$P:$P,$F1726,'Desenvolvimento diário'!$R:$R,"Sim")</f>
        <v>0</v>
      </c>
      <c r="Q1726" s="5">
        <f>SUMIFS('Desenvolvimento diário'!$H:$H,'Desenvolvimento diário'!$Q:$Q,$B1726,'Desenvolvimento diário'!$P:$P,$F1726,'Desenvolvimento diário'!$R:$R,"Não")</f>
        <v>0</v>
      </c>
      <c r="R1726" s="4">
        <f>SUM(P1726:Q1726)</f>
        <v>0</v>
      </c>
      <c r="S1726" s="4">
        <f>O1726-R1726</f>
        <v>0</v>
      </c>
      <c r="T1726" s="12">
        <f>IFERROR(R1726/O1726,0)</f>
        <v>0</v>
      </c>
      <c r="Y1726" s="2"/>
      <c r="Z1726" s="2"/>
      <c r="AA1726" s="2"/>
      <c r="AB1726" s="2"/>
      <c r="AC1726" s="2"/>
    </row>
    <row r="1727" spans="1:29" ht="10.5" hidden="1">
      <c r="A1727" s="2">
        <f>A1726</f>
        <v>50</v>
      </c>
      <c r="B1727" s="2" t="str">
        <f>VLOOKUP($A1727,Controle!$B$4:$F$68,2,FALSE)</f>
        <v>Passos 4</v>
      </c>
      <c r="C1727" s="2" t="str">
        <f>VLOOKUP($A1727,Controle!$B$4:$F$68,3,FALSE)</f>
        <v>MORI MINAS V</v>
      </c>
      <c r="D1727" s="2" t="str">
        <f>VLOOKUP($A1727,Controle!$B$4:$F$68,4,FALSE)</f>
        <v>NewCo V</v>
      </c>
      <c r="E1727" s="2">
        <f>VLOOKUP($A1727,Controle!$B$4:$F$68,5,FALSE)</f>
        <v>3</v>
      </c>
      <c r="F1727" s="3" t="str">
        <f>F1692</f>
        <v>Desenvolvimento de projeto - Projetos - Executivos</v>
      </c>
      <c r="G1727" s="2" t="str">
        <f>VLOOKUP($A1727,Controle!$B$4:$G$68,6,FALSE)</f>
        <v>Solatio</v>
      </c>
      <c r="H1727" s="6" t="s">
        <v>146</v>
      </c>
      <c r="I1727" s="6">
        <v>32500</v>
      </c>
      <c r="J1727" s="6">
        <v>0</v>
      </c>
      <c r="K1727" s="6">
        <v>0</v>
      </c>
      <c r="L1727" s="6">
        <v>0</v>
      </c>
      <c r="M1727" s="6">
        <v>0</v>
      </c>
      <c r="N1727" s="6">
        <v>0</v>
      </c>
      <c r="O1727" s="4">
        <f>SUM(I1727:N1727)</f>
        <v>32500</v>
      </c>
      <c r="P1727" s="5">
        <f>SUMIFS('Desenvolvimento diário'!$H:$H,'Desenvolvimento diário'!$Q:$Q,$B1727,'Desenvolvimento diário'!$P:$P,$F1727,'Desenvolvimento diário'!$R:$R,"Sim")</f>
        <v>0</v>
      </c>
      <c r="Q1727" s="5">
        <f>SUMIFS('Desenvolvimento diário'!$H:$H,'Desenvolvimento diário'!$Q:$Q,$B1727,'Desenvolvimento diário'!$P:$P,$F1727,'Desenvolvimento diário'!$R:$R,"Não")</f>
        <v>32500</v>
      </c>
      <c r="R1727" s="4">
        <f>SUM(P1727:Q1727)</f>
        <v>32500</v>
      </c>
      <c r="S1727" s="4">
        <f>O1727-R1727</f>
        <v>0</v>
      </c>
      <c r="T1727" s="12">
        <f>IFERROR(R1727/O1727,0)</f>
        <v>1</v>
      </c>
      <c r="Y1727" s="2"/>
      <c r="Z1727" s="2"/>
      <c r="AA1727" s="2"/>
      <c r="AB1727" s="2"/>
      <c r="AC1727" s="2"/>
    </row>
    <row r="1728" spans="1:29" ht="10.5" hidden="1">
      <c r="A1728" s="2">
        <f>A1727</f>
        <v>50</v>
      </c>
      <c r="B1728" s="2" t="str">
        <f>VLOOKUP($A1728,Controle!$B$4:$F$68,2,FALSE)</f>
        <v>Passos 4</v>
      </c>
      <c r="C1728" s="2" t="str">
        <f>VLOOKUP($A1728,Controle!$B$4:$F$68,3,FALSE)</f>
        <v>MORI MINAS V</v>
      </c>
      <c r="D1728" s="2" t="str">
        <f>VLOOKUP($A1728,Controle!$B$4:$F$68,4,FALSE)</f>
        <v>NewCo V</v>
      </c>
      <c r="E1728" s="2">
        <f>VLOOKUP($A1728,Controle!$B$4:$F$68,5,FALSE)</f>
        <v>3</v>
      </c>
      <c r="F1728" s="3" t="str">
        <f>F1693</f>
        <v>Desenvolvimento de projeto - Projetos Básica</v>
      </c>
      <c r="G1728" s="2" t="str">
        <f>VLOOKUP($A1728,Controle!$B$4:$G$68,6,FALSE)</f>
        <v>Solatio</v>
      </c>
      <c r="H1728" s="6" t="s">
        <v>147</v>
      </c>
      <c r="I1728" s="6">
        <f>20000+15000</f>
        <v>35000</v>
      </c>
      <c r="J1728" s="6">
        <f>2868.41-0.416667</f>
        <v>2867.9933329999999</v>
      </c>
      <c r="K1728" s="6">
        <v>0</v>
      </c>
      <c r="L1728" s="6">
        <v>0</v>
      </c>
      <c r="M1728" s="6">
        <v>0</v>
      </c>
      <c r="N1728" s="6">
        <v>0</v>
      </c>
      <c r="O1728" s="4">
        <f>SUM(I1728:N1728)</f>
        <v>37867.993332999999</v>
      </c>
      <c r="P1728" s="5">
        <f>SUMIFS('Desenvolvimento diário'!$H:$H,'Desenvolvimento diário'!$Q:$Q,$B1728,'Desenvolvimento diário'!$P:$P,$F1728,'Desenvolvimento diário'!$R:$R,"Sim")</f>
        <v>0</v>
      </c>
      <c r="Q1728" s="5">
        <f>SUMIFS('Desenvolvimento diário'!$H:$H,'Desenvolvimento diário'!$Q:$Q,$B1728,'Desenvolvimento diário'!$P:$P,$F1728,'Desenvolvimento diário'!$R:$R,"Não")</f>
        <v>37867.993332999999</v>
      </c>
      <c r="R1728" s="4">
        <f>SUM(P1728:Q1728)</f>
        <v>37867.993332999999</v>
      </c>
      <c r="S1728" s="1016">
        <f>O1728-R1728</f>
        <v>0</v>
      </c>
      <c r="T1728" s="12">
        <f>IFERROR(R1728/O1728,0)</f>
        <v>1</v>
      </c>
      <c r="U1728" s="34"/>
      <c r="Y1728" s="2"/>
      <c r="Z1728" s="2"/>
      <c r="AA1728" s="2"/>
      <c r="AB1728" s="2"/>
      <c r="AC1728" s="2"/>
    </row>
    <row r="1729" spans="1:29" ht="10.5" hidden="1">
      <c r="A1729" s="2">
        <f>A1728</f>
        <v>50</v>
      </c>
      <c r="B1729" s="2" t="str">
        <f>VLOOKUP($A1729,Controle!$B$4:$F$68,2,FALSE)</f>
        <v>Passos 4</v>
      </c>
      <c r="C1729" s="2" t="str">
        <f>VLOOKUP($A1729,Controle!$B$4:$F$68,3,FALSE)</f>
        <v>MORI MINAS V</v>
      </c>
      <c r="D1729" s="2" t="str">
        <f>VLOOKUP($A1729,Controle!$B$4:$F$68,4,FALSE)</f>
        <v>NewCo V</v>
      </c>
      <c r="E1729" s="2">
        <f>VLOOKUP($A1729,Controle!$B$4:$F$68,5,FALSE)</f>
        <v>3</v>
      </c>
      <c r="F1729" s="3" t="str">
        <f>F1694</f>
        <v>Desenvolvimento de projeto - Projetos Detalhada</v>
      </c>
      <c r="G1729" s="2" t="str">
        <f>VLOOKUP($A1729,Controle!$B$4:$G$68,6,FALSE)</f>
        <v>Solatio</v>
      </c>
      <c r="H1729" s="6">
        <v>0</v>
      </c>
      <c r="I1729" s="6">
        <v>0</v>
      </c>
      <c r="J1729" s="6">
        <v>0</v>
      </c>
      <c r="K1729" s="6">
        <v>0</v>
      </c>
      <c r="L1729" s="6">
        <v>0</v>
      </c>
      <c r="M1729" s="6">
        <v>0</v>
      </c>
      <c r="N1729" s="6">
        <v>0</v>
      </c>
      <c r="O1729" s="4">
        <f>SUM(I1729:N1729)</f>
        <v>0</v>
      </c>
      <c r="P1729" s="5">
        <f>SUMIFS('Desenvolvimento diário'!$H:$H,'Desenvolvimento diário'!$Q:$Q,$B1729,'Desenvolvimento diário'!$P:$P,$F1729,'Desenvolvimento diário'!$R:$R,"Sim")</f>
        <v>0</v>
      </c>
      <c r="Q1729" s="5">
        <f>SUMIFS('Desenvolvimento diário'!$H:$H,'Desenvolvimento diário'!$Q:$Q,$B1729,'Desenvolvimento diário'!$P:$P,$F1729,'Desenvolvimento diário'!$R:$R,"Não")</f>
        <v>0</v>
      </c>
      <c r="R1729" s="4">
        <f>SUM(P1729:Q1729)</f>
        <v>0</v>
      </c>
      <c r="S1729" s="4">
        <f>O1729-R1729</f>
        <v>0</v>
      </c>
      <c r="T1729" s="12">
        <f>IFERROR(R1729/O1729,0)</f>
        <v>0</v>
      </c>
      <c r="Y1729" s="2"/>
      <c r="Z1729" s="2"/>
      <c r="AA1729" s="2"/>
      <c r="AB1729" s="2"/>
      <c r="AC1729" s="2"/>
    </row>
    <row r="1730" spans="1:29" ht="10.5" hidden="1">
      <c r="A1730" s="2">
        <f>A1729</f>
        <v>50</v>
      </c>
      <c r="B1730" s="2" t="str">
        <f>VLOOKUP($A1730,Controle!$B$4:$F$68,2,FALSE)</f>
        <v>Passos 4</v>
      </c>
      <c r="C1730" s="2" t="str">
        <f>VLOOKUP($A1730,Controle!$B$4:$F$68,3,FALSE)</f>
        <v>MORI MINAS V</v>
      </c>
      <c r="D1730" s="2" t="str">
        <f>VLOOKUP($A1730,Controle!$B$4:$F$68,4,FALSE)</f>
        <v>NewCo V</v>
      </c>
      <c r="E1730" s="2">
        <f>VLOOKUP($A1730,Controle!$B$4:$F$68,5,FALSE)</f>
        <v>3</v>
      </c>
      <c r="F1730" s="3" t="str">
        <f>F1695</f>
        <v>Desenvolvimento de projeto - Ambiental / Outros</v>
      </c>
      <c r="G1730" s="2" t="str">
        <f>VLOOKUP($A1730,Controle!$B$4:$G$68,6,FALSE)</f>
        <v>Solatio</v>
      </c>
      <c r="H1730" s="6" t="s">
        <v>148</v>
      </c>
      <c r="I1730" s="6">
        <f>R1730</f>
        <v>123621.95</v>
      </c>
      <c r="J1730" s="6">
        <v>0</v>
      </c>
      <c r="K1730" s="6">
        <v>0</v>
      </c>
      <c r="L1730" s="6">
        <v>0</v>
      </c>
      <c r="M1730" s="6">
        <v>0</v>
      </c>
      <c r="N1730" s="6">
        <v>0</v>
      </c>
      <c r="O1730" s="4">
        <f>SUM(I1730:N1730)</f>
        <v>123621.95</v>
      </c>
      <c r="P1730" s="5">
        <f>SUMIFS('Desenvolvimento diário'!$H:$H,'Desenvolvimento diário'!$Q:$Q,$B1730,'Desenvolvimento diário'!$P:$P,$F1730,'Desenvolvimento diário'!$R:$R,"Sim")</f>
        <v>0</v>
      </c>
      <c r="Q1730" s="5">
        <f>SUMIFS('Desenvolvimento diário'!$H:$H,'Desenvolvimento diário'!$Q:$Q,$B1730,'Desenvolvimento diário'!$P:$P,$F1730,'Desenvolvimento diário'!$R:$R,"Não")</f>
        <v>123621.95</v>
      </c>
      <c r="R1730" s="4">
        <f>SUM(P1730:Q1730)</f>
        <v>123621.95</v>
      </c>
      <c r="S1730" s="4">
        <f>O1730-R1730</f>
        <v>0</v>
      </c>
      <c r="T1730" s="12">
        <f>IFERROR(R1730/O1730,0)</f>
        <v>1</v>
      </c>
      <c r="Y1730" s="2"/>
      <c r="Z1730" s="2"/>
      <c r="AA1730" s="2"/>
      <c r="AB1730" s="2"/>
      <c r="AC1730" s="2"/>
    </row>
    <row r="1731" spans="1:29" hidden="1">
      <c r="A1731" s="2">
        <f>A1730</f>
        <v>50</v>
      </c>
      <c r="B1731" s="2" t="str">
        <f>VLOOKUP($A1731,Controle!$B$4:$F$68,2,FALSE)</f>
        <v>Passos 4</v>
      </c>
      <c r="C1731" s="2" t="str">
        <f>VLOOKUP($A1731,Controle!$B$4:$F$68,3,FALSE)</f>
        <v>MORI MINAS V</v>
      </c>
      <c r="D1731" s="2" t="str">
        <f>VLOOKUP($A1731,Controle!$B$4:$F$68,4,FALSE)</f>
        <v>NewCo V</v>
      </c>
      <c r="E1731" s="2">
        <f>VLOOKUP($A1731,Controle!$B$4:$F$68,5,FALSE)</f>
        <v>3</v>
      </c>
      <c r="F1731" s="3" t="str">
        <f>F1696</f>
        <v>Desenvolvimento de projeto - Coordenograma</v>
      </c>
      <c r="G1731" s="2" t="str">
        <f>VLOOKUP($A1731,Controle!$B$4:$G$68,6,FALSE)</f>
        <v>Solatio</v>
      </c>
      <c r="H1731" s="31" t="s">
        <v>149</v>
      </c>
      <c r="I1731" s="31">
        <v>6206.9</v>
      </c>
      <c r="J1731" s="31">
        <v>0</v>
      </c>
      <c r="K1731" s="31">
        <v>0</v>
      </c>
      <c r="L1731" s="6">
        <v>0</v>
      </c>
      <c r="M1731" s="6">
        <v>0</v>
      </c>
      <c r="N1731" s="6">
        <v>0</v>
      </c>
      <c r="O1731" s="4">
        <f>SUM(I1731:N1731)</f>
        <v>6206.9</v>
      </c>
      <c r="P1731" s="5">
        <f>SUMIFS('Desenvolvimento diário'!$H:$H,'Desenvolvimento diário'!$Q:$Q,$B1731,'Desenvolvimento diário'!$P:$P,$F1731,'Desenvolvimento diário'!$R:$R,"Sim")</f>
        <v>0</v>
      </c>
      <c r="Q1731" s="5">
        <f>SUMIFS('Desenvolvimento diário'!$H:$H,'Desenvolvimento diário'!$Q:$Q,$B1731,'Desenvolvimento diário'!$P:$P,$F1731,'Desenvolvimento diário'!$R:$R,"Não")</f>
        <v>6206.9</v>
      </c>
      <c r="R1731" s="4">
        <f>SUM(P1731:Q1731)</f>
        <v>6206.9</v>
      </c>
      <c r="S1731" s="4">
        <f>O1731-R1731</f>
        <v>0</v>
      </c>
      <c r="T1731" s="12">
        <f>IFERROR(R1731/O1731,0)</f>
        <v>1</v>
      </c>
      <c r="Y1731" s="2"/>
      <c r="Z1731" s="2"/>
      <c r="AA1731" s="2"/>
      <c r="AB1731" s="2"/>
      <c r="AC1731" s="2"/>
    </row>
    <row r="1732" spans="1:29" ht="10.5" hidden="1">
      <c r="A1732" s="2">
        <f>A1731</f>
        <v>50</v>
      </c>
      <c r="B1732" s="2" t="str">
        <f>VLOOKUP($A1732,Controle!$B$4:$F$68,2,FALSE)</f>
        <v>Passos 4</v>
      </c>
      <c r="C1732" s="2" t="str">
        <f>VLOOKUP($A1732,Controle!$B$4:$F$68,3,FALSE)</f>
        <v>MORI MINAS V</v>
      </c>
      <c r="D1732" s="2" t="str">
        <f>VLOOKUP($A1732,Controle!$B$4:$F$68,4,FALSE)</f>
        <v>NewCo V</v>
      </c>
      <c r="E1732" s="2">
        <f>VLOOKUP($A1732,Controle!$B$4:$F$68,5,FALSE)</f>
        <v>3</v>
      </c>
      <c r="F1732" s="3" t="str">
        <f>F1697</f>
        <v>Sistemas de Monitoramento - Supervisório</v>
      </c>
      <c r="G1732" s="2" t="str">
        <f>VLOOKUP($A1732,Controle!$B$4:$G$68,6,FALSE)</f>
        <v>Solatio</v>
      </c>
      <c r="H1732" s="6" t="s">
        <v>150</v>
      </c>
      <c r="I1732" s="6">
        <f>136155-0.01</f>
        <v>136154.99</v>
      </c>
      <c r="J1732" s="6"/>
      <c r="K1732" s="6">
        <v>0</v>
      </c>
      <c r="L1732" s="6">
        <v>0</v>
      </c>
      <c r="M1732" s="6">
        <v>0</v>
      </c>
      <c r="N1732" s="6">
        <v>0</v>
      </c>
      <c r="O1732" s="4">
        <f>SUM(I1732:N1732)</f>
        <v>136154.99</v>
      </c>
      <c r="P1732" s="5">
        <f>SUMIFS('Desenvolvimento diário'!$H:$H,'Desenvolvimento diário'!$Q:$Q,$B1732,'Desenvolvimento diário'!$P:$P,$F1732,'Desenvolvimento diário'!$R:$R,"Sim")</f>
        <v>5821.02</v>
      </c>
      <c r="Q1732" s="5">
        <f>SUMIFS('Desenvolvimento diário'!$H:$H,'Desenvolvimento diário'!$Q:$Q,$B1732,'Desenvolvimento diário'!$P:$P,$F1732,'Desenvolvimento diário'!$R:$R,"Não")</f>
        <v>130333.97000000002</v>
      </c>
      <c r="R1732" s="4">
        <f>SUM(P1732:Q1732)</f>
        <v>136154.99000000002</v>
      </c>
      <c r="S1732" s="43">
        <f>O1732-R1732</f>
        <v>0</v>
      </c>
      <c r="T1732" s="12">
        <f>IFERROR(R1732/O1732,0)</f>
        <v>1.0000000000000002</v>
      </c>
      <c r="Y1732" s="2"/>
      <c r="Z1732" s="2"/>
      <c r="AA1732" s="2"/>
      <c r="AB1732" s="2"/>
      <c r="AC1732" s="2"/>
    </row>
    <row r="1733" spans="1:29" ht="10.5" hidden="1">
      <c r="A1733" s="2">
        <f>A1732</f>
        <v>50</v>
      </c>
      <c r="B1733" s="2" t="str">
        <f>VLOOKUP($A1733,Controle!$B$4:$F$68,2,FALSE)</f>
        <v>Passos 4</v>
      </c>
      <c r="C1733" s="2" t="str">
        <f>VLOOKUP($A1733,Controle!$B$4:$F$68,3,FALSE)</f>
        <v>MORI MINAS V</v>
      </c>
      <c r="D1733" s="2" t="str">
        <f>VLOOKUP($A1733,Controle!$B$4:$F$68,4,FALSE)</f>
        <v>NewCo V</v>
      </c>
      <c r="E1733" s="2">
        <f>VLOOKUP($A1733,Controle!$B$4:$F$68,5,FALSE)</f>
        <v>3</v>
      </c>
      <c r="F1733" s="3" t="str">
        <f>F1698</f>
        <v>Sistemas de Monitoramento - Estações Solarimétricas</v>
      </c>
      <c r="G1733" s="2" t="str">
        <f>VLOOKUP($A1733,Controle!$B$4:$G$68,6,FALSE)</f>
        <v>Solatio</v>
      </c>
      <c r="H1733" s="6" t="s">
        <v>151</v>
      </c>
      <c r="I1733" s="6">
        <v>48276.516000000003</v>
      </c>
      <c r="J1733" s="6">
        <v>0</v>
      </c>
      <c r="K1733" s="6">
        <v>0</v>
      </c>
      <c r="L1733" s="6">
        <v>0</v>
      </c>
      <c r="M1733" s="6">
        <v>0</v>
      </c>
      <c r="N1733" s="6">
        <v>0</v>
      </c>
      <c r="O1733" s="4">
        <f>SUM(I1733:N1733)</f>
        <v>48276.516000000003</v>
      </c>
      <c r="P1733" s="5">
        <f>SUMIFS('Desenvolvimento diário'!$H:$H,'Desenvolvimento diário'!$Q:$Q,$B1733,'Desenvolvimento diário'!$P:$P,$F1733,'Desenvolvimento diário'!$R:$R,"Sim")</f>
        <v>0</v>
      </c>
      <c r="Q1733" s="5">
        <f>SUMIFS('Desenvolvimento diário'!$H:$H,'Desenvolvimento diário'!$Q:$Q,$B1733,'Desenvolvimento diário'!$P:$P,$F1733,'Desenvolvimento diário'!$R:$R,"Não")</f>
        <v>48276.516000000003</v>
      </c>
      <c r="R1733" s="4">
        <f>SUM(P1733:Q1733)</f>
        <v>48276.516000000003</v>
      </c>
      <c r="S1733" s="4">
        <f>O1733-R1733</f>
        <v>0</v>
      </c>
      <c r="T1733" s="12">
        <f>IFERROR(R1733/O1733,0)</f>
        <v>1</v>
      </c>
      <c r="Y1733" s="2"/>
      <c r="Z1733" s="2"/>
      <c r="AA1733" s="2"/>
      <c r="AB1733" s="2"/>
      <c r="AC1733" s="2"/>
    </row>
    <row r="1734" spans="1:29" hidden="1">
      <c r="A1734" s="2">
        <f>A1733</f>
        <v>50</v>
      </c>
      <c r="B1734" s="2" t="str">
        <f>VLOOKUP($A1734,Controle!$B$4:$F$68,2,FALSE)</f>
        <v>Passos 4</v>
      </c>
      <c r="C1734" s="2" t="str">
        <f>VLOOKUP($A1734,Controle!$B$4:$F$68,3,FALSE)</f>
        <v>MORI MINAS V</v>
      </c>
      <c r="D1734" s="2" t="str">
        <f>VLOOKUP($A1734,Controle!$B$4:$F$68,4,FALSE)</f>
        <v>NewCo V</v>
      </c>
      <c r="E1734" s="2">
        <f>VLOOKUP($A1734,Controle!$B$4:$F$68,5,FALSE)</f>
        <v>3</v>
      </c>
      <c r="F1734" s="3" t="str">
        <f>F1699</f>
        <v>Sistemas de Monitoramento - CFTV</v>
      </c>
      <c r="G1734" s="2" t="str">
        <f>VLOOKUP($A1734,Controle!$B$4:$G$68,6,FALSE)</f>
        <v>Solatio</v>
      </c>
      <c r="H1734" s="31" t="s">
        <v>152</v>
      </c>
      <c r="I1734" s="6">
        <v>263261.44</v>
      </c>
      <c r="J1734" s="6">
        <v>0</v>
      </c>
      <c r="K1734" s="6">
        <v>0</v>
      </c>
      <c r="L1734" s="6">
        <v>0</v>
      </c>
      <c r="M1734" s="6">
        <v>0</v>
      </c>
      <c r="N1734" s="6">
        <v>0</v>
      </c>
      <c r="O1734" s="4">
        <f>SUM(I1734:N1734)</f>
        <v>263261.44</v>
      </c>
      <c r="P1734" s="5">
        <f>SUMIFS('Desenvolvimento diário'!$H:$H,'Desenvolvimento diário'!$Q:$Q,$B1734,'Desenvolvimento diário'!$P:$P,$F1734,'Desenvolvimento diário'!$R:$R,"Sim")</f>
        <v>0</v>
      </c>
      <c r="Q1734" s="5">
        <f>SUMIFS('Desenvolvimento diário'!$H:$H,'Desenvolvimento diário'!$Q:$Q,$B1734,'Desenvolvimento diário'!$P:$P,$F1734,'Desenvolvimento diário'!$R:$R,"Não")</f>
        <v>263261.44</v>
      </c>
      <c r="R1734" s="4">
        <f>SUM(P1734:Q1734)</f>
        <v>263261.44</v>
      </c>
      <c r="S1734" s="4">
        <f>O1734-R1734</f>
        <v>0</v>
      </c>
      <c r="T1734" s="12">
        <f>IFERROR(R1734/O1734,0)</f>
        <v>1</v>
      </c>
      <c r="Y1734" s="2"/>
      <c r="Z1734" s="2"/>
      <c r="AA1734" s="2"/>
      <c r="AB1734" s="2"/>
      <c r="AC1734" s="2"/>
    </row>
    <row r="1735" spans="1:29" ht="10.5" hidden="1">
      <c r="A1735" s="2">
        <f>A1734</f>
        <v>50</v>
      </c>
      <c r="B1735" s="2" t="str">
        <f>VLOOKUP($A1735,Controle!$B$4:$F$68,2,FALSE)</f>
        <v>Passos 4</v>
      </c>
      <c r="C1735" s="2" t="str">
        <f>VLOOKUP($A1735,Controle!$B$4:$F$68,3,FALSE)</f>
        <v>MORI MINAS V</v>
      </c>
      <c r="D1735" s="2" t="str">
        <f>VLOOKUP($A1735,Controle!$B$4:$F$68,4,FALSE)</f>
        <v>NewCo V</v>
      </c>
      <c r="E1735" s="2">
        <f>VLOOKUP($A1735,Controle!$B$4:$F$68,5,FALSE)</f>
        <v>3</v>
      </c>
      <c r="F1735" s="3" t="str">
        <f>F1700</f>
        <v>Serviços Auxiliares - Drenagem</v>
      </c>
      <c r="G1735" s="2" t="str">
        <f>VLOOKUP($A1735,Controle!$B$4:$G$68,6,FALSE)</f>
        <v>Solatio</v>
      </c>
      <c r="H1735" s="31" t="s">
        <v>233</v>
      </c>
      <c r="I1735" s="31">
        <v>867355.13</v>
      </c>
      <c r="J1735" s="6">
        <v>0</v>
      </c>
      <c r="K1735" s="6">
        <v>0</v>
      </c>
      <c r="L1735" s="6">
        <v>0</v>
      </c>
      <c r="M1735" s="6">
        <v>0</v>
      </c>
      <c r="N1735" s="6">
        <v>0</v>
      </c>
      <c r="O1735" s="4">
        <f>SUM(I1735:N1735)</f>
        <v>867355.13</v>
      </c>
      <c r="P1735" s="5">
        <f>SUMIFS('Desenvolvimento diário'!$H:$H,'Desenvolvimento diário'!$Q:$Q,$B1735,'Desenvolvimento diário'!$P:$P,$F1735,'Desenvolvimento diário'!$R:$R,"Sim")</f>
        <v>0</v>
      </c>
      <c r="Q1735" s="5">
        <f>SUMIFS('Desenvolvimento diário'!$H:$H,'Desenvolvimento diário'!$Q:$Q,$B1735,'Desenvolvimento diário'!$P:$P,$F1735,'Desenvolvimento diário'!$R:$R,"Não")</f>
        <v>867355.13</v>
      </c>
      <c r="R1735" s="4">
        <f>SUM(P1735:Q1735)</f>
        <v>867355.13</v>
      </c>
      <c r="S1735" s="27">
        <f>O1735-R1735</f>
        <v>0</v>
      </c>
      <c r="T1735" s="12">
        <f>IFERROR(R1735/O1735,0)</f>
        <v>1</v>
      </c>
      <c r="Y1735" s="2"/>
      <c r="Z1735" s="2"/>
      <c r="AA1735" s="2"/>
      <c r="AB1735" s="2"/>
      <c r="AC1735" s="2"/>
    </row>
    <row r="1736" spans="1:29" ht="10.5" hidden="1">
      <c r="A1736" s="2">
        <f>A1735</f>
        <v>50</v>
      </c>
      <c r="B1736" s="2" t="str">
        <f>VLOOKUP($A1736,Controle!$B$4:$F$68,2,FALSE)</f>
        <v>Passos 4</v>
      </c>
      <c r="C1736" s="2" t="str">
        <f>VLOOKUP($A1736,Controle!$B$4:$F$68,3,FALSE)</f>
        <v>MORI MINAS V</v>
      </c>
      <c r="D1736" s="2" t="str">
        <f>VLOOKUP($A1736,Controle!$B$4:$F$68,4,FALSE)</f>
        <v>NewCo V</v>
      </c>
      <c r="E1736" s="2">
        <f>VLOOKUP($A1736,Controle!$B$4:$F$68,5,FALSE)</f>
        <v>3</v>
      </c>
      <c r="F1736" s="3" t="str">
        <f>F1701</f>
        <v>Serviços Auxiliares - Terraplanagem</v>
      </c>
      <c r="G1736" s="2" t="str">
        <f>VLOOKUP($A1736,Controle!$B$4:$G$68,6,FALSE)</f>
        <v>Solatio</v>
      </c>
      <c r="H1736" s="6" t="s">
        <v>214</v>
      </c>
      <c r="I1736" s="6">
        <v>643086.86</v>
      </c>
      <c r="J1736" s="6">
        <v>44180.6</v>
      </c>
      <c r="K1736" s="6">
        <v>0</v>
      </c>
      <c r="L1736" s="6">
        <v>0</v>
      </c>
      <c r="M1736" s="6">
        <v>0</v>
      </c>
      <c r="N1736" s="6">
        <v>0</v>
      </c>
      <c r="O1736" s="4">
        <f>SUM(I1736:N1736)</f>
        <v>687267.46</v>
      </c>
      <c r="P1736" s="5">
        <f>SUMIFS('Desenvolvimento diário'!$H:$H,'Desenvolvimento diário'!$Q:$Q,$B1736,'Desenvolvimento diário'!$P:$P,$F1736,'Desenvolvimento diário'!$R:$R,"Sim")</f>
        <v>0</v>
      </c>
      <c r="Q1736" s="5">
        <f>SUMIFS('Desenvolvimento diário'!$H:$H,'Desenvolvimento diário'!$Q:$Q,$B1736,'Desenvolvimento diário'!$P:$P,$F1736,'Desenvolvimento diário'!$R:$R,"Não")</f>
        <v>687267.46</v>
      </c>
      <c r="R1736" s="4">
        <f>SUM(P1736:Q1736)</f>
        <v>687267.46</v>
      </c>
      <c r="S1736" s="27">
        <f>O1736-R1736</f>
        <v>0</v>
      </c>
      <c r="T1736" s="12">
        <f>IFERROR(R1736/O1736,0)</f>
        <v>1</v>
      </c>
      <c r="Y1736" s="2"/>
      <c r="Z1736" s="2"/>
      <c r="AA1736" s="2"/>
      <c r="AB1736" s="2"/>
      <c r="AC1736" s="2"/>
    </row>
    <row r="1737" spans="1:29" ht="10.5" hidden="1">
      <c r="A1737" s="2">
        <f>A1736</f>
        <v>50</v>
      </c>
      <c r="B1737" s="2" t="str">
        <f>VLOOKUP($A1737,Controle!$B$4:$F$68,2,FALSE)</f>
        <v>Passos 4</v>
      </c>
      <c r="C1737" s="2" t="str">
        <f>VLOOKUP($A1737,Controle!$B$4:$F$68,3,FALSE)</f>
        <v>MORI MINAS V</v>
      </c>
      <c r="D1737" s="2" t="str">
        <f>VLOOKUP($A1737,Controle!$B$4:$F$68,4,FALSE)</f>
        <v>NewCo V</v>
      </c>
      <c r="E1737" s="2">
        <f>VLOOKUP($A1737,Controle!$B$4:$F$68,5,FALSE)</f>
        <v>3</v>
      </c>
      <c r="F1737" s="3" t="str">
        <f>F1702</f>
        <v>Serviços Auxiliares - Supressão Vegetal</v>
      </c>
      <c r="G1737" s="2" t="str">
        <f>VLOOKUP($A1737,Controle!$B$4:$G$68,6,FALSE)</f>
        <v>Solatio</v>
      </c>
      <c r="H1737" s="6" t="s">
        <v>155</v>
      </c>
      <c r="I1737" s="6">
        <f>128197.74-0.01</f>
        <v>128197.73000000001</v>
      </c>
      <c r="J1737" s="6">
        <v>16000</v>
      </c>
      <c r="K1737" s="6">
        <v>0</v>
      </c>
      <c r="L1737" s="6">
        <v>0</v>
      </c>
      <c r="M1737" s="6">
        <v>0</v>
      </c>
      <c r="N1737" s="6">
        <v>0</v>
      </c>
      <c r="O1737" s="4">
        <f>SUM(I1737:N1737)</f>
        <v>144197.73000000001</v>
      </c>
      <c r="P1737" s="5">
        <f>SUMIFS('Desenvolvimento diário'!$H:$H,'Desenvolvimento diário'!$Q:$Q,$B1737,'Desenvolvimento diário'!$P:$P,$F1737,'Desenvolvimento diário'!$R:$R,"Sim")</f>
        <v>0</v>
      </c>
      <c r="Q1737" s="5">
        <f>SUMIFS('Desenvolvimento diário'!$H:$H,'Desenvolvimento diário'!$Q:$Q,$B1737,'Desenvolvimento diário'!$P:$P,$F1737,'Desenvolvimento diário'!$R:$R,"Não")</f>
        <v>144197.72999999998</v>
      </c>
      <c r="R1737" s="4">
        <f>SUM(P1737:Q1737)</f>
        <v>144197.72999999998</v>
      </c>
      <c r="S1737" s="190">
        <f>O1737-R1737</f>
        <v>0</v>
      </c>
      <c r="T1737" s="36">
        <f>IFERROR(R1737/O1737,0)</f>
        <v>0.99999999999999978</v>
      </c>
      <c r="U1737" s="34"/>
      <c r="V1737" s="34"/>
      <c r="Y1737" s="2"/>
      <c r="Z1737" s="2"/>
      <c r="AA1737" s="2"/>
      <c r="AB1737" s="2"/>
      <c r="AC1737" s="2"/>
    </row>
    <row r="1738" spans="1:29" ht="10.5" hidden="1">
      <c r="A1738" s="2">
        <f>A1737</f>
        <v>50</v>
      </c>
      <c r="B1738" s="2" t="str">
        <f>VLOOKUP($A1738,Controle!$B$4:$F$68,2,FALSE)</f>
        <v>Passos 4</v>
      </c>
      <c r="C1738" s="2" t="str">
        <f>VLOOKUP($A1738,Controle!$B$4:$F$68,3,FALSE)</f>
        <v>MORI MINAS V</v>
      </c>
      <c r="D1738" s="2" t="str">
        <f>VLOOKUP($A1738,Controle!$B$4:$F$68,4,FALSE)</f>
        <v>NewCo V</v>
      </c>
      <c r="E1738" s="2">
        <f>VLOOKUP($A1738,Controle!$B$4:$F$68,5,FALSE)</f>
        <v>3</v>
      </c>
      <c r="F1738" s="3" t="str">
        <f>F1703</f>
        <v>RDR-Rede de Distribuição Rural</v>
      </c>
      <c r="G1738" s="2" t="str">
        <f>VLOOKUP($A1738,Controle!$B$4:$G$68,6,FALSE)</f>
        <v>Solatio</v>
      </c>
      <c r="H1738" s="6" t="s">
        <v>168</v>
      </c>
      <c r="I1738" s="6">
        <v>74000</v>
      </c>
      <c r="J1738" s="6">
        <v>0</v>
      </c>
      <c r="K1738" s="6">
        <v>0</v>
      </c>
      <c r="L1738" s="6">
        <v>0</v>
      </c>
      <c r="M1738" s="6">
        <v>0</v>
      </c>
      <c r="N1738" s="6">
        <v>0</v>
      </c>
      <c r="O1738" s="4">
        <f>SUM(I1738:N1738)</f>
        <v>74000</v>
      </c>
      <c r="P1738" s="5">
        <f>SUMIFS('Desenvolvimento diário'!$H:$H,'Desenvolvimento diário'!$Q:$Q,$B1738,'Desenvolvimento diário'!$P:$P,$F1738,'Desenvolvimento diário'!$R:$R,"Sim")</f>
        <v>0</v>
      </c>
      <c r="Q1738" s="5">
        <f>SUMIFS('Desenvolvimento diário'!$H:$H,'Desenvolvimento diário'!$Q:$Q,$B1738,'Desenvolvimento diário'!$P:$P,$F1738,'Desenvolvimento diário'!$R:$R,"Não")</f>
        <v>74000</v>
      </c>
      <c r="R1738" s="4">
        <f>SUM(P1738:Q1738)</f>
        <v>74000</v>
      </c>
      <c r="S1738" s="4">
        <f>O1738-R1738</f>
        <v>0</v>
      </c>
      <c r="T1738" s="12">
        <f>IFERROR(R1738/O1738,0)</f>
        <v>1</v>
      </c>
      <c r="Y1738" s="2"/>
      <c r="Z1738" s="2"/>
      <c r="AA1738" s="2"/>
      <c r="AB1738" s="2"/>
      <c r="AC1738" s="2"/>
    </row>
    <row r="1739" spans="1:29" ht="10.5" hidden="1">
      <c r="A1739" s="2">
        <f>A1738</f>
        <v>50</v>
      </c>
      <c r="B1739" s="2" t="str">
        <f>VLOOKUP($A1739,Controle!$B$4:$F$68,2,FALSE)</f>
        <v>Passos 4</v>
      </c>
      <c r="C1739" s="2" t="str">
        <f>VLOOKUP($A1739,Controle!$B$4:$F$68,3,FALSE)</f>
        <v>MORI MINAS V</v>
      </c>
      <c r="D1739" s="2" t="str">
        <f>VLOOKUP($A1739,Controle!$B$4:$F$68,4,FALSE)</f>
        <v>NewCo V</v>
      </c>
      <c r="E1739" s="2">
        <f>VLOOKUP($A1739,Controle!$B$4:$F$68,5,FALSE)</f>
        <v>3</v>
      </c>
      <c r="F1739" s="3" t="str">
        <f>F1704</f>
        <v>Escopo COMERC</v>
      </c>
      <c r="G1739" s="2" t="str">
        <f>VLOOKUP($A1739,Controle!$B$4:$G$68,6,FALSE)</f>
        <v>Solatio</v>
      </c>
      <c r="H1739" s="6">
        <v>0</v>
      </c>
      <c r="I1739" s="6">
        <v>60590.89</v>
      </c>
      <c r="J1739" s="29">
        <v>33000</v>
      </c>
      <c r="K1739" s="29"/>
      <c r="L1739" s="6">
        <v>0</v>
      </c>
      <c r="M1739" s="6">
        <v>0</v>
      </c>
      <c r="N1739" s="6">
        <v>0</v>
      </c>
      <c r="O1739" s="4">
        <f>SUM(I1739:N1739)</f>
        <v>93590.89</v>
      </c>
      <c r="P1739" s="5">
        <f>SUMIFS('Desenvolvimento diário'!$H:$H,'Desenvolvimento diário'!$Q:$Q,$B1739,'Desenvolvimento diário'!$P:$P,$F1739,'Desenvolvimento diário'!$R:$R,"Sim")</f>
        <v>0</v>
      </c>
      <c r="Q1739" s="5">
        <f>SUMIFS('Desenvolvimento diário'!$H:$H,'Desenvolvimento diário'!$Q:$Q,$B1739,'Desenvolvimento diário'!$P:$P,$F1739,'Desenvolvimento diário'!$R:$R,"Não")</f>
        <v>61589.67</v>
      </c>
      <c r="R1739" s="4">
        <f>SUM(P1739:Q1739)</f>
        <v>61589.67</v>
      </c>
      <c r="S1739" s="1010">
        <f>O1739-R1739</f>
        <v>32001.22</v>
      </c>
      <c r="T1739" s="12">
        <f>IFERROR(R1739/O1739,0)</f>
        <v>0.65807334453171673</v>
      </c>
      <c r="U1739" s="1011" t="s">
        <v>166</v>
      </c>
      <c r="V1739" s="1011" t="s">
        <v>167</v>
      </c>
      <c r="Y1739" s="2"/>
      <c r="Z1739" s="2"/>
      <c r="AA1739" s="2"/>
      <c r="AB1739" s="2"/>
      <c r="AC1739" s="2"/>
    </row>
    <row r="1740" spans="1:29" ht="10.5" hidden="1">
      <c r="A1740" s="2">
        <f>A1739</f>
        <v>50</v>
      </c>
      <c r="B1740" s="2" t="str">
        <f>VLOOKUP($A1740,Controle!$B$4:$F$68,2,FALSE)</f>
        <v>Passos 4</v>
      </c>
      <c r="C1740" s="2" t="str">
        <f>VLOOKUP($A1740,Controle!$B$4:$F$68,3,FALSE)</f>
        <v>MORI MINAS V</v>
      </c>
      <c r="D1740" s="2" t="str">
        <f>VLOOKUP($A1740,Controle!$B$4:$F$68,4,FALSE)</f>
        <v>NewCo V</v>
      </c>
      <c r="E1740" s="2">
        <f>VLOOKUP($A1740,Controle!$B$4:$F$68,5,FALSE)</f>
        <v>3</v>
      </c>
      <c r="F1740" s="3" t="str">
        <f>F1705</f>
        <v>Escopo COMERC - Segurança</v>
      </c>
      <c r="G1740" s="2" t="str">
        <f>VLOOKUP($A1740,Controle!$B$4:$G$68,6,FALSE)</f>
        <v>Solatio</v>
      </c>
      <c r="H1740" s="6">
        <v>0</v>
      </c>
      <c r="I1740" s="6">
        <f>R1740</f>
        <v>108000</v>
      </c>
      <c r="J1740" s="6">
        <v>0</v>
      </c>
      <c r="K1740" s="6">
        <v>0</v>
      </c>
      <c r="L1740" s="6">
        <v>0</v>
      </c>
      <c r="M1740" s="6">
        <v>0</v>
      </c>
      <c r="N1740" s="6">
        <v>0</v>
      </c>
      <c r="O1740" s="4">
        <f>SUM(I1740:N1740)</f>
        <v>108000</v>
      </c>
      <c r="P1740" s="5">
        <f>SUMIFS('Desenvolvimento diário'!$H:$H,'Desenvolvimento diário'!$Q:$Q,$B1740,'Desenvolvimento diário'!$P:$P,$F1740,'Desenvolvimento diário'!$R:$R,"Sim")</f>
        <v>0</v>
      </c>
      <c r="Q1740" s="5">
        <f>SUMIFS('Desenvolvimento diário'!$H:$H,'Desenvolvimento diário'!$Q:$Q,$B1740,'Desenvolvimento diário'!$P:$P,$F1740,'Desenvolvimento diário'!$R:$R,"Não")</f>
        <v>108000</v>
      </c>
      <c r="R1740" s="4">
        <f>SUM(P1740:Q1740)</f>
        <v>108000</v>
      </c>
      <c r="S1740" s="4">
        <f>O1740-R1740</f>
        <v>0</v>
      </c>
      <c r="T1740" s="12">
        <f>IFERROR(R1740/O1740,0)</f>
        <v>1</v>
      </c>
      <c r="Y1740" s="2"/>
      <c r="Z1740" s="2"/>
      <c r="AA1740" s="2"/>
      <c r="AB1740" s="2"/>
      <c r="AC1740" s="2"/>
    </row>
    <row r="1741" spans="1:29" ht="10.5" hidden="1">
      <c r="A1741" s="2">
        <f>A1740</f>
        <v>50</v>
      </c>
      <c r="B1741" s="2" t="str">
        <f>VLOOKUP($A1741,Controle!$B$4:$F$68,2,FALSE)</f>
        <v>Passos 4</v>
      </c>
      <c r="C1741" s="2" t="str">
        <f>VLOOKUP($A1741,Controle!$B$4:$F$68,3,FALSE)</f>
        <v>MORI MINAS V</v>
      </c>
      <c r="D1741" s="2" t="str">
        <f>VLOOKUP($A1741,Controle!$B$4:$F$68,4,FALSE)</f>
        <v>NewCo V</v>
      </c>
      <c r="E1741" s="2">
        <f>VLOOKUP($A1741,Controle!$B$4:$F$68,5,FALSE)</f>
        <v>3</v>
      </c>
      <c r="F1741" s="3" t="str">
        <f>F1706</f>
        <v>Conexão MT - Obras Transferencia</v>
      </c>
      <c r="G1741" s="2" t="str">
        <f>VLOOKUP($A1741,Controle!$B$4:$G$68,6,FALSE)</f>
        <v>Solatio</v>
      </c>
      <c r="H1741" s="6">
        <v>0</v>
      </c>
      <c r="I1741" s="6">
        <v>0</v>
      </c>
      <c r="J1741" s="6">
        <v>0</v>
      </c>
      <c r="K1741" s="6">
        <v>0</v>
      </c>
      <c r="L1741" s="6">
        <v>0</v>
      </c>
      <c r="M1741" s="6">
        <v>0</v>
      </c>
      <c r="N1741" s="6">
        <v>0</v>
      </c>
      <c r="O1741" s="4">
        <f>SUM(I1741:N1741)</f>
        <v>0</v>
      </c>
      <c r="P1741" s="5">
        <f>SUMIFS('Desenvolvimento diário'!$H:$H,'Desenvolvimento diário'!$Q:$Q,$B1741,'Desenvolvimento diário'!$P:$P,$F1741,'Desenvolvimento diário'!$R:$R,"Sim")</f>
        <v>0</v>
      </c>
      <c r="Q1741" s="5">
        <f>SUMIFS('Desenvolvimento diário'!$H:$H,'Desenvolvimento diário'!$Q:$Q,$B1741,'Desenvolvimento diário'!$P:$P,$F1741,'Desenvolvimento diário'!$R:$R,"Não")</f>
        <v>0</v>
      </c>
      <c r="R1741" s="4">
        <f>SUM(P1741:Q1741)</f>
        <v>0</v>
      </c>
      <c r="S1741" s="4">
        <f>O1741-R1741</f>
        <v>0</v>
      </c>
      <c r="T1741" s="12">
        <f>IFERROR(R1741/O1741,0)</f>
        <v>0</v>
      </c>
      <c r="Y1741" s="2"/>
      <c r="Z1741" s="2"/>
      <c r="AA1741" s="2"/>
      <c r="AB1741" s="2"/>
      <c r="AC1741" s="2"/>
    </row>
    <row r="1742" spans="1:29" ht="10.5" hidden="1">
      <c r="A1742" s="2">
        <f>A1741</f>
        <v>50</v>
      </c>
      <c r="B1742" s="2" t="str">
        <f>VLOOKUP($A1742,Controle!$B$4:$F$68,2,FALSE)</f>
        <v>Passos 4</v>
      </c>
      <c r="C1742" s="2" t="str">
        <f>VLOOKUP($A1742,Controle!$B$4:$F$68,3,FALSE)</f>
        <v>MORI MINAS V</v>
      </c>
      <c r="D1742" s="2" t="str">
        <f>VLOOKUP($A1742,Controle!$B$4:$F$68,4,FALSE)</f>
        <v>NewCo V</v>
      </c>
      <c r="E1742" s="2">
        <f>VLOOKUP($A1742,Controle!$B$4:$F$68,5,FALSE)</f>
        <v>3</v>
      </c>
      <c r="F1742" s="3" t="str">
        <f>F1707</f>
        <v>Bases de Contaniers</v>
      </c>
      <c r="G1742" s="2" t="str">
        <f>VLOOKUP($A1742,Controle!$B$4:$G$68,6,FALSE)</f>
        <v>Solatio</v>
      </c>
      <c r="H1742" s="6">
        <v>0</v>
      </c>
      <c r="I1742" s="6">
        <v>0</v>
      </c>
      <c r="J1742" s="6">
        <v>0</v>
      </c>
      <c r="K1742" s="6">
        <v>0</v>
      </c>
      <c r="L1742" s="6">
        <v>0</v>
      </c>
      <c r="M1742" s="6">
        <v>0</v>
      </c>
      <c r="N1742" s="6">
        <v>0</v>
      </c>
      <c r="O1742" s="4">
        <f>SUM(I1742:N1742)</f>
        <v>0</v>
      </c>
      <c r="P1742" s="5">
        <f>SUMIFS('Desenvolvimento diário'!$H:$H,'Desenvolvimento diário'!$Q:$Q,$B1742,'Desenvolvimento diário'!$P:$P,$F1742,'Desenvolvimento diário'!$R:$R,"Sim")</f>
        <v>0</v>
      </c>
      <c r="Q1742" s="5">
        <f>SUMIFS('Desenvolvimento diário'!$H:$H,'Desenvolvimento diário'!$Q:$Q,$B1742,'Desenvolvimento diário'!$P:$P,$F1742,'Desenvolvimento diário'!$R:$R,"Não")</f>
        <v>0</v>
      </c>
      <c r="R1742" s="4">
        <f>SUM(P1742:Q1742)</f>
        <v>0</v>
      </c>
      <c r="S1742" s="4">
        <f>O1742-R1742</f>
        <v>0</v>
      </c>
      <c r="T1742" s="12">
        <f>IFERROR(R1742/O1742,0)</f>
        <v>0</v>
      </c>
      <c r="Y1742" s="2"/>
      <c r="Z1742" s="2"/>
      <c r="AA1742" s="2"/>
      <c r="AB1742" s="2"/>
      <c r="AC1742" s="2"/>
    </row>
    <row r="1743" spans="1:29" ht="10.5" hidden="1">
      <c r="A1743" s="2">
        <f>A1742</f>
        <v>50</v>
      </c>
      <c r="B1743" s="2" t="str">
        <f>VLOOKUP($A1743,Controle!$B$4:$F$68,2,FALSE)</f>
        <v>Passos 4</v>
      </c>
      <c r="C1743" s="2" t="str">
        <f>VLOOKUP($A1743,Controle!$B$4:$F$68,3,FALSE)</f>
        <v>MORI MINAS V</v>
      </c>
      <c r="D1743" s="2" t="str">
        <f>VLOOKUP($A1743,Controle!$B$4:$F$68,4,FALSE)</f>
        <v>NewCo V</v>
      </c>
      <c r="E1743" s="2">
        <f>VLOOKUP($A1743,Controle!$B$4:$F$68,5,FALSE)</f>
        <v>3</v>
      </c>
      <c r="F1743" s="3" t="str">
        <f>F1708</f>
        <v>Construção - Serviços de Construção - Ase Engenharia</v>
      </c>
      <c r="G1743" s="2" t="str">
        <f>VLOOKUP($A1743,Controle!$B$4:$G$68,6,FALSE)</f>
        <v>Solatio</v>
      </c>
      <c r="H1743" s="6">
        <v>0</v>
      </c>
      <c r="I1743" s="6">
        <v>0</v>
      </c>
      <c r="J1743" s="6">
        <v>0</v>
      </c>
      <c r="K1743" s="6">
        <v>0</v>
      </c>
      <c r="L1743" s="6">
        <v>0</v>
      </c>
      <c r="M1743" s="6">
        <v>0</v>
      </c>
      <c r="N1743" s="6">
        <v>0</v>
      </c>
      <c r="O1743" s="4">
        <f>SUM(I1743:N1743)</f>
        <v>0</v>
      </c>
      <c r="P1743" s="5">
        <f>SUMIFS('Desenvolvimento diário'!$H:$H,'Desenvolvimento diário'!$Q:$Q,$B1743,'Desenvolvimento diário'!$P:$P,$F1743,'Desenvolvimento diário'!$R:$R,"Sim")</f>
        <v>0</v>
      </c>
      <c r="Q1743" s="5">
        <f>SUMIFS('Desenvolvimento diário'!$H:$H,'Desenvolvimento diário'!$Q:$Q,$B1743,'Desenvolvimento diário'!$P:$P,$F1743,'Desenvolvimento diário'!$R:$R,"Não")</f>
        <v>0</v>
      </c>
      <c r="R1743" s="4">
        <f>SUM(P1743:Q1743)</f>
        <v>0</v>
      </c>
      <c r="S1743" s="4">
        <f>O1743-R1743</f>
        <v>0</v>
      </c>
      <c r="T1743" s="12">
        <f>IFERROR(R1743/O1743,0)</f>
        <v>0</v>
      </c>
      <c r="Y1743" s="2"/>
      <c r="Z1743" s="2"/>
      <c r="AA1743" s="2"/>
      <c r="AB1743" s="2"/>
      <c r="AC1743" s="2"/>
    </row>
    <row r="1744" spans="1:29" ht="10.5" hidden="1">
      <c r="A1744" s="2">
        <f>A1743</f>
        <v>50</v>
      </c>
      <c r="B1744" s="2" t="str">
        <f>VLOOKUP($A1744,Controle!$B$4:$F$68,2,FALSE)</f>
        <v>Passos 4</v>
      </c>
      <c r="C1744" s="2" t="str">
        <f>VLOOKUP($A1744,Controle!$B$4:$F$68,3,FALSE)</f>
        <v>MORI MINAS V</v>
      </c>
      <c r="D1744" s="2" t="str">
        <f>VLOOKUP($A1744,Controle!$B$4:$F$68,4,FALSE)</f>
        <v>NewCo V</v>
      </c>
      <c r="E1744" s="2">
        <f>VLOOKUP($A1744,Controle!$B$4:$F$68,5,FALSE)</f>
        <v>3</v>
      </c>
      <c r="F1744" s="3" t="str">
        <f>F1709</f>
        <v>Full EPC - Contrato Sobressalentes</v>
      </c>
      <c r="G1744" s="2" t="str">
        <f>VLOOKUP($A1744,Controle!$B$4:$G$68,6,FALSE)</f>
        <v>Solatio</v>
      </c>
      <c r="H1744" s="6">
        <v>0</v>
      </c>
      <c r="I1744" s="6">
        <v>0</v>
      </c>
      <c r="J1744" s="6">
        <v>0</v>
      </c>
      <c r="K1744" s="6">
        <v>0</v>
      </c>
      <c r="L1744" s="6">
        <v>0</v>
      </c>
      <c r="M1744" s="6">
        <v>0</v>
      </c>
      <c r="N1744" s="6">
        <v>0</v>
      </c>
      <c r="O1744" s="4">
        <f>SUM(I1744:N1744)</f>
        <v>0</v>
      </c>
      <c r="P1744" s="5">
        <f>SUMIFS('Desenvolvimento diário'!$H:$H,'Desenvolvimento diário'!$Q:$Q,$B1744,'Desenvolvimento diário'!$P:$P,$F1744,'Desenvolvimento diário'!$R:$R,"Sim")</f>
        <v>0</v>
      </c>
      <c r="Q1744" s="5">
        <f>SUMIFS('Desenvolvimento diário'!$H:$H,'Desenvolvimento diário'!$Q:$Q,$B1744,'Desenvolvimento diário'!$P:$P,$F1744,'Desenvolvimento diário'!$R:$R,"Não")</f>
        <v>0</v>
      </c>
      <c r="R1744" s="4">
        <f>SUM(P1744:Q1744)</f>
        <v>0</v>
      </c>
      <c r="S1744" s="4">
        <f>O1744-R1744</f>
        <v>0</v>
      </c>
      <c r="T1744" s="12">
        <f>IFERROR(R1744/O1744,0)</f>
        <v>0</v>
      </c>
      <c r="Y1744" s="2"/>
      <c r="Z1744" s="2"/>
      <c r="AA1744" s="2"/>
      <c r="AB1744" s="2"/>
      <c r="AC1744" s="2"/>
    </row>
    <row r="1745" spans="1:29" ht="10.5" hidden="1">
      <c r="A1745" s="2">
        <f>A1744</f>
        <v>50</v>
      </c>
      <c r="B1745" s="2" t="str">
        <f>VLOOKUP($A1745,Controle!$B$4:$F$68,2,FALSE)</f>
        <v>Passos 4</v>
      </c>
      <c r="C1745" s="2" t="str">
        <f>VLOOKUP($A1745,Controle!$B$4:$F$68,3,FALSE)</f>
        <v>MORI MINAS V</v>
      </c>
      <c r="D1745" s="2" t="str">
        <f>VLOOKUP($A1745,Controle!$B$4:$F$68,4,FALSE)</f>
        <v>NewCo V</v>
      </c>
      <c r="E1745" s="2">
        <f>VLOOKUP($A1745,Controle!$B$4:$F$68,5,FALSE)</f>
        <v>3</v>
      </c>
      <c r="F1745" s="3" t="str">
        <f>F1710</f>
        <v>Construção - Serviços de Construção - NOVA MORADA</v>
      </c>
      <c r="G1745" s="2" t="str">
        <f>VLOOKUP($A1745,Controle!$B$4:$G$68,6,FALSE)</f>
        <v>Solatio</v>
      </c>
      <c r="H1745" s="6">
        <v>0</v>
      </c>
      <c r="I1745" s="6">
        <v>0</v>
      </c>
      <c r="J1745" s="6">
        <v>0</v>
      </c>
      <c r="K1745" s="6">
        <v>0</v>
      </c>
      <c r="L1745" s="6">
        <v>0</v>
      </c>
      <c r="M1745" s="6">
        <v>0</v>
      </c>
      <c r="N1745" s="6">
        <v>0</v>
      </c>
      <c r="O1745" s="4">
        <f>SUM(I1745:N1745)</f>
        <v>0</v>
      </c>
      <c r="P1745" s="5">
        <f>SUMIFS('Desenvolvimento diário'!$H:$H,'Desenvolvimento diário'!$Q:$Q,$B1745,'Desenvolvimento diário'!$P:$P,$F1745,'Desenvolvimento diário'!$R:$R,"Sim")</f>
        <v>0</v>
      </c>
      <c r="Q1745" s="5">
        <f>SUMIFS('Desenvolvimento diário'!$H:$H,'Desenvolvimento diário'!$Q:$Q,$B1745,'Desenvolvimento diário'!$P:$P,$F1745,'Desenvolvimento diário'!$R:$R,"Não")</f>
        <v>0</v>
      </c>
      <c r="R1745" s="4">
        <f>SUM(P1745:Q1745)</f>
        <v>0</v>
      </c>
      <c r="S1745" s="4">
        <f>O1745-R1745</f>
        <v>0</v>
      </c>
      <c r="T1745" s="12">
        <f>IFERROR(R1745/O1745,0)</f>
        <v>0</v>
      </c>
      <c r="Y1745" s="2"/>
      <c r="Z1745" s="2"/>
      <c r="AA1745" s="2"/>
      <c r="AB1745" s="2"/>
      <c r="AC1745" s="2"/>
    </row>
    <row r="1746" spans="1:29" ht="10.5" hidden="1">
      <c r="A1746" s="2">
        <f>A1745</f>
        <v>50</v>
      </c>
      <c r="B1746" s="2" t="str">
        <f>VLOOKUP($A1746,Controle!$B$4:$F$68,2,FALSE)</f>
        <v>Passos 4</v>
      </c>
      <c r="C1746" s="2" t="str">
        <f>VLOOKUP($A1746,Controle!$B$4:$F$68,3,FALSE)</f>
        <v>MORI MINAS V</v>
      </c>
      <c r="D1746" s="2" t="str">
        <f>VLOOKUP($A1746,Controle!$B$4:$F$68,4,FALSE)</f>
        <v>NewCo V</v>
      </c>
      <c r="E1746" s="2">
        <f>VLOOKUP($A1746,Controle!$B$4:$F$68,5,FALSE)</f>
        <v>3</v>
      </c>
      <c r="F1746" s="3" t="str">
        <f>F1711</f>
        <v>Equipamentos Curva A -  Contrato Sobressalentes - SETTA</v>
      </c>
      <c r="G1746" s="2" t="str">
        <f>VLOOKUP($A1746,Controle!$B$4:$G$68,6,FALSE)</f>
        <v>Solatio</v>
      </c>
      <c r="H1746" s="6">
        <v>0</v>
      </c>
      <c r="I1746" s="6">
        <v>0</v>
      </c>
      <c r="J1746" s="6">
        <v>0</v>
      </c>
      <c r="K1746" s="6">
        <v>0</v>
      </c>
      <c r="L1746" s="6">
        <v>0</v>
      </c>
      <c r="M1746" s="6">
        <v>0</v>
      </c>
      <c r="N1746" s="6">
        <v>0</v>
      </c>
      <c r="O1746" s="4">
        <f>SUM(I1746:N1746)</f>
        <v>0</v>
      </c>
      <c r="P1746" s="5">
        <f>SUMIFS('Desenvolvimento diário'!$H:$H,'Desenvolvimento diário'!$Q:$Q,$B1746,'Desenvolvimento diário'!$P:$P,$F1746,'Desenvolvimento diário'!$R:$R,"Sim")</f>
        <v>0</v>
      </c>
      <c r="Q1746" s="5">
        <f>SUMIFS('Desenvolvimento diário'!$H:$H,'Desenvolvimento diário'!$Q:$Q,$B1746,'Desenvolvimento diário'!$P:$P,$F1746,'Desenvolvimento diário'!$R:$R,"Não")</f>
        <v>0</v>
      </c>
      <c r="R1746" s="4">
        <f>SUM(P1746:Q1746)</f>
        <v>0</v>
      </c>
      <c r="S1746" s="4">
        <f>O1746-R1746</f>
        <v>0</v>
      </c>
      <c r="T1746" s="12">
        <f>IFERROR(R1746/O1746,0)</f>
        <v>0</v>
      </c>
      <c r="Y1746" s="2"/>
      <c r="Z1746" s="2"/>
      <c r="AA1746" s="2"/>
      <c r="AB1746" s="2"/>
      <c r="AC1746" s="2"/>
    </row>
    <row r="1747" spans="1:29" ht="10.5" hidden="1">
      <c r="A1747" s="2">
        <f t="shared" ref="A1747:A1750" si="562">A1746</f>
        <v>50</v>
      </c>
      <c r="B1747" s="2" t="str">
        <f>VLOOKUP($A1747,Controle!$B$4:$F$68,2,FALSE)</f>
        <v>Passos 4</v>
      </c>
      <c r="C1747" s="2" t="str">
        <f>VLOOKUP($A1747,Controle!$B$4:$F$68,3,FALSE)</f>
        <v>MORI MINAS V</v>
      </c>
      <c r="D1747" s="2" t="str">
        <f>VLOOKUP($A1747,Controle!$B$4:$F$68,4,FALSE)</f>
        <v>NewCo V</v>
      </c>
      <c r="E1747" s="2">
        <f>VLOOKUP($A1747,Controle!$B$4:$F$68,5,FALSE)</f>
        <v>3</v>
      </c>
      <c r="F1747" s="3" t="str">
        <f t="shared" ref="F1747:F1750" si="563">F1712</f>
        <v>Equipamentos Curva A -  Contrato Sobressalentes - Arctech</v>
      </c>
      <c r="G1747" s="2" t="str">
        <f>VLOOKUP($A1747,Controle!$B$4:$G$68,6,FALSE)</f>
        <v>Solatio</v>
      </c>
      <c r="H1747" s="6">
        <v>0</v>
      </c>
      <c r="I1747" s="6">
        <v>0</v>
      </c>
      <c r="J1747" s="6">
        <v>0</v>
      </c>
      <c r="K1747" s="6">
        <v>0</v>
      </c>
      <c r="L1747" s="6">
        <v>0</v>
      </c>
      <c r="M1747" s="6">
        <v>0</v>
      </c>
      <c r="N1747" s="6">
        <v>0</v>
      </c>
      <c r="O1747" s="4">
        <f>SUM(I1747:N1747)</f>
        <v>0</v>
      </c>
      <c r="P1747" s="5">
        <f>SUMIFS('Desenvolvimento diário'!$H:$H,'Desenvolvimento diário'!$Q:$Q,$B1747,'Desenvolvimento diário'!$P:$P,$F1747,'Desenvolvimento diário'!$R:$R,"Sim")</f>
        <v>0</v>
      </c>
      <c r="Q1747" s="5">
        <f>SUMIFS('Desenvolvimento diário'!$H:$H,'Desenvolvimento diário'!$Q:$Q,$B1747,'Desenvolvimento diário'!$P:$P,$F1747,'Desenvolvimento diário'!$R:$R,"Não")</f>
        <v>0</v>
      </c>
      <c r="R1747" s="4">
        <f>SUM(P1747:Q1747)</f>
        <v>0</v>
      </c>
      <c r="S1747" s="4">
        <f>O1747-R1747</f>
        <v>0</v>
      </c>
      <c r="T1747" s="12">
        <f>IFERROR(R1747/O1747,0)</f>
        <v>0</v>
      </c>
      <c r="Y1747" s="2"/>
      <c r="Z1747" s="2"/>
      <c r="AA1747" s="2"/>
      <c r="AB1747" s="2"/>
      <c r="AC1747" s="2"/>
    </row>
    <row r="1748" spans="1:29" hidden="1">
      <c r="A1748" s="2">
        <f t="shared" si="562"/>
        <v>50</v>
      </c>
      <c r="B1748" s="2" t="str">
        <f>VLOOKUP($A1748,Controle!$B$4:$F$68,2,FALSE)</f>
        <v>Passos 4</v>
      </c>
      <c r="C1748" s="2" t="str">
        <f>VLOOKUP($A1748,Controle!$B$4:$F$68,3,FALSE)</f>
        <v>MORI MINAS V</v>
      </c>
      <c r="D1748" s="2" t="str">
        <f>VLOOKUP($A1748,Controle!$B$4:$F$68,4,FALSE)</f>
        <v>NewCo V</v>
      </c>
      <c r="E1748" s="2">
        <f>VLOOKUP($A1748,Controle!$B$4:$F$68,5,FALSE)</f>
        <v>3</v>
      </c>
      <c r="F1748" s="3" t="str">
        <f t="shared" si="563"/>
        <v>Equipamentos Curva A -  Contrato Sobressalentes - Romagnole</v>
      </c>
      <c r="G1748" s="2" t="str">
        <f>VLOOKUP($A1748,Controle!$B$4:$G$68,6,FALSE)</f>
        <v>Solatio</v>
      </c>
      <c r="H1748" s="7">
        <v>0</v>
      </c>
      <c r="I1748" s="7">
        <v>0</v>
      </c>
      <c r="J1748" s="7">
        <v>0</v>
      </c>
      <c r="K1748" s="7">
        <v>0</v>
      </c>
      <c r="L1748" s="7">
        <v>0</v>
      </c>
      <c r="M1748" s="7">
        <v>0</v>
      </c>
      <c r="N1748" s="7">
        <v>0</v>
      </c>
      <c r="O1748" s="4">
        <f>SUM(I1748:N1748)</f>
        <v>0</v>
      </c>
      <c r="P1748" s="17">
        <f>SUMIFS('Desenvolvimento diário'!$H:$H,'Desenvolvimento diário'!$Q:$Q,$B1748,'Desenvolvimento diário'!$P:$P,$F1748,'Desenvolvimento diário'!$R:$R,"Sim")</f>
        <v>0</v>
      </c>
      <c r="Q1748" s="17">
        <f>SUMIFS('Desenvolvimento diário'!$H:$H,'Desenvolvimento diário'!$Q:$Q,$B1748,'Desenvolvimento diário'!$P:$P,$F1748,'Desenvolvimento diário'!$R:$R,"Não")</f>
        <v>0</v>
      </c>
      <c r="R1748" s="4">
        <f>SUM(P1748:Q1748)</f>
        <v>0</v>
      </c>
      <c r="S1748" s="4">
        <f>O1748-R1748</f>
        <v>0</v>
      </c>
      <c r="T1748" s="12">
        <f>IFERROR(R1748/O1748,0)</f>
        <v>0</v>
      </c>
      <c r="Y1748" s="2"/>
      <c r="Z1748" s="2"/>
      <c r="AA1748" s="2"/>
      <c r="AB1748" s="2"/>
      <c r="AC1748" s="2"/>
    </row>
    <row r="1749" spans="1:29" hidden="1">
      <c r="A1749" s="2">
        <f t="shared" si="562"/>
        <v>50</v>
      </c>
      <c r="B1749" s="2" t="str">
        <f>VLOOKUP($A1749,Controle!$B$4:$F$68,2,FALSE)</f>
        <v>Passos 4</v>
      </c>
      <c r="C1749" s="2" t="str">
        <f>VLOOKUP($A1749,Controle!$B$4:$F$68,3,FALSE)</f>
        <v>MORI MINAS V</v>
      </c>
      <c r="D1749" s="2" t="str">
        <f>VLOOKUP($A1749,Controle!$B$4:$F$68,4,FALSE)</f>
        <v>NewCo V</v>
      </c>
      <c r="E1749" s="2">
        <f>VLOOKUP($A1749,Controle!$B$4:$F$68,5,FALSE)</f>
        <v>3</v>
      </c>
      <c r="F1749" s="3" t="str">
        <f t="shared" si="563"/>
        <v>GOS FLORESTAL - (PRAD - Recuperação Area Ambiental)</v>
      </c>
      <c r="G1749" s="2" t="str">
        <f>VLOOKUP($A1749,Controle!$B$4:$G$68,6,FALSE)</f>
        <v>Solatio</v>
      </c>
      <c r="H1749" s="506" t="s">
        <v>170</v>
      </c>
      <c r="I1749" s="6">
        <v>0</v>
      </c>
      <c r="J1749" s="7">
        <v>0</v>
      </c>
      <c r="K1749" s="7">
        <v>0</v>
      </c>
      <c r="L1749" s="7">
        <v>0</v>
      </c>
      <c r="M1749" s="7">
        <v>0</v>
      </c>
      <c r="N1749" s="7">
        <v>0</v>
      </c>
      <c r="O1749" s="39">
        <f t="shared" ref="O1749:O1750" si="564">SUM(I1749:N1749)</f>
        <v>0</v>
      </c>
      <c r="P1749" s="17">
        <f>SUMIFS('Desenvolvimento diário'!$H:$H,'Desenvolvimento diário'!$Q:$Q,$B1749,'Desenvolvimento diário'!$P:$P,$F1749,'Desenvolvimento diário'!$R:$R,"Sim")</f>
        <v>0</v>
      </c>
      <c r="Q1749" s="17">
        <f>SUMIFS('Desenvolvimento diário'!$H:$H,'Desenvolvimento diário'!$Q:$Q,$B1749,'Desenvolvimento diário'!$P:$P,$F1749,'Desenvolvimento diário'!$R:$R,"Não")</f>
        <v>0</v>
      </c>
      <c r="R1749" s="4">
        <f t="shared" ref="R1749:R1750" si="565">SUM(P1749:Q1749)</f>
        <v>0</v>
      </c>
      <c r="S1749" s="4">
        <f t="shared" ref="S1749:S1750" si="566">O1749-R1749</f>
        <v>0</v>
      </c>
      <c r="T1749" s="12">
        <f t="shared" ref="T1749:T1750" si="567">IFERROR(R1749/O1749,0)</f>
        <v>0</v>
      </c>
      <c r="Y1749" s="2"/>
      <c r="Z1749" s="2"/>
      <c r="AA1749" s="2"/>
      <c r="AB1749" s="2"/>
      <c r="AC1749" s="2"/>
    </row>
    <row r="1750" spans="1:29" hidden="1">
      <c r="A1750" s="2">
        <f t="shared" si="562"/>
        <v>50</v>
      </c>
      <c r="B1750" s="2" t="str">
        <f>VLOOKUP($A1750,Controle!$B$4:$F$68,2,FALSE)</f>
        <v>Passos 4</v>
      </c>
      <c r="C1750" s="2" t="str">
        <f>VLOOKUP($A1750,Controle!$B$4:$F$68,3,FALSE)</f>
        <v>MORI MINAS V</v>
      </c>
      <c r="D1750" s="2" t="str">
        <f>VLOOKUP($A1750,Controle!$B$4:$F$68,4,FALSE)</f>
        <v>NewCo V</v>
      </c>
      <c r="E1750" s="2">
        <f>VLOOKUP($A1750,Controle!$B$4:$F$68,5,FALSE)</f>
        <v>3</v>
      </c>
      <c r="F1750" s="3" t="str">
        <f t="shared" si="563"/>
        <v>Cercamento das bacias de contenção ciclo 2</v>
      </c>
      <c r="G1750" s="2" t="str">
        <f>VLOOKUP($A1750,Controle!$B$4:$G$68,6,FALSE)</f>
        <v>Solatio</v>
      </c>
      <c r="H1750" s="506" t="s">
        <v>172</v>
      </c>
      <c r="I1750" s="6"/>
      <c r="J1750" s="506"/>
      <c r="K1750" s="506">
        <v>0</v>
      </c>
      <c r="L1750" s="506">
        <v>0</v>
      </c>
      <c r="M1750" s="506">
        <v>0</v>
      </c>
      <c r="N1750" s="506">
        <v>0</v>
      </c>
      <c r="O1750" s="39">
        <f t="shared" si="564"/>
        <v>0</v>
      </c>
      <c r="P1750" s="17">
        <f>SUMIFS('Desenvolvimento diário'!$H:$H,'Desenvolvimento diário'!$Q:$Q,$B1750,'Desenvolvimento diário'!$P:$P,$F1750,'Desenvolvimento diário'!$R:$R,"Sim")</f>
        <v>0</v>
      </c>
      <c r="Q1750" s="17">
        <f>SUMIFS('Desenvolvimento diário'!$H:$H,'Desenvolvimento diário'!$Q:$Q,$B1750,'Desenvolvimento diário'!$P:$P,$F1750,'Desenvolvimento diário'!$R:$R,"Não")</f>
        <v>0</v>
      </c>
      <c r="R1750" s="4">
        <f t="shared" si="565"/>
        <v>0</v>
      </c>
      <c r="S1750" s="1030">
        <f t="shared" si="566"/>
        <v>0</v>
      </c>
      <c r="T1750" s="12">
        <f t="shared" si="567"/>
        <v>0</v>
      </c>
      <c r="U1750" s="1029" t="s">
        <v>166</v>
      </c>
      <c r="V1750" s="1029" t="s">
        <v>94</v>
      </c>
      <c r="Y1750" s="2"/>
      <c r="Z1750" s="2"/>
      <c r="AA1750" s="2"/>
      <c r="AB1750" s="2"/>
      <c r="AC1750" s="2"/>
    </row>
    <row r="1751" spans="1:29" hidden="1">
      <c r="A1751" s="8">
        <f>A1748</f>
        <v>50</v>
      </c>
      <c r="B1751" s="9" t="str">
        <f>B1748</f>
        <v>Passos 4</v>
      </c>
      <c r="C1751" s="9" t="str">
        <f>C1748</f>
        <v>MORI MINAS V</v>
      </c>
      <c r="D1751" s="9" t="str">
        <f>D1748</f>
        <v>NewCo V</v>
      </c>
      <c r="E1751" s="9">
        <f>E1748</f>
        <v>3</v>
      </c>
      <c r="F1751" s="10" t="s">
        <v>158</v>
      </c>
      <c r="G1751" s="9" t="str">
        <f>G1748</f>
        <v>Solatio</v>
      </c>
      <c r="H1751" s="9"/>
      <c r="I1751" s="9">
        <f>SUBTOTAL(9,I1717:I1750)</f>
        <v>0</v>
      </c>
      <c r="J1751" s="9">
        <f t="shared" ref="J1751:S1751" si="568">SUBTOTAL(9,J1717:J1750)</f>
        <v>0</v>
      </c>
      <c r="K1751" s="9">
        <f t="shared" si="568"/>
        <v>0</v>
      </c>
      <c r="L1751" s="9">
        <f t="shared" si="568"/>
        <v>0</v>
      </c>
      <c r="M1751" s="9">
        <f t="shared" si="568"/>
        <v>0</v>
      </c>
      <c r="N1751" s="9">
        <f t="shared" si="568"/>
        <v>0</v>
      </c>
      <c r="O1751" s="9">
        <f t="shared" si="568"/>
        <v>0</v>
      </c>
      <c r="P1751" s="9">
        <f t="shared" si="568"/>
        <v>0</v>
      </c>
      <c r="Q1751" s="9">
        <f t="shared" si="568"/>
        <v>0</v>
      </c>
      <c r="R1751" s="9">
        <f t="shared" si="568"/>
        <v>0</v>
      </c>
      <c r="S1751" s="9">
        <f t="shared" si="568"/>
        <v>0</v>
      </c>
      <c r="T1751" s="13">
        <f>IFERROR(R1751/O1751,0)</f>
        <v>0</v>
      </c>
      <c r="U1751" s="11">
        <f>SUBTOTAL(9,U1717:U1750)</f>
        <v>0</v>
      </c>
      <c r="Y1751" s="2"/>
      <c r="Z1751" s="2"/>
      <c r="AA1751" s="2"/>
      <c r="AB1751" s="2"/>
      <c r="AC1751" s="2"/>
    </row>
    <row r="1752" spans="1:29" ht="10.5" hidden="1">
      <c r="A1752" s="2">
        <f>A1717+1</f>
        <v>51</v>
      </c>
      <c r="B1752" s="2" t="str">
        <f>VLOOKUP($A1752,Controle!$B$4:$F$68,2,FALSE)</f>
        <v>Paraguaçu 1</v>
      </c>
      <c r="C1752" s="2" t="str">
        <f>VLOOKUP($A1752,Controle!$B$4:$F$68,3,FALSE)</f>
        <v>MORI MINAS IV</v>
      </c>
      <c r="D1752" s="2" t="str">
        <f>VLOOKUP($A1752,Controle!$B$4:$F$68,4,FALSE)</f>
        <v>NewCo IV</v>
      </c>
      <c r="E1752" s="2">
        <f>VLOOKUP($A1752,Controle!$B$4:$F$68,5,FALSE)</f>
        <v>3</v>
      </c>
      <c r="F1752" s="3" t="str">
        <f>F1717</f>
        <v>Conexão AT - Obras</v>
      </c>
      <c r="G1752" s="2" t="str">
        <f>VLOOKUP($A1752,Controle!$B$4:$G$68,6,FALSE)</f>
        <v>Solatio</v>
      </c>
      <c r="H1752" s="6" t="s">
        <v>141</v>
      </c>
      <c r="I1752" s="29">
        <v>686947.75</v>
      </c>
      <c r="J1752" s="6">
        <v>0</v>
      </c>
      <c r="K1752" s="6">
        <v>0</v>
      </c>
      <c r="L1752" s="6">
        <v>0</v>
      </c>
      <c r="M1752" s="6">
        <v>0</v>
      </c>
      <c r="N1752" s="6">
        <v>0</v>
      </c>
      <c r="O1752" s="4">
        <f>SUM(I1752:N1752)</f>
        <v>686947.75</v>
      </c>
      <c r="P1752" s="5">
        <f>SUMIFS('Desenvolvimento diário'!$H:$H,'Desenvolvimento diário'!$Q:$Q,$B1752,'Desenvolvimento diário'!$P:$P,$F1752,'Desenvolvimento diário'!$R:$R,"Sim")</f>
        <v>175520.4</v>
      </c>
      <c r="Q1752" s="5">
        <f>SUMIFS('Desenvolvimento diário'!$H:$H,'Desenvolvimento diário'!$Q:$Q,$B1752,'Desenvolvimento diário'!$P:$P,$F1752,'Desenvolvimento diário'!$R:$R,"Não")</f>
        <v>511427.35000000003</v>
      </c>
      <c r="R1752" s="4">
        <f>SUM(P1752:Q1752)</f>
        <v>686947.75</v>
      </c>
      <c r="S1752" s="4">
        <f>O1752-R1752</f>
        <v>0</v>
      </c>
      <c r="T1752" s="12">
        <f>IFERROR(R1752/O1752,0)</f>
        <v>1</v>
      </c>
      <c r="Y1752" s="2"/>
      <c r="Z1752" s="2"/>
      <c r="AA1752" s="2"/>
      <c r="AB1752" s="2"/>
      <c r="AC1752" s="2"/>
    </row>
    <row r="1753" spans="1:29" ht="10.5" hidden="1">
      <c r="A1753" s="2">
        <f>A1752</f>
        <v>51</v>
      </c>
      <c r="B1753" s="2" t="str">
        <f>VLOOKUP($A1753,Controle!$B$4:$F$68,2,FALSE)</f>
        <v>Paraguaçu 1</v>
      </c>
      <c r="C1753" s="2" t="str">
        <f>VLOOKUP($A1753,Controle!$B$4:$F$68,3,FALSE)</f>
        <v>MORI MINAS IV</v>
      </c>
      <c r="D1753" s="2" t="str">
        <f>VLOOKUP($A1753,Controle!$B$4:$F$68,4,FALSE)</f>
        <v>NewCo IV</v>
      </c>
      <c r="E1753" s="2">
        <f>VLOOKUP($A1753,Controle!$B$4:$F$68,5,FALSE)</f>
        <v>3</v>
      </c>
      <c r="F1753" s="3" t="str">
        <f>F1718</f>
        <v>Conexão MT - Obras</v>
      </c>
      <c r="G1753" s="2" t="str">
        <f>VLOOKUP($A1753,Controle!$B$4:$G$68,6,FALSE)</f>
        <v>Solatio</v>
      </c>
      <c r="H1753" s="6" t="s">
        <v>141</v>
      </c>
      <c r="I1753" s="6">
        <v>617009.38</v>
      </c>
      <c r="J1753" s="28">
        <v>9396.0799999999599</v>
      </c>
      <c r="K1753" s="6">
        <v>0</v>
      </c>
      <c r="L1753" s="6">
        <v>0</v>
      </c>
      <c r="M1753" s="6">
        <v>0</v>
      </c>
      <c r="N1753" s="6">
        <v>0</v>
      </c>
      <c r="O1753" s="4">
        <f>SUM(I1753:N1753)</f>
        <v>626405.46</v>
      </c>
      <c r="P1753" s="5">
        <f>SUMIFS('Desenvolvimento diário'!$H:$H,'Desenvolvimento diário'!$Q:$Q,$B1753,'Desenvolvimento diário'!$P:$P,$F1753,'Desenvolvimento diário'!$R:$R,"Sim")</f>
        <v>0</v>
      </c>
      <c r="Q1753" s="5">
        <f>SUMIFS('Desenvolvimento diário'!$H:$H,'Desenvolvimento diário'!$Q:$Q,$B1753,'Desenvolvimento diário'!$P:$P,$F1753,'Desenvolvimento diário'!$R:$R,"Não")</f>
        <v>626405.46</v>
      </c>
      <c r="R1753" s="4">
        <f>SUM(P1753:Q1753)</f>
        <v>626405.46</v>
      </c>
      <c r="S1753" s="27">
        <f>O1753-R1753</f>
        <v>0</v>
      </c>
      <c r="T1753" s="12">
        <f>IFERROR(R1753/O1753,0)</f>
        <v>1</v>
      </c>
      <c r="V1753" s="30"/>
      <c r="W1753" s="34"/>
      <c r="X1753" s="34"/>
    </row>
    <row r="1754" spans="1:29" ht="10.5" hidden="1">
      <c r="A1754" s="2">
        <f>A1753</f>
        <v>51</v>
      </c>
      <c r="B1754" s="94" t="str">
        <f>VLOOKUP($A1754,Controle!$B$4:$F$68,2,FALSE)</f>
        <v>Paraguaçu 1</v>
      </c>
      <c r="C1754" s="2" t="str">
        <f>VLOOKUP($A1754,Controle!$B$4:$F$68,3,FALSE)</f>
        <v>MORI MINAS IV</v>
      </c>
      <c r="D1754" s="2" t="str">
        <f>VLOOKUP($A1754,Controle!$B$4:$F$68,4,FALSE)</f>
        <v>NewCo IV</v>
      </c>
      <c r="E1754" s="2">
        <f>VLOOKUP($A1754,Controle!$B$4:$F$68,5,FALSE)</f>
        <v>3</v>
      </c>
      <c r="F1754" s="3" t="str">
        <f>F1719</f>
        <v>Construção - Serviços de Construção</v>
      </c>
      <c r="G1754" s="2" t="str">
        <f>VLOOKUP($A1754,Controle!$B$4:$G$68,6,FALSE)</f>
        <v>Solatio</v>
      </c>
      <c r="H1754" s="6" t="s">
        <v>147</v>
      </c>
      <c r="I1754" s="6">
        <v>2691000</v>
      </c>
      <c r="J1754" s="6">
        <v>52647</v>
      </c>
      <c r="K1754" s="6">
        <v>49665</v>
      </c>
      <c r="L1754" s="6">
        <v>216725.27</v>
      </c>
      <c r="M1754" s="6">
        <v>0</v>
      </c>
      <c r="N1754" s="6">
        <v>0</v>
      </c>
      <c r="O1754" s="4">
        <f>SUM(I1754:N1754)</f>
        <v>3010037.27</v>
      </c>
      <c r="P1754" s="5">
        <f>SUMIFS('Desenvolvimento diário'!$H:$H,'Desenvolvimento diário'!$Q:$Q,$B1754,'Desenvolvimento diário'!$P:$P,$F1754,'Desenvolvimento diário'!$R:$R,"Sim")</f>
        <v>534058.64</v>
      </c>
      <c r="Q1754" s="5">
        <f>SUMIFS('Desenvolvimento diário'!$H:$H,'Desenvolvimento diário'!$Q:$Q,$B1754,'Desenvolvimento diário'!$P:$P,$F1754,'Desenvolvimento diário'!$R:$R,"Não")</f>
        <v>2470084.8899999992</v>
      </c>
      <c r="R1754" s="4">
        <f>SUM(P1754:Q1754)</f>
        <v>3004143.5299999993</v>
      </c>
      <c r="S1754" s="33">
        <f>O1754-R1754</f>
        <v>5893.7400000006892</v>
      </c>
      <c r="T1754" s="12">
        <f>IFERROR(R1754/O1754,0)</f>
        <v>0.99804197108828463</v>
      </c>
      <c r="U1754" s="510" t="s">
        <v>162</v>
      </c>
      <c r="V1754" s="510" t="s">
        <v>163</v>
      </c>
      <c r="Y1754" s="2"/>
      <c r="Z1754" s="2"/>
      <c r="AA1754" s="2"/>
      <c r="AB1754" s="2"/>
      <c r="AC1754" s="2"/>
    </row>
    <row r="1755" spans="1:29" ht="10.5" hidden="1">
      <c r="A1755" s="2">
        <f>A1754</f>
        <v>51</v>
      </c>
      <c r="B1755" s="2" t="str">
        <f>VLOOKUP($A1755,Controle!$B$4:$F$68,2,FALSE)</f>
        <v>Paraguaçu 1</v>
      </c>
      <c r="C1755" s="2" t="str">
        <f>VLOOKUP($A1755,Controle!$B$4:$F$68,3,FALSE)</f>
        <v>MORI MINAS IV</v>
      </c>
      <c r="D1755" s="2" t="str">
        <f>VLOOKUP($A1755,Controle!$B$4:$F$68,4,FALSE)</f>
        <v>NewCo IV</v>
      </c>
      <c r="E1755" s="2">
        <f>VLOOKUP($A1755,Controle!$B$4:$F$68,5,FALSE)</f>
        <v>3</v>
      </c>
      <c r="F1755" s="3" t="str">
        <f>F1720</f>
        <v>Construção - Serviços de Construção - Substituição</v>
      </c>
      <c r="G1755" s="2" t="str">
        <f>VLOOKUP($A1755,Controle!$B$4:$G$68,6,FALSE)</f>
        <v>Solatio</v>
      </c>
      <c r="H1755" s="6">
        <v>0</v>
      </c>
      <c r="I1755" s="6">
        <v>0</v>
      </c>
      <c r="J1755" s="6">
        <v>0</v>
      </c>
      <c r="K1755" s="6">
        <v>0</v>
      </c>
      <c r="L1755" s="6">
        <v>0</v>
      </c>
      <c r="M1755" s="6">
        <v>0</v>
      </c>
      <c r="N1755" s="6">
        <v>0</v>
      </c>
      <c r="O1755" s="4">
        <f>SUM(I1755:N1755)</f>
        <v>0</v>
      </c>
      <c r="P1755" s="5">
        <f>SUMIFS('Desenvolvimento diário'!$H:$H,'Desenvolvimento diário'!$Q:$Q,$B1755,'Desenvolvimento diário'!$P:$P,$F1755,'Desenvolvimento diário'!$R:$R,"Sim")</f>
        <v>0</v>
      </c>
      <c r="Q1755" s="5">
        <f>SUMIFS('Desenvolvimento diário'!$H:$H,'Desenvolvimento diário'!$Q:$Q,$B1755,'Desenvolvimento diário'!$P:$P,$F1755,'Desenvolvimento diário'!$R:$R,"Não")</f>
        <v>0</v>
      </c>
      <c r="R1755" s="4">
        <f>SUM(P1755:Q1755)</f>
        <v>0</v>
      </c>
      <c r="S1755" s="4">
        <f>O1755-R1755</f>
        <v>0</v>
      </c>
      <c r="T1755" s="12">
        <f>IFERROR(R1755/O1755,0)</f>
        <v>0</v>
      </c>
      <c r="Y1755" s="2"/>
      <c r="Z1755" s="2"/>
      <c r="AA1755" s="2"/>
      <c r="AB1755" s="2"/>
      <c r="AC1755" s="2"/>
    </row>
    <row r="1756" spans="1:29" ht="10.5" hidden="1">
      <c r="A1756" s="2">
        <f>A1755</f>
        <v>51</v>
      </c>
      <c r="B1756" s="2" t="str">
        <f>VLOOKUP($A1756,Controle!$B$4:$F$68,2,FALSE)</f>
        <v>Paraguaçu 1</v>
      </c>
      <c r="C1756" s="2" t="str">
        <f>VLOOKUP($A1756,Controle!$B$4:$F$68,3,FALSE)</f>
        <v>MORI MINAS IV</v>
      </c>
      <c r="D1756" s="2" t="str">
        <f>VLOOKUP($A1756,Controle!$B$4:$F$68,4,FALSE)</f>
        <v>NewCo IV</v>
      </c>
      <c r="E1756" s="2">
        <f>VLOOKUP($A1756,Controle!$B$4:$F$68,5,FALSE)</f>
        <v>3</v>
      </c>
      <c r="F1756" s="3" t="str">
        <f>F1721</f>
        <v>Construção - RDA Interno</v>
      </c>
      <c r="G1756" s="2" t="str">
        <f>VLOOKUP($A1756,Controle!$B$4:$G$68,6,FALSE)</f>
        <v>Solatio</v>
      </c>
      <c r="H1756" s="6" t="s">
        <v>168</v>
      </c>
      <c r="I1756" s="6">
        <f>418858.82-0.1</f>
        <v>418858.72000000003</v>
      </c>
      <c r="J1756" s="6">
        <v>0</v>
      </c>
      <c r="K1756" s="6">
        <v>0</v>
      </c>
      <c r="L1756" s="6">
        <v>0</v>
      </c>
      <c r="M1756" s="6">
        <v>0</v>
      </c>
      <c r="N1756" s="6">
        <v>0</v>
      </c>
      <c r="O1756" s="4">
        <f>SUM(I1756:N1756)</f>
        <v>418858.72000000003</v>
      </c>
      <c r="P1756" s="5">
        <f>SUMIFS('Desenvolvimento diário'!$H:$H,'Desenvolvimento diário'!$Q:$Q,$B1756,'Desenvolvimento diário'!$P:$P,$F1756,'Desenvolvimento diário'!$R:$R,"Sim")</f>
        <v>146968.78</v>
      </c>
      <c r="Q1756" s="5">
        <f>SUMIFS('Desenvolvimento diário'!$H:$H,'Desenvolvimento diário'!$Q:$Q,$B1756,'Desenvolvimento diário'!$P:$P,$F1756,'Desenvolvimento diário'!$R:$R,"Não")</f>
        <v>271889.94</v>
      </c>
      <c r="R1756" s="4">
        <f>SUM(P1756:Q1756)</f>
        <v>418858.72</v>
      </c>
      <c r="S1756" s="137">
        <f>O1756-R1756</f>
        <v>0</v>
      </c>
      <c r="T1756" s="12">
        <f>IFERROR(R1756/O1756,0)</f>
        <v>0.99999999999999989</v>
      </c>
      <c r="U1756" s="34"/>
      <c r="Y1756" s="2"/>
      <c r="Z1756" s="2"/>
      <c r="AA1756" s="2"/>
      <c r="AB1756" s="2"/>
      <c r="AC1756" s="2"/>
    </row>
    <row r="1757" spans="1:29" ht="10.5" hidden="1">
      <c r="A1757" s="2">
        <f>A1756</f>
        <v>51</v>
      </c>
      <c r="B1757" s="2" t="str">
        <f>VLOOKUP($A1757,Controle!$B$4:$F$68,2,FALSE)</f>
        <v>Paraguaçu 1</v>
      </c>
      <c r="C1757" s="2" t="str">
        <f>VLOOKUP($A1757,Controle!$B$4:$F$68,3,FALSE)</f>
        <v>MORI MINAS IV</v>
      </c>
      <c r="D1757" s="2" t="str">
        <f>VLOOKUP($A1757,Controle!$B$4:$F$68,4,FALSE)</f>
        <v>NewCo IV</v>
      </c>
      <c r="E1757" s="2">
        <f>VLOOKUP($A1757,Controle!$B$4:$F$68,5,FALSE)</f>
        <v>3</v>
      </c>
      <c r="F1757" s="3" t="str">
        <f>F1722</f>
        <v>Full EPC - Contrato</v>
      </c>
      <c r="G1757" s="2" t="str">
        <f>VLOOKUP($A1757,Controle!$B$4:$G$68,6,FALSE)</f>
        <v>Solatio</v>
      </c>
      <c r="H1757" s="6">
        <v>0</v>
      </c>
      <c r="I1757" s="6">
        <v>0</v>
      </c>
      <c r="J1757" s="6">
        <v>0</v>
      </c>
      <c r="K1757" s="6">
        <v>0</v>
      </c>
      <c r="L1757" s="6">
        <v>0</v>
      </c>
      <c r="M1757" s="6">
        <v>0</v>
      </c>
      <c r="N1757" s="6">
        <v>0</v>
      </c>
      <c r="O1757" s="4">
        <f>SUM(I1757:N1757)</f>
        <v>0</v>
      </c>
      <c r="P1757" s="5">
        <f>SUMIFS('Desenvolvimento diário'!$H:$H,'Desenvolvimento diário'!$Q:$Q,$B1757,'Desenvolvimento diário'!$P:$P,$F1757,'Desenvolvimento diário'!$R:$R,"Sim")</f>
        <v>0</v>
      </c>
      <c r="Q1757" s="5">
        <f>SUMIFS('Desenvolvimento diário'!$H:$H,'Desenvolvimento diário'!$Q:$Q,$B1757,'Desenvolvimento diário'!$P:$P,$F1757,'Desenvolvimento diário'!$R:$R,"Não")</f>
        <v>0</v>
      </c>
      <c r="R1757" s="4">
        <f>SUM(P1757:Q1757)</f>
        <v>0</v>
      </c>
      <c r="S1757" s="4">
        <f>O1757-R1757</f>
        <v>0</v>
      </c>
      <c r="T1757" s="12">
        <f>IFERROR(R1757/O1757,0)</f>
        <v>0</v>
      </c>
      <c r="Y1757" s="2"/>
      <c r="Z1757" s="2"/>
      <c r="AA1757" s="2"/>
      <c r="AB1757" s="2"/>
      <c r="AC1757" s="2"/>
    </row>
    <row r="1758" spans="1:29" ht="10.5" hidden="1">
      <c r="A1758" s="2">
        <f>A1757</f>
        <v>51</v>
      </c>
      <c r="B1758" s="2" t="str">
        <f>VLOOKUP($A1758,Controle!$B$4:$F$68,2,FALSE)</f>
        <v>Paraguaçu 1</v>
      </c>
      <c r="C1758" s="2" t="str">
        <f>VLOOKUP($A1758,Controle!$B$4:$F$68,3,FALSE)</f>
        <v>MORI MINAS IV</v>
      </c>
      <c r="D1758" s="2" t="str">
        <f>VLOOKUP($A1758,Controle!$B$4:$F$68,4,FALSE)</f>
        <v>NewCo IV</v>
      </c>
      <c r="E1758" s="2">
        <f>VLOOKUP($A1758,Controle!$B$4:$F$68,5,FALSE)</f>
        <v>3</v>
      </c>
      <c r="F1758" s="3" t="str">
        <f>F1723</f>
        <v>Equipamentos Curva A - Outros (Transformadores)</v>
      </c>
      <c r="G1758" s="2" t="str">
        <f>VLOOKUP($A1758,Controle!$B$4:$G$68,6,FALSE)</f>
        <v>Solatio</v>
      </c>
      <c r="H1758" s="6">
        <v>0</v>
      </c>
      <c r="I1758" s="6">
        <v>0</v>
      </c>
      <c r="J1758" s="6">
        <v>0</v>
      </c>
      <c r="K1758" s="6">
        <v>0</v>
      </c>
      <c r="L1758" s="6">
        <v>0</v>
      </c>
      <c r="M1758" s="6">
        <v>0</v>
      </c>
      <c r="N1758" s="6">
        <v>0</v>
      </c>
      <c r="O1758" s="4">
        <f>SUM(I1758:N1758)</f>
        <v>0</v>
      </c>
      <c r="P1758" s="5">
        <f>SUMIFS('Desenvolvimento diário'!$H:$H,'Desenvolvimento diário'!$Q:$Q,$B1758,'Desenvolvimento diário'!$P:$P,$F1758,'Desenvolvimento diário'!$R:$R,"Sim")</f>
        <v>0</v>
      </c>
      <c r="Q1758" s="5">
        <f>SUMIFS('Desenvolvimento diário'!$H:$H,'Desenvolvimento diário'!$Q:$Q,$B1758,'Desenvolvimento diário'!$P:$P,$F1758,'Desenvolvimento diário'!$R:$R,"Não")</f>
        <v>0</v>
      </c>
      <c r="R1758" s="4">
        <f>SUM(P1758:Q1758)</f>
        <v>0</v>
      </c>
      <c r="S1758" s="4">
        <f>O1758-R1758</f>
        <v>0</v>
      </c>
      <c r="T1758" s="12">
        <f>IFERROR(R1758/O1758,0)</f>
        <v>0</v>
      </c>
      <c r="Y1758" s="2"/>
      <c r="Z1758" s="2"/>
      <c r="AA1758" s="2"/>
      <c r="AB1758" s="2"/>
      <c r="AC1758" s="2"/>
    </row>
    <row r="1759" spans="1:29" ht="10.5" hidden="1">
      <c r="A1759" s="2">
        <f>A1758</f>
        <v>51</v>
      </c>
      <c r="B1759" s="2" t="str">
        <f>VLOOKUP($A1759,Controle!$B$4:$F$68,2,FALSE)</f>
        <v>Paraguaçu 1</v>
      </c>
      <c r="C1759" s="2" t="str">
        <f>VLOOKUP($A1759,Controle!$B$4:$F$68,3,FALSE)</f>
        <v>MORI MINAS IV</v>
      </c>
      <c r="D1759" s="2" t="str">
        <f>VLOOKUP($A1759,Controle!$B$4:$F$68,4,FALSE)</f>
        <v>NewCo IV</v>
      </c>
      <c r="E1759" s="2">
        <f>VLOOKUP($A1759,Controle!$B$4:$F$68,5,FALSE)</f>
        <v>3</v>
      </c>
      <c r="F1759" s="3" t="str">
        <f>F1724</f>
        <v>Equipamentos Curva A - Outros (Cabine + Skid)</v>
      </c>
      <c r="G1759" s="2" t="str">
        <f>VLOOKUP($A1759,Controle!$B$4:$G$68,6,FALSE)</f>
        <v>Solatio</v>
      </c>
      <c r="H1759" s="6">
        <v>0</v>
      </c>
      <c r="I1759" s="6">
        <v>0</v>
      </c>
      <c r="J1759" s="6">
        <v>0</v>
      </c>
      <c r="K1759" s="6">
        <v>0</v>
      </c>
      <c r="L1759" s="6">
        <v>0</v>
      </c>
      <c r="M1759" s="6">
        <v>0</v>
      </c>
      <c r="N1759" s="6">
        <v>0</v>
      </c>
      <c r="O1759" s="4">
        <f>SUM(I1759:N1759)</f>
        <v>0</v>
      </c>
      <c r="P1759" s="5">
        <f>SUMIFS('Desenvolvimento diário'!$H:$H,'Desenvolvimento diário'!$Q:$Q,$B1759,'Desenvolvimento diário'!$P:$P,$F1759,'Desenvolvimento diário'!$R:$R,"Sim")</f>
        <v>0</v>
      </c>
      <c r="Q1759" s="5">
        <f>SUMIFS('Desenvolvimento diário'!$H:$H,'Desenvolvimento diário'!$Q:$Q,$B1759,'Desenvolvimento diário'!$P:$P,$F1759,'Desenvolvimento diário'!$R:$R,"Não")</f>
        <v>0</v>
      </c>
      <c r="R1759" s="4">
        <f>SUM(P1759:Q1759)</f>
        <v>0</v>
      </c>
      <c r="S1759" s="4">
        <f>O1759-R1759</f>
        <v>0</v>
      </c>
      <c r="T1759" s="12">
        <f>IFERROR(R1759/O1759,0)</f>
        <v>0</v>
      </c>
      <c r="Y1759" s="2"/>
      <c r="Z1759" s="2"/>
      <c r="AA1759" s="2"/>
      <c r="AB1759" s="2"/>
      <c r="AC1759" s="2"/>
    </row>
    <row r="1760" spans="1:29" ht="10.5" hidden="1">
      <c r="A1760" s="2">
        <f>A1759</f>
        <v>51</v>
      </c>
      <c r="B1760" s="2" t="str">
        <f>VLOOKUP($A1760,Controle!$B$4:$F$68,2,FALSE)</f>
        <v>Paraguaçu 1</v>
      </c>
      <c r="C1760" s="2" t="str">
        <f>VLOOKUP($A1760,Controle!$B$4:$F$68,3,FALSE)</f>
        <v>MORI MINAS IV</v>
      </c>
      <c r="D1760" s="2" t="str">
        <f>VLOOKUP($A1760,Controle!$B$4:$F$68,4,FALSE)</f>
        <v>NewCo IV</v>
      </c>
      <c r="E1760" s="2">
        <f>VLOOKUP($A1760,Controle!$B$4:$F$68,5,FALSE)</f>
        <v>3</v>
      </c>
      <c r="F1760" s="3" t="str">
        <f>F1725</f>
        <v>Equipamentos Curva A - Outros (Cabine + Skid + Transformador)</v>
      </c>
      <c r="G1760" s="2" t="str">
        <f>VLOOKUP($A1760,Controle!$B$4:$G$68,6,FALSE)</f>
        <v>Solatio</v>
      </c>
      <c r="H1760" s="6" t="s">
        <v>144</v>
      </c>
      <c r="I1760" s="6">
        <v>1165651.72643851</v>
      </c>
      <c r="J1760" s="6">
        <v>0</v>
      </c>
      <c r="K1760" s="6">
        <v>0</v>
      </c>
      <c r="L1760" s="6">
        <v>0</v>
      </c>
      <c r="M1760" s="6">
        <v>0</v>
      </c>
      <c r="N1760" s="6">
        <v>0</v>
      </c>
      <c r="O1760" s="4">
        <f>SUM(I1760:N1760)</f>
        <v>1165651.72643851</v>
      </c>
      <c r="P1760" s="5">
        <f>SUMIFS('Desenvolvimento diário'!$H:$H,'Desenvolvimento diário'!$Q:$Q,$B1760,'Desenvolvimento diário'!$P:$P,$F1760,'Desenvolvimento diário'!$R:$R,"Sim")</f>
        <v>0</v>
      </c>
      <c r="Q1760" s="5">
        <f>SUMIFS('Desenvolvimento diário'!$H:$H,'Desenvolvimento diário'!$Q:$Q,$B1760,'Desenvolvimento diário'!$P:$P,$F1760,'Desenvolvimento diário'!$R:$R,"Não")</f>
        <v>1165651.72643851</v>
      </c>
      <c r="R1760" s="4">
        <f>SUM(P1760:Q1760)</f>
        <v>1165651.72643851</v>
      </c>
      <c r="S1760" s="4">
        <f>O1760-R1760</f>
        <v>0</v>
      </c>
      <c r="T1760" s="12">
        <f>IFERROR(R1760/O1760,0)</f>
        <v>1</v>
      </c>
      <c r="Y1760" s="2"/>
      <c r="Z1760" s="2"/>
      <c r="AA1760" s="2"/>
      <c r="AB1760" s="2"/>
      <c r="AC1760" s="2"/>
    </row>
    <row r="1761" spans="1:29" ht="10.5" hidden="1">
      <c r="A1761" s="2">
        <f>A1760</f>
        <v>51</v>
      </c>
      <c r="B1761" s="2" t="str">
        <f>VLOOKUP($A1761,Controle!$B$4:$F$68,2,FALSE)</f>
        <v>Paraguaçu 1</v>
      </c>
      <c r="C1761" s="2" t="str">
        <f>VLOOKUP($A1761,Controle!$B$4:$F$68,3,FALSE)</f>
        <v>MORI MINAS IV</v>
      </c>
      <c r="D1761" s="2" t="str">
        <f>VLOOKUP($A1761,Controle!$B$4:$F$68,4,FALSE)</f>
        <v>NewCo IV</v>
      </c>
      <c r="E1761" s="2">
        <f>VLOOKUP($A1761,Controle!$B$4:$F$68,5,FALSE)</f>
        <v>3</v>
      </c>
      <c r="F1761" s="3" t="str">
        <f>F1726</f>
        <v>Desenvolvimento de projeto - Projetos - (Eng° Proprietario)</v>
      </c>
      <c r="G1761" s="2" t="str">
        <f>VLOOKUP($A1761,Controle!$B$4:$G$68,6,FALSE)</f>
        <v>Solatio</v>
      </c>
      <c r="H1761" s="6" t="s">
        <v>145</v>
      </c>
      <c r="I1761" s="6">
        <v>0</v>
      </c>
      <c r="J1761" s="6">
        <v>0</v>
      </c>
      <c r="K1761" s="6">
        <v>0</v>
      </c>
      <c r="L1761" s="6">
        <v>0</v>
      </c>
      <c r="M1761" s="6">
        <v>0</v>
      </c>
      <c r="N1761" s="6">
        <v>0</v>
      </c>
      <c r="O1761" s="4">
        <f>SUM(I1761:N1761)</f>
        <v>0</v>
      </c>
      <c r="P1761" s="5">
        <f>SUMIFS('Desenvolvimento diário'!$H:$H,'Desenvolvimento diário'!$Q:$Q,$B1761,'Desenvolvimento diário'!$P:$P,$F1761,'Desenvolvimento diário'!$R:$R,"Sim")</f>
        <v>0</v>
      </c>
      <c r="Q1761" s="5">
        <f>SUMIFS('Desenvolvimento diário'!$H:$H,'Desenvolvimento diário'!$Q:$Q,$B1761,'Desenvolvimento diário'!$P:$P,$F1761,'Desenvolvimento diário'!$R:$R,"Não")</f>
        <v>0</v>
      </c>
      <c r="R1761" s="4">
        <f>SUM(P1761:Q1761)</f>
        <v>0</v>
      </c>
      <c r="S1761" s="4">
        <f>O1761-R1761</f>
        <v>0</v>
      </c>
      <c r="T1761" s="12">
        <f>IFERROR(R1761/O1761,0)</f>
        <v>0</v>
      </c>
      <c r="Y1761" s="2"/>
      <c r="Z1761" s="2"/>
      <c r="AA1761" s="2"/>
      <c r="AB1761" s="2"/>
      <c r="AC1761" s="2"/>
    </row>
    <row r="1762" spans="1:29" ht="10.5" hidden="1">
      <c r="A1762" s="2">
        <f>A1761</f>
        <v>51</v>
      </c>
      <c r="B1762" s="2" t="str">
        <f>VLOOKUP($A1762,Controle!$B$4:$F$68,2,FALSE)</f>
        <v>Paraguaçu 1</v>
      </c>
      <c r="C1762" s="2" t="str">
        <f>VLOOKUP($A1762,Controle!$B$4:$F$68,3,FALSE)</f>
        <v>MORI MINAS IV</v>
      </c>
      <c r="D1762" s="2" t="str">
        <f>VLOOKUP($A1762,Controle!$B$4:$F$68,4,FALSE)</f>
        <v>NewCo IV</v>
      </c>
      <c r="E1762" s="2">
        <f>VLOOKUP($A1762,Controle!$B$4:$F$68,5,FALSE)</f>
        <v>3</v>
      </c>
      <c r="F1762" s="3" t="str">
        <f>F1727</f>
        <v>Desenvolvimento de projeto - Projetos - Executivos</v>
      </c>
      <c r="G1762" s="2" t="str">
        <f>VLOOKUP($A1762,Controle!$B$4:$G$68,6,FALSE)</f>
        <v>Solatio</v>
      </c>
      <c r="H1762" s="6">
        <v>0</v>
      </c>
      <c r="I1762" s="6">
        <v>0</v>
      </c>
      <c r="J1762" s="6">
        <v>0</v>
      </c>
      <c r="K1762" s="6">
        <v>0</v>
      </c>
      <c r="L1762" s="6">
        <v>0</v>
      </c>
      <c r="M1762" s="6">
        <v>0</v>
      </c>
      <c r="N1762" s="6">
        <v>0</v>
      </c>
      <c r="O1762" s="4">
        <f>SUM(I1762:N1762)</f>
        <v>0</v>
      </c>
      <c r="P1762" s="5">
        <f>SUMIFS('Desenvolvimento diário'!$H:$H,'Desenvolvimento diário'!$Q:$Q,$B1762,'Desenvolvimento diário'!$P:$P,$F1762,'Desenvolvimento diário'!$R:$R,"Sim")</f>
        <v>0</v>
      </c>
      <c r="Q1762" s="5">
        <f>SUMIFS('Desenvolvimento diário'!$H:$H,'Desenvolvimento diário'!$Q:$Q,$B1762,'Desenvolvimento diário'!$P:$P,$F1762,'Desenvolvimento diário'!$R:$R,"Não")</f>
        <v>0</v>
      </c>
      <c r="R1762" s="4">
        <f>SUM(P1762:Q1762)</f>
        <v>0</v>
      </c>
      <c r="S1762" s="4">
        <f>O1762-R1762</f>
        <v>0</v>
      </c>
      <c r="T1762" s="12">
        <f>IFERROR(R1762/O1762,0)</f>
        <v>0</v>
      </c>
      <c r="Y1762" s="2"/>
      <c r="Z1762" s="2"/>
      <c r="AA1762" s="2"/>
      <c r="AB1762" s="2"/>
      <c r="AC1762" s="2"/>
    </row>
    <row r="1763" spans="1:29" ht="10.5" hidden="1">
      <c r="A1763" s="2">
        <f>A1762</f>
        <v>51</v>
      </c>
      <c r="B1763" s="2" t="str">
        <f>VLOOKUP($A1763,Controle!$B$4:$F$68,2,FALSE)</f>
        <v>Paraguaçu 1</v>
      </c>
      <c r="C1763" s="2" t="str">
        <f>VLOOKUP($A1763,Controle!$B$4:$F$68,3,FALSE)</f>
        <v>MORI MINAS IV</v>
      </c>
      <c r="D1763" s="2" t="str">
        <f>VLOOKUP($A1763,Controle!$B$4:$F$68,4,FALSE)</f>
        <v>NewCo IV</v>
      </c>
      <c r="E1763" s="2">
        <f>VLOOKUP($A1763,Controle!$B$4:$F$68,5,FALSE)</f>
        <v>3</v>
      </c>
      <c r="F1763" s="3" t="str">
        <f>F1728</f>
        <v>Desenvolvimento de projeto - Projetos Básica</v>
      </c>
      <c r="G1763" s="2" t="str">
        <f>VLOOKUP($A1763,Controle!$B$4:$G$68,6,FALSE)</f>
        <v>Solatio</v>
      </c>
      <c r="H1763" s="6">
        <v>0</v>
      </c>
      <c r="I1763" s="6">
        <v>0</v>
      </c>
      <c r="J1763" s="6">
        <v>0</v>
      </c>
      <c r="K1763" s="6">
        <v>0</v>
      </c>
      <c r="L1763" s="6">
        <v>0</v>
      </c>
      <c r="M1763" s="6">
        <v>0</v>
      </c>
      <c r="N1763" s="6">
        <v>0</v>
      </c>
      <c r="O1763" s="4">
        <f>SUM(I1763:N1763)</f>
        <v>0</v>
      </c>
      <c r="P1763" s="5">
        <f>SUMIFS('Desenvolvimento diário'!$H:$H,'Desenvolvimento diário'!$Q:$Q,$B1763,'Desenvolvimento diário'!$P:$P,$F1763,'Desenvolvimento diário'!$R:$R,"Sim")</f>
        <v>0</v>
      </c>
      <c r="Q1763" s="5">
        <f>SUMIFS('Desenvolvimento diário'!$H:$H,'Desenvolvimento diário'!$Q:$Q,$B1763,'Desenvolvimento diário'!$P:$P,$F1763,'Desenvolvimento diário'!$R:$R,"Não")</f>
        <v>0</v>
      </c>
      <c r="R1763" s="4">
        <f>SUM(P1763:Q1763)</f>
        <v>0</v>
      </c>
      <c r="S1763" s="4">
        <f>O1763-R1763</f>
        <v>0</v>
      </c>
      <c r="T1763" s="12">
        <f>IFERROR(R1763/O1763,0)</f>
        <v>0</v>
      </c>
      <c r="Y1763" s="2"/>
      <c r="Z1763" s="2"/>
      <c r="AA1763" s="2"/>
      <c r="AB1763" s="2"/>
      <c r="AC1763" s="2"/>
    </row>
    <row r="1764" spans="1:29" ht="10.5" hidden="1">
      <c r="A1764" s="2">
        <f>A1763</f>
        <v>51</v>
      </c>
      <c r="B1764" s="2" t="str">
        <f>VLOOKUP($A1764,Controle!$B$4:$F$68,2,FALSE)</f>
        <v>Paraguaçu 1</v>
      </c>
      <c r="C1764" s="2" t="str">
        <f>VLOOKUP($A1764,Controle!$B$4:$F$68,3,FALSE)</f>
        <v>MORI MINAS IV</v>
      </c>
      <c r="D1764" s="2" t="str">
        <f>VLOOKUP($A1764,Controle!$B$4:$F$68,4,FALSE)</f>
        <v>NewCo IV</v>
      </c>
      <c r="E1764" s="2">
        <f>VLOOKUP($A1764,Controle!$B$4:$F$68,5,FALSE)</f>
        <v>3</v>
      </c>
      <c r="F1764" s="3" t="str">
        <f>F1729</f>
        <v>Desenvolvimento de projeto - Projetos Detalhada</v>
      </c>
      <c r="G1764" s="2" t="str">
        <f>VLOOKUP($A1764,Controle!$B$4:$G$68,6,FALSE)</f>
        <v>Solatio</v>
      </c>
      <c r="H1764" s="6" t="s">
        <v>147</v>
      </c>
      <c r="I1764" s="6">
        <v>93783</v>
      </c>
      <c r="J1764" s="6">
        <v>30736.95</v>
      </c>
      <c r="K1764" s="6">
        <v>0</v>
      </c>
      <c r="L1764" s="6">
        <v>0</v>
      </c>
      <c r="M1764" s="6">
        <v>0</v>
      </c>
      <c r="N1764" s="6">
        <v>0</v>
      </c>
      <c r="O1764" s="4">
        <f>SUM(I1764:N1764)</f>
        <v>124519.95</v>
      </c>
      <c r="P1764" s="5">
        <f>SUMIFS('Desenvolvimento diário'!$H:$H,'Desenvolvimento diário'!$Q:$Q,$B1764,'Desenvolvimento diário'!$P:$P,$F1764,'Desenvolvimento diário'!$R:$R,"Sim")</f>
        <v>0</v>
      </c>
      <c r="Q1764" s="5">
        <f>SUMIFS('Desenvolvimento diário'!$H:$H,'Desenvolvimento diário'!$Q:$Q,$B1764,'Desenvolvimento diário'!$P:$P,$F1764,'Desenvolvimento diário'!$R:$R,"Não")</f>
        <v>124519.95</v>
      </c>
      <c r="R1764" s="4">
        <f>SUM(P1764:Q1764)</f>
        <v>124519.95</v>
      </c>
      <c r="S1764" s="4">
        <f>O1764-R1764</f>
        <v>0</v>
      </c>
      <c r="T1764" s="12">
        <f>IFERROR(R1764/O1764,0)</f>
        <v>1</v>
      </c>
      <c r="Y1764" s="2"/>
      <c r="Z1764" s="2"/>
      <c r="AA1764" s="2"/>
      <c r="AB1764" s="2"/>
      <c r="AC1764" s="2"/>
    </row>
    <row r="1765" spans="1:29" ht="10.5" hidden="1">
      <c r="A1765" s="2">
        <f>A1764</f>
        <v>51</v>
      </c>
      <c r="B1765" s="2" t="str">
        <f>VLOOKUP($A1765,Controle!$B$4:$F$68,2,FALSE)</f>
        <v>Paraguaçu 1</v>
      </c>
      <c r="C1765" s="2" t="str">
        <f>VLOOKUP($A1765,Controle!$B$4:$F$68,3,FALSE)</f>
        <v>MORI MINAS IV</v>
      </c>
      <c r="D1765" s="2" t="str">
        <f>VLOOKUP($A1765,Controle!$B$4:$F$68,4,FALSE)</f>
        <v>NewCo IV</v>
      </c>
      <c r="E1765" s="2">
        <f>VLOOKUP($A1765,Controle!$B$4:$F$68,5,FALSE)</f>
        <v>3</v>
      </c>
      <c r="F1765" s="3" t="str">
        <f>F1730</f>
        <v>Desenvolvimento de projeto - Ambiental / Outros</v>
      </c>
      <c r="G1765" s="2" t="str">
        <f>VLOOKUP($A1765,Controle!$B$4:$G$68,6,FALSE)</f>
        <v>Solatio</v>
      </c>
      <c r="H1765" s="6" t="s">
        <v>148</v>
      </c>
      <c r="I1765" s="6">
        <f>R1765</f>
        <v>153715.09</v>
      </c>
      <c r="J1765" s="6">
        <v>0</v>
      </c>
      <c r="K1765" s="6">
        <v>0</v>
      </c>
      <c r="L1765" s="6">
        <v>0</v>
      </c>
      <c r="M1765" s="6">
        <v>0</v>
      </c>
      <c r="N1765" s="6">
        <v>0</v>
      </c>
      <c r="O1765" s="4">
        <f>SUM(I1765:N1765)</f>
        <v>153715.09</v>
      </c>
      <c r="P1765" s="5">
        <f>SUMIFS('Desenvolvimento diário'!$H:$H,'Desenvolvimento diário'!$Q:$Q,$B1765,'Desenvolvimento diário'!$P:$P,$F1765,'Desenvolvimento diário'!$R:$R,"Sim")</f>
        <v>0</v>
      </c>
      <c r="Q1765" s="5">
        <f>SUMIFS('Desenvolvimento diário'!$H:$H,'Desenvolvimento diário'!$Q:$Q,$B1765,'Desenvolvimento diário'!$P:$P,$F1765,'Desenvolvimento diário'!$R:$R,"Não")</f>
        <v>153715.09</v>
      </c>
      <c r="R1765" s="4">
        <f>SUM(P1765:Q1765)</f>
        <v>153715.09</v>
      </c>
      <c r="S1765" s="4">
        <f>O1765-R1765</f>
        <v>0</v>
      </c>
      <c r="T1765" s="12">
        <f>IFERROR(R1765/O1765,0)</f>
        <v>1</v>
      </c>
      <c r="Y1765" s="2"/>
      <c r="Z1765" s="2"/>
      <c r="AA1765" s="2"/>
      <c r="AB1765" s="2"/>
      <c r="AC1765" s="2"/>
    </row>
    <row r="1766" spans="1:29" hidden="1">
      <c r="A1766" s="2">
        <f>A1765</f>
        <v>51</v>
      </c>
      <c r="B1766" s="2" t="str">
        <f>VLOOKUP($A1766,Controle!$B$4:$F$68,2,FALSE)</f>
        <v>Paraguaçu 1</v>
      </c>
      <c r="C1766" s="2" t="str">
        <f>VLOOKUP($A1766,Controle!$B$4:$F$68,3,FALSE)</f>
        <v>MORI MINAS IV</v>
      </c>
      <c r="D1766" s="2" t="str">
        <f>VLOOKUP($A1766,Controle!$B$4:$F$68,4,FALSE)</f>
        <v>NewCo IV</v>
      </c>
      <c r="E1766" s="2">
        <f>VLOOKUP($A1766,Controle!$B$4:$F$68,5,FALSE)</f>
        <v>3</v>
      </c>
      <c r="F1766" s="3" t="str">
        <f>F1731</f>
        <v>Desenvolvimento de projeto - Coordenograma</v>
      </c>
      <c r="G1766" s="2" t="str">
        <f>VLOOKUP($A1766,Controle!$B$4:$G$68,6,FALSE)</f>
        <v>Solatio</v>
      </c>
      <c r="H1766" s="31" t="s">
        <v>149</v>
      </c>
      <c r="I1766" s="31">
        <v>6206.9</v>
      </c>
      <c r="J1766" s="31">
        <v>0</v>
      </c>
      <c r="K1766" s="31">
        <v>0</v>
      </c>
      <c r="L1766" s="6">
        <v>0</v>
      </c>
      <c r="M1766" s="6">
        <v>0</v>
      </c>
      <c r="N1766" s="6">
        <v>0</v>
      </c>
      <c r="O1766" s="4">
        <f>SUM(I1766:N1766)</f>
        <v>6206.9</v>
      </c>
      <c r="P1766" s="5">
        <f>SUMIFS('Desenvolvimento diário'!$H:$H,'Desenvolvimento diário'!$Q:$Q,$B1766,'Desenvolvimento diário'!$P:$P,$F1766,'Desenvolvimento diário'!$R:$R,"Sim")</f>
        <v>0</v>
      </c>
      <c r="Q1766" s="5">
        <f>SUMIFS('Desenvolvimento diário'!$H:$H,'Desenvolvimento diário'!$Q:$Q,$B1766,'Desenvolvimento diário'!$P:$P,$F1766,'Desenvolvimento diário'!$R:$R,"Não")</f>
        <v>6206.9</v>
      </c>
      <c r="R1766" s="4">
        <f>SUM(P1766:Q1766)</f>
        <v>6206.9</v>
      </c>
      <c r="S1766" s="4">
        <f>O1766-R1766</f>
        <v>0</v>
      </c>
      <c r="T1766" s="12">
        <f>IFERROR(R1766/O1766,0)</f>
        <v>1</v>
      </c>
      <c r="Y1766" s="2"/>
      <c r="Z1766" s="2"/>
      <c r="AA1766" s="2"/>
      <c r="AB1766" s="2"/>
      <c r="AC1766" s="2"/>
    </row>
    <row r="1767" spans="1:29" ht="10.5" hidden="1">
      <c r="A1767" s="2">
        <f>A1766</f>
        <v>51</v>
      </c>
      <c r="B1767" s="2" t="str">
        <f>VLOOKUP($A1767,Controle!$B$4:$F$68,2,FALSE)</f>
        <v>Paraguaçu 1</v>
      </c>
      <c r="C1767" s="2" t="str">
        <f>VLOOKUP($A1767,Controle!$B$4:$F$68,3,FALSE)</f>
        <v>MORI MINAS IV</v>
      </c>
      <c r="D1767" s="2" t="str">
        <f>VLOOKUP($A1767,Controle!$B$4:$F$68,4,FALSE)</f>
        <v>NewCo IV</v>
      </c>
      <c r="E1767" s="2">
        <f>VLOOKUP($A1767,Controle!$B$4:$F$68,5,FALSE)</f>
        <v>3</v>
      </c>
      <c r="F1767" s="3" t="str">
        <f>F1732</f>
        <v>Sistemas de Monitoramento - Supervisório</v>
      </c>
      <c r="G1767" s="2" t="str">
        <f>VLOOKUP($A1767,Controle!$B$4:$G$68,6,FALSE)</f>
        <v>Solatio</v>
      </c>
      <c r="H1767" s="6" t="s">
        <v>150</v>
      </c>
      <c r="I1767" s="6">
        <f>136155++(0.01)</f>
        <v>136155.01</v>
      </c>
      <c r="J1767" s="6"/>
      <c r="K1767" s="6">
        <v>0</v>
      </c>
      <c r="L1767" s="6">
        <v>0</v>
      </c>
      <c r="M1767" s="6">
        <v>0</v>
      </c>
      <c r="N1767" s="6">
        <v>0</v>
      </c>
      <c r="O1767" s="4">
        <f>SUM(I1767:N1767)</f>
        <v>136155.01</v>
      </c>
      <c r="P1767" s="5">
        <f>SUMIFS('Desenvolvimento diário'!$H:$H,'Desenvolvimento diário'!$Q:$Q,$B1767,'Desenvolvimento diário'!$P:$P,$F1767,'Desenvolvimento diário'!$R:$R,"Sim")</f>
        <v>5821.02</v>
      </c>
      <c r="Q1767" s="5">
        <f>SUMIFS('Desenvolvimento diário'!$H:$H,'Desenvolvimento diário'!$Q:$Q,$B1767,'Desenvolvimento diário'!$P:$P,$F1767,'Desenvolvimento diário'!$R:$R,"Não")</f>
        <v>130333.99</v>
      </c>
      <c r="R1767" s="4">
        <f>SUM(P1767:Q1767)</f>
        <v>136155.01</v>
      </c>
      <c r="S1767" s="43">
        <f>O1767-R1767</f>
        <v>0</v>
      </c>
      <c r="T1767" s="12">
        <f>IFERROR(R1767/O1767,0)</f>
        <v>1</v>
      </c>
      <c r="Y1767" s="2"/>
      <c r="Z1767" s="2"/>
      <c r="AA1767" s="2"/>
      <c r="AB1767" s="2"/>
      <c r="AC1767" s="2"/>
    </row>
    <row r="1768" spans="1:29" ht="10.5" hidden="1">
      <c r="A1768" s="2">
        <f>A1767</f>
        <v>51</v>
      </c>
      <c r="B1768" s="2" t="str">
        <f>VLOOKUP($A1768,Controle!$B$4:$F$68,2,FALSE)</f>
        <v>Paraguaçu 1</v>
      </c>
      <c r="C1768" s="2" t="str">
        <f>VLOOKUP($A1768,Controle!$B$4:$F$68,3,FALSE)</f>
        <v>MORI MINAS IV</v>
      </c>
      <c r="D1768" s="2" t="str">
        <f>VLOOKUP($A1768,Controle!$B$4:$F$68,4,FALSE)</f>
        <v>NewCo IV</v>
      </c>
      <c r="E1768" s="2">
        <f>VLOOKUP($A1768,Controle!$B$4:$F$68,5,FALSE)</f>
        <v>3</v>
      </c>
      <c r="F1768" s="3" t="str">
        <f>F1733</f>
        <v>Sistemas de Monitoramento - Estações Solarimétricas</v>
      </c>
      <c r="G1768" s="2" t="str">
        <f>VLOOKUP($A1768,Controle!$B$4:$G$68,6,FALSE)</f>
        <v>Solatio</v>
      </c>
      <c r="H1768" s="6" t="s">
        <v>151</v>
      </c>
      <c r="I1768" s="6">
        <v>48276.516000000003</v>
      </c>
      <c r="J1768" s="6">
        <v>0</v>
      </c>
      <c r="K1768" s="6">
        <v>0</v>
      </c>
      <c r="L1768" s="6">
        <v>0</v>
      </c>
      <c r="M1768" s="6">
        <v>0</v>
      </c>
      <c r="N1768" s="6">
        <v>0</v>
      </c>
      <c r="O1768" s="4">
        <f>SUM(I1768:N1768)</f>
        <v>48276.516000000003</v>
      </c>
      <c r="P1768" s="5">
        <f>SUMIFS('Desenvolvimento diário'!$H:$H,'Desenvolvimento diário'!$Q:$Q,$B1768,'Desenvolvimento diário'!$P:$P,$F1768,'Desenvolvimento diário'!$R:$R,"Sim")</f>
        <v>0</v>
      </c>
      <c r="Q1768" s="5">
        <f>SUMIFS('Desenvolvimento diário'!$H:$H,'Desenvolvimento diário'!$Q:$Q,$B1768,'Desenvolvimento diário'!$P:$P,$F1768,'Desenvolvimento diário'!$R:$R,"Não")</f>
        <v>48276.516000000003</v>
      </c>
      <c r="R1768" s="4">
        <f>SUM(P1768:Q1768)</f>
        <v>48276.516000000003</v>
      </c>
      <c r="S1768" s="4">
        <f>O1768-R1768</f>
        <v>0</v>
      </c>
      <c r="T1768" s="12">
        <f>IFERROR(R1768/O1768,0)</f>
        <v>1</v>
      </c>
      <c r="Y1768" s="2"/>
      <c r="Z1768" s="2"/>
      <c r="AA1768" s="2"/>
      <c r="AB1768" s="2"/>
      <c r="AC1768" s="2"/>
    </row>
    <row r="1769" spans="1:29" hidden="1">
      <c r="A1769" s="2">
        <f>A1768</f>
        <v>51</v>
      </c>
      <c r="B1769" s="2" t="str">
        <f>VLOOKUP($A1769,Controle!$B$4:$F$68,2,FALSE)</f>
        <v>Paraguaçu 1</v>
      </c>
      <c r="C1769" s="2" t="str">
        <f>VLOOKUP($A1769,Controle!$B$4:$F$68,3,FALSE)</f>
        <v>MORI MINAS IV</v>
      </c>
      <c r="D1769" s="2" t="str">
        <f>VLOOKUP($A1769,Controle!$B$4:$F$68,4,FALSE)</f>
        <v>NewCo IV</v>
      </c>
      <c r="E1769" s="2">
        <f>VLOOKUP($A1769,Controle!$B$4:$F$68,5,FALSE)</f>
        <v>3</v>
      </c>
      <c r="F1769" s="3" t="str">
        <f>F1734</f>
        <v>Sistemas de Monitoramento - CFTV</v>
      </c>
      <c r="G1769" s="2" t="str">
        <f>VLOOKUP($A1769,Controle!$B$4:$G$68,6,FALSE)</f>
        <v>Solatio</v>
      </c>
      <c r="H1769" s="31" t="s">
        <v>152</v>
      </c>
      <c r="I1769" s="6">
        <v>238984.98</v>
      </c>
      <c r="J1769" s="6">
        <v>0</v>
      </c>
      <c r="K1769" s="6">
        <v>0</v>
      </c>
      <c r="L1769" s="6">
        <v>0</v>
      </c>
      <c r="M1769" s="6">
        <v>0</v>
      </c>
      <c r="N1769" s="6">
        <v>0</v>
      </c>
      <c r="O1769" s="4">
        <f>SUM(I1769:N1769)</f>
        <v>238984.98</v>
      </c>
      <c r="P1769" s="5">
        <f>SUMIFS('Desenvolvimento diário'!$H:$H,'Desenvolvimento diário'!$Q:$Q,$B1769,'Desenvolvimento diário'!$P:$P,$F1769,'Desenvolvimento diário'!$R:$R,"Sim")</f>
        <v>0</v>
      </c>
      <c r="Q1769" s="5">
        <f>SUMIFS('Desenvolvimento diário'!$H:$H,'Desenvolvimento diário'!$Q:$Q,$B1769,'Desenvolvimento diário'!$P:$P,$F1769,'Desenvolvimento diário'!$R:$R,"Não")</f>
        <v>238984.98</v>
      </c>
      <c r="R1769" s="4">
        <f>SUM(P1769:Q1769)</f>
        <v>238984.98</v>
      </c>
      <c r="S1769" s="4">
        <f>O1769-R1769</f>
        <v>0</v>
      </c>
      <c r="T1769" s="12">
        <f>IFERROR(R1769/O1769,0)</f>
        <v>1</v>
      </c>
      <c r="Y1769" s="2"/>
      <c r="Z1769" s="2"/>
      <c r="AA1769" s="2"/>
      <c r="AB1769" s="2"/>
      <c r="AC1769" s="2"/>
    </row>
    <row r="1770" spans="1:29" ht="10.5" hidden="1">
      <c r="A1770" s="2">
        <f>A1769</f>
        <v>51</v>
      </c>
      <c r="B1770" s="2" t="str">
        <f>VLOOKUP($A1770,Controle!$B$4:$F$68,2,FALSE)</f>
        <v>Paraguaçu 1</v>
      </c>
      <c r="C1770" s="2" t="str">
        <f>VLOOKUP($A1770,Controle!$B$4:$F$68,3,FALSE)</f>
        <v>MORI MINAS IV</v>
      </c>
      <c r="D1770" s="2" t="str">
        <f>VLOOKUP($A1770,Controle!$B$4:$F$68,4,FALSE)</f>
        <v>NewCo IV</v>
      </c>
      <c r="E1770" s="2">
        <f>VLOOKUP($A1770,Controle!$B$4:$F$68,5,FALSE)</f>
        <v>3</v>
      </c>
      <c r="F1770" s="3" t="str">
        <f>F1735</f>
        <v>Serviços Auxiliares - Drenagem</v>
      </c>
      <c r="G1770" s="2" t="str">
        <f>VLOOKUP($A1770,Controle!$B$4:$G$68,6,FALSE)</f>
        <v>Solatio</v>
      </c>
      <c r="H1770" s="6" t="s">
        <v>234</v>
      </c>
      <c r="I1770" s="6">
        <v>643569.51</v>
      </c>
      <c r="J1770" s="6">
        <v>0</v>
      </c>
      <c r="K1770" s="6">
        <v>0</v>
      </c>
      <c r="L1770" s="6">
        <v>0</v>
      </c>
      <c r="M1770" s="6">
        <v>0</v>
      </c>
      <c r="N1770" s="6">
        <v>0</v>
      </c>
      <c r="O1770" s="4">
        <f>SUM(I1770:N1770)</f>
        <v>643569.51</v>
      </c>
      <c r="P1770" s="5">
        <f>SUMIFS('Desenvolvimento diário'!$H:$H,'Desenvolvimento diário'!$Q:$Q,$B1770,'Desenvolvimento diário'!$P:$P,$F1770,'Desenvolvimento diário'!$R:$R,"Sim")</f>
        <v>0</v>
      </c>
      <c r="Q1770" s="5">
        <f>SUMIFS('Desenvolvimento diário'!$H:$H,'Desenvolvimento diário'!$Q:$Q,$B1770,'Desenvolvimento diário'!$P:$P,$F1770,'Desenvolvimento diário'!$R:$R,"Não")</f>
        <v>643569.51</v>
      </c>
      <c r="R1770" s="4">
        <f>SUM(P1770:Q1770)</f>
        <v>643569.51</v>
      </c>
      <c r="S1770" s="27">
        <f>O1770-R1770</f>
        <v>0</v>
      </c>
      <c r="T1770" s="12">
        <f>IFERROR(R1770/O1770,0)</f>
        <v>1</v>
      </c>
      <c r="Y1770" s="2"/>
      <c r="Z1770" s="2"/>
      <c r="AA1770" s="2"/>
      <c r="AB1770" s="2"/>
      <c r="AC1770" s="2"/>
    </row>
    <row r="1771" spans="1:29" ht="10.5" hidden="1">
      <c r="A1771" s="2">
        <f>A1770</f>
        <v>51</v>
      </c>
      <c r="B1771" s="2" t="str">
        <f>VLOOKUP($A1771,Controle!$B$4:$F$68,2,FALSE)</f>
        <v>Paraguaçu 1</v>
      </c>
      <c r="C1771" s="2" t="str">
        <f>VLOOKUP($A1771,Controle!$B$4:$F$68,3,FALSE)</f>
        <v>MORI MINAS IV</v>
      </c>
      <c r="D1771" s="2" t="str">
        <f>VLOOKUP($A1771,Controle!$B$4:$F$68,4,FALSE)</f>
        <v>NewCo IV</v>
      </c>
      <c r="E1771" s="2">
        <f>VLOOKUP($A1771,Controle!$B$4:$F$68,5,FALSE)</f>
        <v>3</v>
      </c>
      <c r="F1771" s="3" t="str">
        <f>F1736</f>
        <v>Serviços Auxiliares - Terraplanagem</v>
      </c>
      <c r="G1771" s="2" t="str">
        <f>VLOOKUP($A1771,Controle!$B$4:$G$68,6,FALSE)</f>
        <v>Solatio</v>
      </c>
      <c r="H1771" s="6" t="s">
        <v>214</v>
      </c>
      <c r="I1771" s="6">
        <v>959577.48</v>
      </c>
      <c r="J1771" s="6">
        <v>0</v>
      </c>
      <c r="K1771" s="6">
        <v>0</v>
      </c>
      <c r="L1771" s="6">
        <v>0</v>
      </c>
      <c r="M1771" s="6">
        <v>0</v>
      </c>
      <c r="N1771" s="6">
        <v>0</v>
      </c>
      <c r="O1771" s="4">
        <f>SUM(I1771:N1771)</f>
        <v>959577.48</v>
      </c>
      <c r="P1771" s="5">
        <f>SUMIFS('Desenvolvimento diário'!$H:$H,'Desenvolvimento diário'!$Q:$Q,$B1771,'Desenvolvimento diário'!$P:$P,$F1771,'Desenvolvimento diário'!$R:$R,"Sim")</f>
        <v>0</v>
      </c>
      <c r="Q1771" s="5">
        <f>SUMIFS('Desenvolvimento diário'!$H:$H,'Desenvolvimento diário'!$Q:$Q,$B1771,'Desenvolvimento diário'!$P:$P,$F1771,'Desenvolvimento diário'!$R:$R,"Não")</f>
        <v>959577.48</v>
      </c>
      <c r="R1771" s="4">
        <f>SUM(P1771:Q1771)</f>
        <v>959577.48</v>
      </c>
      <c r="S1771" s="27">
        <f>O1771-R1771</f>
        <v>0</v>
      </c>
      <c r="T1771" s="12">
        <f>IFERROR(R1771/O1771,0)</f>
        <v>1</v>
      </c>
      <c r="Y1771" s="2"/>
      <c r="Z1771" s="2"/>
      <c r="AA1771" s="2"/>
      <c r="AB1771" s="2"/>
      <c r="AC1771" s="2"/>
    </row>
    <row r="1772" spans="1:29" ht="10.5" hidden="1">
      <c r="A1772" s="2">
        <f>A1771</f>
        <v>51</v>
      </c>
      <c r="B1772" s="2" t="str">
        <f>VLOOKUP($A1772,Controle!$B$4:$F$68,2,FALSE)</f>
        <v>Paraguaçu 1</v>
      </c>
      <c r="C1772" s="2" t="str">
        <f>VLOOKUP($A1772,Controle!$B$4:$F$68,3,FALSE)</f>
        <v>MORI MINAS IV</v>
      </c>
      <c r="D1772" s="2" t="str">
        <f>VLOOKUP($A1772,Controle!$B$4:$F$68,4,FALSE)</f>
        <v>NewCo IV</v>
      </c>
      <c r="E1772" s="2">
        <f>VLOOKUP($A1772,Controle!$B$4:$F$68,5,FALSE)</f>
        <v>3</v>
      </c>
      <c r="F1772" s="3" t="str">
        <f>F1737</f>
        <v>Serviços Auxiliares - Supressão Vegetal</v>
      </c>
      <c r="G1772" s="2" t="str">
        <f>VLOOKUP($A1772,Controle!$B$4:$G$68,6,FALSE)</f>
        <v>Solatio</v>
      </c>
      <c r="H1772" s="6" t="s">
        <v>220</v>
      </c>
      <c r="I1772" s="6">
        <v>44450</v>
      </c>
      <c r="J1772" s="6">
        <v>10000</v>
      </c>
      <c r="K1772" s="6">
        <v>0</v>
      </c>
      <c r="L1772" s="6">
        <v>0</v>
      </c>
      <c r="M1772" s="6">
        <v>0</v>
      </c>
      <c r="N1772" s="6">
        <v>0</v>
      </c>
      <c r="O1772" s="4">
        <f>SUM(I1772:N1772)</f>
        <v>54450</v>
      </c>
      <c r="P1772" s="5">
        <f>SUMIFS('Desenvolvimento diário'!$H:$H,'Desenvolvimento diário'!$Q:$Q,$B1772,'Desenvolvimento diário'!$P:$P,$F1772,'Desenvolvimento diário'!$R:$R,"Sim")</f>
        <v>0</v>
      </c>
      <c r="Q1772" s="5">
        <f>SUMIFS('Desenvolvimento diário'!$H:$H,'Desenvolvimento diário'!$Q:$Q,$B1772,'Desenvolvimento diário'!$P:$P,$F1772,'Desenvolvimento diário'!$R:$R,"Não")</f>
        <v>54450</v>
      </c>
      <c r="R1772" s="4">
        <f>SUM(P1772:Q1772)</f>
        <v>54450</v>
      </c>
      <c r="S1772" s="4">
        <f>O1772-R1772</f>
        <v>0</v>
      </c>
      <c r="T1772" s="12">
        <f>IFERROR(R1772/O1772,0)</f>
        <v>1</v>
      </c>
      <c r="Y1772" s="2"/>
      <c r="Z1772" s="2"/>
      <c r="AA1772" s="2"/>
      <c r="AB1772" s="2"/>
      <c r="AC1772" s="2"/>
    </row>
    <row r="1773" spans="1:29" ht="10.5" hidden="1">
      <c r="A1773" s="2">
        <f>A1772</f>
        <v>51</v>
      </c>
      <c r="B1773" s="2" t="str">
        <f>VLOOKUP($A1773,Controle!$B$4:$F$68,2,FALSE)</f>
        <v>Paraguaçu 1</v>
      </c>
      <c r="C1773" s="2" t="str">
        <f>VLOOKUP($A1773,Controle!$B$4:$F$68,3,FALSE)</f>
        <v>MORI MINAS IV</v>
      </c>
      <c r="D1773" s="2" t="str">
        <f>VLOOKUP($A1773,Controle!$B$4:$F$68,4,FALSE)</f>
        <v>NewCo IV</v>
      </c>
      <c r="E1773" s="2">
        <f>VLOOKUP($A1773,Controle!$B$4:$F$68,5,FALSE)</f>
        <v>3</v>
      </c>
      <c r="F1773" s="3" t="str">
        <f>F1738</f>
        <v>RDR-Rede de Distribuição Rural</v>
      </c>
      <c r="G1773" s="2" t="str">
        <f>VLOOKUP($A1773,Controle!$B$4:$G$68,6,FALSE)</f>
        <v>Solatio</v>
      </c>
      <c r="H1773" s="6">
        <v>0</v>
      </c>
      <c r="I1773" s="6">
        <v>0</v>
      </c>
      <c r="J1773" s="6">
        <v>0</v>
      </c>
      <c r="K1773" s="6">
        <v>0</v>
      </c>
      <c r="L1773" s="6">
        <v>0</v>
      </c>
      <c r="M1773" s="6">
        <v>0</v>
      </c>
      <c r="N1773" s="6">
        <v>0</v>
      </c>
      <c r="O1773" s="4">
        <f>SUM(I1773:N1773)</f>
        <v>0</v>
      </c>
      <c r="P1773" s="5">
        <f>SUMIFS('Desenvolvimento diário'!$H:$H,'Desenvolvimento diário'!$Q:$Q,$B1773,'Desenvolvimento diário'!$P:$P,$F1773,'Desenvolvimento diário'!$R:$R,"Sim")</f>
        <v>0</v>
      </c>
      <c r="Q1773" s="5">
        <f>SUMIFS('Desenvolvimento diário'!$H:$H,'Desenvolvimento diário'!$Q:$Q,$B1773,'Desenvolvimento diário'!$P:$P,$F1773,'Desenvolvimento diário'!$R:$R,"Não")</f>
        <v>0</v>
      </c>
      <c r="R1773" s="4">
        <f>SUM(P1773:Q1773)</f>
        <v>0</v>
      </c>
      <c r="S1773" s="4">
        <f>O1773-R1773</f>
        <v>0</v>
      </c>
      <c r="T1773" s="12">
        <f>IFERROR(R1773/O1773,0)</f>
        <v>0</v>
      </c>
      <c r="Y1773" s="2"/>
      <c r="Z1773" s="2"/>
      <c r="AA1773" s="2"/>
      <c r="AB1773" s="2"/>
      <c r="AC1773" s="2"/>
    </row>
    <row r="1774" spans="1:29" ht="10.5" hidden="1">
      <c r="A1774" s="2">
        <f>A1773</f>
        <v>51</v>
      </c>
      <c r="B1774" s="2" t="str">
        <f>VLOOKUP($A1774,Controle!$B$4:$F$68,2,FALSE)</f>
        <v>Paraguaçu 1</v>
      </c>
      <c r="C1774" s="2" t="str">
        <f>VLOOKUP($A1774,Controle!$B$4:$F$68,3,FALSE)</f>
        <v>MORI MINAS IV</v>
      </c>
      <c r="D1774" s="2" t="str">
        <f>VLOOKUP($A1774,Controle!$B$4:$F$68,4,FALSE)</f>
        <v>NewCo IV</v>
      </c>
      <c r="E1774" s="2">
        <f>VLOOKUP($A1774,Controle!$B$4:$F$68,5,FALSE)</f>
        <v>3</v>
      </c>
      <c r="F1774" s="3" t="str">
        <f>F1739</f>
        <v>Escopo COMERC</v>
      </c>
      <c r="G1774" s="2" t="str">
        <f>VLOOKUP($A1774,Controle!$B$4:$G$68,6,FALSE)</f>
        <v>Solatio</v>
      </c>
      <c r="H1774" s="6">
        <v>0</v>
      </c>
      <c r="I1774" s="6">
        <v>135270.47999999998</v>
      </c>
      <c r="J1774" s="29">
        <v>56000</v>
      </c>
      <c r="K1774" s="29"/>
      <c r="L1774" s="6">
        <v>0</v>
      </c>
      <c r="M1774" s="6">
        <v>0</v>
      </c>
      <c r="N1774" s="6">
        <v>0</v>
      </c>
      <c r="O1774" s="4">
        <f>SUM(I1774:N1774)</f>
        <v>191270.47999999998</v>
      </c>
      <c r="P1774" s="5">
        <f>SUMIFS('Desenvolvimento diário'!$H:$H,'Desenvolvimento diário'!$Q:$Q,$B1774,'Desenvolvimento diário'!$P:$P,$F1774,'Desenvolvimento diário'!$R:$R,"Sim")</f>
        <v>0</v>
      </c>
      <c r="Q1774" s="5">
        <f>SUMIFS('Desenvolvimento diário'!$H:$H,'Desenvolvimento diário'!$Q:$Q,$B1774,'Desenvolvimento diário'!$P:$P,$F1774,'Desenvolvimento diário'!$R:$R,"Não")</f>
        <v>136269.25999999998</v>
      </c>
      <c r="R1774" s="4">
        <f>SUM(P1774:Q1774)</f>
        <v>136269.25999999998</v>
      </c>
      <c r="S1774" s="1010">
        <f>O1774-R1774</f>
        <v>55001.22</v>
      </c>
      <c r="T1774" s="12">
        <f>IFERROR(R1774/O1774,0)</f>
        <v>0.71244271463113384</v>
      </c>
      <c r="U1774" s="1011" t="s">
        <v>166</v>
      </c>
      <c r="V1774" s="1011" t="s">
        <v>167</v>
      </c>
      <c r="Y1774" s="2"/>
      <c r="Z1774" s="2"/>
      <c r="AA1774" s="2"/>
      <c r="AB1774" s="2"/>
      <c r="AC1774" s="2"/>
    </row>
    <row r="1775" spans="1:29" ht="10.5" hidden="1">
      <c r="A1775" s="2">
        <f>A1774</f>
        <v>51</v>
      </c>
      <c r="B1775" s="2" t="str">
        <f>VLOOKUP($A1775,Controle!$B$4:$F$68,2,FALSE)</f>
        <v>Paraguaçu 1</v>
      </c>
      <c r="C1775" s="2" t="str">
        <f>VLOOKUP($A1775,Controle!$B$4:$F$68,3,FALSE)</f>
        <v>MORI MINAS IV</v>
      </c>
      <c r="D1775" s="2" t="str">
        <f>VLOOKUP($A1775,Controle!$B$4:$F$68,4,FALSE)</f>
        <v>NewCo IV</v>
      </c>
      <c r="E1775" s="2">
        <f>VLOOKUP($A1775,Controle!$B$4:$F$68,5,FALSE)</f>
        <v>3</v>
      </c>
      <c r="F1775" s="3" t="str">
        <f>F1740</f>
        <v>Escopo COMERC - Segurança</v>
      </c>
      <c r="G1775" s="2" t="str">
        <f>VLOOKUP($A1775,Controle!$B$4:$G$68,6,FALSE)</f>
        <v>Solatio</v>
      </c>
      <c r="H1775" s="6">
        <v>0</v>
      </c>
      <c r="I1775" s="6">
        <f>R1775</f>
        <v>54388.07</v>
      </c>
      <c r="J1775" s="6">
        <v>0</v>
      </c>
      <c r="K1775" s="6">
        <v>0</v>
      </c>
      <c r="L1775" s="6">
        <v>0</v>
      </c>
      <c r="M1775" s="6">
        <v>0</v>
      </c>
      <c r="N1775" s="6">
        <v>0</v>
      </c>
      <c r="O1775" s="4">
        <f>SUM(I1775:N1775)</f>
        <v>54388.07</v>
      </c>
      <c r="P1775" s="5">
        <f>SUMIFS('Desenvolvimento diário'!$H:$H,'Desenvolvimento diário'!$Q:$Q,$B1775,'Desenvolvimento diário'!$P:$P,$F1775,'Desenvolvimento diário'!$R:$R,"Sim")</f>
        <v>0</v>
      </c>
      <c r="Q1775" s="5">
        <f>SUMIFS('Desenvolvimento diário'!$H:$H,'Desenvolvimento diário'!$Q:$Q,$B1775,'Desenvolvimento diário'!$P:$P,$F1775,'Desenvolvimento diário'!$R:$R,"Não")</f>
        <v>54388.07</v>
      </c>
      <c r="R1775" s="4">
        <f>SUM(P1775:Q1775)</f>
        <v>54388.07</v>
      </c>
      <c r="S1775" s="4">
        <f>O1775-R1775</f>
        <v>0</v>
      </c>
      <c r="T1775" s="12">
        <f>IFERROR(R1775/O1775,0)</f>
        <v>1</v>
      </c>
      <c r="Y1775" s="2"/>
      <c r="Z1775" s="2"/>
      <c r="AA1775" s="2"/>
      <c r="AB1775" s="2"/>
      <c r="AC1775" s="2"/>
    </row>
    <row r="1776" spans="1:29" ht="10.5" hidden="1">
      <c r="A1776" s="2">
        <f>A1775</f>
        <v>51</v>
      </c>
      <c r="B1776" s="2" t="str">
        <f>VLOOKUP($A1776,Controle!$B$4:$F$68,2,FALSE)</f>
        <v>Paraguaçu 1</v>
      </c>
      <c r="C1776" s="2" t="str">
        <f>VLOOKUP($A1776,Controle!$B$4:$F$68,3,FALSE)</f>
        <v>MORI MINAS IV</v>
      </c>
      <c r="D1776" s="2" t="str">
        <f>VLOOKUP($A1776,Controle!$B$4:$F$68,4,FALSE)</f>
        <v>NewCo IV</v>
      </c>
      <c r="E1776" s="2">
        <f>VLOOKUP($A1776,Controle!$B$4:$F$68,5,FALSE)</f>
        <v>3</v>
      </c>
      <c r="F1776" s="3" t="str">
        <f>F1741</f>
        <v>Conexão MT - Obras Transferencia</v>
      </c>
      <c r="G1776" s="2" t="str">
        <f>VLOOKUP($A1776,Controle!$B$4:$G$68,6,FALSE)</f>
        <v>Solatio</v>
      </c>
      <c r="H1776" s="6" t="s">
        <v>168</v>
      </c>
      <c r="I1776" s="6">
        <v>3050000</v>
      </c>
      <c r="J1776" s="6">
        <v>258144</v>
      </c>
      <c r="K1776" s="6">
        <v>0</v>
      </c>
      <c r="L1776" s="6">
        <v>0</v>
      </c>
      <c r="M1776" s="6">
        <v>0</v>
      </c>
      <c r="N1776" s="6">
        <v>0</v>
      </c>
      <c r="O1776" s="4">
        <f>SUM(I1776:N1776)</f>
        <v>3308144</v>
      </c>
      <c r="P1776" s="5">
        <f>SUMIFS('Desenvolvimento diário'!$H:$H,'Desenvolvimento diário'!$Q:$Q,$B1776,'Desenvolvimento diário'!$P:$P,$F1776,'Desenvolvimento diário'!$R:$R,"Sim")</f>
        <v>1349220.41</v>
      </c>
      <c r="Q1776" s="5">
        <f>SUMIFS('Desenvolvimento diário'!$H:$H,'Desenvolvimento diário'!$Q:$Q,$B1776,'Desenvolvimento diário'!$P:$P,$F1776,'Desenvolvimento diário'!$R:$R,"Não")</f>
        <v>1958923.59</v>
      </c>
      <c r="R1776" s="4">
        <f>SUM(P1776:Q1776)</f>
        <v>3308144</v>
      </c>
      <c r="S1776" s="27">
        <f>O1776-R1776</f>
        <v>0</v>
      </c>
      <c r="T1776" s="12">
        <f>IFERROR(R1776/O1776,0)</f>
        <v>1</v>
      </c>
      <c r="Y1776" s="2"/>
      <c r="Z1776" s="2"/>
      <c r="AA1776" s="2"/>
      <c r="AB1776" s="2"/>
      <c r="AC1776" s="2"/>
    </row>
    <row r="1777" spans="1:29" ht="10.5" hidden="1">
      <c r="A1777" s="2">
        <f>A1776</f>
        <v>51</v>
      </c>
      <c r="B1777" s="2" t="str">
        <f>VLOOKUP($A1777,Controle!$B$4:$F$68,2,FALSE)</f>
        <v>Paraguaçu 1</v>
      </c>
      <c r="C1777" s="2" t="str">
        <f>VLOOKUP($A1777,Controle!$B$4:$F$68,3,FALSE)</f>
        <v>MORI MINAS IV</v>
      </c>
      <c r="D1777" s="2" t="str">
        <f>VLOOKUP($A1777,Controle!$B$4:$F$68,4,FALSE)</f>
        <v>NewCo IV</v>
      </c>
      <c r="E1777" s="2">
        <f>VLOOKUP($A1777,Controle!$B$4:$F$68,5,FALSE)</f>
        <v>3</v>
      </c>
      <c r="F1777" s="3" t="str">
        <f>F1742</f>
        <v>Bases de Contaniers</v>
      </c>
      <c r="G1777" s="2" t="str">
        <f>VLOOKUP($A1777,Controle!$B$4:$G$68,6,FALSE)</f>
        <v>Solatio</v>
      </c>
      <c r="H1777" s="6">
        <v>0</v>
      </c>
      <c r="I1777" s="6">
        <v>0</v>
      </c>
      <c r="J1777" s="6">
        <v>0</v>
      </c>
      <c r="K1777" s="6">
        <v>0</v>
      </c>
      <c r="L1777" s="6">
        <v>0</v>
      </c>
      <c r="M1777" s="6">
        <v>0</v>
      </c>
      <c r="N1777" s="6">
        <v>0</v>
      </c>
      <c r="O1777" s="4">
        <f>SUM(I1777:N1777)</f>
        <v>0</v>
      </c>
      <c r="P1777" s="5">
        <f>SUMIFS('Desenvolvimento diário'!$H:$H,'Desenvolvimento diário'!$Q:$Q,$B1777,'Desenvolvimento diário'!$P:$P,$F1777,'Desenvolvimento diário'!$R:$R,"Sim")</f>
        <v>0</v>
      </c>
      <c r="Q1777" s="5">
        <f>SUMIFS('Desenvolvimento diário'!$H:$H,'Desenvolvimento diário'!$Q:$Q,$B1777,'Desenvolvimento diário'!$P:$P,$F1777,'Desenvolvimento diário'!$R:$R,"Não")</f>
        <v>0</v>
      </c>
      <c r="R1777" s="4">
        <f>SUM(P1777:Q1777)</f>
        <v>0</v>
      </c>
      <c r="S1777" s="4">
        <f>O1777-R1777</f>
        <v>0</v>
      </c>
      <c r="T1777" s="12">
        <f>IFERROR(R1777/O1777,0)</f>
        <v>0</v>
      </c>
      <c r="Y1777" s="2"/>
      <c r="Z1777" s="2"/>
      <c r="AA1777" s="2"/>
      <c r="AB1777" s="2"/>
      <c r="AC1777" s="2"/>
    </row>
    <row r="1778" spans="1:29" ht="10.5" hidden="1">
      <c r="A1778" s="2">
        <f>A1777</f>
        <v>51</v>
      </c>
      <c r="B1778" s="2" t="str">
        <f>VLOOKUP($A1778,Controle!$B$4:$F$68,2,FALSE)</f>
        <v>Paraguaçu 1</v>
      </c>
      <c r="C1778" s="2" t="str">
        <f>VLOOKUP($A1778,Controle!$B$4:$F$68,3,FALSE)</f>
        <v>MORI MINAS IV</v>
      </c>
      <c r="D1778" s="2" t="str">
        <f>VLOOKUP($A1778,Controle!$B$4:$F$68,4,FALSE)</f>
        <v>NewCo IV</v>
      </c>
      <c r="E1778" s="2">
        <f>VLOOKUP($A1778,Controle!$B$4:$F$68,5,FALSE)</f>
        <v>3</v>
      </c>
      <c r="F1778" s="3" t="str">
        <f>F1743</f>
        <v>Construção - Serviços de Construção - Ase Engenharia</v>
      </c>
      <c r="G1778" s="2" t="str">
        <f>VLOOKUP($A1778,Controle!$B$4:$G$68,6,FALSE)</f>
        <v>Solatio</v>
      </c>
      <c r="H1778" s="6">
        <v>0</v>
      </c>
      <c r="I1778" s="6">
        <v>0</v>
      </c>
      <c r="J1778" s="6">
        <v>0</v>
      </c>
      <c r="K1778" s="6">
        <v>0</v>
      </c>
      <c r="L1778" s="6">
        <v>0</v>
      </c>
      <c r="M1778" s="6">
        <v>0</v>
      </c>
      <c r="N1778" s="6">
        <v>0</v>
      </c>
      <c r="O1778" s="4">
        <f>SUM(I1778:N1778)</f>
        <v>0</v>
      </c>
      <c r="P1778" s="5">
        <f>SUMIFS('Desenvolvimento diário'!$H:$H,'Desenvolvimento diário'!$Q:$Q,$B1778,'Desenvolvimento diário'!$P:$P,$F1778,'Desenvolvimento diário'!$R:$R,"Sim")</f>
        <v>0</v>
      </c>
      <c r="Q1778" s="5">
        <f>SUMIFS('Desenvolvimento diário'!$H:$H,'Desenvolvimento diário'!$Q:$Q,$B1778,'Desenvolvimento diário'!$P:$P,$F1778,'Desenvolvimento diário'!$R:$R,"Não")</f>
        <v>0</v>
      </c>
      <c r="R1778" s="4">
        <f>SUM(P1778:Q1778)</f>
        <v>0</v>
      </c>
      <c r="S1778" s="4">
        <f>O1778-R1778</f>
        <v>0</v>
      </c>
      <c r="T1778" s="12">
        <f>IFERROR(R1778/O1778,0)</f>
        <v>0</v>
      </c>
      <c r="Y1778" s="2"/>
      <c r="Z1778" s="2"/>
      <c r="AA1778" s="2"/>
      <c r="AB1778" s="2"/>
      <c r="AC1778" s="2"/>
    </row>
    <row r="1779" spans="1:29" ht="10.5" hidden="1">
      <c r="A1779" s="2">
        <f>A1778</f>
        <v>51</v>
      </c>
      <c r="B1779" s="2" t="str">
        <f>VLOOKUP($A1779,Controle!$B$4:$F$68,2,FALSE)</f>
        <v>Paraguaçu 1</v>
      </c>
      <c r="C1779" s="2" t="str">
        <f>VLOOKUP($A1779,Controle!$B$4:$F$68,3,FALSE)</f>
        <v>MORI MINAS IV</v>
      </c>
      <c r="D1779" s="2" t="str">
        <f>VLOOKUP($A1779,Controle!$B$4:$F$68,4,FALSE)</f>
        <v>NewCo IV</v>
      </c>
      <c r="E1779" s="2">
        <f>VLOOKUP($A1779,Controle!$B$4:$F$68,5,FALSE)</f>
        <v>3</v>
      </c>
      <c r="F1779" s="3" t="str">
        <f>F1744</f>
        <v>Full EPC - Contrato Sobressalentes</v>
      </c>
      <c r="G1779" s="2" t="str">
        <f>VLOOKUP($A1779,Controle!$B$4:$G$68,6,FALSE)</f>
        <v>Solatio</v>
      </c>
      <c r="H1779" s="6">
        <v>0</v>
      </c>
      <c r="I1779" s="6">
        <v>0</v>
      </c>
      <c r="J1779" s="6">
        <v>0</v>
      </c>
      <c r="K1779" s="6">
        <v>0</v>
      </c>
      <c r="L1779" s="6">
        <v>0</v>
      </c>
      <c r="M1779" s="6">
        <v>0</v>
      </c>
      <c r="N1779" s="6">
        <v>0</v>
      </c>
      <c r="O1779" s="4">
        <f>SUM(I1779:N1779)</f>
        <v>0</v>
      </c>
      <c r="P1779" s="5">
        <f>SUMIFS('Desenvolvimento diário'!$H:$H,'Desenvolvimento diário'!$Q:$Q,$B1779,'Desenvolvimento diário'!$P:$P,$F1779,'Desenvolvimento diário'!$R:$R,"Sim")</f>
        <v>0</v>
      </c>
      <c r="Q1779" s="5">
        <f>SUMIFS('Desenvolvimento diário'!$H:$H,'Desenvolvimento diário'!$Q:$Q,$B1779,'Desenvolvimento diário'!$P:$P,$F1779,'Desenvolvimento diário'!$R:$R,"Não")</f>
        <v>0</v>
      </c>
      <c r="R1779" s="4">
        <f>SUM(P1779:Q1779)</f>
        <v>0</v>
      </c>
      <c r="S1779" s="4">
        <f>O1779-R1779</f>
        <v>0</v>
      </c>
      <c r="T1779" s="12">
        <f>IFERROR(R1779/O1779,0)</f>
        <v>0</v>
      </c>
      <c r="Y1779" s="2"/>
      <c r="Z1779" s="2"/>
      <c r="AA1779" s="2"/>
      <c r="AB1779" s="2"/>
      <c r="AC1779" s="2"/>
    </row>
    <row r="1780" spans="1:29" ht="10.5" hidden="1">
      <c r="A1780" s="2">
        <f t="shared" ref="A1780:A1785" si="569">A1779</f>
        <v>51</v>
      </c>
      <c r="B1780" s="2" t="str">
        <f>VLOOKUP($A1780,Controle!$B$4:$F$68,2,FALSE)</f>
        <v>Paraguaçu 1</v>
      </c>
      <c r="C1780" s="2" t="str">
        <f>VLOOKUP($A1780,Controle!$B$4:$F$68,3,FALSE)</f>
        <v>MORI MINAS IV</v>
      </c>
      <c r="D1780" s="2" t="str">
        <f>VLOOKUP($A1780,Controle!$B$4:$F$68,4,FALSE)</f>
        <v>NewCo IV</v>
      </c>
      <c r="E1780" s="2">
        <f>VLOOKUP($A1780,Controle!$B$4:$F$68,5,FALSE)</f>
        <v>3</v>
      </c>
      <c r="F1780" s="3" t="str">
        <f t="shared" ref="F1780:F1785" si="570">F1745</f>
        <v>Construção - Serviços de Construção - NOVA MORADA</v>
      </c>
      <c r="G1780" s="2" t="str">
        <f>VLOOKUP($A1780,Controle!$B$4:$G$68,6,FALSE)</f>
        <v>Solatio</v>
      </c>
      <c r="H1780" s="6">
        <v>0</v>
      </c>
      <c r="I1780" s="6">
        <v>0</v>
      </c>
      <c r="J1780" s="6">
        <v>0</v>
      </c>
      <c r="K1780" s="6">
        <v>0</v>
      </c>
      <c r="L1780" s="6">
        <v>0</v>
      </c>
      <c r="M1780" s="6">
        <v>0</v>
      </c>
      <c r="N1780" s="6">
        <v>0</v>
      </c>
      <c r="O1780" s="4">
        <f>SUM(I1780:N1780)</f>
        <v>0</v>
      </c>
      <c r="P1780" s="5">
        <f>SUMIFS('Desenvolvimento diário'!$H:$H,'Desenvolvimento diário'!$Q:$Q,$B1780,'Desenvolvimento diário'!$P:$P,$F1780,'Desenvolvimento diário'!$R:$R,"Sim")</f>
        <v>0</v>
      </c>
      <c r="Q1780" s="5">
        <f>SUMIFS('Desenvolvimento diário'!$H:$H,'Desenvolvimento diário'!$Q:$Q,$B1780,'Desenvolvimento diário'!$P:$P,$F1780,'Desenvolvimento diário'!$R:$R,"Não")</f>
        <v>0</v>
      </c>
      <c r="R1780" s="4">
        <f>SUM(P1780:Q1780)</f>
        <v>0</v>
      </c>
      <c r="S1780" s="4">
        <f>O1780-R1780</f>
        <v>0</v>
      </c>
      <c r="T1780" s="12">
        <f>IFERROR(R1780/O1780,0)</f>
        <v>0</v>
      </c>
      <c r="Y1780" s="2"/>
      <c r="Z1780" s="2"/>
      <c r="AA1780" s="2"/>
      <c r="AB1780" s="2"/>
      <c r="AC1780" s="2"/>
    </row>
    <row r="1781" spans="1:29" ht="10.5" hidden="1">
      <c r="A1781" s="2">
        <f t="shared" si="569"/>
        <v>51</v>
      </c>
      <c r="B1781" s="2" t="str">
        <f>VLOOKUP($A1781,Controle!$B$4:$F$68,2,FALSE)</f>
        <v>Paraguaçu 1</v>
      </c>
      <c r="C1781" s="2" t="str">
        <f>VLOOKUP($A1781,Controle!$B$4:$F$68,3,FALSE)</f>
        <v>MORI MINAS IV</v>
      </c>
      <c r="D1781" s="2" t="str">
        <f>VLOOKUP($A1781,Controle!$B$4:$F$68,4,FALSE)</f>
        <v>NewCo IV</v>
      </c>
      <c r="E1781" s="2">
        <f>VLOOKUP($A1781,Controle!$B$4:$F$68,5,FALSE)</f>
        <v>3</v>
      </c>
      <c r="F1781" s="3" t="str">
        <f t="shared" si="570"/>
        <v>Equipamentos Curva A -  Contrato Sobressalentes - SETTA</v>
      </c>
      <c r="G1781" s="2" t="str">
        <f>VLOOKUP($A1781,Controle!$B$4:$G$68,6,FALSE)</f>
        <v>Solatio</v>
      </c>
      <c r="H1781" s="6">
        <v>0</v>
      </c>
      <c r="I1781" s="6">
        <v>0</v>
      </c>
      <c r="J1781" s="6">
        <v>0</v>
      </c>
      <c r="K1781" s="6">
        <v>0</v>
      </c>
      <c r="L1781" s="6">
        <v>0</v>
      </c>
      <c r="M1781" s="6">
        <v>0</v>
      </c>
      <c r="N1781" s="6">
        <v>0</v>
      </c>
      <c r="O1781" s="4">
        <f>SUM(I1781:N1781)</f>
        <v>0</v>
      </c>
      <c r="P1781" s="5">
        <f>SUMIFS('Desenvolvimento diário'!$H:$H,'Desenvolvimento diário'!$Q:$Q,$B1781,'Desenvolvimento diário'!$P:$P,$F1781,'Desenvolvimento diário'!$R:$R,"Sim")</f>
        <v>0</v>
      </c>
      <c r="Q1781" s="5">
        <f>SUMIFS('Desenvolvimento diário'!$H:$H,'Desenvolvimento diário'!$Q:$Q,$B1781,'Desenvolvimento diário'!$P:$P,$F1781,'Desenvolvimento diário'!$R:$R,"Não")</f>
        <v>0</v>
      </c>
      <c r="R1781" s="4">
        <f>SUM(P1781:Q1781)</f>
        <v>0</v>
      </c>
      <c r="S1781" s="4">
        <f>O1781-R1781</f>
        <v>0</v>
      </c>
      <c r="T1781" s="12">
        <f>IFERROR(R1781/O1781,0)</f>
        <v>0</v>
      </c>
      <c r="Y1781" s="2"/>
      <c r="Z1781" s="2"/>
      <c r="AA1781" s="2"/>
      <c r="AB1781" s="2"/>
      <c r="AC1781" s="2"/>
    </row>
    <row r="1782" spans="1:29" ht="10.5" hidden="1">
      <c r="A1782" s="2">
        <f t="shared" si="569"/>
        <v>51</v>
      </c>
      <c r="B1782" s="2" t="str">
        <f>VLOOKUP($A1782,Controle!$B$4:$F$68,2,FALSE)</f>
        <v>Paraguaçu 1</v>
      </c>
      <c r="C1782" s="2" t="str">
        <f>VLOOKUP($A1782,Controle!$B$4:$F$68,3,FALSE)</f>
        <v>MORI MINAS IV</v>
      </c>
      <c r="D1782" s="2" t="str">
        <f>VLOOKUP($A1782,Controle!$B$4:$F$68,4,FALSE)</f>
        <v>NewCo IV</v>
      </c>
      <c r="E1782" s="2">
        <f>VLOOKUP($A1782,Controle!$B$4:$F$68,5,FALSE)</f>
        <v>3</v>
      </c>
      <c r="F1782" s="3" t="str">
        <f t="shared" si="570"/>
        <v>Equipamentos Curva A -  Contrato Sobressalentes - Arctech</v>
      </c>
      <c r="G1782" s="2" t="str">
        <f>VLOOKUP($A1782,Controle!$B$4:$G$68,6,FALSE)</f>
        <v>Solatio</v>
      </c>
      <c r="H1782" s="6">
        <v>0</v>
      </c>
      <c r="I1782" s="6">
        <v>0</v>
      </c>
      <c r="J1782" s="6">
        <v>0</v>
      </c>
      <c r="K1782" s="6">
        <v>0</v>
      </c>
      <c r="L1782" s="6">
        <v>0</v>
      </c>
      <c r="M1782" s="6">
        <v>0</v>
      </c>
      <c r="N1782" s="6">
        <v>0</v>
      </c>
      <c r="O1782" s="4">
        <f>SUM(I1782:N1782)</f>
        <v>0</v>
      </c>
      <c r="P1782" s="5">
        <f>SUMIFS('Desenvolvimento diário'!$H:$H,'Desenvolvimento diário'!$Q:$Q,$B1782,'Desenvolvimento diário'!$P:$P,$F1782,'Desenvolvimento diário'!$R:$R,"Sim")</f>
        <v>0</v>
      </c>
      <c r="Q1782" s="5">
        <f>SUMIFS('Desenvolvimento diário'!$H:$H,'Desenvolvimento diário'!$Q:$Q,$B1782,'Desenvolvimento diário'!$P:$P,$F1782,'Desenvolvimento diário'!$R:$R,"Não")</f>
        <v>0</v>
      </c>
      <c r="R1782" s="4">
        <f>SUM(P1782:Q1782)</f>
        <v>0</v>
      </c>
      <c r="S1782" s="4">
        <f>O1782-R1782</f>
        <v>0</v>
      </c>
      <c r="T1782" s="12">
        <f>IFERROR(R1782/O1782,0)</f>
        <v>0</v>
      </c>
      <c r="Y1782" s="2"/>
      <c r="Z1782" s="2"/>
      <c r="AA1782" s="2"/>
      <c r="AB1782" s="2"/>
      <c r="AC1782" s="2"/>
    </row>
    <row r="1783" spans="1:29" hidden="1">
      <c r="A1783" s="2">
        <f t="shared" si="569"/>
        <v>51</v>
      </c>
      <c r="B1783" s="2" t="str">
        <f>VLOOKUP($A1783,Controle!$B$4:$F$68,2,FALSE)</f>
        <v>Paraguaçu 1</v>
      </c>
      <c r="C1783" s="2" t="str">
        <f>VLOOKUP($A1783,Controle!$B$4:$F$68,3,FALSE)</f>
        <v>MORI MINAS IV</v>
      </c>
      <c r="D1783" s="2" t="str">
        <f>VLOOKUP($A1783,Controle!$B$4:$F$68,4,FALSE)</f>
        <v>NewCo IV</v>
      </c>
      <c r="E1783" s="2">
        <f>VLOOKUP($A1783,Controle!$B$4:$F$68,5,FALSE)</f>
        <v>3</v>
      </c>
      <c r="F1783" s="3" t="str">
        <f t="shared" si="570"/>
        <v>Equipamentos Curva A -  Contrato Sobressalentes - Romagnole</v>
      </c>
      <c r="G1783" s="2" t="str">
        <f>VLOOKUP($A1783,Controle!$B$4:$G$68,6,FALSE)</f>
        <v>Solatio</v>
      </c>
      <c r="H1783" s="506" t="s">
        <v>169</v>
      </c>
      <c r="I1783" s="506">
        <v>91161.11</v>
      </c>
      <c r="J1783" s="506">
        <v>165168.14000000001</v>
      </c>
      <c r="K1783" s="506">
        <v>0</v>
      </c>
      <c r="L1783" s="506">
        <v>0</v>
      </c>
      <c r="M1783" s="506">
        <v>0</v>
      </c>
      <c r="N1783" s="506">
        <v>0</v>
      </c>
      <c r="O1783" s="39">
        <f>SUM(I1783:N1783)</f>
        <v>256329.25</v>
      </c>
      <c r="P1783" s="17">
        <f>SUMIFS('Desenvolvimento diário'!$H:$H,'Desenvolvimento diário'!$Q:$Q,$B1783,'Desenvolvimento diário'!$P:$P,$F1783,'Desenvolvimento diário'!$R:$R,"Sim")</f>
        <v>0</v>
      </c>
      <c r="Q1783" s="17">
        <f>SUMIFS('Desenvolvimento diário'!$H:$H,'Desenvolvimento diário'!$Q:$Q,$B1783,'Desenvolvimento diário'!$P:$P,$F1783,'Desenvolvimento diário'!$R:$R,"Não")</f>
        <v>256329.25</v>
      </c>
      <c r="R1783" s="4">
        <f>SUM(P1783:Q1783)</f>
        <v>256329.25</v>
      </c>
      <c r="S1783" s="4">
        <f>O1783-R1783</f>
        <v>0</v>
      </c>
      <c r="T1783" s="12">
        <f>IFERROR(R1783/O1783,0)</f>
        <v>1</v>
      </c>
      <c r="Y1783" s="2"/>
      <c r="Z1783" s="2"/>
      <c r="AA1783" s="2"/>
      <c r="AB1783" s="2"/>
      <c r="AC1783" s="2"/>
    </row>
    <row r="1784" spans="1:29" hidden="1">
      <c r="A1784" s="2">
        <f t="shared" si="569"/>
        <v>51</v>
      </c>
      <c r="B1784" s="2" t="str">
        <f>VLOOKUP($A1784,Controle!$B$4:$F$68,2,FALSE)</f>
        <v>Paraguaçu 1</v>
      </c>
      <c r="C1784" s="2" t="str">
        <f>VLOOKUP($A1784,Controle!$B$4:$F$68,3,FALSE)</f>
        <v>MORI MINAS IV</v>
      </c>
      <c r="D1784" s="2" t="str">
        <f>VLOOKUP($A1784,Controle!$B$4:$F$68,4,FALSE)</f>
        <v>NewCo IV</v>
      </c>
      <c r="E1784" s="2">
        <f>VLOOKUP($A1784,Controle!$B$4:$F$68,5,FALSE)</f>
        <v>3</v>
      </c>
      <c r="F1784" s="3" t="str">
        <f t="shared" si="570"/>
        <v>GOS FLORESTAL - (PRAD - Recuperação Area Ambiental)</v>
      </c>
      <c r="G1784" s="2" t="str">
        <f>VLOOKUP($A1784,Controle!$B$4:$G$68,6,FALSE)</f>
        <v>Solatio</v>
      </c>
      <c r="H1784" s="506" t="s">
        <v>170</v>
      </c>
      <c r="I1784" s="7">
        <v>0</v>
      </c>
      <c r="J1784" s="7">
        <v>0</v>
      </c>
      <c r="K1784" s="7">
        <v>0</v>
      </c>
      <c r="L1784" s="7">
        <v>0</v>
      </c>
      <c r="M1784" s="7">
        <v>0</v>
      </c>
      <c r="N1784" s="7">
        <v>0</v>
      </c>
      <c r="O1784" s="39">
        <f t="shared" ref="O1784:O1785" si="571">SUM(I1784:N1784)</f>
        <v>0</v>
      </c>
      <c r="P1784" s="17">
        <f>SUMIFS('Desenvolvimento diário'!$H:$H,'Desenvolvimento diário'!$Q:$Q,$B1784,'Desenvolvimento diário'!$P:$P,$F1784,'Desenvolvimento diário'!$R:$R,"Sim")</f>
        <v>0</v>
      </c>
      <c r="Q1784" s="17">
        <f>SUMIFS('Desenvolvimento diário'!$H:$H,'Desenvolvimento diário'!$Q:$Q,$B1784,'Desenvolvimento diário'!$P:$P,$F1784,'Desenvolvimento diário'!$R:$R,"Não")</f>
        <v>0</v>
      </c>
      <c r="R1784" s="4">
        <f t="shared" ref="R1784:R1785" si="572">SUM(P1784:Q1784)</f>
        <v>0</v>
      </c>
      <c r="S1784" s="4">
        <f t="shared" ref="S1784:S1785" si="573">O1784-R1784</f>
        <v>0</v>
      </c>
      <c r="T1784" s="12">
        <f t="shared" ref="T1784:T1785" si="574">IFERROR(R1784/O1784,0)</f>
        <v>0</v>
      </c>
      <c r="Y1784" s="2"/>
      <c r="Z1784" s="2"/>
      <c r="AA1784" s="2"/>
      <c r="AB1784" s="2"/>
      <c r="AC1784" s="2"/>
    </row>
    <row r="1785" spans="1:29" hidden="1">
      <c r="A1785" s="2">
        <f t="shared" si="569"/>
        <v>51</v>
      </c>
      <c r="B1785" s="2" t="str">
        <f>VLOOKUP($A1785,Controle!$B$4:$F$68,2,FALSE)</f>
        <v>Paraguaçu 1</v>
      </c>
      <c r="C1785" s="2" t="str">
        <f>VLOOKUP($A1785,Controle!$B$4:$F$68,3,FALSE)</f>
        <v>MORI MINAS IV</v>
      </c>
      <c r="D1785" s="2" t="str">
        <f>VLOOKUP($A1785,Controle!$B$4:$F$68,4,FALSE)</f>
        <v>NewCo IV</v>
      </c>
      <c r="E1785" s="2">
        <f>VLOOKUP($A1785,Controle!$B$4:$F$68,5,FALSE)</f>
        <v>3</v>
      </c>
      <c r="F1785" s="3" t="str">
        <f t="shared" si="570"/>
        <v>Cercamento das bacias de contenção ciclo 2</v>
      </c>
      <c r="G1785" s="2" t="str">
        <f>VLOOKUP($A1785,Controle!$B$4:$G$68,6,FALSE)</f>
        <v>Solatio</v>
      </c>
      <c r="H1785" s="506" t="s">
        <v>172</v>
      </c>
      <c r="I1785" s="6"/>
      <c r="J1785" s="506"/>
      <c r="K1785" s="506">
        <v>0</v>
      </c>
      <c r="L1785" s="506">
        <v>0</v>
      </c>
      <c r="M1785" s="506">
        <v>0</v>
      </c>
      <c r="N1785" s="506">
        <v>0</v>
      </c>
      <c r="O1785" s="39">
        <f t="shared" si="571"/>
        <v>0</v>
      </c>
      <c r="P1785" s="17">
        <f>SUMIFS('Desenvolvimento diário'!$H:$H,'Desenvolvimento diário'!$Q:$Q,$B1785,'Desenvolvimento diário'!$P:$P,$F1785,'Desenvolvimento diário'!$R:$R,"Sim")</f>
        <v>0</v>
      </c>
      <c r="Q1785" s="17">
        <f>SUMIFS('Desenvolvimento diário'!$H:$H,'Desenvolvimento diário'!$Q:$Q,$B1785,'Desenvolvimento diário'!$P:$P,$F1785,'Desenvolvimento diário'!$R:$R,"Não")</f>
        <v>0</v>
      </c>
      <c r="R1785" s="4">
        <f t="shared" si="572"/>
        <v>0</v>
      </c>
      <c r="S1785" s="1030">
        <f t="shared" si="573"/>
        <v>0</v>
      </c>
      <c r="T1785" s="12">
        <f t="shared" si="574"/>
        <v>0</v>
      </c>
      <c r="U1785" s="1029" t="s">
        <v>166</v>
      </c>
      <c r="V1785" s="1029" t="s">
        <v>94</v>
      </c>
      <c r="Y1785" s="2"/>
      <c r="Z1785" s="2"/>
      <c r="AA1785" s="2"/>
      <c r="AB1785" s="2"/>
      <c r="AC1785" s="2"/>
    </row>
    <row r="1786" spans="1:29" hidden="1">
      <c r="A1786" s="8">
        <f>A1783</f>
        <v>51</v>
      </c>
      <c r="B1786" s="9" t="str">
        <f>B1783</f>
        <v>Paraguaçu 1</v>
      </c>
      <c r="C1786" s="9" t="str">
        <f>C1783</f>
        <v>MORI MINAS IV</v>
      </c>
      <c r="D1786" s="9" t="str">
        <f>D1783</f>
        <v>NewCo IV</v>
      </c>
      <c r="E1786" s="9">
        <f>E1783</f>
        <v>3</v>
      </c>
      <c r="F1786" s="10" t="s">
        <v>158</v>
      </c>
      <c r="G1786" s="9" t="str">
        <f>G1783</f>
        <v>Solatio</v>
      </c>
      <c r="H1786" s="9"/>
      <c r="I1786" s="9">
        <f>SUBTOTAL(9,I1752:I1785)</f>
        <v>0</v>
      </c>
      <c r="J1786" s="9">
        <f t="shared" ref="J1786:S1786" si="575">SUBTOTAL(9,J1752:J1785)</f>
        <v>0</v>
      </c>
      <c r="K1786" s="9">
        <f t="shared" si="575"/>
        <v>0</v>
      </c>
      <c r="L1786" s="9">
        <f t="shared" si="575"/>
        <v>0</v>
      </c>
      <c r="M1786" s="9">
        <f t="shared" si="575"/>
        <v>0</v>
      </c>
      <c r="N1786" s="9">
        <f t="shared" si="575"/>
        <v>0</v>
      </c>
      <c r="O1786" s="9">
        <f t="shared" si="575"/>
        <v>0</v>
      </c>
      <c r="P1786" s="9">
        <f t="shared" si="575"/>
        <v>0</v>
      </c>
      <c r="Q1786" s="9">
        <f t="shared" si="575"/>
        <v>0</v>
      </c>
      <c r="R1786" s="9">
        <f t="shared" si="575"/>
        <v>0</v>
      </c>
      <c r="S1786" s="9">
        <f t="shared" si="575"/>
        <v>0</v>
      </c>
      <c r="T1786" s="13">
        <f>IFERROR(R1786/O1786,0)</f>
        <v>0</v>
      </c>
      <c r="U1786" s="11">
        <f>SUBTOTAL(9,U1752:U1785)</f>
        <v>0</v>
      </c>
      <c r="Y1786" s="2"/>
      <c r="Z1786" s="2"/>
      <c r="AA1786" s="2"/>
      <c r="AB1786" s="2"/>
      <c r="AC1786" s="2"/>
    </row>
    <row r="1787" spans="1:29" ht="10.5" hidden="1">
      <c r="A1787" s="2">
        <f>A1752+1</f>
        <v>52</v>
      </c>
      <c r="B1787" s="2" t="str">
        <f>VLOOKUP($A1787,Controle!$B$4:$F$68,2,FALSE)</f>
        <v>Santo Antônio 1</v>
      </c>
      <c r="C1787" s="2" t="str">
        <f>VLOOKUP($A1787,Controle!$B$4:$F$68,3,FALSE)</f>
        <v>MORI MINAS IV</v>
      </c>
      <c r="D1787" s="2" t="str">
        <f>VLOOKUP($A1787,Controle!$B$4:$F$68,4,FALSE)</f>
        <v>NewCo IV</v>
      </c>
      <c r="E1787" s="2">
        <f>VLOOKUP($A1787,Controle!$B$4:$F$68,5,FALSE)</f>
        <v>2</v>
      </c>
      <c r="F1787" s="3" t="str">
        <f>F1752</f>
        <v>Conexão AT - Obras</v>
      </c>
      <c r="G1787" s="2" t="str">
        <f>VLOOKUP($A1787,Controle!$B$4:$G$68,6,FALSE)</f>
        <v>Solatio</v>
      </c>
      <c r="H1787" s="6" t="s">
        <v>141</v>
      </c>
      <c r="I1787" s="29">
        <v>797528.48</v>
      </c>
      <c r="J1787" s="6">
        <v>0</v>
      </c>
      <c r="K1787" s="6">
        <v>0</v>
      </c>
      <c r="L1787" s="6">
        <v>0</v>
      </c>
      <c r="M1787" s="6">
        <v>0</v>
      </c>
      <c r="N1787" s="6">
        <v>0</v>
      </c>
      <c r="O1787" s="4">
        <f>SUM(I1787:N1787)</f>
        <v>797528.48</v>
      </c>
      <c r="P1787" s="5">
        <f>SUMIFS('Desenvolvimento diário'!$H:$H,'Desenvolvimento diário'!$Q:$Q,$B1787,'Desenvolvimento diário'!$P:$P,$F1787,'Desenvolvimento diário'!$R:$R,"Sim")</f>
        <v>339586.77999999991</v>
      </c>
      <c r="Q1787" s="5">
        <f>SUMIFS('Desenvolvimento diário'!$H:$H,'Desenvolvimento diário'!$Q:$Q,$B1787,'Desenvolvimento diário'!$P:$P,$F1787,'Desenvolvimento diário'!$R:$R,"Não")</f>
        <v>457941.7</v>
      </c>
      <c r="R1787" s="4">
        <f>SUM(P1787:Q1787)</f>
        <v>797528.48</v>
      </c>
      <c r="S1787" s="27">
        <f>O1787-R1787</f>
        <v>0</v>
      </c>
      <c r="T1787" s="12">
        <f>IFERROR(R1787/O1787,0)</f>
        <v>1</v>
      </c>
      <c r="Y1787" s="2"/>
      <c r="Z1787" s="2"/>
      <c r="AA1787" s="2"/>
      <c r="AB1787" s="2"/>
      <c r="AC1787" s="2"/>
    </row>
    <row r="1788" spans="1:29" ht="10.5" hidden="1">
      <c r="A1788" s="2">
        <f>A1787</f>
        <v>52</v>
      </c>
      <c r="B1788" s="2" t="str">
        <f>VLOOKUP($A1788,Controle!$B$4:$F$68,2,FALSE)</f>
        <v>Santo Antônio 1</v>
      </c>
      <c r="C1788" s="2" t="str">
        <f>VLOOKUP($A1788,Controle!$B$4:$F$68,3,FALSE)</f>
        <v>MORI MINAS IV</v>
      </c>
      <c r="D1788" s="2" t="str">
        <f>VLOOKUP($A1788,Controle!$B$4:$F$68,4,FALSE)</f>
        <v>NewCo IV</v>
      </c>
      <c r="E1788" s="2">
        <f>VLOOKUP($A1788,Controle!$B$4:$F$68,5,FALSE)</f>
        <v>2</v>
      </c>
      <c r="F1788" s="3" t="str">
        <f>F1753</f>
        <v>Conexão MT - Obras</v>
      </c>
      <c r="G1788" s="2" t="str">
        <f>VLOOKUP($A1788,Controle!$B$4:$G$68,6,FALSE)</f>
        <v>Solatio</v>
      </c>
      <c r="H1788" s="6" t="s">
        <v>141</v>
      </c>
      <c r="I1788" s="6">
        <v>1277790.29</v>
      </c>
      <c r="J1788" s="6">
        <v>1602209.71</v>
      </c>
      <c r="K1788" s="6">
        <v>1420000</v>
      </c>
      <c r="L1788" s="6">
        <f>(-257165)</f>
        <v>-257165</v>
      </c>
      <c r="M1788" s="6">
        <f>(203403.17)</f>
        <v>203403.17</v>
      </c>
      <c r="N1788" s="6">
        <v>0</v>
      </c>
      <c r="O1788" s="4">
        <f>SUM(I1788:N1788)</f>
        <v>4246238.17</v>
      </c>
      <c r="P1788" s="5">
        <f>SUMIFS('Desenvolvimento diário'!$H:$H,'Desenvolvimento diário'!$Q:$Q,$B1788,'Desenvolvimento diário'!$P:$P,$F1788,'Desenvolvimento diário'!$R:$R,"Sim")</f>
        <v>1370942.31</v>
      </c>
      <c r="Q1788" s="5">
        <f>SUMIFS('Desenvolvimento diário'!$H:$H,'Desenvolvimento diário'!$Q:$Q,$B1788,'Desenvolvimento diário'!$P:$P,$F1788,'Desenvolvimento diário'!$R:$R,"Não")</f>
        <v>2875295.8599999994</v>
      </c>
      <c r="R1788" s="4">
        <f>SUM(P1788:Q1788)</f>
        <v>4246238.17</v>
      </c>
      <c r="S1788" s="27">
        <f>O1788-R1788</f>
        <v>0</v>
      </c>
      <c r="T1788" s="12">
        <f>IFERROR(R1788/O1788,0)</f>
        <v>1</v>
      </c>
      <c r="Y1788" s="2"/>
      <c r="Z1788" s="2"/>
      <c r="AA1788" s="2"/>
      <c r="AB1788" s="2"/>
      <c r="AC1788" s="2"/>
    </row>
    <row r="1789" spans="1:29" ht="10.5" hidden="1">
      <c r="A1789" s="2">
        <f>A1788</f>
        <v>52</v>
      </c>
      <c r="B1789" s="94" t="str">
        <f>VLOOKUP($A1789,Controle!$B$4:$F$68,2,FALSE)</f>
        <v>Santo Antônio 1</v>
      </c>
      <c r="C1789" s="2" t="str">
        <f>VLOOKUP($A1789,Controle!$B$4:$F$68,3,FALSE)</f>
        <v>MORI MINAS IV</v>
      </c>
      <c r="D1789" s="2" t="str">
        <f>VLOOKUP($A1789,Controle!$B$4:$F$68,4,FALSE)</f>
        <v>NewCo IV</v>
      </c>
      <c r="E1789" s="2">
        <f>VLOOKUP($A1789,Controle!$B$4:$F$68,5,FALSE)</f>
        <v>2</v>
      </c>
      <c r="F1789" s="3" t="str">
        <f>F1754</f>
        <v>Construção - Serviços de Construção</v>
      </c>
      <c r="G1789" s="2" t="str">
        <f>VLOOKUP($A1789,Controle!$B$4:$G$68,6,FALSE)</f>
        <v>Solatio</v>
      </c>
      <c r="H1789" s="6" t="s">
        <v>147</v>
      </c>
      <c r="I1789" s="6">
        <v>2691000</v>
      </c>
      <c r="J1789" s="6">
        <f>52647+49665</f>
        <v>102312</v>
      </c>
      <c r="K1789" s="6">
        <v>416453.83</v>
      </c>
      <c r="L1789" s="6">
        <v>341655.74</v>
      </c>
      <c r="M1789" s="6">
        <v>0</v>
      </c>
      <c r="N1789" s="6">
        <v>0</v>
      </c>
      <c r="O1789" s="4">
        <f>SUM(I1789:N1789)</f>
        <v>3551421.5700000003</v>
      </c>
      <c r="P1789" s="5">
        <f>SUMIFS('Desenvolvimento diário'!$H:$H,'Desenvolvimento diário'!$Q:$Q,$B1789,'Desenvolvimento diário'!$P:$P,$F1789,'Desenvolvimento diário'!$R:$R,"Sim")</f>
        <v>414394.23000000004</v>
      </c>
      <c r="Q1789" s="5">
        <f>SUMIFS('Desenvolvimento diário'!$H:$H,'Desenvolvimento diário'!$Q:$Q,$B1789,'Desenvolvimento diário'!$P:$P,$F1789,'Desenvolvimento diário'!$R:$R,"Não")</f>
        <v>3058933.2700000005</v>
      </c>
      <c r="R1789" s="4">
        <f>SUM(P1789:Q1789)</f>
        <v>3473327.5000000005</v>
      </c>
      <c r="S1789" s="33">
        <f>O1789-R1789</f>
        <v>78094.069999999832</v>
      </c>
      <c r="T1789" s="12">
        <f>IFERROR(R1789/O1789,0)</f>
        <v>0.97801047595709689</v>
      </c>
      <c r="U1789" s="510" t="s">
        <v>162</v>
      </c>
      <c r="V1789" s="510" t="s">
        <v>163</v>
      </c>
      <c r="Y1789" s="2"/>
      <c r="Z1789" s="2"/>
      <c r="AA1789" s="2"/>
      <c r="AB1789" s="2"/>
      <c r="AC1789" s="2"/>
    </row>
    <row r="1790" spans="1:29" ht="10.5" hidden="1">
      <c r="A1790" s="2">
        <f>A1789</f>
        <v>52</v>
      </c>
      <c r="B1790" s="2" t="str">
        <f>VLOOKUP($A1790,Controle!$B$4:$F$68,2,FALSE)</f>
        <v>Santo Antônio 1</v>
      </c>
      <c r="C1790" s="2" t="str">
        <f>VLOOKUP($A1790,Controle!$B$4:$F$68,3,FALSE)</f>
        <v>MORI MINAS IV</v>
      </c>
      <c r="D1790" s="2" t="str">
        <f>VLOOKUP($A1790,Controle!$B$4:$F$68,4,FALSE)</f>
        <v>NewCo IV</v>
      </c>
      <c r="E1790" s="2">
        <f>VLOOKUP($A1790,Controle!$B$4:$F$68,5,FALSE)</f>
        <v>2</v>
      </c>
      <c r="F1790" s="3" t="str">
        <f>F1755</f>
        <v>Construção - Serviços de Construção - Substituição</v>
      </c>
      <c r="G1790" s="2" t="str">
        <f>VLOOKUP($A1790,Controle!$B$4:$G$68,6,FALSE)</f>
        <v>Solatio</v>
      </c>
      <c r="H1790" s="6">
        <v>0</v>
      </c>
      <c r="I1790" s="6">
        <v>0</v>
      </c>
      <c r="J1790" s="6">
        <v>0</v>
      </c>
      <c r="K1790" s="6">
        <v>0</v>
      </c>
      <c r="L1790" s="6">
        <v>0</v>
      </c>
      <c r="M1790" s="6">
        <v>0</v>
      </c>
      <c r="N1790" s="6">
        <v>0</v>
      </c>
      <c r="O1790" s="4">
        <f>SUM(I1790:N1790)</f>
        <v>0</v>
      </c>
      <c r="P1790" s="5">
        <f>SUMIFS('Desenvolvimento diário'!$H:$H,'Desenvolvimento diário'!$Q:$Q,$B1790,'Desenvolvimento diário'!$P:$P,$F1790,'Desenvolvimento diário'!$R:$R,"Sim")</f>
        <v>0</v>
      </c>
      <c r="Q1790" s="5">
        <f>SUMIFS('Desenvolvimento diário'!$H:$H,'Desenvolvimento diário'!$Q:$Q,$B1790,'Desenvolvimento diário'!$P:$P,$F1790,'Desenvolvimento diário'!$R:$R,"Não")</f>
        <v>0</v>
      </c>
      <c r="R1790" s="4">
        <f>SUM(P1790:Q1790)</f>
        <v>0</v>
      </c>
      <c r="S1790" s="4">
        <f>O1790-R1790</f>
        <v>0</v>
      </c>
      <c r="T1790" s="12">
        <f>IFERROR(R1790/O1790,0)</f>
        <v>0</v>
      </c>
      <c r="Y1790" s="2"/>
      <c r="Z1790" s="2"/>
      <c r="AA1790" s="2"/>
      <c r="AB1790" s="2"/>
      <c r="AC1790" s="2"/>
    </row>
    <row r="1791" spans="1:29" ht="10.5" hidden="1">
      <c r="A1791" s="2">
        <f>A1790</f>
        <v>52</v>
      </c>
      <c r="B1791" s="34" t="str">
        <f>VLOOKUP($A1791,Controle!$B$4:$F$68,2,FALSE)</f>
        <v>Santo Antônio 1</v>
      </c>
      <c r="C1791" s="2" t="str">
        <f>VLOOKUP($A1791,Controle!$B$4:$F$68,3,FALSE)</f>
        <v>MORI MINAS IV</v>
      </c>
      <c r="D1791" s="2" t="str">
        <f>VLOOKUP($A1791,Controle!$B$4:$F$68,4,FALSE)</f>
        <v>NewCo IV</v>
      </c>
      <c r="E1791" s="2">
        <f>VLOOKUP($A1791,Controle!$B$4:$F$68,5,FALSE)</f>
        <v>2</v>
      </c>
      <c r="F1791" s="3" t="str">
        <f>F1756</f>
        <v>Construção - RDA Interno</v>
      </c>
      <c r="G1791" s="2" t="str">
        <f>VLOOKUP($A1791,Controle!$B$4:$G$68,6,FALSE)</f>
        <v>Solatio</v>
      </c>
      <c r="H1791" s="6" t="s">
        <v>143</v>
      </c>
      <c r="I1791" s="6">
        <v>645286.5</v>
      </c>
      <c r="J1791" s="6">
        <v>6400</v>
      </c>
      <c r="K1791" s="6">
        <v>7304.5454</v>
      </c>
      <c r="L1791" s="6">
        <v>0</v>
      </c>
      <c r="M1791" s="6">
        <v>0</v>
      </c>
      <c r="N1791" s="6">
        <v>0</v>
      </c>
      <c r="O1791" s="4">
        <f>SUM(I1791:N1791)+0.0046</f>
        <v>658991.04999999993</v>
      </c>
      <c r="P1791" s="5">
        <f>SUMIFS('Desenvolvimento diário'!$H:$H,'Desenvolvimento diário'!$Q:$Q,$B1791,'Desenvolvimento diário'!$P:$P,$F1791,'Desenvolvimento diário'!$R:$R,"Sim")</f>
        <v>0</v>
      </c>
      <c r="Q1791" s="5">
        <f>SUMIFS('Desenvolvimento diário'!$H:$H,'Desenvolvimento diário'!$Q:$Q,$B1791,'Desenvolvimento diário'!$P:$P,$F1791,'Desenvolvimento diário'!$R:$R,"Não")</f>
        <v>658991.05000000005</v>
      </c>
      <c r="R1791" s="4">
        <f>SUM(P1791:Q1791)</f>
        <v>658991.05000000005</v>
      </c>
      <c r="S1791" s="175">
        <f>O1791-R1791</f>
        <v>0</v>
      </c>
      <c r="T1791" s="12">
        <f>IFERROR(R1791/O1791,0)</f>
        <v>1.0000000000000002</v>
      </c>
      <c r="Y1791" s="2"/>
      <c r="Z1791" s="2"/>
      <c r="AA1791" s="2"/>
      <c r="AB1791" s="2"/>
      <c r="AC1791" s="2"/>
    </row>
    <row r="1792" spans="1:29" ht="10.5" hidden="1">
      <c r="A1792" s="2">
        <f>A1791</f>
        <v>52</v>
      </c>
      <c r="B1792" s="2" t="str">
        <f>VLOOKUP($A1792,Controle!$B$4:$F$68,2,FALSE)</f>
        <v>Santo Antônio 1</v>
      </c>
      <c r="C1792" s="2" t="str">
        <f>VLOOKUP($A1792,Controle!$B$4:$F$68,3,FALSE)</f>
        <v>MORI MINAS IV</v>
      </c>
      <c r="D1792" s="2" t="str">
        <f>VLOOKUP($A1792,Controle!$B$4:$F$68,4,FALSE)</f>
        <v>NewCo IV</v>
      </c>
      <c r="E1792" s="2">
        <f>VLOOKUP($A1792,Controle!$B$4:$F$68,5,FALSE)</f>
        <v>2</v>
      </c>
      <c r="F1792" s="3" t="str">
        <f>F1757</f>
        <v>Full EPC - Contrato</v>
      </c>
      <c r="G1792" s="2" t="str">
        <f>VLOOKUP($A1792,Controle!$B$4:$G$68,6,FALSE)</f>
        <v>Solatio</v>
      </c>
      <c r="H1792" s="6">
        <v>0</v>
      </c>
      <c r="I1792" s="6">
        <v>0</v>
      </c>
      <c r="J1792" s="6">
        <v>0</v>
      </c>
      <c r="K1792" s="6">
        <v>0</v>
      </c>
      <c r="L1792" s="6">
        <v>0</v>
      </c>
      <c r="M1792" s="6">
        <v>0</v>
      </c>
      <c r="N1792" s="6">
        <v>0</v>
      </c>
      <c r="O1792" s="4">
        <f>SUM(I1792:N1792)</f>
        <v>0</v>
      </c>
      <c r="P1792" s="5">
        <f>SUMIFS('Desenvolvimento diário'!$H:$H,'Desenvolvimento diário'!$Q:$Q,$B1792,'Desenvolvimento diário'!$P:$P,$F1792,'Desenvolvimento diário'!$R:$R,"Sim")</f>
        <v>0</v>
      </c>
      <c r="Q1792" s="5">
        <f>SUMIFS('Desenvolvimento diário'!$H:$H,'Desenvolvimento diário'!$Q:$Q,$B1792,'Desenvolvimento diário'!$P:$P,$F1792,'Desenvolvimento diário'!$R:$R,"Não")</f>
        <v>0</v>
      </c>
      <c r="R1792" s="4">
        <f>SUM(P1792:Q1792)</f>
        <v>0</v>
      </c>
      <c r="S1792" s="4">
        <f>O1792-R1792</f>
        <v>0</v>
      </c>
      <c r="T1792" s="12">
        <f>IFERROR(R1792/O1792,0)</f>
        <v>0</v>
      </c>
      <c r="Y1792" s="2"/>
      <c r="Z1792" s="2"/>
      <c r="AA1792" s="2"/>
      <c r="AB1792" s="2"/>
      <c r="AC1792" s="2"/>
    </row>
    <row r="1793" spans="1:29" ht="10.5" hidden="1">
      <c r="A1793" s="2">
        <f>A1792</f>
        <v>52</v>
      </c>
      <c r="B1793" s="2" t="str">
        <f>VLOOKUP($A1793,Controle!$B$4:$F$68,2,FALSE)</f>
        <v>Santo Antônio 1</v>
      </c>
      <c r="C1793" s="2" t="str">
        <f>VLOOKUP($A1793,Controle!$B$4:$F$68,3,FALSE)</f>
        <v>MORI MINAS IV</v>
      </c>
      <c r="D1793" s="2" t="str">
        <f>VLOOKUP($A1793,Controle!$B$4:$F$68,4,FALSE)</f>
        <v>NewCo IV</v>
      </c>
      <c r="E1793" s="2">
        <f>VLOOKUP($A1793,Controle!$B$4:$F$68,5,FALSE)</f>
        <v>2</v>
      </c>
      <c r="F1793" s="3" t="str">
        <f>F1758</f>
        <v>Equipamentos Curva A - Outros (Transformadores)</v>
      </c>
      <c r="G1793" s="2" t="str">
        <f>VLOOKUP($A1793,Controle!$B$4:$G$68,6,FALSE)</f>
        <v>Solatio</v>
      </c>
      <c r="H1793" s="6">
        <v>0</v>
      </c>
      <c r="I1793" s="6">
        <v>0</v>
      </c>
      <c r="J1793" s="6">
        <v>0</v>
      </c>
      <c r="K1793" s="6">
        <v>0</v>
      </c>
      <c r="L1793" s="6">
        <v>0</v>
      </c>
      <c r="M1793" s="6">
        <v>0</v>
      </c>
      <c r="N1793" s="6">
        <v>0</v>
      </c>
      <c r="O1793" s="4">
        <f>SUM(I1793:N1793)</f>
        <v>0</v>
      </c>
      <c r="P1793" s="5">
        <f>SUMIFS('Desenvolvimento diário'!$H:$H,'Desenvolvimento diário'!$Q:$Q,$B1793,'Desenvolvimento diário'!$P:$P,$F1793,'Desenvolvimento diário'!$R:$R,"Sim")</f>
        <v>0</v>
      </c>
      <c r="Q1793" s="5">
        <f>SUMIFS('Desenvolvimento diário'!$H:$H,'Desenvolvimento diário'!$Q:$Q,$B1793,'Desenvolvimento diário'!$P:$P,$F1793,'Desenvolvimento diário'!$R:$R,"Não")</f>
        <v>0</v>
      </c>
      <c r="R1793" s="4">
        <f>SUM(P1793:Q1793)</f>
        <v>0</v>
      </c>
      <c r="S1793" s="4">
        <f>O1793-R1793</f>
        <v>0</v>
      </c>
      <c r="T1793" s="12">
        <f>IFERROR(R1793/O1793,0)</f>
        <v>0</v>
      </c>
      <c r="Y1793" s="2"/>
      <c r="Z1793" s="2"/>
      <c r="AA1793" s="2"/>
      <c r="AB1793" s="2"/>
      <c r="AC1793" s="2"/>
    </row>
    <row r="1794" spans="1:29" ht="10.5" hidden="1">
      <c r="A1794" s="2">
        <f>A1793</f>
        <v>52</v>
      </c>
      <c r="B1794" s="2" t="str">
        <f>VLOOKUP($A1794,Controle!$B$4:$F$68,2,FALSE)</f>
        <v>Santo Antônio 1</v>
      </c>
      <c r="C1794" s="2" t="str">
        <f>VLOOKUP($A1794,Controle!$B$4:$F$68,3,FALSE)</f>
        <v>MORI MINAS IV</v>
      </c>
      <c r="D1794" s="2" t="str">
        <f>VLOOKUP($A1794,Controle!$B$4:$F$68,4,FALSE)</f>
        <v>NewCo IV</v>
      </c>
      <c r="E1794" s="2">
        <f>VLOOKUP($A1794,Controle!$B$4:$F$68,5,FALSE)</f>
        <v>2</v>
      </c>
      <c r="F1794" s="3" t="str">
        <f>F1759</f>
        <v>Equipamentos Curva A - Outros (Cabine + Skid)</v>
      </c>
      <c r="G1794" s="2" t="str">
        <f>VLOOKUP($A1794,Controle!$B$4:$G$68,6,FALSE)</f>
        <v>Solatio</v>
      </c>
      <c r="H1794" s="6">
        <v>0</v>
      </c>
      <c r="I1794" s="6">
        <v>0</v>
      </c>
      <c r="J1794" s="6">
        <v>0</v>
      </c>
      <c r="K1794" s="6">
        <v>0</v>
      </c>
      <c r="L1794" s="6">
        <v>0</v>
      </c>
      <c r="M1794" s="6">
        <v>0</v>
      </c>
      <c r="N1794" s="6">
        <v>0</v>
      </c>
      <c r="O1794" s="4">
        <f>SUM(I1794:N1794)</f>
        <v>0</v>
      </c>
      <c r="P1794" s="5">
        <f>SUMIFS('Desenvolvimento diário'!$H:$H,'Desenvolvimento diário'!$Q:$Q,$B1794,'Desenvolvimento diário'!$P:$P,$F1794,'Desenvolvimento diário'!$R:$R,"Sim")</f>
        <v>0</v>
      </c>
      <c r="Q1794" s="5">
        <f>SUMIFS('Desenvolvimento diário'!$H:$H,'Desenvolvimento diário'!$Q:$Q,$B1794,'Desenvolvimento diário'!$P:$P,$F1794,'Desenvolvimento diário'!$R:$R,"Não")</f>
        <v>0</v>
      </c>
      <c r="R1794" s="4">
        <f>SUM(P1794:Q1794)</f>
        <v>0</v>
      </c>
      <c r="S1794" s="4">
        <f>O1794-R1794</f>
        <v>0</v>
      </c>
      <c r="T1794" s="12">
        <f>IFERROR(R1794/O1794,0)</f>
        <v>0</v>
      </c>
      <c r="Y1794" s="2"/>
      <c r="Z1794" s="2"/>
      <c r="AA1794" s="2"/>
      <c r="AB1794" s="2"/>
      <c r="AC1794" s="2"/>
    </row>
    <row r="1795" spans="1:29" ht="10.5" hidden="1">
      <c r="A1795" s="2">
        <f>A1794</f>
        <v>52</v>
      </c>
      <c r="B1795" s="2" t="str">
        <f>VLOOKUP($A1795,Controle!$B$4:$F$68,2,FALSE)</f>
        <v>Santo Antônio 1</v>
      </c>
      <c r="C1795" s="2" t="str">
        <f>VLOOKUP($A1795,Controle!$B$4:$F$68,3,FALSE)</f>
        <v>MORI MINAS IV</v>
      </c>
      <c r="D1795" s="2" t="str">
        <f>VLOOKUP($A1795,Controle!$B$4:$F$68,4,FALSE)</f>
        <v>NewCo IV</v>
      </c>
      <c r="E1795" s="2">
        <f>VLOOKUP($A1795,Controle!$B$4:$F$68,5,FALSE)</f>
        <v>2</v>
      </c>
      <c r="F1795" s="3" t="str">
        <f>F1760</f>
        <v>Equipamentos Curva A - Outros (Cabine + Skid + Transformador)</v>
      </c>
      <c r="G1795" s="2" t="str">
        <f>VLOOKUP($A1795,Controle!$B$4:$G$68,6,FALSE)</f>
        <v>Solatio</v>
      </c>
      <c r="H1795" s="6" t="s">
        <v>144</v>
      </c>
      <c r="I1795" s="6">
        <v>1264270.6073759999</v>
      </c>
      <c r="J1795" s="6">
        <v>0</v>
      </c>
      <c r="K1795" s="6">
        <v>0</v>
      </c>
      <c r="L1795" s="6">
        <v>0</v>
      </c>
      <c r="M1795" s="6">
        <v>0</v>
      </c>
      <c r="N1795" s="6">
        <v>0</v>
      </c>
      <c r="O1795" s="4">
        <f>SUM(I1795:N1795)</f>
        <v>1264270.6073759999</v>
      </c>
      <c r="P1795" s="5">
        <f>SUMIFS('Desenvolvimento diário'!$H:$H,'Desenvolvimento diário'!$Q:$Q,$B1795,'Desenvolvimento diário'!$P:$P,$F1795,'Desenvolvimento diário'!$R:$R,"Sim")</f>
        <v>0</v>
      </c>
      <c r="Q1795" s="5">
        <f>SUMIFS('Desenvolvimento diário'!$H:$H,'Desenvolvimento diário'!$Q:$Q,$B1795,'Desenvolvimento diário'!$P:$P,$F1795,'Desenvolvimento diário'!$R:$R,"Não")</f>
        <v>1264270.6073759999</v>
      </c>
      <c r="R1795" s="4">
        <f>SUM(P1795:Q1795)</f>
        <v>1264270.6073759999</v>
      </c>
      <c r="S1795" s="4">
        <f>O1795-R1795</f>
        <v>0</v>
      </c>
      <c r="T1795" s="12">
        <f>IFERROR(R1795/O1795,0)</f>
        <v>1</v>
      </c>
      <c r="Y1795" s="2"/>
      <c r="Z1795" s="2"/>
      <c r="AA1795" s="2"/>
      <c r="AB1795" s="2"/>
      <c r="AC1795" s="2"/>
    </row>
    <row r="1796" spans="1:29" ht="10.5" hidden="1">
      <c r="A1796" s="2">
        <f>A1795</f>
        <v>52</v>
      </c>
      <c r="B1796" s="2" t="str">
        <f>VLOOKUP($A1796,Controle!$B$4:$F$68,2,FALSE)</f>
        <v>Santo Antônio 1</v>
      </c>
      <c r="C1796" s="2" t="str">
        <f>VLOOKUP($A1796,Controle!$B$4:$F$68,3,FALSE)</f>
        <v>MORI MINAS IV</v>
      </c>
      <c r="D1796" s="2" t="str">
        <f>VLOOKUP($A1796,Controle!$B$4:$F$68,4,FALSE)</f>
        <v>NewCo IV</v>
      </c>
      <c r="E1796" s="2">
        <f>VLOOKUP($A1796,Controle!$B$4:$F$68,5,FALSE)</f>
        <v>2</v>
      </c>
      <c r="F1796" s="3" t="str">
        <f>F1761</f>
        <v>Desenvolvimento de projeto - Projetos - (Eng° Proprietario)</v>
      </c>
      <c r="G1796" s="2" t="str">
        <f>VLOOKUP($A1796,Controle!$B$4:$G$68,6,FALSE)</f>
        <v>Solatio</v>
      </c>
      <c r="H1796" s="6" t="s">
        <v>145</v>
      </c>
      <c r="I1796" s="6">
        <v>0</v>
      </c>
      <c r="J1796" s="6">
        <v>0</v>
      </c>
      <c r="K1796" s="6">
        <v>0</v>
      </c>
      <c r="L1796" s="6">
        <v>0</v>
      </c>
      <c r="M1796" s="6">
        <v>0</v>
      </c>
      <c r="N1796" s="6">
        <v>0</v>
      </c>
      <c r="O1796" s="4">
        <f>SUM(I1796:N1796)</f>
        <v>0</v>
      </c>
      <c r="P1796" s="5">
        <f>SUMIFS('Desenvolvimento diário'!$H:$H,'Desenvolvimento diário'!$Q:$Q,$B1796,'Desenvolvimento diário'!$P:$P,$F1796,'Desenvolvimento diário'!$R:$R,"Sim")</f>
        <v>0</v>
      </c>
      <c r="Q1796" s="5">
        <f>SUMIFS('Desenvolvimento diário'!$H:$H,'Desenvolvimento diário'!$Q:$Q,$B1796,'Desenvolvimento diário'!$P:$P,$F1796,'Desenvolvimento diário'!$R:$R,"Não")</f>
        <v>0</v>
      </c>
      <c r="R1796" s="4">
        <f>SUM(P1796:Q1796)</f>
        <v>0</v>
      </c>
      <c r="S1796" s="4">
        <f>O1796-R1796</f>
        <v>0</v>
      </c>
      <c r="T1796" s="12">
        <f>IFERROR(R1796/O1796,0)</f>
        <v>0</v>
      </c>
      <c r="Y1796" s="2"/>
      <c r="Z1796" s="2"/>
      <c r="AA1796" s="2"/>
      <c r="AB1796" s="2"/>
      <c r="AC1796" s="2"/>
    </row>
    <row r="1797" spans="1:29" ht="10.5" hidden="1">
      <c r="A1797" s="2">
        <f>A1796</f>
        <v>52</v>
      </c>
      <c r="B1797" s="2" t="str">
        <f>VLOOKUP($A1797,Controle!$B$4:$F$68,2,FALSE)</f>
        <v>Santo Antônio 1</v>
      </c>
      <c r="C1797" s="2" t="str">
        <f>VLOOKUP($A1797,Controle!$B$4:$F$68,3,FALSE)</f>
        <v>MORI MINAS IV</v>
      </c>
      <c r="D1797" s="2" t="str">
        <f>VLOOKUP($A1797,Controle!$B$4:$F$68,4,FALSE)</f>
        <v>NewCo IV</v>
      </c>
      <c r="E1797" s="2">
        <f>VLOOKUP($A1797,Controle!$B$4:$F$68,5,FALSE)</f>
        <v>2</v>
      </c>
      <c r="F1797" s="3" t="str">
        <f>F1762</f>
        <v>Desenvolvimento de projeto - Projetos - Executivos</v>
      </c>
      <c r="G1797" s="2" t="str">
        <f>VLOOKUP($A1797,Controle!$B$4:$G$68,6,FALSE)</f>
        <v>Solatio</v>
      </c>
      <c r="H1797" s="6">
        <v>0</v>
      </c>
      <c r="I1797" s="6">
        <v>0</v>
      </c>
      <c r="J1797" s="6">
        <v>0</v>
      </c>
      <c r="K1797" s="6">
        <v>0</v>
      </c>
      <c r="L1797" s="6">
        <v>0</v>
      </c>
      <c r="M1797" s="6">
        <v>0</v>
      </c>
      <c r="N1797" s="6">
        <v>0</v>
      </c>
      <c r="O1797" s="4">
        <f>SUM(I1797:N1797)</f>
        <v>0</v>
      </c>
      <c r="P1797" s="5">
        <f>SUMIFS('Desenvolvimento diário'!$H:$H,'Desenvolvimento diário'!$Q:$Q,$B1797,'Desenvolvimento diário'!$P:$P,$F1797,'Desenvolvimento diário'!$R:$R,"Sim")</f>
        <v>0</v>
      </c>
      <c r="Q1797" s="5">
        <f>SUMIFS('Desenvolvimento diário'!$H:$H,'Desenvolvimento diário'!$Q:$Q,$B1797,'Desenvolvimento diário'!$P:$P,$F1797,'Desenvolvimento diário'!$R:$R,"Não")</f>
        <v>0</v>
      </c>
      <c r="R1797" s="4">
        <f>SUM(P1797:Q1797)</f>
        <v>0</v>
      </c>
      <c r="S1797" s="4">
        <f>O1797-R1797</f>
        <v>0</v>
      </c>
      <c r="T1797" s="12">
        <f>IFERROR(R1797/O1797,0)</f>
        <v>0</v>
      </c>
      <c r="Y1797" s="2"/>
      <c r="Z1797" s="2"/>
      <c r="AA1797" s="2"/>
      <c r="AB1797" s="2"/>
      <c r="AC1797" s="2"/>
    </row>
    <row r="1798" spans="1:29" ht="10.5" hidden="1">
      <c r="A1798" s="2">
        <f>A1797</f>
        <v>52</v>
      </c>
      <c r="B1798" s="2" t="str">
        <f>VLOOKUP($A1798,Controle!$B$4:$F$68,2,FALSE)</f>
        <v>Santo Antônio 1</v>
      </c>
      <c r="C1798" s="2" t="str">
        <f>VLOOKUP($A1798,Controle!$B$4:$F$68,3,FALSE)</f>
        <v>MORI MINAS IV</v>
      </c>
      <c r="D1798" s="2" t="str">
        <f>VLOOKUP($A1798,Controle!$B$4:$F$68,4,FALSE)</f>
        <v>NewCo IV</v>
      </c>
      <c r="E1798" s="2">
        <f>VLOOKUP($A1798,Controle!$B$4:$F$68,5,FALSE)</f>
        <v>2</v>
      </c>
      <c r="F1798" s="3" t="str">
        <f>F1763</f>
        <v>Desenvolvimento de projeto - Projetos Básica</v>
      </c>
      <c r="G1798" s="2" t="str">
        <f>VLOOKUP($A1798,Controle!$B$4:$G$68,6,FALSE)</f>
        <v>Solatio</v>
      </c>
      <c r="H1798" s="6">
        <v>0</v>
      </c>
      <c r="I1798" s="6">
        <v>0</v>
      </c>
      <c r="J1798" s="6">
        <v>0</v>
      </c>
      <c r="K1798" s="6">
        <v>0</v>
      </c>
      <c r="L1798" s="6">
        <v>0</v>
      </c>
      <c r="M1798" s="6">
        <v>0</v>
      </c>
      <c r="N1798" s="6">
        <v>0</v>
      </c>
      <c r="O1798" s="4">
        <f>SUM(I1798:N1798)</f>
        <v>0</v>
      </c>
      <c r="P1798" s="5">
        <f>SUMIFS('Desenvolvimento diário'!$H:$H,'Desenvolvimento diário'!$Q:$Q,$B1798,'Desenvolvimento diário'!$P:$P,$F1798,'Desenvolvimento diário'!$R:$R,"Sim")</f>
        <v>0</v>
      </c>
      <c r="Q1798" s="5">
        <f>SUMIFS('Desenvolvimento diário'!$H:$H,'Desenvolvimento diário'!$Q:$Q,$B1798,'Desenvolvimento diário'!$P:$P,$F1798,'Desenvolvimento diário'!$R:$R,"Não")</f>
        <v>0</v>
      </c>
      <c r="R1798" s="4">
        <f>SUM(P1798:Q1798)</f>
        <v>0</v>
      </c>
      <c r="S1798" s="4">
        <f>O1798-R1798</f>
        <v>0</v>
      </c>
      <c r="T1798" s="12">
        <f>IFERROR(R1798/O1798,0)</f>
        <v>0</v>
      </c>
      <c r="Y1798" s="2"/>
      <c r="Z1798" s="2"/>
      <c r="AA1798" s="2"/>
      <c r="AB1798" s="2"/>
      <c r="AC1798" s="2"/>
    </row>
    <row r="1799" spans="1:29" ht="10.5" hidden="1">
      <c r="A1799" s="2">
        <f>A1798</f>
        <v>52</v>
      </c>
      <c r="B1799" s="2" t="str">
        <f>VLOOKUP($A1799,Controle!$B$4:$F$68,2,FALSE)</f>
        <v>Santo Antônio 1</v>
      </c>
      <c r="C1799" s="2" t="str">
        <f>VLOOKUP($A1799,Controle!$B$4:$F$68,3,FALSE)</f>
        <v>MORI MINAS IV</v>
      </c>
      <c r="D1799" s="2" t="str">
        <f>VLOOKUP($A1799,Controle!$B$4:$F$68,4,FALSE)</f>
        <v>NewCo IV</v>
      </c>
      <c r="E1799" s="2">
        <f>VLOOKUP($A1799,Controle!$B$4:$F$68,5,FALSE)</f>
        <v>2</v>
      </c>
      <c r="F1799" s="3" t="str">
        <f>F1764</f>
        <v>Desenvolvimento de projeto - Projetos Detalhada</v>
      </c>
      <c r="G1799" s="2" t="str">
        <f>VLOOKUP($A1799,Controle!$B$4:$G$68,6,FALSE)</f>
        <v>Solatio</v>
      </c>
      <c r="H1799" s="6" t="s">
        <v>147</v>
      </c>
      <c r="I1799" s="6">
        <v>93783</v>
      </c>
      <c r="J1799" s="6">
        <v>42189.93</v>
      </c>
      <c r="K1799" s="6">
        <v>0</v>
      </c>
      <c r="L1799" s="6">
        <v>0</v>
      </c>
      <c r="M1799" s="6">
        <v>0</v>
      </c>
      <c r="N1799" s="6">
        <v>0</v>
      </c>
      <c r="O1799" s="4">
        <f>SUM(I1799:N1799)</f>
        <v>135972.93</v>
      </c>
      <c r="P1799" s="5">
        <f>SUMIFS('Desenvolvimento diário'!$H:$H,'Desenvolvimento diário'!$Q:$Q,$B1799,'Desenvolvimento diário'!$P:$P,$F1799,'Desenvolvimento diário'!$R:$R,"Sim")</f>
        <v>0</v>
      </c>
      <c r="Q1799" s="5">
        <f>SUMIFS('Desenvolvimento diário'!$H:$H,'Desenvolvimento diário'!$Q:$Q,$B1799,'Desenvolvimento diário'!$P:$P,$F1799,'Desenvolvimento diário'!$R:$R,"Não")</f>
        <v>135972.93</v>
      </c>
      <c r="R1799" s="4">
        <f>SUM(P1799:Q1799)</f>
        <v>135972.93</v>
      </c>
      <c r="S1799" s="4">
        <f>O1799-R1799</f>
        <v>0</v>
      </c>
      <c r="T1799" s="12">
        <f>IFERROR(R1799/O1799,0)</f>
        <v>1</v>
      </c>
      <c r="Y1799" s="2"/>
      <c r="Z1799" s="2"/>
      <c r="AA1799" s="2"/>
      <c r="AB1799" s="2"/>
      <c r="AC1799" s="2"/>
    </row>
    <row r="1800" spans="1:29" ht="10.5" hidden="1">
      <c r="A1800" s="2">
        <f>A1799</f>
        <v>52</v>
      </c>
      <c r="B1800" s="2" t="str">
        <f>VLOOKUP($A1800,Controle!$B$4:$F$68,2,FALSE)</f>
        <v>Santo Antônio 1</v>
      </c>
      <c r="C1800" s="2" t="str">
        <f>VLOOKUP($A1800,Controle!$B$4:$F$68,3,FALSE)</f>
        <v>MORI MINAS IV</v>
      </c>
      <c r="D1800" s="2" t="str">
        <f>VLOOKUP($A1800,Controle!$B$4:$F$68,4,FALSE)</f>
        <v>NewCo IV</v>
      </c>
      <c r="E1800" s="2">
        <f>VLOOKUP($A1800,Controle!$B$4:$F$68,5,FALSE)</f>
        <v>2</v>
      </c>
      <c r="F1800" s="3" t="str">
        <f>F1765</f>
        <v>Desenvolvimento de projeto - Ambiental / Outros</v>
      </c>
      <c r="G1800" s="2" t="str">
        <f>VLOOKUP($A1800,Controle!$B$4:$G$68,6,FALSE)</f>
        <v>Solatio</v>
      </c>
      <c r="H1800" s="6" t="s">
        <v>148</v>
      </c>
      <c r="I1800" s="6">
        <f>R1800</f>
        <v>80738.75</v>
      </c>
      <c r="J1800" s="6">
        <v>0</v>
      </c>
      <c r="K1800" s="6">
        <v>0</v>
      </c>
      <c r="L1800" s="6">
        <v>0</v>
      </c>
      <c r="M1800" s="6">
        <v>0</v>
      </c>
      <c r="N1800" s="6">
        <v>0</v>
      </c>
      <c r="O1800" s="4">
        <f>SUM(I1800:N1800)</f>
        <v>80738.75</v>
      </c>
      <c r="P1800" s="5">
        <f>SUMIFS('Desenvolvimento diário'!$H:$H,'Desenvolvimento diário'!$Q:$Q,$B1800,'Desenvolvimento diário'!$P:$P,$F1800,'Desenvolvimento diário'!$R:$R,"Sim")</f>
        <v>0</v>
      </c>
      <c r="Q1800" s="5">
        <f>SUMIFS('Desenvolvimento diário'!$H:$H,'Desenvolvimento diário'!$Q:$Q,$B1800,'Desenvolvimento diário'!$P:$P,$F1800,'Desenvolvimento diário'!$R:$R,"Não")</f>
        <v>80738.75</v>
      </c>
      <c r="R1800" s="4">
        <f>SUM(P1800:Q1800)</f>
        <v>80738.75</v>
      </c>
      <c r="S1800" s="4">
        <f>O1800-R1800</f>
        <v>0</v>
      </c>
      <c r="T1800" s="12">
        <f>IFERROR(R1800/O1800,0)</f>
        <v>1</v>
      </c>
      <c r="Y1800" s="2"/>
      <c r="Z1800" s="2"/>
      <c r="AA1800" s="2"/>
      <c r="AB1800" s="2"/>
      <c r="AC1800" s="2"/>
    </row>
    <row r="1801" spans="1:29" hidden="1">
      <c r="A1801" s="2">
        <f>A1800</f>
        <v>52</v>
      </c>
      <c r="B1801" s="34" t="str">
        <f>VLOOKUP($A1801,Controle!$B$4:$F$68,2,FALSE)</f>
        <v>Santo Antônio 1</v>
      </c>
      <c r="C1801" s="2" t="str">
        <f>VLOOKUP($A1801,Controle!$B$4:$F$68,3,FALSE)</f>
        <v>MORI MINAS IV</v>
      </c>
      <c r="D1801" s="2" t="str">
        <f>VLOOKUP($A1801,Controle!$B$4:$F$68,4,FALSE)</f>
        <v>NewCo IV</v>
      </c>
      <c r="E1801" s="2">
        <f>VLOOKUP($A1801,Controle!$B$4:$F$68,5,FALSE)</f>
        <v>2</v>
      </c>
      <c r="F1801" s="3" t="str">
        <f>F1766</f>
        <v>Desenvolvimento de projeto - Coordenograma</v>
      </c>
      <c r="G1801" s="2" t="str">
        <f>VLOOKUP($A1801,Controle!$B$4:$G$68,6,FALSE)</f>
        <v>Solatio</v>
      </c>
      <c r="H1801" s="31" t="s">
        <v>149</v>
      </c>
      <c r="I1801" s="31">
        <v>6206.9</v>
      </c>
      <c r="J1801" s="31">
        <v>0</v>
      </c>
      <c r="K1801" s="31">
        <v>0</v>
      </c>
      <c r="L1801" s="6">
        <v>0</v>
      </c>
      <c r="M1801" s="6">
        <v>0</v>
      </c>
      <c r="N1801" s="6">
        <v>0</v>
      </c>
      <c r="O1801" s="4">
        <f>SUM(I1801:N1801)</f>
        <v>6206.9</v>
      </c>
      <c r="P1801" s="5">
        <f>SUMIFS('Desenvolvimento diário'!$H:$H,'Desenvolvimento diário'!$Q:$Q,$B1801,'Desenvolvimento diário'!$P:$P,$F1801,'Desenvolvimento diário'!$R:$R,"Sim")</f>
        <v>0</v>
      </c>
      <c r="Q1801" s="5">
        <f>SUMIFS('Desenvolvimento diário'!$H:$H,'Desenvolvimento diário'!$Q:$Q,$B1801,'Desenvolvimento diário'!$P:$P,$F1801,'Desenvolvimento diário'!$R:$R,"Não")</f>
        <v>6206.9</v>
      </c>
      <c r="R1801" s="4">
        <f>SUM(P1801:Q1801)</f>
        <v>6206.9</v>
      </c>
      <c r="S1801" s="4">
        <f>O1801-R1801</f>
        <v>0</v>
      </c>
      <c r="T1801" s="12">
        <f>IFERROR(R1801/O1801,0)</f>
        <v>1</v>
      </c>
      <c r="Y1801" s="2"/>
      <c r="Z1801" s="2"/>
      <c r="AA1801" s="2"/>
      <c r="AB1801" s="2"/>
      <c r="AC1801" s="2"/>
    </row>
    <row r="1802" spans="1:29" ht="10.5" hidden="1">
      <c r="A1802" s="2">
        <f>A1801</f>
        <v>52</v>
      </c>
      <c r="B1802" s="2" t="str">
        <f>VLOOKUP($A1802,Controle!$B$4:$F$68,2,FALSE)</f>
        <v>Santo Antônio 1</v>
      </c>
      <c r="C1802" s="2" t="str">
        <f>VLOOKUP($A1802,Controle!$B$4:$F$68,3,FALSE)</f>
        <v>MORI MINAS IV</v>
      </c>
      <c r="D1802" s="2" t="str">
        <f>VLOOKUP($A1802,Controle!$B$4:$F$68,4,FALSE)</f>
        <v>NewCo IV</v>
      </c>
      <c r="E1802" s="2">
        <f>VLOOKUP($A1802,Controle!$B$4:$F$68,5,FALSE)</f>
        <v>2</v>
      </c>
      <c r="F1802" s="3" t="str">
        <f>F1767</f>
        <v>Sistemas de Monitoramento - Supervisório</v>
      </c>
      <c r="G1802" s="2" t="str">
        <f>VLOOKUP($A1802,Controle!$B$4:$G$68,6,FALSE)</f>
        <v>Solatio</v>
      </c>
      <c r="H1802" s="6" t="s">
        <v>150</v>
      </c>
      <c r="I1802" s="6">
        <f>136155+(0.01)</f>
        <v>136155.01</v>
      </c>
      <c r="J1802" s="6"/>
      <c r="K1802" s="6">
        <v>0</v>
      </c>
      <c r="L1802" s="6">
        <v>0</v>
      </c>
      <c r="M1802" s="6">
        <v>0</v>
      </c>
      <c r="N1802" s="6">
        <v>0</v>
      </c>
      <c r="O1802" s="4">
        <f>SUM(I1802:N1802)</f>
        <v>136155.01</v>
      </c>
      <c r="P1802" s="5">
        <f>SUMIFS('Desenvolvimento diário'!$H:$H,'Desenvolvimento diário'!$Q:$Q,$B1802,'Desenvolvimento diário'!$P:$P,$F1802,'Desenvolvimento diário'!$R:$R,"Sim")</f>
        <v>5821.02</v>
      </c>
      <c r="Q1802" s="5">
        <f>SUMIFS('Desenvolvimento diário'!$H:$H,'Desenvolvimento diário'!$Q:$Q,$B1802,'Desenvolvimento diário'!$P:$P,$F1802,'Desenvolvimento diário'!$R:$R,"Não")</f>
        <v>130333.99</v>
      </c>
      <c r="R1802" s="4">
        <f>SUM(P1802:Q1802)</f>
        <v>136155.01</v>
      </c>
      <c r="S1802" s="43">
        <f>O1802-R1802</f>
        <v>0</v>
      </c>
      <c r="T1802" s="12">
        <f>IFERROR(R1802/O1802,0)</f>
        <v>1</v>
      </c>
      <c r="Y1802" s="2"/>
      <c r="Z1802" s="2"/>
      <c r="AA1802" s="2"/>
      <c r="AB1802" s="2"/>
      <c r="AC1802" s="2"/>
    </row>
    <row r="1803" spans="1:29" ht="10.5" hidden="1">
      <c r="A1803" s="2">
        <f>A1802</f>
        <v>52</v>
      </c>
      <c r="B1803" s="2" t="str">
        <f>VLOOKUP($A1803,Controle!$B$4:$F$68,2,FALSE)</f>
        <v>Santo Antônio 1</v>
      </c>
      <c r="C1803" s="2" t="str">
        <f>VLOOKUP($A1803,Controle!$B$4:$F$68,3,FALSE)</f>
        <v>MORI MINAS IV</v>
      </c>
      <c r="D1803" s="2" t="str">
        <f>VLOOKUP($A1803,Controle!$B$4:$F$68,4,FALSE)</f>
        <v>NewCo IV</v>
      </c>
      <c r="E1803" s="2">
        <f>VLOOKUP($A1803,Controle!$B$4:$F$68,5,FALSE)</f>
        <v>2</v>
      </c>
      <c r="F1803" s="3" t="str">
        <f>F1768</f>
        <v>Sistemas de Monitoramento - Estações Solarimétricas</v>
      </c>
      <c r="G1803" s="2" t="str">
        <f>VLOOKUP($A1803,Controle!$B$4:$G$68,6,FALSE)</f>
        <v>Solatio</v>
      </c>
      <c r="H1803" s="6" t="s">
        <v>151</v>
      </c>
      <c r="I1803" s="6">
        <v>48276.516000000003</v>
      </c>
      <c r="J1803" s="6">
        <v>0</v>
      </c>
      <c r="K1803" s="6">
        <v>0</v>
      </c>
      <c r="L1803" s="6">
        <v>0</v>
      </c>
      <c r="M1803" s="6">
        <v>0</v>
      </c>
      <c r="N1803" s="6">
        <v>0</v>
      </c>
      <c r="O1803" s="4">
        <f>SUM(I1803:N1803)</f>
        <v>48276.516000000003</v>
      </c>
      <c r="P1803" s="5">
        <f>SUMIFS('Desenvolvimento diário'!$H:$H,'Desenvolvimento diário'!$Q:$Q,$B1803,'Desenvolvimento diário'!$P:$P,$F1803,'Desenvolvimento diário'!$R:$R,"Sim")</f>
        <v>0</v>
      </c>
      <c r="Q1803" s="5">
        <f>SUMIFS('Desenvolvimento diário'!$H:$H,'Desenvolvimento diário'!$Q:$Q,$B1803,'Desenvolvimento diário'!$P:$P,$F1803,'Desenvolvimento diário'!$R:$R,"Não")</f>
        <v>48276.516000000003</v>
      </c>
      <c r="R1803" s="4">
        <f>SUM(P1803:Q1803)</f>
        <v>48276.516000000003</v>
      </c>
      <c r="S1803" s="4">
        <f>O1803-R1803</f>
        <v>0</v>
      </c>
      <c r="T1803" s="12">
        <f>IFERROR(R1803/O1803,0)</f>
        <v>1</v>
      </c>
      <c r="Y1803" s="2"/>
      <c r="Z1803" s="2"/>
      <c r="AA1803" s="2"/>
      <c r="AB1803" s="2"/>
      <c r="AC1803" s="2"/>
    </row>
    <row r="1804" spans="1:29" hidden="1">
      <c r="A1804" s="2">
        <f>A1803</f>
        <v>52</v>
      </c>
      <c r="B1804" s="2" t="str">
        <f>VLOOKUP($A1804,Controle!$B$4:$F$68,2,FALSE)</f>
        <v>Santo Antônio 1</v>
      </c>
      <c r="C1804" s="2" t="str">
        <f>VLOOKUP($A1804,Controle!$B$4:$F$68,3,FALSE)</f>
        <v>MORI MINAS IV</v>
      </c>
      <c r="D1804" s="2" t="str">
        <f>VLOOKUP($A1804,Controle!$B$4:$F$68,4,FALSE)</f>
        <v>NewCo IV</v>
      </c>
      <c r="E1804" s="2">
        <f>VLOOKUP($A1804,Controle!$B$4:$F$68,5,FALSE)</f>
        <v>2</v>
      </c>
      <c r="F1804" s="3" t="str">
        <f>F1769</f>
        <v>Sistemas de Monitoramento - CFTV</v>
      </c>
      <c r="G1804" s="2" t="str">
        <f>VLOOKUP($A1804,Controle!$B$4:$G$68,6,FALSE)</f>
        <v>Solatio</v>
      </c>
      <c r="H1804" s="31" t="s">
        <v>152</v>
      </c>
      <c r="I1804" s="6">
        <v>289678.39</v>
      </c>
      <c r="J1804" s="6">
        <v>0</v>
      </c>
      <c r="K1804" s="1068">
        <v>56146.76</v>
      </c>
      <c r="L1804" s="6">
        <v>0</v>
      </c>
      <c r="M1804" s="6">
        <v>0</v>
      </c>
      <c r="N1804" s="6"/>
      <c r="O1804" s="4">
        <f>SUM(I1804:N1804)</f>
        <v>345825.15</v>
      </c>
      <c r="P1804" s="5">
        <f>SUMIFS('Desenvolvimento diário'!$H:$H,'Desenvolvimento diário'!$Q:$Q,$B1804,'Desenvolvimento diário'!$P:$P,$F1804,'Desenvolvimento diário'!$R:$R,"Sim")</f>
        <v>0</v>
      </c>
      <c r="Q1804" s="5">
        <f>SUMIFS('Desenvolvimento diário'!$H:$H,'Desenvolvimento diário'!$Q:$Q,$B1804,'Desenvolvimento diário'!$P:$P,$F1804,'Desenvolvimento diário'!$R:$R,"Não")</f>
        <v>345825.14999999997</v>
      </c>
      <c r="R1804" s="4">
        <f>SUM(P1804:Q1804)</f>
        <v>345825.14999999997</v>
      </c>
      <c r="S1804" s="1020">
        <f>O1804-R1804</f>
        <v>0</v>
      </c>
      <c r="T1804" s="12">
        <f>IFERROR(R1804/O1804,0)</f>
        <v>0.99999999999999978</v>
      </c>
      <c r="U1804" s="1021" t="s">
        <v>166</v>
      </c>
      <c r="V1804" s="1021" t="s">
        <v>215</v>
      </c>
      <c r="Y1804" s="2"/>
      <c r="Z1804" s="2"/>
      <c r="AA1804" s="2"/>
      <c r="AB1804" s="2"/>
      <c r="AC1804" s="2"/>
    </row>
    <row r="1805" spans="1:29" ht="10.5">
      <c r="A1805" s="2">
        <f>A1804</f>
        <v>52</v>
      </c>
      <c r="B1805" s="2" t="str">
        <f>VLOOKUP($A1805,Controle!$B$4:$F$68,2,FALSE)</f>
        <v>Santo Antônio 1</v>
      </c>
      <c r="C1805" s="2" t="str">
        <f>VLOOKUP($A1805,Controle!$B$4:$F$68,3,FALSE)</f>
        <v>MORI MINAS IV</v>
      </c>
      <c r="D1805" s="2" t="str">
        <f>VLOOKUP($A1805,Controle!$B$4:$F$68,4,FALSE)</f>
        <v>NewCo IV</v>
      </c>
      <c r="E1805" s="2">
        <f>VLOOKUP($A1805,Controle!$B$4:$F$68,5,FALSE)</f>
        <v>2</v>
      </c>
      <c r="F1805" s="3" t="str">
        <f>F1770</f>
        <v>Serviços Auxiliares - Drenagem</v>
      </c>
      <c r="G1805" s="2" t="str">
        <f>VLOOKUP($A1805,Controle!$B$4:$G$68,6,FALSE)</f>
        <v>Solatio</v>
      </c>
      <c r="H1805" s="31" t="s">
        <v>235</v>
      </c>
      <c r="I1805" s="31">
        <v>665999</v>
      </c>
      <c r="J1805" s="6">
        <v>89345.02</v>
      </c>
      <c r="K1805" s="28">
        <v>1595376.52</v>
      </c>
      <c r="L1805" s="6">
        <v>0</v>
      </c>
      <c r="M1805" s="6">
        <v>0</v>
      </c>
      <c r="N1805" s="6">
        <v>0</v>
      </c>
      <c r="O1805" s="4">
        <f>SUM(I1805:N1805)</f>
        <v>2350720.54</v>
      </c>
      <c r="P1805" s="5">
        <f>SUMIFS('Desenvolvimento diário'!$H:$H,'Desenvolvimento diário'!$Q:$Q,$B1805,'Desenvolvimento diário'!$P:$P,$F1805,'Desenvolvimento diário'!$R:$R,"Sim")</f>
        <v>0</v>
      </c>
      <c r="Q1805" s="5">
        <f>SUMIFS('Desenvolvimento diário'!$H:$H,'Desenvolvimento diário'!$Q:$Q,$B1805,'Desenvolvimento diário'!$P:$P,$F1805,'Desenvolvimento diário'!$R:$R,"Não")</f>
        <v>2241416.13</v>
      </c>
      <c r="R1805" s="4">
        <f>SUM(P1805:Q1805)</f>
        <v>2241416.13</v>
      </c>
      <c r="S1805" s="1008">
        <f>O1805-R1805</f>
        <v>109304.41000000015</v>
      </c>
      <c r="T1805" s="12">
        <f>IFERROR(R1805/O1805,0)</f>
        <v>0.95350174206586036</v>
      </c>
      <c r="U1805" s="1012" t="s">
        <v>166</v>
      </c>
      <c r="V1805" s="1012" t="s">
        <v>174</v>
      </c>
      <c r="Y1805" s="2"/>
      <c r="Z1805" s="2"/>
      <c r="AA1805" s="2"/>
      <c r="AB1805" s="2"/>
      <c r="AC1805" s="2"/>
    </row>
    <row r="1806" spans="1:29" ht="10.5" hidden="1">
      <c r="A1806" s="2">
        <f>A1805</f>
        <v>52</v>
      </c>
      <c r="B1806" s="2" t="str">
        <f>VLOOKUP($A1806,Controle!$B$4:$F$68,2,FALSE)</f>
        <v>Santo Antônio 1</v>
      </c>
      <c r="C1806" s="2" t="str">
        <f>VLOOKUP($A1806,Controle!$B$4:$F$68,3,FALSE)</f>
        <v>MORI MINAS IV</v>
      </c>
      <c r="D1806" s="2" t="str">
        <f>VLOOKUP($A1806,Controle!$B$4:$F$68,4,FALSE)</f>
        <v>NewCo IV</v>
      </c>
      <c r="E1806" s="2">
        <f>VLOOKUP($A1806,Controle!$B$4:$F$68,5,FALSE)</f>
        <v>2</v>
      </c>
      <c r="F1806" s="3" t="str">
        <f>F1771</f>
        <v>Serviços Auxiliares - Terraplanagem</v>
      </c>
      <c r="G1806" s="2" t="str">
        <f>VLOOKUP($A1806,Controle!$B$4:$G$68,6,FALSE)</f>
        <v>Solatio</v>
      </c>
      <c r="H1806" s="6" t="s">
        <v>214</v>
      </c>
      <c r="I1806" s="6">
        <v>1260507.1000000001</v>
      </c>
      <c r="J1806" s="6">
        <v>1483362.47</v>
      </c>
      <c r="K1806" s="6">
        <v>199988.82</v>
      </c>
      <c r="L1806" s="6">
        <v>0</v>
      </c>
      <c r="M1806" s="6">
        <v>0</v>
      </c>
      <c r="N1806" s="6">
        <v>0</v>
      </c>
      <c r="O1806" s="4">
        <f>SUM(I1806:N1806)</f>
        <v>2943858.39</v>
      </c>
      <c r="P1806" s="5">
        <f>SUMIFS('Desenvolvimento diário'!$H:$H,'Desenvolvimento diário'!$Q:$Q,$B1806,'Desenvolvimento diário'!$P:$P,$F1806,'Desenvolvimento diário'!$R:$R,"Sim")</f>
        <v>0</v>
      </c>
      <c r="Q1806" s="5">
        <f>SUMIFS('Desenvolvimento diário'!$H:$H,'Desenvolvimento diário'!$Q:$Q,$B1806,'Desenvolvimento diário'!$P:$P,$F1806,'Desenvolvimento diário'!$R:$R,"Não")</f>
        <v>2943858.39</v>
      </c>
      <c r="R1806" s="4">
        <f>SUM(P1806:Q1806)</f>
        <v>2943858.39</v>
      </c>
      <c r="S1806" s="4">
        <f>O1806-R1806</f>
        <v>0</v>
      </c>
      <c r="T1806" s="12">
        <f>IFERROR(R1806/O1806,0)</f>
        <v>1</v>
      </c>
      <c r="Y1806" s="2"/>
      <c r="Z1806" s="2"/>
      <c r="AA1806" s="2"/>
      <c r="AB1806" s="2"/>
      <c r="AC1806" s="2"/>
    </row>
    <row r="1807" spans="1:29" ht="10.5" hidden="1">
      <c r="A1807" s="2">
        <f>A1806</f>
        <v>52</v>
      </c>
      <c r="B1807" s="2" t="str">
        <f>VLOOKUP($A1807,Controle!$B$4:$F$68,2,FALSE)</f>
        <v>Santo Antônio 1</v>
      </c>
      <c r="C1807" s="2" t="str">
        <f>VLOOKUP($A1807,Controle!$B$4:$F$68,3,FALSE)</f>
        <v>MORI MINAS IV</v>
      </c>
      <c r="D1807" s="2" t="str">
        <f>VLOOKUP($A1807,Controle!$B$4:$F$68,4,FALSE)</f>
        <v>NewCo IV</v>
      </c>
      <c r="E1807" s="2">
        <f>VLOOKUP($A1807,Controle!$B$4:$F$68,5,FALSE)</f>
        <v>2</v>
      </c>
      <c r="F1807" s="3" t="str">
        <f>F1772</f>
        <v>Serviços Auxiliares - Supressão Vegetal</v>
      </c>
      <c r="G1807" s="2" t="str">
        <f>VLOOKUP($A1807,Controle!$B$4:$G$68,6,FALSE)</f>
        <v>Solatio</v>
      </c>
      <c r="H1807" s="6" t="s">
        <v>155</v>
      </c>
      <c r="I1807" s="6">
        <v>127000</v>
      </c>
      <c r="J1807" s="6">
        <f>18629.28+735+0.37</f>
        <v>19364.649999999998</v>
      </c>
      <c r="K1807" s="6">
        <v>48210</v>
      </c>
      <c r="L1807" s="6">
        <v>0</v>
      </c>
      <c r="M1807" s="6">
        <v>0</v>
      </c>
      <c r="N1807" s="6">
        <v>0</v>
      </c>
      <c r="O1807" s="4">
        <f>SUM(I1807:N1807)</f>
        <v>194574.65</v>
      </c>
      <c r="P1807" s="5">
        <f>SUMIFS('Desenvolvimento diário'!$H:$H,'Desenvolvimento diário'!$Q:$Q,$B1807,'Desenvolvimento diário'!$P:$P,$F1807,'Desenvolvimento diário'!$R:$R,"Sim")</f>
        <v>0</v>
      </c>
      <c r="Q1807" s="5">
        <f>SUMIFS('Desenvolvimento diário'!$H:$H,'Desenvolvimento diário'!$Q:$Q,$B1807,'Desenvolvimento diário'!$P:$P,$F1807,'Desenvolvimento diário'!$R:$R,"Não")</f>
        <v>194574.65</v>
      </c>
      <c r="R1807" s="4">
        <f>SUM(P1807:Q1807)</f>
        <v>194574.65</v>
      </c>
      <c r="S1807" s="139">
        <f>O1807-R1807</f>
        <v>0</v>
      </c>
      <c r="T1807" s="36">
        <f>IFERROR(R1807/O1807,0)</f>
        <v>1</v>
      </c>
      <c r="U1807" s="34"/>
      <c r="V1807" s="34"/>
      <c r="Y1807" s="2"/>
      <c r="Z1807" s="2"/>
      <c r="AA1807" s="2"/>
      <c r="AB1807" s="2"/>
      <c r="AC1807" s="2"/>
    </row>
    <row r="1808" spans="1:29" ht="10.5" hidden="1">
      <c r="A1808" s="2">
        <f>A1807</f>
        <v>52</v>
      </c>
      <c r="B1808" s="2" t="str">
        <f>VLOOKUP($A1808,Controle!$B$4:$F$68,2,FALSE)</f>
        <v>Santo Antônio 1</v>
      </c>
      <c r="C1808" s="2" t="str">
        <f>VLOOKUP($A1808,Controle!$B$4:$F$68,3,FALSE)</f>
        <v>MORI MINAS IV</v>
      </c>
      <c r="D1808" s="2" t="str">
        <f>VLOOKUP($A1808,Controle!$B$4:$F$68,4,FALSE)</f>
        <v>NewCo IV</v>
      </c>
      <c r="E1808" s="2">
        <f>VLOOKUP($A1808,Controle!$B$4:$F$68,5,FALSE)</f>
        <v>2</v>
      </c>
      <c r="F1808" s="3" t="str">
        <f>F1773</f>
        <v>RDR-Rede de Distribuição Rural</v>
      </c>
      <c r="G1808" s="2" t="str">
        <f>VLOOKUP($A1808,Controle!$B$4:$G$68,6,FALSE)</f>
        <v>Solatio</v>
      </c>
      <c r="H1808" s="6">
        <v>0</v>
      </c>
      <c r="I1808" s="6">
        <v>0</v>
      </c>
      <c r="J1808" s="6">
        <v>0</v>
      </c>
      <c r="K1808" s="6">
        <v>0</v>
      </c>
      <c r="L1808" s="6">
        <v>0</v>
      </c>
      <c r="M1808" s="6">
        <v>0</v>
      </c>
      <c r="N1808" s="6">
        <v>0</v>
      </c>
      <c r="O1808" s="4">
        <f>SUM(I1808:N1808)</f>
        <v>0</v>
      </c>
      <c r="P1808" s="5">
        <f>SUMIFS('Desenvolvimento diário'!$H:$H,'Desenvolvimento diário'!$Q:$Q,$B1808,'Desenvolvimento diário'!$P:$P,$F1808,'Desenvolvimento diário'!$R:$R,"Sim")</f>
        <v>0</v>
      </c>
      <c r="Q1808" s="5">
        <f>SUMIFS('Desenvolvimento diário'!$H:$H,'Desenvolvimento diário'!$Q:$Q,$B1808,'Desenvolvimento diário'!$P:$P,$F1808,'Desenvolvimento diário'!$R:$R,"Não")</f>
        <v>0</v>
      </c>
      <c r="R1808" s="4">
        <f>SUM(P1808:Q1808)</f>
        <v>0</v>
      </c>
      <c r="S1808" s="4">
        <f>O1808-R1808</f>
        <v>0</v>
      </c>
      <c r="T1808" s="12">
        <f>IFERROR(R1808/O1808,0)</f>
        <v>0</v>
      </c>
      <c r="Y1808" s="2"/>
      <c r="Z1808" s="2"/>
      <c r="AA1808" s="2"/>
      <c r="AB1808" s="2"/>
      <c r="AC1808" s="2"/>
    </row>
    <row r="1809" spans="1:29" ht="10.5" hidden="1">
      <c r="A1809" s="2">
        <f>A1808</f>
        <v>52</v>
      </c>
      <c r="B1809" s="2" t="str">
        <f>VLOOKUP($A1809,Controle!$B$4:$F$68,2,FALSE)</f>
        <v>Santo Antônio 1</v>
      </c>
      <c r="C1809" s="2" t="str">
        <f>VLOOKUP($A1809,Controle!$B$4:$F$68,3,FALSE)</f>
        <v>MORI MINAS IV</v>
      </c>
      <c r="D1809" s="2" t="str">
        <f>VLOOKUP($A1809,Controle!$B$4:$F$68,4,FALSE)</f>
        <v>NewCo IV</v>
      </c>
      <c r="E1809" s="2">
        <f>VLOOKUP($A1809,Controle!$B$4:$F$68,5,FALSE)</f>
        <v>2</v>
      </c>
      <c r="F1809" s="3" t="str">
        <f>F1774</f>
        <v>Escopo COMERC</v>
      </c>
      <c r="G1809" s="2" t="str">
        <f>VLOOKUP($A1809,Controle!$B$4:$G$68,6,FALSE)</f>
        <v>Solatio</v>
      </c>
      <c r="H1809" s="6">
        <v>0</v>
      </c>
      <c r="I1809" s="6">
        <v>307240.8</v>
      </c>
      <c r="J1809" s="29">
        <v>225953.95</v>
      </c>
      <c r="K1809" s="29"/>
      <c r="L1809" s="6">
        <v>0</v>
      </c>
      <c r="M1809" s="6">
        <v>0</v>
      </c>
      <c r="N1809" s="6">
        <v>0</v>
      </c>
      <c r="O1809" s="4">
        <f>SUM(I1809:N1809)</f>
        <v>533194.75</v>
      </c>
      <c r="P1809" s="5">
        <f>SUMIFS('Desenvolvimento diário'!$H:$H,'Desenvolvimento diário'!$Q:$Q,$B1809,'Desenvolvimento diário'!$P:$P,$F1809,'Desenvolvimento diário'!$R:$R,"Sim")</f>
        <v>0</v>
      </c>
      <c r="Q1809" s="5">
        <f>SUMIFS('Desenvolvimento diário'!$H:$H,'Desenvolvimento diário'!$Q:$Q,$B1809,'Desenvolvimento diário'!$P:$P,$F1809,'Desenvolvimento diário'!$R:$R,"Não")</f>
        <v>322699.58</v>
      </c>
      <c r="R1809" s="4">
        <f>SUM(P1809:Q1809)</f>
        <v>322699.58</v>
      </c>
      <c r="S1809" s="1010">
        <f>O1809-R1809</f>
        <v>210495.16999999998</v>
      </c>
      <c r="T1809" s="12">
        <f>IFERROR(R1809/O1809,0)</f>
        <v>0.60521897486800091</v>
      </c>
      <c r="U1809" s="1011" t="s">
        <v>166</v>
      </c>
      <c r="V1809" s="1011" t="s">
        <v>167</v>
      </c>
      <c r="Y1809" s="2"/>
      <c r="Z1809" s="2"/>
      <c r="AA1809" s="2"/>
      <c r="AB1809" s="2"/>
      <c r="AC1809" s="2"/>
    </row>
    <row r="1810" spans="1:29" ht="10.5" hidden="1">
      <c r="A1810" s="2">
        <f>A1809</f>
        <v>52</v>
      </c>
      <c r="B1810" s="2" t="str">
        <f>VLOOKUP($A1810,Controle!$B$4:$F$68,2,FALSE)</f>
        <v>Santo Antônio 1</v>
      </c>
      <c r="C1810" s="2" t="str">
        <f>VLOOKUP($A1810,Controle!$B$4:$F$68,3,FALSE)</f>
        <v>MORI MINAS IV</v>
      </c>
      <c r="D1810" s="2" t="str">
        <f>VLOOKUP($A1810,Controle!$B$4:$F$68,4,FALSE)</f>
        <v>NewCo IV</v>
      </c>
      <c r="E1810" s="2">
        <f>VLOOKUP($A1810,Controle!$B$4:$F$68,5,FALSE)</f>
        <v>2</v>
      </c>
      <c r="F1810" s="3" t="str">
        <f>F1775</f>
        <v>Escopo COMERC - Segurança</v>
      </c>
      <c r="G1810" s="2" t="str">
        <f>VLOOKUP($A1810,Controle!$B$4:$G$68,6,FALSE)</f>
        <v>Solatio</v>
      </c>
      <c r="H1810" s="6">
        <v>0</v>
      </c>
      <c r="I1810" s="6">
        <f>R1810</f>
        <v>490595.43999999989</v>
      </c>
      <c r="J1810" s="6">
        <v>0</v>
      </c>
      <c r="K1810" s="6">
        <v>0</v>
      </c>
      <c r="L1810" s="6">
        <v>0</v>
      </c>
      <c r="M1810" s="6">
        <v>0</v>
      </c>
      <c r="N1810" s="6">
        <v>0</v>
      </c>
      <c r="O1810" s="4">
        <f>SUM(I1810:N1810)</f>
        <v>490595.43999999989</v>
      </c>
      <c r="P1810" s="5">
        <f>SUMIFS('Desenvolvimento diário'!$H:$H,'Desenvolvimento diário'!$Q:$Q,$B1810,'Desenvolvimento diário'!$P:$P,$F1810,'Desenvolvimento diário'!$R:$R,"Sim")</f>
        <v>0</v>
      </c>
      <c r="Q1810" s="5">
        <f>SUMIFS('Desenvolvimento diário'!$H:$H,'Desenvolvimento diário'!$Q:$Q,$B1810,'Desenvolvimento diário'!$P:$P,$F1810,'Desenvolvimento diário'!$R:$R,"Não")</f>
        <v>490595.43999999989</v>
      </c>
      <c r="R1810" s="4">
        <f>SUM(P1810:Q1810)</f>
        <v>490595.43999999989</v>
      </c>
      <c r="S1810" s="4">
        <f>O1810-R1810</f>
        <v>0</v>
      </c>
      <c r="T1810" s="12">
        <f>IFERROR(R1810/O1810,0)</f>
        <v>1</v>
      </c>
      <c r="Y1810" s="2"/>
      <c r="Z1810" s="2"/>
      <c r="AA1810" s="2"/>
      <c r="AB1810" s="2"/>
      <c r="AC1810" s="2"/>
    </row>
    <row r="1811" spans="1:29" ht="10.5" hidden="1">
      <c r="A1811" s="2">
        <f>A1810</f>
        <v>52</v>
      </c>
      <c r="B1811" s="2" t="str">
        <f>VLOOKUP($A1811,Controle!$B$4:$F$68,2,FALSE)</f>
        <v>Santo Antônio 1</v>
      </c>
      <c r="C1811" s="2" t="str">
        <f>VLOOKUP($A1811,Controle!$B$4:$F$68,3,FALSE)</f>
        <v>MORI MINAS IV</v>
      </c>
      <c r="D1811" s="2" t="str">
        <f>VLOOKUP($A1811,Controle!$B$4:$F$68,4,FALSE)</f>
        <v>NewCo IV</v>
      </c>
      <c r="E1811" s="2">
        <f>VLOOKUP($A1811,Controle!$B$4:$F$68,5,FALSE)</f>
        <v>2</v>
      </c>
      <c r="F1811" s="3" t="str">
        <f>F1776</f>
        <v>Conexão MT - Obras Transferencia</v>
      </c>
      <c r="G1811" s="2" t="str">
        <f>VLOOKUP($A1811,Controle!$B$4:$G$68,6,FALSE)</f>
        <v>Solatio</v>
      </c>
      <c r="H1811" s="6">
        <v>0</v>
      </c>
      <c r="I1811" s="6">
        <v>0</v>
      </c>
      <c r="J1811" s="6">
        <v>0</v>
      </c>
      <c r="K1811" s="6">
        <v>0</v>
      </c>
      <c r="L1811" s="6">
        <v>0</v>
      </c>
      <c r="M1811" s="6">
        <v>0</v>
      </c>
      <c r="N1811" s="6">
        <v>0</v>
      </c>
      <c r="O1811" s="4">
        <f>SUM(I1811:N1811)</f>
        <v>0</v>
      </c>
      <c r="P1811" s="5">
        <f>SUMIFS('Desenvolvimento diário'!$H:$H,'Desenvolvimento diário'!$Q:$Q,$B1811,'Desenvolvimento diário'!$P:$P,$F1811,'Desenvolvimento diário'!$R:$R,"Sim")</f>
        <v>0</v>
      </c>
      <c r="Q1811" s="5">
        <f>SUMIFS('Desenvolvimento diário'!$H:$H,'Desenvolvimento diário'!$Q:$Q,$B1811,'Desenvolvimento diário'!$P:$P,$F1811,'Desenvolvimento diário'!$R:$R,"Não")</f>
        <v>0</v>
      </c>
      <c r="R1811" s="4">
        <f>SUM(P1811:Q1811)</f>
        <v>0</v>
      </c>
      <c r="S1811" s="4">
        <f>O1811-R1811</f>
        <v>0</v>
      </c>
      <c r="T1811" s="12">
        <f>IFERROR(R1811/O1811,0)</f>
        <v>0</v>
      </c>
      <c r="Y1811" s="2"/>
      <c r="Z1811" s="2"/>
      <c r="AA1811" s="2"/>
      <c r="AB1811" s="2"/>
      <c r="AC1811" s="2"/>
    </row>
    <row r="1812" spans="1:29" ht="10.5" hidden="1">
      <c r="A1812" s="2">
        <f>A1811</f>
        <v>52</v>
      </c>
      <c r="B1812" s="2" t="str">
        <f>VLOOKUP($A1812,Controle!$B$4:$F$68,2,FALSE)</f>
        <v>Santo Antônio 1</v>
      </c>
      <c r="C1812" s="2" t="str">
        <f>VLOOKUP($A1812,Controle!$B$4:$F$68,3,FALSE)</f>
        <v>MORI MINAS IV</v>
      </c>
      <c r="D1812" s="2" t="str">
        <f>VLOOKUP($A1812,Controle!$B$4:$F$68,4,FALSE)</f>
        <v>NewCo IV</v>
      </c>
      <c r="E1812" s="2">
        <f>VLOOKUP($A1812,Controle!$B$4:$F$68,5,FALSE)</f>
        <v>2</v>
      </c>
      <c r="F1812" s="3" t="str">
        <f>F1777</f>
        <v>Bases de Contaniers</v>
      </c>
      <c r="G1812" s="2" t="str">
        <f>VLOOKUP($A1812,Controle!$B$4:$G$68,6,FALSE)</f>
        <v>Solatio</v>
      </c>
      <c r="H1812" s="6">
        <v>0</v>
      </c>
      <c r="I1812" s="6">
        <v>0</v>
      </c>
      <c r="J1812" s="6">
        <v>0</v>
      </c>
      <c r="K1812" s="6">
        <v>0</v>
      </c>
      <c r="L1812" s="6">
        <v>0</v>
      </c>
      <c r="M1812" s="6">
        <v>0</v>
      </c>
      <c r="N1812" s="6">
        <v>0</v>
      </c>
      <c r="O1812" s="4">
        <f>SUM(I1812:N1812)</f>
        <v>0</v>
      </c>
      <c r="P1812" s="5">
        <f>SUMIFS('Desenvolvimento diário'!$H:$H,'Desenvolvimento diário'!$Q:$Q,$B1812,'Desenvolvimento diário'!$P:$P,$F1812,'Desenvolvimento diário'!$R:$R,"Sim")</f>
        <v>0</v>
      </c>
      <c r="Q1812" s="5">
        <f>SUMIFS('Desenvolvimento diário'!$H:$H,'Desenvolvimento diário'!$Q:$Q,$B1812,'Desenvolvimento diário'!$P:$P,$F1812,'Desenvolvimento diário'!$R:$R,"Não")</f>
        <v>0</v>
      </c>
      <c r="R1812" s="4">
        <f>SUM(P1812:Q1812)</f>
        <v>0</v>
      </c>
      <c r="S1812" s="4">
        <f>O1812-R1812</f>
        <v>0</v>
      </c>
      <c r="T1812" s="12">
        <f>IFERROR(R1812/O1812,0)</f>
        <v>0</v>
      </c>
      <c r="Y1812" s="2"/>
      <c r="Z1812" s="2"/>
      <c r="AA1812" s="2"/>
      <c r="AB1812" s="2"/>
      <c r="AC1812" s="2"/>
    </row>
    <row r="1813" spans="1:29" ht="10.5" hidden="1">
      <c r="A1813" s="2">
        <f>A1812</f>
        <v>52</v>
      </c>
      <c r="B1813" s="2" t="str">
        <f>VLOOKUP($A1813,Controle!$B$4:$F$68,2,FALSE)</f>
        <v>Santo Antônio 1</v>
      </c>
      <c r="C1813" s="2" t="str">
        <f>VLOOKUP($A1813,Controle!$B$4:$F$68,3,FALSE)</f>
        <v>MORI MINAS IV</v>
      </c>
      <c r="D1813" s="2" t="str">
        <f>VLOOKUP($A1813,Controle!$B$4:$F$68,4,FALSE)</f>
        <v>NewCo IV</v>
      </c>
      <c r="E1813" s="2">
        <f>VLOOKUP($A1813,Controle!$B$4:$F$68,5,FALSE)</f>
        <v>2</v>
      </c>
      <c r="F1813" s="3" t="str">
        <f>F1778</f>
        <v>Construção - Serviços de Construção - Ase Engenharia</v>
      </c>
      <c r="G1813" s="2" t="str">
        <f>VLOOKUP($A1813,Controle!$B$4:$G$68,6,FALSE)</f>
        <v>Solatio</v>
      </c>
      <c r="H1813" s="6">
        <v>0</v>
      </c>
      <c r="I1813" s="6">
        <v>0</v>
      </c>
      <c r="J1813" s="6">
        <v>0</v>
      </c>
      <c r="K1813" s="6">
        <v>0</v>
      </c>
      <c r="L1813" s="6">
        <v>0</v>
      </c>
      <c r="M1813" s="6">
        <v>0</v>
      </c>
      <c r="N1813" s="6">
        <v>0</v>
      </c>
      <c r="O1813" s="4">
        <f>SUM(I1813:N1813)</f>
        <v>0</v>
      </c>
      <c r="P1813" s="5">
        <f>SUMIFS('Desenvolvimento diário'!$H:$H,'Desenvolvimento diário'!$Q:$Q,$B1813,'Desenvolvimento diário'!$P:$P,$F1813,'Desenvolvimento diário'!$R:$R,"Sim")</f>
        <v>0</v>
      </c>
      <c r="Q1813" s="5">
        <f>SUMIFS('Desenvolvimento diário'!$H:$H,'Desenvolvimento diário'!$Q:$Q,$B1813,'Desenvolvimento diário'!$P:$P,$F1813,'Desenvolvimento diário'!$R:$R,"Não")</f>
        <v>0</v>
      </c>
      <c r="R1813" s="4">
        <f>SUM(P1813:Q1813)</f>
        <v>0</v>
      </c>
      <c r="S1813" s="4">
        <f>O1813-R1813</f>
        <v>0</v>
      </c>
      <c r="T1813" s="12">
        <f>IFERROR(R1813/O1813,0)</f>
        <v>0</v>
      </c>
      <c r="Y1813" s="2"/>
      <c r="Z1813" s="2"/>
      <c r="AA1813" s="2"/>
      <c r="AB1813" s="2"/>
      <c r="AC1813" s="2"/>
    </row>
    <row r="1814" spans="1:29" ht="10.5" hidden="1">
      <c r="A1814" s="2">
        <f>A1813</f>
        <v>52</v>
      </c>
      <c r="B1814" s="2" t="str">
        <f>VLOOKUP($A1814,Controle!$B$4:$F$68,2,FALSE)</f>
        <v>Santo Antônio 1</v>
      </c>
      <c r="C1814" s="2" t="str">
        <f>VLOOKUP($A1814,Controle!$B$4:$F$68,3,FALSE)</f>
        <v>MORI MINAS IV</v>
      </c>
      <c r="D1814" s="2" t="str">
        <f>VLOOKUP($A1814,Controle!$B$4:$F$68,4,FALSE)</f>
        <v>NewCo IV</v>
      </c>
      <c r="E1814" s="2">
        <f>VLOOKUP($A1814,Controle!$B$4:$F$68,5,FALSE)</f>
        <v>2</v>
      </c>
      <c r="F1814" s="3" t="str">
        <f>F1779</f>
        <v>Full EPC - Contrato Sobressalentes</v>
      </c>
      <c r="G1814" s="2" t="str">
        <f>VLOOKUP($A1814,Controle!$B$4:$G$68,6,FALSE)</f>
        <v>Solatio</v>
      </c>
      <c r="H1814" s="6">
        <v>0</v>
      </c>
      <c r="I1814" s="6">
        <v>0</v>
      </c>
      <c r="J1814" s="6">
        <v>0</v>
      </c>
      <c r="K1814" s="6">
        <v>0</v>
      </c>
      <c r="L1814" s="6">
        <v>0</v>
      </c>
      <c r="M1814" s="6">
        <v>0</v>
      </c>
      <c r="N1814" s="6">
        <v>0</v>
      </c>
      <c r="O1814" s="4">
        <f>SUM(I1814:N1814)</f>
        <v>0</v>
      </c>
      <c r="P1814" s="5">
        <f>SUMIFS('Desenvolvimento diário'!$H:$H,'Desenvolvimento diário'!$Q:$Q,$B1814,'Desenvolvimento diário'!$P:$P,$F1814,'Desenvolvimento diário'!$R:$R,"Sim")</f>
        <v>0</v>
      </c>
      <c r="Q1814" s="5">
        <f>SUMIFS('Desenvolvimento diário'!$H:$H,'Desenvolvimento diário'!$Q:$Q,$B1814,'Desenvolvimento diário'!$P:$P,$F1814,'Desenvolvimento diário'!$R:$R,"Não")</f>
        <v>0</v>
      </c>
      <c r="R1814" s="4">
        <f>SUM(P1814:Q1814)</f>
        <v>0</v>
      </c>
      <c r="S1814" s="4">
        <f>O1814-R1814</f>
        <v>0</v>
      </c>
      <c r="T1814" s="12">
        <f>IFERROR(R1814/O1814,0)</f>
        <v>0</v>
      </c>
      <c r="Y1814" s="2"/>
      <c r="Z1814" s="2"/>
      <c r="AA1814" s="2"/>
      <c r="AB1814" s="2"/>
      <c r="AC1814" s="2"/>
    </row>
    <row r="1815" spans="1:29" ht="10.5" hidden="1">
      <c r="A1815" s="2">
        <f>A1814</f>
        <v>52</v>
      </c>
      <c r="B1815" s="2" t="str">
        <f>VLOOKUP($A1815,Controle!$B$4:$F$68,2,FALSE)</f>
        <v>Santo Antônio 1</v>
      </c>
      <c r="C1815" s="2" t="str">
        <f>VLOOKUP($A1815,Controle!$B$4:$F$68,3,FALSE)</f>
        <v>MORI MINAS IV</v>
      </c>
      <c r="D1815" s="2" t="str">
        <f>VLOOKUP($A1815,Controle!$B$4:$F$68,4,FALSE)</f>
        <v>NewCo IV</v>
      </c>
      <c r="E1815" s="2">
        <f>VLOOKUP($A1815,Controle!$B$4:$F$68,5,FALSE)</f>
        <v>2</v>
      </c>
      <c r="F1815" s="3" t="str">
        <f>F1780</f>
        <v>Construção - Serviços de Construção - NOVA MORADA</v>
      </c>
      <c r="G1815" s="2" t="str">
        <f>VLOOKUP($A1815,Controle!$B$4:$G$68,6,FALSE)</f>
        <v>Solatio</v>
      </c>
      <c r="H1815" s="6">
        <v>0</v>
      </c>
      <c r="I1815" s="6">
        <v>0</v>
      </c>
      <c r="J1815" s="6">
        <v>0</v>
      </c>
      <c r="K1815" s="6">
        <v>0</v>
      </c>
      <c r="L1815" s="6">
        <v>0</v>
      </c>
      <c r="M1815" s="6">
        <v>0</v>
      </c>
      <c r="N1815" s="6">
        <v>0</v>
      </c>
      <c r="O1815" s="4">
        <f>SUM(I1815:N1815)</f>
        <v>0</v>
      </c>
      <c r="P1815" s="5">
        <f>SUMIFS('Desenvolvimento diário'!$H:$H,'Desenvolvimento diário'!$Q:$Q,$B1815,'Desenvolvimento diário'!$P:$P,$F1815,'Desenvolvimento diário'!$R:$R,"Sim")</f>
        <v>0</v>
      </c>
      <c r="Q1815" s="5">
        <f>SUMIFS('Desenvolvimento diário'!$H:$H,'Desenvolvimento diário'!$Q:$Q,$B1815,'Desenvolvimento diário'!$P:$P,$F1815,'Desenvolvimento diário'!$R:$R,"Não")</f>
        <v>0</v>
      </c>
      <c r="R1815" s="4">
        <f>SUM(P1815:Q1815)</f>
        <v>0</v>
      </c>
      <c r="S1815" s="4">
        <f>O1815-R1815</f>
        <v>0</v>
      </c>
      <c r="T1815" s="12">
        <f>IFERROR(R1815/O1815,0)</f>
        <v>0</v>
      </c>
      <c r="Y1815" s="2"/>
      <c r="Z1815" s="2"/>
      <c r="AA1815" s="2"/>
      <c r="AB1815" s="2"/>
      <c r="AC1815" s="2"/>
    </row>
    <row r="1816" spans="1:29" ht="10.5" hidden="1">
      <c r="A1816" s="2">
        <f t="shared" ref="A1816:A1820" si="576">A1815</f>
        <v>52</v>
      </c>
      <c r="B1816" s="2" t="str">
        <f>VLOOKUP($A1816,Controle!$B$4:$F$68,2,FALSE)</f>
        <v>Santo Antônio 1</v>
      </c>
      <c r="C1816" s="2" t="str">
        <f>VLOOKUP($A1816,Controle!$B$4:$F$68,3,FALSE)</f>
        <v>MORI MINAS IV</v>
      </c>
      <c r="D1816" s="2" t="str">
        <f>VLOOKUP($A1816,Controle!$B$4:$F$68,4,FALSE)</f>
        <v>NewCo IV</v>
      </c>
      <c r="E1816" s="2">
        <f>VLOOKUP($A1816,Controle!$B$4:$F$68,5,FALSE)</f>
        <v>2</v>
      </c>
      <c r="F1816" s="3" t="str">
        <f t="shared" ref="F1816:F1820" si="577">F1781</f>
        <v>Equipamentos Curva A -  Contrato Sobressalentes - SETTA</v>
      </c>
      <c r="G1816" s="2" t="str">
        <f>VLOOKUP($A1816,Controle!$B$4:$G$68,6,FALSE)</f>
        <v>Solatio</v>
      </c>
      <c r="H1816" s="6">
        <v>0</v>
      </c>
      <c r="I1816" s="6">
        <v>0</v>
      </c>
      <c r="J1816" s="6">
        <v>0</v>
      </c>
      <c r="K1816" s="6">
        <v>0</v>
      </c>
      <c r="L1816" s="6">
        <v>0</v>
      </c>
      <c r="M1816" s="6">
        <v>0</v>
      </c>
      <c r="N1816" s="6">
        <v>0</v>
      </c>
      <c r="O1816" s="4">
        <f>SUM(I1816:N1816)</f>
        <v>0</v>
      </c>
      <c r="P1816" s="5">
        <f>SUMIFS('Desenvolvimento diário'!$H:$H,'Desenvolvimento diário'!$Q:$Q,$B1816,'Desenvolvimento diário'!$P:$P,$F1816,'Desenvolvimento diário'!$R:$R,"Sim")</f>
        <v>0</v>
      </c>
      <c r="Q1816" s="5">
        <f>SUMIFS('Desenvolvimento diário'!$H:$H,'Desenvolvimento diário'!$Q:$Q,$B1816,'Desenvolvimento diário'!$P:$P,$F1816,'Desenvolvimento diário'!$R:$R,"Não")</f>
        <v>0</v>
      </c>
      <c r="R1816" s="4">
        <f>SUM(P1816:Q1816)</f>
        <v>0</v>
      </c>
      <c r="S1816" s="4">
        <f>O1816-R1816</f>
        <v>0</v>
      </c>
      <c r="T1816" s="12">
        <f>IFERROR(R1816/O1816,0)</f>
        <v>0</v>
      </c>
      <c r="Y1816" s="2"/>
      <c r="Z1816" s="2"/>
      <c r="AA1816" s="2"/>
      <c r="AB1816" s="2"/>
      <c r="AC1816" s="2"/>
    </row>
    <row r="1817" spans="1:29" ht="10.5" hidden="1">
      <c r="A1817" s="2">
        <f t="shared" si="576"/>
        <v>52</v>
      </c>
      <c r="B1817" s="2" t="str">
        <f>VLOOKUP($A1817,Controle!$B$4:$F$68,2,FALSE)</f>
        <v>Santo Antônio 1</v>
      </c>
      <c r="C1817" s="2" t="str">
        <f>VLOOKUP($A1817,Controle!$B$4:$F$68,3,FALSE)</f>
        <v>MORI MINAS IV</v>
      </c>
      <c r="D1817" s="2" t="str">
        <f>VLOOKUP($A1817,Controle!$B$4:$F$68,4,FALSE)</f>
        <v>NewCo IV</v>
      </c>
      <c r="E1817" s="2">
        <f>VLOOKUP($A1817,Controle!$B$4:$F$68,5,FALSE)</f>
        <v>2</v>
      </c>
      <c r="F1817" s="3" t="str">
        <f t="shared" si="577"/>
        <v>Equipamentos Curva A -  Contrato Sobressalentes - Arctech</v>
      </c>
      <c r="G1817" s="2" t="str">
        <f>VLOOKUP($A1817,Controle!$B$4:$G$68,6,FALSE)</f>
        <v>Solatio</v>
      </c>
      <c r="H1817" s="6">
        <v>0</v>
      </c>
      <c r="I1817" s="6">
        <v>0</v>
      </c>
      <c r="J1817" s="6">
        <v>0</v>
      </c>
      <c r="K1817" s="6">
        <v>0</v>
      </c>
      <c r="L1817" s="6">
        <v>0</v>
      </c>
      <c r="M1817" s="6">
        <v>0</v>
      </c>
      <c r="N1817" s="6">
        <v>0</v>
      </c>
      <c r="O1817" s="4">
        <f>SUM(I1817:N1817)</f>
        <v>0</v>
      </c>
      <c r="P1817" s="5">
        <f>SUMIFS('Desenvolvimento diário'!$H:$H,'Desenvolvimento diário'!$Q:$Q,$B1817,'Desenvolvimento diário'!$P:$P,$F1817,'Desenvolvimento diário'!$R:$R,"Sim")</f>
        <v>0</v>
      </c>
      <c r="Q1817" s="5">
        <f>SUMIFS('Desenvolvimento diário'!$H:$H,'Desenvolvimento diário'!$Q:$Q,$B1817,'Desenvolvimento diário'!$P:$P,$F1817,'Desenvolvimento diário'!$R:$R,"Não")</f>
        <v>0</v>
      </c>
      <c r="R1817" s="4">
        <f>SUM(P1817:Q1817)</f>
        <v>0</v>
      </c>
      <c r="S1817" s="4">
        <f>O1817-R1817</f>
        <v>0</v>
      </c>
      <c r="T1817" s="12">
        <f>IFERROR(R1817/O1817,0)</f>
        <v>0</v>
      </c>
      <c r="Y1817" s="2"/>
      <c r="Z1817" s="2"/>
      <c r="AA1817" s="2"/>
      <c r="AB1817" s="2"/>
      <c r="AC1817" s="2"/>
    </row>
    <row r="1818" spans="1:29" hidden="1">
      <c r="A1818" s="2">
        <f t="shared" si="576"/>
        <v>52</v>
      </c>
      <c r="B1818" s="2" t="str">
        <f>VLOOKUP($A1818,Controle!$B$4:$F$68,2,FALSE)</f>
        <v>Santo Antônio 1</v>
      </c>
      <c r="C1818" s="2" t="str">
        <f>VLOOKUP($A1818,Controle!$B$4:$F$68,3,FALSE)</f>
        <v>MORI MINAS IV</v>
      </c>
      <c r="D1818" s="2" t="str">
        <f>VLOOKUP($A1818,Controle!$B$4:$F$68,4,FALSE)</f>
        <v>NewCo IV</v>
      </c>
      <c r="E1818" s="2">
        <f>VLOOKUP($A1818,Controle!$B$4:$F$68,5,FALSE)</f>
        <v>2</v>
      </c>
      <c r="F1818" s="3" t="str">
        <f t="shared" si="577"/>
        <v>Equipamentos Curva A -  Contrato Sobressalentes - Romagnole</v>
      </c>
      <c r="G1818" s="2" t="str">
        <f>VLOOKUP($A1818,Controle!$B$4:$G$68,6,FALSE)</f>
        <v>Solatio</v>
      </c>
      <c r="H1818" s="7">
        <v>0</v>
      </c>
      <c r="I1818" s="7">
        <v>0</v>
      </c>
      <c r="J1818" s="7">
        <v>0</v>
      </c>
      <c r="K1818" s="7">
        <v>0</v>
      </c>
      <c r="L1818" s="7">
        <v>0</v>
      </c>
      <c r="M1818" s="7">
        <v>0</v>
      </c>
      <c r="N1818" s="7">
        <v>0</v>
      </c>
      <c r="O1818" s="4">
        <f>SUM(I1818:N1818)</f>
        <v>0</v>
      </c>
      <c r="P1818" s="17">
        <f>SUMIFS('Desenvolvimento diário'!$H:$H,'Desenvolvimento diário'!$Q:$Q,$B1818,'Desenvolvimento diário'!$P:$P,$F1818,'Desenvolvimento diário'!$R:$R,"Sim")</f>
        <v>0</v>
      </c>
      <c r="Q1818" s="17">
        <f>SUMIFS('Desenvolvimento diário'!$H:$H,'Desenvolvimento diário'!$Q:$Q,$B1818,'Desenvolvimento diário'!$P:$P,$F1818,'Desenvolvimento diário'!$R:$R,"Não")</f>
        <v>0</v>
      </c>
      <c r="R1818" s="4">
        <f>SUM(P1818:Q1818)</f>
        <v>0</v>
      </c>
      <c r="S1818" s="4">
        <f>O1818-R1818</f>
        <v>0</v>
      </c>
      <c r="T1818" s="12">
        <f>IFERROR(R1818/O1818,0)</f>
        <v>0</v>
      </c>
      <c r="Y1818" s="2"/>
      <c r="Z1818" s="2"/>
      <c r="AA1818" s="2"/>
      <c r="AB1818" s="2"/>
      <c r="AC1818" s="2"/>
    </row>
    <row r="1819" spans="1:29" hidden="1">
      <c r="A1819" s="2">
        <f t="shared" si="576"/>
        <v>52</v>
      </c>
      <c r="B1819" s="2" t="str">
        <f>VLOOKUP($A1819,Controle!$B$4:$F$68,2,FALSE)</f>
        <v>Santo Antônio 1</v>
      </c>
      <c r="C1819" s="2" t="str">
        <f>VLOOKUP($A1819,Controle!$B$4:$F$68,3,FALSE)</f>
        <v>MORI MINAS IV</v>
      </c>
      <c r="D1819" s="2" t="str">
        <f>VLOOKUP($A1819,Controle!$B$4:$F$68,4,FALSE)</f>
        <v>NewCo IV</v>
      </c>
      <c r="E1819" s="2">
        <f>VLOOKUP($A1819,Controle!$B$4:$F$68,5,FALSE)</f>
        <v>2</v>
      </c>
      <c r="F1819" s="3" t="str">
        <f t="shared" si="577"/>
        <v>GOS FLORESTAL - (PRAD - Recuperação Area Ambiental)</v>
      </c>
      <c r="G1819" s="2" t="str">
        <f>VLOOKUP($A1819,Controle!$B$4:$G$68,6,FALSE)</f>
        <v>Solatio</v>
      </c>
      <c r="H1819" s="506" t="s">
        <v>170</v>
      </c>
      <c r="I1819" s="6">
        <v>368640</v>
      </c>
      <c r="J1819" s="7">
        <v>0</v>
      </c>
      <c r="K1819" s="7">
        <v>0</v>
      </c>
      <c r="L1819" s="7">
        <v>0</v>
      </c>
      <c r="M1819" s="7">
        <v>0</v>
      </c>
      <c r="N1819" s="7">
        <v>0</v>
      </c>
      <c r="O1819" s="39">
        <f t="shared" ref="O1819:O1820" si="578">SUM(I1819:N1819)</f>
        <v>368640</v>
      </c>
      <c r="P1819" s="17">
        <f>SUMIFS('Desenvolvimento diário'!$H:$H,'Desenvolvimento diário'!$Q:$Q,$B1819,'Desenvolvimento diário'!$P:$P,$F1819,'Desenvolvimento diário'!$R:$R,"Sim")</f>
        <v>0</v>
      </c>
      <c r="Q1819" s="17">
        <f>SUMIFS('Desenvolvimento diário'!$H:$H,'Desenvolvimento diário'!$Q:$Q,$B1819,'Desenvolvimento diário'!$P:$P,$F1819,'Desenvolvimento diário'!$R:$R,"Não")</f>
        <v>368640</v>
      </c>
      <c r="R1819" s="4">
        <f t="shared" ref="R1819:R1820" si="579">SUM(P1819:Q1819)</f>
        <v>368640</v>
      </c>
      <c r="S1819" s="1019">
        <f t="shared" ref="S1819:S1820" si="580">O1819-R1819</f>
        <v>0</v>
      </c>
      <c r="T1819" s="12">
        <f t="shared" ref="T1819:T1820" si="581">IFERROR(R1819/O1819,0)</f>
        <v>1</v>
      </c>
      <c r="U1819" s="1019" t="s">
        <v>166</v>
      </c>
      <c r="V1819" s="1041" t="s">
        <v>171</v>
      </c>
      <c r="Y1819" s="2"/>
      <c r="Z1819" s="2"/>
      <c r="AA1819" s="2"/>
      <c r="AB1819" s="2"/>
      <c r="AC1819" s="2"/>
    </row>
    <row r="1820" spans="1:29" hidden="1">
      <c r="A1820" s="2">
        <f t="shared" si="576"/>
        <v>52</v>
      </c>
      <c r="B1820" s="2" t="str">
        <f>VLOOKUP($A1820,Controle!$B$4:$F$68,2,FALSE)</f>
        <v>Santo Antônio 1</v>
      </c>
      <c r="C1820" s="2" t="str">
        <f>VLOOKUP($A1820,Controle!$B$4:$F$68,3,FALSE)</f>
        <v>MORI MINAS IV</v>
      </c>
      <c r="D1820" s="2" t="str">
        <f>VLOOKUP($A1820,Controle!$B$4:$F$68,4,FALSE)</f>
        <v>NewCo IV</v>
      </c>
      <c r="E1820" s="2">
        <f>VLOOKUP($A1820,Controle!$B$4:$F$68,5,FALSE)</f>
        <v>2</v>
      </c>
      <c r="F1820" s="3" t="str">
        <f t="shared" si="577"/>
        <v>Cercamento das bacias de contenção ciclo 2</v>
      </c>
      <c r="G1820" s="2" t="str">
        <f>VLOOKUP($A1820,Controle!$B$4:$G$68,6,FALSE)</f>
        <v>Solatio</v>
      </c>
      <c r="H1820" s="506" t="s">
        <v>172</v>
      </c>
      <c r="I1820" s="6"/>
      <c r="J1820" s="506"/>
      <c r="K1820" s="506">
        <v>0</v>
      </c>
      <c r="L1820" s="506">
        <v>0</v>
      </c>
      <c r="M1820" s="506">
        <v>0</v>
      </c>
      <c r="N1820" s="506">
        <v>0</v>
      </c>
      <c r="O1820" s="39">
        <f t="shared" si="578"/>
        <v>0</v>
      </c>
      <c r="P1820" s="17">
        <f>SUMIFS('Desenvolvimento diário'!$H:$H,'Desenvolvimento diário'!$Q:$Q,$B1820,'Desenvolvimento diário'!$P:$P,$F1820,'Desenvolvimento diário'!$R:$R,"Sim")</f>
        <v>0</v>
      </c>
      <c r="Q1820" s="17">
        <f>SUMIFS('Desenvolvimento diário'!$H:$H,'Desenvolvimento diário'!$Q:$Q,$B1820,'Desenvolvimento diário'!$P:$P,$F1820,'Desenvolvimento diário'!$R:$R,"Não")</f>
        <v>0</v>
      </c>
      <c r="R1820" s="4">
        <f t="shared" si="579"/>
        <v>0</v>
      </c>
      <c r="S1820" s="1030">
        <f t="shared" si="580"/>
        <v>0</v>
      </c>
      <c r="T1820" s="12">
        <f t="shared" si="581"/>
        <v>0</v>
      </c>
      <c r="U1820" s="1029" t="s">
        <v>166</v>
      </c>
      <c r="V1820" s="1029" t="s">
        <v>94</v>
      </c>
      <c r="Y1820" s="2"/>
      <c r="Z1820" s="2"/>
      <c r="AA1820" s="2"/>
      <c r="AB1820" s="2"/>
      <c r="AC1820" s="2"/>
    </row>
    <row r="1821" spans="1:29" hidden="1">
      <c r="A1821" s="8">
        <f>A1818</f>
        <v>52</v>
      </c>
      <c r="B1821" s="9" t="str">
        <f>B1818</f>
        <v>Santo Antônio 1</v>
      </c>
      <c r="C1821" s="9" t="str">
        <f>C1818</f>
        <v>MORI MINAS IV</v>
      </c>
      <c r="D1821" s="9" t="str">
        <f>D1818</f>
        <v>NewCo IV</v>
      </c>
      <c r="E1821" s="9">
        <f>E1818</f>
        <v>2</v>
      </c>
      <c r="F1821" s="10" t="s">
        <v>158</v>
      </c>
      <c r="G1821" s="9" t="str">
        <f>G1818</f>
        <v>Solatio</v>
      </c>
      <c r="H1821" s="9"/>
      <c r="I1821" s="9">
        <f>SUBTOTAL(9,I1787:I1820)</f>
        <v>665999</v>
      </c>
      <c r="J1821" s="9">
        <f t="shared" ref="J1821:S1821" si="582">SUBTOTAL(9,J1787:J1820)</f>
        <v>89345.02</v>
      </c>
      <c r="K1821" s="9">
        <f t="shared" si="582"/>
        <v>1595376.52</v>
      </c>
      <c r="L1821" s="9">
        <f t="shared" si="582"/>
        <v>0</v>
      </c>
      <c r="M1821" s="9">
        <f t="shared" si="582"/>
        <v>0</v>
      </c>
      <c r="N1821" s="9">
        <f t="shared" si="582"/>
        <v>0</v>
      </c>
      <c r="O1821" s="9">
        <f t="shared" si="582"/>
        <v>2350720.54</v>
      </c>
      <c r="P1821" s="9">
        <f t="shared" si="582"/>
        <v>0</v>
      </c>
      <c r="Q1821" s="9">
        <f t="shared" si="582"/>
        <v>2241416.13</v>
      </c>
      <c r="R1821" s="9">
        <f t="shared" si="582"/>
        <v>2241416.13</v>
      </c>
      <c r="S1821" s="9">
        <f t="shared" si="582"/>
        <v>109304.41000000015</v>
      </c>
      <c r="T1821" s="13">
        <f>IFERROR(R1821/O1821,0)</f>
        <v>0.95350174206586036</v>
      </c>
      <c r="U1821" s="11">
        <f>SUBTOTAL(9,U1787:U1821)</f>
        <v>0</v>
      </c>
      <c r="Y1821" s="2"/>
      <c r="Z1821" s="2"/>
      <c r="AA1821" s="2"/>
      <c r="AB1821" s="2"/>
      <c r="AC1821" s="2"/>
    </row>
    <row r="1822" spans="1:29" hidden="1">
      <c r="A1822" s="2">
        <f>A1787+1</f>
        <v>53</v>
      </c>
      <c r="B1822" s="2" t="str">
        <f>VLOOKUP($A1822,Controle!$B$4:$F$68,2,FALSE)</f>
        <v>São Sebastião 1</v>
      </c>
      <c r="C1822" s="2" t="str">
        <f>VLOOKUP($A1822,Controle!$B$4:$F$68,3,FALSE)</f>
        <v>MORI MINAS IV</v>
      </c>
      <c r="D1822" s="2" t="str">
        <f>VLOOKUP($A1822,Controle!$B$4:$F$68,4,FALSE)</f>
        <v>NewCo IV</v>
      </c>
      <c r="E1822" s="2" t="str">
        <f>VLOOKUP($A1822,Controle!$B$4:$F$68,5,FALSE)</f>
        <v>weg</v>
      </c>
      <c r="F1822" s="3" t="str">
        <f>F1787</f>
        <v>Conexão AT - Obras</v>
      </c>
      <c r="G1822" s="2" t="str">
        <f>VLOOKUP($A1822,Controle!$B$4:$G$68,6,FALSE)</f>
        <v>Solatio</v>
      </c>
      <c r="H1822" s="6" t="s">
        <v>141</v>
      </c>
      <c r="I1822" s="29">
        <v>0</v>
      </c>
      <c r="J1822" s="6">
        <v>0</v>
      </c>
      <c r="K1822" s="6">
        <v>0</v>
      </c>
      <c r="L1822" s="6">
        <v>0</v>
      </c>
      <c r="M1822" s="6">
        <v>0</v>
      </c>
      <c r="N1822" s="6">
        <v>0</v>
      </c>
      <c r="O1822" s="4">
        <f>SUM(I1822:N1822)</f>
        <v>0</v>
      </c>
      <c r="P1822" s="5">
        <f>SUMIFS('Desenvolvimento diário'!$H:$H,'Desenvolvimento diário'!$Q:$Q,$B1822,'Desenvolvimento diário'!$P:$P,$F1822,'Desenvolvimento diário'!$R:$R,"Sim")</f>
        <v>0</v>
      </c>
      <c r="Q1822" s="5">
        <f>SUMIFS('Desenvolvimento diário'!$H:$H,'Desenvolvimento diário'!$Q:$Q,$B1822,'Desenvolvimento diário'!$P:$P,$F1822,'Desenvolvimento diário'!$R:$R,"Não")</f>
        <v>0</v>
      </c>
      <c r="R1822" s="4">
        <f>SUM(P1822:Q1822)</f>
        <v>0</v>
      </c>
      <c r="S1822" s="4">
        <f>O1822-R1822</f>
        <v>0</v>
      </c>
      <c r="T1822" s="12">
        <f>IFERROR(R1822/O1822,0)</f>
        <v>0</v>
      </c>
      <c r="Y1822" s="2"/>
      <c r="Z1822" s="2"/>
      <c r="AA1822" s="2"/>
      <c r="AB1822" s="2"/>
      <c r="AC1822" s="2"/>
    </row>
    <row r="1823" spans="1:29" hidden="1">
      <c r="A1823" s="2">
        <f>A1822</f>
        <v>53</v>
      </c>
      <c r="B1823" s="2" t="str">
        <f>VLOOKUP($A1823,Controle!$B$4:$F$68,2,FALSE)</f>
        <v>São Sebastião 1</v>
      </c>
      <c r="C1823" s="2" t="str">
        <f>VLOOKUP($A1823,Controle!$B$4:$F$68,3,FALSE)</f>
        <v>MORI MINAS IV</v>
      </c>
      <c r="D1823" s="2" t="str">
        <f>VLOOKUP($A1823,Controle!$B$4:$F$68,4,FALSE)</f>
        <v>NewCo IV</v>
      </c>
      <c r="E1823" s="2" t="str">
        <f>VLOOKUP($A1823,Controle!$B$4:$F$68,5,FALSE)</f>
        <v>weg</v>
      </c>
      <c r="F1823" s="3" t="str">
        <f>F1788</f>
        <v>Conexão MT - Obras</v>
      </c>
      <c r="G1823" s="2" t="str">
        <f>VLOOKUP($A1823,Controle!$B$4:$G$68,6,FALSE)</f>
        <v>Solatio</v>
      </c>
      <c r="H1823" s="6" t="s">
        <v>141</v>
      </c>
      <c r="I1823" s="6">
        <v>755145.23</v>
      </c>
      <c r="J1823" s="6">
        <v>1407666.47</v>
      </c>
      <c r="K1823" s="6">
        <v>324000</v>
      </c>
      <c r="L1823" s="6">
        <v>0</v>
      </c>
      <c r="M1823" s="6">
        <v>0</v>
      </c>
      <c r="N1823" s="6">
        <v>0</v>
      </c>
      <c r="O1823" s="4">
        <f>SUM(I1823:N1823)</f>
        <v>2486811.7000000002</v>
      </c>
      <c r="P1823" s="5">
        <f>SUMIFS('Desenvolvimento diário'!$H:$H,'Desenvolvimento diário'!$Q:$Q,$B1823,'Desenvolvimento diário'!$P:$P,$F1823,'Desenvolvimento diário'!$R:$R,"Sim")</f>
        <v>939906.11</v>
      </c>
      <c r="Q1823" s="5">
        <f>SUMIFS('Desenvolvimento diário'!$H:$H,'Desenvolvimento diário'!$Q:$Q,$B1823,'Desenvolvimento diário'!$P:$P,$F1823,'Desenvolvimento diário'!$R:$R,"Não")</f>
        <v>1546905.5899999999</v>
      </c>
      <c r="R1823" s="4">
        <f>SUM(P1823:Q1823)</f>
        <v>2486811.6999999997</v>
      </c>
      <c r="S1823" s="27">
        <f>O1823-R1823</f>
        <v>0</v>
      </c>
      <c r="T1823" s="12">
        <f>IFERROR(R1823/O1823,0)</f>
        <v>0.99999999999999978</v>
      </c>
      <c r="Y1823" s="2"/>
      <c r="Z1823" s="2"/>
      <c r="AA1823" s="2"/>
      <c r="AB1823" s="2"/>
      <c r="AC1823" s="2"/>
    </row>
    <row r="1824" spans="1:29" ht="10.5" hidden="1">
      <c r="A1824" s="2">
        <f>A1823</f>
        <v>53</v>
      </c>
      <c r="B1824" s="2" t="str">
        <f>VLOOKUP($A1824,Controle!$B$4:$F$68,2,FALSE)</f>
        <v>São Sebastião 1</v>
      </c>
      <c r="C1824" s="2" t="str">
        <f>VLOOKUP($A1824,Controle!$B$4:$F$68,3,FALSE)</f>
        <v>MORI MINAS IV</v>
      </c>
      <c r="D1824" s="2" t="str">
        <f>VLOOKUP($A1824,Controle!$B$4:$F$68,4,FALSE)</f>
        <v>NewCo IV</v>
      </c>
      <c r="E1824" s="2" t="str">
        <f>VLOOKUP($A1824,Controle!$B$4:$F$68,5,FALSE)</f>
        <v>weg</v>
      </c>
      <c r="F1824" s="3" t="str">
        <f>F1789</f>
        <v>Construção - Serviços de Construção</v>
      </c>
      <c r="G1824" s="2" t="str">
        <f>VLOOKUP($A1824,Controle!$B$4:$G$68,6,FALSE)</f>
        <v>Solatio</v>
      </c>
      <c r="H1824" s="6">
        <v>0</v>
      </c>
      <c r="I1824" s="6">
        <v>0</v>
      </c>
      <c r="J1824" s="6">
        <v>0</v>
      </c>
      <c r="K1824" s="6">
        <v>0</v>
      </c>
      <c r="L1824" s="6">
        <v>0</v>
      </c>
      <c r="M1824" s="6">
        <v>0</v>
      </c>
      <c r="N1824" s="6">
        <v>0</v>
      </c>
      <c r="O1824" s="4">
        <f>SUM(I1824:N1824)</f>
        <v>0</v>
      </c>
      <c r="P1824" s="5">
        <f>SUMIFS('Desenvolvimento diário'!$H:$H,'Desenvolvimento diário'!$Q:$Q,$B1824,'Desenvolvimento diário'!$P:$P,$F1824,'Desenvolvimento diário'!$R:$R,"Sim")</f>
        <v>0</v>
      </c>
      <c r="Q1824" s="5">
        <f>SUMIFS('Desenvolvimento diário'!$H:$H,'Desenvolvimento diário'!$Q:$Q,$B1824,'Desenvolvimento diário'!$P:$P,$F1824,'Desenvolvimento diário'!$R:$R,"Não")</f>
        <v>0</v>
      </c>
      <c r="R1824" s="4">
        <f>SUM(P1824:Q1824)</f>
        <v>0</v>
      </c>
      <c r="S1824" s="4">
        <f>O1824-R1824</f>
        <v>0</v>
      </c>
      <c r="T1824" s="12">
        <f>IFERROR(R1824/O1824,0)</f>
        <v>0</v>
      </c>
      <c r="Y1824" s="2"/>
      <c r="Z1824" s="2"/>
      <c r="AA1824" s="2"/>
      <c r="AB1824" s="2"/>
      <c r="AC1824" s="2"/>
    </row>
    <row r="1825" spans="1:29" ht="10.5" hidden="1">
      <c r="A1825" s="2">
        <f>A1824</f>
        <v>53</v>
      </c>
      <c r="B1825" s="2" t="str">
        <f>VLOOKUP($A1825,Controle!$B$4:$F$68,2,FALSE)</f>
        <v>São Sebastião 1</v>
      </c>
      <c r="C1825" s="2" t="str">
        <f>VLOOKUP($A1825,Controle!$B$4:$F$68,3,FALSE)</f>
        <v>MORI MINAS IV</v>
      </c>
      <c r="D1825" s="2" t="str">
        <f>VLOOKUP($A1825,Controle!$B$4:$F$68,4,FALSE)</f>
        <v>NewCo IV</v>
      </c>
      <c r="E1825" s="2" t="str">
        <f>VLOOKUP($A1825,Controle!$B$4:$F$68,5,FALSE)</f>
        <v>weg</v>
      </c>
      <c r="F1825" s="3" t="str">
        <f>F1790</f>
        <v>Construção - Serviços de Construção - Substituição</v>
      </c>
      <c r="G1825" s="2" t="str">
        <f>VLOOKUP($A1825,Controle!$B$4:$G$68,6,FALSE)</f>
        <v>Solatio</v>
      </c>
      <c r="H1825" s="6">
        <v>0</v>
      </c>
      <c r="I1825" s="6">
        <v>0</v>
      </c>
      <c r="J1825" s="6">
        <v>0</v>
      </c>
      <c r="K1825" s="6">
        <v>0</v>
      </c>
      <c r="L1825" s="6">
        <v>0</v>
      </c>
      <c r="M1825" s="6">
        <v>0</v>
      </c>
      <c r="N1825" s="6">
        <v>0</v>
      </c>
      <c r="O1825" s="4">
        <f>SUM(I1825:N1825)</f>
        <v>0</v>
      </c>
      <c r="P1825" s="5">
        <f>SUMIFS('Desenvolvimento diário'!$H:$H,'Desenvolvimento diário'!$Q:$Q,$B1825,'Desenvolvimento diário'!$P:$P,$F1825,'Desenvolvimento diário'!$R:$R,"Sim")</f>
        <v>0</v>
      </c>
      <c r="Q1825" s="5">
        <f>SUMIFS('Desenvolvimento diário'!$H:$H,'Desenvolvimento diário'!$Q:$Q,$B1825,'Desenvolvimento diário'!$P:$P,$F1825,'Desenvolvimento diário'!$R:$R,"Não")</f>
        <v>0</v>
      </c>
      <c r="R1825" s="4">
        <f>SUM(P1825:Q1825)</f>
        <v>0</v>
      </c>
      <c r="S1825" s="4">
        <f>O1825-R1825</f>
        <v>0</v>
      </c>
      <c r="T1825" s="12">
        <f>IFERROR(R1825/O1825,0)</f>
        <v>0</v>
      </c>
      <c r="Y1825" s="2"/>
      <c r="Z1825" s="2"/>
      <c r="AA1825" s="2"/>
      <c r="AB1825" s="2"/>
      <c r="AC1825" s="2"/>
    </row>
    <row r="1826" spans="1:29" ht="10.5" hidden="1">
      <c r="A1826" s="2">
        <f>A1825</f>
        <v>53</v>
      </c>
      <c r="B1826" s="2" t="str">
        <f>VLOOKUP($A1826,Controle!$B$4:$F$68,2,FALSE)</f>
        <v>São Sebastião 1</v>
      </c>
      <c r="C1826" s="2" t="str">
        <f>VLOOKUP($A1826,Controle!$B$4:$F$68,3,FALSE)</f>
        <v>MORI MINAS IV</v>
      </c>
      <c r="D1826" s="2" t="str">
        <f>VLOOKUP($A1826,Controle!$B$4:$F$68,4,FALSE)</f>
        <v>NewCo IV</v>
      </c>
      <c r="E1826" s="2" t="str">
        <f>VLOOKUP($A1826,Controle!$B$4:$F$68,5,FALSE)</f>
        <v>weg</v>
      </c>
      <c r="F1826" s="3" t="str">
        <f>F1791</f>
        <v>Construção - RDA Interno</v>
      </c>
      <c r="G1826" s="2" t="str">
        <f>VLOOKUP($A1826,Controle!$B$4:$G$68,6,FALSE)</f>
        <v>Solatio</v>
      </c>
      <c r="H1826" s="6">
        <v>0</v>
      </c>
      <c r="I1826" s="6">
        <v>0</v>
      </c>
      <c r="J1826" s="6">
        <v>0</v>
      </c>
      <c r="K1826" s="6">
        <v>0</v>
      </c>
      <c r="L1826" s="6">
        <v>0</v>
      </c>
      <c r="M1826" s="6">
        <v>0</v>
      </c>
      <c r="N1826" s="6">
        <v>0</v>
      </c>
      <c r="O1826" s="4">
        <f>SUM(I1826:N1826)</f>
        <v>0</v>
      </c>
      <c r="P1826" s="5">
        <f>SUMIFS('Desenvolvimento diário'!$H:$H,'Desenvolvimento diário'!$Q:$Q,$B1826,'Desenvolvimento diário'!$P:$P,$F1826,'Desenvolvimento diário'!$R:$R,"Sim")</f>
        <v>0</v>
      </c>
      <c r="Q1826" s="5">
        <f>SUMIFS('Desenvolvimento diário'!$H:$H,'Desenvolvimento diário'!$Q:$Q,$B1826,'Desenvolvimento diário'!$P:$P,$F1826,'Desenvolvimento diário'!$R:$R,"Não")</f>
        <v>0</v>
      </c>
      <c r="R1826" s="4">
        <f>SUM(P1826:Q1826)</f>
        <v>0</v>
      </c>
      <c r="S1826" s="4">
        <f>O1826-R1826</f>
        <v>0</v>
      </c>
      <c r="T1826" s="12">
        <f>IFERROR(R1826/O1826,0)</f>
        <v>0</v>
      </c>
      <c r="Y1826" s="2"/>
      <c r="Z1826" s="2"/>
      <c r="AA1826" s="2"/>
      <c r="AB1826" s="2"/>
      <c r="AC1826" s="2"/>
    </row>
    <row r="1827" spans="1:29" ht="10.5" hidden="1">
      <c r="A1827" s="2">
        <f>A1826</f>
        <v>53</v>
      </c>
      <c r="B1827" s="2" t="str">
        <f>VLOOKUP($A1827,Controle!$B$4:$F$68,2,FALSE)</f>
        <v>São Sebastião 1</v>
      </c>
      <c r="C1827" s="2" t="str">
        <f>VLOOKUP($A1827,Controle!$B$4:$F$68,3,FALSE)</f>
        <v>MORI MINAS IV</v>
      </c>
      <c r="D1827" s="2" t="str">
        <f>VLOOKUP($A1827,Controle!$B$4:$F$68,4,FALSE)</f>
        <v>NewCo IV</v>
      </c>
      <c r="E1827" s="2" t="str">
        <f>VLOOKUP($A1827,Controle!$B$4:$F$68,5,FALSE)</f>
        <v>weg</v>
      </c>
      <c r="F1827" s="3" t="str">
        <f>F1792</f>
        <v>Full EPC - Contrato</v>
      </c>
      <c r="G1827" s="2" t="str">
        <f>VLOOKUP($A1827,Controle!$B$4:$G$68,6,FALSE)</f>
        <v>Solatio</v>
      </c>
      <c r="H1827" s="6" t="s">
        <v>21</v>
      </c>
      <c r="I1827" s="6">
        <f>14646682.47+(0.09)</f>
        <v>14646682.560000001</v>
      </c>
      <c r="J1827" s="6">
        <v>0</v>
      </c>
      <c r="K1827" s="6">
        <v>0</v>
      </c>
      <c r="L1827" s="6">
        <v>0</v>
      </c>
      <c r="M1827" s="6">
        <v>0</v>
      </c>
      <c r="N1827" s="6">
        <v>0</v>
      </c>
      <c r="O1827" s="4">
        <f>SUM(I1827:N1827)</f>
        <v>14646682.560000001</v>
      </c>
      <c r="P1827" s="5">
        <f>SUMIFS('Desenvolvimento diário'!$H:$H,'Desenvolvimento diário'!$Q:$Q,$B1827,'Desenvolvimento diário'!$P:$P,$F1827,'Desenvolvimento diário'!$R:$R,"Sim")</f>
        <v>0</v>
      </c>
      <c r="Q1827" s="5">
        <f>SUMIFS('Desenvolvimento diário'!$H:$H,'Desenvolvimento diário'!$Q:$Q,$B1827,'Desenvolvimento diário'!$P:$P,$F1827,'Desenvolvimento diário'!$R:$R,"Não")</f>
        <v>14646682.559999997</v>
      </c>
      <c r="R1827" s="4">
        <f>SUM(P1827:Q1827)</f>
        <v>14646682.559999997</v>
      </c>
      <c r="S1827" s="43">
        <f>O1827-R1827</f>
        <v>0</v>
      </c>
      <c r="T1827" s="12">
        <f>IFERROR(R1827/O1827,0)</f>
        <v>0.99999999999999978</v>
      </c>
      <c r="Y1827" s="2"/>
      <c r="Z1827" s="2"/>
      <c r="AA1827" s="2"/>
      <c r="AB1827" s="2"/>
      <c r="AC1827" s="2"/>
    </row>
    <row r="1828" spans="1:29" ht="10.5" hidden="1">
      <c r="A1828" s="2">
        <f>A1827</f>
        <v>53</v>
      </c>
      <c r="B1828" s="2" t="str">
        <f>VLOOKUP($A1828,Controle!$B$4:$F$68,2,FALSE)</f>
        <v>São Sebastião 1</v>
      </c>
      <c r="C1828" s="2" t="str">
        <f>VLOOKUP($A1828,Controle!$B$4:$F$68,3,FALSE)</f>
        <v>MORI MINAS IV</v>
      </c>
      <c r="D1828" s="2" t="str">
        <f>VLOOKUP($A1828,Controle!$B$4:$F$68,4,FALSE)</f>
        <v>NewCo IV</v>
      </c>
      <c r="E1828" s="2" t="str">
        <f>VLOOKUP($A1828,Controle!$B$4:$F$68,5,FALSE)</f>
        <v>weg</v>
      </c>
      <c r="F1828" s="3" t="str">
        <f>F1793</f>
        <v>Equipamentos Curva A - Outros (Transformadores)</v>
      </c>
      <c r="G1828" s="2" t="str">
        <f>VLOOKUP($A1828,Controle!$B$4:$G$68,6,FALSE)</f>
        <v>Solatio</v>
      </c>
      <c r="H1828" s="6">
        <v>0</v>
      </c>
      <c r="I1828" s="6">
        <v>0</v>
      </c>
      <c r="J1828" s="6">
        <v>0</v>
      </c>
      <c r="K1828" s="6">
        <v>0</v>
      </c>
      <c r="L1828" s="6">
        <v>0</v>
      </c>
      <c r="M1828" s="6">
        <v>0</v>
      </c>
      <c r="N1828" s="6">
        <v>0</v>
      </c>
      <c r="O1828" s="4">
        <f>SUM(I1828:N1828)</f>
        <v>0</v>
      </c>
      <c r="P1828" s="5">
        <f>SUMIFS('Desenvolvimento diário'!$H:$H,'Desenvolvimento diário'!$Q:$Q,$B1828,'Desenvolvimento diário'!$P:$P,$F1828,'Desenvolvimento diário'!$R:$R,"Sim")</f>
        <v>0</v>
      </c>
      <c r="Q1828" s="5">
        <f>SUMIFS('Desenvolvimento diário'!$H:$H,'Desenvolvimento diário'!$Q:$Q,$B1828,'Desenvolvimento diário'!$P:$P,$F1828,'Desenvolvimento diário'!$R:$R,"Não")</f>
        <v>0</v>
      </c>
      <c r="R1828" s="4">
        <f>SUM(P1828:Q1828)</f>
        <v>0</v>
      </c>
      <c r="S1828" s="4">
        <f>O1828-R1828</f>
        <v>0</v>
      </c>
      <c r="T1828" s="12">
        <f>IFERROR(R1828/O1828,0)</f>
        <v>0</v>
      </c>
      <c r="Y1828" s="2"/>
      <c r="Z1828" s="2"/>
      <c r="AA1828" s="2"/>
      <c r="AB1828" s="2"/>
      <c r="AC1828" s="2"/>
    </row>
    <row r="1829" spans="1:29" ht="10.5" hidden="1">
      <c r="A1829" s="2">
        <f>A1828</f>
        <v>53</v>
      </c>
      <c r="B1829" s="2" t="str">
        <f>VLOOKUP($A1829,Controle!$B$4:$F$68,2,FALSE)</f>
        <v>São Sebastião 1</v>
      </c>
      <c r="C1829" s="2" t="str">
        <f>VLOOKUP($A1829,Controle!$B$4:$F$68,3,FALSE)</f>
        <v>MORI MINAS IV</v>
      </c>
      <c r="D1829" s="2" t="str">
        <f>VLOOKUP($A1829,Controle!$B$4:$F$68,4,FALSE)</f>
        <v>NewCo IV</v>
      </c>
      <c r="E1829" s="2" t="str">
        <f>VLOOKUP($A1829,Controle!$B$4:$F$68,5,FALSE)</f>
        <v>weg</v>
      </c>
      <c r="F1829" s="3" t="str">
        <f>F1794</f>
        <v>Equipamentos Curva A - Outros (Cabine + Skid)</v>
      </c>
      <c r="G1829" s="2" t="str">
        <f>VLOOKUP($A1829,Controle!$B$4:$G$68,6,FALSE)</f>
        <v>Solatio</v>
      </c>
      <c r="H1829" s="6">
        <v>0</v>
      </c>
      <c r="I1829" s="6">
        <v>0</v>
      </c>
      <c r="J1829" s="6">
        <v>0</v>
      </c>
      <c r="K1829" s="6">
        <v>0</v>
      </c>
      <c r="L1829" s="6">
        <v>0</v>
      </c>
      <c r="M1829" s="6">
        <v>0</v>
      </c>
      <c r="N1829" s="6">
        <v>0</v>
      </c>
      <c r="O1829" s="4">
        <f>SUM(I1829:N1829)</f>
        <v>0</v>
      </c>
      <c r="P1829" s="5">
        <f>SUMIFS('Desenvolvimento diário'!$H:$H,'Desenvolvimento diário'!$Q:$Q,$B1829,'Desenvolvimento diário'!$P:$P,$F1829,'Desenvolvimento diário'!$R:$R,"Sim")</f>
        <v>0</v>
      </c>
      <c r="Q1829" s="5">
        <f>SUMIFS('Desenvolvimento diário'!$H:$H,'Desenvolvimento diário'!$Q:$Q,$B1829,'Desenvolvimento diário'!$P:$P,$F1829,'Desenvolvimento diário'!$R:$R,"Não")</f>
        <v>0</v>
      </c>
      <c r="R1829" s="4">
        <f>SUM(P1829:Q1829)</f>
        <v>0</v>
      </c>
      <c r="S1829" s="4">
        <f>O1829-R1829</f>
        <v>0</v>
      </c>
      <c r="T1829" s="12">
        <f>IFERROR(R1829/O1829,0)</f>
        <v>0</v>
      </c>
      <c r="Y1829" s="2"/>
      <c r="Z1829" s="2"/>
      <c r="AA1829" s="2"/>
      <c r="AB1829" s="2"/>
      <c r="AC1829" s="2"/>
    </row>
    <row r="1830" spans="1:29" ht="10.5" hidden="1">
      <c r="A1830" s="2">
        <f>A1829</f>
        <v>53</v>
      </c>
      <c r="B1830" s="2" t="str">
        <f>VLOOKUP($A1830,Controle!$B$4:$F$68,2,FALSE)</f>
        <v>São Sebastião 1</v>
      </c>
      <c r="C1830" s="2" t="str">
        <f>VLOOKUP($A1830,Controle!$B$4:$F$68,3,FALSE)</f>
        <v>MORI MINAS IV</v>
      </c>
      <c r="D1830" s="2" t="str">
        <f>VLOOKUP($A1830,Controle!$B$4:$F$68,4,FALSE)</f>
        <v>NewCo IV</v>
      </c>
      <c r="E1830" s="2" t="str">
        <f>VLOOKUP($A1830,Controle!$B$4:$F$68,5,FALSE)</f>
        <v>weg</v>
      </c>
      <c r="F1830" s="3" t="str">
        <f>F1795</f>
        <v>Equipamentos Curva A - Outros (Cabine + Skid + Transformador)</v>
      </c>
      <c r="G1830" s="2" t="str">
        <f>VLOOKUP($A1830,Controle!$B$4:$G$68,6,FALSE)</f>
        <v>Solatio</v>
      </c>
      <c r="H1830" s="6" t="s">
        <v>144</v>
      </c>
      <c r="I1830" s="6">
        <v>327909.08795000002</v>
      </c>
      <c r="J1830" s="6">
        <v>0</v>
      </c>
      <c r="K1830" s="6">
        <v>0</v>
      </c>
      <c r="L1830" s="6">
        <v>0</v>
      </c>
      <c r="M1830" s="6">
        <v>0</v>
      </c>
      <c r="N1830" s="6">
        <v>0</v>
      </c>
      <c r="O1830" s="4">
        <f>SUM(I1830:N1830)</f>
        <v>327909.08795000002</v>
      </c>
      <c r="P1830" s="5">
        <f>SUMIFS('Desenvolvimento diário'!$H:$H,'Desenvolvimento diário'!$Q:$Q,$B1830,'Desenvolvimento diário'!$P:$P,$F1830,'Desenvolvimento diário'!$R:$R,"Sim")</f>
        <v>0</v>
      </c>
      <c r="Q1830" s="5">
        <f>SUMIFS('Desenvolvimento diário'!$H:$H,'Desenvolvimento diário'!$Q:$Q,$B1830,'Desenvolvimento diário'!$P:$P,$F1830,'Desenvolvimento diário'!$R:$R,"Não")</f>
        <v>327909.08795000002</v>
      </c>
      <c r="R1830" s="4">
        <f>SUM(P1830:Q1830)</f>
        <v>327909.08795000002</v>
      </c>
      <c r="S1830" s="4">
        <f>O1830-R1830</f>
        <v>0</v>
      </c>
      <c r="T1830" s="12">
        <f>IFERROR(R1830/O1830,0)</f>
        <v>1</v>
      </c>
      <c r="Y1830" s="2"/>
      <c r="Z1830" s="2"/>
      <c r="AA1830" s="2"/>
      <c r="AB1830" s="2"/>
      <c r="AC1830" s="2"/>
    </row>
    <row r="1831" spans="1:29" ht="10.5" hidden="1">
      <c r="A1831" s="2">
        <f>A1830</f>
        <v>53</v>
      </c>
      <c r="B1831" s="2" t="str">
        <f>VLOOKUP($A1831,Controle!$B$4:$F$68,2,FALSE)</f>
        <v>São Sebastião 1</v>
      </c>
      <c r="C1831" s="2" t="str">
        <f>VLOOKUP($A1831,Controle!$B$4:$F$68,3,FALSE)</f>
        <v>MORI MINAS IV</v>
      </c>
      <c r="D1831" s="2" t="str">
        <f>VLOOKUP($A1831,Controle!$B$4:$F$68,4,FALSE)</f>
        <v>NewCo IV</v>
      </c>
      <c r="E1831" s="2" t="str">
        <f>VLOOKUP($A1831,Controle!$B$4:$F$68,5,FALSE)</f>
        <v>weg</v>
      </c>
      <c r="F1831" s="3" t="str">
        <f>F1796</f>
        <v>Desenvolvimento de projeto - Projetos - (Eng° Proprietario)</v>
      </c>
      <c r="G1831" s="2" t="str">
        <f>VLOOKUP($A1831,Controle!$B$4:$G$68,6,FALSE)</f>
        <v>Solatio</v>
      </c>
      <c r="H1831" s="6" t="s">
        <v>176</v>
      </c>
      <c r="I1831" s="6">
        <f>R1831</f>
        <v>111044.48</v>
      </c>
      <c r="J1831" s="6">
        <v>0</v>
      </c>
      <c r="K1831" s="6">
        <v>0</v>
      </c>
      <c r="L1831" s="6">
        <v>0</v>
      </c>
      <c r="M1831" s="6">
        <v>0</v>
      </c>
      <c r="N1831" s="6">
        <v>0</v>
      </c>
      <c r="O1831" s="4">
        <f>SUM(I1831:N1831)</f>
        <v>111044.48</v>
      </c>
      <c r="P1831" s="5">
        <f>SUMIFS('Desenvolvimento diário'!$H:$H,'Desenvolvimento diário'!$Q:$Q,$B1831,'Desenvolvimento diário'!$P:$P,$F1831,'Desenvolvimento diário'!$R:$R,"Sim")</f>
        <v>0</v>
      </c>
      <c r="Q1831" s="5">
        <f>SUMIFS('Desenvolvimento diário'!$H:$H,'Desenvolvimento diário'!$Q:$Q,$B1831,'Desenvolvimento diário'!$P:$P,$F1831,'Desenvolvimento diário'!$R:$R,"Não")</f>
        <v>111044.48</v>
      </c>
      <c r="R1831" s="4">
        <f>SUM(P1831:Q1831)</f>
        <v>111044.48</v>
      </c>
      <c r="S1831" s="4">
        <f>O1831-R1831</f>
        <v>0</v>
      </c>
      <c r="T1831" s="12">
        <f>IFERROR(R1831/O1831,0)</f>
        <v>1</v>
      </c>
      <c r="Y1831" s="2"/>
      <c r="Z1831" s="2"/>
      <c r="AA1831" s="2"/>
      <c r="AB1831" s="2"/>
      <c r="AC1831" s="2"/>
    </row>
    <row r="1832" spans="1:29" ht="10.5" hidden="1">
      <c r="A1832" s="2">
        <f>A1831</f>
        <v>53</v>
      </c>
      <c r="B1832" s="2" t="str">
        <f>VLOOKUP($A1832,Controle!$B$4:$F$68,2,FALSE)</f>
        <v>São Sebastião 1</v>
      </c>
      <c r="C1832" s="2" t="str">
        <f>VLOOKUP($A1832,Controle!$B$4:$F$68,3,FALSE)</f>
        <v>MORI MINAS IV</v>
      </c>
      <c r="D1832" s="2" t="str">
        <f>VLOOKUP($A1832,Controle!$B$4:$F$68,4,FALSE)</f>
        <v>NewCo IV</v>
      </c>
      <c r="E1832" s="2" t="str">
        <f>VLOOKUP($A1832,Controle!$B$4:$F$68,5,FALSE)</f>
        <v>weg</v>
      </c>
      <c r="F1832" s="3" t="str">
        <f>F1797</f>
        <v>Desenvolvimento de projeto - Projetos - Executivos</v>
      </c>
      <c r="G1832" s="2" t="str">
        <f>VLOOKUP($A1832,Controle!$B$4:$G$68,6,FALSE)</f>
        <v>Solatio</v>
      </c>
      <c r="H1832" s="6">
        <v>0</v>
      </c>
      <c r="I1832" s="6">
        <v>0</v>
      </c>
      <c r="J1832" s="6">
        <v>0</v>
      </c>
      <c r="K1832" s="6">
        <v>0</v>
      </c>
      <c r="L1832" s="6">
        <v>0</v>
      </c>
      <c r="M1832" s="6">
        <v>0</v>
      </c>
      <c r="N1832" s="6">
        <v>0</v>
      </c>
      <c r="O1832" s="4">
        <f>SUM(I1832:N1832)</f>
        <v>0</v>
      </c>
      <c r="P1832" s="5">
        <f>SUMIFS('Desenvolvimento diário'!$H:$H,'Desenvolvimento diário'!$Q:$Q,$B1832,'Desenvolvimento diário'!$P:$P,$F1832,'Desenvolvimento diário'!$R:$R,"Sim")</f>
        <v>0</v>
      </c>
      <c r="Q1832" s="5">
        <f>SUMIFS('Desenvolvimento diário'!$H:$H,'Desenvolvimento diário'!$Q:$Q,$B1832,'Desenvolvimento diário'!$P:$P,$F1832,'Desenvolvimento diário'!$R:$R,"Não")</f>
        <v>0</v>
      </c>
      <c r="R1832" s="4">
        <f>SUM(P1832:Q1832)</f>
        <v>0</v>
      </c>
      <c r="S1832" s="4">
        <f>O1832-R1832</f>
        <v>0</v>
      </c>
      <c r="T1832" s="12">
        <f>IFERROR(R1832/O1832,0)</f>
        <v>0</v>
      </c>
      <c r="Y1832" s="2"/>
      <c r="Z1832" s="2"/>
      <c r="AA1832" s="2"/>
      <c r="AB1832" s="2"/>
      <c r="AC1832" s="2"/>
    </row>
    <row r="1833" spans="1:29" ht="10.5" hidden="1">
      <c r="A1833" s="2">
        <f>A1832</f>
        <v>53</v>
      </c>
      <c r="B1833" s="2" t="str">
        <f>VLOOKUP($A1833,Controle!$B$4:$F$68,2,FALSE)</f>
        <v>São Sebastião 1</v>
      </c>
      <c r="C1833" s="2" t="str">
        <f>VLOOKUP($A1833,Controle!$B$4:$F$68,3,FALSE)</f>
        <v>MORI MINAS IV</v>
      </c>
      <c r="D1833" s="2" t="str">
        <f>VLOOKUP($A1833,Controle!$B$4:$F$68,4,FALSE)</f>
        <v>NewCo IV</v>
      </c>
      <c r="E1833" s="2" t="str">
        <f>VLOOKUP($A1833,Controle!$B$4:$F$68,5,FALSE)</f>
        <v>weg</v>
      </c>
      <c r="F1833" s="3" t="str">
        <f>F1798</f>
        <v>Desenvolvimento de projeto - Projetos Básica</v>
      </c>
      <c r="G1833" s="2" t="str">
        <f>VLOOKUP($A1833,Controle!$B$4:$G$68,6,FALSE)</f>
        <v>Solatio</v>
      </c>
      <c r="H1833" s="6">
        <v>0</v>
      </c>
      <c r="I1833" s="6">
        <v>0</v>
      </c>
      <c r="J1833" s="6">
        <v>0</v>
      </c>
      <c r="K1833" s="6">
        <v>0</v>
      </c>
      <c r="L1833" s="6">
        <v>0</v>
      </c>
      <c r="M1833" s="6">
        <v>0</v>
      </c>
      <c r="N1833" s="6">
        <v>0</v>
      </c>
      <c r="O1833" s="4">
        <f>SUM(I1833:N1833)</f>
        <v>0</v>
      </c>
      <c r="P1833" s="5">
        <f>SUMIFS('Desenvolvimento diário'!$H:$H,'Desenvolvimento diário'!$Q:$Q,$B1833,'Desenvolvimento diário'!$P:$P,$F1833,'Desenvolvimento diário'!$R:$R,"Sim")</f>
        <v>0</v>
      </c>
      <c r="Q1833" s="5">
        <f>SUMIFS('Desenvolvimento diário'!$H:$H,'Desenvolvimento diário'!$Q:$Q,$B1833,'Desenvolvimento diário'!$P:$P,$F1833,'Desenvolvimento diário'!$R:$R,"Não")</f>
        <v>0</v>
      </c>
      <c r="R1833" s="4">
        <f>SUM(P1833:Q1833)</f>
        <v>0</v>
      </c>
      <c r="S1833" s="4">
        <f>O1833-R1833</f>
        <v>0</v>
      </c>
      <c r="T1833" s="12">
        <f>IFERROR(R1833/O1833,0)</f>
        <v>0</v>
      </c>
      <c r="Y1833" s="2"/>
      <c r="Z1833" s="2"/>
      <c r="AA1833" s="2"/>
      <c r="AB1833" s="2"/>
      <c r="AC1833" s="2"/>
    </row>
    <row r="1834" spans="1:29" ht="10.5" hidden="1">
      <c r="A1834" s="2">
        <f>A1833</f>
        <v>53</v>
      </c>
      <c r="B1834" s="2" t="str">
        <f>VLOOKUP($A1834,Controle!$B$4:$F$68,2,FALSE)</f>
        <v>São Sebastião 1</v>
      </c>
      <c r="C1834" s="2" t="str">
        <f>VLOOKUP($A1834,Controle!$B$4:$F$68,3,FALSE)</f>
        <v>MORI MINAS IV</v>
      </c>
      <c r="D1834" s="2" t="str">
        <f>VLOOKUP($A1834,Controle!$B$4:$F$68,4,FALSE)</f>
        <v>NewCo IV</v>
      </c>
      <c r="E1834" s="2" t="str">
        <f>VLOOKUP($A1834,Controle!$B$4:$F$68,5,FALSE)</f>
        <v>weg</v>
      </c>
      <c r="F1834" s="3" t="str">
        <f>F1799</f>
        <v>Desenvolvimento de projeto - Projetos Detalhada</v>
      </c>
      <c r="G1834" s="2" t="str">
        <f>VLOOKUP($A1834,Controle!$B$4:$G$68,6,FALSE)</f>
        <v>Solatio</v>
      </c>
      <c r="H1834" s="6">
        <v>0</v>
      </c>
      <c r="I1834" s="6">
        <v>0</v>
      </c>
      <c r="J1834" s="6">
        <v>0</v>
      </c>
      <c r="K1834" s="6">
        <v>0</v>
      </c>
      <c r="L1834" s="6">
        <v>0</v>
      </c>
      <c r="M1834" s="6">
        <v>0</v>
      </c>
      <c r="N1834" s="6">
        <v>0</v>
      </c>
      <c r="O1834" s="4">
        <f>SUM(I1834:N1834)</f>
        <v>0</v>
      </c>
      <c r="P1834" s="5">
        <f>SUMIFS('Desenvolvimento diário'!$H:$H,'Desenvolvimento diário'!$Q:$Q,$B1834,'Desenvolvimento diário'!$P:$P,$F1834,'Desenvolvimento diário'!$R:$R,"Sim")</f>
        <v>0</v>
      </c>
      <c r="Q1834" s="5">
        <f>SUMIFS('Desenvolvimento diário'!$H:$H,'Desenvolvimento diário'!$Q:$Q,$B1834,'Desenvolvimento diário'!$P:$P,$F1834,'Desenvolvimento diário'!$R:$R,"Não")</f>
        <v>0</v>
      </c>
      <c r="R1834" s="4">
        <f>SUM(P1834:Q1834)</f>
        <v>0</v>
      </c>
      <c r="S1834" s="4">
        <f>O1834-R1834</f>
        <v>0</v>
      </c>
      <c r="T1834" s="12">
        <f>IFERROR(R1834/O1834,0)</f>
        <v>0</v>
      </c>
      <c r="Y1834" s="2"/>
      <c r="Z1834" s="2"/>
      <c r="AA1834" s="2"/>
      <c r="AB1834" s="2"/>
      <c r="AC1834" s="2"/>
    </row>
    <row r="1835" spans="1:29" ht="10.5" hidden="1">
      <c r="A1835" s="2">
        <f>A1834</f>
        <v>53</v>
      </c>
      <c r="B1835" s="2" t="str">
        <f>VLOOKUP($A1835,Controle!$B$4:$F$68,2,FALSE)</f>
        <v>São Sebastião 1</v>
      </c>
      <c r="C1835" s="2" t="str">
        <f>VLOOKUP($A1835,Controle!$B$4:$F$68,3,FALSE)</f>
        <v>MORI MINAS IV</v>
      </c>
      <c r="D1835" s="2" t="str">
        <f>VLOOKUP($A1835,Controle!$B$4:$F$68,4,FALSE)</f>
        <v>NewCo IV</v>
      </c>
      <c r="E1835" s="2" t="str">
        <f>VLOOKUP($A1835,Controle!$B$4:$F$68,5,FALSE)</f>
        <v>weg</v>
      </c>
      <c r="F1835" s="3" t="str">
        <f>F1800</f>
        <v>Desenvolvimento de projeto - Ambiental / Outros</v>
      </c>
      <c r="G1835" s="2" t="str">
        <f>VLOOKUP($A1835,Controle!$B$4:$G$68,6,FALSE)</f>
        <v>Solatio</v>
      </c>
      <c r="H1835" s="6" t="s">
        <v>148</v>
      </c>
      <c r="I1835" s="6">
        <f>R1835</f>
        <v>97729.170000000013</v>
      </c>
      <c r="J1835" s="6">
        <v>0</v>
      </c>
      <c r="K1835" s="6">
        <v>0</v>
      </c>
      <c r="L1835" s="6">
        <v>0</v>
      </c>
      <c r="M1835" s="6">
        <v>0</v>
      </c>
      <c r="N1835" s="6">
        <v>0</v>
      </c>
      <c r="O1835" s="4">
        <f>SUM(I1835:N1835)</f>
        <v>97729.170000000013</v>
      </c>
      <c r="P1835" s="5">
        <f>SUMIFS('Desenvolvimento diário'!$H:$H,'Desenvolvimento diário'!$Q:$Q,$B1835,'Desenvolvimento diário'!$P:$P,$F1835,'Desenvolvimento diário'!$R:$R,"Sim")</f>
        <v>0</v>
      </c>
      <c r="Q1835" s="5">
        <f>SUMIFS('Desenvolvimento diário'!$H:$H,'Desenvolvimento diário'!$Q:$Q,$B1835,'Desenvolvimento diário'!$P:$P,$F1835,'Desenvolvimento diário'!$R:$R,"Não")</f>
        <v>97729.170000000013</v>
      </c>
      <c r="R1835" s="4">
        <f>SUM(P1835:Q1835)</f>
        <v>97729.170000000013</v>
      </c>
      <c r="S1835" s="4">
        <f>O1835-R1835</f>
        <v>0</v>
      </c>
      <c r="T1835" s="12">
        <f>IFERROR(R1835/O1835,0)</f>
        <v>1</v>
      </c>
      <c r="Y1835" s="2"/>
      <c r="Z1835" s="2"/>
      <c r="AA1835" s="2"/>
      <c r="AB1835" s="2"/>
      <c r="AC1835" s="2"/>
    </row>
    <row r="1836" spans="1:29" hidden="1">
      <c r="A1836" s="2">
        <f>A1835</f>
        <v>53</v>
      </c>
      <c r="B1836" s="2" t="str">
        <f>VLOOKUP($A1836,Controle!$B$4:$F$68,2,FALSE)</f>
        <v>São Sebastião 1</v>
      </c>
      <c r="C1836" s="2" t="str">
        <f>VLOOKUP($A1836,Controle!$B$4:$F$68,3,FALSE)</f>
        <v>MORI MINAS IV</v>
      </c>
      <c r="D1836" s="2" t="str">
        <f>VLOOKUP($A1836,Controle!$B$4:$F$68,4,FALSE)</f>
        <v>NewCo IV</v>
      </c>
      <c r="E1836" s="2" t="str">
        <f>VLOOKUP($A1836,Controle!$B$4:$F$68,5,FALSE)</f>
        <v>weg</v>
      </c>
      <c r="F1836" s="3" t="str">
        <f>F1801</f>
        <v>Desenvolvimento de projeto - Coordenograma</v>
      </c>
      <c r="G1836" s="2" t="str">
        <f>VLOOKUP($A1836,Controle!$B$4:$G$68,6,FALSE)</f>
        <v>Solatio</v>
      </c>
      <c r="H1836" s="31" t="s">
        <v>149</v>
      </c>
      <c r="I1836" s="31">
        <v>6206.9</v>
      </c>
      <c r="J1836" s="31">
        <v>2281.25</v>
      </c>
      <c r="K1836" s="31">
        <v>0</v>
      </c>
      <c r="L1836" s="6">
        <v>0</v>
      </c>
      <c r="M1836" s="6">
        <v>0</v>
      </c>
      <c r="N1836" s="6">
        <v>0</v>
      </c>
      <c r="O1836" s="4">
        <f>SUM(I1836:N1836)</f>
        <v>8488.15</v>
      </c>
      <c r="P1836" s="5">
        <f>SUMIFS('Desenvolvimento diário'!$H:$H,'Desenvolvimento diário'!$Q:$Q,$B1836,'Desenvolvimento diário'!$P:$P,$F1836,'Desenvolvimento diário'!$R:$R,"Sim")</f>
        <v>0</v>
      </c>
      <c r="Q1836" s="5">
        <f>SUMIFS('Desenvolvimento diário'!$H:$H,'Desenvolvimento diário'!$Q:$Q,$B1836,'Desenvolvimento diário'!$P:$P,$F1836,'Desenvolvimento diário'!$R:$R,"Não")</f>
        <v>8488.15</v>
      </c>
      <c r="R1836" s="4">
        <f>SUM(P1836:Q1836)</f>
        <v>8488.15</v>
      </c>
      <c r="S1836" s="4">
        <f>O1836-R1836</f>
        <v>0</v>
      </c>
      <c r="T1836" s="12">
        <f>IFERROR(R1836/O1836,0)</f>
        <v>1</v>
      </c>
      <c r="Y1836" s="2"/>
      <c r="Z1836" s="2"/>
      <c r="AA1836" s="2"/>
      <c r="AB1836" s="2"/>
      <c r="AC1836" s="2"/>
    </row>
    <row r="1837" spans="1:29" ht="10.5" hidden="1">
      <c r="A1837" s="2">
        <f>A1836</f>
        <v>53</v>
      </c>
      <c r="B1837" s="2" t="str">
        <f>VLOOKUP($A1837,Controle!$B$4:$F$68,2,FALSE)</f>
        <v>São Sebastião 1</v>
      </c>
      <c r="C1837" s="2" t="str">
        <f>VLOOKUP($A1837,Controle!$B$4:$F$68,3,FALSE)</f>
        <v>MORI MINAS IV</v>
      </c>
      <c r="D1837" s="2" t="str">
        <f>VLOOKUP($A1837,Controle!$B$4:$F$68,4,FALSE)</f>
        <v>NewCo IV</v>
      </c>
      <c r="E1837" s="2" t="str">
        <f>VLOOKUP($A1837,Controle!$B$4:$F$68,5,FALSE)</f>
        <v>weg</v>
      </c>
      <c r="F1837" s="3" t="str">
        <f>F1802</f>
        <v>Sistemas de Monitoramento - Supervisório</v>
      </c>
      <c r="G1837" s="2" t="str">
        <f>VLOOKUP($A1837,Controle!$B$4:$G$68,6,FALSE)</f>
        <v>Solatio</v>
      </c>
      <c r="H1837" s="6" t="s">
        <v>150</v>
      </c>
      <c r="I1837" s="6">
        <v>136155</v>
      </c>
      <c r="J1837" s="6"/>
      <c r="K1837" s="6">
        <v>0</v>
      </c>
      <c r="L1837" s="6">
        <v>0</v>
      </c>
      <c r="M1837" s="6">
        <v>0</v>
      </c>
      <c r="N1837" s="6">
        <v>0</v>
      </c>
      <c r="O1837" s="4">
        <f>SUM(I1837:N1837)</f>
        <v>136155</v>
      </c>
      <c r="P1837" s="5">
        <f>SUMIFS('Desenvolvimento diário'!$H:$H,'Desenvolvimento diário'!$Q:$Q,$B1837,'Desenvolvimento diário'!$P:$P,$F1837,'Desenvolvimento diário'!$R:$R,"Sim")</f>
        <v>5821.02</v>
      </c>
      <c r="Q1837" s="5">
        <f>SUMIFS('Desenvolvimento diário'!$H:$H,'Desenvolvimento diário'!$Q:$Q,$B1837,'Desenvolvimento diário'!$P:$P,$F1837,'Desenvolvimento diário'!$R:$R,"Não")</f>
        <v>130333.98000000001</v>
      </c>
      <c r="R1837" s="4">
        <f>SUM(P1837:Q1837)</f>
        <v>136155</v>
      </c>
      <c r="S1837" s="4">
        <f>O1837-R1837</f>
        <v>0</v>
      </c>
      <c r="T1837" s="12">
        <f>IFERROR(R1837/O1837,0)</f>
        <v>1</v>
      </c>
      <c r="Y1837" s="2"/>
      <c r="Z1837" s="2"/>
      <c r="AA1837" s="2"/>
      <c r="AB1837" s="2"/>
      <c r="AC1837" s="2"/>
    </row>
    <row r="1838" spans="1:29" ht="10.5" hidden="1">
      <c r="A1838" s="2">
        <f>A1837</f>
        <v>53</v>
      </c>
      <c r="B1838" s="2" t="str">
        <f>VLOOKUP($A1838,Controle!$B$4:$F$68,2,FALSE)</f>
        <v>São Sebastião 1</v>
      </c>
      <c r="C1838" s="2" t="str">
        <f>VLOOKUP($A1838,Controle!$B$4:$F$68,3,FALSE)</f>
        <v>MORI MINAS IV</v>
      </c>
      <c r="D1838" s="2" t="str">
        <f>VLOOKUP($A1838,Controle!$B$4:$F$68,4,FALSE)</f>
        <v>NewCo IV</v>
      </c>
      <c r="E1838" s="2" t="str">
        <f>VLOOKUP($A1838,Controle!$B$4:$F$68,5,FALSE)</f>
        <v>weg</v>
      </c>
      <c r="F1838" s="3" t="str">
        <f>F1803</f>
        <v>Sistemas de Monitoramento - Estações Solarimétricas</v>
      </c>
      <c r="G1838" s="2" t="str">
        <f>VLOOKUP($A1838,Controle!$B$4:$G$68,6,FALSE)</f>
        <v>Solatio</v>
      </c>
      <c r="H1838" s="6">
        <v>0</v>
      </c>
      <c r="I1838" s="6">
        <v>0</v>
      </c>
      <c r="J1838" s="6">
        <v>0</v>
      </c>
      <c r="K1838" s="6">
        <v>0</v>
      </c>
      <c r="L1838" s="6">
        <v>0</v>
      </c>
      <c r="M1838" s="6">
        <v>0</v>
      </c>
      <c r="N1838" s="6">
        <v>0</v>
      </c>
      <c r="O1838" s="4">
        <f>SUM(I1838:N1838)</f>
        <v>0</v>
      </c>
      <c r="P1838" s="5">
        <f>SUMIFS('Desenvolvimento diário'!$H:$H,'Desenvolvimento diário'!$Q:$Q,$B1838,'Desenvolvimento diário'!$P:$P,$F1838,'Desenvolvimento diário'!$R:$R,"Sim")</f>
        <v>0</v>
      </c>
      <c r="Q1838" s="5">
        <f>SUMIFS('Desenvolvimento diário'!$H:$H,'Desenvolvimento diário'!$Q:$Q,$B1838,'Desenvolvimento diário'!$P:$P,$F1838,'Desenvolvimento diário'!$R:$R,"Não")</f>
        <v>0</v>
      </c>
      <c r="R1838" s="4">
        <f>SUM(P1838:Q1838)</f>
        <v>0</v>
      </c>
      <c r="S1838" s="4">
        <f>O1838-R1838</f>
        <v>0</v>
      </c>
      <c r="T1838" s="12">
        <f>IFERROR(R1838/O1838,0)</f>
        <v>0</v>
      </c>
      <c r="Y1838" s="2"/>
      <c r="Z1838" s="2"/>
      <c r="AA1838" s="2"/>
      <c r="AB1838" s="2"/>
      <c r="AC1838" s="2"/>
    </row>
    <row r="1839" spans="1:29" hidden="1">
      <c r="A1839" s="2">
        <f>A1838</f>
        <v>53</v>
      </c>
      <c r="B1839" s="2" t="str">
        <f>VLOOKUP($A1839,Controle!$B$4:$F$68,2,FALSE)</f>
        <v>São Sebastião 1</v>
      </c>
      <c r="C1839" s="2" t="str">
        <f>VLOOKUP($A1839,Controle!$B$4:$F$68,3,FALSE)</f>
        <v>MORI MINAS IV</v>
      </c>
      <c r="D1839" s="2" t="str">
        <f>VLOOKUP($A1839,Controle!$B$4:$F$68,4,FALSE)</f>
        <v>NewCo IV</v>
      </c>
      <c r="E1839" s="2" t="str">
        <f>VLOOKUP($A1839,Controle!$B$4:$F$68,5,FALSE)</f>
        <v>weg</v>
      </c>
      <c r="F1839" s="3" t="str">
        <f>F1804</f>
        <v>Sistemas de Monitoramento - CFTV</v>
      </c>
      <c r="G1839" s="2" t="str">
        <f>VLOOKUP($A1839,Controle!$B$4:$G$68,6,FALSE)</f>
        <v>Solatio</v>
      </c>
      <c r="H1839" s="31" t="s">
        <v>152</v>
      </c>
      <c r="I1839" s="6">
        <v>289678.39</v>
      </c>
      <c r="J1839" s="6">
        <v>0</v>
      </c>
      <c r="K1839" s="28">
        <v>8403.68</v>
      </c>
      <c r="L1839" s="6">
        <v>0</v>
      </c>
      <c r="M1839" s="6">
        <v>0</v>
      </c>
      <c r="N1839" s="6">
        <v>0</v>
      </c>
      <c r="O1839" s="4">
        <f>SUM(I1839:N1839)</f>
        <v>298082.07</v>
      </c>
      <c r="P1839" s="5">
        <f>SUMIFS('Desenvolvimento diário'!$H:$H,'Desenvolvimento diário'!$Q:$Q,$B1839,'Desenvolvimento diário'!$P:$P,$F1839,'Desenvolvimento diário'!$R:$R,"Sim")</f>
        <v>0</v>
      </c>
      <c r="Q1839" s="5">
        <f>SUMIFS('Desenvolvimento diário'!$H:$H,'Desenvolvimento diário'!$Q:$Q,$B1839,'Desenvolvimento diário'!$P:$P,$F1839,'Desenvolvimento diário'!$R:$R,"Não")</f>
        <v>298082.06999999995</v>
      </c>
      <c r="R1839" s="4">
        <f>SUM(P1839:Q1839)</f>
        <v>298082.06999999995</v>
      </c>
      <c r="S1839" s="4">
        <f>O1839-R1839</f>
        <v>0</v>
      </c>
      <c r="T1839" s="12">
        <f>IFERROR(R1839/O1839,0)</f>
        <v>0.99999999999999978</v>
      </c>
      <c r="Y1839" s="2"/>
      <c r="Z1839" s="2"/>
      <c r="AA1839" s="2"/>
      <c r="AB1839" s="2"/>
      <c r="AC1839" s="2"/>
    </row>
    <row r="1840" spans="1:29" ht="10.5" hidden="1">
      <c r="A1840" s="2">
        <f>A1839</f>
        <v>53</v>
      </c>
      <c r="B1840" s="2" t="str">
        <f>VLOOKUP($A1840,Controle!$B$4:$F$68,2,FALSE)</f>
        <v>São Sebastião 1</v>
      </c>
      <c r="C1840" s="2" t="str">
        <f>VLOOKUP($A1840,Controle!$B$4:$F$68,3,FALSE)</f>
        <v>MORI MINAS IV</v>
      </c>
      <c r="D1840" s="2" t="str">
        <f>VLOOKUP($A1840,Controle!$B$4:$F$68,4,FALSE)</f>
        <v>NewCo IV</v>
      </c>
      <c r="E1840" s="2" t="str">
        <f>VLOOKUP($A1840,Controle!$B$4:$F$68,5,FALSE)</f>
        <v>weg</v>
      </c>
      <c r="F1840" s="3" t="str">
        <f>F1805</f>
        <v>Serviços Auxiliares - Drenagem</v>
      </c>
      <c r="G1840" s="2" t="str">
        <f>VLOOKUP($A1840,Controle!$B$4:$G$68,6,FALSE)</f>
        <v>Solatio</v>
      </c>
      <c r="H1840" s="6" t="s">
        <v>183</v>
      </c>
      <c r="I1840" s="6">
        <v>494636.71</v>
      </c>
      <c r="J1840" s="6">
        <v>0</v>
      </c>
      <c r="K1840" s="6">
        <v>0</v>
      </c>
      <c r="L1840" s="6">
        <v>0</v>
      </c>
      <c r="M1840" s="6">
        <v>0</v>
      </c>
      <c r="N1840" s="6">
        <v>0</v>
      </c>
      <c r="O1840" s="4">
        <f>SUM(I1840:N1840)</f>
        <v>494636.71</v>
      </c>
      <c r="P1840" s="5">
        <f>SUMIFS('Desenvolvimento diário'!$H:$H,'Desenvolvimento diário'!$Q:$Q,$B1840,'Desenvolvimento diário'!$P:$P,$F1840,'Desenvolvimento diário'!$R:$R,"Sim")</f>
        <v>0</v>
      </c>
      <c r="Q1840" s="5">
        <f>SUMIFS('Desenvolvimento diário'!$H:$H,'Desenvolvimento diário'!$Q:$Q,$B1840,'Desenvolvimento diário'!$P:$P,$F1840,'Desenvolvimento diário'!$R:$R,"Não")</f>
        <v>494636.70999999996</v>
      </c>
      <c r="R1840" s="4">
        <f>SUM(P1840:Q1840)</f>
        <v>494636.70999999996</v>
      </c>
      <c r="S1840" s="27">
        <f>O1840-R1840</f>
        <v>0</v>
      </c>
      <c r="T1840" s="12">
        <f>IFERROR(R1840/O1840,0)</f>
        <v>0.99999999999999989</v>
      </c>
      <c r="Y1840" s="2"/>
      <c r="Z1840" s="2"/>
      <c r="AA1840" s="2"/>
      <c r="AB1840" s="2"/>
      <c r="AC1840" s="2"/>
    </row>
    <row r="1841" spans="1:29" ht="10.5" hidden="1">
      <c r="A1841" s="2">
        <f>A1840</f>
        <v>53</v>
      </c>
      <c r="B1841" s="2" t="str">
        <f>VLOOKUP($A1841,Controle!$B$4:$F$68,2,FALSE)</f>
        <v>São Sebastião 1</v>
      </c>
      <c r="C1841" s="2" t="str">
        <f>VLOOKUP($A1841,Controle!$B$4:$F$68,3,FALSE)</f>
        <v>MORI MINAS IV</v>
      </c>
      <c r="D1841" s="2" t="str">
        <f>VLOOKUP($A1841,Controle!$B$4:$F$68,4,FALSE)</f>
        <v>NewCo IV</v>
      </c>
      <c r="E1841" s="2" t="str">
        <f>VLOOKUP($A1841,Controle!$B$4:$F$68,5,FALSE)</f>
        <v>weg</v>
      </c>
      <c r="F1841" s="3" t="str">
        <f>F1806</f>
        <v>Serviços Auxiliares - Terraplanagem</v>
      </c>
      <c r="G1841" s="2" t="str">
        <f>VLOOKUP($A1841,Controle!$B$4:$G$68,6,FALSE)</f>
        <v>Solatio</v>
      </c>
      <c r="H1841" s="6" t="s">
        <v>154</v>
      </c>
      <c r="I1841" s="6">
        <v>1459540.06</v>
      </c>
      <c r="J1841" s="6">
        <v>373586.77</v>
      </c>
      <c r="K1841" s="6"/>
      <c r="L1841" s="6">
        <v>0</v>
      </c>
      <c r="M1841" s="6">
        <v>0</v>
      </c>
      <c r="N1841" s="6">
        <v>0</v>
      </c>
      <c r="O1841" s="4">
        <f>SUM(I1841:N1841)</f>
        <v>1833126.83</v>
      </c>
      <c r="P1841" s="5">
        <f>SUMIFS('Desenvolvimento diário'!$H:$H,'Desenvolvimento diário'!$Q:$Q,$B1841,'Desenvolvimento diário'!$P:$P,$F1841,'Desenvolvimento diário'!$R:$R,"Sim")</f>
        <v>0</v>
      </c>
      <c r="Q1841" s="5">
        <f>SUMIFS('Desenvolvimento diário'!$H:$H,'Desenvolvimento diário'!$Q:$Q,$B1841,'Desenvolvimento diário'!$P:$P,$F1841,'Desenvolvimento diário'!$R:$R,"Não")</f>
        <v>1833126.83</v>
      </c>
      <c r="R1841" s="4">
        <f>SUM(P1841:Q1841)</f>
        <v>1833126.83</v>
      </c>
      <c r="S1841" s="4">
        <f>O1841-R1841</f>
        <v>0</v>
      </c>
      <c r="T1841" s="12">
        <f>IFERROR(R1841/O1841,0)</f>
        <v>1</v>
      </c>
      <c r="Y1841" s="2"/>
      <c r="Z1841" s="2"/>
      <c r="AA1841" s="2"/>
      <c r="AB1841" s="2"/>
      <c r="AC1841" s="2"/>
    </row>
    <row r="1842" spans="1:29" ht="10.5" hidden="1">
      <c r="A1842" s="2">
        <f>A1841</f>
        <v>53</v>
      </c>
      <c r="B1842" s="2" t="str">
        <f>VLOOKUP($A1842,Controle!$B$4:$F$68,2,FALSE)</f>
        <v>São Sebastião 1</v>
      </c>
      <c r="C1842" s="2" t="str">
        <f>VLOOKUP($A1842,Controle!$B$4:$F$68,3,FALSE)</f>
        <v>MORI MINAS IV</v>
      </c>
      <c r="D1842" s="2" t="str">
        <f>VLOOKUP($A1842,Controle!$B$4:$F$68,4,FALSE)</f>
        <v>NewCo IV</v>
      </c>
      <c r="E1842" s="2" t="str">
        <f>VLOOKUP($A1842,Controle!$B$4:$F$68,5,FALSE)</f>
        <v>weg</v>
      </c>
      <c r="F1842" s="3" t="str">
        <f>F1807</f>
        <v>Serviços Auxiliares - Supressão Vegetal</v>
      </c>
      <c r="G1842" s="2" t="str">
        <f>VLOOKUP($A1842,Controle!$B$4:$G$68,6,FALSE)</f>
        <v>Solatio</v>
      </c>
      <c r="H1842" s="6" t="s">
        <v>155</v>
      </c>
      <c r="I1842" s="6">
        <v>133281.29999999999</v>
      </c>
      <c r="J1842" s="6">
        <v>0</v>
      </c>
      <c r="K1842" s="6">
        <v>0</v>
      </c>
      <c r="L1842" s="6">
        <v>0</v>
      </c>
      <c r="M1842" s="6">
        <v>0</v>
      </c>
      <c r="N1842" s="6">
        <v>0</v>
      </c>
      <c r="O1842" s="4">
        <f>SUM(I1842:N1842)</f>
        <v>133281.29999999999</v>
      </c>
      <c r="P1842" s="5">
        <f>SUMIFS('Desenvolvimento diário'!$H:$H,'Desenvolvimento diário'!$Q:$Q,$B1842,'Desenvolvimento diário'!$P:$P,$F1842,'Desenvolvimento diário'!$R:$R,"Sim")</f>
        <v>0</v>
      </c>
      <c r="Q1842" s="5">
        <f>SUMIFS('Desenvolvimento diário'!$H:$H,'Desenvolvimento diário'!$Q:$Q,$B1842,'Desenvolvimento diário'!$P:$P,$F1842,'Desenvolvimento diário'!$R:$R,"Não")</f>
        <v>133281.29999999999</v>
      </c>
      <c r="R1842" s="4">
        <f>SUM(P1842:Q1842)</f>
        <v>133281.29999999999</v>
      </c>
      <c r="S1842" s="4">
        <f>O1842-R1842</f>
        <v>0</v>
      </c>
      <c r="T1842" s="12">
        <f>IFERROR(R1842/O1842,0)</f>
        <v>1</v>
      </c>
      <c r="Y1842" s="2"/>
      <c r="Z1842" s="2"/>
      <c r="AA1842" s="2"/>
      <c r="AB1842" s="2"/>
      <c r="AC1842" s="2"/>
    </row>
    <row r="1843" spans="1:29" ht="10.5" hidden="1">
      <c r="A1843" s="2">
        <f>A1842</f>
        <v>53</v>
      </c>
      <c r="B1843" s="2" t="str">
        <f>VLOOKUP($A1843,Controle!$B$4:$F$68,2,FALSE)</f>
        <v>São Sebastião 1</v>
      </c>
      <c r="C1843" s="2" t="str">
        <f>VLOOKUP($A1843,Controle!$B$4:$F$68,3,FALSE)</f>
        <v>MORI MINAS IV</v>
      </c>
      <c r="D1843" s="2" t="str">
        <f>VLOOKUP($A1843,Controle!$B$4:$F$68,4,FALSE)</f>
        <v>NewCo IV</v>
      </c>
      <c r="E1843" s="2" t="str">
        <f>VLOOKUP($A1843,Controle!$B$4:$F$68,5,FALSE)</f>
        <v>weg</v>
      </c>
      <c r="F1843" s="3" t="str">
        <f>F1808</f>
        <v>RDR-Rede de Distribuição Rural</v>
      </c>
      <c r="G1843" s="2" t="str">
        <f>VLOOKUP($A1843,Controle!$B$4:$G$68,6,FALSE)</f>
        <v>Solatio</v>
      </c>
      <c r="H1843" s="6">
        <v>0</v>
      </c>
      <c r="I1843" s="6">
        <v>0</v>
      </c>
      <c r="J1843" s="6">
        <v>0</v>
      </c>
      <c r="K1843" s="6">
        <v>0</v>
      </c>
      <c r="L1843" s="6">
        <v>0</v>
      </c>
      <c r="M1843" s="6">
        <v>0</v>
      </c>
      <c r="N1843" s="6">
        <v>0</v>
      </c>
      <c r="O1843" s="4">
        <f>SUM(I1843:N1843)</f>
        <v>0</v>
      </c>
      <c r="P1843" s="5">
        <f>SUMIFS('Desenvolvimento diário'!$H:$H,'Desenvolvimento diário'!$Q:$Q,$B1843,'Desenvolvimento diário'!$P:$P,$F1843,'Desenvolvimento diário'!$R:$R,"Sim")</f>
        <v>0</v>
      </c>
      <c r="Q1843" s="5">
        <f>SUMIFS('Desenvolvimento diário'!$H:$H,'Desenvolvimento diário'!$Q:$Q,$B1843,'Desenvolvimento diário'!$P:$P,$F1843,'Desenvolvimento diário'!$R:$R,"Não")</f>
        <v>0</v>
      </c>
      <c r="R1843" s="4">
        <f>SUM(P1843:Q1843)</f>
        <v>0</v>
      </c>
      <c r="S1843" s="4">
        <f>O1843-R1843</f>
        <v>0</v>
      </c>
      <c r="T1843" s="12">
        <f>IFERROR(R1843/O1843,0)</f>
        <v>0</v>
      </c>
      <c r="Y1843" s="2"/>
      <c r="Z1843" s="2"/>
      <c r="AA1843" s="2"/>
      <c r="AB1843" s="2"/>
      <c r="AC1843" s="2"/>
    </row>
    <row r="1844" spans="1:29" ht="10.5" hidden="1">
      <c r="A1844" s="2">
        <f>A1843</f>
        <v>53</v>
      </c>
      <c r="B1844" s="2" t="str">
        <f>VLOOKUP($A1844,Controle!$B$4:$F$68,2,FALSE)</f>
        <v>São Sebastião 1</v>
      </c>
      <c r="C1844" s="2" t="str">
        <f>VLOOKUP($A1844,Controle!$B$4:$F$68,3,FALSE)</f>
        <v>MORI MINAS IV</v>
      </c>
      <c r="D1844" s="2" t="str">
        <f>VLOOKUP($A1844,Controle!$B$4:$F$68,4,FALSE)</f>
        <v>NewCo IV</v>
      </c>
      <c r="E1844" s="2" t="str">
        <f>VLOOKUP($A1844,Controle!$B$4:$F$68,5,FALSE)</f>
        <v>weg</v>
      </c>
      <c r="F1844" s="3" t="str">
        <f>F1809</f>
        <v>Escopo COMERC</v>
      </c>
      <c r="G1844" s="2" t="str">
        <f>VLOOKUP($A1844,Controle!$B$4:$G$68,6,FALSE)</f>
        <v>Solatio</v>
      </c>
      <c r="H1844" s="6">
        <v>0</v>
      </c>
      <c r="I1844" s="6">
        <v>60759.53</v>
      </c>
      <c r="J1844" s="29">
        <v>13000</v>
      </c>
      <c r="K1844" s="29"/>
      <c r="L1844" s="6">
        <v>0</v>
      </c>
      <c r="M1844" s="6">
        <v>0</v>
      </c>
      <c r="N1844" s="6">
        <v>0</v>
      </c>
      <c r="O1844" s="4">
        <f>SUM(I1844:N1844)</f>
        <v>73759.53</v>
      </c>
      <c r="P1844" s="5">
        <f>SUMIFS('Desenvolvimento diário'!$H:$H,'Desenvolvimento diário'!$Q:$Q,$B1844,'Desenvolvimento diário'!$P:$P,$F1844,'Desenvolvimento diário'!$R:$R,"Sim")</f>
        <v>0</v>
      </c>
      <c r="Q1844" s="5">
        <f>SUMIFS('Desenvolvimento diário'!$H:$H,'Desenvolvimento diário'!$Q:$Q,$B1844,'Desenvolvimento diário'!$P:$P,$F1844,'Desenvolvimento diário'!$R:$R,"Não")</f>
        <v>60759.53</v>
      </c>
      <c r="R1844" s="4">
        <f>SUM(P1844:Q1844)</f>
        <v>60759.53</v>
      </c>
      <c r="S1844" s="1010">
        <f>O1844-R1844</f>
        <v>13000</v>
      </c>
      <c r="T1844" s="12">
        <f>IFERROR(R1844/O1844,0)</f>
        <v>0.82375158843880925</v>
      </c>
      <c r="U1844" s="1011" t="s">
        <v>166</v>
      </c>
      <c r="V1844" s="1011" t="s">
        <v>167</v>
      </c>
      <c r="Y1844" s="2"/>
      <c r="Z1844" s="2"/>
      <c r="AA1844" s="2"/>
      <c r="AB1844" s="2"/>
      <c r="AC1844" s="2"/>
    </row>
    <row r="1845" spans="1:29" ht="10.5" hidden="1">
      <c r="A1845" s="2">
        <f>A1844</f>
        <v>53</v>
      </c>
      <c r="B1845" s="2" t="str">
        <f>VLOOKUP($A1845,Controle!$B$4:$F$68,2,FALSE)</f>
        <v>São Sebastião 1</v>
      </c>
      <c r="C1845" s="2" t="str">
        <f>VLOOKUP($A1845,Controle!$B$4:$F$68,3,FALSE)</f>
        <v>MORI MINAS IV</v>
      </c>
      <c r="D1845" s="2" t="str">
        <f>VLOOKUP($A1845,Controle!$B$4:$F$68,4,FALSE)</f>
        <v>NewCo IV</v>
      </c>
      <c r="E1845" s="2" t="str">
        <f>VLOOKUP($A1845,Controle!$B$4:$F$68,5,FALSE)</f>
        <v>weg</v>
      </c>
      <c r="F1845" s="3" t="str">
        <f>F1810</f>
        <v>Escopo COMERC - Segurança</v>
      </c>
      <c r="G1845" s="2" t="str">
        <f>VLOOKUP($A1845,Controle!$B$4:$G$68,6,FALSE)</f>
        <v>Solatio</v>
      </c>
      <c r="H1845" s="6">
        <v>0</v>
      </c>
      <c r="I1845" s="6">
        <f>R1845</f>
        <v>88844.28</v>
      </c>
      <c r="J1845" s="6">
        <v>0</v>
      </c>
      <c r="K1845" s="6">
        <v>0</v>
      </c>
      <c r="L1845" s="6">
        <v>0</v>
      </c>
      <c r="M1845" s="6">
        <v>0</v>
      </c>
      <c r="N1845" s="6">
        <v>0</v>
      </c>
      <c r="O1845" s="4">
        <f>SUM(I1845:N1845)</f>
        <v>88844.28</v>
      </c>
      <c r="P1845" s="5">
        <f>SUMIFS('Desenvolvimento diário'!$H:$H,'Desenvolvimento diário'!$Q:$Q,$B1845,'Desenvolvimento diário'!$P:$P,$F1845,'Desenvolvimento diário'!$R:$R,"Sim")</f>
        <v>0</v>
      </c>
      <c r="Q1845" s="5">
        <f>SUMIFS('Desenvolvimento diário'!$H:$H,'Desenvolvimento diário'!$Q:$Q,$B1845,'Desenvolvimento diário'!$P:$P,$F1845,'Desenvolvimento diário'!$R:$R,"Não")</f>
        <v>88844.28</v>
      </c>
      <c r="R1845" s="4">
        <f>SUM(P1845:Q1845)</f>
        <v>88844.28</v>
      </c>
      <c r="S1845" s="4">
        <f>O1845-R1845</f>
        <v>0</v>
      </c>
      <c r="T1845" s="12">
        <f>IFERROR(R1845/O1845,0)</f>
        <v>1</v>
      </c>
      <c r="Y1845" s="2"/>
      <c r="Z1845" s="2"/>
      <c r="AA1845" s="2"/>
      <c r="AB1845" s="2"/>
      <c r="AC1845" s="2"/>
    </row>
    <row r="1846" spans="1:29" ht="10.5" hidden="1">
      <c r="A1846" s="2">
        <f>A1845</f>
        <v>53</v>
      </c>
      <c r="B1846" s="2" t="str">
        <f>VLOOKUP($A1846,Controle!$B$4:$F$68,2,FALSE)</f>
        <v>São Sebastião 1</v>
      </c>
      <c r="C1846" s="2" t="str">
        <f>VLOOKUP($A1846,Controle!$B$4:$F$68,3,FALSE)</f>
        <v>MORI MINAS IV</v>
      </c>
      <c r="D1846" s="2" t="str">
        <f>VLOOKUP($A1846,Controle!$B$4:$F$68,4,FALSE)</f>
        <v>NewCo IV</v>
      </c>
      <c r="E1846" s="2" t="str">
        <f>VLOOKUP($A1846,Controle!$B$4:$F$68,5,FALSE)</f>
        <v>weg</v>
      </c>
      <c r="F1846" s="3" t="str">
        <f>F1811</f>
        <v>Conexão MT - Obras Transferencia</v>
      </c>
      <c r="G1846" s="2" t="str">
        <f>VLOOKUP($A1846,Controle!$B$4:$G$68,6,FALSE)</f>
        <v>Solatio</v>
      </c>
      <c r="H1846" s="6">
        <v>0</v>
      </c>
      <c r="I1846" s="6">
        <v>0</v>
      </c>
      <c r="J1846" s="6">
        <v>0</v>
      </c>
      <c r="K1846" s="6">
        <v>0</v>
      </c>
      <c r="L1846" s="6">
        <v>0</v>
      </c>
      <c r="M1846" s="6">
        <v>0</v>
      </c>
      <c r="N1846" s="6">
        <v>0</v>
      </c>
      <c r="O1846" s="4">
        <f>SUM(I1846:N1846)</f>
        <v>0</v>
      </c>
      <c r="P1846" s="5">
        <f>SUMIFS('Desenvolvimento diário'!$H:$H,'Desenvolvimento diário'!$Q:$Q,$B1846,'Desenvolvimento diário'!$P:$P,$F1846,'Desenvolvimento diário'!$R:$R,"Sim")</f>
        <v>0</v>
      </c>
      <c r="Q1846" s="5">
        <f>SUMIFS('Desenvolvimento diário'!$H:$H,'Desenvolvimento diário'!$Q:$Q,$B1846,'Desenvolvimento diário'!$P:$P,$F1846,'Desenvolvimento diário'!$R:$R,"Não")</f>
        <v>0</v>
      </c>
      <c r="R1846" s="4">
        <f>SUM(P1846:Q1846)</f>
        <v>0</v>
      </c>
      <c r="S1846" s="4">
        <f>O1846-R1846</f>
        <v>0</v>
      </c>
      <c r="T1846" s="12">
        <f>IFERROR(R1846/O1846,0)</f>
        <v>0</v>
      </c>
      <c r="Y1846" s="2"/>
      <c r="Z1846" s="2"/>
      <c r="AA1846" s="2"/>
      <c r="AB1846" s="2"/>
      <c r="AC1846" s="2"/>
    </row>
    <row r="1847" spans="1:29" ht="10.5" hidden="1">
      <c r="A1847" s="2">
        <f>A1846</f>
        <v>53</v>
      </c>
      <c r="B1847" s="2" t="str">
        <f>VLOOKUP($A1847,Controle!$B$4:$F$68,2,FALSE)</f>
        <v>São Sebastião 1</v>
      </c>
      <c r="C1847" s="2" t="str">
        <f>VLOOKUP($A1847,Controle!$B$4:$F$68,3,FALSE)</f>
        <v>MORI MINAS IV</v>
      </c>
      <c r="D1847" s="2" t="str">
        <f>VLOOKUP($A1847,Controle!$B$4:$F$68,4,FALSE)</f>
        <v>NewCo IV</v>
      </c>
      <c r="E1847" s="2" t="str">
        <f>VLOOKUP($A1847,Controle!$B$4:$F$68,5,FALSE)</f>
        <v>weg</v>
      </c>
      <c r="F1847" s="3" t="str">
        <f>F1812</f>
        <v>Bases de Contaniers</v>
      </c>
      <c r="G1847" s="2" t="str">
        <f>VLOOKUP($A1847,Controle!$B$4:$G$68,6,FALSE)</f>
        <v>Solatio</v>
      </c>
      <c r="H1847" s="6" t="s">
        <v>225</v>
      </c>
      <c r="I1847" s="6">
        <v>114750.38</v>
      </c>
      <c r="J1847" s="6">
        <v>0</v>
      </c>
      <c r="K1847" s="6">
        <v>0</v>
      </c>
      <c r="L1847" s="6">
        <v>0</v>
      </c>
      <c r="M1847" s="6">
        <v>0</v>
      </c>
      <c r="N1847" s="6">
        <v>0</v>
      </c>
      <c r="O1847" s="4">
        <f>SUM(I1847:N1847)</f>
        <v>114750.38</v>
      </c>
      <c r="P1847" s="5">
        <f>SUMIFS('Desenvolvimento diário'!$H:$H,'Desenvolvimento diário'!$Q:$Q,$B1847,'Desenvolvimento diário'!$P:$P,$F1847,'Desenvolvimento diário'!$R:$R,"Sim")</f>
        <v>0</v>
      </c>
      <c r="Q1847" s="5">
        <f>SUMIFS('Desenvolvimento diário'!$H:$H,'Desenvolvimento diário'!$Q:$Q,$B1847,'Desenvolvimento diário'!$P:$P,$F1847,'Desenvolvimento diário'!$R:$R,"Não")</f>
        <v>114750.38</v>
      </c>
      <c r="R1847" s="4">
        <f>SUM(P1847:Q1847)</f>
        <v>114750.38</v>
      </c>
      <c r="S1847" s="4">
        <f>O1847-R1847</f>
        <v>0</v>
      </c>
      <c r="T1847" s="12">
        <f>IFERROR(R1847/O1847,0)</f>
        <v>1</v>
      </c>
      <c r="Y1847" s="2"/>
      <c r="Z1847" s="2"/>
      <c r="AA1847" s="2"/>
      <c r="AB1847" s="2"/>
      <c r="AC1847" s="2"/>
    </row>
    <row r="1848" spans="1:29" ht="10.5" hidden="1">
      <c r="A1848" s="2">
        <f>A1847</f>
        <v>53</v>
      </c>
      <c r="B1848" s="2" t="str">
        <f>VLOOKUP($A1848,Controle!$B$4:$F$68,2,FALSE)</f>
        <v>São Sebastião 1</v>
      </c>
      <c r="C1848" s="2" t="str">
        <f>VLOOKUP($A1848,Controle!$B$4:$F$68,3,FALSE)</f>
        <v>MORI MINAS IV</v>
      </c>
      <c r="D1848" s="2" t="str">
        <f>VLOOKUP($A1848,Controle!$B$4:$F$68,4,FALSE)</f>
        <v>NewCo IV</v>
      </c>
      <c r="E1848" s="2" t="str">
        <f>VLOOKUP($A1848,Controle!$B$4:$F$68,5,FALSE)</f>
        <v>weg</v>
      </c>
      <c r="F1848" s="3" t="str">
        <f>F1813</f>
        <v>Construção - Serviços de Construção - Ase Engenharia</v>
      </c>
      <c r="G1848" s="2" t="str">
        <f>VLOOKUP($A1848,Controle!$B$4:$G$68,6,FALSE)</f>
        <v>Solatio</v>
      </c>
      <c r="H1848" s="6">
        <v>0</v>
      </c>
      <c r="I1848" s="6">
        <v>0</v>
      </c>
      <c r="J1848" s="6">
        <v>0</v>
      </c>
      <c r="K1848" s="6">
        <v>0</v>
      </c>
      <c r="L1848" s="6">
        <v>0</v>
      </c>
      <c r="M1848" s="6">
        <v>0</v>
      </c>
      <c r="N1848" s="6">
        <v>0</v>
      </c>
      <c r="O1848" s="4">
        <f>SUM(I1848:N1848)</f>
        <v>0</v>
      </c>
      <c r="P1848" s="5">
        <f>SUMIFS('Desenvolvimento diário'!$H:$H,'Desenvolvimento diário'!$Q:$Q,$B1848,'Desenvolvimento diário'!$P:$P,$F1848,'Desenvolvimento diário'!$R:$R,"Sim")</f>
        <v>0</v>
      </c>
      <c r="Q1848" s="5">
        <f>SUMIFS('Desenvolvimento diário'!$H:$H,'Desenvolvimento diário'!$Q:$Q,$B1848,'Desenvolvimento diário'!$P:$P,$F1848,'Desenvolvimento diário'!$R:$R,"Não")</f>
        <v>0</v>
      </c>
      <c r="R1848" s="4">
        <f>SUM(P1848:Q1848)</f>
        <v>0</v>
      </c>
      <c r="S1848" s="4">
        <f>O1848-R1848</f>
        <v>0</v>
      </c>
      <c r="T1848" s="12">
        <f>IFERROR(R1848/O1848,0)</f>
        <v>0</v>
      </c>
      <c r="Y1848" s="2"/>
      <c r="Z1848" s="2"/>
      <c r="AA1848" s="2"/>
      <c r="AB1848" s="2"/>
      <c r="AC1848" s="2"/>
    </row>
    <row r="1849" spans="1:29" ht="10.5" hidden="1">
      <c r="A1849" s="2">
        <f>A1848</f>
        <v>53</v>
      </c>
      <c r="B1849" s="2" t="str">
        <f>VLOOKUP($A1849,Controle!$B$4:$F$68,2,FALSE)</f>
        <v>São Sebastião 1</v>
      </c>
      <c r="C1849" s="2" t="str">
        <f>VLOOKUP($A1849,Controle!$B$4:$F$68,3,FALSE)</f>
        <v>MORI MINAS IV</v>
      </c>
      <c r="D1849" s="2" t="str">
        <f>VLOOKUP($A1849,Controle!$B$4:$F$68,4,FALSE)</f>
        <v>NewCo IV</v>
      </c>
      <c r="E1849" s="2" t="str">
        <f>VLOOKUP($A1849,Controle!$B$4:$F$68,5,FALSE)</f>
        <v>weg</v>
      </c>
      <c r="F1849" s="3" t="str">
        <f>F1814</f>
        <v>Full EPC - Contrato Sobressalentes</v>
      </c>
      <c r="G1849" s="2" t="str">
        <f>VLOOKUP($A1849,Controle!$B$4:$G$68,6,FALSE)</f>
        <v>Solatio</v>
      </c>
      <c r="H1849" s="6" t="s">
        <v>21</v>
      </c>
      <c r="I1849" s="6">
        <v>306205.46000000002</v>
      </c>
      <c r="J1849" s="6">
        <v>0</v>
      </c>
      <c r="K1849" s="6">
        <v>0</v>
      </c>
      <c r="L1849" s="6">
        <v>0</v>
      </c>
      <c r="M1849" s="6">
        <v>0</v>
      </c>
      <c r="N1849" s="6">
        <v>0</v>
      </c>
      <c r="O1849" s="4">
        <f>SUM(I1849:N1849)</f>
        <v>306205.46000000002</v>
      </c>
      <c r="P1849" s="5">
        <f>SUMIFS('Desenvolvimento diário'!$H:$H,'Desenvolvimento diário'!$Q:$Q,$B1849,'Desenvolvimento diário'!$P:$P,$F1849,'Desenvolvimento diário'!$R:$R,"Sim")</f>
        <v>0</v>
      </c>
      <c r="Q1849" s="5">
        <f>SUMIFS('Desenvolvimento diário'!$H:$H,'Desenvolvimento diário'!$Q:$Q,$B1849,'Desenvolvimento diário'!$P:$P,$F1849,'Desenvolvimento diário'!$R:$R,"Não")</f>
        <v>306205.46000000002</v>
      </c>
      <c r="R1849" s="4">
        <f>SUM(P1849:Q1849)</f>
        <v>306205.46000000002</v>
      </c>
      <c r="S1849" s="4">
        <f>O1849-R1849</f>
        <v>0</v>
      </c>
      <c r="T1849" s="12">
        <f>IFERROR(R1849/O1849,0)</f>
        <v>1</v>
      </c>
      <c r="Y1849" s="2"/>
      <c r="Z1849" s="2"/>
      <c r="AA1849" s="2"/>
      <c r="AB1849" s="2"/>
      <c r="AC1849" s="2"/>
    </row>
    <row r="1850" spans="1:29" ht="10.5" hidden="1">
      <c r="A1850" s="2">
        <f>A1849</f>
        <v>53</v>
      </c>
      <c r="B1850" s="2" t="str">
        <f>VLOOKUP($A1850,Controle!$B$4:$F$68,2,FALSE)</f>
        <v>São Sebastião 1</v>
      </c>
      <c r="C1850" s="2" t="str">
        <f>VLOOKUP($A1850,Controle!$B$4:$F$68,3,FALSE)</f>
        <v>MORI MINAS IV</v>
      </c>
      <c r="D1850" s="2" t="str">
        <f>VLOOKUP($A1850,Controle!$B$4:$F$68,4,FALSE)</f>
        <v>NewCo IV</v>
      </c>
      <c r="E1850" s="2" t="str">
        <f>VLOOKUP($A1850,Controle!$B$4:$F$68,5,FALSE)</f>
        <v>weg</v>
      </c>
      <c r="F1850" s="3" t="str">
        <f>F1815</f>
        <v>Construção - Serviços de Construção - NOVA MORADA</v>
      </c>
      <c r="G1850" s="2" t="str">
        <f>VLOOKUP($A1850,Controle!$B$4:$G$68,6,FALSE)</f>
        <v>Solatio</v>
      </c>
      <c r="H1850" s="6">
        <v>0</v>
      </c>
      <c r="I1850" s="6">
        <v>0</v>
      </c>
      <c r="J1850" s="6">
        <v>0</v>
      </c>
      <c r="K1850" s="6">
        <v>0</v>
      </c>
      <c r="L1850" s="6">
        <v>0</v>
      </c>
      <c r="M1850" s="6">
        <v>0</v>
      </c>
      <c r="N1850" s="6">
        <v>0</v>
      </c>
      <c r="O1850" s="4">
        <f>SUM(I1850:N1850)</f>
        <v>0</v>
      </c>
      <c r="P1850" s="5">
        <f>SUMIFS('Desenvolvimento diário'!$H:$H,'Desenvolvimento diário'!$Q:$Q,$B1850,'Desenvolvimento diário'!$P:$P,$F1850,'Desenvolvimento diário'!$R:$R,"Sim")</f>
        <v>0</v>
      </c>
      <c r="Q1850" s="5">
        <f>SUMIFS('Desenvolvimento diário'!$H:$H,'Desenvolvimento diário'!$Q:$Q,$B1850,'Desenvolvimento diário'!$P:$P,$F1850,'Desenvolvimento diário'!$R:$R,"Não")</f>
        <v>0</v>
      </c>
      <c r="R1850" s="4">
        <f>SUM(P1850:Q1850)</f>
        <v>0</v>
      </c>
      <c r="S1850" s="4">
        <f>O1850-R1850</f>
        <v>0</v>
      </c>
      <c r="T1850" s="12">
        <f>IFERROR(R1850/O1850,0)</f>
        <v>0</v>
      </c>
      <c r="Y1850" s="2"/>
      <c r="Z1850" s="2"/>
      <c r="AA1850" s="2"/>
      <c r="AB1850" s="2"/>
      <c r="AC1850" s="2"/>
    </row>
    <row r="1851" spans="1:29" ht="10.5" hidden="1">
      <c r="A1851" s="2">
        <f>A1850</f>
        <v>53</v>
      </c>
      <c r="B1851" s="2" t="str">
        <f>VLOOKUP($A1851,Controle!$B$4:$F$68,2,FALSE)</f>
        <v>São Sebastião 1</v>
      </c>
      <c r="C1851" s="2" t="str">
        <f>VLOOKUP($A1851,Controle!$B$4:$F$68,3,FALSE)</f>
        <v>MORI MINAS IV</v>
      </c>
      <c r="D1851" s="2" t="str">
        <f>VLOOKUP($A1851,Controle!$B$4:$F$68,4,FALSE)</f>
        <v>NewCo IV</v>
      </c>
      <c r="E1851" s="2" t="str">
        <f>VLOOKUP($A1851,Controle!$B$4:$F$68,5,FALSE)</f>
        <v>weg</v>
      </c>
      <c r="F1851" s="3" t="str">
        <f>F1816</f>
        <v>Equipamentos Curva A -  Contrato Sobressalentes - SETTA</v>
      </c>
      <c r="G1851" s="2" t="str">
        <f>VLOOKUP($A1851,Controle!$B$4:$G$68,6,FALSE)</f>
        <v>Solatio</v>
      </c>
      <c r="H1851" s="6">
        <v>0</v>
      </c>
      <c r="I1851" s="6">
        <v>0</v>
      </c>
      <c r="J1851" s="6">
        <v>0</v>
      </c>
      <c r="K1851" s="6">
        <v>0</v>
      </c>
      <c r="L1851" s="6">
        <v>0</v>
      </c>
      <c r="M1851" s="6">
        <v>0</v>
      </c>
      <c r="N1851" s="6">
        <v>0</v>
      </c>
      <c r="O1851" s="4">
        <f>SUM(I1851:N1851)</f>
        <v>0</v>
      </c>
      <c r="P1851" s="5">
        <f>SUMIFS('Desenvolvimento diário'!$H:$H,'Desenvolvimento diário'!$Q:$Q,$B1851,'Desenvolvimento diário'!$P:$P,$F1851,'Desenvolvimento diário'!$R:$R,"Sim")</f>
        <v>0</v>
      </c>
      <c r="Q1851" s="5">
        <f>SUMIFS('Desenvolvimento diário'!$H:$H,'Desenvolvimento diário'!$Q:$Q,$B1851,'Desenvolvimento diário'!$P:$P,$F1851,'Desenvolvimento diário'!$R:$R,"Não")</f>
        <v>0</v>
      </c>
      <c r="R1851" s="4">
        <f>SUM(P1851:Q1851)</f>
        <v>0</v>
      </c>
      <c r="S1851" s="4">
        <f>O1851-R1851</f>
        <v>0</v>
      </c>
      <c r="T1851" s="12">
        <f>IFERROR(R1851/O1851,0)</f>
        <v>0</v>
      </c>
      <c r="Y1851" s="2"/>
      <c r="Z1851" s="2"/>
      <c r="AA1851" s="2"/>
      <c r="AB1851" s="2"/>
      <c r="AC1851" s="2"/>
    </row>
    <row r="1852" spans="1:29" ht="10.5" hidden="1">
      <c r="A1852" s="2">
        <f>A1851</f>
        <v>53</v>
      </c>
      <c r="B1852" s="2" t="str">
        <f>VLOOKUP($A1852,Controle!$B$4:$F$68,2,FALSE)</f>
        <v>São Sebastião 1</v>
      </c>
      <c r="C1852" s="2" t="str">
        <f>VLOOKUP($A1852,Controle!$B$4:$F$68,3,FALSE)</f>
        <v>MORI MINAS IV</v>
      </c>
      <c r="D1852" s="2" t="str">
        <f>VLOOKUP($A1852,Controle!$B$4:$F$68,4,FALSE)</f>
        <v>NewCo IV</v>
      </c>
      <c r="E1852" s="2" t="str">
        <f>VLOOKUP($A1852,Controle!$B$4:$F$68,5,FALSE)</f>
        <v>weg</v>
      </c>
      <c r="F1852" s="3" t="str">
        <f>F1817</f>
        <v>Equipamentos Curva A -  Contrato Sobressalentes - Arctech</v>
      </c>
      <c r="G1852" s="2" t="str">
        <f>VLOOKUP($A1852,Controle!$B$4:$G$68,6,FALSE)</f>
        <v>Solatio</v>
      </c>
      <c r="H1852" s="6">
        <v>0</v>
      </c>
      <c r="I1852" s="6">
        <v>0</v>
      </c>
      <c r="J1852" s="6">
        <v>0</v>
      </c>
      <c r="K1852" s="6">
        <v>0</v>
      </c>
      <c r="L1852" s="6">
        <v>0</v>
      </c>
      <c r="M1852" s="6">
        <v>0</v>
      </c>
      <c r="N1852" s="6">
        <v>0</v>
      </c>
      <c r="O1852" s="4">
        <f>SUM(I1852:N1852)</f>
        <v>0</v>
      </c>
      <c r="P1852" s="5">
        <f>SUMIFS('Desenvolvimento diário'!$H:$H,'Desenvolvimento diário'!$Q:$Q,$B1852,'Desenvolvimento diário'!$P:$P,$F1852,'Desenvolvimento diário'!$R:$R,"Sim")</f>
        <v>0</v>
      </c>
      <c r="Q1852" s="5">
        <f>SUMIFS('Desenvolvimento diário'!$H:$H,'Desenvolvimento diário'!$Q:$Q,$B1852,'Desenvolvimento diário'!$P:$P,$F1852,'Desenvolvimento diário'!$R:$R,"Não")</f>
        <v>0</v>
      </c>
      <c r="R1852" s="4">
        <f>SUM(P1852:Q1852)</f>
        <v>0</v>
      </c>
      <c r="S1852" s="4">
        <f>O1852-R1852</f>
        <v>0</v>
      </c>
      <c r="T1852" s="12">
        <f>IFERROR(R1852/O1852,0)</f>
        <v>0</v>
      </c>
      <c r="Y1852" s="2"/>
      <c r="Z1852" s="2"/>
      <c r="AA1852" s="2"/>
      <c r="AB1852" s="2"/>
      <c r="AC1852" s="2"/>
    </row>
    <row r="1853" spans="1:29" hidden="1">
      <c r="A1853" s="2">
        <f>A1852</f>
        <v>53</v>
      </c>
      <c r="B1853" s="2" t="str">
        <f>VLOOKUP($A1853,Controle!$B$4:$F$68,2,FALSE)</f>
        <v>São Sebastião 1</v>
      </c>
      <c r="C1853" s="2" t="str">
        <f>VLOOKUP($A1853,Controle!$B$4:$F$68,3,FALSE)</f>
        <v>MORI MINAS IV</v>
      </c>
      <c r="D1853" s="2" t="str">
        <f>VLOOKUP($A1853,Controle!$B$4:$F$68,4,FALSE)</f>
        <v>NewCo IV</v>
      </c>
      <c r="E1853" s="2" t="str">
        <f>VLOOKUP($A1853,Controle!$B$4:$F$68,5,FALSE)</f>
        <v>weg</v>
      </c>
      <c r="F1853" s="3" t="str">
        <f>F1818</f>
        <v>Equipamentos Curva A -  Contrato Sobressalentes - Romagnole</v>
      </c>
      <c r="G1853" s="2" t="str">
        <f>VLOOKUP($A1853,Controle!$B$4:$G$68,6,FALSE)</f>
        <v>Solatio</v>
      </c>
      <c r="H1853" s="7">
        <v>0</v>
      </c>
      <c r="I1853" s="7">
        <v>0</v>
      </c>
      <c r="J1853" s="7">
        <v>0</v>
      </c>
      <c r="K1853" s="7">
        <v>0</v>
      </c>
      <c r="L1853" s="7">
        <v>0</v>
      </c>
      <c r="M1853" s="7">
        <v>0</v>
      </c>
      <c r="N1853" s="7">
        <v>0</v>
      </c>
      <c r="O1853" s="4">
        <f>SUM(I1853:N1853)</f>
        <v>0</v>
      </c>
      <c r="P1853" s="17">
        <f>SUMIFS('Desenvolvimento diário'!$H:$H,'Desenvolvimento diário'!$Q:$Q,$B1853,'Desenvolvimento diário'!$P:$P,$F1853,'Desenvolvimento diário'!$R:$R,"Sim")</f>
        <v>0</v>
      </c>
      <c r="Q1853" s="17">
        <f>SUMIFS('Desenvolvimento diário'!$H:$H,'Desenvolvimento diário'!$Q:$Q,$B1853,'Desenvolvimento diário'!$P:$P,$F1853,'Desenvolvimento diário'!$R:$R,"Não")</f>
        <v>0</v>
      </c>
      <c r="R1853" s="4">
        <f>SUM(P1853:Q1853)</f>
        <v>0</v>
      </c>
      <c r="S1853" s="4">
        <f>O1853-R1853</f>
        <v>0</v>
      </c>
      <c r="T1853" s="12">
        <f>IFERROR(R1853/O1853,0)</f>
        <v>0</v>
      </c>
      <c r="Y1853" s="2"/>
      <c r="Z1853" s="2"/>
      <c r="AA1853" s="2"/>
      <c r="AB1853" s="2"/>
      <c r="AC1853" s="2"/>
    </row>
    <row r="1854" spans="1:29" hidden="1">
      <c r="A1854" s="2">
        <f t="shared" ref="A1854:A1855" si="583">A1853</f>
        <v>53</v>
      </c>
      <c r="B1854" s="2" t="str">
        <f>VLOOKUP($A1854,Controle!$B$4:$F$68,2,FALSE)</f>
        <v>São Sebastião 1</v>
      </c>
      <c r="C1854" s="2" t="str">
        <f>VLOOKUP($A1854,Controle!$B$4:$F$68,3,FALSE)</f>
        <v>MORI MINAS IV</v>
      </c>
      <c r="D1854" s="2" t="str">
        <f>VLOOKUP($A1854,Controle!$B$4:$F$68,4,FALSE)</f>
        <v>NewCo IV</v>
      </c>
      <c r="E1854" s="2" t="str">
        <f>VLOOKUP($A1854,Controle!$B$4:$F$68,5,FALSE)</f>
        <v>weg</v>
      </c>
      <c r="F1854" s="3" t="str">
        <f t="shared" ref="F1854:F1855" si="584">F1819</f>
        <v>GOS FLORESTAL - (PRAD - Recuperação Area Ambiental)</v>
      </c>
      <c r="G1854" s="2" t="str">
        <f>VLOOKUP($A1854,Controle!$B$4:$G$68,6,FALSE)</f>
        <v>Solatio</v>
      </c>
      <c r="H1854" s="506" t="s">
        <v>170</v>
      </c>
      <c r="I1854" s="7">
        <v>0</v>
      </c>
      <c r="J1854" s="7">
        <v>0</v>
      </c>
      <c r="K1854" s="7">
        <v>0</v>
      </c>
      <c r="L1854" s="7">
        <v>0</v>
      </c>
      <c r="M1854" s="7">
        <v>0</v>
      </c>
      <c r="N1854" s="7">
        <v>0</v>
      </c>
      <c r="O1854" s="39">
        <f t="shared" ref="O1854:O1855" si="585">SUM(I1854:N1854)</f>
        <v>0</v>
      </c>
      <c r="P1854" s="17">
        <f>SUMIFS('Desenvolvimento diário'!$H:$H,'Desenvolvimento diário'!$Q:$Q,$B1854,'Desenvolvimento diário'!$P:$P,$F1854,'Desenvolvimento diário'!$R:$R,"Sim")</f>
        <v>0</v>
      </c>
      <c r="Q1854" s="17">
        <f>SUMIFS('Desenvolvimento diário'!$H:$H,'Desenvolvimento diário'!$Q:$Q,$B1854,'Desenvolvimento diário'!$P:$P,$F1854,'Desenvolvimento diário'!$R:$R,"Não")</f>
        <v>0</v>
      </c>
      <c r="R1854" s="4">
        <f t="shared" ref="R1854:R1855" si="586">SUM(P1854:Q1854)</f>
        <v>0</v>
      </c>
      <c r="S1854" s="4">
        <f t="shared" ref="S1854:S1855" si="587">O1854-R1854</f>
        <v>0</v>
      </c>
      <c r="T1854" s="12">
        <f t="shared" ref="T1854:T1855" si="588">IFERROR(R1854/O1854,0)</f>
        <v>0</v>
      </c>
      <c r="Y1854" s="2"/>
      <c r="Z1854" s="2"/>
      <c r="AA1854" s="2"/>
      <c r="AB1854" s="2"/>
      <c r="AC1854" s="2"/>
    </row>
    <row r="1855" spans="1:29" hidden="1">
      <c r="A1855" s="2">
        <f t="shared" si="583"/>
        <v>53</v>
      </c>
      <c r="B1855" s="2" t="str">
        <f>VLOOKUP($A1855,Controle!$B$4:$F$68,2,FALSE)</f>
        <v>São Sebastião 1</v>
      </c>
      <c r="C1855" s="2" t="str">
        <f>VLOOKUP($A1855,Controle!$B$4:$F$68,3,FALSE)</f>
        <v>MORI MINAS IV</v>
      </c>
      <c r="D1855" s="2" t="str">
        <f>VLOOKUP($A1855,Controle!$B$4:$F$68,4,FALSE)</f>
        <v>NewCo IV</v>
      </c>
      <c r="E1855" s="2" t="str">
        <f>VLOOKUP($A1855,Controle!$B$4:$F$68,5,FALSE)</f>
        <v>weg</v>
      </c>
      <c r="F1855" s="3" t="str">
        <f t="shared" si="584"/>
        <v>Cercamento das bacias de contenção ciclo 2</v>
      </c>
      <c r="G1855" s="2" t="str">
        <f>VLOOKUP($A1855,Controle!$B$4:$G$68,6,FALSE)</f>
        <v>Solatio</v>
      </c>
      <c r="H1855" s="506" t="s">
        <v>172</v>
      </c>
      <c r="I1855" s="6"/>
      <c r="J1855" s="506"/>
      <c r="K1855" s="506">
        <v>0</v>
      </c>
      <c r="L1855" s="506">
        <v>0</v>
      </c>
      <c r="M1855" s="506">
        <v>0</v>
      </c>
      <c r="N1855" s="506">
        <v>0</v>
      </c>
      <c r="O1855" s="39">
        <f t="shared" si="585"/>
        <v>0</v>
      </c>
      <c r="P1855" s="17">
        <f>SUMIFS('Desenvolvimento diário'!$H:$H,'Desenvolvimento diário'!$Q:$Q,$B1855,'Desenvolvimento diário'!$P:$P,$F1855,'Desenvolvimento diário'!$R:$R,"Sim")</f>
        <v>0</v>
      </c>
      <c r="Q1855" s="17">
        <f>SUMIFS('Desenvolvimento diário'!$H:$H,'Desenvolvimento diário'!$Q:$Q,$B1855,'Desenvolvimento diário'!$P:$P,$F1855,'Desenvolvimento diário'!$R:$R,"Não")</f>
        <v>0</v>
      </c>
      <c r="R1855" s="4">
        <f t="shared" si="586"/>
        <v>0</v>
      </c>
      <c r="S1855" s="1030">
        <f t="shared" si="587"/>
        <v>0</v>
      </c>
      <c r="T1855" s="12">
        <f t="shared" si="588"/>
        <v>0</v>
      </c>
      <c r="U1855" s="1029" t="s">
        <v>166</v>
      </c>
      <c r="V1855" s="1029" t="s">
        <v>94</v>
      </c>
      <c r="Y1855" s="2"/>
      <c r="Z1855" s="2"/>
      <c r="AA1855" s="2"/>
      <c r="AB1855" s="2"/>
      <c r="AC1855" s="2"/>
    </row>
    <row r="1856" spans="1:29" hidden="1">
      <c r="A1856" s="8">
        <f>A1853</f>
        <v>53</v>
      </c>
      <c r="B1856" s="9" t="str">
        <f>B1853</f>
        <v>São Sebastião 1</v>
      </c>
      <c r="C1856" s="9" t="str">
        <f>C1853</f>
        <v>MORI MINAS IV</v>
      </c>
      <c r="D1856" s="9" t="str">
        <f>D1853</f>
        <v>NewCo IV</v>
      </c>
      <c r="E1856" s="9" t="str">
        <f>E1853</f>
        <v>weg</v>
      </c>
      <c r="F1856" s="10" t="s">
        <v>158</v>
      </c>
      <c r="G1856" s="9" t="str">
        <f>G1853</f>
        <v>Solatio</v>
      </c>
      <c r="H1856" s="9"/>
      <c r="I1856" s="9">
        <f>SUBTOTAL(9,I1822:I1855)</f>
        <v>0</v>
      </c>
      <c r="J1856" s="9">
        <f t="shared" ref="J1856:S1856" si="589">SUBTOTAL(9,J1822:J1855)</f>
        <v>0</v>
      </c>
      <c r="K1856" s="9">
        <f t="shared" si="589"/>
        <v>0</v>
      </c>
      <c r="L1856" s="9">
        <f t="shared" si="589"/>
        <v>0</v>
      </c>
      <c r="M1856" s="9">
        <f t="shared" si="589"/>
        <v>0</v>
      </c>
      <c r="N1856" s="9">
        <f t="shared" si="589"/>
        <v>0</v>
      </c>
      <c r="O1856" s="9">
        <f t="shared" si="589"/>
        <v>0</v>
      </c>
      <c r="P1856" s="9">
        <f t="shared" si="589"/>
        <v>0</v>
      </c>
      <c r="Q1856" s="9">
        <f t="shared" si="589"/>
        <v>0</v>
      </c>
      <c r="R1856" s="9">
        <f t="shared" si="589"/>
        <v>0</v>
      </c>
      <c r="S1856" s="9">
        <f t="shared" si="589"/>
        <v>0</v>
      </c>
      <c r="T1856" s="13">
        <f>IFERROR(R1856/O1856,0)</f>
        <v>0</v>
      </c>
      <c r="U1856" s="11">
        <f>SUBTOTAL(9,U1822:U1855)</f>
        <v>0</v>
      </c>
      <c r="Y1856" s="2"/>
      <c r="Z1856" s="2"/>
      <c r="AA1856" s="2"/>
      <c r="AB1856" s="2"/>
      <c r="AC1856" s="2"/>
    </row>
    <row r="1857" spans="1:29" ht="10.5" hidden="1">
      <c r="A1857" s="2">
        <f>A1822+1</f>
        <v>54</v>
      </c>
      <c r="B1857" s="2" t="str">
        <f>VLOOKUP($A1857,Controle!$B$4:$F$68,2,FALSE)</f>
        <v>São Sebastião 3</v>
      </c>
      <c r="C1857" s="2" t="str">
        <f>VLOOKUP($A1857,Controle!$B$4:$F$68,3,FALSE)</f>
        <v>MORI MINAS V</v>
      </c>
      <c r="D1857" s="2" t="str">
        <f>VLOOKUP($A1857,Controle!$B$4:$F$68,4,FALSE)</f>
        <v>NewCo V</v>
      </c>
      <c r="E1857" s="2" t="str">
        <f>VLOOKUP($A1857,Controle!$B$4:$F$68,5,FALSE)</f>
        <v>weg</v>
      </c>
      <c r="F1857" s="3" t="str">
        <f>F1822</f>
        <v>Conexão AT - Obras</v>
      </c>
      <c r="G1857" s="2" t="str">
        <f>VLOOKUP($A1857,Controle!$B$4:$G$68,6,FALSE)</f>
        <v>Solatio</v>
      </c>
      <c r="H1857" s="6" t="s">
        <v>182</v>
      </c>
      <c r="I1857" s="6">
        <v>0</v>
      </c>
      <c r="J1857" s="6">
        <v>0</v>
      </c>
      <c r="K1857" s="6">
        <v>0</v>
      </c>
      <c r="L1857" s="6">
        <v>0</v>
      </c>
      <c r="M1857" s="6">
        <v>0</v>
      </c>
      <c r="N1857" s="6">
        <v>0</v>
      </c>
      <c r="O1857" s="4">
        <f>SUM(I1857:N1857)</f>
        <v>0</v>
      </c>
      <c r="P1857" s="5">
        <f>SUMIFS('Desenvolvimento diário'!$H:$H,'Desenvolvimento diário'!$Q:$Q,$B1857,'Desenvolvimento diário'!$P:$P,$F1857,'Desenvolvimento diário'!$R:$R,"Sim")</f>
        <v>0</v>
      </c>
      <c r="Q1857" s="5">
        <f>SUMIFS('Desenvolvimento diário'!$H:$H,'Desenvolvimento diário'!$Q:$Q,$B1857,'Desenvolvimento diário'!$P:$P,$F1857,'Desenvolvimento diário'!$R:$R,"Não")</f>
        <v>0</v>
      </c>
      <c r="R1857" s="4">
        <f>SUM(P1857:Q1857)</f>
        <v>0</v>
      </c>
      <c r="S1857" s="4">
        <f>O1857-R1857</f>
        <v>0</v>
      </c>
      <c r="T1857" s="12">
        <f>IFERROR(R1857/O1857,0)</f>
        <v>0</v>
      </c>
      <c r="Y1857" s="2"/>
      <c r="Z1857" s="2"/>
      <c r="AA1857" s="2"/>
      <c r="AB1857" s="2"/>
      <c r="AC1857" s="2"/>
    </row>
    <row r="1858" spans="1:29" ht="10.5" hidden="1">
      <c r="A1858" s="2">
        <f>A1857</f>
        <v>54</v>
      </c>
      <c r="B1858" s="2" t="str">
        <f>VLOOKUP($A1858,Controle!$B$4:$F$68,2,FALSE)</f>
        <v>São Sebastião 3</v>
      </c>
      <c r="C1858" s="2" t="str">
        <f>VLOOKUP($A1858,Controle!$B$4:$F$68,3,FALSE)</f>
        <v>MORI MINAS V</v>
      </c>
      <c r="D1858" s="2" t="str">
        <f>VLOOKUP($A1858,Controle!$B$4:$F$68,4,FALSE)</f>
        <v>NewCo V</v>
      </c>
      <c r="E1858" s="2" t="str">
        <f>VLOOKUP($A1858,Controle!$B$4:$F$68,5,FALSE)</f>
        <v>weg</v>
      </c>
      <c r="F1858" s="3" t="str">
        <f>F1823</f>
        <v>Conexão MT - Obras</v>
      </c>
      <c r="G1858" s="2" t="str">
        <f>VLOOKUP($A1858,Controle!$B$4:$G$68,6,FALSE)</f>
        <v>Solatio</v>
      </c>
      <c r="H1858" s="6" t="s">
        <v>141</v>
      </c>
      <c r="I1858" s="6">
        <v>140268.71</v>
      </c>
      <c r="J1858" s="6">
        <v>127802.29</v>
      </c>
      <c r="K1858" s="6">
        <v>0</v>
      </c>
      <c r="L1858" s="6">
        <v>0</v>
      </c>
      <c r="M1858" s="6">
        <v>0</v>
      </c>
      <c r="N1858" s="6">
        <v>0</v>
      </c>
      <c r="O1858" s="4">
        <f>SUM(I1858:N1858)</f>
        <v>268071</v>
      </c>
      <c r="P1858" s="5">
        <f>SUMIFS('Desenvolvimento diário'!$H:$H,'Desenvolvimento diário'!$Q:$Q,$B1858,'Desenvolvimento diário'!$P:$P,$F1858,'Desenvolvimento diário'!$R:$R,"Sim")</f>
        <v>54289.240000000005</v>
      </c>
      <c r="Q1858" s="5">
        <f>SUMIFS('Desenvolvimento diário'!$H:$H,'Desenvolvimento diário'!$Q:$Q,$B1858,'Desenvolvimento diário'!$P:$P,$F1858,'Desenvolvimento diário'!$R:$R,"Não")</f>
        <v>213781.75999999998</v>
      </c>
      <c r="R1858" s="4">
        <f>SUM(P1858:Q1858)</f>
        <v>268071</v>
      </c>
      <c r="S1858" s="4">
        <f>O1858-R1858</f>
        <v>0</v>
      </c>
      <c r="T1858" s="12">
        <f>IFERROR(R1858/O1858,0)</f>
        <v>1</v>
      </c>
      <c r="Y1858" s="2"/>
      <c r="Z1858" s="2"/>
      <c r="AA1858" s="2"/>
      <c r="AB1858" s="2"/>
      <c r="AC1858" s="2"/>
    </row>
    <row r="1859" spans="1:29" ht="10.5" hidden="1">
      <c r="A1859" s="2">
        <f>A1858</f>
        <v>54</v>
      </c>
      <c r="B1859" s="2" t="str">
        <f>VLOOKUP($A1859,Controle!$B$4:$F$68,2,FALSE)</f>
        <v>São Sebastião 3</v>
      </c>
      <c r="C1859" s="2" t="str">
        <f>VLOOKUP($A1859,Controle!$B$4:$F$68,3,FALSE)</f>
        <v>MORI MINAS V</v>
      </c>
      <c r="D1859" s="2" t="str">
        <f>VLOOKUP($A1859,Controle!$B$4:$F$68,4,FALSE)</f>
        <v>NewCo V</v>
      </c>
      <c r="E1859" s="2" t="str">
        <f>VLOOKUP($A1859,Controle!$B$4:$F$68,5,FALSE)</f>
        <v>weg</v>
      </c>
      <c r="F1859" s="3" t="str">
        <f>F1824</f>
        <v>Construção - Serviços de Construção</v>
      </c>
      <c r="G1859" s="2" t="str">
        <f>VLOOKUP($A1859,Controle!$B$4:$G$68,6,FALSE)</f>
        <v>Solatio</v>
      </c>
      <c r="H1859" s="6">
        <v>0</v>
      </c>
      <c r="I1859" s="6">
        <v>0</v>
      </c>
      <c r="J1859" s="6">
        <v>0</v>
      </c>
      <c r="K1859" s="6">
        <v>0</v>
      </c>
      <c r="L1859" s="6">
        <v>0</v>
      </c>
      <c r="M1859" s="6">
        <v>0</v>
      </c>
      <c r="N1859" s="6">
        <v>0</v>
      </c>
      <c r="O1859" s="4">
        <f>SUM(I1859:N1859)</f>
        <v>0</v>
      </c>
      <c r="P1859" s="5">
        <f>SUMIFS('Desenvolvimento diário'!$H:$H,'Desenvolvimento diário'!$Q:$Q,$B1859,'Desenvolvimento diário'!$P:$P,$F1859,'Desenvolvimento diário'!$R:$R,"Sim")</f>
        <v>0</v>
      </c>
      <c r="Q1859" s="5">
        <f>SUMIFS('Desenvolvimento diário'!$H:$H,'Desenvolvimento diário'!$Q:$Q,$B1859,'Desenvolvimento diário'!$P:$P,$F1859,'Desenvolvimento diário'!$R:$R,"Não")</f>
        <v>0</v>
      </c>
      <c r="R1859" s="4">
        <f>SUM(P1859:Q1859)</f>
        <v>0</v>
      </c>
      <c r="S1859" s="4">
        <f>O1859-R1859</f>
        <v>0</v>
      </c>
      <c r="T1859" s="12">
        <f>IFERROR(R1859/O1859,0)</f>
        <v>0</v>
      </c>
      <c r="Y1859" s="2"/>
      <c r="Z1859" s="2"/>
      <c r="AA1859" s="2"/>
      <c r="AB1859" s="2"/>
      <c r="AC1859" s="2"/>
    </row>
    <row r="1860" spans="1:29" ht="10.5" hidden="1">
      <c r="A1860" s="2">
        <f>A1859</f>
        <v>54</v>
      </c>
      <c r="B1860" s="2" t="str">
        <f>VLOOKUP($A1860,Controle!$B$4:$F$68,2,FALSE)</f>
        <v>São Sebastião 3</v>
      </c>
      <c r="C1860" s="2" t="str">
        <f>VLOOKUP($A1860,Controle!$B$4:$F$68,3,FALSE)</f>
        <v>MORI MINAS V</v>
      </c>
      <c r="D1860" s="2" t="str">
        <f>VLOOKUP($A1860,Controle!$B$4:$F$68,4,FALSE)</f>
        <v>NewCo V</v>
      </c>
      <c r="E1860" s="2" t="str">
        <f>VLOOKUP($A1860,Controle!$B$4:$F$68,5,FALSE)</f>
        <v>weg</v>
      </c>
      <c r="F1860" s="3" t="str">
        <f>F1825</f>
        <v>Construção - Serviços de Construção - Substituição</v>
      </c>
      <c r="G1860" s="2" t="str">
        <f>VLOOKUP($A1860,Controle!$B$4:$G$68,6,FALSE)</f>
        <v>Solatio</v>
      </c>
      <c r="H1860" s="6">
        <v>0</v>
      </c>
      <c r="I1860" s="6">
        <v>0</v>
      </c>
      <c r="J1860" s="6">
        <v>0</v>
      </c>
      <c r="K1860" s="6">
        <v>0</v>
      </c>
      <c r="L1860" s="6">
        <v>0</v>
      </c>
      <c r="M1860" s="6">
        <v>0</v>
      </c>
      <c r="N1860" s="6">
        <v>0</v>
      </c>
      <c r="O1860" s="4">
        <f>SUM(I1860:N1860)</f>
        <v>0</v>
      </c>
      <c r="P1860" s="5">
        <f>SUMIFS('Desenvolvimento diário'!$H:$H,'Desenvolvimento diário'!$Q:$Q,$B1860,'Desenvolvimento diário'!$P:$P,$F1860,'Desenvolvimento diário'!$R:$R,"Sim")</f>
        <v>0</v>
      </c>
      <c r="Q1860" s="5">
        <f>SUMIFS('Desenvolvimento diário'!$H:$H,'Desenvolvimento diário'!$Q:$Q,$B1860,'Desenvolvimento diário'!$P:$P,$F1860,'Desenvolvimento diário'!$R:$R,"Não")</f>
        <v>0</v>
      </c>
      <c r="R1860" s="4">
        <f>SUM(P1860:Q1860)</f>
        <v>0</v>
      </c>
      <c r="S1860" s="4">
        <f>O1860-R1860</f>
        <v>0</v>
      </c>
      <c r="T1860" s="12">
        <f>IFERROR(R1860/O1860,0)</f>
        <v>0</v>
      </c>
      <c r="Y1860" s="2"/>
      <c r="Z1860" s="2"/>
      <c r="AA1860" s="2"/>
      <c r="AB1860" s="2"/>
      <c r="AC1860" s="2"/>
    </row>
    <row r="1861" spans="1:29" ht="10.5" hidden="1">
      <c r="A1861" s="2">
        <f>A1860</f>
        <v>54</v>
      </c>
      <c r="B1861" s="2" t="str">
        <f>VLOOKUP($A1861,Controle!$B$4:$F$68,2,FALSE)</f>
        <v>São Sebastião 3</v>
      </c>
      <c r="C1861" s="2" t="str">
        <f>VLOOKUP($A1861,Controle!$B$4:$F$68,3,FALSE)</f>
        <v>MORI MINAS V</v>
      </c>
      <c r="D1861" s="2" t="str">
        <f>VLOOKUP($A1861,Controle!$B$4:$F$68,4,FALSE)</f>
        <v>NewCo V</v>
      </c>
      <c r="E1861" s="2" t="str">
        <f>VLOOKUP($A1861,Controle!$B$4:$F$68,5,FALSE)</f>
        <v>weg</v>
      </c>
      <c r="F1861" s="3" t="str">
        <f>F1826</f>
        <v>Construção - RDA Interno</v>
      </c>
      <c r="G1861" s="2" t="str">
        <f>VLOOKUP($A1861,Controle!$B$4:$G$68,6,FALSE)</f>
        <v>Solatio</v>
      </c>
      <c r="H1861" s="6">
        <v>0</v>
      </c>
      <c r="I1861" s="6">
        <v>0</v>
      </c>
      <c r="J1861" s="6">
        <v>0</v>
      </c>
      <c r="K1861" s="6">
        <v>0</v>
      </c>
      <c r="L1861" s="6">
        <v>0</v>
      </c>
      <c r="M1861" s="6">
        <v>0</v>
      </c>
      <c r="N1861" s="6">
        <v>0</v>
      </c>
      <c r="O1861" s="4">
        <f>SUM(I1861:N1861)</f>
        <v>0</v>
      </c>
      <c r="P1861" s="5">
        <f>SUMIFS('Desenvolvimento diário'!$H:$H,'Desenvolvimento diário'!$Q:$Q,$B1861,'Desenvolvimento diário'!$P:$P,$F1861,'Desenvolvimento diário'!$R:$R,"Sim")</f>
        <v>0</v>
      </c>
      <c r="Q1861" s="5">
        <f>SUMIFS('Desenvolvimento diário'!$H:$H,'Desenvolvimento diário'!$Q:$Q,$B1861,'Desenvolvimento diário'!$P:$P,$F1861,'Desenvolvimento diário'!$R:$R,"Não")</f>
        <v>0</v>
      </c>
      <c r="R1861" s="4">
        <f>SUM(P1861:Q1861)</f>
        <v>0</v>
      </c>
      <c r="S1861" s="4">
        <f>O1861-R1861</f>
        <v>0</v>
      </c>
      <c r="T1861" s="12">
        <f>IFERROR(R1861/O1861,0)</f>
        <v>0</v>
      </c>
      <c r="Y1861" s="2"/>
      <c r="Z1861" s="2"/>
      <c r="AA1861" s="2"/>
      <c r="AB1861" s="2"/>
      <c r="AC1861" s="2"/>
    </row>
    <row r="1862" spans="1:29" ht="10.5" hidden="1">
      <c r="A1862" s="2">
        <f>A1861</f>
        <v>54</v>
      </c>
      <c r="B1862" s="2" t="str">
        <f>VLOOKUP($A1862,Controle!$B$4:$F$68,2,FALSE)</f>
        <v>São Sebastião 3</v>
      </c>
      <c r="C1862" s="2" t="str">
        <f>VLOOKUP($A1862,Controle!$B$4:$F$68,3,FALSE)</f>
        <v>MORI MINAS V</v>
      </c>
      <c r="D1862" s="2" t="str">
        <f>VLOOKUP($A1862,Controle!$B$4:$F$68,4,FALSE)</f>
        <v>NewCo V</v>
      </c>
      <c r="E1862" s="2" t="str">
        <f>VLOOKUP($A1862,Controle!$B$4:$F$68,5,FALSE)</f>
        <v>weg</v>
      </c>
      <c r="F1862" s="3" t="str">
        <f>F1827</f>
        <v>Full EPC - Contrato</v>
      </c>
      <c r="G1862" s="2" t="str">
        <f>VLOOKUP($A1862,Controle!$B$4:$G$68,6,FALSE)</f>
        <v>Solatio</v>
      </c>
      <c r="H1862" s="6" t="s">
        <v>21</v>
      </c>
      <c r="I1862" s="6">
        <v>14646682.470000001</v>
      </c>
      <c r="J1862" s="6"/>
      <c r="K1862" s="6">
        <v>0</v>
      </c>
      <c r="L1862" s="6">
        <v>0</v>
      </c>
      <c r="M1862" s="6">
        <v>0</v>
      </c>
      <c r="N1862" s="6">
        <v>0</v>
      </c>
      <c r="O1862" s="4">
        <f>SUM(I1862:N1862)</f>
        <v>14646682.470000001</v>
      </c>
      <c r="P1862" s="5">
        <f>SUMIFS('Desenvolvimento diário'!$H:$H,'Desenvolvimento diário'!$Q:$Q,$B1862,'Desenvolvimento diário'!$P:$P,$F1862,'Desenvolvimento diário'!$R:$R,"Sim")</f>
        <v>0</v>
      </c>
      <c r="Q1862" s="5">
        <f>SUMIFS('Desenvolvimento diário'!$H:$H,'Desenvolvimento diário'!$Q:$Q,$B1862,'Desenvolvimento diário'!$P:$P,$F1862,'Desenvolvimento diário'!$R:$R,"Não")</f>
        <v>14646682.469999995</v>
      </c>
      <c r="R1862" s="4">
        <f>SUM(P1862:Q1862)</f>
        <v>14646682.469999995</v>
      </c>
      <c r="S1862" s="4">
        <f>O1862-R1862</f>
        <v>0</v>
      </c>
      <c r="T1862" s="12">
        <f>IFERROR(R1862/O1862,0)</f>
        <v>0.99999999999999967</v>
      </c>
      <c r="Y1862" s="2"/>
      <c r="Z1862" s="2"/>
      <c r="AA1862" s="2"/>
      <c r="AB1862" s="2"/>
      <c r="AC1862" s="2"/>
    </row>
    <row r="1863" spans="1:29" ht="10.5" hidden="1">
      <c r="A1863" s="2">
        <f>A1862</f>
        <v>54</v>
      </c>
      <c r="B1863" s="2" t="str">
        <f>VLOOKUP($A1863,Controle!$B$4:$F$68,2,FALSE)</f>
        <v>São Sebastião 3</v>
      </c>
      <c r="C1863" s="2" t="str">
        <f>VLOOKUP($A1863,Controle!$B$4:$F$68,3,FALSE)</f>
        <v>MORI MINAS V</v>
      </c>
      <c r="D1863" s="2" t="str">
        <f>VLOOKUP($A1863,Controle!$B$4:$F$68,4,FALSE)</f>
        <v>NewCo V</v>
      </c>
      <c r="E1863" s="2" t="str">
        <f>VLOOKUP($A1863,Controle!$B$4:$F$68,5,FALSE)</f>
        <v>weg</v>
      </c>
      <c r="F1863" s="3" t="str">
        <f>F1828</f>
        <v>Equipamentos Curva A - Outros (Transformadores)</v>
      </c>
      <c r="G1863" s="2" t="str">
        <f>VLOOKUP($A1863,Controle!$B$4:$G$68,6,FALSE)</f>
        <v>Solatio</v>
      </c>
      <c r="H1863" s="6">
        <v>0</v>
      </c>
      <c r="I1863" s="6">
        <v>0</v>
      </c>
      <c r="J1863" s="6">
        <v>0</v>
      </c>
      <c r="K1863" s="6">
        <v>0</v>
      </c>
      <c r="L1863" s="6">
        <v>0</v>
      </c>
      <c r="M1863" s="6">
        <v>0</v>
      </c>
      <c r="N1863" s="6">
        <v>0</v>
      </c>
      <c r="O1863" s="4">
        <f>SUM(I1863:N1863)</f>
        <v>0</v>
      </c>
      <c r="P1863" s="5">
        <f>SUMIFS('Desenvolvimento diário'!$H:$H,'Desenvolvimento diário'!$Q:$Q,$B1863,'Desenvolvimento diário'!$P:$P,$F1863,'Desenvolvimento diário'!$R:$R,"Sim")</f>
        <v>0</v>
      </c>
      <c r="Q1863" s="5">
        <f>SUMIFS('Desenvolvimento diário'!$H:$H,'Desenvolvimento diário'!$Q:$Q,$B1863,'Desenvolvimento diário'!$P:$P,$F1863,'Desenvolvimento diário'!$R:$R,"Não")</f>
        <v>0</v>
      </c>
      <c r="R1863" s="4">
        <f>SUM(P1863:Q1863)</f>
        <v>0</v>
      </c>
      <c r="S1863" s="4">
        <f>O1863-R1863</f>
        <v>0</v>
      </c>
      <c r="T1863" s="12">
        <f>IFERROR(R1863/O1863,0)</f>
        <v>0</v>
      </c>
      <c r="Y1863" s="2"/>
      <c r="Z1863" s="2"/>
      <c r="AA1863" s="2"/>
      <c r="AB1863" s="2"/>
      <c r="AC1863" s="2"/>
    </row>
    <row r="1864" spans="1:29" ht="10.5" hidden="1">
      <c r="A1864" s="2">
        <f>A1863</f>
        <v>54</v>
      </c>
      <c r="B1864" s="2" t="str">
        <f>VLOOKUP($A1864,Controle!$B$4:$F$68,2,FALSE)</f>
        <v>São Sebastião 3</v>
      </c>
      <c r="C1864" s="2" t="str">
        <f>VLOOKUP($A1864,Controle!$B$4:$F$68,3,FALSE)</f>
        <v>MORI MINAS V</v>
      </c>
      <c r="D1864" s="2" t="str">
        <f>VLOOKUP($A1864,Controle!$B$4:$F$68,4,FALSE)</f>
        <v>NewCo V</v>
      </c>
      <c r="E1864" s="2" t="str">
        <f>VLOOKUP($A1864,Controle!$B$4:$F$68,5,FALSE)</f>
        <v>weg</v>
      </c>
      <c r="F1864" s="3" t="str">
        <f>F1829</f>
        <v>Equipamentos Curva A - Outros (Cabine + Skid)</v>
      </c>
      <c r="G1864" s="2" t="str">
        <f>VLOOKUP($A1864,Controle!$B$4:$G$68,6,FALSE)</f>
        <v>Solatio</v>
      </c>
      <c r="H1864" s="6">
        <v>0</v>
      </c>
      <c r="I1864" s="6">
        <v>0</v>
      </c>
      <c r="J1864" s="6">
        <v>0</v>
      </c>
      <c r="K1864" s="6">
        <v>0</v>
      </c>
      <c r="L1864" s="6">
        <v>0</v>
      </c>
      <c r="M1864" s="6">
        <v>0</v>
      </c>
      <c r="N1864" s="6">
        <v>0</v>
      </c>
      <c r="O1864" s="4">
        <f>SUM(I1864:N1864)</f>
        <v>0</v>
      </c>
      <c r="P1864" s="5">
        <f>SUMIFS('Desenvolvimento diário'!$H:$H,'Desenvolvimento diário'!$Q:$Q,$B1864,'Desenvolvimento diário'!$P:$P,$F1864,'Desenvolvimento diário'!$R:$R,"Sim")</f>
        <v>0</v>
      </c>
      <c r="Q1864" s="5">
        <f>SUMIFS('Desenvolvimento diário'!$H:$H,'Desenvolvimento diário'!$Q:$Q,$B1864,'Desenvolvimento diário'!$P:$P,$F1864,'Desenvolvimento diário'!$R:$R,"Não")</f>
        <v>0</v>
      </c>
      <c r="R1864" s="4">
        <f>SUM(P1864:Q1864)</f>
        <v>0</v>
      </c>
      <c r="S1864" s="4">
        <f>O1864-R1864</f>
        <v>0</v>
      </c>
      <c r="T1864" s="12">
        <f>IFERROR(R1864/O1864,0)</f>
        <v>0</v>
      </c>
      <c r="Y1864" s="2"/>
      <c r="Z1864" s="2"/>
      <c r="AA1864" s="2"/>
      <c r="AB1864" s="2"/>
      <c r="AC1864" s="2"/>
    </row>
    <row r="1865" spans="1:29" ht="10.5" hidden="1">
      <c r="A1865" s="2">
        <f>A1864</f>
        <v>54</v>
      </c>
      <c r="B1865" s="2" t="str">
        <f>VLOOKUP($A1865,Controle!$B$4:$F$68,2,FALSE)</f>
        <v>São Sebastião 3</v>
      </c>
      <c r="C1865" s="2" t="str">
        <f>VLOOKUP($A1865,Controle!$B$4:$F$68,3,FALSE)</f>
        <v>MORI MINAS V</v>
      </c>
      <c r="D1865" s="2" t="str">
        <f>VLOOKUP($A1865,Controle!$B$4:$F$68,4,FALSE)</f>
        <v>NewCo V</v>
      </c>
      <c r="E1865" s="2" t="str">
        <f>VLOOKUP($A1865,Controle!$B$4:$F$68,5,FALSE)</f>
        <v>weg</v>
      </c>
      <c r="F1865" s="3" t="str">
        <f>F1830</f>
        <v>Equipamentos Curva A - Outros (Cabine + Skid + Transformador)</v>
      </c>
      <c r="G1865" s="2" t="str">
        <f>VLOOKUP($A1865,Controle!$B$4:$G$68,6,FALSE)</f>
        <v>Solatio</v>
      </c>
      <c r="H1865" s="6" t="s">
        <v>144</v>
      </c>
      <c r="I1865" s="6">
        <v>363377.67356800003</v>
      </c>
      <c r="J1865" s="6">
        <v>0</v>
      </c>
      <c r="K1865" s="6">
        <v>0</v>
      </c>
      <c r="L1865" s="6">
        <v>0</v>
      </c>
      <c r="M1865" s="6">
        <v>0</v>
      </c>
      <c r="N1865" s="6">
        <v>0</v>
      </c>
      <c r="O1865" s="4">
        <f>SUM(I1865:N1865)</f>
        <v>363377.67356800003</v>
      </c>
      <c r="P1865" s="5">
        <f>SUMIFS('Desenvolvimento diário'!$H:$H,'Desenvolvimento diário'!$Q:$Q,$B1865,'Desenvolvimento diário'!$P:$P,$F1865,'Desenvolvimento diário'!$R:$R,"Sim")</f>
        <v>0</v>
      </c>
      <c r="Q1865" s="5">
        <f>SUMIFS('Desenvolvimento diário'!$H:$H,'Desenvolvimento diário'!$Q:$Q,$B1865,'Desenvolvimento diário'!$P:$P,$F1865,'Desenvolvimento diário'!$R:$R,"Não")</f>
        <v>363377.67356800003</v>
      </c>
      <c r="R1865" s="4">
        <f>SUM(P1865:Q1865)</f>
        <v>363377.67356800003</v>
      </c>
      <c r="S1865" s="4">
        <f>O1865-R1865</f>
        <v>0</v>
      </c>
      <c r="T1865" s="12">
        <f>IFERROR(R1865/O1865,0)</f>
        <v>1</v>
      </c>
      <c r="Y1865" s="2"/>
      <c r="Z1865" s="2"/>
      <c r="AA1865" s="2"/>
      <c r="AB1865" s="2"/>
      <c r="AC1865" s="2"/>
    </row>
    <row r="1866" spans="1:29" ht="10.5" hidden="1">
      <c r="A1866" s="2">
        <f>A1865</f>
        <v>54</v>
      </c>
      <c r="B1866" s="2" t="str">
        <f>VLOOKUP($A1866,Controle!$B$4:$F$68,2,FALSE)</f>
        <v>São Sebastião 3</v>
      </c>
      <c r="C1866" s="2" t="str">
        <f>VLOOKUP($A1866,Controle!$B$4:$F$68,3,FALSE)</f>
        <v>MORI MINAS V</v>
      </c>
      <c r="D1866" s="2" t="str">
        <f>VLOOKUP($A1866,Controle!$B$4:$F$68,4,FALSE)</f>
        <v>NewCo V</v>
      </c>
      <c r="E1866" s="2" t="str">
        <f>VLOOKUP($A1866,Controle!$B$4:$F$68,5,FALSE)</f>
        <v>weg</v>
      </c>
      <c r="F1866" s="3" t="str">
        <f>F1831</f>
        <v>Desenvolvimento de projeto - Projetos - (Eng° Proprietario)</v>
      </c>
      <c r="G1866" s="2" t="str">
        <f>VLOOKUP($A1866,Controle!$B$4:$G$68,6,FALSE)</f>
        <v>Solatio</v>
      </c>
      <c r="H1866" s="6" t="s">
        <v>176</v>
      </c>
      <c r="I1866" s="6">
        <f>R1866</f>
        <v>78097.689999999988</v>
      </c>
      <c r="J1866" s="6">
        <v>0</v>
      </c>
      <c r="K1866" s="6">
        <v>0</v>
      </c>
      <c r="L1866" s="6">
        <v>0</v>
      </c>
      <c r="M1866" s="6">
        <v>0</v>
      </c>
      <c r="N1866" s="6">
        <v>0</v>
      </c>
      <c r="O1866" s="4">
        <f>SUM(I1866:N1866)</f>
        <v>78097.689999999988</v>
      </c>
      <c r="P1866" s="5">
        <f>SUMIFS('Desenvolvimento diário'!$H:$H,'Desenvolvimento diário'!$Q:$Q,$B1866,'Desenvolvimento diário'!$P:$P,$F1866,'Desenvolvimento diário'!$R:$R,"Sim")</f>
        <v>0</v>
      </c>
      <c r="Q1866" s="5">
        <f>SUMIFS('Desenvolvimento diário'!$H:$H,'Desenvolvimento diário'!$Q:$Q,$B1866,'Desenvolvimento diário'!$P:$P,$F1866,'Desenvolvimento diário'!$R:$R,"Não")</f>
        <v>78097.689999999988</v>
      </c>
      <c r="R1866" s="4">
        <f>SUM(P1866:Q1866)</f>
        <v>78097.689999999988</v>
      </c>
      <c r="S1866" s="4">
        <f>O1866-R1866</f>
        <v>0</v>
      </c>
      <c r="T1866" s="12">
        <f>IFERROR(R1866/O1866,0)</f>
        <v>1</v>
      </c>
      <c r="Y1866" s="2"/>
      <c r="Z1866" s="2"/>
      <c r="AA1866" s="2"/>
      <c r="AB1866" s="2"/>
      <c r="AC1866" s="2"/>
    </row>
    <row r="1867" spans="1:29" ht="10.5" hidden="1">
      <c r="A1867" s="2">
        <f>A1866</f>
        <v>54</v>
      </c>
      <c r="B1867" s="2" t="str">
        <f>VLOOKUP($A1867,Controle!$B$4:$F$68,2,FALSE)</f>
        <v>São Sebastião 3</v>
      </c>
      <c r="C1867" s="2" t="str">
        <f>VLOOKUP($A1867,Controle!$B$4:$F$68,3,FALSE)</f>
        <v>MORI MINAS V</v>
      </c>
      <c r="D1867" s="2" t="str">
        <f>VLOOKUP($A1867,Controle!$B$4:$F$68,4,FALSE)</f>
        <v>NewCo V</v>
      </c>
      <c r="E1867" s="2" t="str">
        <f>VLOOKUP($A1867,Controle!$B$4:$F$68,5,FALSE)</f>
        <v>weg</v>
      </c>
      <c r="F1867" s="3" t="str">
        <f>F1832</f>
        <v>Desenvolvimento de projeto - Projetos - Executivos</v>
      </c>
      <c r="G1867" s="2" t="str">
        <f>VLOOKUP($A1867,Controle!$B$4:$G$68,6,FALSE)</f>
        <v>Solatio</v>
      </c>
      <c r="H1867" s="6">
        <v>0</v>
      </c>
      <c r="I1867" s="6">
        <v>0</v>
      </c>
      <c r="J1867" s="6">
        <v>0</v>
      </c>
      <c r="K1867" s="6">
        <v>0</v>
      </c>
      <c r="L1867" s="6">
        <v>0</v>
      </c>
      <c r="M1867" s="6">
        <v>0</v>
      </c>
      <c r="N1867" s="6">
        <v>0</v>
      </c>
      <c r="O1867" s="4">
        <f>SUM(I1867:N1867)</f>
        <v>0</v>
      </c>
      <c r="P1867" s="5">
        <f>SUMIFS('Desenvolvimento diário'!$H:$H,'Desenvolvimento diário'!$Q:$Q,$B1867,'Desenvolvimento diário'!$P:$P,$F1867,'Desenvolvimento diário'!$R:$R,"Sim")</f>
        <v>0</v>
      </c>
      <c r="Q1867" s="5">
        <f>SUMIFS('Desenvolvimento diário'!$H:$H,'Desenvolvimento diário'!$Q:$Q,$B1867,'Desenvolvimento diário'!$P:$P,$F1867,'Desenvolvimento diário'!$R:$R,"Não")</f>
        <v>0</v>
      </c>
      <c r="R1867" s="4">
        <f>SUM(P1867:Q1867)</f>
        <v>0</v>
      </c>
      <c r="S1867" s="4">
        <f>O1867-R1867</f>
        <v>0</v>
      </c>
      <c r="T1867" s="12">
        <f>IFERROR(R1867/O1867,0)</f>
        <v>0</v>
      </c>
      <c r="Y1867" s="2"/>
      <c r="Z1867" s="2"/>
      <c r="AA1867" s="2"/>
      <c r="AB1867" s="2"/>
      <c r="AC1867" s="2"/>
    </row>
    <row r="1868" spans="1:29" ht="10.5" hidden="1">
      <c r="A1868" s="2">
        <f>A1867</f>
        <v>54</v>
      </c>
      <c r="B1868" s="2" t="str">
        <f>VLOOKUP($A1868,Controle!$B$4:$F$68,2,FALSE)</f>
        <v>São Sebastião 3</v>
      </c>
      <c r="C1868" s="2" t="str">
        <f>VLOOKUP($A1868,Controle!$B$4:$F$68,3,FALSE)</f>
        <v>MORI MINAS V</v>
      </c>
      <c r="D1868" s="2" t="str">
        <f>VLOOKUP($A1868,Controle!$B$4:$F$68,4,FALSE)</f>
        <v>NewCo V</v>
      </c>
      <c r="E1868" s="2" t="str">
        <f>VLOOKUP($A1868,Controle!$B$4:$F$68,5,FALSE)</f>
        <v>weg</v>
      </c>
      <c r="F1868" s="3" t="str">
        <f>F1833</f>
        <v>Desenvolvimento de projeto - Projetos Básica</v>
      </c>
      <c r="G1868" s="2" t="str">
        <f>VLOOKUP($A1868,Controle!$B$4:$G$68,6,FALSE)</f>
        <v>Solatio</v>
      </c>
      <c r="H1868" s="6">
        <v>0</v>
      </c>
      <c r="I1868" s="6">
        <v>0</v>
      </c>
      <c r="J1868" s="6">
        <v>0</v>
      </c>
      <c r="K1868" s="6">
        <v>0</v>
      </c>
      <c r="L1868" s="6">
        <v>0</v>
      </c>
      <c r="M1868" s="6">
        <v>0</v>
      </c>
      <c r="N1868" s="6">
        <v>0</v>
      </c>
      <c r="O1868" s="4">
        <f>SUM(I1868:N1868)</f>
        <v>0</v>
      </c>
      <c r="P1868" s="5">
        <f>SUMIFS('Desenvolvimento diário'!$H:$H,'Desenvolvimento diário'!$Q:$Q,$B1868,'Desenvolvimento diário'!$P:$P,$F1868,'Desenvolvimento diário'!$R:$R,"Sim")</f>
        <v>0</v>
      </c>
      <c r="Q1868" s="5">
        <f>SUMIFS('Desenvolvimento diário'!$H:$H,'Desenvolvimento diário'!$Q:$Q,$B1868,'Desenvolvimento diário'!$P:$P,$F1868,'Desenvolvimento diário'!$R:$R,"Não")</f>
        <v>0</v>
      </c>
      <c r="R1868" s="4">
        <f>SUM(P1868:Q1868)</f>
        <v>0</v>
      </c>
      <c r="S1868" s="4">
        <f>O1868-R1868</f>
        <v>0</v>
      </c>
      <c r="T1868" s="12">
        <f>IFERROR(R1868/O1868,0)</f>
        <v>0</v>
      </c>
      <c r="Y1868" s="2"/>
      <c r="Z1868" s="2"/>
      <c r="AA1868" s="2"/>
      <c r="AB1868" s="2"/>
      <c r="AC1868" s="2"/>
    </row>
    <row r="1869" spans="1:29" ht="10.5" hidden="1">
      <c r="A1869" s="2">
        <f>A1868</f>
        <v>54</v>
      </c>
      <c r="B1869" s="2" t="str">
        <f>VLOOKUP($A1869,Controle!$B$4:$F$68,2,FALSE)</f>
        <v>São Sebastião 3</v>
      </c>
      <c r="C1869" s="2" t="str">
        <f>VLOOKUP($A1869,Controle!$B$4:$F$68,3,FALSE)</f>
        <v>MORI MINAS V</v>
      </c>
      <c r="D1869" s="2" t="str">
        <f>VLOOKUP($A1869,Controle!$B$4:$F$68,4,FALSE)</f>
        <v>NewCo V</v>
      </c>
      <c r="E1869" s="2" t="str">
        <f>VLOOKUP($A1869,Controle!$B$4:$F$68,5,FALSE)</f>
        <v>weg</v>
      </c>
      <c r="F1869" s="3" t="str">
        <f>F1834</f>
        <v>Desenvolvimento de projeto - Projetos Detalhada</v>
      </c>
      <c r="G1869" s="2" t="str">
        <f>VLOOKUP($A1869,Controle!$B$4:$G$68,6,FALSE)</f>
        <v>Solatio</v>
      </c>
      <c r="H1869" s="6">
        <v>0</v>
      </c>
      <c r="I1869" s="6">
        <v>0</v>
      </c>
      <c r="J1869" s="6">
        <v>0</v>
      </c>
      <c r="K1869" s="6">
        <v>0</v>
      </c>
      <c r="L1869" s="6">
        <v>0</v>
      </c>
      <c r="M1869" s="6">
        <v>0</v>
      </c>
      <c r="N1869" s="6">
        <v>0</v>
      </c>
      <c r="O1869" s="4">
        <f>SUM(I1869:N1869)</f>
        <v>0</v>
      </c>
      <c r="P1869" s="5">
        <f>SUMIFS('Desenvolvimento diário'!$H:$H,'Desenvolvimento diário'!$Q:$Q,$B1869,'Desenvolvimento diário'!$P:$P,$F1869,'Desenvolvimento diário'!$R:$R,"Sim")</f>
        <v>0</v>
      </c>
      <c r="Q1869" s="5">
        <f>SUMIFS('Desenvolvimento diário'!$H:$H,'Desenvolvimento diário'!$Q:$Q,$B1869,'Desenvolvimento diário'!$P:$P,$F1869,'Desenvolvimento diário'!$R:$R,"Não")</f>
        <v>0</v>
      </c>
      <c r="R1869" s="4">
        <f>SUM(P1869:Q1869)</f>
        <v>0</v>
      </c>
      <c r="S1869" s="4">
        <f>O1869-R1869</f>
        <v>0</v>
      </c>
      <c r="T1869" s="12">
        <f>IFERROR(R1869/O1869,0)</f>
        <v>0</v>
      </c>
      <c r="Y1869" s="2"/>
      <c r="Z1869" s="2"/>
      <c r="AA1869" s="2"/>
      <c r="AB1869" s="2"/>
      <c r="AC1869" s="2"/>
    </row>
    <row r="1870" spans="1:29" ht="10.5" hidden="1">
      <c r="A1870" s="2">
        <f>A1869</f>
        <v>54</v>
      </c>
      <c r="B1870" s="2" t="str">
        <f>VLOOKUP($A1870,Controle!$B$4:$F$68,2,FALSE)</f>
        <v>São Sebastião 3</v>
      </c>
      <c r="C1870" s="2" t="str">
        <f>VLOOKUP($A1870,Controle!$B$4:$F$68,3,FALSE)</f>
        <v>MORI MINAS V</v>
      </c>
      <c r="D1870" s="2" t="str">
        <f>VLOOKUP($A1870,Controle!$B$4:$F$68,4,FALSE)</f>
        <v>NewCo V</v>
      </c>
      <c r="E1870" s="2" t="str">
        <f>VLOOKUP($A1870,Controle!$B$4:$F$68,5,FALSE)</f>
        <v>weg</v>
      </c>
      <c r="F1870" s="3" t="str">
        <f>F1835</f>
        <v>Desenvolvimento de projeto - Ambiental / Outros</v>
      </c>
      <c r="G1870" s="2" t="str">
        <f>VLOOKUP($A1870,Controle!$B$4:$G$68,6,FALSE)</f>
        <v>Solatio</v>
      </c>
      <c r="H1870" s="6" t="s">
        <v>148</v>
      </c>
      <c r="I1870" s="6">
        <f>R1870</f>
        <v>73165.679999999993</v>
      </c>
      <c r="J1870" s="6">
        <v>0</v>
      </c>
      <c r="K1870" s="6">
        <v>0</v>
      </c>
      <c r="L1870" s="6">
        <v>0</v>
      </c>
      <c r="M1870" s="6">
        <v>0</v>
      </c>
      <c r="N1870" s="6">
        <v>0</v>
      </c>
      <c r="O1870" s="4">
        <f>SUM(I1870:N1870)</f>
        <v>73165.679999999993</v>
      </c>
      <c r="P1870" s="5">
        <f>SUMIFS('Desenvolvimento diário'!$H:$H,'Desenvolvimento diário'!$Q:$Q,$B1870,'Desenvolvimento diário'!$P:$P,$F1870,'Desenvolvimento diário'!$R:$R,"Sim")</f>
        <v>0</v>
      </c>
      <c r="Q1870" s="5">
        <f>SUMIFS('Desenvolvimento diário'!$H:$H,'Desenvolvimento diário'!$Q:$Q,$B1870,'Desenvolvimento diário'!$P:$P,$F1870,'Desenvolvimento diário'!$R:$R,"Não")</f>
        <v>73165.679999999993</v>
      </c>
      <c r="R1870" s="4">
        <f>SUM(P1870:Q1870)</f>
        <v>73165.679999999993</v>
      </c>
      <c r="S1870" s="4">
        <f>O1870-R1870</f>
        <v>0</v>
      </c>
      <c r="T1870" s="12">
        <f>IFERROR(R1870/O1870,0)</f>
        <v>1</v>
      </c>
      <c r="Y1870" s="2"/>
      <c r="Z1870" s="2"/>
      <c r="AA1870" s="2"/>
      <c r="AB1870" s="2"/>
      <c r="AC1870" s="2"/>
    </row>
    <row r="1871" spans="1:29" hidden="1">
      <c r="A1871" s="2">
        <f>A1870</f>
        <v>54</v>
      </c>
      <c r="B1871" s="2" t="str">
        <f>VLOOKUP($A1871,Controle!$B$4:$F$68,2,FALSE)</f>
        <v>São Sebastião 3</v>
      </c>
      <c r="C1871" s="2" t="str">
        <f>VLOOKUP($A1871,Controle!$B$4:$F$68,3,FALSE)</f>
        <v>MORI MINAS V</v>
      </c>
      <c r="D1871" s="2" t="str">
        <f>VLOOKUP($A1871,Controle!$B$4:$F$68,4,FALSE)</f>
        <v>NewCo V</v>
      </c>
      <c r="E1871" s="2" t="str">
        <f>VLOOKUP($A1871,Controle!$B$4:$F$68,5,FALSE)</f>
        <v>weg</v>
      </c>
      <c r="F1871" s="3" t="str">
        <f>F1836</f>
        <v>Desenvolvimento de projeto - Coordenograma</v>
      </c>
      <c r="G1871" s="2" t="str">
        <f>VLOOKUP($A1871,Controle!$B$4:$G$68,6,FALSE)</f>
        <v>Solatio</v>
      </c>
      <c r="H1871" s="31" t="s">
        <v>149</v>
      </c>
      <c r="I1871" s="31">
        <v>6206.9</v>
      </c>
      <c r="J1871" s="31">
        <v>2281.25</v>
      </c>
      <c r="K1871" s="31">
        <v>2281.25</v>
      </c>
      <c r="L1871" s="31">
        <v>6206.9</v>
      </c>
      <c r="M1871" s="6">
        <v>0</v>
      </c>
      <c r="N1871" s="6">
        <v>0</v>
      </c>
      <c r="O1871" s="4">
        <f>SUM(I1871:N1871)</f>
        <v>16976.3</v>
      </c>
      <c r="P1871" s="5">
        <f>SUMIFS('Desenvolvimento diário'!$H:$H,'Desenvolvimento diário'!$Q:$Q,$B1871,'Desenvolvimento diário'!$P:$P,$F1871,'Desenvolvimento diário'!$R:$R,"Sim")</f>
        <v>0</v>
      </c>
      <c r="Q1871" s="5">
        <f>SUMIFS('Desenvolvimento diário'!$H:$H,'Desenvolvimento diário'!$Q:$Q,$B1871,'Desenvolvimento diário'!$P:$P,$F1871,'Desenvolvimento diário'!$R:$R,"Não")</f>
        <v>16976.3</v>
      </c>
      <c r="R1871" s="4">
        <f>SUM(P1871:Q1871)</f>
        <v>16976.3</v>
      </c>
      <c r="S1871" s="4">
        <f>O1871-R1871</f>
        <v>0</v>
      </c>
      <c r="T1871" s="12">
        <f>IFERROR(R1871/O1871,0)</f>
        <v>1</v>
      </c>
      <c r="Y1871" s="2"/>
      <c r="Z1871" s="2"/>
      <c r="AA1871" s="2"/>
      <c r="AB1871" s="2"/>
      <c r="AC1871" s="2"/>
    </row>
    <row r="1872" spans="1:29" ht="10.5" hidden="1">
      <c r="A1872" s="2">
        <f>A1871</f>
        <v>54</v>
      </c>
      <c r="B1872" s="2" t="str">
        <f>VLOOKUP($A1872,Controle!$B$4:$F$68,2,FALSE)</f>
        <v>São Sebastião 3</v>
      </c>
      <c r="C1872" s="2" t="str">
        <f>VLOOKUP($A1872,Controle!$B$4:$F$68,3,FALSE)</f>
        <v>MORI MINAS V</v>
      </c>
      <c r="D1872" s="2" t="str">
        <f>VLOOKUP($A1872,Controle!$B$4:$F$68,4,FALSE)</f>
        <v>NewCo V</v>
      </c>
      <c r="E1872" s="2" t="str">
        <f>VLOOKUP($A1872,Controle!$B$4:$F$68,5,FALSE)</f>
        <v>weg</v>
      </c>
      <c r="F1872" s="3" t="str">
        <f>F1837</f>
        <v>Sistemas de Monitoramento - Supervisório</v>
      </c>
      <c r="G1872" s="2" t="str">
        <f>VLOOKUP($A1872,Controle!$B$4:$G$68,6,FALSE)</f>
        <v>Solatio</v>
      </c>
      <c r="H1872" s="6" t="s">
        <v>150</v>
      </c>
      <c r="I1872" s="6">
        <v>136155</v>
      </c>
      <c r="J1872" s="6"/>
      <c r="K1872" s="6">
        <v>0</v>
      </c>
      <c r="L1872" s="6">
        <v>0</v>
      </c>
      <c r="M1872" s="6">
        <v>0</v>
      </c>
      <c r="N1872" s="6">
        <v>0</v>
      </c>
      <c r="O1872" s="4">
        <f>SUM(I1872:N1872)</f>
        <v>136155</v>
      </c>
      <c r="P1872" s="5">
        <f>SUMIFS('Desenvolvimento diário'!$H:$H,'Desenvolvimento diário'!$Q:$Q,$B1872,'Desenvolvimento diário'!$P:$P,$F1872,'Desenvolvimento diário'!$R:$R,"Sim")</f>
        <v>0</v>
      </c>
      <c r="Q1872" s="5">
        <f>SUMIFS('Desenvolvimento diário'!$H:$H,'Desenvolvimento diário'!$Q:$Q,$B1872,'Desenvolvimento diário'!$P:$P,$F1872,'Desenvolvimento diário'!$R:$R,"Não")</f>
        <v>136155</v>
      </c>
      <c r="R1872" s="4">
        <f>SUM(P1872:Q1872)</f>
        <v>136155</v>
      </c>
      <c r="S1872" s="4">
        <f>O1872-R1872</f>
        <v>0</v>
      </c>
      <c r="T1872" s="12">
        <f>IFERROR(R1872/O1872,0)</f>
        <v>1</v>
      </c>
      <c r="Y1872" s="2"/>
      <c r="Z1872" s="2"/>
      <c r="AA1872" s="2"/>
      <c r="AB1872" s="2"/>
      <c r="AC1872" s="2"/>
    </row>
    <row r="1873" spans="1:29" ht="10.5" hidden="1">
      <c r="A1873" s="2">
        <f>A1872</f>
        <v>54</v>
      </c>
      <c r="B1873" s="2" t="str">
        <f>VLOOKUP($A1873,Controle!$B$4:$F$68,2,FALSE)</f>
        <v>São Sebastião 3</v>
      </c>
      <c r="C1873" s="2" t="str">
        <f>VLOOKUP($A1873,Controle!$B$4:$F$68,3,FALSE)</f>
        <v>MORI MINAS V</v>
      </c>
      <c r="D1873" s="2" t="str">
        <f>VLOOKUP($A1873,Controle!$B$4:$F$68,4,FALSE)</f>
        <v>NewCo V</v>
      </c>
      <c r="E1873" s="2" t="str">
        <f>VLOOKUP($A1873,Controle!$B$4:$F$68,5,FALSE)</f>
        <v>weg</v>
      </c>
      <c r="F1873" s="3" t="str">
        <f>F1838</f>
        <v>Sistemas de Monitoramento - Estações Solarimétricas</v>
      </c>
      <c r="G1873" s="2" t="str">
        <f>VLOOKUP($A1873,Controle!$B$4:$G$68,6,FALSE)</f>
        <v>Solatio</v>
      </c>
      <c r="H1873" s="6">
        <v>0</v>
      </c>
      <c r="I1873" s="6">
        <v>0</v>
      </c>
      <c r="J1873" s="6">
        <v>0</v>
      </c>
      <c r="K1873" s="6">
        <v>0</v>
      </c>
      <c r="L1873" s="6">
        <v>0</v>
      </c>
      <c r="M1873" s="6">
        <v>0</v>
      </c>
      <c r="N1873" s="6">
        <v>0</v>
      </c>
      <c r="O1873" s="4">
        <f>SUM(I1873:N1873)</f>
        <v>0</v>
      </c>
      <c r="P1873" s="5">
        <f>SUMIFS('Desenvolvimento diário'!$H:$H,'Desenvolvimento diário'!$Q:$Q,$B1873,'Desenvolvimento diário'!$P:$P,$F1873,'Desenvolvimento diário'!$R:$R,"Sim")</f>
        <v>0</v>
      </c>
      <c r="Q1873" s="5">
        <f>SUMIFS('Desenvolvimento diário'!$H:$H,'Desenvolvimento diário'!$Q:$Q,$B1873,'Desenvolvimento diário'!$P:$P,$F1873,'Desenvolvimento diário'!$R:$R,"Não")</f>
        <v>0</v>
      </c>
      <c r="R1873" s="4">
        <f>SUM(P1873:Q1873)</f>
        <v>0</v>
      </c>
      <c r="S1873" s="4">
        <f>O1873-R1873</f>
        <v>0</v>
      </c>
      <c r="T1873" s="12">
        <f>IFERROR(R1873/O1873,0)</f>
        <v>0</v>
      </c>
      <c r="Y1873" s="2"/>
      <c r="Z1873" s="2"/>
      <c r="AA1873" s="2"/>
      <c r="AB1873" s="2"/>
      <c r="AC1873" s="2"/>
    </row>
    <row r="1874" spans="1:29" hidden="1">
      <c r="A1874" s="2">
        <f>A1873</f>
        <v>54</v>
      </c>
      <c r="B1874" s="2" t="str">
        <f>VLOOKUP($A1874,Controle!$B$4:$F$68,2,FALSE)</f>
        <v>São Sebastião 3</v>
      </c>
      <c r="C1874" s="2" t="str">
        <f>VLOOKUP($A1874,Controle!$B$4:$F$68,3,FALSE)</f>
        <v>MORI MINAS V</v>
      </c>
      <c r="D1874" s="2" t="str">
        <f>VLOOKUP($A1874,Controle!$B$4:$F$68,4,FALSE)</f>
        <v>NewCo V</v>
      </c>
      <c r="E1874" s="2" t="str">
        <f>VLOOKUP($A1874,Controle!$B$4:$F$68,5,FALSE)</f>
        <v>weg</v>
      </c>
      <c r="F1874" s="3" t="str">
        <f>F1839</f>
        <v>Sistemas de Monitoramento - CFTV</v>
      </c>
      <c r="G1874" s="2" t="str">
        <f>VLOOKUP($A1874,Controle!$B$4:$G$68,6,FALSE)</f>
        <v>Solatio</v>
      </c>
      <c r="H1874" s="31" t="s">
        <v>152</v>
      </c>
      <c r="I1874" s="6">
        <v>295918.52</v>
      </c>
      <c r="J1874" s="6">
        <v>0</v>
      </c>
      <c r="K1874" s="28">
        <v>4426.84</v>
      </c>
      <c r="L1874" s="6">
        <v>0</v>
      </c>
      <c r="M1874" s="6">
        <v>0</v>
      </c>
      <c r="N1874" s="6">
        <v>0</v>
      </c>
      <c r="O1874" s="4">
        <f>SUM(I1874:N1874)</f>
        <v>300345.36000000004</v>
      </c>
      <c r="P1874" s="5">
        <f>SUMIFS('Desenvolvimento diário'!$H:$H,'Desenvolvimento diário'!$Q:$Q,$B1874,'Desenvolvimento diário'!$P:$P,$F1874,'Desenvolvimento diário'!$R:$R,"Sim")</f>
        <v>0</v>
      </c>
      <c r="Q1874" s="5">
        <f>SUMIFS('Desenvolvimento diário'!$H:$H,'Desenvolvimento diário'!$Q:$Q,$B1874,'Desenvolvimento diário'!$P:$P,$F1874,'Desenvolvimento diário'!$R:$R,"Não")</f>
        <v>300345.36000000004</v>
      </c>
      <c r="R1874" s="4">
        <f>SUM(P1874:Q1874)</f>
        <v>300345.36000000004</v>
      </c>
      <c r="S1874" s="4">
        <f>O1874-R1874</f>
        <v>0</v>
      </c>
      <c r="T1874" s="12">
        <f>IFERROR(R1874/O1874,0)</f>
        <v>1</v>
      </c>
      <c r="Y1874" s="2"/>
      <c r="Z1874" s="2"/>
      <c r="AA1874" s="2"/>
      <c r="AB1874" s="2"/>
      <c r="AC1874" s="2"/>
    </row>
    <row r="1875" spans="1:29" ht="10.5" hidden="1">
      <c r="A1875" s="2">
        <f>A1874</f>
        <v>54</v>
      </c>
      <c r="B1875" s="2" t="str">
        <f>VLOOKUP($A1875,Controle!$B$4:$F$68,2,FALSE)</f>
        <v>São Sebastião 3</v>
      </c>
      <c r="C1875" s="2" t="str">
        <f>VLOOKUP($A1875,Controle!$B$4:$F$68,3,FALSE)</f>
        <v>MORI MINAS V</v>
      </c>
      <c r="D1875" s="2" t="str">
        <f>VLOOKUP($A1875,Controle!$B$4:$F$68,4,FALSE)</f>
        <v>NewCo V</v>
      </c>
      <c r="E1875" s="2" t="str">
        <f>VLOOKUP($A1875,Controle!$B$4:$F$68,5,FALSE)</f>
        <v>weg</v>
      </c>
      <c r="F1875" s="3" t="str">
        <f>F1840</f>
        <v>Serviços Auxiliares - Drenagem</v>
      </c>
      <c r="G1875" s="2" t="str">
        <f>VLOOKUP($A1875,Controle!$B$4:$G$68,6,FALSE)</f>
        <v>Solatio</v>
      </c>
      <c r="H1875" s="6" t="s">
        <v>183</v>
      </c>
      <c r="I1875" s="6">
        <v>524736.13</v>
      </c>
      <c r="J1875" s="29">
        <v>45000</v>
      </c>
      <c r="K1875" s="6">
        <v>0</v>
      </c>
      <c r="L1875" s="6">
        <v>0</v>
      </c>
      <c r="M1875" s="6">
        <v>0</v>
      </c>
      <c r="N1875" s="6">
        <v>0</v>
      </c>
      <c r="O1875" s="4">
        <f>SUM(I1875:N1875)</f>
        <v>569736.13</v>
      </c>
      <c r="P1875" s="5">
        <f>SUMIFS('Desenvolvimento diário'!$H:$H,'Desenvolvimento diário'!$Q:$Q,$B1875,'Desenvolvimento diário'!$P:$P,$F1875,'Desenvolvimento diário'!$R:$R,"Sim")</f>
        <v>0</v>
      </c>
      <c r="Q1875" s="5">
        <f>SUMIFS('Desenvolvimento diário'!$H:$H,'Desenvolvimento diário'!$Q:$Q,$B1875,'Desenvolvimento diário'!$P:$P,$F1875,'Desenvolvimento diário'!$R:$R,"Não")</f>
        <v>569736.13000000012</v>
      </c>
      <c r="R1875" s="4">
        <f>SUM(P1875:Q1875)</f>
        <v>569736.13000000012</v>
      </c>
      <c r="S1875" s="4">
        <f>O1875-R1875</f>
        <v>0</v>
      </c>
      <c r="T1875" s="12">
        <f>IFERROR(R1875/O1875,0)</f>
        <v>1.0000000000000002</v>
      </c>
      <c r="Y1875" s="2"/>
      <c r="Z1875" s="2"/>
      <c r="AA1875" s="2"/>
      <c r="AB1875" s="2"/>
      <c r="AC1875" s="2"/>
    </row>
    <row r="1876" spans="1:29" ht="10.5" hidden="1">
      <c r="A1876" s="2">
        <f>A1875</f>
        <v>54</v>
      </c>
      <c r="B1876" s="2" t="str">
        <f>VLOOKUP($A1876,Controle!$B$4:$F$68,2,FALSE)</f>
        <v>São Sebastião 3</v>
      </c>
      <c r="C1876" s="2" t="str">
        <f>VLOOKUP($A1876,Controle!$B$4:$F$68,3,FALSE)</f>
        <v>MORI MINAS V</v>
      </c>
      <c r="D1876" s="2" t="str">
        <f>VLOOKUP($A1876,Controle!$B$4:$F$68,4,FALSE)</f>
        <v>NewCo V</v>
      </c>
      <c r="E1876" s="2" t="str">
        <f>VLOOKUP($A1876,Controle!$B$4:$F$68,5,FALSE)</f>
        <v>weg</v>
      </c>
      <c r="F1876" s="3" t="str">
        <f>F1841</f>
        <v>Serviços Auxiliares - Terraplanagem</v>
      </c>
      <c r="G1876" s="2" t="str">
        <f>VLOOKUP($A1876,Controle!$B$4:$G$68,6,FALSE)</f>
        <v>Solatio</v>
      </c>
      <c r="H1876" s="6" t="s">
        <v>154</v>
      </c>
      <c r="I1876" s="6">
        <v>715290.98</v>
      </c>
      <c r="J1876" s="6">
        <v>0</v>
      </c>
      <c r="K1876" s="6">
        <v>0</v>
      </c>
      <c r="L1876" s="6">
        <v>0</v>
      </c>
      <c r="M1876" s="6">
        <v>0</v>
      </c>
      <c r="N1876" s="6">
        <v>0</v>
      </c>
      <c r="O1876" s="4">
        <f>SUM(I1876:N1876)</f>
        <v>715290.98</v>
      </c>
      <c r="P1876" s="5">
        <f>SUMIFS('Desenvolvimento diário'!$H:$H,'Desenvolvimento diário'!$Q:$Q,$B1876,'Desenvolvimento diário'!$P:$P,$F1876,'Desenvolvimento diário'!$R:$R,"Sim")</f>
        <v>0</v>
      </c>
      <c r="Q1876" s="5">
        <f>SUMIFS('Desenvolvimento diário'!$H:$H,'Desenvolvimento diário'!$Q:$Q,$B1876,'Desenvolvimento diário'!$P:$P,$F1876,'Desenvolvimento diário'!$R:$R,"Não")</f>
        <v>715290.98</v>
      </c>
      <c r="R1876" s="4">
        <f>SUM(P1876:Q1876)</f>
        <v>715290.98</v>
      </c>
      <c r="S1876" s="4">
        <f>O1876-R1876</f>
        <v>0</v>
      </c>
      <c r="T1876" s="12">
        <f>IFERROR(R1876/O1876,0)</f>
        <v>1</v>
      </c>
      <c r="Y1876" s="2"/>
      <c r="Z1876" s="2"/>
      <c r="AA1876" s="2"/>
      <c r="AB1876" s="2"/>
      <c r="AC1876" s="2"/>
    </row>
    <row r="1877" spans="1:29" ht="10.5" hidden="1">
      <c r="A1877" s="2">
        <f>A1876</f>
        <v>54</v>
      </c>
      <c r="B1877" s="2" t="str">
        <f>VLOOKUP($A1877,Controle!$B$4:$F$68,2,FALSE)</f>
        <v>São Sebastião 3</v>
      </c>
      <c r="C1877" s="2" t="str">
        <f>VLOOKUP($A1877,Controle!$B$4:$F$68,3,FALSE)</f>
        <v>MORI MINAS V</v>
      </c>
      <c r="D1877" s="2" t="str">
        <f>VLOOKUP($A1877,Controle!$B$4:$F$68,4,FALSE)</f>
        <v>NewCo V</v>
      </c>
      <c r="E1877" s="2" t="str">
        <f>VLOOKUP($A1877,Controle!$B$4:$F$68,5,FALSE)</f>
        <v>weg</v>
      </c>
      <c r="F1877" s="3" t="str">
        <f>F1842</f>
        <v>Serviços Auxiliares - Supressão Vegetal</v>
      </c>
      <c r="G1877" s="2" t="str">
        <f>VLOOKUP($A1877,Controle!$B$4:$G$68,6,FALSE)</f>
        <v>Solatio</v>
      </c>
      <c r="H1877" s="6">
        <v>0</v>
      </c>
      <c r="I1877" s="6">
        <v>0</v>
      </c>
      <c r="J1877" s="6">
        <v>0</v>
      </c>
      <c r="K1877" s="6">
        <v>0</v>
      </c>
      <c r="L1877" s="6">
        <v>0</v>
      </c>
      <c r="M1877" s="6">
        <v>0</v>
      </c>
      <c r="N1877" s="6">
        <v>0</v>
      </c>
      <c r="O1877" s="4">
        <f>SUM(I1877:N1877)</f>
        <v>0</v>
      </c>
      <c r="P1877" s="5">
        <f>SUMIFS('Desenvolvimento diário'!$H:$H,'Desenvolvimento diário'!$Q:$Q,$B1877,'Desenvolvimento diário'!$P:$P,$F1877,'Desenvolvimento diário'!$R:$R,"Sim")</f>
        <v>0</v>
      </c>
      <c r="Q1877" s="5">
        <f>SUMIFS('Desenvolvimento diário'!$H:$H,'Desenvolvimento diário'!$Q:$Q,$B1877,'Desenvolvimento diário'!$P:$P,$F1877,'Desenvolvimento diário'!$R:$R,"Não")</f>
        <v>0</v>
      </c>
      <c r="R1877" s="4">
        <f>SUM(P1877:Q1877)</f>
        <v>0</v>
      </c>
      <c r="S1877" s="4">
        <f>O1877-R1877</f>
        <v>0</v>
      </c>
      <c r="T1877" s="12">
        <f>IFERROR(R1877/O1877,0)</f>
        <v>0</v>
      </c>
      <c r="Y1877" s="2"/>
      <c r="Z1877" s="2"/>
      <c r="AA1877" s="2"/>
      <c r="AB1877" s="2"/>
      <c r="AC1877" s="2"/>
    </row>
    <row r="1878" spans="1:29" ht="10.5" hidden="1">
      <c r="A1878" s="2">
        <f>A1877</f>
        <v>54</v>
      </c>
      <c r="B1878" s="2" t="str">
        <f>VLOOKUP($A1878,Controle!$B$4:$F$68,2,FALSE)</f>
        <v>São Sebastião 3</v>
      </c>
      <c r="C1878" s="2" t="str">
        <f>VLOOKUP($A1878,Controle!$B$4:$F$68,3,FALSE)</f>
        <v>MORI MINAS V</v>
      </c>
      <c r="D1878" s="2" t="str">
        <f>VLOOKUP($A1878,Controle!$B$4:$F$68,4,FALSE)</f>
        <v>NewCo V</v>
      </c>
      <c r="E1878" s="2" t="str">
        <f>VLOOKUP($A1878,Controle!$B$4:$F$68,5,FALSE)</f>
        <v>weg</v>
      </c>
      <c r="F1878" s="3" t="str">
        <f>F1843</f>
        <v>RDR-Rede de Distribuição Rural</v>
      </c>
      <c r="G1878" s="2" t="str">
        <f>VLOOKUP($A1878,Controle!$B$4:$G$68,6,FALSE)</f>
        <v>Solatio</v>
      </c>
      <c r="H1878" s="6">
        <v>0</v>
      </c>
      <c r="I1878" s="6">
        <v>0</v>
      </c>
      <c r="J1878" s="6">
        <v>0</v>
      </c>
      <c r="K1878" s="6">
        <v>0</v>
      </c>
      <c r="L1878" s="6">
        <v>0</v>
      </c>
      <c r="M1878" s="6">
        <v>0</v>
      </c>
      <c r="N1878" s="6">
        <v>0</v>
      </c>
      <c r="O1878" s="4">
        <f>SUM(I1878:N1878)</f>
        <v>0</v>
      </c>
      <c r="P1878" s="5">
        <f>SUMIFS('Desenvolvimento diário'!$H:$H,'Desenvolvimento diário'!$Q:$Q,$B1878,'Desenvolvimento diário'!$P:$P,$F1878,'Desenvolvimento diário'!$R:$R,"Sim")</f>
        <v>0</v>
      </c>
      <c r="Q1878" s="5">
        <f>SUMIFS('Desenvolvimento diário'!$H:$H,'Desenvolvimento diário'!$Q:$Q,$B1878,'Desenvolvimento diário'!$P:$P,$F1878,'Desenvolvimento diário'!$R:$R,"Não")</f>
        <v>0</v>
      </c>
      <c r="R1878" s="4">
        <f>SUM(P1878:Q1878)</f>
        <v>0</v>
      </c>
      <c r="S1878" s="4">
        <f>O1878-R1878</f>
        <v>0</v>
      </c>
      <c r="T1878" s="12">
        <f>IFERROR(R1878/O1878,0)</f>
        <v>0</v>
      </c>
      <c r="Y1878" s="2"/>
      <c r="Z1878" s="2"/>
      <c r="AA1878" s="2"/>
      <c r="AB1878" s="2"/>
      <c r="AC1878" s="2"/>
    </row>
    <row r="1879" spans="1:29" ht="10.5" hidden="1">
      <c r="A1879" s="2">
        <f>A1878</f>
        <v>54</v>
      </c>
      <c r="B1879" s="2" t="str">
        <f>VLOOKUP($A1879,Controle!$B$4:$F$68,2,FALSE)</f>
        <v>São Sebastião 3</v>
      </c>
      <c r="C1879" s="2" t="str">
        <f>VLOOKUP($A1879,Controle!$B$4:$F$68,3,FALSE)</f>
        <v>MORI MINAS V</v>
      </c>
      <c r="D1879" s="2" t="str">
        <f>VLOOKUP($A1879,Controle!$B$4:$F$68,4,FALSE)</f>
        <v>NewCo V</v>
      </c>
      <c r="E1879" s="2" t="str">
        <f>VLOOKUP($A1879,Controle!$B$4:$F$68,5,FALSE)</f>
        <v>weg</v>
      </c>
      <c r="F1879" s="3" t="str">
        <f>F1844</f>
        <v>Escopo COMERC</v>
      </c>
      <c r="G1879" s="2" t="str">
        <f>VLOOKUP($A1879,Controle!$B$4:$G$68,6,FALSE)</f>
        <v>Solatio</v>
      </c>
      <c r="H1879" s="6">
        <v>0</v>
      </c>
      <c r="I1879" s="6">
        <v>65004.2</v>
      </c>
      <c r="J1879" s="29">
        <v>13000</v>
      </c>
      <c r="K1879" s="29"/>
      <c r="L1879" s="6">
        <v>0</v>
      </c>
      <c r="M1879" s="6">
        <v>0</v>
      </c>
      <c r="N1879" s="6">
        <v>0</v>
      </c>
      <c r="O1879" s="4">
        <f>SUM(I1879:N1879)</f>
        <v>78004.2</v>
      </c>
      <c r="P1879" s="5">
        <f>SUMIFS('Desenvolvimento diário'!$H:$H,'Desenvolvimento diário'!$Q:$Q,$B1879,'Desenvolvimento diário'!$P:$P,$F1879,'Desenvolvimento diário'!$R:$R,"Sim")</f>
        <v>0</v>
      </c>
      <c r="Q1879" s="5">
        <f>SUMIFS('Desenvolvimento diário'!$H:$H,'Desenvolvimento diário'!$Q:$Q,$B1879,'Desenvolvimento diário'!$P:$P,$F1879,'Desenvolvimento diário'!$R:$R,"Não")</f>
        <v>65004.2</v>
      </c>
      <c r="R1879" s="4">
        <f>SUM(P1879:Q1879)</f>
        <v>65004.2</v>
      </c>
      <c r="S1879" s="1010">
        <f>O1879-R1879</f>
        <v>13000</v>
      </c>
      <c r="T1879" s="12">
        <f>IFERROR(R1879/O1879,0)</f>
        <v>0.83334230720909896</v>
      </c>
      <c r="U1879" s="1011" t="s">
        <v>166</v>
      </c>
      <c r="V1879" s="1011" t="s">
        <v>167</v>
      </c>
      <c r="Y1879" s="2"/>
      <c r="Z1879" s="2"/>
      <c r="AA1879" s="2"/>
      <c r="AB1879" s="2"/>
      <c r="AC1879" s="2"/>
    </row>
    <row r="1880" spans="1:29" ht="10.5" hidden="1">
      <c r="A1880" s="2">
        <f>A1879</f>
        <v>54</v>
      </c>
      <c r="B1880" s="2" t="str">
        <f>VLOOKUP($A1880,Controle!$B$4:$F$68,2,FALSE)</f>
        <v>São Sebastião 3</v>
      </c>
      <c r="C1880" s="2" t="str">
        <f>VLOOKUP($A1880,Controle!$B$4:$F$68,3,FALSE)</f>
        <v>MORI MINAS V</v>
      </c>
      <c r="D1880" s="2" t="str">
        <f>VLOOKUP($A1880,Controle!$B$4:$F$68,4,FALSE)</f>
        <v>NewCo V</v>
      </c>
      <c r="E1880" s="2" t="str">
        <f>VLOOKUP($A1880,Controle!$B$4:$F$68,5,FALSE)</f>
        <v>weg</v>
      </c>
      <c r="F1880" s="3" t="str">
        <f>F1845</f>
        <v>Escopo COMERC - Segurança</v>
      </c>
      <c r="G1880" s="2" t="str">
        <f>VLOOKUP($A1880,Controle!$B$4:$G$68,6,FALSE)</f>
        <v>Solatio</v>
      </c>
      <c r="H1880" s="6">
        <v>0</v>
      </c>
      <c r="I1880" s="6">
        <f>R1880</f>
        <v>111055.35</v>
      </c>
      <c r="J1880" s="6">
        <v>0</v>
      </c>
      <c r="K1880" s="6">
        <v>0</v>
      </c>
      <c r="L1880" s="6">
        <v>0</v>
      </c>
      <c r="M1880" s="6">
        <v>0</v>
      </c>
      <c r="N1880" s="6">
        <v>0</v>
      </c>
      <c r="O1880" s="4">
        <f>SUM(I1880:N1880)</f>
        <v>111055.35</v>
      </c>
      <c r="P1880" s="5">
        <f>SUMIFS('Desenvolvimento diário'!$H:$H,'Desenvolvimento diário'!$Q:$Q,$B1880,'Desenvolvimento diário'!$P:$P,$F1880,'Desenvolvimento diário'!$R:$R,"Sim")</f>
        <v>0</v>
      </c>
      <c r="Q1880" s="5">
        <f>SUMIFS('Desenvolvimento diário'!$H:$H,'Desenvolvimento diário'!$Q:$Q,$B1880,'Desenvolvimento diário'!$P:$P,$F1880,'Desenvolvimento diário'!$R:$R,"Não")</f>
        <v>111055.35</v>
      </c>
      <c r="R1880" s="4">
        <f>SUM(P1880:Q1880)</f>
        <v>111055.35</v>
      </c>
      <c r="S1880" s="4">
        <f>O1880-R1880</f>
        <v>0</v>
      </c>
      <c r="T1880" s="12">
        <f>IFERROR(R1880/O1880,0)</f>
        <v>1</v>
      </c>
      <c r="Y1880" s="2"/>
      <c r="Z1880" s="2"/>
      <c r="AA1880" s="2"/>
      <c r="AB1880" s="2"/>
      <c r="AC1880" s="2"/>
    </row>
    <row r="1881" spans="1:29" ht="10.5" hidden="1">
      <c r="A1881" s="2">
        <f>A1880</f>
        <v>54</v>
      </c>
      <c r="B1881" s="2" t="str">
        <f>VLOOKUP($A1881,Controle!$B$4:$F$68,2,FALSE)</f>
        <v>São Sebastião 3</v>
      </c>
      <c r="C1881" s="2" t="str">
        <f>VLOOKUP($A1881,Controle!$B$4:$F$68,3,FALSE)</f>
        <v>MORI MINAS V</v>
      </c>
      <c r="D1881" s="2" t="str">
        <f>VLOOKUP($A1881,Controle!$B$4:$F$68,4,FALSE)</f>
        <v>NewCo V</v>
      </c>
      <c r="E1881" s="2" t="str">
        <f>VLOOKUP($A1881,Controle!$B$4:$F$68,5,FALSE)</f>
        <v>weg</v>
      </c>
      <c r="F1881" s="3" t="str">
        <f>F1846</f>
        <v>Conexão MT - Obras Transferencia</v>
      </c>
      <c r="G1881" s="2" t="str">
        <f>VLOOKUP($A1881,Controle!$B$4:$G$68,6,FALSE)</f>
        <v>Solatio</v>
      </c>
      <c r="H1881" s="6">
        <v>0</v>
      </c>
      <c r="I1881" s="6">
        <v>0</v>
      </c>
      <c r="J1881" s="6">
        <v>0</v>
      </c>
      <c r="K1881" s="6">
        <v>0</v>
      </c>
      <c r="L1881" s="6">
        <v>0</v>
      </c>
      <c r="M1881" s="6">
        <v>0</v>
      </c>
      <c r="N1881" s="6">
        <v>0</v>
      </c>
      <c r="O1881" s="4">
        <f>SUM(I1881:N1881)</f>
        <v>0</v>
      </c>
      <c r="P1881" s="5">
        <f>SUMIFS('Desenvolvimento diário'!$H:$H,'Desenvolvimento diário'!$Q:$Q,$B1881,'Desenvolvimento diário'!$P:$P,$F1881,'Desenvolvimento diário'!$R:$R,"Sim")</f>
        <v>0</v>
      </c>
      <c r="Q1881" s="5">
        <f>SUMIFS('Desenvolvimento diário'!$H:$H,'Desenvolvimento diário'!$Q:$Q,$B1881,'Desenvolvimento diário'!$P:$P,$F1881,'Desenvolvimento diário'!$R:$R,"Não")</f>
        <v>0</v>
      </c>
      <c r="R1881" s="4">
        <f>SUM(P1881:Q1881)</f>
        <v>0</v>
      </c>
      <c r="S1881" s="4">
        <f>O1881-R1881</f>
        <v>0</v>
      </c>
      <c r="T1881" s="12">
        <f>IFERROR(R1881/O1881,0)</f>
        <v>0</v>
      </c>
      <c r="Y1881" s="2"/>
      <c r="Z1881" s="2"/>
      <c r="AA1881" s="2"/>
      <c r="AB1881" s="2"/>
      <c r="AC1881" s="2"/>
    </row>
    <row r="1882" spans="1:29" ht="10.5" hidden="1">
      <c r="A1882" s="2">
        <f>A1881</f>
        <v>54</v>
      </c>
      <c r="B1882" s="2" t="str">
        <f>VLOOKUP($A1882,Controle!$B$4:$F$68,2,FALSE)</f>
        <v>São Sebastião 3</v>
      </c>
      <c r="C1882" s="2" t="str">
        <f>VLOOKUP($A1882,Controle!$B$4:$F$68,3,FALSE)</f>
        <v>MORI MINAS V</v>
      </c>
      <c r="D1882" s="2" t="str">
        <f>VLOOKUP($A1882,Controle!$B$4:$F$68,4,FALSE)</f>
        <v>NewCo V</v>
      </c>
      <c r="E1882" s="2" t="str">
        <f>VLOOKUP($A1882,Controle!$B$4:$F$68,5,FALSE)</f>
        <v>weg</v>
      </c>
      <c r="F1882" s="3" t="str">
        <f>F1847</f>
        <v>Bases de Contaniers</v>
      </c>
      <c r="G1882" s="2" t="str">
        <f>VLOOKUP($A1882,Controle!$B$4:$G$68,6,FALSE)</f>
        <v>Solatio</v>
      </c>
      <c r="H1882" s="6" t="s">
        <v>225</v>
      </c>
      <c r="I1882" s="6">
        <v>114750.38</v>
      </c>
      <c r="J1882" s="6">
        <v>0</v>
      </c>
      <c r="K1882" s="6">
        <v>0</v>
      </c>
      <c r="L1882" s="6">
        <v>0</v>
      </c>
      <c r="M1882" s="6">
        <v>0</v>
      </c>
      <c r="N1882" s="6">
        <v>0</v>
      </c>
      <c r="O1882" s="4">
        <f>SUM(I1882:N1882)</f>
        <v>114750.38</v>
      </c>
      <c r="P1882" s="5">
        <f>SUMIFS('Desenvolvimento diário'!$H:$H,'Desenvolvimento diário'!$Q:$Q,$B1882,'Desenvolvimento diário'!$P:$P,$F1882,'Desenvolvimento diário'!$R:$R,"Sim")</f>
        <v>0</v>
      </c>
      <c r="Q1882" s="5">
        <f>SUMIFS('Desenvolvimento diário'!$H:$H,'Desenvolvimento diário'!$Q:$Q,$B1882,'Desenvolvimento diário'!$P:$P,$F1882,'Desenvolvimento diário'!$R:$R,"Não")</f>
        <v>114750.38</v>
      </c>
      <c r="R1882" s="4">
        <f>SUM(P1882:Q1882)</f>
        <v>114750.38</v>
      </c>
      <c r="S1882" s="4">
        <f>O1882-R1882</f>
        <v>0</v>
      </c>
      <c r="T1882" s="12">
        <f>IFERROR(R1882/O1882,0)</f>
        <v>1</v>
      </c>
      <c r="Y1882" s="2"/>
      <c r="Z1882" s="2"/>
      <c r="AA1882" s="2"/>
      <c r="AB1882" s="2"/>
      <c r="AC1882" s="2"/>
    </row>
    <row r="1883" spans="1:29" ht="10.5" hidden="1">
      <c r="A1883" s="2">
        <f>A1882</f>
        <v>54</v>
      </c>
      <c r="B1883" s="2" t="str">
        <f>VLOOKUP($A1883,Controle!$B$4:$F$68,2,FALSE)</f>
        <v>São Sebastião 3</v>
      </c>
      <c r="C1883" s="2" t="str">
        <f>VLOOKUP($A1883,Controle!$B$4:$F$68,3,FALSE)</f>
        <v>MORI MINAS V</v>
      </c>
      <c r="D1883" s="2" t="str">
        <f>VLOOKUP($A1883,Controle!$B$4:$F$68,4,FALSE)</f>
        <v>NewCo V</v>
      </c>
      <c r="E1883" s="2" t="str">
        <f>VLOOKUP($A1883,Controle!$B$4:$F$68,5,FALSE)</f>
        <v>weg</v>
      </c>
      <c r="F1883" s="3" t="str">
        <f>F1848</f>
        <v>Construção - Serviços de Construção - Ase Engenharia</v>
      </c>
      <c r="G1883" s="2" t="str">
        <f>VLOOKUP($A1883,Controle!$B$4:$G$68,6,FALSE)</f>
        <v>Solatio</v>
      </c>
      <c r="H1883" s="6">
        <v>0</v>
      </c>
      <c r="I1883" s="6">
        <v>0</v>
      </c>
      <c r="J1883" s="6">
        <v>0</v>
      </c>
      <c r="K1883" s="6">
        <v>0</v>
      </c>
      <c r="L1883" s="6">
        <v>0</v>
      </c>
      <c r="M1883" s="6">
        <v>0</v>
      </c>
      <c r="N1883" s="6">
        <v>0</v>
      </c>
      <c r="O1883" s="4">
        <f>SUM(I1883:N1883)</f>
        <v>0</v>
      </c>
      <c r="P1883" s="5">
        <f>SUMIFS('Desenvolvimento diário'!$H:$H,'Desenvolvimento diário'!$Q:$Q,$B1883,'Desenvolvimento diário'!$P:$P,$F1883,'Desenvolvimento diário'!$R:$R,"Sim")</f>
        <v>0</v>
      </c>
      <c r="Q1883" s="5">
        <f>SUMIFS('Desenvolvimento diário'!$H:$H,'Desenvolvimento diário'!$Q:$Q,$B1883,'Desenvolvimento diário'!$P:$P,$F1883,'Desenvolvimento diário'!$R:$R,"Não")</f>
        <v>0</v>
      </c>
      <c r="R1883" s="4">
        <f>SUM(P1883:Q1883)</f>
        <v>0</v>
      </c>
      <c r="S1883" s="4">
        <f>O1883-R1883</f>
        <v>0</v>
      </c>
      <c r="T1883" s="12">
        <f>IFERROR(R1883/O1883,0)</f>
        <v>0</v>
      </c>
      <c r="Y1883" s="2"/>
      <c r="Z1883" s="2"/>
      <c r="AA1883" s="2"/>
      <c r="AB1883" s="2"/>
      <c r="AC1883" s="2"/>
    </row>
    <row r="1884" spans="1:29" ht="10.5" hidden="1">
      <c r="A1884" s="2">
        <f>A1883</f>
        <v>54</v>
      </c>
      <c r="B1884" s="2" t="str">
        <f>VLOOKUP($A1884,Controle!$B$4:$F$68,2,FALSE)</f>
        <v>São Sebastião 3</v>
      </c>
      <c r="C1884" s="2" t="str">
        <f>VLOOKUP($A1884,Controle!$B$4:$F$68,3,FALSE)</f>
        <v>MORI MINAS V</v>
      </c>
      <c r="D1884" s="2" t="str">
        <f>VLOOKUP($A1884,Controle!$B$4:$F$68,4,FALSE)</f>
        <v>NewCo V</v>
      </c>
      <c r="E1884" s="2" t="str">
        <f>VLOOKUP($A1884,Controle!$B$4:$F$68,5,FALSE)</f>
        <v>weg</v>
      </c>
      <c r="F1884" s="3" t="str">
        <f>F1849</f>
        <v>Full EPC - Contrato Sobressalentes</v>
      </c>
      <c r="G1884" s="2" t="str">
        <f>VLOOKUP($A1884,Controle!$B$4:$G$68,6,FALSE)</f>
        <v>Solatio</v>
      </c>
      <c r="H1884" s="6" t="s">
        <v>21</v>
      </c>
      <c r="I1884" s="6">
        <v>356714.87</v>
      </c>
      <c r="J1884" s="6">
        <v>0</v>
      </c>
      <c r="K1884" s="6">
        <v>0</v>
      </c>
      <c r="L1884" s="6">
        <v>0</v>
      </c>
      <c r="M1884" s="6">
        <v>0</v>
      </c>
      <c r="N1884" s="6">
        <v>0</v>
      </c>
      <c r="O1884" s="4">
        <f>SUM(I1884:N1884)</f>
        <v>356714.87</v>
      </c>
      <c r="P1884" s="5">
        <f>SUMIFS('Desenvolvimento diário'!$H:$H,'Desenvolvimento diário'!$Q:$Q,$B1884,'Desenvolvimento diário'!$P:$P,$F1884,'Desenvolvimento diário'!$R:$R,"Sim")</f>
        <v>0</v>
      </c>
      <c r="Q1884" s="5">
        <f>SUMIFS('Desenvolvimento diário'!$H:$H,'Desenvolvimento diário'!$Q:$Q,$B1884,'Desenvolvimento diário'!$P:$P,$F1884,'Desenvolvimento diário'!$R:$R,"Não")</f>
        <v>356714.87</v>
      </c>
      <c r="R1884" s="4">
        <f>SUM(P1884:Q1884)</f>
        <v>356714.87</v>
      </c>
      <c r="S1884" s="4">
        <f>O1884-R1884</f>
        <v>0</v>
      </c>
      <c r="T1884" s="12">
        <f>IFERROR(R1884/O1884,0)</f>
        <v>1</v>
      </c>
      <c r="Y1884" s="2"/>
      <c r="Z1884" s="2"/>
      <c r="AA1884" s="2"/>
      <c r="AB1884" s="2"/>
      <c r="AC1884" s="2"/>
    </row>
    <row r="1885" spans="1:29" ht="10.5" hidden="1">
      <c r="A1885" s="2">
        <f>A1884</f>
        <v>54</v>
      </c>
      <c r="B1885" s="2" t="str">
        <f>VLOOKUP($A1885,Controle!$B$4:$F$68,2,FALSE)</f>
        <v>São Sebastião 3</v>
      </c>
      <c r="C1885" s="2" t="str">
        <f>VLOOKUP($A1885,Controle!$B$4:$F$68,3,FALSE)</f>
        <v>MORI MINAS V</v>
      </c>
      <c r="D1885" s="2" t="str">
        <f>VLOOKUP($A1885,Controle!$B$4:$F$68,4,FALSE)</f>
        <v>NewCo V</v>
      </c>
      <c r="E1885" s="2" t="str">
        <f>VLOOKUP($A1885,Controle!$B$4:$F$68,5,FALSE)</f>
        <v>weg</v>
      </c>
      <c r="F1885" s="3" t="str">
        <f>F1850</f>
        <v>Construção - Serviços de Construção - NOVA MORADA</v>
      </c>
      <c r="G1885" s="2" t="str">
        <f>VLOOKUP($A1885,Controle!$B$4:$G$68,6,FALSE)</f>
        <v>Solatio</v>
      </c>
      <c r="H1885" s="6">
        <v>0</v>
      </c>
      <c r="I1885" s="6">
        <v>0</v>
      </c>
      <c r="J1885" s="6">
        <v>0</v>
      </c>
      <c r="K1885" s="6">
        <v>0</v>
      </c>
      <c r="L1885" s="6">
        <v>0</v>
      </c>
      <c r="M1885" s="6">
        <v>0</v>
      </c>
      <c r="N1885" s="6">
        <v>0</v>
      </c>
      <c r="O1885" s="4">
        <f>SUM(I1885:N1885)</f>
        <v>0</v>
      </c>
      <c r="P1885" s="5">
        <f>SUMIFS('Desenvolvimento diário'!$H:$H,'Desenvolvimento diário'!$Q:$Q,$B1885,'Desenvolvimento diário'!$P:$P,$F1885,'Desenvolvimento diário'!$R:$R,"Sim")</f>
        <v>0</v>
      </c>
      <c r="Q1885" s="5">
        <f>SUMIFS('Desenvolvimento diário'!$H:$H,'Desenvolvimento diário'!$Q:$Q,$B1885,'Desenvolvimento diário'!$P:$P,$F1885,'Desenvolvimento diário'!$R:$R,"Não")</f>
        <v>0</v>
      </c>
      <c r="R1885" s="4">
        <f>SUM(P1885:Q1885)</f>
        <v>0</v>
      </c>
      <c r="S1885" s="4">
        <f>O1885-R1885</f>
        <v>0</v>
      </c>
      <c r="T1885" s="12">
        <f>IFERROR(R1885/O1885,0)</f>
        <v>0</v>
      </c>
      <c r="Y1885" s="2"/>
      <c r="Z1885" s="2"/>
      <c r="AA1885" s="2"/>
      <c r="AB1885" s="2"/>
      <c r="AC1885" s="2"/>
    </row>
    <row r="1886" spans="1:29" ht="10.5" hidden="1">
      <c r="A1886" s="2">
        <f>A1885</f>
        <v>54</v>
      </c>
      <c r="B1886" s="2" t="str">
        <f>VLOOKUP($A1886,Controle!$B$4:$F$68,2,FALSE)</f>
        <v>São Sebastião 3</v>
      </c>
      <c r="C1886" s="2" t="str">
        <f>VLOOKUP($A1886,Controle!$B$4:$F$68,3,FALSE)</f>
        <v>MORI MINAS V</v>
      </c>
      <c r="D1886" s="2" t="str">
        <f>VLOOKUP($A1886,Controle!$B$4:$F$68,4,FALSE)</f>
        <v>NewCo V</v>
      </c>
      <c r="E1886" s="2" t="str">
        <f>VLOOKUP($A1886,Controle!$B$4:$F$68,5,FALSE)</f>
        <v>weg</v>
      </c>
      <c r="F1886" s="3" t="str">
        <f>F1851</f>
        <v>Equipamentos Curva A -  Contrato Sobressalentes - SETTA</v>
      </c>
      <c r="G1886" s="2" t="str">
        <f>VLOOKUP($A1886,Controle!$B$4:$G$68,6,FALSE)</f>
        <v>Solatio</v>
      </c>
      <c r="H1886" s="6">
        <v>0</v>
      </c>
      <c r="I1886" s="6">
        <v>0</v>
      </c>
      <c r="J1886" s="6">
        <v>0</v>
      </c>
      <c r="K1886" s="6">
        <v>0</v>
      </c>
      <c r="L1886" s="6">
        <v>0</v>
      </c>
      <c r="M1886" s="6">
        <v>0</v>
      </c>
      <c r="N1886" s="6">
        <v>0</v>
      </c>
      <c r="O1886" s="4">
        <f>SUM(I1886:N1886)</f>
        <v>0</v>
      </c>
      <c r="P1886" s="5">
        <f>SUMIFS('Desenvolvimento diário'!$H:$H,'Desenvolvimento diário'!$Q:$Q,$B1886,'Desenvolvimento diário'!$P:$P,$F1886,'Desenvolvimento diário'!$R:$R,"Sim")</f>
        <v>0</v>
      </c>
      <c r="Q1886" s="5">
        <f>SUMIFS('Desenvolvimento diário'!$H:$H,'Desenvolvimento diário'!$Q:$Q,$B1886,'Desenvolvimento diário'!$P:$P,$F1886,'Desenvolvimento diário'!$R:$R,"Não")</f>
        <v>0</v>
      </c>
      <c r="R1886" s="4">
        <f>SUM(P1886:Q1886)</f>
        <v>0</v>
      </c>
      <c r="S1886" s="4">
        <f>O1886-R1886</f>
        <v>0</v>
      </c>
      <c r="T1886" s="12">
        <f>IFERROR(R1886/O1886,0)</f>
        <v>0</v>
      </c>
      <c r="Y1886" s="2"/>
      <c r="Z1886" s="2"/>
      <c r="AA1886" s="2"/>
      <c r="AB1886" s="2"/>
      <c r="AC1886" s="2"/>
    </row>
    <row r="1887" spans="1:29" ht="10.5" hidden="1">
      <c r="A1887" s="2">
        <f>A1886</f>
        <v>54</v>
      </c>
      <c r="B1887" s="2" t="str">
        <f>VLOOKUP($A1887,Controle!$B$4:$F$68,2,FALSE)</f>
        <v>São Sebastião 3</v>
      </c>
      <c r="C1887" s="2" t="str">
        <f>VLOOKUP($A1887,Controle!$B$4:$F$68,3,FALSE)</f>
        <v>MORI MINAS V</v>
      </c>
      <c r="D1887" s="2" t="str">
        <f>VLOOKUP($A1887,Controle!$B$4:$F$68,4,FALSE)</f>
        <v>NewCo V</v>
      </c>
      <c r="E1887" s="2" t="str">
        <f>VLOOKUP($A1887,Controle!$B$4:$F$68,5,FALSE)</f>
        <v>weg</v>
      </c>
      <c r="F1887" s="3" t="str">
        <f>F1852</f>
        <v>Equipamentos Curva A -  Contrato Sobressalentes - Arctech</v>
      </c>
      <c r="G1887" s="2" t="str">
        <f>VLOOKUP($A1887,Controle!$B$4:$G$68,6,FALSE)</f>
        <v>Solatio</v>
      </c>
      <c r="H1887" s="6">
        <v>0</v>
      </c>
      <c r="I1887" s="6">
        <v>0</v>
      </c>
      <c r="J1887" s="6">
        <v>0</v>
      </c>
      <c r="K1887" s="6">
        <v>0</v>
      </c>
      <c r="L1887" s="6">
        <v>0</v>
      </c>
      <c r="M1887" s="6">
        <v>0</v>
      </c>
      <c r="N1887" s="6">
        <v>0</v>
      </c>
      <c r="O1887" s="4">
        <f>SUM(I1887:N1887)</f>
        <v>0</v>
      </c>
      <c r="P1887" s="5">
        <f>SUMIFS('Desenvolvimento diário'!$H:$H,'Desenvolvimento diário'!$Q:$Q,$B1887,'Desenvolvimento diário'!$P:$P,$F1887,'Desenvolvimento diário'!$R:$R,"Sim")</f>
        <v>0</v>
      </c>
      <c r="Q1887" s="5">
        <f>SUMIFS('Desenvolvimento diário'!$H:$H,'Desenvolvimento diário'!$Q:$Q,$B1887,'Desenvolvimento diário'!$P:$P,$F1887,'Desenvolvimento diário'!$R:$R,"Não")</f>
        <v>0</v>
      </c>
      <c r="R1887" s="4">
        <f>SUM(P1887:Q1887)</f>
        <v>0</v>
      </c>
      <c r="S1887" s="4">
        <f>O1887-R1887</f>
        <v>0</v>
      </c>
      <c r="T1887" s="12">
        <f>IFERROR(R1887/O1887,0)</f>
        <v>0</v>
      </c>
      <c r="Y1887" s="2"/>
      <c r="Z1887" s="2"/>
      <c r="AA1887" s="2"/>
      <c r="AB1887" s="2"/>
      <c r="AC1887" s="2"/>
    </row>
    <row r="1888" spans="1:29" hidden="1">
      <c r="A1888" s="2">
        <f>A1887</f>
        <v>54</v>
      </c>
      <c r="B1888" s="94" t="str">
        <f>VLOOKUP($A1888,Controle!$B$4:$F$68,2,FALSE)</f>
        <v>São Sebastião 3</v>
      </c>
      <c r="C1888" s="94" t="str">
        <f>VLOOKUP($A1888,Controle!$B$4:$F$68,3,FALSE)</f>
        <v>MORI MINAS V</v>
      </c>
      <c r="D1888" s="94" t="str">
        <f>VLOOKUP($A1888,Controle!$B$4:$F$68,4,FALSE)</f>
        <v>NewCo V</v>
      </c>
      <c r="E1888" s="94" t="str">
        <f>VLOOKUP($A1888,Controle!$B$4:$F$68,5,FALSE)</f>
        <v>weg</v>
      </c>
      <c r="F1888" s="37" t="str">
        <f>F1853</f>
        <v>Equipamentos Curva A -  Contrato Sobressalentes - Romagnole</v>
      </c>
      <c r="G1888" s="94" t="str">
        <f>VLOOKUP($A1888,Controle!$B$4:$G$68,6,FALSE)</f>
        <v>Solatio</v>
      </c>
      <c r="H1888" s="506" t="s">
        <v>169</v>
      </c>
      <c r="I1888" s="506">
        <v>116660.89</v>
      </c>
      <c r="J1888" s="506">
        <v>0</v>
      </c>
      <c r="K1888" s="506">
        <v>0</v>
      </c>
      <c r="L1888" s="506">
        <v>0</v>
      </c>
      <c r="M1888" s="506">
        <v>0</v>
      </c>
      <c r="N1888" s="506">
        <v>0</v>
      </c>
      <c r="O1888" s="39">
        <f>SUM(I1888:N1888)</f>
        <v>116660.89</v>
      </c>
      <c r="P1888" s="17">
        <f>SUMIFS('Desenvolvimento diário'!$H:$H,'Desenvolvimento diário'!$Q:$Q,$B1888,'Desenvolvimento diário'!$P:$P,$F1888,'Desenvolvimento diário'!$R:$R,"Sim")</f>
        <v>0</v>
      </c>
      <c r="Q1888" s="17">
        <f>SUMIFS('Desenvolvimento diário'!$H:$H,'Desenvolvimento diário'!$Q:$Q,$B1888,'Desenvolvimento diário'!$P:$P,$F1888,'Desenvolvimento diário'!$R:$R,"Não")</f>
        <v>116660.89</v>
      </c>
      <c r="R1888" s="4">
        <f>SUM(P1888:Q1888)</f>
        <v>116660.89</v>
      </c>
      <c r="S1888" s="4">
        <f>O1888-R1888</f>
        <v>0</v>
      </c>
      <c r="T1888" s="12">
        <f>IFERROR(R1888/O1888,0)</f>
        <v>1</v>
      </c>
      <c r="Y1888" s="2"/>
      <c r="Z1888" s="2"/>
      <c r="AA1888" s="2"/>
      <c r="AB1888" s="2"/>
      <c r="AC1888" s="2"/>
    </row>
    <row r="1889" spans="1:29" hidden="1">
      <c r="A1889" s="2">
        <f t="shared" ref="A1889:A1890" si="590">A1888</f>
        <v>54</v>
      </c>
      <c r="B1889" s="2" t="str">
        <f>VLOOKUP($A1889,Controle!$B$4:$F$68,2,FALSE)</f>
        <v>São Sebastião 3</v>
      </c>
      <c r="C1889" s="2" t="str">
        <f>VLOOKUP($A1889,Controle!$B$4:$F$68,3,FALSE)</f>
        <v>MORI MINAS V</v>
      </c>
      <c r="D1889" s="2" t="str">
        <f>VLOOKUP($A1889,Controle!$B$4:$F$68,4,FALSE)</f>
        <v>NewCo V</v>
      </c>
      <c r="E1889" s="2" t="str">
        <f>VLOOKUP($A1889,Controle!$B$4:$F$68,5,FALSE)</f>
        <v>weg</v>
      </c>
      <c r="F1889" s="3" t="str">
        <f t="shared" ref="F1889:F1890" si="591">F1854</f>
        <v>GOS FLORESTAL - (PRAD - Recuperação Area Ambiental)</v>
      </c>
      <c r="G1889" s="2" t="str">
        <f>VLOOKUP($A1889,Controle!$B$4:$G$68,6,FALSE)</f>
        <v>Solatio</v>
      </c>
      <c r="H1889" s="506" t="s">
        <v>170</v>
      </c>
      <c r="I1889" s="7">
        <v>0</v>
      </c>
      <c r="J1889" s="7">
        <v>0</v>
      </c>
      <c r="K1889" s="7">
        <v>0</v>
      </c>
      <c r="L1889" s="7">
        <v>0</v>
      </c>
      <c r="M1889" s="7">
        <v>0</v>
      </c>
      <c r="N1889" s="7">
        <v>0</v>
      </c>
      <c r="O1889" s="39">
        <f t="shared" ref="O1889:O1890" si="592">SUM(I1889:N1889)</f>
        <v>0</v>
      </c>
      <c r="P1889" s="17">
        <f>SUMIFS('Desenvolvimento diário'!$H:$H,'Desenvolvimento diário'!$Q:$Q,$B1889,'Desenvolvimento diário'!$P:$P,$F1889,'Desenvolvimento diário'!$R:$R,"Sim")</f>
        <v>0</v>
      </c>
      <c r="Q1889" s="17">
        <f>SUMIFS('Desenvolvimento diário'!$H:$H,'Desenvolvimento diário'!$Q:$Q,$B1889,'Desenvolvimento diário'!$P:$P,$F1889,'Desenvolvimento diário'!$R:$R,"Não")</f>
        <v>0</v>
      </c>
      <c r="R1889" s="4">
        <f t="shared" ref="R1889:R1890" si="593">SUM(P1889:Q1889)</f>
        <v>0</v>
      </c>
      <c r="S1889" s="4">
        <f t="shared" ref="S1889:S1890" si="594">O1889-R1889</f>
        <v>0</v>
      </c>
      <c r="T1889" s="12">
        <f t="shared" ref="T1889:T1890" si="595">IFERROR(R1889/O1889,0)</f>
        <v>0</v>
      </c>
      <c r="Y1889" s="2"/>
      <c r="Z1889" s="2"/>
      <c r="AA1889" s="2"/>
      <c r="AB1889" s="2"/>
      <c r="AC1889" s="2"/>
    </row>
    <row r="1890" spans="1:29" hidden="1">
      <c r="A1890" s="2">
        <f t="shared" si="590"/>
        <v>54</v>
      </c>
      <c r="B1890" s="2" t="str">
        <f>VLOOKUP($A1890,Controle!$B$4:$F$68,2,FALSE)</f>
        <v>São Sebastião 3</v>
      </c>
      <c r="C1890" s="2" t="str">
        <f>VLOOKUP($A1890,Controle!$B$4:$F$68,3,FALSE)</f>
        <v>MORI MINAS V</v>
      </c>
      <c r="D1890" s="2" t="str">
        <f>VLOOKUP($A1890,Controle!$B$4:$F$68,4,FALSE)</f>
        <v>NewCo V</v>
      </c>
      <c r="E1890" s="2" t="str">
        <f>VLOOKUP($A1890,Controle!$B$4:$F$68,5,FALSE)</f>
        <v>weg</v>
      </c>
      <c r="F1890" s="3" t="str">
        <f t="shared" si="591"/>
        <v>Cercamento das bacias de contenção ciclo 2</v>
      </c>
      <c r="G1890" s="2" t="str">
        <f>VLOOKUP($A1890,Controle!$B$4:$G$68,6,FALSE)</f>
        <v>Solatio</v>
      </c>
      <c r="H1890" s="506" t="s">
        <v>172</v>
      </c>
      <c r="I1890" s="6"/>
      <c r="J1890" s="506"/>
      <c r="K1890" s="506">
        <v>0</v>
      </c>
      <c r="L1890" s="506">
        <v>0</v>
      </c>
      <c r="M1890" s="506">
        <v>0</v>
      </c>
      <c r="N1890" s="506">
        <v>0</v>
      </c>
      <c r="O1890" s="39">
        <f t="shared" si="592"/>
        <v>0</v>
      </c>
      <c r="P1890" s="17">
        <f>SUMIFS('Desenvolvimento diário'!$H:$H,'Desenvolvimento diário'!$Q:$Q,$B1890,'Desenvolvimento diário'!$P:$P,$F1890,'Desenvolvimento diário'!$R:$R,"Sim")</f>
        <v>0</v>
      </c>
      <c r="Q1890" s="17">
        <f>SUMIFS('Desenvolvimento diário'!$H:$H,'Desenvolvimento diário'!$Q:$Q,$B1890,'Desenvolvimento diário'!$P:$P,$F1890,'Desenvolvimento diário'!$R:$R,"Não")</f>
        <v>0</v>
      </c>
      <c r="R1890" s="4">
        <f t="shared" si="593"/>
        <v>0</v>
      </c>
      <c r="S1890" s="1030">
        <f t="shared" si="594"/>
        <v>0</v>
      </c>
      <c r="T1890" s="12">
        <f t="shared" si="595"/>
        <v>0</v>
      </c>
      <c r="U1890" s="1029" t="s">
        <v>166</v>
      </c>
      <c r="V1890" s="1029" t="s">
        <v>94</v>
      </c>
      <c r="Y1890" s="2"/>
      <c r="Z1890" s="2"/>
      <c r="AA1890" s="2"/>
      <c r="AB1890" s="2"/>
      <c r="AC1890" s="2"/>
    </row>
    <row r="1891" spans="1:29" hidden="1">
      <c r="A1891" s="8">
        <f>A1888</f>
        <v>54</v>
      </c>
      <c r="B1891" s="9" t="str">
        <f>B1888</f>
        <v>São Sebastião 3</v>
      </c>
      <c r="C1891" s="9" t="str">
        <f>C1888</f>
        <v>MORI MINAS V</v>
      </c>
      <c r="D1891" s="9" t="str">
        <f>D1888</f>
        <v>NewCo V</v>
      </c>
      <c r="E1891" s="9" t="str">
        <f>E1888</f>
        <v>weg</v>
      </c>
      <c r="F1891" s="10" t="s">
        <v>158</v>
      </c>
      <c r="G1891" s="9" t="str">
        <f>G1888</f>
        <v>Solatio</v>
      </c>
      <c r="H1891" s="9"/>
      <c r="I1891" s="9">
        <f>SUBTOTAL(9,I1857:I1890)</f>
        <v>0</v>
      </c>
      <c r="J1891" s="9">
        <f t="shared" ref="J1891:S1891" si="596">SUBTOTAL(9,J1857:J1890)</f>
        <v>0</v>
      </c>
      <c r="K1891" s="9">
        <f t="shared" si="596"/>
        <v>0</v>
      </c>
      <c r="L1891" s="9">
        <f t="shared" si="596"/>
        <v>0</v>
      </c>
      <c r="M1891" s="9">
        <f t="shared" si="596"/>
        <v>0</v>
      </c>
      <c r="N1891" s="9">
        <f t="shared" si="596"/>
        <v>0</v>
      </c>
      <c r="O1891" s="9">
        <f t="shared" si="596"/>
        <v>0</v>
      </c>
      <c r="P1891" s="9">
        <f t="shared" si="596"/>
        <v>0</v>
      </c>
      <c r="Q1891" s="9">
        <f t="shared" si="596"/>
        <v>0</v>
      </c>
      <c r="R1891" s="9">
        <f t="shared" si="596"/>
        <v>0</v>
      </c>
      <c r="S1891" s="9">
        <f t="shared" si="596"/>
        <v>0</v>
      </c>
      <c r="T1891" s="13">
        <f>IFERROR(R1891/O1891,0)</f>
        <v>0</v>
      </c>
      <c r="U1891" s="11">
        <f>SUBTOTAL(9,U1857:U1890)</f>
        <v>0</v>
      </c>
      <c r="Y1891" s="2"/>
      <c r="Z1891" s="2"/>
      <c r="AA1891" s="2"/>
      <c r="AB1891" s="2"/>
      <c r="AC1891" s="2"/>
    </row>
    <row r="1892" spans="1:29" ht="10.5" hidden="1">
      <c r="A1892" s="2">
        <f>A1857+1</f>
        <v>55</v>
      </c>
      <c r="B1892" s="2" t="str">
        <f>VLOOKUP($A1892,Controle!$B$4:$F$68,2,FALSE)</f>
        <v>São Sebastião 4</v>
      </c>
      <c r="C1892" s="2" t="str">
        <f>VLOOKUP($A1892,Controle!$B$4:$F$68,3,FALSE)</f>
        <v>MORI MINAS IV</v>
      </c>
      <c r="D1892" s="2" t="str">
        <f>VLOOKUP($A1892,Controle!$B$4:$F$68,4,FALSE)</f>
        <v>NewCo IV</v>
      </c>
      <c r="E1892" s="2">
        <f>VLOOKUP($A1892,Controle!$B$4:$F$68,5,FALSE)</f>
        <v>3</v>
      </c>
      <c r="F1892" s="3" t="str">
        <f>F1857</f>
        <v>Conexão AT - Obras</v>
      </c>
      <c r="G1892" s="2" t="str">
        <f>VLOOKUP($A1892,Controle!$B$4:$G$68,6,FALSE)</f>
        <v>Solatio</v>
      </c>
      <c r="H1892" s="6" t="s">
        <v>182</v>
      </c>
      <c r="I1892" s="6">
        <v>0</v>
      </c>
      <c r="J1892" s="6">
        <v>0</v>
      </c>
      <c r="K1892" s="6">
        <v>0</v>
      </c>
      <c r="L1892" s="6">
        <v>0</v>
      </c>
      <c r="M1892" s="6">
        <v>0</v>
      </c>
      <c r="N1892" s="6">
        <v>0</v>
      </c>
      <c r="O1892" s="4">
        <f>SUM(I1892:N1892)</f>
        <v>0</v>
      </c>
      <c r="P1892" s="5">
        <f>SUMIFS('Desenvolvimento diário'!$H:$H,'Desenvolvimento diário'!$Q:$Q,$B1892,'Desenvolvimento diário'!$P:$P,$F1892,'Desenvolvimento diário'!$R:$R,"Sim")</f>
        <v>0</v>
      </c>
      <c r="Q1892" s="5">
        <f>SUMIFS('Desenvolvimento diário'!$H:$H,'Desenvolvimento diário'!$Q:$Q,$B1892,'Desenvolvimento diário'!$P:$P,$F1892,'Desenvolvimento diário'!$R:$R,"Não")</f>
        <v>0</v>
      </c>
      <c r="R1892" s="4">
        <f>SUM(P1892:Q1892)</f>
        <v>0</v>
      </c>
      <c r="S1892" s="4">
        <f>O1892-R1892</f>
        <v>0</v>
      </c>
      <c r="T1892" s="12">
        <f>IFERROR(R1892/O1892,0)</f>
        <v>0</v>
      </c>
      <c r="Y1892" s="2"/>
      <c r="Z1892" s="2"/>
      <c r="AA1892" s="2"/>
      <c r="AB1892" s="2"/>
      <c r="AC1892" s="2"/>
    </row>
    <row r="1893" spans="1:29" ht="10.5" hidden="1">
      <c r="A1893" s="2">
        <f>A1892</f>
        <v>55</v>
      </c>
      <c r="B1893" s="2" t="str">
        <f>VLOOKUP($A1893,Controle!$B$4:$F$68,2,FALSE)</f>
        <v>São Sebastião 4</v>
      </c>
      <c r="C1893" s="2" t="str">
        <f>VLOOKUP($A1893,Controle!$B$4:$F$68,3,FALSE)</f>
        <v>MORI MINAS IV</v>
      </c>
      <c r="D1893" s="2" t="str">
        <f>VLOOKUP($A1893,Controle!$B$4:$F$68,4,FALSE)</f>
        <v>NewCo IV</v>
      </c>
      <c r="E1893" s="2">
        <f>VLOOKUP($A1893,Controle!$B$4:$F$68,5,FALSE)</f>
        <v>3</v>
      </c>
      <c r="F1893" s="3" t="str">
        <f>F1858</f>
        <v>Conexão MT - Obras</v>
      </c>
      <c r="G1893" s="2" t="str">
        <f>VLOOKUP($A1893,Controle!$B$4:$G$68,6,FALSE)</f>
        <v>Solatio</v>
      </c>
      <c r="H1893" s="6" t="s">
        <v>141</v>
      </c>
      <c r="I1893" s="6">
        <v>923275.54</v>
      </c>
      <c r="J1893" s="6">
        <v>1176724.46</v>
      </c>
      <c r="K1893" s="6">
        <v>707000</v>
      </c>
      <c r="L1893" s="28">
        <v>-249033.02</v>
      </c>
      <c r="M1893" s="6">
        <v>0</v>
      </c>
      <c r="N1893" s="6">
        <v>0</v>
      </c>
      <c r="O1893" s="4">
        <f>SUM(I1893:N1893)</f>
        <v>2557966.98</v>
      </c>
      <c r="P1893" s="5">
        <f>SUMIFS('Desenvolvimento diário'!$H:$H,'Desenvolvimento diário'!$Q:$Q,$B1893,'Desenvolvimento diário'!$P:$P,$F1893,'Desenvolvimento diário'!$R:$R,"Sim")</f>
        <v>1457966.98</v>
      </c>
      <c r="Q1893" s="5">
        <f>SUMIFS('Desenvolvimento diário'!$H:$H,'Desenvolvimento diário'!$Q:$Q,$B1893,'Desenvolvimento diário'!$P:$P,$F1893,'Desenvolvimento diário'!$R:$R,"Não")</f>
        <v>1100000</v>
      </c>
      <c r="R1893" s="4">
        <f>SUM(P1893:Q1893)</f>
        <v>2557966.98</v>
      </c>
      <c r="S1893" s="4">
        <f>O1893-R1893</f>
        <v>0</v>
      </c>
      <c r="T1893" s="12">
        <f>IFERROR(R1893/O1893,0)</f>
        <v>1</v>
      </c>
      <c r="V1893" s="30"/>
      <c r="W1893" s="34"/>
      <c r="X1893" s="34"/>
      <c r="Y1893" s="2"/>
      <c r="Z1893" s="2"/>
      <c r="AA1893" s="2"/>
      <c r="AB1893" s="2"/>
      <c r="AC1893" s="2"/>
    </row>
    <row r="1894" spans="1:29" ht="10.5" hidden="1">
      <c r="A1894" s="2">
        <f>A1893</f>
        <v>55</v>
      </c>
      <c r="B1894" s="2" t="str">
        <f>VLOOKUP($A1894,Controle!$B$4:$F$68,2,FALSE)</f>
        <v>São Sebastião 4</v>
      </c>
      <c r="C1894" s="2" t="str">
        <f>VLOOKUP($A1894,Controle!$B$4:$F$68,3,FALSE)</f>
        <v>MORI MINAS IV</v>
      </c>
      <c r="D1894" s="2" t="str">
        <f>VLOOKUP($A1894,Controle!$B$4:$F$68,4,FALSE)</f>
        <v>NewCo IV</v>
      </c>
      <c r="E1894" s="2">
        <f>VLOOKUP($A1894,Controle!$B$4:$F$68,5,FALSE)</f>
        <v>3</v>
      </c>
      <c r="F1894" s="3" t="str">
        <f>F1859</f>
        <v>Construção - Serviços de Construção</v>
      </c>
      <c r="G1894" s="2" t="str">
        <f>VLOOKUP($A1894,Controle!$B$4:$G$68,6,FALSE)</f>
        <v>Solatio</v>
      </c>
      <c r="H1894" s="6" t="s">
        <v>201</v>
      </c>
      <c r="I1894" s="6">
        <v>3004291.73</v>
      </c>
      <c r="J1894" s="6">
        <v>323680.59999999998</v>
      </c>
      <c r="K1894" s="6">
        <f>259146.86-0.12</f>
        <v>259146.74</v>
      </c>
      <c r="L1894" s="6">
        <v>0</v>
      </c>
      <c r="M1894" s="6">
        <v>0</v>
      </c>
      <c r="N1894" s="6">
        <v>0</v>
      </c>
      <c r="O1894" s="4">
        <f>SUM(I1894:N1894)</f>
        <v>3587119.0700000003</v>
      </c>
      <c r="P1894" s="5">
        <f>SUMIFS('Desenvolvimento diário'!$H:$H,'Desenvolvimento diário'!$Q:$Q,$B1894,'Desenvolvimento diário'!$P:$P,$F1894,'Desenvolvimento diário'!$R:$R,"Sim")</f>
        <v>240659.26</v>
      </c>
      <c r="Q1894" s="5">
        <f>SUMIFS('Desenvolvimento diário'!$H:$H,'Desenvolvimento diário'!$Q:$Q,$B1894,'Desenvolvimento diário'!$P:$P,$F1894,'Desenvolvimento diário'!$R:$R,"Não")</f>
        <v>3346503.8099999996</v>
      </c>
      <c r="R1894" s="4">
        <f>SUM(P1894:Q1894)-44</f>
        <v>3587119.0699999994</v>
      </c>
      <c r="S1894" s="43">
        <f>O1894-R1894</f>
        <v>0</v>
      </c>
      <c r="T1894" s="12">
        <f>IFERROR(R1894/O1894,0)</f>
        <v>0.99999999999999978</v>
      </c>
      <c r="U1894" s="34"/>
      <c r="Y1894" s="2"/>
      <c r="Z1894" s="2"/>
      <c r="AA1894" s="2"/>
      <c r="AB1894" s="2"/>
      <c r="AC1894" s="2"/>
    </row>
    <row r="1895" spans="1:29" ht="10.5" hidden="1">
      <c r="A1895" s="2">
        <f>A1894</f>
        <v>55</v>
      </c>
      <c r="B1895" s="2" t="str">
        <f>VLOOKUP($A1895,Controle!$B$4:$F$68,2,FALSE)</f>
        <v>São Sebastião 4</v>
      </c>
      <c r="C1895" s="2" t="str">
        <f>VLOOKUP($A1895,Controle!$B$4:$F$68,3,FALSE)</f>
        <v>MORI MINAS IV</v>
      </c>
      <c r="D1895" s="2" t="str">
        <f>VLOOKUP($A1895,Controle!$B$4:$F$68,4,FALSE)</f>
        <v>NewCo IV</v>
      </c>
      <c r="E1895" s="2">
        <f>VLOOKUP($A1895,Controle!$B$4:$F$68,5,FALSE)</f>
        <v>3</v>
      </c>
      <c r="F1895" s="3" t="str">
        <f>F1860</f>
        <v>Construção - Serviços de Construção - Substituição</v>
      </c>
      <c r="G1895" s="2" t="str">
        <f>VLOOKUP($A1895,Controle!$B$4:$G$68,6,FALSE)</f>
        <v>Solatio</v>
      </c>
      <c r="H1895" s="6" t="s">
        <v>202</v>
      </c>
      <c r="I1895" s="6">
        <v>2740702.22</v>
      </c>
      <c r="J1895" s="6">
        <v>0</v>
      </c>
      <c r="K1895" s="6">
        <v>0</v>
      </c>
      <c r="L1895" s="6">
        <v>0</v>
      </c>
      <c r="M1895" s="6">
        <v>0</v>
      </c>
      <c r="N1895" s="6">
        <v>0</v>
      </c>
      <c r="O1895" s="4">
        <f>SUM(I1895:N1895)</f>
        <v>2740702.22</v>
      </c>
      <c r="P1895" s="5">
        <f>SUMIFS('Desenvolvimento diário'!$H:$H,'Desenvolvimento diário'!$Q:$Q,$B1895,'Desenvolvimento diário'!$P:$P,$F1895,'Desenvolvimento diário'!$R:$R,"Sim")</f>
        <v>555499.59</v>
      </c>
      <c r="Q1895" s="5">
        <f>SUMIFS('Desenvolvimento diário'!$H:$H,'Desenvolvimento diário'!$Q:$Q,$B1895,'Desenvolvimento diário'!$P:$P,$F1895,'Desenvolvimento diário'!$R:$R,"Não")</f>
        <v>274070.21999999997</v>
      </c>
      <c r="R1895" s="4">
        <f>SUM(P1895:Q1895)</f>
        <v>829569.80999999994</v>
      </c>
      <c r="S1895" s="33">
        <f>O1895-R1895</f>
        <v>1911132.4100000001</v>
      </c>
      <c r="T1895" s="12">
        <f>IFERROR(R1895/O1895,0)</f>
        <v>0.30268513082023185</v>
      </c>
      <c r="U1895" s="510" t="s">
        <v>162</v>
      </c>
      <c r="V1895" s="510" t="s">
        <v>163</v>
      </c>
      <c r="Y1895" s="2"/>
      <c r="Z1895" s="2"/>
      <c r="AA1895" s="2"/>
      <c r="AB1895" s="2"/>
      <c r="AC1895" s="2"/>
    </row>
    <row r="1896" spans="1:29" ht="10.5" hidden="1">
      <c r="A1896" s="2">
        <f>A1895</f>
        <v>55</v>
      </c>
      <c r="B1896" s="34" t="str">
        <f>VLOOKUP($A1896,Controle!$B$4:$F$68,2,FALSE)</f>
        <v>São Sebastião 4</v>
      </c>
      <c r="C1896" s="2" t="str">
        <f>VLOOKUP($A1896,Controle!$B$4:$F$68,3,FALSE)</f>
        <v>MORI MINAS IV</v>
      </c>
      <c r="D1896" s="2" t="str">
        <f>VLOOKUP($A1896,Controle!$B$4:$F$68,4,FALSE)</f>
        <v>NewCo IV</v>
      </c>
      <c r="E1896" s="2">
        <f>VLOOKUP($A1896,Controle!$B$4:$F$68,5,FALSE)</f>
        <v>3</v>
      </c>
      <c r="F1896" s="3" t="str">
        <f>F1861</f>
        <v>Construção - RDA Interno</v>
      </c>
      <c r="G1896" s="2" t="str">
        <f>VLOOKUP($A1896,Controle!$B$4:$G$68,6,FALSE)</f>
        <v>Solatio</v>
      </c>
      <c r="H1896" s="6" t="s">
        <v>143</v>
      </c>
      <c r="I1896" s="6">
        <v>664843.5</v>
      </c>
      <c r="J1896" s="6">
        <v>6400</v>
      </c>
      <c r="K1896" s="6">
        <v>7304.5454</v>
      </c>
      <c r="L1896" s="6">
        <v>0</v>
      </c>
      <c r="M1896" s="6">
        <v>0</v>
      </c>
      <c r="N1896" s="6">
        <v>0</v>
      </c>
      <c r="O1896" s="4">
        <f>SUM(I1896:N1896)+0.0046</f>
        <v>678548.04999999993</v>
      </c>
      <c r="P1896" s="5">
        <f>SUMIFS('Desenvolvimento diário'!$H:$H,'Desenvolvimento diário'!$Q:$Q,$B1896,'Desenvolvimento diário'!$P:$P,$F1896,'Desenvolvimento diário'!$R:$R,"Sim")</f>
        <v>0</v>
      </c>
      <c r="Q1896" s="5">
        <f>SUMIFS('Desenvolvimento diário'!$H:$H,'Desenvolvimento diário'!$Q:$Q,$B1896,'Desenvolvimento diário'!$P:$P,$F1896,'Desenvolvimento diário'!$R:$R,"Não")</f>
        <v>678548.05</v>
      </c>
      <c r="R1896" s="4">
        <f>SUM(P1896:Q1896)</f>
        <v>678548.05</v>
      </c>
      <c r="S1896" s="137">
        <f>O1896-R1896</f>
        <v>0</v>
      </c>
      <c r="T1896" s="12">
        <f>IFERROR(R1896/O1896,0)</f>
        <v>1.0000000000000002</v>
      </c>
      <c r="Y1896" s="2"/>
      <c r="Z1896" s="2"/>
      <c r="AA1896" s="2"/>
      <c r="AB1896" s="2"/>
      <c r="AC1896" s="2"/>
    </row>
    <row r="1897" spans="1:29" ht="10.5" hidden="1">
      <c r="A1897" s="2">
        <f>A1896</f>
        <v>55</v>
      </c>
      <c r="B1897" s="2" t="str">
        <f>VLOOKUP($A1897,Controle!$B$4:$F$68,2,FALSE)</f>
        <v>São Sebastião 4</v>
      </c>
      <c r="C1897" s="2" t="str">
        <f>VLOOKUP($A1897,Controle!$B$4:$F$68,3,FALSE)</f>
        <v>MORI MINAS IV</v>
      </c>
      <c r="D1897" s="2" t="str">
        <f>VLOOKUP($A1897,Controle!$B$4:$F$68,4,FALSE)</f>
        <v>NewCo IV</v>
      </c>
      <c r="E1897" s="2">
        <f>VLOOKUP($A1897,Controle!$B$4:$F$68,5,FALSE)</f>
        <v>3</v>
      </c>
      <c r="F1897" s="3" t="str">
        <f>F1862</f>
        <v>Full EPC - Contrato</v>
      </c>
      <c r="G1897" s="2" t="str">
        <f>VLOOKUP($A1897,Controle!$B$4:$G$68,6,FALSE)</f>
        <v>Solatio</v>
      </c>
      <c r="H1897" s="6">
        <v>0</v>
      </c>
      <c r="I1897" s="6">
        <v>0</v>
      </c>
      <c r="J1897" s="6">
        <v>0</v>
      </c>
      <c r="K1897" s="6">
        <v>0</v>
      </c>
      <c r="L1897" s="6">
        <v>0</v>
      </c>
      <c r="M1897" s="6">
        <v>0</v>
      </c>
      <c r="N1897" s="6">
        <v>0</v>
      </c>
      <c r="O1897" s="4">
        <f>SUM(I1897:N1897)</f>
        <v>0</v>
      </c>
      <c r="P1897" s="5">
        <f>SUMIFS('Desenvolvimento diário'!$H:$H,'Desenvolvimento diário'!$Q:$Q,$B1897,'Desenvolvimento diário'!$P:$P,$F1897,'Desenvolvimento diário'!$R:$R,"Sim")</f>
        <v>0</v>
      </c>
      <c r="Q1897" s="5">
        <f>SUMIFS('Desenvolvimento diário'!$H:$H,'Desenvolvimento diário'!$Q:$Q,$B1897,'Desenvolvimento diário'!$P:$P,$F1897,'Desenvolvimento diário'!$R:$R,"Não")</f>
        <v>0</v>
      </c>
      <c r="R1897" s="4">
        <f>SUM(P1897:Q1897)</f>
        <v>0</v>
      </c>
      <c r="S1897" s="4">
        <f>O1897-R1897</f>
        <v>0</v>
      </c>
      <c r="T1897" s="12">
        <f>IFERROR(R1897/O1897,0)</f>
        <v>0</v>
      </c>
      <c r="Y1897" s="2"/>
      <c r="Z1897" s="2"/>
      <c r="AA1897" s="2"/>
      <c r="AB1897" s="2"/>
      <c r="AC1897" s="2"/>
    </row>
    <row r="1898" spans="1:29" ht="10.5" hidden="1">
      <c r="A1898" s="2">
        <f>A1897</f>
        <v>55</v>
      </c>
      <c r="B1898" s="2" t="str">
        <f>VLOOKUP($A1898,Controle!$B$4:$F$68,2,FALSE)</f>
        <v>São Sebastião 4</v>
      </c>
      <c r="C1898" s="2" t="str">
        <f>VLOOKUP($A1898,Controle!$B$4:$F$68,3,FALSE)</f>
        <v>MORI MINAS IV</v>
      </c>
      <c r="D1898" s="2" t="str">
        <f>VLOOKUP($A1898,Controle!$B$4:$F$68,4,FALSE)</f>
        <v>NewCo IV</v>
      </c>
      <c r="E1898" s="2">
        <f>VLOOKUP($A1898,Controle!$B$4:$F$68,5,FALSE)</f>
        <v>3</v>
      </c>
      <c r="F1898" s="3" t="str">
        <f>F1863</f>
        <v>Equipamentos Curva A - Outros (Transformadores)</v>
      </c>
      <c r="G1898" s="2" t="str">
        <f>VLOOKUP($A1898,Controle!$B$4:$G$68,6,FALSE)</f>
        <v>Solatio</v>
      </c>
      <c r="H1898" s="6">
        <v>0</v>
      </c>
      <c r="I1898" s="6">
        <v>0</v>
      </c>
      <c r="J1898" s="6">
        <v>0</v>
      </c>
      <c r="K1898" s="6">
        <v>0</v>
      </c>
      <c r="L1898" s="6">
        <v>0</v>
      </c>
      <c r="M1898" s="6">
        <v>0</v>
      </c>
      <c r="N1898" s="6">
        <v>0</v>
      </c>
      <c r="O1898" s="4">
        <f>SUM(I1898:N1898)</f>
        <v>0</v>
      </c>
      <c r="P1898" s="5">
        <f>SUMIFS('Desenvolvimento diário'!$H:$H,'Desenvolvimento diário'!$Q:$Q,$B1898,'Desenvolvimento diário'!$P:$P,$F1898,'Desenvolvimento diário'!$R:$R,"Sim")</f>
        <v>0</v>
      </c>
      <c r="Q1898" s="5">
        <f>SUMIFS('Desenvolvimento diário'!$H:$H,'Desenvolvimento diário'!$Q:$Q,$B1898,'Desenvolvimento diário'!$P:$P,$F1898,'Desenvolvimento diário'!$R:$R,"Não")</f>
        <v>0</v>
      </c>
      <c r="R1898" s="4">
        <f>SUM(P1898:Q1898)</f>
        <v>0</v>
      </c>
      <c r="S1898" s="4">
        <f>O1898-R1898</f>
        <v>0</v>
      </c>
      <c r="T1898" s="12">
        <f>IFERROR(R1898/O1898,0)</f>
        <v>0</v>
      </c>
      <c r="Y1898" s="2"/>
      <c r="Z1898" s="2"/>
      <c r="AA1898" s="2"/>
      <c r="AB1898" s="2"/>
      <c r="AC1898" s="2"/>
    </row>
    <row r="1899" spans="1:29" ht="10.5" hidden="1">
      <c r="A1899" s="2">
        <f>A1898</f>
        <v>55</v>
      </c>
      <c r="B1899" s="2" t="str">
        <f>VLOOKUP($A1899,Controle!$B$4:$F$68,2,FALSE)</f>
        <v>São Sebastião 4</v>
      </c>
      <c r="C1899" s="2" t="str">
        <f>VLOOKUP($A1899,Controle!$B$4:$F$68,3,FALSE)</f>
        <v>MORI MINAS IV</v>
      </c>
      <c r="D1899" s="2" t="str">
        <f>VLOOKUP($A1899,Controle!$B$4:$F$68,4,FALSE)</f>
        <v>NewCo IV</v>
      </c>
      <c r="E1899" s="2">
        <f>VLOOKUP($A1899,Controle!$B$4:$F$68,5,FALSE)</f>
        <v>3</v>
      </c>
      <c r="F1899" s="3" t="str">
        <f>F1864</f>
        <v>Equipamentos Curva A - Outros (Cabine + Skid)</v>
      </c>
      <c r="G1899" s="2" t="str">
        <f>VLOOKUP($A1899,Controle!$B$4:$G$68,6,FALSE)</f>
        <v>Solatio</v>
      </c>
      <c r="H1899" s="6">
        <v>0</v>
      </c>
      <c r="I1899" s="6">
        <v>0</v>
      </c>
      <c r="J1899" s="6">
        <v>0</v>
      </c>
      <c r="K1899" s="6">
        <v>0</v>
      </c>
      <c r="L1899" s="6">
        <v>0</v>
      </c>
      <c r="M1899" s="6">
        <v>0</v>
      </c>
      <c r="N1899" s="6">
        <v>0</v>
      </c>
      <c r="O1899" s="4">
        <f>SUM(I1899:N1899)</f>
        <v>0</v>
      </c>
      <c r="P1899" s="5">
        <f>SUMIFS('Desenvolvimento diário'!$H:$H,'Desenvolvimento diário'!$Q:$Q,$B1899,'Desenvolvimento diário'!$P:$P,$F1899,'Desenvolvimento diário'!$R:$R,"Sim")</f>
        <v>0</v>
      </c>
      <c r="Q1899" s="5">
        <f>SUMIFS('Desenvolvimento diário'!$H:$H,'Desenvolvimento diário'!$Q:$Q,$B1899,'Desenvolvimento diário'!$P:$P,$F1899,'Desenvolvimento diário'!$R:$R,"Não")</f>
        <v>0</v>
      </c>
      <c r="R1899" s="4">
        <f>SUM(P1899:Q1899)</f>
        <v>0</v>
      </c>
      <c r="S1899" s="4">
        <f>O1899-R1899</f>
        <v>0</v>
      </c>
      <c r="T1899" s="12">
        <f>IFERROR(R1899/O1899,0)</f>
        <v>0</v>
      </c>
      <c r="Y1899" s="2"/>
      <c r="Z1899" s="2"/>
      <c r="AA1899" s="2"/>
      <c r="AB1899" s="2"/>
      <c r="AC1899" s="2"/>
    </row>
    <row r="1900" spans="1:29" ht="10.5" hidden="1">
      <c r="A1900" s="2">
        <f>A1899</f>
        <v>55</v>
      </c>
      <c r="B1900" s="2" t="str">
        <f>VLOOKUP($A1900,Controle!$B$4:$F$68,2,FALSE)</f>
        <v>São Sebastião 4</v>
      </c>
      <c r="C1900" s="2" t="str">
        <f>VLOOKUP($A1900,Controle!$B$4:$F$68,3,FALSE)</f>
        <v>MORI MINAS IV</v>
      </c>
      <c r="D1900" s="2" t="str">
        <f>VLOOKUP($A1900,Controle!$B$4:$F$68,4,FALSE)</f>
        <v>NewCo IV</v>
      </c>
      <c r="E1900" s="2">
        <f>VLOOKUP($A1900,Controle!$B$4:$F$68,5,FALSE)</f>
        <v>3</v>
      </c>
      <c r="F1900" s="3" t="str">
        <f>F1865</f>
        <v>Equipamentos Curva A - Outros (Cabine + Skid + Transformador)</v>
      </c>
      <c r="G1900" s="2" t="str">
        <f>VLOOKUP($A1900,Controle!$B$4:$G$68,6,FALSE)</f>
        <v>Solatio</v>
      </c>
      <c r="H1900" s="6" t="s">
        <v>144</v>
      </c>
      <c r="I1900" s="6">
        <v>1166651.726438514</v>
      </c>
      <c r="J1900" s="6">
        <v>0</v>
      </c>
      <c r="K1900" s="6">
        <v>0</v>
      </c>
      <c r="L1900" s="6">
        <v>0</v>
      </c>
      <c r="M1900" s="6">
        <v>0</v>
      </c>
      <c r="N1900" s="6">
        <v>0</v>
      </c>
      <c r="O1900" s="4">
        <f>SUM(I1900:N1900)</f>
        <v>1166651.726438514</v>
      </c>
      <c r="P1900" s="5">
        <f>SUMIFS('Desenvolvimento diário'!$H:$H,'Desenvolvimento diário'!$Q:$Q,$B1900,'Desenvolvimento diário'!$P:$P,$F1900,'Desenvolvimento diário'!$R:$R,"Sim")</f>
        <v>0</v>
      </c>
      <c r="Q1900" s="5">
        <f>SUMIFS('Desenvolvimento diário'!$H:$H,'Desenvolvimento diário'!$Q:$Q,$B1900,'Desenvolvimento diário'!$P:$P,$F1900,'Desenvolvimento diário'!$R:$R,"Não")</f>
        <v>1166651.726438514</v>
      </c>
      <c r="R1900" s="4">
        <f>SUM(P1900:Q1900)</f>
        <v>1166651.726438514</v>
      </c>
      <c r="S1900" s="4">
        <f>O1900-R1900</f>
        <v>0</v>
      </c>
      <c r="T1900" s="12">
        <f>IFERROR(R1900/O1900,0)</f>
        <v>1</v>
      </c>
      <c r="Y1900" s="2"/>
      <c r="Z1900" s="2"/>
      <c r="AA1900" s="2"/>
      <c r="AB1900" s="2"/>
      <c r="AC1900" s="2"/>
    </row>
    <row r="1901" spans="1:29" ht="10.5" hidden="1">
      <c r="A1901" s="2">
        <f>A1900</f>
        <v>55</v>
      </c>
      <c r="B1901" s="2" t="str">
        <f>VLOOKUP($A1901,Controle!$B$4:$F$68,2,FALSE)</f>
        <v>São Sebastião 4</v>
      </c>
      <c r="C1901" s="2" t="str">
        <f>VLOOKUP($A1901,Controle!$B$4:$F$68,3,FALSE)</f>
        <v>MORI MINAS IV</v>
      </c>
      <c r="D1901" s="2" t="str">
        <f>VLOOKUP($A1901,Controle!$B$4:$F$68,4,FALSE)</f>
        <v>NewCo IV</v>
      </c>
      <c r="E1901" s="2">
        <f>VLOOKUP($A1901,Controle!$B$4:$F$68,5,FALSE)</f>
        <v>3</v>
      </c>
      <c r="F1901" s="3" t="str">
        <f>F1866</f>
        <v>Desenvolvimento de projeto - Projetos - (Eng° Proprietario)</v>
      </c>
      <c r="G1901" s="2" t="str">
        <f>VLOOKUP($A1901,Controle!$B$4:$G$68,6,FALSE)</f>
        <v>Solatio</v>
      </c>
      <c r="H1901" s="6" t="s">
        <v>145</v>
      </c>
      <c r="I1901" s="6">
        <v>0</v>
      </c>
      <c r="J1901" s="6">
        <v>0</v>
      </c>
      <c r="K1901" s="6">
        <v>0</v>
      </c>
      <c r="L1901" s="6">
        <v>0</v>
      </c>
      <c r="M1901" s="6">
        <v>0</v>
      </c>
      <c r="N1901" s="6">
        <v>0</v>
      </c>
      <c r="O1901" s="4">
        <f>SUM(I1901:N1901)</f>
        <v>0</v>
      </c>
      <c r="P1901" s="5">
        <f>SUMIFS('Desenvolvimento diário'!$H:$H,'Desenvolvimento diário'!$Q:$Q,$B1901,'Desenvolvimento diário'!$P:$P,$F1901,'Desenvolvimento diário'!$R:$R,"Sim")</f>
        <v>0</v>
      </c>
      <c r="Q1901" s="5">
        <f>SUMIFS('Desenvolvimento diário'!$H:$H,'Desenvolvimento diário'!$Q:$Q,$B1901,'Desenvolvimento diário'!$P:$P,$F1901,'Desenvolvimento diário'!$R:$R,"Não")</f>
        <v>0</v>
      </c>
      <c r="R1901" s="4">
        <f>SUM(P1901:Q1901)</f>
        <v>0</v>
      </c>
      <c r="S1901" s="4">
        <f>O1901-R1901</f>
        <v>0</v>
      </c>
      <c r="T1901" s="12">
        <f>IFERROR(R1901/O1901,0)</f>
        <v>0</v>
      </c>
      <c r="Y1901" s="2"/>
      <c r="Z1901" s="2"/>
      <c r="AA1901" s="2"/>
      <c r="AB1901" s="2"/>
      <c r="AC1901" s="2"/>
    </row>
    <row r="1902" spans="1:29" ht="10.5" hidden="1">
      <c r="A1902" s="2">
        <f>A1901</f>
        <v>55</v>
      </c>
      <c r="B1902" s="2" t="str">
        <f>VLOOKUP($A1902,Controle!$B$4:$F$68,2,FALSE)</f>
        <v>São Sebastião 4</v>
      </c>
      <c r="C1902" s="2" t="str">
        <f>VLOOKUP($A1902,Controle!$B$4:$F$68,3,FALSE)</f>
        <v>MORI MINAS IV</v>
      </c>
      <c r="D1902" s="2" t="str">
        <f>VLOOKUP($A1902,Controle!$B$4:$F$68,4,FALSE)</f>
        <v>NewCo IV</v>
      </c>
      <c r="E1902" s="2">
        <f>VLOOKUP($A1902,Controle!$B$4:$F$68,5,FALSE)</f>
        <v>3</v>
      </c>
      <c r="F1902" s="3" t="str">
        <f>F1867</f>
        <v>Desenvolvimento de projeto - Projetos - Executivos</v>
      </c>
      <c r="G1902" s="2" t="str">
        <f>VLOOKUP($A1902,Controle!$B$4:$G$68,6,FALSE)</f>
        <v>Solatio</v>
      </c>
      <c r="H1902" s="6" t="s">
        <v>146</v>
      </c>
      <c r="I1902" s="6">
        <v>32500</v>
      </c>
      <c r="J1902" s="6">
        <f>850+850</f>
        <v>1700</v>
      </c>
      <c r="K1902" s="6">
        <v>0</v>
      </c>
      <c r="L1902" s="6">
        <v>0</v>
      </c>
      <c r="M1902" s="6">
        <v>0</v>
      </c>
      <c r="N1902" s="6">
        <v>0</v>
      </c>
      <c r="O1902" s="4">
        <f>SUM(I1902:N1902)</f>
        <v>34200</v>
      </c>
      <c r="P1902" s="5">
        <f>SUMIFS('Desenvolvimento diário'!$H:$H,'Desenvolvimento diário'!$Q:$Q,$B1902,'Desenvolvimento diário'!$P:$P,$F1902,'Desenvolvimento diário'!$R:$R,"Sim")</f>
        <v>0</v>
      </c>
      <c r="Q1902" s="5">
        <f>SUMIFS('Desenvolvimento diário'!$H:$H,'Desenvolvimento diário'!$Q:$Q,$B1902,'Desenvolvimento diário'!$P:$P,$F1902,'Desenvolvimento diário'!$R:$R,"Não")</f>
        <v>34200</v>
      </c>
      <c r="R1902" s="4">
        <f>SUM(P1902:Q1902)</f>
        <v>34200</v>
      </c>
      <c r="S1902" s="4">
        <f>O1902-R1902</f>
        <v>0</v>
      </c>
      <c r="T1902" s="12">
        <f>IFERROR(R1902/O1902,0)</f>
        <v>1</v>
      </c>
      <c r="U1902" s="34"/>
      <c r="Y1902" s="2"/>
      <c r="Z1902" s="2"/>
      <c r="AA1902" s="2"/>
      <c r="AB1902" s="2"/>
      <c r="AC1902" s="2"/>
    </row>
    <row r="1903" spans="1:29" ht="10.5" hidden="1">
      <c r="A1903" s="2">
        <f>A1902</f>
        <v>55</v>
      </c>
      <c r="B1903" s="2" t="str">
        <f>VLOOKUP($A1903,Controle!$B$4:$F$68,2,FALSE)</f>
        <v>São Sebastião 4</v>
      </c>
      <c r="C1903" s="2" t="str">
        <f>VLOOKUP($A1903,Controle!$B$4:$F$68,3,FALSE)</f>
        <v>MORI MINAS IV</v>
      </c>
      <c r="D1903" s="2" t="str">
        <f>VLOOKUP($A1903,Controle!$B$4:$F$68,4,FALSE)</f>
        <v>NewCo IV</v>
      </c>
      <c r="E1903" s="2">
        <f>VLOOKUP($A1903,Controle!$B$4:$F$68,5,FALSE)</f>
        <v>3</v>
      </c>
      <c r="F1903" s="3" t="str">
        <f>F1868</f>
        <v>Desenvolvimento de projeto - Projetos Básica</v>
      </c>
      <c r="G1903" s="2" t="str">
        <f>VLOOKUP($A1903,Controle!$B$4:$G$68,6,FALSE)</f>
        <v>Solatio</v>
      </c>
      <c r="H1903" s="6" t="s">
        <v>147</v>
      </c>
      <c r="I1903" s="6">
        <f>20000+15000</f>
        <v>35000</v>
      </c>
      <c r="J1903" s="6">
        <v>3585.51</v>
      </c>
      <c r="K1903" s="6">
        <v>0</v>
      </c>
      <c r="L1903" s="6">
        <v>0</v>
      </c>
      <c r="M1903" s="6">
        <v>0</v>
      </c>
      <c r="N1903" s="6">
        <v>0</v>
      </c>
      <c r="O1903" s="4">
        <f>SUM(I1903:N1903)</f>
        <v>38585.51</v>
      </c>
      <c r="P1903" s="5">
        <f>SUMIFS('Desenvolvimento diário'!$H:$H,'Desenvolvimento diário'!$Q:$Q,$B1903,'Desenvolvimento diário'!$P:$P,$F1903,'Desenvolvimento diário'!$R:$R,"Sim")</f>
        <v>0</v>
      </c>
      <c r="Q1903" s="5">
        <f>SUMIFS('Desenvolvimento diário'!$H:$H,'Desenvolvimento diário'!$Q:$Q,$B1903,'Desenvolvimento diário'!$P:$P,$F1903,'Desenvolvimento diário'!$R:$R,"Não")</f>
        <v>38585.51</v>
      </c>
      <c r="R1903" s="4">
        <f>SUM(P1903:Q1903)</f>
        <v>38585.51</v>
      </c>
      <c r="S1903" s="4">
        <f>O1903-R1903</f>
        <v>0</v>
      </c>
      <c r="T1903" s="12">
        <f>IFERROR(R1903/O1903,0)</f>
        <v>1</v>
      </c>
      <c r="Y1903" s="2"/>
      <c r="Z1903" s="2"/>
      <c r="AA1903" s="2"/>
      <c r="AB1903" s="2"/>
      <c r="AC1903" s="2"/>
    </row>
    <row r="1904" spans="1:29" ht="10.5" hidden="1">
      <c r="A1904" s="2">
        <f>A1903</f>
        <v>55</v>
      </c>
      <c r="B1904" s="2" t="str">
        <f>VLOOKUP($A1904,Controle!$B$4:$F$68,2,FALSE)</f>
        <v>São Sebastião 4</v>
      </c>
      <c r="C1904" s="2" t="str">
        <f>VLOOKUP($A1904,Controle!$B$4:$F$68,3,FALSE)</f>
        <v>MORI MINAS IV</v>
      </c>
      <c r="D1904" s="2" t="str">
        <f>VLOOKUP($A1904,Controle!$B$4:$F$68,4,FALSE)</f>
        <v>NewCo IV</v>
      </c>
      <c r="E1904" s="2">
        <f>VLOOKUP($A1904,Controle!$B$4:$F$68,5,FALSE)</f>
        <v>3</v>
      </c>
      <c r="F1904" s="3" t="str">
        <f>F1869</f>
        <v>Desenvolvimento de projeto - Projetos Detalhada</v>
      </c>
      <c r="G1904" s="2" t="str">
        <f>VLOOKUP($A1904,Controle!$B$4:$G$68,6,FALSE)</f>
        <v>Solatio</v>
      </c>
      <c r="H1904" s="6">
        <v>0</v>
      </c>
      <c r="I1904" s="6">
        <v>0</v>
      </c>
      <c r="J1904" s="6">
        <v>0</v>
      </c>
      <c r="K1904" s="6">
        <v>0</v>
      </c>
      <c r="L1904" s="6">
        <v>0</v>
      </c>
      <c r="M1904" s="6">
        <v>0</v>
      </c>
      <c r="N1904" s="6">
        <v>0</v>
      </c>
      <c r="O1904" s="4">
        <f>SUM(I1904:N1904)</f>
        <v>0</v>
      </c>
      <c r="P1904" s="5">
        <f>SUMIFS('Desenvolvimento diário'!$H:$H,'Desenvolvimento diário'!$Q:$Q,$B1904,'Desenvolvimento diário'!$P:$P,$F1904,'Desenvolvimento diário'!$R:$R,"Sim")</f>
        <v>0</v>
      </c>
      <c r="Q1904" s="5">
        <f>SUMIFS('Desenvolvimento diário'!$H:$H,'Desenvolvimento diário'!$Q:$Q,$B1904,'Desenvolvimento diário'!$P:$P,$F1904,'Desenvolvimento diário'!$R:$R,"Não")</f>
        <v>0</v>
      </c>
      <c r="R1904" s="4">
        <f>SUM(P1904:Q1904)</f>
        <v>0</v>
      </c>
      <c r="S1904" s="27">
        <f>O1904-R1904</f>
        <v>0</v>
      </c>
      <c r="T1904" s="12">
        <f>IFERROR(R1904/O1904,0)</f>
        <v>0</v>
      </c>
      <c r="Y1904" s="2"/>
      <c r="Z1904" s="2"/>
      <c r="AA1904" s="2"/>
      <c r="AB1904" s="2"/>
      <c r="AC1904" s="2"/>
    </row>
    <row r="1905" spans="1:29" ht="10.5" hidden="1">
      <c r="A1905" s="2">
        <f>A1904</f>
        <v>55</v>
      </c>
      <c r="B1905" s="2" t="str">
        <f>VLOOKUP($A1905,Controle!$B$4:$F$68,2,FALSE)</f>
        <v>São Sebastião 4</v>
      </c>
      <c r="C1905" s="2" t="str">
        <f>VLOOKUP($A1905,Controle!$B$4:$F$68,3,FALSE)</f>
        <v>MORI MINAS IV</v>
      </c>
      <c r="D1905" s="2" t="str">
        <f>VLOOKUP($A1905,Controle!$B$4:$F$68,4,FALSE)</f>
        <v>NewCo IV</v>
      </c>
      <c r="E1905" s="2">
        <f>VLOOKUP($A1905,Controle!$B$4:$F$68,5,FALSE)</f>
        <v>3</v>
      </c>
      <c r="F1905" s="3" t="str">
        <f>F1870</f>
        <v>Desenvolvimento de projeto - Ambiental / Outros</v>
      </c>
      <c r="G1905" s="2" t="str">
        <f>VLOOKUP($A1905,Controle!$B$4:$G$68,6,FALSE)</f>
        <v>Solatio</v>
      </c>
      <c r="H1905" s="6" t="s">
        <v>148</v>
      </c>
      <c r="I1905" s="6">
        <f>R1905</f>
        <v>125149.48</v>
      </c>
      <c r="J1905" s="6">
        <v>0</v>
      </c>
      <c r="K1905" s="6">
        <v>0</v>
      </c>
      <c r="L1905" s="6">
        <v>0</v>
      </c>
      <c r="M1905" s="6">
        <v>0</v>
      </c>
      <c r="N1905" s="6">
        <v>0</v>
      </c>
      <c r="O1905" s="4">
        <f>SUM(I1905:N1905)</f>
        <v>125149.48</v>
      </c>
      <c r="P1905" s="5">
        <f>SUMIFS('Desenvolvimento diário'!$H:$H,'Desenvolvimento diário'!$Q:$Q,$B1905,'Desenvolvimento diário'!$P:$P,$F1905,'Desenvolvimento diário'!$R:$R,"Sim")</f>
        <v>0</v>
      </c>
      <c r="Q1905" s="5">
        <f>SUMIFS('Desenvolvimento diário'!$H:$H,'Desenvolvimento diário'!$Q:$Q,$B1905,'Desenvolvimento diário'!$P:$P,$F1905,'Desenvolvimento diário'!$R:$R,"Não")</f>
        <v>125149.48</v>
      </c>
      <c r="R1905" s="4">
        <f>SUM(P1905:Q1905)</f>
        <v>125149.48</v>
      </c>
      <c r="S1905" s="27">
        <f>O1905-R1905</f>
        <v>0</v>
      </c>
      <c r="T1905" s="12">
        <f>IFERROR(R1905/O1905,0)</f>
        <v>1</v>
      </c>
      <c r="Y1905" s="2"/>
      <c r="Z1905" s="2"/>
      <c r="AA1905" s="2"/>
      <c r="AB1905" s="2"/>
      <c r="AC1905" s="2"/>
    </row>
    <row r="1906" spans="1:29" hidden="1">
      <c r="A1906" s="2">
        <f>A1905</f>
        <v>55</v>
      </c>
      <c r="B1906" s="2" t="str">
        <f>VLOOKUP($A1906,Controle!$B$4:$F$68,2,FALSE)</f>
        <v>São Sebastião 4</v>
      </c>
      <c r="C1906" s="2" t="str">
        <f>VLOOKUP($A1906,Controle!$B$4:$F$68,3,FALSE)</f>
        <v>MORI MINAS IV</v>
      </c>
      <c r="D1906" s="2" t="str">
        <f>VLOOKUP($A1906,Controle!$B$4:$F$68,4,FALSE)</f>
        <v>NewCo IV</v>
      </c>
      <c r="E1906" s="2">
        <f>VLOOKUP($A1906,Controle!$B$4:$F$68,5,FALSE)</f>
        <v>3</v>
      </c>
      <c r="F1906" s="3" t="str">
        <f>F1871</f>
        <v>Desenvolvimento de projeto - Coordenograma</v>
      </c>
      <c r="G1906" s="2" t="str">
        <f>VLOOKUP($A1906,Controle!$B$4:$G$68,6,FALSE)</f>
        <v>Solatio</v>
      </c>
      <c r="H1906" s="31" t="s">
        <v>149</v>
      </c>
      <c r="I1906" s="31">
        <v>6206.9</v>
      </c>
      <c r="J1906" s="31">
        <v>0</v>
      </c>
      <c r="K1906" s="31">
        <v>0</v>
      </c>
      <c r="L1906" s="6">
        <v>0</v>
      </c>
      <c r="M1906" s="6">
        <v>0</v>
      </c>
      <c r="N1906" s="6">
        <v>0</v>
      </c>
      <c r="O1906" s="4">
        <f>SUM(I1906:N1906)</f>
        <v>6206.9</v>
      </c>
      <c r="P1906" s="5">
        <f>SUMIFS('Desenvolvimento diário'!$H:$H,'Desenvolvimento diário'!$Q:$Q,$B1906,'Desenvolvimento diário'!$P:$P,$F1906,'Desenvolvimento diário'!$R:$R,"Sim")</f>
        <v>0</v>
      </c>
      <c r="Q1906" s="5">
        <f>SUMIFS('Desenvolvimento diário'!$H:$H,'Desenvolvimento diário'!$Q:$Q,$B1906,'Desenvolvimento diário'!$P:$P,$F1906,'Desenvolvimento diário'!$R:$R,"Não")</f>
        <v>6206.9</v>
      </c>
      <c r="R1906" s="4">
        <f>SUM(P1906:Q1906)</f>
        <v>6206.9</v>
      </c>
      <c r="S1906" s="4">
        <f>O1906-R1906</f>
        <v>0</v>
      </c>
      <c r="T1906" s="12">
        <f>IFERROR(R1906/O1906,0)</f>
        <v>1</v>
      </c>
      <c r="Y1906" s="2"/>
      <c r="Z1906" s="2"/>
      <c r="AA1906" s="2"/>
      <c r="AB1906" s="2"/>
      <c r="AC1906" s="2"/>
    </row>
    <row r="1907" spans="1:29" ht="10.5" hidden="1">
      <c r="A1907" s="2">
        <f>A1906</f>
        <v>55</v>
      </c>
      <c r="B1907" s="2" t="str">
        <f>VLOOKUP($A1907,Controle!$B$4:$F$68,2,FALSE)</f>
        <v>São Sebastião 4</v>
      </c>
      <c r="C1907" s="2" t="str">
        <f>VLOOKUP($A1907,Controle!$B$4:$F$68,3,FALSE)</f>
        <v>MORI MINAS IV</v>
      </c>
      <c r="D1907" s="2" t="str">
        <f>VLOOKUP($A1907,Controle!$B$4:$F$68,4,FALSE)</f>
        <v>NewCo IV</v>
      </c>
      <c r="E1907" s="2">
        <f>VLOOKUP($A1907,Controle!$B$4:$F$68,5,FALSE)</f>
        <v>3</v>
      </c>
      <c r="F1907" s="3" t="str">
        <f>F1872</f>
        <v>Sistemas de Monitoramento - Supervisório</v>
      </c>
      <c r="G1907" s="2" t="str">
        <f>VLOOKUP($A1907,Controle!$B$4:$G$68,6,FALSE)</f>
        <v>Solatio</v>
      </c>
      <c r="H1907" s="6" t="s">
        <v>150</v>
      </c>
      <c r="I1907" s="6">
        <f>136155-0.01</f>
        <v>136154.99</v>
      </c>
      <c r="J1907" s="6"/>
      <c r="K1907" s="6">
        <v>0</v>
      </c>
      <c r="L1907" s="6">
        <v>0</v>
      </c>
      <c r="M1907" s="6">
        <v>0</v>
      </c>
      <c r="N1907" s="6">
        <v>0</v>
      </c>
      <c r="O1907" s="4">
        <f>SUM(I1907:N1907)</f>
        <v>136154.99</v>
      </c>
      <c r="P1907" s="5">
        <f>SUMIFS('Desenvolvimento diário'!$H:$H,'Desenvolvimento diário'!$Q:$Q,$B1907,'Desenvolvimento diário'!$P:$P,$F1907,'Desenvolvimento diário'!$R:$R,"Sim")</f>
        <v>5821.02</v>
      </c>
      <c r="Q1907" s="5">
        <f>SUMIFS('Desenvolvimento diário'!$H:$H,'Desenvolvimento diário'!$Q:$Q,$B1907,'Desenvolvimento diário'!$P:$P,$F1907,'Desenvolvimento diário'!$R:$R,"Não")</f>
        <v>130333.97000000002</v>
      </c>
      <c r="R1907" s="4">
        <f>SUM(P1907:Q1907)</f>
        <v>136154.99000000002</v>
      </c>
      <c r="S1907" s="137">
        <f>O1907-R1907</f>
        <v>0</v>
      </c>
      <c r="T1907" s="12">
        <f>IFERROR(R1907/O1907,0)</f>
        <v>1.0000000000000002</v>
      </c>
      <c r="Y1907" s="2"/>
      <c r="Z1907" s="2"/>
      <c r="AA1907" s="2"/>
      <c r="AB1907" s="2"/>
      <c r="AC1907" s="2"/>
    </row>
    <row r="1908" spans="1:29" ht="10.5" hidden="1">
      <c r="A1908" s="2">
        <f>A1907</f>
        <v>55</v>
      </c>
      <c r="B1908" s="2" t="str">
        <f>VLOOKUP($A1908,Controle!$B$4:$F$68,2,FALSE)</f>
        <v>São Sebastião 4</v>
      </c>
      <c r="C1908" s="2" t="str">
        <f>VLOOKUP($A1908,Controle!$B$4:$F$68,3,FALSE)</f>
        <v>MORI MINAS IV</v>
      </c>
      <c r="D1908" s="2" t="str">
        <f>VLOOKUP($A1908,Controle!$B$4:$F$68,4,FALSE)</f>
        <v>NewCo IV</v>
      </c>
      <c r="E1908" s="2">
        <f>VLOOKUP($A1908,Controle!$B$4:$F$68,5,FALSE)</f>
        <v>3</v>
      </c>
      <c r="F1908" s="3" t="str">
        <f>F1873</f>
        <v>Sistemas de Monitoramento - Estações Solarimétricas</v>
      </c>
      <c r="G1908" s="2" t="str">
        <f>VLOOKUP($A1908,Controle!$B$4:$G$68,6,FALSE)</f>
        <v>Solatio</v>
      </c>
      <c r="H1908" s="6" t="s">
        <v>151</v>
      </c>
      <c r="I1908" s="6">
        <v>48276.516000000003</v>
      </c>
      <c r="J1908" s="6">
        <v>0</v>
      </c>
      <c r="K1908" s="6">
        <v>0</v>
      </c>
      <c r="L1908" s="6">
        <v>0</v>
      </c>
      <c r="M1908" s="6">
        <v>0</v>
      </c>
      <c r="N1908" s="6">
        <v>0</v>
      </c>
      <c r="O1908" s="4">
        <f>SUM(I1908:N1908)</f>
        <v>48276.516000000003</v>
      </c>
      <c r="P1908" s="5">
        <f>SUMIFS('Desenvolvimento diário'!$H:$H,'Desenvolvimento diário'!$Q:$Q,$B1908,'Desenvolvimento diário'!$P:$P,$F1908,'Desenvolvimento diário'!$R:$R,"Sim")</f>
        <v>0</v>
      </c>
      <c r="Q1908" s="5">
        <f>SUMIFS('Desenvolvimento diário'!$H:$H,'Desenvolvimento diário'!$Q:$Q,$B1908,'Desenvolvimento diário'!$P:$P,$F1908,'Desenvolvimento diário'!$R:$R,"Não")</f>
        <v>48276.516000000003</v>
      </c>
      <c r="R1908" s="4">
        <f>SUM(P1908:Q1908)</f>
        <v>48276.516000000003</v>
      </c>
      <c r="S1908" s="4">
        <f>O1908-R1908</f>
        <v>0</v>
      </c>
      <c r="T1908" s="12">
        <f>IFERROR(R1908/O1908,0)</f>
        <v>1</v>
      </c>
      <c r="Y1908" s="2"/>
      <c r="Z1908" s="2"/>
      <c r="AA1908" s="2"/>
      <c r="AB1908" s="2"/>
      <c r="AC1908" s="2"/>
    </row>
    <row r="1909" spans="1:29" hidden="1">
      <c r="A1909" s="2">
        <f>A1908</f>
        <v>55</v>
      </c>
      <c r="B1909" s="2" t="str">
        <f>VLOOKUP($A1909,Controle!$B$4:$F$68,2,FALSE)</f>
        <v>São Sebastião 4</v>
      </c>
      <c r="C1909" s="2" t="str">
        <f>VLOOKUP($A1909,Controle!$B$4:$F$68,3,FALSE)</f>
        <v>MORI MINAS IV</v>
      </c>
      <c r="D1909" s="2" t="str">
        <f>VLOOKUP($A1909,Controle!$B$4:$F$68,4,FALSE)</f>
        <v>NewCo IV</v>
      </c>
      <c r="E1909" s="2">
        <f>VLOOKUP($A1909,Controle!$B$4:$F$68,5,FALSE)</f>
        <v>3</v>
      </c>
      <c r="F1909" s="3" t="str">
        <f>F1874</f>
        <v>Sistemas de Monitoramento - CFTV</v>
      </c>
      <c r="G1909" s="2" t="str">
        <f>VLOOKUP($A1909,Controle!$B$4:$G$68,6,FALSE)</f>
        <v>Solatio</v>
      </c>
      <c r="H1909" s="31" t="s">
        <v>152</v>
      </c>
      <c r="I1909" s="6">
        <v>261668.28</v>
      </c>
      <c r="J1909" s="6">
        <v>0</v>
      </c>
      <c r="K1909" s="6">
        <v>0</v>
      </c>
      <c r="L1909" s="6">
        <v>0</v>
      </c>
      <c r="M1909" s="6">
        <v>0</v>
      </c>
      <c r="N1909" s="6">
        <v>0</v>
      </c>
      <c r="O1909" s="4">
        <f>SUM(I1909:N1909)</f>
        <v>261668.28</v>
      </c>
      <c r="P1909" s="5">
        <f>SUMIFS('Desenvolvimento diário'!$H:$H,'Desenvolvimento diário'!$Q:$Q,$B1909,'Desenvolvimento diário'!$P:$P,$F1909,'Desenvolvimento diário'!$R:$R,"Sim")</f>
        <v>0</v>
      </c>
      <c r="Q1909" s="5">
        <f>SUMIFS('Desenvolvimento diário'!$H:$H,'Desenvolvimento diário'!$Q:$Q,$B1909,'Desenvolvimento diário'!$P:$P,$F1909,'Desenvolvimento diário'!$R:$R,"Não")</f>
        <v>261668.28</v>
      </c>
      <c r="R1909" s="4">
        <f>SUM(P1909:Q1909)</f>
        <v>261668.28</v>
      </c>
      <c r="S1909" s="4">
        <f>O1909-R1909</f>
        <v>0</v>
      </c>
      <c r="T1909" s="12">
        <f>IFERROR(R1909/O1909,0)</f>
        <v>1</v>
      </c>
      <c r="Y1909" s="2"/>
      <c r="Z1909" s="2"/>
      <c r="AA1909" s="2"/>
      <c r="AB1909" s="2"/>
      <c r="AC1909" s="2"/>
    </row>
    <row r="1910" spans="1:29" ht="10.5" hidden="1">
      <c r="A1910" s="2">
        <f>A1909</f>
        <v>55</v>
      </c>
      <c r="B1910" s="2" t="str">
        <f>VLOOKUP($A1910,Controle!$B$4:$F$68,2,FALSE)</f>
        <v>São Sebastião 4</v>
      </c>
      <c r="C1910" s="2" t="str">
        <f>VLOOKUP($A1910,Controle!$B$4:$F$68,3,FALSE)</f>
        <v>MORI MINAS IV</v>
      </c>
      <c r="D1910" s="2" t="str">
        <f>VLOOKUP($A1910,Controle!$B$4:$F$68,4,FALSE)</f>
        <v>NewCo IV</v>
      </c>
      <c r="E1910" s="2">
        <f>VLOOKUP($A1910,Controle!$B$4:$F$68,5,FALSE)</f>
        <v>3</v>
      </c>
      <c r="F1910" s="3" t="str">
        <f>F1875</f>
        <v>Serviços Auxiliares - Drenagem</v>
      </c>
      <c r="G1910" s="2" t="str">
        <f>VLOOKUP($A1910,Controle!$B$4:$G$68,6,FALSE)</f>
        <v>Solatio</v>
      </c>
      <c r="H1910" s="31" t="s">
        <v>223</v>
      </c>
      <c r="I1910" s="31">
        <v>755406.23</v>
      </c>
      <c r="J1910" s="6">
        <v>0</v>
      </c>
      <c r="K1910" s="6">
        <v>0</v>
      </c>
      <c r="L1910" s="6">
        <v>0</v>
      </c>
      <c r="M1910" s="6">
        <v>0</v>
      </c>
      <c r="N1910" s="6">
        <v>0</v>
      </c>
      <c r="O1910" s="4">
        <f>SUM(I1910:N1910)</f>
        <v>755406.23</v>
      </c>
      <c r="P1910" s="5">
        <f>SUMIFS('Desenvolvimento diário'!$H:$H,'Desenvolvimento diário'!$Q:$Q,$B1910,'Desenvolvimento diário'!$P:$P,$F1910,'Desenvolvimento diário'!$R:$R,"Sim")</f>
        <v>0</v>
      </c>
      <c r="Q1910" s="5">
        <f>SUMIFS('Desenvolvimento diário'!$H:$H,'Desenvolvimento diário'!$Q:$Q,$B1910,'Desenvolvimento diário'!$P:$P,$F1910,'Desenvolvimento diário'!$R:$R,"Não")</f>
        <v>755406.23</v>
      </c>
      <c r="R1910" s="4">
        <f>SUM(P1910:Q1910)</f>
        <v>755406.23</v>
      </c>
      <c r="S1910" s="4">
        <f>O1910-R1910</f>
        <v>0</v>
      </c>
      <c r="T1910" s="12">
        <f>IFERROR(R1910/O1910,0)</f>
        <v>1</v>
      </c>
      <c r="Y1910" s="2"/>
      <c r="Z1910" s="2"/>
      <c r="AA1910" s="2"/>
      <c r="AB1910" s="2"/>
      <c r="AC1910" s="2"/>
    </row>
    <row r="1911" spans="1:29" ht="10.5" hidden="1">
      <c r="A1911" s="2">
        <f>A1910</f>
        <v>55</v>
      </c>
      <c r="B1911" s="2" t="str">
        <f>VLOOKUP($A1911,Controle!$B$4:$F$68,2,FALSE)</f>
        <v>São Sebastião 4</v>
      </c>
      <c r="C1911" s="2" t="str">
        <f>VLOOKUP($A1911,Controle!$B$4:$F$68,3,FALSE)</f>
        <v>MORI MINAS IV</v>
      </c>
      <c r="D1911" s="2" t="str">
        <f>VLOOKUP($A1911,Controle!$B$4:$F$68,4,FALSE)</f>
        <v>NewCo IV</v>
      </c>
      <c r="E1911" s="2">
        <f>VLOOKUP($A1911,Controle!$B$4:$F$68,5,FALSE)</f>
        <v>3</v>
      </c>
      <c r="F1911" s="3" t="str">
        <f>F1876</f>
        <v>Serviços Auxiliares - Terraplanagem</v>
      </c>
      <c r="G1911" s="2" t="str">
        <f>VLOOKUP($A1911,Controle!$B$4:$G$68,6,FALSE)</f>
        <v>Solatio</v>
      </c>
      <c r="H1911" s="6" t="s">
        <v>204</v>
      </c>
      <c r="I1911" s="6">
        <v>970628.31</v>
      </c>
      <c r="J1911" s="6">
        <v>0</v>
      </c>
      <c r="K1911" s="6">
        <v>0</v>
      </c>
      <c r="L1911" s="6">
        <v>0</v>
      </c>
      <c r="M1911" s="6">
        <v>0</v>
      </c>
      <c r="N1911" s="6">
        <v>0</v>
      </c>
      <c r="O1911" s="4">
        <f>SUM(I1911:N1911)</f>
        <v>970628.31</v>
      </c>
      <c r="P1911" s="5">
        <f>SUMIFS('Desenvolvimento diário'!$H:$H,'Desenvolvimento diário'!$Q:$Q,$B1911,'Desenvolvimento diário'!$P:$P,$F1911,'Desenvolvimento diário'!$R:$R,"Sim")</f>
        <v>0</v>
      </c>
      <c r="Q1911" s="5">
        <f>SUMIFS('Desenvolvimento diário'!$H:$H,'Desenvolvimento diário'!$Q:$Q,$B1911,'Desenvolvimento diário'!$P:$P,$F1911,'Desenvolvimento diário'!$R:$R,"Não")</f>
        <v>970628.30999999994</v>
      </c>
      <c r="R1911" s="4">
        <f>SUM(P1911:Q1911)</f>
        <v>970628.30999999994</v>
      </c>
      <c r="S1911" s="4">
        <f>O1911-R1911</f>
        <v>0</v>
      </c>
      <c r="T1911" s="12">
        <f>IFERROR(R1911/O1911,0)</f>
        <v>0.99999999999999989</v>
      </c>
      <c r="Y1911" s="2"/>
      <c r="Z1911" s="2"/>
      <c r="AA1911" s="2"/>
      <c r="AB1911" s="2"/>
      <c r="AC1911" s="2"/>
    </row>
    <row r="1912" spans="1:29" ht="10.5" hidden="1">
      <c r="A1912" s="2">
        <f>A1911</f>
        <v>55</v>
      </c>
      <c r="B1912" s="2" t="str">
        <f>VLOOKUP($A1912,Controle!$B$4:$F$68,2,FALSE)</f>
        <v>São Sebastião 4</v>
      </c>
      <c r="C1912" s="2" t="str">
        <f>VLOOKUP($A1912,Controle!$B$4:$F$68,3,FALSE)</f>
        <v>MORI MINAS IV</v>
      </c>
      <c r="D1912" s="2" t="str">
        <f>VLOOKUP($A1912,Controle!$B$4:$F$68,4,FALSE)</f>
        <v>NewCo IV</v>
      </c>
      <c r="E1912" s="2">
        <f>VLOOKUP($A1912,Controle!$B$4:$F$68,5,FALSE)</f>
        <v>3</v>
      </c>
      <c r="F1912" s="3" t="str">
        <f>F1877</f>
        <v>Serviços Auxiliares - Supressão Vegetal</v>
      </c>
      <c r="G1912" s="2" t="str">
        <f>VLOOKUP($A1912,Controle!$B$4:$G$68,6,FALSE)</f>
        <v>Solatio</v>
      </c>
      <c r="H1912" s="6" t="s">
        <v>155</v>
      </c>
      <c r="I1912" s="6">
        <v>130000</v>
      </c>
      <c r="J1912" s="6">
        <v>15000</v>
      </c>
      <c r="K1912" s="6">
        <v>0</v>
      </c>
      <c r="L1912" s="6">
        <v>0</v>
      </c>
      <c r="M1912" s="6">
        <v>0</v>
      </c>
      <c r="N1912" s="6">
        <v>0</v>
      </c>
      <c r="O1912" s="4">
        <f>SUM(I1912:N1912)</f>
        <v>145000</v>
      </c>
      <c r="P1912" s="5">
        <f>SUMIFS('Desenvolvimento diário'!$H:$H,'Desenvolvimento diário'!$Q:$Q,$B1912,'Desenvolvimento diário'!$P:$P,$F1912,'Desenvolvimento diário'!$R:$R,"Sim")</f>
        <v>0</v>
      </c>
      <c r="Q1912" s="5">
        <f>SUMIFS('Desenvolvimento diário'!$H:$H,'Desenvolvimento diário'!$Q:$Q,$B1912,'Desenvolvimento diário'!$P:$P,$F1912,'Desenvolvimento diário'!$R:$R,"Não")</f>
        <v>145000</v>
      </c>
      <c r="R1912" s="4">
        <f>SUM(P1912:Q1912)</f>
        <v>145000</v>
      </c>
      <c r="S1912" s="27">
        <f>O1912-R1912</f>
        <v>0</v>
      </c>
      <c r="T1912" s="36">
        <f>IFERROR(R1912/O1912,0)</f>
        <v>1</v>
      </c>
      <c r="U1912" s="34"/>
      <c r="V1912" s="34"/>
      <c r="Y1912" s="2"/>
      <c r="Z1912" s="2"/>
      <c r="AA1912" s="2"/>
      <c r="AB1912" s="2"/>
      <c r="AC1912" s="2"/>
    </row>
    <row r="1913" spans="1:29" ht="10.5" hidden="1">
      <c r="A1913" s="2">
        <f>A1912</f>
        <v>55</v>
      </c>
      <c r="B1913" s="2" t="str">
        <f>VLOOKUP($A1913,Controle!$B$4:$F$68,2,FALSE)</f>
        <v>São Sebastião 4</v>
      </c>
      <c r="C1913" s="2" t="str">
        <f>VLOOKUP($A1913,Controle!$B$4:$F$68,3,FALSE)</f>
        <v>MORI MINAS IV</v>
      </c>
      <c r="D1913" s="2" t="str">
        <f>VLOOKUP($A1913,Controle!$B$4:$F$68,4,FALSE)</f>
        <v>NewCo IV</v>
      </c>
      <c r="E1913" s="2">
        <f>VLOOKUP($A1913,Controle!$B$4:$F$68,5,FALSE)</f>
        <v>3</v>
      </c>
      <c r="F1913" s="3" t="str">
        <f>F1878</f>
        <v>RDR-Rede de Distribuição Rural</v>
      </c>
      <c r="G1913" s="2" t="str">
        <f>VLOOKUP($A1913,Controle!$B$4:$G$68,6,FALSE)</f>
        <v>Solatio</v>
      </c>
      <c r="H1913" s="6">
        <v>0</v>
      </c>
      <c r="I1913" s="6">
        <v>0</v>
      </c>
      <c r="J1913" s="6">
        <v>0</v>
      </c>
      <c r="K1913" s="6">
        <v>0</v>
      </c>
      <c r="L1913" s="6">
        <v>0</v>
      </c>
      <c r="M1913" s="6">
        <v>0</v>
      </c>
      <c r="N1913" s="6">
        <v>0</v>
      </c>
      <c r="O1913" s="4">
        <f>SUM(I1913:N1913)</f>
        <v>0</v>
      </c>
      <c r="P1913" s="5">
        <f>SUMIFS('Desenvolvimento diário'!$H:$H,'Desenvolvimento diário'!$Q:$Q,$B1913,'Desenvolvimento diário'!$P:$P,$F1913,'Desenvolvimento diário'!$R:$R,"Sim")</f>
        <v>0</v>
      </c>
      <c r="Q1913" s="5">
        <f>SUMIFS('Desenvolvimento diário'!$H:$H,'Desenvolvimento diário'!$Q:$Q,$B1913,'Desenvolvimento diário'!$P:$P,$F1913,'Desenvolvimento diário'!$R:$R,"Não")</f>
        <v>0</v>
      </c>
      <c r="R1913" s="4">
        <f>SUM(P1913:Q1913)</f>
        <v>0</v>
      </c>
      <c r="S1913" s="4">
        <f>O1913-R1913</f>
        <v>0</v>
      </c>
      <c r="T1913" s="12">
        <f>IFERROR(R1913/O1913,0)</f>
        <v>0</v>
      </c>
      <c r="Y1913" s="2"/>
      <c r="Z1913" s="2"/>
      <c r="AA1913" s="2"/>
      <c r="AB1913" s="2"/>
      <c r="AC1913" s="2"/>
    </row>
    <row r="1914" spans="1:29" ht="10.5" hidden="1">
      <c r="A1914" s="2">
        <f>A1913</f>
        <v>55</v>
      </c>
      <c r="B1914" s="2" t="str">
        <f>VLOOKUP($A1914,Controle!$B$4:$F$68,2,FALSE)</f>
        <v>São Sebastião 4</v>
      </c>
      <c r="C1914" s="2" t="str">
        <f>VLOOKUP($A1914,Controle!$B$4:$F$68,3,FALSE)</f>
        <v>MORI MINAS IV</v>
      </c>
      <c r="D1914" s="2" t="str">
        <f>VLOOKUP($A1914,Controle!$B$4:$F$68,4,FALSE)</f>
        <v>NewCo IV</v>
      </c>
      <c r="E1914" s="2">
        <f>VLOOKUP($A1914,Controle!$B$4:$F$68,5,FALSE)</f>
        <v>3</v>
      </c>
      <c r="F1914" s="3" t="str">
        <f>F1879</f>
        <v>Escopo COMERC</v>
      </c>
      <c r="G1914" s="2" t="str">
        <f>VLOOKUP($A1914,Controle!$B$4:$G$68,6,FALSE)</f>
        <v>Solatio</v>
      </c>
      <c r="H1914" s="6">
        <v>0</v>
      </c>
      <c r="I1914" s="6">
        <f>R1914</f>
        <v>115531.48999999999</v>
      </c>
      <c r="J1914" s="29">
        <v>39000</v>
      </c>
      <c r="K1914" s="29"/>
      <c r="L1914" s="6">
        <v>0</v>
      </c>
      <c r="M1914" s="6">
        <v>0</v>
      </c>
      <c r="N1914" s="6">
        <v>0</v>
      </c>
      <c r="O1914" s="4">
        <f>SUM(I1914:N1914)</f>
        <v>154531.49</v>
      </c>
      <c r="P1914" s="5">
        <f>SUMIFS('Desenvolvimento diário'!$H:$H,'Desenvolvimento diário'!$Q:$Q,$B1914,'Desenvolvimento diário'!$P:$P,$F1914,'Desenvolvimento diário'!$R:$R,"Sim")</f>
        <v>0</v>
      </c>
      <c r="Q1914" s="5">
        <f>SUMIFS('Desenvolvimento diário'!$H:$H,'Desenvolvimento diário'!$Q:$Q,$B1914,'Desenvolvimento diário'!$P:$P,$F1914,'Desenvolvimento diário'!$R:$R,"Não")</f>
        <v>115531.48999999999</v>
      </c>
      <c r="R1914" s="4">
        <f>SUM(P1914:Q1914)</f>
        <v>115531.48999999999</v>
      </c>
      <c r="S1914" s="1010">
        <f>O1914-R1914</f>
        <v>39000</v>
      </c>
      <c r="T1914" s="12">
        <f>IFERROR(R1914/O1914,0)</f>
        <v>0.74762425444807401</v>
      </c>
      <c r="U1914" s="1011" t="s">
        <v>166</v>
      </c>
      <c r="V1914" s="1011" t="s">
        <v>167</v>
      </c>
      <c r="Y1914" s="2"/>
      <c r="Z1914" s="2"/>
      <c r="AA1914" s="2"/>
      <c r="AB1914" s="2"/>
      <c r="AC1914" s="2"/>
    </row>
    <row r="1915" spans="1:29" ht="10.5" hidden="1">
      <c r="A1915" s="2">
        <f>A1914</f>
        <v>55</v>
      </c>
      <c r="B1915" s="2" t="str">
        <f>VLOOKUP($A1915,Controle!$B$4:$F$68,2,FALSE)</f>
        <v>São Sebastião 4</v>
      </c>
      <c r="C1915" s="2" t="str">
        <f>VLOOKUP($A1915,Controle!$B$4:$F$68,3,FALSE)</f>
        <v>MORI MINAS IV</v>
      </c>
      <c r="D1915" s="2" t="str">
        <f>VLOOKUP($A1915,Controle!$B$4:$F$68,4,FALSE)</f>
        <v>NewCo IV</v>
      </c>
      <c r="E1915" s="2">
        <f>VLOOKUP($A1915,Controle!$B$4:$F$68,5,FALSE)</f>
        <v>3</v>
      </c>
      <c r="F1915" s="3" t="str">
        <f>F1880</f>
        <v>Escopo COMERC - Segurança</v>
      </c>
      <c r="G1915" s="2" t="str">
        <f>VLOOKUP($A1915,Controle!$B$4:$G$68,6,FALSE)</f>
        <v>Solatio</v>
      </c>
      <c r="H1915" s="6">
        <v>0</v>
      </c>
      <c r="I1915" s="6">
        <f>R1915</f>
        <v>80701.22</v>
      </c>
      <c r="J1915" s="6">
        <v>0</v>
      </c>
      <c r="K1915" s="6">
        <v>0</v>
      </c>
      <c r="L1915" s="6">
        <v>0</v>
      </c>
      <c r="M1915" s="6">
        <v>0</v>
      </c>
      <c r="N1915" s="6">
        <v>0</v>
      </c>
      <c r="O1915" s="4">
        <f>SUM(I1915:N1915)</f>
        <v>80701.22</v>
      </c>
      <c r="P1915" s="5">
        <f>SUMIFS('Desenvolvimento diário'!$H:$H,'Desenvolvimento diário'!$Q:$Q,$B1915,'Desenvolvimento diário'!$P:$P,$F1915,'Desenvolvimento diário'!$R:$R,"Sim")</f>
        <v>0</v>
      </c>
      <c r="Q1915" s="5">
        <f>SUMIFS('Desenvolvimento diário'!$H:$H,'Desenvolvimento diário'!$Q:$Q,$B1915,'Desenvolvimento diário'!$P:$P,$F1915,'Desenvolvimento diário'!$R:$R,"Não")</f>
        <v>80701.22</v>
      </c>
      <c r="R1915" s="4">
        <f>SUM(P1915:Q1915)</f>
        <v>80701.22</v>
      </c>
      <c r="S1915" s="4">
        <f>O1915-R1915</f>
        <v>0</v>
      </c>
      <c r="T1915" s="12">
        <f>IFERROR(R1915/O1915,0)</f>
        <v>1</v>
      </c>
      <c r="Y1915" s="2"/>
      <c r="Z1915" s="2"/>
      <c r="AA1915" s="2"/>
      <c r="AB1915" s="2"/>
      <c r="AC1915" s="2"/>
    </row>
    <row r="1916" spans="1:29" ht="10.5" hidden="1">
      <c r="A1916" s="2">
        <f>A1915</f>
        <v>55</v>
      </c>
      <c r="B1916" s="2" t="str">
        <f>VLOOKUP($A1916,Controle!$B$4:$F$68,2,FALSE)</f>
        <v>São Sebastião 4</v>
      </c>
      <c r="C1916" s="2" t="str">
        <f>VLOOKUP($A1916,Controle!$B$4:$F$68,3,FALSE)</f>
        <v>MORI MINAS IV</v>
      </c>
      <c r="D1916" s="2" t="str">
        <f>VLOOKUP($A1916,Controle!$B$4:$F$68,4,FALSE)</f>
        <v>NewCo IV</v>
      </c>
      <c r="E1916" s="2">
        <f>VLOOKUP($A1916,Controle!$B$4:$F$68,5,FALSE)</f>
        <v>3</v>
      </c>
      <c r="F1916" s="3" t="str">
        <f>F1881</f>
        <v>Conexão MT - Obras Transferencia</v>
      </c>
      <c r="G1916" s="2" t="str">
        <f>VLOOKUP($A1916,Controle!$B$4:$G$68,6,FALSE)</f>
        <v>Solatio</v>
      </c>
      <c r="H1916" s="6">
        <v>0</v>
      </c>
      <c r="I1916" s="6">
        <v>0</v>
      </c>
      <c r="J1916" s="6">
        <v>0</v>
      </c>
      <c r="K1916" s="6">
        <v>0</v>
      </c>
      <c r="L1916" s="6">
        <v>0</v>
      </c>
      <c r="M1916" s="6">
        <v>0</v>
      </c>
      <c r="N1916" s="6">
        <v>0</v>
      </c>
      <c r="O1916" s="4">
        <f>SUM(I1916:N1916)</f>
        <v>0</v>
      </c>
      <c r="P1916" s="5">
        <f>SUMIFS('Desenvolvimento diário'!$H:$H,'Desenvolvimento diário'!$Q:$Q,$B1916,'Desenvolvimento diário'!$P:$P,$F1916,'Desenvolvimento diário'!$R:$R,"Sim")</f>
        <v>0</v>
      </c>
      <c r="Q1916" s="5">
        <f>SUMIFS('Desenvolvimento diário'!$H:$H,'Desenvolvimento diário'!$Q:$Q,$B1916,'Desenvolvimento diário'!$P:$P,$F1916,'Desenvolvimento diário'!$R:$R,"Não")</f>
        <v>0</v>
      </c>
      <c r="R1916" s="4">
        <f>SUM(P1916:Q1916)</f>
        <v>0</v>
      </c>
      <c r="S1916" s="4">
        <f>O1916-R1916</f>
        <v>0</v>
      </c>
      <c r="T1916" s="12">
        <f>IFERROR(R1916/O1916,0)</f>
        <v>0</v>
      </c>
      <c r="Y1916" s="2"/>
      <c r="Z1916" s="2"/>
      <c r="AA1916" s="2"/>
      <c r="AB1916" s="2"/>
      <c r="AC1916" s="2"/>
    </row>
    <row r="1917" spans="1:29" ht="10.5" hidden="1">
      <c r="A1917" s="2">
        <f>A1916</f>
        <v>55</v>
      </c>
      <c r="B1917" s="2" t="str">
        <f>VLOOKUP($A1917,Controle!$B$4:$F$68,2,FALSE)</f>
        <v>São Sebastião 4</v>
      </c>
      <c r="C1917" s="2" t="str">
        <f>VLOOKUP($A1917,Controle!$B$4:$F$68,3,FALSE)</f>
        <v>MORI MINAS IV</v>
      </c>
      <c r="D1917" s="2" t="str">
        <f>VLOOKUP($A1917,Controle!$B$4:$F$68,4,FALSE)</f>
        <v>NewCo IV</v>
      </c>
      <c r="E1917" s="2">
        <f>VLOOKUP($A1917,Controle!$B$4:$F$68,5,FALSE)</f>
        <v>3</v>
      </c>
      <c r="F1917" s="3" t="str">
        <f>F1882</f>
        <v>Bases de Contaniers</v>
      </c>
      <c r="G1917" s="2" t="str">
        <f>VLOOKUP($A1917,Controle!$B$4:$G$68,6,FALSE)</f>
        <v>Solatio</v>
      </c>
      <c r="H1917" s="6">
        <v>0</v>
      </c>
      <c r="I1917" s="6">
        <v>0</v>
      </c>
      <c r="J1917" s="6">
        <v>0</v>
      </c>
      <c r="K1917" s="6">
        <v>0</v>
      </c>
      <c r="L1917" s="6">
        <v>0</v>
      </c>
      <c r="M1917" s="6">
        <v>0</v>
      </c>
      <c r="N1917" s="6">
        <v>0</v>
      </c>
      <c r="O1917" s="4">
        <f>SUM(I1917:N1917)</f>
        <v>0</v>
      </c>
      <c r="P1917" s="5">
        <f>SUMIFS('Desenvolvimento diário'!$H:$H,'Desenvolvimento diário'!$Q:$Q,$B1917,'Desenvolvimento diário'!$P:$P,$F1917,'Desenvolvimento diário'!$R:$R,"Sim")</f>
        <v>0</v>
      </c>
      <c r="Q1917" s="5">
        <f>SUMIFS('Desenvolvimento diário'!$H:$H,'Desenvolvimento diário'!$Q:$Q,$B1917,'Desenvolvimento diário'!$P:$P,$F1917,'Desenvolvimento diário'!$R:$R,"Não")</f>
        <v>0</v>
      </c>
      <c r="R1917" s="4">
        <f>SUM(P1917:Q1917)</f>
        <v>0</v>
      </c>
      <c r="S1917" s="4">
        <f>O1917-R1917</f>
        <v>0</v>
      </c>
      <c r="T1917" s="12">
        <f>IFERROR(R1917/O1917,0)</f>
        <v>0</v>
      </c>
      <c r="Y1917" s="2"/>
      <c r="Z1917" s="2"/>
      <c r="AA1917" s="2"/>
      <c r="AB1917" s="2"/>
      <c r="AC1917" s="2"/>
    </row>
    <row r="1918" spans="1:29" ht="10.5" hidden="1">
      <c r="A1918" s="2">
        <f>A1917</f>
        <v>55</v>
      </c>
      <c r="B1918" s="2" t="str">
        <f>VLOOKUP($A1918,Controle!$B$4:$F$68,2,FALSE)</f>
        <v>São Sebastião 4</v>
      </c>
      <c r="C1918" s="2" t="str">
        <f>VLOOKUP($A1918,Controle!$B$4:$F$68,3,FALSE)</f>
        <v>MORI MINAS IV</v>
      </c>
      <c r="D1918" s="2" t="str">
        <f>VLOOKUP($A1918,Controle!$B$4:$F$68,4,FALSE)</f>
        <v>NewCo IV</v>
      </c>
      <c r="E1918" s="2">
        <f>VLOOKUP($A1918,Controle!$B$4:$F$68,5,FALSE)</f>
        <v>3</v>
      </c>
      <c r="F1918" s="3" t="str">
        <f>F1883</f>
        <v>Construção - Serviços de Construção - Ase Engenharia</v>
      </c>
      <c r="G1918" s="2" t="str">
        <f>VLOOKUP($A1918,Controle!$B$4:$G$68,6,FALSE)</f>
        <v>Solatio</v>
      </c>
      <c r="H1918" s="6">
        <v>0</v>
      </c>
      <c r="I1918" s="6">
        <v>0</v>
      </c>
      <c r="J1918" s="6">
        <v>0</v>
      </c>
      <c r="K1918" s="6">
        <v>0</v>
      </c>
      <c r="L1918" s="6">
        <v>0</v>
      </c>
      <c r="M1918" s="6">
        <v>0</v>
      </c>
      <c r="N1918" s="6">
        <v>0</v>
      </c>
      <c r="O1918" s="4">
        <f>SUM(I1918:N1918)</f>
        <v>0</v>
      </c>
      <c r="P1918" s="5">
        <f>SUMIFS('Desenvolvimento diário'!$H:$H,'Desenvolvimento diário'!$Q:$Q,$B1918,'Desenvolvimento diário'!$P:$P,$F1918,'Desenvolvimento diário'!$R:$R,"Sim")</f>
        <v>0</v>
      </c>
      <c r="Q1918" s="5">
        <f>SUMIFS('Desenvolvimento diário'!$H:$H,'Desenvolvimento diário'!$Q:$Q,$B1918,'Desenvolvimento diário'!$P:$P,$F1918,'Desenvolvimento diário'!$R:$R,"Não")</f>
        <v>0</v>
      </c>
      <c r="R1918" s="4">
        <f>SUM(P1918:Q1918)</f>
        <v>0</v>
      </c>
      <c r="S1918" s="4">
        <f>O1918-R1918</f>
        <v>0</v>
      </c>
      <c r="T1918" s="12">
        <f>IFERROR(R1918/O1918,0)</f>
        <v>0</v>
      </c>
      <c r="Y1918" s="2"/>
      <c r="Z1918" s="2"/>
      <c r="AA1918" s="2"/>
      <c r="AB1918" s="2"/>
      <c r="AC1918" s="2"/>
    </row>
    <row r="1919" spans="1:29" ht="10.5" hidden="1">
      <c r="A1919" s="2">
        <f>A1918</f>
        <v>55</v>
      </c>
      <c r="B1919" s="2" t="str">
        <f>VLOOKUP($A1919,Controle!$B$4:$F$68,2,FALSE)</f>
        <v>São Sebastião 4</v>
      </c>
      <c r="C1919" s="2" t="str">
        <f>VLOOKUP($A1919,Controle!$B$4:$F$68,3,FALSE)</f>
        <v>MORI MINAS IV</v>
      </c>
      <c r="D1919" s="2" t="str">
        <f>VLOOKUP($A1919,Controle!$B$4:$F$68,4,FALSE)</f>
        <v>NewCo IV</v>
      </c>
      <c r="E1919" s="2">
        <f>VLOOKUP($A1919,Controle!$B$4:$F$68,5,FALSE)</f>
        <v>3</v>
      </c>
      <c r="F1919" s="3" t="str">
        <f>F1884</f>
        <v>Full EPC - Contrato Sobressalentes</v>
      </c>
      <c r="G1919" s="2" t="str">
        <f>VLOOKUP($A1919,Controle!$B$4:$G$68,6,FALSE)</f>
        <v>Solatio</v>
      </c>
      <c r="H1919" s="6">
        <v>0</v>
      </c>
      <c r="I1919" s="6">
        <v>0</v>
      </c>
      <c r="J1919" s="6">
        <v>0</v>
      </c>
      <c r="K1919" s="6">
        <v>0</v>
      </c>
      <c r="L1919" s="6">
        <v>0</v>
      </c>
      <c r="M1919" s="6">
        <v>0</v>
      </c>
      <c r="N1919" s="6">
        <v>0</v>
      </c>
      <c r="O1919" s="4">
        <f>SUM(I1919:N1919)</f>
        <v>0</v>
      </c>
      <c r="P1919" s="5">
        <f>SUMIFS('Desenvolvimento diário'!$H:$H,'Desenvolvimento diário'!$Q:$Q,$B1919,'Desenvolvimento diário'!$P:$P,$F1919,'Desenvolvimento diário'!$R:$R,"Sim")</f>
        <v>0</v>
      </c>
      <c r="Q1919" s="5">
        <f>SUMIFS('Desenvolvimento diário'!$H:$H,'Desenvolvimento diário'!$Q:$Q,$B1919,'Desenvolvimento diário'!$P:$P,$F1919,'Desenvolvimento diário'!$R:$R,"Não")</f>
        <v>0</v>
      </c>
      <c r="R1919" s="4">
        <f>SUM(P1919:Q1919)</f>
        <v>0</v>
      </c>
      <c r="S1919" s="4">
        <f>O1919-R1919</f>
        <v>0</v>
      </c>
      <c r="T1919" s="12">
        <f>IFERROR(R1919/O1919,0)</f>
        <v>0</v>
      </c>
      <c r="Y1919" s="2"/>
      <c r="Z1919" s="2"/>
      <c r="AA1919" s="2"/>
      <c r="AB1919" s="2"/>
      <c r="AC1919" s="2"/>
    </row>
    <row r="1920" spans="1:29" ht="10.5" hidden="1">
      <c r="A1920" s="2">
        <f>A1919</f>
        <v>55</v>
      </c>
      <c r="B1920" s="2" t="str">
        <f>VLOOKUP($A1920,Controle!$B$4:$F$68,2,FALSE)</f>
        <v>São Sebastião 4</v>
      </c>
      <c r="C1920" s="2" t="str">
        <f>VLOOKUP($A1920,Controle!$B$4:$F$68,3,FALSE)</f>
        <v>MORI MINAS IV</v>
      </c>
      <c r="D1920" s="2" t="str">
        <f>VLOOKUP($A1920,Controle!$B$4:$F$68,4,FALSE)</f>
        <v>NewCo IV</v>
      </c>
      <c r="E1920" s="2">
        <f>VLOOKUP($A1920,Controle!$B$4:$F$68,5,FALSE)</f>
        <v>3</v>
      </c>
      <c r="F1920" s="3" t="str">
        <f>F1885</f>
        <v>Construção - Serviços de Construção - NOVA MORADA</v>
      </c>
      <c r="G1920" s="2" t="str">
        <f>VLOOKUP($A1920,Controle!$B$4:$G$68,6,FALSE)</f>
        <v>Solatio</v>
      </c>
      <c r="H1920" s="6">
        <v>0</v>
      </c>
      <c r="I1920" s="6">
        <v>0</v>
      </c>
      <c r="J1920" s="6">
        <v>0</v>
      </c>
      <c r="K1920" s="6">
        <v>0</v>
      </c>
      <c r="L1920" s="6">
        <v>0</v>
      </c>
      <c r="M1920" s="6">
        <v>0</v>
      </c>
      <c r="N1920" s="6">
        <v>0</v>
      </c>
      <c r="O1920" s="4">
        <f>SUM(I1920:N1920)</f>
        <v>0</v>
      </c>
      <c r="P1920" s="5">
        <f>SUMIFS('Desenvolvimento diário'!$H:$H,'Desenvolvimento diário'!$Q:$Q,$B1920,'Desenvolvimento diário'!$P:$P,$F1920,'Desenvolvimento diário'!$R:$R,"Sim")</f>
        <v>0</v>
      </c>
      <c r="Q1920" s="5">
        <f>SUMIFS('Desenvolvimento diário'!$H:$H,'Desenvolvimento diário'!$Q:$Q,$B1920,'Desenvolvimento diário'!$P:$P,$F1920,'Desenvolvimento diário'!$R:$R,"Não")</f>
        <v>0</v>
      </c>
      <c r="R1920" s="4">
        <f>SUM(P1920:Q1920)</f>
        <v>0</v>
      </c>
      <c r="S1920" s="4">
        <f>O1920-R1920</f>
        <v>0</v>
      </c>
      <c r="T1920" s="12">
        <f>IFERROR(R1920/O1920,0)</f>
        <v>0</v>
      </c>
      <c r="Y1920" s="2"/>
      <c r="Z1920" s="2"/>
      <c r="AA1920" s="2"/>
      <c r="AB1920" s="2"/>
      <c r="AC1920" s="2"/>
    </row>
    <row r="1921" spans="1:29" ht="10.5" hidden="1">
      <c r="A1921" s="2">
        <f>A1920</f>
        <v>55</v>
      </c>
      <c r="B1921" s="2" t="str">
        <f>VLOOKUP($A1921,Controle!$B$4:$F$68,2,FALSE)</f>
        <v>São Sebastião 4</v>
      </c>
      <c r="C1921" s="2" t="str">
        <f>VLOOKUP($A1921,Controle!$B$4:$F$68,3,FALSE)</f>
        <v>MORI MINAS IV</v>
      </c>
      <c r="D1921" s="2" t="str">
        <f>VLOOKUP($A1921,Controle!$B$4:$F$68,4,FALSE)</f>
        <v>NewCo IV</v>
      </c>
      <c r="E1921" s="2">
        <f>VLOOKUP($A1921,Controle!$B$4:$F$68,5,FALSE)</f>
        <v>3</v>
      </c>
      <c r="F1921" s="3" t="str">
        <f>F1886</f>
        <v>Equipamentos Curva A -  Contrato Sobressalentes - SETTA</v>
      </c>
      <c r="G1921" s="2" t="str">
        <f>VLOOKUP($A1921,Controle!$B$4:$G$68,6,FALSE)</f>
        <v>Solatio</v>
      </c>
      <c r="H1921" s="6">
        <v>0</v>
      </c>
      <c r="I1921" s="6">
        <v>0</v>
      </c>
      <c r="J1921" s="6">
        <v>0</v>
      </c>
      <c r="K1921" s="6">
        <v>0</v>
      </c>
      <c r="L1921" s="6">
        <v>0</v>
      </c>
      <c r="M1921" s="6">
        <v>0</v>
      </c>
      <c r="N1921" s="6">
        <v>0</v>
      </c>
      <c r="O1921" s="4">
        <f>SUM(I1921:N1921)</f>
        <v>0</v>
      </c>
      <c r="P1921" s="5">
        <f>SUMIFS('Desenvolvimento diário'!$H:$H,'Desenvolvimento diário'!$Q:$Q,$B1921,'Desenvolvimento diário'!$P:$P,$F1921,'Desenvolvimento diário'!$R:$R,"Sim")</f>
        <v>0</v>
      </c>
      <c r="Q1921" s="5">
        <f>SUMIFS('Desenvolvimento diário'!$H:$H,'Desenvolvimento diário'!$Q:$Q,$B1921,'Desenvolvimento diário'!$P:$P,$F1921,'Desenvolvimento diário'!$R:$R,"Não")</f>
        <v>0</v>
      </c>
      <c r="R1921" s="4">
        <f>SUM(P1921:Q1921)</f>
        <v>0</v>
      </c>
      <c r="S1921" s="4">
        <f>O1921-R1921</f>
        <v>0</v>
      </c>
      <c r="T1921" s="12">
        <f>IFERROR(R1921/O1921,0)</f>
        <v>0</v>
      </c>
      <c r="Y1921" s="2"/>
      <c r="Z1921" s="2"/>
      <c r="AA1921" s="2"/>
      <c r="AB1921" s="2"/>
      <c r="AC1921" s="2"/>
    </row>
    <row r="1922" spans="1:29" ht="10.5" hidden="1">
      <c r="A1922" s="2">
        <f>A1921</f>
        <v>55</v>
      </c>
      <c r="B1922" s="2" t="str">
        <f>VLOOKUP($A1922,Controle!$B$4:$F$68,2,FALSE)</f>
        <v>São Sebastião 4</v>
      </c>
      <c r="C1922" s="2" t="str">
        <f>VLOOKUP($A1922,Controle!$B$4:$F$68,3,FALSE)</f>
        <v>MORI MINAS IV</v>
      </c>
      <c r="D1922" s="2" t="str">
        <f>VLOOKUP($A1922,Controle!$B$4:$F$68,4,FALSE)</f>
        <v>NewCo IV</v>
      </c>
      <c r="E1922" s="2">
        <f>VLOOKUP($A1922,Controle!$B$4:$F$68,5,FALSE)</f>
        <v>3</v>
      </c>
      <c r="F1922" s="3" t="str">
        <f>F1887</f>
        <v>Equipamentos Curva A -  Contrato Sobressalentes - Arctech</v>
      </c>
      <c r="G1922" s="2" t="str">
        <f>VLOOKUP($A1922,Controle!$B$4:$G$68,6,FALSE)</f>
        <v>Solatio</v>
      </c>
      <c r="H1922" s="6">
        <v>0</v>
      </c>
      <c r="I1922" s="6">
        <v>0</v>
      </c>
      <c r="J1922" s="6">
        <v>0</v>
      </c>
      <c r="K1922" s="6">
        <v>0</v>
      </c>
      <c r="L1922" s="6">
        <v>0</v>
      </c>
      <c r="M1922" s="6">
        <v>0</v>
      </c>
      <c r="N1922" s="6">
        <v>0</v>
      </c>
      <c r="O1922" s="4">
        <f>SUM(I1922:N1922)</f>
        <v>0</v>
      </c>
      <c r="P1922" s="5">
        <f>SUMIFS('Desenvolvimento diário'!$H:$H,'Desenvolvimento diário'!$Q:$Q,$B1922,'Desenvolvimento diário'!$P:$P,$F1922,'Desenvolvimento diário'!$R:$R,"Sim")</f>
        <v>0</v>
      </c>
      <c r="Q1922" s="5">
        <f>SUMIFS('Desenvolvimento diário'!$H:$H,'Desenvolvimento diário'!$Q:$Q,$B1922,'Desenvolvimento diário'!$P:$P,$F1922,'Desenvolvimento diário'!$R:$R,"Não")</f>
        <v>0</v>
      </c>
      <c r="R1922" s="4">
        <f>SUM(P1922:Q1922)</f>
        <v>0</v>
      </c>
      <c r="S1922" s="4">
        <f>O1922-R1922</f>
        <v>0</v>
      </c>
      <c r="T1922" s="12">
        <f>IFERROR(R1922/O1922,0)</f>
        <v>0</v>
      </c>
      <c r="Y1922" s="2"/>
      <c r="Z1922" s="2"/>
      <c r="AA1922" s="2"/>
      <c r="AB1922" s="2"/>
      <c r="AC1922" s="2"/>
    </row>
    <row r="1923" spans="1:29" hidden="1">
      <c r="A1923" s="2">
        <f>A1922</f>
        <v>55</v>
      </c>
      <c r="B1923" s="2" t="str">
        <f>VLOOKUP($A1923,Controle!$B$4:$F$68,2,FALSE)</f>
        <v>São Sebastião 4</v>
      </c>
      <c r="C1923" s="2" t="str">
        <f>VLOOKUP($A1923,Controle!$B$4:$F$68,3,FALSE)</f>
        <v>MORI MINAS IV</v>
      </c>
      <c r="D1923" s="2" t="str">
        <f>VLOOKUP($A1923,Controle!$B$4:$F$68,4,FALSE)</f>
        <v>NewCo IV</v>
      </c>
      <c r="E1923" s="2">
        <f>VLOOKUP($A1923,Controle!$B$4:$F$68,5,FALSE)</f>
        <v>3</v>
      </c>
      <c r="F1923" s="3" t="str">
        <f>F1888</f>
        <v>Equipamentos Curva A -  Contrato Sobressalentes - Romagnole</v>
      </c>
      <c r="G1923" s="2" t="str">
        <f>VLOOKUP($A1923,Controle!$B$4:$G$68,6,FALSE)</f>
        <v>Solatio</v>
      </c>
      <c r="H1923" s="7">
        <v>0</v>
      </c>
      <c r="I1923" s="7">
        <v>0</v>
      </c>
      <c r="J1923" s="7">
        <v>0</v>
      </c>
      <c r="K1923" s="7">
        <v>0</v>
      </c>
      <c r="L1923" s="7">
        <v>0</v>
      </c>
      <c r="M1923" s="7">
        <v>0</v>
      </c>
      <c r="N1923" s="7">
        <v>0</v>
      </c>
      <c r="O1923" s="4">
        <f>SUM(I1923:N1923)</f>
        <v>0</v>
      </c>
      <c r="P1923" s="17">
        <f>SUMIFS('Desenvolvimento diário'!$H:$H,'Desenvolvimento diário'!$Q:$Q,$B1923,'Desenvolvimento diário'!$P:$P,$F1923,'Desenvolvimento diário'!$R:$R,"Sim")</f>
        <v>0</v>
      </c>
      <c r="Q1923" s="17">
        <f>SUMIFS('Desenvolvimento diário'!$H:$H,'Desenvolvimento diário'!$Q:$Q,$B1923,'Desenvolvimento diário'!$P:$P,$F1923,'Desenvolvimento diário'!$R:$R,"Não")</f>
        <v>0</v>
      </c>
      <c r="R1923" s="4">
        <f>SUM(P1923:Q1923)</f>
        <v>0</v>
      </c>
      <c r="S1923" s="4">
        <f>O1923-R1923</f>
        <v>0</v>
      </c>
      <c r="T1923" s="12">
        <f>IFERROR(R1923/O1923,0)</f>
        <v>0</v>
      </c>
      <c r="Y1923" s="2"/>
      <c r="Z1923" s="2"/>
      <c r="AA1923" s="2"/>
      <c r="AB1923" s="2"/>
      <c r="AC1923" s="2"/>
    </row>
    <row r="1924" spans="1:29" hidden="1">
      <c r="A1924" s="2">
        <f t="shared" ref="A1924:A1925" si="597">A1923</f>
        <v>55</v>
      </c>
      <c r="B1924" s="2" t="str">
        <f>VLOOKUP($A1924,Controle!$B$4:$F$68,2,FALSE)</f>
        <v>São Sebastião 4</v>
      </c>
      <c r="C1924" s="2" t="str">
        <f>VLOOKUP($A1924,Controle!$B$4:$F$68,3,FALSE)</f>
        <v>MORI MINAS IV</v>
      </c>
      <c r="D1924" s="2" t="str">
        <f>VLOOKUP($A1924,Controle!$B$4:$F$68,4,FALSE)</f>
        <v>NewCo IV</v>
      </c>
      <c r="E1924" s="2">
        <f>VLOOKUP($A1924,Controle!$B$4:$F$68,5,FALSE)</f>
        <v>3</v>
      </c>
      <c r="F1924" s="3" t="str">
        <f t="shared" ref="F1924:F1925" si="598">F1889</f>
        <v>GOS FLORESTAL - (PRAD - Recuperação Area Ambiental)</v>
      </c>
      <c r="G1924" s="2" t="str">
        <f>VLOOKUP($A1924,Controle!$B$4:$G$68,6,FALSE)</f>
        <v>Solatio</v>
      </c>
      <c r="H1924" s="506" t="s">
        <v>170</v>
      </c>
      <c r="I1924" s="7">
        <v>0</v>
      </c>
      <c r="J1924" s="7">
        <v>0</v>
      </c>
      <c r="K1924" s="7">
        <v>0</v>
      </c>
      <c r="L1924" s="7">
        <v>0</v>
      </c>
      <c r="M1924" s="7">
        <v>0</v>
      </c>
      <c r="N1924" s="7">
        <v>0</v>
      </c>
      <c r="O1924" s="39">
        <f t="shared" ref="O1924:O1925" si="599">SUM(I1924:N1924)</f>
        <v>0</v>
      </c>
      <c r="P1924" s="17">
        <f>SUMIFS('Desenvolvimento diário'!$H:$H,'Desenvolvimento diário'!$Q:$Q,$B1924,'Desenvolvimento diário'!$P:$P,$F1924,'Desenvolvimento diário'!$R:$R,"Sim")</f>
        <v>0</v>
      </c>
      <c r="Q1924" s="17">
        <f>SUMIFS('Desenvolvimento diário'!$H:$H,'Desenvolvimento diário'!$Q:$Q,$B1924,'Desenvolvimento diário'!$P:$P,$F1924,'Desenvolvimento diário'!$R:$R,"Não")</f>
        <v>0</v>
      </c>
      <c r="R1924" s="4">
        <f t="shared" ref="R1924:R1925" si="600">SUM(P1924:Q1924)</f>
        <v>0</v>
      </c>
      <c r="S1924" s="4">
        <f t="shared" ref="S1924:S1925" si="601">O1924-R1924</f>
        <v>0</v>
      </c>
      <c r="T1924" s="12">
        <f t="shared" ref="T1924:T1925" si="602">IFERROR(R1924/O1924,0)</f>
        <v>0</v>
      </c>
      <c r="Y1924" s="2"/>
      <c r="Z1924" s="2"/>
      <c r="AA1924" s="2"/>
      <c r="AB1924" s="2"/>
      <c r="AC1924" s="2"/>
    </row>
    <row r="1925" spans="1:29" hidden="1">
      <c r="A1925" s="2">
        <f t="shared" si="597"/>
        <v>55</v>
      </c>
      <c r="B1925" s="2" t="str">
        <f>VLOOKUP($A1925,Controle!$B$4:$F$68,2,FALSE)</f>
        <v>São Sebastião 4</v>
      </c>
      <c r="C1925" s="2" t="str">
        <f>VLOOKUP($A1925,Controle!$B$4:$F$68,3,FALSE)</f>
        <v>MORI MINAS IV</v>
      </c>
      <c r="D1925" s="2" t="str">
        <f>VLOOKUP($A1925,Controle!$B$4:$F$68,4,FALSE)</f>
        <v>NewCo IV</v>
      </c>
      <c r="E1925" s="2">
        <f>VLOOKUP($A1925,Controle!$B$4:$F$68,5,FALSE)</f>
        <v>3</v>
      </c>
      <c r="F1925" s="3" t="str">
        <f t="shared" si="598"/>
        <v>Cercamento das bacias de contenção ciclo 2</v>
      </c>
      <c r="G1925" s="2" t="str">
        <f>VLOOKUP($A1925,Controle!$B$4:$G$68,6,FALSE)</f>
        <v>Solatio</v>
      </c>
      <c r="H1925" s="506" t="s">
        <v>172</v>
      </c>
      <c r="I1925" s="6"/>
      <c r="J1925" s="506"/>
      <c r="K1925" s="506">
        <v>0</v>
      </c>
      <c r="L1925" s="506">
        <v>0</v>
      </c>
      <c r="M1925" s="506">
        <v>0</v>
      </c>
      <c r="N1925" s="506">
        <v>0</v>
      </c>
      <c r="O1925" s="39">
        <f t="shared" si="599"/>
        <v>0</v>
      </c>
      <c r="P1925" s="17">
        <f>SUMIFS('Desenvolvimento diário'!$H:$H,'Desenvolvimento diário'!$Q:$Q,$B1925,'Desenvolvimento diário'!$P:$P,$F1925,'Desenvolvimento diário'!$R:$R,"Sim")</f>
        <v>0</v>
      </c>
      <c r="Q1925" s="17">
        <f>SUMIFS('Desenvolvimento diário'!$H:$H,'Desenvolvimento diário'!$Q:$Q,$B1925,'Desenvolvimento diário'!$P:$P,$F1925,'Desenvolvimento diário'!$R:$R,"Não")</f>
        <v>0</v>
      </c>
      <c r="R1925" s="4">
        <f t="shared" si="600"/>
        <v>0</v>
      </c>
      <c r="S1925" s="1030">
        <f t="shared" si="601"/>
        <v>0</v>
      </c>
      <c r="T1925" s="12">
        <f t="shared" si="602"/>
        <v>0</v>
      </c>
      <c r="U1925" s="1029" t="s">
        <v>166</v>
      </c>
      <c r="V1925" s="1029" t="s">
        <v>94</v>
      </c>
      <c r="Y1925" s="2"/>
      <c r="Z1925" s="2"/>
      <c r="AA1925" s="2"/>
      <c r="AB1925" s="2"/>
      <c r="AC1925" s="2"/>
    </row>
    <row r="1926" spans="1:29" hidden="1">
      <c r="A1926" s="8">
        <f>A1923</f>
        <v>55</v>
      </c>
      <c r="B1926" s="9" t="str">
        <f>B1923</f>
        <v>São Sebastião 4</v>
      </c>
      <c r="C1926" s="9" t="str">
        <f>C1923</f>
        <v>MORI MINAS IV</v>
      </c>
      <c r="D1926" s="9" t="str">
        <f>D1923</f>
        <v>NewCo IV</v>
      </c>
      <c r="E1926" s="9">
        <f>E1923</f>
        <v>3</v>
      </c>
      <c r="F1926" s="10" t="s">
        <v>158</v>
      </c>
      <c r="G1926" s="9" t="str">
        <f>G1923</f>
        <v>Solatio</v>
      </c>
      <c r="H1926" s="9"/>
      <c r="I1926" s="9">
        <f>SUBTOTAL(9,I1892:I1925)</f>
        <v>0</v>
      </c>
      <c r="J1926" s="9">
        <f t="shared" ref="J1926:S1926" si="603">SUBTOTAL(9,J1892:J1925)</f>
        <v>0</v>
      </c>
      <c r="K1926" s="9">
        <f t="shared" si="603"/>
        <v>0</v>
      </c>
      <c r="L1926" s="9">
        <f t="shared" si="603"/>
        <v>0</v>
      </c>
      <c r="M1926" s="9">
        <f t="shared" si="603"/>
        <v>0</v>
      </c>
      <c r="N1926" s="9">
        <f t="shared" si="603"/>
        <v>0</v>
      </c>
      <c r="O1926" s="9">
        <f t="shared" si="603"/>
        <v>0</v>
      </c>
      <c r="P1926" s="9">
        <f t="shared" si="603"/>
        <v>0</v>
      </c>
      <c r="Q1926" s="9">
        <f t="shared" si="603"/>
        <v>0</v>
      </c>
      <c r="R1926" s="9">
        <f t="shared" si="603"/>
        <v>0</v>
      </c>
      <c r="S1926" s="9">
        <f t="shared" si="603"/>
        <v>0</v>
      </c>
      <c r="T1926" s="13">
        <f>IFERROR(R1926/O1926,0)</f>
        <v>0</v>
      </c>
      <c r="U1926" s="11">
        <f>SUBTOTAL(9,U1892:U1925)</f>
        <v>0</v>
      </c>
      <c r="Y1926" s="2"/>
      <c r="Z1926" s="2"/>
      <c r="AA1926" s="2"/>
      <c r="AB1926" s="2"/>
      <c r="AC1926" s="2"/>
    </row>
    <row r="1927" spans="1:29" ht="10.5" hidden="1">
      <c r="A1927" s="2">
        <f>A1892+1</f>
        <v>56</v>
      </c>
      <c r="B1927" s="2" t="str">
        <f>VLOOKUP($A1927,Controle!$B$4:$F$68,2,FALSE)</f>
        <v>São Sebastião 5</v>
      </c>
      <c r="C1927" s="2" t="str">
        <f>VLOOKUP($A1927,Controle!$B$4:$F$68,3,FALSE)</f>
        <v>MORI MINAS V</v>
      </c>
      <c r="D1927" s="2" t="str">
        <f>VLOOKUP($A1927,Controle!$B$4:$F$68,4,FALSE)</f>
        <v>NewCo V</v>
      </c>
      <c r="E1927" s="2" t="str">
        <f>VLOOKUP($A1927,Controle!$B$4:$F$68,5,FALSE)</f>
        <v>Weg</v>
      </c>
      <c r="F1927" s="3" t="str">
        <f>F1892</f>
        <v>Conexão AT - Obras</v>
      </c>
      <c r="G1927" s="2" t="str">
        <f>VLOOKUP($A1927,Controle!$B$4:$G$68,6,FALSE)</f>
        <v>Solatio</v>
      </c>
      <c r="H1927" s="6" t="s">
        <v>182</v>
      </c>
      <c r="I1927" s="6">
        <v>0</v>
      </c>
      <c r="J1927" s="6">
        <v>0</v>
      </c>
      <c r="K1927" s="6">
        <v>0</v>
      </c>
      <c r="L1927" s="6">
        <v>0</v>
      </c>
      <c r="M1927" s="6">
        <v>0</v>
      </c>
      <c r="N1927" s="6">
        <v>0</v>
      </c>
      <c r="O1927" s="4">
        <f>SUM(I1927:N1927)</f>
        <v>0</v>
      </c>
      <c r="P1927" s="5">
        <f>SUMIFS('Desenvolvimento diário'!$H:$H,'Desenvolvimento diário'!$Q:$Q,$B1927,'Desenvolvimento diário'!$P:$P,$F1927,'Desenvolvimento diário'!$R:$R,"Sim")</f>
        <v>0</v>
      </c>
      <c r="Q1927" s="5">
        <f>SUMIFS('Desenvolvimento diário'!$H:$H,'Desenvolvimento diário'!$Q:$Q,$B1927,'Desenvolvimento diário'!$P:$P,$F1927,'Desenvolvimento diário'!$R:$R,"Não")</f>
        <v>0</v>
      </c>
      <c r="R1927" s="4">
        <f>SUM(P1927:Q1927)</f>
        <v>0</v>
      </c>
      <c r="S1927" s="38">
        <f>O1927-R1927</f>
        <v>0</v>
      </c>
      <c r="T1927" s="12">
        <f>IFERROR(R1927/O1927,0)</f>
        <v>0</v>
      </c>
      <c r="Y1927" s="2"/>
      <c r="Z1927" s="2"/>
      <c r="AA1927" s="2"/>
      <c r="AB1927" s="2"/>
      <c r="AC1927" s="2"/>
    </row>
    <row r="1928" spans="1:29" ht="10.5" hidden="1">
      <c r="A1928" s="2">
        <f>A1927</f>
        <v>56</v>
      </c>
      <c r="B1928" s="2" t="str">
        <f>VLOOKUP($A1928,Controle!$B$4:$F$68,2,FALSE)</f>
        <v>São Sebastião 5</v>
      </c>
      <c r="C1928" s="2" t="str">
        <f>VLOOKUP($A1928,Controle!$B$4:$F$68,3,FALSE)</f>
        <v>MORI MINAS V</v>
      </c>
      <c r="D1928" s="2" t="str">
        <f>VLOOKUP($A1928,Controle!$B$4:$F$68,4,FALSE)</f>
        <v>NewCo V</v>
      </c>
      <c r="E1928" s="2" t="str">
        <f>VLOOKUP($A1928,Controle!$B$4:$F$68,5,FALSE)</f>
        <v>Weg</v>
      </c>
      <c r="F1928" s="3" t="str">
        <f>F1893</f>
        <v>Conexão MT - Obras</v>
      </c>
      <c r="G1928" s="2" t="str">
        <f>VLOOKUP($A1928,Controle!$B$4:$G$68,6,FALSE)</f>
        <v>Solatio</v>
      </c>
      <c r="H1928" s="6" t="s">
        <v>141</v>
      </c>
      <c r="I1928" s="6">
        <v>755145.24</v>
      </c>
      <c r="J1928" s="6">
        <v>1087971.6100000001</v>
      </c>
      <c r="K1928" s="6">
        <v>937000</v>
      </c>
      <c r="L1928" s="6">
        <v>0</v>
      </c>
      <c r="M1928" s="6">
        <v>0</v>
      </c>
      <c r="N1928" s="6">
        <v>0</v>
      </c>
      <c r="O1928" s="4">
        <f>SUM(I1928:N1928)</f>
        <v>2780116.85</v>
      </c>
      <c r="P1928" s="5">
        <f>SUMIFS('Desenvolvimento diário'!$H:$H,'Desenvolvimento diário'!$Q:$Q,$B1928,'Desenvolvimento diário'!$P:$P,$F1928,'Desenvolvimento diário'!$R:$R,"Sim")</f>
        <v>1312609.2</v>
      </c>
      <c r="Q1928" s="5">
        <f>SUMIFS('Desenvolvimento diário'!$H:$H,'Desenvolvimento diário'!$Q:$Q,$B1928,'Desenvolvimento diário'!$P:$P,$F1928,'Desenvolvimento diário'!$R:$R,"Não")</f>
        <v>1467507.6500000001</v>
      </c>
      <c r="R1928" s="4">
        <f>SUM(P1928:Q1928)</f>
        <v>2780116.85</v>
      </c>
      <c r="S1928" s="4">
        <f>O1928-R1928</f>
        <v>0</v>
      </c>
      <c r="T1928" s="12">
        <f>IFERROR(R1928/O1928,0)</f>
        <v>1</v>
      </c>
      <c r="Y1928" s="2"/>
      <c r="Z1928" s="2"/>
      <c r="AA1928" s="2"/>
      <c r="AB1928" s="2"/>
      <c r="AC1928" s="2"/>
    </row>
    <row r="1929" spans="1:29" ht="10.5" hidden="1">
      <c r="A1929" s="2">
        <f>A1928</f>
        <v>56</v>
      </c>
      <c r="B1929" s="2" t="str">
        <f>VLOOKUP($A1929,Controle!$B$4:$F$68,2,FALSE)</f>
        <v>São Sebastião 5</v>
      </c>
      <c r="C1929" s="2" t="str">
        <f>VLOOKUP($A1929,Controle!$B$4:$F$68,3,FALSE)</f>
        <v>MORI MINAS V</v>
      </c>
      <c r="D1929" s="2" t="str">
        <f>VLOOKUP($A1929,Controle!$B$4:$F$68,4,FALSE)</f>
        <v>NewCo V</v>
      </c>
      <c r="E1929" s="2" t="str">
        <f>VLOOKUP($A1929,Controle!$B$4:$F$68,5,FALSE)</f>
        <v>Weg</v>
      </c>
      <c r="F1929" s="3" t="str">
        <f>F1894</f>
        <v>Construção - Serviços de Construção</v>
      </c>
      <c r="G1929" s="2" t="str">
        <f>VLOOKUP($A1929,Controle!$B$4:$G$68,6,FALSE)</f>
        <v>Solatio</v>
      </c>
      <c r="H1929" s="6">
        <v>0</v>
      </c>
      <c r="I1929" s="6">
        <v>0</v>
      </c>
      <c r="J1929" s="6">
        <v>0</v>
      </c>
      <c r="K1929" s="6">
        <v>0</v>
      </c>
      <c r="L1929" s="6">
        <v>0</v>
      </c>
      <c r="M1929" s="6">
        <v>0</v>
      </c>
      <c r="N1929" s="6">
        <v>0</v>
      </c>
      <c r="O1929" s="4">
        <f>SUM(I1929:N1929)</f>
        <v>0</v>
      </c>
      <c r="P1929" s="5">
        <f>SUMIFS('Desenvolvimento diário'!$H:$H,'Desenvolvimento diário'!$Q:$Q,$B1929,'Desenvolvimento diário'!$P:$P,$F1929,'Desenvolvimento diário'!$R:$R,"Sim")</f>
        <v>0</v>
      </c>
      <c r="Q1929" s="5">
        <f>SUMIFS('Desenvolvimento diário'!$H:$H,'Desenvolvimento diário'!$Q:$Q,$B1929,'Desenvolvimento diário'!$P:$P,$F1929,'Desenvolvimento diário'!$R:$R,"Não")</f>
        <v>0</v>
      </c>
      <c r="R1929" s="4">
        <f>SUM(P1929:Q1929)</f>
        <v>0</v>
      </c>
      <c r="S1929" s="4">
        <f>O1929-R1929</f>
        <v>0</v>
      </c>
      <c r="T1929" s="12">
        <f>IFERROR(R1929/O1929,0)</f>
        <v>0</v>
      </c>
      <c r="Y1929" s="2"/>
      <c r="Z1929" s="2"/>
      <c r="AA1929" s="2"/>
      <c r="AB1929" s="2"/>
      <c r="AC1929" s="2"/>
    </row>
    <row r="1930" spans="1:29" ht="10.5" hidden="1">
      <c r="A1930" s="2">
        <f>A1929</f>
        <v>56</v>
      </c>
      <c r="B1930" s="2" t="str">
        <f>VLOOKUP($A1930,Controle!$B$4:$F$68,2,FALSE)</f>
        <v>São Sebastião 5</v>
      </c>
      <c r="C1930" s="2" t="str">
        <f>VLOOKUP($A1930,Controle!$B$4:$F$68,3,FALSE)</f>
        <v>MORI MINAS V</v>
      </c>
      <c r="D1930" s="2" t="str">
        <f>VLOOKUP($A1930,Controle!$B$4:$F$68,4,FALSE)</f>
        <v>NewCo V</v>
      </c>
      <c r="E1930" s="2" t="str">
        <f>VLOOKUP($A1930,Controle!$B$4:$F$68,5,FALSE)</f>
        <v>Weg</v>
      </c>
      <c r="F1930" s="3" t="str">
        <f>F1895</f>
        <v>Construção - Serviços de Construção - Substituição</v>
      </c>
      <c r="G1930" s="2" t="str">
        <f>VLOOKUP($A1930,Controle!$B$4:$G$68,6,FALSE)</f>
        <v>Solatio</v>
      </c>
      <c r="H1930" s="6">
        <v>0</v>
      </c>
      <c r="I1930" s="6">
        <v>0</v>
      </c>
      <c r="J1930" s="6">
        <v>0</v>
      </c>
      <c r="K1930" s="6">
        <v>0</v>
      </c>
      <c r="L1930" s="6">
        <v>0</v>
      </c>
      <c r="M1930" s="6">
        <v>0</v>
      </c>
      <c r="N1930" s="6">
        <v>0</v>
      </c>
      <c r="O1930" s="4">
        <f>SUM(I1930:N1930)</f>
        <v>0</v>
      </c>
      <c r="P1930" s="5">
        <f>SUMIFS('Desenvolvimento diário'!$H:$H,'Desenvolvimento diário'!$Q:$Q,$B1930,'Desenvolvimento diário'!$P:$P,$F1930,'Desenvolvimento diário'!$R:$R,"Sim")</f>
        <v>0</v>
      </c>
      <c r="Q1930" s="5">
        <f>SUMIFS('Desenvolvimento diário'!$H:$H,'Desenvolvimento diário'!$Q:$Q,$B1930,'Desenvolvimento diário'!$P:$P,$F1930,'Desenvolvimento diário'!$R:$R,"Não")</f>
        <v>0</v>
      </c>
      <c r="R1930" s="4">
        <f>SUM(P1930:Q1930)</f>
        <v>0</v>
      </c>
      <c r="S1930" s="4">
        <f>O1930-R1930</f>
        <v>0</v>
      </c>
      <c r="T1930" s="12">
        <f>IFERROR(R1930/O1930,0)</f>
        <v>0</v>
      </c>
      <c r="Y1930" s="2"/>
      <c r="Z1930" s="2"/>
      <c r="AA1930" s="2"/>
      <c r="AB1930" s="2"/>
      <c r="AC1930" s="2"/>
    </row>
    <row r="1931" spans="1:29" ht="10.5" hidden="1">
      <c r="A1931" s="2">
        <f>A1930</f>
        <v>56</v>
      </c>
      <c r="B1931" s="2" t="str">
        <f>VLOOKUP($A1931,Controle!$B$4:$F$68,2,FALSE)</f>
        <v>São Sebastião 5</v>
      </c>
      <c r="C1931" s="2" t="str">
        <f>VLOOKUP($A1931,Controle!$B$4:$F$68,3,FALSE)</f>
        <v>MORI MINAS V</v>
      </c>
      <c r="D1931" s="2" t="str">
        <f>VLOOKUP($A1931,Controle!$B$4:$F$68,4,FALSE)</f>
        <v>NewCo V</v>
      </c>
      <c r="E1931" s="2" t="str">
        <f>VLOOKUP($A1931,Controle!$B$4:$F$68,5,FALSE)</f>
        <v>Weg</v>
      </c>
      <c r="F1931" s="3" t="str">
        <f>F1896</f>
        <v>Construção - RDA Interno</v>
      </c>
      <c r="G1931" s="2" t="str">
        <f>VLOOKUP($A1931,Controle!$B$4:$G$68,6,FALSE)</f>
        <v>Solatio</v>
      </c>
      <c r="H1931" s="6">
        <v>0</v>
      </c>
      <c r="I1931" s="6">
        <v>0</v>
      </c>
      <c r="J1931" s="6">
        <v>0</v>
      </c>
      <c r="K1931" s="6">
        <v>0</v>
      </c>
      <c r="L1931" s="6">
        <v>0</v>
      </c>
      <c r="M1931" s="6">
        <v>0</v>
      </c>
      <c r="N1931" s="6">
        <v>0</v>
      </c>
      <c r="O1931" s="4">
        <f>SUM(I1931:N1931)</f>
        <v>0</v>
      </c>
      <c r="P1931" s="5">
        <f>SUMIFS('Desenvolvimento diário'!$H:$H,'Desenvolvimento diário'!$Q:$Q,$B1931,'Desenvolvimento diário'!$P:$P,$F1931,'Desenvolvimento diário'!$R:$R,"Sim")</f>
        <v>0</v>
      </c>
      <c r="Q1931" s="5">
        <f>SUMIFS('Desenvolvimento diário'!$H:$H,'Desenvolvimento diário'!$Q:$Q,$B1931,'Desenvolvimento diário'!$P:$P,$F1931,'Desenvolvimento diário'!$R:$R,"Não")</f>
        <v>0</v>
      </c>
      <c r="R1931" s="4">
        <f>SUM(P1931:Q1931)</f>
        <v>0</v>
      </c>
      <c r="S1931" s="4">
        <f>O1931-R1931</f>
        <v>0</v>
      </c>
      <c r="T1931" s="12">
        <f>IFERROR(R1931/O1931,0)</f>
        <v>0</v>
      </c>
      <c r="Y1931" s="2"/>
      <c r="Z1931" s="2"/>
      <c r="AA1931" s="2"/>
      <c r="AB1931" s="2"/>
      <c r="AC1931" s="2"/>
    </row>
    <row r="1932" spans="1:29" ht="10.5" hidden="1">
      <c r="A1932" s="2">
        <f>A1931</f>
        <v>56</v>
      </c>
      <c r="B1932" s="2" t="str">
        <f>VLOOKUP($A1932,Controle!$B$4:$F$68,2,FALSE)</f>
        <v>São Sebastião 5</v>
      </c>
      <c r="C1932" s="2" t="str">
        <f>VLOOKUP($A1932,Controle!$B$4:$F$68,3,FALSE)</f>
        <v>MORI MINAS V</v>
      </c>
      <c r="D1932" s="2" t="str">
        <f>VLOOKUP($A1932,Controle!$B$4:$F$68,4,FALSE)</f>
        <v>NewCo V</v>
      </c>
      <c r="E1932" s="2" t="str">
        <f>VLOOKUP($A1932,Controle!$B$4:$F$68,5,FALSE)</f>
        <v>Weg</v>
      </c>
      <c r="F1932" s="3" t="str">
        <f>F1897</f>
        <v>Full EPC - Contrato</v>
      </c>
      <c r="G1932" s="2" t="str">
        <f>VLOOKUP($A1932,Controle!$B$4:$G$68,6,FALSE)</f>
        <v>Solatio</v>
      </c>
      <c r="H1932" s="6" t="s">
        <v>21</v>
      </c>
      <c r="I1932" s="6">
        <v>14646682.470000001</v>
      </c>
      <c r="J1932" s="6"/>
      <c r="K1932" s="6">
        <v>0</v>
      </c>
      <c r="L1932" s="6">
        <v>0</v>
      </c>
      <c r="M1932" s="6">
        <v>0</v>
      </c>
      <c r="N1932" s="6">
        <v>0</v>
      </c>
      <c r="O1932" s="4">
        <f>SUM(I1932:N1932)</f>
        <v>14646682.470000001</v>
      </c>
      <c r="P1932" s="5">
        <f>SUMIFS('Desenvolvimento diário'!$H:$H,'Desenvolvimento diário'!$Q:$Q,$B1932,'Desenvolvimento diário'!$P:$P,$F1932,'Desenvolvimento diário'!$R:$R,"Sim")</f>
        <v>0</v>
      </c>
      <c r="Q1932" s="5">
        <f>SUMIFS('Desenvolvimento diário'!$H:$H,'Desenvolvimento diário'!$Q:$Q,$B1932,'Desenvolvimento diário'!$P:$P,$F1932,'Desenvolvimento diário'!$R:$R,"Não")</f>
        <v>14646682.469999995</v>
      </c>
      <c r="R1932" s="4">
        <f>SUM(P1932:Q1932)</f>
        <v>14646682.469999995</v>
      </c>
      <c r="S1932" s="4">
        <f>O1932-R1932</f>
        <v>0</v>
      </c>
      <c r="T1932" s="12">
        <f>IFERROR(R1932/O1932,0)</f>
        <v>0.99999999999999967</v>
      </c>
      <c r="Y1932" s="2"/>
      <c r="Z1932" s="2"/>
      <c r="AA1932" s="2"/>
      <c r="AB1932" s="2"/>
      <c r="AC1932" s="2"/>
    </row>
    <row r="1933" spans="1:29" ht="10.5" hidden="1">
      <c r="A1933" s="2">
        <f>A1932</f>
        <v>56</v>
      </c>
      <c r="B1933" s="2" t="str">
        <f>VLOOKUP($A1933,Controle!$B$4:$F$68,2,FALSE)</f>
        <v>São Sebastião 5</v>
      </c>
      <c r="C1933" s="2" t="str">
        <f>VLOOKUP($A1933,Controle!$B$4:$F$68,3,FALSE)</f>
        <v>MORI MINAS V</v>
      </c>
      <c r="D1933" s="2" t="str">
        <f>VLOOKUP($A1933,Controle!$B$4:$F$68,4,FALSE)</f>
        <v>NewCo V</v>
      </c>
      <c r="E1933" s="2" t="str">
        <f>VLOOKUP($A1933,Controle!$B$4:$F$68,5,FALSE)</f>
        <v>Weg</v>
      </c>
      <c r="F1933" s="3" t="str">
        <f>F1898</f>
        <v>Equipamentos Curva A - Outros (Transformadores)</v>
      </c>
      <c r="G1933" s="2" t="str">
        <f>VLOOKUP($A1933,Controle!$B$4:$G$68,6,FALSE)</f>
        <v>Solatio</v>
      </c>
      <c r="H1933" s="6">
        <v>0</v>
      </c>
      <c r="I1933" s="6">
        <v>0</v>
      </c>
      <c r="J1933" s="6">
        <v>0</v>
      </c>
      <c r="K1933" s="6">
        <v>0</v>
      </c>
      <c r="L1933" s="6">
        <v>0</v>
      </c>
      <c r="M1933" s="6">
        <v>0</v>
      </c>
      <c r="N1933" s="6">
        <v>0</v>
      </c>
      <c r="O1933" s="4">
        <f>SUM(I1933:N1933)</f>
        <v>0</v>
      </c>
      <c r="P1933" s="5">
        <f>SUMIFS('Desenvolvimento diário'!$H:$H,'Desenvolvimento diário'!$Q:$Q,$B1933,'Desenvolvimento diário'!$P:$P,$F1933,'Desenvolvimento diário'!$R:$R,"Sim")</f>
        <v>0</v>
      </c>
      <c r="Q1933" s="5">
        <f>SUMIFS('Desenvolvimento diário'!$H:$H,'Desenvolvimento diário'!$Q:$Q,$B1933,'Desenvolvimento diário'!$P:$P,$F1933,'Desenvolvimento diário'!$R:$R,"Não")</f>
        <v>0</v>
      </c>
      <c r="R1933" s="4">
        <f>SUM(P1933:Q1933)</f>
        <v>0</v>
      </c>
      <c r="S1933" s="4">
        <f>O1933-R1933</f>
        <v>0</v>
      </c>
      <c r="T1933" s="12">
        <f>IFERROR(R1933/O1933,0)</f>
        <v>0</v>
      </c>
      <c r="Y1933" s="2"/>
      <c r="Z1933" s="2"/>
      <c r="AA1933" s="2"/>
      <c r="AB1933" s="2"/>
      <c r="AC1933" s="2"/>
    </row>
    <row r="1934" spans="1:29" ht="10.5" hidden="1">
      <c r="A1934" s="2">
        <f>A1933</f>
        <v>56</v>
      </c>
      <c r="B1934" s="2" t="str">
        <f>VLOOKUP($A1934,Controle!$B$4:$F$68,2,FALSE)</f>
        <v>São Sebastião 5</v>
      </c>
      <c r="C1934" s="2" t="str">
        <f>VLOOKUP($A1934,Controle!$B$4:$F$68,3,FALSE)</f>
        <v>MORI MINAS V</v>
      </c>
      <c r="D1934" s="2" t="str">
        <f>VLOOKUP($A1934,Controle!$B$4:$F$68,4,FALSE)</f>
        <v>NewCo V</v>
      </c>
      <c r="E1934" s="2" t="str">
        <f>VLOOKUP($A1934,Controle!$B$4:$F$68,5,FALSE)</f>
        <v>Weg</v>
      </c>
      <c r="F1934" s="3" t="str">
        <f>F1899</f>
        <v>Equipamentos Curva A - Outros (Cabine + Skid)</v>
      </c>
      <c r="G1934" s="2" t="str">
        <f>VLOOKUP($A1934,Controle!$B$4:$G$68,6,FALSE)</f>
        <v>Solatio</v>
      </c>
      <c r="H1934" s="6">
        <v>0</v>
      </c>
      <c r="I1934" s="6">
        <v>0</v>
      </c>
      <c r="J1934" s="6">
        <v>0</v>
      </c>
      <c r="K1934" s="6">
        <v>0</v>
      </c>
      <c r="L1934" s="6">
        <v>0</v>
      </c>
      <c r="M1934" s="6">
        <v>0</v>
      </c>
      <c r="N1934" s="6">
        <v>0</v>
      </c>
      <c r="O1934" s="4">
        <f>SUM(I1934:N1934)</f>
        <v>0</v>
      </c>
      <c r="P1934" s="5">
        <f>SUMIFS('Desenvolvimento diário'!$H:$H,'Desenvolvimento diário'!$Q:$Q,$B1934,'Desenvolvimento diário'!$P:$P,$F1934,'Desenvolvimento diário'!$R:$R,"Sim")</f>
        <v>0</v>
      </c>
      <c r="Q1934" s="5">
        <f>SUMIFS('Desenvolvimento diário'!$H:$H,'Desenvolvimento diário'!$Q:$Q,$B1934,'Desenvolvimento diário'!$P:$P,$F1934,'Desenvolvimento diário'!$R:$R,"Não")</f>
        <v>0</v>
      </c>
      <c r="R1934" s="4">
        <f>SUM(P1934:Q1934)</f>
        <v>0</v>
      </c>
      <c r="S1934" s="4">
        <f>O1934-R1934</f>
        <v>0</v>
      </c>
      <c r="T1934" s="12">
        <f>IFERROR(R1934/O1934,0)</f>
        <v>0</v>
      </c>
      <c r="Y1934" s="2"/>
      <c r="Z1934" s="2"/>
      <c r="AA1934" s="2"/>
      <c r="AB1934" s="2"/>
      <c r="AC1934" s="2"/>
    </row>
    <row r="1935" spans="1:29" ht="10.5" hidden="1">
      <c r="A1935" s="2">
        <f>A1934</f>
        <v>56</v>
      </c>
      <c r="B1935" s="2" t="str">
        <f>VLOOKUP($A1935,Controle!$B$4:$F$68,2,FALSE)</f>
        <v>São Sebastião 5</v>
      </c>
      <c r="C1935" s="2" t="str">
        <f>VLOOKUP($A1935,Controle!$B$4:$F$68,3,FALSE)</f>
        <v>MORI MINAS V</v>
      </c>
      <c r="D1935" s="2" t="str">
        <f>VLOOKUP($A1935,Controle!$B$4:$F$68,4,FALSE)</f>
        <v>NewCo V</v>
      </c>
      <c r="E1935" s="2" t="str">
        <f>VLOOKUP($A1935,Controle!$B$4:$F$68,5,FALSE)</f>
        <v>Weg</v>
      </c>
      <c r="F1935" s="3" t="str">
        <f>F1900</f>
        <v>Equipamentos Curva A - Outros (Cabine + Skid + Transformador)</v>
      </c>
      <c r="G1935" s="2" t="str">
        <f>VLOOKUP($A1935,Controle!$B$4:$G$68,6,FALSE)</f>
        <v>Solatio</v>
      </c>
      <c r="H1935" s="6" t="s">
        <v>144</v>
      </c>
      <c r="I1935" s="6">
        <v>327909.08795000002</v>
      </c>
      <c r="J1935" s="6">
        <v>0</v>
      </c>
      <c r="K1935" s="6">
        <v>0</v>
      </c>
      <c r="L1935" s="6">
        <v>0</v>
      </c>
      <c r="M1935" s="6">
        <v>0</v>
      </c>
      <c r="N1935" s="6">
        <v>0</v>
      </c>
      <c r="O1935" s="4">
        <f>SUM(I1935:N1935)</f>
        <v>327909.08795000002</v>
      </c>
      <c r="P1935" s="5">
        <f>SUMIFS('Desenvolvimento diário'!$H:$H,'Desenvolvimento diário'!$Q:$Q,$B1935,'Desenvolvimento diário'!$P:$P,$F1935,'Desenvolvimento diário'!$R:$R,"Sim")</f>
        <v>0</v>
      </c>
      <c r="Q1935" s="5">
        <f>SUMIFS('Desenvolvimento diário'!$H:$H,'Desenvolvimento diário'!$Q:$Q,$B1935,'Desenvolvimento diário'!$P:$P,$F1935,'Desenvolvimento diário'!$R:$R,"Não")</f>
        <v>327909.08795000002</v>
      </c>
      <c r="R1935" s="4">
        <f>SUM(P1935:Q1935)</f>
        <v>327909.08795000002</v>
      </c>
      <c r="S1935" s="4">
        <f>O1935-R1935</f>
        <v>0</v>
      </c>
      <c r="T1935" s="12">
        <f>IFERROR(R1935/O1935,0)</f>
        <v>1</v>
      </c>
      <c r="Y1935" s="2"/>
      <c r="Z1935" s="2"/>
      <c r="AA1935" s="2"/>
      <c r="AB1935" s="2"/>
      <c r="AC1935" s="2"/>
    </row>
    <row r="1936" spans="1:29" ht="10.5" hidden="1">
      <c r="A1936" s="2">
        <f>A1935</f>
        <v>56</v>
      </c>
      <c r="B1936" s="2" t="str">
        <f>VLOOKUP($A1936,Controle!$B$4:$F$68,2,FALSE)</f>
        <v>São Sebastião 5</v>
      </c>
      <c r="C1936" s="2" t="str">
        <f>VLOOKUP($A1936,Controle!$B$4:$F$68,3,FALSE)</f>
        <v>MORI MINAS V</v>
      </c>
      <c r="D1936" s="2" t="str">
        <f>VLOOKUP($A1936,Controle!$B$4:$F$68,4,FALSE)</f>
        <v>NewCo V</v>
      </c>
      <c r="E1936" s="2" t="str">
        <f>VLOOKUP($A1936,Controle!$B$4:$F$68,5,FALSE)</f>
        <v>Weg</v>
      </c>
      <c r="F1936" s="3" t="str">
        <f>F1901</f>
        <v>Desenvolvimento de projeto - Projetos - (Eng° Proprietario)</v>
      </c>
      <c r="G1936" s="2" t="str">
        <f>VLOOKUP($A1936,Controle!$B$4:$G$68,6,FALSE)</f>
        <v>Solatio</v>
      </c>
      <c r="H1936" s="6" t="s">
        <v>176</v>
      </c>
      <c r="I1936" s="6">
        <f>R1936</f>
        <v>105720.98999999999</v>
      </c>
      <c r="J1936" s="6">
        <v>0</v>
      </c>
      <c r="K1936" s="6">
        <v>0</v>
      </c>
      <c r="L1936" s="6">
        <v>0</v>
      </c>
      <c r="M1936" s="6">
        <v>0</v>
      </c>
      <c r="N1936" s="6">
        <v>0</v>
      </c>
      <c r="O1936" s="4">
        <f>SUM(I1936:N1936)</f>
        <v>105720.98999999999</v>
      </c>
      <c r="P1936" s="5">
        <f>SUMIFS('Desenvolvimento diário'!$H:$H,'Desenvolvimento diário'!$Q:$Q,$B1936,'Desenvolvimento diário'!$P:$P,$F1936,'Desenvolvimento diário'!$R:$R,"Sim")</f>
        <v>0</v>
      </c>
      <c r="Q1936" s="5">
        <f>SUMIFS('Desenvolvimento diário'!$H:$H,'Desenvolvimento diário'!$Q:$Q,$B1936,'Desenvolvimento diário'!$P:$P,$F1936,'Desenvolvimento diário'!$R:$R,"Não")</f>
        <v>105720.98999999999</v>
      </c>
      <c r="R1936" s="4">
        <f>SUM(P1936:Q1936)</f>
        <v>105720.98999999999</v>
      </c>
      <c r="S1936" s="4">
        <f>O1936-R1936</f>
        <v>0</v>
      </c>
      <c r="T1936" s="12">
        <f>IFERROR(R1936/O1936,0)</f>
        <v>1</v>
      </c>
      <c r="Y1936" s="2"/>
      <c r="Z1936" s="2"/>
      <c r="AA1936" s="2"/>
      <c r="AB1936" s="2"/>
      <c r="AC1936" s="2"/>
    </row>
    <row r="1937" spans="1:29" ht="10.5" hidden="1">
      <c r="A1937" s="2">
        <f>A1936</f>
        <v>56</v>
      </c>
      <c r="B1937" s="2" t="str">
        <f>VLOOKUP($A1937,Controle!$B$4:$F$68,2,FALSE)</f>
        <v>São Sebastião 5</v>
      </c>
      <c r="C1937" s="2" t="str">
        <f>VLOOKUP($A1937,Controle!$B$4:$F$68,3,FALSE)</f>
        <v>MORI MINAS V</v>
      </c>
      <c r="D1937" s="2" t="str">
        <f>VLOOKUP($A1937,Controle!$B$4:$F$68,4,FALSE)</f>
        <v>NewCo V</v>
      </c>
      <c r="E1937" s="2" t="str">
        <f>VLOOKUP($A1937,Controle!$B$4:$F$68,5,FALSE)</f>
        <v>Weg</v>
      </c>
      <c r="F1937" s="3" t="str">
        <f>F1902</f>
        <v>Desenvolvimento de projeto - Projetos - Executivos</v>
      </c>
      <c r="G1937" s="2" t="str">
        <f>VLOOKUP($A1937,Controle!$B$4:$G$68,6,FALSE)</f>
        <v>Solatio</v>
      </c>
      <c r="H1937" s="6">
        <v>0</v>
      </c>
      <c r="I1937" s="6">
        <v>0</v>
      </c>
      <c r="J1937" s="6">
        <v>0</v>
      </c>
      <c r="K1937" s="6">
        <v>0</v>
      </c>
      <c r="L1937" s="6">
        <v>0</v>
      </c>
      <c r="M1937" s="6">
        <v>0</v>
      </c>
      <c r="N1937" s="6">
        <v>0</v>
      </c>
      <c r="O1937" s="4">
        <f>SUM(I1937:N1937)</f>
        <v>0</v>
      </c>
      <c r="P1937" s="5">
        <f>SUMIFS('Desenvolvimento diário'!$H:$H,'Desenvolvimento diário'!$Q:$Q,$B1937,'Desenvolvimento diário'!$P:$P,$F1937,'Desenvolvimento diário'!$R:$R,"Sim")</f>
        <v>0</v>
      </c>
      <c r="Q1937" s="5">
        <f>SUMIFS('Desenvolvimento diário'!$H:$H,'Desenvolvimento diário'!$Q:$Q,$B1937,'Desenvolvimento diário'!$P:$P,$F1937,'Desenvolvimento diário'!$R:$R,"Não")</f>
        <v>0</v>
      </c>
      <c r="R1937" s="4">
        <f>SUM(P1937:Q1937)</f>
        <v>0</v>
      </c>
      <c r="S1937" s="4">
        <f>O1937-R1937</f>
        <v>0</v>
      </c>
      <c r="T1937" s="12">
        <f>IFERROR(R1937/O1937,0)</f>
        <v>0</v>
      </c>
      <c r="Y1937" s="2"/>
      <c r="Z1937" s="2"/>
      <c r="AA1937" s="2"/>
      <c r="AB1937" s="2"/>
      <c r="AC1937" s="2"/>
    </row>
    <row r="1938" spans="1:29" ht="10.5" hidden="1">
      <c r="A1938" s="2">
        <f>A1937</f>
        <v>56</v>
      </c>
      <c r="B1938" s="2" t="str">
        <f>VLOOKUP($A1938,Controle!$B$4:$F$68,2,FALSE)</f>
        <v>São Sebastião 5</v>
      </c>
      <c r="C1938" s="2" t="str">
        <f>VLOOKUP($A1938,Controle!$B$4:$F$68,3,FALSE)</f>
        <v>MORI MINAS V</v>
      </c>
      <c r="D1938" s="2" t="str">
        <f>VLOOKUP($A1938,Controle!$B$4:$F$68,4,FALSE)</f>
        <v>NewCo V</v>
      </c>
      <c r="E1938" s="2" t="str">
        <f>VLOOKUP($A1938,Controle!$B$4:$F$68,5,FALSE)</f>
        <v>Weg</v>
      </c>
      <c r="F1938" s="3" t="str">
        <f>F1903</f>
        <v>Desenvolvimento de projeto - Projetos Básica</v>
      </c>
      <c r="G1938" s="2" t="str">
        <f>VLOOKUP($A1938,Controle!$B$4:$G$68,6,FALSE)</f>
        <v>Solatio</v>
      </c>
      <c r="H1938" s="6">
        <v>0</v>
      </c>
      <c r="I1938" s="6">
        <v>0</v>
      </c>
      <c r="J1938" s="6">
        <v>0</v>
      </c>
      <c r="K1938" s="6">
        <v>0</v>
      </c>
      <c r="L1938" s="6">
        <v>0</v>
      </c>
      <c r="M1938" s="6">
        <v>0</v>
      </c>
      <c r="N1938" s="6">
        <v>0</v>
      </c>
      <c r="O1938" s="4">
        <f>SUM(I1938:N1938)</f>
        <v>0</v>
      </c>
      <c r="P1938" s="5">
        <f>SUMIFS('Desenvolvimento diário'!$H:$H,'Desenvolvimento diário'!$Q:$Q,$B1938,'Desenvolvimento diário'!$P:$P,$F1938,'Desenvolvimento diário'!$R:$R,"Sim")</f>
        <v>0</v>
      </c>
      <c r="Q1938" s="5">
        <f>SUMIFS('Desenvolvimento diário'!$H:$H,'Desenvolvimento diário'!$Q:$Q,$B1938,'Desenvolvimento diário'!$P:$P,$F1938,'Desenvolvimento diário'!$R:$R,"Não")</f>
        <v>0</v>
      </c>
      <c r="R1938" s="4">
        <f>SUM(P1938:Q1938)</f>
        <v>0</v>
      </c>
      <c r="S1938" s="4">
        <f>O1938-R1938</f>
        <v>0</v>
      </c>
      <c r="T1938" s="12">
        <f>IFERROR(R1938/O1938,0)</f>
        <v>0</v>
      </c>
      <c r="Y1938" s="2"/>
      <c r="Z1938" s="2"/>
      <c r="AA1938" s="2"/>
      <c r="AB1938" s="2"/>
      <c r="AC1938" s="2"/>
    </row>
    <row r="1939" spans="1:29" ht="10.5" hidden="1">
      <c r="A1939" s="2">
        <f>A1938</f>
        <v>56</v>
      </c>
      <c r="B1939" s="2" t="str">
        <f>VLOOKUP($A1939,Controle!$B$4:$F$68,2,FALSE)</f>
        <v>São Sebastião 5</v>
      </c>
      <c r="C1939" s="2" t="str">
        <f>VLOOKUP($A1939,Controle!$B$4:$F$68,3,FALSE)</f>
        <v>MORI MINAS V</v>
      </c>
      <c r="D1939" s="2" t="str">
        <f>VLOOKUP($A1939,Controle!$B$4:$F$68,4,FALSE)</f>
        <v>NewCo V</v>
      </c>
      <c r="E1939" s="2" t="str">
        <f>VLOOKUP($A1939,Controle!$B$4:$F$68,5,FALSE)</f>
        <v>Weg</v>
      </c>
      <c r="F1939" s="3" t="str">
        <f>F1904</f>
        <v>Desenvolvimento de projeto - Projetos Detalhada</v>
      </c>
      <c r="G1939" s="2" t="str">
        <f>VLOOKUP($A1939,Controle!$B$4:$G$68,6,FALSE)</f>
        <v>Solatio</v>
      </c>
      <c r="H1939" s="6">
        <v>0</v>
      </c>
      <c r="I1939" s="6">
        <v>0</v>
      </c>
      <c r="J1939" s="6">
        <v>0</v>
      </c>
      <c r="K1939" s="6">
        <v>0</v>
      </c>
      <c r="L1939" s="6">
        <v>0</v>
      </c>
      <c r="M1939" s="6">
        <v>0</v>
      </c>
      <c r="N1939" s="6">
        <v>0</v>
      </c>
      <c r="O1939" s="4">
        <f>SUM(I1939:N1939)</f>
        <v>0</v>
      </c>
      <c r="P1939" s="5">
        <f>SUMIFS('Desenvolvimento diário'!$H:$H,'Desenvolvimento diário'!$Q:$Q,$B1939,'Desenvolvimento diário'!$P:$P,$F1939,'Desenvolvimento diário'!$R:$R,"Sim")</f>
        <v>0</v>
      </c>
      <c r="Q1939" s="5">
        <f>SUMIFS('Desenvolvimento diário'!$H:$H,'Desenvolvimento diário'!$Q:$Q,$B1939,'Desenvolvimento diário'!$P:$P,$F1939,'Desenvolvimento diário'!$R:$R,"Não")</f>
        <v>0</v>
      </c>
      <c r="R1939" s="4">
        <f>SUM(P1939:Q1939)</f>
        <v>0</v>
      </c>
      <c r="S1939" s="4">
        <f>O1939-R1939</f>
        <v>0</v>
      </c>
      <c r="T1939" s="12">
        <f>IFERROR(R1939/O1939,0)</f>
        <v>0</v>
      </c>
      <c r="Y1939" s="2"/>
      <c r="Z1939" s="2"/>
      <c r="AA1939" s="2"/>
      <c r="AB1939" s="2"/>
      <c r="AC1939" s="2"/>
    </row>
    <row r="1940" spans="1:29" ht="10.5" hidden="1">
      <c r="A1940" s="2">
        <f>A1939</f>
        <v>56</v>
      </c>
      <c r="B1940" s="2" t="str">
        <f>VLOOKUP($A1940,Controle!$B$4:$F$68,2,FALSE)</f>
        <v>São Sebastião 5</v>
      </c>
      <c r="C1940" s="2" t="str">
        <f>VLOOKUP($A1940,Controle!$B$4:$F$68,3,FALSE)</f>
        <v>MORI MINAS V</v>
      </c>
      <c r="D1940" s="2" t="str">
        <f>VLOOKUP($A1940,Controle!$B$4:$F$68,4,FALSE)</f>
        <v>NewCo V</v>
      </c>
      <c r="E1940" s="2" t="str">
        <f>VLOOKUP($A1940,Controle!$B$4:$F$68,5,FALSE)</f>
        <v>Weg</v>
      </c>
      <c r="F1940" s="3" t="str">
        <f>F1905</f>
        <v>Desenvolvimento de projeto - Ambiental / Outros</v>
      </c>
      <c r="G1940" s="2" t="str">
        <f>VLOOKUP($A1940,Controle!$B$4:$G$68,6,FALSE)</f>
        <v>Solatio</v>
      </c>
      <c r="H1940" s="6" t="s">
        <v>148</v>
      </c>
      <c r="I1940" s="6">
        <f>R1940</f>
        <v>90684.94</v>
      </c>
      <c r="J1940" s="6">
        <v>0</v>
      </c>
      <c r="K1940" s="6">
        <v>0</v>
      </c>
      <c r="L1940" s="6">
        <v>0</v>
      </c>
      <c r="M1940" s="6">
        <v>0</v>
      </c>
      <c r="N1940" s="6">
        <v>0</v>
      </c>
      <c r="O1940" s="4">
        <f>SUM(I1940:N1940)</f>
        <v>90684.94</v>
      </c>
      <c r="P1940" s="5">
        <f>SUMIFS('Desenvolvimento diário'!$H:$H,'Desenvolvimento diário'!$Q:$Q,$B1940,'Desenvolvimento diário'!$P:$P,$F1940,'Desenvolvimento diário'!$R:$R,"Sim")</f>
        <v>0</v>
      </c>
      <c r="Q1940" s="5">
        <f>SUMIFS('Desenvolvimento diário'!$H:$H,'Desenvolvimento diário'!$Q:$Q,$B1940,'Desenvolvimento diário'!$P:$P,$F1940,'Desenvolvimento diário'!$R:$R,"Não")</f>
        <v>90684.94</v>
      </c>
      <c r="R1940" s="4">
        <f>SUM(P1940:Q1940)</f>
        <v>90684.94</v>
      </c>
      <c r="S1940" s="4">
        <f>O1940-R1940</f>
        <v>0</v>
      </c>
      <c r="T1940" s="12">
        <f>IFERROR(R1940/O1940,0)</f>
        <v>1</v>
      </c>
      <c r="Y1940" s="2"/>
      <c r="Z1940" s="2"/>
      <c r="AA1940" s="2"/>
      <c r="AB1940" s="2"/>
      <c r="AC1940" s="2"/>
    </row>
    <row r="1941" spans="1:29" hidden="1">
      <c r="A1941" s="2">
        <f>A1940</f>
        <v>56</v>
      </c>
      <c r="B1941" s="2" t="str">
        <f>VLOOKUP($A1941,Controle!$B$4:$F$68,2,FALSE)</f>
        <v>São Sebastião 5</v>
      </c>
      <c r="C1941" s="2" t="str">
        <f>VLOOKUP($A1941,Controle!$B$4:$F$68,3,FALSE)</f>
        <v>MORI MINAS V</v>
      </c>
      <c r="D1941" s="2" t="str">
        <f>VLOOKUP($A1941,Controle!$B$4:$F$68,4,FALSE)</f>
        <v>NewCo V</v>
      </c>
      <c r="E1941" s="2" t="str">
        <f>VLOOKUP($A1941,Controle!$B$4:$F$68,5,FALSE)</f>
        <v>Weg</v>
      </c>
      <c r="F1941" s="3" t="str">
        <f>F1906</f>
        <v>Desenvolvimento de projeto - Coordenograma</v>
      </c>
      <c r="G1941" s="2" t="str">
        <f>VLOOKUP($A1941,Controle!$B$4:$G$68,6,FALSE)</f>
        <v>Solatio</v>
      </c>
      <c r="H1941" s="31" t="s">
        <v>149</v>
      </c>
      <c r="I1941" s="31">
        <v>6206.9</v>
      </c>
      <c r="J1941" s="31">
        <v>2281.25</v>
      </c>
      <c r="K1941" s="31">
        <v>0</v>
      </c>
      <c r="L1941" s="6">
        <v>0</v>
      </c>
      <c r="M1941" s="6">
        <v>0</v>
      </c>
      <c r="N1941" s="6">
        <v>0</v>
      </c>
      <c r="O1941" s="4">
        <f>SUM(I1941:N1941)</f>
        <v>8488.15</v>
      </c>
      <c r="P1941" s="5">
        <f>SUMIFS('Desenvolvimento diário'!$H:$H,'Desenvolvimento diário'!$Q:$Q,$B1941,'Desenvolvimento diário'!$P:$P,$F1941,'Desenvolvimento diário'!$R:$R,"Sim")</f>
        <v>0</v>
      </c>
      <c r="Q1941" s="5">
        <f>SUMIFS('Desenvolvimento diário'!$H:$H,'Desenvolvimento diário'!$Q:$Q,$B1941,'Desenvolvimento diário'!$P:$P,$F1941,'Desenvolvimento diário'!$R:$R,"Não")</f>
        <v>8488.15</v>
      </c>
      <c r="R1941" s="4">
        <f>SUM(P1941:Q1941)</f>
        <v>8488.15</v>
      </c>
      <c r="S1941" s="4">
        <f>O1941-R1941</f>
        <v>0</v>
      </c>
      <c r="T1941" s="12">
        <f>IFERROR(R1941/O1941,0)</f>
        <v>1</v>
      </c>
      <c r="Y1941" s="2"/>
      <c r="Z1941" s="2"/>
      <c r="AA1941" s="2"/>
      <c r="AB1941" s="2"/>
      <c r="AC1941" s="2"/>
    </row>
    <row r="1942" spans="1:29" ht="10.5" hidden="1">
      <c r="A1942" s="2">
        <f>A1941</f>
        <v>56</v>
      </c>
      <c r="B1942" s="2" t="str">
        <f>VLOOKUP($A1942,Controle!$B$4:$F$68,2,FALSE)</f>
        <v>São Sebastião 5</v>
      </c>
      <c r="C1942" s="2" t="str">
        <f>VLOOKUP($A1942,Controle!$B$4:$F$68,3,FALSE)</f>
        <v>MORI MINAS V</v>
      </c>
      <c r="D1942" s="2" t="str">
        <f>VLOOKUP($A1942,Controle!$B$4:$F$68,4,FALSE)</f>
        <v>NewCo V</v>
      </c>
      <c r="E1942" s="2" t="str">
        <f>VLOOKUP($A1942,Controle!$B$4:$F$68,5,FALSE)</f>
        <v>Weg</v>
      </c>
      <c r="F1942" s="3" t="str">
        <f>F1907</f>
        <v>Sistemas de Monitoramento - Supervisório</v>
      </c>
      <c r="G1942" s="2" t="str">
        <f>VLOOKUP($A1942,Controle!$B$4:$G$68,6,FALSE)</f>
        <v>Solatio</v>
      </c>
      <c r="H1942" s="6" t="s">
        <v>150</v>
      </c>
      <c r="I1942" s="6">
        <v>136154.96</v>
      </c>
      <c r="J1942" s="6"/>
      <c r="K1942" s="6">
        <v>0</v>
      </c>
      <c r="L1942" s="6">
        <v>0</v>
      </c>
      <c r="M1942" s="6">
        <v>0</v>
      </c>
      <c r="N1942" s="6">
        <v>0</v>
      </c>
      <c r="O1942" s="4">
        <f>SUM(I1942:N1942)</f>
        <v>136154.96</v>
      </c>
      <c r="P1942" s="5">
        <f>SUMIFS('Desenvolvimento diário'!$H:$H,'Desenvolvimento diário'!$Q:$Q,$B1942,'Desenvolvimento diário'!$P:$P,$F1942,'Desenvolvimento diário'!$R:$R,"Sim")</f>
        <v>0</v>
      </c>
      <c r="Q1942" s="5">
        <f>SUMIFS('Desenvolvimento diário'!$H:$H,'Desenvolvimento diário'!$Q:$Q,$B1942,'Desenvolvimento diário'!$P:$P,$F1942,'Desenvolvimento diário'!$R:$R,"Não")</f>
        <v>136154.96000000002</v>
      </c>
      <c r="R1942" s="4">
        <f>SUM(P1942:Q1942)</f>
        <v>136154.96000000002</v>
      </c>
      <c r="S1942" s="4">
        <f>O1942-R1942</f>
        <v>0</v>
      </c>
      <c r="T1942" s="12">
        <f>IFERROR(R1942/O1942,0)</f>
        <v>1.0000000000000002</v>
      </c>
      <c r="Y1942" s="2"/>
      <c r="Z1942" s="2"/>
      <c r="AA1942" s="2"/>
      <c r="AB1942" s="2"/>
      <c r="AC1942" s="2"/>
    </row>
    <row r="1943" spans="1:29" ht="10.5" hidden="1">
      <c r="A1943" s="2">
        <f>A1942</f>
        <v>56</v>
      </c>
      <c r="B1943" s="2" t="str">
        <f>VLOOKUP($A1943,Controle!$B$4:$F$68,2,FALSE)</f>
        <v>São Sebastião 5</v>
      </c>
      <c r="C1943" s="2" t="str">
        <f>VLOOKUP($A1943,Controle!$B$4:$F$68,3,FALSE)</f>
        <v>MORI MINAS V</v>
      </c>
      <c r="D1943" s="2" t="str">
        <f>VLOOKUP($A1943,Controle!$B$4:$F$68,4,FALSE)</f>
        <v>NewCo V</v>
      </c>
      <c r="E1943" s="2" t="str">
        <f>VLOOKUP($A1943,Controle!$B$4:$F$68,5,FALSE)</f>
        <v>Weg</v>
      </c>
      <c r="F1943" s="3" t="str">
        <f>F1908</f>
        <v>Sistemas de Monitoramento - Estações Solarimétricas</v>
      </c>
      <c r="G1943" s="2" t="str">
        <f>VLOOKUP($A1943,Controle!$B$4:$G$68,6,FALSE)</f>
        <v>Solatio</v>
      </c>
      <c r="H1943" s="6">
        <v>0</v>
      </c>
      <c r="I1943" s="6">
        <v>0</v>
      </c>
      <c r="J1943" s="6">
        <v>0</v>
      </c>
      <c r="K1943" s="6">
        <v>0</v>
      </c>
      <c r="L1943" s="6">
        <v>0</v>
      </c>
      <c r="M1943" s="6">
        <v>0</v>
      </c>
      <c r="N1943" s="6">
        <v>0</v>
      </c>
      <c r="O1943" s="4">
        <f>SUM(I1943:N1943)</f>
        <v>0</v>
      </c>
      <c r="P1943" s="5">
        <f>SUMIFS('Desenvolvimento diário'!$H:$H,'Desenvolvimento diário'!$Q:$Q,$B1943,'Desenvolvimento diário'!$P:$P,$F1943,'Desenvolvimento diário'!$R:$R,"Sim")</f>
        <v>0</v>
      </c>
      <c r="Q1943" s="5">
        <f>SUMIFS('Desenvolvimento diário'!$H:$H,'Desenvolvimento diário'!$Q:$Q,$B1943,'Desenvolvimento diário'!$P:$P,$F1943,'Desenvolvimento diário'!$R:$R,"Não")</f>
        <v>0</v>
      </c>
      <c r="R1943" s="4">
        <f>SUM(P1943:Q1943)</f>
        <v>0</v>
      </c>
      <c r="S1943" s="4">
        <f>O1943-R1943</f>
        <v>0</v>
      </c>
      <c r="T1943" s="12">
        <f>IFERROR(R1943/O1943,0)</f>
        <v>0</v>
      </c>
      <c r="Y1943" s="2"/>
      <c r="Z1943" s="2"/>
      <c r="AA1943" s="2"/>
      <c r="AB1943" s="2"/>
      <c r="AC1943" s="2"/>
    </row>
    <row r="1944" spans="1:29" hidden="1">
      <c r="A1944" s="2">
        <f>A1943</f>
        <v>56</v>
      </c>
      <c r="B1944" s="2" t="str">
        <f>VLOOKUP($A1944,Controle!$B$4:$F$68,2,FALSE)</f>
        <v>São Sebastião 5</v>
      </c>
      <c r="C1944" s="2" t="str">
        <f>VLOOKUP($A1944,Controle!$B$4:$F$68,3,FALSE)</f>
        <v>MORI MINAS V</v>
      </c>
      <c r="D1944" s="2" t="str">
        <f>VLOOKUP($A1944,Controle!$B$4:$F$68,4,FALSE)</f>
        <v>NewCo V</v>
      </c>
      <c r="E1944" s="2" t="str">
        <f>VLOOKUP($A1944,Controle!$B$4:$F$68,5,FALSE)</f>
        <v>Weg</v>
      </c>
      <c r="F1944" s="3" t="str">
        <f>F1909</f>
        <v>Sistemas de Monitoramento - CFTV</v>
      </c>
      <c r="G1944" s="2" t="str">
        <f>VLOOKUP($A1944,Controle!$B$4:$G$68,6,FALSE)</f>
        <v>Solatio</v>
      </c>
      <c r="H1944" s="31" t="s">
        <v>152</v>
      </c>
      <c r="I1944" s="6">
        <v>263261.44</v>
      </c>
      <c r="J1944" s="6">
        <v>0</v>
      </c>
      <c r="K1944" s="6">
        <v>0</v>
      </c>
      <c r="L1944" s="6">
        <v>0</v>
      </c>
      <c r="M1944" s="6">
        <v>0</v>
      </c>
      <c r="N1944" s="6">
        <v>0</v>
      </c>
      <c r="O1944" s="4">
        <f>SUM(I1944:N1944)</f>
        <v>263261.44</v>
      </c>
      <c r="P1944" s="5">
        <f>SUMIFS('Desenvolvimento diário'!$H:$H,'Desenvolvimento diário'!$Q:$Q,$B1944,'Desenvolvimento diário'!$P:$P,$F1944,'Desenvolvimento diário'!$R:$R,"Sim")</f>
        <v>0</v>
      </c>
      <c r="Q1944" s="5">
        <f>SUMIFS('Desenvolvimento diário'!$H:$H,'Desenvolvimento diário'!$Q:$Q,$B1944,'Desenvolvimento diário'!$P:$P,$F1944,'Desenvolvimento diário'!$R:$R,"Não")</f>
        <v>263261.44</v>
      </c>
      <c r="R1944" s="4">
        <f>SUM(P1944:Q1944)</f>
        <v>263261.44</v>
      </c>
      <c r="S1944" s="4">
        <f>O1944-R1944</f>
        <v>0</v>
      </c>
      <c r="T1944" s="12">
        <f>IFERROR(R1944/O1944,0)</f>
        <v>1</v>
      </c>
      <c r="Y1944" s="2"/>
      <c r="Z1944" s="2"/>
      <c r="AA1944" s="2"/>
      <c r="AB1944" s="2"/>
      <c r="AC1944" s="2"/>
    </row>
    <row r="1945" spans="1:29" ht="10.5" hidden="1">
      <c r="A1945" s="2">
        <f>A1944</f>
        <v>56</v>
      </c>
      <c r="B1945" s="2" t="str">
        <f>VLOOKUP($A1945,Controle!$B$4:$F$68,2,FALSE)</f>
        <v>São Sebastião 5</v>
      </c>
      <c r="C1945" s="2" t="str">
        <f>VLOOKUP($A1945,Controle!$B$4:$F$68,3,FALSE)</f>
        <v>MORI MINAS V</v>
      </c>
      <c r="D1945" s="2" t="str">
        <f>VLOOKUP($A1945,Controle!$B$4:$F$68,4,FALSE)</f>
        <v>NewCo V</v>
      </c>
      <c r="E1945" s="2" t="str">
        <f>VLOOKUP($A1945,Controle!$B$4:$F$68,5,FALSE)</f>
        <v>Weg</v>
      </c>
      <c r="F1945" s="3" t="str">
        <f>F1910</f>
        <v>Serviços Auxiliares - Drenagem</v>
      </c>
      <c r="G1945" s="2" t="str">
        <f>VLOOKUP($A1945,Controle!$B$4:$G$68,6,FALSE)</f>
        <v>Solatio</v>
      </c>
      <c r="H1945" s="6" t="s">
        <v>183</v>
      </c>
      <c r="I1945" s="6">
        <v>406714.86</v>
      </c>
      <c r="J1945" s="6">
        <v>0</v>
      </c>
      <c r="K1945" s="6">
        <v>0</v>
      </c>
      <c r="L1945" s="6">
        <v>0</v>
      </c>
      <c r="M1945" s="6">
        <v>0</v>
      </c>
      <c r="N1945" s="6">
        <v>0</v>
      </c>
      <c r="O1945" s="4">
        <f>SUM(I1945:N1945)</f>
        <v>406714.86</v>
      </c>
      <c r="P1945" s="5">
        <f>SUMIFS('Desenvolvimento diário'!$H:$H,'Desenvolvimento diário'!$Q:$Q,$B1945,'Desenvolvimento diário'!$P:$P,$F1945,'Desenvolvimento diário'!$R:$R,"Sim")</f>
        <v>0</v>
      </c>
      <c r="Q1945" s="5">
        <f>SUMIFS('Desenvolvimento diário'!$H:$H,'Desenvolvimento diário'!$Q:$Q,$B1945,'Desenvolvimento diário'!$P:$P,$F1945,'Desenvolvimento diário'!$R:$R,"Não")</f>
        <v>406714.86</v>
      </c>
      <c r="R1945" s="4">
        <f>SUM(P1945:Q1945)</f>
        <v>406714.86</v>
      </c>
      <c r="S1945" s="4">
        <f>O1945-R1945</f>
        <v>0</v>
      </c>
      <c r="T1945" s="12">
        <f>IFERROR(R1945/O1945,0)</f>
        <v>1</v>
      </c>
      <c r="Y1945" s="2"/>
      <c r="Z1945" s="2"/>
      <c r="AA1945" s="2"/>
      <c r="AB1945" s="2"/>
      <c r="AC1945" s="2"/>
    </row>
    <row r="1946" spans="1:29" ht="10.5" hidden="1">
      <c r="A1946" s="2">
        <f>A1945</f>
        <v>56</v>
      </c>
      <c r="B1946" s="2" t="str">
        <f>VLOOKUP($A1946,Controle!$B$4:$F$68,2,FALSE)</f>
        <v>São Sebastião 5</v>
      </c>
      <c r="C1946" s="2" t="str">
        <f>VLOOKUP($A1946,Controle!$B$4:$F$68,3,FALSE)</f>
        <v>MORI MINAS V</v>
      </c>
      <c r="D1946" s="2" t="str">
        <f>VLOOKUP($A1946,Controle!$B$4:$F$68,4,FALSE)</f>
        <v>NewCo V</v>
      </c>
      <c r="E1946" s="2" t="str">
        <f>VLOOKUP($A1946,Controle!$B$4:$F$68,5,FALSE)</f>
        <v>Weg</v>
      </c>
      <c r="F1946" s="3" t="str">
        <f>F1911</f>
        <v>Serviços Auxiliares - Terraplanagem</v>
      </c>
      <c r="G1946" s="2" t="str">
        <f>VLOOKUP($A1946,Controle!$B$4:$G$68,6,FALSE)</f>
        <v>Solatio</v>
      </c>
      <c r="H1946" s="6" t="s">
        <v>154</v>
      </c>
      <c r="I1946" s="6">
        <f>530344.93+(0.05)</f>
        <v>530344.9800000001</v>
      </c>
      <c r="J1946" s="6">
        <v>0</v>
      </c>
      <c r="K1946" s="6">
        <v>0</v>
      </c>
      <c r="L1946" s="6">
        <v>0</v>
      </c>
      <c r="M1946" s="6">
        <v>0</v>
      </c>
      <c r="N1946" s="6">
        <v>0</v>
      </c>
      <c r="O1946" s="4">
        <f>SUM(I1946:N1946)</f>
        <v>530344.9800000001</v>
      </c>
      <c r="P1946" s="5">
        <f>SUMIFS('Desenvolvimento diário'!$H:$H,'Desenvolvimento diário'!$Q:$Q,$B1946,'Desenvolvimento diário'!$P:$P,$F1946,'Desenvolvimento diário'!$R:$R,"Sim")</f>
        <v>0</v>
      </c>
      <c r="Q1946" s="5">
        <f>SUMIFS('Desenvolvimento diário'!$H:$H,'Desenvolvimento diário'!$Q:$Q,$B1946,'Desenvolvimento diário'!$P:$P,$F1946,'Desenvolvimento diário'!$R:$R,"Não")</f>
        <v>530344.98</v>
      </c>
      <c r="R1946" s="4">
        <f>SUM(P1946:Q1946)</f>
        <v>530344.98</v>
      </c>
      <c r="S1946" s="43">
        <f>O1946-R1946</f>
        <v>0</v>
      </c>
      <c r="T1946" s="12">
        <f>IFERROR(R1946/O1946,0)</f>
        <v>0.99999999999999978</v>
      </c>
      <c r="Y1946" s="2"/>
      <c r="Z1946" s="2"/>
      <c r="AA1946" s="2"/>
      <c r="AB1946" s="2"/>
      <c r="AC1946" s="2"/>
    </row>
    <row r="1947" spans="1:29" ht="10.5" hidden="1">
      <c r="A1947" s="2">
        <f>A1946</f>
        <v>56</v>
      </c>
      <c r="B1947" s="2" t="str">
        <f>VLOOKUP($A1947,Controle!$B$4:$F$68,2,FALSE)</f>
        <v>São Sebastião 5</v>
      </c>
      <c r="C1947" s="2" t="str">
        <f>VLOOKUP($A1947,Controle!$B$4:$F$68,3,FALSE)</f>
        <v>MORI MINAS V</v>
      </c>
      <c r="D1947" s="2" t="str">
        <f>VLOOKUP($A1947,Controle!$B$4:$F$68,4,FALSE)</f>
        <v>NewCo V</v>
      </c>
      <c r="E1947" s="2" t="str">
        <f>VLOOKUP($A1947,Controle!$B$4:$F$68,5,FALSE)</f>
        <v>Weg</v>
      </c>
      <c r="F1947" s="3" t="str">
        <f>F1912</f>
        <v>Serviços Auxiliares - Supressão Vegetal</v>
      </c>
      <c r="G1947" s="2" t="str">
        <f>VLOOKUP($A1947,Controle!$B$4:$G$68,6,FALSE)</f>
        <v>Solatio</v>
      </c>
      <c r="H1947" s="6" t="s">
        <v>155</v>
      </c>
      <c r="I1947" s="6">
        <v>112446.92</v>
      </c>
      <c r="J1947" s="6">
        <v>32187</v>
      </c>
      <c r="K1947" s="6">
        <v>15585</v>
      </c>
      <c r="L1947" s="6">
        <v>15500.43</v>
      </c>
      <c r="M1947" s="6">
        <v>2764.75</v>
      </c>
      <c r="N1947" s="6">
        <v>0</v>
      </c>
      <c r="O1947" s="43">
        <f>SUM(I1947:N1947)</f>
        <v>178484.09999999998</v>
      </c>
      <c r="P1947" s="5">
        <f>SUMIFS('Desenvolvimento diário'!$H:$H,'Desenvolvimento diário'!$Q:$Q,$B1947,'Desenvolvimento diário'!$P:$P,$F1947,'Desenvolvimento diário'!$R:$R,"Sim")</f>
        <v>0</v>
      </c>
      <c r="Q1947" s="5">
        <f>SUMIFS('Desenvolvimento diário'!$H:$H,'Desenvolvimento diário'!$Q:$Q,$B1947,'Desenvolvimento diário'!$P:$P,$F1947,'Desenvolvimento diário'!$R:$R,"Não")</f>
        <v>178484.09999999998</v>
      </c>
      <c r="R1947" s="4">
        <f>SUM(P1947:Q1947)</f>
        <v>178484.09999999998</v>
      </c>
      <c r="S1947" s="4">
        <f>O1947-R1947</f>
        <v>0</v>
      </c>
      <c r="T1947" s="12">
        <f>IFERROR(R1947/O1947,0)</f>
        <v>1</v>
      </c>
      <c r="Y1947" s="2"/>
      <c r="Z1947" s="2"/>
      <c r="AA1947" s="2"/>
      <c r="AB1947" s="2"/>
      <c r="AC1947" s="2"/>
    </row>
    <row r="1948" spans="1:29" ht="10.5" hidden="1">
      <c r="A1948" s="2">
        <f>A1947</f>
        <v>56</v>
      </c>
      <c r="B1948" s="2" t="str">
        <f>VLOOKUP($A1948,Controle!$B$4:$F$68,2,FALSE)</f>
        <v>São Sebastião 5</v>
      </c>
      <c r="C1948" s="2" t="str">
        <f>VLOOKUP($A1948,Controle!$B$4:$F$68,3,FALSE)</f>
        <v>MORI MINAS V</v>
      </c>
      <c r="D1948" s="2" t="str">
        <f>VLOOKUP($A1948,Controle!$B$4:$F$68,4,FALSE)</f>
        <v>NewCo V</v>
      </c>
      <c r="E1948" s="2" t="str">
        <f>VLOOKUP($A1948,Controle!$B$4:$F$68,5,FALSE)</f>
        <v>Weg</v>
      </c>
      <c r="F1948" s="3" t="str">
        <f>F1913</f>
        <v>RDR-Rede de Distribuição Rural</v>
      </c>
      <c r="G1948" s="2" t="str">
        <f>VLOOKUP($A1948,Controle!$B$4:$G$68,6,FALSE)</f>
        <v>Solatio</v>
      </c>
      <c r="H1948" s="6">
        <v>0</v>
      </c>
      <c r="I1948" s="6">
        <v>0</v>
      </c>
      <c r="J1948" s="6">
        <v>0</v>
      </c>
      <c r="K1948" s="6">
        <v>0</v>
      </c>
      <c r="L1948" s="6">
        <v>0</v>
      </c>
      <c r="M1948" s="6">
        <v>0</v>
      </c>
      <c r="N1948" s="6">
        <v>0</v>
      </c>
      <c r="O1948" s="4">
        <f>SUM(I1948:N1948)</f>
        <v>0</v>
      </c>
      <c r="P1948" s="5">
        <f>SUMIFS('Desenvolvimento diário'!$H:$H,'Desenvolvimento diário'!$Q:$Q,$B1948,'Desenvolvimento diário'!$P:$P,$F1948,'Desenvolvimento diário'!$R:$R,"Sim")</f>
        <v>0</v>
      </c>
      <c r="Q1948" s="5">
        <f>SUMIFS('Desenvolvimento diário'!$H:$H,'Desenvolvimento diário'!$Q:$Q,$B1948,'Desenvolvimento diário'!$P:$P,$F1948,'Desenvolvimento diário'!$R:$R,"Não")</f>
        <v>0</v>
      </c>
      <c r="R1948" s="4">
        <f>SUM(P1948:Q1948)</f>
        <v>0</v>
      </c>
      <c r="S1948" s="4">
        <f>O1948-R1948</f>
        <v>0</v>
      </c>
      <c r="T1948" s="12">
        <f>IFERROR(R1948/O1948,0)</f>
        <v>0</v>
      </c>
      <c r="Y1948" s="2"/>
      <c r="Z1948" s="2"/>
      <c r="AA1948" s="2"/>
      <c r="AB1948" s="2"/>
      <c r="AC1948" s="2"/>
    </row>
    <row r="1949" spans="1:29" ht="10.5" hidden="1">
      <c r="A1949" s="2">
        <f>A1948</f>
        <v>56</v>
      </c>
      <c r="B1949" s="2" t="str">
        <f>VLOOKUP($A1949,Controle!$B$4:$F$68,2,FALSE)</f>
        <v>São Sebastião 5</v>
      </c>
      <c r="C1949" s="2" t="str">
        <f>VLOOKUP($A1949,Controle!$B$4:$F$68,3,FALSE)</f>
        <v>MORI MINAS V</v>
      </c>
      <c r="D1949" s="2" t="str">
        <f>VLOOKUP($A1949,Controle!$B$4:$F$68,4,FALSE)</f>
        <v>NewCo V</v>
      </c>
      <c r="E1949" s="2" t="str">
        <f>VLOOKUP($A1949,Controle!$B$4:$F$68,5,FALSE)</f>
        <v>Weg</v>
      </c>
      <c r="F1949" s="3" t="str">
        <f>F1914</f>
        <v>Escopo COMERC</v>
      </c>
      <c r="G1949" s="2" t="str">
        <f>VLOOKUP($A1949,Controle!$B$4:$G$68,6,FALSE)</f>
        <v>Solatio</v>
      </c>
      <c r="H1949" s="6">
        <v>0</v>
      </c>
      <c r="I1949" s="6">
        <v>73984.58</v>
      </c>
      <c r="J1949" s="29">
        <v>13000</v>
      </c>
      <c r="K1949" s="29"/>
      <c r="L1949" s="6">
        <v>0</v>
      </c>
      <c r="M1949" s="6">
        <v>0</v>
      </c>
      <c r="N1949" s="6">
        <v>0</v>
      </c>
      <c r="O1949" s="4">
        <f>SUM(I1949:N1949)</f>
        <v>86984.58</v>
      </c>
      <c r="P1949" s="5">
        <f>SUMIFS('Desenvolvimento diário'!$H:$H,'Desenvolvimento diário'!$Q:$Q,$B1949,'Desenvolvimento diário'!$P:$P,$F1949,'Desenvolvimento diário'!$R:$R,"Sim")</f>
        <v>0</v>
      </c>
      <c r="Q1949" s="5">
        <f>SUMIFS('Desenvolvimento diário'!$H:$H,'Desenvolvimento diário'!$Q:$Q,$B1949,'Desenvolvimento diário'!$P:$P,$F1949,'Desenvolvimento diário'!$R:$R,"Não")</f>
        <v>73984.58</v>
      </c>
      <c r="R1949" s="4">
        <f>SUM(P1949:Q1949)</f>
        <v>73984.58</v>
      </c>
      <c r="S1949" s="1010">
        <f>O1949-R1949</f>
        <v>13000</v>
      </c>
      <c r="T1949" s="12">
        <f>IFERROR(R1949/O1949,0)</f>
        <v>0.85054822360468951</v>
      </c>
      <c r="U1949" s="1011" t="s">
        <v>166</v>
      </c>
      <c r="V1949" s="1011" t="s">
        <v>167</v>
      </c>
      <c r="Y1949" s="2"/>
      <c r="Z1949" s="2"/>
      <c r="AA1949" s="2"/>
      <c r="AB1949" s="2"/>
      <c r="AC1949" s="2"/>
    </row>
    <row r="1950" spans="1:29" ht="10.5" hidden="1">
      <c r="A1950" s="2">
        <f>A1949</f>
        <v>56</v>
      </c>
      <c r="B1950" s="2" t="str">
        <f>VLOOKUP($A1950,Controle!$B$4:$F$68,2,FALSE)</f>
        <v>São Sebastião 5</v>
      </c>
      <c r="C1950" s="2" t="str">
        <f>VLOOKUP($A1950,Controle!$B$4:$F$68,3,FALSE)</f>
        <v>MORI MINAS V</v>
      </c>
      <c r="D1950" s="2" t="str">
        <f>VLOOKUP($A1950,Controle!$B$4:$F$68,4,FALSE)</f>
        <v>NewCo V</v>
      </c>
      <c r="E1950" s="2" t="str">
        <f>VLOOKUP($A1950,Controle!$B$4:$F$68,5,FALSE)</f>
        <v>Weg</v>
      </c>
      <c r="F1950" s="3" t="str">
        <f>F1915</f>
        <v>Escopo COMERC - Segurança</v>
      </c>
      <c r="G1950" s="2" t="str">
        <f>VLOOKUP($A1950,Controle!$B$4:$G$68,6,FALSE)</f>
        <v>Solatio</v>
      </c>
      <c r="H1950" s="6">
        <v>0</v>
      </c>
      <c r="I1950" s="6">
        <f>R1950</f>
        <v>133266.42000000001</v>
      </c>
      <c r="J1950" s="6">
        <v>0</v>
      </c>
      <c r="K1950" s="6">
        <v>0</v>
      </c>
      <c r="L1950" s="6">
        <v>0</v>
      </c>
      <c r="M1950" s="6">
        <v>0</v>
      </c>
      <c r="N1950" s="6">
        <v>0</v>
      </c>
      <c r="O1950" s="4">
        <f>SUM(I1950:N1950)</f>
        <v>133266.42000000001</v>
      </c>
      <c r="P1950" s="5">
        <f>SUMIFS('Desenvolvimento diário'!$H:$H,'Desenvolvimento diário'!$Q:$Q,$B1950,'Desenvolvimento diário'!$P:$P,$F1950,'Desenvolvimento diário'!$R:$R,"Sim")</f>
        <v>0</v>
      </c>
      <c r="Q1950" s="5">
        <f>SUMIFS('Desenvolvimento diário'!$H:$H,'Desenvolvimento diário'!$Q:$Q,$B1950,'Desenvolvimento diário'!$P:$P,$F1950,'Desenvolvimento diário'!$R:$R,"Não")</f>
        <v>133266.42000000001</v>
      </c>
      <c r="R1950" s="4">
        <f>SUM(P1950:Q1950)</f>
        <v>133266.42000000001</v>
      </c>
      <c r="S1950" s="4">
        <f>O1950-R1950</f>
        <v>0</v>
      </c>
      <c r="T1950" s="12">
        <f>IFERROR(R1950/O1950,0)</f>
        <v>1</v>
      </c>
      <c r="Y1950" s="2"/>
      <c r="Z1950" s="2"/>
      <c r="AA1950" s="2"/>
      <c r="AB1950" s="2"/>
      <c r="AC1950" s="2"/>
    </row>
    <row r="1951" spans="1:29" ht="10.5" hidden="1">
      <c r="A1951" s="2">
        <f>A1950</f>
        <v>56</v>
      </c>
      <c r="B1951" s="2" t="str">
        <f>VLOOKUP($A1951,Controle!$B$4:$F$68,2,FALSE)</f>
        <v>São Sebastião 5</v>
      </c>
      <c r="C1951" s="2" t="str">
        <f>VLOOKUP($A1951,Controle!$B$4:$F$68,3,FALSE)</f>
        <v>MORI MINAS V</v>
      </c>
      <c r="D1951" s="2" t="str">
        <f>VLOOKUP($A1951,Controle!$B$4:$F$68,4,FALSE)</f>
        <v>NewCo V</v>
      </c>
      <c r="E1951" s="2" t="str">
        <f>VLOOKUP($A1951,Controle!$B$4:$F$68,5,FALSE)</f>
        <v>Weg</v>
      </c>
      <c r="F1951" s="3" t="str">
        <f>F1916</f>
        <v>Conexão MT - Obras Transferencia</v>
      </c>
      <c r="G1951" s="2" t="str">
        <f>VLOOKUP($A1951,Controle!$B$4:$G$68,6,FALSE)</f>
        <v>Solatio</v>
      </c>
      <c r="H1951" s="6">
        <v>0</v>
      </c>
      <c r="I1951" s="6">
        <v>0</v>
      </c>
      <c r="J1951" s="6">
        <v>0</v>
      </c>
      <c r="K1951" s="6">
        <v>0</v>
      </c>
      <c r="L1951" s="6">
        <v>0</v>
      </c>
      <c r="M1951" s="6">
        <v>0</v>
      </c>
      <c r="N1951" s="6">
        <v>0</v>
      </c>
      <c r="O1951" s="4">
        <f>SUM(I1951:N1951)</f>
        <v>0</v>
      </c>
      <c r="P1951" s="5">
        <f>SUMIFS('Desenvolvimento diário'!$H:$H,'Desenvolvimento diário'!$Q:$Q,$B1951,'Desenvolvimento diário'!$P:$P,$F1951,'Desenvolvimento diário'!$R:$R,"Sim")</f>
        <v>0</v>
      </c>
      <c r="Q1951" s="5">
        <f>SUMIFS('Desenvolvimento diário'!$H:$H,'Desenvolvimento diário'!$Q:$Q,$B1951,'Desenvolvimento diário'!$P:$P,$F1951,'Desenvolvimento diário'!$R:$R,"Não")</f>
        <v>0</v>
      </c>
      <c r="R1951" s="4">
        <f>SUM(P1951:Q1951)</f>
        <v>0</v>
      </c>
      <c r="S1951" s="4">
        <f>O1951-R1951</f>
        <v>0</v>
      </c>
      <c r="T1951" s="12">
        <f>IFERROR(R1951/O1951,0)</f>
        <v>0</v>
      </c>
      <c r="Y1951" s="2"/>
      <c r="Z1951" s="2"/>
      <c r="AA1951" s="2"/>
      <c r="AB1951" s="2"/>
      <c r="AC1951" s="2"/>
    </row>
    <row r="1952" spans="1:29" ht="10.5" hidden="1">
      <c r="A1952" s="2">
        <f>A1951</f>
        <v>56</v>
      </c>
      <c r="B1952" s="2" t="str">
        <f>VLOOKUP($A1952,Controle!$B$4:$F$68,2,FALSE)</f>
        <v>São Sebastião 5</v>
      </c>
      <c r="C1952" s="2" t="str">
        <f>VLOOKUP($A1952,Controle!$B$4:$F$68,3,FALSE)</f>
        <v>MORI MINAS V</v>
      </c>
      <c r="D1952" s="2" t="str">
        <f>VLOOKUP($A1952,Controle!$B$4:$F$68,4,FALSE)</f>
        <v>NewCo V</v>
      </c>
      <c r="E1952" s="2" t="str">
        <f>VLOOKUP($A1952,Controle!$B$4:$F$68,5,FALSE)</f>
        <v>Weg</v>
      </c>
      <c r="F1952" s="3" t="str">
        <f>F1917</f>
        <v>Bases de Contaniers</v>
      </c>
      <c r="G1952" s="2" t="str">
        <f>VLOOKUP($A1952,Controle!$B$4:$G$68,6,FALSE)</f>
        <v>Solatio</v>
      </c>
      <c r="H1952" s="6">
        <v>0</v>
      </c>
      <c r="I1952" s="6">
        <v>0</v>
      </c>
      <c r="J1952" s="6">
        <v>0</v>
      </c>
      <c r="K1952" s="6">
        <v>0</v>
      </c>
      <c r="L1952" s="6">
        <v>0</v>
      </c>
      <c r="M1952" s="6">
        <v>0</v>
      </c>
      <c r="N1952" s="6">
        <v>0</v>
      </c>
      <c r="O1952" s="4">
        <f>SUM(I1952:N1952)</f>
        <v>0</v>
      </c>
      <c r="P1952" s="5">
        <f>SUMIFS('Desenvolvimento diário'!$H:$H,'Desenvolvimento diário'!$Q:$Q,$B1952,'Desenvolvimento diário'!$P:$P,$F1952,'Desenvolvimento diário'!$R:$R,"Sim")</f>
        <v>0</v>
      </c>
      <c r="Q1952" s="5">
        <f>SUMIFS('Desenvolvimento diário'!$H:$H,'Desenvolvimento diário'!$Q:$Q,$B1952,'Desenvolvimento diário'!$P:$P,$F1952,'Desenvolvimento diário'!$R:$R,"Não")</f>
        <v>0</v>
      </c>
      <c r="R1952" s="4">
        <f>SUM(P1952:Q1952)</f>
        <v>0</v>
      </c>
      <c r="S1952" s="4">
        <f>O1952-R1952</f>
        <v>0</v>
      </c>
      <c r="T1952" s="12">
        <f>IFERROR(R1952/O1952,0)</f>
        <v>0</v>
      </c>
      <c r="Y1952" s="2"/>
      <c r="Z1952" s="2"/>
      <c r="AA1952" s="2"/>
      <c r="AB1952" s="2"/>
      <c r="AC1952" s="2"/>
    </row>
    <row r="1953" spans="1:29" ht="10.5" hidden="1">
      <c r="A1953" s="2">
        <f>A1952</f>
        <v>56</v>
      </c>
      <c r="B1953" s="2" t="str">
        <f>VLOOKUP($A1953,Controle!$B$4:$F$68,2,FALSE)</f>
        <v>São Sebastião 5</v>
      </c>
      <c r="C1953" s="2" t="str">
        <f>VLOOKUP($A1953,Controle!$B$4:$F$68,3,FALSE)</f>
        <v>MORI MINAS V</v>
      </c>
      <c r="D1953" s="2" t="str">
        <f>VLOOKUP($A1953,Controle!$B$4:$F$68,4,FALSE)</f>
        <v>NewCo V</v>
      </c>
      <c r="E1953" s="2" t="str">
        <f>VLOOKUP($A1953,Controle!$B$4:$F$68,5,FALSE)</f>
        <v>Weg</v>
      </c>
      <c r="F1953" s="3" t="str">
        <f>F1918</f>
        <v>Construção - Serviços de Construção - Ase Engenharia</v>
      </c>
      <c r="G1953" s="2" t="str">
        <f>VLOOKUP($A1953,Controle!$B$4:$G$68,6,FALSE)</f>
        <v>Solatio</v>
      </c>
      <c r="H1953" s="6">
        <v>0</v>
      </c>
      <c r="I1953" s="6">
        <v>0</v>
      </c>
      <c r="J1953" s="6">
        <v>0</v>
      </c>
      <c r="K1953" s="6">
        <v>0</v>
      </c>
      <c r="L1953" s="6">
        <v>0</v>
      </c>
      <c r="M1953" s="6">
        <v>0</v>
      </c>
      <c r="N1953" s="6">
        <v>0</v>
      </c>
      <c r="O1953" s="4">
        <f>SUM(I1953:N1953)</f>
        <v>0</v>
      </c>
      <c r="P1953" s="5">
        <f>SUMIFS('Desenvolvimento diário'!$H:$H,'Desenvolvimento diário'!$Q:$Q,$B1953,'Desenvolvimento diário'!$P:$P,$F1953,'Desenvolvimento diário'!$R:$R,"Sim")</f>
        <v>0</v>
      </c>
      <c r="Q1953" s="5">
        <f>SUMIFS('Desenvolvimento diário'!$H:$H,'Desenvolvimento diário'!$Q:$Q,$B1953,'Desenvolvimento diário'!$P:$P,$F1953,'Desenvolvimento diário'!$R:$R,"Não")</f>
        <v>0</v>
      </c>
      <c r="R1953" s="4">
        <f>SUM(P1953:Q1953)</f>
        <v>0</v>
      </c>
      <c r="S1953" s="4">
        <f>O1953-R1953</f>
        <v>0</v>
      </c>
      <c r="T1953" s="12">
        <f>IFERROR(R1953/O1953,0)</f>
        <v>0</v>
      </c>
      <c r="Y1953" s="2"/>
      <c r="Z1953" s="2"/>
      <c r="AA1953" s="2"/>
      <c r="AB1953" s="2"/>
      <c r="AC1953" s="2"/>
    </row>
    <row r="1954" spans="1:29" ht="10.5" hidden="1">
      <c r="A1954" s="2">
        <f t="shared" ref="A1954:A1960" si="604">A1953</f>
        <v>56</v>
      </c>
      <c r="B1954" s="2" t="str">
        <f>VLOOKUP($A1954,Controle!$B$4:$F$68,2,FALSE)</f>
        <v>São Sebastião 5</v>
      </c>
      <c r="C1954" s="2" t="str">
        <f>VLOOKUP($A1954,Controle!$B$4:$F$68,3,FALSE)</f>
        <v>MORI MINAS V</v>
      </c>
      <c r="D1954" s="2" t="str">
        <f>VLOOKUP($A1954,Controle!$B$4:$F$68,4,FALSE)</f>
        <v>NewCo V</v>
      </c>
      <c r="E1954" s="2" t="str">
        <f>VLOOKUP($A1954,Controle!$B$4:$F$68,5,FALSE)</f>
        <v>Weg</v>
      </c>
      <c r="F1954" s="3" t="str">
        <f t="shared" ref="F1954:F1960" si="605">F1919</f>
        <v>Full EPC - Contrato Sobressalentes</v>
      </c>
      <c r="G1954" s="2" t="str">
        <f>VLOOKUP($A1954,Controle!$B$4:$G$68,6,FALSE)</f>
        <v>Solatio</v>
      </c>
      <c r="H1954" s="6" t="s">
        <v>21</v>
      </c>
      <c r="I1954" s="6">
        <v>395335.98</v>
      </c>
      <c r="J1954" s="6">
        <v>0</v>
      </c>
      <c r="K1954" s="6">
        <v>0</v>
      </c>
      <c r="L1954" s="6">
        <v>0</v>
      </c>
      <c r="M1954" s="6">
        <v>0</v>
      </c>
      <c r="N1954" s="6">
        <v>0</v>
      </c>
      <c r="O1954" s="4">
        <f>SUM(I1954:N1954)</f>
        <v>395335.98</v>
      </c>
      <c r="P1954" s="5">
        <f>SUMIFS('Desenvolvimento diário'!$H:$H,'Desenvolvimento diário'!$Q:$Q,$B1954,'Desenvolvimento diário'!$P:$P,$F1954,'Desenvolvimento diário'!$R:$R,"Sim")</f>
        <v>0</v>
      </c>
      <c r="Q1954" s="5">
        <f>SUMIFS('Desenvolvimento diário'!$H:$H,'Desenvolvimento diário'!$Q:$Q,$B1954,'Desenvolvimento diário'!$P:$P,$F1954,'Desenvolvimento diário'!$R:$R,"Não")</f>
        <v>395335.98</v>
      </c>
      <c r="R1954" s="4">
        <f>SUM(P1954:Q1954)</f>
        <v>395335.98</v>
      </c>
      <c r="S1954" s="4">
        <f>O1954-R1954</f>
        <v>0</v>
      </c>
      <c r="T1954" s="12">
        <f>IFERROR(R1954/O1954,0)</f>
        <v>1</v>
      </c>
      <c r="Y1954" s="2"/>
      <c r="Z1954" s="2"/>
      <c r="AA1954" s="2"/>
      <c r="AB1954" s="2"/>
      <c r="AC1954" s="2"/>
    </row>
    <row r="1955" spans="1:29" ht="10.5" hidden="1">
      <c r="A1955" s="2">
        <f t="shared" si="604"/>
        <v>56</v>
      </c>
      <c r="B1955" s="2" t="str">
        <f>VLOOKUP($A1955,Controle!$B$4:$F$68,2,FALSE)</f>
        <v>São Sebastião 5</v>
      </c>
      <c r="C1955" s="2" t="str">
        <f>VLOOKUP($A1955,Controle!$B$4:$F$68,3,FALSE)</f>
        <v>MORI MINAS V</v>
      </c>
      <c r="D1955" s="2" t="str">
        <f>VLOOKUP($A1955,Controle!$B$4:$F$68,4,FALSE)</f>
        <v>NewCo V</v>
      </c>
      <c r="E1955" s="2" t="str">
        <f>VLOOKUP($A1955,Controle!$B$4:$F$68,5,FALSE)</f>
        <v>Weg</v>
      </c>
      <c r="F1955" s="3" t="str">
        <f t="shared" si="605"/>
        <v>Construção - Serviços de Construção - NOVA MORADA</v>
      </c>
      <c r="G1955" s="2" t="str">
        <f>VLOOKUP($A1955,Controle!$B$4:$G$68,6,FALSE)</f>
        <v>Solatio</v>
      </c>
      <c r="H1955" s="6">
        <v>0</v>
      </c>
      <c r="I1955" s="6">
        <v>0</v>
      </c>
      <c r="J1955" s="6">
        <v>0</v>
      </c>
      <c r="K1955" s="6">
        <v>0</v>
      </c>
      <c r="L1955" s="6">
        <v>0</v>
      </c>
      <c r="M1955" s="6">
        <v>0</v>
      </c>
      <c r="N1955" s="6">
        <v>0</v>
      </c>
      <c r="O1955" s="4">
        <f>SUM(I1955:N1955)</f>
        <v>0</v>
      </c>
      <c r="P1955" s="5">
        <f>SUMIFS('Desenvolvimento diário'!$H:$H,'Desenvolvimento diário'!$Q:$Q,$B1955,'Desenvolvimento diário'!$P:$P,$F1955,'Desenvolvimento diário'!$R:$R,"Sim")</f>
        <v>0</v>
      </c>
      <c r="Q1955" s="5">
        <f>SUMIFS('Desenvolvimento diário'!$H:$H,'Desenvolvimento diário'!$Q:$Q,$B1955,'Desenvolvimento diário'!$P:$P,$F1955,'Desenvolvimento diário'!$R:$R,"Não")</f>
        <v>0</v>
      </c>
      <c r="R1955" s="4">
        <f>SUM(P1955:Q1955)</f>
        <v>0</v>
      </c>
      <c r="S1955" s="4">
        <f>O1955-R1955</f>
        <v>0</v>
      </c>
      <c r="T1955" s="12">
        <f>IFERROR(R1955/O1955,0)</f>
        <v>0</v>
      </c>
      <c r="Y1955" s="2"/>
      <c r="Z1955" s="2"/>
      <c r="AA1955" s="2"/>
      <c r="AB1955" s="2"/>
      <c r="AC1955" s="2"/>
    </row>
    <row r="1956" spans="1:29" ht="10.5" hidden="1">
      <c r="A1956" s="2">
        <f t="shared" si="604"/>
        <v>56</v>
      </c>
      <c r="B1956" s="2" t="str">
        <f>VLOOKUP($A1956,Controle!$B$4:$F$68,2,FALSE)</f>
        <v>São Sebastião 5</v>
      </c>
      <c r="C1956" s="2" t="str">
        <f>VLOOKUP($A1956,Controle!$B$4:$F$68,3,FALSE)</f>
        <v>MORI MINAS V</v>
      </c>
      <c r="D1956" s="2" t="str">
        <f>VLOOKUP($A1956,Controle!$B$4:$F$68,4,FALSE)</f>
        <v>NewCo V</v>
      </c>
      <c r="E1956" s="2" t="str">
        <f>VLOOKUP($A1956,Controle!$B$4:$F$68,5,FALSE)</f>
        <v>Weg</v>
      </c>
      <c r="F1956" s="3" t="str">
        <f t="shared" si="605"/>
        <v>Equipamentos Curva A -  Contrato Sobressalentes - SETTA</v>
      </c>
      <c r="G1956" s="2" t="str">
        <f>VLOOKUP($A1956,Controle!$B$4:$G$68,6,FALSE)</f>
        <v>Solatio</v>
      </c>
      <c r="H1956" s="6">
        <v>0</v>
      </c>
      <c r="I1956" s="6">
        <v>0</v>
      </c>
      <c r="J1956" s="6">
        <v>0</v>
      </c>
      <c r="K1956" s="6">
        <v>0</v>
      </c>
      <c r="L1956" s="6">
        <v>0</v>
      </c>
      <c r="M1956" s="6">
        <v>0</v>
      </c>
      <c r="N1956" s="6">
        <v>0</v>
      </c>
      <c r="O1956" s="4">
        <f>SUM(I1956:N1956)</f>
        <v>0</v>
      </c>
      <c r="P1956" s="5">
        <f>SUMIFS('Desenvolvimento diário'!$H:$H,'Desenvolvimento diário'!$Q:$Q,$B1956,'Desenvolvimento diário'!$P:$P,$F1956,'Desenvolvimento diário'!$R:$R,"Sim")</f>
        <v>0</v>
      </c>
      <c r="Q1956" s="5">
        <f>SUMIFS('Desenvolvimento diário'!$H:$H,'Desenvolvimento diário'!$Q:$Q,$B1956,'Desenvolvimento diário'!$P:$P,$F1956,'Desenvolvimento diário'!$R:$R,"Não")</f>
        <v>0</v>
      </c>
      <c r="R1956" s="4">
        <f>SUM(P1956:Q1956)</f>
        <v>0</v>
      </c>
      <c r="S1956" s="4">
        <f>O1956-R1956</f>
        <v>0</v>
      </c>
      <c r="T1956" s="12">
        <f>IFERROR(R1956/O1956,0)</f>
        <v>0</v>
      </c>
      <c r="Y1956" s="2"/>
      <c r="Z1956" s="2"/>
      <c r="AA1956" s="2"/>
      <c r="AB1956" s="2"/>
      <c r="AC1956" s="2"/>
    </row>
    <row r="1957" spans="1:29" ht="10.5" hidden="1">
      <c r="A1957" s="2">
        <f t="shared" si="604"/>
        <v>56</v>
      </c>
      <c r="B1957" s="2" t="str">
        <f>VLOOKUP($A1957,Controle!$B$4:$F$68,2,FALSE)</f>
        <v>São Sebastião 5</v>
      </c>
      <c r="C1957" s="2" t="str">
        <f>VLOOKUP($A1957,Controle!$B$4:$F$68,3,FALSE)</f>
        <v>MORI MINAS V</v>
      </c>
      <c r="D1957" s="2" t="str">
        <f>VLOOKUP($A1957,Controle!$B$4:$F$68,4,FALSE)</f>
        <v>NewCo V</v>
      </c>
      <c r="E1957" s="2" t="str">
        <f>VLOOKUP($A1957,Controle!$B$4:$F$68,5,FALSE)</f>
        <v>Weg</v>
      </c>
      <c r="F1957" s="3" t="str">
        <f t="shared" si="605"/>
        <v>Equipamentos Curva A -  Contrato Sobressalentes - Arctech</v>
      </c>
      <c r="G1957" s="2" t="str">
        <f>VLOOKUP($A1957,Controle!$B$4:$G$68,6,FALSE)</f>
        <v>Solatio</v>
      </c>
      <c r="H1957" s="6">
        <v>0</v>
      </c>
      <c r="I1957" s="6">
        <v>0</v>
      </c>
      <c r="J1957" s="6">
        <v>0</v>
      </c>
      <c r="K1957" s="6">
        <v>0</v>
      </c>
      <c r="L1957" s="6">
        <v>0</v>
      </c>
      <c r="M1957" s="6">
        <v>0</v>
      </c>
      <c r="N1957" s="6">
        <v>0</v>
      </c>
      <c r="O1957" s="4">
        <f>SUM(I1957:N1957)</f>
        <v>0</v>
      </c>
      <c r="P1957" s="5">
        <f>SUMIFS('Desenvolvimento diário'!$H:$H,'Desenvolvimento diário'!$Q:$Q,$B1957,'Desenvolvimento diário'!$P:$P,$F1957,'Desenvolvimento diário'!$R:$R,"Sim")</f>
        <v>0</v>
      </c>
      <c r="Q1957" s="5">
        <f>SUMIFS('Desenvolvimento diário'!$H:$H,'Desenvolvimento diário'!$Q:$Q,$B1957,'Desenvolvimento diário'!$P:$P,$F1957,'Desenvolvimento diário'!$R:$R,"Não")</f>
        <v>0</v>
      </c>
      <c r="R1957" s="4">
        <f>SUM(P1957:Q1957)</f>
        <v>0</v>
      </c>
      <c r="S1957" s="4">
        <f>O1957-R1957</f>
        <v>0</v>
      </c>
      <c r="T1957" s="12">
        <f>IFERROR(R1957/O1957,0)</f>
        <v>0</v>
      </c>
      <c r="Y1957" s="2"/>
      <c r="Z1957" s="2"/>
      <c r="AA1957" s="2"/>
      <c r="AB1957" s="2"/>
      <c r="AC1957" s="2"/>
    </row>
    <row r="1958" spans="1:29" hidden="1">
      <c r="A1958" s="2">
        <f t="shared" si="604"/>
        <v>56</v>
      </c>
      <c r="B1958" s="2" t="str">
        <f>VLOOKUP($A1958,Controle!$B$4:$F$68,2,FALSE)</f>
        <v>São Sebastião 5</v>
      </c>
      <c r="C1958" s="2" t="str">
        <f>VLOOKUP($A1958,Controle!$B$4:$F$68,3,FALSE)</f>
        <v>MORI MINAS V</v>
      </c>
      <c r="D1958" s="2" t="str">
        <f>VLOOKUP($A1958,Controle!$B$4:$F$68,4,FALSE)</f>
        <v>NewCo V</v>
      </c>
      <c r="E1958" s="2" t="str">
        <f>VLOOKUP($A1958,Controle!$B$4:$F$68,5,FALSE)</f>
        <v>Weg</v>
      </c>
      <c r="F1958" s="3" t="str">
        <f t="shared" si="605"/>
        <v>Equipamentos Curva A -  Contrato Sobressalentes - Romagnole</v>
      </c>
      <c r="G1958" s="2" t="str">
        <f>VLOOKUP($A1958,Controle!$B$4:$G$68,6,FALSE)</f>
        <v>Solatio</v>
      </c>
      <c r="H1958" s="7">
        <v>0</v>
      </c>
      <c r="I1958" s="7">
        <v>0</v>
      </c>
      <c r="J1958" s="7">
        <v>0</v>
      </c>
      <c r="K1958" s="7">
        <v>0</v>
      </c>
      <c r="L1958" s="7">
        <v>0</v>
      </c>
      <c r="M1958" s="7">
        <v>0</v>
      </c>
      <c r="N1958" s="7">
        <v>0</v>
      </c>
      <c r="O1958" s="4">
        <f>SUM(I1958:N1958)</f>
        <v>0</v>
      </c>
      <c r="P1958" s="17">
        <f>SUMIFS('Desenvolvimento diário'!$H:$H,'Desenvolvimento diário'!$Q:$Q,$B1958,'Desenvolvimento diário'!$P:$P,$F1958,'Desenvolvimento diário'!$R:$R,"Sim")</f>
        <v>0</v>
      </c>
      <c r="Q1958" s="17">
        <f>SUMIFS('Desenvolvimento diário'!$H:$H,'Desenvolvimento diário'!$Q:$Q,$B1958,'Desenvolvimento diário'!$P:$P,$F1958,'Desenvolvimento diário'!$R:$R,"Não")</f>
        <v>0</v>
      </c>
      <c r="R1958" s="4">
        <f>SUM(P1958:Q1958)</f>
        <v>0</v>
      </c>
      <c r="S1958" s="4">
        <f>O1958-R1958</f>
        <v>0</v>
      </c>
      <c r="T1958" s="12">
        <f>IFERROR(R1958/O1958,0)</f>
        <v>0</v>
      </c>
      <c r="Y1958" s="2"/>
      <c r="Z1958" s="2"/>
      <c r="AA1958" s="2"/>
      <c r="AB1958" s="2"/>
      <c r="AC1958" s="2"/>
    </row>
    <row r="1959" spans="1:29" hidden="1">
      <c r="A1959" s="2">
        <f t="shared" si="604"/>
        <v>56</v>
      </c>
      <c r="B1959" s="2" t="str">
        <f>VLOOKUP($A1959,Controle!$B$4:$F$68,2,FALSE)</f>
        <v>São Sebastião 5</v>
      </c>
      <c r="C1959" s="2" t="str">
        <f>VLOOKUP($A1959,Controle!$B$4:$F$68,3,FALSE)</f>
        <v>MORI MINAS V</v>
      </c>
      <c r="D1959" s="2" t="str">
        <f>VLOOKUP($A1959,Controle!$B$4:$F$68,4,FALSE)</f>
        <v>NewCo V</v>
      </c>
      <c r="E1959" s="2" t="str">
        <f>VLOOKUP($A1959,Controle!$B$4:$F$68,5,FALSE)</f>
        <v>Weg</v>
      </c>
      <c r="F1959" s="3" t="str">
        <f t="shared" si="605"/>
        <v>GOS FLORESTAL - (PRAD - Recuperação Area Ambiental)</v>
      </c>
      <c r="G1959" s="2" t="str">
        <f>VLOOKUP($A1959,Controle!$B$4:$G$68,6,FALSE)</f>
        <v>Solatio</v>
      </c>
      <c r="H1959" s="506" t="s">
        <v>170</v>
      </c>
      <c r="I1959" s="7">
        <v>0</v>
      </c>
      <c r="J1959" s="7">
        <v>0</v>
      </c>
      <c r="K1959" s="7">
        <v>0</v>
      </c>
      <c r="L1959" s="7">
        <v>0</v>
      </c>
      <c r="M1959" s="7">
        <v>0</v>
      </c>
      <c r="N1959" s="7">
        <v>0</v>
      </c>
      <c r="O1959" s="39">
        <f t="shared" ref="O1959:O1960" si="606">SUM(I1959:N1959)</f>
        <v>0</v>
      </c>
      <c r="P1959" s="17">
        <f>SUMIFS('Desenvolvimento diário'!$H:$H,'Desenvolvimento diário'!$Q:$Q,$B1959,'Desenvolvimento diário'!$P:$P,$F1959,'Desenvolvimento diário'!$R:$R,"Sim")</f>
        <v>0</v>
      </c>
      <c r="Q1959" s="17">
        <f>SUMIFS('Desenvolvimento diário'!$H:$H,'Desenvolvimento diário'!$Q:$Q,$B1959,'Desenvolvimento diário'!$P:$P,$F1959,'Desenvolvimento diário'!$R:$R,"Não")</f>
        <v>0</v>
      </c>
      <c r="R1959" s="4">
        <f t="shared" ref="R1959:R1960" si="607">SUM(P1959:Q1959)</f>
        <v>0</v>
      </c>
      <c r="S1959" s="4">
        <f t="shared" ref="S1959:S1960" si="608">O1959-R1959</f>
        <v>0</v>
      </c>
      <c r="T1959" s="12">
        <f t="shared" ref="T1959:T1960" si="609">IFERROR(R1959/O1959,0)</f>
        <v>0</v>
      </c>
      <c r="Y1959" s="2"/>
      <c r="Z1959" s="2"/>
      <c r="AA1959" s="2"/>
      <c r="AB1959" s="2"/>
      <c r="AC1959" s="2"/>
    </row>
    <row r="1960" spans="1:29" hidden="1">
      <c r="A1960" s="2">
        <f t="shared" si="604"/>
        <v>56</v>
      </c>
      <c r="B1960" s="2" t="str">
        <f>VLOOKUP($A1960,Controle!$B$4:$F$68,2,FALSE)</f>
        <v>São Sebastião 5</v>
      </c>
      <c r="C1960" s="2" t="str">
        <f>VLOOKUP($A1960,Controle!$B$4:$F$68,3,FALSE)</f>
        <v>MORI MINAS V</v>
      </c>
      <c r="D1960" s="2" t="str">
        <f>VLOOKUP($A1960,Controle!$B$4:$F$68,4,FALSE)</f>
        <v>NewCo V</v>
      </c>
      <c r="E1960" s="2" t="str">
        <f>VLOOKUP($A1960,Controle!$B$4:$F$68,5,FALSE)</f>
        <v>Weg</v>
      </c>
      <c r="F1960" s="3" t="str">
        <f t="shared" si="605"/>
        <v>Cercamento das bacias de contenção ciclo 2</v>
      </c>
      <c r="G1960" s="2" t="str">
        <f>VLOOKUP($A1960,Controle!$B$4:$G$68,6,FALSE)</f>
        <v>Solatio</v>
      </c>
      <c r="H1960" s="506" t="s">
        <v>172</v>
      </c>
      <c r="I1960" s="6"/>
      <c r="J1960" s="506"/>
      <c r="K1960" s="506">
        <v>0</v>
      </c>
      <c r="L1960" s="506">
        <v>0</v>
      </c>
      <c r="M1960" s="506">
        <v>0</v>
      </c>
      <c r="N1960" s="506">
        <v>0</v>
      </c>
      <c r="O1960" s="39">
        <f t="shared" si="606"/>
        <v>0</v>
      </c>
      <c r="P1960" s="17">
        <f>SUMIFS('Desenvolvimento diário'!$H:$H,'Desenvolvimento diário'!$Q:$Q,$B1960,'Desenvolvimento diário'!$P:$P,$F1960,'Desenvolvimento diário'!$R:$R,"Sim")</f>
        <v>0</v>
      </c>
      <c r="Q1960" s="17">
        <f>SUMIFS('Desenvolvimento diário'!$H:$H,'Desenvolvimento diário'!$Q:$Q,$B1960,'Desenvolvimento diário'!$P:$P,$F1960,'Desenvolvimento diário'!$R:$R,"Não")</f>
        <v>0</v>
      </c>
      <c r="R1960" s="4">
        <f t="shared" si="607"/>
        <v>0</v>
      </c>
      <c r="S1960" s="1030">
        <f t="shared" si="608"/>
        <v>0</v>
      </c>
      <c r="T1960" s="12">
        <f t="shared" si="609"/>
        <v>0</v>
      </c>
      <c r="U1960" s="1029" t="s">
        <v>166</v>
      </c>
      <c r="V1960" s="1029" t="s">
        <v>94</v>
      </c>
      <c r="Y1960" s="2"/>
      <c r="Z1960" s="2"/>
      <c r="AA1960" s="2"/>
      <c r="AB1960" s="2"/>
      <c r="AC1960" s="2"/>
    </row>
    <row r="1961" spans="1:29" hidden="1">
      <c r="A1961" s="8">
        <f>A1958</f>
        <v>56</v>
      </c>
      <c r="B1961" s="9" t="str">
        <f>B1958</f>
        <v>São Sebastião 5</v>
      </c>
      <c r="C1961" s="9" t="str">
        <f>C1958</f>
        <v>MORI MINAS V</v>
      </c>
      <c r="D1961" s="9" t="str">
        <f>D1958</f>
        <v>NewCo V</v>
      </c>
      <c r="E1961" s="9" t="str">
        <f>E1958</f>
        <v>Weg</v>
      </c>
      <c r="F1961" s="10" t="s">
        <v>158</v>
      </c>
      <c r="G1961" s="9" t="str">
        <f>G1958</f>
        <v>Solatio</v>
      </c>
      <c r="H1961" s="9"/>
      <c r="I1961" s="9">
        <f>SUBTOTAL(9,I1927:I1960)</f>
        <v>0</v>
      </c>
      <c r="J1961" s="9">
        <f t="shared" ref="J1961:S1961" si="610">SUBTOTAL(9,J1927:J1960)</f>
        <v>0</v>
      </c>
      <c r="K1961" s="9">
        <f t="shared" si="610"/>
        <v>0</v>
      </c>
      <c r="L1961" s="9">
        <f t="shared" si="610"/>
        <v>0</v>
      </c>
      <c r="M1961" s="9">
        <f t="shared" si="610"/>
        <v>0</v>
      </c>
      <c r="N1961" s="9">
        <f t="shared" si="610"/>
        <v>0</v>
      </c>
      <c r="O1961" s="9">
        <f t="shared" si="610"/>
        <v>0</v>
      </c>
      <c r="P1961" s="9">
        <f t="shared" si="610"/>
        <v>0</v>
      </c>
      <c r="Q1961" s="9">
        <f t="shared" si="610"/>
        <v>0</v>
      </c>
      <c r="R1961" s="9">
        <f t="shared" si="610"/>
        <v>0</v>
      </c>
      <c r="S1961" s="9">
        <f t="shared" si="610"/>
        <v>0</v>
      </c>
      <c r="T1961" s="13">
        <f>IFERROR(R1961/O1961,0)</f>
        <v>0</v>
      </c>
      <c r="U1961" s="11">
        <f>SUBTOTAL(9,U1927:U1960)</f>
        <v>0</v>
      </c>
      <c r="Y1961" s="2"/>
      <c r="Z1961" s="2"/>
      <c r="AA1961" s="2"/>
      <c r="AB1961" s="2"/>
      <c r="AC1961" s="2"/>
    </row>
    <row r="1962" spans="1:29" ht="10.5" hidden="1">
      <c r="A1962" s="2">
        <f>A1927+1</f>
        <v>57</v>
      </c>
      <c r="B1962" s="2" t="str">
        <f>VLOOKUP($A1962,Controle!$B$4:$F$68,2,FALSE)</f>
        <v>Varginha 1</v>
      </c>
      <c r="C1962" s="2" t="str">
        <f>VLOOKUP($A1962,Controle!$B$4:$F$68,3,FALSE)</f>
        <v>MORI MINAS IV</v>
      </c>
      <c r="D1962" s="2" t="str">
        <f>VLOOKUP($A1962,Controle!$B$4:$F$68,4,FALSE)</f>
        <v>NewCo IV</v>
      </c>
      <c r="E1962" s="2">
        <f>VLOOKUP($A1962,Controle!$B$4:$F$68,5,FALSE)</f>
        <v>1</v>
      </c>
      <c r="F1962" s="3" t="str">
        <f>F1927</f>
        <v>Conexão AT - Obras</v>
      </c>
      <c r="G1962" s="2" t="str">
        <f>VLOOKUP($A1962,Controle!$B$4:$G$68,6,FALSE)</f>
        <v>Solatio</v>
      </c>
      <c r="H1962" s="6" t="s">
        <v>141</v>
      </c>
      <c r="I1962" s="29">
        <v>742187.35</v>
      </c>
      <c r="J1962" s="6">
        <v>0</v>
      </c>
      <c r="K1962" s="6">
        <v>0</v>
      </c>
      <c r="L1962" s="6">
        <v>0</v>
      </c>
      <c r="M1962" s="6">
        <v>0</v>
      </c>
      <c r="N1962" s="6">
        <v>0</v>
      </c>
      <c r="O1962" s="4">
        <f>SUM(I1962:N1962)</f>
        <v>742187.35</v>
      </c>
      <c r="P1962" s="5">
        <f>SUMIFS('Desenvolvimento diário'!$H:$H,'Desenvolvimento diário'!$Q:$Q,$B1962,'Desenvolvimento diário'!$P:$P,$F1962,'Desenvolvimento diário'!$R:$R,"Sim")</f>
        <v>178304.38999999998</v>
      </c>
      <c r="Q1962" s="5">
        <f>SUMIFS('Desenvolvimento diário'!$H:$H,'Desenvolvimento diário'!$Q:$Q,$B1962,'Desenvolvimento diário'!$P:$P,$F1962,'Desenvolvimento diário'!$R:$R,"Não")</f>
        <v>563882.96</v>
      </c>
      <c r="R1962" s="4">
        <f>SUM(P1962:Q1962)</f>
        <v>742187.35</v>
      </c>
      <c r="S1962" s="4">
        <f>O1962-R1962</f>
        <v>0</v>
      </c>
      <c r="T1962" s="12">
        <f>IFERROR(R1962/O1962,0)</f>
        <v>1</v>
      </c>
      <c r="Y1962" s="2"/>
      <c r="Z1962" s="2"/>
      <c r="AA1962" s="2"/>
      <c r="AB1962" s="2"/>
      <c r="AC1962" s="2"/>
    </row>
    <row r="1963" spans="1:29" ht="10.5" hidden="1">
      <c r="A1963" s="2">
        <f>A1962</f>
        <v>57</v>
      </c>
      <c r="B1963" s="2" t="str">
        <f>VLOOKUP($A1963,Controle!$B$4:$F$68,2,FALSE)</f>
        <v>Varginha 1</v>
      </c>
      <c r="C1963" s="2" t="str">
        <f>VLOOKUP($A1963,Controle!$B$4:$F$68,3,FALSE)</f>
        <v>MORI MINAS IV</v>
      </c>
      <c r="D1963" s="2" t="str">
        <f>VLOOKUP($A1963,Controle!$B$4:$F$68,4,FALSE)</f>
        <v>NewCo IV</v>
      </c>
      <c r="E1963" s="2">
        <f>VLOOKUP($A1963,Controle!$B$4:$F$68,5,FALSE)</f>
        <v>1</v>
      </c>
      <c r="F1963" s="3" t="str">
        <f>F1928</f>
        <v>Conexão MT - Obras</v>
      </c>
      <c r="G1963" s="2" t="str">
        <f>VLOOKUP($A1963,Controle!$B$4:$G$68,6,FALSE)</f>
        <v>Solatio</v>
      </c>
      <c r="H1963" s="6" t="s">
        <v>141</v>
      </c>
      <c r="I1963" s="6">
        <v>1793522.78</v>
      </c>
      <c r="J1963" s="6">
        <v>630000</v>
      </c>
      <c r="K1963" s="6">
        <v>114480</v>
      </c>
      <c r="L1963" s="6">
        <v>0</v>
      </c>
      <c r="M1963" s="6">
        <v>0</v>
      </c>
      <c r="N1963" s="6">
        <v>0</v>
      </c>
      <c r="O1963" s="4">
        <f>SUM(I1963:N1963)</f>
        <v>2538002.7800000003</v>
      </c>
      <c r="P1963" s="5">
        <f>SUMIFS('Desenvolvimento diário'!$H:$H,'Desenvolvimento diário'!$Q:$Q,$B1963,'Desenvolvimento diário'!$P:$P,$F1963,'Desenvolvimento diário'!$R:$R,"Sim")</f>
        <v>1716435.8299999998</v>
      </c>
      <c r="Q1963" s="5">
        <f>SUMIFS('Desenvolvimento diário'!$H:$H,'Desenvolvimento diário'!$Q:$Q,$B1963,'Desenvolvimento diário'!$P:$P,$F1963,'Desenvolvimento diário'!$R:$R,"Não")</f>
        <v>821566.95</v>
      </c>
      <c r="R1963" s="4">
        <f>SUM(P1963:Q1963)</f>
        <v>2538002.7799999998</v>
      </c>
      <c r="S1963" s="4">
        <f>O1963-R1963</f>
        <v>0</v>
      </c>
      <c r="T1963" s="12">
        <f>IFERROR(R1963/O1963,0)</f>
        <v>0.99999999999999978</v>
      </c>
      <c r="Y1963" s="2"/>
      <c r="Z1963" s="2"/>
      <c r="AA1963" s="2"/>
      <c r="AB1963" s="2"/>
      <c r="AC1963" s="2"/>
    </row>
    <row r="1964" spans="1:29" ht="10.5" hidden="1">
      <c r="A1964" s="2">
        <f>A1963</f>
        <v>57</v>
      </c>
      <c r="B1964" s="94" t="str">
        <f>VLOOKUP($A1964,Controle!$B$4:$F$68,2,FALSE)</f>
        <v>Varginha 1</v>
      </c>
      <c r="C1964" s="2" t="str">
        <f>VLOOKUP($A1964,Controle!$B$4:$F$68,3,FALSE)</f>
        <v>MORI MINAS IV</v>
      </c>
      <c r="D1964" s="2" t="str">
        <f>VLOOKUP($A1964,Controle!$B$4:$F$68,4,FALSE)</f>
        <v>NewCo IV</v>
      </c>
      <c r="E1964" s="2">
        <f>VLOOKUP($A1964,Controle!$B$4:$F$68,5,FALSE)</f>
        <v>1</v>
      </c>
      <c r="F1964" s="3" t="str">
        <f>F1929</f>
        <v>Construção - Serviços de Construção</v>
      </c>
      <c r="G1964" s="2" t="str">
        <f>VLOOKUP($A1964,Controle!$B$4:$G$68,6,FALSE)</f>
        <v>Solatio</v>
      </c>
      <c r="H1964" s="6" t="s">
        <v>147</v>
      </c>
      <c r="I1964" s="6">
        <v>2691000</v>
      </c>
      <c r="J1964" s="6">
        <v>588159.56999999995</v>
      </c>
      <c r="K1964" s="6">
        <v>444250</v>
      </c>
      <c r="L1964" s="6">
        <v>52647</v>
      </c>
      <c r="M1964" s="6">
        <v>418634.04</v>
      </c>
      <c r="N1964" s="6">
        <f>7406.97-0.01</f>
        <v>7406.96</v>
      </c>
      <c r="O1964" s="4">
        <f>SUM(I1964:N1964)</f>
        <v>4202097.5699999994</v>
      </c>
      <c r="P1964" s="5">
        <f>SUMIFS('Desenvolvimento diário'!$H:$H,'Desenvolvimento diário'!$Q:$Q,$B1964,'Desenvolvimento diário'!$P:$P,$F1964,'Desenvolvimento diário'!$R:$R,"Sim")</f>
        <v>541654.84</v>
      </c>
      <c r="Q1964" s="5">
        <f>SUMIFS('Desenvolvimento diário'!$H:$H,'Desenvolvimento diário'!$Q:$Q,$B1964,'Desenvolvimento diário'!$P:$P,$F1964,'Desenvolvimento diário'!$R:$R,"Não")</f>
        <v>3660442.7299999995</v>
      </c>
      <c r="R1964" s="4">
        <f>SUM(P1964:Q1964)</f>
        <v>4202097.5699999994</v>
      </c>
      <c r="S1964" s="1015">
        <f>O1964-R1964</f>
        <v>0</v>
      </c>
      <c r="T1964" s="12">
        <f>IFERROR(R1964/O1964,0)</f>
        <v>1</v>
      </c>
      <c r="U1964" s="510" t="s">
        <v>162</v>
      </c>
      <c r="V1964" s="510" t="s">
        <v>163</v>
      </c>
      <c r="Y1964" s="2"/>
      <c r="Z1964" s="2"/>
      <c r="AA1964" s="2"/>
      <c r="AB1964" s="2"/>
      <c r="AC1964" s="2"/>
    </row>
    <row r="1965" spans="1:29" ht="10.5" hidden="1">
      <c r="A1965" s="2">
        <f>A1964</f>
        <v>57</v>
      </c>
      <c r="B1965" s="2" t="str">
        <f>VLOOKUP($A1965,Controle!$B$4:$F$68,2,FALSE)</f>
        <v>Varginha 1</v>
      </c>
      <c r="C1965" s="2" t="str">
        <f>VLOOKUP($A1965,Controle!$B$4:$F$68,3,FALSE)</f>
        <v>MORI MINAS IV</v>
      </c>
      <c r="D1965" s="2" t="str">
        <f>VLOOKUP($A1965,Controle!$B$4:$F$68,4,FALSE)</f>
        <v>NewCo IV</v>
      </c>
      <c r="E1965" s="2">
        <f>VLOOKUP($A1965,Controle!$B$4:$F$68,5,FALSE)</f>
        <v>1</v>
      </c>
      <c r="F1965" s="3" t="str">
        <f>F1930</f>
        <v>Construção - Serviços de Construção - Substituição</v>
      </c>
      <c r="G1965" s="2" t="str">
        <f>VLOOKUP($A1965,Controle!$B$4:$G$68,6,FALSE)</f>
        <v>Solatio</v>
      </c>
      <c r="H1965" s="6">
        <v>0</v>
      </c>
      <c r="I1965" s="6">
        <v>0</v>
      </c>
      <c r="J1965" s="6">
        <v>0</v>
      </c>
      <c r="K1965" s="6">
        <v>0</v>
      </c>
      <c r="L1965" s="6">
        <v>0</v>
      </c>
      <c r="M1965" s="6">
        <v>0</v>
      </c>
      <c r="N1965" s="6">
        <v>0</v>
      </c>
      <c r="O1965" s="4">
        <f>SUM(I1965:N1965)</f>
        <v>0</v>
      </c>
      <c r="P1965" s="5">
        <f>SUMIFS('Desenvolvimento diário'!$H:$H,'Desenvolvimento diário'!$Q:$Q,$B1965,'Desenvolvimento diário'!$P:$P,$F1965,'Desenvolvimento diário'!$R:$R,"Sim")</f>
        <v>0</v>
      </c>
      <c r="Q1965" s="5">
        <f>SUMIFS('Desenvolvimento diário'!$H:$H,'Desenvolvimento diário'!$Q:$Q,$B1965,'Desenvolvimento diário'!$P:$P,$F1965,'Desenvolvimento diário'!$R:$R,"Não")</f>
        <v>0</v>
      </c>
      <c r="R1965" s="4">
        <f>SUM(P1965:Q1965)</f>
        <v>0</v>
      </c>
      <c r="S1965" s="4">
        <f>O1965-R1965</f>
        <v>0</v>
      </c>
      <c r="T1965" s="12">
        <f>IFERROR(R1965/O1965,0)</f>
        <v>0</v>
      </c>
      <c r="Y1965" s="2"/>
      <c r="Z1965" s="2"/>
      <c r="AA1965" s="2"/>
      <c r="AB1965" s="2"/>
      <c r="AC1965" s="2"/>
    </row>
    <row r="1966" spans="1:29" ht="10.5" hidden="1">
      <c r="A1966" s="2">
        <f>A1965</f>
        <v>57</v>
      </c>
      <c r="B1966" s="2" t="str">
        <f>VLOOKUP($A1966,Controle!$B$4:$F$68,2,FALSE)</f>
        <v>Varginha 1</v>
      </c>
      <c r="C1966" s="2" t="str">
        <f>VLOOKUP($A1966,Controle!$B$4:$F$68,3,FALSE)</f>
        <v>MORI MINAS IV</v>
      </c>
      <c r="D1966" s="2" t="str">
        <f>VLOOKUP($A1966,Controle!$B$4:$F$68,4,FALSE)</f>
        <v>NewCo IV</v>
      </c>
      <c r="E1966" s="2">
        <f>VLOOKUP($A1966,Controle!$B$4:$F$68,5,FALSE)</f>
        <v>1</v>
      </c>
      <c r="F1966" s="3" t="str">
        <f>F1931</f>
        <v>Construção - RDA Interno</v>
      </c>
      <c r="G1966" s="2" t="str">
        <f>VLOOKUP($A1966,Controle!$B$4:$G$68,6,FALSE)</f>
        <v>Solatio</v>
      </c>
      <c r="H1966" s="6" t="s">
        <v>168</v>
      </c>
      <c r="I1966" s="6">
        <v>330000</v>
      </c>
      <c r="J1966" s="6">
        <v>0</v>
      </c>
      <c r="K1966" s="6">
        <v>0</v>
      </c>
      <c r="L1966" s="6">
        <v>0</v>
      </c>
      <c r="M1966" s="6">
        <v>0</v>
      </c>
      <c r="N1966" s="6">
        <v>0</v>
      </c>
      <c r="O1966" s="4">
        <f>SUM(I1966:N1966)</f>
        <v>330000</v>
      </c>
      <c r="P1966" s="5">
        <f>SUMIFS('Desenvolvimento diário'!$H:$H,'Desenvolvimento diário'!$Q:$Q,$B1966,'Desenvolvimento diário'!$P:$P,$F1966,'Desenvolvimento diário'!$R:$R,"Sim")</f>
        <v>0</v>
      </c>
      <c r="Q1966" s="5">
        <f>SUMIFS('Desenvolvimento diário'!$H:$H,'Desenvolvimento diário'!$Q:$Q,$B1966,'Desenvolvimento diário'!$P:$P,$F1966,'Desenvolvimento diário'!$R:$R,"Não")</f>
        <v>330000</v>
      </c>
      <c r="R1966" s="4">
        <f>SUM(P1966:Q1966)</f>
        <v>330000</v>
      </c>
      <c r="S1966" s="4">
        <f>O1966-R1966</f>
        <v>0</v>
      </c>
      <c r="T1966" s="12">
        <f>IFERROR(R1966/O1966,0)</f>
        <v>1</v>
      </c>
      <c r="Y1966" s="2"/>
      <c r="Z1966" s="2"/>
      <c r="AA1966" s="2"/>
      <c r="AB1966" s="2"/>
      <c r="AC1966" s="2"/>
    </row>
    <row r="1967" spans="1:29" ht="10.5" hidden="1">
      <c r="A1967" s="2">
        <f>A1966</f>
        <v>57</v>
      </c>
      <c r="B1967" s="2" t="str">
        <f>VLOOKUP($A1967,Controle!$B$4:$F$68,2,FALSE)</f>
        <v>Varginha 1</v>
      </c>
      <c r="C1967" s="2" t="str">
        <f>VLOOKUP($A1967,Controle!$B$4:$F$68,3,FALSE)</f>
        <v>MORI MINAS IV</v>
      </c>
      <c r="D1967" s="2" t="str">
        <f>VLOOKUP($A1967,Controle!$B$4:$F$68,4,FALSE)</f>
        <v>NewCo IV</v>
      </c>
      <c r="E1967" s="2">
        <f>VLOOKUP($A1967,Controle!$B$4:$F$68,5,FALSE)</f>
        <v>1</v>
      </c>
      <c r="F1967" s="3" t="str">
        <f>F1932</f>
        <v>Full EPC - Contrato</v>
      </c>
      <c r="G1967" s="2" t="str">
        <f>VLOOKUP($A1967,Controle!$B$4:$G$68,6,FALSE)</f>
        <v>Solatio</v>
      </c>
      <c r="H1967" s="6">
        <v>0</v>
      </c>
      <c r="I1967" s="6">
        <v>0</v>
      </c>
      <c r="J1967" s="6">
        <v>0</v>
      </c>
      <c r="K1967" s="6">
        <v>0</v>
      </c>
      <c r="L1967" s="6">
        <v>0</v>
      </c>
      <c r="M1967" s="6">
        <v>0</v>
      </c>
      <c r="N1967" s="6">
        <v>0</v>
      </c>
      <c r="O1967" s="4">
        <f>SUM(I1967:N1967)</f>
        <v>0</v>
      </c>
      <c r="P1967" s="5">
        <f>SUMIFS('Desenvolvimento diário'!$H:$H,'Desenvolvimento diário'!$Q:$Q,$B1967,'Desenvolvimento diário'!$P:$P,$F1967,'Desenvolvimento diário'!$R:$R,"Sim")</f>
        <v>0</v>
      </c>
      <c r="Q1967" s="5">
        <f>SUMIFS('Desenvolvimento diário'!$H:$H,'Desenvolvimento diário'!$Q:$Q,$B1967,'Desenvolvimento diário'!$P:$P,$F1967,'Desenvolvimento diário'!$R:$R,"Não")</f>
        <v>0</v>
      </c>
      <c r="R1967" s="4">
        <f>SUM(P1967:Q1967)</f>
        <v>0</v>
      </c>
      <c r="S1967" s="4">
        <f>O1967-R1967</f>
        <v>0</v>
      </c>
      <c r="T1967" s="12">
        <f>IFERROR(R1967/O1967,0)</f>
        <v>0</v>
      </c>
      <c r="Y1967" s="2"/>
      <c r="Z1967" s="2"/>
      <c r="AA1967" s="2"/>
      <c r="AB1967" s="2"/>
      <c r="AC1967" s="2"/>
    </row>
    <row r="1968" spans="1:29" ht="10.5" hidden="1">
      <c r="A1968" s="2">
        <f>A1967</f>
        <v>57</v>
      </c>
      <c r="B1968" s="2" t="str">
        <f>VLOOKUP($A1968,Controle!$B$4:$F$68,2,FALSE)</f>
        <v>Varginha 1</v>
      </c>
      <c r="C1968" s="2" t="str">
        <f>VLOOKUP($A1968,Controle!$B$4:$F$68,3,FALSE)</f>
        <v>MORI MINAS IV</v>
      </c>
      <c r="D1968" s="2" t="str">
        <f>VLOOKUP($A1968,Controle!$B$4:$F$68,4,FALSE)</f>
        <v>NewCo IV</v>
      </c>
      <c r="E1968" s="2">
        <f>VLOOKUP($A1968,Controle!$B$4:$F$68,5,FALSE)</f>
        <v>1</v>
      </c>
      <c r="F1968" s="3" t="str">
        <f>F1933</f>
        <v>Equipamentos Curva A - Outros (Transformadores)</v>
      </c>
      <c r="G1968" s="2" t="str">
        <f>VLOOKUP($A1968,Controle!$B$4:$G$68,6,FALSE)</f>
        <v>Solatio</v>
      </c>
      <c r="H1968" s="6">
        <v>0</v>
      </c>
      <c r="I1968" s="6">
        <v>0</v>
      </c>
      <c r="J1968" s="6">
        <v>0</v>
      </c>
      <c r="K1968" s="6">
        <v>0</v>
      </c>
      <c r="L1968" s="6">
        <v>0</v>
      </c>
      <c r="M1968" s="6">
        <v>0</v>
      </c>
      <c r="N1968" s="6">
        <v>0</v>
      </c>
      <c r="O1968" s="4">
        <f>SUM(I1968:N1968)</f>
        <v>0</v>
      </c>
      <c r="P1968" s="5">
        <f>SUMIFS('Desenvolvimento diário'!$H:$H,'Desenvolvimento diário'!$Q:$Q,$B1968,'Desenvolvimento diário'!$P:$P,$F1968,'Desenvolvimento diário'!$R:$R,"Sim")</f>
        <v>0</v>
      </c>
      <c r="Q1968" s="5">
        <f>SUMIFS('Desenvolvimento diário'!$H:$H,'Desenvolvimento diário'!$Q:$Q,$B1968,'Desenvolvimento diário'!$P:$P,$F1968,'Desenvolvimento diário'!$R:$R,"Não")</f>
        <v>0</v>
      </c>
      <c r="R1968" s="4">
        <f>SUM(P1968:Q1968)</f>
        <v>0</v>
      </c>
      <c r="S1968" s="4">
        <f>O1968-R1968</f>
        <v>0</v>
      </c>
      <c r="T1968" s="12">
        <f>IFERROR(R1968/O1968,0)</f>
        <v>0</v>
      </c>
      <c r="Y1968" s="2"/>
      <c r="Z1968" s="2"/>
      <c r="AA1968" s="2"/>
      <c r="AB1968" s="2"/>
      <c r="AC1968" s="2"/>
    </row>
    <row r="1969" spans="1:29" ht="10.5" hidden="1">
      <c r="A1969" s="2">
        <f>A1968</f>
        <v>57</v>
      </c>
      <c r="B1969" s="2" t="str">
        <f>VLOOKUP($A1969,Controle!$B$4:$F$68,2,FALSE)</f>
        <v>Varginha 1</v>
      </c>
      <c r="C1969" s="2" t="str">
        <f>VLOOKUP($A1969,Controle!$B$4:$F$68,3,FALSE)</f>
        <v>MORI MINAS IV</v>
      </c>
      <c r="D1969" s="2" t="str">
        <f>VLOOKUP($A1969,Controle!$B$4:$F$68,4,FALSE)</f>
        <v>NewCo IV</v>
      </c>
      <c r="E1969" s="2">
        <f>VLOOKUP($A1969,Controle!$B$4:$F$68,5,FALSE)</f>
        <v>1</v>
      </c>
      <c r="F1969" s="3" t="str">
        <f>F1934</f>
        <v>Equipamentos Curva A - Outros (Cabine + Skid)</v>
      </c>
      <c r="G1969" s="2" t="str">
        <f>VLOOKUP($A1969,Controle!$B$4:$G$68,6,FALSE)</f>
        <v>Solatio</v>
      </c>
      <c r="H1969" s="6">
        <v>0</v>
      </c>
      <c r="I1969" s="6">
        <v>0</v>
      </c>
      <c r="J1969" s="6">
        <v>0</v>
      </c>
      <c r="K1969" s="6">
        <v>0</v>
      </c>
      <c r="L1969" s="6">
        <v>0</v>
      </c>
      <c r="M1969" s="6">
        <v>0</v>
      </c>
      <c r="N1969" s="6">
        <v>0</v>
      </c>
      <c r="O1969" s="4">
        <f>SUM(I1969:N1969)</f>
        <v>0</v>
      </c>
      <c r="P1969" s="5">
        <f>SUMIFS('Desenvolvimento diário'!$H:$H,'Desenvolvimento diário'!$Q:$Q,$B1969,'Desenvolvimento diário'!$P:$P,$F1969,'Desenvolvimento diário'!$R:$R,"Sim")</f>
        <v>0</v>
      </c>
      <c r="Q1969" s="5">
        <f>SUMIFS('Desenvolvimento diário'!$H:$H,'Desenvolvimento diário'!$Q:$Q,$B1969,'Desenvolvimento diário'!$P:$P,$F1969,'Desenvolvimento diário'!$R:$R,"Não")</f>
        <v>0</v>
      </c>
      <c r="R1969" s="4">
        <f>SUM(P1969:Q1969)</f>
        <v>0</v>
      </c>
      <c r="S1969" s="4">
        <f>O1969-R1969</f>
        <v>0</v>
      </c>
      <c r="T1969" s="12">
        <f>IFERROR(R1969/O1969,0)</f>
        <v>0</v>
      </c>
      <c r="Y1969" s="2"/>
      <c r="Z1969" s="2"/>
      <c r="AA1969" s="2"/>
      <c r="AB1969" s="2"/>
      <c r="AC1969" s="2"/>
    </row>
    <row r="1970" spans="1:29" ht="10.5" hidden="1">
      <c r="A1970" s="2">
        <f>A1969</f>
        <v>57</v>
      </c>
      <c r="B1970" s="2" t="str">
        <f>VLOOKUP($A1970,Controle!$B$4:$F$68,2,FALSE)</f>
        <v>Varginha 1</v>
      </c>
      <c r="C1970" s="2" t="str">
        <f>VLOOKUP($A1970,Controle!$B$4:$F$68,3,FALSE)</f>
        <v>MORI MINAS IV</v>
      </c>
      <c r="D1970" s="2" t="str">
        <f>VLOOKUP($A1970,Controle!$B$4:$F$68,4,FALSE)</f>
        <v>NewCo IV</v>
      </c>
      <c r="E1970" s="2">
        <f>VLOOKUP($A1970,Controle!$B$4:$F$68,5,FALSE)</f>
        <v>1</v>
      </c>
      <c r="F1970" s="3" t="str">
        <f>F1935</f>
        <v>Equipamentos Curva A - Outros (Cabine + Skid + Transformador)</v>
      </c>
      <c r="G1970" s="2" t="str">
        <f>VLOOKUP($A1970,Controle!$B$4:$G$68,6,FALSE)</f>
        <v>Solatio</v>
      </c>
      <c r="H1970" s="6" t="s">
        <v>144</v>
      </c>
      <c r="I1970" s="6">
        <v>1265945.48419</v>
      </c>
      <c r="J1970" s="6">
        <v>0</v>
      </c>
      <c r="K1970" s="6">
        <v>0</v>
      </c>
      <c r="L1970" s="6">
        <v>0</v>
      </c>
      <c r="M1970" s="6">
        <v>0</v>
      </c>
      <c r="N1970" s="6">
        <v>0</v>
      </c>
      <c r="O1970" s="4">
        <f>SUM(I1970:N1970)</f>
        <v>1265945.48419</v>
      </c>
      <c r="P1970" s="5">
        <f>SUMIFS('Desenvolvimento diário'!$H:$H,'Desenvolvimento diário'!$Q:$Q,$B1970,'Desenvolvimento diário'!$P:$P,$F1970,'Desenvolvimento diário'!$R:$R,"Sim")</f>
        <v>0</v>
      </c>
      <c r="Q1970" s="5">
        <f>SUMIFS('Desenvolvimento diário'!$H:$H,'Desenvolvimento diário'!$Q:$Q,$B1970,'Desenvolvimento diário'!$P:$P,$F1970,'Desenvolvimento diário'!$R:$R,"Não")</f>
        <v>1265945.48419</v>
      </c>
      <c r="R1970" s="4">
        <f>SUM(P1970:Q1970)</f>
        <v>1265945.48419</v>
      </c>
      <c r="S1970" s="4">
        <f>O1970-R1970</f>
        <v>0</v>
      </c>
      <c r="T1970" s="12">
        <f>IFERROR(R1970/O1970,0)</f>
        <v>1</v>
      </c>
      <c r="Y1970" s="2"/>
      <c r="Z1970" s="2"/>
      <c r="AA1970" s="2"/>
      <c r="AB1970" s="2"/>
      <c r="AC1970" s="2"/>
    </row>
    <row r="1971" spans="1:29" ht="10.5" hidden="1">
      <c r="A1971" s="2">
        <f>A1970</f>
        <v>57</v>
      </c>
      <c r="B1971" s="2" t="str">
        <f>VLOOKUP($A1971,Controle!$B$4:$F$68,2,FALSE)</f>
        <v>Varginha 1</v>
      </c>
      <c r="C1971" s="2" t="str">
        <f>VLOOKUP($A1971,Controle!$B$4:$F$68,3,FALSE)</f>
        <v>MORI MINAS IV</v>
      </c>
      <c r="D1971" s="2" t="str">
        <f>VLOOKUP($A1971,Controle!$B$4:$F$68,4,FALSE)</f>
        <v>NewCo IV</v>
      </c>
      <c r="E1971" s="2">
        <f>VLOOKUP($A1971,Controle!$B$4:$F$68,5,FALSE)</f>
        <v>1</v>
      </c>
      <c r="F1971" s="3" t="str">
        <f>F1936</f>
        <v>Desenvolvimento de projeto - Projetos - (Eng° Proprietario)</v>
      </c>
      <c r="G1971" s="2" t="str">
        <f>VLOOKUP($A1971,Controle!$B$4:$G$68,6,FALSE)</f>
        <v>Solatio</v>
      </c>
      <c r="H1971" s="6" t="s">
        <v>145</v>
      </c>
      <c r="I1971" s="6">
        <v>0</v>
      </c>
      <c r="J1971" s="6">
        <v>0</v>
      </c>
      <c r="K1971" s="6">
        <v>0</v>
      </c>
      <c r="L1971" s="6">
        <v>0</v>
      </c>
      <c r="M1971" s="6">
        <v>0</v>
      </c>
      <c r="N1971" s="6">
        <v>0</v>
      </c>
      <c r="O1971" s="4">
        <f>SUM(I1971:N1971)</f>
        <v>0</v>
      </c>
      <c r="P1971" s="5">
        <f>SUMIFS('Desenvolvimento diário'!$H:$H,'Desenvolvimento diário'!$Q:$Q,$B1971,'Desenvolvimento diário'!$P:$P,$F1971,'Desenvolvimento diário'!$R:$R,"Sim")</f>
        <v>0</v>
      </c>
      <c r="Q1971" s="5">
        <f>SUMIFS('Desenvolvimento diário'!$H:$H,'Desenvolvimento diário'!$Q:$Q,$B1971,'Desenvolvimento diário'!$P:$P,$F1971,'Desenvolvimento diário'!$R:$R,"Não")</f>
        <v>0</v>
      </c>
      <c r="R1971" s="4">
        <f>SUM(P1971:Q1971)</f>
        <v>0</v>
      </c>
      <c r="S1971" s="4">
        <f>O1971-R1971</f>
        <v>0</v>
      </c>
      <c r="T1971" s="12">
        <f>IFERROR(R1971/O1971,0)</f>
        <v>0</v>
      </c>
      <c r="Y1971" s="2"/>
      <c r="Z1971" s="2"/>
      <c r="AA1971" s="2"/>
      <c r="AB1971" s="2"/>
      <c r="AC1971" s="2"/>
    </row>
    <row r="1972" spans="1:29" ht="10.5" hidden="1">
      <c r="A1972" s="2">
        <f>A1971</f>
        <v>57</v>
      </c>
      <c r="B1972" s="2" t="str">
        <f>VLOOKUP($A1972,Controle!$B$4:$F$68,2,FALSE)</f>
        <v>Varginha 1</v>
      </c>
      <c r="C1972" s="2" t="str">
        <f>VLOOKUP($A1972,Controle!$B$4:$F$68,3,FALSE)</f>
        <v>MORI MINAS IV</v>
      </c>
      <c r="D1972" s="2" t="str">
        <f>VLOOKUP($A1972,Controle!$B$4:$F$68,4,FALSE)</f>
        <v>NewCo IV</v>
      </c>
      <c r="E1972" s="2">
        <f>VLOOKUP($A1972,Controle!$B$4:$F$68,5,FALSE)</f>
        <v>1</v>
      </c>
      <c r="F1972" s="3" t="str">
        <f>F1937</f>
        <v>Desenvolvimento de projeto - Projetos - Executivos</v>
      </c>
      <c r="G1972" s="2" t="str">
        <f>VLOOKUP($A1972,Controle!$B$4:$G$68,6,FALSE)</f>
        <v>Solatio</v>
      </c>
      <c r="H1972" s="6" t="s">
        <v>146</v>
      </c>
      <c r="I1972" s="6">
        <v>36466.699999999997</v>
      </c>
      <c r="J1972" s="6">
        <v>0</v>
      </c>
      <c r="K1972" s="6">
        <v>0</v>
      </c>
      <c r="L1972" s="6">
        <v>0</v>
      </c>
      <c r="M1972" s="6">
        <v>0</v>
      </c>
      <c r="N1972" s="6">
        <v>0</v>
      </c>
      <c r="O1972" s="4">
        <f>SUM(I1972:N1972)</f>
        <v>36466.699999999997</v>
      </c>
      <c r="P1972" s="5">
        <f>SUMIFS('Desenvolvimento diário'!$H:$H,'Desenvolvimento diário'!$Q:$Q,$B1972,'Desenvolvimento diário'!$P:$P,$F1972,'Desenvolvimento diário'!$R:$R,"Sim")</f>
        <v>0</v>
      </c>
      <c r="Q1972" s="5">
        <f>SUMIFS('Desenvolvimento diário'!$H:$H,'Desenvolvimento diário'!$Q:$Q,$B1972,'Desenvolvimento diário'!$P:$P,$F1972,'Desenvolvimento diário'!$R:$R,"Não")</f>
        <v>36466.699999999997</v>
      </c>
      <c r="R1972" s="4">
        <f>SUM(P1972:Q1972)</f>
        <v>36466.699999999997</v>
      </c>
      <c r="S1972" s="4">
        <f>O1972-R1972</f>
        <v>0</v>
      </c>
      <c r="T1972" s="12">
        <f>IFERROR(R1972/O1972,0)</f>
        <v>1</v>
      </c>
      <c r="Y1972" s="2"/>
      <c r="Z1972" s="2"/>
      <c r="AA1972" s="2"/>
      <c r="AB1972" s="2"/>
      <c r="AC1972" s="2"/>
    </row>
    <row r="1973" spans="1:29" ht="10.5" hidden="1">
      <c r="A1973" s="2">
        <f>A1972</f>
        <v>57</v>
      </c>
      <c r="B1973" s="2" t="str">
        <f>VLOOKUP($A1973,Controle!$B$4:$F$68,2,FALSE)</f>
        <v>Varginha 1</v>
      </c>
      <c r="C1973" s="2" t="str">
        <f>VLOOKUP($A1973,Controle!$B$4:$F$68,3,FALSE)</f>
        <v>MORI MINAS IV</v>
      </c>
      <c r="D1973" s="2" t="str">
        <f>VLOOKUP($A1973,Controle!$B$4:$F$68,4,FALSE)</f>
        <v>NewCo IV</v>
      </c>
      <c r="E1973" s="2">
        <f>VLOOKUP($A1973,Controle!$B$4:$F$68,5,FALSE)</f>
        <v>1</v>
      </c>
      <c r="F1973" s="3" t="str">
        <f>F1938</f>
        <v>Desenvolvimento de projeto - Projetos Básica</v>
      </c>
      <c r="G1973" s="2" t="str">
        <f>VLOOKUP($A1973,Controle!$B$4:$G$68,6,FALSE)</f>
        <v>Solatio</v>
      </c>
      <c r="H1973" s="6">
        <v>0</v>
      </c>
      <c r="I1973" s="6">
        <v>0</v>
      </c>
      <c r="J1973" s="6">
        <v>0</v>
      </c>
      <c r="K1973" s="6">
        <v>0</v>
      </c>
      <c r="L1973" s="6">
        <v>0</v>
      </c>
      <c r="M1973" s="6">
        <v>0</v>
      </c>
      <c r="N1973" s="6">
        <v>0</v>
      </c>
      <c r="O1973" s="4">
        <f>SUM(I1973:N1973)</f>
        <v>0</v>
      </c>
      <c r="P1973" s="5">
        <f>SUMIFS('Desenvolvimento diário'!$H:$H,'Desenvolvimento diário'!$Q:$Q,$B1973,'Desenvolvimento diário'!$P:$P,$F1973,'Desenvolvimento diário'!$R:$R,"Sim")</f>
        <v>0</v>
      </c>
      <c r="Q1973" s="5">
        <f>SUMIFS('Desenvolvimento diário'!$H:$H,'Desenvolvimento diário'!$Q:$Q,$B1973,'Desenvolvimento diário'!$P:$P,$F1973,'Desenvolvimento diário'!$R:$R,"Não")</f>
        <v>0</v>
      </c>
      <c r="R1973" s="4">
        <f>SUM(P1973:Q1973)</f>
        <v>0</v>
      </c>
      <c r="S1973" s="4">
        <f>O1973-R1973</f>
        <v>0</v>
      </c>
      <c r="T1973" s="12">
        <f>IFERROR(R1973/O1973,0)</f>
        <v>0</v>
      </c>
      <c r="Y1973" s="2"/>
      <c r="Z1973" s="2"/>
      <c r="AA1973" s="2"/>
      <c r="AB1973" s="2"/>
      <c r="AC1973" s="2"/>
    </row>
    <row r="1974" spans="1:29" ht="10.5" hidden="1">
      <c r="A1974" s="2">
        <f>A1973</f>
        <v>57</v>
      </c>
      <c r="B1974" s="2" t="str">
        <f>VLOOKUP($A1974,Controle!$B$4:$F$68,2,FALSE)</f>
        <v>Varginha 1</v>
      </c>
      <c r="C1974" s="2" t="str">
        <f>VLOOKUP($A1974,Controle!$B$4:$F$68,3,FALSE)</f>
        <v>MORI MINAS IV</v>
      </c>
      <c r="D1974" s="2" t="str">
        <f>VLOOKUP($A1974,Controle!$B$4:$F$68,4,FALSE)</f>
        <v>NewCo IV</v>
      </c>
      <c r="E1974" s="2">
        <f>VLOOKUP($A1974,Controle!$B$4:$F$68,5,FALSE)</f>
        <v>1</v>
      </c>
      <c r="F1974" s="3" t="str">
        <f>F1939</f>
        <v>Desenvolvimento de projeto - Projetos Detalhada</v>
      </c>
      <c r="G1974" s="2" t="str">
        <f>VLOOKUP($A1974,Controle!$B$4:$G$68,6,FALSE)</f>
        <v>Solatio</v>
      </c>
      <c r="H1974" s="6">
        <v>0</v>
      </c>
      <c r="I1974" s="6">
        <v>0</v>
      </c>
      <c r="J1974" s="6">
        <v>0</v>
      </c>
      <c r="K1974" s="6">
        <v>0</v>
      </c>
      <c r="L1974" s="6">
        <v>0</v>
      </c>
      <c r="M1974" s="6">
        <v>0</v>
      </c>
      <c r="N1974" s="6">
        <v>0</v>
      </c>
      <c r="O1974" s="4">
        <f>SUM(I1974:N1974)</f>
        <v>0</v>
      </c>
      <c r="P1974" s="5">
        <f>SUMIFS('Desenvolvimento diário'!$H:$H,'Desenvolvimento diário'!$Q:$Q,$B1974,'Desenvolvimento diário'!$P:$P,$F1974,'Desenvolvimento diário'!$R:$R,"Sim")</f>
        <v>0</v>
      </c>
      <c r="Q1974" s="5">
        <f>SUMIFS('Desenvolvimento diário'!$H:$H,'Desenvolvimento diário'!$Q:$Q,$B1974,'Desenvolvimento diário'!$P:$P,$F1974,'Desenvolvimento diário'!$R:$R,"Não")</f>
        <v>0</v>
      </c>
      <c r="R1974" s="4">
        <f>SUM(P1974:Q1974)</f>
        <v>0</v>
      </c>
      <c r="S1974" s="4">
        <f>O1974-R1974</f>
        <v>0</v>
      </c>
      <c r="T1974" s="12">
        <f>IFERROR(R1974/O1974,0)</f>
        <v>0</v>
      </c>
      <c r="Y1974" s="2"/>
      <c r="Z1974" s="2"/>
      <c r="AA1974" s="2"/>
      <c r="AB1974" s="2"/>
      <c r="AC1974" s="2"/>
    </row>
    <row r="1975" spans="1:29" ht="10.5" hidden="1">
      <c r="A1975" s="2">
        <f>A1974</f>
        <v>57</v>
      </c>
      <c r="B1975" s="2" t="str">
        <f>VLOOKUP($A1975,Controle!$B$4:$F$68,2,FALSE)</f>
        <v>Varginha 1</v>
      </c>
      <c r="C1975" s="2" t="str">
        <f>VLOOKUP($A1975,Controle!$B$4:$F$68,3,FALSE)</f>
        <v>MORI MINAS IV</v>
      </c>
      <c r="D1975" s="2" t="str">
        <f>VLOOKUP($A1975,Controle!$B$4:$F$68,4,FALSE)</f>
        <v>NewCo IV</v>
      </c>
      <c r="E1975" s="2">
        <f>VLOOKUP($A1975,Controle!$B$4:$F$68,5,FALSE)</f>
        <v>1</v>
      </c>
      <c r="F1975" s="3" t="str">
        <f>F1940</f>
        <v>Desenvolvimento de projeto - Ambiental / Outros</v>
      </c>
      <c r="G1975" s="2" t="str">
        <f>VLOOKUP($A1975,Controle!$B$4:$G$68,6,FALSE)</f>
        <v>Solatio</v>
      </c>
      <c r="H1975" s="6" t="s">
        <v>148</v>
      </c>
      <c r="I1975" s="6">
        <f>R1975</f>
        <v>273163.87</v>
      </c>
      <c r="J1975" s="6">
        <v>0</v>
      </c>
      <c r="K1975" s="6">
        <v>0</v>
      </c>
      <c r="L1975" s="6">
        <v>0</v>
      </c>
      <c r="M1975" s="6">
        <v>0</v>
      </c>
      <c r="N1975" s="6">
        <v>0</v>
      </c>
      <c r="O1975" s="4">
        <f>SUM(I1975:N1975)</f>
        <v>273163.87</v>
      </c>
      <c r="P1975" s="5">
        <f>SUMIFS('Desenvolvimento diário'!$H:$H,'Desenvolvimento diário'!$Q:$Q,$B1975,'Desenvolvimento diário'!$P:$P,$F1975,'Desenvolvimento diário'!$R:$R,"Sim")</f>
        <v>0</v>
      </c>
      <c r="Q1975" s="5">
        <f>SUMIFS('Desenvolvimento diário'!$H:$H,'Desenvolvimento diário'!$Q:$Q,$B1975,'Desenvolvimento diário'!$P:$P,$F1975,'Desenvolvimento diário'!$R:$R,"Não")</f>
        <v>273163.87</v>
      </c>
      <c r="R1975" s="4">
        <f>SUM(P1975:Q1975)</f>
        <v>273163.87</v>
      </c>
      <c r="S1975" s="4">
        <f>O1975-R1975</f>
        <v>0</v>
      </c>
      <c r="T1975" s="12">
        <f>IFERROR(R1975/O1975,0)</f>
        <v>1</v>
      </c>
      <c r="Y1975" s="2"/>
      <c r="Z1975" s="2"/>
      <c r="AA1975" s="2"/>
      <c r="AB1975" s="2"/>
      <c r="AC1975" s="2"/>
    </row>
    <row r="1976" spans="1:29" hidden="1">
      <c r="A1976" s="2">
        <f>A1975</f>
        <v>57</v>
      </c>
      <c r="B1976" s="2" t="str">
        <f>VLOOKUP($A1976,Controle!$B$4:$F$68,2,FALSE)</f>
        <v>Varginha 1</v>
      </c>
      <c r="C1976" s="2" t="str">
        <f>VLOOKUP($A1976,Controle!$B$4:$F$68,3,FALSE)</f>
        <v>MORI MINAS IV</v>
      </c>
      <c r="D1976" s="2" t="str">
        <f>VLOOKUP($A1976,Controle!$B$4:$F$68,4,FALSE)</f>
        <v>NewCo IV</v>
      </c>
      <c r="E1976" s="2">
        <f>VLOOKUP($A1976,Controle!$B$4:$F$68,5,FALSE)</f>
        <v>1</v>
      </c>
      <c r="F1976" s="3" t="str">
        <f>F1941</f>
        <v>Desenvolvimento de projeto - Coordenograma</v>
      </c>
      <c r="G1976" s="2" t="str">
        <f>VLOOKUP($A1976,Controle!$B$4:$G$68,6,FALSE)</f>
        <v>Solatio</v>
      </c>
      <c r="H1976" s="31" t="s">
        <v>149</v>
      </c>
      <c r="I1976" s="31">
        <v>6206.9</v>
      </c>
      <c r="J1976" s="31">
        <v>2281.25</v>
      </c>
      <c r="K1976" s="31">
        <v>0</v>
      </c>
      <c r="L1976" s="6">
        <v>0</v>
      </c>
      <c r="M1976" s="6">
        <v>0</v>
      </c>
      <c r="N1976" s="6">
        <v>0</v>
      </c>
      <c r="O1976" s="4">
        <f>SUM(I1976:N1976)</f>
        <v>8488.15</v>
      </c>
      <c r="P1976" s="5">
        <f>SUMIFS('Desenvolvimento diário'!$H:$H,'Desenvolvimento diário'!$Q:$Q,$B1976,'Desenvolvimento diário'!$P:$P,$F1976,'Desenvolvimento diário'!$R:$R,"Sim")</f>
        <v>0</v>
      </c>
      <c r="Q1976" s="5">
        <f>SUMIFS('Desenvolvimento diário'!$H:$H,'Desenvolvimento diário'!$Q:$Q,$B1976,'Desenvolvimento diário'!$P:$P,$F1976,'Desenvolvimento diário'!$R:$R,"Não")</f>
        <v>8488.15</v>
      </c>
      <c r="R1976" s="4">
        <f>SUM(P1976:Q1976)</f>
        <v>8488.15</v>
      </c>
      <c r="S1976" s="4">
        <f>O1976-R1976</f>
        <v>0</v>
      </c>
      <c r="T1976" s="12">
        <f>IFERROR(R1976/O1976,0)</f>
        <v>1</v>
      </c>
      <c r="Y1976" s="2"/>
      <c r="Z1976" s="2"/>
      <c r="AA1976" s="2"/>
      <c r="AB1976" s="2"/>
      <c r="AC1976" s="2"/>
    </row>
    <row r="1977" spans="1:29" ht="10.5" hidden="1">
      <c r="A1977" s="2">
        <f>A1976</f>
        <v>57</v>
      </c>
      <c r="B1977" s="2" t="str">
        <f>VLOOKUP($A1977,Controle!$B$4:$F$68,2,FALSE)</f>
        <v>Varginha 1</v>
      </c>
      <c r="C1977" s="2" t="str">
        <f>VLOOKUP($A1977,Controle!$B$4:$F$68,3,FALSE)</f>
        <v>MORI MINAS IV</v>
      </c>
      <c r="D1977" s="2" t="str">
        <f>VLOOKUP($A1977,Controle!$B$4:$F$68,4,FALSE)</f>
        <v>NewCo IV</v>
      </c>
      <c r="E1977" s="2">
        <f>VLOOKUP($A1977,Controle!$B$4:$F$68,5,FALSE)</f>
        <v>1</v>
      </c>
      <c r="F1977" s="3" t="str">
        <f>F1942</f>
        <v>Sistemas de Monitoramento - Supervisório</v>
      </c>
      <c r="G1977" s="2" t="str">
        <f>VLOOKUP($A1977,Controle!$B$4:$G$68,6,FALSE)</f>
        <v>Solatio</v>
      </c>
      <c r="H1977" s="6" t="s">
        <v>150</v>
      </c>
      <c r="I1977" s="6">
        <v>136154.98000000001</v>
      </c>
      <c r="J1977" s="6"/>
      <c r="K1977" s="6">
        <v>0</v>
      </c>
      <c r="L1977" s="6">
        <v>0</v>
      </c>
      <c r="M1977" s="6">
        <v>0</v>
      </c>
      <c r="N1977" s="6">
        <v>0</v>
      </c>
      <c r="O1977" s="4">
        <f>SUM(I1977:N1977)</f>
        <v>136154.98000000001</v>
      </c>
      <c r="P1977" s="5">
        <f>SUMIFS('Desenvolvimento diário'!$H:$H,'Desenvolvimento diário'!$Q:$Q,$B1977,'Desenvolvimento diário'!$P:$P,$F1977,'Desenvolvimento diário'!$R:$R,"Sim")</f>
        <v>2477.98</v>
      </c>
      <c r="Q1977" s="5">
        <f>SUMIFS('Desenvolvimento diário'!$H:$H,'Desenvolvimento diário'!$Q:$Q,$B1977,'Desenvolvimento diário'!$P:$P,$F1977,'Desenvolvimento diário'!$R:$R,"Não")</f>
        <v>133677</v>
      </c>
      <c r="R1977" s="4">
        <f>SUM(P1977:Q1977)</f>
        <v>136154.98000000001</v>
      </c>
      <c r="S1977" s="4">
        <f>O1977-R1977</f>
        <v>0</v>
      </c>
      <c r="T1977" s="12">
        <f>IFERROR(R1977/O1977,0)</f>
        <v>1</v>
      </c>
      <c r="Y1977" s="2"/>
      <c r="Z1977" s="2"/>
      <c r="AA1977" s="2"/>
      <c r="AB1977" s="2"/>
      <c r="AC1977" s="2"/>
    </row>
    <row r="1978" spans="1:29" ht="10.5" hidden="1">
      <c r="A1978" s="2">
        <f>A1977</f>
        <v>57</v>
      </c>
      <c r="B1978" s="2" t="str">
        <f>VLOOKUP($A1978,Controle!$B$4:$F$68,2,FALSE)</f>
        <v>Varginha 1</v>
      </c>
      <c r="C1978" s="2" t="str">
        <f>VLOOKUP($A1978,Controle!$B$4:$F$68,3,FALSE)</f>
        <v>MORI MINAS IV</v>
      </c>
      <c r="D1978" s="2" t="str">
        <f>VLOOKUP($A1978,Controle!$B$4:$F$68,4,FALSE)</f>
        <v>NewCo IV</v>
      </c>
      <c r="E1978" s="2">
        <f>VLOOKUP($A1978,Controle!$B$4:$F$68,5,FALSE)</f>
        <v>1</v>
      </c>
      <c r="F1978" s="3" t="str">
        <f>F1943</f>
        <v>Sistemas de Monitoramento - Estações Solarimétricas</v>
      </c>
      <c r="G1978" s="2" t="str">
        <f>VLOOKUP($A1978,Controle!$B$4:$G$68,6,FALSE)</f>
        <v>Solatio</v>
      </c>
      <c r="H1978" s="6" t="s">
        <v>151</v>
      </c>
      <c r="I1978" s="6">
        <v>48276.516000000003</v>
      </c>
      <c r="J1978" s="6">
        <v>0</v>
      </c>
      <c r="K1978" s="6">
        <v>0</v>
      </c>
      <c r="L1978" s="6">
        <v>0</v>
      </c>
      <c r="M1978" s="6">
        <v>0</v>
      </c>
      <c r="N1978" s="6">
        <v>0</v>
      </c>
      <c r="O1978" s="4">
        <f>SUM(I1978:N1978)</f>
        <v>48276.516000000003</v>
      </c>
      <c r="P1978" s="5">
        <f>SUMIFS('Desenvolvimento diário'!$H:$H,'Desenvolvimento diário'!$Q:$Q,$B1978,'Desenvolvimento diário'!$P:$P,$F1978,'Desenvolvimento diário'!$R:$R,"Sim")</f>
        <v>0</v>
      </c>
      <c r="Q1978" s="5">
        <f>SUMIFS('Desenvolvimento diário'!$H:$H,'Desenvolvimento diário'!$Q:$Q,$B1978,'Desenvolvimento diário'!$P:$P,$F1978,'Desenvolvimento diário'!$R:$R,"Não")</f>
        <v>48276.516000000003</v>
      </c>
      <c r="R1978" s="4">
        <f>SUM(P1978:Q1978)</f>
        <v>48276.516000000003</v>
      </c>
      <c r="S1978" s="4">
        <f>O1978-R1978</f>
        <v>0</v>
      </c>
      <c r="T1978" s="12">
        <f>IFERROR(R1978/O1978,0)</f>
        <v>1</v>
      </c>
      <c r="Y1978" s="2"/>
      <c r="Z1978" s="2"/>
      <c r="AA1978" s="2"/>
      <c r="AB1978" s="2"/>
      <c r="AC1978" s="2"/>
    </row>
    <row r="1979" spans="1:29" hidden="1">
      <c r="A1979" s="2">
        <f>A1978</f>
        <v>57</v>
      </c>
      <c r="B1979" s="2" t="str">
        <f>VLOOKUP($A1979,Controle!$B$4:$F$68,2,FALSE)</f>
        <v>Varginha 1</v>
      </c>
      <c r="C1979" s="2" t="str">
        <f>VLOOKUP($A1979,Controle!$B$4:$F$68,3,FALSE)</f>
        <v>MORI MINAS IV</v>
      </c>
      <c r="D1979" s="2" t="str">
        <f>VLOOKUP($A1979,Controle!$B$4:$F$68,4,FALSE)</f>
        <v>NewCo IV</v>
      </c>
      <c r="E1979" s="2">
        <f>VLOOKUP($A1979,Controle!$B$4:$F$68,5,FALSE)</f>
        <v>1</v>
      </c>
      <c r="F1979" s="3" t="str">
        <f>F1944</f>
        <v>Sistemas de Monitoramento - CFTV</v>
      </c>
      <c r="G1979" s="2" t="str">
        <f>VLOOKUP($A1979,Controle!$B$4:$G$68,6,FALSE)</f>
        <v>Solatio</v>
      </c>
      <c r="H1979" s="31" t="s">
        <v>152</v>
      </c>
      <c r="I1979" s="6">
        <v>289678.39</v>
      </c>
      <c r="J1979" s="6">
        <v>0</v>
      </c>
      <c r="K1979" s="1068">
        <v>14384.2</v>
      </c>
      <c r="L1979" s="6">
        <v>0</v>
      </c>
      <c r="M1979" s="6">
        <v>0</v>
      </c>
      <c r="N1979" s="6"/>
      <c r="O1979" s="4">
        <f>SUM(I1979:N1979)</f>
        <v>304062.59000000003</v>
      </c>
      <c r="P1979" s="5">
        <f>SUMIFS('Desenvolvimento diário'!$H:$H,'Desenvolvimento diário'!$Q:$Q,$B1979,'Desenvolvimento diário'!$P:$P,$F1979,'Desenvolvimento diário'!$R:$R,"Sim")</f>
        <v>0</v>
      </c>
      <c r="Q1979" s="5">
        <f>SUMIFS('Desenvolvimento diário'!$H:$H,'Desenvolvimento diário'!$Q:$Q,$B1979,'Desenvolvimento diário'!$P:$P,$F1979,'Desenvolvimento diário'!$R:$R,"Não")</f>
        <v>304062.58999999997</v>
      </c>
      <c r="R1979" s="4">
        <f>SUM(P1979:Q1979)</f>
        <v>304062.58999999997</v>
      </c>
      <c r="S1979" s="1020">
        <f>O1979-R1979</f>
        <v>0</v>
      </c>
      <c r="T1979" s="12">
        <f>IFERROR(R1979/O1979,0)</f>
        <v>0.99999999999999978</v>
      </c>
      <c r="U1979" s="1021" t="s">
        <v>166</v>
      </c>
      <c r="V1979" s="1021" t="s">
        <v>215</v>
      </c>
      <c r="Y1979" s="2"/>
      <c r="Z1979" s="2"/>
      <c r="AA1979" s="2"/>
      <c r="AB1979" s="2"/>
      <c r="AC1979" s="2"/>
    </row>
    <row r="1980" spans="1:29" ht="10.5" hidden="1">
      <c r="A1980" s="2">
        <f>A1979</f>
        <v>57</v>
      </c>
      <c r="B1980" s="2" t="str">
        <f>VLOOKUP($A1980,Controle!$B$4:$F$68,2,FALSE)</f>
        <v>Varginha 1</v>
      </c>
      <c r="C1980" s="2" t="str">
        <f>VLOOKUP($A1980,Controle!$B$4:$F$68,3,FALSE)</f>
        <v>MORI MINAS IV</v>
      </c>
      <c r="D1980" s="2" t="str">
        <f>VLOOKUP($A1980,Controle!$B$4:$F$68,4,FALSE)</f>
        <v>NewCo IV</v>
      </c>
      <c r="E1980" s="2">
        <f>VLOOKUP($A1980,Controle!$B$4:$F$68,5,FALSE)</f>
        <v>1</v>
      </c>
      <c r="F1980" s="3" t="str">
        <f>F1945</f>
        <v>Serviços Auxiliares - Drenagem</v>
      </c>
      <c r="G1980" s="2" t="str">
        <f>VLOOKUP($A1980,Controle!$B$4:$G$68,6,FALSE)</f>
        <v>Solatio</v>
      </c>
      <c r="H1980" s="6" t="s">
        <v>214</v>
      </c>
      <c r="I1980" s="6">
        <f>1126034.15-0.004</f>
        <v>1126034.1459999999</v>
      </c>
      <c r="J1980" s="6">
        <v>0</v>
      </c>
      <c r="K1980" s="6">
        <v>0</v>
      </c>
      <c r="L1980" s="6">
        <v>0</v>
      </c>
      <c r="M1980" s="6">
        <v>0</v>
      </c>
      <c r="N1980" s="6">
        <v>0</v>
      </c>
      <c r="O1980" s="4">
        <f>SUM(I1980:N1980)</f>
        <v>1126034.1459999999</v>
      </c>
      <c r="P1980" s="5">
        <f>SUMIFS('Desenvolvimento diário'!$H:$H,'Desenvolvimento diário'!$Q:$Q,$B1980,'Desenvolvimento diário'!$P:$P,$F1980,'Desenvolvimento diário'!$R:$R,"Sim")</f>
        <v>0</v>
      </c>
      <c r="Q1980" s="5">
        <f>SUMIFS('Desenvolvimento diário'!$H:$H,'Desenvolvimento diário'!$Q:$Q,$B1980,'Desenvolvimento diário'!$P:$P,$F1980,'Desenvolvimento diário'!$R:$R,"Não")</f>
        <v>1126034.1459999997</v>
      </c>
      <c r="R1980" s="4">
        <f>SUM(P1980:Q1980)</f>
        <v>1126034.1459999997</v>
      </c>
      <c r="S1980" s="93">
        <f>O1980-R1980</f>
        <v>0</v>
      </c>
      <c r="T1980" s="12">
        <f>IFERROR(R1980/O1980,0)</f>
        <v>0.99999999999999978</v>
      </c>
      <c r="Y1980" s="2"/>
      <c r="Z1980" s="2"/>
      <c r="AA1980" s="2"/>
      <c r="AB1980" s="2"/>
      <c r="AC1980" s="2"/>
    </row>
    <row r="1981" spans="1:29" ht="10.5" hidden="1">
      <c r="A1981" s="2">
        <f>A1980</f>
        <v>57</v>
      </c>
      <c r="B1981" s="2" t="str">
        <f>VLOOKUP($A1981,Controle!$B$4:$F$68,2,FALSE)</f>
        <v>Varginha 1</v>
      </c>
      <c r="C1981" s="2" t="str">
        <f>VLOOKUP($A1981,Controle!$B$4:$F$68,3,FALSE)</f>
        <v>MORI MINAS IV</v>
      </c>
      <c r="D1981" s="2" t="str">
        <f>VLOOKUP($A1981,Controle!$B$4:$F$68,4,FALSE)</f>
        <v>NewCo IV</v>
      </c>
      <c r="E1981" s="2">
        <f>VLOOKUP($A1981,Controle!$B$4:$F$68,5,FALSE)</f>
        <v>1</v>
      </c>
      <c r="F1981" s="3" t="str">
        <f>F1946</f>
        <v>Serviços Auxiliares - Terraplanagem</v>
      </c>
      <c r="G1981" s="2" t="str">
        <f>VLOOKUP($A1981,Controle!$B$4:$G$68,6,FALSE)</f>
        <v>Solatio</v>
      </c>
      <c r="H1981" s="6" t="s">
        <v>214</v>
      </c>
      <c r="I1981" s="6">
        <v>624332.36</v>
      </c>
      <c r="J1981" s="6">
        <v>336972.46</v>
      </c>
      <c r="K1981" s="6">
        <v>343334.53</v>
      </c>
      <c r="L1981" s="6">
        <f>18275-0.08</f>
        <v>18274.919999999998</v>
      </c>
      <c r="M1981" s="6"/>
      <c r="N1981" s="6">
        <v>0</v>
      </c>
      <c r="O1981" s="4">
        <f>SUM(I1981:N1981)</f>
        <v>1322914.27</v>
      </c>
      <c r="P1981" s="5">
        <f>SUMIFS('Desenvolvimento diário'!$H:$H,'Desenvolvimento diário'!$Q:$Q,$B1981,'Desenvolvimento diário'!$P:$P,$F1981,'Desenvolvimento diário'!$R:$R,"Sim")</f>
        <v>0</v>
      </c>
      <c r="Q1981" s="5">
        <f>SUMIFS('Desenvolvimento diário'!$H:$H,'Desenvolvimento diário'!$Q:$Q,$B1981,'Desenvolvimento diário'!$P:$P,$F1981,'Desenvolvimento diário'!$R:$R,"Não")</f>
        <v>1322914.27</v>
      </c>
      <c r="R1981" s="4">
        <f>SUM(P1981:Q1981)</f>
        <v>1322914.27</v>
      </c>
      <c r="S1981" s="190">
        <f>O1981-R1981</f>
        <v>0</v>
      </c>
      <c r="T1981" s="12">
        <f>IFERROR(R1981/O1981,0)</f>
        <v>1</v>
      </c>
      <c r="Y1981" s="2"/>
      <c r="Z1981" s="2"/>
      <c r="AA1981" s="2"/>
      <c r="AB1981" s="2"/>
      <c r="AC1981" s="2"/>
    </row>
    <row r="1982" spans="1:29" ht="10.5" hidden="1">
      <c r="A1982" s="2">
        <f>A1981</f>
        <v>57</v>
      </c>
      <c r="B1982" s="2" t="str">
        <f>VLOOKUP($A1982,Controle!$B$4:$F$68,2,FALSE)</f>
        <v>Varginha 1</v>
      </c>
      <c r="C1982" s="2" t="str">
        <f>VLOOKUP($A1982,Controle!$B$4:$F$68,3,FALSE)</f>
        <v>MORI MINAS IV</v>
      </c>
      <c r="D1982" s="2" t="str">
        <f>VLOOKUP($A1982,Controle!$B$4:$F$68,4,FALSE)</f>
        <v>NewCo IV</v>
      </c>
      <c r="E1982" s="2">
        <f>VLOOKUP($A1982,Controle!$B$4:$F$68,5,FALSE)</f>
        <v>1</v>
      </c>
      <c r="F1982" s="3" t="str">
        <f>F1947</f>
        <v>Serviços Auxiliares - Supressão Vegetal</v>
      </c>
      <c r="G1982" s="2" t="str">
        <f>VLOOKUP($A1982,Controle!$B$4:$G$68,6,FALSE)</f>
        <v>Solatio</v>
      </c>
      <c r="H1982" s="6" t="s">
        <v>220</v>
      </c>
      <c r="I1982" s="6">
        <v>38000</v>
      </c>
      <c r="J1982" s="6">
        <v>0</v>
      </c>
      <c r="K1982" s="6">
        <v>0</v>
      </c>
      <c r="L1982" s="6">
        <v>0</v>
      </c>
      <c r="M1982" s="6">
        <v>0</v>
      </c>
      <c r="N1982" s="6">
        <v>0</v>
      </c>
      <c r="O1982" s="4">
        <f>SUM(I1982:N1982)</f>
        <v>38000</v>
      </c>
      <c r="P1982" s="5">
        <f>SUMIFS('Desenvolvimento diário'!$H:$H,'Desenvolvimento diário'!$Q:$Q,$B1982,'Desenvolvimento diário'!$P:$P,$F1982,'Desenvolvimento diário'!$R:$R,"Sim")</f>
        <v>0</v>
      </c>
      <c r="Q1982" s="5">
        <f>SUMIFS('Desenvolvimento diário'!$H:$H,'Desenvolvimento diário'!$Q:$Q,$B1982,'Desenvolvimento diário'!$P:$P,$F1982,'Desenvolvimento diário'!$R:$R,"Não")</f>
        <v>38000</v>
      </c>
      <c r="R1982" s="4">
        <f>SUM(P1982:Q1982)</f>
        <v>38000</v>
      </c>
      <c r="S1982" s="4">
        <f>O1982-R1982</f>
        <v>0</v>
      </c>
      <c r="T1982" s="12">
        <f>IFERROR(R1982/O1982,0)</f>
        <v>1</v>
      </c>
      <c r="Y1982" s="2"/>
      <c r="Z1982" s="2"/>
      <c r="AA1982" s="2"/>
      <c r="AB1982" s="2"/>
      <c r="AC1982" s="2"/>
    </row>
    <row r="1983" spans="1:29" ht="10.5" hidden="1">
      <c r="A1983" s="2">
        <f>A1982</f>
        <v>57</v>
      </c>
      <c r="B1983" s="2" t="str">
        <f>VLOOKUP($A1983,Controle!$B$4:$F$68,2,FALSE)</f>
        <v>Varginha 1</v>
      </c>
      <c r="C1983" s="2" t="str">
        <f>VLOOKUP($A1983,Controle!$B$4:$F$68,3,FALSE)</f>
        <v>MORI MINAS IV</v>
      </c>
      <c r="D1983" s="2" t="str">
        <f>VLOOKUP($A1983,Controle!$B$4:$F$68,4,FALSE)</f>
        <v>NewCo IV</v>
      </c>
      <c r="E1983" s="2">
        <f>VLOOKUP($A1983,Controle!$B$4:$F$68,5,FALSE)</f>
        <v>1</v>
      </c>
      <c r="F1983" s="3" t="str">
        <f>F1948</f>
        <v>RDR-Rede de Distribuição Rural</v>
      </c>
      <c r="G1983" s="2" t="str">
        <f>VLOOKUP($A1983,Controle!$B$4:$G$68,6,FALSE)</f>
        <v>Solatio</v>
      </c>
      <c r="H1983" s="6" t="s">
        <v>141</v>
      </c>
      <c r="I1983" s="6">
        <v>178358</v>
      </c>
      <c r="J1983" s="6">
        <v>0</v>
      </c>
      <c r="K1983" s="6">
        <v>0</v>
      </c>
      <c r="L1983" s="6">
        <v>0</v>
      </c>
      <c r="M1983" s="6">
        <v>0</v>
      </c>
      <c r="N1983" s="6">
        <v>0</v>
      </c>
      <c r="O1983" s="4">
        <f>SUM(I1983:N1983)</f>
        <v>178358</v>
      </c>
      <c r="P1983" s="5">
        <f>SUMIFS('Desenvolvimento diário'!$H:$H,'Desenvolvimento diário'!$Q:$Q,$B1983,'Desenvolvimento diário'!$P:$P,$F1983,'Desenvolvimento diário'!$R:$R,"Sim")</f>
        <v>0</v>
      </c>
      <c r="Q1983" s="5">
        <f>SUMIFS('Desenvolvimento diário'!$H:$H,'Desenvolvimento diário'!$Q:$Q,$B1983,'Desenvolvimento diário'!$P:$P,$F1983,'Desenvolvimento diário'!$R:$R,"Não")</f>
        <v>178358</v>
      </c>
      <c r="R1983" s="4">
        <f>SUM(P1983:Q1983)</f>
        <v>178358</v>
      </c>
      <c r="S1983" s="4">
        <f>O1983-R1983</f>
        <v>0</v>
      </c>
      <c r="T1983" s="12">
        <f>IFERROR(R1983/O1983,0)</f>
        <v>1</v>
      </c>
      <c r="Y1983" s="2"/>
      <c r="Z1983" s="2"/>
      <c r="AA1983" s="2"/>
      <c r="AB1983" s="2"/>
      <c r="AC1983" s="2"/>
    </row>
    <row r="1984" spans="1:29" ht="10.5" hidden="1">
      <c r="A1984" s="2">
        <f>A1983</f>
        <v>57</v>
      </c>
      <c r="B1984" s="2" t="str">
        <f>VLOOKUP($A1984,Controle!$B$4:$F$68,2,FALSE)</f>
        <v>Varginha 1</v>
      </c>
      <c r="C1984" s="2" t="str">
        <f>VLOOKUP($A1984,Controle!$B$4:$F$68,3,FALSE)</f>
        <v>MORI MINAS IV</v>
      </c>
      <c r="D1984" s="2" t="str">
        <f>VLOOKUP($A1984,Controle!$B$4:$F$68,4,FALSE)</f>
        <v>NewCo IV</v>
      </c>
      <c r="E1984" s="2">
        <f>VLOOKUP($A1984,Controle!$B$4:$F$68,5,FALSE)</f>
        <v>1</v>
      </c>
      <c r="F1984" s="3" t="str">
        <f>F1949</f>
        <v>Escopo COMERC</v>
      </c>
      <c r="G1984" s="2" t="str">
        <f>VLOOKUP($A1984,Controle!$B$4:$G$68,6,FALSE)</f>
        <v>Solatio</v>
      </c>
      <c r="H1984" s="6">
        <v>0</v>
      </c>
      <c r="I1984" s="6">
        <v>180118.77</v>
      </c>
      <c r="J1984" s="29">
        <v>25000</v>
      </c>
      <c r="K1984" s="29"/>
      <c r="L1984" s="6">
        <v>0</v>
      </c>
      <c r="M1984" s="6">
        <v>0</v>
      </c>
      <c r="N1984" s="6">
        <v>0</v>
      </c>
      <c r="O1984" s="4">
        <f>SUM(I1984:N1984)</f>
        <v>205118.77</v>
      </c>
      <c r="P1984" s="5">
        <f>SUMIFS('Desenvolvimento diário'!$H:$H,'Desenvolvimento diário'!$Q:$Q,$B1984,'Desenvolvimento diário'!$P:$P,$F1984,'Desenvolvimento diário'!$R:$R,"Sim")</f>
        <v>0</v>
      </c>
      <c r="Q1984" s="5">
        <f>SUMIFS('Desenvolvimento diário'!$H:$H,'Desenvolvimento diário'!$Q:$Q,$B1984,'Desenvolvimento diário'!$P:$P,$F1984,'Desenvolvimento diário'!$R:$R,"Não")</f>
        <v>181117.55</v>
      </c>
      <c r="R1984" s="4">
        <f>SUM(P1984:Q1984)</f>
        <v>181117.55</v>
      </c>
      <c r="S1984" s="1010">
        <f>O1984-R1984</f>
        <v>24001.22</v>
      </c>
      <c r="T1984" s="12">
        <f>IFERROR(R1984/O1984,0)</f>
        <v>0.88298867041763174</v>
      </c>
      <c r="U1984" s="1011" t="s">
        <v>166</v>
      </c>
      <c r="V1984" s="1011" t="s">
        <v>167</v>
      </c>
      <c r="Y1984" s="2"/>
      <c r="Z1984" s="2"/>
      <c r="AA1984" s="2"/>
      <c r="AB1984" s="2"/>
      <c r="AC1984" s="2"/>
    </row>
    <row r="1985" spans="1:29" ht="10.5" hidden="1">
      <c r="A1985" s="2">
        <f>A1984</f>
        <v>57</v>
      </c>
      <c r="B1985" s="2" t="str">
        <f>VLOOKUP($A1985,Controle!$B$4:$F$68,2,FALSE)</f>
        <v>Varginha 1</v>
      </c>
      <c r="C1985" s="2" t="str">
        <f>VLOOKUP($A1985,Controle!$B$4:$F$68,3,FALSE)</f>
        <v>MORI MINAS IV</v>
      </c>
      <c r="D1985" s="2" t="str">
        <f>VLOOKUP($A1985,Controle!$B$4:$F$68,4,FALSE)</f>
        <v>NewCo IV</v>
      </c>
      <c r="E1985" s="2">
        <f>VLOOKUP($A1985,Controle!$B$4:$F$68,5,FALSE)</f>
        <v>1</v>
      </c>
      <c r="F1985" s="3" t="str">
        <f>F1950</f>
        <v>Escopo COMERC - Segurança</v>
      </c>
      <c r="G1985" s="2" t="str">
        <f>VLOOKUP($A1985,Controle!$B$4:$G$68,6,FALSE)</f>
        <v>Solatio</v>
      </c>
      <c r="H1985" s="6">
        <v>0</v>
      </c>
      <c r="I1985" s="6">
        <f>R1985</f>
        <v>174029.36</v>
      </c>
      <c r="J1985" s="6">
        <v>0</v>
      </c>
      <c r="K1985" s="6">
        <v>0</v>
      </c>
      <c r="L1985" s="6">
        <v>0</v>
      </c>
      <c r="M1985" s="6">
        <v>0</v>
      </c>
      <c r="N1985" s="6">
        <v>0</v>
      </c>
      <c r="O1985" s="4">
        <f>SUM(I1985:N1985)</f>
        <v>174029.36</v>
      </c>
      <c r="P1985" s="5">
        <f>SUMIFS('Desenvolvimento diário'!$H:$H,'Desenvolvimento diário'!$Q:$Q,$B1985,'Desenvolvimento diário'!$P:$P,$F1985,'Desenvolvimento diário'!$R:$R,"Sim")</f>
        <v>0</v>
      </c>
      <c r="Q1985" s="5">
        <f>SUMIFS('Desenvolvimento diário'!$H:$H,'Desenvolvimento diário'!$Q:$Q,$B1985,'Desenvolvimento diário'!$P:$P,$F1985,'Desenvolvimento diário'!$R:$R,"Não")</f>
        <v>174029.36</v>
      </c>
      <c r="R1985" s="4">
        <f>SUM(P1985:Q1985)</f>
        <v>174029.36</v>
      </c>
      <c r="S1985" s="4">
        <f>O1985-R1985</f>
        <v>0</v>
      </c>
      <c r="T1985" s="12">
        <f>IFERROR(R1985/O1985,0)</f>
        <v>1</v>
      </c>
      <c r="Y1985" s="2"/>
      <c r="Z1985" s="2"/>
      <c r="AA1985" s="2"/>
      <c r="AB1985" s="2"/>
      <c r="AC1985" s="2"/>
    </row>
    <row r="1986" spans="1:29" ht="10.5" hidden="1">
      <c r="A1986" s="2">
        <f>A1985</f>
        <v>57</v>
      </c>
      <c r="B1986" s="2" t="str">
        <f>VLOOKUP($A1986,Controle!$B$4:$F$68,2,FALSE)</f>
        <v>Varginha 1</v>
      </c>
      <c r="C1986" s="2" t="str">
        <f>VLOOKUP($A1986,Controle!$B$4:$F$68,3,FALSE)</f>
        <v>MORI MINAS IV</v>
      </c>
      <c r="D1986" s="2" t="str">
        <f>VLOOKUP($A1986,Controle!$B$4:$F$68,4,FALSE)</f>
        <v>NewCo IV</v>
      </c>
      <c r="E1986" s="2">
        <f>VLOOKUP($A1986,Controle!$B$4:$F$68,5,FALSE)</f>
        <v>1</v>
      </c>
      <c r="F1986" s="3" t="str">
        <f>F1951</f>
        <v>Conexão MT - Obras Transferencia</v>
      </c>
      <c r="G1986" s="2" t="str">
        <f>VLOOKUP($A1986,Controle!$B$4:$G$68,6,FALSE)</f>
        <v>Solatio</v>
      </c>
      <c r="H1986" s="6">
        <v>0</v>
      </c>
      <c r="I1986" s="6">
        <v>0</v>
      </c>
      <c r="J1986" s="6">
        <v>0</v>
      </c>
      <c r="K1986" s="6">
        <v>0</v>
      </c>
      <c r="L1986" s="6">
        <v>0</v>
      </c>
      <c r="M1986" s="6">
        <v>0</v>
      </c>
      <c r="N1986" s="6">
        <v>0</v>
      </c>
      <c r="O1986" s="4">
        <f>SUM(I1986:N1986)</f>
        <v>0</v>
      </c>
      <c r="P1986" s="5">
        <f>SUMIFS('Desenvolvimento diário'!$H:$H,'Desenvolvimento diário'!$Q:$Q,$B1986,'Desenvolvimento diário'!$P:$P,$F1986,'Desenvolvimento diário'!$R:$R,"Sim")</f>
        <v>0</v>
      </c>
      <c r="Q1986" s="5">
        <f>SUMIFS('Desenvolvimento diário'!$H:$H,'Desenvolvimento diário'!$Q:$Q,$B1986,'Desenvolvimento diário'!$P:$P,$F1986,'Desenvolvimento diário'!$R:$R,"Não")</f>
        <v>0</v>
      </c>
      <c r="R1986" s="4">
        <f>SUM(P1986:Q1986)</f>
        <v>0</v>
      </c>
      <c r="S1986" s="4">
        <f>O1986-R1986</f>
        <v>0</v>
      </c>
      <c r="T1986" s="12">
        <f>IFERROR(R1986/O1986,0)</f>
        <v>0</v>
      </c>
      <c r="Y1986" s="2"/>
      <c r="Z1986" s="2"/>
      <c r="AA1986" s="2"/>
      <c r="AB1986" s="2"/>
      <c r="AC1986" s="2"/>
    </row>
    <row r="1987" spans="1:29" ht="10.5" hidden="1">
      <c r="A1987" s="2">
        <f>A1986</f>
        <v>57</v>
      </c>
      <c r="B1987" s="2" t="str">
        <f>VLOOKUP($A1987,Controle!$B$4:$F$68,2,FALSE)</f>
        <v>Varginha 1</v>
      </c>
      <c r="C1987" s="2" t="str">
        <f>VLOOKUP($A1987,Controle!$B$4:$F$68,3,FALSE)</f>
        <v>MORI MINAS IV</v>
      </c>
      <c r="D1987" s="2" t="str">
        <f>VLOOKUP($A1987,Controle!$B$4:$F$68,4,FALSE)</f>
        <v>NewCo IV</v>
      </c>
      <c r="E1987" s="2">
        <f>VLOOKUP($A1987,Controle!$B$4:$F$68,5,FALSE)</f>
        <v>1</v>
      </c>
      <c r="F1987" s="3" t="str">
        <f>F1952</f>
        <v>Bases de Contaniers</v>
      </c>
      <c r="G1987" s="2" t="str">
        <f>VLOOKUP($A1987,Controle!$B$4:$G$68,6,FALSE)</f>
        <v>Solatio</v>
      </c>
      <c r="H1987" s="6">
        <v>0</v>
      </c>
      <c r="I1987" s="6">
        <v>0</v>
      </c>
      <c r="J1987" s="6">
        <v>0</v>
      </c>
      <c r="K1987" s="6">
        <v>0</v>
      </c>
      <c r="L1987" s="6">
        <v>0</v>
      </c>
      <c r="M1987" s="6">
        <v>0</v>
      </c>
      <c r="N1987" s="6">
        <v>0</v>
      </c>
      <c r="O1987" s="4">
        <f>SUM(I1987:N1987)</f>
        <v>0</v>
      </c>
      <c r="P1987" s="5">
        <f>SUMIFS('Desenvolvimento diário'!$H:$H,'Desenvolvimento diário'!$Q:$Q,$B1987,'Desenvolvimento diário'!$P:$P,$F1987,'Desenvolvimento diário'!$R:$R,"Sim")</f>
        <v>0</v>
      </c>
      <c r="Q1987" s="5">
        <f>SUMIFS('Desenvolvimento diário'!$H:$H,'Desenvolvimento diário'!$Q:$Q,$B1987,'Desenvolvimento diário'!$P:$P,$F1987,'Desenvolvimento diário'!$R:$R,"Não")</f>
        <v>0</v>
      </c>
      <c r="R1987" s="4">
        <f>SUM(P1987:Q1987)</f>
        <v>0</v>
      </c>
      <c r="S1987" s="4">
        <f>O1987-R1987</f>
        <v>0</v>
      </c>
      <c r="T1987" s="12">
        <f>IFERROR(R1987/O1987,0)</f>
        <v>0</v>
      </c>
      <c r="Y1987" s="2"/>
      <c r="Z1987" s="2"/>
      <c r="AA1987" s="2"/>
      <c r="AB1987" s="2"/>
      <c r="AC1987" s="2"/>
    </row>
    <row r="1988" spans="1:29" ht="10.5" hidden="1">
      <c r="A1988" s="2">
        <f t="shared" ref="A1988:A1995" si="611">A1987</f>
        <v>57</v>
      </c>
      <c r="B1988" s="2" t="str">
        <f>VLOOKUP($A1988,Controle!$B$4:$F$68,2,FALSE)</f>
        <v>Varginha 1</v>
      </c>
      <c r="C1988" s="2" t="str">
        <f>VLOOKUP($A1988,Controle!$B$4:$F$68,3,FALSE)</f>
        <v>MORI MINAS IV</v>
      </c>
      <c r="D1988" s="2" t="str">
        <f>VLOOKUP($A1988,Controle!$B$4:$F$68,4,FALSE)</f>
        <v>NewCo IV</v>
      </c>
      <c r="E1988" s="2">
        <f>VLOOKUP($A1988,Controle!$B$4:$F$68,5,FALSE)</f>
        <v>1</v>
      </c>
      <c r="F1988" s="3" t="str">
        <f t="shared" ref="F1988:F1995" si="612">F1953</f>
        <v>Construção - Serviços de Construção - Ase Engenharia</v>
      </c>
      <c r="G1988" s="2" t="str">
        <f>VLOOKUP($A1988,Controle!$B$4:$G$68,6,FALSE)</f>
        <v>Solatio</v>
      </c>
      <c r="H1988" s="6">
        <v>0</v>
      </c>
      <c r="I1988" s="6">
        <v>0</v>
      </c>
      <c r="J1988" s="6">
        <v>0</v>
      </c>
      <c r="K1988" s="6">
        <v>0</v>
      </c>
      <c r="L1988" s="6">
        <v>0</v>
      </c>
      <c r="M1988" s="6">
        <v>0</v>
      </c>
      <c r="N1988" s="6">
        <v>0</v>
      </c>
      <c r="O1988" s="4">
        <f>SUM(I1988:N1988)</f>
        <v>0</v>
      </c>
      <c r="P1988" s="5">
        <f>SUMIFS('Desenvolvimento diário'!$H:$H,'Desenvolvimento diário'!$Q:$Q,$B1988,'Desenvolvimento diário'!$P:$P,$F1988,'Desenvolvimento diário'!$R:$R,"Sim")</f>
        <v>0</v>
      </c>
      <c r="Q1988" s="5">
        <f>SUMIFS('Desenvolvimento diário'!$H:$H,'Desenvolvimento diário'!$Q:$Q,$B1988,'Desenvolvimento diário'!$P:$P,$F1988,'Desenvolvimento diário'!$R:$R,"Não")</f>
        <v>0</v>
      </c>
      <c r="R1988" s="4">
        <f>SUM(P1988:Q1988)</f>
        <v>0</v>
      </c>
      <c r="S1988" s="4">
        <f>O1988-R1988</f>
        <v>0</v>
      </c>
      <c r="T1988" s="12">
        <f>IFERROR(R1988/O1988,0)</f>
        <v>0</v>
      </c>
      <c r="Y1988" s="2"/>
      <c r="Z1988" s="2"/>
      <c r="AA1988" s="2"/>
      <c r="AB1988" s="2"/>
      <c r="AC1988" s="2"/>
    </row>
    <row r="1989" spans="1:29" ht="10.5" hidden="1">
      <c r="A1989" s="2">
        <f t="shared" si="611"/>
        <v>57</v>
      </c>
      <c r="B1989" s="2" t="str">
        <f>VLOOKUP($A1989,Controle!$B$4:$F$68,2,FALSE)</f>
        <v>Varginha 1</v>
      </c>
      <c r="C1989" s="2" t="str">
        <f>VLOOKUP($A1989,Controle!$B$4:$F$68,3,FALSE)</f>
        <v>MORI MINAS IV</v>
      </c>
      <c r="D1989" s="2" t="str">
        <f>VLOOKUP($A1989,Controle!$B$4:$F$68,4,FALSE)</f>
        <v>NewCo IV</v>
      </c>
      <c r="E1989" s="2">
        <f>VLOOKUP($A1989,Controle!$B$4:$F$68,5,FALSE)</f>
        <v>1</v>
      </c>
      <c r="F1989" s="3" t="str">
        <f t="shared" si="612"/>
        <v>Full EPC - Contrato Sobressalentes</v>
      </c>
      <c r="G1989" s="2" t="str">
        <f>VLOOKUP($A1989,Controle!$B$4:$G$68,6,FALSE)</f>
        <v>Solatio</v>
      </c>
      <c r="H1989" s="6">
        <v>0</v>
      </c>
      <c r="I1989" s="6">
        <v>0</v>
      </c>
      <c r="J1989" s="6">
        <v>0</v>
      </c>
      <c r="K1989" s="6">
        <v>0</v>
      </c>
      <c r="L1989" s="6">
        <v>0</v>
      </c>
      <c r="M1989" s="6">
        <v>0</v>
      </c>
      <c r="N1989" s="6">
        <v>0</v>
      </c>
      <c r="O1989" s="4">
        <f>SUM(I1989:N1989)</f>
        <v>0</v>
      </c>
      <c r="P1989" s="5">
        <f>SUMIFS('Desenvolvimento diário'!$H:$H,'Desenvolvimento diário'!$Q:$Q,$B1989,'Desenvolvimento diário'!$P:$P,$F1989,'Desenvolvimento diário'!$R:$R,"Sim")</f>
        <v>0</v>
      </c>
      <c r="Q1989" s="5">
        <f>SUMIFS('Desenvolvimento diário'!$H:$H,'Desenvolvimento diário'!$Q:$Q,$B1989,'Desenvolvimento diário'!$P:$P,$F1989,'Desenvolvimento diário'!$R:$R,"Não")</f>
        <v>0</v>
      </c>
      <c r="R1989" s="4">
        <f>SUM(P1989:Q1989)</f>
        <v>0</v>
      </c>
      <c r="S1989" s="4">
        <f>O1989-R1989</f>
        <v>0</v>
      </c>
      <c r="T1989" s="12">
        <f>IFERROR(R1989/O1989,0)</f>
        <v>0</v>
      </c>
      <c r="Y1989" s="2"/>
      <c r="Z1989" s="2"/>
      <c r="AA1989" s="2"/>
      <c r="AB1989" s="2"/>
      <c r="AC1989" s="2"/>
    </row>
    <row r="1990" spans="1:29" ht="10.5" hidden="1">
      <c r="A1990" s="2">
        <f t="shared" si="611"/>
        <v>57</v>
      </c>
      <c r="B1990" s="2" t="str">
        <f>VLOOKUP($A1990,Controle!$B$4:$F$68,2,FALSE)</f>
        <v>Varginha 1</v>
      </c>
      <c r="C1990" s="2" t="str">
        <f>VLOOKUP($A1990,Controle!$B$4:$F$68,3,FALSE)</f>
        <v>MORI MINAS IV</v>
      </c>
      <c r="D1990" s="2" t="str">
        <f>VLOOKUP($A1990,Controle!$B$4:$F$68,4,FALSE)</f>
        <v>NewCo IV</v>
      </c>
      <c r="E1990" s="2">
        <f>VLOOKUP($A1990,Controle!$B$4:$F$68,5,FALSE)</f>
        <v>1</v>
      </c>
      <c r="F1990" s="3" t="str">
        <f t="shared" si="612"/>
        <v>Construção - Serviços de Construção - NOVA MORADA</v>
      </c>
      <c r="G1990" s="2" t="str">
        <f>VLOOKUP($A1990,Controle!$B$4:$G$68,6,FALSE)</f>
        <v>Solatio</v>
      </c>
      <c r="H1990" s="6">
        <v>0</v>
      </c>
      <c r="I1990" s="6">
        <v>0</v>
      </c>
      <c r="J1990" s="6">
        <v>0</v>
      </c>
      <c r="K1990" s="6">
        <v>0</v>
      </c>
      <c r="L1990" s="6">
        <v>0</v>
      </c>
      <c r="M1990" s="6">
        <v>0</v>
      </c>
      <c r="N1990" s="6">
        <v>0</v>
      </c>
      <c r="O1990" s="4">
        <f>SUM(I1990:N1990)</f>
        <v>0</v>
      </c>
      <c r="P1990" s="5">
        <f>SUMIFS('Desenvolvimento diário'!$H:$H,'Desenvolvimento diário'!$Q:$Q,$B1990,'Desenvolvimento diário'!$P:$P,$F1990,'Desenvolvimento diário'!$R:$R,"Sim")</f>
        <v>0</v>
      </c>
      <c r="Q1990" s="5">
        <f>SUMIFS('Desenvolvimento diário'!$H:$H,'Desenvolvimento diário'!$Q:$Q,$B1990,'Desenvolvimento diário'!$P:$P,$F1990,'Desenvolvimento diário'!$R:$R,"Não")</f>
        <v>0</v>
      </c>
      <c r="R1990" s="4">
        <f>SUM(P1990:Q1990)</f>
        <v>0</v>
      </c>
      <c r="S1990" s="4">
        <f>O1990-R1990</f>
        <v>0</v>
      </c>
      <c r="T1990" s="12">
        <f>IFERROR(R1990/O1990,0)</f>
        <v>0</v>
      </c>
      <c r="Y1990" s="2"/>
      <c r="Z1990" s="2"/>
      <c r="AA1990" s="2"/>
      <c r="AB1990" s="2"/>
      <c r="AC1990" s="2"/>
    </row>
    <row r="1991" spans="1:29" ht="10.5" hidden="1">
      <c r="A1991" s="2">
        <f t="shared" si="611"/>
        <v>57</v>
      </c>
      <c r="B1991" s="2" t="str">
        <f>VLOOKUP($A1991,Controle!$B$4:$F$68,2,FALSE)</f>
        <v>Varginha 1</v>
      </c>
      <c r="C1991" s="2" t="str">
        <f>VLOOKUP($A1991,Controle!$B$4:$F$68,3,FALSE)</f>
        <v>MORI MINAS IV</v>
      </c>
      <c r="D1991" s="2" t="str">
        <f>VLOOKUP($A1991,Controle!$B$4:$F$68,4,FALSE)</f>
        <v>NewCo IV</v>
      </c>
      <c r="E1991" s="2">
        <f>VLOOKUP($A1991,Controle!$B$4:$F$68,5,FALSE)</f>
        <v>1</v>
      </c>
      <c r="F1991" s="3" t="str">
        <f t="shared" si="612"/>
        <v>Equipamentos Curva A -  Contrato Sobressalentes - SETTA</v>
      </c>
      <c r="G1991" s="2" t="str">
        <f>VLOOKUP($A1991,Controle!$B$4:$G$68,6,FALSE)</f>
        <v>Solatio</v>
      </c>
      <c r="H1991" s="6">
        <v>0</v>
      </c>
      <c r="I1991" s="6">
        <v>0</v>
      </c>
      <c r="J1991" s="6">
        <v>0</v>
      </c>
      <c r="K1991" s="6">
        <v>0</v>
      </c>
      <c r="L1991" s="6">
        <v>0</v>
      </c>
      <c r="M1991" s="6">
        <v>0</v>
      </c>
      <c r="N1991" s="6">
        <v>0</v>
      </c>
      <c r="O1991" s="4">
        <f>SUM(I1991:N1991)</f>
        <v>0</v>
      </c>
      <c r="P1991" s="5">
        <f>SUMIFS('Desenvolvimento diário'!$H:$H,'Desenvolvimento diário'!$Q:$Q,$B1991,'Desenvolvimento diário'!$P:$P,$F1991,'Desenvolvimento diário'!$R:$R,"Sim")</f>
        <v>0</v>
      </c>
      <c r="Q1991" s="5">
        <f>SUMIFS('Desenvolvimento diário'!$H:$H,'Desenvolvimento diário'!$Q:$Q,$B1991,'Desenvolvimento diário'!$P:$P,$F1991,'Desenvolvimento diário'!$R:$R,"Não")</f>
        <v>0</v>
      </c>
      <c r="R1991" s="4">
        <f>SUM(P1991:Q1991)</f>
        <v>0</v>
      </c>
      <c r="S1991" s="4">
        <f>O1991-R1991</f>
        <v>0</v>
      </c>
      <c r="T1991" s="12">
        <f>IFERROR(R1991/O1991,0)</f>
        <v>0</v>
      </c>
      <c r="Y1991" s="2"/>
      <c r="Z1991" s="2"/>
      <c r="AA1991" s="2"/>
      <c r="AB1991" s="2"/>
      <c r="AC1991" s="2"/>
    </row>
    <row r="1992" spans="1:29" ht="10.5" hidden="1">
      <c r="A1992" s="2">
        <f t="shared" si="611"/>
        <v>57</v>
      </c>
      <c r="B1992" s="2" t="str">
        <f>VLOOKUP($A1992,Controle!$B$4:$F$68,2,FALSE)</f>
        <v>Varginha 1</v>
      </c>
      <c r="C1992" s="2" t="str">
        <f>VLOOKUP($A1992,Controle!$B$4:$F$68,3,FALSE)</f>
        <v>MORI MINAS IV</v>
      </c>
      <c r="D1992" s="2" t="str">
        <f>VLOOKUP($A1992,Controle!$B$4:$F$68,4,FALSE)</f>
        <v>NewCo IV</v>
      </c>
      <c r="E1992" s="2">
        <f>VLOOKUP($A1992,Controle!$B$4:$F$68,5,FALSE)</f>
        <v>1</v>
      </c>
      <c r="F1992" s="3" t="str">
        <f t="shared" si="612"/>
        <v>Equipamentos Curva A -  Contrato Sobressalentes - Arctech</v>
      </c>
      <c r="G1992" s="2" t="str">
        <f>VLOOKUP($A1992,Controle!$B$4:$G$68,6,FALSE)</f>
        <v>Solatio</v>
      </c>
      <c r="H1992" s="6">
        <v>0</v>
      </c>
      <c r="I1992" s="6">
        <v>0</v>
      </c>
      <c r="J1992" s="6">
        <v>0</v>
      </c>
      <c r="K1992" s="6">
        <v>0</v>
      </c>
      <c r="L1992" s="6">
        <v>0</v>
      </c>
      <c r="M1992" s="6">
        <v>0</v>
      </c>
      <c r="N1992" s="6">
        <v>0</v>
      </c>
      <c r="O1992" s="4">
        <f>SUM(I1992:N1992)</f>
        <v>0</v>
      </c>
      <c r="P1992" s="5">
        <f>SUMIFS('Desenvolvimento diário'!$H:$H,'Desenvolvimento diário'!$Q:$Q,$B1992,'Desenvolvimento diário'!$P:$P,$F1992,'Desenvolvimento diário'!$R:$R,"Sim")</f>
        <v>0</v>
      </c>
      <c r="Q1992" s="5">
        <f>SUMIFS('Desenvolvimento diário'!$H:$H,'Desenvolvimento diário'!$Q:$Q,$B1992,'Desenvolvimento diário'!$P:$P,$F1992,'Desenvolvimento diário'!$R:$R,"Não")</f>
        <v>0</v>
      </c>
      <c r="R1992" s="4">
        <f>SUM(P1992:Q1992)</f>
        <v>0</v>
      </c>
      <c r="S1992" s="4">
        <f>O1992-R1992</f>
        <v>0</v>
      </c>
      <c r="T1992" s="12">
        <f>IFERROR(R1992/O1992,0)</f>
        <v>0</v>
      </c>
      <c r="Y1992" s="2"/>
      <c r="Z1992" s="2"/>
      <c r="AA1992" s="2"/>
      <c r="AB1992" s="2"/>
      <c r="AC1992" s="2"/>
    </row>
    <row r="1993" spans="1:29" hidden="1">
      <c r="A1993" s="2">
        <f t="shared" si="611"/>
        <v>57</v>
      </c>
      <c r="B1993" s="2" t="str">
        <f>VLOOKUP($A1993,Controle!$B$4:$F$68,2,FALSE)</f>
        <v>Varginha 1</v>
      </c>
      <c r="C1993" s="2" t="str">
        <f>VLOOKUP($A1993,Controle!$B$4:$F$68,3,FALSE)</f>
        <v>MORI MINAS IV</v>
      </c>
      <c r="D1993" s="2" t="str">
        <f>VLOOKUP($A1993,Controle!$B$4:$F$68,4,FALSE)</f>
        <v>NewCo IV</v>
      </c>
      <c r="E1993" s="2">
        <f>VLOOKUP($A1993,Controle!$B$4:$F$68,5,FALSE)</f>
        <v>1</v>
      </c>
      <c r="F1993" s="3" t="str">
        <f t="shared" si="612"/>
        <v>Equipamentos Curva A -  Contrato Sobressalentes - Romagnole</v>
      </c>
      <c r="G1993" s="2" t="str">
        <f>VLOOKUP($A1993,Controle!$B$4:$G$68,6,FALSE)</f>
        <v>Solatio</v>
      </c>
      <c r="H1993" s="506" t="s">
        <v>169</v>
      </c>
      <c r="I1993" s="506">
        <f>89306.44-0.14</f>
        <v>89306.3</v>
      </c>
      <c r="J1993" s="506">
        <v>165168.14000000001</v>
      </c>
      <c r="K1993" s="506">
        <v>0</v>
      </c>
      <c r="L1993" s="506">
        <v>0</v>
      </c>
      <c r="M1993" s="506">
        <v>0</v>
      </c>
      <c r="N1993" s="506">
        <v>0</v>
      </c>
      <c r="O1993" s="39">
        <f>SUM(I1993:N1993)</f>
        <v>254474.44</v>
      </c>
      <c r="P1993" s="17">
        <f>SUMIFS('Desenvolvimento diário'!$H:$H,'Desenvolvimento diário'!$Q:$Q,$B1993,'Desenvolvimento diário'!$P:$P,$F1993,'Desenvolvimento diário'!$R:$R,"Sim")</f>
        <v>0</v>
      </c>
      <c r="Q1993" s="17">
        <f>SUMIFS('Desenvolvimento diário'!$H:$H,'Desenvolvimento diário'!$Q:$Q,$B1993,'Desenvolvimento diário'!$P:$P,$F1993,'Desenvolvimento diário'!$R:$R,"Não")</f>
        <v>254474.44</v>
      </c>
      <c r="R1993" s="4">
        <f>SUM(P1993:Q1993)</f>
        <v>254474.44</v>
      </c>
      <c r="S1993" s="43">
        <f>O1993-R1993</f>
        <v>0</v>
      </c>
      <c r="T1993" s="12">
        <f>IFERROR(R1993/O1993,0)</f>
        <v>1</v>
      </c>
      <c r="Y1993" s="2"/>
      <c r="Z1993" s="2"/>
      <c r="AA1993" s="2"/>
      <c r="AB1993" s="2"/>
      <c r="AC1993" s="2"/>
    </row>
    <row r="1994" spans="1:29" hidden="1">
      <c r="A1994" s="2">
        <f t="shared" si="611"/>
        <v>57</v>
      </c>
      <c r="B1994" s="2" t="str">
        <f>VLOOKUP($A1994,Controle!$B$4:$F$68,2,FALSE)</f>
        <v>Varginha 1</v>
      </c>
      <c r="C1994" s="2" t="str">
        <f>VLOOKUP($A1994,Controle!$B$4:$F$68,3,FALSE)</f>
        <v>MORI MINAS IV</v>
      </c>
      <c r="D1994" s="2" t="str">
        <f>VLOOKUP($A1994,Controle!$B$4:$F$68,4,FALSE)</f>
        <v>NewCo IV</v>
      </c>
      <c r="E1994" s="2">
        <f>VLOOKUP($A1994,Controle!$B$4:$F$68,5,FALSE)</f>
        <v>1</v>
      </c>
      <c r="F1994" s="3" t="str">
        <f t="shared" si="612"/>
        <v>GOS FLORESTAL - (PRAD - Recuperação Area Ambiental)</v>
      </c>
      <c r="G1994" s="2" t="str">
        <f>VLOOKUP($A1994,Controle!$B$4:$G$68,6,FALSE)</f>
        <v>Solatio</v>
      </c>
      <c r="H1994" s="506" t="s">
        <v>170</v>
      </c>
      <c r="I1994" s="7">
        <v>0</v>
      </c>
      <c r="J1994" s="7">
        <v>0</v>
      </c>
      <c r="K1994" s="7">
        <v>0</v>
      </c>
      <c r="L1994" s="7">
        <v>0</v>
      </c>
      <c r="M1994" s="7">
        <v>0</v>
      </c>
      <c r="N1994" s="7">
        <v>0</v>
      </c>
      <c r="O1994" s="39">
        <f t="shared" ref="O1994:O1995" si="613">SUM(I1994:N1994)</f>
        <v>0</v>
      </c>
      <c r="P1994" s="17">
        <f>SUMIFS('Desenvolvimento diário'!$H:$H,'Desenvolvimento diário'!$Q:$Q,$B1994,'Desenvolvimento diário'!$P:$P,$F1994,'Desenvolvimento diário'!$R:$R,"Sim")</f>
        <v>0</v>
      </c>
      <c r="Q1994" s="17">
        <f>SUMIFS('Desenvolvimento diário'!$H:$H,'Desenvolvimento diário'!$Q:$Q,$B1994,'Desenvolvimento diário'!$P:$P,$F1994,'Desenvolvimento diário'!$R:$R,"Não")</f>
        <v>0</v>
      </c>
      <c r="R1994" s="4">
        <f t="shared" ref="R1994:R1995" si="614">SUM(P1994:Q1994)</f>
        <v>0</v>
      </c>
      <c r="S1994" s="4">
        <f t="shared" ref="S1994:S1995" si="615">O1994-R1994</f>
        <v>0</v>
      </c>
      <c r="T1994" s="12">
        <f t="shared" ref="T1994:T1995" si="616">IFERROR(R1994/O1994,0)</f>
        <v>0</v>
      </c>
      <c r="Y1994" s="2"/>
      <c r="Z1994" s="2"/>
      <c r="AA1994" s="2"/>
      <c r="AB1994" s="2"/>
      <c r="AC1994" s="2"/>
    </row>
    <row r="1995" spans="1:29" hidden="1">
      <c r="A1995" s="2">
        <f t="shared" si="611"/>
        <v>57</v>
      </c>
      <c r="B1995" s="2" t="str">
        <f>VLOOKUP($A1995,Controle!$B$4:$F$68,2,FALSE)</f>
        <v>Varginha 1</v>
      </c>
      <c r="C1995" s="2" t="str">
        <f>VLOOKUP($A1995,Controle!$B$4:$F$68,3,FALSE)</f>
        <v>MORI MINAS IV</v>
      </c>
      <c r="D1995" s="2" t="str">
        <f>VLOOKUP($A1995,Controle!$B$4:$F$68,4,FALSE)</f>
        <v>NewCo IV</v>
      </c>
      <c r="E1995" s="2">
        <f>VLOOKUP($A1995,Controle!$B$4:$F$68,5,FALSE)</f>
        <v>1</v>
      </c>
      <c r="F1995" s="3" t="str">
        <f t="shared" si="612"/>
        <v>Cercamento das bacias de contenção ciclo 2</v>
      </c>
      <c r="G1995" s="2" t="str">
        <f>VLOOKUP($A1995,Controle!$B$4:$G$68,6,FALSE)</f>
        <v>Solatio</v>
      </c>
      <c r="H1995" s="506" t="s">
        <v>172</v>
      </c>
      <c r="I1995" s="6"/>
      <c r="J1995" s="506"/>
      <c r="K1995" s="506">
        <v>0</v>
      </c>
      <c r="L1995" s="506">
        <v>0</v>
      </c>
      <c r="M1995" s="506">
        <v>0</v>
      </c>
      <c r="N1995" s="506">
        <v>0</v>
      </c>
      <c r="O1995" s="39">
        <f t="shared" si="613"/>
        <v>0</v>
      </c>
      <c r="P1995" s="17">
        <f>SUMIFS('Desenvolvimento diário'!$H:$H,'Desenvolvimento diário'!$Q:$Q,$B1995,'Desenvolvimento diário'!$P:$P,$F1995,'Desenvolvimento diário'!$R:$R,"Sim")</f>
        <v>0</v>
      </c>
      <c r="Q1995" s="17">
        <f>SUMIFS('Desenvolvimento diário'!$H:$H,'Desenvolvimento diário'!$Q:$Q,$B1995,'Desenvolvimento diário'!$P:$P,$F1995,'Desenvolvimento diário'!$R:$R,"Não")</f>
        <v>0</v>
      </c>
      <c r="R1995" s="4">
        <f t="shared" si="614"/>
        <v>0</v>
      </c>
      <c r="S1995" s="1030">
        <f t="shared" si="615"/>
        <v>0</v>
      </c>
      <c r="T1995" s="12">
        <f t="shared" si="616"/>
        <v>0</v>
      </c>
      <c r="U1995" s="1029" t="s">
        <v>166</v>
      </c>
      <c r="V1995" s="1029" t="s">
        <v>94</v>
      </c>
      <c r="Y1995" s="2"/>
      <c r="Z1995" s="2"/>
      <c r="AA1995" s="2"/>
      <c r="AB1995" s="2"/>
      <c r="AC1995" s="2"/>
    </row>
    <row r="1996" spans="1:29" hidden="1">
      <c r="A1996" s="8">
        <f>A1993</f>
        <v>57</v>
      </c>
      <c r="B1996" s="9" t="str">
        <f>B1993</f>
        <v>Varginha 1</v>
      </c>
      <c r="C1996" s="9" t="str">
        <f>C1993</f>
        <v>MORI MINAS IV</v>
      </c>
      <c r="D1996" s="9" t="str">
        <f>D1993</f>
        <v>NewCo IV</v>
      </c>
      <c r="E1996" s="9">
        <f>E1993</f>
        <v>1</v>
      </c>
      <c r="F1996" s="10" t="s">
        <v>158</v>
      </c>
      <c r="G1996" s="9" t="str">
        <f>G1993</f>
        <v>Solatio</v>
      </c>
      <c r="H1996" s="9"/>
      <c r="I1996" s="9">
        <f>SUBTOTAL(9,I1962:I1995)</f>
        <v>0</v>
      </c>
      <c r="J1996" s="9">
        <f t="shared" ref="J1996:S1996" si="617">SUBTOTAL(9,J1962:J1995)</f>
        <v>0</v>
      </c>
      <c r="K1996" s="9">
        <f t="shared" si="617"/>
        <v>0</v>
      </c>
      <c r="L1996" s="9">
        <f t="shared" si="617"/>
        <v>0</v>
      </c>
      <c r="M1996" s="9">
        <f t="shared" si="617"/>
        <v>0</v>
      </c>
      <c r="N1996" s="9">
        <f t="shared" si="617"/>
        <v>0</v>
      </c>
      <c r="O1996" s="9">
        <f t="shared" si="617"/>
        <v>0</v>
      </c>
      <c r="P1996" s="9">
        <f t="shared" si="617"/>
        <v>0</v>
      </c>
      <c r="Q1996" s="9">
        <f t="shared" si="617"/>
        <v>0</v>
      </c>
      <c r="R1996" s="9">
        <f t="shared" si="617"/>
        <v>0</v>
      </c>
      <c r="S1996" s="9">
        <f t="shared" si="617"/>
        <v>0</v>
      </c>
      <c r="T1996" s="13">
        <f>IFERROR(R1996/O1996,0)</f>
        <v>0</v>
      </c>
      <c r="U1996" s="11">
        <f>SUBTOTAL(9,U1962:U1995)</f>
        <v>0</v>
      </c>
      <c r="Y1996" s="2"/>
      <c r="Z1996" s="2"/>
      <c r="AA1996" s="2"/>
      <c r="AB1996" s="2"/>
      <c r="AC1996" s="2"/>
    </row>
    <row r="1997" spans="1:29" ht="10.5" hidden="1">
      <c r="A1997" s="2">
        <f>A1962+1</f>
        <v>58</v>
      </c>
      <c r="B1997" s="2" t="str">
        <f>VLOOKUP($A1997,Controle!$B$4:$F$68,2,FALSE)</f>
        <v>Varginha 2</v>
      </c>
      <c r="C1997" s="2" t="str">
        <f>VLOOKUP($A1997,Controle!$B$4:$F$68,3,FALSE)</f>
        <v>MORI MINAS V</v>
      </c>
      <c r="D1997" s="2" t="str">
        <f>VLOOKUP($A1997,Controle!$B$4:$F$68,4,FALSE)</f>
        <v>NewCo V</v>
      </c>
      <c r="E1997" s="2">
        <f>VLOOKUP($A1997,Controle!$B$4:$F$68,5,FALSE)</f>
        <v>1</v>
      </c>
      <c r="F1997" s="3" t="str">
        <f>F1962</f>
        <v>Conexão AT - Obras</v>
      </c>
      <c r="G1997" s="2" t="str">
        <f>VLOOKUP($A1997,Controle!$B$4:$G$68,6,FALSE)</f>
        <v>Solatio</v>
      </c>
      <c r="H1997" s="6" t="s">
        <v>141</v>
      </c>
      <c r="I1997" s="29">
        <f>401000-0.01</f>
        <v>400999.99</v>
      </c>
      <c r="J1997" s="6">
        <v>0</v>
      </c>
      <c r="K1997" s="6">
        <v>0</v>
      </c>
      <c r="L1997" s="6">
        <v>0</v>
      </c>
      <c r="M1997" s="6">
        <v>0</v>
      </c>
      <c r="N1997" s="6">
        <v>0</v>
      </c>
      <c r="O1997" s="4">
        <f>SUM(I1997:N1997)</f>
        <v>400999.99</v>
      </c>
      <c r="P1997" s="5">
        <f>SUMIFS('Desenvolvimento diário'!$H:$H,'Desenvolvimento diário'!$Q:$Q,$B1997,'Desenvolvimento diário'!$P:$P,$F1997,'Desenvolvimento diário'!$R:$R,"Sim")</f>
        <v>110202.62</v>
      </c>
      <c r="Q1997" s="5">
        <f>SUMIFS('Desenvolvimento diário'!$H:$H,'Desenvolvimento diário'!$Q:$Q,$B1997,'Desenvolvimento diário'!$P:$P,$F1997,'Desenvolvimento diário'!$R:$R,"Não")</f>
        <v>290797.37</v>
      </c>
      <c r="R1997" s="4">
        <f>SUM(P1997:Q1997)</f>
        <v>400999.99</v>
      </c>
      <c r="S1997" s="39">
        <f>O1997-R1997</f>
        <v>0</v>
      </c>
      <c r="T1997" s="12">
        <f>IFERROR(R1997/O1997,0)</f>
        <v>1</v>
      </c>
      <c r="Y1997" s="2"/>
      <c r="Z1997" s="2"/>
      <c r="AA1997" s="2"/>
      <c r="AB1997" s="2"/>
      <c r="AC1997" s="2"/>
    </row>
    <row r="1998" spans="1:29" hidden="1">
      <c r="A1998" s="2">
        <f>A1997</f>
        <v>58</v>
      </c>
      <c r="B1998" s="2" t="str">
        <f>VLOOKUP($A1998,Controle!$B$4:$F$68,2,FALSE)</f>
        <v>Varginha 2</v>
      </c>
      <c r="C1998" s="2" t="str">
        <f>VLOOKUP($A1998,Controle!$B$4:$F$68,3,FALSE)</f>
        <v>MORI MINAS V</v>
      </c>
      <c r="D1998" s="2" t="str">
        <f>VLOOKUP($A1998,Controle!$B$4:$F$68,4,FALSE)</f>
        <v>NewCo V</v>
      </c>
      <c r="E1998" s="2">
        <f>VLOOKUP($A1998,Controle!$B$4:$F$68,5,FALSE)</f>
        <v>1</v>
      </c>
      <c r="F1998" s="3" t="str">
        <f>F1963</f>
        <v>Conexão MT - Obras</v>
      </c>
      <c r="G1998" s="2" t="str">
        <f>VLOOKUP($A1998,Controle!$B$4:$G$68,6,FALSE)</f>
        <v>Solatio</v>
      </c>
      <c r="H1998" s="6" t="s">
        <v>141</v>
      </c>
      <c r="I1998" s="6">
        <v>792614.28</v>
      </c>
      <c r="J1998" s="6">
        <v>1068647.1499999999</v>
      </c>
      <c r="K1998" s="6">
        <v>714000</v>
      </c>
      <c r="L1998" s="6">
        <v>0</v>
      </c>
      <c r="M1998" s="6">
        <v>0</v>
      </c>
      <c r="N1998" s="6">
        <v>0</v>
      </c>
      <c r="O1998" s="4">
        <f>SUM(I1998:N1998)</f>
        <v>2575261.4299999997</v>
      </c>
      <c r="P1998" s="5">
        <f>SUMIFS('Desenvolvimento diário'!$H:$H,'Desenvolvimento diário'!$Q:$Q,$B1998,'Desenvolvimento diário'!$P:$P,$F1998,'Desenvolvimento diário'!$R:$R,"Sim")</f>
        <v>1493728.97</v>
      </c>
      <c r="Q1998" s="5">
        <f>SUMIFS('Desenvolvimento diário'!$H:$H,'Desenvolvimento diário'!$Q:$Q,$B1998,'Desenvolvimento diário'!$P:$P,$F1998,'Desenvolvimento diário'!$R:$R,"Não")</f>
        <v>1081532.46</v>
      </c>
      <c r="R1998" s="4">
        <f>SUM(P1998:Q1998)</f>
        <v>2575261.4299999997</v>
      </c>
      <c r="S1998" s="4">
        <f>O1998-R1998</f>
        <v>0</v>
      </c>
      <c r="T1998" s="12">
        <f>IFERROR(R1998/O1998,0)</f>
        <v>1</v>
      </c>
      <c r="Y1998" s="2"/>
      <c r="Z1998" s="2"/>
      <c r="AA1998" s="2"/>
      <c r="AB1998" s="2"/>
      <c r="AC1998" s="2"/>
    </row>
    <row r="1999" spans="1:29" ht="10.5" hidden="1">
      <c r="A1999" s="2">
        <f>A1998</f>
        <v>58</v>
      </c>
      <c r="B1999" s="2" t="str">
        <f>VLOOKUP($A1999,Controle!$B$4:$F$68,2,FALSE)</f>
        <v>Varginha 2</v>
      </c>
      <c r="C1999" s="2" t="str">
        <f>VLOOKUP($A1999,Controle!$B$4:$F$68,3,FALSE)</f>
        <v>MORI MINAS V</v>
      </c>
      <c r="D1999" s="2" t="str">
        <f>VLOOKUP($A1999,Controle!$B$4:$F$68,4,FALSE)</f>
        <v>NewCo V</v>
      </c>
      <c r="E1999" s="2">
        <f>VLOOKUP($A1999,Controle!$B$4:$F$68,5,FALSE)</f>
        <v>1</v>
      </c>
      <c r="F1999" s="3" t="str">
        <f>F1964</f>
        <v>Construção - Serviços de Construção</v>
      </c>
      <c r="G1999" s="2" t="str">
        <f>VLOOKUP($A1999,Controle!$B$4:$G$68,6,FALSE)</f>
        <v>Solatio</v>
      </c>
      <c r="H1999" s="6" t="s">
        <v>147</v>
      </c>
      <c r="I1999" s="6">
        <v>2691000</v>
      </c>
      <c r="J1999" s="6">
        <v>588159.56999999995</v>
      </c>
      <c r="K1999" s="6">
        <v>716000</v>
      </c>
      <c r="L1999" s="6">
        <v>52647</v>
      </c>
      <c r="M1999" s="6">
        <v>558938.57999999996</v>
      </c>
      <c r="N1999" s="6">
        <f>3178.7+1711.61</f>
        <v>4890.3099999999995</v>
      </c>
      <c r="O1999" s="4">
        <f>SUM(I1999:N1999)</f>
        <v>4611635.459999999</v>
      </c>
      <c r="P1999" s="5">
        <f>SUMIFS('Desenvolvimento diário'!$H:$H,'Desenvolvimento diário'!$Q:$Q,$B1999,'Desenvolvimento diário'!$P:$P,$F1999,'Desenvolvimento diário'!$R:$R,"Sim")</f>
        <v>548251.05000000005</v>
      </c>
      <c r="Q1999" s="5">
        <f>SUMIFS('Desenvolvimento diário'!$H:$H,'Desenvolvimento diário'!$Q:$Q,$B1999,'Desenvolvimento diário'!$P:$P,$F1999,'Desenvolvimento diário'!$R:$R,"Não")-91.79</f>
        <v>4063384.41</v>
      </c>
      <c r="R1999" s="4">
        <f>SUM(P1999:Q1999)</f>
        <v>4611635.46</v>
      </c>
      <c r="S1999" s="1009">
        <f>O1999-R1999</f>
        <v>0</v>
      </c>
      <c r="T1999" s="12">
        <f>IFERROR(R1999/O1999,0)</f>
        <v>1.0000000000000002</v>
      </c>
      <c r="U1999" s="510" t="s">
        <v>162</v>
      </c>
      <c r="V1999" s="510" t="s">
        <v>163</v>
      </c>
      <c r="Y1999" s="2"/>
      <c r="Z1999" s="2"/>
      <c r="AA1999" s="2"/>
      <c r="AB1999" s="2"/>
      <c r="AC1999" s="2"/>
    </row>
    <row r="2000" spans="1:29" ht="10.5" hidden="1">
      <c r="A2000" s="2">
        <f>A1999</f>
        <v>58</v>
      </c>
      <c r="B2000" s="2" t="str">
        <f>VLOOKUP($A2000,Controle!$B$4:$F$68,2,FALSE)</f>
        <v>Varginha 2</v>
      </c>
      <c r="C2000" s="2" t="str">
        <f>VLOOKUP($A2000,Controle!$B$4:$F$68,3,FALSE)</f>
        <v>MORI MINAS V</v>
      </c>
      <c r="D2000" s="2" t="str">
        <f>VLOOKUP($A2000,Controle!$B$4:$F$68,4,FALSE)</f>
        <v>NewCo V</v>
      </c>
      <c r="E2000" s="2">
        <f>VLOOKUP($A2000,Controle!$B$4:$F$68,5,FALSE)</f>
        <v>1</v>
      </c>
      <c r="F2000" s="3" t="str">
        <f>F1965</f>
        <v>Construção - Serviços de Construção - Substituição</v>
      </c>
      <c r="G2000" s="2" t="str">
        <f>VLOOKUP($A2000,Controle!$B$4:$G$68,6,FALSE)</f>
        <v>Solatio</v>
      </c>
      <c r="H2000" s="6">
        <v>0</v>
      </c>
      <c r="I2000" s="6">
        <v>0</v>
      </c>
      <c r="J2000" s="6">
        <v>0</v>
      </c>
      <c r="K2000" s="6">
        <v>0</v>
      </c>
      <c r="L2000" s="6">
        <v>0</v>
      </c>
      <c r="M2000" s="6">
        <v>0</v>
      </c>
      <c r="N2000" s="6">
        <v>0</v>
      </c>
      <c r="O2000" s="4">
        <f>SUM(I2000:N2000)</f>
        <v>0</v>
      </c>
      <c r="P2000" s="5">
        <f>SUMIFS('Desenvolvimento diário'!$H:$H,'Desenvolvimento diário'!$Q:$Q,$B2000,'Desenvolvimento diário'!$P:$P,$F2000,'Desenvolvimento diário'!$R:$R,"Sim")</f>
        <v>0</v>
      </c>
      <c r="Q2000" s="5">
        <f>SUMIFS('Desenvolvimento diário'!$H:$H,'Desenvolvimento diário'!$Q:$Q,$B2000,'Desenvolvimento diário'!$P:$P,$F2000,'Desenvolvimento diário'!$R:$R,"Não")</f>
        <v>0</v>
      </c>
      <c r="R2000" s="4">
        <f>SUM(P2000:Q2000)</f>
        <v>0</v>
      </c>
      <c r="S2000" s="4">
        <f>O2000-R2000</f>
        <v>0</v>
      </c>
      <c r="T2000" s="12">
        <f>IFERROR(R2000/O2000,0)</f>
        <v>0</v>
      </c>
      <c r="Y2000" s="2"/>
      <c r="Z2000" s="2"/>
      <c r="AA2000" s="2"/>
      <c r="AB2000" s="2"/>
      <c r="AC2000" s="2"/>
    </row>
    <row r="2001" spans="1:29" ht="10.5" hidden="1">
      <c r="A2001" s="2">
        <f>A2000</f>
        <v>58</v>
      </c>
      <c r="B2001" s="2" t="str">
        <f>VLOOKUP($A2001,Controle!$B$4:$F$68,2,FALSE)</f>
        <v>Varginha 2</v>
      </c>
      <c r="C2001" s="2" t="str">
        <f>VLOOKUP($A2001,Controle!$B$4:$F$68,3,FALSE)</f>
        <v>MORI MINAS V</v>
      </c>
      <c r="D2001" s="2" t="str">
        <f>VLOOKUP($A2001,Controle!$B$4:$F$68,4,FALSE)</f>
        <v>NewCo V</v>
      </c>
      <c r="E2001" s="2">
        <f>VLOOKUP($A2001,Controle!$B$4:$F$68,5,FALSE)</f>
        <v>1</v>
      </c>
      <c r="F2001" s="3" t="str">
        <f>F1966</f>
        <v>Construção - RDA Interno</v>
      </c>
      <c r="G2001" s="2" t="str">
        <f>VLOOKUP($A2001,Controle!$B$4:$G$68,6,FALSE)</f>
        <v>Solatio</v>
      </c>
      <c r="H2001" s="6" t="s">
        <v>168</v>
      </c>
      <c r="I2001" s="6">
        <v>330000</v>
      </c>
      <c r="J2001" s="6">
        <v>0</v>
      </c>
      <c r="K2001" s="6">
        <v>0</v>
      </c>
      <c r="L2001" s="6">
        <v>0</v>
      </c>
      <c r="M2001" s="6">
        <v>0</v>
      </c>
      <c r="N2001" s="6">
        <v>0</v>
      </c>
      <c r="O2001" s="4">
        <f>SUM(I2001:N2001)</f>
        <v>330000</v>
      </c>
      <c r="P2001" s="5">
        <f>SUMIFS('Desenvolvimento diário'!$H:$H,'Desenvolvimento diário'!$Q:$Q,$B2001,'Desenvolvimento diário'!$P:$P,$F2001,'Desenvolvimento diário'!$R:$R,"Sim")</f>
        <v>0</v>
      </c>
      <c r="Q2001" s="5">
        <f>SUMIFS('Desenvolvimento diário'!$H:$H,'Desenvolvimento diário'!$Q:$Q,$B2001,'Desenvolvimento diário'!$P:$P,$F2001,'Desenvolvimento diário'!$R:$R,"Não")</f>
        <v>330000</v>
      </c>
      <c r="R2001" s="4">
        <f>SUM(P2001:Q2001)</f>
        <v>330000</v>
      </c>
      <c r="S2001" s="4">
        <f>O2001-R2001</f>
        <v>0</v>
      </c>
      <c r="T2001" s="12">
        <f>IFERROR(R2001/O2001,0)</f>
        <v>1</v>
      </c>
      <c r="Y2001" s="2"/>
      <c r="Z2001" s="2"/>
      <c r="AA2001" s="2"/>
      <c r="AB2001" s="2"/>
      <c r="AC2001" s="2"/>
    </row>
    <row r="2002" spans="1:29" ht="10.5" hidden="1">
      <c r="A2002" s="2">
        <f>A2001</f>
        <v>58</v>
      </c>
      <c r="B2002" s="2" t="str">
        <f>VLOOKUP($A2002,Controle!$B$4:$F$68,2,FALSE)</f>
        <v>Varginha 2</v>
      </c>
      <c r="C2002" s="2" t="str">
        <f>VLOOKUP($A2002,Controle!$B$4:$F$68,3,FALSE)</f>
        <v>MORI MINAS V</v>
      </c>
      <c r="D2002" s="2" t="str">
        <f>VLOOKUP($A2002,Controle!$B$4:$F$68,4,FALSE)</f>
        <v>NewCo V</v>
      </c>
      <c r="E2002" s="2">
        <f>VLOOKUP($A2002,Controle!$B$4:$F$68,5,FALSE)</f>
        <v>1</v>
      </c>
      <c r="F2002" s="3" t="str">
        <f>F1967</f>
        <v>Full EPC - Contrato</v>
      </c>
      <c r="G2002" s="2" t="str">
        <f>VLOOKUP($A2002,Controle!$B$4:$G$68,6,FALSE)</f>
        <v>Solatio</v>
      </c>
      <c r="H2002" s="6">
        <v>0</v>
      </c>
      <c r="I2002" s="6">
        <v>0</v>
      </c>
      <c r="J2002" s="6">
        <v>0</v>
      </c>
      <c r="K2002" s="6">
        <v>0</v>
      </c>
      <c r="L2002" s="6">
        <v>0</v>
      </c>
      <c r="M2002" s="6">
        <v>0</v>
      </c>
      <c r="N2002" s="6">
        <v>0</v>
      </c>
      <c r="O2002" s="4">
        <f>SUM(I2002:N2002)</f>
        <v>0</v>
      </c>
      <c r="P2002" s="5">
        <f>SUMIFS('Desenvolvimento diário'!$H:$H,'Desenvolvimento diário'!$Q:$Q,$B2002,'Desenvolvimento diário'!$P:$P,$F2002,'Desenvolvimento diário'!$R:$R,"Sim")</f>
        <v>0</v>
      </c>
      <c r="Q2002" s="5">
        <f>SUMIFS('Desenvolvimento diário'!$H:$H,'Desenvolvimento diário'!$Q:$Q,$B2002,'Desenvolvimento diário'!$P:$P,$F2002,'Desenvolvimento diário'!$R:$R,"Não")</f>
        <v>0</v>
      </c>
      <c r="R2002" s="4">
        <f>SUM(P2002:Q2002)</f>
        <v>0</v>
      </c>
      <c r="S2002" s="4">
        <f>O2002-R2002</f>
        <v>0</v>
      </c>
      <c r="T2002" s="12">
        <f>IFERROR(R2002/O2002,0)</f>
        <v>0</v>
      </c>
      <c r="Y2002" s="2"/>
      <c r="Z2002" s="2"/>
      <c r="AA2002" s="2"/>
      <c r="AB2002" s="2"/>
      <c r="AC2002" s="2"/>
    </row>
    <row r="2003" spans="1:29" ht="10.5" hidden="1">
      <c r="A2003" s="2">
        <f>A2002</f>
        <v>58</v>
      </c>
      <c r="B2003" s="2" t="str">
        <f>VLOOKUP($A2003,Controle!$B$4:$F$68,2,FALSE)</f>
        <v>Varginha 2</v>
      </c>
      <c r="C2003" s="2" t="str">
        <f>VLOOKUP($A2003,Controle!$B$4:$F$68,3,FALSE)</f>
        <v>MORI MINAS V</v>
      </c>
      <c r="D2003" s="2" t="str">
        <f>VLOOKUP($A2003,Controle!$B$4:$F$68,4,FALSE)</f>
        <v>NewCo V</v>
      </c>
      <c r="E2003" s="2">
        <f>VLOOKUP($A2003,Controle!$B$4:$F$68,5,FALSE)</f>
        <v>1</v>
      </c>
      <c r="F2003" s="3" t="str">
        <f>F1968</f>
        <v>Equipamentos Curva A - Outros (Transformadores)</v>
      </c>
      <c r="G2003" s="2" t="str">
        <f>VLOOKUP($A2003,Controle!$B$4:$G$68,6,FALSE)</f>
        <v>Solatio</v>
      </c>
      <c r="H2003" s="6">
        <v>0</v>
      </c>
      <c r="I2003" s="6">
        <v>0</v>
      </c>
      <c r="J2003" s="6">
        <v>0</v>
      </c>
      <c r="K2003" s="6">
        <v>0</v>
      </c>
      <c r="L2003" s="6">
        <v>0</v>
      </c>
      <c r="M2003" s="6">
        <v>0</v>
      </c>
      <c r="N2003" s="6">
        <v>0</v>
      </c>
      <c r="O2003" s="4">
        <f>SUM(I2003:N2003)</f>
        <v>0</v>
      </c>
      <c r="P2003" s="5">
        <f>SUMIFS('Desenvolvimento diário'!$H:$H,'Desenvolvimento diário'!$Q:$Q,$B2003,'Desenvolvimento diário'!$P:$P,$F2003,'Desenvolvimento diário'!$R:$R,"Sim")</f>
        <v>0</v>
      </c>
      <c r="Q2003" s="5">
        <f>SUMIFS('Desenvolvimento diário'!$H:$H,'Desenvolvimento diário'!$Q:$Q,$B2003,'Desenvolvimento diário'!$P:$P,$F2003,'Desenvolvimento diário'!$R:$R,"Não")</f>
        <v>0</v>
      </c>
      <c r="R2003" s="4">
        <f>SUM(P2003:Q2003)</f>
        <v>0</v>
      </c>
      <c r="S2003" s="4">
        <f>O2003-R2003</f>
        <v>0</v>
      </c>
      <c r="T2003" s="12">
        <f>IFERROR(R2003/O2003,0)</f>
        <v>0</v>
      </c>
      <c r="Y2003" s="2"/>
      <c r="Z2003" s="2"/>
      <c r="AA2003" s="2"/>
      <c r="AB2003" s="2"/>
      <c r="AC2003" s="2"/>
    </row>
    <row r="2004" spans="1:29" ht="10.5" hidden="1">
      <c r="A2004" s="2">
        <f>A2003</f>
        <v>58</v>
      </c>
      <c r="B2004" s="2" t="str">
        <f>VLOOKUP($A2004,Controle!$B$4:$F$68,2,FALSE)</f>
        <v>Varginha 2</v>
      </c>
      <c r="C2004" s="2" t="str">
        <f>VLOOKUP($A2004,Controle!$B$4:$F$68,3,FALSE)</f>
        <v>MORI MINAS V</v>
      </c>
      <c r="D2004" s="2" t="str">
        <f>VLOOKUP($A2004,Controle!$B$4:$F$68,4,FALSE)</f>
        <v>NewCo V</v>
      </c>
      <c r="E2004" s="2">
        <f>VLOOKUP($A2004,Controle!$B$4:$F$68,5,FALSE)</f>
        <v>1</v>
      </c>
      <c r="F2004" s="3" t="str">
        <f>F1969</f>
        <v>Equipamentos Curva A - Outros (Cabine + Skid)</v>
      </c>
      <c r="G2004" s="2" t="str">
        <f>VLOOKUP($A2004,Controle!$B$4:$G$68,6,FALSE)</f>
        <v>Solatio</v>
      </c>
      <c r="H2004" s="6">
        <v>0</v>
      </c>
      <c r="I2004" s="6">
        <v>0</v>
      </c>
      <c r="J2004" s="6">
        <v>0</v>
      </c>
      <c r="K2004" s="6">
        <v>0</v>
      </c>
      <c r="L2004" s="6">
        <v>0</v>
      </c>
      <c r="M2004" s="6">
        <v>0</v>
      </c>
      <c r="N2004" s="6">
        <v>0</v>
      </c>
      <c r="O2004" s="4">
        <f>SUM(I2004:N2004)</f>
        <v>0</v>
      </c>
      <c r="P2004" s="5">
        <f>SUMIFS('Desenvolvimento diário'!$H:$H,'Desenvolvimento diário'!$Q:$Q,$B2004,'Desenvolvimento diário'!$P:$P,$F2004,'Desenvolvimento diário'!$R:$R,"Sim")</f>
        <v>0</v>
      </c>
      <c r="Q2004" s="5">
        <f>SUMIFS('Desenvolvimento diário'!$H:$H,'Desenvolvimento diário'!$Q:$Q,$B2004,'Desenvolvimento diário'!$P:$P,$F2004,'Desenvolvimento diário'!$R:$R,"Não")</f>
        <v>0</v>
      </c>
      <c r="R2004" s="4">
        <f>SUM(P2004:Q2004)</f>
        <v>0</v>
      </c>
      <c r="S2004" s="4">
        <f>O2004-R2004</f>
        <v>0</v>
      </c>
      <c r="T2004" s="12">
        <f>IFERROR(R2004/O2004,0)</f>
        <v>0</v>
      </c>
      <c r="Y2004" s="2"/>
      <c r="Z2004" s="2"/>
      <c r="AA2004" s="2"/>
      <c r="AB2004" s="2"/>
      <c r="AC2004" s="2"/>
    </row>
    <row r="2005" spans="1:29" ht="10.5" hidden="1">
      <c r="A2005" s="2">
        <f>A2004</f>
        <v>58</v>
      </c>
      <c r="B2005" s="2" t="str">
        <f>VLOOKUP($A2005,Controle!$B$4:$F$68,2,FALSE)</f>
        <v>Varginha 2</v>
      </c>
      <c r="C2005" s="2" t="str">
        <f>VLOOKUP($A2005,Controle!$B$4:$F$68,3,FALSE)</f>
        <v>MORI MINAS V</v>
      </c>
      <c r="D2005" s="2" t="str">
        <f>VLOOKUP($A2005,Controle!$B$4:$F$68,4,FALSE)</f>
        <v>NewCo V</v>
      </c>
      <c r="E2005" s="2">
        <f>VLOOKUP($A2005,Controle!$B$4:$F$68,5,FALSE)</f>
        <v>1</v>
      </c>
      <c r="F2005" s="3" t="str">
        <f>F1970</f>
        <v>Equipamentos Curva A - Outros (Cabine + Skid + Transformador)</v>
      </c>
      <c r="G2005" s="2" t="str">
        <f>VLOOKUP($A2005,Controle!$B$4:$G$68,6,FALSE)</f>
        <v>Solatio</v>
      </c>
      <c r="H2005" s="6" t="s">
        <v>144</v>
      </c>
      <c r="I2005" s="6">
        <v>1273134.5233839999</v>
      </c>
      <c r="J2005" s="6">
        <v>0</v>
      </c>
      <c r="K2005" s="6">
        <v>0</v>
      </c>
      <c r="L2005" s="6">
        <v>0</v>
      </c>
      <c r="M2005" s="6">
        <v>0</v>
      </c>
      <c r="N2005" s="6">
        <v>0</v>
      </c>
      <c r="O2005" s="4">
        <f>SUM(I2005:N2005)</f>
        <v>1273134.5233839999</v>
      </c>
      <c r="P2005" s="5">
        <f>SUMIFS('Desenvolvimento diário'!$H:$H,'Desenvolvimento diário'!$Q:$Q,$B2005,'Desenvolvimento diário'!$P:$P,$F2005,'Desenvolvimento diário'!$R:$R,"Sim")</f>
        <v>0</v>
      </c>
      <c r="Q2005" s="5">
        <f>SUMIFS('Desenvolvimento diário'!$H:$H,'Desenvolvimento diário'!$Q:$Q,$B2005,'Desenvolvimento diário'!$P:$P,$F2005,'Desenvolvimento diário'!$R:$R,"Não")</f>
        <v>1273134.5233839999</v>
      </c>
      <c r="R2005" s="4">
        <f>SUM(P2005:Q2005)</f>
        <v>1273134.5233839999</v>
      </c>
      <c r="S2005" s="4">
        <f>O2005-R2005</f>
        <v>0</v>
      </c>
      <c r="T2005" s="12">
        <f>IFERROR(R2005/O2005,0)</f>
        <v>1</v>
      </c>
      <c r="Y2005" s="2"/>
      <c r="Z2005" s="2"/>
      <c r="AA2005" s="2"/>
      <c r="AB2005" s="2"/>
      <c r="AC2005" s="2"/>
    </row>
    <row r="2006" spans="1:29" ht="10.5" hidden="1">
      <c r="A2006" s="2">
        <f>A2005</f>
        <v>58</v>
      </c>
      <c r="B2006" s="2" t="str">
        <f>VLOOKUP($A2006,Controle!$B$4:$F$68,2,FALSE)</f>
        <v>Varginha 2</v>
      </c>
      <c r="C2006" s="2" t="str">
        <f>VLOOKUP($A2006,Controle!$B$4:$F$68,3,FALSE)</f>
        <v>MORI MINAS V</v>
      </c>
      <c r="D2006" s="2" t="str">
        <f>VLOOKUP($A2006,Controle!$B$4:$F$68,4,FALSE)</f>
        <v>NewCo V</v>
      </c>
      <c r="E2006" s="2">
        <f>VLOOKUP($A2006,Controle!$B$4:$F$68,5,FALSE)</f>
        <v>1</v>
      </c>
      <c r="F2006" s="3" t="str">
        <f>F1971</f>
        <v>Desenvolvimento de projeto - Projetos - (Eng° Proprietario)</v>
      </c>
      <c r="G2006" s="2" t="str">
        <f>VLOOKUP($A2006,Controle!$B$4:$G$68,6,FALSE)</f>
        <v>Solatio</v>
      </c>
      <c r="H2006" s="6" t="s">
        <v>145</v>
      </c>
      <c r="I2006" s="6">
        <v>0</v>
      </c>
      <c r="J2006" s="6">
        <v>0</v>
      </c>
      <c r="K2006" s="6">
        <v>0</v>
      </c>
      <c r="L2006" s="6">
        <v>0</v>
      </c>
      <c r="M2006" s="6">
        <v>0</v>
      </c>
      <c r="N2006" s="6">
        <v>0</v>
      </c>
      <c r="O2006" s="4">
        <f>SUM(I2006:N2006)</f>
        <v>0</v>
      </c>
      <c r="P2006" s="5">
        <f>SUMIFS('Desenvolvimento diário'!$H:$H,'Desenvolvimento diário'!$Q:$Q,$B2006,'Desenvolvimento diário'!$P:$P,$F2006,'Desenvolvimento diário'!$R:$R,"Sim")</f>
        <v>0</v>
      </c>
      <c r="Q2006" s="5">
        <f>SUMIFS('Desenvolvimento diário'!$H:$H,'Desenvolvimento diário'!$Q:$Q,$B2006,'Desenvolvimento diário'!$P:$P,$F2006,'Desenvolvimento diário'!$R:$R,"Não")</f>
        <v>0</v>
      </c>
      <c r="R2006" s="4">
        <f>SUM(P2006:Q2006)</f>
        <v>0</v>
      </c>
      <c r="S2006" s="4">
        <f>O2006-R2006</f>
        <v>0</v>
      </c>
      <c r="T2006" s="12">
        <f>IFERROR(R2006/O2006,0)</f>
        <v>0</v>
      </c>
      <c r="Y2006" s="2"/>
      <c r="Z2006" s="2"/>
      <c r="AA2006" s="2"/>
      <c r="AB2006" s="2"/>
      <c r="AC2006" s="2"/>
    </row>
    <row r="2007" spans="1:29" ht="10.5" hidden="1">
      <c r="A2007" s="2">
        <f>A2006</f>
        <v>58</v>
      </c>
      <c r="B2007" s="2" t="str">
        <f>VLOOKUP($A2007,Controle!$B$4:$F$68,2,FALSE)</f>
        <v>Varginha 2</v>
      </c>
      <c r="C2007" s="2" t="str">
        <f>VLOOKUP($A2007,Controle!$B$4:$F$68,3,FALSE)</f>
        <v>MORI MINAS V</v>
      </c>
      <c r="D2007" s="2" t="str">
        <f>VLOOKUP($A2007,Controle!$B$4:$F$68,4,FALSE)</f>
        <v>NewCo V</v>
      </c>
      <c r="E2007" s="2">
        <f>VLOOKUP($A2007,Controle!$B$4:$F$68,5,FALSE)</f>
        <v>1</v>
      </c>
      <c r="F2007" s="3" t="str">
        <f>F1972</f>
        <v>Desenvolvimento de projeto - Projetos - Executivos</v>
      </c>
      <c r="G2007" s="2" t="str">
        <f>VLOOKUP($A2007,Controle!$B$4:$G$68,6,FALSE)</f>
        <v>Solatio</v>
      </c>
      <c r="H2007" s="6" t="s">
        <v>146</v>
      </c>
      <c r="I2007" s="6">
        <v>36466.699999999997</v>
      </c>
      <c r="J2007" s="6">
        <v>0</v>
      </c>
      <c r="K2007" s="6">
        <v>0</v>
      </c>
      <c r="L2007" s="6">
        <v>0</v>
      </c>
      <c r="M2007" s="6">
        <v>0</v>
      </c>
      <c r="N2007" s="6">
        <v>0</v>
      </c>
      <c r="O2007" s="4">
        <f>SUM(I2007:N2007)</f>
        <v>36466.699999999997</v>
      </c>
      <c r="P2007" s="5">
        <f>SUMIFS('Desenvolvimento diário'!$H:$H,'Desenvolvimento diário'!$Q:$Q,$B2007,'Desenvolvimento diário'!$P:$P,$F2007,'Desenvolvimento diário'!$R:$R,"Sim")</f>
        <v>0</v>
      </c>
      <c r="Q2007" s="5">
        <f>SUMIFS('Desenvolvimento diário'!$H:$H,'Desenvolvimento diário'!$Q:$Q,$B2007,'Desenvolvimento diário'!$P:$P,$F2007,'Desenvolvimento diário'!$R:$R,"Não")</f>
        <v>36466.699999999997</v>
      </c>
      <c r="R2007" s="4">
        <f>SUM(P2007:Q2007)</f>
        <v>36466.699999999997</v>
      </c>
      <c r="S2007" s="4">
        <f>O2007-R2007</f>
        <v>0</v>
      </c>
      <c r="T2007" s="12">
        <f>IFERROR(R2007/O2007,0)</f>
        <v>1</v>
      </c>
      <c r="Y2007" s="2"/>
      <c r="Z2007" s="2"/>
      <c r="AA2007" s="2"/>
      <c r="AB2007" s="2"/>
      <c r="AC2007" s="2"/>
    </row>
    <row r="2008" spans="1:29" ht="10.5" hidden="1">
      <c r="A2008" s="2">
        <f>A2007</f>
        <v>58</v>
      </c>
      <c r="B2008" s="2" t="str">
        <f>VLOOKUP($A2008,Controle!$B$4:$F$68,2,FALSE)</f>
        <v>Varginha 2</v>
      </c>
      <c r="C2008" s="2" t="str">
        <f>VLOOKUP($A2008,Controle!$B$4:$F$68,3,FALSE)</f>
        <v>MORI MINAS V</v>
      </c>
      <c r="D2008" s="2" t="str">
        <f>VLOOKUP($A2008,Controle!$B$4:$F$68,4,FALSE)</f>
        <v>NewCo V</v>
      </c>
      <c r="E2008" s="2">
        <f>VLOOKUP($A2008,Controle!$B$4:$F$68,5,FALSE)</f>
        <v>1</v>
      </c>
      <c r="F2008" s="3" t="str">
        <f>F1973</f>
        <v>Desenvolvimento de projeto - Projetos Básica</v>
      </c>
      <c r="G2008" s="2" t="str">
        <f>VLOOKUP($A2008,Controle!$B$4:$G$68,6,FALSE)</f>
        <v>Solatio</v>
      </c>
      <c r="H2008" s="6">
        <v>0</v>
      </c>
      <c r="I2008" s="6">
        <v>0</v>
      </c>
      <c r="J2008" s="6">
        <v>0</v>
      </c>
      <c r="K2008" s="6">
        <v>0</v>
      </c>
      <c r="L2008" s="6">
        <v>0</v>
      </c>
      <c r="M2008" s="6">
        <v>0</v>
      </c>
      <c r="N2008" s="6">
        <v>0</v>
      </c>
      <c r="O2008" s="4">
        <f>SUM(I2008:N2008)</f>
        <v>0</v>
      </c>
      <c r="P2008" s="5">
        <f>SUMIFS('Desenvolvimento diário'!$H:$H,'Desenvolvimento diário'!$Q:$Q,$B2008,'Desenvolvimento diário'!$P:$P,$F2008,'Desenvolvimento diário'!$R:$R,"Sim")</f>
        <v>0</v>
      </c>
      <c r="Q2008" s="5">
        <f>SUMIFS('Desenvolvimento diário'!$H:$H,'Desenvolvimento diário'!$Q:$Q,$B2008,'Desenvolvimento diário'!$P:$P,$F2008,'Desenvolvimento diário'!$R:$R,"Não")</f>
        <v>0</v>
      </c>
      <c r="R2008" s="4">
        <f>SUM(P2008:Q2008)</f>
        <v>0</v>
      </c>
      <c r="S2008" s="4">
        <f>O2008-R2008</f>
        <v>0</v>
      </c>
      <c r="T2008" s="12">
        <f>IFERROR(R2008/O2008,0)</f>
        <v>0</v>
      </c>
      <c r="Y2008" s="2"/>
      <c r="Z2008" s="2"/>
      <c r="AA2008" s="2"/>
      <c r="AB2008" s="2"/>
      <c r="AC2008" s="2"/>
    </row>
    <row r="2009" spans="1:29" ht="10.5" hidden="1">
      <c r="A2009" s="2">
        <f>A2008</f>
        <v>58</v>
      </c>
      <c r="B2009" s="2" t="str">
        <f>VLOOKUP($A2009,Controle!$B$4:$F$68,2,FALSE)</f>
        <v>Varginha 2</v>
      </c>
      <c r="C2009" s="2" t="str">
        <f>VLOOKUP($A2009,Controle!$B$4:$F$68,3,FALSE)</f>
        <v>MORI MINAS V</v>
      </c>
      <c r="D2009" s="2" t="str">
        <f>VLOOKUP($A2009,Controle!$B$4:$F$68,4,FALSE)</f>
        <v>NewCo V</v>
      </c>
      <c r="E2009" s="2">
        <f>VLOOKUP($A2009,Controle!$B$4:$F$68,5,FALSE)</f>
        <v>1</v>
      </c>
      <c r="F2009" s="3" t="str">
        <f>F1974</f>
        <v>Desenvolvimento de projeto - Projetos Detalhada</v>
      </c>
      <c r="G2009" s="2" t="str">
        <f>VLOOKUP($A2009,Controle!$B$4:$G$68,6,FALSE)</f>
        <v>Solatio</v>
      </c>
      <c r="H2009" s="6">
        <v>0</v>
      </c>
      <c r="I2009" s="6">
        <v>0</v>
      </c>
      <c r="J2009" s="6">
        <v>0</v>
      </c>
      <c r="K2009" s="6">
        <v>0</v>
      </c>
      <c r="L2009" s="6">
        <v>0</v>
      </c>
      <c r="M2009" s="6">
        <v>0</v>
      </c>
      <c r="N2009" s="6">
        <v>0</v>
      </c>
      <c r="O2009" s="4">
        <f>SUM(I2009:N2009)</f>
        <v>0</v>
      </c>
      <c r="P2009" s="5">
        <f>SUMIFS('Desenvolvimento diário'!$H:$H,'Desenvolvimento diário'!$Q:$Q,$B2009,'Desenvolvimento diário'!$P:$P,$F2009,'Desenvolvimento diário'!$R:$R,"Sim")</f>
        <v>0</v>
      </c>
      <c r="Q2009" s="5">
        <f>SUMIFS('Desenvolvimento diário'!$H:$H,'Desenvolvimento diário'!$Q:$Q,$B2009,'Desenvolvimento diário'!$P:$P,$F2009,'Desenvolvimento diário'!$R:$R,"Não")</f>
        <v>0</v>
      </c>
      <c r="R2009" s="4">
        <f>SUM(P2009:Q2009)</f>
        <v>0</v>
      </c>
      <c r="S2009" s="4">
        <f>O2009-R2009</f>
        <v>0</v>
      </c>
      <c r="T2009" s="12">
        <f>IFERROR(R2009/O2009,0)</f>
        <v>0</v>
      </c>
      <c r="Y2009" s="2"/>
      <c r="Z2009" s="2"/>
      <c r="AA2009" s="2"/>
      <c r="AB2009" s="2"/>
      <c r="AC2009" s="2"/>
    </row>
    <row r="2010" spans="1:29" ht="10.5" hidden="1">
      <c r="A2010" s="2">
        <f>A2009</f>
        <v>58</v>
      </c>
      <c r="B2010" s="2" t="str">
        <f>VLOOKUP($A2010,Controle!$B$4:$F$68,2,FALSE)</f>
        <v>Varginha 2</v>
      </c>
      <c r="C2010" s="2" t="str">
        <f>VLOOKUP($A2010,Controle!$B$4:$F$68,3,FALSE)</f>
        <v>MORI MINAS V</v>
      </c>
      <c r="D2010" s="2" t="str">
        <f>VLOOKUP($A2010,Controle!$B$4:$F$68,4,FALSE)</f>
        <v>NewCo V</v>
      </c>
      <c r="E2010" s="2">
        <f>VLOOKUP($A2010,Controle!$B$4:$F$68,5,FALSE)</f>
        <v>1</v>
      </c>
      <c r="F2010" s="3" t="str">
        <f>F1975</f>
        <v>Desenvolvimento de projeto - Ambiental / Outros</v>
      </c>
      <c r="G2010" s="2" t="str">
        <f>VLOOKUP($A2010,Controle!$B$4:$G$68,6,FALSE)</f>
        <v>Solatio</v>
      </c>
      <c r="H2010" s="6" t="s">
        <v>148</v>
      </c>
      <c r="I2010" s="6">
        <f>R2010</f>
        <v>110590.48</v>
      </c>
      <c r="J2010" s="6">
        <v>0</v>
      </c>
      <c r="K2010" s="6">
        <v>0</v>
      </c>
      <c r="L2010" s="6">
        <v>0</v>
      </c>
      <c r="M2010" s="6">
        <v>0</v>
      </c>
      <c r="N2010" s="6">
        <v>0</v>
      </c>
      <c r="O2010" s="4">
        <f>SUM(I2010:N2010)</f>
        <v>110590.48</v>
      </c>
      <c r="P2010" s="5">
        <f>SUMIFS('Desenvolvimento diário'!$H:$H,'Desenvolvimento diário'!$Q:$Q,$B2010,'Desenvolvimento diário'!$P:$P,$F2010,'Desenvolvimento diário'!$R:$R,"Sim")</f>
        <v>0</v>
      </c>
      <c r="Q2010" s="5">
        <f>SUMIFS('Desenvolvimento diário'!$H:$H,'Desenvolvimento diário'!$Q:$Q,$B2010,'Desenvolvimento diário'!$P:$P,$F2010,'Desenvolvimento diário'!$R:$R,"Não")</f>
        <v>110590.48</v>
      </c>
      <c r="R2010" s="4">
        <f>SUM(P2010:Q2010)</f>
        <v>110590.48</v>
      </c>
      <c r="S2010" s="4">
        <f>O2010-R2010</f>
        <v>0</v>
      </c>
      <c r="T2010" s="12">
        <f>IFERROR(R2010/O2010,0)</f>
        <v>1</v>
      </c>
      <c r="Y2010" s="2"/>
      <c r="Z2010" s="2"/>
      <c r="AA2010" s="2"/>
      <c r="AB2010" s="2"/>
      <c r="AC2010" s="2"/>
    </row>
    <row r="2011" spans="1:29" hidden="1">
      <c r="A2011" s="2">
        <f>A2010</f>
        <v>58</v>
      </c>
      <c r="B2011" s="2" t="str">
        <f>VLOOKUP($A2011,Controle!$B$4:$F$68,2,FALSE)</f>
        <v>Varginha 2</v>
      </c>
      <c r="C2011" s="2" t="str">
        <f>VLOOKUP($A2011,Controle!$B$4:$F$68,3,FALSE)</f>
        <v>MORI MINAS V</v>
      </c>
      <c r="D2011" s="2" t="str">
        <f>VLOOKUP($A2011,Controle!$B$4:$F$68,4,FALSE)</f>
        <v>NewCo V</v>
      </c>
      <c r="E2011" s="2">
        <f>VLOOKUP($A2011,Controle!$B$4:$F$68,5,FALSE)</f>
        <v>1</v>
      </c>
      <c r="F2011" s="3" t="str">
        <f>F1976</f>
        <v>Desenvolvimento de projeto - Coordenograma</v>
      </c>
      <c r="G2011" s="2" t="str">
        <f>VLOOKUP($A2011,Controle!$B$4:$G$68,6,FALSE)</f>
        <v>Solatio</v>
      </c>
      <c r="H2011" s="31" t="s">
        <v>149</v>
      </c>
      <c r="I2011" s="31">
        <v>6206.9</v>
      </c>
      <c r="J2011" s="31">
        <v>2281.25</v>
      </c>
      <c r="K2011" s="31">
        <v>0</v>
      </c>
      <c r="L2011" s="6">
        <v>0</v>
      </c>
      <c r="M2011" s="6">
        <v>0</v>
      </c>
      <c r="N2011" s="6">
        <v>0</v>
      </c>
      <c r="O2011" s="4">
        <f>SUM(I2011:N2011)</f>
        <v>8488.15</v>
      </c>
      <c r="P2011" s="5">
        <f>SUMIFS('Desenvolvimento diário'!$H:$H,'Desenvolvimento diário'!$Q:$Q,$B2011,'Desenvolvimento diário'!$P:$P,$F2011,'Desenvolvimento diário'!$R:$R,"Sim")</f>
        <v>0</v>
      </c>
      <c r="Q2011" s="5">
        <f>SUMIFS('Desenvolvimento diário'!$H:$H,'Desenvolvimento diário'!$Q:$Q,$B2011,'Desenvolvimento diário'!$P:$P,$F2011,'Desenvolvimento diário'!$R:$R,"Não")</f>
        <v>8488.15</v>
      </c>
      <c r="R2011" s="4">
        <f>SUM(P2011:Q2011)</f>
        <v>8488.15</v>
      </c>
      <c r="S2011" s="4">
        <f>O2011-R2011</f>
        <v>0</v>
      </c>
      <c r="T2011" s="12">
        <f>IFERROR(R2011/O2011,0)</f>
        <v>1</v>
      </c>
      <c r="Y2011" s="2"/>
      <c r="Z2011" s="2"/>
      <c r="AA2011" s="2"/>
      <c r="AB2011" s="2"/>
      <c r="AC2011" s="2"/>
    </row>
    <row r="2012" spans="1:29" ht="10.5" hidden="1">
      <c r="A2012" s="2">
        <f>A2011</f>
        <v>58</v>
      </c>
      <c r="B2012" s="2" t="str">
        <f>VLOOKUP($A2012,Controle!$B$4:$F$68,2,FALSE)</f>
        <v>Varginha 2</v>
      </c>
      <c r="C2012" s="2" t="str">
        <f>VLOOKUP($A2012,Controle!$B$4:$F$68,3,FALSE)</f>
        <v>MORI MINAS V</v>
      </c>
      <c r="D2012" s="2" t="str">
        <f>VLOOKUP($A2012,Controle!$B$4:$F$68,4,FALSE)</f>
        <v>NewCo V</v>
      </c>
      <c r="E2012" s="2">
        <f>VLOOKUP($A2012,Controle!$B$4:$F$68,5,FALSE)</f>
        <v>1</v>
      </c>
      <c r="F2012" s="3" t="str">
        <f>F1977</f>
        <v>Sistemas de Monitoramento - Supervisório</v>
      </c>
      <c r="G2012" s="2" t="str">
        <f>VLOOKUP($A2012,Controle!$B$4:$G$68,6,FALSE)</f>
        <v>Solatio</v>
      </c>
      <c r="H2012" s="6" t="s">
        <v>150</v>
      </c>
      <c r="I2012" s="6">
        <v>136154.98000000001</v>
      </c>
      <c r="J2012" s="6"/>
      <c r="K2012" s="6">
        <v>0</v>
      </c>
      <c r="L2012" s="6">
        <v>0</v>
      </c>
      <c r="M2012" s="6">
        <v>0</v>
      </c>
      <c r="N2012" s="6">
        <v>0</v>
      </c>
      <c r="O2012" s="4">
        <f>SUM(I2012:N2012)</f>
        <v>136154.98000000001</v>
      </c>
      <c r="P2012" s="5">
        <f>SUMIFS('Desenvolvimento diário'!$H:$H,'Desenvolvimento diário'!$Q:$Q,$B2012,'Desenvolvimento diário'!$P:$P,$F2012,'Desenvolvimento diário'!$R:$R,"Sim")</f>
        <v>2477.98</v>
      </c>
      <c r="Q2012" s="5">
        <f>SUMIFS('Desenvolvimento diário'!$H:$H,'Desenvolvimento diário'!$Q:$Q,$B2012,'Desenvolvimento diário'!$P:$P,$F2012,'Desenvolvimento diário'!$R:$R,"Não")</f>
        <v>133677</v>
      </c>
      <c r="R2012" s="4">
        <f>SUM(P2012:Q2012)</f>
        <v>136154.98000000001</v>
      </c>
      <c r="S2012" s="4">
        <f>O2012-R2012</f>
        <v>0</v>
      </c>
      <c r="T2012" s="12">
        <f>IFERROR(R2012/O2012,0)</f>
        <v>1</v>
      </c>
      <c r="Y2012" s="2"/>
      <c r="Z2012" s="2"/>
      <c r="AA2012" s="2"/>
      <c r="AB2012" s="2"/>
      <c r="AC2012" s="2"/>
    </row>
    <row r="2013" spans="1:29" ht="10.5" hidden="1">
      <c r="A2013" s="2">
        <f>A2012</f>
        <v>58</v>
      </c>
      <c r="B2013" s="2" t="str">
        <f>VLOOKUP($A2013,Controle!$B$4:$F$68,2,FALSE)</f>
        <v>Varginha 2</v>
      </c>
      <c r="C2013" s="2" t="str">
        <f>VLOOKUP($A2013,Controle!$B$4:$F$68,3,FALSE)</f>
        <v>MORI MINAS V</v>
      </c>
      <c r="D2013" s="2" t="str">
        <f>VLOOKUP($A2013,Controle!$B$4:$F$68,4,FALSE)</f>
        <v>NewCo V</v>
      </c>
      <c r="E2013" s="2">
        <f>VLOOKUP($A2013,Controle!$B$4:$F$68,5,FALSE)</f>
        <v>1</v>
      </c>
      <c r="F2013" s="3" t="str">
        <f>F1978</f>
        <v>Sistemas de Monitoramento - Estações Solarimétricas</v>
      </c>
      <c r="G2013" s="2" t="str">
        <f>VLOOKUP($A2013,Controle!$B$4:$G$68,6,FALSE)</f>
        <v>Solatio</v>
      </c>
      <c r="H2013" s="6" t="s">
        <v>151</v>
      </c>
      <c r="I2013" s="6">
        <v>48276.516000000003</v>
      </c>
      <c r="J2013" s="6">
        <v>0</v>
      </c>
      <c r="K2013" s="6">
        <v>0</v>
      </c>
      <c r="L2013" s="6">
        <v>0</v>
      </c>
      <c r="M2013" s="6">
        <v>0</v>
      </c>
      <c r="N2013" s="6">
        <v>0</v>
      </c>
      <c r="O2013" s="4">
        <f>SUM(I2013:N2013)</f>
        <v>48276.516000000003</v>
      </c>
      <c r="P2013" s="5">
        <f>SUMIFS('Desenvolvimento diário'!$H:$H,'Desenvolvimento diário'!$Q:$Q,$B2013,'Desenvolvimento diário'!$P:$P,$F2013,'Desenvolvimento diário'!$R:$R,"Sim")</f>
        <v>0</v>
      </c>
      <c r="Q2013" s="5">
        <f>SUMIFS('Desenvolvimento diário'!$H:$H,'Desenvolvimento diário'!$Q:$Q,$B2013,'Desenvolvimento diário'!$P:$P,$F2013,'Desenvolvimento diário'!$R:$R,"Não")</f>
        <v>48276.516000000003</v>
      </c>
      <c r="R2013" s="4">
        <f>SUM(P2013:Q2013)</f>
        <v>48276.516000000003</v>
      </c>
      <c r="S2013" s="4">
        <f>O2013-R2013</f>
        <v>0</v>
      </c>
      <c r="T2013" s="12">
        <f>IFERROR(R2013/O2013,0)</f>
        <v>1</v>
      </c>
      <c r="Y2013" s="2"/>
      <c r="Z2013" s="2"/>
      <c r="AA2013" s="2"/>
      <c r="AB2013" s="2"/>
      <c r="AC2013" s="2"/>
    </row>
    <row r="2014" spans="1:29" hidden="1">
      <c r="A2014" s="2">
        <f>A2013</f>
        <v>58</v>
      </c>
      <c r="B2014" s="2" t="str">
        <f>VLOOKUP($A2014,Controle!$B$4:$F$68,2,FALSE)</f>
        <v>Varginha 2</v>
      </c>
      <c r="C2014" s="2" t="str">
        <f>VLOOKUP($A2014,Controle!$B$4:$F$68,3,FALSE)</f>
        <v>MORI MINAS V</v>
      </c>
      <c r="D2014" s="2" t="str">
        <f>VLOOKUP($A2014,Controle!$B$4:$F$68,4,FALSE)</f>
        <v>NewCo V</v>
      </c>
      <c r="E2014" s="2">
        <f>VLOOKUP($A2014,Controle!$B$4:$F$68,5,FALSE)</f>
        <v>1</v>
      </c>
      <c r="F2014" s="3" t="str">
        <f>F1979</f>
        <v>Sistemas de Monitoramento - CFTV</v>
      </c>
      <c r="G2014" s="2" t="str">
        <f>VLOOKUP($A2014,Controle!$B$4:$G$68,6,FALSE)</f>
        <v>Solatio</v>
      </c>
      <c r="H2014" s="31" t="s">
        <v>152</v>
      </c>
      <c r="I2014" s="6">
        <v>289840.90000000002</v>
      </c>
      <c r="J2014" s="6">
        <v>0</v>
      </c>
      <c r="K2014" s="6">
        <v>12311.04</v>
      </c>
      <c r="L2014" s="6">
        <v>0</v>
      </c>
      <c r="M2014" s="6">
        <v>0</v>
      </c>
      <c r="N2014" s="6">
        <v>0</v>
      </c>
      <c r="O2014" s="4">
        <f>SUM(I2014:N2014)</f>
        <v>302151.94</v>
      </c>
      <c r="P2014" s="5">
        <f>SUMIFS('Desenvolvimento diário'!$H:$H,'Desenvolvimento diário'!$Q:$Q,$B2014,'Desenvolvimento diário'!$P:$P,$F2014,'Desenvolvimento diário'!$R:$R,"Sim")</f>
        <v>0</v>
      </c>
      <c r="Q2014" s="5">
        <f>SUMIFS('Desenvolvimento diário'!$H:$H,'Desenvolvimento diário'!$Q:$Q,$B2014,'Desenvolvimento diário'!$P:$P,$F2014,'Desenvolvimento diário'!$R:$R,"Não")</f>
        <v>302151.93999999994</v>
      </c>
      <c r="R2014" s="4">
        <f>SUM(P2014:Q2014)</f>
        <v>302151.93999999994</v>
      </c>
      <c r="S2014" s="4">
        <f>O2014-R2014</f>
        <v>0</v>
      </c>
      <c r="T2014" s="12">
        <f>IFERROR(R2014/O2014,0)</f>
        <v>0.99999999999999978</v>
      </c>
      <c r="Y2014" s="2"/>
      <c r="Z2014" s="2"/>
      <c r="AA2014" s="2"/>
      <c r="AB2014" s="2"/>
      <c r="AC2014" s="2"/>
    </row>
    <row r="2015" spans="1:29" ht="10.5" hidden="1">
      <c r="A2015" s="2">
        <f>A2014</f>
        <v>58</v>
      </c>
      <c r="B2015" s="2" t="str">
        <f>VLOOKUP($A2015,Controle!$B$4:$F$68,2,FALSE)</f>
        <v>Varginha 2</v>
      </c>
      <c r="C2015" s="2" t="str">
        <f>VLOOKUP($A2015,Controle!$B$4:$F$68,3,FALSE)</f>
        <v>MORI MINAS V</v>
      </c>
      <c r="D2015" s="2" t="str">
        <f>VLOOKUP($A2015,Controle!$B$4:$F$68,4,FALSE)</f>
        <v>NewCo V</v>
      </c>
      <c r="E2015" s="2">
        <f>VLOOKUP($A2015,Controle!$B$4:$F$68,5,FALSE)</f>
        <v>1</v>
      </c>
      <c r="F2015" s="3" t="str">
        <f>F1980</f>
        <v>Serviços Auxiliares - Drenagem</v>
      </c>
      <c r="G2015" s="2" t="str">
        <f>VLOOKUP($A2015,Controle!$B$4:$G$68,6,FALSE)</f>
        <v>Solatio</v>
      </c>
      <c r="H2015" s="6" t="s">
        <v>214</v>
      </c>
      <c r="I2015" s="6">
        <v>832038.75</v>
      </c>
      <c r="J2015" s="6">
        <v>0</v>
      </c>
      <c r="K2015" s="6">
        <v>0</v>
      </c>
      <c r="L2015" s="6">
        <v>0</v>
      </c>
      <c r="M2015" s="6">
        <v>0</v>
      </c>
      <c r="N2015" s="6">
        <v>0</v>
      </c>
      <c r="O2015" s="4">
        <f>SUM(I2015:N2015)</f>
        <v>832038.75</v>
      </c>
      <c r="P2015" s="5">
        <f>SUMIFS('Desenvolvimento diário'!$H:$H,'Desenvolvimento diário'!$Q:$Q,$B2015,'Desenvolvimento diário'!$P:$P,$F2015,'Desenvolvimento diário'!$R:$R,"Sim")</f>
        <v>0</v>
      </c>
      <c r="Q2015" s="5">
        <f>SUMIFS('Desenvolvimento diário'!$H:$H,'Desenvolvimento diário'!$Q:$Q,$B2015,'Desenvolvimento diário'!$P:$P,$F2015,'Desenvolvimento diário'!$R:$R,"Não")</f>
        <v>832038.75</v>
      </c>
      <c r="R2015" s="4">
        <f>SUM(P2015:Q2015)</f>
        <v>832038.75</v>
      </c>
      <c r="S2015" s="27">
        <f>O2015-R2015</f>
        <v>0</v>
      </c>
      <c r="T2015" s="12">
        <f>IFERROR(R2015/O2015,0)</f>
        <v>1</v>
      </c>
      <c r="V2015" s="34"/>
      <c r="Y2015" s="2"/>
      <c r="Z2015" s="2"/>
      <c r="AA2015" s="2"/>
      <c r="AB2015" s="2"/>
      <c r="AC2015" s="2"/>
    </row>
    <row r="2016" spans="1:29" ht="10.5" hidden="1">
      <c r="A2016" s="2">
        <f>A2015</f>
        <v>58</v>
      </c>
      <c r="B2016" s="2" t="str">
        <f>VLOOKUP($A2016,Controle!$B$4:$F$68,2,FALSE)</f>
        <v>Varginha 2</v>
      </c>
      <c r="C2016" s="2" t="str">
        <f>VLOOKUP($A2016,Controle!$B$4:$F$68,3,FALSE)</f>
        <v>MORI MINAS V</v>
      </c>
      <c r="D2016" s="2" t="str">
        <f>VLOOKUP($A2016,Controle!$B$4:$F$68,4,FALSE)</f>
        <v>NewCo V</v>
      </c>
      <c r="E2016" s="2">
        <f>VLOOKUP($A2016,Controle!$B$4:$F$68,5,FALSE)</f>
        <v>1</v>
      </c>
      <c r="F2016" s="3" t="str">
        <f>F1981</f>
        <v>Serviços Auxiliares - Terraplanagem</v>
      </c>
      <c r="G2016" s="2" t="str">
        <f>VLOOKUP($A2016,Controle!$B$4:$G$68,6,FALSE)</f>
        <v>Solatio</v>
      </c>
      <c r="H2016" s="6" t="s">
        <v>214</v>
      </c>
      <c r="I2016" s="6">
        <v>728565.79</v>
      </c>
      <c r="J2016" s="6">
        <v>234513.69999999995</v>
      </c>
      <c r="K2016" s="6">
        <v>14075</v>
      </c>
      <c r="L2016" s="6">
        <v>0</v>
      </c>
      <c r="M2016" s="6">
        <v>0</v>
      </c>
      <c r="N2016" s="6">
        <v>0</v>
      </c>
      <c r="O2016" s="4">
        <f>SUM(I2016:N2016)</f>
        <v>977154.49</v>
      </c>
      <c r="P2016" s="5">
        <f>SUMIFS('Desenvolvimento diário'!$H:$H,'Desenvolvimento diário'!$Q:$Q,$B2016,'Desenvolvimento diário'!$P:$P,$F2016,'Desenvolvimento diário'!$R:$R,"Sim")</f>
        <v>0</v>
      </c>
      <c r="Q2016" s="5">
        <f>SUMIFS('Desenvolvimento diário'!$H:$H,'Desenvolvimento diário'!$Q:$Q,$B2016,'Desenvolvimento diário'!$P:$P,$F2016,'Desenvolvimento diário'!$R:$R,"Não")</f>
        <v>977154.49</v>
      </c>
      <c r="R2016" s="4">
        <f>SUM(P2016:Q2016)</f>
        <v>977154.49</v>
      </c>
      <c r="S2016" s="27">
        <f>O2016-R2016</f>
        <v>0</v>
      </c>
      <c r="T2016" s="12">
        <f>IFERROR(R2016/O2016,0)</f>
        <v>1</v>
      </c>
      <c r="V2016" s="34"/>
      <c r="Y2016" s="2"/>
      <c r="Z2016" s="2"/>
      <c r="AA2016" s="2"/>
      <c r="AB2016" s="2"/>
      <c r="AC2016" s="2"/>
    </row>
    <row r="2017" spans="1:29" ht="10.5" hidden="1">
      <c r="A2017" s="2">
        <f t="shared" ref="A2017:A2030" si="618">A2016</f>
        <v>58</v>
      </c>
      <c r="B2017" s="2" t="str">
        <f>VLOOKUP($A2017,Controle!$B$4:$F$68,2,FALSE)</f>
        <v>Varginha 2</v>
      </c>
      <c r="C2017" s="2" t="str">
        <f>VLOOKUP($A2017,Controle!$B$4:$F$68,3,FALSE)</f>
        <v>MORI MINAS V</v>
      </c>
      <c r="D2017" s="2" t="str">
        <f>VLOOKUP($A2017,Controle!$B$4:$F$68,4,FALSE)</f>
        <v>NewCo V</v>
      </c>
      <c r="E2017" s="2">
        <f>VLOOKUP($A2017,Controle!$B$4:$F$68,5,FALSE)</f>
        <v>1</v>
      </c>
      <c r="F2017" s="3" t="str">
        <f t="shared" ref="F2017:F2030" si="619">F1982</f>
        <v>Serviços Auxiliares - Supressão Vegetal</v>
      </c>
      <c r="G2017" s="2" t="str">
        <f>VLOOKUP($A2017,Controle!$B$4:$G$68,6,FALSE)</f>
        <v>Solatio</v>
      </c>
      <c r="H2017" s="6">
        <v>0</v>
      </c>
      <c r="I2017" s="6">
        <v>0</v>
      </c>
      <c r="J2017" s="6">
        <v>0</v>
      </c>
      <c r="K2017" s="6">
        <v>0</v>
      </c>
      <c r="L2017" s="6">
        <v>0</v>
      </c>
      <c r="M2017" s="6">
        <v>0</v>
      </c>
      <c r="N2017" s="6">
        <v>0</v>
      </c>
      <c r="O2017" s="4">
        <f t="shared" ref="O1997:O2030" si="620">SUM(I2017:N2017)</f>
        <v>0</v>
      </c>
      <c r="P2017" s="5">
        <f>SUMIFS('Desenvolvimento diário'!$H:$H,'Desenvolvimento diário'!$Q:$Q,$B2017,'Desenvolvimento diário'!$P:$P,$F2017,'Desenvolvimento diário'!$R:$R,"Sim")</f>
        <v>0</v>
      </c>
      <c r="Q2017" s="5">
        <f>SUMIFS('Desenvolvimento diário'!$H:$H,'Desenvolvimento diário'!$Q:$Q,$B2017,'Desenvolvimento diário'!$P:$P,$F2017,'Desenvolvimento diário'!$R:$R,"Não")</f>
        <v>0</v>
      </c>
      <c r="R2017" s="4">
        <f t="shared" ref="R1997:R2030" si="621">SUM(P2017:Q2017)</f>
        <v>0</v>
      </c>
      <c r="S2017" s="4">
        <f t="shared" ref="S1997:S2030" si="622">O2017-R2017</f>
        <v>0</v>
      </c>
      <c r="T2017" s="12">
        <f t="shared" ref="T1972:T2039" si="623">IFERROR(R2017/O2017,0)</f>
        <v>0</v>
      </c>
      <c r="Y2017" s="2"/>
      <c r="Z2017" s="2"/>
      <c r="AA2017" s="2"/>
      <c r="AB2017" s="2"/>
      <c r="AC2017" s="2"/>
    </row>
    <row r="2018" spans="1:29" ht="10.5" hidden="1">
      <c r="A2018" s="2">
        <f t="shared" si="618"/>
        <v>58</v>
      </c>
      <c r="B2018" s="2" t="str">
        <f>VLOOKUP($A2018,Controle!$B$4:$F$68,2,FALSE)</f>
        <v>Varginha 2</v>
      </c>
      <c r="C2018" s="2" t="str">
        <f>VLOOKUP($A2018,Controle!$B$4:$F$68,3,FALSE)</f>
        <v>MORI MINAS V</v>
      </c>
      <c r="D2018" s="2" t="str">
        <f>VLOOKUP($A2018,Controle!$B$4:$F$68,4,FALSE)</f>
        <v>NewCo V</v>
      </c>
      <c r="E2018" s="2">
        <f>VLOOKUP($A2018,Controle!$B$4:$F$68,5,FALSE)</f>
        <v>1</v>
      </c>
      <c r="F2018" s="3" t="str">
        <f t="shared" si="619"/>
        <v>RDR-Rede de Distribuição Rural</v>
      </c>
      <c r="G2018" s="2" t="str">
        <f>VLOOKUP($A2018,Controle!$B$4:$G$68,6,FALSE)</f>
        <v>Solatio</v>
      </c>
      <c r="H2018" s="6">
        <v>0</v>
      </c>
      <c r="I2018" s="6">
        <v>0</v>
      </c>
      <c r="J2018" s="6">
        <v>0</v>
      </c>
      <c r="K2018" s="6">
        <v>0</v>
      </c>
      <c r="L2018" s="6">
        <v>0</v>
      </c>
      <c r="M2018" s="6">
        <v>0</v>
      </c>
      <c r="N2018" s="6">
        <v>0</v>
      </c>
      <c r="O2018" s="4">
        <f t="shared" si="620"/>
        <v>0</v>
      </c>
      <c r="P2018" s="5">
        <f>SUMIFS('Desenvolvimento diário'!$H:$H,'Desenvolvimento diário'!$Q:$Q,$B2018,'Desenvolvimento diário'!$P:$P,$F2018,'Desenvolvimento diário'!$R:$R,"Sim")</f>
        <v>0</v>
      </c>
      <c r="Q2018" s="5">
        <f>SUMIFS('Desenvolvimento diário'!$H:$H,'Desenvolvimento diário'!$Q:$Q,$B2018,'Desenvolvimento diário'!$P:$P,$F2018,'Desenvolvimento diário'!$R:$R,"Não")</f>
        <v>0</v>
      </c>
      <c r="R2018" s="4">
        <f t="shared" si="621"/>
        <v>0</v>
      </c>
      <c r="S2018" s="4">
        <f t="shared" si="622"/>
        <v>0</v>
      </c>
      <c r="T2018" s="12">
        <f t="shared" si="623"/>
        <v>0</v>
      </c>
      <c r="Y2018" s="2"/>
      <c r="Z2018" s="2"/>
      <c r="AA2018" s="2"/>
      <c r="AB2018" s="2"/>
      <c r="AC2018" s="2"/>
    </row>
    <row r="2019" spans="1:29" ht="10.5" hidden="1">
      <c r="A2019" s="2">
        <f t="shared" si="618"/>
        <v>58</v>
      </c>
      <c r="B2019" s="2" t="str">
        <f>VLOOKUP($A2019,Controle!$B$4:$F$68,2,FALSE)</f>
        <v>Varginha 2</v>
      </c>
      <c r="C2019" s="2" t="str">
        <f>VLOOKUP($A2019,Controle!$B$4:$F$68,3,FALSE)</f>
        <v>MORI MINAS V</v>
      </c>
      <c r="D2019" s="2" t="str">
        <f>VLOOKUP($A2019,Controle!$B$4:$F$68,4,FALSE)</f>
        <v>NewCo V</v>
      </c>
      <c r="E2019" s="2">
        <f>VLOOKUP($A2019,Controle!$B$4:$F$68,5,FALSE)</f>
        <v>1</v>
      </c>
      <c r="F2019" s="3" t="str">
        <f t="shared" si="619"/>
        <v>Escopo COMERC</v>
      </c>
      <c r="G2019" s="2" t="str">
        <f>VLOOKUP($A2019,Controle!$B$4:$G$68,6,FALSE)</f>
        <v>Solatio</v>
      </c>
      <c r="H2019" s="6">
        <v>0</v>
      </c>
      <c r="I2019" s="6">
        <v>75911.42</v>
      </c>
      <c r="J2019" s="29">
        <v>30000</v>
      </c>
      <c r="K2019" s="29"/>
      <c r="L2019" s="6">
        <v>0</v>
      </c>
      <c r="M2019" s="6">
        <v>0</v>
      </c>
      <c r="N2019" s="6">
        <v>0</v>
      </c>
      <c r="O2019" s="4">
        <f t="shared" si="620"/>
        <v>105911.42</v>
      </c>
      <c r="P2019" s="5">
        <f>SUMIFS('Desenvolvimento diário'!$H:$H,'Desenvolvimento diário'!$Q:$Q,$B2019,'Desenvolvimento diário'!$P:$P,$F2019,'Desenvolvimento diário'!$R:$R,"Sim")</f>
        <v>0</v>
      </c>
      <c r="Q2019" s="5">
        <f>SUMIFS('Desenvolvimento diário'!$H:$H,'Desenvolvimento diário'!$Q:$Q,$B2019,'Desenvolvimento diário'!$P:$P,$F2019,'Desenvolvimento diário'!$R:$R,"Não")</f>
        <v>76910.2</v>
      </c>
      <c r="R2019" s="4">
        <f t="shared" si="621"/>
        <v>76910.2</v>
      </c>
      <c r="S2019" s="1010">
        <f t="shared" si="622"/>
        <v>29001.22</v>
      </c>
      <c r="T2019" s="12">
        <f t="shared" si="623"/>
        <v>0.72617476000227354</v>
      </c>
      <c r="U2019" s="1011" t="s">
        <v>166</v>
      </c>
      <c r="V2019" s="1011" t="s">
        <v>167</v>
      </c>
      <c r="Y2019" s="2"/>
      <c r="Z2019" s="2"/>
      <c r="AA2019" s="2"/>
      <c r="AB2019" s="2"/>
      <c r="AC2019" s="2"/>
    </row>
    <row r="2020" spans="1:29" ht="10.5" hidden="1">
      <c r="A2020" s="2">
        <f t="shared" si="618"/>
        <v>58</v>
      </c>
      <c r="B2020" s="2" t="str">
        <f>VLOOKUP($A2020,Controle!$B$4:$F$68,2,FALSE)</f>
        <v>Varginha 2</v>
      </c>
      <c r="C2020" s="2" t="str">
        <f>VLOOKUP($A2020,Controle!$B$4:$F$68,3,FALSE)</f>
        <v>MORI MINAS V</v>
      </c>
      <c r="D2020" s="2" t="str">
        <f>VLOOKUP($A2020,Controle!$B$4:$F$68,4,FALSE)</f>
        <v>NewCo V</v>
      </c>
      <c r="E2020" s="2">
        <f>VLOOKUP($A2020,Controle!$B$4:$F$68,5,FALSE)</f>
        <v>1</v>
      </c>
      <c r="F2020" s="3" t="str">
        <f t="shared" si="619"/>
        <v>Escopo COMERC - Segurança</v>
      </c>
      <c r="G2020" s="2" t="str">
        <f>VLOOKUP($A2020,Controle!$B$4:$G$68,6,FALSE)</f>
        <v>Solatio</v>
      </c>
      <c r="H2020" s="6">
        <v>0</v>
      </c>
      <c r="I2020" s="6">
        <f t="shared" ref="I2019:I2020" si="624">R2020</f>
        <v>172029.36</v>
      </c>
      <c r="J2020" s="6">
        <v>0</v>
      </c>
      <c r="K2020" s="6">
        <v>0</v>
      </c>
      <c r="L2020" s="6">
        <v>0</v>
      </c>
      <c r="M2020" s="6">
        <v>0</v>
      </c>
      <c r="N2020" s="6">
        <v>0</v>
      </c>
      <c r="O2020" s="4">
        <f t="shared" si="620"/>
        <v>172029.36</v>
      </c>
      <c r="P2020" s="5">
        <f>SUMIFS('Desenvolvimento diário'!$H:$H,'Desenvolvimento diário'!$Q:$Q,$B2020,'Desenvolvimento diário'!$P:$P,$F2020,'Desenvolvimento diário'!$R:$R,"Sim")</f>
        <v>0</v>
      </c>
      <c r="Q2020" s="5">
        <f>SUMIFS('Desenvolvimento diário'!$H:$H,'Desenvolvimento diário'!$Q:$Q,$B2020,'Desenvolvimento diário'!$P:$P,$F2020,'Desenvolvimento diário'!$R:$R,"Não")</f>
        <v>172029.36</v>
      </c>
      <c r="R2020" s="4">
        <f t="shared" si="621"/>
        <v>172029.36</v>
      </c>
      <c r="S2020" s="4">
        <f t="shared" si="622"/>
        <v>0</v>
      </c>
      <c r="T2020" s="12">
        <f t="shared" si="623"/>
        <v>1</v>
      </c>
      <c r="Y2020" s="2"/>
      <c r="Z2020" s="2"/>
      <c r="AA2020" s="2"/>
      <c r="AB2020" s="2"/>
      <c r="AC2020" s="2"/>
    </row>
    <row r="2021" spans="1:29" ht="10.5" hidden="1">
      <c r="A2021" s="2">
        <f t="shared" si="618"/>
        <v>58</v>
      </c>
      <c r="B2021" s="2" t="str">
        <f>VLOOKUP($A2021,Controle!$B$4:$F$68,2,FALSE)</f>
        <v>Varginha 2</v>
      </c>
      <c r="C2021" s="2" t="str">
        <f>VLOOKUP($A2021,Controle!$B$4:$F$68,3,FALSE)</f>
        <v>MORI MINAS V</v>
      </c>
      <c r="D2021" s="2" t="str">
        <f>VLOOKUP($A2021,Controle!$B$4:$F$68,4,FALSE)</f>
        <v>NewCo V</v>
      </c>
      <c r="E2021" s="2">
        <f>VLOOKUP($A2021,Controle!$B$4:$F$68,5,FALSE)</f>
        <v>1</v>
      </c>
      <c r="F2021" s="3" t="str">
        <f t="shared" si="619"/>
        <v>Conexão MT - Obras Transferencia</v>
      </c>
      <c r="G2021" s="2" t="str">
        <f>VLOOKUP($A2021,Controle!$B$4:$G$68,6,FALSE)</f>
        <v>Solatio</v>
      </c>
      <c r="H2021" s="6">
        <v>0</v>
      </c>
      <c r="I2021" s="6">
        <v>0</v>
      </c>
      <c r="J2021" s="6">
        <v>0</v>
      </c>
      <c r="K2021" s="6">
        <v>0</v>
      </c>
      <c r="L2021" s="6">
        <v>0</v>
      </c>
      <c r="M2021" s="6">
        <v>0</v>
      </c>
      <c r="N2021" s="6">
        <v>0</v>
      </c>
      <c r="O2021" s="4">
        <f t="shared" si="620"/>
        <v>0</v>
      </c>
      <c r="P2021" s="5">
        <f>SUMIFS('Desenvolvimento diário'!$H:$H,'Desenvolvimento diário'!$Q:$Q,$B2021,'Desenvolvimento diário'!$P:$P,$F2021,'Desenvolvimento diário'!$R:$R,"Sim")</f>
        <v>0</v>
      </c>
      <c r="Q2021" s="5">
        <f>SUMIFS('Desenvolvimento diário'!$H:$H,'Desenvolvimento diário'!$Q:$Q,$B2021,'Desenvolvimento diário'!$P:$P,$F2021,'Desenvolvimento diário'!$R:$R,"Não")</f>
        <v>0</v>
      </c>
      <c r="R2021" s="4">
        <f t="shared" si="621"/>
        <v>0</v>
      </c>
      <c r="S2021" s="4">
        <f t="shared" si="622"/>
        <v>0</v>
      </c>
      <c r="T2021" s="12">
        <f t="shared" si="623"/>
        <v>0</v>
      </c>
      <c r="Y2021" s="2"/>
      <c r="Z2021" s="2"/>
      <c r="AA2021" s="2"/>
      <c r="AB2021" s="2"/>
      <c r="AC2021" s="2"/>
    </row>
    <row r="2022" spans="1:29" ht="10.5" hidden="1">
      <c r="A2022" s="2">
        <f t="shared" si="618"/>
        <v>58</v>
      </c>
      <c r="B2022" s="2" t="str">
        <f>VLOOKUP($A2022,Controle!$B$4:$F$68,2,FALSE)</f>
        <v>Varginha 2</v>
      </c>
      <c r="C2022" s="2" t="str">
        <f>VLOOKUP($A2022,Controle!$B$4:$F$68,3,FALSE)</f>
        <v>MORI MINAS V</v>
      </c>
      <c r="D2022" s="2" t="str">
        <f>VLOOKUP($A2022,Controle!$B$4:$F$68,4,FALSE)</f>
        <v>NewCo V</v>
      </c>
      <c r="E2022" s="2">
        <f>VLOOKUP($A2022,Controle!$B$4:$F$68,5,FALSE)</f>
        <v>1</v>
      </c>
      <c r="F2022" s="3" t="str">
        <f t="shared" si="619"/>
        <v>Bases de Contaniers</v>
      </c>
      <c r="G2022" s="2" t="str">
        <f>VLOOKUP($A2022,Controle!$B$4:$G$68,6,FALSE)</f>
        <v>Solatio</v>
      </c>
      <c r="H2022" s="6">
        <v>0</v>
      </c>
      <c r="I2022" s="6">
        <v>0</v>
      </c>
      <c r="J2022" s="6">
        <v>0</v>
      </c>
      <c r="K2022" s="6">
        <v>0</v>
      </c>
      <c r="L2022" s="6">
        <v>0</v>
      </c>
      <c r="M2022" s="6">
        <v>0</v>
      </c>
      <c r="N2022" s="6">
        <v>0</v>
      </c>
      <c r="O2022" s="4">
        <f t="shared" si="620"/>
        <v>0</v>
      </c>
      <c r="P2022" s="5">
        <f>SUMIFS('Desenvolvimento diário'!$H:$H,'Desenvolvimento diário'!$Q:$Q,$B2022,'Desenvolvimento diário'!$P:$P,$F2022,'Desenvolvimento diário'!$R:$R,"Sim")</f>
        <v>0</v>
      </c>
      <c r="Q2022" s="5">
        <f>SUMIFS('Desenvolvimento diário'!$H:$H,'Desenvolvimento diário'!$Q:$Q,$B2022,'Desenvolvimento diário'!$P:$P,$F2022,'Desenvolvimento diário'!$R:$R,"Não")</f>
        <v>0</v>
      </c>
      <c r="R2022" s="4">
        <f t="shared" si="621"/>
        <v>0</v>
      </c>
      <c r="S2022" s="4">
        <f t="shared" si="622"/>
        <v>0</v>
      </c>
      <c r="T2022" s="12">
        <f t="shared" si="623"/>
        <v>0</v>
      </c>
      <c r="Y2022" s="2"/>
      <c r="Z2022" s="2"/>
      <c r="AA2022" s="2"/>
      <c r="AB2022" s="2"/>
      <c r="AC2022" s="2"/>
    </row>
    <row r="2023" spans="1:29" ht="10.5" hidden="1">
      <c r="A2023" s="2">
        <f t="shared" si="618"/>
        <v>58</v>
      </c>
      <c r="B2023" s="2" t="str">
        <f>VLOOKUP($A2023,Controle!$B$4:$F$68,2,FALSE)</f>
        <v>Varginha 2</v>
      </c>
      <c r="C2023" s="2" t="str">
        <f>VLOOKUP($A2023,Controle!$B$4:$F$68,3,FALSE)</f>
        <v>MORI MINAS V</v>
      </c>
      <c r="D2023" s="2" t="str">
        <f>VLOOKUP($A2023,Controle!$B$4:$F$68,4,FALSE)</f>
        <v>NewCo V</v>
      </c>
      <c r="E2023" s="2">
        <f>VLOOKUP($A2023,Controle!$B$4:$F$68,5,FALSE)</f>
        <v>1</v>
      </c>
      <c r="F2023" s="3" t="str">
        <f t="shared" si="619"/>
        <v>Construção - Serviços de Construção - Ase Engenharia</v>
      </c>
      <c r="G2023" s="2" t="str">
        <f>VLOOKUP($A2023,Controle!$B$4:$G$68,6,FALSE)</f>
        <v>Solatio</v>
      </c>
      <c r="H2023" s="6">
        <v>0</v>
      </c>
      <c r="I2023" s="6">
        <v>0</v>
      </c>
      <c r="J2023" s="6">
        <v>0</v>
      </c>
      <c r="K2023" s="6">
        <v>0</v>
      </c>
      <c r="L2023" s="6">
        <v>0</v>
      </c>
      <c r="M2023" s="6">
        <v>0</v>
      </c>
      <c r="N2023" s="6">
        <v>0</v>
      </c>
      <c r="O2023" s="4">
        <f t="shared" si="620"/>
        <v>0</v>
      </c>
      <c r="P2023" s="5">
        <f>SUMIFS('Desenvolvimento diário'!$H:$H,'Desenvolvimento diário'!$Q:$Q,$B2023,'Desenvolvimento diário'!$P:$P,$F2023,'Desenvolvimento diário'!$R:$R,"Sim")</f>
        <v>0</v>
      </c>
      <c r="Q2023" s="5">
        <f>SUMIFS('Desenvolvimento diário'!$H:$H,'Desenvolvimento diário'!$Q:$Q,$B2023,'Desenvolvimento diário'!$P:$P,$F2023,'Desenvolvimento diário'!$R:$R,"Não")</f>
        <v>0</v>
      </c>
      <c r="R2023" s="4">
        <f t="shared" si="621"/>
        <v>0</v>
      </c>
      <c r="S2023" s="4">
        <f t="shared" si="622"/>
        <v>0</v>
      </c>
      <c r="T2023" s="12">
        <f t="shared" si="623"/>
        <v>0</v>
      </c>
      <c r="Y2023" s="2"/>
      <c r="Z2023" s="2"/>
      <c r="AA2023" s="2"/>
      <c r="AB2023" s="2"/>
      <c r="AC2023" s="2"/>
    </row>
    <row r="2024" spans="1:29" ht="10.5" hidden="1">
      <c r="A2024" s="2">
        <f t="shared" si="618"/>
        <v>58</v>
      </c>
      <c r="B2024" s="2" t="str">
        <f>VLOOKUP($A2024,Controle!$B$4:$F$68,2,FALSE)</f>
        <v>Varginha 2</v>
      </c>
      <c r="C2024" s="2" t="str">
        <f>VLOOKUP($A2024,Controle!$B$4:$F$68,3,FALSE)</f>
        <v>MORI MINAS V</v>
      </c>
      <c r="D2024" s="2" t="str">
        <f>VLOOKUP($A2024,Controle!$B$4:$F$68,4,FALSE)</f>
        <v>NewCo V</v>
      </c>
      <c r="E2024" s="2">
        <f>VLOOKUP($A2024,Controle!$B$4:$F$68,5,FALSE)</f>
        <v>1</v>
      </c>
      <c r="F2024" s="3" t="str">
        <f t="shared" si="619"/>
        <v>Full EPC - Contrato Sobressalentes</v>
      </c>
      <c r="G2024" s="2" t="str">
        <f>VLOOKUP($A2024,Controle!$B$4:$G$68,6,FALSE)</f>
        <v>Solatio</v>
      </c>
      <c r="H2024" s="6">
        <v>0</v>
      </c>
      <c r="I2024" s="6">
        <v>0</v>
      </c>
      <c r="J2024" s="6">
        <v>0</v>
      </c>
      <c r="K2024" s="6">
        <v>0</v>
      </c>
      <c r="L2024" s="6">
        <v>0</v>
      </c>
      <c r="M2024" s="6">
        <v>0</v>
      </c>
      <c r="N2024" s="6">
        <v>0</v>
      </c>
      <c r="O2024" s="4">
        <f t="shared" si="620"/>
        <v>0</v>
      </c>
      <c r="P2024" s="5">
        <f>SUMIFS('Desenvolvimento diário'!$H:$H,'Desenvolvimento diário'!$Q:$Q,$B2024,'Desenvolvimento diário'!$P:$P,$F2024,'Desenvolvimento diário'!$R:$R,"Sim")</f>
        <v>0</v>
      </c>
      <c r="Q2024" s="5">
        <f>SUMIFS('Desenvolvimento diário'!$H:$H,'Desenvolvimento diário'!$Q:$Q,$B2024,'Desenvolvimento diário'!$P:$P,$F2024,'Desenvolvimento diário'!$R:$R,"Não")</f>
        <v>0</v>
      </c>
      <c r="R2024" s="4">
        <f t="shared" si="621"/>
        <v>0</v>
      </c>
      <c r="S2024" s="4">
        <f t="shared" si="622"/>
        <v>0</v>
      </c>
      <c r="T2024" s="12">
        <f t="shared" si="623"/>
        <v>0</v>
      </c>
      <c r="Y2024" s="2"/>
      <c r="Z2024" s="2"/>
      <c r="AA2024" s="2"/>
      <c r="AB2024" s="2"/>
      <c r="AC2024" s="2"/>
    </row>
    <row r="2025" spans="1:29" ht="10.5" hidden="1">
      <c r="A2025" s="2">
        <f t="shared" si="618"/>
        <v>58</v>
      </c>
      <c r="B2025" s="2" t="str">
        <f>VLOOKUP($A2025,Controle!$B$4:$F$68,2,FALSE)</f>
        <v>Varginha 2</v>
      </c>
      <c r="C2025" s="2" t="str">
        <f>VLOOKUP($A2025,Controle!$B$4:$F$68,3,FALSE)</f>
        <v>MORI MINAS V</v>
      </c>
      <c r="D2025" s="2" t="str">
        <f>VLOOKUP($A2025,Controle!$B$4:$F$68,4,FALSE)</f>
        <v>NewCo V</v>
      </c>
      <c r="E2025" s="2">
        <f>VLOOKUP($A2025,Controle!$B$4:$F$68,5,FALSE)</f>
        <v>1</v>
      </c>
      <c r="F2025" s="3" t="str">
        <f t="shared" si="619"/>
        <v>Construção - Serviços de Construção - NOVA MORADA</v>
      </c>
      <c r="G2025" s="2" t="str">
        <f>VLOOKUP($A2025,Controle!$B$4:$G$68,6,FALSE)</f>
        <v>Solatio</v>
      </c>
      <c r="H2025" s="6">
        <v>0</v>
      </c>
      <c r="I2025" s="6">
        <v>0</v>
      </c>
      <c r="J2025" s="6">
        <v>0</v>
      </c>
      <c r="K2025" s="6">
        <v>0</v>
      </c>
      <c r="L2025" s="6">
        <v>0</v>
      </c>
      <c r="M2025" s="6">
        <v>0</v>
      </c>
      <c r="N2025" s="6">
        <v>0</v>
      </c>
      <c r="O2025" s="4">
        <f t="shared" si="620"/>
        <v>0</v>
      </c>
      <c r="P2025" s="5">
        <f>SUMIFS('Desenvolvimento diário'!$H:$H,'Desenvolvimento diário'!$Q:$Q,$B2025,'Desenvolvimento diário'!$P:$P,$F2025,'Desenvolvimento diário'!$R:$R,"Sim")</f>
        <v>0</v>
      </c>
      <c r="Q2025" s="5">
        <f>SUMIFS('Desenvolvimento diário'!$H:$H,'Desenvolvimento diário'!$Q:$Q,$B2025,'Desenvolvimento diário'!$P:$P,$F2025,'Desenvolvimento diário'!$R:$R,"Não")</f>
        <v>0</v>
      </c>
      <c r="R2025" s="4">
        <f t="shared" si="621"/>
        <v>0</v>
      </c>
      <c r="S2025" s="4">
        <f t="shared" si="622"/>
        <v>0</v>
      </c>
      <c r="T2025" s="12">
        <f t="shared" si="623"/>
        <v>0</v>
      </c>
      <c r="Y2025" s="2"/>
      <c r="Z2025" s="2"/>
      <c r="AA2025" s="2"/>
      <c r="AB2025" s="2"/>
      <c r="AC2025" s="2"/>
    </row>
    <row r="2026" spans="1:29" ht="10.5" hidden="1">
      <c r="A2026" s="2">
        <f t="shared" si="618"/>
        <v>58</v>
      </c>
      <c r="B2026" s="2" t="str">
        <f>VLOOKUP($A2026,Controle!$B$4:$F$68,2,FALSE)</f>
        <v>Varginha 2</v>
      </c>
      <c r="C2026" s="2" t="str">
        <f>VLOOKUP($A2026,Controle!$B$4:$F$68,3,FALSE)</f>
        <v>MORI MINAS V</v>
      </c>
      <c r="D2026" s="2" t="str">
        <f>VLOOKUP($A2026,Controle!$B$4:$F$68,4,FALSE)</f>
        <v>NewCo V</v>
      </c>
      <c r="E2026" s="2">
        <f>VLOOKUP($A2026,Controle!$B$4:$F$68,5,FALSE)</f>
        <v>1</v>
      </c>
      <c r="F2026" s="3" t="str">
        <f t="shared" si="619"/>
        <v>Equipamentos Curva A -  Contrato Sobressalentes - SETTA</v>
      </c>
      <c r="G2026" s="2" t="str">
        <f>VLOOKUP($A2026,Controle!$B$4:$G$68,6,FALSE)</f>
        <v>Solatio</v>
      </c>
      <c r="H2026" s="6">
        <v>0</v>
      </c>
      <c r="I2026" s="6">
        <v>0</v>
      </c>
      <c r="J2026" s="6">
        <v>0</v>
      </c>
      <c r="K2026" s="6">
        <v>0</v>
      </c>
      <c r="L2026" s="6">
        <v>0</v>
      </c>
      <c r="M2026" s="6">
        <v>0</v>
      </c>
      <c r="N2026" s="6">
        <v>0</v>
      </c>
      <c r="O2026" s="4">
        <f t="shared" si="620"/>
        <v>0</v>
      </c>
      <c r="P2026" s="5">
        <f>SUMIFS('Desenvolvimento diário'!$H:$H,'Desenvolvimento diário'!$Q:$Q,$B2026,'Desenvolvimento diário'!$P:$P,$F2026,'Desenvolvimento diário'!$R:$R,"Sim")</f>
        <v>0</v>
      </c>
      <c r="Q2026" s="5">
        <f>SUMIFS('Desenvolvimento diário'!$H:$H,'Desenvolvimento diário'!$Q:$Q,$B2026,'Desenvolvimento diário'!$P:$P,$F2026,'Desenvolvimento diário'!$R:$R,"Não")</f>
        <v>0</v>
      </c>
      <c r="R2026" s="4">
        <f t="shared" si="621"/>
        <v>0</v>
      </c>
      <c r="S2026" s="4">
        <f t="shared" si="622"/>
        <v>0</v>
      </c>
      <c r="T2026" s="12">
        <f t="shared" si="623"/>
        <v>0</v>
      </c>
      <c r="Y2026" s="2"/>
      <c r="Z2026" s="2"/>
      <c r="AA2026" s="2"/>
      <c r="AB2026" s="2"/>
      <c r="AC2026" s="2"/>
    </row>
    <row r="2027" spans="1:29" ht="10.5" hidden="1">
      <c r="A2027" s="2">
        <f t="shared" si="618"/>
        <v>58</v>
      </c>
      <c r="B2027" s="2" t="str">
        <f>VLOOKUP($A2027,Controle!$B$4:$F$68,2,FALSE)</f>
        <v>Varginha 2</v>
      </c>
      <c r="C2027" s="2" t="str">
        <f>VLOOKUP($A2027,Controle!$B$4:$F$68,3,FALSE)</f>
        <v>MORI MINAS V</v>
      </c>
      <c r="D2027" s="2" t="str">
        <f>VLOOKUP($A2027,Controle!$B$4:$F$68,4,FALSE)</f>
        <v>NewCo V</v>
      </c>
      <c r="E2027" s="2">
        <f>VLOOKUP($A2027,Controle!$B$4:$F$68,5,FALSE)</f>
        <v>1</v>
      </c>
      <c r="F2027" s="3" t="str">
        <f t="shared" si="619"/>
        <v>Equipamentos Curva A -  Contrato Sobressalentes - Arctech</v>
      </c>
      <c r="G2027" s="2" t="str">
        <f>VLOOKUP($A2027,Controle!$B$4:$G$68,6,FALSE)</f>
        <v>Solatio</v>
      </c>
      <c r="H2027" s="6">
        <v>0</v>
      </c>
      <c r="I2027" s="6">
        <v>0</v>
      </c>
      <c r="J2027" s="6">
        <v>0</v>
      </c>
      <c r="K2027" s="6">
        <v>0</v>
      </c>
      <c r="L2027" s="6">
        <v>0</v>
      </c>
      <c r="M2027" s="6">
        <v>0</v>
      </c>
      <c r="N2027" s="6">
        <v>0</v>
      </c>
      <c r="O2027" s="4">
        <f t="shared" si="620"/>
        <v>0</v>
      </c>
      <c r="P2027" s="5">
        <f>SUMIFS('Desenvolvimento diário'!$H:$H,'Desenvolvimento diário'!$Q:$Q,$B2027,'Desenvolvimento diário'!$P:$P,$F2027,'Desenvolvimento diário'!$R:$R,"Sim")</f>
        <v>0</v>
      </c>
      <c r="Q2027" s="5">
        <f>SUMIFS('Desenvolvimento diário'!$H:$H,'Desenvolvimento diário'!$Q:$Q,$B2027,'Desenvolvimento diário'!$P:$P,$F2027,'Desenvolvimento diário'!$R:$R,"Não")</f>
        <v>0</v>
      </c>
      <c r="R2027" s="4">
        <f t="shared" si="621"/>
        <v>0</v>
      </c>
      <c r="S2027" s="4">
        <f t="shared" si="622"/>
        <v>0</v>
      </c>
      <c r="T2027" s="12">
        <f t="shared" si="623"/>
        <v>0</v>
      </c>
      <c r="Y2027" s="2"/>
      <c r="Z2027" s="2"/>
      <c r="AA2027" s="2"/>
      <c r="AB2027" s="2"/>
      <c r="AC2027" s="2"/>
    </row>
    <row r="2028" spans="1:29" hidden="1">
      <c r="A2028" s="2">
        <f t="shared" si="618"/>
        <v>58</v>
      </c>
      <c r="B2028" s="2" t="str">
        <f>VLOOKUP($A2028,Controle!$B$4:$F$68,2,FALSE)</f>
        <v>Varginha 2</v>
      </c>
      <c r="C2028" s="2" t="str">
        <f>VLOOKUP($A2028,Controle!$B$4:$F$68,3,FALSE)</f>
        <v>MORI MINAS V</v>
      </c>
      <c r="D2028" s="2" t="str">
        <f>VLOOKUP($A2028,Controle!$B$4:$F$68,4,FALSE)</f>
        <v>NewCo V</v>
      </c>
      <c r="E2028" s="2">
        <f>VLOOKUP($A2028,Controle!$B$4:$F$68,5,FALSE)</f>
        <v>1</v>
      </c>
      <c r="F2028" s="3" t="str">
        <f t="shared" si="619"/>
        <v>Equipamentos Curva A -  Contrato Sobressalentes - Romagnole</v>
      </c>
      <c r="G2028" s="2" t="str">
        <f>VLOOKUP($A2028,Controle!$B$4:$G$68,6,FALSE)</f>
        <v>Solatio</v>
      </c>
      <c r="H2028" s="7">
        <v>0</v>
      </c>
      <c r="I2028" s="7">
        <v>0</v>
      </c>
      <c r="J2028" s="7">
        <v>0</v>
      </c>
      <c r="K2028" s="7">
        <v>0</v>
      </c>
      <c r="L2028" s="7">
        <v>0</v>
      </c>
      <c r="M2028" s="7">
        <v>0</v>
      </c>
      <c r="N2028" s="7">
        <v>0</v>
      </c>
      <c r="O2028" s="4">
        <f t="shared" si="620"/>
        <v>0</v>
      </c>
      <c r="P2028" s="17">
        <f>SUMIFS('Desenvolvimento diário'!$H:$H,'Desenvolvimento diário'!$Q:$Q,$B2028,'Desenvolvimento diário'!$P:$P,$F2028,'Desenvolvimento diário'!$R:$R,"Sim")</f>
        <v>0</v>
      </c>
      <c r="Q2028" s="17">
        <f>SUMIFS('Desenvolvimento diário'!$H:$H,'Desenvolvimento diário'!$Q:$Q,$B2028,'Desenvolvimento diário'!$P:$P,$F2028,'Desenvolvimento diário'!$R:$R,"Não")</f>
        <v>0</v>
      </c>
      <c r="R2028" s="4">
        <f t="shared" si="621"/>
        <v>0</v>
      </c>
      <c r="S2028" s="4">
        <f t="shared" si="622"/>
        <v>0</v>
      </c>
      <c r="T2028" s="12">
        <f t="shared" si="623"/>
        <v>0</v>
      </c>
      <c r="Y2028" s="2"/>
      <c r="Z2028" s="2"/>
      <c r="AA2028" s="2"/>
      <c r="AB2028" s="2"/>
      <c r="AC2028" s="2"/>
    </row>
    <row r="2029" spans="1:29" hidden="1">
      <c r="A2029" s="2">
        <f t="shared" si="618"/>
        <v>58</v>
      </c>
      <c r="B2029" s="2" t="str">
        <f>VLOOKUP($A2029,Controle!$B$4:$F$68,2,FALSE)</f>
        <v>Varginha 2</v>
      </c>
      <c r="C2029" s="2" t="str">
        <f>VLOOKUP($A2029,Controle!$B$4:$F$68,3,FALSE)</f>
        <v>MORI MINAS V</v>
      </c>
      <c r="D2029" s="2" t="str">
        <f>VLOOKUP($A2029,Controle!$B$4:$F$68,4,FALSE)</f>
        <v>NewCo V</v>
      </c>
      <c r="E2029" s="2">
        <f>VLOOKUP($A2029,Controle!$B$4:$F$68,5,FALSE)</f>
        <v>1</v>
      </c>
      <c r="F2029" s="3" t="str">
        <f t="shared" si="619"/>
        <v>GOS FLORESTAL - (PRAD - Recuperação Area Ambiental)</v>
      </c>
      <c r="G2029" s="2" t="str">
        <f>VLOOKUP($A2029,Controle!$B$4:$G$68,6,FALSE)</f>
        <v>Solatio</v>
      </c>
      <c r="H2029" s="506" t="s">
        <v>170</v>
      </c>
      <c r="I2029" s="7">
        <v>0</v>
      </c>
      <c r="J2029" s="7">
        <v>0</v>
      </c>
      <c r="K2029" s="7">
        <v>0</v>
      </c>
      <c r="L2029" s="7">
        <v>0</v>
      </c>
      <c r="M2029" s="7">
        <v>0</v>
      </c>
      <c r="N2029" s="7">
        <v>0</v>
      </c>
      <c r="O2029" s="39">
        <f t="shared" si="620"/>
        <v>0</v>
      </c>
      <c r="P2029" s="17">
        <f>SUMIFS('Desenvolvimento diário'!$H:$H,'Desenvolvimento diário'!$Q:$Q,$B2029,'Desenvolvimento diário'!$P:$P,$F2029,'Desenvolvimento diário'!$R:$R,"Sim")</f>
        <v>0</v>
      </c>
      <c r="Q2029" s="17">
        <f>SUMIFS('Desenvolvimento diário'!$H:$H,'Desenvolvimento diário'!$Q:$Q,$B2029,'Desenvolvimento diário'!$P:$P,$F2029,'Desenvolvimento diário'!$R:$R,"Não")</f>
        <v>0</v>
      </c>
      <c r="R2029" s="4">
        <f t="shared" si="621"/>
        <v>0</v>
      </c>
      <c r="S2029" s="4">
        <f t="shared" si="622"/>
        <v>0</v>
      </c>
      <c r="T2029" s="12">
        <f t="shared" si="623"/>
        <v>0</v>
      </c>
      <c r="Y2029" s="2"/>
      <c r="Z2029" s="2"/>
      <c r="AA2029" s="2"/>
      <c r="AB2029" s="2"/>
      <c r="AC2029" s="2"/>
    </row>
    <row r="2030" spans="1:29" hidden="1">
      <c r="A2030" s="2">
        <f t="shared" si="618"/>
        <v>58</v>
      </c>
      <c r="B2030" s="2" t="str">
        <f>VLOOKUP($A2030,Controle!$B$4:$F$68,2,FALSE)</f>
        <v>Varginha 2</v>
      </c>
      <c r="C2030" s="2" t="str">
        <f>VLOOKUP($A2030,Controle!$B$4:$F$68,3,FALSE)</f>
        <v>MORI MINAS V</v>
      </c>
      <c r="D2030" s="2" t="str">
        <f>VLOOKUP($A2030,Controle!$B$4:$F$68,4,FALSE)</f>
        <v>NewCo V</v>
      </c>
      <c r="E2030" s="2">
        <f>VLOOKUP($A2030,Controle!$B$4:$F$68,5,FALSE)</f>
        <v>1</v>
      </c>
      <c r="F2030" s="3" t="str">
        <f t="shared" si="619"/>
        <v>Cercamento das bacias de contenção ciclo 2</v>
      </c>
      <c r="G2030" s="2" t="str">
        <f>VLOOKUP($A2030,Controle!$B$4:$G$68,6,FALSE)</f>
        <v>Solatio</v>
      </c>
      <c r="H2030" s="506" t="s">
        <v>172</v>
      </c>
      <c r="I2030" s="6"/>
      <c r="J2030" s="506"/>
      <c r="K2030" s="506">
        <v>0</v>
      </c>
      <c r="L2030" s="506">
        <v>0</v>
      </c>
      <c r="M2030" s="506">
        <v>0</v>
      </c>
      <c r="N2030" s="506">
        <v>0</v>
      </c>
      <c r="O2030" s="39">
        <f t="shared" si="620"/>
        <v>0</v>
      </c>
      <c r="P2030" s="17">
        <f>SUMIFS('Desenvolvimento diário'!$H:$H,'Desenvolvimento diário'!$Q:$Q,$B2030,'Desenvolvimento diário'!$P:$P,$F2030,'Desenvolvimento diário'!$R:$R,"Sim")</f>
        <v>0</v>
      </c>
      <c r="Q2030" s="17">
        <f>SUMIFS('Desenvolvimento diário'!$H:$H,'Desenvolvimento diário'!$Q:$Q,$B2030,'Desenvolvimento diário'!$P:$P,$F2030,'Desenvolvimento diário'!$R:$R,"Não")</f>
        <v>0</v>
      </c>
      <c r="R2030" s="4">
        <f t="shared" si="621"/>
        <v>0</v>
      </c>
      <c r="S2030" s="1030">
        <f t="shared" si="622"/>
        <v>0</v>
      </c>
      <c r="T2030" s="12">
        <f t="shared" si="623"/>
        <v>0</v>
      </c>
      <c r="U2030" s="1029" t="s">
        <v>166</v>
      </c>
      <c r="V2030" s="1029" t="s">
        <v>94</v>
      </c>
      <c r="Y2030" s="2"/>
      <c r="Z2030" s="2"/>
      <c r="AA2030" s="2"/>
      <c r="AB2030" s="2"/>
      <c r="AC2030" s="2"/>
    </row>
    <row r="2031" spans="1:29" hidden="1">
      <c r="A2031" s="8">
        <f>A2028</f>
        <v>58</v>
      </c>
      <c r="B2031" s="9" t="str">
        <f t="shared" ref="B2031" si="625">B2028</f>
        <v>Varginha 2</v>
      </c>
      <c r="C2031" s="9" t="str">
        <f t="shared" ref="C2031" si="626">C2028</f>
        <v>MORI MINAS V</v>
      </c>
      <c r="D2031" s="9" t="str">
        <f t="shared" ref="D2031" si="627">D2028</f>
        <v>NewCo V</v>
      </c>
      <c r="E2031" s="9">
        <f t="shared" ref="E2031" si="628">E2028</f>
        <v>1</v>
      </c>
      <c r="F2031" s="10" t="s">
        <v>158</v>
      </c>
      <c r="G2031" s="9" t="str">
        <f>G2028</f>
        <v>Solatio</v>
      </c>
      <c r="H2031" s="9"/>
      <c r="I2031" s="9">
        <f>SUBTOTAL(9,I1997:I2030)</f>
        <v>0</v>
      </c>
      <c r="J2031" s="9">
        <f t="shared" ref="J2031:S2031" si="629">SUBTOTAL(9,J1997:J2030)</f>
        <v>0</v>
      </c>
      <c r="K2031" s="9">
        <f t="shared" si="629"/>
        <v>0</v>
      </c>
      <c r="L2031" s="9">
        <f t="shared" si="629"/>
        <v>0</v>
      </c>
      <c r="M2031" s="9">
        <f t="shared" si="629"/>
        <v>0</v>
      </c>
      <c r="N2031" s="9">
        <f t="shared" si="629"/>
        <v>0</v>
      </c>
      <c r="O2031" s="9">
        <f t="shared" si="629"/>
        <v>0</v>
      </c>
      <c r="P2031" s="9">
        <f t="shared" si="629"/>
        <v>0</v>
      </c>
      <c r="Q2031" s="9">
        <f t="shared" si="629"/>
        <v>0</v>
      </c>
      <c r="R2031" s="9">
        <f t="shared" si="629"/>
        <v>0</v>
      </c>
      <c r="S2031" s="9">
        <f t="shared" si="629"/>
        <v>0</v>
      </c>
      <c r="T2031" s="13">
        <f>IFERROR(R2031/O2031,0)</f>
        <v>0</v>
      </c>
      <c r="U2031" s="11">
        <f>SUBTOTAL(9,U1997:U2030)</f>
        <v>0</v>
      </c>
      <c r="Y2031" s="2"/>
      <c r="Z2031" s="2"/>
      <c r="AA2031" s="2"/>
      <c r="AB2031" s="2"/>
      <c r="AC2031" s="2"/>
    </row>
    <row r="2032" spans="1:29" ht="10.5" hidden="1">
      <c r="A2032" s="2">
        <f>A1997+1</f>
        <v>59</v>
      </c>
      <c r="B2032" s="2" t="str">
        <f>VLOOKUP($A2032,Controle!$B$4:$F$68,2,FALSE)</f>
        <v>Varginha 5</v>
      </c>
      <c r="C2032" s="2" t="str">
        <f>VLOOKUP($A2032,Controle!$B$4:$F$68,3,FALSE)</f>
        <v>MORI MINAS IV</v>
      </c>
      <c r="D2032" s="2" t="str">
        <f>VLOOKUP($A2032,Controle!$B$4:$F$68,4,FALSE)</f>
        <v>NewCo IV</v>
      </c>
      <c r="E2032" s="2">
        <f>VLOOKUP($A2032,Controle!$B$4:$F$68,5,FALSE)</f>
        <v>1</v>
      </c>
      <c r="F2032" s="3" t="str">
        <f t="shared" ref="F2032:F2065" si="630">F1997</f>
        <v>Conexão AT - Obras</v>
      </c>
      <c r="G2032" s="2" t="str">
        <f>VLOOKUP($A2032,Controle!$B$4:$G$68,6,FALSE)</f>
        <v>Solatio</v>
      </c>
      <c r="H2032" s="6" t="s">
        <v>182</v>
      </c>
      <c r="I2032" s="6">
        <v>0</v>
      </c>
      <c r="J2032" s="6">
        <v>0</v>
      </c>
      <c r="K2032" s="6">
        <v>0</v>
      </c>
      <c r="L2032" s="6">
        <v>0</v>
      </c>
      <c r="M2032" s="6">
        <v>0</v>
      </c>
      <c r="N2032" s="6">
        <v>0</v>
      </c>
      <c r="O2032" s="4">
        <f t="shared" ref="O2032:O2065" si="631">SUM(I2032:N2032)</f>
        <v>0</v>
      </c>
      <c r="P2032" s="5">
        <f>SUMIFS('Desenvolvimento diário'!$H:$H,'Desenvolvimento diário'!$Q:$Q,$B2032,'Desenvolvimento diário'!$P:$P,$F2032,'Desenvolvimento diário'!$R:$R,"Sim")</f>
        <v>0</v>
      </c>
      <c r="Q2032" s="5">
        <f>SUMIFS('Desenvolvimento diário'!$H:$H,'Desenvolvimento diário'!$Q:$Q,$B2032,'Desenvolvimento diário'!$P:$P,$F2032,'Desenvolvimento diário'!$R:$R,"Não")</f>
        <v>0</v>
      </c>
      <c r="R2032" s="4">
        <f t="shared" ref="R2032:R2065" si="632">SUM(P2032:Q2032)</f>
        <v>0</v>
      </c>
      <c r="S2032" s="4">
        <f t="shared" ref="S2032:S2065" si="633">O2032-R2032</f>
        <v>0</v>
      </c>
      <c r="T2032" s="12">
        <f t="shared" si="623"/>
        <v>0</v>
      </c>
      <c r="Y2032" s="2"/>
      <c r="Z2032" s="2"/>
      <c r="AA2032" s="2"/>
      <c r="AB2032" s="2"/>
      <c r="AC2032" s="2"/>
    </row>
    <row r="2033" spans="1:29" ht="10.5" hidden="1">
      <c r="A2033" s="2">
        <f t="shared" ref="A2033:A2065" si="634">A2032</f>
        <v>59</v>
      </c>
      <c r="B2033" s="2" t="str">
        <f>VLOOKUP($A2033,Controle!$B$4:$F$68,2,FALSE)</f>
        <v>Varginha 5</v>
      </c>
      <c r="C2033" s="2" t="str">
        <f>VLOOKUP($A2033,Controle!$B$4:$F$68,3,FALSE)</f>
        <v>MORI MINAS IV</v>
      </c>
      <c r="D2033" s="2" t="str">
        <f>VLOOKUP($A2033,Controle!$B$4:$F$68,4,FALSE)</f>
        <v>NewCo IV</v>
      </c>
      <c r="E2033" s="2">
        <f>VLOOKUP($A2033,Controle!$B$4:$F$68,5,FALSE)</f>
        <v>1</v>
      </c>
      <c r="F2033" s="3" t="str">
        <f t="shared" si="630"/>
        <v>Conexão MT - Obras</v>
      </c>
      <c r="G2033" s="2" t="str">
        <f>VLOOKUP($A2033,Controle!$B$4:$G$68,6,FALSE)</f>
        <v>Solatio</v>
      </c>
      <c r="H2033" s="6" t="s">
        <v>221</v>
      </c>
      <c r="I2033" s="6">
        <v>212262.03</v>
      </c>
      <c r="J2033" s="6">
        <v>234977.9</v>
      </c>
      <c r="K2033" s="6">
        <v>0</v>
      </c>
      <c r="L2033" s="6">
        <v>0</v>
      </c>
      <c r="M2033" s="6">
        <v>0</v>
      </c>
      <c r="N2033" s="6">
        <v>0</v>
      </c>
      <c r="O2033" s="4">
        <f t="shared" si="631"/>
        <v>447239.93</v>
      </c>
      <c r="P2033" s="5">
        <f>SUMIFS('Desenvolvimento diário'!$H:$H,'Desenvolvimento diário'!$Q:$Q,$B2033,'Desenvolvimento diário'!$P:$P,$F2033,'Desenvolvimento diário'!$R:$R,"Sim")</f>
        <v>73493.31</v>
      </c>
      <c r="Q2033" s="5">
        <f>SUMIFS('Desenvolvimento diário'!$H:$H,'Desenvolvimento diário'!$Q:$Q,$B2033,'Desenvolvimento diário'!$P:$P,$F2033,'Desenvolvimento diário'!$R:$R,"Não")</f>
        <v>373746.62</v>
      </c>
      <c r="R2033" s="4">
        <f t="shared" si="632"/>
        <v>447239.93</v>
      </c>
      <c r="S2033" s="27">
        <f>O2033-R2033</f>
        <v>0</v>
      </c>
      <c r="T2033" s="12">
        <f t="shared" si="623"/>
        <v>1</v>
      </c>
      <c r="Y2033" s="2"/>
      <c r="Z2033" s="2"/>
      <c r="AA2033" s="2"/>
      <c r="AB2033" s="2"/>
      <c r="AC2033" s="2"/>
    </row>
    <row r="2034" spans="1:29" ht="10.5" hidden="1">
      <c r="A2034" s="2">
        <f t="shared" si="634"/>
        <v>59</v>
      </c>
      <c r="B2034" s="94" t="str">
        <f>VLOOKUP($A2034,Controle!$B$4:$F$68,2,FALSE)</f>
        <v>Varginha 5</v>
      </c>
      <c r="C2034" s="2" t="str">
        <f>VLOOKUP($A2034,Controle!$B$4:$F$68,3,FALSE)</f>
        <v>MORI MINAS IV</v>
      </c>
      <c r="D2034" s="2" t="str">
        <f>VLOOKUP($A2034,Controle!$B$4:$F$68,4,FALSE)</f>
        <v>NewCo IV</v>
      </c>
      <c r="E2034" s="2">
        <f>VLOOKUP($A2034,Controle!$B$4:$F$68,5,FALSE)</f>
        <v>1</v>
      </c>
      <c r="F2034" s="3" t="str">
        <f t="shared" si="630"/>
        <v>Construção - Serviços de Construção</v>
      </c>
      <c r="G2034" s="2" t="str">
        <f>VLOOKUP($A2034,Controle!$B$4:$G$68,6,FALSE)</f>
        <v>Solatio</v>
      </c>
      <c r="H2034" s="6" t="s">
        <v>147</v>
      </c>
      <c r="I2034" s="6">
        <v>2691000</v>
      </c>
      <c r="J2034" s="6">
        <v>832533.27</v>
      </c>
      <c r="K2034" s="6">
        <v>480541</v>
      </c>
      <c r="L2034" s="6">
        <v>52647</v>
      </c>
      <c r="M2034" s="6">
        <v>444757.81</v>
      </c>
      <c r="N2034" s="6">
        <f>3720.06+2003.11</f>
        <v>5723.17</v>
      </c>
      <c r="O2034" s="4">
        <f t="shared" si="631"/>
        <v>4507202.25</v>
      </c>
      <c r="P2034" s="5">
        <f>SUMIFS('Desenvolvimento diário'!$H:$H,'Desenvolvimento diário'!$Q:$Q,$B2034,'Desenvolvimento diário'!$P:$P,$F2034,'Desenvolvimento diário'!$R:$R,"Sim")</f>
        <v>273535.69</v>
      </c>
      <c r="Q2034" s="5">
        <f>SUMIFS('Desenvolvimento diário'!$H:$H,'Desenvolvimento diário'!$Q:$Q,$B2034,'Desenvolvimento diário'!$P:$P,$F2034,'Desenvolvimento diário'!$R:$R,"Não")</f>
        <v>4233656.55</v>
      </c>
      <c r="R2034" s="4">
        <f t="shared" si="632"/>
        <v>4507192.24</v>
      </c>
      <c r="S2034" s="33">
        <f t="shared" si="633"/>
        <v>10.009999999776483</v>
      </c>
      <c r="T2034" s="12">
        <f t="shared" si="623"/>
        <v>0.99999777911008991</v>
      </c>
      <c r="U2034" s="510" t="s">
        <v>162</v>
      </c>
      <c r="V2034" s="510" t="s">
        <v>163</v>
      </c>
      <c r="Y2034" s="2"/>
      <c r="Z2034" s="2"/>
      <c r="AA2034" s="2"/>
      <c r="AB2034" s="2"/>
      <c r="AC2034" s="2"/>
    </row>
    <row r="2035" spans="1:29" ht="10.5" hidden="1">
      <c r="A2035" s="2">
        <f t="shared" si="634"/>
        <v>59</v>
      </c>
      <c r="B2035" s="2" t="str">
        <f>VLOOKUP($A2035,Controle!$B$4:$F$68,2,FALSE)</f>
        <v>Varginha 5</v>
      </c>
      <c r="C2035" s="2" t="str">
        <f>VLOOKUP($A2035,Controle!$B$4:$F$68,3,FALSE)</f>
        <v>MORI MINAS IV</v>
      </c>
      <c r="D2035" s="2" t="str">
        <f>VLOOKUP($A2035,Controle!$B$4:$F$68,4,FALSE)</f>
        <v>NewCo IV</v>
      </c>
      <c r="E2035" s="2">
        <f>VLOOKUP($A2035,Controle!$B$4:$F$68,5,FALSE)</f>
        <v>1</v>
      </c>
      <c r="F2035" s="3" t="str">
        <f t="shared" si="630"/>
        <v>Construção - Serviços de Construção - Substituição</v>
      </c>
      <c r="G2035" s="2" t="str">
        <f>VLOOKUP($A2035,Controle!$B$4:$G$68,6,FALSE)</f>
        <v>Solatio</v>
      </c>
      <c r="H2035" s="6">
        <v>0</v>
      </c>
      <c r="I2035" s="6">
        <v>0</v>
      </c>
      <c r="J2035" s="6">
        <v>0</v>
      </c>
      <c r="K2035" s="6">
        <v>0</v>
      </c>
      <c r="L2035" s="6">
        <v>0</v>
      </c>
      <c r="M2035" s="6">
        <v>0</v>
      </c>
      <c r="N2035" s="6">
        <v>0</v>
      </c>
      <c r="O2035" s="4">
        <f t="shared" si="631"/>
        <v>0</v>
      </c>
      <c r="P2035" s="5">
        <f>SUMIFS('Desenvolvimento diário'!$H:$H,'Desenvolvimento diário'!$Q:$Q,$B2035,'Desenvolvimento diário'!$P:$P,$F2035,'Desenvolvimento diário'!$R:$R,"Sim")</f>
        <v>0</v>
      </c>
      <c r="Q2035" s="5">
        <f>SUMIFS('Desenvolvimento diário'!$H:$H,'Desenvolvimento diário'!$Q:$Q,$B2035,'Desenvolvimento diário'!$P:$P,$F2035,'Desenvolvimento diário'!$R:$R,"Não")</f>
        <v>0</v>
      </c>
      <c r="R2035" s="4">
        <f t="shared" si="632"/>
        <v>0</v>
      </c>
      <c r="S2035" s="4">
        <f t="shared" si="633"/>
        <v>0</v>
      </c>
      <c r="T2035" s="12">
        <f t="shared" si="623"/>
        <v>0</v>
      </c>
      <c r="Y2035" s="2"/>
      <c r="Z2035" s="2"/>
      <c r="AA2035" s="2"/>
      <c r="AB2035" s="2"/>
      <c r="AC2035" s="2"/>
    </row>
    <row r="2036" spans="1:29" ht="10.5" hidden="1">
      <c r="A2036" s="2">
        <f t="shared" si="634"/>
        <v>59</v>
      </c>
      <c r="B2036" s="2" t="str">
        <f>VLOOKUP($A2036,Controle!$B$4:$F$68,2,FALSE)</f>
        <v>Varginha 5</v>
      </c>
      <c r="C2036" s="2" t="str">
        <f>VLOOKUP($A2036,Controle!$B$4:$F$68,3,FALSE)</f>
        <v>MORI MINAS IV</v>
      </c>
      <c r="D2036" s="2" t="str">
        <f>VLOOKUP($A2036,Controle!$B$4:$F$68,4,FALSE)</f>
        <v>NewCo IV</v>
      </c>
      <c r="E2036" s="2">
        <f>VLOOKUP($A2036,Controle!$B$4:$F$68,5,FALSE)</f>
        <v>1</v>
      </c>
      <c r="F2036" s="3" t="str">
        <f t="shared" si="630"/>
        <v>Construção - RDA Interno</v>
      </c>
      <c r="G2036" s="2" t="str">
        <f>VLOOKUP($A2036,Controle!$B$4:$G$68,6,FALSE)</f>
        <v>Solatio</v>
      </c>
      <c r="H2036" s="6" t="s">
        <v>168</v>
      </c>
      <c r="I2036" s="6">
        <v>330000</v>
      </c>
      <c r="J2036" s="6">
        <v>172155.51999999999</v>
      </c>
      <c r="K2036" s="6">
        <v>0</v>
      </c>
      <c r="L2036" s="6">
        <v>0</v>
      </c>
      <c r="M2036" s="6">
        <v>0</v>
      </c>
      <c r="N2036" s="6">
        <v>0</v>
      </c>
      <c r="O2036" s="43">
        <f t="shared" si="631"/>
        <v>502155.52000000002</v>
      </c>
      <c r="P2036" s="5">
        <f>SUMIFS('Desenvolvimento diário'!$H:$H,'Desenvolvimento diário'!$Q:$Q,$B2036,'Desenvolvimento diário'!$P:$P,$F2036,'Desenvolvimento diário'!$R:$R,"Sim")</f>
        <v>0</v>
      </c>
      <c r="Q2036" s="5">
        <f>SUMIFS('Desenvolvimento diário'!$H:$H,'Desenvolvimento diário'!$Q:$Q,$B2036,'Desenvolvimento diário'!$P:$P,$F2036,'Desenvolvimento diário'!$R:$R,"Não")</f>
        <v>502155.52000000008</v>
      </c>
      <c r="R2036" s="4">
        <f t="shared" si="632"/>
        <v>502155.52000000008</v>
      </c>
      <c r="S2036" s="4">
        <f t="shared" si="633"/>
        <v>0</v>
      </c>
      <c r="T2036" s="12">
        <f t="shared" si="623"/>
        <v>1.0000000000000002</v>
      </c>
      <c r="Y2036" s="2"/>
      <c r="Z2036" s="2"/>
      <c r="AA2036" s="2"/>
      <c r="AB2036" s="2"/>
      <c r="AC2036" s="2"/>
    </row>
    <row r="2037" spans="1:29" ht="10.5" hidden="1">
      <c r="A2037" s="2">
        <f t="shared" si="634"/>
        <v>59</v>
      </c>
      <c r="B2037" s="2" t="str">
        <f>VLOOKUP($A2037,Controle!$B$4:$F$68,2,FALSE)</f>
        <v>Varginha 5</v>
      </c>
      <c r="C2037" s="2" t="str">
        <f>VLOOKUP($A2037,Controle!$B$4:$F$68,3,FALSE)</f>
        <v>MORI MINAS IV</v>
      </c>
      <c r="D2037" s="2" t="str">
        <f>VLOOKUP($A2037,Controle!$B$4:$F$68,4,FALSE)</f>
        <v>NewCo IV</v>
      </c>
      <c r="E2037" s="2">
        <f>VLOOKUP($A2037,Controle!$B$4:$F$68,5,FALSE)</f>
        <v>1</v>
      </c>
      <c r="F2037" s="3" t="str">
        <f t="shared" si="630"/>
        <v>Full EPC - Contrato</v>
      </c>
      <c r="G2037" s="2" t="str">
        <f>VLOOKUP($A2037,Controle!$B$4:$G$68,6,FALSE)</f>
        <v>Solatio</v>
      </c>
      <c r="H2037" s="6">
        <v>0</v>
      </c>
      <c r="I2037" s="6">
        <v>0</v>
      </c>
      <c r="J2037" s="6">
        <v>0</v>
      </c>
      <c r="K2037" s="6">
        <v>0</v>
      </c>
      <c r="L2037" s="6">
        <v>0</v>
      </c>
      <c r="M2037" s="6">
        <v>0</v>
      </c>
      <c r="N2037" s="6">
        <v>0</v>
      </c>
      <c r="O2037" s="4">
        <f t="shared" si="631"/>
        <v>0</v>
      </c>
      <c r="P2037" s="5">
        <f>SUMIFS('Desenvolvimento diário'!$H:$H,'Desenvolvimento diário'!$Q:$Q,$B2037,'Desenvolvimento diário'!$P:$P,$F2037,'Desenvolvimento diário'!$R:$R,"Sim")</f>
        <v>0</v>
      </c>
      <c r="Q2037" s="5">
        <f>SUMIFS('Desenvolvimento diário'!$H:$H,'Desenvolvimento diário'!$Q:$Q,$B2037,'Desenvolvimento diário'!$P:$P,$F2037,'Desenvolvimento diário'!$R:$R,"Não")</f>
        <v>0</v>
      </c>
      <c r="R2037" s="4">
        <f t="shared" si="632"/>
        <v>0</v>
      </c>
      <c r="S2037" s="4">
        <f t="shared" si="633"/>
        <v>0</v>
      </c>
      <c r="T2037" s="12">
        <f t="shared" si="623"/>
        <v>0</v>
      </c>
      <c r="Y2037" s="2"/>
      <c r="Z2037" s="2"/>
      <c r="AA2037" s="2"/>
      <c r="AB2037" s="2"/>
      <c r="AC2037" s="2"/>
    </row>
    <row r="2038" spans="1:29" ht="10.5" hidden="1">
      <c r="A2038" s="2">
        <f t="shared" si="634"/>
        <v>59</v>
      </c>
      <c r="B2038" s="2" t="str">
        <f>VLOOKUP($A2038,Controle!$B$4:$F$68,2,FALSE)</f>
        <v>Varginha 5</v>
      </c>
      <c r="C2038" s="2" t="str">
        <f>VLOOKUP($A2038,Controle!$B$4:$F$68,3,FALSE)</f>
        <v>MORI MINAS IV</v>
      </c>
      <c r="D2038" s="2" t="str">
        <f>VLOOKUP($A2038,Controle!$B$4:$F$68,4,FALSE)</f>
        <v>NewCo IV</v>
      </c>
      <c r="E2038" s="2">
        <f>VLOOKUP($A2038,Controle!$B$4:$F$68,5,FALSE)</f>
        <v>1</v>
      </c>
      <c r="F2038" s="3" t="str">
        <f t="shared" si="630"/>
        <v>Equipamentos Curva A - Outros (Transformadores)</v>
      </c>
      <c r="G2038" s="2" t="str">
        <f>VLOOKUP($A2038,Controle!$B$4:$G$68,6,FALSE)</f>
        <v>Solatio</v>
      </c>
      <c r="H2038" s="6">
        <v>0</v>
      </c>
      <c r="I2038" s="6">
        <v>0</v>
      </c>
      <c r="J2038" s="6">
        <v>0</v>
      </c>
      <c r="K2038" s="6">
        <v>0</v>
      </c>
      <c r="L2038" s="6">
        <v>0</v>
      </c>
      <c r="M2038" s="6">
        <v>0</v>
      </c>
      <c r="N2038" s="6">
        <v>0</v>
      </c>
      <c r="O2038" s="4">
        <f t="shared" si="631"/>
        <v>0</v>
      </c>
      <c r="P2038" s="5">
        <f>SUMIFS('Desenvolvimento diário'!$H:$H,'Desenvolvimento diário'!$Q:$Q,$B2038,'Desenvolvimento diário'!$P:$P,$F2038,'Desenvolvimento diário'!$R:$R,"Sim")</f>
        <v>0</v>
      </c>
      <c r="Q2038" s="5">
        <f>SUMIFS('Desenvolvimento diário'!$H:$H,'Desenvolvimento diário'!$Q:$Q,$B2038,'Desenvolvimento diário'!$P:$P,$F2038,'Desenvolvimento diário'!$R:$R,"Não")</f>
        <v>0</v>
      </c>
      <c r="R2038" s="4">
        <f t="shared" si="632"/>
        <v>0</v>
      </c>
      <c r="S2038" s="4">
        <f t="shared" si="633"/>
        <v>0</v>
      </c>
      <c r="T2038" s="12">
        <f t="shared" si="623"/>
        <v>0</v>
      </c>
      <c r="Y2038" s="2"/>
      <c r="Z2038" s="2"/>
      <c r="AA2038" s="2"/>
      <c r="AB2038" s="2"/>
      <c r="AC2038" s="2"/>
    </row>
    <row r="2039" spans="1:29" ht="10.5" hidden="1">
      <c r="A2039" s="2">
        <f t="shared" si="634"/>
        <v>59</v>
      </c>
      <c r="B2039" s="2" t="str">
        <f>VLOOKUP($A2039,Controle!$B$4:$F$68,2,FALSE)</f>
        <v>Varginha 5</v>
      </c>
      <c r="C2039" s="2" t="str">
        <f>VLOOKUP($A2039,Controle!$B$4:$F$68,3,FALSE)</f>
        <v>MORI MINAS IV</v>
      </c>
      <c r="D2039" s="2" t="str">
        <f>VLOOKUP($A2039,Controle!$B$4:$F$68,4,FALSE)</f>
        <v>NewCo IV</v>
      </c>
      <c r="E2039" s="2">
        <f>VLOOKUP($A2039,Controle!$B$4:$F$68,5,FALSE)</f>
        <v>1</v>
      </c>
      <c r="F2039" s="3" t="str">
        <f t="shared" si="630"/>
        <v>Equipamentos Curva A - Outros (Cabine + Skid)</v>
      </c>
      <c r="G2039" s="2" t="str">
        <f>VLOOKUP($A2039,Controle!$B$4:$G$68,6,FALSE)</f>
        <v>Solatio</v>
      </c>
      <c r="H2039" s="6">
        <v>0</v>
      </c>
      <c r="I2039" s="6">
        <v>0</v>
      </c>
      <c r="J2039" s="6">
        <v>0</v>
      </c>
      <c r="K2039" s="6">
        <v>0</v>
      </c>
      <c r="L2039" s="6">
        <v>0</v>
      </c>
      <c r="M2039" s="6">
        <v>0</v>
      </c>
      <c r="N2039" s="6">
        <v>0</v>
      </c>
      <c r="O2039" s="4">
        <f t="shared" si="631"/>
        <v>0</v>
      </c>
      <c r="P2039" s="5">
        <f>SUMIFS('Desenvolvimento diário'!$H:$H,'Desenvolvimento diário'!$Q:$Q,$B2039,'Desenvolvimento diário'!$P:$P,$F2039,'Desenvolvimento diário'!$R:$R,"Sim")</f>
        <v>0</v>
      </c>
      <c r="Q2039" s="5">
        <f>SUMIFS('Desenvolvimento diário'!$H:$H,'Desenvolvimento diário'!$Q:$Q,$B2039,'Desenvolvimento diário'!$P:$P,$F2039,'Desenvolvimento diário'!$R:$R,"Não")</f>
        <v>0</v>
      </c>
      <c r="R2039" s="4">
        <f t="shared" si="632"/>
        <v>0</v>
      </c>
      <c r="S2039" s="4">
        <f t="shared" si="633"/>
        <v>0</v>
      </c>
      <c r="T2039" s="12">
        <f t="shared" si="623"/>
        <v>0</v>
      </c>
      <c r="Y2039" s="2"/>
      <c r="Z2039" s="2"/>
      <c r="AA2039" s="2"/>
      <c r="AB2039" s="2"/>
      <c r="AC2039" s="2"/>
    </row>
    <row r="2040" spans="1:29" ht="10.5" hidden="1">
      <c r="A2040" s="2">
        <f t="shared" si="634"/>
        <v>59</v>
      </c>
      <c r="B2040" s="2" t="str">
        <f>VLOOKUP($A2040,Controle!$B$4:$F$68,2,FALSE)</f>
        <v>Varginha 5</v>
      </c>
      <c r="C2040" s="2" t="str">
        <f>VLOOKUP($A2040,Controle!$B$4:$F$68,3,FALSE)</f>
        <v>MORI MINAS IV</v>
      </c>
      <c r="D2040" s="2" t="str">
        <f>VLOOKUP($A2040,Controle!$B$4:$F$68,4,FALSE)</f>
        <v>NewCo IV</v>
      </c>
      <c r="E2040" s="2">
        <f>VLOOKUP($A2040,Controle!$B$4:$F$68,5,FALSE)</f>
        <v>1</v>
      </c>
      <c r="F2040" s="3" t="str">
        <f t="shared" si="630"/>
        <v>Equipamentos Curva A - Outros (Cabine + Skid + Transformador)</v>
      </c>
      <c r="G2040" s="2" t="str">
        <f>VLOOKUP($A2040,Controle!$B$4:$G$68,6,FALSE)</f>
        <v>Solatio</v>
      </c>
      <c r="H2040" s="6" t="s">
        <v>144</v>
      </c>
      <c r="I2040" s="6">
        <v>1273134.5233839999</v>
      </c>
      <c r="J2040" s="6">
        <v>0</v>
      </c>
      <c r="K2040" s="6">
        <v>0</v>
      </c>
      <c r="L2040" s="6">
        <v>0</v>
      </c>
      <c r="M2040" s="6">
        <v>0</v>
      </c>
      <c r="N2040" s="6">
        <v>0</v>
      </c>
      <c r="O2040" s="4">
        <f t="shared" si="631"/>
        <v>1273134.5233839999</v>
      </c>
      <c r="P2040" s="5">
        <f>SUMIFS('Desenvolvimento diário'!$H:$H,'Desenvolvimento diário'!$Q:$Q,$B2040,'Desenvolvimento diário'!$P:$P,$F2040,'Desenvolvimento diário'!$R:$R,"Sim")</f>
        <v>0</v>
      </c>
      <c r="Q2040" s="5">
        <f>SUMIFS('Desenvolvimento diário'!$H:$H,'Desenvolvimento diário'!$Q:$Q,$B2040,'Desenvolvimento diário'!$P:$P,$F2040,'Desenvolvimento diário'!$R:$R,"Não")</f>
        <v>1273134.5233839999</v>
      </c>
      <c r="R2040" s="4">
        <f t="shared" si="632"/>
        <v>1273134.5233839999</v>
      </c>
      <c r="S2040" s="4">
        <f t="shared" si="633"/>
        <v>0</v>
      </c>
      <c r="T2040" s="12">
        <f t="shared" ref="T2040:T2107" si="635">IFERROR(R2040/O2040,0)</f>
        <v>1</v>
      </c>
      <c r="Y2040" s="2"/>
      <c r="Z2040" s="2"/>
      <c r="AA2040" s="2"/>
      <c r="AB2040" s="2"/>
      <c r="AC2040" s="2"/>
    </row>
    <row r="2041" spans="1:29" ht="10.5" hidden="1">
      <c r="A2041" s="2">
        <f t="shared" si="634"/>
        <v>59</v>
      </c>
      <c r="B2041" s="2" t="str">
        <f>VLOOKUP($A2041,Controle!$B$4:$F$68,2,FALSE)</f>
        <v>Varginha 5</v>
      </c>
      <c r="C2041" s="2" t="str">
        <f>VLOOKUP($A2041,Controle!$B$4:$F$68,3,FALSE)</f>
        <v>MORI MINAS IV</v>
      </c>
      <c r="D2041" s="2" t="str">
        <f>VLOOKUP($A2041,Controle!$B$4:$F$68,4,FALSE)</f>
        <v>NewCo IV</v>
      </c>
      <c r="E2041" s="2">
        <f>VLOOKUP($A2041,Controle!$B$4:$F$68,5,FALSE)</f>
        <v>1</v>
      </c>
      <c r="F2041" s="3" t="str">
        <f t="shared" si="630"/>
        <v>Desenvolvimento de projeto - Projetos - (Eng° Proprietario)</v>
      </c>
      <c r="G2041" s="2" t="str">
        <f>VLOOKUP($A2041,Controle!$B$4:$G$68,6,FALSE)</f>
        <v>Solatio</v>
      </c>
      <c r="H2041" s="6" t="s">
        <v>145</v>
      </c>
      <c r="I2041" s="6">
        <v>0</v>
      </c>
      <c r="J2041" s="6">
        <v>0</v>
      </c>
      <c r="K2041" s="6">
        <v>0</v>
      </c>
      <c r="L2041" s="6">
        <v>0</v>
      </c>
      <c r="M2041" s="6">
        <v>0</v>
      </c>
      <c r="N2041" s="6">
        <v>0</v>
      </c>
      <c r="O2041" s="4">
        <f t="shared" si="631"/>
        <v>0</v>
      </c>
      <c r="P2041" s="5">
        <f>SUMIFS('Desenvolvimento diário'!$H:$H,'Desenvolvimento diário'!$Q:$Q,$B2041,'Desenvolvimento diário'!$P:$P,$F2041,'Desenvolvimento diário'!$R:$R,"Sim")</f>
        <v>0</v>
      </c>
      <c r="Q2041" s="5">
        <f>SUMIFS('Desenvolvimento diário'!$H:$H,'Desenvolvimento diário'!$Q:$Q,$B2041,'Desenvolvimento diário'!$P:$P,$F2041,'Desenvolvimento diário'!$R:$R,"Não")</f>
        <v>0</v>
      </c>
      <c r="R2041" s="4">
        <f t="shared" si="632"/>
        <v>0</v>
      </c>
      <c r="S2041" s="4">
        <f t="shared" si="633"/>
        <v>0</v>
      </c>
      <c r="T2041" s="12">
        <f t="shared" si="635"/>
        <v>0</v>
      </c>
      <c r="Y2041" s="2"/>
      <c r="Z2041" s="2"/>
      <c r="AA2041" s="2"/>
      <c r="AB2041" s="2"/>
      <c r="AC2041" s="2"/>
    </row>
    <row r="2042" spans="1:29" ht="10.5" hidden="1">
      <c r="A2042" s="2">
        <f t="shared" si="634"/>
        <v>59</v>
      </c>
      <c r="B2042" s="2" t="str">
        <f>VLOOKUP($A2042,Controle!$B$4:$F$68,2,FALSE)</f>
        <v>Varginha 5</v>
      </c>
      <c r="C2042" s="2" t="str">
        <f>VLOOKUP($A2042,Controle!$B$4:$F$68,3,FALSE)</f>
        <v>MORI MINAS IV</v>
      </c>
      <c r="D2042" s="2" t="str">
        <f>VLOOKUP($A2042,Controle!$B$4:$F$68,4,FALSE)</f>
        <v>NewCo IV</v>
      </c>
      <c r="E2042" s="2">
        <f>VLOOKUP($A2042,Controle!$B$4:$F$68,5,FALSE)</f>
        <v>1</v>
      </c>
      <c r="F2042" s="3" t="str">
        <f t="shared" si="630"/>
        <v>Desenvolvimento de projeto - Projetos - Executivos</v>
      </c>
      <c r="G2042" s="2" t="str">
        <f>VLOOKUP($A2042,Controle!$B$4:$G$68,6,FALSE)</f>
        <v>Solatio</v>
      </c>
      <c r="H2042" s="6" t="s">
        <v>146</v>
      </c>
      <c r="I2042" s="6">
        <v>36466.699999999997</v>
      </c>
      <c r="J2042" s="6">
        <v>0</v>
      </c>
      <c r="K2042" s="6">
        <v>0</v>
      </c>
      <c r="L2042" s="6">
        <v>0</v>
      </c>
      <c r="M2042" s="6">
        <v>0</v>
      </c>
      <c r="N2042" s="6">
        <v>0</v>
      </c>
      <c r="O2042" s="4">
        <f t="shared" si="631"/>
        <v>36466.699999999997</v>
      </c>
      <c r="P2042" s="5">
        <f>SUMIFS('Desenvolvimento diário'!$H:$H,'Desenvolvimento diário'!$Q:$Q,$B2042,'Desenvolvimento diário'!$P:$P,$F2042,'Desenvolvimento diário'!$R:$R,"Sim")</f>
        <v>0</v>
      </c>
      <c r="Q2042" s="5">
        <f>SUMIFS('Desenvolvimento diário'!$H:$H,'Desenvolvimento diário'!$Q:$Q,$B2042,'Desenvolvimento diário'!$P:$P,$F2042,'Desenvolvimento diário'!$R:$R,"Não")</f>
        <v>36466.699999999997</v>
      </c>
      <c r="R2042" s="4">
        <f t="shared" si="632"/>
        <v>36466.699999999997</v>
      </c>
      <c r="S2042" s="4">
        <f t="shared" si="633"/>
        <v>0</v>
      </c>
      <c r="T2042" s="12">
        <f t="shared" si="635"/>
        <v>1</v>
      </c>
      <c r="Y2042" s="2"/>
      <c r="Z2042" s="2"/>
      <c r="AA2042" s="2"/>
      <c r="AB2042" s="2"/>
      <c r="AC2042" s="2"/>
    </row>
    <row r="2043" spans="1:29" ht="10.5" hidden="1">
      <c r="A2043" s="2">
        <f t="shared" si="634"/>
        <v>59</v>
      </c>
      <c r="B2043" s="2" t="str">
        <f>VLOOKUP($A2043,Controle!$B$4:$F$68,2,FALSE)</f>
        <v>Varginha 5</v>
      </c>
      <c r="C2043" s="2" t="str">
        <f>VLOOKUP($A2043,Controle!$B$4:$F$68,3,FALSE)</f>
        <v>MORI MINAS IV</v>
      </c>
      <c r="D2043" s="2" t="str">
        <f>VLOOKUP($A2043,Controle!$B$4:$F$68,4,FALSE)</f>
        <v>NewCo IV</v>
      </c>
      <c r="E2043" s="2">
        <f>VLOOKUP($A2043,Controle!$B$4:$F$68,5,FALSE)</f>
        <v>1</v>
      </c>
      <c r="F2043" s="3" t="str">
        <f t="shared" si="630"/>
        <v>Desenvolvimento de projeto - Projetos Básica</v>
      </c>
      <c r="G2043" s="2" t="str">
        <f>VLOOKUP($A2043,Controle!$B$4:$G$68,6,FALSE)</f>
        <v>Solatio</v>
      </c>
      <c r="H2043" s="6">
        <v>0</v>
      </c>
      <c r="I2043" s="6">
        <v>0</v>
      </c>
      <c r="J2043" s="6">
        <v>0</v>
      </c>
      <c r="K2043" s="6">
        <v>0</v>
      </c>
      <c r="L2043" s="6">
        <v>0</v>
      </c>
      <c r="M2043" s="6">
        <v>0</v>
      </c>
      <c r="N2043" s="6">
        <v>0</v>
      </c>
      <c r="O2043" s="4">
        <f t="shared" si="631"/>
        <v>0</v>
      </c>
      <c r="P2043" s="5">
        <f>SUMIFS('Desenvolvimento diário'!$H:$H,'Desenvolvimento diário'!$Q:$Q,$B2043,'Desenvolvimento diário'!$P:$P,$F2043,'Desenvolvimento diário'!$R:$R,"Sim")</f>
        <v>0</v>
      </c>
      <c r="Q2043" s="5">
        <f>SUMIFS('Desenvolvimento diário'!$H:$H,'Desenvolvimento diário'!$Q:$Q,$B2043,'Desenvolvimento diário'!$P:$P,$F2043,'Desenvolvimento diário'!$R:$R,"Não")</f>
        <v>0</v>
      </c>
      <c r="R2043" s="4">
        <f t="shared" si="632"/>
        <v>0</v>
      </c>
      <c r="S2043" s="4">
        <f t="shared" si="633"/>
        <v>0</v>
      </c>
      <c r="T2043" s="12">
        <f t="shared" si="635"/>
        <v>0</v>
      </c>
      <c r="Y2043" s="2"/>
      <c r="Z2043" s="2"/>
      <c r="AA2043" s="2"/>
      <c r="AB2043" s="2"/>
      <c r="AC2043" s="2"/>
    </row>
    <row r="2044" spans="1:29" ht="10.5" hidden="1">
      <c r="A2044" s="2">
        <f t="shared" si="634"/>
        <v>59</v>
      </c>
      <c r="B2044" s="2" t="str">
        <f>VLOOKUP($A2044,Controle!$B$4:$F$68,2,FALSE)</f>
        <v>Varginha 5</v>
      </c>
      <c r="C2044" s="2" t="str">
        <f>VLOOKUP($A2044,Controle!$B$4:$F$68,3,FALSE)</f>
        <v>MORI MINAS IV</v>
      </c>
      <c r="D2044" s="2" t="str">
        <f>VLOOKUP($A2044,Controle!$B$4:$F$68,4,FALSE)</f>
        <v>NewCo IV</v>
      </c>
      <c r="E2044" s="2">
        <f>VLOOKUP($A2044,Controle!$B$4:$F$68,5,FALSE)</f>
        <v>1</v>
      </c>
      <c r="F2044" s="3" t="str">
        <f t="shared" si="630"/>
        <v>Desenvolvimento de projeto - Projetos Detalhada</v>
      </c>
      <c r="G2044" s="2" t="str">
        <f>VLOOKUP($A2044,Controle!$B$4:$G$68,6,FALSE)</f>
        <v>Solatio</v>
      </c>
      <c r="H2044" s="6">
        <v>0</v>
      </c>
      <c r="I2044" s="6">
        <v>0</v>
      </c>
      <c r="J2044" s="6">
        <v>0</v>
      </c>
      <c r="K2044" s="6">
        <v>0</v>
      </c>
      <c r="L2044" s="6">
        <v>0</v>
      </c>
      <c r="M2044" s="6">
        <v>0</v>
      </c>
      <c r="N2044" s="6">
        <v>0</v>
      </c>
      <c r="O2044" s="4">
        <f t="shared" si="631"/>
        <v>0</v>
      </c>
      <c r="P2044" s="5">
        <f>SUMIFS('Desenvolvimento diário'!$H:$H,'Desenvolvimento diário'!$Q:$Q,$B2044,'Desenvolvimento diário'!$P:$P,$F2044,'Desenvolvimento diário'!$R:$R,"Sim")</f>
        <v>0</v>
      </c>
      <c r="Q2044" s="5">
        <f>SUMIFS('Desenvolvimento diário'!$H:$H,'Desenvolvimento diário'!$Q:$Q,$B2044,'Desenvolvimento diário'!$P:$P,$F2044,'Desenvolvimento diário'!$R:$R,"Não")</f>
        <v>0</v>
      </c>
      <c r="R2044" s="4">
        <f t="shared" si="632"/>
        <v>0</v>
      </c>
      <c r="S2044" s="4">
        <f t="shared" si="633"/>
        <v>0</v>
      </c>
      <c r="T2044" s="12">
        <f t="shared" si="635"/>
        <v>0</v>
      </c>
      <c r="Y2044" s="2"/>
      <c r="Z2044" s="2"/>
      <c r="AA2044" s="2"/>
      <c r="AB2044" s="2"/>
      <c r="AC2044" s="2"/>
    </row>
    <row r="2045" spans="1:29" ht="10.5" hidden="1">
      <c r="A2045" s="2">
        <f t="shared" si="634"/>
        <v>59</v>
      </c>
      <c r="B2045" s="2" t="str">
        <f>VLOOKUP($A2045,Controle!$B$4:$F$68,2,FALSE)</f>
        <v>Varginha 5</v>
      </c>
      <c r="C2045" s="2" t="str">
        <f>VLOOKUP($A2045,Controle!$B$4:$F$68,3,FALSE)</f>
        <v>MORI MINAS IV</v>
      </c>
      <c r="D2045" s="2" t="str">
        <f>VLOOKUP($A2045,Controle!$B$4:$F$68,4,FALSE)</f>
        <v>NewCo IV</v>
      </c>
      <c r="E2045" s="2">
        <f>VLOOKUP($A2045,Controle!$B$4:$F$68,5,FALSE)</f>
        <v>1</v>
      </c>
      <c r="F2045" s="3" t="str">
        <f t="shared" si="630"/>
        <v>Desenvolvimento de projeto - Ambiental / Outros</v>
      </c>
      <c r="G2045" s="2" t="str">
        <f>VLOOKUP($A2045,Controle!$B$4:$G$68,6,FALSE)</f>
        <v>Solatio</v>
      </c>
      <c r="H2045" s="6" t="s">
        <v>148</v>
      </c>
      <c r="I2045" s="6">
        <f>R2045</f>
        <v>113829.28</v>
      </c>
      <c r="J2045" s="6">
        <v>0</v>
      </c>
      <c r="K2045" s="6">
        <v>0</v>
      </c>
      <c r="L2045" s="6">
        <v>0</v>
      </c>
      <c r="M2045" s="6">
        <v>0</v>
      </c>
      <c r="N2045" s="6">
        <v>0</v>
      </c>
      <c r="O2045" s="4">
        <f t="shared" si="631"/>
        <v>113829.28</v>
      </c>
      <c r="P2045" s="5">
        <f>SUMIFS('Desenvolvimento diário'!$H:$H,'Desenvolvimento diário'!$Q:$Q,$B2045,'Desenvolvimento diário'!$P:$P,$F2045,'Desenvolvimento diário'!$R:$R,"Sim")</f>
        <v>0</v>
      </c>
      <c r="Q2045" s="5">
        <f>SUMIFS('Desenvolvimento diário'!$H:$H,'Desenvolvimento diário'!$Q:$Q,$B2045,'Desenvolvimento diário'!$P:$P,$F2045,'Desenvolvimento diário'!$R:$R,"Não")</f>
        <v>113829.28</v>
      </c>
      <c r="R2045" s="4">
        <f t="shared" si="632"/>
        <v>113829.28</v>
      </c>
      <c r="S2045" s="4">
        <f t="shared" si="633"/>
        <v>0</v>
      </c>
      <c r="T2045" s="12">
        <f t="shared" si="635"/>
        <v>1</v>
      </c>
      <c r="Y2045" s="2"/>
      <c r="Z2045" s="2"/>
      <c r="AA2045" s="2"/>
      <c r="AB2045" s="2"/>
      <c r="AC2045" s="2"/>
    </row>
    <row r="2046" spans="1:29" hidden="1">
      <c r="A2046" s="2">
        <f t="shared" si="634"/>
        <v>59</v>
      </c>
      <c r="B2046" s="2" t="str">
        <f>VLOOKUP($A2046,Controle!$B$4:$F$68,2,FALSE)</f>
        <v>Varginha 5</v>
      </c>
      <c r="C2046" s="2" t="str">
        <f>VLOOKUP($A2046,Controle!$B$4:$F$68,3,FALSE)</f>
        <v>MORI MINAS IV</v>
      </c>
      <c r="D2046" s="2" t="str">
        <f>VLOOKUP($A2046,Controle!$B$4:$F$68,4,FALSE)</f>
        <v>NewCo IV</v>
      </c>
      <c r="E2046" s="2">
        <f>VLOOKUP($A2046,Controle!$B$4:$F$68,5,FALSE)</f>
        <v>1</v>
      </c>
      <c r="F2046" s="3" t="str">
        <f t="shared" si="630"/>
        <v>Desenvolvimento de projeto - Coordenograma</v>
      </c>
      <c r="G2046" s="2" t="str">
        <f>VLOOKUP($A2046,Controle!$B$4:$G$68,6,FALSE)</f>
        <v>Solatio</v>
      </c>
      <c r="H2046" s="31" t="s">
        <v>149</v>
      </c>
      <c r="I2046" s="31">
        <v>6206.9</v>
      </c>
      <c r="J2046" s="31">
        <v>2281.25</v>
      </c>
      <c r="K2046" s="31">
        <v>0</v>
      </c>
      <c r="L2046" s="6">
        <v>0</v>
      </c>
      <c r="M2046" s="6">
        <v>0</v>
      </c>
      <c r="N2046" s="6">
        <v>0</v>
      </c>
      <c r="O2046" s="4">
        <f t="shared" si="631"/>
        <v>8488.15</v>
      </c>
      <c r="P2046" s="5">
        <f>SUMIFS('Desenvolvimento diário'!$H:$H,'Desenvolvimento diário'!$Q:$Q,$B2046,'Desenvolvimento diário'!$P:$P,$F2046,'Desenvolvimento diário'!$R:$R,"Sim")</f>
        <v>0</v>
      </c>
      <c r="Q2046" s="5">
        <f>SUMIFS('Desenvolvimento diário'!$H:$H,'Desenvolvimento diário'!$Q:$Q,$B2046,'Desenvolvimento diário'!$P:$P,$F2046,'Desenvolvimento diário'!$R:$R,"Não")</f>
        <v>8488.15</v>
      </c>
      <c r="R2046" s="4">
        <f t="shared" si="632"/>
        <v>8488.15</v>
      </c>
      <c r="S2046" s="4">
        <f t="shared" si="633"/>
        <v>0</v>
      </c>
      <c r="T2046" s="12">
        <f t="shared" si="635"/>
        <v>1</v>
      </c>
      <c r="Y2046" s="2"/>
      <c r="Z2046" s="2"/>
      <c r="AA2046" s="2"/>
      <c r="AB2046" s="2"/>
      <c r="AC2046" s="2"/>
    </row>
    <row r="2047" spans="1:29" ht="10.5" hidden="1">
      <c r="A2047" s="2">
        <f t="shared" si="634"/>
        <v>59</v>
      </c>
      <c r="B2047" s="2" t="str">
        <f>VLOOKUP($A2047,Controle!$B$4:$F$68,2,FALSE)</f>
        <v>Varginha 5</v>
      </c>
      <c r="C2047" s="2" t="str">
        <f>VLOOKUP($A2047,Controle!$B$4:$F$68,3,FALSE)</f>
        <v>MORI MINAS IV</v>
      </c>
      <c r="D2047" s="2" t="str">
        <f>VLOOKUP($A2047,Controle!$B$4:$F$68,4,FALSE)</f>
        <v>NewCo IV</v>
      </c>
      <c r="E2047" s="2">
        <f>VLOOKUP($A2047,Controle!$B$4:$F$68,5,FALSE)</f>
        <v>1</v>
      </c>
      <c r="F2047" s="3" t="str">
        <f t="shared" si="630"/>
        <v>Sistemas de Monitoramento - Supervisório</v>
      </c>
      <c r="G2047" s="2" t="str">
        <f>VLOOKUP($A2047,Controle!$B$4:$G$68,6,FALSE)</f>
        <v>Solatio</v>
      </c>
      <c r="H2047" s="6" t="s">
        <v>150</v>
      </c>
      <c r="I2047" s="6">
        <v>136154.95000000001</v>
      </c>
      <c r="J2047" s="6"/>
      <c r="K2047" s="6">
        <v>0</v>
      </c>
      <c r="L2047" s="6">
        <v>0</v>
      </c>
      <c r="M2047" s="6">
        <v>0</v>
      </c>
      <c r="N2047" s="6">
        <v>0</v>
      </c>
      <c r="O2047" s="4">
        <f t="shared" si="631"/>
        <v>136154.95000000001</v>
      </c>
      <c r="P2047" s="5">
        <f>SUMIFS('Desenvolvimento diário'!$H:$H,'Desenvolvimento diário'!$Q:$Q,$B2047,'Desenvolvimento diário'!$P:$P,$F2047,'Desenvolvimento diário'!$R:$R,"Sim")</f>
        <v>0</v>
      </c>
      <c r="Q2047" s="5">
        <f>SUMIFS('Desenvolvimento diário'!$H:$H,'Desenvolvimento diário'!$Q:$Q,$B2047,'Desenvolvimento diário'!$P:$P,$F2047,'Desenvolvimento diário'!$R:$R,"Não")</f>
        <v>136154.95000000001</v>
      </c>
      <c r="R2047" s="4">
        <f t="shared" si="632"/>
        <v>136154.95000000001</v>
      </c>
      <c r="S2047" s="4">
        <f t="shared" si="633"/>
        <v>0</v>
      </c>
      <c r="T2047" s="12">
        <f t="shared" si="635"/>
        <v>1</v>
      </c>
      <c r="Y2047" s="2"/>
      <c r="Z2047" s="2"/>
      <c r="AA2047" s="2"/>
      <c r="AB2047" s="2"/>
      <c r="AC2047" s="2"/>
    </row>
    <row r="2048" spans="1:29" ht="10.5" hidden="1">
      <c r="A2048" s="2">
        <f t="shared" si="634"/>
        <v>59</v>
      </c>
      <c r="B2048" s="2" t="str">
        <f>VLOOKUP($A2048,Controle!$B$4:$F$68,2,FALSE)</f>
        <v>Varginha 5</v>
      </c>
      <c r="C2048" s="2" t="str">
        <f>VLOOKUP($A2048,Controle!$B$4:$F$68,3,FALSE)</f>
        <v>MORI MINAS IV</v>
      </c>
      <c r="D2048" s="2" t="str">
        <f>VLOOKUP($A2048,Controle!$B$4:$F$68,4,FALSE)</f>
        <v>NewCo IV</v>
      </c>
      <c r="E2048" s="2">
        <f>VLOOKUP($A2048,Controle!$B$4:$F$68,5,FALSE)</f>
        <v>1</v>
      </c>
      <c r="F2048" s="3" t="str">
        <f t="shared" si="630"/>
        <v>Sistemas de Monitoramento - Estações Solarimétricas</v>
      </c>
      <c r="G2048" s="2" t="str">
        <f>VLOOKUP($A2048,Controle!$B$4:$G$68,6,FALSE)</f>
        <v>Solatio</v>
      </c>
      <c r="H2048" s="6" t="s">
        <v>151</v>
      </c>
      <c r="I2048" s="6">
        <v>48276.516000000003</v>
      </c>
      <c r="J2048" s="6">
        <v>0</v>
      </c>
      <c r="K2048" s="6">
        <v>0</v>
      </c>
      <c r="L2048" s="6">
        <v>0</v>
      </c>
      <c r="M2048" s="6">
        <v>0</v>
      </c>
      <c r="N2048" s="6">
        <v>0</v>
      </c>
      <c r="O2048" s="4">
        <f t="shared" si="631"/>
        <v>48276.516000000003</v>
      </c>
      <c r="P2048" s="5">
        <f>SUMIFS('Desenvolvimento diário'!$H:$H,'Desenvolvimento diário'!$Q:$Q,$B2048,'Desenvolvimento diário'!$P:$P,$F2048,'Desenvolvimento diário'!$R:$R,"Sim")</f>
        <v>0</v>
      </c>
      <c r="Q2048" s="5">
        <f>SUMIFS('Desenvolvimento diário'!$H:$H,'Desenvolvimento diário'!$Q:$Q,$B2048,'Desenvolvimento diário'!$P:$P,$F2048,'Desenvolvimento diário'!$R:$R,"Não")</f>
        <v>48276.516000000003</v>
      </c>
      <c r="R2048" s="4">
        <f t="shared" si="632"/>
        <v>48276.516000000003</v>
      </c>
      <c r="S2048" s="4">
        <f t="shared" si="633"/>
        <v>0</v>
      </c>
      <c r="T2048" s="12">
        <f t="shared" si="635"/>
        <v>1</v>
      </c>
      <c r="Y2048" s="2"/>
      <c r="Z2048" s="2"/>
      <c r="AA2048" s="2"/>
      <c r="AB2048" s="2"/>
      <c r="AC2048" s="2"/>
    </row>
    <row r="2049" spans="1:29" hidden="1">
      <c r="A2049" s="2">
        <f t="shared" si="634"/>
        <v>59</v>
      </c>
      <c r="B2049" s="2" t="str">
        <f>VLOOKUP($A2049,Controle!$B$4:$F$68,2,FALSE)</f>
        <v>Varginha 5</v>
      </c>
      <c r="C2049" s="2" t="str">
        <f>VLOOKUP($A2049,Controle!$B$4:$F$68,3,FALSE)</f>
        <v>MORI MINAS IV</v>
      </c>
      <c r="D2049" s="2" t="str">
        <f>VLOOKUP($A2049,Controle!$B$4:$F$68,4,FALSE)</f>
        <v>NewCo IV</v>
      </c>
      <c r="E2049" s="2">
        <f>VLOOKUP($A2049,Controle!$B$4:$F$68,5,FALSE)</f>
        <v>1</v>
      </c>
      <c r="F2049" s="3" t="str">
        <f t="shared" si="630"/>
        <v>Sistemas de Monitoramento - CFTV</v>
      </c>
      <c r="G2049" s="2" t="str">
        <f>VLOOKUP($A2049,Controle!$B$4:$G$68,6,FALSE)</f>
        <v>Solatio</v>
      </c>
      <c r="H2049" s="31" t="s">
        <v>152</v>
      </c>
      <c r="I2049" s="6">
        <v>322939.81</v>
      </c>
      <c r="J2049" s="28">
        <v>4730.5200000000004</v>
      </c>
      <c r="K2049" s="6">
        <v>0</v>
      </c>
      <c r="L2049" s="6">
        <v>0</v>
      </c>
      <c r="M2049" s="6">
        <v>0</v>
      </c>
      <c r="N2049" s="6">
        <v>0</v>
      </c>
      <c r="O2049" s="4">
        <f t="shared" si="631"/>
        <v>327670.33</v>
      </c>
      <c r="P2049" s="5">
        <f>SUMIFS('Desenvolvimento diário'!$H:$H,'Desenvolvimento diário'!$Q:$Q,$B2049,'Desenvolvimento diário'!$P:$P,$F2049,'Desenvolvimento diário'!$R:$R,"Sim")</f>
        <v>4634.8599999999997</v>
      </c>
      <c r="Q2049" s="5">
        <f>SUMIFS('Desenvolvimento diário'!$H:$H,'Desenvolvimento diário'!$Q:$Q,$B2049,'Desenvolvimento diário'!$P:$P,$F2049,'Desenvolvimento diário'!$R:$R,"Não")</f>
        <v>323035.47000000003</v>
      </c>
      <c r="R2049" s="4">
        <f t="shared" si="632"/>
        <v>327670.33</v>
      </c>
      <c r="S2049" s="27">
        <f t="shared" si="633"/>
        <v>0</v>
      </c>
      <c r="T2049" s="12">
        <f t="shared" si="635"/>
        <v>1</v>
      </c>
      <c r="Y2049" s="2"/>
      <c r="Z2049" s="2"/>
      <c r="AA2049" s="2"/>
      <c r="AB2049" s="2"/>
      <c r="AC2049" s="2"/>
    </row>
    <row r="2050" spans="1:29" ht="10.5" hidden="1">
      <c r="A2050" s="2">
        <f t="shared" si="634"/>
        <v>59</v>
      </c>
      <c r="B2050" s="2" t="str">
        <f>VLOOKUP($A2050,Controle!$B$4:$F$68,2,FALSE)</f>
        <v>Varginha 5</v>
      </c>
      <c r="C2050" s="2" t="str">
        <f>VLOOKUP($A2050,Controle!$B$4:$F$68,3,FALSE)</f>
        <v>MORI MINAS IV</v>
      </c>
      <c r="D2050" s="2" t="str">
        <f>VLOOKUP($A2050,Controle!$B$4:$F$68,4,FALSE)</f>
        <v>NewCo IV</v>
      </c>
      <c r="E2050" s="2">
        <f>VLOOKUP($A2050,Controle!$B$4:$F$68,5,FALSE)</f>
        <v>1</v>
      </c>
      <c r="F2050" s="3" t="str">
        <f t="shared" si="630"/>
        <v>Serviços Auxiliares - Drenagem</v>
      </c>
      <c r="G2050" s="2" t="str">
        <f>VLOOKUP($A2050,Controle!$B$4:$G$68,6,FALSE)</f>
        <v>Solatio</v>
      </c>
      <c r="H2050" s="6" t="s">
        <v>236</v>
      </c>
      <c r="I2050" s="6">
        <v>0</v>
      </c>
      <c r="J2050" s="6">
        <v>0</v>
      </c>
      <c r="K2050" s="6">
        <v>0</v>
      </c>
      <c r="L2050" s="6">
        <v>0</v>
      </c>
      <c r="M2050" s="6">
        <v>0</v>
      </c>
      <c r="N2050" s="6">
        <v>0</v>
      </c>
      <c r="O2050" s="4">
        <f t="shared" si="631"/>
        <v>0</v>
      </c>
      <c r="P2050" s="5">
        <f>SUMIFS('Desenvolvimento diário'!$H:$H,'Desenvolvimento diário'!$Q:$Q,$B2050,'Desenvolvimento diário'!$P:$P,$F2050,'Desenvolvimento diário'!$R:$R,"Sim")</f>
        <v>0</v>
      </c>
      <c r="Q2050" s="5">
        <f>SUMIFS('Desenvolvimento diário'!$H:$H,'Desenvolvimento diário'!$Q:$Q,$B2050,'Desenvolvimento diário'!$P:$P,$F2050,'Desenvolvimento diário'!$R:$R,"Não")</f>
        <v>0</v>
      </c>
      <c r="R2050" s="4">
        <f t="shared" si="632"/>
        <v>0</v>
      </c>
      <c r="S2050" s="4">
        <f t="shared" si="633"/>
        <v>0</v>
      </c>
      <c r="T2050" s="12">
        <f t="shared" si="635"/>
        <v>0</v>
      </c>
      <c r="Y2050" s="2"/>
      <c r="Z2050" s="2"/>
      <c r="AA2050" s="2"/>
      <c r="AB2050" s="2"/>
      <c r="AC2050" s="2"/>
    </row>
    <row r="2051" spans="1:29" ht="10.5" hidden="1">
      <c r="A2051" s="2">
        <f t="shared" si="634"/>
        <v>59</v>
      </c>
      <c r="B2051" s="2" t="str">
        <f>VLOOKUP($A2051,Controle!$B$4:$F$68,2,FALSE)</f>
        <v>Varginha 5</v>
      </c>
      <c r="C2051" s="2" t="str">
        <f>VLOOKUP($A2051,Controle!$B$4:$F$68,3,FALSE)</f>
        <v>MORI MINAS IV</v>
      </c>
      <c r="D2051" s="2" t="str">
        <f>VLOOKUP($A2051,Controle!$B$4:$F$68,4,FALSE)</f>
        <v>NewCo IV</v>
      </c>
      <c r="E2051" s="2">
        <f>VLOOKUP($A2051,Controle!$B$4:$F$68,5,FALSE)</f>
        <v>1</v>
      </c>
      <c r="F2051" s="3" t="str">
        <f t="shared" si="630"/>
        <v>Serviços Auxiliares - Terraplanagem</v>
      </c>
      <c r="G2051" s="2" t="str">
        <f>VLOOKUP($A2051,Controle!$B$4:$G$68,6,FALSE)</f>
        <v>Solatio</v>
      </c>
      <c r="H2051" s="6" t="s">
        <v>214</v>
      </c>
      <c r="I2051" s="6">
        <v>412000</v>
      </c>
      <c r="J2051" s="6">
        <v>262241.94</v>
      </c>
      <c r="K2051" s="6">
        <v>0</v>
      </c>
      <c r="L2051" s="6">
        <v>0</v>
      </c>
      <c r="M2051" s="6">
        <v>0</v>
      </c>
      <c r="N2051" s="6">
        <v>0</v>
      </c>
      <c r="O2051" s="4">
        <f t="shared" si="631"/>
        <v>674241.94</v>
      </c>
      <c r="P2051" s="5">
        <f>SUMIFS('Desenvolvimento diário'!$H:$H,'Desenvolvimento diário'!$Q:$Q,$B2051,'Desenvolvimento diário'!$P:$P,$F2051,'Desenvolvimento diário'!$R:$R,"Sim")</f>
        <v>0</v>
      </c>
      <c r="Q2051" s="5">
        <f>SUMIFS('Desenvolvimento diário'!$H:$H,'Desenvolvimento diário'!$Q:$Q,$B2051,'Desenvolvimento diário'!$P:$P,$F2051,'Desenvolvimento diário'!$R:$R,"Não")-402.020000000019</f>
        <v>674241.94</v>
      </c>
      <c r="R2051" s="4">
        <f t="shared" si="632"/>
        <v>674241.94</v>
      </c>
      <c r="S2051" s="140">
        <f>O2051-R2051</f>
        <v>0</v>
      </c>
      <c r="T2051" s="12">
        <f t="shared" si="635"/>
        <v>1</v>
      </c>
      <c r="Y2051" s="2"/>
      <c r="Z2051" s="2"/>
      <c r="AA2051" s="2"/>
      <c r="AB2051" s="2"/>
      <c r="AC2051" s="2"/>
    </row>
    <row r="2052" spans="1:29" ht="10.5" hidden="1">
      <c r="A2052" s="2">
        <f t="shared" si="634"/>
        <v>59</v>
      </c>
      <c r="B2052" s="2" t="str">
        <f>VLOOKUP($A2052,Controle!$B$4:$F$68,2,FALSE)</f>
        <v>Varginha 5</v>
      </c>
      <c r="C2052" s="2" t="str">
        <f>VLOOKUP($A2052,Controle!$B$4:$F$68,3,FALSE)</f>
        <v>MORI MINAS IV</v>
      </c>
      <c r="D2052" s="2" t="str">
        <f>VLOOKUP($A2052,Controle!$B$4:$F$68,4,FALSE)</f>
        <v>NewCo IV</v>
      </c>
      <c r="E2052" s="2">
        <f>VLOOKUP($A2052,Controle!$B$4:$F$68,5,FALSE)</f>
        <v>1</v>
      </c>
      <c r="F2052" s="3" t="str">
        <f t="shared" si="630"/>
        <v>Serviços Auxiliares - Supressão Vegetal</v>
      </c>
      <c r="G2052" s="2" t="str">
        <f>VLOOKUP($A2052,Controle!$B$4:$G$68,6,FALSE)</f>
        <v>Solatio</v>
      </c>
      <c r="H2052" s="6">
        <v>0</v>
      </c>
      <c r="I2052" s="6">
        <v>0</v>
      </c>
      <c r="J2052" s="6">
        <v>0</v>
      </c>
      <c r="K2052" s="6">
        <v>0</v>
      </c>
      <c r="L2052" s="6">
        <v>0</v>
      </c>
      <c r="M2052" s="6">
        <v>0</v>
      </c>
      <c r="N2052" s="6">
        <v>0</v>
      </c>
      <c r="O2052" s="4">
        <f t="shared" si="631"/>
        <v>0</v>
      </c>
      <c r="P2052" s="5">
        <f>SUMIFS('Desenvolvimento diário'!$H:$H,'Desenvolvimento diário'!$Q:$Q,$B2052,'Desenvolvimento diário'!$P:$P,$F2052,'Desenvolvimento diário'!$R:$R,"Sim")</f>
        <v>0</v>
      </c>
      <c r="Q2052" s="5">
        <f>SUMIFS('Desenvolvimento diário'!$H:$H,'Desenvolvimento diário'!$Q:$Q,$B2052,'Desenvolvimento diário'!$P:$P,$F2052,'Desenvolvimento diário'!$R:$R,"Não")</f>
        <v>0</v>
      </c>
      <c r="R2052" s="4">
        <f t="shared" si="632"/>
        <v>0</v>
      </c>
      <c r="S2052" s="4">
        <f t="shared" si="633"/>
        <v>0</v>
      </c>
      <c r="T2052" s="12">
        <f t="shared" si="635"/>
        <v>0</v>
      </c>
      <c r="Y2052" s="2"/>
      <c r="Z2052" s="2"/>
      <c r="AA2052" s="2"/>
      <c r="AB2052" s="2"/>
      <c r="AC2052" s="2"/>
    </row>
    <row r="2053" spans="1:29" ht="10.5" hidden="1">
      <c r="A2053" s="2">
        <f t="shared" si="634"/>
        <v>59</v>
      </c>
      <c r="B2053" s="2" t="str">
        <f>VLOOKUP($A2053,Controle!$B$4:$F$68,2,FALSE)</f>
        <v>Varginha 5</v>
      </c>
      <c r="C2053" s="2" t="str">
        <f>VLOOKUP($A2053,Controle!$B$4:$F$68,3,FALSE)</f>
        <v>MORI MINAS IV</v>
      </c>
      <c r="D2053" s="2" t="str">
        <f>VLOOKUP($A2053,Controle!$B$4:$F$68,4,FALSE)</f>
        <v>NewCo IV</v>
      </c>
      <c r="E2053" s="2">
        <f>VLOOKUP($A2053,Controle!$B$4:$F$68,5,FALSE)</f>
        <v>1</v>
      </c>
      <c r="F2053" s="3" t="str">
        <f t="shared" si="630"/>
        <v>RDR-Rede de Distribuição Rural</v>
      </c>
      <c r="G2053" s="2" t="str">
        <f>VLOOKUP($A2053,Controle!$B$4:$G$68,6,FALSE)</f>
        <v>Solatio</v>
      </c>
      <c r="H2053" s="6" t="s">
        <v>141</v>
      </c>
      <c r="I2053" s="6">
        <v>101000</v>
      </c>
      <c r="J2053" s="6">
        <v>0</v>
      </c>
      <c r="K2053" s="6">
        <v>0</v>
      </c>
      <c r="L2053" s="6">
        <v>0</v>
      </c>
      <c r="M2053" s="6">
        <v>0</v>
      </c>
      <c r="N2053" s="6">
        <v>0</v>
      </c>
      <c r="O2053" s="4">
        <f t="shared" si="631"/>
        <v>101000</v>
      </c>
      <c r="P2053" s="5">
        <f>SUMIFS('Desenvolvimento diário'!$H:$H,'Desenvolvimento diário'!$Q:$Q,$B2053,'Desenvolvimento diário'!$P:$P,$F2053,'Desenvolvimento diário'!$R:$R,"Sim")</f>
        <v>101000</v>
      </c>
      <c r="Q2053" s="5">
        <f>SUMIFS('Desenvolvimento diário'!$H:$H,'Desenvolvimento diário'!$Q:$Q,$B2053,'Desenvolvimento diário'!$P:$P,$F2053,'Desenvolvimento diário'!$R:$R,"Não")</f>
        <v>0</v>
      </c>
      <c r="R2053" s="4">
        <f t="shared" si="632"/>
        <v>101000</v>
      </c>
      <c r="S2053" s="4">
        <f t="shared" si="633"/>
        <v>0</v>
      </c>
      <c r="T2053" s="12">
        <f t="shared" si="635"/>
        <v>1</v>
      </c>
      <c r="Y2053" s="2"/>
      <c r="Z2053" s="2"/>
      <c r="AA2053" s="2"/>
      <c r="AB2053" s="2"/>
      <c r="AC2053" s="2"/>
    </row>
    <row r="2054" spans="1:29" ht="10.5" hidden="1">
      <c r="A2054" s="2">
        <f t="shared" si="634"/>
        <v>59</v>
      </c>
      <c r="B2054" s="2" t="str">
        <f>VLOOKUP($A2054,Controle!$B$4:$F$68,2,FALSE)</f>
        <v>Varginha 5</v>
      </c>
      <c r="C2054" s="2" t="str">
        <f>VLOOKUP($A2054,Controle!$B$4:$F$68,3,FALSE)</f>
        <v>MORI MINAS IV</v>
      </c>
      <c r="D2054" s="2" t="str">
        <f>VLOOKUP($A2054,Controle!$B$4:$F$68,4,FALSE)</f>
        <v>NewCo IV</v>
      </c>
      <c r="E2054" s="2">
        <f>VLOOKUP($A2054,Controle!$B$4:$F$68,5,FALSE)</f>
        <v>1</v>
      </c>
      <c r="F2054" s="3" t="str">
        <f t="shared" si="630"/>
        <v>Escopo COMERC</v>
      </c>
      <c r="G2054" s="2" t="str">
        <f>VLOOKUP($A2054,Controle!$B$4:$G$68,6,FALSE)</f>
        <v>Solatio</v>
      </c>
      <c r="H2054" s="6">
        <v>0</v>
      </c>
      <c r="I2054" s="6">
        <v>42859.93</v>
      </c>
      <c r="J2054" s="29">
        <v>26500</v>
      </c>
      <c r="K2054" s="29"/>
      <c r="L2054" s="6">
        <v>0</v>
      </c>
      <c r="M2054" s="6">
        <v>0</v>
      </c>
      <c r="N2054" s="6">
        <v>0</v>
      </c>
      <c r="O2054" s="4">
        <f t="shared" si="631"/>
        <v>69359.929999999993</v>
      </c>
      <c r="P2054" s="5">
        <f>SUMIFS('Desenvolvimento diário'!$H:$H,'Desenvolvimento diário'!$Q:$Q,$B2054,'Desenvolvimento diário'!$P:$P,$F2054,'Desenvolvimento diário'!$R:$R,"Sim")</f>
        <v>0</v>
      </c>
      <c r="Q2054" s="5">
        <f>SUMIFS('Desenvolvimento diário'!$H:$H,'Desenvolvimento diário'!$Q:$Q,$B2054,'Desenvolvimento diário'!$P:$P,$F2054,'Desenvolvimento diário'!$R:$R,"Não")</f>
        <v>43858.71</v>
      </c>
      <c r="R2054" s="4">
        <f t="shared" si="632"/>
        <v>43858.71</v>
      </c>
      <c r="S2054" s="1010">
        <f t="shared" si="633"/>
        <v>25501.219999999994</v>
      </c>
      <c r="T2054" s="12">
        <f t="shared" si="635"/>
        <v>0.63233498073022854</v>
      </c>
      <c r="U2054" s="1011" t="s">
        <v>166</v>
      </c>
      <c r="V2054" s="1011" t="s">
        <v>167</v>
      </c>
      <c r="Y2054" s="2"/>
      <c r="Z2054" s="2"/>
      <c r="AA2054" s="2"/>
      <c r="AB2054" s="2"/>
      <c r="AC2054" s="2"/>
    </row>
    <row r="2055" spans="1:29" ht="10.5" hidden="1">
      <c r="A2055" s="2">
        <f t="shared" si="634"/>
        <v>59</v>
      </c>
      <c r="B2055" s="2" t="str">
        <f>VLOOKUP($A2055,Controle!$B$4:$F$68,2,FALSE)</f>
        <v>Varginha 5</v>
      </c>
      <c r="C2055" s="2" t="str">
        <f>VLOOKUP($A2055,Controle!$B$4:$F$68,3,FALSE)</f>
        <v>MORI MINAS IV</v>
      </c>
      <c r="D2055" s="2" t="str">
        <f>VLOOKUP($A2055,Controle!$B$4:$F$68,4,FALSE)</f>
        <v>NewCo IV</v>
      </c>
      <c r="E2055" s="2">
        <f>VLOOKUP($A2055,Controle!$B$4:$F$68,5,FALSE)</f>
        <v>1</v>
      </c>
      <c r="F2055" s="3" t="str">
        <f t="shared" si="630"/>
        <v>Escopo COMERC - Segurança</v>
      </c>
      <c r="G2055" s="2" t="str">
        <f>VLOOKUP($A2055,Controle!$B$4:$G$68,6,FALSE)</f>
        <v>Solatio</v>
      </c>
      <c r="H2055" s="6">
        <v>0</v>
      </c>
      <c r="I2055" s="6">
        <f t="shared" ref="I2054:I2055" si="636">R2055</f>
        <v>126186.23999999999</v>
      </c>
      <c r="J2055" s="6">
        <v>0</v>
      </c>
      <c r="K2055" s="6">
        <v>0</v>
      </c>
      <c r="L2055" s="6">
        <v>0</v>
      </c>
      <c r="M2055" s="6">
        <v>0</v>
      </c>
      <c r="N2055" s="6">
        <v>0</v>
      </c>
      <c r="O2055" s="4">
        <f t="shared" si="631"/>
        <v>126186.23999999999</v>
      </c>
      <c r="P2055" s="5">
        <f>SUMIFS('Desenvolvimento diário'!$H:$H,'Desenvolvimento diário'!$Q:$Q,$B2055,'Desenvolvimento diário'!$P:$P,$F2055,'Desenvolvimento diário'!$R:$R,"Sim")</f>
        <v>0</v>
      </c>
      <c r="Q2055" s="5">
        <f>SUMIFS('Desenvolvimento diário'!$H:$H,'Desenvolvimento diário'!$Q:$Q,$B2055,'Desenvolvimento diário'!$P:$P,$F2055,'Desenvolvimento diário'!$R:$R,"Não")</f>
        <v>126186.23999999999</v>
      </c>
      <c r="R2055" s="4">
        <f t="shared" si="632"/>
        <v>126186.23999999999</v>
      </c>
      <c r="S2055" s="4">
        <f t="shared" si="633"/>
        <v>0</v>
      </c>
      <c r="T2055" s="12">
        <f t="shared" si="635"/>
        <v>1</v>
      </c>
      <c r="Y2055" s="2"/>
      <c r="Z2055" s="2"/>
      <c r="AA2055" s="2"/>
      <c r="AB2055" s="2"/>
      <c r="AC2055" s="2"/>
    </row>
    <row r="2056" spans="1:29" ht="10.5" hidden="1">
      <c r="A2056" s="2">
        <f t="shared" si="634"/>
        <v>59</v>
      </c>
      <c r="B2056" s="2" t="str">
        <f>VLOOKUP($A2056,Controle!$B$4:$F$68,2,FALSE)</f>
        <v>Varginha 5</v>
      </c>
      <c r="C2056" s="2" t="str">
        <f>VLOOKUP($A2056,Controle!$B$4:$F$68,3,FALSE)</f>
        <v>MORI MINAS IV</v>
      </c>
      <c r="D2056" s="2" t="str">
        <f>VLOOKUP($A2056,Controle!$B$4:$F$68,4,FALSE)</f>
        <v>NewCo IV</v>
      </c>
      <c r="E2056" s="2">
        <f>VLOOKUP($A2056,Controle!$B$4:$F$68,5,FALSE)</f>
        <v>1</v>
      </c>
      <c r="F2056" s="3" t="str">
        <f t="shared" si="630"/>
        <v>Conexão MT - Obras Transferencia</v>
      </c>
      <c r="G2056" s="2" t="str">
        <f>VLOOKUP($A2056,Controle!$B$4:$G$68,6,FALSE)</f>
        <v>Solatio</v>
      </c>
      <c r="H2056" s="6">
        <v>0</v>
      </c>
      <c r="I2056" s="6">
        <v>0</v>
      </c>
      <c r="J2056" s="6">
        <v>0</v>
      </c>
      <c r="K2056" s="6">
        <v>0</v>
      </c>
      <c r="L2056" s="6">
        <v>0</v>
      </c>
      <c r="M2056" s="6">
        <v>0</v>
      </c>
      <c r="N2056" s="6">
        <v>0</v>
      </c>
      <c r="O2056" s="4">
        <f t="shared" si="631"/>
        <v>0</v>
      </c>
      <c r="P2056" s="5">
        <f>SUMIFS('Desenvolvimento diário'!$H:$H,'Desenvolvimento diário'!$Q:$Q,$B2056,'Desenvolvimento diário'!$P:$P,$F2056,'Desenvolvimento diário'!$R:$R,"Sim")</f>
        <v>0</v>
      </c>
      <c r="Q2056" s="5">
        <f>SUMIFS('Desenvolvimento diário'!$H:$H,'Desenvolvimento diário'!$Q:$Q,$B2056,'Desenvolvimento diário'!$P:$P,$F2056,'Desenvolvimento diário'!$R:$R,"Não")</f>
        <v>0</v>
      </c>
      <c r="R2056" s="4">
        <f t="shared" si="632"/>
        <v>0</v>
      </c>
      <c r="S2056" s="4">
        <f t="shared" si="633"/>
        <v>0</v>
      </c>
      <c r="T2056" s="12">
        <f t="shared" si="635"/>
        <v>0</v>
      </c>
      <c r="Y2056" s="2"/>
      <c r="Z2056" s="2"/>
      <c r="AA2056" s="2"/>
      <c r="AB2056" s="2"/>
      <c r="AC2056" s="2"/>
    </row>
    <row r="2057" spans="1:29" ht="10.5" hidden="1">
      <c r="A2057" s="2">
        <f t="shared" si="634"/>
        <v>59</v>
      </c>
      <c r="B2057" s="2" t="str">
        <f>VLOOKUP($A2057,Controle!$B$4:$F$68,2,FALSE)</f>
        <v>Varginha 5</v>
      </c>
      <c r="C2057" s="2" t="str">
        <f>VLOOKUP($A2057,Controle!$B$4:$F$68,3,FALSE)</f>
        <v>MORI MINAS IV</v>
      </c>
      <c r="D2057" s="2" t="str">
        <f>VLOOKUP($A2057,Controle!$B$4:$F$68,4,FALSE)</f>
        <v>NewCo IV</v>
      </c>
      <c r="E2057" s="2">
        <f>VLOOKUP($A2057,Controle!$B$4:$F$68,5,FALSE)</f>
        <v>1</v>
      </c>
      <c r="F2057" s="3" t="str">
        <f t="shared" si="630"/>
        <v>Bases de Contaniers</v>
      </c>
      <c r="G2057" s="2" t="str">
        <f>VLOOKUP($A2057,Controle!$B$4:$G$68,6,FALSE)</f>
        <v>Solatio</v>
      </c>
      <c r="H2057" s="6">
        <v>0</v>
      </c>
      <c r="I2057" s="6">
        <v>0</v>
      </c>
      <c r="J2057" s="6">
        <v>0</v>
      </c>
      <c r="K2057" s="6">
        <v>0</v>
      </c>
      <c r="L2057" s="6">
        <v>0</v>
      </c>
      <c r="M2057" s="6">
        <v>0</v>
      </c>
      <c r="N2057" s="6">
        <v>0</v>
      </c>
      <c r="O2057" s="4">
        <f t="shared" si="631"/>
        <v>0</v>
      </c>
      <c r="P2057" s="5">
        <f>SUMIFS('Desenvolvimento diário'!$H:$H,'Desenvolvimento diário'!$Q:$Q,$B2057,'Desenvolvimento diário'!$P:$P,$F2057,'Desenvolvimento diário'!$R:$R,"Sim")</f>
        <v>0</v>
      </c>
      <c r="Q2057" s="5">
        <f>SUMIFS('Desenvolvimento diário'!$H:$H,'Desenvolvimento diário'!$Q:$Q,$B2057,'Desenvolvimento diário'!$P:$P,$F2057,'Desenvolvimento diário'!$R:$R,"Não")</f>
        <v>0</v>
      </c>
      <c r="R2057" s="4">
        <f t="shared" si="632"/>
        <v>0</v>
      </c>
      <c r="S2057" s="4">
        <f t="shared" si="633"/>
        <v>0</v>
      </c>
      <c r="T2057" s="12">
        <f t="shared" si="635"/>
        <v>0</v>
      </c>
      <c r="Y2057" s="2"/>
      <c r="Z2057" s="2"/>
      <c r="AA2057" s="2"/>
      <c r="AB2057" s="2"/>
      <c r="AC2057" s="2"/>
    </row>
    <row r="2058" spans="1:29" ht="10.5" hidden="1">
      <c r="A2058" s="2">
        <f t="shared" si="634"/>
        <v>59</v>
      </c>
      <c r="B2058" s="2" t="str">
        <f>VLOOKUP($A2058,Controle!$B$4:$F$68,2,FALSE)</f>
        <v>Varginha 5</v>
      </c>
      <c r="C2058" s="2" t="str">
        <f>VLOOKUP($A2058,Controle!$B$4:$F$68,3,FALSE)</f>
        <v>MORI MINAS IV</v>
      </c>
      <c r="D2058" s="2" t="str">
        <f>VLOOKUP($A2058,Controle!$B$4:$F$68,4,FALSE)</f>
        <v>NewCo IV</v>
      </c>
      <c r="E2058" s="2">
        <f>VLOOKUP($A2058,Controle!$B$4:$F$68,5,FALSE)</f>
        <v>1</v>
      </c>
      <c r="F2058" s="3" t="str">
        <f t="shared" si="630"/>
        <v>Construção - Serviços de Construção - Ase Engenharia</v>
      </c>
      <c r="G2058" s="2" t="str">
        <f>VLOOKUP($A2058,Controle!$B$4:$G$68,6,FALSE)</f>
        <v>Solatio</v>
      </c>
      <c r="H2058" s="6">
        <v>0</v>
      </c>
      <c r="I2058" s="6">
        <v>0</v>
      </c>
      <c r="J2058" s="6">
        <v>0</v>
      </c>
      <c r="K2058" s="6">
        <v>0</v>
      </c>
      <c r="L2058" s="6">
        <v>0</v>
      </c>
      <c r="M2058" s="6">
        <v>0</v>
      </c>
      <c r="N2058" s="6">
        <v>0</v>
      </c>
      <c r="O2058" s="4">
        <f t="shared" si="631"/>
        <v>0</v>
      </c>
      <c r="P2058" s="5">
        <f>SUMIFS('Desenvolvimento diário'!$H:$H,'Desenvolvimento diário'!$Q:$Q,$B2058,'Desenvolvimento diário'!$P:$P,$F2058,'Desenvolvimento diário'!$R:$R,"Sim")</f>
        <v>0</v>
      </c>
      <c r="Q2058" s="5">
        <f>SUMIFS('Desenvolvimento diário'!$H:$H,'Desenvolvimento diário'!$Q:$Q,$B2058,'Desenvolvimento diário'!$P:$P,$F2058,'Desenvolvimento diário'!$R:$R,"Não")</f>
        <v>0</v>
      </c>
      <c r="R2058" s="4">
        <f t="shared" si="632"/>
        <v>0</v>
      </c>
      <c r="S2058" s="4">
        <f t="shared" si="633"/>
        <v>0</v>
      </c>
      <c r="T2058" s="12">
        <f t="shared" si="635"/>
        <v>0</v>
      </c>
      <c r="Y2058" s="2"/>
      <c r="Z2058" s="2"/>
      <c r="AA2058" s="2"/>
      <c r="AB2058" s="2"/>
      <c r="AC2058" s="2"/>
    </row>
    <row r="2059" spans="1:29" ht="10.5" hidden="1">
      <c r="A2059" s="2">
        <f t="shared" si="634"/>
        <v>59</v>
      </c>
      <c r="B2059" s="2" t="str">
        <f>VLOOKUP($A2059,Controle!$B$4:$F$68,2,FALSE)</f>
        <v>Varginha 5</v>
      </c>
      <c r="C2059" s="2" t="str">
        <f>VLOOKUP($A2059,Controle!$B$4:$F$68,3,FALSE)</f>
        <v>MORI MINAS IV</v>
      </c>
      <c r="D2059" s="2" t="str">
        <f>VLOOKUP($A2059,Controle!$B$4:$F$68,4,FALSE)</f>
        <v>NewCo IV</v>
      </c>
      <c r="E2059" s="2">
        <f>VLOOKUP($A2059,Controle!$B$4:$F$68,5,FALSE)</f>
        <v>1</v>
      </c>
      <c r="F2059" s="3" t="str">
        <f t="shared" si="630"/>
        <v>Full EPC - Contrato Sobressalentes</v>
      </c>
      <c r="G2059" s="2" t="str">
        <f>VLOOKUP($A2059,Controle!$B$4:$G$68,6,FALSE)</f>
        <v>Solatio</v>
      </c>
      <c r="H2059" s="6">
        <v>0</v>
      </c>
      <c r="I2059" s="6">
        <v>0</v>
      </c>
      <c r="J2059" s="6">
        <v>0</v>
      </c>
      <c r="K2059" s="6">
        <v>0</v>
      </c>
      <c r="L2059" s="6">
        <v>0</v>
      </c>
      <c r="M2059" s="6">
        <v>0</v>
      </c>
      <c r="N2059" s="6">
        <v>0</v>
      </c>
      <c r="O2059" s="4">
        <f t="shared" si="631"/>
        <v>0</v>
      </c>
      <c r="P2059" s="5">
        <f>SUMIFS('Desenvolvimento diário'!$H:$H,'Desenvolvimento diário'!$Q:$Q,$B2059,'Desenvolvimento diário'!$P:$P,$F2059,'Desenvolvimento diário'!$R:$R,"Sim")</f>
        <v>0</v>
      </c>
      <c r="Q2059" s="5">
        <f>SUMIFS('Desenvolvimento diário'!$H:$H,'Desenvolvimento diário'!$Q:$Q,$B2059,'Desenvolvimento diário'!$P:$P,$F2059,'Desenvolvimento diário'!$R:$R,"Não")</f>
        <v>0</v>
      </c>
      <c r="R2059" s="4">
        <f t="shared" si="632"/>
        <v>0</v>
      </c>
      <c r="S2059" s="4">
        <f t="shared" si="633"/>
        <v>0</v>
      </c>
      <c r="T2059" s="12">
        <f t="shared" si="635"/>
        <v>0</v>
      </c>
      <c r="Y2059" s="2"/>
      <c r="Z2059" s="2"/>
      <c r="AA2059" s="2"/>
      <c r="AB2059" s="2"/>
      <c r="AC2059" s="2"/>
    </row>
    <row r="2060" spans="1:29" ht="10.5" hidden="1">
      <c r="A2060" s="2">
        <f t="shared" si="634"/>
        <v>59</v>
      </c>
      <c r="B2060" s="2" t="str">
        <f>VLOOKUP($A2060,Controle!$B$4:$F$68,2,FALSE)</f>
        <v>Varginha 5</v>
      </c>
      <c r="C2060" s="2" t="str">
        <f>VLOOKUP($A2060,Controle!$B$4:$F$68,3,FALSE)</f>
        <v>MORI MINAS IV</v>
      </c>
      <c r="D2060" s="2" t="str">
        <f>VLOOKUP($A2060,Controle!$B$4:$F$68,4,FALSE)</f>
        <v>NewCo IV</v>
      </c>
      <c r="E2060" s="2">
        <f>VLOOKUP($A2060,Controle!$B$4:$F$68,5,FALSE)</f>
        <v>1</v>
      </c>
      <c r="F2060" s="3" t="str">
        <f t="shared" si="630"/>
        <v>Construção - Serviços de Construção - NOVA MORADA</v>
      </c>
      <c r="G2060" s="2" t="str">
        <f>VLOOKUP($A2060,Controle!$B$4:$G$68,6,FALSE)</f>
        <v>Solatio</v>
      </c>
      <c r="H2060" s="6">
        <v>0</v>
      </c>
      <c r="I2060" s="6">
        <v>0</v>
      </c>
      <c r="J2060" s="6">
        <v>0</v>
      </c>
      <c r="K2060" s="6">
        <v>0</v>
      </c>
      <c r="L2060" s="6">
        <v>0</v>
      </c>
      <c r="M2060" s="6">
        <v>0</v>
      </c>
      <c r="N2060" s="6">
        <v>0</v>
      </c>
      <c r="O2060" s="4">
        <f t="shared" si="631"/>
        <v>0</v>
      </c>
      <c r="P2060" s="5">
        <f>SUMIFS('Desenvolvimento diário'!$H:$H,'Desenvolvimento diário'!$Q:$Q,$B2060,'Desenvolvimento diário'!$P:$P,$F2060,'Desenvolvimento diário'!$R:$R,"Sim")</f>
        <v>0</v>
      </c>
      <c r="Q2060" s="5">
        <f>SUMIFS('Desenvolvimento diário'!$H:$H,'Desenvolvimento diário'!$Q:$Q,$B2060,'Desenvolvimento diário'!$P:$P,$F2060,'Desenvolvimento diário'!$R:$R,"Não")</f>
        <v>0</v>
      </c>
      <c r="R2060" s="4">
        <f t="shared" si="632"/>
        <v>0</v>
      </c>
      <c r="S2060" s="4">
        <f t="shared" si="633"/>
        <v>0</v>
      </c>
      <c r="T2060" s="12">
        <f t="shared" si="635"/>
        <v>0</v>
      </c>
      <c r="Y2060" s="2"/>
      <c r="Z2060" s="2"/>
      <c r="AA2060" s="2"/>
      <c r="AB2060" s="2"/>
      <c r="AC2060" s="2"/>
    </row>
    <row r="2061" spans="1:29" ht="10.5" hidden="1">
      <c r="A2061" s="2">
        <f t="shared" si="634"/>
        <v>59</v>
      </c>
      <c r="B2061" s="2" t="str">
        <f>VLOOKUP($A2061,Controle!$B$4:$F$68,2,FALSE)</f>
        <v>Varginha 5</v>
      </c>
      <c r="C2061" s="2" t="str">
        <f>VLOOKUP($A2061,Controle!$B$4:$F$68,3,FALSE)</f>
        <v>MORI MINAS IV</v>
      </c>
      <c r="D2061" s="2" t="str">
        <f>VLOOKUP($A2061,Controle!$B$4:$F$68,4,FALSE)</f>
        <v>NewCo IV</v>
      </c>
      <c r="E2061" s="2">
        <f>VLOOKUP($A2061,Controle!$B$4:$F$68,5,FALSE)</f>
        <v>1</v>
      </c>
      <c r="F2061" s="3" t="str">
        <f t="shared" si="630"/>
        <v>Equipamentos Curva A -  Contrato Sobressalentes - SETTA</v>
      </c>
      <c r="G2061" s="2" t="str">
        <f>VLOOKUP($A2061,Controle!$B$4:$G$68,6,FALSE)</f>
        <v>Solatio</v>
      </c>
      <c r="H2061" s="6">
        <v>0</v>
      </c>
      <c r="I2061" s="6">
        <v>0</v>
      </c>
      <c r="J2061" s="6">
        <v>0</v>
      </c>
      <c r="K2061" s="6">
        <v>0</v>
      </c>
      <c r="L2061" s="6">
        <v>0</v>
      </c>
      <c r="M2061" s="6">
        <v>0</v>
      </c>
      <c r="N2061" s="6">
        <v>0</v>
      </c>
      <c r="O2061" s="4">
        <f t="shared" si="631"/>
        <v>0</v>
      </c>
      <c r="P2061" s="5">
        <f>SUMIFS('Desenvolvimento diário'!$H:$H,'Desenvolvimento diário'!$Q:$Q,$B2061,'Desenvolvimento diário'!$P:$P,$F2061,'Desenvolvimento diário'!$R:$R,"Sim")</f>
        <v>0</v>
      </c>
      <c r="Q2061" s="5">
        <f>SUMIFS('Desenvolvimento diário'!$H:$H,'Desenvolvimento diário'!$Q:$Q,$B2061,'Desenvolvimento diário'!$P:$P,$F2061,'Desenvolvimento diário'!$R:$R,"Não")</f>
        <v>0</v>
      </c>
      <c r="R2061" s="4">
        <f t="shared" si="632"/>
        <v>0</v>
      </c>
      <c r="S2061" s="4">
        <f t="shared" si="633"/>
        <v>0</v>
      </c>
      <c r="T2061" s="12">
        <f t="shared" si="635"/>
        <v>0</v>
      </c>
      <c r="Y2061" s="2"/>
      <c r="Z2061" s="2"/>
      <c r="AA2061" s="2"/>
      <c r="AB2061" s="2"/>
      <c r="AC2061" s="2"/>
    </row>
    <row r="2062" spans="1:29" ht="10.5" hidden="1">
      <c r="A2062" s="2">
        <f t="shared" si="634"/>
        <v>59</v>
      </c>
      <c r="B2062" s="2" t="str">
        <f>VLOOKUP($A2062,Controle!$B$4:$F$68,2,FALSE)</f>
        <v>Varginha 5</v>
      </c>
      <c r="C2062" s="2" t="str">
        <f>VLOOKUP($A2062,Controle!$B$4:$F$68,3,FALSE)</f>
        <v>MORI MINAS IV</v>
      </c>
      <c r="D2062" s="2" t="str">
        <f>VLOOKUP($A2062,Controle!$B$4:$F$68,4,FALSE)</f>
        <v>NewCo IV</v>
      </c>
      <c r="E2062" s="2">
        <f>VLOOKUP($A2062,Controle!$B$4:$F$68,5,FALSE)</f>
        <v>1</v>
      </c>
      <c r="F2062" s="3" t="str">
        <f t="shared" si="630"/>
        <v>Equipamentos Curva A -  Contrato Sobressalentes - Arctech</v>
      </c>
      <c r="G2062" s="2" t="str">
        <f>VLOOKUP($A2062,Controle!$B$4:$G$68,6,FALSE)</f>
        <v>Solatio</v>
      </c>
      <c r="H2062" s="6">
        <v>0</v>
      </c>
      <c r="I2062" s="6">
        <v>0</v>
      </c>
      <c r="J2062" s="6">
        <v>0</v>
      </c>
      <c r="K2062" s="6">
        <v>0</v>
      </c>
      <c r="L2062" s="6">
        <v>0</v>
      </c>
      <c r="M2062" s="6">
        <v>0</v>
      </c>
      <c r="N2062" s="6">
        <v>0</v>
      </c>
      <c r="O2062" s="4">
        <f t="shared" si="631"/>
        <v>0</v>
      </c>
      <c r="P2062" s="5">
        <f>SUMIFS('Desenvolvimento diário'!$H:$H,'Desenvolvimento diário'!$Q:$Q,$B2062,'Desenvolvimento diário'!$P:$P,$F2062,'Desenvolvimento diário'!$R:$R,"Sim")</f>
        <v>0</v>
      </c>
      <c r="Q2062" s="5">
        <f>SUMIFS('Desenvolvimento diário'!$H:$H,'Desenvolvimento diário'!$Q:$Q,$B2062,'Desenvolvimento diário'!$P:$P,$F2062,'Desenvolvimento diário'!$R:$R,"Não")</f>
        <v>0</v>
      </c>
      <c r="R2062" s="4">
        <f t="shared" si="632"/>
        <v>0</v>
      </c>
      <c r="S2062" s="4">
        <f t="shared" si="633"/>
        <v>0</v>
      </c>
      <c r="T2062" s="12">
        <f t="shared" si="635"/>
        <v>0</v>
      </c>
      <c r="Y2062" s="2"/>
      <c r="Z2062" s="2"/>
      <c r="AA2062" s="2"/>
      <c r="AB2062" s="2"/>
      <c r="AC2062" s="2"/>
    </row>
    <row r="2063" spans="1:29" hidden="1">
      <c r="A2063" s="2">
        <f t="shared" si="634"/>
        <v>59</v>
      </c>
      <c r="B2063" s="2" t="str">
        <f>VLOOKUP($A2063,Controle!$B$4:$F$68,2,FALSE)</f>
        <v>Varginha 5</v>
      </c>
      <c r="C2063" s="2" t="str">
        <f>VLOOKUP($A2063,Controle!$B$4:$F$68,3,FALSE)</f>
        <v>MORI MINAS IV</v>
      </c>
      <c r="D2063" s="2" t="str">
        <f>VLOOKUP($A2063,Controle!$B$4:$F$68,4,FALSE)</f>
        <v>NewCo IV</v>
      </c>
      <c r="E2063" s="2">
        <f>VLOOKUP($A2063,Controle!$B$4:$F$68,5,FALSE)</f>
        <v>1</v>
      </c>
      <c r="F2063" s="3" t="str">
        <f t="shared" si="630"/>
        <v>Equipamentos Curva A -  Contrato Sobressalentes - Romagnole</v>
      </c>
      <c r="G2063" s="2" t="str">
        <f>VLOOKUP($A2063,Controle!$B$4:$G$68,6,FALSE)</f>
        <v>Solatio</v>
      </c>
      <c r="H2063" s="7">
        <v>0</v>
      </c>
      <c r="I2063" s="7">
        <v>0</v>
      </c>
      <c r="J2063" s="7">
        <v>0</v>
      </c>
      <c r="K2063" s="7">
        <v>0</v>
      </c>
      <c r="L2063" s="7">
        <v>0</v>
      </c>
      <c r="M2063" s="7">
        <v>0</v>
      </c>
      <c r="N2063" s="7">
        <v>0</v>
      </c>
      <c r="O2063" s="4">
        <f t="shared" si="631"/>
        <v>0</v>
      </c>
      <c r="P2063" s="17">
        <f>SUMIFS('Desenvolvimento diário'!$H:$H,'Desenvolvimento diário'!$Q:$Q,$B2063,'Desenvolvimento diário'!$P:$P,$F2063,'Desenvolvimento diário'!$R:$R,"Sim")</f>
        <v>0</v>
      </c>
      <c r="Q2063" s="17">
        <f>SUMIFS('Desenvolvimento diário'!$H:$H,'Desenvolvimento diário'!$Q:$Q,$B2063,'Desenvolvimento diário'!$P:$P,$F2063,'Desenvolvimento diário'!$R:$R,"Não")</f>
        <v>0</v>
      </c>
      <c r="R2063" s="4">
        <f t="shared" si="632"/>
        <v>0</v>
      </c>
      <c r="S2063" s="4">
        <f t="shared" si="633"/>
        <v>0</v>
      </c>
      <c r="T2063" s="12">
        <f t="shared" si="635"/>
        <v>0</v>
      </c>
      <c r="Y2063" s="2"/>
      <c r="Z2063" s="2"/>
      <c r="AA2063" s="2"/>
      <c r="AB2063" s="2"/>
      <c r="AC2063" s="2"/>
    </row>
    <row r="2064" spans="1:29" hidden="1">
      <c r="A2064" s="2">
        <f t="shared" si="634"/>
        <v>59</v>
      </c>
      <c r="B2064" s="2" t="str">
        <f>VLOOKUP($A2064,Controle!$B$4:$F$68,2,FALSE)</f>
        <v>Varginha 5</v>
      </c>
      <c r="C2064" s="2" t="str">
        <f>VLOOKUP($A2064,Controle!$B$4:$F$68,3,FALSE)</f>
        <v>MORI MINAS IV</v>
      </c>
      <c r="D2064" s="2" t="str">
        <f>VLOOKUP($A2064,Controle!$B$4:$F$68,4,FALSE)</f>
        <v>NewCo IV</v>
      </c>
      <c r="E2064" s="2">
        <f>VLOOKUP($A2064,Controle!$B$4:$F$68,5,FALSE)</f>
        <v>1</v>
      </c>
      <c r="F2064" s="3" t="str">
        <f t="shared" si="630"/>
        <v>GOS FLORESTAL - (PRAD - Recuperação Area Ambiental)</v>
      </c>
      <c r="G2064" s="2" t="str">
        <f>VLOOKUP($A2064,Controle!$B$4:$G$68,6,FALSE)</f>
        <v>Solatio</v>
      </c>
      <c r="H2064" s="506" t="s">
        <v>170</v>
      </c>
      <c r="I2064" s="7">
        <v>0</v>
      </c>
      <c r="J2064" s="7">
        <v>0</v>
      </c>
      <c r="K2064" s="7">
        <v>0</v>
      </c>
      <c r="L2064" s="7">
        <v>0</v>
      </c>
      <c r="M2064" s="7">
        <v>0</v>
      </c>
      <c r="N2064" s="7">
        <v>0</v>
      </c>
      <c r="O2064" s="39">
        <f t="shared" si="631"/>
        <v>0</v>
      </c>
      <c r="P2064" s="17">
        <f>SUMIFS('Desenvolvimento diário'!$H:$H,'Desenvolvimento diário'!$Q:$Q,$B2064,'Desenvolvimento diário'!$P:$P,$F2064,'Desenvolvimento diário'!$R:$R,"Sim")</f>
        <v>0</v>
      </c>
      <c r="Q2064" s="17">
        <f>SUMIFS('Desenvolvimento diário'!$H:$H,'Desenvolvimento diário'!$Q:$Q,$B2064,'Desenvolvimento diário'!$P:$P,$F2064,'Desenvolvimento diário'!$R:$R,"Não")</f>
        <v>0</v>
      </c>
      <c r="R2064" s="4">
        <f t="shared" si="632"/>
        <v>0</v>
      </c>
      <c r="S2064" s="4">
        <f t="shared" si="633"/>
        <v>0</v>
      </c>
      <c r="T2064" s="12">
        <f t="shared" si="635"/>
        <v>0</v>
      </c>
      <c r="Y2064" s="2"/>
      <c r="Z2064" s="2"/>
      <c r="AA2064" s="2"/>
      <c r="AB2064" s="2"/>
      <c r="AC2064" s="2"/>
    </row>
    <row r="2065" spans="1:29" hidden="1">
      <c r="A2065" s="2">
        <f t="shared" si="634"/>
        <v>59</v>
      </c>
      <c r="B2065" s="2" t="str">
        <f>VLOOKUP($A2065,Controle!$B$4:$F$68,2,FALSE)</f>
        <v>Varginha 5</v>
      </c>
      <c r="C2065" s="2" t="str">
        <f>VLOOKUP($A2065,Controle!$B$4:$F$68,3,FALSE)</f>
        <v>MORI MINAS IV</v>
      </c>
      <c r="D2065" s="2" t="str">
        <f>VLOOKUP($A2065,Controle!$B$4:$F$68,4,FALSE)</f>
        <v>NewCo IV</v>
      </c>
      <c r="E2065" s="2">
        <f>VLOOKUP($A2065,Controle!$B$4:$F$68,5,FALSE)</f>
        <v>1</v>
      </c>
      <c r="F2065" s="3" t="str">
        <f t="shared" si="630"/>
        <v>Cercamento das bacias de contenção ciclo 2</v>
      </c>
      <c r="G2065" s="2" t="str">
        <f>VLOOKUP($A2065,Controle!$B$4:$G$68,6,FALSE)</f>
        <v>Solatio</v>
      </c>
      <c r="H2065" s="506" t="s">
        <v>172</v>
      </c>
      <c r="I2065" s="6"/>
      <c r="J2065" s="506"/>
      <c r="K2065" s="506">
        <v>0</v>
      </c>
      <c r="L2065" s="506">
        <v>0</v>
      </c>
      <c r="M2065" s="506">
        <v>0</v>
      </c>
      <c r="N2065" s="506">
        <v>0</v>
      </c>
      <c r="O2065" s="39">
        <f t="shared" si="631"/>
        <v>0</v>
      </c>
      <c r="P2065" s="17">
        <f>SUMIFS('Desenvolvimento diário'!$H:$H,'Desenvolvimento diário'!$Q:$Q,$B2065,'Desenvolvimento diário'!$P:$P,$F2065,'Desenvolvimento diário'!$R:$R,"Sim")</f>
        <v>0</v>
      </c>
      <c r="Q2065" s="17">
        <f>SUMIFS('Desenvolvimento diário'!$H:$H,'Desenvolvimento diário'!$Q:$Q,$B2065,'Desenvolvimento diário'!$P:$P,$F2065,'Desenvolvimento diário'!$R:$R,"Não")</f>
        <v>0</v>
      </c>
      <c r="R2065" s="4">
        <f t="shared" si="632"/>
        <v>0</v>
      </c>
      <c r="S2065" s="1030">
        <f t="shared" si="633"/>
        <v>0</v>
      </c>
      <c r="T2065" s="12">
        <f t="shared" si="635"/>
        <v>0</v>
      </c>
      <c r="U2065" s="1029" t="s">
        <v>166</v>
      </c>
      <c r="V2065" s="1029" t="s">
        <v>94</v>
      </c>
      <c r="Y2065" s="2"/>
      <c r="Z2065" s="2"/>
      <c r="AA2065" s="2"/>
      <c r="AB2065" s="2"/>
      <c r="AC2065" s="2"/>
    </row>
    <row r="2066" spans="1:29" hidden="1">
      <c r="A2066" s="8">
        <f>A2063</f>
        <v>59</v>
      </c>
      <c r="B2066" s="9" t="str">
        <f t="shared" ref="B2066" si="637">B2063</f>
        <v>Varginha 5</v>
      </c>
      <c r="C2066" s="9" t="str">
        <f t="shared" ref="C2066" si="638">C2063</f>
        <v>MORI MINAS IV</v>
      </c>
      <c r="D2066" s="9" t="str">
        <f t="shared" ref="D2066" si="639">D2063</f>
        <v>NewCo IV</v>
      </c>
      <c r="E2066" s="9">
        <f t="shared" ref="E2066" si="640">E2063</f>
        <v>1</v>
      </c>
      <c r="F2066" s="10" t="s">
        <v>158</v>
      </c>
      <c r="G2066" s="9" t="str">
        <f>G2063</f>
        <v>Solatio</v>
      </c>
      <c r="H2066" s="9"/>
      <c r="I2066" s="9">
        <f>SUBTOTAL(9,I2032:I2065)</f>
        <v>0</v>
      </c>
      <c r="J2066" s="9">
        <f t="shared" ref="J2066:S2066" si="641">SUBTOTAL(9,J2032:J2065)</f>
        <v>0</v>
      </c>
      <c r="K2066" s="9">
        <f t="shared" si="641"/>
        <v>0</v>
      </c>
      <c r="L2066" s="9">
        <f t="shared" si="641"/>
        <v>0</v>
      </c>
      <c r="M2066" s="9">
        <f t="shared" si="641"/>
        <v>0</v>
      </c>
      <c r="N2066" s="9">
        <f t="shared" si="641"/>
        <v>0</v>
      </c>
      <c r="O2066" s="9">
        <f t="shared" si="641"/>
        <v>0</v>
      </c>
      <c r="P2066" s="9">
        <f t="shared" si="641"/>
        <v>0</v>
      </c>
      <c r="Q2066" s="9">
        <f t="shared" si="641"/>
        <v>0</v>
      </c>
      <c r="R2066" s="9">
        <f t="shared" si="641"/>
        <v>0</v>
      </c>
      <c r="S2066" s="9">
        <f t="shared" si="641"/>
        <v>0</v>
      </c>
      <c r="T2066" s="13">
        <f t="shared" si="635"/>
        <v>0</v>
      </c>
      <c r="U2066" s="11">
        <f>SUBTOTAL(9,U2032:U2065)</f>
        <v>0</v>
      </c>
      <c r="Y2066" s="2"/>
      <c r="Z2066" s="2"/>
      <c r="AA2066" s="2"/>
      <c r="AB2066" s="2"/>
      <c r="AC2066" s="2"/>
    </row>
    <row r="2067" spans="1:29" ht="10.5" hidden="1">
      <c r="A2067" s="2">
        <f>A2032+1</f>
        <v>60</v>
      </c>
      <c r="B2067" s="2" t="str">
        <f>VLOOKUP($A2067,Controle!$B$4:$F$68,2,FALSE)</f>
        <v>Três Corações 3</v>
      </c>
      <c r="C2067" s="2" t="str">
        <f>VLOOKUP($A2067,Controle!$B$4:$F$68,3,FALSE)</f>
        <v>MORI MINAS IV</v>
      </c>
      <c r="D2067" s="2" t="str">
        <f>VLOOKUP($A2067,Controle!$B$4:$F$68,4,FALSE)</f>
        <v>NewCo IV</v>
      </c>
      <c r="E2067" s="2">
        <f>VLOOKUP($A2067,Controle!$B$4:$F$68,5,FALSE)</f>
        <v>3</v>
      </c>
      <c r="F2067" s="3" t="str">
        <f t="shared" ref="F2067:F2100" si="642">F2032</f>
        <v>Conexão AT - Obras</v>
      </c>
      <c r="G2067" s="2" t="str">
        <f>VLOOKUP($A2067,Controle!$B$4:$G$68,6,FALSE)</f>
        <v>Solatio</v>
      </c>
      <c r="H2067" s="6" t="s">
        <v>141</v>
      </c>
      <c r="I2067" s="31">
        <f>636127.45+0.62</f>
        <v>636128.06999999995</v>
      </c>
      <c r="J2067" s="6">
        <v>0</v>
      </c>
      <c r="K2067" s="6">
        <v>0</v>
      </c>
      <c r="L2067" s="6">
        <v>0</v>
      </c>
      <c r="M2067" s="6">
        <v>0</v>
      </c>
      <c r="N2067" s="6">
        <v>0</v>
      </c>
      <c r="O2067" s="4">
        <f t="shared" ref="O2067" si="643">SUM(I2067:N2067)</f>
        <v>636128.06999999995</v>
      </c>
      <c r="P2067" s="5">
        <f>SUMIFS('Desenvolvimento diário'!$H:$H,'Desenvolvimento diário'!$Q:$Q,$B2067,'Desenvolvimento diário'!$P:$P,$F2067,'Desenvolvimento diário'!$R:$R,"Sim")</f>
        <v>182173.28999999998</v>
      </c>
      <c r="Q2067" s="5">
        <f>SUMIFS('Desenvolvimento diário'!$H:$H,'Desenvolvimento diário'!$Q:$Q,$B2067,'Desenvolvimento diário'!$P:$P,$F2067,'Desenvolvimento diário'!$R:$R,"Não")</f>
        <v>453954.78</v>
      </c>
      <c r="R2067" s="4">
        <f t="shared" ref="R2067:R2100" si="644">SUM(P2067:Q2067)</f>
        <v>636128.07000000007</v>
      </c>
      <c r="S2067" s="4">
        <f>O2067-R2067</f>
        <v>0</v>
      </c>
      <c r="T2067" s="12">
        <f t="shared" si="635"/>
        <v>1.0000000000000002</v>
      </c>
      <c r="Y2067" s="2"/>
      <c r="Z2067" s="2"/>
      <c r="AA2067" s="2"/>
      <c r="AB2067" s="2"/>
      <c r="AC2067" s="2"/>
    </row>
    <row r="2068" spans="1:29" hidden="1">
      <c r="A2068" s="2">
        <f t="shared" ref="A2068:A2100" si="645">A2067</f>
        <v>60</v>
      </c>
      <c r="B2068" s="2" t="str">
        <f>VLOOKUP($A2068,Controle!$B$4:$F$68,2,FALSE)</f>
        <v>Três Corações 3</v>
      </c>
      <c r="C2068" s="2" t="str">
        <f>VLOOKUP($A2068,Controle!$B$4:$F$68,3,FALSE)</f>
        <v>MORI MINAS IV</v>
      </c>
      <c r="D2068" s="2" t="str">
        <f>VLOOKUP($A2068,Controle!$B$4:$F$68,4,FALSE)</f>
        <v>NewCo IV</v>
      </c>
      <c r="E2068" s="2">
        <f>VLOOKUP($A2068,Controle!$B$4:$F$68,5,FALSE)</f>
        <v>3</v>
      </c>
      <c r="F2068" s="3" t="str">
        <f t="shared" si="642"/>
        <v>Conexão MT - Obras</v>
      </c>
      <c r="G2068" s="2" t="str">
        <f>VLOOKUP($A2068,Controle!$B$4:$G$68,6,FALSE)</f>
        <v>Solatio</v>
      </c>
      <c r="H2068" s="6" t="s">
        <v>141</v>
      </c>
      <c r="I2068" s="6">
        <v>1160000</v>
      </c>
      <c r="J2068" s="6">
        <v>239000</v>
      </c>
      <c r="K2068" s="6">
        <v>15000</v>
      </c>
      <c r="L2068" s="6">
        <v>1945000</v>
      </c>
      <c r="M2068" s="6">
        <v>-281396</v>
      </c>
      <c r="N2068" s="6">
        <v>56318.799999999799</v>
      </c>
      <c r="O2068" s="4">
        <f t="shared" ref="O2068:O2100" si="646">SUM(I2068:N2068)</f>
        <v>3133922.8</v>
      </c>
      <c r="P2068" s="5">
        <f>SUMIFS('Desenvolvimento diário'!$H:$H,'Desenvolvimento diário'!$Q:$Q,$B2068,'Desenvolvimento diário'!$P:$P,$F2068,'Desenvolvimento diário'!$R:$R,"Sim")</f>
        <v>1826774.6</v>
      </c>
      <c r="Q2068" s="5">
        <f>SUMIFS('Desenvolvimento diário'!$H:$H,'Desenvolvimento diário'!$Q:$Q,$B2068,'Desenvolvimento diário'!$P:$P,$F2068,'Desenvolvimento diário'!$R:$R,"Não")</f>
        <v>1307148.2</v>
      </c>
      <c r="R2068" s="4">
        <f t="shared" si="644"/>
        <v>3133922.8</v>
      </c>
      <c r="S2068" s="40">
        <f t="shared" ref="S2068:S2100" si="647">O2068-R2068</f>
        <v>0</v>
      </c>
      <c r="T2068" s="12">
        <f t="shared" si="635"/>
        <v>1</v>
      </c>
      <c r="U2068" s="34"/>
      <c r="V2068" s="30"/>
      <c r="W2068" s="34"/>
      <c r="X2068" s="34"/>
    </row>
    <row r="2069" spans="1:29" ht="10.5" hidden="1">
      <c r="A2069" s="2">
        <f t="shared" si="645"/>
        <v>60</v>
      </c>
      <c r="B2069" s="2" t="str">
        <f>VLOOKUP($A2069,Controle!$B$4:$F$68,2,FALSE)</f>
        <v>Três Corações 3</v>
      </c>
      <c r="C2069" s="2" t="str">
        <f>VLOOKUP($A2069,Controle!$B$4:$F$68,3,FALSE)</f>
        <v>MORI MINAS IV</v>
      </c>
      <c r="D2069" s="2" t="str">
        <f>VLOOKUP($A2069,Controle!$B$4:$F$68,4,FALSE)</f>
        <v>NewCo IV</v>
      </c>
      <c r="E2069" s="2">
        <f>VLOOKUP($A2069,Controle!$B$4:$F$68,5,FALSE)</f>
        <v>3</v>
      </c>
      <c r="F2069" s="3" t="str">
        <f t="shared" si="642"/>
        <v>Construção - Serviços de Construção</v>
      </c>
      <c r="G2069" s="2" t="str">
        <f>VLOOKUP($A2069,Controle!$B$4:$G$68,6,FALSE)</f>
        <v>Solatio</v>
      </c>
      <c r="H2069" s="6" t="s">
        <v>147</v>
      </c>
      <c r="I2069" s="6">
        <v>2691000</v>
      </c>
      <c r="J2069" s="6">
        <v>52647</v>
      </c>
      <c r="K2069" s="6">
        <v>49665</v>
      </c>
      <c r="L2069" s="6">
        <v>320826.45</v>
      </c>
      <c r="M2069" s="6">
        <v>0</v>
      </c>
      <c r="N2069" s="6">
        <v>0</v>
      </c>
      <c r="O2069" s="4">
        <f t="shared" si="646"/>
        <v>3114138.45</v>
      </c>
      <c r="P2069" s="5">
        <f>SUMIFS('Desenvolvimento diário'!$H:$H,'Desenvolvimento diário'!$Q:$Q,$B2069,'Desenvolvimento diário'!$P:$P,$F2069,'Desenvolvimento diário'!$R:$R,"Sim")</f>
        <v>881322.96</v>
      </c>
      <c r="Q2069" s="5">
        <f>SUMIFS('Desenvolvimento diário'!$H:$H,'Desenvolvimento diário'!$Q:$Q,$B2069,'Desenvolvimento diário'!$P:$P,$F2069,'Desenvolvimento diário'!$R:$R,"Não")</f>
        <v>1922844.6</v>
      </c>
      <c r="R2069" s="4">
        <f t="shared" si="644"/>
        <v>2804167.56</v>
      </c>
      <c r="S2069" s="33">
        <f t="shared" si="647"/>
        <v>309970.89000000013</v>
      </c>
      <c r="T2069" s="12">
        <f t="shared" si="635"/>
        <v>0.90046335608489081</v>
      </c>
      <c r="U2069" s="510" t="s">
        <v>162</v>
      </c>
      <c r="V2069" s="510" t="s">
        <v>163</v>
      </c>
      <c r="Y2069" s="2"/>
      <c r="Z2069" s="2"/>
      <c r="AA2069" s="2"/>
      <c r="AB2069" s="2"/>
      <c r="AC2069" s="2"/>
    </row>
    <row r="2070" spans="1:29" ht="10.5" hidden="1">
      <c r="A2070" s="2">
        <f t="shared" si="645"/>
        <v>60</v>
      </c>
      <c r="B2070" s="2" t="str">
        <f>VLOOKUP($A2070,Controle!$B$4:$F$68,2,FALSE)</f>
        <v>Três Corações 3</v>
      </c>
      <c r="C2070" s="2" t="str">
        <f>VLOOKUP($A2070,Controle!$B$4:$F$68,3,FALSE)</f>
        <v>MORI MINAS IV</v>
      </c>
      <c r="D2070" s="2" t="str">
        <f>VLOOKUP($A2070,Controle!$B$4:$F$68,4,FALSE)</f>
        <v>NewCo IV</v>
      </c>
      <c r="E2070" s="2">
        <f>VLOOKUP($A2070,Controle!$B$4:$F$68,5,FALSE)</f>
        <v>3</v>
      </c>
      <c r="F2070" s="3" t="str">
        <f t="shared" si="642"/>
        <v>Construção - Serviços de Construção - Substituição</v>
      </c>
      <c r="G2070" s="2" t="str">
        <f>VLOOKUP($A2070,Controle!$B$4:$G$68,6,FALSE)</f>
        <v>Solatio</v>
      </c>
      <c r="H2070" s="6">
        <v>0</v>
      </c>
      <c r="I2070" s="6">
        <v>0</v>
      </c>
      <c r="J2070" s="6">
        <v>0</v>
      </c>
      <c r="K2070" s="6">
        <v>0</v>
      </c>
      <c r="L2070" s="6">
        <v>0</v>
      </c>
      <c r="M2070" s="6">
        <v>0</v>
      </c>
      <c r="N2070" s="6">
        <v>0</v>
      </c>
      <c r="O2070" s="4">
        <f t="shared" si="646"/>
        <v>0</v>
      </c>
      <c r="P2070" s="5">
        <f>SUMIFS('Desenvolvimento diário'!$H:$H,'Desenvolvimento diário'!$Q:$Q,$B2070,'Desenvolvimento diário'!$P:$P,$F2070,'Desenvolvimento diário'!$R:$R,"Sim")</f>
        <v>0</v>
      </c>
      <c r="Q2070" s="5">
        <f>SUMIFS('Desenvolvimento diário'!$H:$H,'Desenvolvimento diário'!$Q:$Q,$B2070,'Desenvolvimento diário'!$P:$P,$F2070,'Desenvolvimento diário'!$R:$R,"Não")</f>
        <v>0</v>
      </c>
      <c r="R2070" s="4">
        <f t="shared" si="644"/>
        <v>0</v>
      </c>
      <c r="S2070" s="4">
        <f t="shared" si="647"/>
        <v>0</v>
      </c>
      <c r="T2070" s="12">
        <f t="shared" si="635"/>
        <v>0</v>
      </c>
      <c r="Y2070" s="2"/>
      <c r="Z2070" s="2"/>
      <c r="AA2070" s="2"/>
      <c r="AB2070" s="2"/>
      <c r="AC2070" s="2"/>
    </row>
    <row r="2071" spans="1:29" ht="10.5" hidden="1">
      <c r="A2071" s="2">
        <f t="shared" si="645"/>
        <v>60</v>
      </c>
      <c r="B2071" s="34" t="str">
        <f>VLOOKUP($A2071,Controle!$B$4:$F$68,2,FALSE)</f>
        <v>Três Corações 3</v>
      </c>
      <c r="C2071" s="2" t="str">
        <f>VLOOKUP($A2071,Controle!$B$4:$F$68,3,FALSE)</f>
        <v>MORI MINAS IV</v>
      </c>
      <c r="D2071" s="2" t="str">
        <f>VLOOKUP($A2071,Controle!$B$4:$F$68,4,FALSE)</f>
        <v>NewCo IV</v>
      </c>
      <c r="E2071" s="2">
        <f>VLOOKUP($A2071,Controle!$B$4:$F$68,5,FALSE)</f>
        <v>3</v>
      </c>
      <c r="F2071" s="3" t="str">
        <f t="shared" si="642"/>
        <v>Construção - RDA Interno</v>
      </c>
      <c r="G2071" s="2" t="str">
        <f>VLOOKUP($A2071,Controle!$B$4:$G$68,6,FALSE)</f>
        <v>Solatio</v>
      </c>
      <c r="H2071" s="6" t="s">
        <v>143</v>
      </c>
      <c r="I2071" s="6">
        <v>378667.8</v>
      </c>
      <c r="J2071" s="6">
        <v>6400</v>
      </c>
      <c r="K2071" s="6">
        <f>7304.5454+0.0046</f>
        <v>7304.55</v>
      </c>
      <c r="L2071" s="6">
        <v>0</v>
      </c>
      <c r="M2071" s="6">
        <v>0</v>
      </c>
      <c r="N2071" s="6">
        <v>0</v>
      </c>
      <c r="O2071" s="4">
        <f t="shared" si="646"/>
        <v>392372.35</v>
      </c>
      <c r="P2071" s="5">
        <f>SUMIFS('Desenvolvimento diário'!$H:$H,'Desenvolvimento diário'!$Q:$Q,$B2071,'Desenvolvimento diário'!$P:$P,$F2071,'Desenvolvimento diário'!$R:$R,"Sim")</f>
        <v>0</v>
      </c>
      <c r="Q2071" s="5">
        <f>SUMIFS('Desenvolvimento diário'!$H:$H,'Desenvolvimento diário'!$Q:$Q,$B2071,'Desenvolvimento diário'!$P:$P,$F2071,'Desenvolvimento diário'!$R:$R,"Não")</f>
        <v>392372.35000000003</v>
      </c>
      <c r="R2071" s="4">
        <f t="shared" si="644"/>
        <v>392372.35000000003</v>
      </c>
      <c r="S2071" s="4">
        <f t="shared" si="647"/>
        <v>0</v>
      </c>
      <c r="T2071" s="12">
        <f t="shared" si="635"/>
        <v>1.0000000000000002</v>
      </c>
      <c r="Y2071" s="2"/>
      <c r="Z2071" s="2"/>
      <c r="AA2071" s="2"/>
      <c r="AB2071" s="2"/>
      <c r="AC2071" s="2"/>
    </row>
    <row r="2072" spans="1:29" ht="10.5" hidden="1">
      <c r="A2072" s="2">
        <f t="shared" si="645"/>
        <v>60</v>
      </c>
      <c r="B2072" s="2" t="str">
        <f>VLOOKUP($A2072,Controle!$B$4:$F$68,2,FALSE)</f>
        <v>Três Corações 3</v>
      </c>
      <c r="C2072" s="2" t="str">
        <f>VLOOKUP($A2072,Controle!$B$4:$F$68,3,FALSE)</f>
        <v>MORI MINAS IV</v>
      </c>
      <c r="D2072" s="2" t="str">
        <f>VLOOKUP($A2072,Controle!$B$4:$F$68,4,FALSE)</f>
        <v>NewCo IV</v>
      </c>
      <c r="E2072" s="2">
        <f>VLOOKUP($A2072,Controle!$B$4:$F$68,5,FALSE)</f>
        <v>3</v>
      </c>
      <c r="F2072" s="3" t="str">
        <f t="shared" si="642"/>
        <v>Full EPC - Contrato</v>
      </c>
      <c r="G2072" s="2" t="str">
        <f>VLOOKUP($A2072,Controle!$B$4:$G$68,6,FALSE)</f>
        <v>Solatio</v>
      </c>
      <c r="H2072" s="6">
        <v>0</v>
      </c>
      <c r="I2072" s="6">
        <v>0</v>
      </c>
      <c r="J2072" s="6">
        <v>0</v>
      </c>
      <c r="K2072" s="6">
        <v>0</v>
      </c>
      <c r="L2072" s="6">
        <v>0</v>
      </c>
      <c r="M2072" s="6">
        <v>0</v>
      </c>
      <c r="N2072" s="6">
        <v>0</v>
      </c>
      <c r="O2072" s="4">
        <f t="shared" si="646"/>
        <v>0</v>
      </c>
      <c r="P2072" s="5">
        <f>SUMIFS('Desenvolvimento diário'!$H:$H,'Desenvolvimento diário'!$Q:$Q,$B2072,'Desenvolvimento diário'!$P:$P,$F2072,'Desenvolvimento diário'!$R:$R,"Sim")</f>
        <v>0</v>
      </c>
      <c r="Q2072" s="5">
        <f>SUMIFS('Desenvolvimento diário'!$H:$H,'Desenvolvimento diário'!$Q:$Q,$B2072,'Desenvolvimento diário'!$P:$P,$F2072,'Desenvolvimento diário'!$R:$R,"Não")</f>
        <v>0</v>
      </c>
      <c r="R2072" s="4">
        <f t="shared" si="644"/>
        <v>0</v>
      </c>
      <c r="S2072" s="4">
        <f t="shared" si="647"/>
        <v>0</v>
      </c>
      <c r="T2072" s="12">
        <f t="shared" si="635"/>
        <v>0</v>
      </c>
      <c r="Y2072" s="2"/>
      <c r="Z2072" s="2"/>
      <c r="AA2072" s="2"/>
      <c r="AB2072" s="2"/>
      <c r="AC2072" s="2"/>
    </row>
    <row r="2073" spans="1:29" ht="10.5" hidden="1">
      <c r="A2073" s="2">
        <f t="shared" si="645"/>
        <v>60</v>
      </c>
      <c r="B2073" s="2" t="str">
        <f>VLOOKUP($A2073,Controle!$B$4:$F$68,2,FALSE)</f>
        <v>Três Corações 3</v>
      </c>
      <c r="C2073" s="2" t="str">
        <f>VLOOKUP($A2073,Controle!$B$4:$F$68,3,FALSE)</f>
        <v>MORI MINAS IV</v>
      </c>
      <c r="D2073" s="2" t="str">
        <f>VLOOKUP($A2073,Controle!$B$4:$F$68,4,FALSE)</f>
        <v>NewCo IV</v>
      </c>
      <c r="E2073" s="2">
        <f>VLOOKUP($A2073,Controle!$B$4:$F$68,5,FALSE)</f>
        <v>3</v>
      </c>
      <c r="F2073" s="3" t="str">
        <f t="shared" si="642"/>
        <v>Equipamentos Curva A - Outros (Transformadores)</v>
      </c>
      <c r="G2073" s="2" t="str">
        <f>VLOOKUP($A2073,Controle!$B$4:$G$68,6,FALSE)</f>
        <v>Solatio</v>
      </c>
      <c r="H2073" s="6">
        <v>0</v>
      </c>
      <c r="I2073" s="6">
        <v>0</v>
      </c>
      <c r="J2073" s="6">
        <v>0</v>
      </c>
      <c r="K2073" s="6">
        <v>0</v>
      </c>
      <c r="L2073" s="6">
        <v>0</v>
      </c>
      <c r="M2073" s="6">
        <v>0</v>
      </c>
      <c r="N2073" s="6">
        <v>0</v>
      </c>
      <c r="O2073" s="4">
        <f t="shared" si="646"/>
        <v>0</v>
      </c>
      <c r="P2073" s="5">
        <f>SUMIFS('Desenvolvimento diário'!$H:$H,'Desenvolvimento diário'!$Q:$Q,$B2073,'Desenvolvimento diário'!$P:$P,$F2073,'Desenvolvimento diário'!$R:$R,"Sim")</f>
        <v>0</v>
      </c>
      <c r="Q2073" s="5">
        <f>SUMIFS('Desenvolvimento diário'!$H:$H,'Desenvolvimento diário'!$Q:$Q,$B2073,'Desenvolvimento diário'!$P:$P,$F2073,'Desenvolvimento diário'!$R:$R,"Não")</f>
        <v>0</v>
      </c>
      <c r="R2073" s="4">
        <f t="shared" si="644"/>
        <v>0</v>
      </c>
      <c r="S2073" s="4">
        <f t="shared" si="647"/>
        <v>0</v>
      </c>
      <c r="T2073" s="12">
        <f t="shared" si="635"/>
        <v>0</v>
      </c>
      <c r="Y2073" s="2"/>
      <c r="Z2073" s="2"/>
      <c r="AA2073" s="2"/>
      <c r="AB2073" s="2"/>
      <c r="AC2073" s="2"/>
    </row>
    <row r="2074" spans="1:29" ht="10.5" hidden="1">
      <c r="A2074" s="2">
        <f t="shared" si="645"/>
        <v>60</v>
      </c>
      <c r="B2074" s="2" t="str">
        <f>VLOOKUP($A2074,Controle!$B$4:$F$68,2,FALSE)</f>
        <v>Três Corações 3</v>
      </c>
      <c r="C2074" s="2" t="str">
        <f>VLOOKUP($A2074,Controle!$B$4:$F$68,3,FALSE)</f>
        <v>MORI MINAS IV</v>
      </c>
      <c r="D2074" s="2" t="str">
        <f>VLOOKUP($A2074,Controle!$B$4:$F$68,4,FALSE)</f>
        <v>NewCo IV</v>
      </c>
      <c r="E2074" s="2">
        <f>VLOOKUP($A2074,Controle!$B$4:$F$68,5,FALSE)</f>
        <v>3</v>
      </c>
      <c r="F2074" s="3" t="str">
        <f t="shared" si="642"/>
        <v>Equipamentos Curva A - Outros (Cabine + Skid)</v>
      </c>
      <c r="G2074" s="2" t="str">
        <f>VLOOKUP($A2074,Controle!$B$4:$G$68,6,FALSE)</f>
        <v>Solatio</v>
      </c>
      <c r="H2074" s="6">
        <v>0</v>
      </c>
      <c r="I2074" s="6">
        <v>0</v>
      </c>
      <c r="J2074" s="6">
        <v>0</v>
      </c>
      <c r="K2074" s="6">
        <v>0</v>
      </c>
      <c r="L2074" s="6">
        <v>0</v>
      </c>
      <c r="M2074" s="6">
        <v>0</v>
      </c>
      <c r="N2074" s="6">
        <v>0</v>
      </c>
      <c r="O2074" s="4">
        <f t="shared" si="646"/>
        <v>0</v>
      </c>
      <c r="P2074" s="5">
        <f>SUMIFS('Desenvolvimento diário'!$H:$H,'Desenvolvimento diário'!$Q:$Q,$B2074,'Desenvolvimento diário'!$P:$P,$F2074,'Desenvolvimento diário'!$R:$R,"Sim")</f>
        <v>0</v>
      </c>
      <c r="Q2074" s="5">
        <f>SUMIFS('Desenvolvimento diário'!$H:$H,'Desenvolvimento diário'!$Q:$Q,$B2074,'Desenvolvimento diário'!$P:$P,$F2074,'Desenvolvimento diário'!$R:$R,"Não")</f>
        <v>0</v>
      </c>
      <c r="R2074" s="4">
        <f t="shared" si="644"/>
        <v>0</v>
      </c>
      <c r="S2074" s="4">
        <f t="shared" si="647"/>
        <v>0</v>
      </c>
      <c r="T2074" s="12">
        <f t="shared" si="635"/>
        <v>0</v>
      </c>
      <c r="Y2074" s="2"/>
      <c r="Z2074" s="2"/>
      <c r="AA2074" s="2"/>
      <c r="AB2074" s="2"/>
      <c r="AC2074" s="2"/>
    </row>
    <row r="2075" spans="1:29" ht="10.5" hidden="1">
      <c r="A2075" s="2">
        <f t="shared" si="645"/>
        <v>60</v>
      </c>
      <c r="B2075" s="2" t="str">
        <f>VLOOKUP($A2075,Controle!$B$4:$F$68,2,FALSE)</f>
        <v>Três Corações 3</v>
      </c>
      <c r="C2075" s="2" t="str">
        <f>VLOOKUP($A2075,Controle!$B$4:$F$68,3,FALSE)</f>
        <v>MORI MINAS IV</v>
      </c>
      <c r="D2075" s="2" t="str">
        <f>VLOOKUP($A2075,Controle!$B$4:$F$68,4,FALSE)</f>
        <v>NewCo IV</v>
      </c>
      <c r="E2075" s="2">
        <f>VLOOKUP($A2075,Controle!$B$4:$F$68,5,FALSE)</f>
        <v>3</v>
      </c>
      <c r="F2075" s="3" t="str">
        <f t="shared" si="642"/>
        <v>Equipamentos Curva A - Outros (Cabine + Skid + Transformador)</v>
      </c>
      <c r="G2075" s="2" t="str">
        <f>VLOOKUP($A2075,Controle!$B$4:$G$68,6,FALSE)</f>
        <v>Solatio</v>
      </c>
      <c r="H2075" s="6" t="s">
        <v>144</v>
      </c>
      <c r="I2075" s="6">
        <v>1180651.726438514</v>
      </c>
      <c r="J2075" s="6">
        <v>0</v>
      </c>
      <c r="K2075" s="6">
        <v>0</v>
      </c>
      <c r="L2075" s="6">
        <v>0</v>
      </c>
      <c r="M2075" s="6">
        <v>0</v>
      </c>
      <c r="N2075" s="6">
        <v>0</v>
      </c>
      <c r="O2075" s="4">
        <f t="shared" si="646"/>
        <v>1180651.726438514</v>
      </c>
      <c r="P2075" s="5">
        <f>SUMIFS('Desenvolvimento diário'!$H:$H,'Desenvolvimento diário'!$Q:$Q,$B2075,'Desenvolvimento diário'!$P:$P,$F2075,'Desenvolvimento diário'!$R:$R,"Sim")</f>
        <v>0</v>
      </c>
      <c r="Q2075" s="5">
        <f>SUMIFS('Desenvolvimento diário'!$H:$H,'Desenvolvimento diário'!$Q:$Q,$B2075,'Desenvolvimento diário'!$P:$P,$F2075,'Desenvolvimento diário'!$R:$R,"Não")</f>
        <v>1180651.726438514</v>
      </c>
      <c r="R2075" s="4">
        <f t="shared" si="644"/>
        <v>1180651.726438514</v>
      </c>
      <c r="S2075" s="4">
        <f t="shared" si="647"/>
        <v>0</v>
      </c>
      <c r="T2075" s="12">
        <f t="shared" si="635"/>
        <v>1</v>
      </c>
      <c r="Y2075" s="2"/>
      <c r="Z2075" s="2"/>
      <c r="AA2075" s="2"/>
      <c r="AB2075" s="2"/>
      <c r="AC2075" s="2"/>
    </row>
    <row r="2076" spans="1:29" ht="10.5" hidden="1">
      <c r="A2076" s="2">
        <f t="shared" si="645"/>
        <v>60</v>
      </c>
      <c r="B2076" s="2" t="str">
        <f>VLOOKUP($A2076,Controle!$B$4:$F$68,2,FALSE)</f>
        <v>Três Corações 3</v>
      </c>
      <c r="C2076" s="2" t="str">
        <f>VLOOKUP($A2076,Controle!$B$4:$F$68,3,FALSE)</f>
        <v>MORI MINAS IV</v>
      </c>
      <c r="D2076" s="2" t="str">
        <f>VLOOKUP($A2076,Controle!$B$4:$F$68,4,FALSE)</f>
        <v>NewCo IV</v>
      </c>
      <c r="E2076" s="2">
        <f>VLOOKUP($A2076,Controle!$B$4:$F$68,5,FALSE)</f>
        <v>3</v>
      </c>
      <c r="F2076" s="3" t="str">
        <f t="shared" si="642"/>
        <v>Desenvolvimento de projeto - Projetos - (Eng° Proprietario)</v>
      </c>
      <c r="G2076" s="2" t="str">
        <f>VLOOKUP($A2076,Controle!$B$4:$G$68,6,FALSE)</f>
        <v>Solatio</v>
      </c>
      <c r="H2076" s="6" t="s">
        <v>145</v>
      </c>
      <c r="I2076" s="6">
        <v>0</v>
      </c>
      <c r="J2076" s="6">
        <v>0</v>
      </c>
      <c r="K2076" s="6">
        <v>0</v>
      </c>
      <c r="L2076" s="6">
        <v>0</v>
      </c>
      <c r="M2076" s="6">
        <v>0</v>
      </c>
      <c r="N2076" s="6">
        <v>0</v>
      </c>
      <c r="O2076" s="4">
        <f t="shared" si="646"/>
        <v>0</v>
      </c>
      <c r="P2076" s="5">
        <f>SUMIFS('Desenvolvimento diário'!$H:$H,'Desenvolvimento diário'!$Q:$Q,$B2076,'Desenvolvimento diário'!$P:$P,$F2076,'Desenvolvimento diário'!$R:$R,"Sim")</f>
        <v>0</v>
      </c>
      <c r="Q2076" s="5">
        <f>SUMIFS('Desenvolvimento diário'!$H:$H,'Desenvolvimento diário'!$Q:$Q,$B2076,'Desenvolvimento diário'!$P:$P,$F2076,'Desenvolvimento diário'!$R:$R,"Não")</f>
        <v>0</v>
      </c>
      <c r="R2076" s="4">
        <f t="shared" si="644"/>
        <v>0</v>
      </c>
      <c r="S2076" s="4">
        <f t="shared" si="647"/>
        <v>0</v>
      </c>
      <c r="T2076" s="12">
        <f t="shared" si="635"/>
        <v>0</v>
      </c>
      <c r="Y2076" s="2"/>
      <c r="Z2076" s="2"/>
      <c r="AA2076" s="2"/>
      <c r="AB2076" s="2"/>
      <c r="AC2076" s="2"/>
    </row>
    <row r="2077" spans="1:29" ht="10.5" hidden="1">
      <c r="A2077" s="2">
        <f t="shared" si="645"/>
        <v>60</v>
      </c>
      <c r="B2077" s="2" t="str">
        <f>VLOOKUP($A2077,Controle!$B$4:$F$68,2,FALSE)</f>
        <v>Três Corações 3</v>
      </c>
      <c r="C2077" s="2" t="str">
        <f>VLOOKUP($A2077,Controle!$B$4:$F$68,3,FALSE)</f>
        <v>MORI MINAS IV</v>
      </c>
      <c r="D2077" s="2" t="str">
        <f>VLOOKUP($A2077,Controle!$B$4:$F$68,4,FALSE)</f>
        <v>NewCo IV</v>
      </c>
      <c r="E2077" s="2">
        <f>VLOOKUP($A2077,Controle!$B$4:$F$68,5,FALSE)</f>
        <v>3</v>
      </c>
      <c r="F2077" s="3" t="str">
        <f t="shared" si="642"/>
        <v>Desenvolvimento de projeto - Projetos - Executivos</v>
      </c>
      <c r="G2077" s="2" t="str">
        <f>VLOOKUP($A2077,Controle!$B$4:$G$68,6,FALSE)</f>
        <v>Solatio</v>
      </c>
      <c r="H2077" s="6">
        <v>0</v>
      </c>
      <c r="I2077" s="6">
        <v>0</v>
      </c>
      <c r="J2077" s="6">
        <v>0</v>
      </c>
      <c r="K2077" s="6">
        <v>0</v>
      </c>
      <c r="L2077" s="6">
        <v>0</v>
      </c>
      <c r="M2077" s="6">
        <v>0</v>
      </c>
      <c r="N2077" s="6">
        <v>0</v>
      </c>
      <c r="O2077" s="4">
        <f t="shared" si="646"/>
        <v>0</v>
      </c>
      <c r="P2077" s="5">
        <f>SUMIFS('Desenvolvimento diário'!$H:$H,'Desenvolvimento diário'!$Q:$Q,$B2077,'Desenvolvimento diário'!$P:$P,$F2077,'Desenvolvimento diário'!$R:$R,"Sim")</f>
        <v>0</v>
      </c>
      <c r="Q2077" s="5">
        <f>SUMIFS('Desenvolvimento diário'!$H:$H,'Desenvolvimento diário'!$Q:$Q,$B2077,'Desenvolvimento diário'!$P:$P,$F2077,'Desenvolvimento diário'!$R:$R,"Não")</f>
        <v>0</v>
      </c>
      <c r="R2077" s="4">
        <f t="shared" si="644"/>
        <v>0</v>
      </c>
      <c r="S2077" s="4">
        <f t="shared" si="647"/>
        <v>0</v>
      </c>
      <c r="T2077" s="12">
        <f t="shared" si="635"/>
        <v>0</v>
      </c>
      <c r="Y2077" s="2"/>
      <c r="Z2077" s="2"/>
      <c r="AA2077" s="2"/>
      <c r="AB2077" s="2"/>
      <c r="AC2077" s="2"/>
    </row>
    <row r="2078" spans="1:29" ht="10.5" hidden="1">
      <c r="A2078" s="2">
        <f t="shared" si="645"/>
        <v>60</v>
      </c>
      <c r="B2078" s="2" t="str">
        <f>VLOOKUP($A2078,Controle!$B$4:$F$68,2,FALSE)</f>
        <v>Três Corações 3</v>
      </c>
      <c r="C2078" s="2" t="str">
        <f>VLOOKUP($A2078,Controle!$B$4:$F$68,3,FALSE)</f>
        <v>MORI MINAS IV</v>
      </c>
      <c r="D2078" s="2" t="str">
        <f>VLOOKUP($A2078,Controle!$B$4:$F$68,4,FALSE)</f>
        <v>NewCo IV</v>
      </c>
      <c r="E2078" s="2">
        <f>VLOOKUP($A2078,Controle!$B$4:$F$68,5,FALSE)</f>
        <v>3</v>
      </c>
      <c r="F2078" s="3" t="str">
        <f t="shared" si="642"/>
        <v>Desenvolvimento de projeto - Projetos Básica</v>
      </c>
      <c r="G2078" s="2" t="str">
        <f>VLOOKUP($A2078,Controle!$B$4:$G$68,6,FALSE)</f>
        <v>Solatio</v>
      </c>
      <c r="H2078" s="6">
        <v>0</v>
      </c>
      <c r="I2078" s="6">
        <v>0</v>
      </c>
      <c r="J2078" s="6">
        <v>0</v>
      </c>
      <c r="K2078" s="6">
        <v>0</v>
      </c>
      <c r="L2078" s="6">
        <v>0</v>
      </c>
      <c r="M2078" s="6">
        <v>0</v>
      </c>
      <c r="N2078" s="6">
        <v>0</v>
      </c>
      <c r="O2078" s="4">
        <f t="shared" si="646"/>
        <v>0</v>
      </c>
      <c r="P2078" s="5">
        <f>SUMIFS('Desenvolvimento diário'!$H:$H,'Desenvolvimento diário'!$Q:$Q,$B2078,'Desenvolvimento diário'!$P:$P,$F2078,'Desenvolvimento diário'!$R:$R,"Sim")</f>
        <v>0</v>
      </c>
      <c r="Q2078" s="5">
        <f>SUMIFS('Desenvolvimento diário'!$H:$H,'Desenvolvimento diário'!$Q:$Q,$B2078,'Desenvolvimento diário'!$P:$P,$F2078,'Desenvolvimento diário'!$R:$R,"Não")</f>
        <v>0</v>
      </c>
      <c r="R2078" s="4">
        <f t="shared" si="644"/>
        <v>0</v>
      </c>
      <c r="S2078" s="4">
        <f t="shared" si="647"/>
        <v>0</v>
      </c>
      <c r="T2078" s="12">
        <f t="shared" si="635"/>
        <v>0</v>
      </c>
      <c r="Y2078" s="2"/>
      <c r="Z2078" s="2"/>
      <c r="AA2078" s="2"/>
      <c r="AB2078" s="2"/>
      <c r="AC2078" s="2"/>
    </row>
    <row r="2079" spans="1:29" ht="10.5" hidden="1">
      <c r="A2079" s="2">
        <f t="shared" si="645"/>
        <v>60</v>
      </c>
      <c r="B2079" s="2" t="str">
        <f>VLOOKUP($A2079,Controle!$B$4:$F$68,2,FALSE)</f>
        <v>Três Corações 3</v>
      </c>
      <c r="C2079" s="2" t="str">
        <f>VLOOKUP($A2079,Controle!$B$4:$F$68,3,FALSE)</f>
        <v>MORI MINAS IV</v>
      </c>
      <c r="D2079" s="2" t="str">
        <f>VLOOKUP($A2079,Controle!$B$4:$F$68,4,FALSE)</f>
        <v>NewCo IV</v>
      </c>
      <c r="E2079" s="2">
        <f>VLOOKUP($A2079,Controle!$B$4:$F$68,5,FALSE)</f>
        <v>3</v>
      </c>
      <c r="F2079" s="3" t="str">
        <f t="shared" si="642"/>
        <v>Desenvolvimento de projeto - Projetos Detalhada</v>
      </c>
      <c r="G2079" s="2" t="str">
        <f>VLOOKUP($A2079,Controle!$B$4:$G$68,6,FALSE)</f>
        <v>Solatio</v>
      </c>
      <c r="H2079" s="6" t="s">
        <v>147</v>
      </c>
      <c r="I2079" s="6">
        <v>93783</v>
      </c>
      <c r="J2079" s="6">
        <v>41102.120000000003</v>
      </c>
      <c r="K2079" s="6">
        <v>0</v>
      </c>
      <c r="L2079" s="6">
        <v>0</v>
      </c>
      <c r="M2079" s="6">
        <v>0</v>
      </c>
      <c r="N2079" s="6">
        <v>0</v>
      </c>
      <c r="O2079" s="4">
        <f t="shared" si="646"/>
        <v>134885.12</v>
      </c>
      <c r="P2079" s="5">
        <f>SUMIFS('Desenvolvimento diário'!$H:$H,'Desenvolvimento diário'!$Q:$Q,$B2079,'Desenvolvimento diário'!$P:$P,$F2079,'Desenvolvimento diário'!$R:$R,"Sim")</f>
        <v>0</v>
      </c>
      <c r="Q2079" s="5">
        <f>SUMIFS('Desenvolvimento diário'!$H:$H,'Desenvolvimento diário'!$Q:$Q,$B2079,'Desenvolvimento diário'!$P:$P,$F2079,'Desenvolvimento diário'!$R:$R,"Não")</f>
        <v>134885.12</v>
      </c>
      <c r="R2079" s="4">
        <f t="shared" si="644"/>
        <v>134885.12</v>
      </c>
      <c r="S2079" s="4">
        <f t="shared" si="647"/>
        <v>0</v>
      </c>
      <c r="T2079" s="12">
        <f t="shared" si="635"/>
        <v>1</v>
      </c>
      <c r="Y2079" s="2"/>
      <c r="Z2079" s="2"/>
      <c r="AA2079" s="2"/>
      <c r="AB2079" s="2"/>
      <c r="AC2079" s="2"/>
    </row>
    <row r="2080" spans="1:29" ht="10.5" hidden="1">
      <c r="A2080" s="2">
        <f t="shared" si="645"/>
        <v>60</v>
      </c>
      <c r="B2080" s="2" t="str">
        <f>VLOOKUP($A2080,Controle!$B$4:$F$68,2,FALSE)</f>
        <v>Três Corações 3</v>
      </c>
      <c r="C2080" s="2" t="str">
        <f>VLOOKUP($A2080,Controle!$B$4:$F$68,3,FALSE)</f>
        <v>MORI MINAS IV</v>
      </c>
      <c r="D2080" s="2" t="str">
        <f>VLOOKUP($A2080,Controle!$B$4:$F$68,4,FALSE)</f>
        <v>NewCo IV</v>
      </c>
      <c r="E2080" s="2">
        <f>VLOOKUP($A2080,Controle!$B$4:$F$68,5,FALSE)</f>
        <v>3</v>
      </c>
      <c r="F2080" s="3" t="str">
        <f t="shared" si="642"/>
        <v>Desenvolvimento de projeto - Ambiental / Outros</v>
      </c>
      <c r="G2080" s="2" t="str">
        <f>VLOOKUP($A2080,Controle!$B$4:$G$68,6,FALSE)</f>
        <v>Solatio</v>
      </c>
      <c r="H2080" s="6" t="s">
        <v>148</v>
      </c>
      <c r="I2080" s="6">
        <f>R2080</f>
        <v>80944.14</v>
      </c>
      <c r="J2080" s="6">
        <v>0</v>
      </c>
      <c r="K2080" s="6">
        <v>0</v>
      </c>
      <c r="L2080" s="6">
        <v>0</v>
      </c>
      <c r="M2080" s="6">
        <v>0</v>
      </c>
      <c r="N2080" s="6">
        <v>0</v>
      </c>
      <c r="O2080" s="4">
        <f t="shared" si="646"/>
        <v>80944.14</v>
      </c>
      <c r="P2080" s="5">
        <f>SUMIFS('Desenvolvimento diário'!$H:$H,'Desenvolvimento diário'!$Q:$Q,$B2080,'Desenvolvimento diário'!$P:$P,$F2080,'Desenvolvimento diário'!$R:$R,"Sim")</f>
        <v>0</v>
      </c>
      <c r="Q2080" s="5">
        <f>SUMIFS('Desenvolvimento diário'!$H:$H,'Desenvolvimento diário'!$Q:$Q,$B2080,'Desenvolvimento diário'!$P:$P,$F2080,'Desenvolvimento diário'!$R:$R,"Não")</f>
        <v>80944.14</v>
      </c>
      <c r="R2080" s="4">
        <f t="shared" si="644"/>
        <v>80944.14</v>
      </c>
      <c r="S2080" s="4">
        <f t="shared" si="647"/>
        <v>0</v>
      </c>
      <c r="T2080" s="12">
        <f t="shared" si="635"/>
        <v>1</v>
      </c>
      <c r="Y2080" s="2"/>
      <c r="Z2080" s="2"/>
      <c r="AA2080" s="2"/>
      <c r="AB2080" s="2"/>
      <c r="AC2080" s="2"/>
    </row>
    <row r="2081" spans="1:29" hidden="1">
      <c r="A2081" s="2">
        <f t="shared" si="645"/>
        <v>60</v>
      </c>
      <c r="B2081" s="2" t="str">
        <f>VLOOKUP($A2081,Controle!$B$4:$F$68,2,FALSE)</f>
        <v>Três Corações 3</v>
      </c>
      <c r="C2081" s="2" t="str">
        <f>VLOOKUP($A2081,Controle!$B$4:$F$68,3,FALSE)</f>
        <v>MORI MINAS IV</v>
      </c>
      <c r="D2081" s="2" t="str">
        <f>VLOOKUP($A2081,Controle!$B$4:$F$68,4,FALSE)</f>
        <v>NewCo IV</v>
      </c>
      <c r="E2081" s="2">
        <f>VLOOKUP($A2081,Controle!$B$4:$F$68,5,FALSE)</f>
        <v>3</v>
      </c>
      <c r="F2081" s="3" t="str">
        <f t="shared" si="642"/>
        <v>Desenvolvimento de projeto - Coordenograma</v>
      </c>
      <c r="G2081" s="2" t="str">
        <f>VLOOKUP($A2081,Controle!$B$4:$G$68,6,FALSE)</f>
        <v>Solatio</v>
      </c>
      <c r="H2081" s="31" t="s">
        <v>149</v>
      </c>
      <c r="I2081" s="31">
        <v>6206.9</v>
      </c>
      <c r="J2081" s="31">
        <v>0</v>
      </c>
      <c r="K2081" s="31">
        <v>0</v>
      </c>
      <c r="L2081" s="6">
        <v>0</v>
      </c>
      <c r="M2081" s="6">
        <v>0</v>
      </c>
      <c r="N2081" s="6">
        <v>0</v>
      </c>
      <c r="O2081" s="4">
        <f t="shared" si="646"/>
        <v>6206.9</v>
      </c>
      <c r="P2081" s="5">
        <f>SUMIFS('Desenvolvimento diário'!$H:$H,'Desenvolvimento diário'!$Q:$Q,$B2081,'Desenvolvimento diário'!$P:$P,$F2081,'Desenvolvimento diário'!$R:$R,"Sim")</f>
        <v>0</v>
      </c>
      <c r="Q2081" s="5">
        <f>SUMIFS('Desenvolvimento diário'!$H:$H,'Desenvolvimento diário'!$Q:$Q,$B2081,'Desenvolvimento diário'!$P:$P,$F2081,'Desenvolvimento diário'!$R:$R,"Não")</f>
        <v>6206.9</v>
      </c>
      <c r="R2081" s="4">
        <f t="shared" si="644"/>
        <v>6206.9</v>
      </c>
      <c r="S2081" s="4">
        <f t="shared" si="647"/>
        <v>0</v>
      </c>
      <c r="T2081" s="12">
        <f t="shared" si="635"/>
        <v>1</v>
      </c>
      <c r="Y2081" s="2"/>
      <c r="Z2081" s="2"/>
      <c r="AA2081" s="2"/>
      <c r="AB2081" s="2"/>
      <c r="AC2081" s="2"/>
    </row>
    <row r="2082" spans="1:29" ht="10.5" hidden="1">
      <c r="A2082" s="2">
        <f t="shared" si="645"/>
        <v>60</v>
      </c>
      <c r="B2082" s="2" t="str">
        <f>VLOOKUP($A2082,Controle!$B$4:$F$68,2,FALSE)</f>
        <v>Três Corações 3</v>
      </c>
      <c r="C2082" s="2" t="str">
        <f>VLOOKUP($A2082,Controle!$B$4:$F$68,3,FALSE)</f>
        <v>MORI MINAS IV</v>
      </c>
      <c r="D2082" s="2" t="str">
        <f>VLOOKUP($A2082,Controle!$B$4:$F$68,4,FALSE)</f>
        <v>NewCo IV</v>
      </c>
      <c r="E2082" s="2">
        <f>VLOOKUP($A2082,Controle!$B$4:$F$68,5,FALSE)</f>
        <v>3</v>
      </c>
      <c r="F2082" s="3" t="str">
        <f t="shared" si="642"/>
        <v>Sistemas de Monitoramento - Supervisório</v>
      </c>
      <c r="G2082" s="2" t="str">
        <f>VLOOKUP($A2082,Controle!$B$4:$G$68,6,FALSE)</f>
        <v>Solatio</v>
      </c>
      <c r="H2082" s="6" t="s">
        <v>150</v>
      </c>
      <c r="I2082" s="6">
        <f>136155+(0.01)</f>
        <v>136155.01</v>
      </c>
      <c r="J2082" s="6"/>
      <c r="K2082" s="6">
        <v>0</v>
      </c>
      <c r="L2082" s="6">
        <v>0</v>
      </c>
      <c r="M2082" s="6">
        <v>0</v>
      </c>
      <c r="N2082" s="6">
        <v>0</v>
      </c>
      <c r="O2082" s="4">
        <f t="shared" si="646"/>
        <v>136155.01</v>
      </c>
      <c r="P2082" s="5">
        <f>SUMIFS('Desenvolvimento diário'!$H:$H,'Desenvolvimento diário'!$Q:$Q,$B2082,'Desenvolvimento diário'!$P:$P,$F2082,'Desenvolvimento diário'!$R:$R,"Sim")</f>
        <v>5821.02</v>
      </c>
      <c r="Q2082" s="5">
        <f>SUMIFS('Desenvolvimento diário'!$H:$H,'Desenvolvimento diário'!$Q:$Q,$B2082,'Desenvolvimento diário'!$P:$P,$F2082,'Desenvolvimento diário'!$R:$R,"Não")</f>
        <v>130333.99</v>
      </c>
      <c r="R2082" s="4">
        <f t="shared" si="644"/>
        <v>136155.01</v>
      </c>
      <c r="S2082" s="43">
        <f t="shared" si="647"/>
        <v>0</v>
      </c>
      <c r="T2082" s="12">
        <f t="shared" si="635"/>
        <v>1</v>
      </c>
      <c r="Y2082" s="2"/>
      <c r="Z2082" s="2"/>
      <c r="AA2082" s="2"/>
      <c r="AB2082" s="2"/>
      <c r="AC2082" s="2"/>
    </row>
    <row r="2083" spans="1:29" ht="10.5" hidden="1">
      <c r="A2083" s="2">
        <f t="shared" si="645"/>
        <v>60</v>
      </c>
      <c r="B2083" s="2" t="str">
        <f>VLOOKUP($A2083,Controle!$B$4:$F$68,2,FALSE)</f>
        <v>Três Corações 3</v>
      </c>
      <c r="C2083" s="2" t="str">
        <f>VLOOKUP($A2083,Controle!$B$4:$F$68,3,FALSE)</f>
        <v>MORI MINAS IV</v>
      </c>
      <c r="D2083" s="2" t="str">
        <f>VLOOKUP($A2083,Controle!$B$4:$F$68,4,FALSE)</f>
        <v>NewCo IV</v>
      </c>
      <c r="E2083" s="2">
        <f>VLOOKUP($A2083,Controle!$B$4:$F$68,5,FALSE)</f>
        <v>3</v>
      </c>
      <c r="F2083" s="3" t="str">
        <f t="shared" si="642"/>
        <v>Sistemas de Monitoramento - Estações Solarimétricas</v>
      </c>
      <c r="G2083" s="2" t="str">
        <f>VLOOKUP($A2083,Controle!$B$4:$G$68,6,FALSE)</f>
        <v>Solatio</v>
      </c>
      <c r="H2083" s="6" t="s">
        <v>151</v>
      </c>
      <c r="I2083" s="6">
        <v>48276.516000000003</v>
      </c>
      <c r="J2083" s="6">
        <v>0</v>
      </c>
      <c r="K2083" s="6">
        <v>0</v>
      </c>
      <c r="L2083" s="6">
        <v>0</v>
      </c>
      <c r="M2083" s="6">
        <v>0</v>
      </c>
      <c r="N2083" s="6">
        <v>0</v>
      </c>
      <c r="O2083" s="4">
        <f t="shared" si="646"/>
        <v>48276.516000000003</v>
      </c>
      <c r="P2083" s="5">
        <f>SUMIFS('Desenvolvimento diário'!$H:$H,'Desenvolvimento diário'!$Q:$Q,$B2083,'Desenvolvimento diário'!$P:$P,$F2083,'Desenvolvimento diário'!$R:$R,"Sim")</f>
        <v>0</v>
      </c>
      <c r="Q2083" s="5">
        <f>SUMIFS('Desenvolvimento diário'!$H:$H,'Desenvolvimento diário'!$Q:$Q,$B2083,'Desenvolvimento diário'!$P:$P,$F2083,'Desenvolvimento diário'!$R:$R,"Não")</f>
        <v>48276.516000000003</v>
      </c>
      <c r="R2083" s="4">
        <f t="shared" si="644"/>
        <v>48276.516000000003</v>
      </c>
      <c r="S2083" s="4">
        <f t="shared" si="647"/>
        <v>0</v>
      </c>
      <c r="T2083" s="12">
        <f t="shared" si="635"/>
        <v>1</v>
      </c>
      <c r="Y2083" s="2"/>
      <c r="Z2083" s="2"/>
      <c r="AA2083" s="2"/>
      <c r="AB2083" s="2"/>
      <c r="AC2083" s="2"/>
    </row>
    <row r="2084" spans="1:29" hidden="1">
      <c r="A2084" s="2">
        <f t="shared" si="645"/>
        <v>60</v>
      </c>
      <c r="B2084" s="2" t="str">
        <f>VLOOKUP($A2084,Controle!$B$4:$F$68,2,FALSE)</f>
        <v>Três Corações 3</v>
      </c>
      <c r="C2084" s="2" t="str">
        <f>VLOOKUP($A2084,Controle!$B$4:$F$68,3,FALSE)</f>
        <v>MORI MINAS IV</v>
      </c>
      <c r="D2084" s="2" t="str">
        <f>VLOOKUP($A2084,Controle!$B$4:$F$68,4,FALSE)</f>
        <v>NewCo IV</v>
      </c>
      <c r="E2084" s="2">
        <f>VLOOKUP($A2084,Controle!$B$4:$F$68,5,FALSE)</f>
        <v>3</v>
      </c>
      <c r="F2084" s="3" t="str">
        <f t="shared" si="642"/>
        <v>Sistemas de Monitoramento - CFTV</v>
      </c>
      <c r="G2084" s="2" t="str">
        <f>VLOOKUP($A2084,Controle!$B$4:$G$68,6,FALSE)</f>
        <v>Solatio</v>
      </c>
      <c r="H2084" s="31" t="s">
        <v>152</v>
      </c>
      <c r="I2084" s="6">
        <v>256550.8</v>
      </c>
      <c r="J2084" s="6">
        <v>0</v>
      </c>
      <c r="K2084" s="28">
        <v>31040.880000000001</v>
      </c>
      <c r="L2084" s="6">
        <v>0</v>
      </c>
      <c r="M2084" s="6">
        <v>0</v>
      </c>
      <c r="N2084" s="6">
        <v>0</v>
      </c>
      <c r="O2084" s="4">
        <f t="shared" si="646"/>
        <v>287591.67999999999</v>
      </c>
      <c r="P2084" s="5">
        <f>SUMIFS('Desenvolvimento diário'!$H:$H,'Desenvolvimento diário'!$Q:$Q,$B2084,'Desenvolvimento diário'!$P:$P,$F2084,'Desenvolvimento diário'!$R:$R,"Sim")</f>
        <v>0</v>
      </c>
      <c r="Q2084" s="5">
        <f>SUMIFS('Desenvolvimento diário'!$H:$H,'Desenvolvimento diário'!$Q:$Q,$B2084,'Desenvolvimento diário'!$P:$P,$F2084,'Desenvolvimento diário'!$R:$R,"Não")</f>
        <v>287591.67999999999</v>
      </c>
      <c r="R2084" s="4">
        <f t="shared" si="644"/>
        <v>287591.67999999999</v>
      </c>
      <c r="S2084" s="4">
        <f t="shared" si="647"/>
        <v>0</v>
      </c>
      <c r="T2084" s="12">
        <f t="shared" si="635"/>
        <v>1</v>
      </c>
      <c r="Y2084" s="2"/>
      <c r="Z2084" s="2"/>
      <c r="AA2084" s="2"/>
      <c r="AB2084" s="2"/>
      <c r="AC2084" s="2"/>
    </row>
    <row r="2085" spans="1:29" ht="10.5">
      <c r="A2085" s="2">
        <f t="shared" si="645"/>
        <v>60</v>
      </c>
      <c r="B2085" s="2" t="str">
        <f>VLOOKUP($A2085,Controle!$B$4:$F$68,2,FALSE)</f>
        <v>Três Corações 3</v>
      </c>
      <c r="C2085" s="2" t="str">
        <f>VLOOKUP($A2085,Controle!$B$4:$F$68,3,FALSE)</f>
        <v>MORI MINAS IV</v>
      </c>
      <c r="D2085" s="2" t="str">
        <f>VLOOKUP($A2085,Controle!$B$4:$F$68,4,FALSE)</f>
        <v>NewCo IV</v>
      </c>
      <c r="E2085" s="2">
        <f>VLOOKUP($A2085,Controle!$B$4:$F$68,5,FALSE)</f>
        <v>3</v>
      </c>
      <c r="F2085" s="3" t="str">
        <f t="shared" si="642"/>
        <v>Serviços Auxiliares - Drenagem</v>
      </c>
      <c r="G2085" s="2" t="str">
        <f>VLOOKUP($A2085,Controle!$B$4:$G$68,6,FALSE)</f>
        <v>Solatio</v>
      </c>
      <c r="H2085" s="6" t="s">
        <v>237</v>
      </c>
      <c r="I2085" s="6">
        <v>746714.05</v>
      </c>
      <c r="J2085" s="6">
        <v>249761.51</v>
      </c>
      <c r="K2085" s="28">
        <v>1860191.44</v>
      </c>
      <c r="L2085" s="6">
        <v>0</v>
      </c>
      <c r="M2085" s="6">
        <v>0</v>
      </c>
      <c r="N2085" s="6">
        <v>0</v>
      </c>
      <c r="O2085" s="4">
        <f t="shared" si="646"/>
        <v>2856667</v>
      </c>
      <c r="P2085" s="5">
        <f>SUMIFS('Desenvolvimento diário'!$H:$H,'Desenvolvimento diário'!$Q:$Q,$B2085,'Desenvolvimento diário'!$P:$P,$F2085,'Desenvolvimento diário'!$R:$R,"Sim")</f>
        <v>0</v>
      </c>
      <c r="Q2085" s="5">
        <f>SUMIFS('Desenvolvimento diário'!$H:$H,'Desenvolvimento diário'!$Q:$Q,$B2085,'Desenvolvimento diário'!$P:$P,$F2085,'Desenvolvimento diário'!$R:$R,"Não")</f>
        <v>2653487.5599999996</v>
      </c>
      <c r="R2085" s="4">
        <f t="shared" si="644"/>
        <v>2653487.5599999996</v>
      </c>
      <c r="S2085" s="1008">
        <f t="shared" si="647"/>
        <v>203179.44000000041</v>
      </c>
      <c r="T2085" s="12">
        <f t="shared" si="635"/>
        <v>0.9288753501895739</v>
      </c>
      <c r="U2085" s="1012" t="s">
        <v>166</v>
      </c>
      <c r="V2085" s="1012" t="s">
        <v>174</v>
      </c>
      <c r="Y2085" s="2"/>
      <c r="Z2085" s="2"/>
      <c r="AA2085" s="2"/>
      <c r="AB2085" s="2"/>
      <c r="AC2085" s="2"/>
    </row>
    <row r="2086" spans="1:29" ht="10.5" hidden="1">
      <c r="A2086" s="2">
        <f t="shared" si="645"/>
        <v>60</v>
      </c>
      <c r="B2086" s="2" t="str">
        <f>VLOOKUP($A2086,Controle!$B$4:$F$68,2,FALSE)</f>
        <v>Três Corações 3</v>
      </c>
      <c r="C2086" s="2" t="str">
        <f>VLOOKUP($A2086,Controle!$B$4:$F$68,3,FALSE)</f>
        <v>MORI MINAS IV</v>
      </c>
      <c r="D2086" s="2" t="str">
        <f>VLOOKUP($A2086,Controle!$B$4:$F$68,4,FALSE)</f>
        <v>NewCo IV</v>
      </c>
      <c r="E2086" s="2">
        <f>VLOOKUP($A2086,Controle!$B$4:$F$68,5,FALSE)</f>
        <v>3</v>
      </c>
      <c r="F2086" s="3" t="str">
        <f t="shared" si="642"/>
        <v>Serviços Auxiliares - Terraplanagem</v>
      </c>
      <c r="G2086" s="2" t="str">
        <f>VLOOKUP($A2086,Controle!$B$4:$G$68,6,FALSE)</f>
        <v>Solatio</v>
      </c>
      <c r="H2086" s="6" t="s">
        <v>214</v>
      </c>
      <c r="I2086" s="6">
        <v>1363874.17</v>
      </c>
      <c r="J2086" s="6">
        <v>227336.31</v>
      </c>
      <c r="K2086" s="6">
        <v>362072.7</v>
      </c>
      <c r="L2086" s="6">
        <v>34520.639999999999</v>
      </c>
      <c r="M2086" s="6">
        <v>143748.4</v>
      </c>
      <c r="N2086" s="6">
        <v>0</v>
      </c>
      <c r="O2086" s="4">
        <f t="shared" si="646"/>
        <v>2131552.2199999997</v>
      </c>
      <c r="P2086" s="5">
        <f>SUMIFS('Desenvolvimento diário'!$H:$H,'Desenvolvimento diário'!$Q:$Q,$B2086,'Desenvolvimento diário'!$P:$P,$F2086,'Desenvolvimento diário'!$R:$R,"Sim")</f>
        <v>0</v>
      </c>
      <c r="Q2086" s="5">
        <f>SUMIFS('Desenvolvimento diário'!$H:$H,'Desenvolvimento diário'!$Q:$Q,$B2086,'Desenvolvimento diário'!$P:$P,$F2086,'Desenvolvimento diário'!$R:$R,"Não")</f>
        <v>2131552.2199999997</v>
      </c>
      <c r="R2086" s="4">
        <f t="shared" si="644"/>
        <v>2131552.2199999997</v>
      </c>
      <c r="S2086" s="4">
        <f t="shared" si="647"/>
        <v>0</v>
      </c>
      <c r="T2086" s="12">
        <f t="shared" si="635"/>
        <v>1</v>
      </c>
      <c r="Y2086" s="2"/>
      <c r="Z2086" s="2"/>
      <c r="AA2086" s="2"/>
      <c r="AB2086" s="2"/>
      <c r="AC2086" s="2"/>
    </row>
    <row r="2087" spans="1:29" ht="10.5" hidden="1">
      <c r="A2087" s="2">
        <f t="shared" si="645"/>
        <v>60</v>
      </c>
      <c r="B2087" s="2" t="str">
        <f>VLOOKUP($A2087,Controle!$B$4:$F$68,2,FALSE)</f>
        <v>Três Corações 3</v>
      </c>
      <c r="C2087" s="2" t="str">
        <f>VLOOKUP($A2087,Controle!$B$4:$F$68,3,FALSE)</f>
        <v>MORI MINAS IV</v>
      </c>
      <c r="D2087" s="2" t="str">
        <f>VLOOKUP($A2087,Controle!$B$4:$F$68,4,FALSE)</f>
        <v>NewCo IV</v>
      </c>
      <c r="E2087" s="2">
        <f>VLOOKUP($A2087,Controle!$B$4:$F$68,5,FALSE)</f>
        <v>3</v>
      </c>
      <c r="F2087" s="3" t="str">
        <f t="shared" si="642"/>
        <v>Serviços Auxiliares - Supressão Vegetal</v>
      </c>
      <c r="G2087" s="2" t="str">
        <f>VLOOKUP($A2087,Controle!$B$4:$G$68,6,FALSE)</f>
        <v>Solatio</v>
      </c>
      <c r="H2087" s="6" t="s">
        <v>205</v>
      </c>
      <c r="I2087" s="6">
        <v>18000</v>
      </c>
      <c r="J2087" s="6">
        <v>82000</v>
      </c>
      <c r="K2087" s="6">
        <v>0</v>
      </c>
      <c r="L2087" s="6">
        <v>0</v>
      </c>
      <c r="M2087" s="6">
        <v>0</v>
      </c>
      <c r="N2087" s="6">
        <v>0</v>
      </c>
      <c r="O2087" s="4">
        <f t="shared" si="646"/>
        <v>100000</v>
      </c>
      <c r="P2087" s="5">
        <f>SUMIFS('Desenvolvimento diário'!$H:$H,'Desenvolvimento diário'!$Q:$Q,$B2087,'Desenvolvimento diário'!$P:$P,$F2087,'Desenvolvimento diário'!$R:$R,"Sim")</f>
        <v>0</v>
      </c>
      <c r="Q2087" s="5">
        <f>SUMIFS('Desenvolvimento diário'!$H:$H,'Desenvolvimento diário'!$Q:$Q,$B2087,'Desenvolvimento diário'!$P:$P,$F2087,'Desenvolvimento diário'!$R:$R,"Não")</f>
        <v>100000</v>
      </c>
      <c r="R2087" s="4">
        <f t="shared" si="644"/>
        <v>100000</v>
      </c>
      <c r="S2087" s="4">
        <f t="shared" si="647"/>
        <v>0</v>
      </c>
      <c r="T2087" s="12">
        <f t="shared" si="635"/>
        <v>1</v>
      </c>
      <c r="Y2087" s="2"/>
      <c r="Z2087" s="2"/>
      <c r="AA2087" s="2"/>
      <c r="AB2087" s="2"/>
      <c r="AC2087" s="2"/>
    </row>
    <row r="2088" spans="1:29" ht="10.5" hidden="1">
      <c r="A2088" s="2">
        <f t="shared" si="645"/>
        <v>60</v>
      </c>
      <c r="B2088" s="2" t="str">
        <f>VLOOKUP($A2088,Controle!$B$4:$F$68,2,FALSE)</f>
        <v>Três Corações 3</v>
      </c>
      <c r="C2088" s="2" t="str">
        <f>VLOOKUP($A2088,Controle!$B$4:$F$68,3,FALSE)</f>
        <v>MORI MINAS IV</v>
      </c>
      <c r="D2088" s="2" t="str">
        <f>VLOOKUP($A2088,Controle!$B$4:$F$68,4,FALSE)</f>
        <v>NewCo IV</v>
      </c>
      <c r="E2088" s="2">
        <f>VLOOKUP($A2088,Controle!$B$4:$F$68,5,FALSE)</f>
        <v>3</v>
      </c>
      <c r="F2088" s="3" t="str">
        <f t="shared" si="642"/>
        <v>RDR-Rede de Distribuição Rural</v>
      </c>
      <c r="G2088" s="2" t="str">
        <f>VLOOKUP($A2088,Controle!$B$4:$G$68,6,FALSE)</f>
        <v>Solatio</v>
      </c>
      <c r="H2088" s="6">
        <v>0</v>
      </c>
      <c r="I2088" s="6">
        <v>0</v>
      </c>
      <c r="J2088" s="6">
        <v>0</v>
      </c>
      <c r="K2088" s="6">
        <v>0</v>
      </c>
      <c r="L2088" s="6">
        <v>0</v>
      </c>
      <c r="M2088" s="6">
        <v>0</v>
      </c>
      <c r="N2088" s="6">
        <v>0</v>
      </c>
      <c r="O2088" s="4">
        <f t="shared" si="646"/>
        <v>0</v>
      </c>
      <c r="P2088" s="5">
        <f>SUMIFS('Desenvolvimento diário'!$H:$H,'Desenvolvimento diário'!$Q:$Q,$B2088,'Desenvolvimento diário'!$P:$P,$F2088,'Desenvolvimento diário'!$R:$R,"Sim")</f>
        <v>0</v>
      </c>
      <c r="Q2088" s="5">
        <f>SUMIFS('Desenvolvimento diário'!$H:$H,'Desenvolvimento diário'!$Q:$Q,$B2088,'Desenvolvimento diário'!$P:$P,$F2088,'Desenvolvimento diário'!$R:$R,"Não")</f>
        <v>0</v>
      </c>
      <c r="R2088" s="4">
        <f t="shared" si="644"/>
        <v>0</v>
      </c>
      <c r="S2088" s="4">
        <f t="shared" si="647"/>
        <v>0</v>
      </c>
      <c r="T2088" s="12">
        <f t="shared" si="635"/>
        <v>0</v>
      </c>
      <c r="Y2088" s="2"/>
      <c r="Z2088" s="2"/>
      <c r="AA2088" s="2"/>
      <c r="AB2088" s="2"/>
      <c r="AC2088" s="2"/>
    </row>
    <row r="2089" spans="1:29" ht="10.5" hidden="1">
      <c r="A2089" s="2">
        <f t="shared" si="645"/>
        <v>60</v>
      </c>
      <c r="B2089" s="2" t="str">
        <f>VLOOKUP($A2089,Controle!$B$4:$F$68,2,FALSE)</f>
        <v>Três Corações 3</v>
      </c>
      <c r="C2089" s="2" t="str">
        <f>VLOOKUP($A2089,Controle!$B$4:$F$68,3,FALSE)</f>
        <v>MORI MINAS IV</v>
      </c>
      <c r="D2089" s="2" t="str">
        <f>VLOOKUP($A2089,Controle!$B$4:$F$68,4,FALSE)</f>
        <v>NewCo IV</v>
      </c>
      <c r="E2089" s="2">
        <f>VLOOKUP($A2089,Controle!$B$4:$F$68,5,FALSE)</f>
        <v>3</v>
      </c>
      <c r="F2089" s="3" t="str">
        <f t="shared" si="642"/>
        <v>Escopo COMERC</v>
      </c>
      <c r="G2089" s="2" t="str">
        <f>VLOOKUP($A2089,Controle!$B$4:$G$68,6,FALSE)</f>
        <v>Solatio</v>
      </c>
      <c r="H2089" s="6">
        <v>0</v>
      </c>
      <c r="I2089" s="6">
        <v>191453.10000000003</v>
      </c>
      <c r="J2089" s="29">
        <v>25000</v>
      </c>
      <c r="K2089" s="29"/>
      <c r="L2089" s="6">
        <v>0</v>
      </c>
      <c r="M2089" s="6">
        <v>0</v>
      </c>
      <c r="N2089" s="6">
        <v>0</v>
      </c>
      <c r="O2089" s="4">
        <f t="shared" si="646"/>
        <v>216453.10000000003</v>
      </c>
      <c r="P2089" s="5">
        <f>SUMIFS('Desenvolvimento diário'!$H:$H,'Desenvolvimento diário'!$Q:$Q,$B2089,'Desenvolvimento diário'!$P:$P,$F2089,'Desenvolvimento diário'!$R:$R,"Sim")</f>
        <v>0</v>
      </c>
      <c r="Q2089" s="5">
        <f>SUMIFS('Desenvolvimento diário'!$H:$H,'Desenvolvimento diário'!$Q:$Q,$B2089,'Desenvolvimento diário'!$P:$P,$F2089,'Desenvolvimento diário'!$R:$R,"Não")</f>
        <v>193415.18000000002</v>
      </c>
      <c r="R2089" s="4">
        <f t="shared" si="644"/>
        <v>193415.18000000002</v>
      </c>
      <c r="S2089" s="1010">
        <f t="shared" si="647"/>
        <v>23037.920000000013</v>
      </c>
      <c r="T2089" s="12">
        <f t="shared" si="635"/>
        <v>0.89356622751071701</v>
      </c>
      <c r="U2089" s="1011" t="s">
        <v>166</v>
      </c>
      <c r="V2089" s="1011" t="s">
        <v>167</v>
      </c>
      <c r="Y2089" s="2"/>
      <c r="Z2089" s="2"/>
      <c r="AA2089" s="2"/>
      <c r="AB2089" s="2"/>
      <c r="AC2089" s="2"/>
    </row>
    <row r="2090" spans="1:29" ht="10.5" hidden="1">
      <c r="A2090" s="2">
        <f t="shared" si="645"/>
        <v>60</v>
      </c>
      <c r="B2090" s="2" t="str">
        <f>VLOOKUP($A2090,Controle!$B$4:$F$68,2,FALSE)</f>
        <v>Três Corações 3</v>
      </c>
      <c r="C2090" s="2" t="str">
        <f>VLOOKUP($A2090,Controle!$B$4:$F$68,3,FALSE)</f>
        <v>MORI MINAS IV</v>
      </c>
      <c r="D2090" s="2" t="str">
        <f>VLOOKUP($A2090,Controle!$B$4:$F$68,4,FALSE)</f>
        <v>NewCo IV</v>
      </c>
      <c r="E2090" s="2">
        <f>VLOOKUP($A2090,Controle!$B$4:$F$68,5,FALSE)</f>
        <v>3</v>
      </c>
      <c r="F2090" s="3" t="str">
        <f t="shared" si="642"/>
        <v>Escopo COMERC - Segurança</v>
      </c>
      <c r="G2090" s="2" t="str">
        <f>VLOOKUP($A2090,Controle!$B$4:$G$68,6,FALSE)</f>
        <v>Solatio</v>
      </c>
      <c r="H2090" s="6">
        <v>0</v>
      </c>
      <c r="I2090" s="6">
        <f t="shared" ref="I2089:I2090" si="648">R2090</f>
        <v>315756.26</v>
      </c>
      <c r="J2090" s="6">
        <v>0</v>
      </c>
      <c r="K2090" s="6">
        <v>0</v>
      </c>
      <c r="L2090" s="6">
        <v>0</v>
      </c>
      <c r="M2090" s="6">
        <v>0</v>
      </c>
      <c r="N2090" s="6">
        <v>0</v>
      </c>
      <c r="O2090" s="4">
        <f t="shared" si="646"/>
        <v>315756.26</v>
      </c>
      <c r="P2090" s="5">
        <f>SUMIFS('Desenvolvimento diário'!$H:$H,'Desenvolvimento diário'!$Q:$Q,$B2090,'Desenvolvimento diário'!$P:$P,$F2090,'Desenvolvimento diário'!$R:$R,"Sim")</f>
        <v>0</v>
      </c>
      <c r="Q2090" s="5">
        <f>SUMIFS('Desenvolvimento diário'!$H:$H,'Desenvolvimento diário'!$Q:$Q,$B2090,'Desenvolvimento diário'!$P:$P,$F2090,'Desenvolvimento diário'!$R:$R,"Não")</f>
        <v>315756.26</v>
      </c>
      <c r="R2090" s="4">
        <f t="shared" si="644"/>
        <v>315756.26</v>
      </c>
      <c r="S2090" s="4">
        <f t="shared" si="647"/>
        <v>0</v>
      </c>
      <c r="T2090" s="12">
        <f t="shared" si="635"/>
        <v>1</v>
      </c>
      <c r="Y2090" s="2"/>
      <c r="Z2090" s="2"/>
      <c r="AA2090" s="2"/>
      <c r="AB2090" s="2"/>
      <c r="AC2090" s="2"/>
    </row>
    <row r="2091" spans="1:29" ht="10.5" hidden="1">
      <c r="A2091" s="2">
        <f t="shared" si="645"/>
        <v>60</v>
      </c>
      <c r="B2091" s="2" t="str">
        <f>VLOOKUP($A2091,Controle!$B$4:$F$68,2,FALSE)</f>
        <v>Três Corações 3</v>
      </c>
      <c r="C2091" s="2" t="str">
        <f>VLOOKUP($A2091,Controle!$B$4:$F$68,3,FALSE)</f>
        <v>MORI MINAS IV</v>
      </c>
      <c r="D2091" s="2" t="str">
        <f>VLOOKUP($A2091,Controle!$B$4:$F$68,4,FALSE)</f>
        <v>NewCo IV</v>
      </c>
      <c r="E2091" s="2">
        <f>VLOOKUP($A2091,Controle!$B$4:$F$68,5,FALSE)</f>
        <v>3</v>
      </c>
      <c r="F2091" s="3" t="str">
        <f t="shared" si="642"/>
        <v>Conexão MT - Obras Transferencia</v>
      </c>
      <c r="G2091" s="2" t="str">
        <f>VLOOKUP($A2091,Controle!$B$4:$G$68,6,FALSE)</f>
        <v>Solatio</v>
      </c>
      <c r="H2091" s="6">
        <v>0</v>
      </c>
      <c r="I2091" s="6">
        <v>0</v>
      </c>
      <c r="J2091" s="6">
        <v>0</v>
      </c>
      <c r="K2091" s="6">
        <v>0</v>
      </c>
      <c r="L2091" s="6">
        <v>0</v>
      </c>
      <c r="M2091" s="6">
        <v>0</v>
      </c>
      <c r="N2091" s="6">
        <v>0</v>
      </c>
      <c r="O2091" s="4">
        <f t="shared" si="646"/>
        <v>0</v>
      </c>
      <c r="P2091" s="5">
        <f>SUMIFS('Desenvolvimento diário'!$H:$H,'Desenvolvimento diário'!$Q:$Q,$B2091,'Desenvolvimento diário'!$P:$P,$F2091,'Desenvolvimento diário'!$R:$R,"Sim")</f>
        <v>0</v>
      </c>
      <c r="Q2091" s="5">
        <f>SUMIFS('Desenvolvimento diário'!$H:$H,'Desenvolvimento diário'!$Q:$Q,$B2091,'Desenvolvimento diário'!$P:$P,$F2091,'Desenvolvimento diário'!$R:$R,"Não")</f>
        <v>0</v>
      </c>
      <c r="R2091" s="4">
        <f t="shared" si="644"/>
        <v>0</v>
      </c>
      <c r="S2091" s="4">
        <f t="shared" si="647"/>
        <v>0</v>
      </c>
      <c r="T2091" s="12">
        <f t="shared" si="635"/>
        <v>0</v>
      </c>
      <c r="Y2091" s="2"/>
      <c r="Z2091" s="2"/>
      <c r="AA2091" s="2"/>
      <c r="AB2091" s="2"/>
      <c r="AC2091" s="2"/>
    </row>
    <row r="2092" spans="1:29" ht="10.5" hidden="1">
      <c r="A2092" s="2">
        <f t="shared" si="645"/>
        <v>60</v>
      </c>
      <c r="B2092" s="2" t="str">
        <f>VLOOKUP($A2092,Controle!$B$4:$F$68,2,FALSE)</f>
        <v>Três Corações 3</v>
      </c>
      <c r="C2092" s="2" t="str">
        <f>VLOOKUP($A2092,Controle!$B$4:$F$68,3,FALSE)</f>
        <v>MORI MINAS IV</v>
      </c>
      <c r="D2092" s="2" t="str">
        <f>VLOOKUP($A2092,Controle!$B$4:$F$68,4,FALSE)</f>
        <v>NewCo IV</v>
      </c>
      <c r="E2092" s="2">
        <f>VLOOKUP($A2092,Controle!$B$4:$F$68,5,FALSE)</f>
        <v>3</v>
      </c>
      <c r="F2092" s="3" t="str">
        <f t="shared" si="642"/>
        <v>Bases de Contaniers</v>
      </c>
      <c r="G2092" s="2" t="str">
        <f>VLOOKUP($A2092,Controle!$B$4:$G$68,6,FALSE)</f>
        <v>Solatio</v>
      </c>
      <c r="H2092" s="6">
        <v>0</v>
      </c>
      <c r="I2092" s="6">
        <v>0</v>
      </c>
      <c r="J2092" s="6">
        <v>0</v>
      </c>
      <c r="K2092" s="6">
        <v>0</v>
      </c>
      <c r="L2092" s="6">
        <v>0</v>
      </c>
      <c r="M2092" s="6">
        <v>0</v>
      </c>
      <c r="N2092" s="6">
        <v>0</v>
      </c>
      <c r="O2092" s="4">
        <f t="shared" si="646"/>
        <v>0</v>
      </c>
      <c r="P2092" s="5">
        <f>SUMIFS('Desenvolvimento diário'!$H:$H,'Desenvolvimento diário'!$Q:$Q,$B2092,'Desenvolvimento diário'!$P:$P,$F2092,'Desenvolvimento diário'!$R:$R,"Sim")</f>
        <v>0</v>
      </c>
      <c r="Q2092" s="5">
        <f>SUMIFS('Desenvolvimento diário'!$H:$H,'Desenvolvimento diário'!$Q:$Q,$B2092,'Desenvolvimento diário'!$P:$P,$F2092,'Desenvolvimento diário'!$R:$R,"Não")</f>
        <v>0</v>
      </c>
      <c r="R2092" s="4">
        <f t="shared" si="644"/>
        <v>0</v>
      </c>
      <c r="S2092" s="4">
        <f t="shared" si="647"/>
        <v>0</v>
      </c>
      <c r="T2092" s="12">
        <f t="shared" si="635"/>
        <v>0</v>
      </c>
      <c r="Y2092" s="2"/>
      <c r="Z2092" s="2"/>
      <c r="AA2092" s="2"/>
      <c r="AB2092" s="2"/>
      <c r="AC2092" s="2"/>
    </row>
    <row r="2093" spans="1:29" ht="10.5" hidden="1">
      <c r="A2093" s="2">
        <f t="shared" si="645"/>
        <v>60</v>
      </c>
      <c r="B2093" s="2" t="str">
        <f>VLOOKUP($A2093,Controle!$B$4:$F$68,2,FALSE)</f>
        <v>Três Corações 3</v>
      </c>
      <c r="C2093" s="2" t="str">
        <f>VLOOKUP($A2093,Controle!$B$4:$F$68,3,FALSE)</f>
        <v>MORI MINAS IV</v>
      </c>
      <c r="D2093" s="2" t="str">
        <f>VLOOKUP($A2093,Controle!$B$4:$F$68,4,FALSE)</f>
        <v>NewCo IV</v>
      </c>
      <c r="E2093" s="2">
        <f>VLOOKUP($A2093,Controle!$B$4:$F$68,5,FALSE)</f>
        <v>3</v>
      </c>
      <c r="F2093" s="3" t="str">
        <f t="shared" si="642"/>
        <v>Construção - Serviços de Construção - Ase Engenharia</v>
      </c>
      <c r="G2093" s="2" t="str">
        <f>VLOOKUP($A2093,Controle!$B$4:$G$68,6,FALSE)</f>
        <v>Solatio</v>
      </c>
      <c r="H2093" s="6" t="s">
        <v>238</v>
      </c>
      <c r="I2093" s="6">
        <v>1111148.3999999999</v>
      </c>
      <c r="J2093" s="6">
        <v>216864.51</v>
      </c>
      <c r="K2093" s="6">
        <v>0</v>
      </c>
      <c r="L2093" s="6">
        <v>0</v>
      </c>
      <c r="M2093" s="6">
        <v>0</v>
      </c>
      <c r="N2093" s="6">
        <v>0</v>
      </c>
      <c r="O2093" s="4">
        <f t="shared" si="646"/>
        <v>1328012.9099999999</v>
      </c>
      <c r="P2093" s="5">
        <f>SUMIFS('Desenvolvimento diário'!$H:$H,'Desenvolvimento diário'!$Q:$Q,$B2093,'Desenvolvimento diário'!$P:$P,$F2093,'Desenvolvimento diário'!$R:$R,"Sim")</f>
        <v>0</v>
      </c>
      <c r="Q2093" s="5">
        <f>SUMIFS('Desenvolvimento diário'!$H:$H,'Desenvolvimento diário'!$Q:$Q,$B2093,'Desenvolvimento diário'!$P:$P,$F2093,'Desenvolvimento diário'!$R:$R,"Não")</f>
        <v>1300385.25</v>
      </c>
      <c r="R2093" s="4">
        <f t="shared" si="644"/>
        <v>1300385.25</v>
      </c>
      <c r="S2093" s="27">
        <f t="shared" si="647"/>
        <v>27627.659999999916</v>
      </c>
      <c r="T2093" s="12">
        <f t="shared" si="635"/>
        <v>0.97919624139798467</v>
      </c>
      <c r="U2093" s="2" t="s">
        <v>166</v>
      </c>
      <c r="V2093" s="2" t="s">
        <v>239</v>
      </c>
      <c r="X2093" s="500"/>
      <c r="Y2093" s="2"/>
      <c r="Z2093" s="2"/>
      <c r="AA2093" s="2"/>
      <c r="AB2093" s="2"/>
      <c r="AC2093" s="2"/>
    </row>
    <row r="2094" spans="1:29" ht="10.5" hidden="1">
      <c r="A2094" s="2">
        <f t="shared" si="645"/>
        <v>60</v>
      </c>
      <c r="B2094" s="2" t="str">
        <f>VLOOKUP($A2094,Controle!$B$4:$F$68,2,FALSE)</f>
        <v>Três Corações 3</v>
      </c>
      <c r="C2094" s="2" t="str">
        <f>VLOOKUP($A2094,Controle!$B$4:$F$68,3,FALSE)</f>
        <v>MORI MINAS IV</v>
      </c>
      <c r="D2094" s="2" t="str">
        <f>VLOOKUP($A2094,Controle!$B$4:$F$68,4,FALSE)</f>
        <v>NewCo IV</v>
      </c>
      <c r="E2094" s="2">
        <f>VLOOKUP($A2094,Controle!$B$4:$F$68,5,FALSE)</f>
        <v>3</v>
      </c>
      <c r="F2094" s="3" t="str">
        <f t="shared" si="642"/>
        <v>Full EPC - Contrato Sobressalentes</v>
      </c>
      <c r="G2094" s="2" t="str">
        <f>VLOOKUP($A2094,Controle!$B$4:$G$68,6,FALSE)</f>
        <v>Solatio</v>
      </c>
      <c r="H2094" s="6">
        <v>0</v>
      </c>
      <c r="I2094" s="6">
        <v>0</v>
      </c>
      <c r="J2094" s="6">
        <v>0</v>
      </c>
      <c r="K2094" s="6">
        <v>0</v>
      </c>
      <c r="L2094" s="6">
        <v>0</v>
      </c>
      <c r="M2094" s="6">
        <v>0</v>
      </c>
      <c r="N2094" s="6">
        <v>0</v>
      </c>
      <c r="O2094" s="4">
        <f t="shared" si="646"/>
        <v>0</v>
      </c>
      <c r="P2094" s="5">
        <f>SUMIFS('Desenvolvimento diário'!$H:$H,'Desenvolvimento diário'!$Q:$Q,$B2094,'Desenvolvimento diário'!$P:$P,$F2094,'Desenvolvimento diário'!$R:$R,"Sim")</f>
        <v>0</v>
      </c>
      <c r="Q2094" s="5">
        <f>SUMIFS('Desenvolvimento diário'!$H:$H,'Desenvolvimento diário'!$Q:$Q,$B2094,'Desenvolvimento diário'!$P:$P,$F2094,'Desenvolvimento diário'!$R:$R,"Não")</f>
        <v>0</v>
      </c>
      <c r="R2094" s="4">
        <f t="shared" si="644"/>
        <v>0</v>
      </c>
      <c r="S2094" s="4">
        <f t="shared" si="647"/>
        <v>0</v>
      </c>
      <c r="T2094" s="12">
        <f t="shared" si="635"/>
        <v>0</v>
      </c>
      <c r="Y2094" s="2"/>
      <c r="Z2094" s="2"/>
      <c r="AA2094" s="2"/>
      <c r="AB2094" s="2"/>
      <c r="AC2094" s="2"/>
    </row>
    <row r="2095" spans="1:29" ht="10.5" hidden="1">
      <c r="A2095" s="2">
        <f t="shared" si="645"/>
        <v>60</v>
      </c>
      <c r="B2095" s="2" t="str">
        <f>VLOOKUP($A2095,Controle!$B$4:$F$68,2,FALSE)</f>
        <v>Três Corações 3</v>
      </c>
      <c r="C2095" s="2" t="str">
        <f>VLOOKUP($A2095,Controle!$B$4:$F$68,3,FALSE)</f>
        <v>MORI MINAS IV</v>
      </c>
      <c r="D2095" s="2" t="str">
        <f>VLOOKUP($A2095,Controle!$B$4:$F$68,4,FALSE)</f>
        <v>NewCo IV</v>
      </c>
      <c r="E2095" s="2">
        <f>VLOOKUP($A2095,Controle!$B$4:$F$68,5,FALSE)</f>
        <v>3</v>
      </c>
      <c r="F2095" s="3" t="str">
        <f t="shared" si="642"/>
        <v>Construção - Serviços de Construção - NOVA MORADA</v>
      </c>
      <c r="G2095" s="2" t="str">
        <f>VLOOKUP($A2095,Controle!$B$4:$G$68,6,FALSE)</f>
        <v>Solatio</v>
      </c>
      <c r="H2095" s="6" t="s">
        <v>210</v>
      </c>
      <c r="I2095" s="6">
        <v>39532.36</v>
      </c>
      <c r="J2095" s="6">
        <v>0</v>
      </c>
      <c r="K2095" s="6">
        <v>0</v>
      </c>
      <c r="L2095" s="6">
        <v>0</v>
      </c>
      <c r="M2095" s="6">
        <v>0</v>
      </c>
      <c r="N2095" s="6">
        <v>0</v>
      </c>
      <c r="O2095" s="4">
        <f t="shared" si="646"/>
        <v>39532.36</v>
      </c>
      <c r="P2095" s="5">
        <f>SUMIFS('Desenvolvimento diário'!$H:$H,'Desenvolvimento diário'!$Q:$Q,$B2095,'Desenvolvimento diário'!$P:$P,$F2095,'Desenvolvimento diário'!$R:$R,"Sim")</f>
        <v>0</v>
      </c>
      <c r="Q2095" s="5">
        <f>SUMIFS('Desenvolvimento diário'!$H:$H,'Desenvolvimento diário'!$Q:$Q,$B2095,'Desenvolvimento diário'!$P:$P,$F2095,'Desenvolvimento diário'!$R:$R,"Não")</f>
        <v>39532.36</v>
      </c>
      <c r="R2095" s="4">
        <f t="shared" si="644"/>
        <v>39532.36</v>
      </c>
      <c r="S2095" s="4">
        <f t="shared" si="647"/>
        <v>0</v>
      </c>
      <c r="T2095" s="12">
        <f t="shared" si="635"/>
        <v>1</v>
      </c>
      <c r="Y2095" s="2"/>
      <c r="Z2095" s="2"/>
      <c r="AA2095" s="2"/>
      <c r="AB2095" s="2"/>
      <c r="AC2095" s="2"/>
    </row>
    <row r="2096" spans="1:29" ht="10.5" hidden="1">
      <c r="A2096" s="2">
        <f t="shared" si="645"/>
        <v>60</v>
      </c>
      <c r="B2096" s="2" t="str">
        <f>VLOOKUP($A2096,Controle!$B$4:$F$68,2,FALSE)</f>
        <v>Três Corações 3</v>
      </c>
      <c r="C2096" s="2" t="str">
        <f>VLOOKUP($A2096,Controle!$B$4:$F$68,3,FALSE)</f>
        <v>MORI MINAS IV</v>
      </c>
      <c r="D2096" s="2" t="str">
        <f>VLOOKUP($A2096,Controle!$B$4:$F$68,4,FALSE)</f>
        <v>NewCo IV</v>
      </c>
      <c r="E2096" s="2">
        <f>VLOOKUP($A2096,Controle!$B$4:$F$68,5,FALSE)</f>
        <v>3</v>
      </c>
      <c r="F2096" s="3" t="str">
        <f t="shared" si="642"/>
        <v>Equipamentos Curva A -  Contrato Sobressalentes - SETTA</v>
      </c>
      <c r="G2096" s="2" t="str">
        <f>VLOOKUP($A2096,Controle!$B$4:$G$68,6,FALSE)</f>
        <v>Solatio</v>
      </c>
      <c r="H2096" s="6">
        <v>0</v>
      </c>
      <c r="I2096" s="6">
        <v>0</v>
      </c>
      <c r="J2096" s="6">
        <v>0</v>
      </c>
      <c r="K2096" s="6">
        <v>0</v>
      </c>
      <c r="L2096" s="6">
        <v>0</v>
      </c>
      <c r="M2096" s="6">
        <v>0</v>
      </c>
      <c r="N2096" s="6">
        <v>0</v>
      </c>
      <c r="O2096" s="4">
        <f t="shared" si="646"/>
        <v>0</v>
      </c>
      <c r="P2096" s="5">
        <f>SUMIFS('Desenvolvimento diário'!$H:$H,'Desenvolvimento diário'!$Q:$Q,$B2096,'Desenvolvimento diário'!$P:$P,$F2096,'Desenvolvimento diário'!$R:$R,"Sim")</f>
        <v>0</v>
      </c>
      <c r="Q2096" s="5">
        <f>SUMIFS('Desenvolvimento diário'!$H:$H,'Desenvolvimento diário'!$Q:$Q,$B2096,'Desenvolvimento diário'!$P:$P,$F2096,'Desenvolvimento diário'!$R:$R,"Não")</f>
        <v>0</v>
      </c>
      <c r="R2096" s="4">
        <f t="shared" si="644"/>
        <v>0</v>
      </c>
      <c r="S2096" s="4">
        <f t="shared" si="647"/>
        <v>0</v>
      </c>
      <c r="T2096" s="12">
        <f t="shared" si="635"/>
        <v>0</v>
      </c>
      <c r="Y2096" s="2"/>
      <c r="Z2096" s="2"/>
      <c r="AA2096" s="2"/>
      <c r="AB2096" s="2"/>
      <c r="AC2096" s="2"/>
    </row>
    <row r="2097" spans="1:29" ht="10.5" hidden="1">
      <c r="A2097" s="2">
        <f t="shared" si="645"/>
        <v>60</v>
      </c>
      <c r="B2097" s="2" t="str">
        <f>VLOOKUP($A2097,Controle!$B$4:$F$68,2,FALSE)</f>
        <v>Três Corações 3</v>
      </c>
      <c r="C2097" s="2" t="str">
        <f>VLOOKUP($A2097,Controle!$B$4:$F$68,3,FALSE)</f>
        <v>MORI MINAS IV</v>
      </c>
      <c r="D2097" s="2" t="str">
        <f>VLOOKUP($A2097,Controle!$B$4:$F$68,4,FALSE)</f>
        <v>NewCo IV</v>
      </c>
      <c r="E2097" s="2">
        <f>VLOOKUP($A2097,Controle!$B$4:$F$68,5,FALSE)</f>
        <v>3</v>
      </c>
      <c r="F2097" s="3" t="str">
        <f t="shared" si="642"/>
        <v>Equipamentos Curva A -  Contrato Sobressalentes - Arctech</v>
      </c>
      <c r="G2097" s="2" t="str">
        <f>VLOOKUP($A2097,Controle!$B$4:$G$68,6,FALSE)</f>
        <v>Solatio</v>
      </c>
      <c r="H2097" s="6">
        <v>0</v>
      </c>
      <c r="I2097" s="6">
        <v>0</v>
      </c>
      <c r="J2097" s="6">
        <v>0</v>
      </c>
      <c r="K2097" s="6">
        <v>0</v>
      </c>
      <c r="L2097" s="6">
        <v>0</v>
      </c>
      <c r="M2097" s="6">
        <v>0</v>
      </c>
      <c r="N2097" s="6">
        <v>0</v>
      </c>
      <c r="O2097" s="4">
        <f t="shared" si="646"/>
        <v>0</v>
      </c>
      <c r="P2097" s="5">
        <f>SUMIFS('Desenvolvimento diário'!$H:$H,'Desenvolvimento diário'!$Q:$Q,$B2097,'Desenvolvimento diário'!$P:$P,$F2097,'Desenvolvimento diário'!$R:$R,"Sim")</f>
        <v>0</v>
      </c>
      <c r="Q2097" s="5">
        <f>SUMIFS('Desenvolvimento diário'!$H:$H,'Desenvolvimento diário'!$Q:$Q,$B2097,'Desenvolvimento diário'!$P:$P,$F2097,'Desenvolvimento diário'!$R:$R,"Não")</f>
        <v>0</v>
      </c>
      <c r="R2097" s="4">
        <f t="shared" si="644"/>
        <v>0</v>
      </c>
      <c r="S2097" s="4">
        <f t="shared" si="647"/>
        <v>0</v>
      </c>
      <c r="T2097" s="12">
        <f t="shared" si="635"/>
        <v>0</v>
      </c>
      <c r="Y2097" s="2"/>
      <c r="Z2097" s="2"/>
      <c r="AA2097" s="2"/>
      <c r="AB2097" s="2"/>
      <c r="AC2097" s="2"/>
    </row>
    <row r="2098" spans="1:29" hidden="1">
      <c r="A2098" s="2">
        <f t="shared" si="645"/>
        <v>60</v>
      </c>
      <c r="B2098" s="2" t="str">
        <f>VLOOKUP($A2098,Controle!$B$4:$F$68,2,FALSE)</f>
        <v>Três Corações 3</v>
      </c>
      <c r="C2098" s="2" t="str">
        <f>VLOOKUP($A2098,Controle!$B$4:$F$68,3,FALSE)</f>
        <v>MORI MINAS IV</v>
      </c>
      <c r="D2098" s="2" t="str">
        <f>VLOOKUP($A2098,Controle!$B$4:$F$68,4,FALSE)</f>
        <v>NewCo IV</v>
      </c>
      <c r="E2098" s="2">
        <f>VLOOKUP($A2098,Controle!$B$4:$F$68,5,FALSE)</f>
        <v>3</v>
      </c>
      <c r="F2098" s="3" t="str">
        <f t="shared" si="642"/>
        <v>Equipamentos Curva A -  Contrato Sobressalentes - Romagnole</v>
      </c>
      <c r="G2098" s="2" t="str">
        <f>VLOOKUP($A2098,Controle!$B$4:$G$68,6,FALSE)</f>
        <v>Solatio</v>
      </c>
      <c r="H2098" s="7">
        <v>0</v>
      </c>
      <c r="I2098" s="7">
        <v>0</v>
      </c>
      <c r="J2098" s="7">
        <v>0</v>
      </c>
      <c r="K2098" s="7">
        <v>0</v>
      </c>
      <c r="L2098" s="7">
        <v>0</v>
      </c>
      <c r="M2098" s="7">
        <v>0</v>
      </c>
      <c r="N2098" s="7">
        <v>0</v>
      </c>
      <c r="O2098" s="4">
        <f t="shared" si="646"/>
        <v>0</v>
      </c>
      <c r="P2098" s="17">
        <f>SUMIFS('Desenvolvimento diário'!$H:$H,'Desenvolvimento diário'!$Q:$Q,$B2098,'Desenvolvimento diário'!$P:$P,$F2098,'Desenvolvimento diário'!$R:$R,"Sim")</f>
        <v>0</v>
      </c>
      <c r="Q2098" s="17">
        <f>SUMIFS('Desenvolvimento diário'!$H:$H,'Desenvolvimento diário'!$Q:$Q,$B2098,'Desenvolvimento diário'!$P:$P,$F2098,'Desenvolvimento diário'!$R:$R,"Não")</f>
        <v>0</v>
      </c>
      <c r="R2098" s="4">
        <f t="shared" si="644"/>
        <v>0</v>
      </c>
      <c r="S2098" s="4">
        <f t="shared" si="647"/>
        <v>0</v>
      </c>
      <c r="T2098" s="12">
        <f t="shared" si="635"/>
        <v>0</v>
      </c>
      <c r="Y2098" s="2"/>
      <c r="Z2098" s="2"/>
      <c r="AA2098" s="2"/>
      <c r="AB2098" s="2"/>
      <c r="AC2098" s="2"/>
    </row>
    <row r="2099" spans="1:29" hidden="1">
      <c r="A2099" s="2">
        <f t="shared" si="645"/>
        <v>60</v>
      </c>
      <c r="B2099" s="2" t="str">
        <f>VLOOKUP($A2099,Controle!$B$4:$F$68,2,FALSE)</f>
        <v>Três Corações 3</v>
      </c>
      <c r="C2099" s="2" t="str">
        <f>VLOOKUP($A2099,Controle!$B$4:$F$68,3,FALSE)</f>
        <v>MORI MINAS IV</v>
      </c>
      <c r="D2099" s="2" t="str">
        <f>VLOOKUP($A2099,Controle!$B$4:$F$68,4,FALSE)</f>
        <v>NewCo IV</v>
      </c>
      <c r="E2099" s="2">
        <f>VLOOKUP($A2099,Controle!$B$4:$F$68,5,FALSE)</f>
        <v>3</v>
      </c>
      <c r="F2099" s="3" t="str">
        <f t="shared" si="642"/>
        <v>GOS FLORESTAL - (PRAD - Recuperação Area Ambiental)</v>
      </c>
      <c r="G2099" s="2" t="str">
        <f>VLOOKUP($A2099,Controle!$B$4:$G$68,6,FALSE)</f>
        <v>Solatio</v>
      </c>
      <c r="H2099" s="506" t="s">
        <v>170</v>
      </c>
      <c r="I2099" s="6">
        <v>455040</v>
      </c>
      <c r="J2099" s="7">
        <v>0</v>
      </c>
      <c r="K2099" s="7">
        <v>0</v>
      </c>
      <c r="L2099" s="7">
        <v>0</v>
      </c>
      <c r="M2099" s="7">
        <v>0</v>
      </c>
      <c r="N2099" s="7">
        <v>0</v>
      </c>
      <c r="O2099" s="39">
        <f t="shared" si="646"/>
        <v>455040</v>
      </c>
      <c r="P2099" s="17">
        <f>SUMIFS('Desenvolvimento diário'!$H:$H,'Desenvolvimento diário'!$Q:$Q,$B2099,'Desenvolvimento diário'!$P:$P,$F2099,'Desenvolvimento diário'!$R:$R,"Sim")</f>
        <v>0</v>
      </c>
      <c r="Q2099" s="17">
        <f>SUMIFS('Desenvolvimento diário'!$H:$H,'Desenvolvimento diário'!$Q:$Q,$B2099,'Desenvolvimento diário'!$P:$P,$F2099,'Desenvolvimento diário'!$R:$R,"Não")</f>
        <v>455040</v>
      </c>
      <c r="R2099" s="4">
        <f t="shared" si="644"/>
        <v>455040</v>
      </c>
      <c r="S2099" s="1019">
        <f t="shared" si="647"/>
        <v>0</v>
      </c>
      <c r="T2099" s="12">
        <f t="shared" ref="T2099:T2100" si="649">IFERROR(R2099/O2099,0)</f>
        <v>1</v>
      </c>
      <c r="U2099" s="1019" t="s">
        <v>166</v>
      </c>
      <c r="V2099" s="1041" t="s">
        <v>171</v>
      </c>
      <c r="Y2099" s="2"/>
      <c r="Z2099" s="2"/>
      <c r="AA2099" s="2"/>
      <c r="AB2099" s="2"/>
      <c r="AC2099" s="2"/>
    </row>
    <row r="2100" spans="1:29" hidden="1">
      <c r="A2100" s="2">
        <f t="shared" si="645"/>
        <v>60</v>
      </c>
      <c r="B2100" s="2" t="str">
        <f>VLOOKUP($A2100,Controle!$B$4:$F$68,2,FALSE)</f>
        <v>Três Corações 3</v>
      </c>
      <c r="C2100" s="2" t="str">
        <f>VLOOKUP($A2100,Controle!$B$4:$F$68,3,FALSE)</f>
        <v>MORI MINAS IV</v>
      </c>
      <c r="D2100" s="2" t="str">
        <f>VLOOKUP($A2100,Controle!$B$4:$F$68,4,FALSE)</f>
        <v>NewCo IV</v>
      </c>
      <c r="E2100" s="2">
        <f>VLOOKUP($A2100,Controle!$B$4:$F$68,5,FALSE)</f>
        <v>3</v>
      </c>
      <c r="F2100" s="3" t="str">
        <f t="shared" si="642"/>
        <v>Cercamento das bacias de contenção ciclo 2</v>
      </c>
      <c r="G2100" s="2" t="str">
        <f>VLOOKUP($A2100,Controle!$B$4:$G$68,6,FALSE)</f>
        <v>Solatio</v>
      </c>
      <c r="H2100" s="506" t="s">
        <v>172</v>
      </c>
      <c r="I2100" s="6"/>
      <c r="J2100" s="506"/>
      <c r="K2100" s="506">
        <v>0</v>
      </c>
      <c r="L2100" s="506">
        <v>0</v>
      </c>
      <c r="M2100" s="506">
        <v>0</v>
      </c>
      <c r="N2100" s="506">
        <v>0</v>
      </c>
      <c r="O2100" s="39">
        <f t="shared" si="646"/>
        <v>0</v>
      </c>
      <c r="P2100" s="17">
        <f>SUMIFS('Desenvolvimento diário'!$H:$H,'Desenvolvimento diário'!$Q:$Q,$B2100,'Desenvolvimento diário'!$P:$P,$F2100,'Desenvolvimento diário'!$R:$R,"Sim")</f>
        <v>0</v>
      </c>
      <c r="Q2100" s="17">
        <f>SUMIFS('Desenvolvimento diário'!$H:$H,'Desenvolvimento diário'!$Q:$Q,$B2100,'Desenvolvimento diário'!$P:$P,$F2100,'Desenvolvimento diário'!$R:$R,"Não")</f>
        <v>0</v>
      </c>
      <c r="R2100" s="4">
        <f t="shared" si="644"/>
        <v>0</v>
      </c>
      <c r="S2100" s="1030">
        <f t="shared" si="647"/>
        <v>0</v>
      </c>
      <c r="T2100" s="12">
        <f t="shared" si="649"/>
        <v>0</v>
      </c>
      <c r="U2100" s="1029" t="s">
        <v>166</v>
      </c>
      <c r="V2100" s="1029" t="s">
        <v>94</v>
      </c>
      <c r="Y2100" s="2"/>
      <c r="Z2100" s="2"/>
      <c r="AA2100" s="2"/>
      <c r="AB2100" s="2"/>
      <c r="AC2100" s="2"/>
    </row>
    <row r="2101" spans="1:29" hidden="1">
      <c r="A2101" s="8">
        <f>A2098</f>
        <v>60</v>
      </c>
      <c r="B2101" s="9" t="str">
        <f t="shared" ref="B2101" si="650">B2098</f>
        <v>Três Corações 3</v>
      </c>
      <c r="C2101" s="9" t="str">
        <f t="shared" ref="C2101" si="651">C2098</f>
        <v>MORI MINAS IV</v>
      </c>
      <c r="D2101" s="9" t="str">
        <f t="shared" ref="D2101" si="652">D2098</f>
        <v>NewCo IV</v>
      </c>
      <c r="E2101" s="9">
        <f t="shared" ref="E2101" si="653">E2098</f>
        <v>3</v>
      </c>
      <c r="F2101" s="10" t="s">
        <v>158</v>
      </c>
      <c r="G2101" s="9" t="str">
        <f>G2098</f>
        <v>Solatio</v>
      </c>
      <c r="H2101" s="9"/>
      <c r="I2101" s="9">
        <f>SUBTOTAL(9,I2067:I2100)</f>
        <v>746714.05</v>
      </c>
      <c r="J2101" s="9">
        <f t="shared" ref="J2101:S2101" si="654">SUBTOTAL(9,J2067:J2100)</f>
        <v>249761.51</v>
      </c>
      <c r="K2101" s="9">
        <f t="shared" si="654"/>
        <v>1860191.44</v>
      </c>
      <c r="L2101" s="9">
        <f t="shared" si="654"/>
        <v>0</v>
      </c>
      <c r="M2101" s="9">
        <f t="shared" si="654"/>
        <v>0</v>
      </c>
      <c r="N2101" s="9">
        <f t="shared" si="654"/>
        <v>0</v>
      </c>
      <c r="O2101" s="9">
        <f t="shared" si="654"/>
        <v>2856667</v>
      </c>
      <c r="P2101" s="9">
        <f t="shared" si="654"/>
        <v>0</v>
      </c>
      <c r="Q2101" s="9">
        <f t="shared" si="654"/>
        <v>2653487.5599999996</v>
      </c>
      <c r="R2101" s="9">
        <f t="shared" si="654"/>
        <v>2653487.5599999996</v>
      </c>
      <c r="S2101" s="9">
        <f t="shared" si="654"/>
        <v>203179.44000000041</v>
      </c>
      <c r="T2101" s="13">
        <f>IFERROR(R2101/O2101,0)</f>
        <v>0.9288753501895739</v>
      </c>
      <c r="U2101" s="11">
        <f>SUBTOTAL(9,U2067:U2100)</f>
        <v>0</v>
      </c>
      <c r="Y2101" s="2"/>
      <c r="Z2101" s="2"/>
      <c r="AA2101" s="2"/>
      <c r="AB2101" s="2"/>
      <c r="AC2101" s="2"/>
    </row>
    <row r="2102" spans="1:29" ht="10.5" hidden="1">
      <c r="A2102" s="2">
        <f>A2067+1</f>
        <v>61</v>
      </c>
      <c r="B2102" s="2" t="str">
        <f>VLOOKUP($A2102,Controle!$B$4:$F$68,2,FALSE)</f>
        <v>Ouro Fino 2</v>
      </c>
      <c r="C2102" s="2" t="str">
        <f>VLOOKUP($A2102,Controle!$B$4:$F$68,3,FALSE)</f>
        <v>MORI MINAS IV</v>
      </c>
      <c r="D2102" s="2" t="str">
        <f>VLOOKUP($A2102,Controle!$B$4:$F$68,4,FALSE)</f>
        <v>NewCo IV</v>
      </c>
      <c r="E2102" s="2">
        <f>VLOOKUP($A2102,Controle!$B$4:$F$68,5,FALSE)</f>
        <v>3</v>
      </c>
      <c r="F2102" s="3" t="str">
        <f>F2067</f>
        <v>Conexão AT - Obras</v>
      </c>
      <c r="G2102" s="2" t="str">
        <f>VLOOKUP($A2102,Controle!$B$4:$G$68,6,FALSE)</f>
        <v>Solatio</v>
      </c>
      <c r="H2102" s="6" t="s">
        <v>141</v>
      </c>
      <c r="I2102" s="29">
        <v>614000</v>
      </c>
      <c r="J2102" s="6">
        <v>0</v>
      </c>
      <c r="K2102" s="6">
        <v>0</v>
      </c>
      <c r="L2102" s="6">
        <v>0</v>
      </c>
      <c r="M2102" s="6">
        <v>0</v>
      </c>
      <c r="N2102" s="6">
        <v>0</v>
      </c>
      <c r="O2102" s="4">
        <f t="shared" ref="O2102:O2135" si="655">SUM(I2102:N2102)</f>
        <v>614000</v>
      </c>
      <c r="P2102" s="5">
        <f>SUMIFS('Desenvolvimento diário'!$H:$H,'Desenvolvimento diário'!$Q:$Q,$B2102,'Desenvolvimento diário'!$P:$P,$F2102,'Desenvolvimento diário'!$R:$R,"Sim")</f>
        <v>47382.03</v>
      </c>
      <c r="Q2102" s="5">
        <f>SUMIFS('Desenvolvimento diário'!$H:$H,'Desenvolvimento diário'!$Q:$Q,$B2102,'Desenvolvimento diário'!$P:$P,$F2102,'Desenvolvimento diário'!$R:$R,"Não")</f>
        <v>566617.97000000009</v>
      </c>
      <c r="R2102" s="4">
        <f t="shared" ref="R2102:R2135" si="656">SUM(P2102:Q2102)</f>
        <v>614000.00000000012</v>
      </c>
      <c r="S2102" s="4">
        <f t="shared" ref="S2102:S2135" si="657">O2102-R2102</f>
        <v>0</v>
      </c>
      <c r="T2102" s="12">
        <f t="shared" si="635"/>
        <v>1.0000000000000002</v>
      </c>
      <c r="Y2102" s="2"/>
      <c r="Z2102" s="2"/>
      <c r="AA2102" s="2"/>
      <c r="AB2102" s="2"/>
      <c r="AC2102" s="2"/>
    </row>
    <row r="2103" spans="1:29" ht="10.5" hidden="1">
      <c r="A2103" s="2">
        <f t="shared" ref="A2103:A2169" si="658">A2102</f>
        <v>61</v>
      </c>
      <c r="B2103" s="2" t="str">
        <f>VLOOKUP($A2103,Controle!$B$4:$F$68,2,FALSE)</f>
        <v>Ouro Fino 2</v>
      </c>
      <c r="C2103" s="2" t="str">
        <f>VLOOKUP($A2103,Controle!$B$4:$F$68,3,FALSE)</f>
        <v>MORI MINAS IV</v>
      </c>
      <c r="D2103" s="2" t="str">
        <f>VLOOKUP($A2103,Controle!$B$4:$F$68,4,FALSE)</f>
        <v>NewCo IV</v>
      </c>
      <c r="E2103" s="2">
        <f>VLOOKUP($A2103,Controle!$B$4:$F$68,5,FALSE)</f>
        <v>3</v>
      </c>
      <c r="F2103" s="3" t="str">
        <f>F2068</f>
        <v>Conexão MT - Obras</v>
      </c>
      <c r="G2103" s="2" t="str">
        <f>VLOOKUP($A2103,Controle!$B$4:$G$68,6,FALSE)</f>
        <v>Solatio</v>
      </c>
      <c r="H2103" s="6" t="s">
        <v>141</v>
      </c>
      <c r="I2103" s="6">
        <v>5248614</v>
      </c>
      <c r="J2103" s="6">
        <v>-281396</v>
      </c>
      <c r="K2103" s="28">
        <v>-196337</v>
      </c>
      <c r="L2103" s="6">
        <f>1240217-0.22</f>
        <v>1240216.78</v>
      </c>
      <c r="M2103" s="6">
        <v>0</v>
      </c>
      <c r="N2103" s="6">
        <v>0</v>
      </c>
      <c r="O2103" s="4">
        <f>SUM(I2103:N2103)</f>
        <v>6011097.7800000003</v>
      </c>
      <c r="P2103" s="5">
        <f>SUMIFS('Desenvolvimento diário'!$H:$H,'Desenvolvimento diário'!$Q:$Q,$B2103,'Desenvolvimento diário'!$P:$P,$F2103,'Desenvolvimento diário'!$R:$R,"Sim")</f>
        <v>1996765.2400000002</v>
      </c>
      <c r="Q2103" s="5">
        <f>SUMIFS('Desenvolvimento diário'!$H:$H,'Desenvolvimento diário'!$Q:$Q,$B2103,'Desenvolvimento diário'!$P:$P,$F2103,'Desenvolvimento diário'!$R:$R,"Não")</f>
        <v>4014332.54</v>
      </c>
      <c r="R2103" s="4">
        <f t="shared" si="656"/>
        <v>6011097.7800000003</v>
      </c>
      <c r="S2103" s="43">
        <f t="shared" si="657"/>
        <v>0</v>
      </c>
      <c r="T2103" s="12">
        <f t="shared" si="635"/>
        <v>1</v>
      </c>
      <c r="V2103" s="30"/>
      <c r="W2103" s="34"/>
      <c r="X2103" s="34"/>
      <c r="AB2103" s="2"/>
      <c r="AC2103" s="2"/>
    </row>
    <row r="2104" spans="1:29" ht="10.5" hidden="1">
      <c r="A2104" s="2">
        <f t="shared" si="658"/>
        <v>61</v>
      </c>
      <c r="B2104" s="94" t="str">
        <f>VLOOKUP($A2104,Controle!$B$4:$F$68,2,FALSE)</f>
        <v>Ouro Fino 2</v>
      </c>
      <c r="C2104" s="2" t="str">
        <f>VLOOKUP($A2104,Controle!$B$4:$F$68,3,FALSE)</f>
        <v>MORI MINAS IV</v>
      </c>
      <c r="D2104" s="2" t="str">
        <f>VLOOKUP($A2104,Controle!$B$4:$F$68,4,FALSE)</f>
        <v>NewCo IV</v>
      </c>
      <c r="E2104" s="2">
        <f>VLOOKUP($A2104,Controle!$B$4:$F$68,5,FALSE)</f>
        <v>3</v>
      </c>
      <c r="F2104" s="3" t="str">
        <f>F2069</f>
        <v>Construção - Serviços de Construção</v>
      </c>
      <c r="G2104" s="2" t="str">
        <f>VLOOKUP($A2104,Controle!$B$4:$G$68,6,FALSE)</f>
        <v>Solatio</v>
      </c>
      <c r="H2104" s="6" t="s">
        <v>147</v>
      </c>
      <c r="I2104" s="6">
        <v>2691000</v>
      </c>
      <c r="J2104" s="6">
        <v>52647</v>
      </c>
      <c r="K2104" s="6">
        <v>49665</v>
      </c>
      <c r="L2104" s="6">
        <v>129712.08</v>
      </c>
      <c r="M2104" s="6">
        <v>0</v>
      </c>
      <c r="N2104" s="6">
        <v>0</v>
      </c>
      <c r="O2104" s="4">
        <f t="shared" si="655"/>
        <v>2923024.08</v>
      </c>
      <c r="P2104" s="5">
        <f>SUMIFS('Desenvolvimento diário'!$H:$H,'Desenvolvimento diário'!$Q:$Q,$B2104,'Desenvolvimento diário'!$P:$P,$F2104,'Desenvolvimento diário'!$R:$R,"Sim")</f>
        <v>842192.46</v>
      </c>
      <c r="Q2104" s="5">
        <f>SUMIFS('Desenvolvimento diário'!$H:$H,'Desenvolvimento diário'!$Q:$Q,$B2104,'Desenvolvimento diário'!$P:$P,$F2104,'Desenvolvimento diário'!$R:$R,"Não")</f>
        <v>1539740.4899999998</v>
      </c>
      <c r="R2104" s="4">
        <f t="shared" si="656"/>
        <v>2381932.9499999997</v>
      </c>
      <c r="S2104" s="33">
        <f t="shared" si="657"/>
        <v>541091.13000000035</v>
      </c>
      <c r="T2104" s="12">
        <f t="shared" si="635"/>
        <v>0.81488653011712431</v>
      </c>
      <c r="U2104" s="510" t="s">
        <v>162</v>
      </c>
      <c r="V2104" s="510" t="s">
        <v>163</v>
      </c>
      <c r="Y2104" s="2"/>
      <c r="Z2104" s="2"/>
      <c r="AA2104" s="2"/>
      <c r="AB2104" s="2"/>
      <c r="AC2104" s="2"/>
    </row>
    <row r="2105" spans="1:29" ht="10.5" hidden="1">
      <c r="A2105" s="2">
        <f t="shared" si="658"/>
        <v>61</v>
      </c>
      <c r="B2105" s="2" t="str">
        <f>VLOOKUP($A2105,Controle!$B$4:$F$68,2,FALSE)</f>
        <v>Ouro Fino 2</v>
      </c>
      <c r="C2105" s="2" t="str">
        <f>VLOOKUP($A2105,Controle!$B$4:$F$68,3,FALSE)</f>
        <v>MORI MINAS IV</v>
      </c>
      <c r="D2105" s="2" t="str">
        <f>VLOOKUP($A2105,Controle!$B$4:$F$68,4,FALSE)</f>
        <v>NewCo IV</v>
      </c>
      <c r="E2105" s="2">
        <f>VLOOKUP($A2105,Controle!$B$4:$F$68,5,FALSE)</f>
        <v>3</v>
      </c>
      <c r="F2105" s="3" t="str">
        <f>F2070</f>
        <v>Construção - Serviços de Construção - Substituição</v>
      </c>
      <c r="G2105" s="2" t="str">
        <f>VLOOKUP($A2105,Controle!$B$4:$G$68,6,FALSE)</f>
        <v>Solatio</v>
      </c>
      <c r="H2105" s="6">
        <v>0</v>
      </c>
      <c r="I2105" s="6">
        <v>0</v>
      </c>
      <c r="J2105" s="6">
        <v>0</v>
      </c>
      <c r="K2105" s="6">
        <v>0</v>
      </c>
      <c r="L2105" s="6">
        <v>0</v>
      </c>
      <c r="M2105" s="6">
        <v>0</v>
      </c>
      <c r="N2105" s="6">
        <v>0</v>
      </c>
      <c r="O2105" s="4">
        <f t="shared" si="655"/>
        <v>0</v>
      </c>
      <c r="P2105" s="5">
        <f>SUMIFS('Desenvolvimento diário'!$H:$H,'Desenvolvimento diário'!$Q:$Q,$B2105,'Desenvolvimento diário'!$P:$P,$F2105,'Desenvolvimento diário'!$R:$R,"Sim")</f>
        <v>0</v>
      </c>
      <c r="Q2105" s="5">
        <f>SUMIFS('Desenvolvimento diário'!$H:$H,'Desenvolvimento diário'!$Q:$Q,$B2105,'Desenvolvimento diário'!$P:$P,$F2105,'Desenvolvimento diário'!$R:$R,"Não")</f>
        <v>0</v>
      </c>
      <c r="R2105" s="4">
        <f t="shared" si="656"/>
        <v>0</v>
      </c>
      <c r="S2105" s="4">
        <f t="shared" si="657"/>
        <v>0</v>
      </c>
      <c r="T2105" s="12">
        <f t="shared" si="635"/>
        <v>0</v>
      </c>
      <c r="Y2105" s="2"/>
      <c r="Z2105" s="2"/>
      <c r="AA2105" s="2"/>
      <c r="AB2105" s="2"/>
      <c r="AC2105" s="2"/>
    </row>
    <row r="2106" spans="1:29" ht="10.5" hidden="1">
      <c r="A2106" s="2">
        <f t="shared" si="658"/>
        <v>61</v>
      </c>
      <c r="B2106" s="34" t="str">
        <f>VLOOKUP($A2106,Controle!$B$4:$F$68,2,FALSE)</f>
        <v>Ouro Fino 2</v>
      </c>
      <c r="C2106" s="2" t="str">
        <f>VLOOKUP($A2106,Controle!$B$4:$F$68,3,FALSE)</f>
        <v>MORI MINAS IV</v>
      </c>
      <c r="D2106" s="2" t="str">
        <f>VLOOKUP($A2106,Controle!$B$4:$F$68,4,FALSE)</f>
        <v>NewCo IV</v>
      </c>
      <c r="E2106" s="2">
        <f>VLOOKUP($A2106,Controle!$B$4:$F$68,5,FALSE)</f>
        <v>3</v>
      </c>
      <c r="F2106" s="3" t="str">
        <f>F2071</f>
        <v>Construção - RDA Interno</v>
      </c>
      <c r="G2106" s="2" t="str">
        <f>VLOOKUP($A2106,Controle!$B$4:$G$68,6,FALSE)</f>
        <v>Solatio</v>
      </c>
      <c r="H2106" s="6" t="s">
        <v>143</v>
      </c>
      <c r="I2106" s="6">
        <v>475981.2</v>
      </c>
      <c r="J2106" s="6">
        <v>6400</v>
      </c>
      <c r="K2106" s="6">
        <f>7304.5454+0.0046</f>
        <v>7304.55</v>
      </c>
      <c r="L2106" s="6">
        <v>0</v>
      </c>
      <c r="M2106" s="6">
        <v>0</v>
      </c>
      <c r="N2106" s="6">
        <v>0</v>
      </c>
      <c r="O2106" s="4">
        <f>SUM(I2106:N2106)</f>
        <v>489685.75</v>
      </c>
      <c r="P2106" s="5">
        <f>SUMIFS('Desenvolvimento diário'!$H:$H,'Desenvolvimento diário'!$Q:$Q,$B2106,'Desenvolvimento diário'!$P:$P,$F2106,'Desenvolvimento diário'!$R:$R,"Sim")</f>
        <v>0</v>
      </c>
      <c r="Q2106" s="5">
        <f>SUMIFS('Desenvolvimento diário'!$H:$H,'Desenvolvimento diário'!$Q:$Q,$B2106,'Desenvolvimento diário'!$P:$P,$F2106,'Desenvolvimento diário'!$R:$R,"Não")</f>
        <v>489685.75</v>
      </c>
      <c r="R2106" s="4">
        <f t="shared" si="656"/>
        <v>489685.75</v>
      </c>
      <c r="S2106" s="175">
        <f t="shared" si="657"/>
        <v>0</v>
      </c>
      <c r="T2106" s="12">
        <f t="shared" si="635"/>
        <v>1</v>
      </c>
      <c r="Y2106" s="2"/>
      <c r="Z2106" s="2"/>
      <c r="AA2106" s="2"/>
      <c r="AB2106" s="2"/>
      <c r="AC2106" s="2"/>
    </row>
    <row r="2107" spans="1:29" ht="10.5" hidden="1">
      <c r="A2107" s="2">
        <f t="shared" si="658"/>
        <v>61</v>
      </c>
      <c r="B2107" s="2" t="str">
        <f>VLOOKUP($A2107,Controle!$B$4:$F$68,2,FALSE)</f>
        <v>Ouro Fino 2</v>
      </c>
      <c r="C2107" s="2" t="str">
        <f>VLOOKUP($A2107,Controle!$B$4:$F$68,3,FALSE)</f>
        <v>MORI MINAS IV</v>
      </c>
      <c r="D2107" s="2" t="str">
        <f>VLOOKUP($A2107,Controle!$B$4:$F$68,4,FALSE)</f>
        <v>NewCo IV</v>
      </c>
      <c r="E2107" s="2">
        <f>VLOOKUP($A2107,Controle!$B$4:$F$68,5,FALSE)</f>
        <v>3</v>
      </c>
      <c r="F2107" s="3" t="str">
        <f>F2072</f>
        <v>Full EPC - Contrato</v>
      </c>
      <c r="G2107" s="2" t="str">
        <f>VLOOKUP($A2107,Controle!$B$4:$G$68,6,FALSE)</f>
        <v>Solatio</v>
      </c>
      <c r="H2107" s="6">
        <v>0</v>
      </c>
      <c r="I2107" s="6">
        <v>0</v>
      </c>
      <c r="J2107" s="6">
        <v>0</v>
      </c>
      <c r="K2107" s="6">
        <v>0</v>
      </c>
      <c r="L2107" s="6">
        <v>0</v>
      </c>
      <c r="M2107" s="6">
        <v>0</v>
      </c>
      <c r="N2107" s="6">
        <v>0</v>
      </c>
      <c r="O2107" s="4">
        <f t="shared" si="655"/>
        <v>0</v>
      </c>
      <c r="P2107" s="5">
        <f>SUMIFS('Desenvolvimento diário'!$H:$H,'Desenvolvimento diário'!$Q:$Q,$B2107,'Desenvolvimento diário'!$P:$P,$F2107,'Desenvolvimento diário'!$R:$R,"Sim")</f>
        <v>0</v>
      </c>
      <c r="Q2107" s="5">
        <f>SUMIFS('Desenvolvimento diário'!$H:$H,'Desenvolvimento diário'!$Q:$Q,$B2107,'Desenvolvimento diário'!$P:$P,$F2107,'Desenvolvimento diário'!$R:$R,"Não")</f>
        <v>0</v>
      </c>
      <c r="R2107" s="4">
        <f t="shared" si="656"/>
        <v>0</v>
      </c>
      <c r="S2107" s="4">
        <f t="shared" si="657"/>
        <v>0</v>
      </c>
      <c r="T2107" s="12">
        <f t="shared" si="635"/>
        <v>0</v>
      </c>
      <c r="Y2107" s="2"/>
      <c r="Z2107" s="2"/>
      <c r="AA2107" s="2"/>
      <c r="AB2107" s="2"/>
      <c r="AC2107" s="2"/>
    </row>
    <row r="2108" spans="1:29" ht="10.5" hidden="1">
      <c r="A2108" s="2">
        <f t="shared" si="658"/>
        <v>61</v>
      </c>
      <c r="B2108" s="2" t="str">
        <f>VLOOKUP($A2108,Controle!$B$4:$F$68,2,FALSE)</f>
        <v>Ouro Fino 2</v>
      </c>
      <c r="C2108" s="2" t="str">
        <f>VLOOKUP($A2108,Controle!$B$4:$F$68,3,FALSE)</f>
        <v>MORI MINAS IV</v>
      </c>
      <c r="D2108" s="2" t="str">
        <f>VLOOKUP($A2108,Controle!$B$4:$F$68,4,FALSE)</f>
        <v>NewCo IV</v>
      </c>
      <c r="E2108" s="2">
        <f>VLOOKUP($A2108,Controle!$B$4:$F$68,5,FALSE)</f>
        <v>3</v>
      </c>
      <c r="F2108" s="3" t="str">
        <f>F2073</f>
        <v>Equipamentos Curva A - Outros (Transformadores)</v>
      </c>
      <c r="G2108" s="2" t="str">
        <f>VLOOKUP($A2108,Controle!$B$4:$G$68,6,FALSE)</f>
        <v>Solatio</v>
      </c>
      <c r="H2108" s="6">
        <v>0</v>
      </c>
      <c r="I2108" s="6">
        <v>0</v>
      </c>
      <c r="J2108" s="6">
        <v>0</v>
      </c>
      <c r="K2108" s="6">
        <v>0</v>
      </c>
      <c r="L2108" s="6">
        <v>0</v>
      </c>
      <c r="M2108" s="6">
        <v>0</v>
      </c>
      <c r="N2108" s="6">
        <v>0</v>
      </c>
      <c r="O2108" s="4">
        <f t="shared" si="655"/>
        <v>0</v>
      </c>
      <c r="P2108" s="5">
        <f>SUMIFS('Desenvolvimento diário'!$H:$H,'Desenvolvimento diário'!$Q:$Q,$B2108,'Desenvolvimento diário'!$P:$P,$F2108,'Desenvolvimento diário'!$R:$R,"Sim")</f>
        <v>0</v>
      </c>
      <c r="Q2108" s="5">
        <f>SUMIFS('Desenvolvimento diário'!$H:$H,'Desenvolvimento diário'!$Q:$Q,$B2108,'Desenvolvimento diário'!$P:$P,$F2108,'Desenvolvimento diário'!$R:$R,"Não")</f>
        <v>0</v>
      </c>
      <c r="R2108" s="4">
        <f t="shared" si="656"/>
        <v>0</v>
      </c>
      <c r="S2108" s="4">
        <f t="shared" si="657"/>
        <v>0</v>
      </c>
      <c r="T2108" s="12">
        <f t="shared" ref="T2108:T2282" si="659">IFERROR(R2108/O2108,0)</f>
        <v>0</v>
      </c>
      <c r="Y2108" s="2"/>
      <c r="Z2108" s="2"/>
      <c r="AA2108" s="2"/>
      <c r="AB2108" s="2"/>
      <c r="AC2108" s="2"/>
    </row>
    <row r="2109" spans="1:29" ht="10.5" hidden="1">
      <c r="A2109" s="2">
        <f t="shared" si="658"/>
        <v>61</v>
      </c>
      <c r="B2109" s="2" t="str">
        <f>VLOOKUP($A2109,Controle!$B$4:$F$68,2,FALSE)</f>
        <v>Ouro Fino 2</v>
      </c>
      <c r="C2109" s="2" t="str">
        <f>VLOOKUP($A2109,Controle!$B$4:$F$68,3,FALSE)</f>
        <v>MORI MINAS IV</v>
      </c>
      <c r="D2109" s="2" t="str">
        <f>VLOOKUP($A2109,Controle!$B$4:$F$68,4,FALSE)</f>
        <v>NewCo IV</v>
      </c>
      <c r="E2109" s="2">
        <f>VLOOKUP($A2109,Controle!$B$4:$F$68,5,FALSE)</f>
        <v>3</v>
      </c>
      <c r="F2109" s="3" t="str">
        <f>F2074</f>
        <v>Equipamentos Curva A - Outros (Cabine + Skid)</v>
      </c>
      <c r="G2109" s="2" t="str">
        <f>VLOOKUP($A2109,Controle!$B$4:$G$68,6,FALSE)</f>
        <v>Solatio</v>
      </c>
      <c r="H2109" s="6">
        <v>0</v>
      </c>
      <c r="I2109" s="6">
        <v>0</v>
      </c>
      <c r="J2109" s="6">
        <v>0</v>
      </c>
      <c r="K2109" s="6">
        <v>0</v>
      </c>
      <c r="L2109" s="6">
        <v>0</v>
      </c>
      <c r="M2109" s="6">
        <v>0</v>
      </c>
      <c r="N2109" s="6">
        <v>0</v>
      </c>
      <c r="O2109" s="4">
        <f t="shared" si="655"/>
        <v>0</v>
      </c>
      <c r="P2109" s="5">
        <f>SUMIFS('Desenvolvimento diário'!$H:$H,'Desenvolvimento diário'!$Q:$Q,$B2109,'Desenvolvimento diário'!$P:$P,$F2109,'Desenvolvimento diário'!$R:$R,"Sim")</f>
        <v>0</v>
      </c>
      <c r="Q2109" s="5">
        <f>SUMIFS('Desenvolvimento diário'!$H:$H,'Desenvolvimento diário'!$Q:$Q,$B2109,'Desenvolvimento diário'!$P:$P,$F2109,'Desenvolvimento diário'!$R:$R,"Não")</f>
        <v>0</v>
      </c>
      <c r="R2109" s="4">
        <f t="shared" si="656"/>
        <v>0</v>
      </c>
      <c r="S2109" s="4">
        <f t="shared" si="657"/>
        <v>0</v>
      </c>
      <c r="T2109" s="12">
        <f t="shared" si="659"/>
        <v>0</v>
      </c>
      <c r="Y2109" s="2"/>
      <c r="Z2109" s="2"/>
      <c r="AA2109" s="2"/>
      <c r="AB2109" s="2"/>
      <c r="AC2109" s="2"/>
    </row>
    <row r="2110" spans="1:29" ht="10.5" hidden="1">
      <c r="A2110" s="2">
        <f t="shared" si="658"/>
        <v>61</v>
      </c>
      <c r="B2110" s="2" t="str">
        <f>VLOOKUP($A2110,Controle!$B$4:$F$68,2,FALSE)</f>
        <v>Ouro Fino 2</v>
      </c>
      <c r="C2110" s="2" t="str">
        <f>VLOOKUP($A2110,Controle!$B$4:$F$68,3,FALSE)</f>
        <v>MORI MINAS IV</v>
      </c>
      <c r="D2110" s="2" t="str">
        <f>VLOOKUP($A2110,Controle!$B$4:$F$68,4,FALSE)</f>
        <v>NewCo IV</v>
      </c>
      <c r="E2110" s="2">
        <f>VLOOKUP($A2110,Controle!$B$4:$F$68,5,FALSE)</f>
        <v>3</v>
      </c>
      <c r="F2110" s="3" t="str">
        <f>F2075</f>
        <v>Equipamentos Curva A - Outros (Cabine + Skid + Transformador)</v>
      </c>
      <c r="G2110" s="2" t="str">
        <f>VLOOKUP($A2110,Controle!$B$4:$G$68,6,FALSE)</f>
        <v>Solatio</v>
      </c>
      <c r="H2110" s="6" t="s">
        <v>144</v>
      </c>
      <c r="I2110" s="6">
        <v>1166651.72643851</v>
      </c>
      <c r="J2110" s="6">
        <v>0</v>
      </c>
      <c r="K2110" s="6">
        <v>0</v>
      </c>
      <c r="L2110" s="6">
        <v>0</v>
      </c>
      <c r="M2110" s="6">
        <v>0</v>
      </c>
      <c r="N2110" s="6">
        <v>0</v>
      </c>
      <c r="O2110" s="4">
        <f t="shared" si="655"/>
        <v>1166651.72643851</v>
      </c>
      <c r="P2110" s="5">
        <f>SUMIFS('Desenvolvimento diário'!$H:$H,'Desenvolvimento diário'!$Q:$Q,$B2110,'Desenvolvimento diário'!$P:$P,$F2110,'Desenvolvimento diário'!$R:$R,"Sim")</f>
        <v>0</v>
      </c>
      <c r="Q2110" s="5">
        <f>SUMIFS('Desenvolvimento diário'!$H:$H,'Desenvolvimento diário'!$Q:$Q,$B2110,'Desenvolvimento diário'!$P:$P,$F2110,'Desenvolvimento diário'!$R:$R,"Não")</f>
        <v>1166651.72643851</v>
      </c>
      <c r="R2110" s="4">
        <f t="shared" si="656"/>
        <v>1166651.72643851</v>
      </c>
      <c r="S2110" s="4">
        <f t="shared" si="657"/>
        <v>0</v>
      </c>
      <c r="T2110" s="12">
        <f t="shared" si="659"/>
        <v>1</v>
      </c>
      <c r="Y2110" s="2"/>
      <c r="Z2110" s="2"/>
      <c r="AA2110" s="2"/>
      <c r="AB2110" s="2"/>
      <c r="AC2110" s="2"/>
    </row>
    <row r="2111" spans="1:29" ht="10.5" hidden="1">
      <c r="A2111" s="2">
        <f t="shared" si="658"/>
        <v>61</v>
      </c>
      <c r="B2111" s="2" t="str">
        <f>VLOOKUP($A2111,Controle!$B$4:$F$68,2,FALSE)</f>
        <v>Ouro Fino 2</v>
      </c>
      <c r="C2111" s="2" t="str">
        <f>VLOOKUP($A2111,Controle!$B$4:$F$68,3,FALSE)</f>
        <v>MORI MINAS IV</v>
      </c>
      <c r="D2111" s="2" t="str">
        <f>VLOOKUP($A2111,Controle!$B$4:$F$68,4,FALSE)</f>
        <v>NewCo IV</v>
      </c>
      <c r="E2111" s="2">
        <f>VLOOKUP($A2111,Controle!$B$4:$F$68,5,FALSE)</f>
        <v>3</v>
      </c>
      <c r="F2111" s="3" t="str">
        <f>F2076</f>
        <v>Desenvolvimento de projeto - Projetos - (Eng° Proprietario)</v>
      </c>
      <c r="G2111" s="2" t="str">
        <f>VLOOKUP($A2111,Controle!$B$4:$G$68,6,FALSE)</f>
        <v>Solatio</v>
      </c>
      <c r="H2111" s="6" t="s">
        <v>145</v>
      </c>
      <c r="I2111" s="6">
        <v>0</v>
      </c>
      <c r="J2111" s="6">
        <v>0</v>
      </c>
      <c r="K2111" s="6">
        <v>0</v>
      </c>
      <c r="L2111" s="6">
        <v>0</v>
      </c>
      <c r="M2111" s="6">
        <v>0</v>
      </c>
      <c r="N2111" s="6">
        <v>0</v>
      </c>
      <c r="O2111" s="4">
        <f t="shared" si="655"/>
        <v>0</v>
      </c>
      <c r="P2111" s="5">
        <f>SUMIFS('Desenvolvimento diário'!$H:$H,'Desenvolvimento diário'!$Q:$Q,$B2111,'Desenvolvimento diário'!$P:$P,$F2111,'Desenvolvimento diário'!$R:$R,"Sim")</f>
        <v>0</v>
      </c>
      <c r="Q2111" s="5">
        <f>SUMIFS('Desenvolvimento diário'!$H:$H,'Desenvolvimento diário'!$Q:$Q,$B2111,'Desenvolvimento diário'!$P:$P,$F2111,'Desenvolvimento diário'!$R:$R,"Não")</f>
        <v>0</v>
      </c>
      <c r="R2111" s="4">
        <f t="shared" si="656"/>
        <v>0</v>
      </c>
      <c r="S2111" s="4">
        <f t="shared" si="657"/>
        <v>0</v>
      </c>
      <c r="T2111" s="12">
        <f t="shared" si="659"/>
        <v>0</v>
      </c>
      <c r="Y2111" s="2"/>
      <c r="Z2111" s="2"/>
      <c r="AA2111" s="2"/>
      <c r="AB2111" s="2"/>
      <c r="AC2111" s="2"/>
    </row>
    <row r="2112" spans="1:29" ht="10.5" hidden="1">
      <c r="A2112" s="2">
        <f t="shared" si="658"/>
        <v>61</v>
      </c>
      <c r="B2112" s="2" t="str">
        <f>VLOOKUP($A2112,Controle!$B$4:$F$68,2,FALSE)</f>
        <v>Ouro Fino 2</v>
      </c>
      <c r="C2112" s="2" t="str">
        <f>VLOOKUP($A2112,Controle!$B$4:$F$68,3,FALSE)</f>
        <v>MORI MINAS IV</v>
      </c>
      <c r="D2112" s="2" t="str">
        <f>VLOOKUP($A2112,Controle!$B$4:$F$68,4,FALSE)</f>
        <v>NewCo IV</v>
      </c>
      <c r="E2112" s="2">
        <f>VLOOKUP($A2112,Controle!$B$4:$F$68,5,FALSE)</f>
        <v>3</v>
      </c>
      <c r="F2112" s="3" t="str">
        <f>F2077</f>
        <v>Desenvolvimento de projeto - Projetos - Executivos</v>
      </c>
      <c r="G2112" s="2" t="str">
        <f>VLOOKUP($A2112,Controle!$B$4:$G$68,6,FALSE)</f>
        <v>Solatio</v>
      </c>
      <c r="H2112" s="6">
        <v>0</v>
      </c>
      <c r="I2112" s="6">
        <v>0</v>
      </c>
      <c r="J2112" s="6">
        <v>0</v>
      </c>
      <c r="K2112" s="6">
        <v>0</v>
      </c>
      <c r="L2112" s="6">
        <v>0</v>
      </c>
      <c r="M2112" s="6">
        <v>0</v>
      </c>
      <c r="N2112" s="6">
        <v>0</v>
      </c>
      <c r="O2112" s="4">
        <f t="shared" si="655"/>
        <v>0</v>
      </c>
      <c r="P2112" s="5">
        <f>SUMIFS('Desenvolvimento diário'!$H:$H,'Desenvolvimento diário'!$Q:$Q,$B2112,'Desenvolvimento diário'!$P:$P,$F2112,'Desenvolvimento diário'!$R:$R,"Sim")</f>
        <v>0</v>
      </c>
      <c r="Q2112" s="5">
        <f>SUMIFS('Desenvolvimento diário'!$H:$H,'Desenvolvimento diário'!$Q:$Q,$B2112,'Desenvolvimento diário'!$P:$P,$F2112,'Desenvolvimento diário'!$R:$R,"Não")</f>
        <v>0</v>
      </c>
      <c r="R2112" s="4">
        <f t="shared" si="656"/>
        <v>0</v>
      </c>
      <c r="S2112" s="4">
        <f t="shared" si="657"/>
        <v>0</v>
      </c>
      <c r="T2112" s="12">
        <f t="shared" si="659"/>
        <v>0</v>
      </c>
      <c r="Y2112" s="2"/>
      <c r="Z2112" s="2"/>
      <c r="AA2112" s="2"/>
      <c r="AB2112" s="2"/>
      <c r="AC2112" s="2"/>
    </row>
    <row r="2113" spans="1:29" ht="10.5" hidden="1">
      <c r="A2113" s="2">
        <f t="shared" si="658"/>
        <v>61</v>
      </c>
      <c r="B2113" s="2" t="str">
        <f>VLOOKUP($A2113,Controle!$B$4:$F$68,2,FALSE)</f>
        <v>Ouro Fino 2</v>
      </c>
      <c r="C2113" s="2" t="str">
        <f>VLOOKUP($A2113,Controle!$B$4:$F$68,3,FALSE)</f>
        <v>MORI MINAS IV</v>
      </c>
      <c r="D2113" s="2" t="str">
        <f>VLOOKUP($A2113,Controle!$B$4:$F$68,4,FALSE)</f>
        <v>NewCo IV</v>
      </c>
      <c r="E2113" s="2">
        <f>VLOOKUP($A2113,Controle!$B$4:$F$68,5,FALSE)</f>
        <v>3</v>
      </c>
      <c r="F2113" s="3" t="str">
        <f>F2078</f>
        <v>Desenvolvimento de projeto - Projetos Básica</v>
      </c>
      <c r="G2113" s="2" t="str">
        <f>VLOOKUP($A2113,Controle!$B$4:$G$68,6,FALSE)</f>
        <v>Solatio</v>
      </c>
      <c r="H2113" s="6">
        <v>0</v>
      </c>
      <c r="I2113" s="6">
        <v>0</v>
      </c>
      <c r="J2113" s="6">
        <v>0</v>
      </c>
      <c r="K2113" s="6">
        <v>0</v>
      </c>
      <c r="L2113" s="6">
        <v>0</v>
      </c>
      <c r="M2113" s="6">
        <v>0</v>
      </c>
      <c r="N2113" s="6">
        <v>0</v>
      </c>
      <c r="O2113" s="4">
        <f t="shared" si="655"/>
        <v>0</v>
      </c>
      <c r="P2113" s="5">
        <f>SUMIFS('Desenvolvimento diário'!$H:$H,'Desenvolvimento diário'!$Q:$Q,$B2113,'Desenvolvimento diário'!$P:$P,$F2113,'Desenvolvimento diário'!$R:$R,"Sim")</f>
        <v>0</v>
      </c>
      <c r="Q2113" s="5">
        <f>SUMIFS('Desenvolvimento diário'!$H:$H,'Desenvolvimento diário'!$Q:$Q,$B2113,'Desenvolvimento diário'!$P:$P,$F2113,'Desenvolvimento diário'!$R:$R,"Não")</f>
        <v>0</v>
      </c>
      <c r="R2113" s="4">
        <f t="shared" si="656"/>
        <v>0</v>
      </c>
      <c r="S2113" s="4">
        <f t="shared" si="657"/>
        <v>0</v>
      </c>
      <c r="T2113" s="12">
        <f t="shared" si="659"/>
        <v>0</v>
      </c>
      <c r="Y2113" s="2"/>
      <c r="Z2113" s="2"/>
      <c r="AA2113" s="2"/>
      <c r="AB2113" s="2"/>
      <c r="AC2113" s="2"/>
    </row>
    <row r="2114" spans="1:29" ht="10.5" hidden="1">
      <c r="A2114" s="2">
        <f t="shared" si="658"/>
        <v>61</v>
      </c>
      <c r="B2114" s="2" t="str">
        <f>VLOOKUP($A2114,Controle!$B$4:$F$68,2,FALSE)</f>
        <v>Ouro Fino 2</v>
      </c>
      <c r="C2114" s="2" t="str">
        <f>VLOOKUP($A2114,Controle!$B$4:$F$68,3,FALSE)</f>
        <v>MORI MINAS IV</v>
      </c>
      <c r="D2114" s="2" t="str">
        <f>VLOOKUP($A2114,Controle!$B$4:$F$68,4,FALSE)</f>
        <v>NewCo IV</v>
      </c>
      <c r="E2114" s="2">
        <f>VLOOKUP($A2114,Controle!$B$4:$F$68,5,FALSE)</f>
        <v>3</v>
      </c>
      <c r="F2114" s="3" t="str">
        <f>F2079</f>
        <v>Desenvolvimento de projeto - Projetos Detalhada</v>
      </c>
      <c r="G2114" s="2" t="str">
        <f>VLOOKUP($A2114,Controle!$B$4:$G$68,6,FALSE)</f>
        <v>Solatio</v>
      </c>
      <c r="H2114" s="6" t="s">
        <v>147</v>
      </c>
      <c r="I2114" s="6">
        <f>93783-0.3</f>
        <v>93782.7</v>
      </c>
      <c r="J2114" s="6">
        <v>33949.33</v>
      </c>
      <c r="K2114" s="6">
        <v>0</v>
      </c>
      <c r="L2114" s="6">
        <v>0</v>
      </c>
      <c r="M2114" s="6">
        <v>0</v>
      </c>
      <c r="N2114" s="6">
        <v>0</v>
      </c>
      <c r="O2114" s="4">
        <f t="shared" si="655"/>
        <v>127732.03</v>
      </c>
      <c r="P2114" s="5">
        <f>SUMIFS('Desenvolvimento diário'!$H:$H,'Desenvolvimento diário'!$Q:$Q,$B2114,'Desenvolvimento diário'!$P:$P,$F2114,'Desenvolvimento diário'!$R:$R,"Sim")</f>
        <v>0</v>
      </c>
      <c r="Q2114" s="5">
        <f>SUMIFS('Desenvolvimento diário'!$H:$H,'Desenvolvimento diário'!$Q:$Q,$B2114,'Desenvolvimento diário'!$P:$P,$F2114,'Desenvolvimento diário'!$R:$R,"Não")</f>
        <v>127732.03</v>
      </c>
      <c r="R2114" s="4">
        <f t="shared" si="656"/>
        <v>127732.03</v>
      </c>
      <c r="S2114" s="43">
        <f t="shared" si="657"/>
        <v>0</v>
      </c>
      <c r="T2114" s="12">
        <f t="shared" si="659"/>
        <v>1</v>
      </c>
      <c r="Y2114" s="2"/>
      <c r="Z2114" s="2"/>
      <c r="AA2114" s="2"/>
      <c r="AB2114" s="2"/>
      <c r="AC2114" s="2"/>
    </row>
    <row r="2115" spans="1:29" ht="10.5" hidden="1">
      <c r="A2115" s="2">
        <f t="shared" si="658"/>
        <v>61</v>
      </c>
      <c r="B2115" s="2" t="str">
        <f>VLOOKUP($A2115,Controle!$B$4:$F$68,2,FALSE)</f>
        <v>Ouro Fino 2</v>
      </c>
      <c r="C2115" s="2" t="str">
        <f>VLOOKUP($A2115,Controle!$B$4:$F$68,3,FALSE)</f>
        <v>MORI MINAS IV</v>
      </c>
      <c r="D2115" s="2" t="str">
        <f>VLOOKUP($A2115,Controle!$B$4:$F$68,4,FALSE)</f>
        <v>NewCo IV</v>
      </c>
      <c r="E2115" s="2">
        <f>VLOOKUP($A2115,Controle!$B$4:$F$68,5,FALSE)</f>
        <v>3</v>
      </c>
      <c r="F2115" s="3" t="str">
        <f>F2080</f>
        <v>Desenvolvimento de projeto - Ambiental / Outros</v>
      </c>
      <c r="G2115" s="2" t="str">
        <f>VLOOKUP($A2115,Controle!$B$4:$G$68,6,FALSE)</f>
        <v>Solatio</v>
      </c>
      <c r="H2115" s="6" t="s">
        <v>148</v>
      </c>
      <c r="I2115" s="6">
        <f>R2115</f>
        <v>77476.600000000006</v>
      </c>
      <c r="J2115" s="6">
        <v>0</v>
      </c>
      <c r="K2115" s="6">
        <v>0</v>
      </c>
      <c r="L2115" s="6">
        <v>0</v>
      </c>
      <c r="M2115" s="6">
        <v>0</v>
      </c>
      <c r="N2115" s="6">
        <v>0</v>
      </c>
      <c r="O2115" s="4">
        <f t="shared" si="655"/>
        <v>77476.600000000006</v>
      </c>
      <c r="P2115" s="5">
        <f>SUMIFS('Desenvolvimento diário'!$H:$H,'Desenvolvimento diário'!$Q:$Q,$B2115,'Desenvolvimento diário'!$P:$P,$F2115,'Desenvolvimento diário'!$R:$R,"Sim")</f>
        <v>0</v>
      </c>
      <c r="Q2115" s="5">
        <f>SUMIFS('Desenvolvimento diário'!$H:$H,'Desenvolvimento diário'!$Q:$Q,$B2115,'Desenvolvimento diário'!$P:$P,$F2115,'Desenvolvimento diário'!$R:$R,"Não")</f>
        <v>77476.600000000006</v>
      </c>
      <c r="R2115" s="4">
        <f t="shared" si="656"/>
        <v>77476.600000000006</v>
      </c>
      <c r="S2115" s="4">
        <f t="shared" si="657"/>
        <v>0</v>
      </c>
      <c r="T2115" s="12">
        <f t="shared" si="659"/>
        <v>1</v>
      </c>
      <c r="Y2115" s="2"/>
      <c r="Z2115" s="2"/>
      <c r="AA2115" s="2"/>
      <c r="AB2115" s="2"/>
      <c r="AC2115" s="2"/>
    </row>
    <row r="2116" spans="1:29" hidden="1">
      <c r="A2116" s="2">
        <f t="shared" si="658"/>
        <v>61</v>
      </c>
      <c r="B2116" s="2" t="str">
        <f>VLOOKUP($A2116,Controle!$B$4:$F$68,2,FALSE)</f>
        <v>Ouro Fino 2</v>
      </c>
      <c r="C2116" s="2" t="str">
        <f>VLOOKUP($A2116,Controle!$B$4:$F$68,3,FALSE)</f>
        <v>MORI MINAS IV</v>
      </c>
      <c r="D2116" s="2" t="str">
        <f>VLOOKUP($A2116,Controle!$B$4:$F$68,4,FALSE)</f>
        <v>NewCo IV</v>
      </c>
      <c r="E2116" s="2">
        <f>VLOOKUP($A2116,Controle!$B$4:$F$68,5,FALSE)</f>
        <v>3</v>
      </c>
      <c r="F2116" s="3" t="str">
        <f>F2081</f>
        <v>Desenvolvimento de projeto - Coordenograma</v>
      </c>
      <c r="G2116" s="2" t="str">
        <f>VLOOKUP($A2116,Controle!$B$4:$G$68,6,FALSE)</f>
        <v>Solatio</v>
      </c>
      <c r="H2116" s="31" t="s">
        <v>149</v>
      </c>
      <c r="I2116" s="31">
        <v>6206.9</v>
      </c>
      <c r="J2116" s="31">
        <v>0</v>
      </c>
      <c r="K2116" s="31">
        <v>0</v>
      </c>
      <c r="L2116" s="6">
        <v>0</v>
      </c>
      <c r="M2116" s="6">
        <v>0</v>
      </c>
      <c r="N2116" s="6">
        <v>0</v>
      </c>
      <c r="O2116" s="4">
        <f t="shared" si="655"/>
        <v>6206.9</v>
      </c>
      <c r="P2116" s="5">
        <f>SUMIFS('Desenvolvimento diário'!$H:$H,'Desenvolvimento diário'!$Q:$Q,$B2116,'Desenvolvimento diário'!$P:$P,$F2116,'Desenvolvimento diário'!$R:$R,"Sim")</f>
        <v>0</v>
      </c>
      <c r="Q2116" s="5">
        <f>SUMIFS('Desenvolvimento diário'!$H:$H,'Desenvolvimento diário'!$Q:$Q,$B2116,'Desenvolvimento diário'!$P:$P,$F2116,'Desenvolvimento diário'!$R:$R,"Não")</f>
        <v>6206.9</v>
      </c>
      <c r="R2116" s="4">
        <f t="shared" si="656"/>
        <v>6206.9</v>
      </c>
      <c r="S2116" s="4">
        <f t="shared" si="657"/>
        <v>0</v>
      </c>
      <c r="T2116" s="12">
        <f t="shared" si="659"/>
        <v>1</v>
      </c>
      <c r="Y2116" s="2"/>
      <c r="Z2116" s="2"/>
      <c r="AA2116" s="2"/>
      <c r="AB2116" s="2"/>
      <c r="AC2116" s="2"/>
    </row>
    <row r="2117" spans="1:29" ht="10.5" hidden="1">
      <c r="A2117" s="2">
        <f t="shared" si="658"/>
        <v>61</v>
      </c>
      <c r="B2117" s="2" t="str">
        <f>VLOOKUP($A2117,Controle!$B$4:$F$68,2,FALSE)</f>
        <v>Ouro Fino 2</v>
      </c>
      <c r="C2117" s="2" t="str">
        <f>VLOOKUP($A2117,Controle!$B$4:$F$68,3,FALSE)</f>
        <v>MORI MINAS IV</v>
      </c>
      <c r="D2117" s="2" t="str">
        <f>VLOOKUP($A2117,Controle!$B$4:$F$68,4,FALSE)</f>
        <v>NewCo IV</v>
      </c>
      <c r="E2117" s="2">
        <f>VLOOKUP($A2117,Controle!$B$4:$F$68,5,FALSE)</f>
        <v>3</v>
      </c>
      <c r="F2117" s="3" t="str">
        <f>F2082</f>
        <v>Sistemas de Monitoramento - Supervisório</v>
      </c>
      <c r="G2117" s="2" t="str">
        <f>VLOOKUP($A2117,Controle!$B$4:$G$68,6,FALSE)</f>
        <v>Solatio</v>
      </c>
      <c r="H2117" s="6" t="s">
        <v>150</v>
      </c>
      <c r="I2117" s="6">
        <v>136155</v>
      </c>
      <c r="J2117" s="6"/>
      <c r="K2117" s="6">
        <v>0</v>
      </c>
      <c r="L2117" s="6">
        <v>0</v>
      </c>
      <c r="M2117" s="6">
        <v>0</v>
      </c>
      <c r="N2117" s="6">
        <v>0</v>
      </c>
      <c r="O2117" s="4">
        <f t="shared" si="655"/>
        <v>136155</v>
      </c>
      <c r="P2117" s="5">
        <f>SUMIFS('Desenvolvimento diário'!$H:$H,'Desenvolvimento diário'!$Q:$Q,$B2117,'Desenvolvimento diário'!$P:$P,$F2117,'Desenvolvimento diário'!$R:$R,"Sim")</f>
        <v>0</v>
      </c>
      <c r="Q2117" s="5">
        <f>SUMIFS('Desenvolvimento diário'!$H:$H,'Desenvolvimento diário'!$Q:$Q,$B2117,'Desenvolvimento diário'!$P:$P,$F2117,'Desenvolvimento diário'!$R:$R,"Não")</f>
        <v>136155</v>
      </c>
      <c r="R2117" s="4">
        <f t="shared" si="656"/>
        <v>136155</v>
      </c>
      <c r="S2117" s="4">
        <f t="shared" si="657"/>
        <v>0</v>
      </c>
      <c r="T2117" s="12">
        <f t="shared" si="659"/>
        <v>1</v>
      </c>
      <c r="Y2117" s="2"/>
      <c r="Z2117" s="2"/>
      <c r="AA2117" s="2"/>
      <c r="AB2117" s="2"/>
      <c r="AC2117" s="2"/>
    </row>
    <row r="2118" spans="1:29" ht="10.5" hidden="1">
      <c r="A2118" s="2">
        <f t="shared" si="658"/>
        <v>61</v>
      </c>
      <c r="B2118" s="2" t="str">
        <f>VLOOKUP($A2118,Controle!$B$4:$F$68,2,FALSE)</f>
        <v>Ouro Fino 2</v>
      </c>
      <c r="C2118" s="2" t="str">
        <f>VLOOKUP($A2118,Controle!$B$4:$F$68,3,FALSE)</f>
        <v>MORI MINAS IV</v>
      </c>
      <c r="D2118" s="2" t="str">
        <f>VLOOKUP($A2118,Controle!$B$4:$F$68,4,FALSE)</f>
        <v>NewCo IV</v>
      </c>
      <c r="E2118" s="2">
        <f>VLOOKUP($A2118,Controle!$B$4:$F$68,5,FALSE)</f>
        <v>3</v>
      </c>
      <c r="F2118" s="3" t="str">
        <f>F2083</f>
        <v>Sistemas de Monitoramento - Estações Solarimétricas</v>
      </c>
      <c r="G2118" s="2" t="str">
        <f>VLOOKUP($A2118,Controle!$B$4:$G$68,6,FALSE)</f>
        <v>Solatio</v>
      </c>
      <c r="H2118" s="6" t="s">
        <v>151</v>
      </c>
      <c r="I2118" s="6">
        <v>48276.516000000003</v>
      </c>
      <c r="J2118" s="6">
        <v>0</v>
      </c>
      <c r="K2118" s="6">
        <v>0</v>
      </c>
      <c r="L2118" s="6">
        <v>0</v>
      </c>
      <c r="M2118" s="6">
        <v>0</v>
      </c>
      <c r="N2118" s="6">
        <v>0</v>
      </c>
      <c r="O2118" s="4">
        <f t="shared" si="655"/>
        <v>48276.516000000003</v>
      </c>
      <c r="P2118" s="5">
        <f>SUMIFS('Desenvolvimento diário'!$H:$H,'Desenvolvimento diário'!$Q:$Q,$B2118,'Desenvolvimento diário'!$P:$P,$F2118,'Desenvolvimento diário'!$R:$R,"Sim")</f>
        <v>0</v>
      </c>
      <c r="Q2118" s="5">
        <f>SUMIFS('Desenvolvimento diário'!$H:$H,'Desenvolvimento diário'!$Q:$Q,$B2118,'Desenvolvimento diário'!$P:$P,$F2118,'Desenvolvimento diário'!$R:$R,"Não")</f>
        <v>48276.516000000003</v>
      </c>
      <c r="R2118" s="4">
        <f t="shared" si="656"/>
        <v>48276.516000000003</v>
      </c>
      <c r="S2118" s="4">
        <f t="shared" si="657"/>
        <v>0</v>
      </c>
      <c r="T2118" s="12">
        <f t="shared" si="659"/>
        <v>1</v>
      </c>
      <c r="Y2118" s="2"/>
      <c r="Z2118" s="2"/>
      <c r="AA2118" s="2"/>
      <c r="AB2118" s="2"/>
      <c r="AC2118" s="2"/>
    </row>
    <row r="2119" spans="1:29" hidden="1">
      <c r="A2119" s="2">
        <f t="shared" si="658"/>
        <v>61</v>
      </c>
      <c r="B2119" s="2" t="str">
        <f>VLOOKUP($A2119,Controle!$B$4:$F$68,2,FALSE)</f>
        <v>Ouro Fino 2</v>
      </c>
      <c r="C2119" s="2" t="str">
        <f>VLOOKUP($A2119,Controle!$B$4:$F$68,3,FALSE)</f>
        <v>MORI MINAS IV</v>
      </c>
      <c r="D2119" s="2" t="str">
        <f>VLOOKUP($A2119,Controle!$B$4:$F$68,4,FALSE)</f>
        <v>NewCo IV</v>
      </c>
      <c r="E2119" s="2">
        <f>VLOOKUP($A2119,Controle!$B$4:$F$68,5,FALSE)</f>
        <v>3</v>
      </c>
      <c r="F2119" s="3" t="str">
        <f>F2084</f>
        <v>Sistemas de Monitoramento - CFTV</v>
      </c>
      <c r="G2119" s="2" t="str">
        <f>VLOOKUP($A2119,Controle!$B$4:$G$68,6,FALSE)</f>
        <v>Solatio</v>
      </c>
      <c r="H2119" s="31" t="s">
        <v>152</v>
      </c>
      <c r="I2119" s="6">
        <v>309592.84999999998</v>
      </c>
      <c r="J2119" s="6">
        <v>0</v>
      </c>
      <c r="K2119" s="6">
        <v>0</v>
      </c>
      <c r="L2119" s="6">
        <v>0</v>
      </c>
      <c r="M2119" s="6">
        <v>0</v>
      </c>
      <c r="N2119" s="6">
        <v>0</v>
      </c>
      <c r="O2119" s="4">
        <f t="shared" si="655"/>
        <v>309592.84999999998</v>
      </c>
      <c r="P2119" s="5">
        <f>SUMIFS('Desenvolvimento diário'!$H:$H,'Desenvolvimento diário'!$Q:$Q,$B2119,'Desenvolvimento diário'!$P:$P,$F2119,'Desenvolvimento diário'!$R:$R,"Sim")</f>
        <v>6604.64</v>
      </c>
      <c r="Q2119" s="5">
        <f>SUMIFS('Desenvolvimento diário'!$H:$H,'Desenvolvimento diário'!$Q:$Q,$B2119,'Desenvolvimento diário'!$P:$P,$F2119,'Desenvolvimento diário'!$R:$R,"Não")</f>
        <v>302988.21000000002</v>
      </c>
      <c r="R2119" s="4">
        <f t="shared" si="656"/>
        <v>309592.85000000003</v>
      </c>
      <c r="S2119" s="4">
        <f t="shared" si="657"/>
        <v>0</v>
      </c>
      <c r="T2119" s="12">
        <f t="shared" si="659"/>
        <v>1.0000000000000002</v>
      </c>
      <c r="Y2119" s="2"/>
      <c r="Z2119" s="2"/>
      <c r="AA2119" s="2"/>
      <c r="AB2119" s="2"/>
      <c r="AC2119" s="2"/>
    </row>
    <row r="2120" spans="1:29" ht="10.5" hidden="1">
      <c r="A2120" s="2">
        <f t="shared" si="658"/>
        <v>61</v>
      </c>
      <c r="B2120" s="2" t="str">
        <f>VLOOKUP($A2120,Controle!$B$4:$F$68,2,FALSE)</f>
        <v>Ouro Fino 2</v>
      </c>
      <c r="C2120" s="2" t="str">
        <f>VLOOKUP($A2120,Controle!$B$4:$F$68,3,FALSE)</f>
        <v>MORI MINAS IV</v>
      </c>
      <c r="D2120" s="2" t="str">
        <f>VLOOKUP($A2120,Controle!$B$4:$F$68,4,FALSE)</f>
        <v>NewCo IV</v>
      </c>
      <c r="E2120" s="2">
        <f>VLOOKUP($A2120,Controle!$B$4:$F$68,5,FALSE)</f>
        <v>3</v>
      </c>
      <c r="F2120" s="3" t="str">
        <f>F2085</f>
        <v>Serviços Auxiliares - Drenagem</v>
      </c>
      <c r="G2120" s="2" t="str">
        <f>VLOOKUP($A2120,Controle!$B$4:$G$68,6,FALSE)</f>
        <v>Solatio</v>
      </c>
      <c r="H2120" s="6" t="s">
        <v>191</v>
      </c>
      <c r="I2120" s="6">
        <v>656792.75</v>
      </c>
      <c r="J2120" s="6">
        <v>0</v>
      </c>
      <c r="K2120" s="6">
        <v>0</v>
      </c>
      <c r="L2120" s="6">
        <v>0</v>
      </c>
      <c r="M2120" s="6">
        <v>0</v>
      </c>
      <c r="N2120" s="6">
        <v>0</v>
      </c>
      <c r="O2120" s="4">
        <f t="shared" si="655"/>
        <v>656792.75</v>
      </c>
      <c r="P2120" s="5">
        <f>SUMIFS('Desenvolvimento diário'!$H:$H,'Desenvolvimento diário'!$Q:$Q,$B2120,'Desenvolvimento diário'!$P:$P,$F2120,'Desenvolvimento diário'!$R:$R,"Sim")</f>
        <v>0</v>
      </c>
      <c r="Q2120" s="5">
        <f>SUMIFS('Desenvolvimento diário'!$H:$H,'Desenvolvimento diário'!$Q:$Q,$B2120,'Desenvolvimento diário'!$P:$P,$F2120,'Desenvolvimento diário'!$R:$R,"Não")</f>
        <v>656792.75</v>
      </c>
      <c r="R2120" s="4">
        <f t="shared" si="656"/>
        <v>656792.75</v>
      </c>
      <c r="S2120" s="27">
        <f t="shared" si="657"/>
        <v>0</v>
      </c>
      <c r="T2120" s="12">
        <f t="shared" si="659"/>
        <v>1</v>
      </c>
      <c r="Y2120" s="2"/>
      <c r="Z2120" s="2"/>
      <c r="AA2120" s="2"/>
      <c r="AB2120" s="2"/>
      <c r="AC2120" s="2"/>
    </row>
    <row r="2121" spans="1:29" ht="10.5" hidden="1">
      <c r="A2121" s="2">
        <f t="shared" si="658"/>
        <v>61</v>
      </c>
      <c r="B2121" s="2" t="str">
        <f>VLOOKUP($A2121,Controle!$B$4:$F$68,2,FALSE)</f>
        <v>Ouro Fino 2</v>
      </c>
      <c r="C2121" s="2" t="str">
        <f>VLOOKUP($A2121,Controle!$B$4:$F$68,3,FALSE)</f>
        <v>MORI MINAS IV</v>
      </c>
      <c r="D2121" s="2" t="str">
        <f>VLOOKUP($A2121,Controle!$B$4:$F$68,4,FALSE)</f>
        <v>NewCo IV</v>
      </c>
      <c r="E2121" s="2">
        <f>VLOOKUP($A2121,Controle!$B$4:$F$68,5,FALSE)</f>
        <v>3</v>
      </c>
      <c r="F2121" s="3" t="str">
        <f>F2086</f>
        <v>Serviços Auxiliares - Terraplanagem</v>
      </c>
      <c r="G2121" s="2" t="str">
        <f>VLOOKUP($A2121,Controle!$B$4:$G$68,6,FALSE)</f>
        <v>Solatio</v>
      </c>
      <c r="H2121" s="6" t="s">
        <v>240</v>
      </c>
      <c r="I2121" s="6">
        <f>1642976.67+(0.49)</f>
        <v>1642977.16</v>
      </c>
      <c r="J2121" s="6">
        <f>118003.69+4390</f>
        <v>122393.69</v>
      </c>
      <c r="K2121" s="6">
        <v>0</v>
      </c>
      <c r="L2121" s="6">
        <v>0</v>
      </c>
      <c r="M2121" s="6">
        <v>0</v>
      </c>
      <c r="N2121" s="6">
        <v>0</v>
      </c>
      <c r="O2121" s="4">
        <f t="shared" si="655"/>
        <v>1765370.8499999999</v>
      </c>
      <c r="P2121" s="5">
        <f>SUMIFS('Desenvolvimento diário'!$H:$H,'Desenvolvimento diário'!$Q:$Q,$B2121,'Desenvolvimento diário'!$P:$P,$F2121,'Desenvolvimento diário'!$R:$R,"Sim")</f>
        <v>0</v>
      </c>
      <c r="Q2121" s="5">
        <f>SUMIFS('Desenvolvimento diário'!$H:$H,'Desenvolvimento diário'!$Q:$Q,$B2121,'Desenvolvimento diário'!$P:$P,$F2121,'Desenvolvimento diário'!$R:$R,"Não")</f>
        <v>1765370.85</v>
      </c>
      <c r="R2121" s="4">
        <f t="shared" si="656"/>
        <v>1765370.85</v>
      </c>
      <c r="S2121" s="190">
        <f t="shared" si="657"/>
        <v>0</v>
      </c>
      <c r="T2121" s="12">
        <f t="shared" si="659"/>
        <v>1.0000000000000002</v>
      </c>
      <c r="V2121" s="3"/>
      <c r="Y2121" s="2"/>
      <c r="Z2121" s="2"/>
      <c r="AA2121" s="2"/>
      <c r="AB2121" s="2"/>
      <c r="AC2121" s="2"/>
    </row>
    <row r="2122" spans="1:29" ht="10.5" hidden="1">
      <c r="A2122" s="2">
        <f t="shared" si="658"/>
        <v>61</v>
      </c>
      <c r="B2122" s="2" t="str">
        <f>VLOOKUP($A2122,Controle!$B$4:$F$68,2,FALSE)</f>
        <v>Ouro Fino 2</v>
      </c>
      <c r="C2122" s="2" t="str">
        <f>VLOOKUP($A2122,Controle!$B$4:$F$68,3,FALSE)</f>
        <v>MORI MINAS IV</v>
      </c>
      <c r="D2122" s="2" t="str">
        <f>VLOOKUP($A2122,Controle!$B$4:$F$68,4,FALSE)</f>
        <v>NewCo IV</v>
      </c>
      <c r="E2122" s="2">
        <f>VLOOKUP($A2122,Controle!$B$4:$F$68,5,FALSE)</f>
        <v>3</v>
      </c>
      <c r="F2122" s="3" t="str">
        <f>F2087</f>
        <v>Serviços Auxiliares - Supressão Vegetal</v>
      </c>
      <c r="G2122" s="2" t="str">
        <f>VLOOKUP($A2122,Controle!$B$4:$G$68,6,FALSE)</f>
        <v>Solatio</v>
      </c>
      <c r="H2122" s="6" t="s">
        <v>155</v>
      </c>
      <c r="I2122" s="6">
        <v>150000</v>
      </c>
      <c r="J2122" s="6">
        <v>19629.28</v>
      </c>
      <c r="K2122" s="6">
        <v>15000</v>
      </c>
      <c r="L2122" s="6">
        <v>0</v>
      </c>
      <c r="M2122" s="6">
        <v>0</v>
      </c>
      <c r="N2122" s="6">
        <v>0</v>
      </c>
      <c r="O2122" s="4">
        <f t="shared" si="655"/>
        <v>184629.28</v>
      </c>
      <c r="P2122" s="5">
        <f>SUMIFS('Desenvolvimento diário'!$H:$H,'Desenvolvimento diário'!$Q:$Q,$B2122,'Desenvolvimento diário'!$P:$P,$F2122,'Desenvolvimento diário'!$R:$R,"Sim")</f>
        <v>0</v>
      </c>
      <c r="Q2122" s="5">
        <f>SUMIFS('Desenvolvimento diário'!$H:$H,'Desenvolvimento diário'!$Q:$Q,$B2122,'Desenvolvimento diário'!$P:$P,$F2122,'Desenvolvimento diário'!$R:$R,"Não")</f>
        <v>184629.28</v>
      </c>
      <c r="R2122" s="4">
        <f t="shared" si="656"/>
        <v>184629.28</v>
      </c>
      <c r="S2122" s="27">
        <f t="shared" si="657"/>
        <v>0</v>
      </c>
      <c r="T2122" s="36">
        <f t="shared" si="659"/>
        <v>1</v>
      </c>
      <c r="U2122" s="34"/>
      <c r="V2122" s="34"/>
      <c r="Y2122" s="2"/>
      <c r="Z2122" s="2"/>
      <c r="AA2122" s="2"/>
      <c r="AB2122" s="2"/>
      <c r="AC2122" s="2"/>
    </row>
    <row r="2123" spans="1:29" ht="10.5" hidden="1">
      <c r="A2123" s="2">
        <f t="shared" si="658"/>
        <v>61</v>
      </c>
      <c r="B2123" s="2" t="str">
        <f>VLOOKUP($A2123,Controle!$B$4:$F$68,2,FALSE)</f>
        <v>Ouro Fino 2</v>
      </c>
      <c r="C2123" s="2" t="str">
        <f>VLOOKUP($A2123,Controle!$B$4:$F$68,3,FALSE)</f>
        <v>MORI MINAS IV</v>
      </c>
      <c r="D2123" s="2" t="str">
        <f>VLOOKUP($A2123,Controle!$B$4:$F$68,4,FALSE)</f>
        <v>NewCo IV</v>
      </c>
      <c r="E2123" s="2">
        <f>VLOOKUP($A2123,Controle!$B$4:$F$68,5,FALSE)</f>
        <v>3</v>
      </c>
      <c r="F2123" s="3" t="str">
        <f>F2088</f>
        <v>RDR-Rede de Distribuição Rural</v>
      </c>
      <c r="G2123" s="2" t="str">
        <f>VLOOKUP($A2123,Controle!$B$4:$G$68,6,FALSE)</f>
        <v>Solatio</v>
      </c>
      <c r="H2123" s="6" t="s">
        <v>141</v>
      </c>
      <c r="I2123" s="6">
        <v>0</v>
      </c>
      <c r="J2123" s="6">
        <v>0</v>
      </c>
      <c r="K2123" s="6">
        <v>0</v>
      </c>
      <c r="L2123" s="6">
        <v>0</v>
      </c>
      <c r="M2123" s="6">
        <v>0</v>
      </c>
      <c r="N2123" s="6">
        <v>0</v>
      </c>
      <c r="O2123" s="4">
        <f t="shared" si="655"/>
        <v>0</v>
      </c>
      <c r="P2123" s="5">
        <f>SUMIFS('Desenvolvimento diário'!$H:$H,'Desenvolvimento diário'!$Q:$Q,$B2123,'Desenvolvimento diário'!$P:$P,$F2123,'Desenvolvimento diário'!$R:$R,"Sim")</f>
        <v>0</v>
      </c>
      <c r="Q2123" s="5">
        <f>SUMIFS('Desenvolvimento diário'!$H:$H,'Desenvolvimento diário'!$Q:$Q,$B2123,'Desenvolvimento diário'!$P:$P,$F2123,'Desenvolvimento diário'!$R:$R,"Não")</f>
        <v>0</v>
      </c>
      <c r="R2123" s="4">
        <f t="shared" si="656"/>
        <v>0</v>
      </c>
      <c r="S2123" s="4">
        <f t="shared" si="657"/>
        <v>0</v>
      </c>
      <c r="T2123" s="12">
        <f t="shared" si="659"/>
        <v>0</v>
      </c>
      <c r="Y2123" s="2"/>
      <c r="Z2123" s="2"/>
      <c r="AA2123" s="2"/>
      <c r="AB2123" s="2"/>
      <c r="AC2123" s="2"/>
    </row>
    <row r="2124" spans="1:29" ht="10.5" hidden="1">
      <c r="A2124" s="2">
        <f t="shared" si="658"/>
        <v>61</v>
      </c>
      <c r="B2124" s="2" t="str">
        <f>VLOOKUP($A2124,Controle!$B$4:$F$68,2,FALSE)</f>
        <v>Ouro Fino 2</v>
      </c>
      <c r="C2124" s="2" t="str">
        <f>VLOOKUP($A2124,Controle!$B$4:$F$68,3,FALSE)</f>
        <v>MORI MINAS IV</v>
      </c>
      <c r="D2124" s="2" t="str">
        <f>VLOOKUP($A2124,Controle!$B$4:$F$68,4,FALSE)</f>
        <v>NewCo IV</v>
      </c>
      <c r="E2124" s="2">
        <f>VLOOKUP($A2124,Controle!$B$4:$F$68,5,FALSE)</f>
        <v>3</v>
      </c>
      <c r="F2124" s="3" t="str">
        <f>F2089</f>
        <v>Escopo COMERC</v>
      </c>
      <c r="G2124" s="2" t="str">
        <f>VLOOKUP($A2124,Controle!$B$4:$G$68,6,FALSE)</f>
        <v>Solatio</v>
      </c>
      <c r="H2124" s="6">
        <v>0</v>
      </c>
      <c r="I2124" s="6">
        <v>631145.18999999983</v>
      </c>
      <c r="J2124" s="29">
        <v>24000</v>
      </c>
      <c r="K2124" s="29"/>
      <c r="L2124" s="6">
        <v>0</v>
      </c>
      <c r="M2124" s="6">
        <v>0</v>
      </c>
      <c r="N2124" s="6">
        <v>0</v>
      </c>
      <c r="O2124" s="4">
        <f t="shared" si="655"/>
        <v>655145.18999999983</v>
      </c>
      <c r="P2124" s="5">
        <f>SUMIFS('Desenvolvimento diário'!$H:$H,'Desenvolvimento diário'!$Q:$Q,$B2124,'Desenvolvimento diário'!$P:$P,$F2124,'Desenvolvimento diário'!$R:$R,"Sim")</f>
        <v>0</v>
      </c>
      <c r="Q2124" s="5">
        <f>SUMIFS('Desenvolvimento diário'!$H:$H,'Desenvolvimento diário'!$Q:$Q,$B2124,'Desenvolvimento diário'!$P:$P,$F2124,'Desenvolvimento diário'!$R:$R,"Não")</f>
        <v>632143.96999999986</v>
      </c>
      <c r="R2124" s="4">
        <f t="shared" si="656"/>
        <v>632143.96999999986</v>
      </c>
      <c r="S2124" s="1010">
        <f t="shared" si="657"/>
        <v>23001.219999999972</v>
      </c>
      <c r="T2124" s="12">
        <f t="shared" si="659"/>
        <v>0.96489141590126004</v>
      </c>
      <c r="U2124" s="1011" t="s">
        <v>166</v>
      </c>
      <c r="V2124" s="1011" t="s">
        <v>167</v>
      </c>
      <c r="Y2124" s="2"/>
      <c r="Z2124" s="2"/>
      <c r="AA2124" s="2"/>
      <c r="AB2124" s="2"/>
      <c r="AC2124" s="2"/>
    </row>
    <row r="2125" spans="1:29" ht="10.5" hidden="1">
      <c r="A2125" s="2">
        <f t="shared" si="658"/>
        <v>61</v>
      </c>
      <c r="B2125" s="2" t="str">
        <f>VLOOKUP($A2125,Controle!$B$4:$F$68,2,FALSE)</f>
        <v>Ouro Fino 2</v>
      </c>
      <c r="C2125" s="2" t="str">
        <f>VLOOKUP($A2125,Controle!$B$4:$F$68,3,FALSE)</f>
        <v>MORI MINAS IV</v>
      </c>
      <c r="D2125" s="2" t="str">
        <f>VLOOKUP($A2125,Controle!$B$4:$F$68,4,FALSE)</f>
        <v>NewCo IV</v>
      </c>
      <c r="E2125" s="2">
        <f>VLOOKUP($A2125,Controle!$B$4:$F$68,5,FALSE)</f>
        <v>3</v>
      </c>
      <c r="F2125" s="3" t="str">
        <f>F2090</f>
        <v>Escopo COMERC - Segurança</v>
      </c>
      <c r="G2125" s="2" t="str">
        <f>VLOOKUP($A2125,Controle!$B$4:$G$68,6,FALSE)</f>
        <v>Solatio</v>
      </c>
      <c r="H2125" s="6">
        <v>0</v>
      </c>
      <c r="I2125" s="6">
        <f t="shared" ref="I2124:I2125" si="660">R2125</f>
        <v>508150.42000000004</v>
      </c>
      <c r="J2125" s="6">
        <v>0</v>
      </c>
      <c r="K2125" s="6">
        <v>0</v>
      </c>
      <c r="L2125" s="6">
        <v>0</v>
      </c>
      <c r="M2125" s="6">
        <v>0</v>
      </c>
      <c r="N2125" s="6">
        <v>0</v>
      </c>
      <c r="O2125" s="4">
        <f t="shared" si="655"/>
        <v>508150.42000000004</v>
      </c>
      <c r="P2125" s="5">
        <f>SUMIFS('Desenvolvimento diário'!$H:$H,'Desenvolvimento diário'!$Q:$Q,$B2125,'Desenvolvimento diário'!$P:$P,$F2125,'Desenvolvimento diário'!$R:$R,"Sim")</f>
        <v>0</v>
      </c>
      <c r="Q2125" s="5">
        <f>SUMIFS('Desenvolvimento diário'!$H:$H,'Desenvolvimento diário'!$Q:$Q,$B2125,'Desenvolvimento diário'!$P:$P,$F2125,'Desenvolvimento diário'!$R:$R,"Não")</f>
        <v>508150.42000000004</v>
      </c>
      <c r="R2125" s="4">
        <f t="shared" si="656"/>
        <v>508150.42000000004</v>
      </c>
      <c r="S2125" s="4">
        <f t="shared" si="657"/>
        <v>0</v>
      </c>
      <c r="T2125" s="12">
        <f t="shared" si="659"/>
        <v>1</v>
      </c>
      <c r="Y2125" s="2"/>
      <c r="Z2125" s="2"/>
      <c r="AA2125" s="2"/>
      <c r="AB2125" s="2"/>
      <c r="AC2125" s="2"/>
    </row>
    <row r="2126" spans="1:29" ht="10.5" hidden="1">
      <c r="A2126" s="2">
        <f t="shared" si="658"/>
        <v>61</v>
      </c>
      <c r="B2126" s="2" t="str">
        <f>VLOOKUP($A2126,Controle!$B$4:$F$68,2,FALSE)</f>
        <v>Ouro Fino 2</v>
      </c>
      <c r="C2126" s="2" t="str">
        <f>VLOOKUP($A2126,Controle!$B$4:$F$68,3,FALSE)</f>
        <v>MORI MINAS IV</v>
      </c>
      <c r="D2126" s="2" t="str">
        <f>VLOOKUP($A2126,Controle!$B$4:$F$68,4,FALSE)</f>
        <v>NewCo IV</v>
      </c>
      <c r="E2126" s="2">
        <f>VLOOKUP($A2126,Controle!$B$4:$F$68,5,FALSE)</f>
        <v>3</v>
      </c>
      <c r="F2126" s="3" t="str">
        <f>F2091</f>
        <v>Conexão MT - Obras Transferencia</v>
      </c>
      <c r="G2126" s="2" t="str">
        <f>VLOOKUP($A2126,Controle!$B$4:$G$68,6,FALSE)</f>
        <v>Solatio</v>
      </c>
      <c r="H2126" s="6">
        <v>0</v>
      </c>
      <c r="I2126" s="6">
        <v>0</v>
      </c>
      <c r="J2126" s="6">
        <v>0</v>
      </c>
      <c r="K2126" s="6">
        <v>0</v>
      </c>
      <c r="L2126" s="6">
        <v>0</v>
      </c>
      <c r="M2126" s="6">
        <v>0</v>
      </c>
      <c r="N2126" s="6">
        <v>0</v>
      </c>
      <c r="O2126" s="4">
        <f t="shared" si="655"/>
        <v>0</v>
      </c>
      <c r="P2126" s="5">
        <f>SUMIFS('Desenvolvimento diário'!$H:$H,'Desenvolvimento diário'!$Q:$Q,$B2126,'Desenvolvimento diário'!$P:$P,$F2126,'Desenvolvimento diário'!$R:$R,"Sim")</f>
        <v>0</v>
      </c>
      <c r="Q2126" s="5">
        <f>SUMIFS('Desenvolvimento diário'!$H:$H,'Desenvolvimento diário'!$Q:$Q,$B2126,'Desenvolvimento diário'!$P:$P,$F2126,'Desenvolvimento diário'!$R:$R,"Não")</f>
        <v>0</v>
      </c>
      <c r="R2126" s="4">
        <f t="shared" si="656"/>
        <v>0</v>
      </c>
      <c r="S2126" s="4">
        <f t="shared" si="657"/>
        <v>0</v>
      </c>
      <c r="T2126" s="12">
        <f t="shared" si="659"/>
        <v>0</v>
      </c>
      <c r="Y2126" s="2"/>
      <c r="Z2126" s="2"/>
      <c r="AA2126" s="2"/>
      <c r="AB2126" s="2"/>
      <c r="AC2126" s="2"/>
    </row>
    <row r="2127" spans="1:29" ht="10.5" hidden="1">
      <c r="A2127" s="2">
        <f t="shared" si="658"/>
        <v>61</v>
      </c>
      <c r="B2127" s="2" t="str">
        <f>VLOOKUP($A2127,Controle!$B$4:$F$68,2,FALSE)</f>
        <v>Ouro Fino 2</v>
      </c>
      <c r="C2127" s="2" t="str">
        <f>VLOOKUP($A2127,Controle!$B$4:$F$68,3,FALSE)</f>
        <v>MORI MINAS IV</v>
      </c>
      <c r="D2127" s="2" t="str">
        <f>VLOOKUP($A2127,Controle!$B$4:$F$68,4,FALSE)</f>
        <v>NewCo IV</v>
      </c>
      <c r="E2127" s="2">
        <f>VLOOKUP($A2127,Controle!$B$4:$F$68,5,FALSE)</f>
        <v>3</v>
      </c>
      <c r="F2127" s="3" t="str">
        <f>F2092</f>
        <v>Bases de Contaniers</v>
      </c>
      <c r="G2127" s="2" t="str">
        <f>VLOOKUP($A2127,Controle!$B$4:$G$68,6,FALSE)</f>
        <v>Solatio</v>
      </c>
      <c r="H2127" s="6">
        <v>0</v>
      </c>
      <c r="I2127" s="6">
        <v>0</v>
      </c>
      <c r="J2127" s="6">
        <v>0</v>
      </c>
      <c r="K2127" s="6">
        <v>0</v>
      </c>
      <c r="L2127" s="6">
        <v>0</v>
      </c>
      <c r="M2127" s="6">
        <v>0</v>
      </c>
      <c r="N2127" s="6">
        <v>0</v>
      </c>
      <c r="O2127" s="4">
        <f t="shared" si="655"/>
        <v>0</v>
      </c>
      <c r="P2127" s="5">
        <f>SUMIFS('Desenvolvimento diário'!$H:$H,'Desenvolvimento diário'!$Q:$Q,$B2127,'Desenvolvimento diário'!$P:$P,$F2127,'Desenvolvimento diário'!$R:$R,"Sim")</f>
        <v>0</v>
      </c>
      <c r="Q2127" s="5">
        <f>SUMIFS('Desenvolvimento diário'!$H:$H,'Desenvolvimento diário'!$Q:$Q,$B2127,'Desenvolvimento diário'!$P:$P,$F2127,'Desenvolvimento diário'!$R:$R,"Não")</f>
        <v>0</v>
      </c>
      <c r="R2127" s="4">
        <f t="shared" si="656"/>
        <v>0</v>
      </c>
      <c r="S2127" s="4">
        <f t="shared" si="657"/>
        <v>0</v>
      </c>
      <c r="T2127" s="12">
        <f t="shared" si="659"/>
        <v>0</v>
      </c>
      <c r="Y2127" s="2"/>
      <c r="Z2127" s="2"/>
      <c r="AA2127" s="2"/>
      <c r="AB2127" s="2"/>
      <c r="AC2127" s="2"/>
    </row>
    <row r="2128" spans="1:29" ht="10.5" hidden="1">
      <c r="A2128" s="2">
        <f t="shared" si="658"/>
        <v>61</v>
      </c>
      <c r="B2128" s="2" t="str">
        <f>VLOOKUP($A2128,Controle!$B$4:$F$68,2,FALSE)</f>
        <v>Ouro Fino 2</v>
      </c>
      <c r="C2128" s="2" t="str">
        <f>VLOOKUP($A2128,Controle!$B$4:$F$68,3,FALSE)</f>
        <v>MORI MINAS IV</v>
      </c>
      <c r="D2128" s="2" t="str">
        <f>VLOOKUP($A2128,Controle!$B$4:$F$68,4,FALSE)</f>
        <v>NewCo IV</v>
      </c>
      <c r="E2128" s="2">
        <f>VLOOKUP($A2128,Controle!$B$4:$F$68,5,FALSE)</f>
        <v>3</v>
      </c>
      <c r="F2128" s="3" t="str">
        <f>F2093</f>
        <v>Construção - Serviços de Construção - Ase Engenharia</v>
      </c>
      <c r="G2128" s="2" t="str">
        <f>VLOOKUP($A2128,Controle!$B$4:$G$68,6,FALSE)</f>
        <v>Solatio</v>
      </c>
      <c r="H2128" s="6" t="s">
        <v>238</v>
      </c>
      <c r="I2128" s="6">
        <v>1404080.5</v>
      </c>
      <c r="J2128" s="6">
        <v>274036.51</v>
      </c>
      <c r="K2128" s="6">
        <v>0</v>
      </c>
      <c r="L2128" s="6">
        <v>0</v>
      </c>
      <c r="M2128" s="6">
        <v>0</v>
      </c>
      <c r="N2128" s="6">
        <v>0</v>
      </c>
      <c r="O2128" s="4">
        <f t="shared" si="655"/>
        <v>1678117.01</v>
      </c>
      <c r="P2128" s="5">
        <f>SUMIFS('Desenvolvimento diário'!$H:$H,'Desenvolvimento diário'!$Q:$Q,$B2128,'Desenvolvimento diário'!$P:$P,$F2128,'Desenvolvimento diário'!$R:$R,"Sim")</f>
        <v>0</v>
      </c>
      <c r="Q2128" s="5">
        <f>SUMIFS('Desenvolvimento diário'!$H:$H,'Desenvolvimento diário'!$Q:$Q,$B2128,'Desenvolvimento diário'!$P:$P,$F2128,'Desenvolvimento diário'!$R:$R,"Não")</f>
        <v>1672603.9799999997</v>
      </c>
      <c r="R2128" s="4">
        <f t="shared" si="656"/>
        <v>1672603.9799999997</v>
      </c>
      <c r="S2128" s="4">
        <f t="shared" si="657"/>
        <v>5513.0300000002608</v>
      </c>
      <c r="T2128" s="12">
        <f t="shared" si="659"/>
        <v>0.99671475232826567</v>
      </c>
      <c r="U2128" s="2" t="s">
        <v>166</v>
      </c>
      <c r="V2128" s="2" t="s">
        <v>239</v>
      </c>
      <c r="Y2128" s="2"/>
      <c r="Z2128" s="2"/>
      <c r="AA2128" s="2"/>
      <c r="AB2128" s="2"/>
      <c r="AC2128" s="2"/>
    </row>
    <row r="2129" spans="1:29" ht="10.5" hidden="1">
      <c r="A2129" s="2">
        <f t="shared" si="658"/>
        <v>61</v>
      </c>
      <c r="B2129" s="2" t="str">
        <f>VLOOKUP($A2129,Controle!$B$4:$F$68,2,FALSE)</f>
        <v>Ouro Fino 2</v>
      </c>
      <c r="C2129" s="2" t="str">
        <f>VLOOKUP($A2129,Controle!$B$4:$F$68,3,FALSE)</f>
        <v>MORI MINAS IV</v>
      </c>
      <c r="D2129" s="2" t="str">
        <f>VLOOKUP($A2129,Controle!$B$4:$F$68,4,FALSE)</f>
        <v>NewCo IV</v>
      </c>
      <c r="E2129" s="2">
        <f>VLOOKUP($A2129,Controle!$B$4:$F$68,5,FALSE)</f>
        <v>3</v>
      </c>
      <c r="F2129" s="3" t="str">
        <f>F2094</f>
        <v>Full EPC - Contrato Sobressalentes</v>
      </c>
      <c r="G2129" s="2" t="str">
        <f>VLOOKUP($A2129,Controle!$B$4:$G$68,6,FALSE)</f>
        <v>Solatio</v>
      </c>
      <c r="H2129" s="6">
        <v>0</v>
      </c>
      <c r="I2129" s="6">
        <v>0</v>
      </c>
      <c r="J2129" s="6">
        <v>0</v>
      </c>
      <c r="K2129" s="6">
        <v>0</v>
      </c>
      <c r="L2129" s="6">
        <v>0</v>
      </c>
      <c r="M2129" s="6">
        <v>0</v>
      </c>
      <c r="N2129" s="6">
        <v>0</v>
      </c>
      <c r="O2129" s="4">
        <f t="shared" si="655"/>
        <v>0</v>
      </c>
      <c r="P2129" s="5">
        <f>SUMIFS('Desenvolvimento diário'!$H:$H,'Desenvolvimento diário'!$Q:$Q,$B2129,'Desenvolvimento diário'!$P:$P,$F2129,'Desenvolvimento diário'!$R:$R,"Sim")</f>
        <v>0</v>
      </c>
      <c r="Q2129" s="5">
        <f>SUMIFS('Desenvolvimento diário'!$H:$H,'Desenvolvimento diário'!$Q:$Q,$B2129,'Desenvolvimento diário'!$P:$P,$F2129,'Desenvolvimento diário'!$R:$R,"Não")</f>
        <v>0</v>
      </c>
      <c r="R2129" s="4">
        <f t="shared" si="656"/>
        <v>0</v>
      </c>
      <c r="S2129" s="4">
        <f t="shared" si="657"/>
        <v>0</v>
      </c>
      <c r="T2129" s="12">
        <f t="shared" si="659"/>
        <v>0</v>
      </c>
      <c r="Y2129" s="2"/>
      <c r="Z2129" s="2"/>
      <c r="AA2129" s="2"/>
      <c r="AB2129" s="2"/>
      <c r="AC2129" s="2"/>
    </row>
    <row r="2130" spans="1:29" ht="10.5" hidden="1">
      <c r="A2130" s="2">
        <f t="shared" si="658"/>
        <v>61</v>
      </c>
      <c r="B2130" s="2" t="str">
        <f>VLOOKUP($A2130,Controle!$B$4:$F$68,2,FALSE)</f>
        <v>Ouro Fino 2</v>
      </c>
      <c r="C2130" s="2" t="str">
        <f>VLOOKUP($A2130,Controle!$B$4:$F$68,3,FALSE)</f>
        <v>MORI MINAS IV</v>
      </c>
      <c r="D2130" s="2" t="str">
        <f>VLOOKUP($A2130,Controle!$B$4:$F$68,4,FALSE)</f>
        <v>NewCo IV</v>
      </c>
      <c r="E2130" s="2">
        <f>VLOOKUP($A2130,Controle!$B$4:$F$68,5,FALSE)</f>
        <v>3</v>
      </c>
      <c r="F2130" s="3" t="str">
        <f>F2095</f>
        <v>Construção - Serviços de Construção - NOVA MORADA</v>
      </c>
      <c r="G2130" s="2" t="str">
        <f>VLOOKUP($A2130,Controle!$B$4:$G$68,6,FALSE)</f>
        <v>Solatio</v>
      </c>
      <c r="H2130" s="6">
        <v>0</v>
      </c>
      <c r="I2130" s="6">
        <v>0</v>
      </c>
      <c r="J2130" s="6">
        <v>0</v>
      </c>
      <c r="K2130" s="6">
        <v>0</v>
      </c>
      <c r="L2130" s="6">
        <v>0</v>
      </c>
      <c r="M2130" s="6">
        <v>0</v>
      </c>
      <c r="N2130" s="6">
        <v>0</v>
      </c>
      <c r="O2130" s="4">
        <f t="shared" si="655"/>
        <v>0</v>
      </c>
      <c r="P2130" s="5">
        <f>SUMIFS('Desenvolvimento diário'!$H:$H,'Desenvolvimento diário'!$Q:$Q,$B2130,'Desenvolvimento diário'!$P:$P,$F2130,'Desenvolvimento diário'!$R:$R,"Sim")</f>
        <v>0</v>
      </c>
      <c r="Q2130" s="5">
        <f>SUMIFS('Desenvolvimento diário'!$H:$H,'Desenvolvimento diário'!$Q:$Q,$B2130,'Desenvolvimento diário'!$P:$P,$F2130,'Desenvolvimento diário'!$R:$R,"Não")</f>
        <v>0</v>
      </c>
      <c r="R2130" s="4">
        <f t="shared" si="656"/>
        <v>0</v>
      </c>
      <c r="S2130" s="4">
        <f t="shared" si="657"/>
        <v>0</v>
      </c>
      <c r="T2130" s="12">
        <f t="shared" si="659"/>
        <v>0</v>
      </c>
      <c r="Y2130" s="2"/>
      <c r="Z2130" s="2"/>
      <c r="AA2130" s="2"/>
      <c r="AB2130" s="2"/>
      <c r="AC2130" s="2"/>
    </row>
    <row r="2131" spans="1:29" ht="10.5" hidden="1">
      <c r="A2131" s="2">
        <f t="shared" si="658"/>
        <v>61</v>
      </c>
      <c r="B2131" s="2" t="str">
        <f>VLOOKUP($A2131,Controle!$B$4:$F$68,2,FALSE)</f>
        <v>Ouro Fino 2</v>
      </c>
      <c r="C2131" s="2" t="str">
        <f>VLOOKUP($A2131,Controle!$B$4:$F$68,3,FALSE)</f>
        <v>MORI MINAS IV</v>
      </c>
      <c r="D2131" s="2" t="str">
        <f>VLOOKUP($A2131,Controle!$B$4:$F$68,4,FALSE)</f>
        <v>NewCo IV</v>
      </c>
      <c r="E2131" s="2">
        <f>VLOOKUP($A2131,Controle!$B$4:$F$68,5,FALSE)</f>
        <v>3</v>
      </c>
      <c r="F2131" s="3" t="str">
        <f t="shared" ref="F2131:F2135" si="661">F2096</f>
        <v>Equipamentos Curva A -  Contrato Sobressalentes - SETTA</v>
      </c>
      <c r="G2131" s="2" t="str">
        <f>VLOOKUP($A2131,Controle!$B$4:$G$68,6,FALSE)</f>
        <v>Solatio</v>
      </c>
      <c r="H2131" s="6">
        <v>0</v>
      </c>
      <c r="I2131" s="6">
        <v>0</v>
      </c>
      <c r="J2131" s="6">
        <v>0</v>
      </c>
      <c r="K2131" s="6">
        <v>0</v>
      </c>
      <c r="L2131" s="6">
        <v>0</v>
      </c>
      <c r="M2131" s="6">
        <v>0</v>
      </c>
      <c r="N2131" s="6">
        <v>0</v>
      </c>
      <c r="O2131" s="4">
        <f t="shared" si="655"/>
        <v>0</v>
      </c>
      <c r="P2131" s="5">
        <f>SUMIFS('Desenvolvimento diário'!$H:$H,'Desenvolvimento diário'!$Q:$Q,$B2131,'Desenvolvimento diário'!$P:$P,$F2131,'Desenvolvimento diário'!$R:$R,"Sim")</f>
        <v>0</v>
      </c>
      <c r="Q2131" s="5">
        <f>SUMIFS('Desenvolvimento diário'!$H:$H,'Desenvolvimento diário'!$Q:$Q,$B2131,'Desenvolvimento diário'!$P:$P,$F2131,'Desenvolvimento diário'!$R:$R,"Não")</f>
        <v>0</v>
      </c>
      <c r="R2131" s="4">
        <f t="shared" si="656"/>
        <v>0</v>
      </c>
      <c r="S2131" s="4">
        <f t="shared" si="657"/>
        <v>0</v>
      </c>
      <c r="T2131" s="12">
        <f t="shared" si="659"/>
        <v>0</v>
      </c>
      <c r="Y2131" s="2"/>
      <c r="Z2131" s="2"/>
      <c r="AA2131" s="2"/>
      <c r="AB2131" s="2"/>
      <c r="AC2131" s="2"/>
    </row>
    <row r="2132" spans="1:29" ht="10.5" hidden="1">
      <c r="A2132" s="2">
        <f t="shared" si="658"/>
        <v>61</v>
      </c>
      <c r="B2132" s="2" t="str">
        <f>VLOOKUP($A2132,Controle!$B$4:$F$68,2,FALSE)</f>
        <v>Ouro Fino 2</v>
      </c>
      <c r="C2132" s="2" t="str">
        <f>VLOOKUP($A2132,Controle!$B$4:$F$68,3,FALSE)</f>
        <v>MORI MINAS IV</v>
      </c>
      <c r="D2132" s="2" t="str">
        <f>VLOOKUP($A2132,Controle!$B$4:$F$68,4,FALSE)</f>
        <v>NewCo IV</v>
      </c>
      <c r="E2132" s="2">
        <f>VLOOKUP($A2132,Controle!$B$4:$F$68,5,FALSE)</f>
        <v>3</v>
      </c>
      <c r="F2132" s="3" t="str">
        <f t="shared" si="661"/>
        <v>Equipamentos Curva A -  Contrato Sobressalentes - Arctech</v>
      </c>
      <c r="G2132" s="2" t="str">
        <f>VLOOKUP($A2132,Controle!$B$4:$G$68,6,FALSE)</f>
        <v>Solatio</v>
      </c>
      <c r="H2132" s="6">
        <v>0</v>
      </c>
      <c r="I2132" s="6">
        <v>0</v>
      </c>
      <c r="J2132" s="6">
        <v>0</v>
      </c>
      <c r="K2132" s="6">
        <v>0</v>
      </c>
      <c r="L2132" s="6">
        <v>0</v>
      </c>
      <c r="M2132" s="6">
        <v>0</v>
      </c>
      <c r="N2132" s="6">
        <v>0</v>
      </c>
      <c r="O2132" s="4">
        <f t="shared" si="655"/>
        <v>0</v>
      </c>
      <c r="P2132" s="5">
        <f>SUMIFS('Desenvolvimento diário'!$H:$H,'Desenvolvimento diário'!$Q:$Q,$B2132,'Desenvolvimento diário'!$P:$P,$F2132,'Desenvolvimento diário'!$R:$R,"Sim")</f>
        <v>0</v>
      </c>
      <c r="Q2132" s="5">
        <f>SUMIFS('Desenvolvimento diário'!$H:$H,'Desenvolvimento diário'!$Q:$Q,$B2132,'Desenvolvimento diário'!$P:$P,$F2132,'Desenvolvimento diário'!$R:$R,"Não")</f>
        <v>0</v>
      </c>
      <c r="R2132" s="4">
        <f t="shared" si="656"/>
        <v>0</v>
      </c>
      <c r="S2132" s="4">
        <f t="shared" si="657"/>
        <v>0</v>
      </c>
      <c r="T2132" s="12">
        <f t="shared" si="659"/>
        <v>0</v>
      </c>
      <c r="Y2132" s="2"/>
      <c r="Z2132" s="2"/>
      <c r="AA2132" s="2"/>
      <c r="AB2132" s="2"/>
      <c r="AC2132" s="2"/>
    </row>
    <row r="2133" spans="1:29" hidden="1">
      <c r="A2133" s="2">
        <f t="shared" si="658"/>
        <v>61</v>
      </c>
      <c r="B2133" s="2" t="str">
        <f>VLOOKUP($A2133,Controle!$B$4:$F$68,2,FALSE)</f>
        <v>Ouro Fino 2</v>
      </c>
      <c r="C2133" s="2" t="str">
        <f>VLOOKUP($A2133,Controle!$B$4:$F$68,3,FALSE)</f>
        <v>MORI MINAS IV</v>
      </c>
      <c r="D2133" s="2" t="str">
        <f>VLOOKUP($A2133,Controle!$B$4:$F$68,4,FALSE)</f>
        <v>NewCo IV</v>
      </c>
      <c r="E2133" s="2">
        <f>VLOOKUP($A2133,Controle!$B$4:$F$68,5,FALSE)</f>
        <v>3</v>
      </c>
      <c r="F2133" s="3" t="str">
        <f t="shared" si="661"/>
        <v>Equipamentos Curva A -  Contrato Sobressalentes - Romagnole</v>
      </c>
      <c r="G2133" s="2" t="str">
        <f>VLOOKUP($A2133,Controle!$B$4:$G$68,6,FALSE)</f>
        <v>Solatio</v>
      </c>
      <c r="H2133" s="7">
        <v>0</v>
      </c>
      <c r="I2133" s="7">
        <v>0</v>
      </c>
      <c r="J2133" s="7">
        <v>0</v>
      </c>
      <c r="K2133" s="7">
        <v>0</v>
      </c>
      <c r="L2133" s="7">
        <v>0</v>
      </c>
      <c r="M2133" s="7">
        <v>0</v>
      </c>
      <c r="N2133" s="7">
        <v>0</v>
      </c>
      <c r="O2133" s="4">
        <f t="shared" si="655"/>
        <v>0</v>
      </c>
      <c r="P2133" s="17">
        <f>SUMIFS('Desenvolvimento diário'!$H:$H,'Desenvolvimento diário'!$Q:$Q,$B2133,'Desenvolvimento diário'!$P:$P,$F2133,'Desenvolvimento diário'!$R:$R,"Sim")</f>
        <v>0</v>
      </c>
      <c r="Q2133" s="17">
        <f>SUMIFS('Desenvolvimento diário'!$H:$H,'Desenvolvimento diário'!$Q:$Q,$B2133,'Desenvolvimento diário'!$P:$P,$F2133,'Desenvolvimento diário'!$R:$R,"Não")</f>
        <v>0</v>
      </c>
      <c r="R2133" s="4">
        <f t="shared" si="656"/>
        <v>0</v>
      </c>
      <c r="S2133" s="4">
        <f t="shared" si="657"/>
        <v>0</v>
      </c>
      <c r="T2133" s="12">
        <f t="shared" si="659"/>
        <v>0</v>
      </c>
      <c r="Y2133" s="2"/>
      <c r="Z2133" s="2"/>
      <c r="AA2133" s="2"/>
      <c r="AB2133" s="2"/>
      <c r="AC2133" s="2"/>
    </row>
    <row r="2134" spans="1:29" hidden="1">
      <c r="A2134" s="2">
        <f t="shared" si="658"/>
        <v>61</v>
      </c>
      <c r="B2134" s="2" t="str">
        <f>VLOOKUP($A2134,Controle!$B$4:$F$68,2,FALSE)</f>
        <v>Ouro Fino 2</v>
      </c>
      <c r="C2134" s="2" t="str">
        <f>VLOOKUP($A2134,Controle!$B$4:$F$68,3,FALSE)</f>
        <v>MORI MINAS IV</v>
      </c>
      <c r="D2134" s="2" t="str">
        <f>VLOOKUP($A2134,Controle!$B$4:$F$68,4,FALSE)</f>
        <v>NewCo IV</v>
      </c>
      <c r="E2134" s="2">
        <f>VLOOKUP($A2134,Controle!$B$4:$F$68,5,FALSE)</f>
        <v>3</v>
      </c>
      <c r="F2134" s="3" t="str">
        <f t="shared" si="661"/>
        <v>GOS FLORESTAL - (PRAD - Recuperação Area Ambiental)</v>
      </c>
      <c r="G2134" s="2" t="str">
        <f>VLOOKUP($A2134,Controle!$B$4:$G$68,6,FALSE)</f>
        <v>Solatio</v>
      </c>
      <c r="H2134" s="506" t="s">
        <v>170</v>
      </c>
      <c r="I2134" s="7">
        <v>0</v>
      </c>
      <c r="J2134" s="7">
        <v>0</v>
      </c>
      <c r="K2134" s="7">
        <v>0</v>
      </c>
      <c r="L2134" s="7">
        <v>0</v>
      </c>
      <c r="M2134" s="7">
        <v>0</v>
      </c>
      <c r="N2134" s="7">
        <v>0</v>
      </c>
      <c r="O2134" s="39">
        <f t="shared" si="655"/>
        <v>0</v>
      </c>
      <c r="P2134" s="17">
        <f>SUMIFS('Desenvolvimento diário'!$H:$H,'Desenvolvimento diário'!$Q:$Q,$B2134,'Desenvolvimento diário'!$P:$P,$F2134,'Desenvolvimento diário'!$R:$R,"Sim")</f>
        <v>0</v>
      </c>
      <c r="Q2134" s="17">
        <f>SUMIFS('Desenvolvimento diário'!$H:$H,'Desenvolvimento diário'!$Q:$Q,$B2134,'Desenvolvimento diário'!$P:$P,$F2134,'Desenvolvimento diário'!$R:$R,"Não")</f>
        <v>0</v>
      </c>
      <c r="R2134" s="4">
        <f t="shared" si="656"/>
        <v>0</v>
      </c>
      <c r="S2134" s="4">
        <f t="shared" si="657"/>
        <v>0</v>
      </c>
      <c r="T2134" s="12">
        <f t="shared" si="659"/>
        <v>0</v>
      </c>
      <c r="Y2134" s="2"/>
      <c r="Z2134" s="2"/>
      <c r="AA2134" s="2"/>
      <c r="AB2134" s="2"/>
      <c r="AC2134" s="2"/>
    </row>
    <row r="2135" spans="1:29" hidden="1">
      <c r="A2135" s="2">
        <f t="shared" si="658"/>
        <v>61</v>
      </c>
      <c r="B2135" s="2" t="str">
        <f>VLOOKUP($A2135,Controle!$B$4:$F$68,2,FALSE)</f>
        <v>Ouro Fino 2</v>
      </c>
      <c r="C2135" s="2" t="str">
        <f>VLOOKUP($A2135,Controle!$B$4:$F$68,3,FALSE)</f>
        <v>MORI MINAS IV</v>
      </c>
      <c r="D2135" s="2" t="str">
        <f>VLOOKUP($A2135,Controle!$B$4:$F$68,4,FALSE)</f>
        <v>NewCo IV</v>
      </c>
      <c r="E2135" s="2">
        <f>VLOOKUP($A2135,Controle!$B$4:$F$68,5,FALSE)</f>
        <v>3</v>
      </c>
      <c r="F2135" s="3" t="str">
        <f t="shared" si="661"/>
        <v>Cercamento das bacias de contenção ciclo 2</v>
      </c>
      <c r="G2135" s="2" t="str">
        <f>VLOOKUP($A2135,Controle!$B$4:$G$68,6,FALSE)</f>
        <v>Solatio</v>
      </c>
      <c r="H2135" s="506" t="s">
        <v>172</v>
      </c>
      <c r="I2135" s="6"/>
      <c r="J2135" s="506"/>
      <c r="K2135" s="506">
        <v>0</v>
      </c>
      <c r="L2135" s="506">
        <v>0</v>
      </c>
      <c r="M2135" s="506">
        <v>0</v>
      </c>
      <c r="N2135" s="506">
        <v>0</v>
      </c>
      <c r="O2135" s="39">
        <f t="shared" si="655"/>
        <v>0</v>
      </c>
      <c r="P2135" s="17">
        <f>SUMIFS('Desenvolvimento diário'!$H:$H,'Desenvolvimento diário'!$Q:$Q,$B2135,'Desenvolvimento diário'!$P:$P,$F2135,'Desenvolvimento diário'!$R:$R,"Sim")</f>
        <v>0</v>
      </c>
      <c r="Q2135" s="17">
        <f>SUMIFS('Desenvolvimento diário'!$H:$H,'Desenvolvimento diário'!$Q:$Q,$B2135,'Desenvolvimento diário'!$P:$P,$F2135,'Desenvolvimento diário'!$R:$R,"Não")</f>
        <v>0</v>
      </c>
      <c r="R2135" s="4">
        <f t="shared" si="656"/>
        <v>0</v>
      </c>
      <c r="S2135" s="1030">
        <f t="shared" si="657"/>
        <v>0</v>
      </c>
      <c r="T2135" s="12">
        <f t="shared" si="659"/>
        <v>0</v>
      </c>
      <c r="U2135" s="1029" t="s">
        <v>166</v>
      </c>
      <c r="V2135" s="1029" t="s">
        <v>94</v>
      </c>
      <c r="Y2135" s="2"/>
      <c r="Z2135" s="2"/>
      <c r="AA2135" s="2"/>
      <c r="AB2135" s="2"/>
      <c r="AC2135" s="2"/>
    </row>
    <row r="2136" spans="1:29" hidden="1">
      <c r="A2136" s="8">
        <f>A2133</f>
        <v>61</v>
      </c>
      <c r="B2136" s="9" t="str">
        <f t="shared" ref="B2136" si="662">B2133</f>
        <v>Ouro Fino 2</v>
      </c>
      <c r="C2136" s="9" t="str">
        <f t="shared" ref="C2136" si="663">C2133</f>
        <v>MORI MINAS IV</v>
      </c>
      <c r="D2136" s="9" t="str">
        <f t="shared" ref="D2136" si="664">D2133</f>
        <v>NewCo IV</v>
      </c>
      <c r="E2136" s="9">
        <f t="shared" ref="E2136" si="665">E2133</f>
        <v>3</v>
      </c>
      <c r="F2136" s="10" t="s">
        <v>158</v>
      </c>
      <c r="G2136" s="9" t="str">
        <f>G2133</f>
        <v>Solatio</v>
      </c>
      <c r="H2136" s="9"/>
      <c r="I2136" s="9">
        <f>SUBTOTAL(9,I2102:I2135)</f>
        <v>0</v>
      </c>
      <c r="J2136" s="9">
        <f t="shared" ref="J2136:S2136" si="666">SUBTOTAL(9,J2102:J2135)</f>
        <v>0</v>
      </c>
      <c r="K2136" s="9">
        <f t="shared" si="666"/>
        <v>0</v>
      </c>
      <c r="L2136" s="9">
        <f t="shared" si="666"/>
        <v>0</v>
      </c>
      <c r="M2136" s="9">
        <f t="shared" si="666"/>
        <v>0</v>
      </c>
      <c r="N2136" s="9">
        <f t="shared" si="666"/>
        <v>0</v>
      </c>
      <c r="O2136" s="9">
        <f t="shared" si="666"/>
        <v>0</v>
      </c>
      <c r="P2136" s="9">
        <f t="shared" si="666"/>
        <v>0</v>
      </c>
      <c r="Q2136" s="9">
        <f t="shared" si="666"/>
        <v>0</v>
      </c>
      <c r="R2136" s="9">
        <f t="shared" si="666"/>
        <v>0</v>
      </c>
      <c r="S2136" s="9">
        <f t="shared" si="666"/>
        <v>0</v>
      </c>
      <c r="T2136" s="13">
        <f>IFERROR(R2136/O2136,0)</f>
        <v>0</v>
      </c>
      <c r="U2136" s="11">
        <f>SUBTOTAL(9,U2102:U2135)</f>
        <v>0</v>
      </c>
      <c r="Y2136" s="2"/>
      <c r="Z2136" s="2"/>
      <c r="AA2136" s="2"/>
      <c r="AB2136" s="2"/>
      <c r="AC2136" s="2"/>
    </row>
    <row r="2137" spans="1:29" ht="10.5" hidden="1">
      <c r="A2137" s="2">
        <f>A2102+1</f>
        <v>62</v>
      </c>
      <c r="B2137" s="2" t="str">
        <f>VLOOKUP($A2137,Controle!$B$4:$F$68,2,FALSE)</f>
        <v>Mori II</v>
      </c>
      <c r="C2137" s="2" t="str">
        <f>VLOOKUP($A2137,Controle!$B$4:$F$68,3,FALSE)</f>
        <v xml:space="preserve">MORI GERACAO II </v>
      </c>
      <c r="D2137" s="2" t="str">
        <f>VLOOKUP($A2137,Controle!$B$4:$F$68,4,FALSE)</f>
        <v>Mori II</v>
      </c>
      <c r="E2137" s="2">
        <f>VLOOKUP($A2137,Controle!$B$4:$F$68,5,FALSE)</f>
        <v>0</v>
      </c>
      <c r="F2137" s="3" t="str">
        <f t="shared" ref="F2137:F2167" si="667">F2102</f>
        <v>Conexão AT - Obras</v>
      </c>
      <c r="G2137" s="2" t="str">
        <f>VLOOKUP($A2137,Controle!$B$4:$G$68,6,FALSE)</f>
        <v>Mori</v>
      </c>
      <c r="H2137" s="6">
        <v>0</v>
      </c>
      <c r="I2137" s="5">
        <f t="shared" ref="I2137:I2169" si="668">R2137</f>
        <v>0</v>
      </c>
      <c r="J2137" s="6">
        <v>0</v>
      </c>
      <c r="K2137" s="6">
        <v>0</v>
      </c>
      <c r="L2137" s="6">
        <v>0</v>
      </c>
      <c r="M2137" s="6">
        <v>0</v>
      </c>
      <c r="N2137" s="6">
        <v>0</v>
      </c>
      <c r="O2137" s="4">
        <f t="shared" ref="O2137:O2170" si="669">SUM(I2137:N2137)</f>
        <v>0</v>
      </c>
      <c r="P2137" s="5">
        <f>SUMIFS('Desenvolvimento diário'!$H:$H,'Desenvolvimento diário'!$Q:$Q,$B2137,'Desenvolvimento diário'!$P:$P,$F2137,'Desenvolvimento diário'!$R:$R,"Sim")</f>
        <v>0</v>
      </c>
      <c r="Q2137" s="5">
        <f>SUMIFS('Desenvolvimento diário'!$H:$H,'Desenvolvimento diário'!$Q:$Q,$B2137,'Desenvolvimento diário'!$P:$P,$F2137,'Desenvolvimento diário'!$R:$R,"Não")</f>
        <v>0</v>
      </c>
      <c r="R2137" s="4">
        <f t="shared" ref="R2137:R2170" si="670">SUM(P2137:Q2137)</f>
        <v>0</v>
      </c>
      <c r="S2137" s="4">
        <f>O2137-R2137</f>
        <v>0</v>
      </c>
      <c r="T2137" s="12">
        <f t="shared" si="659"/>
        <v>0</v>
      </c>
      <c r="Y2137" s="2"/>
      <c r="Z2137" s="2"/>
      <c r="AA2137" s="2"/>
      <c r="AB2137" s="2"/>
      <c r="AC2137" s="2"/>
    </row>
    <row r="2138" spans="1:29" ht="10.5" hidden="1">
      <c r="A2138" s="2">
        <f t="shared" si="658"/>
        <v>62</v>
      </c>
      <c r="B2138" s="2" t="str">
        <f>VLOOKUP($A2138,Controle!$B$4:$F$68,2,FALSE)</f>
        <v>Mori II</v>
      </c>
      <c r="C2138" s="2" t="str">
        <f>VLOOKUP($A2138,Controle!$B$4:$F$68,3,FALSE)</f>
        <v xml:space="preserve">MORI GERACAO II </v>
      </c>
      <c r="D2138" s="2" t="str">
        <f>VLOOKUP($A2138,Controle!$B$4:$F$68,4,FALSE)</f>
        <v>Mori II</v>
      </c>
      <c r="E2138" s="2">
        <f>VLOOKUP($A2138,Controle!$B$4:$F$68,5,FALSE)</f>
        <v>0</v>
      </c>
      <c r="F2138" s="3" t="str">
        <f t="shared" si="667"/>
        <v>Conexão MT - Obras</v>
      </c>
      <c r="G2138" s="2" t="str">
        <f>VLOOKUP($A2138,Controle!$B$4:$G$68,6,FALSE)</f>
        <v>Mori</v>
      </c>
      <c r="H2138" s="6">
        <v>0</v>
      </c>
      <c r="I2138" s="5">
        <f t="shared" si="668"/>
        <v>0</v>
      </c>
      <c r="J2138" s="6">
        <v>0</v>
      </c>
      <c r="K2138" s="6">
        <v>0</v>
      </c>
      <c r="L2138" s="6">
        <v>0</v>
      </c>
      <c r="M2138" s="6">
        <v>0</v>
      </c>
      <c r="N2138" s="6">
        <v>0</v>
      </c>
      <c r="O2138" s="4">
        <f t="shared" si="669"/>
        <v>0</v>
      </c>
      <c r="P2138" s="5">
        <f>SUMIFS('Desenvolvimento diário'!$H:$H,'Desenvolvimento diário'!$Q:$Q,$B2138,'Desenvolvimento diário'!$P:$P,$F2138,'Desenvolvimento diário'!$R:$R,"Sim")</f>
        <v>0</v>
      </c>
      <c r="Q2138" s="5">
        <f>SUMIFS('Desenvolvimento diário'!$H:$H,'Desenvolvimento diário'!$Q:$Q,$B2138,'Desenvolvimento diário'!$P:$P,$F2138,'Desenvolvimento diário'!$R:$R,"Não")</f>
        <v>0</v>
      </c>
      <c r="R2138" s="4">
        <f t="shared" si="670"/>
        <v>0</v>
      </c>
      <c r="S2138" s="4">
        <f t="shared" ref="S2137:S2170" si="671">O2138-R2138</f>
        <v>0</v>
      </c>
      <c r="T2138" s="12">
        <f t="shared" si="659"/>
        <v>0</v>
      </c>
      <c r="Y2138" s="2"/>
      <c r="Z2138" s="2"/>
      <c r="AA2138" s="2"/>
      <c r="AB2138" s="2"/>
      <c r="AC2138" s="2"/>
    </row>
    <row r="2139" spans="1:29" ht="10.5" hidden="1">
      <c r="A2139" s="2">
        <f t="shared" si="658"/>
        <v>62</v>
      </c>
      <c r="B2139" s="2" t="str">
        <f>VLOOKUP($A2139,Controle!$B$4:$F$68,2,FALSE)</f>
        <v>Mori II</v>
      </c>
      <c r="C2139" s="2" t="str">
        <f>VLOOKUP($A2139,Controle!$B$4:$F$68,3,FALSE)</f>
        <v xml:space="preserve">MORI GERACAO II </v>
      </c>
      <c r="D2139" s="2" t="str">
        <f>VLOOKUP($A2139,Controle!$B$4:$F$68,4,FALSE)</f>
        <v>Mori II</v>
      </c>
      <c r="E2139" s="2">
        <f>VLOOKUP($A2139,Controle!$B$4:$F$68,5,FALSE)</f>
        <v>0</v>
      </c>
      <c r="F2139" s="3" t="str">
        <f t="shared" si="667"/>
        <v>Construção - Serviços de Construção</v>
      </c>
      <c r="G2139" s="2" t="str">
        <f>VLOOKUP($A2139,Controle!$B$4:$G$68,6,FALSE)</f>
        <v>Mori</v>
      </c>
      <c r="H2139" s="6">
        <v>0</v>
      </c>
      <c r="I2139" s="5">
        <f t="shared" si="668"/>
        <v>0</v>
      </c>
      <c r="J2139" s="6">
        <v>0</v>
      </c>
      <c r="K2139" s="6">
        <v>0</v>
      </c>
      <c r="L2139" s="6">
        <v>0</v>
      </c>
      <c r="M2139" s="6">
        <v>0</v>
      </c>
      <c r="N2139" s="6">
        <v>0</v>
      </c>
      <c r="O2139" s="4">
        <f t="shared" si="669"/>
        <v>0</v>
      </c>
      <c r="P2139" s="5">
        <f>SUMIFS('Desenvolvimento diário'!$H:$H,'Desenvolvimento diário'!$Q:$Q,$B2139,'Desenvolvimento diário'!$P:$P,$F2139,'Desenvolvimento diário'!$R:$R,"Sim")</f>
        <v>0</v>
      </c>
      <c r="Q2139" s="5">
        <f>SUMIFS('Desenvolvimento diário'!$H:$H,'Desenvolvimento diário'!$Q:$Q,$B2139,'Desenvolvimento diário'!$P:$P,$F2139,'Desenvolvimento diário'!$R:$R,"Não")</f>
        <v>0</v>
      </c>
      <c r="R2139" s="4">
        <f t="shared" si="670"/>
        <v>0</v>
      </c>
      <c r="S2139" s="4">
        <f t="shared" si="671"/>
        <v>0</v>
      </c>
      <c r="T2139" s="12">
        <f t="shared" si="659"/>
        <v>0</v>
      </c>
      <c r="Y2139" s="2"/>
      <c r="Z2139" s="2"/>
      <c r="AA2139" s="2"/>
      <c r="AB2139" s="2"/>
      <c r="AC2139" s="2"/>
    </row>
    <row r="2140" spans="1:29" ht="10.5" hidden="1">
      <c r="A2140" s="2">
        <f t="shared" si="658"/>
        <v>62</v>
      </c>
      <c r="B2140" s="2" t="str">
        <f>VLOOKUP($A2140,Controle!$B$4:$F$68,2,FALSE)</f>
        <v>Mori II</v>
      </c>
      <c r="C2140" s="2" t="str">
        <f>VLOOKUP($A2140,Controle!$B$4:$F$68,3,FALSE)</f>
        <v xml:space="preserve">MORI GERACAO II </v>
      </c>
      <c r="D2140" s="2" t="str">
        <f>VLOOKUP($A2140,Controle!$B$4:$F$68,4,FALSE)</f>
        <v>Mori II</v>
      </c>
      <c r="E2140" s="2">
        <f>VLOOKUP($A2140,Controle!$B$4:$F$68,5,FALSE)</f>
        <v>0</v>
      </c>
      <c r="F2140" s="3" t="str">
        <f t="shared" si="667"/>
        <v>Construção - Serviços de Construção - Substituição</v>
      </c>
      <c r="G2140" s="2" t="str">
        <f>VLOOKUP($A2140,Controle!$B$4:$G$68,6,FALSE)</f>
        <v>Mori</v>
      </c>
      <c r="H2140" s="6">
        <v>0</v>
      </c>
      <c r="I2140" s="5">
        <f t="shared" si="668"/>
        <v>0</v>
      </c>
      <c r="J2140" s="6">
        <v>0</v>
      </c>
      <c r="K2140" s="6">
        <v>0</v>
      </c>
      <c r="L2140" s="6">
        <v>0</v>
      </c>
      <c r="M2140" s="6">
        <v>0</v>
      </c>
      <c r="N2140" s="6">
        <v>0</v>
      </c>
      <c r="O2140" s="4">
        <f t="shared" si="669"/>
        <v>0</v>
      </c>
      <c r="P2140" s="5">
        <f>SUMIFS('Desenvolvimento diário'!$H:$H,'Desenvolvimento diário'!$Q:$Q,$B2140,'Desenvolvimento diário'!$P:$P,$F2140,'Desenvolvimento diário'!$R:$R,"Sim")</f>
        <v>0</v>
      </c>
      <c r="Q2140" s="5">
        <f>SUMIFS('Desenvolvimento diário'!$H:$H,'Desenvolvimento diário'!$Q:$Q,$B2140,'Desenvolvimento diário'!$P:$P,$F2140,'Desenvolvimento diário'!$R:$R,"Não")</f>
        <v>0</v>
      </c>
      <c r="R2140" s="4">
        <f t="shared" si="670"/>
        <v>0</v>
      </c>
      <c r="S2140" s="4">
        <f t="shared" si="671"/>
        <v>0</v>
      </c>
      <c r="T2140" s="12">
        <f t="shared" si="659"/>
        <v>0</v>
      </c>
      <c r="Y2140" s="2"/>
      <c r="Z2140" s="2"/>
      <c r="AA2140" s="2"/>
      <c r="AB2140" s="2"/>
      <c r="AC2140" s="2"/>
    </row>
    <row r="2141" spans="1:29" ht="10.5" hidden="1">
      <c r="A2141" s="2">
        <f t="shared" si="658"/>
        <v>62</v>
      </c>
      <c r="B2141" s="2" t="str">
        <f>VLOOKUP($A2141,Controle!$B$4:$F$68,2,FALSE)</f>
        <v>Mori II</v>
      </c>
      <c r="C2141" s="2" t="str">
        <f>VLOOKUP($A2141,Controle!$B$4:$F$68,3,FALSE)</f>
        <v xml:space="preserve">MORI GERACAO II </v>
      </c>
      <c r="D2141" s="2" t="str">
        <f>VLOOKUP($A2141,Controle!$B$4:$F$68,4,FALSE)</f>
        <v>Mori II</v>
      </c>
      <c r="E2141" s="2">
        <f>VLOOKUP($A2141,Controle!$B$4:$F$68,5,FALSE)</f>
        <v>0</v>
      </c>
      <c r="F2141" s="3" t="str">
        <f t="shared" si="667"/>
        <v>Construção - RDA Interno</v>
      </c>
      <c r="G2141" s="2" t="str">
        <f>VLOOKUP($A2141,Controle!$B$4:$G$68,6,FALSE)</f>
        <v>Mori</v>
      </c>
      <c r="H2141" s="6">
        <v>0</v>
      </c>
      <c r="I2141" s="5">
        <f t="shared" si="668"/>
        <v>0</v>
      </c>
      <c r="J2141" s="6">
        <v>0</v>
      </c>
      <c r="K2141" s="6">
        <v>0</v>
      </c>
      <c r="L2141" s="6">
        <v>0</v>
      </c>
      <c r="M2141" s="6">
        <v>0</v>
      </c>
      <c r="N2141" s="6">
        <v>0</v>
      </c>
      <c r="O2141" s="4">
        <f t="shared" si="669"/>
        <v>0</v>
      </c>
      <c r="P2141" s="5">
        <f>SUMIFS('Desenvolvimento diário'!$H:$H,'Desenvolvimento diário'!$Q:$Q,$B2141,'Desenvolvimento diário'!$P:$P,$F2141,'Desenvolvimento diário'!$R:$R,"Sim")</f>
        <v>0</v>
      </c>
      <c r="Q2141" s="5">
        <f>SUMIFS('Desenvolvimento diário'!$H:$H,'Desenvolvimento diário'!$Q:$Q,$B2141,'Desenvolvimento diário'!$P:$P,$F2141,'Desenvolvimento diário'!$R:$R,"Não")</f>
        <v>0</v>
      </c>
      <c r="R2141" s="4">
        <f t="shared" si="670"/>
        <v>0</v>
      </c>
      <c r="S2141" s="4">
        <f t="shared" si="671"/>
        <v>0</v>
      </c>
      <c r="T2141" s="12">
        <f t="shared" si="659"/>
        <v>0</v>
      </c>
      <c r="Y2141" s="2"/>
      <c r="Z2141" s="2"/>
      <c r="AA2141" s="2"/>
      <c r="AB2141" s="2"/>
      <c r="AC2141" s="2"/>
    </row>
    <row r="2142" spans="1:29" ht="10.5" hidden="1">
      <c r="A2142" s="2">
        <f t="shared" si="658"/>
        <v>62</v>
      </c>
      <c r="B2142" s="2" t="str">
        <f>VLOOKUP($A2142,Controle!$B$4:$F$68,2,FALSE)</f>
        <v>Mori II</v>
      </c>
      <c r="C2142" s="2" t="str">
        <f>VLOOKUP($A2142,Controle!$B$4:$F$68,3,FALSE)</f>
        <v xml:space="preserve">MORI GERACAO II </v>
      </c>
      <c r="D2142" s="2" t="str">
        <f>VLOOKUP($A2142,Controle!$B$4:$F$68,4,FALSE)</f>
        <v>Mori II</v>
      </c>
      <c r="E2142" s="2">
        <f>VLOOKUP($A2142,Controle!$B$4:$F$68,5,FALSE)</f>
        <v>0</v>
      </c>
      <c r="F2142" s="3" t="str">
        <f t="shared" si="667"/>
        <v>Full EPC - Contrato</v>
      </c>
      <c r="G2142" s="2" t="str">
        <f>VLOOKUP($A2142,Controle!$B$4:$G$68,6,FALSE)</f>
        <v>Mori</v>
      </c>
      <c r="H2142" s="6">
        <v>0</v>
      </c>
      <c r="I2142" s="5">
        <f t="shared" si="668"/>
        <v>0</v>
      </c>
      <c r="J2142" s="6">
        <v>0</v>
      </c>
      <c r="K2142" s="6">
        <v>0</v>
      </c>
      <c r="L2142" s="6">
        <v>0</v>
      </c>
      <c r="M2142" s="6">
        <v>0</v>
      </c>
      <c r="N2142" s="6">
        <v>0</v>
      </c>
      <c r="O2142" s="4">
        <f t="shared" si="669"/>
        <v>0</v>
      </c>
      <c r="P2142" s="5">
        <f>SUMIFS('Desenvolvimento diário'!$H:$H,'Desenvolvimento diário'!$Q:$Q,$B2142,'Desenvolvimento diário'!$P:$P,$F2142,'Desenvolvimento diário'!$R:$R,"Sim")</f>
        <v>0</v>
      </c>
      <c r="Q2142" s="5">
        <f>SUMIFS('Desenvolvimento diário'!$H:$H,'Desenvolvimento diário'!$Q:$Q,$B2142,'Desenvolvimento diário'!$P:$P,$F2142,'Desenvolvimento diário'!$R:$R,"Não")</f>
        <v>0</v>
      </c>
      <c r="R2142" s="4">
        <f t="shared" si="670"/>
        <v>0</v>
      </c>
      <c r="S2142" s="4">
        <f t="shared" si="671"/>
        <v>0</v>
      </c>
      <c r="T2142" s="12">
        <f t="shared" si="659"/>
        <v>0</v>
      </c>
      <c r="Y2142" s="2"/>
      <c r="Z2142" s="2"/>
      <c r="AA2142" s="2"/>
      <c r="AB2142" s="2"/>
      <c r="AC2142" s="2"/>
    </row>
    <row r="2143" spans="1:29" ht="10.5" hidden="1">
      <c r="A2143" s="2">
        <f t="shared" si="658"/>
        <v>62</v>
      </c>
      <c r="B2143" s="2" t="str">
        <f>VLOOKUP($A2143,Controle!$B$4:$F$68,2,FALSE)</f>
        <v>Mori II</v>
      </c>
      <c r="C2143" s="2" t="str">
        <f>VLOOKUP($A2143,Controle!$B$4:$F$68,3,FALSE)</f>
        <v xml:space="preserve">MORI GERACAO II </v>
      </c>
      <c r="D2143" s="2" t="str">
        <f>VLOOKUP($A2143,Controle!$B$4:$F$68,4,FALSE)</f>
        <v>Mori II</v>
      </c>
      <c r="E2143" s="2">
        <f>VLOOKUP($A2143,Controle!$B$4:$F$68,5,FALSE)</f>
        <v>0</v>
      </c>
      <c r="F2143" s="3" t="str">
        <f t="shared" si="667"/>
        <v>Equipamentos Curva A - Outros (Transformadores)</v>
      </c>
      <c r="G2143" s="2" t="str">
        <f>VLOOKUP($A2143,Controle!$B$4:$G$68,6,FALSE)</f>
        <v>Mori</v>
      </c>
      <c r="H2143" s="6">
        <v>0</v>
      </c>
      <c r="I2143" s="5">
        <f t="shared" si="668"/>
        <v>0</v>
      </c>
      <c r="J2143" s="6">
        <v>0</v>
      </c>
      <c r="K2143" s="6">
        <v>0</v>
      </c>
      <c r="L2143" s="6">
        <v>0</v>
      </c>
      <c r="M2143" s="6">
        <v>0</v>
      </c>
      <c r="N2143" s="6">
        <v>0</v>
      </c>
      <c r="O2143" s="4">
        <f t="shared" si="669"/>
        <v>0</v>
      </c>
      <c r="P2143" s="5">
        <f>SUMIFS('Desenvolvimento diário'!$H:$H,'Desenvolvimento diário'!$Q:$Q,$B2143,'Desenvolvimento diário'!$P:$P,$F2143,'Desenvolvimento diário'!$R:$R,"Sim")</f>
        <v>0</v>
      </c>
      <c r="Q2143" s="5">
        <f>SUMIFS('Desenvolvimento diário'!$H:$H,'Desenvolvimento diário'!$Q:$Q,$B2143,'Desenvolvimento diário'!$P:$P,$F2143,'Desenvolvimento diário'!$R:$R,"Não")</f>
        <v>0</v>
      </c>
      <c r="R2143" s="4">
        <f t="shared" si="670"/>
        <v>0</v>
      </c>
      <c r="S2143" s="4">
        <f t="shared" si="671"/>
        <v>0</v>
      </c>
      <c r="T2143" s="12">
        <f t="shared" ref="T2143:T2177" si="672">IFERROR(R2143/O2143,0)</f>
        <v>0</v>
      </c>
      <c r="Y2143" s="2"/>
      <c r="Z2143" s="2"/>
      <c r="AA2143" s="2"/>
      <c r="AB2143" s="2"/>
      <c r="AC2143" s="2"/>
    </row>
    <row r="2144" spans="1:29" ht="10.5" hidden="1">
      <c r="A2144" s="2">
        <f t="shared" si="658"/>
        <v>62</v>
      </c>
      <c r="B2144" s="2" t="str">
        <f>VLOOKUP($A2144,Controle!$B$4:$F$68,2,FALSE)</f>
        <v>Mori II</v>
      </c>
      <c r="C2144" s="2" t="str">
        <f>VLOOKUP($A2144,Controle!$B$4:$F$68,3,FALSE)</f>
        <v xml:space="preserve">MORI GERACAO II </v>
      </c>
      <c r="D2144" s="2" t="str">
        <f>VLOOKUP($A2144,Controle!$B$4:$F$68,4,FALSE)</f>
        <v>Mori II</v>
      </c>
      <c r="E2144" s="2">
        <f>VLOOKUP($A2144,Controle!$B$4:$F$68,5,FALSE)</f>
        <v>0</v>
      </c>
      <c r="F2144" s="3" t="str">
        <f t="shared" si="667"/>
        <v>Equipamentos Curva A - Outros (Cabine + Skid)</v>
      </c>
      <c r="G2144" s="2" t="str">
        <f>VLOOKUP($A2144,Controle!$B$4:$G$68,6,FALSE)</f>
        <v>Mori</v>
      </c>
      <c r="H2144" s="6">
        <v>0</v>
      </c>
      <c r="I2144" s="5">
        <f t="shared" si="668"/>
        <v>0</v>
      </c>
      <c r="J2144" s="6">
        <v>0</v>
      </c>
      <c r="K2144" s="6">
        <v>0</v>
      </c>
      <c r="L2144" s="6">
        <v>0</v>
      </c>
      <c r="M2144" s="6">
        <v>0</v>
      </c>
      <c r="N2144" s="6">
        <v>0</v>
      </c>
      <c r="O2144" s="4">
        <f t="shared" si="669"/>
        <v>0</v>
      </c>
      <c r="P2144" s="5">
        <f>SUMIFS('Desenvolvimento diário'!$H:$H,'Desenvolvimento diário'!$Q:$Q,$B2144,'Desenvolvimento diário'!$P:$P,$F2144,'Desenvolvimento diário'!$R:$R,"Sim")</f>
        <v>0</v>
      </c>
      <c r="Q2144" s="5">
        <f>SUMIFS('Desenvolvimento diário'!$H:$H,'Desenvolvimento diário'!$Q:$Q,$B2144,'Desenvolvimento diário'!$P:$P,$F2144,'Desenvolvimento diário'!$R:$R,"Não")</f>
        <v>0</v>
      </c>
      <c r="R2144" s="4">
        <f t="shared" si="670"/>
        <v>0</v>
      </c>
      <c r="S2144" s="4">
        <f t="shared" si="671"/>
        <v>0</v>
      </c>
      <c r="T2144" s="12">
        <f t="shared" si="672"/>
        <v>0</v>
      </c>
      <c r="Y2144" s="2"/>
      <c r="Z2144" s="2"/>
      <c r="AA2144" s="2"/>
      <c r="AB2144" s="2"/>
      <c r="AC2144" s="2"/>
    </row>
    <row r="2145" spans="1:29" ht="10.5" hidden="1">
      <c r="A2145" s="2">
        <f t="shared" si="658"/>
        <v>62</v>
      </c>
      <c r="B2145" s="2" t="str">
        <f>VLOOKUP($A2145,Controle!$B$4:$F$68,2,FALSE)</f>
        <v>Mori II</v>
      </c>
      <c r="C2145" s="2" t="str">
        <f>VLOOKUP($A2145,Controle!$B$4:$F$68,3,FALSE)</f>
        <v xml:space="preserve">MORI GERACAO II </v>
      </c>
      <c r="D2145" s="2" t="str">
        <f>VLOOKUP($A2145,Controle!$B$4:$F$68,4,FALSE)</f>
        <v>Mori II</v>
      </c>
      <c r="E2145" s="2">
        <f>VLOOKUP($A2145,Controle!$B$4:$F$68,5,FALSE)</f>
        <v>0</v>
      </c>
      <c r="F2145" s="3" t="str">
        <f t="shared" si="667"/>
        <v>Equipamentos Curva A - Outros (Cabine + Skid + Transformador)</v>
      </c>
      <c r="G2145" s="2" t="str">
        <f>VLOOKUP($A2145,Controle!$B$4:$G$68,6,FALSE)</f>
        <v>Mori</v>
      </c>
      <c r="H2145" s="6">
        <v>0</v>
      </c>
      <c r="I2145" s="5">
        <f t="shared" si="668"/>
        <v>0</v>
      </c>
      <c r="J2145" s="6">
        <v>0</v>
      </c>
      <c r="K2145" s="6">
        <v>0</v>
      </c>
      <c r="L2145" s="6">
        <v>0</v>
      </c>
      <c r="M2145" s="6">
        <v>0</v>
      </c>
      <c r="N2145" s="6">
        <v>0</v>
      </c>
      <c r="O2145" s="4">
        <f t="shared" si="669"/>
        <v>0</v>
      </c>
      <c r="P2145" s="5">
        <f>SUMIFS('Desenvolvimento diário'!$H:$H,'Desenvolvimento diário'!$Q:$Q,$B2145,'Desenvolvimento diário'!$P:$P,$F2145,'Desenvolvimento diário'!$R:$R,"Sim")</f>
        <v>0</v>
      </c>
      <c r="Q2145" s="5">
        <f>SUMIFS('Desenvolvimento diário'!$H:$H,'Desenvolvimento diário'!$Q:$Q,$B2145,'Desenvolvimento diário'!$P:$P,$F2145,'Desenvolvimento diário'!$R:$R,"Não")</f>
        <v>0</v>
      </c>
      <c r="R2145" s="4">
        <f t="shared" si="670"/>
        <v>0</v>
      </c>
      <c r="S2145" s="4">
        <f t="shared" si="671"/>
        <v>0</v>
      </c>
      <c r="T2145" s="12">
        <f t="shared" si="672"/>
        <v>0</v>
      </c>
      <c r="Y2145" s="2"/>
      <c r="Z2145" s="2"/>
      <c r="AA2145" s="2"/>
      <c r="AB2145" s="2"/>
      <c r="AC2145" s="2"/>
    </row>
    <row r="2146" spans="1:29" ht="10.5" hidden="1">
      <c r="A2146" s="2">
        <f t="shared" si="658"/>
        <v>62</v>
      </c>
      <c r="B2146" s="2" t="str">
        <f>VLOOKUP($A2146,Controle!$B$4:$F$68,2,FALSE)</f>
        <v>Mori II</v>
      </c>
      <c r="C2146" s="2" t="str">
        <f>VLOOKUP($A2146,Controle!$B$4:$F$68,3,FALSE)</f>
        <v xml:space="preserve">MORI GERACAO II </v>
      </c>
      <c r="D2146" s="2" t="str">
        <f>VLOOKUP($A2146,Controle!$B$4:$F$68,4,FALSE)</f>
        <v>Mori II</v>
      </c>
      <c r="E2146" s="2">
        <f>VLOOKUP($A2146,Controle!$B$4:$F$68,5,FALSE)</f>
        <v>0</v>
      </c>
      <c r="F2146" s="3" t="str">
        <f t="shared" si="667"/>
        <v>Desenvolvimento de projeto - Projetos - (Eng° Proprietario)</v>
      </c>
      <c r="G2146" s="2" t="str">
        <f>VLOOKUP($A2146,Controle!$B$4:$G$68,6,FALSE)</f>
        <v>Mori</v>
      </c>
      <c r="H2146" s="6">
        <v>0</v>
      </c>
      <c r="I2146" s="5">
        <f t="shared" si="668"/>
        <v>2133650.4</v>
      </c>
      <c r="J2146" s="6">
        <v>0</v>
      </c>
      <c r="K2146" s="6">
        <v>0</v>
      </c>
      <c r="L2146" s="6">
        <v>0</v>
      </c>
      <c r="M2146" s="6">
        <v>0</v>
      </c>
      <c r="N2146" s="6">
        <v>0</v>
      </c>
      <c r="O2146" s="4">
        <f t="shared" si="669"/>
        <v>2133650.4</v>
      </c>
      <c r="P2146" s="5">
        <f>SUMIFS('Desenvolvimento diário'!$H:$H,'Desenvolvimento diário'!$Q:$Q,$B2146,'Desenvolvimento diário'!$P:$P,$F2146,'Desenvolvimento diário'!$R:$R,"Sim")</f>
        <v>0</v>
      </c>
      <c r="Q2146" s="5">
        <f>SUMIFS('Desenvolvimento diário'!$H:$H,'Desenvolvimento diário'!$Q:$Q,$B2146,'Desenvolvimento diário'!$P:$P,$F2146,'Desenvolvimento diário'!$R:$R,"Não")</f>
        <v>2133650.4</v>
      </c>
      <c r="R2146" s="4">
        <f t="shared" si="670"/>
        <v>2133650.4</v>
      </c>
      <c r="S2146" s="4">
        <f t="shared" si="671"/>
        <v>0</v>
      </c>
      <c r="T2146" s="12">
        <f t="shared" si="672"/>
        <v>1</v>
      </c>
      <c r="Y2146" s="2"/>
      <c r="Z2146" s="2"/>
      <c r="AA2146" s="2"/>
      <c r="AB2146" s="2"/>
      <c r="AC2146" s="2"/>
    </row>
    <row r="2147" spans="1:29" ht="10.5" hidden="1">
      <c r="A2147" s="2">
        <f t="shared" si="658"/>
        <v>62</v>
      </c>
      <c r="B2147" s="2" t="str">
        <f>VLOOKUP($A2147,Controle!$B$4:$F$68,2,FALSE)</f>
        <v>Mori II</v>
      </c>
      <c r="C2147" s="2" t="str">
        <f>VLOOKUP($A2147,Controle!$B$4:$F$68,3,FALSE)</f>
        <v xml:space="preserve">MORI GERACAO II </v>
      </c>
      <c r="D2147" s="2" t="str">
        <f>VLOOKUP($A2147,Controle!$B$4:$F$68,4,FALSE)</f>
        <v>Mori II</v>
      </c>
      <c r="E2147" s="2">
        <f>VLOOKUP($A2147,Controle!$B$4:$F$68,5,FALSE)</f>
        <v>0</v>
      </c>
      <c r="F2147" s="3" t="str">
        <f t="shared" si="667"/>
        <v>Desenvolvimento de projeto - Projetos - Executivos</v>
      </c>
      <c r="G2147" s="2" t="str">
        <f>VLOOKUP($A2147,Controle!$B$4:$G$68,6,FALSE)</f>
        <v>Mori</v>
      </c>
      <c r="H2147" s="6">
        <v>0</v>
      </c>
      <c r="I2147" s="5">
        <f t="shared" si="668"/>
        <v>0</v>
      </c>
      <c r="J2147" s="6">
        <v>0</v>
      </c>
      <c r="K2147" s="6">
        <v>0</v>
      </c>
      <c r="L2147" s="6">
        <v>0</v>
      </c>
      <c r="M2147" s="6">
        <v>0</v>
      </c>
      <c r="N2147" s="6">
        <v>0</v>
      </c>
      <c r="O2147" s="4">
        <f t="shared" si="669"/>
        <v>0</v>
      </c>
      <c r="P2147" s="5">
        <f>SUMIFS('Desenvolvimento diário'!$H:$H,'Desenvolvimento diário'!$Q:$Q,$B2147,'Desenvolvimento diário'!$P:$P,$F2147,'Desenvolvimento diário'!$R:$R,"Sim")</f>
        <v>0</v>
      </c>
      <c r="Q2147" s="5">
        <f>SUMIFS('Desenvolvimento diário'!$H:$H,'Desenvolvimento diário'!$Q:$Q,$B2147,'Desenvolvimento diário'!$P:$P,$F2147,'Desenvolvimento diário'!$R:$R,"Não")</f>
        <v>0</v>
      </c>
      <c r="R2147" s="4">
        <f t="shared" si="670"/>
        <v>0</v>
      </c>
      <c r="S2147" s="4">
        <f t="shared" si="671"/>
        <v>0</v>
      </c>
      <c r="T2147" s="12">
        <f t="shared" si="672"/>
        <v>0</v>
      </c>
      <c r="Y2147" s="2"/>
      <c r="Z2147" s="2"/>
      <c r="AA2147" s="2"/>
      <c r="AB2147" s="2"/>
      <c r="AC2147" s="2"/>
    </row>
    <row r="2148" spans="1:29" ht="10.5" hidden="1">
      <c r="A2148" s="2">
        <f t="shared" si="658"/>
        <v>62</v>
      </c>
      <c r="B2148" s="2" t="str">
        <f>VLOOKUP($A2148,Controle!$B$4:$F$68,2,FALSE)</f>
        <v>Mori II</v>
      </c>
      <c r="C2148" s="2" t="str">
        <f>VLOOKUP($A2148,Controle!$B$4:$F$68,3,FALSE)</f>
        <v xml:space="preserve">MORI GERACAO II </v>
      </c>
      <c r="D2148" s="2" t="str">
        <f>VLOOKUP($A2148,Controle!$B$4:$F$68,4,FALSE)</f>
        <v>Mori II</v>
      </c>
      <c r="E2148" s="2">
        <f>VLOOKUP($A2148,Controle!$B$4:$F$68,5,FALSE)</f>
        <v>0</v>
      </c>
      <c r="F2148" s="3" t="str">
        <f t="shared" si="667"/>
        <v>Desenvolvimento de projeto - Projetos Básica</v>
      </c>
      <c r="G2148" s="2" t="str">
        <f>VLOOKUP($A2148,Controle!$B$4:$G$68,6,FALSE)</f>
        <v>Mori</v>
      </c>
      <c r="H2148" s="6">
        <v>0</v>
      </c>
      <c r="I2148" s="5">
        <f t="shared" si="668"/>
        <v>0</v>
      </c>
      <c r="J2148" s="6">
        <v>0</v>
      </c>
      <c r="K2148" s="6">
        <v>0</v>
      </c>
      <c r="L2148" s="6">
        <v>0</v>
      </c>
      <c r="M2148" s="6">
        <v>0</v>
      </c>
      <c r="N2148" s="6">
        <v>0</v>
      </c>
      <c r="O2148" s="4">
        <f t="shared" si="669"/>
        <v>0</v>
      </c>
      <c r="P2148" s="5">
        <f>SUMIFS('Desenvolvimento diário'!$H:$H,'Desenvolvimento diário'!$Q:$Q,$B2148,'Desenvolvimento diário'!$P:$P,$F2148,'Desenvolvimento diário'!$R:$R,"Sim")</f>
        <v>0</v>
      </c>
      <c r="Q2148" s="5">
        <f>SUMIFS('Desenvolvimento diário'!$H:$H,'Desenvolvimento diário'!$Q:$Q,$B2148,'Desenvolvimento diário'!$P:$P,$F2148,'Desenvolvimento diário'!$R:$R,"Não")</f>
        <v>0</v>
      </c>
      <c r="R2148" s="4">
        <f t="shared" si="670"/>
        <v>0</v>
      </c>
      <c r="S2148" s="4">
        <f t="shared" si="671"/>
        <v>0</v>
      </c>
      <c r="T2148" s="12">
        <f t="shared" si="672"/>
        <v>0</v>
      </c>
      <c r="Y2148" s="2"/>
      <c r="Z2148" s="2"/>
      <c r="AA2148" s="2"/>
      <c r="AB2148" s="2"/>
      <c r="AC2148" s="2"/>
    </row>
    <row r="2149" spans="1:29" ht="10.5" hidden="1">
      <c r="A2149" s="2">
        <f t="shared" si="658"/>
        <v>62</v>
      </c>
      <c r="B2149" s="2" t="str">
        <f>VLOOKUP($A2149,Controle!$B$4:$F$68,2,FALSE)</f>
        <v>Mori II</v>
      </c>
      <c r="C2149" s="2" t="str">
        <f>VLOOKUP($A2149,Controle!$B$4:$F$68,3,FALSE)</f>
        <v xml:space="preserve">MORI GERACAO II </v>
      </c>
      <c r="D2149" s="2" t="str">
        <f>VLOOKUP($A2149,Controle!$B$4:$F$68,4,FALSE)</f>
        <v>Mori II</v>
      </c>
      <c r="E2149" s="2">
        <f>VLOOKUP($A2149,Controle!$B$4:$F$68,5,FALSE)</f>
        <v>0</v>
      </c>
      <c r="F2149" s="3" t="str">
        <f t="shared" si="667"/>
        <v>Desenvolvimento de projeto - Projetos Detalhada</v>
      </c>
      <c r="G2149" s="2" t="str">
        <f>VLOOKUP($A2149,Controle!$B$4:$G$68,6,FALSE)</f>
        <v>Mori</v>
      </c>
      <c r="H2149" s="6">
        <v>0</v>
      </c>
      <c r="I2149" s="5">
        <f t="shared" si="668"/>
        <v>0</v>
      </c>
      <c r="J2149" s="6">
        <v>0</v>
      </c>
      <c r="K2149" s="6">
        <v>0</v>
      </c>
      <c r="L2149" s="6">
        <v>0</v>
      </c>
      <c r="M2149" s="6">
        <v>0</v>
      </c>
      <c r="N2149" s="6">
        <v>0</v>
      </c>
      <c r="O2149" s="4">
        <f t="shared" si="669"/>
        <v>0</v>
      </c>
      <c r="P2149" s="5">
        <f>SUMIFS('Desenvolvimento diário'!$H:$H,'Desenvolvimento diário'!$Q:$Q,$B2149,'Desenvolvimento diário'!$P:$P,$F2149,'Desenvolvimento diário'!$R:$R,"Sim")</f>
        <v>0</v>
      </c>
      <c r="Q2149" s="5">
        <f>SUMIFS('Desenvolvimento diário'!$H:$H,'Desenvolvimento diário'!$Q:$Q,$B2149,'Desenvolvimento diário'!$P:$P,$F2149,'Desenvolvimento diário'!$R:$R,"Não")</f>
        <v>0</v>
      </c>
      <c r="R2149" s="4">
        <f t="shared" si="670"/>
        <v>0</v>
      </c>
      <c r="S2149" s="4">
        <f t="shared" si="671"/>
        <v>0</v>
      </c>
      <c r="T2149" s="12">
        <f t="shared" si="672"/>
        <v>0</v>
      </c>
      <c r="Y2149" s="2"/>
      <c r="Z2149" s="2"/>
      <c r="AA2149" s="2"/>
      <c r="AB2149" s="2"/>
      <c r="AC2149" s="2"/>
    </row>
    <row r="2150" spans="1:29" ht="10.5" hidden="1">
      <c r="A2150" s="2">
        <f t="shared" si="658"/>
        <v>62</v>
      </c>
      <c r="B2150" s="2" t="str">
        <f>VLOOKUP($A2150,Controle!$B$4:$F$68,2,FALSE)</f>
        <v>Mori II</v>
      </c>
      <c r="C2150" s="2" t="str">
        <f>VLOOKUP($A2150,Controle!$B$4:$F$68,3,FALSE)</f>
        <v xml:space="preserve">MORI GERACAO II </v>
      </c>
      <c r="D2150" s="2" t="str">
        <f>VLOOKUP($A2150,Controle!$B$4:$F$68,4,FALSE)</f>
        <v>Mori II</v>
      </c>
      <c r="E2150" s="2">
        <f>VLOOKUP($A2150,Controle!$B$4:$F$68,5,FALSE)</f>
        <v>0</v>
      </c>
      <c r="F2150" s="3" t="str">
        <f t="shared" si="667"/>
        <v>Desenvolvimento de projeto - Ambiental / Outros</v>
      </c>
      <c r="G2150" s="2" t="str">
        <f>VLOOKUP($A2150,Controle!$B$4:$G$68,6,FALSE)</f>
        <v>Mori</v>
      </c>
      <c r="H2150" s="6">
        <v>0</v>
      </c>
      <c r="I2150" s="5">
        <f t="shared" si="668"/>
        <v>0</v>
      </c>
      <c r="J2150" s="6">
        <v>0</v>
      </c>
      <c r="K2150" s="6">
        <v>0</v>
      </c>
      <c r="L2150" s="6">
        <v>0</v>
      </c>
      <c r="M2150" s="6">
        <v>0</v>
      </c>
      <c r="N2150" s="6">
        <v>0</v>
      </c>
      <c r="O2150" s="4">
        <f t="shared" si="669"/>
        <v>0</v>
      </c>
      <c r="P2150" s="5">
        <f>SUMIFS('Desenvolvimento diário'!$H:$H,'Desenvolvimento diário'!$Q:$Q,$B2150,'Desenvolvimento diário'!$P:$P,$F2150,'Desenvolvimento diário'!$R:$R,"Sim")</f>
        <v>0</v>
      </c>
      <c r="Q2150" s="5">
        <f>SUMIFS('Desenvolvimento diário'!$H:$H,'Desenvolvimento diário'!$Q:$Q,$B2150,'Desenvolvimento diário'!$P:$P,$F2150,'Desenvolvimento diário'!$R:$R,"Não")</f>
        <v>0</v>
      </c>
      <c r="R2150" s="4">
        <f t="shared" si="670"/>
        <v>0</v>
      </c>
      <c r="S2150" s="4">
        <f t="shared" si="671"/>
        <v>0</v>
      </c>
      <c r="T2150" s="12">
        <f t="shared" si="672"/>
        <v>0</v>
      </c>
      <c r="Y2150" s="2"/>
      <c r="Z2150" s="2"/>
      <c r="AA2150" s="2"/>
      <c r="AB2150" s="2"/>
      <c r="AC2150" s="2"/>
    </row>
    <row r="2151" spans="1:29" ht="10.5" hidden="1">
      <c r="A2151" s="2">
        <f t="shared" si="658"/>
        <v>62</v>
      </c>
      <c r="B2151" s="2" t="str">
        <f>VLOOKUP($A2151,Controle!$B$4:$F$68,2,FALSE)</f>
        <v>Mori II</v>
      </c>
      <c r="C2151" s="2" t="str">
        <f>VLOOKUP($A2151,Controle!$B$4:$F$68,3,FALSE)</f>
        <v xml:space="preserve">MORI GERACAO II </v>
      </c>
      <c r="D2151" s="2" t="str">
        <f>VLOOKUP($A2151,Controle!$B$4:$F$68,4,FALSE)</f>
        <v>Mori II</v>
      </c>
      <c r="E2151" s="2">
        <f>VLOOKUP($A2151,Controle!$B$4:$F$68,5,FALSE)</f>
        <v>0</v>
      </c>
      <c r="F2151" s="3" t="str">
        <f t="shared" si="667"/>
        <v>Desenvolvimento de projeto - Coordenograma</v>
      </c>
      <c r="G2151" s="2" t="str">
        <f>VLOOKUP($A2151,Controle!$B$4:$G$68,6,FALSE)</f>
        <v>Mori</v>
      </c>
      <c r="H2151" s="6">
        <v>0</v>
      </c>
      <c r="I2151" s="5">
        <f t="shared" si="668"/>
        <v>0</v>
      </c>
      <c r="J2151" s="6">
        <v>0</v>
      </c>
      <c r="K2151" s="6">
        <v>0</v>
      </c>
      <c r="L2151" s="6">
        <v>0</v>
      </c>
      <c r="M2151" s="6">
        <v>0</v>
      </c>
      <c r="N2151" s="6">
        <v>0</v>
      </c>
      <c r="O2151" s="4">
        <f t="shared" si="669"/>
        <v>0</v>
      </c>
      <c r="P2151" s="5">
        <f>SUMIFS('Desenvolvimento diário'!$H:$H,'Desenvolvimento diário'!$Q:$Q,$B2151,'Desenvolvimento diário'!$P:$P,$F2151,'Desenvolvimento diário'!$R:$R,"Sim")</f>
        <v>0</v>
      </c>
      <c r="Q2151" s="5">
        <f>SUMIFS('Desenvolvimento diário'!$H:$H,'Desenvolvimento diário'!$Q:$Q,$B2151,'Desenvolvimento diário'!$P:$P,$F2151,'Desenvolvimento diário'!$R:$R,"Não")</f>
        <v>0</v>
      </c>
      <c r="R2151" s="4">
        <f t="shared" si="670"/>
        <v>0</v>
      </c>
      <c r="S2151" s="4">
        <f t="shared" si="671"/>
        <v>0</v>
      </c>
      <c r="T2151" s="12">
        <f t="shared" si="672"/>
        <v>0</v>
      </c>
      <c r="Y2151" s="2"/>
      <c r="Z2151" s="2"/>
      <c r="AA2151" s="2"/>
      <c r="AB2151" s="2"/>
      <c r="AC2151" s="2"/>
    </row>
    <row r="2152" spans="1:29" ht="10.5" hidden="1">
      <c r="A2152" s="2">
        <f t="shared" si="658"/>
        <v>62</v>
      </c>
      <c r="B2152" s="2" t="str">
        <f>VLOOKUP($A2152,Controle!$B$4:$F$68,2,FALSE)</f>
        <v>Mori II</v>
      </c>
      <c r="C2152" s="2" t="str">
        <f>VLOOKUP($A2152,Controle!$B$4:$F$68,3,FALSE)</f>
        <v xml:space="preserve">MORI GERACAO II </v>
      </c>
      <c r="D2152" s="2" t="str">
        <f>VLOOKUP($A2152,Controle!$B$4:$F$68,4,FALSE)</f>
        <v>Mori II</v>
      </c>
      <c r="E2152" s="2">
        <f>VLOOKUP($A2152,Controle!$B$4:$F$68,5,FALSE)</f>
        <v>0</v>
      </c>
      <c r="F2152" s="3" t="str">
        <f t="shared" si="667"/>
        <v>Sistemas de Monitoramento - Supervisório</v>
      </c>
      <c r="G2152" s="2" t="str">
        <f>VLOOKUP($A2152,Controle!$B$4:$G$68,6,FALSE)</f>
        <v>Mori</v>
      </c>
      <c r="H2152" s="6">
        <v>0</v>
      </c>
      <c r="I2152" s="5">
        <f t="shared" si="668"/>
        <v>0</v>
      </c>
      <c r="J2152" s="6">
        <v>0</v>
      </c>
      <c r="K2152" s="6">
        <v>0</v>
      </c>
      <c r="L2152" s="6">
        <v>0</v>
      </c>
      <c r="M2152" s="6">
        <v>0</v>
      </c>
      <c r="N2152" s="6">
        <v>0</v>
      </c>
      <c r="O2152" s="4">
        <f t="shared" si="669"/>
        <v>0</v>
      </c>
      <c r="P2152" s="5">
        <f>SUMIFS('Desenvolvimento diário'!$H:$H,'Desenvolvimento diário'!$Q:$Q,$B2152,'Desenvolvimento diário'!$P:$P,$F2152,'Desenvolvimento diário'!$R:$R,"Sim")</f>
        <v>0</v>
      </c>
      <c r="Q2152" s="5">
        <f>SUMIFS('Desenvolvimento diário'!$H:$H,'Desenvolvimento diário'!$Q:$Q,$B2152,'Desenvolvimento diário'!$P:$P,$F2152,'Desenvolvimento diário'!$R:$R,"Não")</f>
        <v>0</v>
      </c>
      <c r="R2152" s="4">
        <f t="shared" si="670"/>
        <v>0</v>
      </c>
      <c r="S2152" s="4">
        <f t="shared" si="671"/>
        <v>0</v>
      </c>
      <c r="T2152" s="12">
        <f t="shared" si="672"/>
        <v>0</v>
      </c>
      <c r="Y2152" s="2"/>
      <c r="Z2152" s="2"/>
      <c r="AA2152" s="2"/>
      <c r="AB2152" s="2"/>
      <c r="AC2152" s="2"/>
    </row>
    <row r="2153" spans="1:29" ht="10.5" hidden="1">
      <c r="A2153" s="2">
        <f t="shared" si="658"/>
        <v>62</v>
      </c>
      <c r="B2153" s="2" t="str">
        <f>VLOOKUP($A2153,Controle!$B$4:$F$68,2,FALSE)</f>
        <v>Mori II</v>
      </c>
      <c r="C2153" s="2" t="str">
        <f>VLOOKUP($A2153,Controle!$B$4:$F$68,3,FALSE)</f>
        <v xml:space="preserve">MORI GERACAO II </v>
      </c>
      <c r="D2153" s="2" t="str">
        <f>VLOOKUP($A2153,Controle!$B$4:$F$68,4,FALSE)</f>
        <v>Mori II</v>
      </c>
      <c r="E2153" s="2">
        <f>VLOOKUP($A2153,Controle!$B$4:$F$68,5,FALSE)</f>
        <v>0</v>
      </c>
      <c r="F2153" s="3" t="str">
        <f t="shared" si="667"/>
        <v>Sistemas de Monitoramento - Estações Solarimétricas</v>
      </c>
      <c r="G2153" s="2" t="str">
        <f>VLOOKUP($A2153,Controle!$B$4:$G$68,6,FALSE)</f>
        <v>Mori</v>
      </c>
      <c r="H2153" s="6">
        <v>0</v>
      </c>
      <c r="I2153" s="5">
        <f t="shared" si="668"/>
        <v>0</v>
      </c>
      <c r="J2153" s="6">
        <v>0</v>
      </c>
      <c r="K2153" s="6">
        <v>0</v>
      </c>
      <c r="L2153" s="6">
        <v>0</v>
      </c>
      <c r="M2153" s="6">
        <v>0</v>
      </c>
      <c r="N2153" s="6">
        <v>0</v>
      </c>
      <c r="O2153" s="4">
        <f t="shared" si="669"/>
        <v>0</v>
      </c>
      <c r="P2153" s="5">
        <f>SUMIFS('Desenvolvimento diário'!$H:$H,'Desenvolvimento diário'!$Q:$Q,$B2153,'Desenvolvimento diário'!$P:$P,$F2153,'Desenvolvimento diário'!$R:$R,"Sim")</f>
        <v>0</v>
      </c>
      <c r="Q2153" s="5">
        <f>SUMIFS('Desenvolvimento diário'!$H:$H,'Desenvolvimento diário'!$Q:$Q,$B2153,'Desenvolvimento diário'!$P:$P,$F2153,'Desenvolvimento diário'!$R:$R,"Não")</f>
        <v>0</v>
      </c>
      <c r="R2153" s="4">
        <f t="shared" si="670"/>
        <v>0</v>
      </c>
      <c r="S2153" s="4">
        <f t="shared" si="671"/>
        <v>0</v>
      </c>
      <c r="T2153" s="12">
        <f t="shared" si="672"/>
        <v>0</v>
      </c>
      <c r="Y2153" s="2"/>
      <c r="Z2153" s="2"/>
      <c r="AA2153" s="2"/>
      <c r="AB2153" s="2"/>
      <c r="AC2153" s="2"/>
    </row>
    <row r="2154" spans="1:29" hidden="1">
      <c r="A2154" s="2">
        <f t="shared" si="658"/>
        <v>62</v>
      </c>
      <c r="B2154" s="2" t="str">
        <f>VLOOKUP($A2154,Controle!$B$4:$F$68,2,FALSE)</f>
        <v>Mori II</v>
      </c>
      <c r="C2154" s="2" t="str">
        <f>VLOOKUP($A2154,Controle!$B$4:$F$68,3,FALSE)</f>
        <v xml:space="preserve">MORI GERACAO II </v>
      </c>
      <c r="D2154" s="2" t="str">
        <f>VLOOKUP($A2154,Controle!$B$4:$F$68,4,FALSE)</f>
        <v>Mori II</v>
      </c>
      <c r="E2154" s="2">
        <f>VLOOKUP($A2154,Controle!$B$4:$F$68,5,FALSE)</f>
        <v>0</v>
      </c>
      <c r="F2154" s="3" t="str">
        <f t="shared" si="667"/>
        <v>Sistemas de Monitoramento - CFTV</v>
      </c>
      <c r="G2154" s="2" t="str">
        <f>VLOOKUP($A2154,Controle!$B$4:$G$68,6,FALSE)</f>
        <v>Mori</v>
      </c>
      <c r="H2154" s="6">
        <v>0</v>
      </c>
      <c r="I2154" s="5">
        <v>0</v>
      </c>
      <c r="J2154" s="6">
        <v>0</v>
      </c>
      <c r="K2154" s="6">
        <v>0</v>
      </c>
      <c r="L2154" s="6">
        <v>0</v>
      </c>
      <c r="M2154" s="6">
        <v>0</v>
      </c>
      <c r="N2154" s="6">
        <v>0</v>
      </c>
      <c r="O2154" s="4">
        <f t="shared" si="669"/>
        <v>0</v>
      </c>
      <c r="P2154" s="5">
        <f>SUMIFS('Desenvolvimento diário'!$H:$H,'Desenvolvimento diário'!$Q:$Q,$B2154,'Desenvolvimento diário'!$P:$P,$F2154,'Desenvolvimento diário'!$R:$R,"Sim")</f>
        <v>0</v>
      </c>
      <c r="Q2154" s="5">
        <f>SUMIFS('Desenvolvimento diário'!$H:$H,'Desenvolvimento diário'!$Q:$Q,$B2154,'Desenvolvimento diário'!$P:$P,$F2154,'Desenvolvimento diário'!$R:$R,"Não")</f>
        <v>0</v>
      </c>
      <c r="R2154" s="4">
        <f t="shared" si="670"/>
        <v>0</v>
      </c>
      <c r="S2154" s="4">
        <f t="shared" si="671"/>
        <v>0</v>
      </c>
      <c r="T2154" s="12">
        <f t="shared" si="672"/>
        <v>0</v>
      </c>
    </row>
    <row r="2155" spans="1:29" ht="10.5" hidden="1">
      <c r="A2155" s="2">
        <f t="shared" si="658"/>
        <v>62</v>
      </c>
      <c r="B2155" s="2" t="str">
        <f>VLOOKUP($A2155,Controle!$B$4:$F$68,2,FALSE)</f>
        <v>Mori II</v>
      </c>
      <c r="C2155" s="2" t="str">
        <f>VLOOKUP($A2155,Controle!$B$4:$F$68,3,FALSE)</f>
        <v xml:space="preserve">MORI GERACAO II </v>
      </c>
      <c r="D2155" s="2" t="str">
        <f>VLOOKUP($A2155,Controle!$B$4:$F$68,4,FALSE)</f>
        <v>Mori II</v>
      </c>
      <c r="E2155" s="2">
        <f>VLOOKUP($A2155,Controle!$B$4:$F$68,5,FALSE)</f>
        <v>0</v>
      </c>
      <c r="F2155" s="3" t="str">
        <f t="shared" si="667"/>
        <v>Serviços Auxiliares - Drenagem</v>
      </c>
      <c r="G2155" s="2" t="str">
        <f>VLOOKUP($A2155,Controle!$B$4:$G$68,6,FALSE)</f>
        <v>Mori</v>
      </c>
      <c r="H2155" s="6">
        <v>0</v>
      </c>
      <c r="I2155" s="5">
        <f t="shared" si="668"/>
        <v>0</v>
      </c>
      <c r="J2155" s="6">
        <v>0</v>
      </c>
      <c r="K2155" s="6">
        <v>0</v>
      </c>
      <c r="L2155" s="6">
        <v>0</v>
      </c>
      <c r="M2155" s="6">
        <v>0</v>
      </c>
      <c r="N2155" s="6">
        <v>0</v>
      </c>
      <c r="O2155" s="4">
        <f t="shared" si="669"/>
        <v>0</v>
      </c>
      <c r="P2155" s="5">
        <f>SUMIFS('Desenvolvimento diário'!$H:$H,'Desenvolvimento diário'!$Q:$Q,$B2155,'Desenvolvimento diário'!$P:$P,$F2155,'Desenvolvimento diário'!$R:$R,"Sim")</f>
        <v>0</v>
      </c>
      <c r="Q2155" s="5">
        <f>SUMIFS('Desenvolvimento diário'!$H:$H,'Desenvolvimento diário'!$Q:$Q,$B2155,'Desenvolvimento diário'!$P:$P,$F2155,'Desenvolvimento diário'!$R:$R,"Não")</f>
        <v>0</v>
      </c>
      <c r="R2155" s="4">
        <f t="shared" si="670"/>
        <v>0</v>
      </c>
      <c r="S2155" s="4">
        <f t="shared" si="671"/>
        <v>0</v>
      </c>
      <c r="T2155" s="12">
        <f t="shared" si="672"/>
        <v>0</v>
      </c>
      <c r="Y2155" s="2"/>
      <c r="Z2155" s="2"/>
      <c r="AA2155" s="2"/>
      <c r="AB2155" s="2"/>
      <c r="AC2155" s="2"/>
    </row>
    <row r="2156" spans="1:29" ht="10.5" hidden="1">
      <c r="A2156" s="2">
        <f t="shared" si="658"/>
        <v>62</v>
      </c>
      <c r="B2156" s="2" t="str">
        <f>VLOOKUP($A2156,Controle!$B$4:$F$68,2,FALSE)</f>
        <v>Mori II</v>
      </c>
      <c r="C2156" s="2" t="str">
        <f>VLOOKUP($A2156,Controle!$B$4:$F$68,3,FALSE)</f>
        <v xml:space="preserve">MORI GERACAO II </v>
      </c>
      <c r="D2156" s="2" t="str">
        <f>VLOOKUP($A2156,Controle!$B$4:$F$68,4,FALSE)</f>
        <v>Mori II</v>
      </c>
      <c r="E2156" s="2">
        <f>VLOOKUP($A2156,Controle!$B$4:$F$68,5,FALSE)</f>
        <v>0</v>
      </c>
      <c r="F2156" s="3" t="str">
        <f t="shared" si="667"/>
        <v>Serviços Auxiliares - Terraplanagem</v>
      </c>
      <c r="G2156" s="2" t="str">
        <f>VLOOKUP($A2156,Controle!$B$4:$G$68,6,FALSE)</f>
        <v>Mori</v>
      </c>
      <c r="H2156" s="6">
        <v>0</v>
      </c>
      <c r="I2156" s="5">
        <f t="shared" si="668"/>
        <v>0</v>
      </c>
      <c r="J2156" s="6">
        <v>0</v>
      </c>
      <c r="K2156" s="6">
        <v>0</v>
      </c>
      <c r="L2156" s="6">
        <v>0</v>
      </c>
      <c r="M2156" s="6">
        <v>0</v>
      </c>
      <c r="N2156" s="6">
        <v>0</v>
      </c>
      <c r="O2156" s="4">
        <f t="shared" si="669"/>
        <v>0</v>
      </c>
      <c r="P2156" s="5">
        <f>SUMIFS('Desenvolvimento diário'!$H:$H,'Desenvolvimento diário'!$Q:$Q,$B2156,'Desenvolvimento diário'!$P:$P,$F2156,'Desenvolvimento diário'!$R:$R,"Sim")</f>
        <v>0</v>
      </c>
      <c r="Q2156" s="5">
        <f>SUMIFS('Desenvolvimento diário'!$H:$H,'Desenvolvimento diário'!$Q:$Q,$B2156,'Desenvolvimento diário'!$P:$P,$F2156,'Desenvolvimento diário'!$R:$R,"Não")</f>
        <v>0</v>
      </c>
      <c r="R2156" s="4">
        <f t="shared" si="670"/>
        <v>0</v>
      </c>
      <c r="S2156" s="4">
        <f t="shared" si="671"/>
        <v>0</v>
      </c>
      <c r="T2156" s="12">
        <f t="shared" si="672"/>
        <v>0</v>
      </c>
      <c r="Y2156" s="2"/>
      <c r="Z2156" s="2"/>
      <c r="AA2156" s="2"/>
      <c r="AB2156" s="2"/>
      <c r="AC2156" s="2"/>
    </row>
    <row r="2157" spans="1:29" ht="10.5" hidden="1">
      <c r="A2157" s="2">
        <f t="shared" si="658"/>
        <v>62</v>
      </c>
      <c r="B2157" s="2" t="str">
        <f>VLOOKUP($A2157,Controle!$B$4:$F$68,2,FALSE)</f>
        <v>Mori II</v>
      </c>
      <c r="C2157" s="2" t="str">
        <f>VLOOKUP($A2157,Controle!$B$4:$F$68,3,FALSE)</f>
        <v xml:space="preserve">MORI GERACAO II </v>
      </c>
      <c r="D2157" s="2" t="str">
        <f>VLOOKUP($A2157,Controle!$B$4:$F$68,4,FALSE)</f>
        <v>Mori II</v>
      </c>
      <c r="E2157" s="2">
        <f>VLOOKUP($A2157,Controle!$B$4:$F$68,5,FALSE)</f>
        <v>0</v>
      </c>
      <c r="F2157" s="3" t="str">
        <f t="shared" si="667"/>
        <v>Serviços Auxiliares - Supressão Vegetal</v>
      </c>
      <c r="G2157" s="2" t="str">
        <f>VLOOKUP($A2157,Controle!$B$4:$G$68,6,FALSE)</f>
        <v>Mori</v>
      </c>
      <c r="H2157" s="6">
        <v>0</v>
      </c>
      <c r="I2157" s="5">
        <f t="shared" si="668"/>
        <v>0</v>
      </c>
      <c r="J2157" s="6">
        <v>0</v>
      </c>
      <c r="K2157" s="6">
        <v>0</v>
      </c>
      <c r="L2157" s="6">
        <v>0</v>
      </c>
      <c r="M2157" s="6">
        <v>0</v>
      </c>
      <c r="N2157" s="6">
        <v>0</v>
      </c>
      <c r="O2157" s="4">
        <f t="shared" si="669"/>
        <v>0</v>
      </c>
      <c r="P2157" s="5">
        <f>SUMIFS('Desenvolvimento diário'!$H:$H,'Desenvolvimento diário'!$Q:$Q,$B2157,'Desenvolvimento diário'!$P:$P,$F2157,'Desenvolvimento diário'!$R:$R,"Sim")</f>
        <v>0</v>
      </c>
      <c r="Q2157" s="5">
        <f>SUMIFS('Desenvolvimento diário'!$H:$H,'Desenvolvimento diário'!$Q:$Q,$B2157,'Desenvolvimento diário'!$P:$P,$F2157,'Desenvolvimento diário'!$R:$R,"Não")</f>
        <v>0</v>
      </c>
      <c r="R2157" s="4">
        <f t="shared" si="670"/>
        <v>0</v>
      </c>
      <c r="S2157" s="4">
        <f t="shared" si="671"/>
        <v>0</v>
      </c>
      <c r="T2157" s="12">
        <f t="shared" si="672"/>
        <v>0</v>
      </c>
      <c r="Y2157" s="2"/>
      <c r="Z2157" s="2"/>
      <c r="AA2157" s="2"/>
      <c r="AB2157" s="2"/>
      <c r="AC2157" s="2"/>
    </row>
    <row r="2158" spans="1:29" ht="10.5" hidden="1">
      <c r="A2158" s="2">
        <f t="shared" si="658"/>
        <v>62</v>
      </c>
      <c r="B2158" s="2" t="str">
        <f>VLOOKUP($A2158,Controle!$B$4:$F$68,2,FALSE)</f>
        <v>Mori II</v>
      </c>
      <c r="C2158" s="2" t="str">
        <f>VLOOKUP($A2158,Controle!$B$4:$F$68,3,FALSE)</f>
        <v xml:space="preserve">MORI GERACAO II </v>
      </c>
      <c r="D2158" s="2" t="str">
        <f>VLOOKUP($A2158,Controle!$B$4:$F$68,4,FALSE)</f>
        <v>Mori II</v>
      </c>
      <c r="E2158" s="2">
        <f>VLOOKUP($A2158,Controle!$B$4:$F$68,5,FALSE)</f>
        <v>0</v>
      </c>
      <c r="F2158" s="3" t="str">
        <f t="shared" si="667"/>
        <v>RDR-Rede de Distribuição Rural</v>
      </c>
      <c r="G2158" s="2" t="str">
        <f>VLOOKUP($A2158,Controle!$B$4:$G$68,6,FALSE)</f>
        <v>Mori</v>
      </c>
      <c r="H2158" s="6">
        <v>0</v>
      </c>
      <c r="I2158" s="5">
        <f t="shared" si="668"/>
        <v>0</v>
      </c>
      <c r="J2158" s="6">
        <v>0</v>
      </c>
      <c r="K2158" s="6">
        <v>0</v>
      </c>
      <c r="L2158" s="6">
        <v>0</v>
      </c>
      <c r="M2158" s="6">
        <v>0</v>
      </c>
      <c r="N2158" s="6">
        <v>0</v>
      </c>
      <c r="O2158" s="4">
        <f t="shared" si="669"/>
        <v>0</v>
      </c>
      <c r="P2158" s="5">
        <f>SUMIFS('Desenvolvimento diário'!$H:$H,'Desenvolvimento diário'!$Q:$Q,$B2158,'Desenvolvimento diário'!$P:$P,$F2158,'Desenvolvimento diário'!$R:$R,"Sim")</f>
        <v>0</v>
      </c>
      <c r="Q2158" s="5">
        <f>SUMIFS('Desenvolvimento diário'!$H:$H,'Desenvolvimento diário'!$Q:$Q,$B2158,'Desenvolvimento diário'!$P:$P,$F2158,'Desenvolvimento diário'!$R:$R,"Não")</f>
        <v>0</v>
      </c>
      <c r="R2158" s="4">
        <f t="shared" si="670"/>
        <v>0</v>
      </c>
      <c r="S2158" s="4">
        <f t="shared" si="671"/>
        <v>0</v>
      </c>
      <c r="T2158" s="12">
        <f t="shared" si="672"/>
        <v>0</v>
      </c>
      <c r="Y2158" s="2"/>
      <c r="Z2158" s="2"/>
      <c r="AA2158" s="2"/>
      <c r="AB2158" s="2"/>
      <c r="AC2158" s="2"/>
    </row>
    <row r="2159" spans="1:29" ht="10.5" hidden="1">
      <c r="A2159" s="2">
        <f t="shared" si="658"/>
        <v>62</v>
      </c>
      <c r="B2159" s="2" t="str">
        <f>VLOOKUP($A2159,Controle!$B$4:$F$68,2,FALSE)</f>
        <v>Mori II</v>
      </c>
      <c r="C2159" s="2" t="str">
        <f>VLOOKUP($A2159,Controle!$B$4:$F$68,3,FALSE)</f>
        <v xml:space="preserve">MORI GERACAO II </v>
      </c>
      <c r="D2159" s="2" t="str">
        <f>VLOOKUP($A2159,Controle!$B$4:$F$68,4,FALSE)</f>
        <v>Mori II</v>
      </c>
      <c r="E2159" s="2">
        <f>VLOOKUP($A2159,Controle!$B$4:$F$68,5,FALSE)</f>
        <v>0</v>
      </c>
      <c r="F2159" s="3" t="str">
        <f t="shared" si="667"/>
        <v>Escopo COMERC</v>
      </c>
      <c r="G2159" s="2" t="str">
        <f>VLOOKUP($A2159,Controle!$B$4:$G$68,6,FALSE)</f>
        <v>Mori</v>
      </c>
      <c r="H2159" s="6">
        <v>0</v>
      </c>
      <c r="I2159" s="5">
        <f t="shared" si="668"/>
        <v>35918.44</v>
      </c>
      <c r="J2159" s="29">
        <v>0</v>
      </c>
      <c r="K2159" s="6">
        <v>0</v>
      </c>
      <c r="L2159" s="6">
        <v>0</v>
      </c>
      <c r="M2159" s="6">
        <v>0</v>
      </c>
      <c r="N2159" s="6">
        <v>0</v>
      </c>
      <c r="O2159" s="4">
        <f t="shared" si="669"/>
        <v>35918.44</v>
      </c>
      <c r="P2159" s="5">
        <f>SUMIFS('Desenvolvimento diário'!$H:$H,'Desenvolvimento diário'!$Q:$Q,$B2159,'Desenvolvimento diário'!$P:$P,$F2159,'Desenvolvimento diário'!$R:$R,"Sim")</f>
        <v>0</v>
      </c>
      <c r="Q2159" s="5">
        <f>SUMIFS('Desenvolvimento diário'!$H:$H,'Desenvolvimento diário'!$Q:$Q,$B2159,'Desenvolvimento diário'!$P:$P,$F2159,'Desenvolvimento diário'!$R:$R,"Não")</f>
        <v>35918.44</v>
      </c>
      <c r="R2159" s="4">
        <f t="shared" si="670"/>
        <v>35918.44</v>
      </c>
      <c r="S2159" s="4">
        <f t="shared" si="671"/>
        <v>0</v>
      </c>
      <c r="T2159" s="12">
        <f t="shared" si="672"/>
        <v>1</v>
      </c>
      <c r="Y2159" s="2"/>
      <c r="Z2159" s="2"/>
      <c r="AA2159" s="2"/>
      <c r="AB2159" s="2"/>
      <c r="AC2159" s="2"/>
    </row>
    <row r="2160" spans="1:29" ht="10.5" hidden="1">
      <c r="A2160" s="2">
        <f t="shared" si="658"/>
        <v>62</v>
      </c>
      <c r="B2160" s="2" t="str">
        <f>VLOOKUP($A2160,Controle!$B$4:$F$68,2,FALSE)</f>
        <v>Mori II</v>
      </c>
      <c r="C2160" s="2" t="str">
        <f>VLOOKUP($A2160,Controle!$B$4:$F$68,3,FALSE)</f>
        <v xml:space="preserve">MORI GERACAO II </v>
      </c>
      <c r="D2160" s="2" t="str">
        <f>VLOOKUP($A2160,Controle!$B$4:$F$68,4,FALSE)</f>
        <v>Mori II</v>
      </c>
      <c r="E2160" s="2">
        <f>VLOOKUP($A2160,Controle!$B$4:$F$68,5,FALSE)</f>
        <v>0</v>
      </c>
      <c r="F2160" s="3" t="str">
        <f t="shared" si="667"/>
        <v>Escopo COMERC - Segurança</v>
      </c>
      <c r="G2160" s="2" t="str">
        <f>VLOOKUP($A2160,Controle!$B$4:$G$68,6,FALSE)</f>
        <v>Mori</v>
      </c>
      <c r="H2160" s="6">
        <v>0</v>
      </c>
      <c r="I2160" s="5">
        <f t="shared" si="668"/>
        <v>0</v>
      </c>
      <c r="J2160" s="6">
        <v>0</v>
      </c>
      <c r="K2160" s="6">
        <v>0</v>
      </c>
      <c r="L2160" s="6">
        <v>0</v>
      </c>
      <c r="M2160" s="6">
        <v>0</v>
      </c>
      <c r="N2160" s="6">
        <v>0</v>
      </c>
      <c r="O2160" s="4">
        <f t="shared" si="669"/>
        <v>0</v>
      </c>
      <c r="P2160" s="5">
        <f>SUMIFS('Desenvolvimento diário'!$H:$H,'Desenvolvimento diário'!$Q:$Q,$B2160,'Desenvolvimento diário'!$P:$P,$F2160,'Desenvolvimento diário'!$R:$R,"Sim")</f>
        <v>0</v>
      </c>
      <c r="Q2160" s="5">
        <f>SUMIFS('Desenvolvimento diário'!$H:$H,'Desenvolvimento diário'!$Q:$Q,$B2160,'Desenvolvimento diário'!$P:$P,$F2160,'Desenvolvimento diário'!$R:$R,"Não")</f>
        <v>0</v>
      </c>
      <c r="R2160" s="4">
        <f t="shared" si="670"/>
        <v>0</v>
      </c>
      <c r="S2160" s="4">
        <f t="shared" si="671"/>
        <v>0</v>
      </c>
      <c r="T2160" s="12">
        <f t="shared" si="672"/>
        <v>0</v>
      </c>
      <c r="Y2160" s="2"/>
      <c r="Z2160" s="2"/>
      <c r="AA2160" s="2"/>
      <c r="AB2160" s="2"/>
      <c r="AC2160" s="2"/>
    </row>
    <row r="2161" spans="1:29" hidden="1">
      <c r="A2161" s="2">
        <f t="shared" si="658"/>
        <v>62</v>
      </c>
      <c r="B2161" s="2" t="str">
        <f>VLOOKUP($A2161,Controle!$B$4:$F$68,2,FALSE)</f>
        <v>Mori II</v>
      </c>
      <c r="C2161" s="2" t="str">
        <f>VLOOKUP($A2161,Controle!$B$4:$F$68,3,FALSE)</f>
        <v xml:space="preserve">MORI GERACAO II </v>
      </c>
      <c r="D2161" s="2" t="str">
        <f>VLOOKUP($A2161,Controle!$B$4:$F$68,4,FALSE)</f>
        <v>Mori II</v>
      </c>
      <c r="E2161" s="2">
        <f>VLOOKUP($A2161,Controle!$B$4:$F$68,5,FALSE)</f>
        <v>0</v>
      </c>
      <c r="F2161" s="3" t="str">
        <f>F2126</f>
        <v>Conexão MT - Obras Transferencia</v>
      </c>
      <c r="G2161" s="2" t="str">
        <f>VLOOKUP($A2161,Controle!$B$4:$G$68,6,FALSE)</f>
        <v>Mori</v>
      </c>
      <c r="H2161" s="6">
        <v>0</v>
      </c>
      <c r="I2161" s="5">
        <f t="shared" ref="I2161:I2162" si="673">R2161</f>
        <v>0</v>
      </c>
      <c r="J2161" s="6">
        <v>0</v>
      </c>
      <c r="K2161" s="6">
        <v>0</v>
      </c>
      <c r="L2161" s="6">
        <v>0</v>
      </c>
      <c r="M2161" s="6">
        <v>0</v>
      </c>
      <c r="N2161" s="6">
        <v>0</v>
      </c>
      <c r="O2161" s="4">
        <f t="shared" si="669"/>
        <v>0</v>
      </c>
      <c r="P2161" s="5">
        <f>SUMIFS('Desenvolvimento diário'!$H:$H,'Desenvolvimento diário'!$Q:$Q,$B2161,'Desenvolvimento diário'!$P:$P,$F2161,'Desenvolvimento diário'!$R:$R,"Sim")</f>
        <v>0</v>
      </c>
      <c r="Q2161" s="5">
        <f>SUMIFS('Desenvolvimento diário'!$H:$H,'Desenvolvimento diário'!$Q:$Q,$B2161,'Desenvolvimento diário'!$P:$P,$F2161,'Desenvolvimento diário'!$R:$R,"Não")</f>
        <v>0</v>
      </c>
      <c r="R2161" s="4">
        <f t="shared" si="670"/>
        <v>0</v>
      </c>
      <c r="S2161" s="4">
        <f t="shared" si="671"/>
        <v>0</v>
      </c>
      <c r="T2161" s="12">
        <f t="shared" si="672"/>
        <v>0</v>
      </c>
      <c r="Y2161" s="2"/>
      <c r="Z2161" s="2"/>
      <c r="AA2161" s="2"/>
      <c r="AB2161" s="2"/>
      <c r="AC2161" s="2"/>
    </row>
    <row r="2162" spans="1:29" hidden="1">
      <c r="A2162" s="2">
        <f t="shared" si="658"/>
        <v>62</v>
      </c>
      <c r="B2162" s="2" t="str">
        <f>VLOOKUP($A2162,Controle!$B$4:$F$68,2,FALSE)</f>
        <v>Mori II</v>
      </c>
      <c r="C2162" s="2" t="str">
        <f>VLOOKUP($A2162,Controle!$B$4:$F$68,3,FALSE)</f>
        <v xml:space="preserve">MORI GERACAO II </v>
      </c>
      <c r="D2162" s="2" t="str">
        <f>VLOOKUP($A2162,Controle!$B$4:$F$68,4,FALSE)</f>
        <v>Mori II</v>
      </c>
      <c r="E2162" s="2">
        <f>VLOOKUP($A2162,Controle!$B$4:$F$68,5,FALSE)</f>
        <v>0</v>
      </c>
      <c r="F2162" s="3" t="str">
        <f>F2127</f>
        <v>Bases de Contaniers</v>
      </c>
      <c r="G2162" s="2" t="str">
        <f>VLOOKUP($A2162,Controle!$B$4:$G$68,6,FALSE)</f>
        <v>Mori</v>
      </c>
      <c r="H2162" s="6">
        <v>0</v>
      </c>
      <c r="I2162" s="5">
        <f t="shared" si="673"/>
        <v>0</v>
      </c>
      <c r="J2162" s="6">
        <v>0</v>
      </c>
      <c r="K2162" s="6">
        <v>0</v>
      </c>
      <c r="L2162" s="6">
        <v>0</v>
      </c>
      <c r="M2162" s="6">
        <v>0</v>
      </c>
      <c r="N2162" s="6">
        <v>0</v>
      </c>
      <c r="O2162" s="4">
        <f t="shared" si="669"/>
        <v>0</v>
      </c>
      <c r="P2162" s="5">
        <f>SUMIFS('Desenvolvimento diário'!$H:$H,'Desenvolvimento diário'!$Q:$Q,$B2162,'Desenvolvimento diário'!$P:$P,$F2162,'Desenvolvimento diário'!$R:$R,"Sim")</f>
        <v>0</v>
      </c>
      <c r="Q2162" s="5">
        <f>SUMIFS('Desenvolvimento diário'!$H:$H,'Desenvolvimento diário'!$Q:$Q,$B2162,'Desenvolvimento diário'!$P:$P,$F2162,'Desenvolvimento diário'!$R:$R,"Não")</f>
        <v>0</v>
      </c>
      <c r="R2162" s="4">
        <f t="shared" si="670"/>
        <v>0</v>
      </c>
      <c r="S2162" s="4">
        <f t="shared" si="671"/>
        <v>0</v>
      </c>
      <c r="T2162" s="12">
        <f t="shared" si="672"/>
        <v>0</v>
      </c>
      <c r="Y2162" s="2"/>
      <c r="Z2162" s="2"/>
      <c r="AA2162" s="2"/>
      <c r="AB2162" s="2"/>
      <c r="AC2162" s="2"/>
    </row>
    <row r="2163" spans="1:29" ht="10.5" hidden="1">
      <c r="A2163" s="2">
        <f t="shared" si="658"/>
        <v>62</v>
      </c>
      <c r="B2163" s="2" t="str">
        <f>VLOOKUP($A2163,Controle!$B$4:$F$68,2,FALSE)</f>
        <v>Mori II</v>
      </c>
      <c r="C2163" s="2" t="str">
        <f>VLOOKUP($A2163,Controle!$B$4:$F$68,3,FALSE)</f>
        <v xml:space="preserve">MORI GERACAO II </v>
      </c>
      <c r="D2163" s="2" t="str">
        <f>VLOOKUP($A2163,Controle!$B$4:$F$68,4,FALSE)</f>
        <v>Mori II</v>
      </c>
      <c r="E2163" s="2">
        <f>VLOOKUP($A2163,Controle!$B$4:$F$68,5,FALSE)</f>
        <v>0</v>
      </c>
      <c r="F2163" s="3" t="str">
        <f t="shared" si="667"/>
        <v>Construção - Serviços de Construção - Ase Engenharia</v>
      </c>
      <c r="G2163" s="2" t="str">
        <f>VLOOKUP($A2163,Controle!$B$4:$G$68,6,FALSE)</f>
        <v>Mori</v>
      </c>
      <c r="H2163" s="6">
        <v>0</v>
      </c>
      <c r="I2163" s="5">
        <f t="shared" si="668"/>
        <v>0</v>
      </c>
      <c r="J2163" s="6">
        <v>0</v>
      </c>
      <c r="K2163" s="6">
        <v>0</v>
      </c>
      <c r="L2163" s="6">
        <v>0</v>
      </c>
      <c r="M2163" s="6">
        <v>0</v>
      </c>
      <c r="N2163" s="6">
        <v>0</v>
      </c>
      <c r="O2163" s="4">
        <f t="shared" si="669"/>
        <v>0</v>
      </c>
      <c r="P2163" s="5">
        <f>SUMIFS('Desenvolvimento diário'!$H:$H,'Desenvolvimento diário'!$Q:$Q,$B2163,'Desenvolvimento diário'!$P:$P,$F2163,'Desenvolvimento diário'!$R:$R,"Sim")</f>
        <v>0</v>
      </c>
      <c r="Q2163" s="5">
        <f>SUMIFS('Desenvolvimento diário'!$H:$H,'Desenvolvimento diário'!$Q:$Q,$B2163,'Desenvolvimento diário'!$P:$P,$F2163,'Desenvolvimento diário'!$R:$R,"Não")</f>
        <v>0</v>
      </c>
      <c r="R2163" s="4">
        <f t="shared" si="670"/>
        <v>0</v>
      </c>
      <c r="S2163" s="4">
        <f t="shared" si="671"/>
        <v>0</v>
      </c>
      <c r="T2163" s="12">
        <f t="shared" si="672"/>
        <v>0</v>
      </c>
      <c r="Y2163" s="2"/>
      <c r="Z2163" s="2"/>
      <c r="AA2163" s="2"/>
      <c r="AB2163" s="2"/>
      <c r="AC2163" s="2"/>
    </row>
    <row r="2164" spans="1:29" ht="10.5" hidden="1">
      <c r="A2164" s="2">
        <f t="shared" si="658"/>
        <v>62</v>
      </c>
      <c r="B2164" s="2" t="str">
        <f>VLOOKUP($A2164,Controle!$B$4:$F$68,2,FALSE)</f>
        <v>Mori II</v>
      </c>
      <c r="C2164" s="2" t="str">
        <f>VLOOKUP($A2164,Controle!$B$4:$F$68,3,FALSE)</f>
        <v xml:space="preserve">MORI GERACAO II </v>
      </c>
      <c r="D2164" s="2" t="str">
        <f>VLOOKUP($A2164,Controle!$B$4:$F$68,4,FALSE)</f>
        <v>Mori II</v>
      </c>
      <c r="E2164" s="2">
        <f>VLOOKUP($A2164,Controle!$B$4:$F$68,5,FALSE)</f>
        <v>0</v>
      </c>
      <c r="F2164" s="3" t="str">
        <f t="shared" si="667"/>
        <v>Full EPC - Contrato Sobressalentes</v>
      </c>
      <c r="G2164" s="2" t="str">
        <f>VLOOKUP($A2164,Controle!$B$4:$G$68,6,FALSE)</f>
        <v>Mori</v>
      </c>
      <c r="H2164" s="6">
        <v>0</v>
      </c>
      <c r="I2164" s="5">
        <f t="shared" si="668"/>
        <v>0</v>
      </c>
      <c r="J2164" s="6">
        <v>0</v>
      </c>
      <c r="K2164" s="6">
        <v>0</v>
      </c>
      <c r="L2164" s="6">
        <v>0</v>
      </c>
      <c r="M2164" s="6">
        <v>0</v>
      </c>
      <c r="N2164" s="6">
        <v>0</v>
      </c>
      <c r="O2164" s="4">
        <f t="shared" si="669"/>
        <v>0</v>
      </c>
      <c r="P2164" s="5">
        <f>SUMIFS('Desenvolvimento diário'!$H:$H,'Desenvolvimento diário'!$Q:$Q,$B2164,'Desenvolvimento diário'!$P:$P,$F2164,'Desenvolvimento diário'!$R:$R,"Sim")</f>
        <v>0</v>
      </c>
      <c r="Q2164" s="5">
        <f>SUMIFS('Desenvolvimento diário'!$H:$H,'Desenvolvimento diário'!$Q:$Q,$B2164,'Desenvolvimento diário'!$P:$P,$F2164,'Desenvolvimento diário'!$R:$R,"Não")</f>
        <v>0</v>
      </c>
      <c r="R2164" s="4">
        <f t="shared" si="670"/>
        <v>0</v>
      </c>
      <c r="S2164" s="4">
        <f t="shared" si="671"/>
        <v>0</v>
      </c>
      <c r="T2164" s="12">
        <f t="shared" si="672"/>
        <v>0</v>
      </c>
      <c r="Y2164" s="2"/>
      <c r="Z2164" s="2"/>
      <c r="AA2164" s="2"/>
      <c r="AB2164" s="2"/>
      <c r="AC2164" s="2"/>
    </row>
    <row r="2165" spans="1:29" ht="10.5" hidden="1">
      <c r="A2165" s="2">
        <f t="shared" si="658"/>
        <v>62</v>
      </c>
      <c r="B2165" s="2" t="str">
        <f>VLOOKUP($A2165,Controle!$B$4:$F$68,2,FALSE)</f>
        <v>Mori II</v>
      </c>
      <c r="C2165" s="2" t="str">
        <f>VLOOKUP($A2165,Controle!$B$4:$F$68,3,FALSE)</f>
        <v xml:space="preserve">MORI GERACAO II </v>
      </c>
      <c r="D2165" s="2" t="str">
        <f>VLOOKUP($A2165,Controle!$B$4:$F$68,4,FALSE)</f>
        <v>Mori II</v>
      </c>
      <c r="E2165" s="2">
        <f>VLOOKUP($A2165,Controle!$B$4:$F$68,5,FALSE)</f>
        <v>0</v>
      </c>
      <c r="F2165" s="3" t="str">
        <f t="shared" si="667"/>
        <v>Construção - Serviços de Construção - NOVA MORADA</v>
      </c>
      <c r="G2165" s="2" t="str">
        <f>VLOOKUP($A2165,Controle!$B$4:$G$68,6,FALSE)</f>
        <v>Mori</v>
      </c>
      <c r="H2165" s="6">
        <v>0</v>
      </c>
      <c r="I2165" s="5">
        <f t="shared" si="668"/>
        <v>0</v>
      </c>
      <c r="J2165" s="6">
        <v>0</v>
      </c>
      <c r="K2165" s="6">
        <v>0</v>
      </c>
      <c r="L2165" s="6">
        <v>0</v>
      </c>
      <c r="M2165" s="6">
        <v>0</v>
      </c>
      <c r="N2165" s="6">
        <v>0</v>
      </c>
      <c r="O2165" s="4">
        <f t="shared" si="669"/>
        <v>0</v>
      </c>
      <c r="P2165" s="5">
        <f>SUMIFS('Desenvolvimento diário'!$H:$H,'Desenvolvimento diário'!$Q:$Q,$B2165,'Desenvolvimento diário'!$P:$P,$F2165,'Desenvolvimento diário'!$R:$R,"Sim")</f>
        <v>0</v>
      </c>
      <c r="Q2165" s="5">
        <f>SUMIFS('Desenvolvimento diário'!$H:$H,'Desenvolvimento diário'!$Q:$Q,$B2165,'Desenvolvimento diário'!$P:$P,$F2165,'Desenvolvimento diário'!$R:$R,"Não")</f>
        <v>0</v>
      </c>
      <c r="R2165" s="4">
        <f t="shared" si="670"/>
        <v>0</v>
      </c>
      <c r="S2165" s="4">
        <f t="shared" si="671"/>
        <v>0</v>
      </c>
      <c r="T2165" s="12">
        <f t="shared" si="672"/>
        <v>0</v>
      </c>
      <c r="Y2165" s="2"/>
      <c r="Z2165" s="2"/>
      <c r="AA2165" s="2"/>
      <c r="AB2165" s="2"/>
      <c r="AC2165" s="2"/>
    </row>
    <row r="2166" spans="1:29" ht="10.5" hidden="1">
      <c r="A2166" s="2">
        <f t="shared" si="658"/>
        <v>62</v>
      </c>
      <c r="B2166" s="2" t="str">
        <f>VLOOKUP($A2166,Controle!$B$4:$F$68,2,FALSE)</f>
        <v>Mori II</v>
      </c>
      <c r="C2166" s="2" t="str">
        <f>VLOOKUP($A2166,Controle!$B$4:$F$68,3,FALSE)</f>
        <v xml:space="preserve">MORI GERACAO II </v>
      </c>
      <c r="D2166" s="2" t="str">
        <f>VLOOKUP($A2166,Controle!$B$4:$F$68,4,FALSE)</f>
        <v>Mori II</v>
      </c>
      <c r="E2166" s="2">
        <f>VLOOKUP($A2166,Controle!$B$4:$F$68,5,FALSE)</f>
        <v>0</v>
      </c>
      <c r="F2166" s="3" t="str">
        <f t="shared" si="667"/>
        <v>Equipamentos Curva A -  Contrato Sobressalentes - SETTA</v>
      </c>
      <c r="G2166" s="2" t="str">
        <f>VLOOKUP($A2166,Controle!$B$4:$G$68,6,FALSE)</f>
        <v>Mori</v>
      </c>
      <c r="H2166" s="6">
        <v>0</v>
      </c>
      <c r="I2166" s="5">
        <f t="shared" si="668"/>
        <v>0</v>
      </c>
      <c r="J2166" s="6">
        <v>0</v>
      </c>
      <c r="K2166" s="6">
        <v>0</v>
      </c>
      <c r="L2166" s="6">
        <v>0</v>
      </c>
      <c r="M2166" s="6">
        <v>0</v>
      </c>
      <c r="N2166" s="6">
        <v>0</v>
      </c>
      <c r="O2166" s="4">
        <f t="shared" si="669"/>
        <v>0</v>
      </c>
      <c r="P2166" s="5">
        <f>SUMIFS('Desenvolvimento diário'!$H:$H,'Desenvolvimento diário'!$Q:$Q,$B2166,'Desenvolvimento diário'!$P:$P,$F2166,'Desenvolvimento diário'!$R:$R,"Sim")</f>
        <v>0</v>
      </c>
      <c r="Q2166" s="5">
        <f>SUMIFS('Desenvolvimento diário'!$H:$H,'Desenvolvimento diário'!$Q:$Q,$B2166,'Desenvolvimento diário'!$P:$P,$F2166,'Desenvolvimento diário'!$R:$R,"Não")</f>
        <v>0</v>
      </c>
      <c r="R2166" s="4">
        <f t="shared" si="670"/>
        <v>0</v>
      </c>
      <c r="S2166" s="4">
        <f t="shared" si="671"/>
        <v>0</v>
      </c>
      <c r="T2166" s="12">
        <f t="shared" si="672"/>
        <v>0</v>
      </c>
      <c r="Y2166" s="2"/>
      <c r="Z2166" s="2"/>
      <c r="AA2166" s="2"/>
      <c r="AB2166" s="2"/>
      <c r="AC2166" s="2"/>
    </row>
    <row r="2167" spans="1:29" ht="10.5" hidden="1">
      <c r="A2167" s="2">
        <f t="shared" si="658"/>
        <v>62</v>
      </c>
      <c r="B2167" s="2" t="str">
        <f>VLOOKUP($A2167,Controle!$B$4:$F$68,2,FALSE)</f>
        <v>Mori II</v>
      </c>
      <c r="C2167" s="2" t="str">
        <f>VLOOKUP($A2167,Controle!$B$4:$F$68,3,FALSE)</f>
        <v xml:space="preserve">MORI GERACAO II </v>
      </c>
      <c r="D2167" s="2" t="str">
        <f>VLOOKUP($A2167,Controle!$B$4:$F$68,4,FALSE)</f>
        <v>Mori II</v>
      </c>
      <c r="E2167" s="2">
        <f>VLOOKUP($A2167,Controle!$B$4:$F$68,5,FALSE)</f>
        <v>0</v>
      </c>
      <c r="F2167" s="3" t="str">
        <f t="shared" si="667"/>
        <v>Equipamentos Curva A -  Contrato Sobressalentes - Arctech</v>
      </c>
      <c r="G2167" s="2" t="str">
        <f>VLOOKUP($A2167,Controle!$B$4:$G$68,6,FALSE)</f>
        <v>Mori</v>
      </c>
      <c r="H2167" s="29" t="s">
        <v>241</v>
      </c>
      <c r="I2167" s="5"/>
      <c r="J2167" s="6">
        <v>0</v>
      </c>
      <c r="K2167" s="6">
        <v>0</v>
      </c>
      <c r="L2167" s="6">
        <v>0</v>
      </c>
      <c r="M2167" s="6">
        <v>0</v>
      </c>
      <c r="N2167" s="6">
        <v>0</v>
      </c>
      <c r="O2167" s="4">
        <f t="shared" si="669"/>
        <v>0</v>
      </c>
      <c r="P2167" s="5">
        <f>SUMIFS('Desenvolvimento diário'!$H:$H,'Desenvolvimento diário'!$Q:$Q,$B2167,'Desenvolvimento diário'!$P:$P,$F2167,'Desenvolvimento diário'!$R:$R,"Sim")</f>
        <v>0</v>
      </c>
      <c r="Q2167" s="5">
        <f>SUMIFS('Desenvolvimento diário'!$H:$H,'Desenvolvimento diário'!$Q:$Q,$B2167,'Desenvolvimento diário'!$P:$P,$F2167,'Desenvolvimento diário'!$R:$R,"Não")</f>
        <v>0</v>
      </c>
      <c r="R2167" s="4">
        <f t="shared" si="670"/>
        <v>0</v>
      </c>
      <c r="S2167" s="33">
        <f t="shared" si="671"/>
        <v>0</v>
      </c>
      <c r="T2167" s="12">
        <f t="shared" si="672"/>
        <v>0</v>
      </c>
      <c r="U2167" s="510" t="s">
        <v>166</v>
      </c>
      <c r="V2167" s="510" t="s">
        <v>242</v>
      </c>
      <c r="Y2167" s="2"/>
      <c r="Z2167" s="2"/>
      <c r="AA2167" s="2"/>
      <c r="AB2167" s="2"/>
      <c r="AC2167" s="2"/>
    </row>
    <row r="2168" spans="1:29" hidden="1">
      <c r="A2168" s="2">
        <f t="shared" si="658"/>
        <v>62</v>
      </c>
      <c r="B2168" s="2" t="str">
        <f>VLOOKUP($A2168,Controle!$B$4:$F$68,2,FALSE)</f>
        <v>Mori II</v>
      </c>
      <c r="C2168" s="2" t="str">
        <f>VLOOKUP($A2168,Controle!$B$4:$F$68,3,FALSE)</f>
        <v xml:space="preserve">MORI GERACAO II </v>
      </c>
      <c r="D2168" s="2" t="str">
        <f>VLOOKUP($A2168,Controle!$B$4:$F$68,4,FALSE)</f>
        <v>Mori II</v>
      </c>
      <c r="E2168" s="2">
        <f>VLOOKUP($A2168,Controle!$B$4:$F$68,5,FALSE)</f>
        <v>0</v>
      </c>
      <c r="F2168" s="3" t="str">
        <f t="shared" ref="F2168:F2170" si="674">F2133</f>
        <v>Equipamentos Curva A -  Contrato Sobressalentes - Romagnole</v>
      </c>
      <c r="G2168" s="2" t="str">
        <f>VLOOKUP($A2168,Controle!$B$4:$G$68,6,FALSE)</f>
        <v>Mori</v>
      </c>
      <c r="H2168" s="7">
        <v>0</v>
      </c>
      <c r="I2168" s="17">
        <f t="shared" si="668"/>
        <v>0</v>
      </c>
      <c r="J2168" s="7">
        <v>0</v>
      </c>
      <c r="K2168" s="7">
        <v>0</v>
      </c>
      <c r="L2168" s="7">
        <v>0</v>
      </c>
      <c r="M2168" s="7">
        <v>0</v>
      </c>
      <c r="N2168" s="7">
        <v>0</v>
      </c>
      <c r="O2168" s="4">
        <f t="shared" si="669"/>
        <v>0</v>
      </c>
      <c r="P2168" s="17">
        <f>SUMIFS('Desenvolvimento diário'!$H:$H,'Desenvolvimento diário'!$Q:$Q,$B2168,'Desenvolvimento diário'!$P:$P,$F2168,'Desenvolvimento diário'!$R:$R,"Sim")</f>
        <v>0</v>
      </c>
      <c r="Q2168" s="17">
        <f>SUMIFS('Desenvolvimento diário'!$H:$H,'Desenvolvimento diário'!$Q:$Q,$B2168,'Desenvolvimento diário'!$P:$P,$F2168,'Desenvolvimento diário'!$R:$R,"Não")</f>
        <v>0</v>
      </c>
      <c r="R2168" s="4">
        <f t="shared" si="670"/>
        <v>0</v>
      </c>
      <c r="S2168" s="4">
        <f t="shared" si="671"/>
        <v>0</v>
      </c>
      <c r="T2168" s="12">
        <f t="shared" si="672"/>
        <v>0</v>
      </c>
      <c r="Y2168" s="2"/>
      <c r="Z2168" s="2"/>
      <c r="AA2168" s="2"/>
      <c r="AB2168" s="2"/>
      <c r="AC2168" s="2"/>
    </row>
    <row r="2169" spans="1:29" hidden="1">
      <c r="A2169" s="2">
        <f t="shared" si="658"/>
        <v>62</v>
      </c>
      <c r="B2169" s="2" t="str">
        <f>VLOOKUP($A2169,Controle!$B$4:$F$68,2,FALSE)</f>
        <v>Mori II</v>
      </c>
      <c r="C2169" s="2" t="str">
        <f>VLOOKUP($A2169,Controle!$B$4:$F$68,3,FALSE)</f>
        <v xml:space="preserve">MORI GERACAO II </v>
      </c>
      <c r="D2169" s="2" t="str">
        <f>VLOOKUP($A2169,Controle!$B$4:$F$68,4,FALSE)</f>
        <v>Mori II</v>
      </c>
      <c r="E2169" s="2">
        <f>VLOOKUP($A2169,Controle!$B$4:$F$68,5,FALSE)</f>
        <v>0</v>
      </c>
      <c r="F2169" s="3" t="str">
        <f t="shared" si="674"/>
        <v>GOS FLORESTAL - (PRAD - Recuperação Area Ambiental)</v>
      </c>
      <c r="G2169" s="2" t="str">
        <f>VLOOKUP($A2169,Controle!$B$4:$G$68,6,FALSE)</f>
        <v>Mori</v>
      </c>
      <c r="H2169" s="7">
        <v>0</v>
      </c>
      <c r="I2169" s="5">
        <f t="shared" si="668"/>
        <v>0</v>
      </c>
      <c r="J2169" s="7">
        <v>0</v>
      </c>
      <c r="K2169" s="7">
        <v>0</v>
      </c>
      <c r="L2169" s="7">
        <v>0</v>
      </c>
      <c r="M2169" s="7">
        <v>0</v>
      </c>
      <c r="N2169" s="7">
        <v>0</v>
      </c>
      <c r="O2169" s="39">
        <f t="shared" si="669"/>
        <v>0</v>
      </c>
      <c r="P2169" s="17">
        <f>SUMIFS('Desenvolvimento diário'!$H:$H,'Desenvolvimento diário'!$Q:$Q,$B2169,'Desenvolvimento diário'!$P:$P,$F2169,'Desenvolvimento diário'!$R:$R,"Sim")</f>
        <v>0</v>
      </c>
      <c r="Q2169" s="17">
        <f>SUMIFS('Desenvolvimento diário'!$H:$H,'Desenvolvimento diário'!$Q:$Q,$B2169,'Desenvolvimento diário'!$P:$P,$F2169,'Desenvolvimento diário'!$R:$R,"Não")</f>
        <v>0</v>
      </c>
      <c r="R2169" s="4">
        <f t="shared" si="670"/>
        <v>0</v>
      </c>
      <c r="S2169" s="4">
        <f t="shared" si="671"/>
        <v>0</v>
      </c>
      <c r="T2169" s="12">
        <f t="shared" si="672"/>
        <v>0</v>
      </c>
      <c r="Y2169" s="2"/>
      <c r="Z2169" s="2"/>
      <c r="AA2169" s="2"/>
      <c r="AB2169" s="2"/>
      <c r="AC2169" s="2"/>
    </row>
    <row r="2170" spans="1:29" hidden="1">
      <c r="A2170" s="2">
        <f t="shared" ref="A2170" si="675">A2169</f>
        <v>62</v>
      </c>
      <c r="B2170" s="2" t="str">
        <f>VLOOKUP($A2170,Controle!$B$4:$F$68,2,FALSE)</f>
        <v>Mori II</v>
      </c>
      <c r="C2170" s="2" t="str">
        <f>VLOOKUP($A2170,Controle!$B$4:$F$68,3,FALSE)</f>
        <v xml:space="preserve">MORI GERACAO II </v>
      </c>
      <c r="D2170" s="2" t="str">
        <f>VLOOKUP($A2170,Controle!$B$4:$F$68,4,FALSE)</f>
        <v>Mori II</v>
      </c>
      <c r="E2170" s="2">
        <f>VLOOKUP($A2170,Controle!$B$4:$F$68,5,FALSE)</f>
        <v>0</v>
      </c>
      <c r="F2170" s="3" t="str">
        <f t="shared" si="674"/>
        <v>Cercamento das bacias de contenção ciclo 2</v>
      </c>
      <c r="G2170" s="2" t="str">
        <f>VLOOKUP($A2170,Controle!$B$4:$G$68,6,FALSE)</f>
        <v>Mori</v>
      </c>
      <c r="H2170" s="7">
        <v>0</v>
      </c>
      <c r="I2170" s="17">
        <f t="shared" ref="I2170" si="676">R2170</f>
        <v>0</v>
      </c>
      <c r="J2170" s="7">
        <v>0</v>
      </c>
      <c r="K2170" s="7">
        <v>0</v>
      </c>
      <c r="L2170" s="7">
        <v>0</v>
      </c>
      <c r="M2170" s="7">
        <v>0</v>
      </c>
      <c r="N2170" s="7">
        <v>0</v>
      </c>
      <c r="O2170" s="39">
        <f t="shared" si="669"/>
        <v>0</v>
      </c>
      <c r="P2170" s="17">
        <f>SUMIFS('Desenvolvimento diário'!$H:$H,'Desenvolvimento diário'!$Q:$Q,$B2170,'Desenvolvimento diário'!$P:$P,$F2170,'Desenvolvimento diário'!$R:$R,"Sim")</f>
        <v>0</v>
      </c>
      <c r="Q2170" s="17">
        <f>SUMIFS('Desenvolvimento diário'!$H:$H,'Desenvolvimento diário'!$Q:$Q,$B2170,'Desenvolvimento diário'!$P:$P,$F2170,'Desenvolvimento diário'!$R:$R,"Não")</f>
        <v>0</v>
      </c>
      <c r="R2170" s="4">
        <f t="shared" si="670"/>
        <v>0</v>
      </c>
      <c r="S2170" s="1030">
        <f t="shared" si="671"/>
        <v>0</v>
      </c>
      <c r="T2170" s="12">
        <f t="shared" si="672"/>
        <v>0</v>
      </c>
      <c r="U2170" s="1029"/>
      <c r="V2170" s="1029" t="s">
        <v>94</v>
      </c>
      <c r="Y2170" s="2"/>
      <c r="Z2170" s="2"/>
      <c r="AA2170" s="2"/>
      <c r="AB2170" s="2"/>
      <c r="AC2170" s="2"/>
    </row>
    <row r="2171" spans="1:29" hidden="1">
      <c r="A2171" s="8">
        <f t="shared" ref="A2171:E2171" si="677">A2168</f>
        <v>62</v>
      </c>
      <c r="B2171" s="9" t="str">
        <f t="shared" si="677"/>
        <v>Mori II</v>
      </c>
      <c r="C2171" s="9" t="str">
        <f t="shared" si="677"/>
        <v xml:space="preserve">MORI GERACAO II </v>
      </c>
      <c r="D2171" s="9" t="str">
        <f t="shared" si="677"/>
        <v>Mori II</v>
      </c>
      <c r="E2171" s="9">
        <f t="shared" si="677"/>
        <v>0</v>
      </c>
      <c r="F2171" s="10" t="s">
        <v>158</v>
      </c>
      <c r="G2171" s="9" t="str">
        <f>G2168</f>
        <v>Mori</v>
      </c>
      <c r="H2171" s="9"/>
      <c r="I2171" s="9">
        <f>SUBTOTAL(9,I2137:I2170)</f>
        <v>0</v>
      </c>
      <c r="J2171" s="9">
        <f t="shared" ref="J2171:S2171" si="678">SUBTOTAL(9,J2137:J2170)</f>
        <v>0</v>
      </c>
      <c r="K2171" s="9">
        <f t="shared" si="678"/>
        <v>0</v>
      </c>
      <c r="L2171" s="9">
        <f t="shared" si="678"/>
        <v>0</v>
      </c>
      <c r="M2171" s="9">
        <f t="shared" si="678"/>
        <v>0</v>
      </c>
      <c r="N2171" s="9">
        <f t="shared" si="678"/>
        <v>0</v>
      </c>
      <c r="O2171" s="9">
        <f t="shared" si="678"/>
        <v>0</v>
      </c>
      <c r="P2171" s="9">
        <f t="shared" si="678"/>
        <v>0</v>
      </c>
      <c r="Q2171" s="9">
        <f t="shared" si="678"/>
        <v>0</v>
      </c>
      <c r="R2171" s="9">
        <f t="shared" si="678"/>
        <v>0</v>
      </c>
      <c r="S2171" s="9">
        <f t="shared" si="678"/>
        <v>0</v>
      </c>
      <c r="T2171" s="13">
        <f>IFERROR(R2171/O2171,0)</f>
        <v>0</v>
      </c>
      <c r="U2171" s="11">
        <f>SUBTOTAL(9,U2137:U2170)</f>
        <v>0</v>
      </c>
      <c r="Y2171" s="2"/>
      <c r="Z2171" s="2"/>
      <c r="AA2171" s="2"/>
      <c r="AB2171" s="2"/>
      <c r="AC2171" s="2"/>
    </row>
    <row r="2172" spans="1:29" ht="10.5" hidden="1">
      <c r="A2172" s="2">
        <f>A2137+1</f>
        <v>63</v>
      </c>
      <c r="B2172" s="2" t="str">
        <f>VLOOKUP($A2172,Controle!$B$4:$F$68,2,FALSE)</f>
        <v>NewCo IV</v>
      </c>
      <c r="C2172" s="2" t="str">
        <f>VLOOKUP($A2172,Controle!$B$4:$F$68,3,FALSE)</f>
        <v>MORI MINAS IV</v>
      </c>
      <c r="D2172" s="2" t="str">
        <f>VLOOKUP($A2172,Controle!$B$4:$F$68,4,FALSE)</f>
        <v>NewCo IV</v>
      </c>
      <c r="E2172" s="2">
        <f>VLOOKUP($A2172,Controle!$B$4:$F$68,5,FALSE)</f>
        <v>0</v>
      </c>
      <c r="F2172" s="3" t="str">
        <f>F2137</f>
        <v>Conexão AT - Obras</v>
      </c>
      <c r="G2172" s="2" t="str">
        <f>VLOOKUP($A2172,Controle!$B$4:$G$68,6,FALSE)</f>
        <v>Solatio</v>
      </c>
      <c r="H2172" s="6">
        <v>0</v>
      </c>
      <c r="I2172" s="5">
        <f t="shared" ref="I2172:I2205" si="679">R2172</f>
        <v>0</v>
      </c>
      <c r="J2172" s="6">
        <v>0</v>
      </c>
      <c r="K2172" s="6">
        <v>0</v>
      </c>
      <c r="L2172" s="6">
        <v>0</v>
      </c>
      <c r="M2172" s="6">
        <v>0</v>
      </c>
      <c r="N2172" s="6">
        <v>0</v>
      </c>
      <c r="O2172" s="4">
        <f t="shared" ref="O2172:O2205" si="680">SUM(I2172:N2172)</f>
        <v>0</v>
      </c>
      <c r="P2172" s="5">
        <f>SUMIFS('Desenvolvimento diário'!$H:$H,'Desenvolvimento diário'!$Q:$Q,$B2172,'Desenvolvimento diário'!$P:$P,$F2172,'Desenvolvimento diário'!$R:$R,"Sim")</f>
        <v>0</v>
      </c>
      <c r="Q2172" s="5">
        <f>SUMIFS('Desenvolvimento diário'!$H:$H,'Desenvolvimento diário'!$Q:$Q,$B2172,'Desenvolvimento diário'!$P:$P,$F2172,'Desenvolvimento diário'!$R:$R,"Não")</f>
        <v>0</v>
      </c>
      <c r="R2172" s="4">
        <f t="shared" ref="R2172:R2205" si="681">SUM(P2172:Q2172)</f>
        <v>0</v>
      </c>
      <c r="S2172" s="4">
        <f t="shared" ref="S2172:S2205" si="682">O2172-R2172</f>
        <v>0</v>
      </c>
      <c r="T2172" s="12">
        <f t="shared" si="672"/>
        <v>0</v>
      </c>
      <c r="Y2172" s="2"/>
      <c r="Z2172" s="2"/>
      <c r="AA2172" s="2"/>
      <c r="AB2172" s="2"/>
      <c r="AC2172" s="2"/>
    </row>
    <row r="2173" spans="1:29" ht="10.5" hidden="1">
      <c r="A2173" s="2">
        <f t="shared" ref="A2173:A2205" si="683">A2172</f>
        <v>63</v>
      </c>
      <c r="B2173" s="2" t="str">
        <f>VLOOKUP($A2173,Controle!$B$4:$F$68,2,FALSE)</f>
        <v>NewCo IV</v>
      </c>
      <c r="C2173" s="2" t="str">
        <f>VLOOKUP($A2173,Controle!$B$4:$F$68,3,FALSE)</f>
        <v>MORI MINAS IV</v>
      </c>
      <c r="D2173" s="2" t="str">
        <f>VLOOKUP($A2173,Controle!$B$4:$F$68,4,FALSE)</f>
        <v>NewCo IV</v>
      </c>
      <c r="E2173" s="2">
        <f>VLOOKUP($A2173,Controle!$B$4:$F$68,5,FALSE)</f>
        <v>0</v>
      </c>
      <c r="F2173" s="3" t="str">
        <f>F2138</f>
        <v>Conexão MT - Obras</v>
      </c>
      <c r="G2173" s="2" t="str">
        <f>VLOOKUP($A2173,Controle!$B$4:$G$68,6,FALSE)</f>
        <v>Solatio</v>
      </c>
      <c r="H2173" s="6">
        <v>0</v>
      </c>
      <c r="I2173" s="5">
        <f t="shared" si="679"/>
        <v>0</v>
      </c>
      <c r="J2173" s="6">
        <v>0</v>
      </c>
      <c r="K2173" s="6">
        <v>0</v>
      </c>
      <c r="L2173" s="6">
        <v>0</v>
      </c>
      <c r="M2173" s="6">
        <v>0</v>
      </c>
      <c r="N2173" s="6">
        <v>0</v>
      </c>
      <c r="O2173" s="4">
        <f t="shared" si="680"/>
        <v>0</v>
      </c>
      <c r="P2173" s="5">
        <f>SUMIFS('Desenvolvimento diário'!$H:$H,'Desenvolvimento diário'!$Q:$Q,$B2173,'Desenvolvimento diário'!$P:$P,$F2173,'Desenvolvimento diário'!$R:$R,"Sim")</f>
        <v>0</v>
      </c>
      <c r="Q2173" s="5">
        <f>SUMIFS('Desenvolvimento diário'!$H:$H,'Desenvolvimento diário'!$Q:$Q,$B2173,'Desenvolvimento diário'!$P:$P,$F2173,'Desenvolvimento diário'!$R:$R,"Não")</f>
        <v>0</v>
      </c>
      <c r="R2173" s="4">
        <f t="shared" si="681"/>
        <v>0</v>
      </c>
      <c r="S2173" s="4">
        <f t="shared" si="682"/>
        <v>0</v>
      </c>
      <c r="T2173" s="12">
        <f t="shared" si="672"/>
        <v>0</v>
      </c>
      <c r="Y2173" s="2"/>
      <c r="Z2173" s="2"/>
      <c r="AA2173" s="2"/>
      <c r="AB2173" s="2"/>
      <c r="AC2173" s="2"/>
    </row>
    <row r="2174" spans="1:29" ht="10.5" hidden="1">
      <c r="A2174" s="2">
        <f t="shared" si="683"/>
        <v>63</v>
      </c>
      <c r="B2174" s="2" t="str">
        <f>VLOOKUP($A2174,Controle!$B$4:$F$68,2,FALSE)</f>
        <v>NewCo IV</v>
      </c>
      <c r="C2174" s="2" t="str">
        <f>VLOOKUP($A2174,Controle!$B$4:$F$68,3,FALSE)</f>
        <v>MORI MINAS IV</v>
      </c>
      <c r="D2174" s="2" t="str">
        <f>VLOOKUP($A2174,Controle!$B$4:$F$68,4,FALSE)</f>
        <v>NewCo IV</v>
      </c>
      <c r="E2174" s="2">
        <f>VLOOKUP($A2174,Controle!$B$4:$F$68,5,FALSE)</f>
        <v>0</v>
      </c>
      <c r="F2174" s="3" t="str">
        <f>F2139</f>
        <v>Construção - Serviços de Construção</v>
      </c>
      <c r="G2174" s="2" t="str">
        <f>VLOOKUP($A2174,Controle!$B$4:$G$68,6,FALSE)</f>
        <v>Solatio</v>
      </c>
      <c r="H2174" s="6">
        <v>0</v>
      </c>
      <c r="I2174" s="5">
        <f t="shared" si="679"/>
        <v>0</v>
      </c>
      <c r="J2174" s="6">
        <v>0</v>
      </c>
      <c r="K2174" s="6">
        <v>0</v>
      </c>
      <c r="L2174" s="6">
        <v>0</v>
      </c>
      <c r="M2174" s="6">
        <v>0</v>
      </c>
      <c r="N2174" s="6">
        <v>0</v>
      </c>
      <c r="O2174" s="4">
        <f t="shared" si="680"/>
        <v>0</v>
      </c>
      <c r="P2174" s="5">
        <f>SUMIFS('Desenvolvimento diário'!$H:$H,'Desenvolvimento diário'!$Q:$Q,$B2174,'Desenvolvimento diário'!$P:$P,$F2174,'Desenvolvimento diário'!$R:$R,"Sim")</f>
        <v>0</v>
      </c>
      <c r="Q2174" s="5">
        <f>SUMIFS('Desenvolvimento diário'!$H:$H,'Desenvolvimento diário'!$Q:$Q,$B2174,'Desenvolvimento diário'!$P:$P,$F2174,'Desenvolvimento diário'!$R:$R,"Não")</f>
        <v>0</v>
      </c>
      <c r="R2174" s="4">
        <f t="shared" si="681"/>
        <v>0</v>
      </c>
      <c r="S2174" s="4">
        <f t="shared" si="682"/>
        <v>0</v>
      </c>
      <c r="T2174" s="12">
        <f t="shared" si="672"/>
        <v>0</v>
      </c>
      <c r="Y2174" s="2"/>
      <c r="Z2174" s="2"/>
      <c r="AA2174" s="2"/>
      <c r="AB2174" s="2"/>
      <c r="AC2174" s="2"/>
    </row>
    <row r="2175" spans="1:29" ht="10.5" hidden="1">
      <c r="A2175" s="2">
        <f t="shared" si="683"/>
        <v>63</v>
      </c>
      <c r="B2175" s="2" t="str">
        <f>VLOOKUP($A2175,Controle!$B$4:$F$68,2,FALSE)</f>
        <v>NewCo IV</v>
      </c>
      <c r="C2175" s="2" t="str">
        <f>VLOOKUP($A2175,Controle!$B$4:$F$68,3,FALSE)</f>
        <v>MORI MINAS IV</v>
      </c>
      <c r="D2175" s="2" t="str">
        <f>VLOOKUP($A2175,Controle!$B$4:$F$68,4,FALSE)</f>
        <v>NewCo IV</v>
      </c>
      <c r="E2175" s="2">
        <f>VLOOKUP($A2175,Controle!$B$4:$F$68,5,FALSE)</f>
        <v>0</v>
      </c>
      <c r="F2175" s="3" t="str">
        <f>F2140</f>
        <v>Construção - Serviços de Construção - Substituição</v>
      </c>
      <c r="G2175" s="2" t="str">
        <f>VLOOKUP($A2175,Controle!$B$4:$G$68,6,FALSE)</f>
        <v>Solatio</v>
      </c>
      <c r="H2175" s="6">
        <v>0</v>
      </c>
      <c r="I2175" s="5">
        <f t="shared" si="679"/>
        <v>0</v>
      </c>
      <c r="J2175" s="6">
        <v>0</v>
      </c>
      <c r="K2175" s="6">
        <v>0</v>
      </c>
      <c r="L2175" s="6">
        <v>0</v>
      </c>
      <c r="M2175" s="6">
        <v>0</v>
      </c>
      <c r="N2175" s="6">
        <v>0</v>
      </c>
      <c r="O2175" s="4">
        <f t="shared" si="680"/>
        <v>0</v>
      </c>
      <c r="P2175" s="5">
        <f>SUMIFS('Desenvolvimento diário'!$H:$H,'Desenvolvimento diário'!$Q:$Q,$B2175,'Desenvolvimento diário'!$P:$P,$F2175,'Desenvolvimento diário'!$R:$R,"Sim")</f>
        <v>0</v>
      </c>
      <c r="Q2175" s="5">
        <f>SUMIFS('Desenvolvimento diário'!$H:$H,'Desenvolvimento diário'!$Q:$Q,$B2175,'Desenvolvimento diário'!$P:$P,$F2175,'Desenvolvimento diário'!$R:$R,"Não")</f>
        <v>0</v>
      </c>
      <c r="R2175" s="4">
        <f t="shared" si="681"/>
        <v>0</v>
      </c>
      <c r="S2175" s="4">
        <f t="shared" si="682"/>
        <v>0</v>
      </c>
      <c r="T2175" s="12">
        <f t="shared" si="672"/>
        <v>0</v>
      </c>
      <c r="Y2175" s="2"/>
      <c r="Z2175" s="2"/>
      <c r="AA2175" s="2"/>
      <c r="AB2175" s="2"/>
      <c r="AC2175" s="2"/>
    </row>
    <row r="2176" spans="1:29" ht="10.5" hidden="1">
      <c r="A2176" s="2">
        <f t="shared" si="683"/>
        <v>63</v>
      </c>
      <c r="B2176" s="2" t="str">
        <f>VLOOKUP($A2176,Controle!$B$4:$F$68,2,FALSE)</f>
        <v>NewCo IV</v>
      </c>
      <c r="C2176" s="2" t="str">
        <f>VLOOKUP($A2176,Controle!$B$4:$F$68,3,FALSE)</f>
        <v>MORI MINAS IV</v>
      </c>
      <c r="D2176" s="2" t="str">
        <f>VLOOKUP($A2176,Controle!$B$4:$F$68,4,FALSE)</f>
        <v>NewCo IV</v>
      </c>
      <c r="E2176" s="2">
        <f>VLOOKUP($A2176,Controle!$B$4:$F$68,5,FALSE)</f>
        <v>0</v>
      </c>
      <c r="F2176" s="3" t="str">
        <f>F2141</f>
        <v>Construção - RDA Interno</v>
      </c>
      <c r="G2176" s="2" t="str">
        <f>VLOOKUP($A2176,Controle!$B$4:$G$68,6,FALSE)</f>
        <v>Solatio</v>
      </c>
      <c r="H2176" s="6">
        <v>0</v>
      </c>
      <c r="I2176" s="5">
        <f t="shared" si="679"/>
        <v>0</v>
      </c>
      <c r="J2176" s="6">
        <v>0</v>
      </c>
      <c r="K2176" s="6">
        <v>0</v>
      </c>
      <c r="L2176" s="6">
        <v>0</v>
      </c>
      <c r="M2176" s="6">
        <v>0</v>
      </c>
      <c r="N2176" s="6">
        <v>0</v>
      </c>
      <c r="O2176" s="4">
        <f t="shared" si="680"/>
        <v>0</v>
      </c>
      <c r="P2176" s="5">
        <f>SUMIFS('Desenvolvimento diário'!$H:$H,'Desenvolvimento diário'!$Q:$Q,$B2176,'Desenvolvimento diário'!$P:$P,$F2176,'Desenvolvimento diário'!$R:$R,"Sim")</f>
        <v>0</v>
      </c>
      <c r="Q2176" s="5">
        <f>SUMIFS('Desenvolvimento diário'!$H:$H,'Desenvolvimento diário'!$Q:$Q,$B2176,'Desenvolvimento diário'!$P:$P,$F2176,'Desenvolvimento diário'!$R:$R,"Não")</f>
        <v>0</v>
      </c>
      <c r="R2176" s="4">
        <f t="shared" si="681"/>
        <v>0</v>
      </c>
      <c r="S2176" s="4">
        <f t="shared" si="682"/>
        <v>0</v>
      </c>
      <c r="T2176" s="12">
        <f t="shared" si="672"/>
        <v>0</v>
      </c>
      <c r="Y2176" s="2"/>
      <c r="Z2176" s="2"/>
      <c r="AA2176" s="2"/>
      <c r="AB2176" s="2"/>
      <c r="AC2176" s="2"/>
    </row>
    <row r="2177" spans="1:29" ht="10.5" hidden="1">
      <c r="A2177" s="2">
        <f t="shared" si="683"/>
        <v>63</v>
      </c>
      <c r="B2177" s="2" t="str">
        <f>VLOOKUP($A2177,Controle!$B$4:$F$68,2,FALSE)</f>
        <v>NewCo IV</v>
      </c>
      <c r="C2177" s="2" t="str">
        <f>VLOOKUP($A2177,Controle!$B$4:$F$68,3,FALSE)</f>
        <v>MORI MINAS IV</v>
      </c>
      <c r="D2177" s="2" t="str">
        <f>VLOOKUP($A2177,Controle!$B$4:$F$68,4,FALSE)</f>
        <v>NewCo IV</v>
      </c>
      <c r="E2177" s="2">
        <f>VLOOKUP($A2177,Controle!$B$4:$F$68,5,FALSE)</f>
        <v>0</v>
      </c>
      <c r="F2177" s="3" t="str">
        <f>F2142</f>
        <v>Full EPC - Contrato</v>
      </c>
      <c r="G2177" s="2" t="str">
        <f>VLOOKUP($A2177,Controle!$B$4:$G$68,6,FALSE)</f>
        <v>Solatio</v>
      </c>
      <c r="H2177" s="6">
        <v>0</v>
      </c>
      <c r="I2177" s="5">
        <f t="shared" si="679"/>
        <v>0</v>
      </c>
      <c r="J2177" s="6">
        <v>0</v>
      </c>
      <c r="K2177" s="6">
        <v>0</v>
      </c>
      <c r="L2177" s="6">
        <v>0</v>
      </c>
      <c r="M2177" s="6">
        <v>0</v>
      </c>
      <c r="N2177" s="6">
        <v>0</v>
      </c>
      <c r="O2177" s="4">
        <f t="shared" si="680"/>
        <v>0</v>
      </c>
      <c r="P2177" s="5">
        <f>SUMIFS('Desenvolvimento diário'!$H:$H,'Desenvolvimento diário'!$Q:$Q,$B2177,'Desenvolvimento diário'!$P:$P,$F2177,'Desenvolvimento diário'!$R:$R,"Sim")</f>
        <v>0</v>
      </c>
      <c r="Q2177" s="5">
        <f>SUMIFS('Desenvolvimento diário'!$H:$H,'Desenvolvimento diário'!$Q:$Q,$B2177,'Desenvolvimento diário'!$P:$P,$F2177,'Desenvolvimento diário'!$R:$R,"Não")</f>
        <v>0</v>
      </c>
      <c r="R2177" s="4">
        <f t="shared" si="681"/>
        <v>0</v>
      </c>
      <c r="S2177" s="4">
        <f t="shared" si="682"/>
        <v>0</v>
      </c>
      <c r="T2177" s="12">
        <f t="shared" si="672"/>
        <v>0</v>
      </c>
      <c r="Y2177" s="2"/>
      <c r="Z2177" s="2"/>
      <c r="AA2177" s="2"/>
      <c r="AB2177" s="2"/>
      <c r="AC2177" s="2"/>
    </row>
    <row r="2178" spans="1:29" ht="10.5" hidden="1">
      <c r="A2178" s="2">
        <f t="shared" si="683"/>
        <v>63</v>
      </c>
      <c r="B2178" s="2" t="str">
        <f>VLOOKUP($A2178,Controle!$B$4:$F$68,2,FALSE)</f>
        <v>NewCo IV</v>
      </c>
      <c r="C2178" s="2" t="str">
        <f>VLOOKUP($A2178,Controle!$B$4:$F$68,3,FALSE)</f>
        <v>MORI MINAS IV</v>
      </c>
      <c r="D2178" s="2" t="str">
        <f>VLOOKUP($A2178,Controle!$B$4:$F$68,4,FALSE)</f>
        <v>NewCo IV</v>
      </c>
      <c r="E2178" s="2">
        <f>VLOOKUP($A2178,Controle!$B$4:$F$68,5,FALSE)</f>
        <v>0</v>
      </c>
      <c r="F2178" s="3" t="str">
        <f>F2143</f>
        <v>Equipamentos Curva A - Outros (Transformadores)</v>
      </c>
      <c r="G2178" s="2" t="str">
        <f>VLOOKUP($A2178,Controle!$B$4:$G$68,6,FALSE)</f>
        <v>Solatio</v>
      </c>
      <c r="H2178" s="6">
        <v>0</v>
      </c>
      <c r="I2178" s="5">
        <f t="shared" si="679"/>
        <v>0</v>
      </c>
      <c r="J2178" s="6">
        <v>0</v>
      </c>
      <c r="K2178" s="6">
        <v>0</v>
      </c>
      <c r="L2178" s="6">
        <v>0</v>
      </c>
      <c r="M2178" s="6">
        <v>0</v>
      </c>
      <c r="N2178" s="6">
        <v>0</v>
      </c>
      <c r="O2178" s="4">
        <f t="shared" si="680"/>
        <v>0</v>
      </c>
      <c r="P2178" s="5">
        <f>SUMIFS('Desenvolvimento diário'!$H:$H,'Desenvolvimento diário'!$Q:$Q,$B2178,'Desenvolvimento diário'!$P:$P,$F2178,'Desenvolvimento diário'!$R:$R,"Sim")</f>
        <v>0</v>
      </c>
      <c r="Q2178" s="5">
        <f>SUMIFS('Desenvolvimento diário'!$H:$H,'Desenvolvimento diário'!$Q:$Q,$B2178,'Desenvolvimento diário'!$P:$P,$F2178,'Desenvolvimento diário'!$R:$R,"Não")</f>
        <v>0</v>
      </c>
      <c r="R2178" s="4">
        <f t="shared" si="681"/>
        <v>0</v>
      </c>
      <c r="S2178" s="4">
        <f t="shared" si="682"/>
        <v>0</v>
      </c>
      <c r="T2178" s="12">
        <f t="shared" ref="T2178:T2212" si="684">IFERROR(R2178/O2178,0)</f>
        <v>0</v>
      </c>
      <c r="Y2178" s="2"/>
      <c r="Z2178" s="2"/>
      <c r="AA2178" s="2"/>
      <c r="AB2178" s="2"/>
      <c r="AC2178" s="2"/>
    </row>
    <row r="2179" spans="1:29" ht="10.5" hidden="1">
      <c r="A2179" s="2">
        <f t="shared" si="683"/>
        <v>63</v>
      </c>
      <c r="B2179" s="2" t="str">
        <f>VLOOKUP($A2179,Controle!$B$4:$F$68,2,FALSE)</f>
        <v>NewCo IV</v>
      </c>
      <c r="C2179" s="2" t="str">
        <f>VLOOKUP($A2179,Controle!$B$4:$F$68,3,FALSE)</f>
        <v>MORI MINAS IV</v>
      </c>
      <c r="D2179" s="2" t="str">
        <f>VLOOKUP($A2179,Controle!$B$4:$F$68,4,FALSE)</f>
        <v>NewCo IV</v>
      </c>
      <c r="E2179" s="2">
        <f>VLOOKUP($A2179,Controle!$B$4:$F$68,5,FALSE)</f>
        <v>0</v>
      </c>
      <c r="F2179" s="3" t="str">
        <f>F2144</f>
        <v>Equipamentos Curva A - Outros (Cabine + Skid)</v>
      </c>
      <c r="G2179" s="2" t="str">
        <f>VLOOKUP($A2179,Controle!$B$4:$G$68,6,FALSE)</f>
        <v>Solatio</v>
      </c>
      <c r="H2179" s="6">
        <v>0</v>
      </c>
      <c r="I2179" s="5">
        <f t="shared" si="679"/>
        <v>0</v>
      </c>
      <c r="J2179" s="6">
        <v>0</v>
      </c>
      <c r="K2179" s="6">
        <v>0</v>
      </c>
      <c r="L2179" s="6">
        <v>0</v>
      </c>
      <c r="M2179" s="6">
        <v>0</v>
      </c>
      <c r="N2179" s="6">
        <v>0</v>
      </c>
      <c r="O2179" s="4">
        <f t="shared" si="680"/>
        <v>0</v>
      </c>
      <c r="P2179" s="5">
        <f>SUMIFS('Desenvolvimento diário'!$H:$H,'Desenvolvimento diário'!$Q:$Q,$B2179,'Desenvolvimento diário'!$P:$P,$F2179,'Desenvolvimento diário'!$R:$R,"Sim")</f>
        <v>0</v>
      </c>
      <c r="Q2179" s="5">
        <f>SUMIFS('Desenvolvimento diário'!$H:$H,'Desenvolvimento diário'!$Q:$Q,$B2179,'Desenvolvimento diário'!$P:$P,$F2179,'Desenvolvimento diário'!$R:$R,"Não")</f>
        <v>0</v>
      </c>
      <c r="R2179" s="4">
        <f t="shared" si="681"/>
        <v>0</v>
      </c>
      <c r="S2179" s="4">
        <f t="shared" si="682"/>
        <v>0</v>
      </c>
      <c r="T2179" s="12">
        <f t="shared" si="684"/>
        <v>0</v>
      </c>
      <c r="Y2179" s="2"/>
      <c r="Z2179" s="2"/>
      <c r="AA2179" s="2"/>
      <c r="AB2179" s="2"/>
      <c r="AC2179" s="2"/>
    </row>
    <row r="2180" spans="1:29" ht="10.5" hidden="1">
      <c r="A2180" s="2">
        <f t="shared" si="683"/>
        <v>63</v>
      </c>
      <c r="B2180" s="2" t="str">
        <f>VLOOKUP($A2180,Controle!$B$4:$F$68,2,FALSE)</f>
        <v>NewCo IV</v>
      </c>
      <c r="C2180" s="2" t="str">
        <f>VLOOKUP($A2180,Controle!$B$4:$F$68,3,FALSE)</f>
        <v>MORI MINAS IV</v>
      </c>
      <c r="D2180" s="2" t="str">
        <f>VLOOKUP($A2180,Controle!$B$4:$F$68,4,FALSE)</f>
        <v>NewCo IV</v>
      </c>
      <c r="E2180" s="2">
        <f>VLOOKUP($A2180,Controle!$B$4:$F$68,5,FALSE)</f>
        <v>0</v>
      </c>
      <c r="F2180" s="3" t="str">
        <f>F2145</f>
        <v>Equipamentos Curva A - Outros (Cabine + Skid + Transformador)</v>
      </c>
      <c r="G2180" s="2" t="str">
        <f>VLOOKUP($A2180,Controle!$B$4:$G$68,6,FALSE)</f>
        <v>Solatio</v>
      </c>
      <c r="H2180" s="6">
        <v>0</v>
      </c>
      <c r="I2180" s="5">
        <f t="shared" si="679"/>
        <v>0</v>
      </c>
      <c r="J2180" s="6">
        <v>0</v>
      </c>
      <c r="K2180" s="6">
        <v>0</v>
      </c>
      <c r="L2180" s="6">
        <v>0</v>
      </c>
      <c r="M2180" s="6">
        <v>0</v>
      </c>
      <c r="N2180" s="6">
        <v>0</v>
      </c>
      <c r="O2180" s="4">
        <f t="shared" si="680"/>
        <v>0</v>
      </c>
      <c r="P2180" s="5">
        <f>SUMIFS('Desenvolvimento diário'!$H:$H,'Desenvolvimento diário'!$Q:$Q,$B2180,'Desenvolvimento diário'!$P:$P,$F2180,'Desenvolvimento diário'!$R:$R,"Sim")</f>
        <v>0</v>
      </c>
      <c r="Q2180" s="5">
        <f>SUMIFS('Desenvolvimento diário'!$H:$H,'Desenvolvimento diário'!$Q:$Q,$B2180,'Desenvolvimento diário'!$P:$P,$F2180,'Desenvolvimento diário'!$R:$R,"Não")</f>
        <v>0</v>
      </c>
      <c r="R2180" s="4">
        <f t="shared" si="681"/>
        <v>0</v>
      </c>
      <c r="S2180" s="4">
        <f t="shared" si="682"/>
        <v>0</v>
      </c>
      <c r="T2180" s="12">
        <f t="shared" si="684"/>
        <v>0</v>
      </c>
      <c r="Y2180" s="2"/>
      <c r="Z2180" s="2"/>
      <c r="AA2180" s="2"/>
      <c r="AB2180" s="2"/>
      <c r="AC2180" s="2"/>
    </row>
    <row r="2181" spans="1:29" ht="10.5" hidden="1">
      <c r="A2181" s="2">
        <f t="shared" si="683"/>
        <v>63</v>
      </c>
      <c r="B2181" s="2" t="str">
        <f>VLOOKUP($A2181,Controle!$B$4:$F$68,2,FALSE)</f>
        <v>NewCo IV</v>
      </c>
      <c r="C2181" s="2" t="str">
        <f>VLOOKUP($A2181,Controle!$B$4:$F$68,3,FALSE)</f>
        <v>MORI MINAS IV</v>
      </c>
      <c r="D2181" s="2" t="str">
        <f>VLOOKUP($A2181,Controle!$B$4:$F$68,4,FALSE)</f>
        <v>NewCo IV</v>
      </c>
      <c r="E2181" s="2">
        <f>VLOOKUP($A2181,Controle!$B$4:$F$68,5,FALSE)</f>
        <v>0</v>
      </c>
      <c r="F2181" s="3" t="str">
        <f>F2146</f>
        <v>Desenvolvimento de projeto - Projetos - (Eng° Proprietario)</v>
      </c>
      <c r="G2181" s="2" t="str">
        <f>VLOOKUP($A2181,Controle!$B$4:$G$68,6,FALSE)</f>
        <v>Solatio</v>
      </c>
      <c r="H2181" s="6">
        <v>0</v>
      </c>
      <c r="I2181" s="5">
        <f t="shared" si="679"/>
        <v>2125510.96</v>
      </c>
      <c r="J2181" s="6">
        <v>0</v>
      </c>
      <c r="K2181" s="6">
        <v>0</v>
      </c>
      <c r="L2181" s="6">
        <v>0</v>
      </c>
      <c r="M2181" s="6">
        <v>0</v>
      </c>
      <c r="N2181" s="6">
        <v>0</v>
      </c>
      <c r="O2181" s="4">
        <f t="shared" si="680"/>
        <v>2125510.96</v>
      </c>
      <c r="P2181" s="5">
        <f>SUMIFS('Desenvolvimento diário'!$H:$H,'Desenvolvimento diário'!$Q:$Q,$B2181,'Desenvolvimento diário'!$P:$P,$F2181,'Desenvolvimento diário'!$R:$R,"Sim")</f>
        <v>0</v>
      </c>
      <c r="Q2181" s="5">
        <f>SUMIFS('Desenvolvimento diário'!$H:$H,'Desenvolvimento diário'!$Q:$Q,$B2181,'Desenvolvimento diário'!$P:$P,$F2181,'Desenvolvimento diário'!$R:$R,"Não")</f>
        <v>2125510.96</v>
      </c>
      <c r="R2181" s="4">
        <f t="shared" si="681"/>
        <v>2125510.96</v>
      </c>
      <c r="S2181" s="4">
        <f t="shared" si="682"/>
        <v>0</v>
      </c>
      <c r="T2181" s="12">
        <f t="shared" si="684"/>
        <v>1</v>
      </c>
      <c r="Y2181" s="2"/>
      <c r="Z2181" s="2"/>
      <c r="AA2181" s="2"/>
      <c r="AB2181" s="2"/>
      <c r="AC2181" s="2"/>
    </row>
    <row r="2182" spans="1:29" ht="10.5" hidden="1">
      <c r="A2182" s="2">
        <f t="shared" si="683"/>
        <v>63</v>
      </c>
      <c r="B2182" s="2" t="str">
        <f>VLOOKUP($A2182,Controle!$B$4:$F$68,2,FALSE)</f>
        <v>NewCo IV</v>
      </c>
      <c r="C2182" s="2" t="str">
        <f>VLOOKUP($A2182,Controle!$B$4:$F$68,3,FALSE)</f>
        <v>MORI MINAS IV</v>
      </c>
      <c r="D2182" s="2" t="str">
        <f>VLOOKUP($A2182,Controle!$B$4:$F$68,4,FALSE)</f>
        <v>NewCo IV</v>
      </c>
      <c r="E2182" s="2">
        <f>VLOOKUP($A2182,Controle!$B$4:$F$68,5,FALSE)</f>
        <v>0</v>
      </c>
      <c r="F2182" s="3" t="str">
        <f>F2147</f>
        <v>Desenvolvimento de projeto - Projetos - Executivos</v>
      </c>
      <c r="G2182" s="2" t="str">
        <f>VLOOKUP($A2182,Controle!$B$4:$G$68,6,FALSE)</f>
        <v>Solatio</v>
      </c>
      <c r="H2182" s="6">
        <v>0</v>
      </c>
      <c r="I2182" s="5">
        <f t="shared" si="679"/>
        <v>0</v>
      </c>
      <c r="J2182" s="6">
        <v>0</v>
      </c>
      <c r="K2182" s="6">
        <v>0</v>
      </c>
      <c r="L2182" s="6">
        <v>0</v>
      </c>
      <c r="M2182" s="6">
        <v>0</v>
      </c>
      <c r="N2182" s="6">
        <v>0</v>
      </c>
      <c r="O2182" s="4">
        <f t="shared" si="680"/>
        <v>0</v>
      </c>
      <c r="P2182" s="5">
        <f>SUMIFS('Desenvolvimento diário'!$H:$H,'Desenvolvimento diário'!$Q:$Q,$B2182,'Desenvolvimento diário'!$P:$P,$F2182,'Desenvolvimento diário'!$R:$R,"Sim")</f>
        <v>0</v>
      </c>
      <c r="Q2182" s="5">
        <f>SUMIFS('Desenvolvimento diário'!$H:$H,'Desenvolvimento diário'!$Q:$Q,$B2182,'Desenvolvimento diário'!$P:$P,$F2182,'Desenvolvimento diário'!$R:$R,"Não")</f>
        <v>0</v>
      </c>
      <c r="R2182" s="4">
        <f t="shared" si="681"/>
        <v>0</v>
      </c>
      <c r="S2182" s="4">
        <f t="shared" si="682"/>
        <v>0</v>
      </c>
      <c r="T2182" s="12">
        <f t="shared" si="684"/>
        <v>0</v>
      </c>
      <c r="Y2182" s="2"/>
      <c r="Z2182" s="2"/>
      <c r="AA2182" s="2"/>
      <c r="AB2182" s="2"/>
      <c r="AC2182" s="2"/>
    </row>
    <row r="2183" spans="1:29" ht="10.5" hidden="1">
      <c r="A2183" s="2">
        <f t="shared" si="683"/>
        <v>63</v>
      </c>
      <c r="B2183" s="2" t="str">
        <f>VLOOKUP($A2183,Controle!$B$4:$F$68,2,FALSE)</f>
        <v>NewCo IV</v>
      </c>
      <c r="C2183" s="2" t="str">
        <f>VLOOKUP($A2183,Controle!$B$4:$F$68,3,FALSE)</f>
        <v>MORI MINAS IV</v>
      </c>
      <c r="D2183" s="2" t="str">
        <f>VLOOKUP($A2183,Controle!$B$4:$F$68,4,FALSE)</f>
        <v>NewCo IV</v>
      </c>
      <c r="E2183" s="2">
        <f>VLOOKUP($A2183,Controle!$B$4:$F$68,5,FALSE)</f>
        <v>0</v>
      </c>
      <c r="F2183" s="3" t="str">
        <f>F2148</f>
        <v>Desenvolvimento de projeto - Projetos Básica</v>
      </c>
      <c r="G2183" s="2" t="str">
        <f>VLOOKUP($A2183,Controle!$B$4:$G$68,6,FALSE)</f>
        <v>Solatio</v>
      </c>
      <c r="H2183" s="6">
        <v>0</v>
      </c>
      <c r="I2183" s="5">
        <f t="shared" si="679"/>
        <v>0</v>
      </c>
      <c r="J2183" s="6">
        <v>0</v>
      </c>
      <c r="K2183" s="6">
        <v>0</v>
      </c>
      <c r="L2183" s="6">
        <v>0</v>
      </c>
      <c r="M2183" s="6">
        <v>0</v>
      </c>
      <c r="N2183" s="6">
        <v>0</v>
      </c>
      <c r="O2183" s="4">
        <f t="shared" si="680"/>
        <v>0</v>
      </c>
      <c r="P2183" s="5">
        <f>SUMIFS('Desenvolvimento diário'!$H:$H,'Desenvolvimento diário'!$Q:$Q,$B2183,'Desenvolvimento diário'!$P:$P,$F2183,'Desenvolvimento diário'!$R:$R,"Sim")</f>
        <v>0</v>
      </c>
      <c r="Q2183" s="5">
        <f>SUMIFS('Desenvolvimento diário'!$H:$H,'Desenvolvimento diário'!$Q:$Q,$B2183,'Desenvolvimento diário'!$P:$P,$F2183,'Desenvolvimento diário'!$R:$R,"Não")</f>
        <v>0</v>
      </c>
      <c r="R2183" s="4">
        <f t="shared" si="681"/>
        <v>0</v>
      </c>
      <c r="S2183" s="4">
        <f t="shared" si="682"/>
        <v>0</v>
      </c>
      <c r="T2183" s="12">
        <f t="shared" si="684"/>
        <v>0</v>
      </c>
      <c r="Y2183" s="2"/>
      <c r="Z2183" s="2"/>
      <c r="AA2183" s="2"/>
      <c r="AB2183" s="2"/>
      <c r="AC2183" s="2"/>
    </row>
    <row r="2184" spans="1:29" ht="10.5" hidden="1">
      <c r="A2184" s="2">
        <f t="shared" si="683"/>
        <v>63</v>
      </c>
      <c r="B2184" s="2" t="str">
        <f>VLOOKUP($A2184,Controle!$B$4:$F$68,2,FALSE)</f>
        <v>NewCo IV</v>
      </c>
      <c r="C2184" s="2" t="str">
        <f>VLOOKUP($A2184,Controle!$B$4:$F$68,3,FALSE)</f>
        <v>MORI MINAS IV</v>
      </c>
      <c r="D2184" s="2" t="str">
        <f>VLOOKUP($A2184,Controle!$B$4:$F$68,4,FALSE)</f>
        <v>NewCo IV</v>
      </c>
      <c r="E2184" s="2">
        <f>VLOOKUP($A2184,Controle!$B$4:$F$68,5,FALSE)</f>
        <v>0</v>
      </c>
      <c r="F2184" s="3" t="str">
        <f>F2149</f>
        <v>Desenvolvimento de projeto - Projetos Detalhada</v>
      </c>
      <c r="G2184" s="2" t="str">
        <f>VLOOKUP($A2184,Controle!$B$4:$G$68,6,FALSE)</f>
        <v>Solatio</v>
      </c>
      <c r="H2184" s="6">
        <v>0</v>
      </c>
      <c r="I2184" s="5">
        <f t="shared" si="679"/>
        <v>0</v>
      </c>
      <c r="J2184" s="6">
        <v>0</v>
      </c>
      <c r="K2184" s="6">
        <v>0</v>
      </c>
      <c r="L2184" s="6">
        <v>0</v>
      </c>
      <c r="M2184" s="6">
        <v>0</v>
      </c>
      <c r="N2184" s="6">
        <v>0</v>
      </c>
      <c r="O2184" s="4">
        <f t="shared" si="680"/>
        <v>0</v>
      </c>
      <c r="P2184" s="5">
        <f>SUMIFS('Desenvolvimento diário'!$H:$H,'Desenvolvimento diário'!$Q:$Q,$B2184,'Desenvolvimento diário'!$P:$P,$F2184,'Desenvolvimento diário'!$R:$R,"Sim")</f>
        <v>0</v>
      </c>
      <c r="Q2184" s="5">
        <f>SUMIFS('Desenvolvimento diário'!$H:$H,'Desenvolvimento diário'!$Q:$Q,$B2184,'Desenvolvimento diário'!$P:$P,$F2184,'Desenvolvimento diário'!$R:$R,"Não")</f>
        <v>0</v>
      </c>
      <c r="R2184" s="4">
        <f t="shared" si="681"/>
        <v>0</v>
      </c>
      <c r="S2184" s="4">
        <f t="shared" si="682"/>
        <v>0</v>
      </c>
      <c r="T2184" s="12">
        <f t="shared" si="684"/>
        <v>0</v>
      </c>
      <c r="Y2184" s="2"/>
      <c r="Z2184" s="2"/>
      <c r="AA2184" s="2"/>
      <c r="AB2184" s="2"/>
      <c r="AC2184" s="2"/>
    </row>
    <row r="2185" spans="1:29" ht="10.5" hidden="1">
      <c r="A2185" s="2">
        <f t="shared" si="683"/>
        <v>63</v>
      </c>
      <c r="B2185" s="2" t="str">
        <f>VLOOKUP($A2185,Controle!$B$4:$F$68,2,FALSE)</f>
        <v>NewCo IV</v>
      </c>
      <c r="C2185" s="2" t="str">
        <f>VLOOKUP($A2185,Controle!$B$4:$F$68,3,FALSE)</f>
        <v>MORI MINAS IV</v>
      </c>
      <c r="D2185" s="2" t="str">
        <f>VLOOKUP($A2185,Controle!$B$4:$F$68,4,FALSE)</f>
        <v>NewCo IV</v>
      </c>
      <c r="E2185" s="2">
        <f>VLOOKUP($A2185,Controle!$B$4:$F$68,5,FALSE)</f>
        <v>0</v>
      </c>
      <c r="F2185" s="3" t="str">
        <f>F2150</f>
        <v>Desenvolvimento de projeto - Ambiental / Outros</v>
      </c>
      <c r="G2185" s="2" t="str">
        <f>VLOOKUP($A2185,Controle!$B$4:$G$68,6,FALSE)</f>
        <v>Solatio</v>
      </c>
      <c r="H2185" s="6">
        <v>0</v>
      </c>
      <c r="I2185" s="5">
        <f t="shared" si="679"/>
        <v>0</v>
      </c>
      <c r="J2185" s="6">
        <v>0</v>
      </c>
      <c r="K2185" s="6">
        <v>0</v>
      </c>
      <c r="L2185" s="6">
        <v>0</v>
      </c>
      <c r="M2185" s="6">
        <v>0</v>
      </c>
      <c r="N2185" s="6">
        <v>0</v>
      </c>
      <c r="O2185" s="4">
        <f t="shared" si="680"/>
        <v>0</v>
      </c>
      <c r="P2185" s="5">
        <f>SUMIFS('Desenvolvimento diário'!$H:$H,'Desenvolvimento diário'!$Q:$Q,$B2185,'Desenvolvimento diário'!$P:$P,$F2185,'Desenvolvimento diário'!$R:$R,"Sim")</f>
        <v>0</v>
      </c>
      <c r="Q2185" s="5">
        <f>SUMIFS('Desenvolvimento diário'!$H:$H,'Desenvolvimento diário'!$Q:$Q,$B2185,'Desenvolvimento diário'!$P:$P,$F2185,'Desenvolvimento diário'!$R:$R,"Não")</f>
        <v>0</v>
      </c>
      <c r="R2185" s="4">
        <f t="shared" si="681"/>
        <v>0</v>
      </c>
      <c r="S2185" s="4">
        <f t="shared" si="682"/>
        <v>0</v>
      </c>
      <c r="T2185" s="12">
        <f t="shared" si="684"/>
        <v>0</v>
      </c>
      <c r="Y2185" s="2"/>
      <c r="Z2185" s="2"/>
      <c r="AA2185" s="2"/>
      <c r="AB2185" s="2"/>
      <c r="AC2185" s="2"/>
    </row>
    <row r="2186" spans="1:29" ht="10.5" hidden="1">
      <c r="A2186" s="2">
        <f t="shared" si="683"/>
        <v>63</v>
      </c>
      <c r="B2186" s="2" t="str">
        <f>VLOOKUP($A2186,Controle!$B$4:$F$68,2,FALSE)</f>
        <v>NewCo IV</v>
      </c>
      <c r="C2186" s="2" t="str">
        <f>VLOOKUP($A2186,Controle!$B$4:$F$68,3,FALSE)</f>
        <v>MORI MINAS IV</v>
      </c>
      <c r="D2186" s="2" t="str">
        <f>VLOOKUP($A2186,Controle!$B$4:$F$68,4,FALSE)</f>
        <v>NewCo IV</v>
      </c>
      <c r="E2186" s="2">
        <f>VLOOKUP($A2186,Controle!$B$4:$F$68,5,FALSE)</f>
        <v>0</v>
      </c>
      <c r="F2186" s="3" t="str">
        <f>F2151</f>
        <v>Desenvolvimento de projeto - Coordenograma</v>
      </c>
      <c r="G2186" s="2" t="str">
        <f>VLOOKUP($A2186,Controle!$B$4:$G$68,6,FALSE)</f>
        <v>Solatio</v>
      </c>
      <c r="H2186" s="6">
        <v>0</v>
      </c>
      <c r="I2186" s="5">
        <f t="shared" si="679"/>
        <v>0</v>
      </c>
      <c r="J2186" s="6">
        <v>0</v>
      </c>
      <c r="K2186" s="6">
        <v>0</v>
      </c>
      <c r="L2186" s="6">
        <v>0</v>
      </c>
      <c r="M2186" s="6">
        <v>0</v>
      </c>
      <c r="N2186" s="6">
        <v>0</v>
      </c>
      <c r="O2186" s="4">
        <f t="shared" si="680"/>
        <v>0</v>
      </c>
      <c r="P2186" s="5">
        <f>SUMIFS('Desenvolvimento diário'!$H:$H,'Desenvolvimento diário'!$Q:$Q,$B2186,'Desenvolvimento diário'!$P:$P,$F2186,'Desenvolvimento diário'!$R:$R,"Sim")</f>
        <v>0</v>
      </c>
      <c r="Q2186" s="5">
        <f>SUMIFS('Desenvolvimento diário'!$H:$H,'Desenvolvimento diário'!$Q:$Q,$B2186,'Desenvolvimento diário'!$P:$P,$F2186,'Desenvolvimento diário'!$R:$R,"Não")</f>
        <v>0</v>
      </c>
      <c r="R2186" s="4">
        <f t="shared" si="681"/>
        <v>0</v>
      </c>
      <c r="S2186" s="4">
        <f t="shared" si="682"/>
        <v>0</v>
      </c>
      <c r="T2186" s="12">
        <f t="shared" si="684"/>
        <v>0</v>
      </c>
      <c r="Y2186" s="2"/>
      <c r="Z2186" s="2"/>
      <c r="AA2186" s="2"/>
      <c r="AB2186" s="2"/>
      <c r="AC2186" s="2"/>
    </row>
    <row r="2187" spans="1:29" ht="10.5" hidden="1">
      <c r="A2187" s="2">
        <f t="shared" si="683"/>
        <v>63</v>
      </c>
      <c r="B2187" s="2" t="str">
        <f>VLOOKUP($A2187,Controle!$B$4:$F$68,2,FALSE)</f>
        <v>NewCo IV</v>
      </c>
      <c r="C2187" s="2" t="str">
        <f>VLOOKUP($A2187,Controle!$B$4:$F$68,3,FALSE)</f>
        <v>MORI MINAS IV</v>
      </c>
      <c r="D2187" s="2" t="str">
        <f>VLOOKUP($A2187,Controle!$B$4:$F$68,4,FALSE)</f>
        <v>NewCo IV</v>
      </c>
      <c r="E2187" s="2">
        <f>VLOOKUP($A2187,Controle!$B$4:$F$68,5,FALSE)</f>
        <v>0</v>
      </c>
      <c r="F2187" s="3" t="str">
        <f>F2152</f>
        <v>Sistemas de Monitoramento - Supervisório</v>
      </c>
      <c r="G2187" s="2" t="str">
        <f>VLOOKUP($A2187,Controle!$B$4:$G$68,6,FALSE)</f>
        <v>Solatio</v>
      </c>
      <c r="H2187" s="6">
        <v>0</v>
      </c>
      <c r="I2187" s="5">
        <f t="shared" si="679"/>
        <v>0</v>
      </c>
      <c r="J2187" s="6">
        <v>0</v>
      </c>
      <c r="K2187" s="6">
        <v>0</v>
      </c>
      <c r="L2187" s="6">
        <v>0</v>
      </c>
      <c r="M2187" s="6">
        <v>0</v>
      </c>
      <c r="N2187" s="6">
        <v>0</v>
      </c>
      <c r="O2187" s="4">
        <f t="shared" si="680"/>
        <v>0</v>
      </c>
      <c r="P2187" s="5">
        <f>SUMIFS('Desenvolvimento diário'!$H:$H,'Desenvolvimento diário'!$Q:$Q,$B2187,'Desenvolvimento diário'!$P:$P,$F2187,'Desenvolvimento diário'!$R:$R,"Sim")</f>
        <v>0</v>
      </c>
      <c r="Q2187" s="5">
        <f>SUMIFS('Desenvolvimento diário'!$H:$H,'Desenvolvimento diário'!$Q:$Q,$B2187,'Desenvolvimento diário'!$P:$P,$F2187,'Desenvolvimento diário'!$R:$R,"Não")</f>
        <v>0</v>
      </c>
      <c r="R2187" s="4">
        <f t="shared" si="681"/>
        <v>0</v>
      </c>
      <c r="S2187" s="4">
        <f t="shared" si="682"/>
        <v>0</v>
      </c>
      <c r="T2187" s="12">
        <f t="shared" si="684"/>
        <v>0</v>
      </c>
      <c r="Y2187" s="2"/>
      <c r="Z2187" s="2"/>
      <c r="AA2187" s="2"/>
      <c r="AB2187" s="2"/>
      <c r="AC2187" s="2"/>
    </row>
    <row r="2188" spans="1:29" ht="10.5" hidden="1">
      <c r="A2188" s="2">
        <f t="shared" si="683"/>
        <v>63</v>
      </c>
      <c r="B2188" s="2" t="str">
        <f>VLOOKUP($A2188,Controle!$B$4:$F$68,2,FALSE)</f>
        <v>NewCo IV</v>
      </c>
      <c r="C2188" s="2" t="str">
        <f>VLOOKUP($A2188,Controle!$B$4:$F$68,3,FALSE)</f>
        <v>MORI MINAS IV</v>
      </c>
      <c r="D2188" s="2" t="str">
        <f>VLOOKUP($A2188,Controle!$B$4:$F$68,4,FALSE)</f>
        <v>NewCo IV</v>
      </c>
      <c r="E2188" s="2">
        <f>VLOOKUP($A2188,Controle!$B$4:$F$68,5,FALSE)</f>
        <v>0</v>
      </c>
      <c r="F2188" s="3" t="str">
        <f>F2153</f>
        <v>Sistemas de Monitoramento - Estações Solarimétricas</v>
      </c>
      <c r="G2188" s="2" t="str">
        <f>VLOOKUP($A2188,Controle!$B$4:$G$68,6,FALSE)</f>
        <v>Solatio</v>
      </c>
      <c r="H2188" s="6">
        <v>0</v>
      </c>
      <c r="I2188" s="5">
        <f t="shared" si="679"/>
        <v>0</v>
      </c>
      <c r="J2188" s="6">
        <v>0</v>
      </c>
      <c r="K2188" s="6">
        <v>0</v>
      </c>
      <c r="L2188" s="6">
        <v>0</v>
      </c>
      <c r="M2188" s="6">
        <v>0</v>
      </c>
      <c r="N2188" s="6">
        <v>0</v>
      </c>
      <c r="O2188" s="4">
        <f t="shared" si="680"/>
        <v>0</v>
      </c>
      <c r="P2188" s="5">
        <f>SUMIFS('Desenvolvimento diário'!$H:$H,'Desenvolvimento diário'!$Q:$Q,$B2188,'Desenvolvimento diário'!$P:$P,$F2188,'Desenvolvimento diário'!$R:$R,"Sim")</f>
        <v>0</v>
      </c>
      <c r="Q2188" s="5">
        <f>SUMIFS('Desenvolvimento diário'!$H:$H,'Desenvolvimento diário'!$Q:$Q,$B2188,'Desenvolvimento diário'!$P:$P,$F2188,'Desenvolvimento diário'!$R:$R,"Não")</f>
        <v>0</v>
      </c>
      <c r="R2188" s="4">
        <f t="shared" si="681"/>
        <v>0</v>
      </c>
      <c r="S2188" s="4">
        <f t="shared" si="682"/>
        <v>0</v>
      </c>
      <c r="T2188" s="12">
        <f t="shared" si="684"/>
        <v>0</v>
      </c>
      <c r="Y2188" s="2"/>
      <c r="Z2188" s="2"/>
      <c r="AA2188" s="2"/>
      <c r="AB2188" s="2"/>
      <c r="AC2188" s="2"/>
    </row>
    <row r="2189" spans="1:29" hidden="1">
      <c r="A2189" s="2">
        <f t="shared" si="683"/>
        <v>63</v>
      </c>
      <c r="B2189" s="2" t="str">
        <f>VLOOKUP($A2189,Controle!$B$4:$F$68,2,FALSE)</f>
        <v>NewCo IV</v>
      </c>
      <c r="C2189" s="2" t="str">
        <f>VLOOKUP($A2189,Controle!$B$4:$F$68,3,FALSE)</f>
        <v>MORI MINAS IV</v>
      </c>
      <c r="D2189" s="2" t="str">
        <f>VLOOKUP($A2189,Controle!$B$4:$F$68,4,FALSE)</f>
        <v>NewCo IV</v>
      </c>
      <c r="E2189" s="2">
        <f>VLOOKUP($A2189,Controle!$B$4:$F$68,5,FALSE)</f>
        <v>0</v>
      </c>
      <c r="F2189" s="3" t="str">
        <f>F2154</f>
        <v>Sistemas de Monitoramento - CFTV</v>
      </c>
      <c r="G2189" s="2" t="str">
        <f>VLOOKUP($A2189,Controle!$B$4:$G$68,6,FALSE)</f>
        <v>Solatio</v>
      </c>
      <c r="H2189" s="6">
        <v>0</v>
      </c>
      <c r="I2189" s="5">
        <v>0</v>
      </c>
      <c r="J2189" s="6">
        <v>0</v>
      </c>
      <c r="K2189" s="6">
        <v>0</v>
      </c>
      <c r="L2189" s="6">
        <v>0</v>
      </c>
      <c r="M2189" s="6">
        <v>0</v>
      </c>
      <c r="N2189" s="6">
        <v>0</v>
      </c>
      <c r="O2189" s="4">
        <f t="shared" si="680"/>
        <v>0</v>
      </c>
      <c r="P2189" s="5">
        <f>SUMIFS('Desenvolvimento diário'!$H:$H,'Desenvolvimento diário'!$Q:$Q,$B2189,'Desenvolvimento diário'!$P:$P,$F2189,'Desenvolvimento diário'!$R:$R,"Sim")</f>
        <v>0</v>
      </c>
      <c r="Q2189" s="5">
        <f>SUMIFS('Desenvolvimento diário'!$H:$H,'Desenvolvimento diário'!$Q:$Q,$B2189,'Desenvolvimento diário'!$P:$P,$F2189,'Desenvolvimento diário'!$R:$R,"Não")</f>
        <v>0</v>
      </c>
      <c r="R2189" s="4">
        <f t="shared" si="681"/>
        <v>0</v>
      </c>
      <c r="S2189" s="4">
        <f t="shared" si="682"/>
        <v>0</v>
      </c>
      <c r="T2189" s="12">
        <f t="shared" si="684"/>
        <v>0</v>
      </c>
      <c r="Y2189" s="2"/>
      <c r="Z2189" s="2"/>
      <c r="AA2189" s="2"/>
      <c r="AB2189" s="2"/>
      <c r="AC2189" s="2"/>
    </row>
    <row r="2190" spans="1:29" ht="10.5" hidden="1">
      <c r="A2190" s="2">
        <f t="shared" si="683"/>
        <v>63</v>
      </c>
      <c r="B2190" s="2" t="str">
        <f>VLOOKUP($A2190,Controle!$B$4:$F$68,2,FALSE)</f>
        <v>NewCo IV</v>
      </c>
      <c r="C2190" s="2" t="str">
        <f>VLOOKUP($A2190,Controle!$B$4:$F$68,3,FALSE)</f>
        <v>MORI MINAS IV</v>
      </c>
      <c r="D2190" s="2" t="str">
        <f>VLOOKUP($A2190,Controle!$B$4:$F$68,4,FALSE)</f>
        <v>NewCo IV</v>
      </c>
      <c r="E2190" s="2">
        <f>VLOOKUP($A2190,Controle!$B$4:$F$68,5,FALSE)</f>
        <v>0</v>
      </c>
      <c r="F2190" s="3" t="str">
        <f>F2155</f>
        <v>Serviços Auxiliares - Drenagem</v>
      </c>
      <c r="G2190" s="2" t="str">
        <f>VLOOKUP($A2190,Controle!$B$4:$G$68,6,FALSE)</f>
        <v>Solatio</v>
      </c>
      <c r="H2190" s="6">
        <v>0</v>
      </c>
      <c r="I2190" s="5">
        <f t="shared" si="679"/>
        <v>0</v>
      </c>
      <c r="J2190" s="6">
        <v>0</v>
      </c>
      <c r="K2190" s="6">
        <v>0</v>
      </c>
      <c r="L2190" s="6">
        <v>0</v>
      </c>
      <c r="M2190" s="6">
        <v>0</v>
      </c>
      <c r="N2190" s="6">
        <v>0</v>
      </c>
      <c r="O2190" s="4">
        <f t="shared" si="680"/>
        <v>0</v>
      </c>
      <c r="P2190" s="5">
        <f>SUMIFS('Desenvolvimento diário'!$H:$H,'Desenvolvimento diário'!$Q:$Q,$B2190,'Desenvolvimento diário'!$P:$P,$F2190,'Desenvolvimento diário'!$R:$R,"Sim")</f>
        <v>0</v>
      </c>
      <c r="Q2190" s="5">
        <f>SUMIFS('Desenvolvimento diário'!$H:$H,'Desenvolvimento diário'!$Q:$Q,$B2190,'Desenvolvimento diário'!$P:$P,$F2190,'Desenvolvimento diário'!$R:$R,"Não")</f>
        <v>0</v>
      </c>
      <c r="R2190" s="4">
        <f t="shared" si="681"/>
        <v>0</v>
      </c>
      <c r="S2190" s="4">
        <f t="shared" si="682"/>
        <v>0</v>
      </c>
      <c r="T2190" s="12">
        <f t="shared" si="684"/>
        <v>0</v>
      </c>
      <c r="Y2190" s="2"/>
      <c r="Z2190" s="2"/>
      <c r="AA2190" s="2"/>
      <c r="AB2190" s="2"/>
      <c r="AC2190" s="2"/>
    </row>
    <row r="2191" spans="1:29" ht="10.5" hidden="1">
      <c r="A2191" s="2">
        <f t="shared" si="683"/>
        <v>63</v>
      </c>
      <c r="B2191" s="2" t="str">
        <f>VLOOKUP($A2191,Controle!$B$4:$F$68,2,FALSE)</f>
        <v>NewCo IV</v>
      </c>
      <c r="C2191" s="2" t="str">
        <f>VLOOKUP($A2191,Controle!$B$4:$F$68,3,FALSE)</f>
        <v>MORI MINAS IV</v>
      </c>
      <c r="D2191" s="2" t="str">
        <f>VLOOKUP($A2191,Controle!$B$4:$F$68,4,FALSE)</f>
        <v>NewCo IV</v>
      </c>
      <c r="E2191" s="2">
        <f>VLOOKUP($A2191,Controle!$B$4:$F$68,5,FALSE)</f>
        <v>0</v>
      </c>
      <c r="F2191" s="3" t="str">
        <f>F2156</f>
        <v>Serviços Auxiliares - Terraplanagem</v>
      </c>
      <c r="G2191" s="2" t="str">
        <f>VLOOKUP($A2191,Controle!$B$4:$G$68,6,FALSE)</f>
        <v>Solatio</v>
      </c>
      <c r="H2191" s="6">
        <v>0</v>
      </c>
      <c r="I2191" s="5">
        <f t="shared" si="679"/>
        <v>0</v>
      </c>
      <c r="J2191" s="6">
        <v>0</v>
      </c>
      <c r="K2191" s="6">
        <v>0</v>
      </c>
      <c r="L2191" s="6">
        <v>0</v>
      </c>
      <c r="M2191" s="6">
        <v>0</v>
      </c>
      <c r="N2191" s="6">
        <v>0</v>
      </c>
      <c r="O2191" s="4">
        <f t="shared" si="680"/>
        <v>0</v>
      </c>
      <c r="P2191" s="5">
        <f>SUMIFS('Desenvolvimento diário'!$H:$H,'Desenvolvimento diário'!$Q:$Q,$B2191,'Desenvolvimento diário'!$P:$P,$F2191,'Desenvolvimento diário'!$R:$R,"Sim")</f>
        <v>0</v>
      </c>
      <c r="Q2191" s="5">
        <f>SUMIFS('Desenvolvimento diário'!$H:$H,'Desenvolvimento diário'!$Q:$Q,$B2191,'Desenvolvimento diário'!$P:$P,$F2191,'Desenvolvimento diário'!$R:$R,"Não")</f>
        <v>0</v>
      </c>
      <c r="R2191" s="4">
        <f t="shared" si="681"/>
        <v>0</v>
      </c>
      <c r="S2191" s="4">
        <f t="shared" si="682"/>
        <v>0</v>
      </c>
      <c r="T2191" s="12">
        <f t="shared" si="684"/>
        <v>0</v>
      </c>
      <c r="Y2191" s="2"/>
      <c r="Z2191" s="2"/>
      <c r="AA2191" s="2"/>
      <c r="AB2191" s="2"/>
      <c r="AC2191" s="2"/>
    </row>
    <row r="2192" spans="1:29" ht="10.5" hidden="1">
      <c r="A2192" s="2">
        <f t="shared" si="683"/>
        <v>63</v>
      </c>
      <c r="B2192" s="2" t="str">
        <f>VLOOKUP($A2192,Controle!$B$4:$F$68,2,FALSE)</f>
        <v>NewCo IV</v>
      </c>
      <c r="C2192" s="2" t="str">
        <f>VLOOKUP($A2192,Controle!$B$4:$F$68,3,FALSE)</f>
        <v>MORI MINAS IV</v>
      </c>
      <c r="D2192" s="2" t="str">
        <f>VLOOKUP($A2192,Controle!$B$4:$F$68,4,FALSE)</f>
        <v>NewCo IV</v>
      </c>
      <c r="E2192" s="2">
        <f>VLOOKUP($A2192,Controle!$B$4:$F$68,5,FALSE)</f>
        <v>0</v>
      </c>
      <c r="F2192" s="3" t="str">
        <f>F2157</f>
        <v>Serviços Auxiliares - Supressão Vegetal</v>
      </c>
      <c r="G2192" s="2" t="str">
        <f>VLOOKUP($A2192,Controle!$B$4:$G$68,6,FALSE)</f>
        <v>Solatio</v>
      </c>
      <c r="H2192" s="6">
        <v>0</v>
      </c>
      <c r="I2192" s="5">
        <f t="shared" si="679"/>
        <v>0</v>
      </c>
      <c r="J2192" s="6">
        <v>0</v>
      </c>
      <c r="K2192" s="6">
        <v>0</v>
      </c>
      <c r="L2192" s="6">
        <v>0</v>
      </c>
      <c r="M2192" s="6">
        <v>0</v>
      </c>
      <c r="N2192" s="6">
        <v>0</v>
      </c>
      <c r="O2192" s="4">
        <f t="shared" si="680"/>
        <v>0</v>
      </c>
      <c r="P2192" s="5">
        <f>SUMIFS('Desenvolvimento diário'!$H:$H,'Desenvolvimento diário'!$Q:$Q,$B2192,'Desenvolvimento diário'!$P:$P,$F2192,'Desenvolvimento diário'!$R:$R,"Sim")</f>
        <v>0</v>
      </c>
      <c r="Q2192" s="5">
        <f>SUMIFS('Desenvolvimento diário'!$H:$H,'Desenvolvimento diário'!$Q:$Q,$B2192,'Desenvolvimento diário'!$P:$P,$F2192,'Desenvolvimento diário'!$R:$R,"Não")</f>
        <v>0</v>
      </c>
      <c r="R2192" s="4">
        <f t="shared" si="681"/>
        <v>0</v>
      </c>
      <c r="S2192" s="4">
        <f t="shared" si="682"/>
        <v>0</v>
      </c>
      <c r="T2192" s="12">
        <f t="shared" si="684"/>
        <v>0</v>
      </c>
      <c r="Y2192" s="2"/>
      <c r="Z2192" s="2"/>
      <c r="AA2192" s="2"/>
      <c r="AB2192" s="2"/>
      <c r="AC2192" s="2"/>
    </row>
    <row r="2193" spans="1:29" ht="10.5" hidden="1">
      <c r="A2193" s="2">
        <f t="shared" si="683"/>
        <v>63</v>
      </c>
      <c r="B2193" s="2" t="str">
        <f>VLOOKUP($A2193,Controle!$B$4:$F$68,2,FALSE)</f>
        <v>NewCo IV</v>
      </c>
      <c r="C2193" s="2" t="str">
        <f>VLOOKUP($A2193,Controle!$B$4:$F$68,3,FALSE)</f>
        <v>MORI MINAS IV</v>
      </c>
      <c r="D2193" s="2" t="str">
        <f>VLOOKUP($A2193,Controle!$B$4:$F$68,4,FALSE)</f>
        <v>NewCo IV</v>
      </c>
      <c r="E2193" s="2">
        <f>VLOOKUP($A2193,Controle!$B$4:$F$68,5,FALSE)</f>
        <v>0</v>
      </c>
      <c r="F2193" s="3" t="str">
        <f>F2158</f>
        <v>RDR-Rede de Distribuição Rural</v>
      </c>
      <c r="G2193" s="2" t="str">
        <f>VLOOKUP($A2193,Controle!$B$4:$G$68,6,FALSE)</f>
        <v>Solatio</v>
      </c>
      <c r="H2193" s="6">
        <v>0</v>
      </c>
      <c r="I2193" s="5">
        <f t="shared" si="679"/>
        <v>0</v>
      </c>
      <c r="J2193" s="6">
        <v>0</v>
      </c>
      <c r="K2193" s="6">
        <v>0</v>
      </c>
      <c r="L2193" s="6">
        <v>0</v>
      </c>
      <c r="M2193" s="6">
        <v>0</v>
      </c>
      <c r="N2193" s="6">
        <v>0</v>
      </c>
      <c r="O2193" s="4">
        <f t="shared" si="680"/>
        <v>0</v>
      </c>
      <c r="P2193" s="5">
        <f>SUMIFS('Desenvolvimento diário'!$H:$H,'Desenvolvimento diário'!$Q:$Q,$B2193,'Desenvolvimento diário'!$P:$P,$F2193,'Desenvolvimento diário'!$R:$R,"Sim")</f>
        <v>0</v>
      </c>
      <c r="Q2193" s="5">
        <f>SUMIFS('Desenvolvimento diário'!$H:$H,'Desenvolvimento diário'!$Q:$Q,$B2193,'Desenvolvimento diário'!$P:$P,$F2193,'Desenvolvimento diário'!$R:$R,"Não")</f>
        <v>0</v>
      </c>
      <c r="R2193" s="4">
        <f t="shared" si="681"/>
        <v>0</v>
      </c>
      <c r="S2193" s="4">
        <f t="shared" si="682"/>
        <v>0</v>
      </c>
      <c r="T2193" s="12">
        <f t="shared" si="684"/>
        <v>0</v>
      </c>
      <c r="Y2193" s="2"/>
      <c r="Z2193" s="2"/>
      <c r="AA2193" s="2"/>
      <c r="AB2193" s="2"/>
      <c r="AC2193" s="2"/>
    </row>
    <row r="2194" spans="1:29" ht="10.5" hidden="1">
      <c r="A2194" s="2">
        <f t="shared" si="683"/>
        <v>63</v>
      </c>
      <c r="B2194" s="2" t="str">
        <f>VLOOKUP($A2194,Controle!$B$4:$F$68,2,FALSE)</f>
        <v>NewCo IV</v>
      </c>
      <c r="C2194" s="2" t="str">
        <f>VLOOKUP($A2194,Controle!$B$4:$F$68,3,FALSE)</f>
        <v>MORI MINAS IV</v>
      </c>
      <c r="D2194" s="2" t="str">
        <f>VLOOKUP($A2194,Controle!$B$4:$F$68,4,FALSE)</f>
        <v>NewCo IV</v>
      </c>
      <c r="E2194" s="2">
        <f>VLOOKUP($A2194,Controle!$B$4:$F$68,5,FALSE)</f>
        <v>0</v>
      </c>
      <c r="F2194" s="3" t="str">
        <f>F2159</f>
        <v>Escopo COMERC</v>
      </c>
      <c r="G2194" s="2" t="str">
        <f>VLOOKUP($A2194,Controle!$B$4:$G$68,6,FALSE)</f>
        <v>Solatio</v>
      </c>
      <c r="H2194" s="6">
        <v>0</v>
      </c>
      <c r="I2194" s="5">
        <f t="shared" si="679"/>
        <v>14368.650000000001</v>
      </c>
      <c r="J2194" s="29">
        <v>0</v>
      </c>
      <c r="K2194" s="6">
        <v>0</v>
      </c>
      <c r="L2194" s="6">
        <v>0</v>
      </c>
      <c r="M2194" s="6">
        <v>0</v>
      </c>
      <c r="N2194" s="6">
        <v>0</v>
      </c>
      <c r="O2194" s="4">
        <f t="shared" si="680"/>
        <v>14368.650000000001</v>
      </c>
      <c r="P2194" s="5">
        <f>SUMIFS('Desenvolvimento diário'!$H:$H,'Desenvolvimento diário'!$Q:$Q,$B2194,'Desenvolvimento diário'!$P:$P,$F2194,'Desenvolvimento diário'!$R:$R,"Sim")</f>
        <v>0</v>
      </c>
      <c r="Q2194" s="5">
        <f>SUMIFS('Desenvolvimento diário'!$H:$H,'Desenvolvimento diário'!$Q:$Q,$B2194,'Desenvolvimento diário'!$P:$P,$F2194,'Desenvolvimento diário'!$R:$R,"Não")</f>
        <v>14368.650000000001</v>
      </c>
      <c r="R2194" s="4">
        <f t="shared" si="681"/>
        <v>14368.650000000001</v>
      </c>
      <c r="S2194" s="4">
        <f t="shared" si="682"/>
        <v>0</v>
      </c>
      <c r="T2194" s="12">
        <f t="shared" si="684"/>
        <v>1</v>
      </c>
      <c r="Y2194" s="2"/>
      <c r="Z2194" s="2"/>
      <c r="AA2194" s="2"/>
      <c r="AB2194" s="2"/>
      <c r="AC2194" s="2"/>
    </row>
    <row r="2195" spans="1:29" ht="10.5" hidden="1">
      <c r="A2195" s="2">
        <f t="shared" si="683"/>
        <v>63</v>
      </c>
      <c r="B2195" s="2" t="str">
        <f>VLOOKUP($A2195,Controle!$B$4:$F$68,2,FALSE)</f>
        <v>NewCo IV</v>
      </c>
      <c r="C2195" s="2" t="str">
        <f>VLOOKUP($A2195,Controle!$B$4:$F$68,3,FALSE)</f>
        <v>MORI MINAS IV</v>
      </c>
      <c r="D2195" s="2" t="str">
        <f>VLOOKUP($A2195,Controle!$B$4:$F$68,4,FALSE)</f>
        <v>NewCo IV</v>
      </c>
      <c r="E2195" s="2">
        <f>VLOOKUP($A2195,Controle!$B$4:$F$68,5,FALSE)</f>
        <v>0</v>
      </c>
      <c r="F2195" s="3" t="str">
        <f>F2160</f>
        <v>Escopo COMERC - Segurança</v>
      </c>
      <c r="G2195" s="2" t="str">
        <f>VLOOKUP($A2195,Controle!$B$4:$G$68,6,FALSE)</f>
        <v>Solatio</v>
      </c>
      <c r="H2195" s="6" t="s">
        <v>243</v>
      </c>
      <c r="I2195" s="35">
        <v>88298.23</v>
      </c>
      <c r="J2195" s="6">
        <v>0</v>
      </c>
      <c r="K2195" s="6">
        <v>0</v>
      </c>
      <c r="L2195" s="6">
        <v>0</v>
      </c>
      <c r="M2195" s="6">
        <v>0</v>
      </c>
      <c r="N2195" s="6">
        <v>0</v>
      </c>
      <c r="O2195" s="4">
        <f t="shared" si="680"/>
        <v>88298.23</v>
      </c>
      <c r="P2195" s="5">
        <f>SUMIFS('Desenvolvimento diário'!$H:$H,'Desenvolvimento diário'!$Q:$Q,$B2195,'Desenvolvimento diário'!$P:$P,$F2195,'Desenvolvimento diário'!$R:$R,"Sim")</f>
        <v>0</v>
      </c>
      <c r="Q2195" s="5">
        <f>SUMIFS('Desenvolvimento diário'!$H:$H,'Desenvolvimento diário'!$Q:$Q,$B2195,'Desenvolvimento diário'!$P:$P,$F2195,'Desenvolvimento diário'!$R:$R,"Não")</f>
        <v>0</v>
      </c>
      <c r="R2195" s="4">
        <f t="shared" si="681"/>
        <v>0</v>
      </c>
      <c r="S2195" s="33">
        <f t="shared" si="682"/>
        <v>88298.23</v>
      </c>
      <c r="T2195" s="12">
        <f t="shared" si="684"/>
        <v>0</v>
      </c>
      <c r="U2195" s="510" t="s">
        <v>166</v>
      </c>
      <c r="V2195" s="510" t="s">
        <v>244</v>
      </c>
      <c r="Y2195" s="2"/>
      <c r="Z2195" s="2"/>
      <c r="AA2195" s="2"/>
      <c r="AB2195" s="2"/>
      <c r="AC2195" s="2"/>
    </row>
    <row r="2196" spans="1:29" hidden="1">
      <c r="A2196" s="2">
        <f t="shared" si="683"/>
        <v>63</v>
      </c>
      <c r="B2196" s="2" t="str">
        <f>VLOOKUP($A2196,Controle!$B$4:$F$68,2,FALSE)</f>
        <v>NewCo IV</v>
      </c>
      <c r="C2196" s="2" t="str">
        <f>VLOOKUP($A2196,Controle!$B$4:$F$68,3,FALSE)</f>
        <v>MORI MINAS IV</v>
      </c>
      <c r="D2196" s="2" t="str">
        <f>VLOOKUP($A2196,Controle!$B$4:$F$68,4,FALSE)</f>
        <v>NewCo IV</v>
      </c>
      <c r="E2196" s="2">
        <f>VLOOKUP($A2196,Controle!$B$4:$F$68,5,FALSE)</f>
        <v>0</v>
      </c>
      <c r="F2196" s="3" t="str">
        <f>F2161</f>
        <v>Conexão MT - Obras Transferencia</v>
      </c>
      <c r="G2196" s="2" t="str">
        <f>VLOOKUP($A2196,Controle!$B$4:$G$68,6,FALSE)</f>
        <v>Solatio</v>
      </c>
      <c r="H2196" s="6">
        <v>0</v>
      </c>
      <c r="I2196" s="5">
        <f t="shared" ref="I2196" si="685">R2196</f>
        <v>0</v>
      </c>
      <c r="J2196" s="6">
        <v>0</v>
      </c>
      <c r="K2196" s="6">
        <v>0</v>
      </c>
      <c r="L2196" s="6">
        <v>0</v>
      </c>
      <c r="M2196" s="6">
        <v>0</v>
      </c>
      <c r="N2196" s="6">
        <v>0</v>
      </c>
      <c r="O2196" s="4">
        <f t="shared" si="680"/>
        <v>0</v>
      </c>
      <c r="P2196" s="5">
        <f>SUMIFS('Desenvolvimento diário'!$H:$H,'Desenvolvimento diário'!$Q:$Q,$B2196,'Desenvolvimento diário'!$P:$P,$F2196,'Desenvolvimento diário'!$R:$R,"Sim")</f>
        <v>0</v>
      </c>
      <c r="Q2196" s="5">
        <f>SUMIFS('Desenvolvimento diário'!$H:$H,'Desenvolvimento diário'!$Q:$Q,$B2196,'Desenvolvimento diário'!$P:$P,$F2196,'Desenvolvimento diário'!$R:$R,"Não")</f>
        <v>0</v>
      </c>
      <c r="R2196" s="4">
        <f t="shared" si="681"/>
        <v>0</v>
      </c>
      <c r="S2196" s="4">
        <f t="shared" si="682"/>
        <v>0</v>
      </c>
      <c r="T2196" s="12">
        <f t="shared" si="684"/>
        <v>0</v>
      </c>
      <c r="Y2196" s="2"/>
      <c r="Z2196" s="2"/>
      <c r="AA2196" s="2"/>
      <c r="AB2196" s="2"/>
      <c r="AC2196" s="2"/>
    </row>
    <row r="2197" spans="1:29" hidden="1">
      <c r="A2197" s="2">
        <f t="shared" si="683"/>
        <v>63</v>
      </c>
      <c r="B2197" s="2" t="str">
        <f>VLOOKUP($A2197,Controle!$B$4:$F$68,2,FALSE)</f>
        <v>NewCo IV</v>
      </c>
      <c r="C2197" s="2" t="str">
        <f>VLOOKUP($A2197,Controle!$B$4:$F$68,3,FALSE)</f>
        <v>MORI MINAS IV</v>
      </c>
      <c r="D2197" s="2" t="str">
        <f>VLOOKUP($A2197,Controle!$B$4:$F$68,4,FALSE)</f>
        <v>NewCo IV</v>
      </c>
      <c r="E2197" s="2">
        <f>VLOOKUP($A2197,Controle!$B$4:$F$68,5,FALSE)</f>
        <v>0</v>
      </c>
      <c r="F2197" s="3" t="str">
        <f>F2162</f>
        <v>Bases de Contaniers</v>
      </c>
      <c r="G2197" s="2" t="str">
        <f>VLOOKUP($A2197,Controle!$B$4:$G$68,6,FALSE)</f>
        <v>Solatio</v>
      </c>
      <c r="H2197" s="6">
        <v>0</v>
      </c>
      <c r="I2197" s="5">
        <f t="shared" ref="I2197" si="686">R2197</f>
        <v>0</v>
      </c>
      <c r="J2197" s="6">
        <v>0</v>
      </c>
      <c r="K2197" s="6">
        <v>0</v>
      </c>
      <c r="L2197" s="6">
        <v>0</v>
      </c>
      <c r="M2197" s="6">
        <v>0</v>
      </c>
      <c r="N2197" s="6">
        <v>0</v>
      </c>
      <c r="O2197" s="4">
        <f t="shared" si="680"/>
        <v>0</v>
      </c>
      <c r="P2197" s="5">
        <f>SUMIFS('Desenvolvimento diário'!$H:$H,'Desenvolvimento diário'!$Q:$Q,$B2197,'Desenvolvimento diário'!$P:$P,$F2197,'Desenvolvimento diário'!$R:$R,"Sim")</f>
        <v>0</v>
      </c>
      <c r="Q2197" s="5">
        <f>SUMIFS('Desenvolvimento diário'!$H:$H,'Desenvolvimento diário'!$Q:$Q,$B2197,'Desenvolvimento diário'!$P:$P,$F2197,'Desenvolvimento diário'!$R:$R,"Não")</f>
        <v>0</v>
      </c>
      <c r="R2197" s="4">
        <f t="shared" si="681"/>
        <v>0</v>
      </c>
      <c r="S2197" s="4">
        <f t="shared" si="682"/>
        <v>0</v>
      </c>
      <c r="T2197" s="12">
        <f t="shared" si="684"/>
        <v>0</v>
      </c>
      <c r="Y2197" s="2"/>
      <c r="Z2197" s="2"/>
      <c r="AA2197" s="2"/>
      <c r="AB2197" s="2"/>
      <c r="AC2197" s="2"/>
    </row>
    <row r="2198" spans="1:29" ht="10.5" hidden="1">
      <c r="A2198" s="2">
        <f t="shared" si="683"/>
        <v>63</v>
      </c>
      <c r="B2198" s="2" t="str">
        <f>VLOOKUP($A2198,Controle!$B$4:$F$68,2,FALSE)</f>
        <v>NewCo IV</v>
      </c>
      <c r="C2198" s="2" t="str">
        <f>VLOOKUP($A2198,Controle!$B$4:$F$68,3,FALSE)</f>
        <v>MORI MINAS IV</v>
      </c>
      <c r="D2198" s="2" t="str">
        <f>VLOOKUP($A2198,Controle!$B$4:$F$68,4,FALSE)</f>
        <v>NewCo IV</v>
      </c>
      <c r="E2198" s="2">
        <f>VLOOKUP($A2198,Controle!$B$4:$F$68,5,FALSE)</f>
        <v>0</v>
      </c>
      <c r="F2198" s="3" t="str">
        <f>F2163</f>
        <v>Construção - Serviços de Construção - Ase Engenharia</v>
      </c>
      <c r="G2198" s="2" t="str">
        <f>VLOOKUP($A2198,Controle!$B$4:$G$68,6,FALSE)</f>
        <v>Solatio</v>
      </c>
      <c r="H2198" s="6">
        <v>0</v>
      </c>
      <c r="I2198" s="5">
        <f t="shared" si="679"/>
        <v>0</v>
      </c>
      <c r="J2198" s="6">
        <v>0</v>
      </c>
      <c r="K2198" s="6">
        <v>0</v>
      </c>
      <c r="L2198" s="6">
        <v>0</v>
      </c>
      <c r="M2198" s="6">
        <v>0</v>
      </c>
      <c r="N2198" s="6">
        <v>0</v>
      </c>
      <c r="O2198" s="4">
        <f t="shared" si="680"/>
        <v>0</v>
      </c>
      <c r="P2198" s="5">
        <f>SUMIFS('Desenvolvimento diário'!$H:$H,'Desenvolvimento diário'!$Q:$Q,$B2198,'Desenvolvimento diário'!$P:$P,$F2198,'Desenvolvimento diário'!$R:$R,"Sim")</f>
        <v>0</v>
      </c>
      <c r="Q2198" s="5">
        <f>SUMIFS('Desenvolvimento diário'!$H:$H,'Desenvolvimento diário'!$Q:$Q,$B2198,'Desenvolvimento diário'!$P:$P,$F2198,'Desenvolvimento diário'!$R:$R,"Não")</f>
        <v>0</v>
      </c>
      <c r="R2198" s="4">
        <f t="shared" si="681"/>
        <v>0</v>
      </c>
      <c r="S2198" s="4">
        <f t="shared" si="682"/>
        <v>0</v>
      </c>
      <c r="T2198" s="12">
        <f t="shared" si="684"/>
        <v>0</v>
      </c>
      <c r="Y2198" s="2"/>
      <c r="Z2198" s="2"/>
      <c r="AA2198" s="2"/>
      <c r="AB2198" s="2"/>
      <c r="AC2198" s="2"/>
    </row>
    <row r="2199" spans="1:29" ht="10.5" hidden="1">
      <c r="A2199" s="2">
        <f t="shared" si="683"/>
        <v>63</v>
      </c>
      <c r="B2199" s="2" t="str">
        <f>VLOOKUP($A2199,Controle!$B$4:$F$68,2,FALSE)</f>
        <v>NewCo IV</v>
      </c>
      <c r="C2199" s="2" t="str">
        <f>VLOOKUP($A2199,Controle!$B$4:$F$68,3,FALSE)</f>
        <v>MORI MINAS IV</v>
      </c>
      <c r="D2199" s="2" t="str">
        <f>VLOOKUP($A2199,Controle!$B$4:$F$68,4,FALSE)</f>
        <v>NewCo IV</v>
      </c>
      <c r="E2199" s="2">
        <f>VLOOKUP($A2199,Controle!$B$4:$F$68,5,FALSE)</f>
        <v>0</v>
      </c>
      <c r="F2199" s="3" t="str">
        <f>F2164</f>
        <v>Full EPC - Contrato Sobressalentes</v>
      </c>
      <c r="G2199" s="2" t="str">
        <f>VLOOKUP($A2199,Controle!$B$4:$G$68,6,FALSE)</f>
        <v>Solatio</v>
      </c>
      <c r="H2199" s="6">
        <v>0</v>
      </c>
      <c r="I2199" s="5">
        <f t="shared" si="679"/>
        <v>0</v>
      </c>
      <c r="J2199" s="6">
        <v>0</v>
      </c>
      <c r="K2199" s="6">
        <v>0</v>
      </c>
      <c r="L2199" s="6">
        <v>0</v>
      </c>
      <c r="M2199" s="6">
        <v>0</v>
      </c>
      <c r="N2199" s="6">
        <v>0</v>
      </c>
      <c r="O2199" s="4">
        <f t="shared" si="680"/>
        <v>0</v>
      </c>
      <c r="P2199" s="5">
        <f>SUMIFS('Desenvolvimento diário'!$H:$H,'Desenvolvimento diário'!$Q:$Q,$B2199,'Desenvolvimento diário'!$P:$P,$F2199,'Desenvolvimento diário'!$R:$R,"Sim")</f>
        <v>0</v>
      </c>
      <c r="Q2199" s="5">
        <f>SUMIFS('Desenvolvimento diário'!$H:$H,'Desenvolvimento diário'!$Q:$Q,$B2199,'Desenvolvimento diário'!$P:$P,$F2199,'Desenvolvimento diário'!$R:$R,"Não")</f>
        <v>0</v>
      </c>
      <c r="R2199" s="4">
        <f t="shared" si="681"/>
        <v>0</v>
      </c>
      <c r="S2199" s="4">
        <f t="shared" si="682"/>
        <v>0</v>
      </c>
      <c r="T2199" s="12">
        <f t="shared" si="684"/>
        <v>0</v>
      </c>
      <c r="Y2199" s="2"/>
      <c r="Z2199" s="2"/>
      <c r="AA2199" s="2"/>
      <c r="AB2199" s="2"/>
      <c r="AC2199" s="2"/>
    </row>
    <row r="2200" spans="1:29" ht="10.5" hidden="1">
      <c r="A2200" s="2">
        <f t="shared" si="683"/>
        <v>63</v>
      </c>
      <c r="B2200" s="2" t="str">
        <f>VLOOKUP($A2200,Controle!$B$4:$F$68,2,FALSE)</f>
        <v>NewCo IV</v>
      </c>
      <c r="C2200" s="2" t="str">
        <f>VLOOKUP($A2200,Controle!$B$4:$F$68,3,FALSE)</f>
        <v>MORI MINAS IV</v>
      </c>
      <c r="D2200" s="2" t="str">
        <f>VLOOKUP($A2200,Controle!$B$4:$F$68,4,FALSE)</f>
        <v>NewCo IV</v>
      </c>
      <c r="E2200" s="2">
        <f>VLOOKUP($A2200,Controle!$B$4:$F$68,5,FALSE)</f>
        <v>0</v>
      </c>
      <c r="F2200" s="3" t="str">
        <f>F2165</f>
        <v>Construção - Serviços de Construção - NOVA MORADA</v>
      </c>
      <c r="G2200" s="2" t="str">
        <f>VLOOKUP($A2200,Controle!$B$4:$G$68,6,FALSE)</f>
        <v>Solatio</v>
      </c>
      <c r="H2200" s="6">
        <v>0</v>
      </c>
      <c r="I2200" s="5">
        <f t="shared" si="679"/>
        <v>0</v>
      </c>
      <c r="J2200" s="6">
        <v>0</v>
      </c>
      <c r="K2200" s="6">
        <v>0</v>
      </c>
      <c r="L2200" s="6">
        <v>0</v>
      </c>
      <c r="M2200" s="6">
        <v>0</v>
      </c>
      <c r="N2200" s="6">
        <v>0</v>
      </c>
      <c r="O2200" s="4">
        <f t="shared" si="680"/>
        <v>0</v>
      </c>
      <c r="P2200" s="5">
        <f>SUMIFS('Desenvolvimento diário'!$H:$H,'Desenvolvimento diário'!$Q:$Q,$B2200,'Desenvolvimento diário'!$P:$P,$F2200,'Desenvolvimento diário'!$R:$R,"Sim")</f>
        <v>0</v>
      </c>
      <c r="Q2200" s="5">
        <f>SUMIFS('Desenvolvimento diário'!$H:$H,'Desenvolvimento diário'!$Q:$Q,$B2200,'Desenvolvimento diário'!$P:$P,$F2200,'Desenvolvimento diário'!$R:$R,"Não")</f>
        <v>0</v>
      </c>
      <c r="R2200" s="4">
        <f t="shared" si="681"/>
        <v>0</v>
      </c>
      <c r="S2200" s="4">
        <f t="shared" si="682"/>
        <v>0</v>
      </c>
      <c r="T2200" s="12">
        <f t="shared" si="684"/>
        <v>0</v>
      </c>
      <c r="Y2200" s="2"/>
      <c r="Z2200" s="2"/>
      <c r="AA2200" s="2"/>
      <c r="AB2200" s="2"/>
      <c r="AC2200" s="2"/>
    </row>
    <row r="2201" spans="1:29" ht="10.5" hidden="1">
      <c r="A2201" s="2">
        <f t="shared" si="683"/>
        <v>63</v>
      </c>
      <c r="B2201" s="2" t="str">
        <f>VLOOKUP($A2201,Controle!$B$4:$F$68,2,FALSE)</f>
        <v>NewCo IV</v>
      </c>
      <c r="C2201" s="2" t="str">
        <f>VLOOKUP($A2201,Controle!$B$4:$F$68,3,FALSE)</f>
        <v>MORI MINAS IV</v>
      </c>
      <c r="D2201" s="2" t="str">
        <f>VLOOKUP($A2201,Controle!$B$4:$F$68,4,FALSE)</f>
        <v>NewCo IV</v>
      </c>
      <c r="E2201" s="2">
        <f>VLOOKUP($A2201,Controle!$B$4:$F$68,5,FALSE)</f>
        <v>0</v>
      </c>
      <c r="F2201" s="3" t="str">
        <f>F2166</f>
        <v>Equipamentos Curva A -  Contrato Sobressalentes - SETTA</v>
      </c>
      <c r="G2201" s="2" t="str">
        <f>VLOOKUP($A2201,Controle!$B$4:$G$68,6,FALSE)</f>
        <v>Solatio</v>
      </c>
      <c r="H2201" s="6">
        <v>0</v>
      </c>
      <c r="I2201" s="5">
        <f t="shared" si="679"/>
        <v>0</v>
      </c>
      <c r="J2201" s="6">
        <v>0</v>
      </c>
      <c r="K2201" s="6">
        <v>0</v>
      </c>
      <c r="L2201" s="6">
        <v>0</v>
      </c>
      <c r="M2201" s="6">
        <v>0</v>
      </c>
      <c r="N2201" s="6">
        <v>0</v>
      </c>
      <c r="O2201" s="4">
        <f t="shared" si="680"/>
        <v>0</v>
      </c>
      <c r="P2201" s="5">
        <f>SUMIFS('Desenvolvimento diário'!$H:$H,'Desenvolvimento diário'!$Q:$Q,$B2201,'Desenvolvimento diário'!$P:$P,$F2201,'Desenvolvimento diário'!$R:$R,"Sim")</f>
        <v>0</v>
      </c>
      <c r="Q2201" s="5">
        <f>SUMIFS('Desenvolvimento diário'!$H:$H,'Desenvolvimento diário'!$Q:$Q,$B2201,'Desenvolvimento diário'!$P:$P,$F2201,'Desenvolvimento diário'!$R:$R,"Não")</f>
        <v>0</v>
      </c>
      <c r="R2201" s="4">
        <f t="shared" si="681"/>
        <v>0</v>
      </c>
      <c r="S2201" s="4">
        <f t="shared" si="682"/>
        <v>0</v>
      </c>
      <c r="T2201" s="12">
        <f t="shared" si="684"/>
        <v>0</v>
      </c>
      <c r="Y2201" s="2"/>
      <c r="Z2201" s="2"/>
      <c r="AA2201" s="2"/>
      <c r="AB2201" s="2"/>
      <c r="AC2201" s="2"/>
    </row>
    <row r="2202" spans="1:29" ht="10.5" hidden="1">
      <c r="A2202" s="2">
        <f t="shared" si="683"/>
        <v>63</v>
      </c>
      <c r="B2202" s="2" t="str">
        <f>VLOOKUP($A2202,Controle!$B$4:$F$68,2,FALSE)</f>
        <v>NewCo IV</v>
      </c>
      <c r="C2202" s="2" t="str">
        <f>VLOOKUP($A2202,Controle!$B$4:$F$68,3,FALSE)</f>
        <v>MORI MINAS IV</v>
      </c>
      <c r="D2202" s="2" t="str">
        <f>VLOOKUP($A2202,Controle!$B$4:$F$68,4,FALSE)</f>
        <v>NewCo IV</v>
      </c>
      <c r="E2202" s="2">
        <f>VLOOKUP($A2202,Controle!$B$4:$F$68,5,FALSE)</f>
        <v>0</v>
      </c>
      <c r="F2202" s="3" t="str">
        <f>F2167</f>
        <v>Equipamentos Curva A -  Contrato Sobressalentes - Arctech</v>
      </c>
      <c r="G2202" s="2" t="str">
        <f>VLOOKUP($A2202,Controle!$B$4:$G$68,6,FALSE)</f>
        <v>Solatio</v>
      </c>
      <c r="H2202" s="29" t="s">
        <v>241</v>
      </c>
      <c r="I2202" s="5"/>
      <c r="J2202" s="6">
        <v>0</v>
      </c>
      <c r="K2202" s="6">
        <v>0</v>
      </c>
      <c r="L2202" s="6">
        <v>0</v>
      </c>
      <c r="M2202" s="6">
        <v>0</v>
      </c>
      <c r="N2202" s="6">
        <v>0</v>
      </c>
      <c r="O2202" s="4">
        <f t="shared" si="680"/>
        <v>0</v>
      </c>
      <c r="P2202" s="5">
        <f>SUMIFS('Desenvolvimento diário'!$H:$H,'Desenvolvimento diário'!$Q:$Q,$B2202,'Desenvolvimento diário'!$P:$P,$F2202,'Desenvolvimento diário'!$R:$R,"Sim")</f>
        <v>0</v>
      </c>
      <c r="Q2202" s="5">
        <f>SUMIFS('Desenvolvimento diário'!$H:$H,'Desenvolvimento diário'!$Q:$Q,$B2202,'Desenvolvimento diário'!$P:$P,$F2202,'Desenvolvimento diário'!$R:$R,"Não")</f>
        <v>0</v>
      </c>
      <c r="R2202" s="4">
        <f t="shared" si="681"/>
        <v>0</v>
      </c>
      <c r="S2202" s="33">
        <f t="shared" si="682"/>
        <v>0</v>
      </c>
      <c r="T2202" s="12">
        <f t="shared" si="684"/>
        <v>0</v>
      </c>
      <c r="U2202" s="510" t="s">
        <v>166</v>
      </c>
      <c r="V2202" s="510" t="s">
        <v>242</v>
      </c>
      <c r="Y2202" s="2"/>
      <c r="Z2202" s="2"/>
      <c r="AA2202" s="2"/>
      <c r="AB2202" s="2"/>
      <c r="AC2202" s="2"/>
    </row>
    <row r="2203" spans="1:29" hidden="1">
      <c r="A2203" s="2">
        <f t="shared" si="683"/>
        <v>63</v>
      </c>
      <c r="B2203" s="2" t="str">
        <f>VLOOKUP($A2203,Controle!$B$4:$F$68,2,FALSE)</f>
        <v>NewCo IV</v>
      </c>
      <c r="C2203" s="2" t="str">
        <f>VLOOKUP($A2203,Controle!$B$4:$F$68,3,FALSE)</f>
        <v>MORI MINAS IV</v>
      </c>
      <c r="D2203" s="2" t="str">
        <f>VLOOKUP($A2203,Controle!$B$4:$F$68,4,FALSE)</f>
        <v>NewCo IV</v>
      </c>
      <c r="E2203" s="2">
        <f>VLOOKUP($A2203,Controle!$B$4:$F$68,5,FALSE)</f>
        <v>0</v>
      </c>
      <c r="F2203" s="3" t="str">
        <f>F2168</f>
        <v>Equipamentos Curva A -  Contrato Sobressalentes - Romagnole</v>
      </c>
      <c r="G2203" s="2" t="str">
        <f>VLOOKUP($A2203,Controle!$B$4:$G$68,6,FALSE)</f>
        <v>Solatio</v>
      </c>
      <c r="H2203" s="7">
        <v>0</v>
      </c>
      <c r="I2203" s="17">
        <f t="shared" si="679"/>
        <v>0</v>
      </c>
      <c r="J2203" s="7">
        <v>0</v>
      </c>
      <c r="K2203" s="7">
        <v>0</v>
      </c>
      <c r="L2203" s="7">
        <v>0</v>
      </c>
      <c r="M2203" s="7">
        <v>0</v>
      </c>
      <c r="N2203" s="7">
        <v>0</v>
      </c>
      <c r="O2203" s="4">
        <f t="shared" si="680"/>
        <v>0</v>
      </c>
      <c r="P2203" s="17">
        <f>SUMIFS('Desenvolvimento diário'!$H:$H,'Desenvolvimento diário'!$Q:$Q,$B2203,'Desenvolvimento diário'!$P:$P,$F2203,'Desenvolvimento diário'!$R:$R,"Sim")</f>
        <v>0</v>
      </c>
      <c r="Q2203" s="17">
        <f>SUMIFS('Desenvolvimento diário'!$H:$H,'Desenvolvimento diário'!$Q:$Q,$B2203,'Desenvolvimento diário'!$P:$P,$F2203,'Desenvolvimento diário'!$R:$R,"Não")</f>
        <v>0</v>
      </c>
      <c r="R2203" s="4">
        <f t="shared" si="681"/>
        <v>0</v>
      </c>
      <c r="S2203" s="4">
        <f t="shared" si="682"/>
        <v>0</v>
      </c>
      <c r="T2203" s="12">
        <f t="shared" si="684"/>
        <v>0</v>
      </c>
      <c r="Y2203" s="2"/>
      <c r="Z2203" s="2"/>
      <c r="AA2203" s="2"/>
      <c r="AB2203" s="2"/>
      <c r="AC2203" s="2"/>
    </row>
    <row r="2204" spans="1:29" hidden="1">
      <c r="A2204" s="2">
        <f t="shared" si="683"/>
        <v>63</v>
      </c>
      <c r="B2204" s="2" t="str">
        <f>VLOOKUP($A2204,Controle!$B$4:$F$68,2,FALSE)</f>
        <v>NewCo IV</v>
      </c>
      <c r="C2204" s="2" t="str">
        <f>VLOOKUP($A2204,Controle!$B$4:$F$68,3,FALSE)</f>
        <v>MORI MINAS IV</v>
      </c>
      <c r="D2204" s="2" t="str">
        <f>VLOOKUP($A2204,Controle!$B$4:$F$68,4,FALSE)</f>
        <v>NewCo IV</v>
      </c>
      <c r="E2204" s="2">
        <f>VLOOKUP($A2204,Controle!$B$4:$F$68,5,FALSE)</f>
        <v>0</v>
      </c>
      <c r="F2204" s="3" t="str">
        <f t="shared" ref="F2204:F2205" si="687">F2169</f>
        <v>GOS FLORESTAL - (PRAD - Recuperação Area Ambiental)</v>
      </c>
      <c r="G2204" s="2" t="str">
        <f>VLOOKUP($A2204,Controle!$B$4:$G$68,6,FALSE)</f>
        <v>Solatio</v>
      </c>
      <c r="H2204" s="7">
        <v>0</v>
      </c>
      <c r="I2204" s="5">
        <f t="shared" si="679"/>
        <v>0</v>
      </c>
      <c r="J2204" s="7">
        <v>0</v>
      </c>
      <c r="K2204" s="7">
        <v>0</v>
      </c>
      <c r="L2204" s="7">
        <v>0</v>
      </c>
      <c r="M2204" s="7">
        <v>0</v>
      </c>
      <c r="N2204" s="7">
        <v>0</v>
      </c>
      <c r="O2204" s="39">
        <f t="shared" si="680"/>
        <v>0</v>
      </c>
      <c r="P2204" s="17">
        <f>SUMIFS('Desenvolvimento diário'!$H:$H,'Desenvolvimento diário'!$Q:$Q,$B2204,'Desenvolvimento diário'!$P:$P,$F2204,'Desenvolvimento diário'!$R:$R,"Sim")</f>
        <v>0</v>
      </c>
      <c r="Q2204" s="17">
        <f>SUMIFS('Desenvolvimento diário'!$H:$H,'Desenvolvimento diário'!$Q:$Q,$B2204,'Desenvolvimento diário'!$P:$P,$F2204,'Desenvolvimento diário'!$R:$R,"Não")</f>
        <v>0</v>
      </c>
      <c r="R2204" s="4">
        <f t="shared" si="681"/>
        <v>0</v>
      </c>
      <c r="S2204" s="4">
        <f t="shared" si="682"/>
        <v>0</v>
      </c>
      <c r="T2204" s="12">
        <f t="shared" si="684"/>
        <v>0</v>
      </c>
      <c r="Y2204" s="2"/>
      <c r="Z2204" s="2"/>
      <c r="AA2204" s="2"/>
      <c r="AB2204" s="2"/>
      <c r="AC2204" s="2"/>
    </row>
    <row r="2205" spans="1:29" hidden="1">
      <c r="A2205" s="2">
        <f t="shared" si="683"/>
        <v>63</v>
      </c>
      <c r="B2205" s="2" t="str">
        <f>VLOOKUP($A2205,Controle!$B$4:$F$68,2,FALSE)</f>
        <v>NewCo IV</v>
      </c>
      <c r="C2205" s="2" t="str">
        <f>VLOOKUP($A2205,Controle!$B$4:$F$68,3,FALSE)</f>
        <v>MORI MINAS IV</v>
      </c>
      <c r="D2205" s="2" t="str">
        <f>VLOOKUP($A2205,Controle!$B$4:$F$68,4,FALSE)</f>
        <v>NewCo IV</v>
      </c>
      <c r="E2205" s="2">
        <f>VLOOKUP($A2205,Controle!$B$4:$F$68,5,FALSE)</f>
        <v>0</v>
      </c>
      <c r="F2205" s="3" t="str">
        <f t="shared" si="687"/>
        <v>Cercamento das bacias de contenção ciclo 2</v>
      </c>
      <c r="G2205" s="2" t="str">
        <f>VLOOKUP($A2205,Controle!$B$4:$G$68,6,FALSE)</f>
        <v>Solatio</v>
      </c>
      <c r="H2205" s="7">
        <v>0</v>
      </c>
      <c r="I2205" s="17">
        <f t="shared" si="679"/>
        <v>0</v>
      </c>
      <c r="J2205" s="7">
        <v>0</v>
      </c>
      <c r="K2205" s="7">
        <v>0</v>
      </c>
      <c r="L2205" s="7">
        <v>0</v>
      </c>
      <c r="M2205" s="7">
        <v>0</v>
      </c>
      <c r="N2205" s="7">
        <v>0</v>
      </c>
      <c r="O2205" s="39">
        <f t="shared" si="680"/>
        <v>0</v>
      </c>
      <c r="P2205" s="17">
        <f>SUMIFS('Desenvolvimento diário'!$H:$H,'Desenvolvimento diário'!$Q:$Q,$B2205,'Desenvolvimento diário'!$P:$P,$F2205,'Desenvolvimento diário'!$R:$R,"Sim")</f>
        <v>0</v>
      </c>
      <c r="Q2205" s="17">
        <f>SUMIFS('Desenvolvimento diário'!$H:$H,'Desenvolvimento diário'!$Q:$Q,$B2205,'Desenvolvimento diário'!$P:$P,$F2205,'Desenvolvimento diário'!$R:$R,"Não")</f>
        <v>0</v>
      </c>
      <c r="R2205" s="4">
        <f t="shared" si="681"/>
        <v>0</v>
      </c>
      <c r="S2205" s="1030">
        <f t="shared" si="682"/>
        <v>0</v>
      </c>
      <c r="T2205" s="12">
        <f t="shared" si="684"/>
        <v>0</v>
      </c>
      <c r="U2205" s="1029"/>
      <c r="V2205" s="1029" t="s">
        <v>94</v>
      </c>
      <c r="Y2205" s="2"/>
      <c r="Z2205" s="2"/>
      <c r="AA2205" s="2"/>
      <c r="AB2205" s="2"/>
      <c r="AC2205" s="2"/>
    </row>
    <row r="2206" spans="1:29" hidden="1">
      <c r="A2206" s="8">
        <f t="shared" ref="A2206:E2206" si="688">A2203</f>
        <v>63</v>
      </c>
      <c r="B2206" s="9" t="str">
        <f t="shared" si="688"/>
        <v>NewCo IV</v>
      </c>
      <c r="C2206" s="9" t="str">
        <f t="shared" si="688"/>
        <v>MORI MINAS IV</v>
      </c>
      <c r="D2206" s="9" t="str">
        <f t="shared" si="688"/>
        <v>NewCo IV</v>
      </c>
      <c r="E2206" s="9">
        <f t="shared" si="688"/>
        <v>0</v>
      </c>
      <c r="F2206" s="10" t="s">
        <v>158</v>
      </c>
      <c r="G2206" s="9" t="str">
        <f>G2203</f>
        <v>Solatio</v>
      </c>
      <c r="H2206" s="9"/>
      <c r="I2206" s="9">
        <f>SUBTOTAL(9,I2172:I2205)</f>
        <v>0</v>
      </c>
      <c r="J2206" s="9">
        <f t="shared" ref="J2206:S2206" si="689">SUBTOTAL(9,J2172:J2205)</f>
        <v>0</v>
      </c>
      <c r="K2206" s="9">
        <f t="shared" si="689"/>
        <v>0</v>
      </c>
      <c r="L2206" s="9">
        <f t="shared" si="689"/>
        <v>0</v>
      </c>
      <c r="M2206" s="9">
        <f t="shared" si="689"/>
        <v>0</v>
      </c>
      <c r="N2206" s="9">
        <f t="shared" si="689"/>
        <v>0</v>
      </c>
      <c r="O2206" s="9">
        <f t="shared" si="689"/>
        <v>0</v>
      </c>
      <c r="P2206" s="9">
        <f t="shared" si="689"/>
        <v>0</v>
      </c>
      <c r="Q2206" s="9">
        <f t="shared" si="689"/>
        <v>0</v>
      </c>
      <c r="R2206" s="9">
        <f t="shared" si="689"/>
        <v>0</v>
      </c>
      <c r="S2206" s="9">
        <f t="shared" si="689"/>
        <v>0</v>
      </c>
      <c r="T2206" s="13">
        <f t="shared" si="684"/>
        <v>0</v>
      </c>
      <c r="U2206" s="11">
        <f>SUBTOTAL(9,U2172:U2205)</f>
        <v>0</v>
      </c>
      <c r="Y2206" s="2"/>
      <c r="Z2206" s="2"/>
      <c r="AA2206" s="2"/>
      <c r="AB2206" s="2"/>
      <c r="AC2206" s="2"/>
    </row>
    <row r="2207" spans="1:29" ht="10.5" hidden="1">
      <c r="A2207" s="2">
        <f>A2172+1</f>
        <v>64</v>
      </c>
      <c r="B2207" s="2" t="str">
        <f>VLOOKUP($A2207,Controle!$B$4:$F$68,2,FALSE)</f>
        <v>NewCo V</v>
      </c>
      <c r="C2207" s="2" t="str">
        <f>VLOOKUP($A2207,Controle!$B$4:$F$68,3,FALSE)</f>
        <v>MORI MINAS V</v>
      </c>
      <c r="D2207" s="2" t="str">
        <f>VLOOKUP($A2207,Controle!$B$4:$F$68,4,FALSE)</f>
        <v>NewCo V</v>
      </c>
      <c r="E2207" s="2">
        <f>VLOOKUP($A2207,Controle!$B$4:$F$68,5,FALSE)</f>
        <v>0</v>
      </c>
      <c r="F2207" s="3" t="str">
        <f t="shared" ref="F2207:F2237" si="690">F2172</f>
        <v>Conexão AT - Obras</v>
      </c>
      <c r="G2207" s="2" t="str">
        <f>VLOOKUP($A2207,Controle!$B$4:$G$68,6,FALSE)</f>
        <v>Solatio</v>
      </c>
      <c r="H2207" s="6">
        <v>0</v>
      </c>
      <c r="I2207" s="5">
        <f t="shared" ref="I2207:I2240" si="691">R2207</f>
        <v>0</v>
      </c>
      <c r="J2207" s="6">
        <v>0</v>
      </c>
      <c r="K2207" s="6">
        <v>0</v>
      </c>
      <c r="L2207" s="6">
        <v>0</v>
      </c>
      <c r="M2207" s="6">
        <v>0</v>
      </c>
      <c r="N2207" s="6">
        <v>0</v>
      </c>
      <c r="O2207" s="4">
        <f t="shared" ref="O2207:O2240" si="692">SUM(I2207:N2207)</f>
        <v>0</v>
      </c>
      <c r="P2207" s="5">
        <f>SUMIFS('Desenvolvimento diário'!$H:$H,'Desenvolvimento diário'!$Q:$Q,$B2207,'Desenvolvimento diário'!$P:$P,$F2207,'Desenvolvimento diário'!$R:$R,"Sim")</f>
        <v>0</v>
      </c>
      <c r="Q2207" s="5">
        <f>SUMIFS('Desenvolvimento diário'!$H:$H,'Desenvolvimento diário'!$Q:$Q,$B2207,'Desenvolvimento diário'!$P:$P,$F2207,'Desenvolvimento diário'!$R:$R,"Não")</f>
        <v>0</v>
      </c>
      <c r="R2207" s="4">
        <f t="shared" ref="R2207:R2240" si="693">SUM(P2207:Q2207)</f>
        <v>0</v>
      </c>
      <c r="S2207" s="4">
        <f t="shared" ref="S2207:S2240" si="694">O2207-R2207</f>
        <v>0</v>
      </c>
      <c r="T2207" s="12">
        <f t="shared" si="684"/>
        <v>0</v>
      </c>
      <c r="Y2207" s="2"/>
      <c r="Z2207" s="2"/>
      <c r="AA2207" s="2"/>
      <c r="AB2207" s="2"/>
      <c r="AC2207" s="2"/>
    </row>
    <row r="2208" spans="1:29" ht="10.5" hidden="1">
      <c r="A2208" s="2">
        <f t="shared" ref="A2208:A2240" si="695">A2207</f>
        <v>64</v>
      </c>
      <c r="B2208" s="2" t="str">
        <f>VLOOKUP($A2208,Controle!$B$4:$F$68,2,FALSE)</f>
        <v>NewCo V</v>
      </c>
      <c r="C2208" s="2" t="str">
        <f>VLOOKUP($A2208,Controle!$B$4:$F$68,3,FALSE)</f>
        <v>MORI MINAS V</v>
      </c>
      <c r="D2208" s="2" t="str">
        <f>VLOOKUP($A2208,Controle!$B$4:$F$68,4,FALSE)</f>
        <v>NewCo V</v>
      </c>
      <c r="E2208" s="2">
        <f>VLOOKUP($A2208,Controle!$B$4:$F$68,5,FALSE)</f>
        <v>0</v>
      </c>
      <c r="F2208" s="3" t="str">
        <f t="shared" si="690"/>
        <v>Conexão MT - Obras</v>
      </c>
      <c r="G2208" s="2" t="str">
        <f>VLOOKUP($A2208,Controle!$B$4:$G$68,6,FALSE)</f>
        <v>Solatio</v>
      </c>
      <c r="H2208" s="6">
        <v>0</v>
      </c>
      <c r="I2208" s="5">
        <f t="shared" si="691"/>
        <v>0</v>
      </c>
      <c r="J2208" s="6">
        <v>0</v>
      </c>
      <c r="K2208" s="6">
        <v>0</v>
      </c>
      <c r="L2208" s="6">
        <v>0</v>
      </c>
      <c r="M2208" s="6">
        <v>0</v>
      </c>
      <c r="N2208" s="6">
        <v>0</v>
      </c>
      <c r="O2208" s="4">
        <f t="shared" si="692"/>
        <v>0</v>
      </c>
      <c r="P2208" s="5">
        <f>SUMIFS('Desenvolvimento diário'!$H:$H,'Desenvolvimento diário'!$Q:$Q,$B2208,'Desenvolvimento diário'!$P:$P,$F2208,'Desenvolvimento diário'!$R:$R,"Sim")</f>
        <v>0</v>
      </c>
      <c r="Q2208" s="5">
        <f>SUMIFS('Desenvolvimento diário'!$H:$H,'Desenvolvimento diário'!$Q:$Q,$B2208,'Desenvolvimento diário'!$P:$P,$F2208,'Desenvolvimento diário'!$R:$R,"Não")</f>
        <v>0</v>
      </c>
      <c r="R2208" s="4">
        <f t="shared" si="693"/>
        <v>0</v>
      </c>
      <c r="S2208" s="4">
        <f t="shared" si="694"/>
        <v>0</v>
      </c>
      <c r="T2208" s="12">
        <f t="shared" si="684"/>
        <v>0</v>
      </c>
      <c r="Y2208" s="2"/>
      <c r="Z2208" s="2"/>
      <c r="AA2208" s="2"/>
      <c r="AB2208" s="2"/>
      <c r="AC2208" s="2"/>
    </row>
    <row r="2209" spans="1:29" ht="10.5" hidden="1">
      <c r="A2209" s="2">
        <f t="shared" si="695"/>
        <v>64</v>
      </c>
      <c r="B2209" s="2" t="str">
        <f>VLOOKUP($A2209,Controle!$B$4:$F$68,2,FALSE)</f>
        <v>NewCo V</v>
      </c>
      <c r="C2209" s="2" t="str">
        <f>VLOOKUP($A2209,Controle!$B$4:$F$68,3,FALSE)</f>
        <v>MORI MINAS V</v>
      </c>
      <c r="D2209" s="2" t="str">
        <f>VLOOKUP($A2209,Controle!$B$4:$F$68,4,FALSE)</f>
        <v>NewCo V</v>
      </c>
      <c r="E2209" s="2">
        <f>VLOOKUP($A2209,Controle!$B$4:$F$68,5,FALSE)</f>
        <v>0</v>
      </c>
      <c r="F2209" s="3" t="str">
        <f t="shared" si="690"/>
        <v>Construção - Serviços de Construção</v>
      </c>
      <c r="G2209" s="2" t="str">
        <f>VLOOKUP($A2209,Controle!$B$4:$G$68,6,FALSE)</f>
        <v>Solatio</v>
      </c>
      <c r="H2209" s="6">
        <v>0</v>
      </c>
      <c r="I2209" s="5">
        <f t="shared" si="691"/>
        <v>0</v>
      </c>
      <c r="J2209" s="6">
        <v>0</v>
      </c>
      <c r="K2209" s="6">
        <v>0</v>
      </c>
      <c r="L2209" s="6">
        <v>0</v>
      </c>
      <c r="M2209" s="6">
        <v>0</v>
      </c>
      <c r="N2209" s="6">
        <v>0</v>
      </c>
      <c r="O2209" s="4">
        <f t="shared" si="692"/>
        <v>0</v>
      </c>
      <c r="P2209" s="5">
        <f>SUMIFS('Desenvolvimento diário'!$H:$H,'Desenvolvimento diário'!$Q:$Q,$B2209,'Desenvolvimento diário'!$P:$P,$F2209,'Desenvolvimento diário'!$R:$R,"Sim")</f>
        <v>0</v>
      </c>
      <c r="Q2209" s="5">
        <f>SUMIFS('Desenvolvimento diário'!$H:$H,'Desenvolvimento diário'!$Q:$Q,$B2209,'Desenvolvimento diário'!$P:$P,$F2209,'Desenvolvimento diário'!$R:$R,"Não")</f>
        <v>0</v>
      </c>
      <c r="R2209" s="4">
        <f t="shared" si="693"/>
        <v>0</v>
      </c>
      <c r="S2209" s="4">
        <f t="shared" si="694"/>
        <v>0</v>
      </c>
      <c r="T2209" s="12">
        <f t="shared" si="684"/>
        <v>0</v>
      </c>
      <c r="Y2209" s="2"/>
      <c r="Z2209" s="2"/>
      <c r="AA2209" s="2"/>
      <c r="AB2209" s="2"/>
      <c r="AC2209" s="2"/>
    </row>
    <row r="2210" spans="1:29" ht="10.5" hidden="1">
      <c r="A2210" s="2">
        <f t="shared" si="695"/>
        <v>64</v>
      </c>
      <c r="B2210" s="2" t="str">
        <f>VLOOKUP($A2210,Controle!$B$4:$F$68,2,FALSE)</f>
        <v>NewCo V</v>
      </c>
      <c r="C2210" s="2" t="str">
        <f>VLOOKUP($A2210,Controle!$B$4:$F$68,3,FALSE)</f>
        <v>MORI MINAS V</v>
      </c>
      <c r="D2210" s="2" t="str">
        <f>VLOOKUP($A2210,Controle!$B$4:$F$68,4,FALSE)</f>
        <v>NewCo V</v>
      </c>
      <c r="E2210" s="2">
        <f>VLOOKUP($A2210,Controle!$B$4:$F$68,5,FALSE)</f>
        <v>0</v>
      </c>
      <c r="F2210" s="3" t="str">
        <f t="shared" si="690"/>
        <v>Construção - Serviços de Construção - Substituição</v>
      </c>
      <c r="G2210" s="2" t="str">
        <f>VLOOKUP($A2210,Controle!$B$4:$G$68,6,FALSE)</f>
        <v>Solatio</v>
      </c>
      <c r="H2210" s="6">
        <v>0</v>
      </c>
      <c r="I2210" s="5">
        <f t="shared" si="691"/>
        <v>0</v>
      </c>
      <c r="J2210" s="6">
        <v>0</v>
      </c>
      <c r="K2210" s="6">
        <v>0</v>
      </c>
      <c r="L2210" s="6">
        <v>0</v>
      </c>
      <c r="M2210" s="6">
        <v>0</v>
      </c>
      <c r="N2210" s="6">
        <v>0</v>
      </c>
      <c r="O2210" s="4">
        <f t="shared" si="692"/>
        <v>0</v>
      </c>
      <c r="P2210" s="5">
        <f>SUMIFS('Desenvolvimento diário'!$H:$H,'Desenvolvimento diário'!$Q:$Q,$B2210,'Desenvolvimento diário'!$P:$P,$F2210,'Desenvolvimento diário'!$R:$R,"Sim")</f>
        <v>0</v>
      </c>
      <c r="Q2210" s="5">
        <f>SUMIFS('Desenvolvimento diário'!$H:$H,'Desenvolvimento diário'!$Q:$Q,$B2210,'Desenvolvimento diário'!$P:$P,$F2210,'Desenvolvimento diário'!$R:$R,"Não")</f>
        <v>0</v>
      </c>
      <c r="R2210" s="4">
        <f t="shared" si="693"/>
        <v>0</v>
      </c>
      <c r="S2210" s="4">
        <f t="shared" si="694"/>
        <v>0</v>
      </c>
      <c r="T2210" s="12">
        <f t="shared" si="684"/>
        <v>0</v>
      </c>
      <c r="Y2210" s="2"/>
      <c r="Z2210" s="2"/>
      <c r="AA2210" s="2"/>
      <c r="AB2210" s="2"/>
      <c r="AC2210" s="2"/>
    </row>
    <row r="2211" spans="1:29" ht="10.5" hidden="1">
      <c r="A2211" s="2">
        <f t="shared" si="695"/>
        <v>64</v>
      </c>
      <c r="B2211" s="2" t="str">
        <f>VLOOKUP($A2211,Controle!$B$4:$F$68,2,FALSE)</f>
        <v>NewCo V</v>
      </c>
      <c r="C2211" s="2" t="str">
        <f>VLOOKUP($A2211,Controle!$B$4:$F$68,3,FALSE)</f>
        <v>MORI MINAS V</v>
      </c>
      <c r="D2211" s="2" t="str">
        <f>VLOOKUP($A2211,Controle!$B$4:$F$68,4,FALSE)</f>
        <v>NewCo V</v>
      </c>
      <c r="E2211" s="2">
        <f>VLOOKUP($A2211,Controle!$B$4:$F$68,5,FALSE)</f>
        <v>0</v>
      </c>
      <c r="F2211" s="3" t="str">
        <f t="shared" si="690"/>
        <v>Construção - RDA Interno</v>
      </c>
      <c r="G2211" s="2" t="str">
        <f>VLOOKUP($A2211,Controle!$B$4:$G$68,6,FALSE)</f>
        <v>Solatio</v>
      </c>
      <c r="H2211" s="6">
        <v>0</v>
      </c>
      <c r="I2211" s="5">
        <f t="shared" si="691"/>
        <v>0</v>
      </c>
      <c r="J2211" s="6">
        <v>0</v>
      </c>
      <c r="K2211" s="6">
        <v>0</v>
      </c>
      <c r="L2211" s="6">
        <v>0</v>
      </c>
      <c r="M2211" s="6">
        <v>0</v>
      </c>
      <c r="N2211" s="6">
        <v>0</v>
      </c>
      <c r="O2211" s="4">
        <f t="shared" si="692"/>
        <v>0</v>
      </c>
      <c r="P2211" s="5">
        <f>SUMIFS('Desenvolvimento diário'!$H:$H,'Desenvolvimento diário'!$Q:$Q,$B2211,'Desenvolvimento diário'!$P:$P,$F2211,'Desenvolvimento diário'!$R:$R,"Sim")</f>
        <v>0</v>
      </c>
      <c r="Q2211" s="5">
        <f>SUMIFS('Desenvolvimento diário'!$H:$H,'Desenvolvimento diário'!$Q:$Q,$B2211,'Desenvolvimento diário'!$P:$P,$F2211,'Desenvolvimento diário'!$R:$R,"Não")</f>
        <v>0</v>
      </c>
      <c r="R2211" s="4">
        <f t="shared" si="693"/>
        <v>0</v>
      </c>
      <c r="S2211" s="4">
        <f t="shared" si="694"/>
        <v>0</v>
      </c>
      <c r="T2211" s="12">
        <f t="shared" si="684"/>
        <v>0</v>
      </c>
      <c r="Y2211" s="2"/>
      <c r="Z2211" s="2"/>
      <c r="AA2211" s="2"/>
      <c r="AB2211" s="2"/>
      <c r="AC2211" s="2"/>
    </row>
    <row r="2212" spans="1:29" ht="10.5" hidden="1">
      <c r="A2212" s="2">
        <f t="shared" si="695"/>
        <v>64</v>
      </c>
      <c r="B2212" s="2" t="str">
        <f>VLOOKUP($A2212,Controle!$B$4:$F$68,2,FALSE)</f>
        <v>NewCo V</v>
      </c>
      <c r="C2212" s="2" t="str">
        <f>VLOOKUP($A2212,Controle!$B$4:$F$68,3,FALSE)</f>
        <v>MORI MINAS V</v>
      </c>
      <c r="D2212" s="2" t="str">
        <f>VLOOKUP($A2212,Controle!$B$4:$F$68,4,FALSE)</f>
        <v>NewCo V</v>
      </c>
      <c r="E2212" s="2">
        <f>VLOOKUP($A2212,Controle!$B$4:$F$68,5,FALSE)</f>
        <v>0</v>
      </c>
      <c r="F2212" s="3" t="str">
        <f t="shared" si="690"/>
        <v>Full EPC - Contrato</v>
      </c>
      <c r="G2212" s="2" t="str">
        <f>VLOOKUP($A2212,Controle!$B$4:$G$68,6,FALSE)</f>
        <v>Solatio</v>
      </c>
      <c r="H2212" s="6">
        <v>0</v>
      </c>
      <c r="I2212" s="5">
        <f t="shared" si="691"/>
        <v>0</v>
      </c>
      <c r="J2212" s="6">
        <v>0</v>
      </c>
      <c r="K2212" s="6">
        <v>0</v>
      </c>
      <c r="L2212" s="6">
        <v>0</v>
      </c>
      <c r="M2212" s="6">
        <v>0</v>
      </c>
      <c r="N2212" s="6">
        <v>0</v>
      </c>
      <c r="O2212" s="4">
        <f t="shared" si="692"/>
        <v>0</v>
      </c>
      <c r="P2212" s="5">
        <f>SUMIFS('Desenvolvimento diário'!$H:$H,'Desenvolvimento diário'!$Q:$Q,$B2212,'Desenvolvimento diário'!$P:$P,$F2212,'Desenvolvimento diário'!$R:$R,"Sim")</f>
        <v>0</v>
      </c>
      <c r="Q2212" s="5">
        <f>SUMIFS('Desenvolvimento diário'!$H:$H,'Desenvolvimento diário'!$Q:$Q,$B2212,'Desenvolvimento diário'!$P:$P,$F2212,'Desenvolvimento diário'!$R:$R,"Não")</f>
        <v>0</v>
      </c>
      <c r="R2212" s="4">
        <f t="shared" si="693"/>
        <v>0</v>
      </c>
      <c r="S2212" s="4">
        <f t="shared" si="694"/>
        <v>0</v>
      </c>
      <c r="T2212" s="12">
        <f t="shared" si="684"/>
        <v>0</v>
      </c>
      <c r="Y2212" s="2"/>
      <c r="Z2212" s="2"/>
      <c r="AA2212" s="2"/>
      <c r="AB2212" s="2"/>
      <c r="AC2212" s="2"/>
    </row>
    <row r="2213" spans="1:29" ht="10.5" hidden="1">
      <c r="A2213" s="2">
        <f t="shared" si="695"/>
        <v>64</v>
      </c>
      <c r="B2213" s="2" t="str">
        <f>VLOOKUP($A2213,Controle!$B$4:$F$68,2,FALSE)</f>
        <v>NewCo V</v>
      </c>
      <c r="C2213" s="2" t="str">
        <f>VLOOKUP($A2213,Controle!$B$4:$F$68,3,FALSE)</f>
        <v>MORI MINAS V</v>
      </c>
      <c r="D2213" s="2" t="str">
        <f>VLOOKUP($A2213,Controle!$B$4:$F$68,4,FALSE)</f>
        <v>NewCo V</v>
      </c>
      <c r="E2213" s="2">
        <f>VLOOKUP($A2213,Controle!$B$4:$F$68,5,FALSE)</f>
        <v>0</v>
      </c>
      <c r="F2213" s="3" t="str">
        <f t="shared" si="690"/>
        <v>Equipamentos Curva A - Outros (Transformadores)</v>
      </c>
      <c r="G2213" s="2" t="str">
        <f>VLOOKUP($A2213,Controle!$B$4:$G$68,6,FALSE)</f>
        <v>Solatio</v>
      </c>
      <c r="H2213" s="6">
        <v>0</v>
      </c>
      <c r="I2213" s="5">
        <f t="shared" si="691"/>
        <v>0</v>
      </c>
      <c r="J2213" s="6">
        <v>0</v>
      </c>
      <c r="K2213" s="6">
        <v>0</v>
      </c>
      <c r="L2213" s="6">
        <v>0</v>
      </c>
      <c r="M2213" s="6">
        <v>0</v>
      </c>
      <c r="N2213" s="6">
        <v>0</v>
      </c>
      <c r="O2213" s="4">
        <f t="shared" si="692"/>
        <v>0</v>
      </c>
      <c r="P2213" s="5">
        <f>SUMIFS('Desenvolvimento diário'!$H:$H,'Desenvolvimento diário'!$Q:$Q,$B2213,'Desenvolvimento diário'!$P:$P,$F2213,'Desenvolvimento diário'!$R:$R,"Sim")</f>
        <v>0</v>
      </c>
      <c r="Q2213" s="5">
        <f>SUMIFS('Desenvolvimento diário'!$H:$H,'Desenvolvimento diário'!$Q:$Q,$B2213,'Desenvolvimento diário'!$P:$P,$F2213,'Desenvolvimento diário'!$R:$R,"Não")</f>
        <v>0</v>
      </c>
      <c r="R2213" s="4">
        <f t="shared" si="693"/>
        <v>0</v>
      </c>
      <c r="S2213" s="4">
        <f t="shared" si="694"/>
        <v>0</v>
      </c>
      <c r="T2213" s="12">
        <f t="shared" ref="T2213:T2247" si="696">IFERROR(R2213/O2213,0)</f>
        <v>0</v>
      </c>
      <c r="Y2213" s="2"/>
      <c r="Z2213" s="2"/>
      <c r="AA2213" s="2"/>
      <c r="AB2213" s="2"/>
      <c r="AC2213" s="2"/>
    </row>
    <row r="2214" spans="1:29" ht="10.5" hidden="1">
      <c r="A2214" s="2">
        <f t="shared" si="695"/>
        <v>64</v>
      </c>
      <c r="B2214" s="2" t="str">
        <f>VLOOKUP($A2214,Controle!$B$4:$F$68,2,FALSE)</f>
        <v>NewCo V</v>
      </c>
      <c r="C2214" s="2" t="str">
        <f>VLOOKUP($A2214,Controle!$B$4:$F$68,3,FALSE)</f>
        <v>MORI MINAS V</v>
      </c>
      <c r="D2214" s="2" t="str">
        <f>VLOOKUP($A2214,Controle!$B$4:$F$68,4,FALSE)</f>
        <v>NewCo V</v>
      </c>
      <c r="E2214" s="2">
        <f>VLOOKUP($A2214,Controle!$B$4:$F$68,5,FALSE)</f>
        <v>0</v>
      </c>
      <c r="F2214" s="3" t="str">
        <f t="shared" si="690"/>
        <v>Equipamentos Curva A - Outros (Cabine + Skid)</v>
      </c>
      <c r="G2214" s="2" t="str">
        <f>VLOOKUP($A2214,Controle!$B$4:$G$68,6,FALSE)</f>
        <v>Solatio</v>
      </c>
      <c r="H2214" s="6">
        <v>0</v>
      </c>
      <c r="I2214" s="5">
        <f t="shared" si="691"/>
        <v>0</v>
      </c>
      <c r="J2214" s="6">
        <v>0</v>
      </c>
      <c r="K2214" s="6">
        <v>0</v>
      </c>
      <c r="L2214" s="6">
        <v>0</v>
      </c>
      <c r="M2214" s="6">
        <v>0</v>
      </c>
      <c r="N2214" s="6">
        <v>0</v>
      </c>
      <c r="O2214" s="4">
        <f t="shared" si="692"/>
        <v>0</v>
      </c>
      <c r="P2214" s="5">
        <f>SUMIFS('Desenvolvimento diário'!$H:$H,'Desenvolvimento diário'!$Q:$Q,$B2214,'Desenvolvimento diário'!$P:$P,$F2214,'Desenvolvimento diário'!$R:$R,"Sim")</f>
        <v>0</v>
      </c>
      <c r="Q2214" s="5">
        <f>SUMIFS('Desenvolvimento diário'!$H:$H,'Desenvolvimento diário'!$Q:$Q,$B2214,'Desenvolvimento diário'!$P:$P,$F2214,'Desenvolvimento diário'!$R:$R,"Não")</f>
        <v>0</v>
      </c>
      <c r="R2214" s="4">
        <f t="shared" si="693"/>
        <v>0</v>
      </c>
      <c r="S2214" s="4">
        <f t="shared" si="694"/>
        <v>0</v>
      </c>
      <c r="T2214" s="12">
        <f t="shared" si="696"/>
        <v>0</v>
      </c>
      <c r="Y2214" s="2"/>
      <c r="Z2214" s="2"/>
      <c r="AA2214" s="2"/>
      <c r="AB2214" s="2"/>
      <c r="AC2214" s="2"/>
    </row>
    <row r="2215" spans="1:29" ht="10.5" hidden="1">
      <c r="A2215" s="2">
        <f t="shared" si="695"/>
        <v>64</v>
      </c>
      <c r="B2215" s="2" t="str">
        <f>VLOOKUP($A2215,Controle!$B$4:$F$68,2,FALSE)</f>
        <v>NewCo V</v>
      </c>
      <c r="C2215" s="2" t="str">
        <f>VLOOKUP($A2215,Controle!$B$4:$F$68,3,FALSE)</f>
        <v>MORI MINAS V</v>
      </c>
      <c r="D2215" s="2" t="str">
        <f>VLOOKUP($A2215,Controle!$B$4:$F$68,4,FALSE)</f>
        <v>NewCo V</v>
      </c>
      <c r="E2215" s="2">
        <f>VLOOKUP($A2215,Controle!$B$4:$F$68,5,FALSE)</f>
        <v>0</v>
      </c>
      <c r="F2215" s="3" t="str">
        <f t="shared" si="690"/>
        <v>Equipamentos Curva A - Outros (Cabine + Skid + Transformador)</v>
      </c>
      <c r="G2215" s="2" t="str">
        <f>VLOOKUP($A2215,Controle!$B$4:$G$68,6,FALSE)</f>
        <v>Solatio</v>
      </c>
      <c r="H2215" s="6">
        <v>0</v>
      </c>
      <c r="I2215" s="5">
        <f t="shared" si="691"/>
        <v>0</v>
      </c>
      <c r="J2215" s="6">
        <v>0</v>
      </c>
      <c r="K2215" s="6">
        <v>0</v>
      </c>
      <c r="L2215" s="6">
        <v>0</v>
      </c>
      <c r="M2215" s="6">
        <v>0</v>
      </c>
      <c r="N2215" s="6">
        <v>0</v>
      </c>
      <c r="O2215" s="4">
        <f t="shared" si="692"/>
        <v>0</v>
      </c>
      <c r="P2215" s="5">
        <f>SUMIFS('Desenvolvimento diário'!$H:$H,'Desenvolvimento diário'!$Q:$Q,$B2215,'Desenvolvimento diário'!$P:$P,$F2215,'Desenvolvimento diário'!$R:$R,"Sim")</f>
        <v>0</v>
      </c>
      <c r="Q2215" s="5">
        <f>SUMIFS('Desenvolvimento diário'!$H:$H,'Desenvolvimento diário'!$Q:$Q,$B2215,'Desenvolvimento diário'!$P:$P,$F2215,'Desenvolvimento diário'!$R:$R,"Não")</f>
        <v>0</v>
      </c>
      <c r="R2215" s="4">
        <f t="shared" si="693"/>
        <v>0</v>
      </c>
      <c r="S2215" s="4">
        <f t="shared" si="694"/>
        <v>0</v>
      </c>
      <c r="T2215" s="12">
        <f t="shared" si="696"/>
        <v>0</v>
      </c>
      <c r="Y2215" s="2"/>
      <c r="Z2215" s="2"/>
      <c r="AA2215" s="2"/>
      <c r="AB2215" s="2"/>
      <c r="AC2215" s="2"/>
    </row>
    <row r="2216" spans="1:29" ht="10.5" hidden="1">
      <c r="A2216" s="2">
        <f t="shared" si="695"/>
        <v>64</v>
      </c>
      <c r="B2216" s="2" t="str">
        <f>VLOOKUP($A2216,Controle!$B$4:$F$68,2,FALSE)</f>
        <v>NewCo V</v>
      </c>
      <c r="C2216" s="2" t="str">
        <f>VLOOKUP($A2216,Controle!$B$4:$F$68,3,FALSE)</f>
        <v>MORI MINAS V</v>
      </c>
      <c r="D2216" s="2" t="str">
        <f>VLOOKUP($A2216,Controle!$B$4:$F$68,4,FALSE)</f>
        <v>NewCo V</v>
      </c>
      <c r="E2216" s="2">
        <f>VLOOKUP($A2216,Controle!$B$4:$F$68,5,FALSE)</f>
        <v>0</v>
      </c>
      <c r="F2216" s="3" t="str">
        <f t="shared" si="690"/>
        <v>Desenvolvimento de projeto - Projetos - (Eng° Proprietario)</v>
      </c>
      <c r="G2216" s="2" t="str">
        <f>VLOOKUP($A2216,Controle!$B$4:$G$68,6,FALSE)</f>
        <v>Solatio</v>
      </c>
      <c r="H2216" s="6">
        <v>0</v>
      </c>
      <c r="I2216" s="5">
        <f t="shared" si="691"/>
        <v>1571032.8299999996</v>
      </c>
      <c r="J2216" s="6">
        <v>0</v>
      </c>
      <c r="K2216" s="6">
        <v>0</v>
      </c>
      <c r="L2216" s="6">
        <v>0</v>
      </c>
      <c r="M2216" s="6">
        <v>0</v>
      </c>
      <c r="N2216" s="6">
        <v>0</v>
      </c>
      <c r="O2216" s="4">
        <f t="shared" si="692"/>
        <v>1571032.8299999996</v>
      </c>
      <c r="P2216" s="5">
        <f>SUMIFS('Desenvolvimento diário'!$H:$H,'Desenvolvimento diário'!$Q:$Q,$B2216,'Desenvolvimento diário'!$P:$P,$F2216,'Desenvolvimento diário'!$R:$R,"Sim")</f>
        <v>0</v>
      </c>
      <c r="Q2216" s="5">
        <f>SUMIFS('Desenvolvimento diário'!$H:$H,'Desenvolvimento diário'!$Q:$Q,$B2216,'Desenvolvimento diário'!$P:$P,$F2216,'Desenvolvimento diário'!$R:$R,"Não")</f>
        <v>1571032.8299999996</v>
      </c>
      <c r="R2216" s="4">
        <f t="shared" si="693"/>
        <v>1571032.8299999996</v>
      </c>
      <c r="S2216" s="4">
        <f t="shared" si="694"/>
        <v>0</v>
      </c>
      <c r="T2216" s="12">
        <f t="shared" si="696"/>
        <v>1</v>
      </c>
      <c r="Y2216" s="2"/>
      <c r="Z2216" s="2"/>
      <c r="AA2216" s="2"/>
      <c r="AB2216" s="2"/>
      <c r="AC2216" s="2"/>
    </row>
    <row r="2217" spans="1:29" ht="10.5" hidden="1">
      <c r="A2217" s="2">
        <f t="shared" si="695"/>
        <v>64</v>
      </c>
      <c r="B2217" s="2" t="str">
        <f>VLOOKUP($A2217,Controle!$B$4:$F$68,2,FALSE)</f>
        <v>NewCo V</v>
      </c>
      <c r="C2217" s="2" t="str">
        <f>VLOOKUP($A2217,Controle!$B$4:$F$68,3,FALSE)</f>
        <v>MORI MINAS V</v>
      </c>
      <c r="D2217" s="2" t="str">
        <f>VLOOKUP($A2217,Controle!$B$4:$F$68,4,FALSE)</f>
        <v>NewCo V</v>
      </c>
      <c r="E2217" s="2">
        <f>VLOOKUP($A2217,Controle!$B$4:$F$68,5,FALSE)</f>
        <v>0</v>
      </c>
      <c r="F2217" s="3" t="str">
        <f t="shared" si="690"/>
        <v>Desenvolvimento de projeto - Projetos - Executivos</v>
      </c>
      <c r="G2217" s="2" t="str">
        <f>VLOOKUP($A2217,Controle!$B$4:$G$68,6,FALSE)</f>
        <v>Solatio</v>
      </c>
      <c r="H2217" s="6">
        <v>0</v>
      </c>
      <c r="I2217" s="5">
        <f t="shared" si="691"/>
        <v>0</v>
      </c>
      <c r="J2217" s="6">
        <v>0</v>
      </c>
      <c r="K2217" s="6">
        <v>0</v>
      </c>
      <c r="L2217" s="6">
        <v>0</v>
      </c>
      <c r="M2217" s="6">
        <v>0</v>
      </c>
      <c r="N2217" s="6">
        <v>0</v>
      </c>
      <c r="O2217" s="4">
        <f t="shared" si="692"/>
        <v>0</v>
      </c>
      <c r="P2217" s="5">
        <f>SUMIFS('Desenvolvimento diário'!$H:$H,'Desenvolvimento diário'!$Q:$Q,$B2217,'Desenvolvimento diário'!$P:$P,$F2217,'Desenvolvimento diário'!$R:$R,"Sim")</f>
        <v>0</v>
      </c>
      <c r="Q2217" s="5">
        <f>SUMIFS('Desenvolvimento diário'!$H:$H,'Desenvolvimento diário'!$Q:$Q,$B2217,'Desenvolvimento diário'!$P:$P,$F2217,'Desenvolvimento diário'!$R:$R,"Não")</f>
        <v>0</v>
      </c>
      <c r="R2217" s="4">
        <f t="shared" si="693"/>
        <v>0</v>
      </c>
      <c r="S2217" s="4">
        <f t="shared" si="694"/>
        <v>0</v>
      </c>
      <c r="T2217" s="12">
        <f t="shared" si="696"/>
        <v>0</v>
      </c>
      <c r="Y2217" s="2"/>
      <c r="Z2217" s="2"/>
      <c r="AA2217" s="2"/>
      <c r="AB2217" s="2"/>
      <c r="AC2217" s="2"/>
    </row>
    <row r="2218" spans="1:29" ht="10.5" hidden="1">
      <c r="A2218" s="2">
        <f t="shared" si="695"/>
        <v>64</v>
      </c>
      <c r="B2218" s="2" t="str">
        <f>VLOOKUP($A2218,Controle!$B$4:$F$68,2,FALSE)</f>
        <v>NewCo V</v>
      </c>
      <c r="C2218" s="2" t="str">
        <f>VLOOKUP($A2218,Controle!$B$4:$F$68,3,FALSE)</f>
        <v>MORI MINAS V</v>
      </c>
      <c r="D2218" s="2" t="str">
        <f>VLOOKUP($A2218,Controle!$B$4:$F$68,4,FALSE)</f>
        <v>NewCo V</v>
      </c>
      <c r="E2218" s="2">
        <f>VLOOKUP($A2218,Controle!$B$4:$F$68,5,FALSE)</f>
        <v>0</v>
      </c>
      <c r="F2218" s="3" t="str">
        <f t="shared" si="690"/>
        <v>Desenvolvimento de projeto - Projetos Básica</v>
      </c>
      <c r="G2218" s="2" t="str">
        <f>VLOOKUP($A2218,Controle!$B$4:$G$68,6,FALSE)</f>
        <v>Solatio</v>
      </c>
      <c r="H2218" s="6">
        <v>0</v>
      </c>
      <c r="I2218" s="5">
        <f t="shared" si="691"/>
        <v>0</v>
      </c>
      <c r="J2218" s="6">
        <v>0</v>
      </c>
      <c r="K2218" s="6">
        <v>0</v>
      </c>
      <c r="L2218" s="6">
        <v>0</v>
      </c>
      <c r="M2218" s="6">
        <v>0</v>
      </c>
      <c r="N2218" s="6">
        <v>0</v>
      </c>
      <c r="O2218" s="4">
        <f t="shared" si="692"/>
        <v>0</v>
      </c>
      <c r="P2218" s="5">
        <f>SUMIFS('Desenvolvimento diário'!$H:$H,'Desenvolvimento diário'!$Q:$Q,$B2218,'Desenvolvimento diário'!$P:$P,$F2218,'Desenvolvimento diário'!$R:$R,"Sim")</f>
        <v>0</v>
      </c>
      <c r="Q2218" s="5">
        <f>SUMIFS('Desenvolvimento diário'!$H:$H,'Desenvolvimento diário'!$Q:$Q,$B2218,'Desenvolvimento diário'!$P:$P,$F2218,'Desenvolvimento diário'!$R:$R,"Não")</f>
        <v>0</v>
      </c>
      <c r="R2218" s="4">
        <f t="shared" si="693"/>
        <v>0</v>
      </c>
      <c r="S2218" s="4">
        <f t="shared" si="694"/>
        <v>0</v>
      </c>
      <c r="T2218" s="12">
        <f t="shared" si="696"/>
        <v>0</v>
      </c>
      <c r="Y2218" s="2"/>
      <c r="Z2218" s="2"/>
      <c r="AA2218" s="2"/>
      <c r="AB2218" s="2"/>
      <c r="AC2218" s="2"/>
    </row>
    <row r="2219" spans="1:29" ht="10.5" hidden="1">
      <c r="A2219" s="2">
        <f t="shared" si="695"/>
        <v>64</v>
      </c>
      <c r="B2219" s="2" t="str">
        <f>VLOOKUP($A2219,Controle!$B$4:$F$68,2,FALSE)</f>
        <v>NewCo V</v>
      </c>
      <c r="C2219" s="2" t="str">
        <f>VLOOKUP($A2219,Controle!$B$4:$F$68,3,FALSE)</f>
        <v>MORI MINAS V</v>
      </c>
      <c r="D2219" s="2" t="str">
        <f>VLOOKUP($A2219,Controle!$B$4:$F$68,4,FALSE)</f>
        <v>NewCo V</v>
      </c>
      <c r="E2219" s="2">
        <f>VLOOKUP($A2219,Controle!$B$4:$F$68,5,FALSE)</f>
        <v>0</v>
      </c>
      <c r="F2219" s="3" t="str">
        <f t="shared" si="690"/>
        <v>Desenvolvimento de projeto - Projetos Detalhada</v>
      </c>
      <c r="G2219" s="2" t="str">
        <f>VLOOKUP($A2219,Controle!$B$4:$G$68,6,FALSE)</f>
        <v>Solatio</v>
      </c>
      <c r="H2219" s="6">
        <v>0</v>
      </c>
      <c r="I2219" s="5">
        <f t="shared" si="691"/>
        <v>0</v>
      </c>
      <c r="J2219" s="6">
        <v>0</v>
      </c>
      <c r="K2219" s="6">
        <v>0</v>
      </c>
      <c r="L2219" s="6">
        <v>0</v>
      </c>
      <c r="M2219" s="6">
        <v>0</v>
      </c>
      <c r="N2219" s="6">
        <v>0</v>
      </c>
      <c r="O2219" s="4">
        <f t="shared" si="692"/>
        <v>0</v>
      </c>
      <c r="P2219" s="5">
        <f>SUMIFS('Desenvolvimento diário'!$H:$H,'Desenvolvimento diário'!$Q:$Q,$B2219,'Desenvolvimento diário'!$P:$P,$F2219,'Desenvolvimento diário'!$R:$R,"Sim")</f>
        <v>0</v>
      </c>
      <c r="Q2219" s="5">
        <f>SUMIFS('Desenvolvimento diário'!$H:$H,'Desenvolvimento diário'!$Q:$Q,$B2219,'Desenvolvimento diário'!$P:$P,$F2219,'Desenvolvimento diário'!$R:$R,"Não")</f>
        <v>0</v>
      </c>
      <c r="R2219" s="4">
        <f t="shared" si="693"/>
        <v>0</v>
      </c>
      <c r="S2219" s="4">
        <f t="shared" si="694"/>
        <v>0</v>
      </c>
      <c r="T2219" s="12">
        <f t="shared" si="696"/>
        <v>0</v>
      </c>
      <c r="Y2219" s="2"/>
      <c r="Z2219" s="2"/>
      <c r="AA2219" s="2"/>
      <c r="AB2219" s="2"/>
      <c r="AC2219" s="2"/>
    </row>
    <row r="2220" spans="1:29" ht="10.5" hidden="1">
      <c r="A2220" s="2">
        <f t="shared" si="695"/>
        <v>64</v>
      </c>
      <c r="B2220" s="2" t="str">
        <f>VLOOKUP($A2220,Controle!$B$4:$F$68,2,FALSE)</f>
        <v>NewCo V</v>
      </c>
      <c r="C2220" s="2" t="str">
        <f>VLOOKUP($A2220,Controle!$B$4:$F$68,3,FALSE)</f>
        <v>MORI MINAS V</v>
      </c>
      <c r="D2220" s="2" t="str">
        <f>VLOOKUP($A2220,Controle!$B$4:$F$68,4,FALSE)</f>
        <v>NewCo V</v>
      </c>
      <c r="E2220" s="2">
        <f>VLOOKUP($A2220,Controle!$B$4:$F$68,5,FALSE)</f>
        <v>0</v>
      </c>
      <c r="F2220" s="3" t="str">
        <f t="shared" si="690"/>
        <v>Desenvolvimento de projeto - Ambiental / Outros</v>
      </c>
      <c r="G2220" s="2" t="str">
        <f>VLOOKUP($A2220,Controle!$B$4:$G$68,6,FALSE)</f>
        <v>Solatio</v>
      </c>
      <c r="H2220" s="6">
        <v>0</v>
      </c>
      <c r="I2220" s="5">
        <f t="shared" si="691"/>
        <v>0</v>
      </c>
      <c r="J2220" s="6">
        <v>0</v>
      </c>
      <c r="K2220" s="6">
        <v>0</v>
      </c>
      <c r="L2220" s="6">
        <v>0</v>
      </c>
      <c r="M2220" s="6">
        <v>0</v>
      </c>
      <c r="N2220" s="6">
        <v>0</v>
      </c>
      <c r="O2220" s="4">
        <f t="shared" si="692"/>
        <v>0</v>
      </c>
      <c r="P2220" s="5">
        <f>SUMIFS('Desenvolvimento diário'!$H:$H,'Desenvolvimento diário'!$Q:$Q,$B2220,'Desenvolvimento diário'!$P:$P,$F2220,'Desenvolvimento diário'!$R:$R,"Sim")</f>
        <v>0</v>
      </c>
      <c r="Q2220" s="5">
        <f>SUMIFS('Desenvolvimento diário'!$H:$H,'Desenvolvimento diário'!$Q:$Q,$B2220,'Desenvolvimento diário'!$P:$P,$F2220,'Desenvolvimento diário'!$R:$R,"Não")</f>
        <v>0</v>
      </c>
      <c r="R2220" s="4">
        <f t="shared" si="693"/>
        <v>0</v>
      </c>
      <c r="S2220" s="4">
        <f t="shared" si="694"/>
        <v>0</v>
      </c>
      <c r="T2220" s="12">
        <f t="shared" si="696"/>
        <v>0</v>
      </c>
      <c r="Y2220" s="2"/>
      <c r="Z2220" s="2"/>
      <c r="AA2220" s="2"/>
      <c r="AB2220" s="2"/>
      <c r="AC2220" s="2"/>
    </row>
    <row r="2221" spans="1:29" ht="10.5" hidden="1">
      <c r="A2221" s="2">
        <f t="shared" si="695"/>
        <v>64</v>
      </c>
      <c r="B2221" s="2" t="str">
        <f>VLOOKUP($A2221,Controle!$B$4:$F$68,2,FALSE)</f>
        <v>NewCo V</v>
      </c>
      <c r="C2221" s="2" t="str">
        <f>VLOOKUP($A2221,Controle!$B$4:$F$68,3,FALSE)</f>
        <v>MORI MINAS V</v>
      </c>
      <c r="D2221" s="2" t="str">
        <f>VLOOKUP($A2221,Controle!$B$4:$F$68,4,FALSE)</f>
        <v>NewCo V</v>
      </c>
      <c r="E2221" s="2">
        <f>VLOOKUP($A2221,Controle!$B$4:$F$68,5,FALSE)</f>
        <v>0</v>
      </c>
      <c r="F2221" s="3" t="str">
        <f t="shared" si="690"/>
        <v>Desenvolvimento de projeto - Coordenograma</v>
      </c>
      <c r="G2221" s="2" t="str">
        <f>VLOOKUP($A2221,Controle!$B$4:$G$68,6,FALSE)</f>
        <v>Solatio</v>
      </c>
      <c r="H2221" s="6">
        <v>0</v>
      </c>
      <c r="I2221" s="5">
        <f t="shared" si="691"/>
        <v>0</v>
      </c>
      <c r="J2221" s="6">
        <v>0</v>
      </c>
      <c r="K2221" s="6">
        <v>0</v>
      </c>
      <c r="L2221" s="6">
        <v>0</v>
      </c>
      <c r="M2221" s="6">
        <v>0</v>
      </c>
      <c r="N2221" s="6">
        <v>0</v>
      </c>
      <c r="O2221" s="4">
        <f t="shared" si="692"/>
        <v>0</v>
      </c>
      <c r="P2221" s="5">
        <f>SUMIFS('Desenvolvimento diário'!$H:$H,'Desenvolvimento diário'!$Q:$Q,$B2221,'Desenvolvimento diário'!$P:$P,$F2221,'Desenvolvimento diário'!$R:$R,"Sim")</f>
        <v>0</v>
      </c>
      <c r="Q2221" s="5">
        <f>SUMIFS('Desenvolvimento diário'!$H:$H,'Desenvolvimento diário'!$Q:$Q,$B2221,'Desenvolvimento diário'!$P:$P,$F2221,'Desenvolvimento diário'!$R:$R,"Não")</f>
        <v>0</v>
      </c>
      <c r="R2221" s="4">
        <f t="shared" si="693"/>
        <v>0</v>
      </c>
      <c r="S2221" s="4">
        <f t="shared" si="694"/>
        <v>0</v>
      </c>
      <c r="T2221" s="12">
        <f t="shared" si="696"/>
        <v>0</v>
      </c>
      <c r="Y2221" s="2"/>
      <c r="Z2221" s="2"/>
      <c r="AA2221" s="2"/>
      <c r="AB2221" s="2"/>
      <c r="AC2221" s="2"/>
    </row>
    <row r="2222" spans="1:29" ht="10.5" hidden="1">
      <c r="A2222" s="2">
        <f t="shared" si="695"/>
        <v>64</v>
      </c>
      <c r="B2222" s="2" t="str">
        <f>VLOOKUP($A2222,Controle!$B$4:$F$68,2,FALSE)</f>
        <v>NewCo V</v>
      </c>
      <c r="C2222" s="2" t="str">
        <f>VLOOKUP($A2222,Controle!$B$4:$F$68,3,FALSE)</f>
        <v>MORI MINAS V</v>
      </c>
      <c r="D2222" s="2" t="str">
        <f>VLOOKUP($A2222,Controle!$B$4:$F$68,4,FALSE)</f>
        <v>NewCo V</v>
      </c>
      <c r="E2222" s="2">
        <f>VLOOKUP($A2222,Controle!$B$4:$F$68,5,FALSE)</f>
        <v>0</v>
      </c>
      <c r="F2222" s="3" t="str">
        <f t="shared" si="690"/>
        <v>Sistemas de Monitoramento - Supervisório</v>
      </c>
      <c r="G2222" s="2" t="str">
        <f>VLOOKUP($A2222,Controle!$B$4:$G$68,6,FALSE)</f>
        <v>Solatio</v>
      </c>
      <c r="H2222" s="6">
        <v>0</v>
      </c>
      <c r="I2222" s="5">
        <f t="shared" si="691"/>
        <v>0</v>
      </c>
      <c r="J2222" s="6">
        <v>0</v>
      </c>
      <c r="K2222" s="6">
        <v>0</v>
      </c>
      <c r="L2222" s="6">
        <v>0</v>
      </c>
      <c r="M2222" s="6">
        <v>0</v>
      </c>
      <c r="N2222" s="6">
        <v>0</v>
      </c>
      <c r="O2222" s="4">
        <f t="shared" si="692"/>
        <v>0</v>
      </c>
      <c r="P2222" s="5">
        <f>SUMIFS('Desenvolvimento diário'!$H:$H,'Desenvolvimento diário'!$Q:$Q,$B2222,'Desenvolvimento diário'!$P:$P,$F2222,'Desenvolvimento diário'!$R:$R,"Sim")</f>
        <v>0</v>
      </c>
      <c r="Q2222" s="5">
        <f>SUMIFS('Desenvolvimento diário'!$H:$H,'Desenvolvimento diário'!$Q:$Q,$B2222,'Desenvolvimento diário'!$P:$P,$F2222,'Desenvolvimento diário'!$R:$R,"Não")</f>
        <v>0</v>
      </c>
      <c r="R2222" s="4">
        <f t="shared" si="693"/>
        <v>0</v>
      </c>
      <c r="S2222" s="4">
        <f t="shared" si="694"/>
        <v>0</v>
      </c>
      <c r="T2222" s="12">
        <f t="shared" si="696"/>
        <v>0</v>
      </c>
      <c r="Y2222" s="2"/>
      <c r="Z2222" s="2"/>
      <c r="AA2222" s="2"/>
      <c r="AB2222" s="2"/>
      <c r="AC2222" s="2"/>
    </row>
    <row r="2223" spans="1:29" ht="10.5" hidden="1">
      <c r="A2223" s="2">
        <f t="shared" si="695"/>
        <v>64</v>
      </c>
      <c r="B2223" s="2" t="str">
        <f>VLOOKUP($A2223,Controle!$B$4:$F$68,2,FALSE)</f>
        <v>NewCo V</v>
      </c>
      <c r="C2223" s="2" t="str">
        <f>VLOOKUP($A2223,Controle!$B$4:$F$68,3,FALSE)</f>
        <v>MORI MINAS V</v>
      </c>
      <c r="D2223" s="2" t="str">
        <f>VLOOKUP($A2223,Controle!$B$4:$F$68,4,FALSE)</f>
        <v>NewCo V</v>
      </c>
      <c r="E2223" s="2">
        <f>VLOOKUP($A2223,Controle!$B$4:$F$68,5,FALSE)</f>
        <v>0</v>
      </c>
      <c r="F2223" s="3" t="str">
        <f t="shared" si="690"/>
        <v>Sistemas de Monitoramento - Estações Solarimétricas</v>
      </c>
      <c r="G2223" s="2" t="str">
        <f>VLOOKUP($A2223,Controle!$B$4:$G$68,6,FALSE)</f>
        <v>Solatio</v>
      </c>
      <c r="H2223" s="6">
        <v>0</v>
      </c>
      <c r="I2223" s="5">
        <f t="shared" si="691"/>
        <v>0</v>
      </c>
      <c r="J2223" s="6">
        <v>0</v>
      </c>
      <c r="K2223" s="6">
        <v>0</v>
      </c>
      <c r="L2223" s="6">
        <v>0</v>
      </c>
      <c r="M2223" s="6">
        <v>0</v>
      </c>
      <c r="N2223" s="6">
        <v>0</v>
      </c>
      <c r="O2223" s="4">
        <f t="shared" si="692"/>
        <v>0</v>
      </c>
      <c r="P2223" s="5">
        <f>SUMIFS('Desenvolvimento diário'!$H:$H,'Desenvolvimento diário'!$Q:$Q,$B2223,'Desenvolvimento diário'!$P:$P,$F2223,'Desenvolvimento diário'!$R:$R,"Sim")</f>
        <v>0</v>
      </c>
      <c r="Q2223" s="5">
        <f>SUMIFS('Desenvolvimento diário'!$H:$H,'Desenvolvimento diário'!$Q:$Q,$B2223,'Desenvolvimento diário'!$P:$P,$F2223,'Desenvolvimento diário'!$R:$R,"Não")</f>
        <v>0</v>
      </c>
      <c r="R2223" s="4">
        <f t="shared" si="693"/>
        <v>0</v>
      </c>
      <c r="S2223" s="4">
        <f t="shared" si="694"/>
        <v>0</v>
      </c>
      <c r="T2223" s="12">
        <f t="shared" si="696"/>
        <v>0</v>
      </c>
      <c r="Y2223" s="2"/>
      <c r="Z2223" s="2"/>
      <c r="AA2223" s="2"/>
      <c r="AB2223" s="2"/>
      <c r="AC2223" s="2"/>
    </row>
    <row r="2224" spans="1:29" hidden="1">
      <c r="A2224" s="2">
        <f t="shared" si="695"/>
        <v>64</v>
      </c>
      <c r="B2224" s="2" t="str">
        <f>VLOOKUP($A2224,Controle!$B$4:$F$68,2,FALSE)</f>
        <v>NewCo V</v>
      </c>
      <c r="C2224" s="2" t="str">
        <f>VLOOKUP($A2224,Controle!$B$4:$F$68,3,FALSE)</f>
        <v>MORI MINAS V</v>
      </c>
      <c r="D2224" s="2" t="str">
        <f>VLOOKUP($A2224,Controle!$B$4:$F$68,4,FALSE)</f>
        <v>NewCo V</v>
      </c>
      <c r="E2224" s="2">
        <f>VLOOKUP($A2224,Controle!$B$4:$F$68,5,FALSE)</f>
        <v>0</v>
      </c>
      <c r="F2224" s="3" t="str">
        <f t="shared" si="690"/>
        <v>Sistemas de Monitoramento - CFTV</v>
      </c>
      <c r="G2224" s="2" t="str">
        <f>VLOOKUP($A2224,Controle!$B$4:$G$68,6,FALSE)</f>
        <v>Solatio</v>
      </c>
      <c r="H2224" s="6">
        <v>0</v>
      </c>
      <c r="I2224" s="5">
        <v>0</v>
      </c>
      <c r="J2224" s="6">
        <v>0</v>
      </c>
      <c r="K2224" s="6">
        <v>0</v>
      </c>
      <c r="L2224" s="6">
        <v>0</v>
      </c>
      <c r="M2224" s="6">
        <v>0</v>
      </c>
      <c r="N2224" s="6">
        <v>0</v>
      </c>
      <c r="O2224" s="4">
        <f t="shared" si="692"/>
        <v>0</v>
      </c>
      <c r="P2224" s="5">
        <f>SUMIFS('Desenvolvimento diário'!$H:$H,'Desenvolvimento diário'!$Q:$Q,$B2224,'Desenvolvimento diário'!$P:$P,$F2224,'Desenvolvimento diário'!$R:$R,"Sim")</f>
        <v>0</v>
      </c>
      <c r="Q2224" s="5">
        <f>SUMIFS('Desenvolvimento diário'!$H:$H,'Desenvolvimento diário'!$Q:$Q,$B2224,'Desenvolvimento diário'!$P:$P,$F2224,'Desenvolvimento diário'!$R:$R,"Não")</f>
        <v>0</v>
      </c>
      <c r="R2224" s="4">
        <f t="shared" si="693"/>
        <v>0</v>
      </c>
      <c r="S2224" s="4">
        <f t="shared" si="694"/>
        <v>0</v>
      </c>
      <c r="T2224" s="12">
        <f t="shared" si="696"/>
        <v>0</v>
      </c>
      <c r="Y2224" s="2"/>
      <c r="Z2224" s="2"/>
      <c r="AA2224" s="2"/>
      <c r="AB2224" s="2"/>
      <c r="AC2224" s="2"/>
    </row>
    <row r="2225" spans="1:29" ht="10.5" hidden="1">
      <c r="A2225" s="2">
        <f t="shared" si="695"/>
        <v>64</v>
      </c>
      <c r="B2225" s="2" t="str">
        <f>VLOOKUP($A2225,Controle!$B$4:$F$68,2,FALSE)</f>
        <v>NewCo V</v>
      </c>
      <c r="C2225" s="2" t="str">
        <f>VLOOKUP($A2225,Controle!$B$4:$F$68,3,FALSE)</f>
        <v>MORI MINAS V</v>
      </c>
      <c r="D2225" s="2" t="str">
        <f>VLOOKUP($A2225,Controle!$B$4:$F$68,4,FALSE)</f>
        <v>NewCo V</v>
      </c>
      <c r="E2225" s="2">
        <f>VLOOKUP($A2225,Controle!$B$4:$F$68,5,FALSE)</f>
        <v>0</v>
      </c>
      <c r="F2225" s="3" t="str">
        <f t="shared" si="690"/>
        <v>Serviços Auxiliares - Drenagem</v>
      </c>
      <c r="G2225" s="2" t="str">
        <f>VLOOKUP($A2225,Controle!$B$4:$G$68,6,FALSE)</f>
        <v>Solatio</v>
      </c>
      <c r="H2225" s="6">
        <v>0</v>
      </c>
      <c r="I2225" s="5">
        <f t="shared" si="691"/>
        <v>0</v>
      </c>
      <c r="J2225" s="6">
        <v>0</v>
      </c>
      <c r="K2225" s="6">
        <v>0</v>
      </c>
      <c r="L2225" s="6">
        <v>0</v>
      </c>
      <c r="M2225" s="6">
        <v>0</v>
      </c>
      <c r="N2225" s="6">
        <v>0</v>
      </c>
      <c r="O2225" s="4">
        <f t="shared" si="692"/>
        <v>0</v>
      </c>
      <c r="P2225" s="5">
        <f>SUMIFS('Desenvolvimento diário'!$H:$H,'Desenvolvimento diário'!$Q:$Q,$B2225,'Desenvolvimento diário'!$P:$P,$F2225,'Desenvolvimento diário'!$R:$R,"Sim")</f>
        <v>0</v>
      </c>
      <c r="Q2225" s="5">
        <f>SUMIFS('Desenvolvimento diário'!$H:$H,'Desenvolvimento diário'!$Q:$Q,$B2225,'Desenvolvimento diário'!$P:$P,$F2225,'Desenvolvimento diário'!$R:$R,"Não")</f>
        <v>0</v>
      </c>
      <c r="R2225" s="4">
        <f t="shared" si="693"/>
        <v>0</v>
      </c>
      <c r="S2225" s="4">
        <f t="shared" si="694"/>
        <v>0</v>
      </c>
      <c r="T2225" s="12">
        <f t="shared" si="696"/>
        <v>0</v>
      </c>
      <c r="Y2225" s="2"/>
      <c r="Z2225" s="2"/>
      <c r="AA2225" s="2"/>
      <c r="AB2225" s="2"/>
      <c r="AC2225" s="2"/>
    </row>
    <row r="2226" spans="1:29" ht="10.5" hidden="1">
      <c r="A2226" s="2">
        <f t="shared" si="695"/>
        <v>64</v>
      </c>
      <c r="B2226" s="2" t="str">
        <f>VLOOKUP($A2226,Controle!$B$4:$F$68,2,FALSE)</f>
        <v>NewCo V</v>
      </c>
      <c r="C2226" s="2" t="str">
        <f>VLOOKUP($A2226,Controle!$B$4:$F$68,3,FALSE)</f>
        <v>MORI MINAS V</v>
      </c>
      <c r="D2226" s="2" t="str">
        <f>VLOOKUP($A2226,Controle!$B$4:$F$68,4,FALSE)</f>
        <v>NewCo V</v>
      </c>
      <c r="E2226" s="2">
        <f>VLOOKUP($A2226,Controle!$B$4:$F$68,5,FALSE)</f>
        <v>0</v>
      </c>
      <c r="F2226" s="3" t="str">
        <f t="shared" si="690"/>
        <v>Serviços Auxiliares - Terraplanagem</v>
      </c>
      <c r="G2226" s="2" t="str">
        <f>VLOOKUP($A2226,Controle!$B$4:$G$68,6,FALSE)</f>
        <v>Solatio</v>
      </c>
      <c r="H2226" s="6">
        <v>0</v>
      </c>
      <c r="I2226" s="5">
        <f t="shared" si="691"/>
        <v>0</v>
      </c>
      <c r="J2226" s="6">
        <v>0</v>
      </c>
      <c r="K2226" s="6">
        <v>0</v>
      </c>
      <c r="L2226" s="6">
        <v>0</v>
      </c>
      <c r="M2226" s="6">
        <v>0</v>
      </c>
      <c r="N2226" s="6">
        <v>0</v>
      </c>
      <c r="O2226" s="4">
        <f t="shared" si="692"/>
        <v>0</v>
      </c>
      <c r="P2226" s="5">
        <f>SUMIFS('Desenvolvimento diário'!$H:$H,'Desenvolvimento diário'!$Q:$Q,$B2226,'Desenvolvimento diário'!$P:$P,$F2226,'Desenvolvimento diário'!$R:$R,"Sim")</f>
        <v>0</v>
      </c>
      <c r="Q2226" s="5">
        <f>SUMIFS('Desenvolvimento diário'!$H:$H,'Desenvolvimento diário'!$Q:$Q,$B2226,'Desenvolvimento diário'!$P:$P,$F2226,'Desenvolvimento diário'!$R:$R,"Não")</f>
        <v>0</v>
      </c>
      <c r="R2226" s="4">
        <f t="shared" si="693"/>
        <v>0</v>
      </c>
      <c r="S2226" s="4">
        <f t="shared" si="694"/>
        <v>0</v>
      </c>
      <c r="T2226" s="12">
        <f t="shared" si="696"/>
        <v>0</v>
      </c>
      <c r="Y2226" s="2"/>
      <c r="Z2226" s="2"/>
      <c r="AA2226" s="2"/>
      <c r="AB2226" s="2"/>
      <c r="AC2226" s="2"/>
    </row>
    <row r="2227" spans="1:29" ht="10.5" hidden="1">
      <c r="A2227" s="2">
        <f t="shared" si="695"/>
        <v>64</v>
      </c>
      <c r="B2227" s="2" t="str">
        <f>VLOOKUP($A2227,Controle!$B$4:$F$68,2,FALSE)</f>
        <v>NewCo V</v>
      </c>
      <c r="C2227" s="2" t="str">
        <f>VLOOKUP($A2227,Controle!$B$4:$F$68,3,FALSE)</f>
        <v>MORI MINAS V</v>
      </c>
      <c r="D2227" s="2" t="str">
        <f>VLOOKUP($A2227,Controle!$B$4:$F$68,4,FALSE)</f>
        <v>NewCo V</v>
      </c>
      <c r="E2227" s="2">
        <f>VLOOKUP($A2227,Controle!$B$4:$F$68,5,FALSE)</f>
        <v>0</v>
      </c>
      <c r="F2227" s="3" t="str">
        <f t="shared" si="690"/>
        <v>Serviços Auxiliares - Supressão Vegetal</v>
      </c>
      <c r="G2227" s="2" t="str">
        <f>VLOOKUP($A2227,Controle!$B$4:$G$68,6,FALSE)</f>
        <v>Solatio</v>
      </c>
      <c r="H2227" s="6">
        <v>0</v>
      </c>
      <c r="I2227" s="5">
        <f t="shared" si="691"/>
        <v>0</v>
      </c>
      <c r="J2227" s="6">
        <v>0</v>
      </c>
      <c r="K2227" s="6">
        <v>0</v>
      </c>
      <c r="L2227" s="6">
        <v>0</v>
      </c>
      <c r="M2227" s="6">
        <v>0</v>
      </c>
      <c r="N2227" s="6">
        <v>0</v>
      </c>
      <c r="O2227" s="4">
        <f t="shared" si="692"/>
        <v>0</v>
      </c>
      <c r="P2227" s="5">
        <f>SUMIFS('Desenvolvimento diário'!$H:$H,'Desenvolvimento diário'!$Q:$Q,$B2227,'Desenvolvimento diário'!$P:$P,$F2227,'Desenvolvimento diário'!$R:$R,"Sim")</f>
        <v>0</v>
      </c>
      <c r="Q2227" s="5">
        <f>SUMIFS('Desenvolvimento diário'!$H:$H,'Desenvolvimento diário'!$Q:$Q,$B2227,'Desenvolvimento diário'!$P:$P,$F2227,'Desenvolvimento diário'!$R:$R,"Não")</f>
        <v>0</v>
      </c>
      <c r="R2227" s="4">
        <f t="shared" si="693"/>
        <v>0</v>
      </c>
      <c r="S2227" s="4">
        <f t="shared" si="694"/>
        <v>0</v>
      </c>
      <c r="T2227" s="12">
        <f t="shared" si="696"/>
        <v>0</v>
      </c>
      <c r="Y2227" s="2"/>
      <c r="Z2227" s="2"/>
      <c r="AA2227" s="2"/>
      <c r="AB2227" s="2"/>
      <c r="AC2227" s="2"/>
    </row>
    <row r="2228" spans="1:29" ht="10.5" hidden="1">
      <c r="A2228" s="2">
        <f t="shared" si="695"/>
        <v>64</v>
      </c>
      <c r="B2228" s="2" t="str">
        <f>VLOOKUP($A2228,Controle!$B$4:$F$68,2,FALSE)</f>
        <v>NewCo V</v>
      </c>
      <c r="C2228" s="2" t="str">
        <f>VLOOKUP($A2228,Controle!$B$4:$F$68,3,FALSE)</f>
        <v>MORI MINAS V</v>
      </c>
      <c r="D2228" s="2" t="str">
        <f>VLOOKUP($A2228,Controle!$B$4:$F$68,4,FALSE)</f>
        <v>NewCo V</v>
      </c>
      <c r="E2228" s="2">
        <f>VLOOKUP($A2228,Controle!$B$4:$F$68,5,FALSE)</f>
        <v>0</v>
      </c>
      <c r="F2228" s="3" t="str">
        <f t="shared" si="690"/>
        <v>RDR-Rede de Distribuição Rural</v>
      </c>
      <c r="G2228" s="2" t="str">
        <f>VLOOKUP($A2228,Controle!$B$4:$G$68,6,FALSE)</f>
        <v>Solatio</v>
      </c>
      <c r="H2228" s="6">
        <v>0</v>
      </c>
      <c r="I2228" s="5">
        <f t="shared" si="691"/>
        <v>0</v>
      </c>
      <c r="J2228" s="6">
        <v>0</v>
      </c>
      <c r="K2228" s="6">
        <v>0</v>
      </c>
      <c r="L2228" s="6">
        <v>0</v>
      </c>
      <c r="M2228" s="6">
        <v>0</v>
      </c>
      <c r="N2228" s="6">
        <v>0</v>
      </c>
      <c r="O2228" s="4">
        <f t="shared" si="692"/>
        <v>0</v>
      </c>
      <c r="P2228" s="5">
        <f>SUMIFS('Desenvolvimento diário'!$H:$H,'Desenvolvimento diário'!$Q:$Q,$B2228,'Desenvolvimento diário'!$P:$P,$F2228,'Desenvolvimento diário'!$R:$R,"Sim")</f>
        <v>0</v>
      </c>
      <c r="Q2228" s="5">
        <f>SUMIFS('Desenvolvimento diário'!$H:$H,'Desenvolvimento diário'!$Q:$Q,$B2228,'Desenvolvimento diário'!$P:$P,$F2228,'Desenvolvimento diário'!$R:$R,"Não")</f>
        <v>0</v>
      </c>
      <c r="R2228" s="4">
        <f t="shared" si="693"/>
        <v>0</v>
      </c>
      <c r="S2228" s="4">
        <f t="shared" si="694"/>
        <v>0</v>
      </c>
      <c r="T2228" s="12">
        <f t="shared" si="696"/>
        <v>0</v>
      </c>
      <c r="Y2228" s="2"/>
      <c r="Z2228" s="2"/>
      <c r="AA2228" s="2"/>
      <c r="AB2228" s="2"/>
      <c r="AC2228" s="2"/>
    </row>
    <row r="2229" spans="1:29" ht="10.5" hidden="1">
      <c r="A2229" s="2">
        <f t="shared" si="695"/>
        <v>64</v>
      </c>
      <c r="B2229" s="2" t="str">
        <f>VLOOKUP($A2229,Controle!$B$4:$F$68,2,FALSE)</f>
        <v>NewCo V</v>
      </c>
      <c r="C2229" s="2" t="str">
        <f>VLOOKUP($A2229,Controle!$B$4:$F$68,3,FALSE)</f>
        <v>MORI MINAS V</v>
      </c>
      <c r="D2229" s="2" t="str">
        <f>VLOOKUP($A2229,Controle!$B$4:$F$68,4,FALSE)</f>
        <v>NewCo V</v>
      </c>
      <c r="E2229" s="2">
        <f>VLOOKUP($A2229,Controle!$B$4:$F$68,5,FALSE)</f>
        <v>0</v>
      </c>
      <c r="F2229" s="3" t="str">
        <f t="shared" si="690"/>
        <v>Escopo COMERC</v>
      </c>
      <c r="G2229" s="2" t="str">
        <f>VLOOKUP($A2229,Controle!$B$4:$G$68,6,FALSE)</f>
        <v>Solatio</v>
      </c>
      <c r="H2229" s="6">
        <v>0</v>
      </c>
      <c r="I2229" s="5">
        <f t="shared" si="691"/>
        <v>14368.650000000001</v>
      </c>
      <c r="J2229" s="29">
        <v>0</v>
      </c>
      <c r="K2229" s="6">
        <v>0</v>
      </c>
      <c r="L2229" s="6">
        <v>0</v>
      </c>
      <c r="M2229" s="6">
        <v>0</v>
      </c>
      <c r="N2229" s="6">
        <v>0</v>
      </c>
      <c r="O2229" s="4">
        <f t="shared" si="692"/>
        <v>14368.650000000001</v>
      </c>
      <c r="P2229" s="5">
        <f>SUMIFS('Desenvolvimento diário'!$H:$H,'Desenvolvimento diário'!$Q:$Q,$B2229,'Desenvolvimento diário'!$P:$P,$F2229,'Desenvolvimento diário'!$R:$R,"Sim")</f>
        <v>0</v>
      </c>
      <c r="Q2229" s="5">
        <f>SUMIFS('Desenvolvimento diário'!$H:$H,'Desenvolvimento diário'!$Q:$Q,$B2229,'Desenvolvimento diário'!$P:$P,$F2229,'Desenvolvimento diário'!$R:$R,"Não")</f>
        <v>14368.650000000001</v>
      </c>
      <c r="R2229" s="4">
        <f t="shared" si="693"/>
        <v>14368.650000000001</v>
      </c>
      <c r="S2229" s="4">
        <f t="shared" si="694"/>
        <v>0</v>
      </c>
      <c r="T2229" s="12">
        <f t="shared" si="696"/>
        <v>1</v>
      </c>
      <c r="Y2229" s="2"/>
      <c r="Z2229" s="2"/>
      <c r="AA2229" s="2"/>
      <c r="AB2229" s="2"/>
      <c r="AC2229" s="2"/>
    </row>
    <row r="2230" spans="1:29" ht="10.5" hidden="1">
      <c r="A2230" s="2">
        <f t="shared" si="695"/>
        <v>64</v>
      </c>
      <c r="B2230" s="2" t="str">
        <f>VLOOKUP($A2230,Controle!$B$4:$F$68,2,FALSE)</f>
        <v>NewCo V</v>
      </c>
      <c r="C2230" s="2" t="str">
        <f>VLOOKUP($A2230,Controle!$B$4:$F$68,3,FALSE)</f>
        <v>MORI MINAS V</v>
      </c>
      <c r="D2230" s="2" t="str">
        <f>VLOOKUP($A2230,Controle!$B$4:$F$68,4,FALSE)</f>
        <v>NewCo V</v>
      </c>
      <c r="E2230" s="2">
        <f>VLOOKUP($A2230,Controle!$B$4:$F$68,5,FALSE)</f>
        <v>0</v>
      </c>
      <c r="F2230" s="3" t="str">
        <f t="shared" si="690"/>
        <v>Escopo COMERC - Segurança</v>
      </c>
      <c r="G2230" s="2" t="str">
        <f>VLOOKUP($A2230,Controle!$B$4:$G$68,6,FALSE)</f>
        <v>Solatio</v>
      </c>
      <c r="H2230" s="6" t="s">
        <v>243</v>
      </c>
      <c r="I2230" s="35">
        <v>88298.23</v>
      </c>
      <c r="J2230" s="6">
        <v>0</v>
      </c>
      <c r="K2230" s="6">
        <v>0</v>
      </c>
      <c r="L2230" s="6">
        <v>0</v>
      </c>
      <c r="M2230" s="6">
        <v>0</v>
      </c>
      <c r="N2230" s="6">
        <v>0</v>
      </c>
      <c r="O2230" s="4">
        <f t="shared" si="692"/>
        <v>88298.23</v>
      </c>
      <c r="P2230" s="5">
        <f>SUMIFS('Desenvolvimento diário'!$H:$H,'Desenvolvimento diário'!$Q:$Q,$B2230,'Desenvolvimento diário'!$P:$P,$F2230,'Desenvolvimento diário'!$R:$R,"Sim")</f>
        <v>0</v>
      </c>
      <c r="Q2230" s="5">
        <f>SUMIFS('Desenvolvimento diário'!$H:$H,'Desenvolvimento diário'!$Q:$Q,$B2230,'Desenvolvimento diário'!$P:$P,$F2230,'Desenvolvimento diário'!$R:$R,"Não")</f>
        <v>0</v>
      </c>
      <c r="R2230" s="4">
        <f t="shared" si="693"/>
        <v>0</v>
      </c>
      <c r="S2230" s="33">
        <f t="shared" si="694"/>
        <v>88298.23</v>
      </c>
      <c r="T2230" s="12">
        <f t="shared" si="696"/>
        <v>0</v>
      </c>
      <c r="U2230" s="510" t="s">
        <v>166</v>
      </c>
      <c r="V2230" s="510" t="s">
        <v>244</v>
      </c>
      <c r="Y2230" s="2"/>
      <c r="Z2230" s="2"/>
      <c r="AA2230" s="2"/>
      <c r="AB2230" s="2"/>
      <c r="AC2230" s="2"/>
    </row>
    <row r="2231" spans="1:29" hidden="1">
      <c r="A2231" s="2">
        <f t="shared" si="695"/>
        <v>64</v>
      </c>
      <c r="B2231" s="2" t="str">
        <f>VLOOKUP($A2231,Controle!$B$4:$F$68,2,FALSE)</f>
        <v>NewCo V</v>
      </c>
      <c r="C2231" s="2" t="str">
        <f>VLOOKUP($A2231,Controle!$B$4:$F$68,3,FALSE)</f>
        <v>MORI MINAS V</v>
      </c>
      <c r="D2231" s="2" t="str">
        <f>VLOOKUP($A2231,Controle!$B$4:$F$68,4,FALSE)</f>
        <v>NewCo V</v>
      </c>
      <c r="E2231" s="2">
        <f>VLOOKUP($A2231,Controle!$B$4:$F$68,5,FALSE)</f>
        <v>0</v>
      </c>
      <c r="F2231" s="3" t="str">
        <f t="shared" si="690"/>
        <v>Conexão MT - Obras Transferencia</v>
      </c>
      <c r="G2231" s="2" t="str">
        <f>VLOOKUP($A2231,Controle!$B$4:$G$68,6,FALSE)</f>
        <v>Solatio</v>
      </c>
      <c r="H2231" s="6">
        <v>0</v>
      </c>
      <c r="I2231" s="5">
        <f t="shared" ref="I2231" si="697">R2231</f>
        <v>0</v>
      </c>
      <c r="J2231" s="6">
        <v>0</v>
      </c>
      <c r="K2231" s="6">
        <v>0</v>
      </c>
      <c r="L2231" s="6">
        <v>0</v>
      </c>
      <c r="M2231" s="6">
        <v>0</v>
      </c>
      <c r="N2231" s="6">
        <v>0</v>
      </c>
      <c r="O2231" s="4">
        <f t="shared" si="692"/>
        <v>0</v>
      </c>
      <c r="P2231" s="5">
        <f>SUMIFS('Desenvolvimento diário'!$H:$H,'Desenvolvimento diário'!$Q:$Q,$B2231,'Desenvolvimento diário'!$P:$P,$F2231,'Desenvolvimento diário'!$R:$R,"Sim")</f>
        <v>0</v>
      </c>
      <c r="Q2231" s="5">
        <f>SUMIFS('Desenvolvimento diário'!$H:$H,'Desenvolvimento diário'!$Q:$Q,$B2231,'Desenvolvimento diário'!$P:$P,$F2231,'Desenvolvimento diário'!$R:$R,"Não")</f>
        <v>0</v>
      </c>
      <c r="R2231" s="4">
        <f t="shared" si="693"/>
        <v>0</v>
      </c>
      <c r="S2231" s="4">
        <f t="shared" si="694"/>
        <v>0</v>
      </c>
      <c r="T2231" s="12">
        <f t="shared" si="696"/>
        <v>0</v>
      </c>
      <c r="Y2231" s="2"/>
      <c r="Z2231" s="2"/>
      <c r="AA2231" s="2"/>
      <c r="AB2231" s="2"/>
      <c r="AC2231" s="2"/>
    </row>
    <row r="2232" spans="1:29" ht="10.5" hidden="1">
      <c r="A2232" s="2">
        <f t="shared" si="695"/>
        <v>64</v>
      </c>
      <c r="B2232" s="2" t="str">
        <f>VLOOKUP($A2232,Controle!$B$4:$F$68,2,FALSE)</f>
        <v>NewCo V</v>
      </c>
      <c r="C2232" s="2" t="str">
        <f>VLOOKUP($A2232,Controle!$B$4:$F$68,3,FALSE)</f>
        <v>MORI MINAS V</v>
      </c>
      <c r="D2232" s="2" t="str">
        <f>VLOOKUP($A2232,Controle!$B$4:$F$68,4,FALSE)</f>
        <v>NewCo V</v>
      </c>
      <c r="E2232" s="2">
        <f>VLOOKUP($A2232,Controle!$B$4:$F$68,5,FALSE)</f>
        <v>0</v>
      </c>
      <c r="F2232" s="3" t="str">
        <f t="shared" si="690"/>
        <v>Bases de Contaniers</v>
      </c>
      <c r="G2232" s="2" t="str">
        <f>VLOOKUP($A2232,Controle!$B$4:$G$68,6,FALSE)</f>
        <v>Solatio</v>
      </c>
      <c r="H2232" s="6">
        <v>0</v>
      </c>
      <c r="I2232" s="5">
        <f t="shared" si="691"/>
        <v>0</v>
      </c>
      <c r="J2232" s="6">
        <v>0</v>
      </c>
      <c r="K2232" s="6">
        <v>0</v>
      </c>
      <c r="L2232" s="6">
        <v>0</v>
      </c>
      <c r="M2232" s="6">
        <v>0</v>
      </c>
      <c r="N2232" s="6">
        <v>0</v>
      </c>
      <c r="O2232" s="4">
        <f t="shared" si="692"/>
        <v>0</v>
      </c>
      <c r="P2232" s="5">
        <f>SUMIFS('Desenvolvimento diário'!$H:$H,'Desenvolvimento diário'!$Q:$Q,$B2232,'Desenvolvimento diário'!$P:$P,$F2232,'Desenvolvimento diário'!$R:$R,"Sim")</f>
        <v>0</v>
      </c>
      <c r="Q2232" s="5">
        <f>SUMIFS('Desenvolvimento diário'!$H:$H,'Desenvolvimento diário'!$Q:$Q,$B2232,'Desenvolvimento diário'!$P:$P,$F2232,'Desenvolvimento diário'!$R:$R,"Não")</f>
        <v>0</v>
      </c>
      <c r="R2232" s="4">
        <f t="shared" si="693"/>
        <v>0</v>
      </c>
      <c r="S2232" s="4">
        <f t="shared" si="694"/>
        <v>0</v>
      </c>
      <c r="T2232" s="12">
        <f t="shared" si="696"/>
        <v>0</v>
      </c>
      <c r="Y2232" s="2"/>
      <c r="Z2232" s="2"/>
      <c r="AA2232" s="2"/>
      <c r="AB2232" s="2"/>
      <c r="AC2232" s="2"/>
    </row>
    <row r="2233" spans="1:29" ht="10.5" hidden="1">
      <c r="A2233" s="2">
        <f t="shared" si="695"/>
        <v>64</v>
      </c>
      <c r="B2233" s="2" t="str">
        <f>VLOOKUP($A2233,Controle!$B$4:$F$68,2,FALSE)</f>
        <v>NewCo V</v>
      </c>
      <c r="C2233" s="2" t="str">
        <f>VLOOKUP($A2233,Controle!$B$4:$F$68,3,FALSE)</f>
        <v>MORI MINAS V</v>
      </c>
      <c r="D2233" s="2" t="str">
        <f>VLOOKUP($A2233,Controle!$B$4:$F$68,4,FALSE)</f>
        <v>NewCo V</v>
      </c>
      <c r="E2233" s="2">
        <f>VLOOKUP($A2233,Controle!$B$4:$F$68,5,FALSE)</f>
        <v>0</v>
      </c>
      <c r="F2233" s="3" t="str">
        <f t="shared" si="690"/>
        <v>Construção - Serviços de Construção - Ase Engenharia</v>
      </c>
      <c r="G2233" s="2" t="str">
        <f>VLOOKUP($A2233,Controle!$B$4:$G$68,6,FALSE)</f>
        <v>Solatio</v>
      </c>
      <c r="H2233" s="6">
        <v>0</v>
      </c>
      <c r="I2233" s="5">
        <f t="shared" si="691"/>
        <v>0</v>
      </c>
      <c r="J2233" s="6">
        <v>0</v>
      </c>
      <c r="K2233" s="6">
        <v>0</v>
      </c>
      <c r="L2233" s="6">
        <v>0</v>
      </c>
      <c r="M2233" s="6">
        <v>0</v>
      </c>
      <c r="N2233" s="6">
        <v>0</v>
      </c>
      <c r="O2233" s="4">
        <f t="shared" si="692"/>
        <v>0</v>
      </c>
      <c r="P2233" s="5">
        <f>SUMIFS('Desenvolvimento diário'!$H:$H,'Desenvolvimento diário'!$Q:$Q,$B2233,'Desenvolvimento diário'!$P:$P,$F2233,'Desenvolvimento diário'!$R:$R,"Sim")</f>
        <v>0</v>
      </c>
      <c r="Q2233" s="5">
        <f>SUMIFS('Desenvolvimento diário'!$H:$H,'Desenvolvimento diário'!$Q:$Q,$B2233,'Desenvolvimento diário'!$P:$P,$F2233,'Desenvolvimento diário'!$R:$R,"Não")</f>
        <v>0</v>
      </c>
      <c r="R2233" s="4">
        <f t="shared" si="693"/>
        <v>0</v>
      </c>
      <c r="S2233" s="4">
        <f t="shared" si="694"/>
        <v>0</v>
      </c>
      <c r="T2233" s="12">
        <f t="shared" si="696"/>
        <v>0</v>
      </c>
      <c r="Y2233" s="2"/>
      <c r="Z2233" s="2"/>
      <c r="AA2233" s="2"/>
      <c r="AB2233" s="2"/>
      <c r="AC2233" s="2"/>
    </row>
    <row r="2234" spans="1:29" ht="10.5" hidden="1">
      <c r="A2234" s="2">
        <f t="shared" si="695"/>
        <v>64</v>
      </c>
      <c r="B2234" s="2" t="str">
        <f>VLOOKUP($A2234,Controle!$B$4:$F$68,2,FALSE)</f>
        <v>NewCo V</v>
      </c>
      <c r="C2234" s="2" t="str">
        <f>VLOOKUP($A2234,Controle!$B$4:$F$68,3,FALSE)</f>
        <v>MORI MINAS V</v>
      </c>
      <c r="D2234" s="2" t="str">
        <f>VLOOKUP($A2234,Controle!$B$4:$F$68,4,FALSE)</f>
        <v>NewCo V</v>
      </c>
      <c r="E2234" s="2">
        <f>VLOOKUP($A2234,Controle!$B$4:$F$68,5,FALSE)</f>
        <v>0</v>
      </c>
      <c r="F2234" s="3" t="str">
        <f t="shared" si="690"/>
        <v>Full EPC - Contrato Sobressalentes</v>
      </c>
      <c r="G2234" s="2" t="str">
        <f>VLOOKUP($A2234,Controle!$B$4:$G$68,6,FALSE)</f>
        <v>Solatio</v>
      </c>
      <c r="H2234" s="6">
        <v>0</v>
      </c>
      <c r="I2234" s="5">
        <f t="shared" si="691"/>
        <v>0</v>
      </c>
      <c r="J2234" s="6">
        <v>0</v>
      </c>
      <c r="K2234" s="6">
        <v>0</v>
      </c>
      <c r="L2234" s="6">
        <v>0</v>
      </c>
      <c r="M2234" s="6">
        <v>0</v>
      </c>
      <c r="N2234" s="6">
        <v>0</v>
      </c>
      <c r="O2234" s="4">
        <f t="shared" si="692"/>
        <v>0</v>
      </c>
      <c r="P2234" s="5">
        <f>SUMIFS('Desenvolvimento diário'!$H:$H,'Desenvolvimento diário'!$Q:$Q,$B2234,'Desenvolvimento diário'!$P:$P,$F2234,'Desenvolvimento diário'!$R:$R,"Sim")</f>
        <v>0</v>
      </c>
      <c r="Q2234" s="5">
        <f>SUMIFS('Desenvolvimento diário'!$H:$H,'Desenvolvimento diário'!$Q:$Q,$B2234,'Desenvolvimento diário'!$P:$P,$F2234,'Desenvolvimento diário'!$R:$R,"Não")</f>
        <v>0</v>
      </c>
      <c r="R2234" s="4">
        <f t="shared" si="693"/>
        <v>0</v>
      </c>
      <c r="S2234" s="4">
        <f t="shared" si="694"/>
        <v>0</v>
      </c>
      <c r="T2234" s="12">
        <f t="shared" si="696"/>
        <v>0</v>
      </c>
      <c r="Y2234" s="2"/>
      <c r="Z2234" s="2"/>
      <c r="AA2234" s="2"/>
      <c r="AB2234" s="2"/>
      <c r="AC2234" s="2"/>
    </row>
    <row r="2235" spans="1:29" ht="10.5" hidden="1">
      <c r="A2235" s="2">
        <f t="shared" si="695"/>
        <v>64</v>
      </c>
      <c r="B2235" s="2" t="str">
        <f>VLOOKUP($A2235,Controle!$B$4:$F$68,2,FALSE)</f>
        <v>NewCo V</v>
      </c>
      <c r="C2235" s="2" t="str">
        <f>VLOOKUP($A2235,Controle!$B$4:$F$68,3,FALSE)</f>
        <v>MORI MINAS V</v>
      </c>
      <c r="D2235" s="2" t="str">
        <f>VLOOKUP($A2235,Controle!$B$4:$F$68,4,FALSE)</f>
        <v>NewCo V</v>
      </c>
      <c r="E2235" s="2">
        <f>VLOOKUP($A2235,Controle!$B$4:$F$68,5,FALSE)</f>
        <v>0</v>
      </c>
      <c r="F2235" s="3" t="str">
        <f t="shared" si="690"/>
        <v>Construção - Serviços de Construção - NOVA MORADA</v>
      </c>
      <c r="G2235" s="2" t="str">
        <f>VLOOKUP($A2235,Controle!$B$4:$G$68,6,FALSE)</f>
        <v>Solatio</v>
      </c>
      <c r="H2235" s="6">
        <v>0</v>
      </c>
      <c r="I2235" s="5">
        <f t="shared" si="691"/>
        <v>0</v>
      </c>
      <c r="J2235" s="6">
        <v>0</v>
      </c>
      <c r="K2235" s="6">
        <v>0</v>
      </c>
      <c r="L2235" s="6">
        <v>0</v>
      </c>
      <c r="M2235" s="6">
        <v>0</v>
      </c>
      <c r="N2235" s="6">
        <v>0</v>
      </c>
      <c r="O2235" s="4">
        <f t="shared" si="692"/>
        <v>0</v>
      </c>
      <c r="P2235" s="5">
        <f>SUMIFS('Desenvolvimento diário'!$H:$H,'Desenvolvimento diário'!$Q:$Q,$B2235,'Desenvolvimento diário'!$P:$P,$F2235,'Desenvolvimento diário'!$R:$R,"Sim")</f>
        <v>0</v>
      </c>
      <c r="Q2235" s="5">
        <f>SUMIFS('Desenvolvimento diário'!$H:$H,'Desenvolvimento diário'!$Q:$Q,$B2235,'Desenvolvimento diário'!$P:$P,$F2235,'Desenvolvimento diário'!$R:$R,"Não")</f>
        <v>0</v>
      </c>
      <c r="R2235" s="4">
        <f t="shared" si="693"/>
        <v>0</v>
      </c>
      <c r="S2235" s="4">
        <f t="shared" si="694"/>
        <v>0</v>
      </c>
      <c r="T2235" s="12">
        <f t="shared" si="696"/>
        <v>0</v>
      </c>
      <c r="Y2235" s="2"/>
      <c r="Z2235" s="2"/>
      <c r="AA2235" s="2"/>
      <c r="AB2235" s="2"/>
      <c r="AC2235" s="2"/>
    </row>
    <row r="2236" spans="1:29" ht="10.5" hidden="1">
      <c r="A2236" s="2">
        <f t="shared" si="695"/>
        <v>64</v>
      </c>
      <c r="B2236" s="2" t="str">
        <f>VLOOKUP($A2236,Controle!$B$4:$F$68,2,FALSE)</f>
        <v>NewCo V</v>
      </c>
      <c r="C2236" s="2" t="str">
        <f>VLOOKUP($A2236,Controle!$B$4:$F$68,3,FALSE)</f>
        <v>MORI MINAS V</v>
      </c>
      <c r="D2236" s="2" t="str">
        <f>VLOOKUP($A2236,Controle!$B$4:$F$68,4,FALSE)</f>
        <v>NewCo V</v>
      </c>
      <c r="E2236" s="2">
        <f>VLOOKUP($A2236,Controle!$B$4:$F$68,5,FALSE)</f>
        <v>0</v>
      </c>
      <c r="F2236" s="3" t="str">
        <f t="shared" si="690"/>
        <v>Equipamentos Curva A -  Contrato Sobressalentes - SETTA</v>
      </c>
      <c r="G2236" s="2" t="str">
        <f>VLOOKUP($A2236,Controle!$B$4:$G$68,6,FALSE)</f>
        <v>Solatio</v>
      </c>
      <c r="H2236" s="6">
        <v>0</v>
      </c>
      <c r="I2236" s="5">
        <f t="shared" si="691"/>
        <v>0</v>
      </c>
      <c r="J2236" s="6">
        <v>0</v>
      </c>
      <c r="K2236" s="6">
        <v>0</v>
      </c>
      <c r="L2236" s="6">
        <v>0</v>
      </c>
      <c r="M2236" s="6">
        <v>0</v>
      </c>
      <c r="N2236" s="6">
        <v>0</v>
      </c>
      <c r="O2236" s="4">
        <f t="shared" si="692"/>
        <v>0</v>
      </c>
      <c r="P2236" s="5">
        <f>SUMIFS('Desenvolvimento diário'!$H:$H,'Desenvolvimento diário'!$Q:$Q,$B2236,'Desenvolvimento diário'!$P:$P,$F2236,'Desenvolvimento diário'!$R:$R,"Sim")</f>
        <v>0</v>
      </c>
      <c r="Q2236" s="5">
        <f>SUMIFS('Desenvolvimento diário'!$H:$H,'Desenvolvimento diário'!$Q:$Q,$B2236,'Desenvolvimento diário'!$P:$P,$F2236,'Desenvolvimento diário'!$R:$R,"Não")</f>
        <v>0</v>
      </c>
      <c r="R2236" s="4">
        <f t="shared" si="693"/>
        <v>0</v>
      </c>
      <c r="S2236" s="4">
        <f t="shared" si="694"/>
        <v>0</v>
      </c>
      <c r="T2236" s="12">
        <f t="shared" si="696"/>
        <v>0</v>
      </c>
      <c r="Y2236" s="2"/>
      <c r="Z2236" s="2"/>
      <c r="AA2236" s="2"/>
      <c r="AB2236" s="2"/>
      <c r="AC2236" s="2"/>
    </row>
    <row r="2237" spans="1:29" ht="10.5" hidden="1">
      <c r="A2237" s="2">
        <f t="shared" si="695"/>
        <v>64</v>
      </c>
      <c r="B2237" s="2" t="str">
        <f>VLOOKUP($A2237,Controle!$B$4:$F$68,2,FALSE)</f>
        <v>NewCo V</v>
      </c>
      <c r="C2237" s="2" t="str">
        <f>VLOOKUP($A2237,Controle!$B$4:$F$68,3,FALSE)</f>
        <v>MORI MINAS V</v>
      </c>
      <c r="D2237" s="2" t="str">
        <f>VLOOKUP($A2237,Controle!$B$4:$F$68,4,FALSE)</f>
        <v>NewCo V</v>
      </c>
      <c r="E2237" s="2">
        <f>VLOOKUP($A2237,Controle!$B$4:$F$68,5,FALSE)</f>
        <v>0</v>
      </c>
      <c r="F2237" s="3" t="str">
        <f t="shared" si="690"/>
        <v>Equipamentos Curva A -  Contrato Sobressalentes - Arctech</v>
      </c>
      <c r="G2237" s="2" t="str">
        <f>VLOOKUP($A2237,Controle!$B$4:$G$68,6,FALSE)</f>
        <v>Solatio</v>
      </c>
      <c r="H2237" s="29" t="s">
        <v>241</v>
      </c>
      <c r="I2237" s="5"/>
      <c r="J2237" s="6">
        <v>0</v>
      </c>
      <c r="K2237" s="6">
        <v>0</v>
      </c>
      <c r="L2237" s="6">
        <v>0</v>
      </c>
      <c r="M2237" s="6">
        <v>0</v>
      </c>
      <c r="N2237" s="6">
        <v>0</v>
      </c>
      <c r="O2237" s="4">
        <f t="shared" si="692"/>
        <v>0</v>
      </c>
      <c r="P2237" s="5">
        <f>SUMIFS('Desenvolvimento diário'!$H:$H,'Desenvolvimento diário'!$Q:$Q,$B2237,'Desenvolvimento diário'!$P:$P,$F2237,'Desenvolvimento diário'!$R:$R,"Sim")</f>
        <v>0</v>
      </c>
      <c r="Q2237" s="5">
        <f>SUMIFS('Desenvolvimento diário'!$H:$H,'Desenvolvimento diário'!$Q:$Q,$B2237,'Desenvolvimento diário'!$P:$P,$F2237,'Desenvolvimento diário'!$R:$R,"Não")</f>
        <v>0</v>
      </c>
      <c r="R2237" s="4">
        <f t="shared" si="693"/>
        <v>0</v>
      </c>
      <c r="S2237" s="33">
        <f t="shared" si="694"/>
        <v>0</v>
      </c>
      <c r="T2237" s="12">
        <f t="shared" si="696"/>
        <v>0</v>
      </c>
      <c r="U2237" s="510" t="s">
        <v>166</v>
      </c>
      <c r="V2237" s="510" t="s">
        <v>242</v>
      </c>
      <c r="Y2237" s="2"/>
      <c r="Z2237" s="2"/>
      <c r="AA2237" s="2"/>
      <c r="AB2237" s="2"/>
      <c r="AC2237" s="2"/>
    </row>
    <row r="2238" spans="1:29" hidden="1">
      <c r="A2238" s="2">
        <f t="shared" si="695"/>
        <v>64</v>
      </c>
      <c r="B2238" s="2" t="str">
        <f>VLOOKUP($A2238,Controle!$B$4:$F$68,2,FALSE)</f>
        <v>NewCo V</v>
      </c>
      <c r="C2238" s="2" t="str">
        <f>VLOOKUP($A2238,Controle!$B$4:$F$68,3,FALSE)</f>
        <v>MORI MINAS V</v>
      </c>
      <c r="D2238" s="2" t="str">
        <f>VLOOKUP($A2238,Controle!$B$4:$F$68,4,FALSE)</f>
        <v>NewCo V</v>
      </c>
      <c r="E2238" s="2">
        <f>VLOOKUP($A2238,Controle!$B$4:$F$68,5,FALSE)</f>
        <v>0</v>
      </c>
      <c r="F2238" s="3" t="str">
        <f t="shared" ref="F2238:F2240" si="698">F2203</f>
        <v>Equipamentos Curva A -  Contrato Sobressalentes - Romagnole</v>
      </c>
      <c r="G2238" s="2" t="str">
        <f>VLOOKUP($A2238,Controle!$B$4:$G$68,6,FALSE)</f>
        <v>Solatio</v>
      </c>
      <c r="H2238" s="7">
        <v>0</v>
      </c>
      <c r="I2238" s="17">
        <f t="shared" si="691"/>
        <v>0</v>
      </c>
      <c r="J2238" s="7">
        <v>0</v>
      </c>
      <c r="K2238" s="7">
        <v>0</v>
      </c>
      <c r="L2238" s="7">
        <v>0</v>
      </c>
      <c r="M2238" s="7">
        <v>0</v>
      </c>
      <c r="N2238" s="7">
        <v>0</v>
      </c>
      <c r="O2238" s="4">
        <f t="shared" si="692"/>
        <v>0</v>
      </c>
      <c r="P2238" s="17">
        <f>SUMIFS('Desenvolvimento diário'!$H:$H,'Desenvolvimento diário'!$Q:$Q,$B2238,'Desenvolvimento diário'!$P:$P,$F2238,'Desenvolvimento diário'!$R:$R,"Sim")</f>
        <v>0</v>
      </c>
      <c r="Q2238" s="17">
        <f>SUMIFS('Desenvolvimento diário'!$H:$H,'Desenvolvimento diário'!$Q:$Q,$B2238,'Desenvolvimento diário'!$P:$P,$F2238,'Desenvolvimento diário'!$R:$R,"Não")</f>
        <v>0</v>
      </c>
      <c r="R2238" s="4">
        <f t="shared" si="693"/>
        <v>0</v>
      </c>
      <c r="S2238" s="4">
        <f t="shared" si="694"/>
        <v>0</v>
      </c>
      <c r="T2238" s="12">
        <f t="shared" si="696"/>
        <v>0</v>
      </c>
      <c r="Y2238" s="2"/>
      <c r="Z2238" s="2"/>
      <c r="AA2238" s="2"/>
      <c r="AB2238" s="2"/>
      <c r="AC2238" s="2"/>
    </row>
    <row r="2239" spans="1:29" hidden="1">
      <c r="A2239" s="2">
        <f t="shared" si="695"/>
        <v>64</v>
      </c>
      <c r="B2239" s="2" t="str">
        <f>VLOOKUP($A2239,Controle!$B$4:$F$68,2,FALSE)</f>
        <v>NewCo V</v>
      </c>
      <c r="C2239" s="2" t="str">
        <f>VLOOKUP($A2239,Controle!$B$4:$F$68,3,FALSE)</f>
        <v>MORI MINAS V</v>
      </c>
      <c r="D2239" s="2" t="str">
        <f>VLOOKUP($A2239,Controle!$B$4:$F$68,4,FALSE)</f>
        <v>NewCo V</v>
      </c>
      <c r="E2239" s="2">
        <f>VLOOKUP($A2239,Controle!$B$4:$F$68,5,FALSE)</f>
        <v>0</v>
      </c>
      <c r="F2239" s="3" t="str">
        <f t="shared" si="698"/>
        <v>GOS FLORESTAL - (PRAD - Recuperação Area Ambiental)</v>
      </c>
      <c r="G2239" s="2" t="str">
        <f>VLOOKUP($A2239,Controle!$B$4:$G$68,6,FALSE)</f>
        <v>Solatio</v>
      </c>
      <c r="H2239" s="7">
        <v>0</v>
      </c>
      <c r="I2239" s="5">
        <f t="shared" si="691"/>
        <v>0</v>
      </c>
      <c r="J2239" s="7">
        <v>0</v>
      </c>
      <c r="K2239" s="7">
        <v>0</v>
      </c>
      <c r="L2239" s="7">
        <v>0</v>
      </c>
      <c r="M2239" s="7">
        <v>0</v>
      </c>
      <c r="N2239" s="7">
        <v>0</v>
      </c>
      <c r="O2239" s="39">
        <f t="shared" si="692"/>
        <v>0</v>
      </c>
      <c r="P2239" s="17">
        <f>SUMIFS('Desenvolvimento diário'!$H:$H,'Desenvolvimento diário'!$Q:$Q,$B2239,'Desenvolvimento diário'!$P:$P,$F2239,'Desenvolvimento diário'!$R:$R,"Sim")</f>
        <v>0</v>
      </c>
      <c r="Q2239" s="17">
        <f>SUMIFS('Desenvolvimento diário'!$H:$H,'Desenvolvimento diário'!$Q:$Q,$B2239,'Desenvolvimento diário'!$P:$P,$F2239,'Desenvolvimento diário'!$R:$R,"Não")</f>
        <v>0</v>
      </c>
      <c r="R2239" s="4">
        <f t="shared" si="693"/>
        <v>0</v>
      </c>
      <c r="S2239" s="4">
        <f t="shared" si="694"/>
        <v>0</v>
      </c>
      <c r="T2239" s="12">
        <f t="shared" si="696"/>
        <v>0</v>
      </c>
      <c r="Y2239" s="2"/>
      <c r="Z2239" s="2"/>
      <c r="AA2239" s="2"/>
      <c r="AB2239" s="2"/>
      <c r="AC2239" s="2"/>
    </row>
    <row r="2240" spans="1:29" hidden="1">
      <c r="A2240" s="2">
        <f t="shared" si="695"/>
        <v>64</v>
      </c>
      <c r="B2240" s="2" t="str">
        <f>VLOOKUP($A2240,Controle!$B$4:$F$68,2,FALSE)</f>
        <v>NewCo V</v>
      </c>
      <c r="C2240" s="2" t="str">
        <f>VLOOKUP($A2240,Controle!$B$4:$F$68,3,FALSE)</f>
        <v>MORI MINAS V</v>
      </c>
      <c r="D2240" s="2" t="str">
        <f>VLOOKUP($A2240,Controle!$B$4:$F$68,4,FALSE)</f>
        <v>NewCo V</v>
      </c>
      <c r="E2240" s="2">
        <f>VLOOKUP($A2240,Controle!$B$4:$F$68,5,FALSE)</f>
        <v>0</v>
      </c>
      <c r="F2240" s="3" t="str">
        <f t="shared" si="698"/>
        <v>Cercamento das bacias de contenção ciclo 2</v>
      </c>
      <c r="G2240" s="2" t="str">
        <f>VLOOKUP($A2240,Controle!$B$4:$G$68,6,FALSE)</f>
        <v>Solatio</v>
      </c>
      <c r="H2240" s="7">
        <v>0</v>
      </c>
      <c r="I2240" s="17">
        <f t="shared" si="691"/>
        <v>0</v>
      </c>
      <c r="J2240" s="7">
        <v>0</v>
      </c>
      <c r="K2240" s="7">
        <v>0</v>
      </c>
      <c r="L2240" s="7">
        <v>0</v>
      </c>
      <c r="M2240" s="7">
        <v>0</v>
      </c>
      <c r="N2240" s="7">
        <v>0</v>
      </c>
      <c r="O2240" s="39">
        <f t="shared" si="692"/>
        <v>0</v>
      </c>
      <c r="P2240" s="17">
        <f>SUMIFS('Desenvolvimento diário'!$H:$H,'Desenvolvimento diário'!$Q:$Q,$B2240,'Desenvolvimento diário'!$P:$P,$F2240,'Desenvolvimento diário'!$R:$R,"Sim")</f>
        <v>0</v>
      </c>
      <c r="Q2240" s="17">
        <f>SUMIFS('Desenvolvimento diário'!$H:$H,'Desenvolvimento diário'!$Q:$Q,$B2240,'Desenvolvimento diário'!$P:$P,$F2240,'Desenvolvimento diário'!$R:$R,"Não")</f>
        <v>0</v>
      </c>
      <c r="R2240" s="4">
        <f t="shared" si="693"/>
        <v>0</v>
      </c>
      <c r="S2240" s="1030">
        <f t="shared" si="694"/>
        <v>0</v>
      </c>
      <c r="T2240" s="12">
        <f t="shared" si="696"/>
        <v>0</v>
      </c>
      <c r="U2240" s="1029"/>
      <c r="V2240" s="1029" t="s">
        <v>94</v>
      </c>
      <c r="Y2240" s="2"/>
      <c r="Z2240" s="2"/>
      <c r="AA2240" s="2"/>
      <c r="AB2240" s="2"/>
      <c r="AC2240" s="2"/>
    </row>
    <row r="2241" spans="1:29" hidden="1">
      <c r="A2241" s="8">
        <f t="shared" ref="A2241:E2241" si="699">A2238</f>
        <v>64</v>
      </c>
      <c r="B2241" s="9" t="str">
        <f t="shared" si="699"/>
        <v>NewCo V</v>
      </c>
      <c r="C2241" s="9" t="str">
        <f t="shared" si="699"/>
        <v>MORI MINAS V</v>
      </c>
      <c r="D2241" s="9" t="str">
        <f t="shared" si="699"/>
        <v>NewCo V</v>
      </c>
      <c r="E2241" s="9">
        <f t="shared" si="699"/>
        <v>0</v>
      </c>
      <c r="F2241" s="10" t="s">
        <v>158</v>
      </c>
      <c r="G2241" s="9" t="str">
        <f>G2238</f>
        <v>Solatio</v>
      </c>
      <c r="H2241" s="9"/>
      <c r="I2241" s="9">
        <f>SUBTOTAL(9,I2207:I2240)</f>
        <v>0</v>
      </c>
      <c r="J2241" s="9">
        <f t="shared" ref="J2241:S2241" si="700">SUBTOTAL(9,J2207:J2240)</f>
        <v>0</v>
      </c>
      <c r="K2241" s="9">
        <f t="shared" si="700"/>
        <v>0</v>
      </c>
      <c r="L2241" s="9">
        <f t="shared" si="700"/>
        <v>0</v>
      </c>
      <c r="M2241" s="9">
        <f t="shared" si="700"/>
        <v>0</v>
      </c>
      <c r="N2241" s="9">
        <f t="shared" si="700"/>
        <v>0</v>
      </c>
      <c r="O2241" s="9">
        <f t="shared" si="700"/>
        <v>0</v>
      </c>
      <c r="P2241" s="9">
        <f t="shared" si="700"/>
        <v>0</v>
      </c>
      <c r="Q2241" s="9">
        <f t="shared" si="700"/>
        <v>0</v>
      </c>
      <c r="R2241" s="9">
        <f t="shared" si="700"/>
        <v>0</v>
      </c>
      <c r="S2241" s="9">
        <f t="shared" si="700"/>
        <v>0</v>
      </c>
      <c r="T2241" s="13">
        <f>IFERROR(R2241/O2241,0)</f>
        <v>0</v>
      </c>
      <c r="U2241" s="11">
        <f>SUBTOTAL(9,U2209:U2240)</f>
        <v>0</v>
      </c>
      <c r="Y2241" s="2"/>
      <c r="Z2241" s="2"/>
      <c r="AA2241" s="2"/>
      <c r="AB2241" s="2"/>
      <c r="AC2241" s="2"/>
    </row>
    <row r="2242" spans="1:29" ht="10.5" hidden="1">
      <c r="A2242" s="2">
        <f>A2207+1</f>
        <v>65</v>
      </c>
      <c r="B2242" s="2" t="str">
        <f>VLOOKUP($A2242,Controle!$B$4:$F$68,2,FALSE)</f>
        <v>EDN</v>
      </c>
      <c r="C2242" s="2" t="str">
        <f>VLOOKUP($A2242,Controle!$B$4:$F$68,3,FALSE)</f>
        <v xml:space="preserve">ESTRELA DO NORTE </v>
      </c>
      <c r="D2242" s="2" t="str">
        <f>VLOOKUP($A2242,Controle!$B$4:$F$68,4,FALSE)</f>
        <v>EDN</v>
      </c>
      <c r="E2242" s="2">
        <f>VLOOKUP($A2242,Controle!$B$4:$F$68,5,FALSE)</f>
        <v>0</v>
      </c>
      <c r="F2242" s="3" t="str">
        <f t="shared" ref="F2242:F2275" si="701">F2207</f>
        <v>Conexão AT - Obras</v>
      </c>
      <c r="G2242" s="2" t="str">
        <f>VLOOKUP($A2242,Controle!$B$4:$G$68,6,FALSE)</f>
        <v>Apolo</v>
      </c>
      <c r="H2242" s="6">
        <v>0</v>
      </c>
      <c r="I2242" s="5">
        <f t="shared" ref="I2242:I2275" si="702">R2242</f>
        <v>0</v>
      </c>
      <c r="J2242" s="6">
        <v>0</v>
      </c>
      <c r="K2242" s="6">
        <v>0</v>
      </c>
      <c r="L2242" s="6">
        <v>0</v>
      </c>
      <c r="M2242" s="6">
        <v>0</v>
      </c>
      <c r="N2242" s="6">
        <v>0</v>
      </c>
      <c r="O2242" s="4">
        <f t="shared" ref="O2242:O2275" si="703">SUM(I2242:N2242)</f>
        <v>0</v>
      </c>
      <c r="P2242" s="5">
        <f>SUMIFS('Desenvolvimento diário'!$H:$H,'Desenvolvimento diário'!$Q:$Q,$B2242,'Desenvolvimento diário'!$P:$P,$F2242,'Desenvolvimento diário'!$R:$R,"Sim")</f>
        <v>0</v>
      </c>
      <c r="Q2242" s="5">
        <f>SUMIFS('Desenvolvimento diário'!$H:$H,'Desenvolvimento diário'!$Q:$Q,$B2242,'Desenvolvimento diário'!$P:$P,$F2242,'Desenvolvimento diário'!$R:$R,"Não")</f>
        <v>0</v>
      </c>
      <c r="R2242" s="4">
        <f t="shared" ref="R2242:R2275" si="704">SUM(P2242:Q2242)</f>
        <v>0</v>
      </c>
      <c r="S2242" s="4">
        <f t="shared" ref="S2242:S2275" si="705">O2242-R2242</f>
        <v>0</v>
      </c>
      <c r="T2242" s="12">
        <f t="shared" si="696"/>
        <v>0</v>
      </c>
      <c r="Y2242" s="2"/>
      <c r="Z2242" s="2"/>
      <c r="AA2242" s="2"/>
      <c r="AB2242" s="2"/>
      <c r="AC2242" s="2"/>
    </row>
    <row r="2243" spans="1:29" ht="10.5" hidden="1">
      <c r="A2243" s="2">
        <f t="shared" ref="A2243:A2275" si="706">A2242</f>
        <v>65</v>
      </c>
      <c r="B2243" s="2" t="str">
        <f>VLOOKUP($A2243,Controle!$B$4:$F$68,2,FALSE)</f>
        <v>EDN</v>
      </c>
      <c r="C2243" s="2" t="str">
        <f>VLOOKUP($A2243,Controle!$B$4:$F$68,3,FALSE)</f>
        <v xml:space="preserve">ESTRELA DO NORTE </v>
      </c>
      <c r="D2243" s="2" t="str">
        <f>VLOOKUP($A2243,Controle!$B$4:$F$68,4,FALSE)</f>
        <v>EDN</v>
      </c>
      <c r="E2243" s="2">
        <f>VLOOKUP($A2243,Controle!$B$4:$F$68,5,FALSE)</f>
        <v>0</v>
      </c>
      <c r="F2243" s="3" t="str">
        <f t="shared" si="701"/>
        <v>Conexão MT - Obras</v>
      </c>
      <c r="G2243" s="2" t="str">
        <f>VLOOKUP($A2243,Controle!$B$4:$G$68,6,FALSE)</f>
        <v>Apolo</v>
      </c>
      <c r="H2243" s="6">
        <v>0</v>
      </c>
      <c r="I2243" s="5">
        <f t="shared" si="702"/>
        <v>0</v>
      </c>
      <c r="J2243" s="6">
        <v>0</v>
      </c>
      <c r="K2243" s="6">
        <v>0</v>
      </c>
      <c r="L2243" s="6">
        <v>0</v>
      </c>
      <c r="M2243" s="6">
        <v>0</v>
      </c>
      <c r="N2243" s="6">
        <v>0</v>
      </c>
      <c r="O2243" s="4">
        <f t="shared" si="703"/>
        <v>0</v>
      </c>
      <c r="P2243" s="5">
        <f>SUMIFS('Desenvolvimento diário'!$H:$H,'Desenvolvimento diário'!$Q:$Q,$B2243,'Desenvolvimento diário'!$P:$P,$F2243,'Desenvolvimento diário'!$R:$R,"Sim")</f>
        <v>0</v>
      </c>
      <c r="Q2243" s="5">
        <f>SUMIFS('Desenvolvimento diário'!$H:$H,'Desenvolvimento diário'!$Q:$Q,$B2243,'Desenvolvimento diário'!$P:$P,$F2243,'Desenvolvimento diário'!$R:$R,"Não")</f>
        <v>0</v>
      </c>
      <c r="R2243" s="4">
        <f t="shared" si="704"/>
        <v>0</v>
      </c>
      <c r="S2243" s="4">
        <f t="shared" si="705"/>
        <v>0</v>
      </c>
      <c r="T2243" s="12">
        <f t="shared" si="696"/>
        <v>0</v>
      </c>
      <c r="Y2243" s="2"/>
      <c r="Z2243" s="2"/>
      <c r="AA2243" s="2"/>
      <c r="AB2243" s="2"/>
      <c r="AC2243" s="2"/>
    </row>
    <row r="2244" spans="1:29" ht="10.5" hidden="1">
      <c r="A2244" s="2">
        <f t="shared" si="706"/>
        <v>65</v>
      </c>
      <c r="B2244" s="2" t="str">
        <f>VLOOKUP($A2244,Controle!$B$4:$F$68,2,FALSE)</f>
        <v>EDN</v>
      </c>
      <c r="C2244" s="2" t="str">
        <f>VLOOKUP($A2244,Controle!$B$4:$F$68,3,FALSE)</f>
        <v xml:space="preserve">ESTRELA DO NORTE </v>
      </c>
      <c r="D2244" s="2" t="str">
        <f>VLOOKUP($A2244,Controle!$B$4:$F$68,4,FALSE)</f>
        <v>EDN</v>
      </c>
      <c r="E2244" s="2">
        <f>VLOOKUP($A2244,Controle!$B$4:$F$68,5,FALSE)</f>
        <v>0</v>
      </c>
      <c r="F2244" s="3" t="str">
        <f t="shared" si="701"/>
        <v>Construção - Serviços de Construção</v>
      </c>
      <c r="G2244" s="2" t="str">
        <f>VLOOKUP($A2244,Controle!$B$4:$G$68,6,FALSE)</f>
        <v>Apolo</v>
      </c>
      <c r="H2244" s="6">
        <v>0</v>
      </c>
      <c r="I2244" s="5">
        <f t="shared" si="702"/>
        <v>0</v>
      </c>
      <c r="J2244" s="6">
        <v>0</v>
      </c>
      <c r="K2244" s="6">
        <v>0</v>
      </c>
      <c r="L2244" s="6">
        <v>0</v>
      </c>
      <c r="M2244" s="6">
        <v>0</v>
      </c>
      <c r="N2244" s="6">
        <v>0</v>
      </c>
      <c r="O2244" s="4">
        <f t="shared" si="703"/>
        <v>0</v>
      </c>
      <c r="P2244" s="5">
        <f>SUMIFS('Desenvolvimento diário'!$H:$H,'Desenvolvimento diário'!$Q:$Q,$B2244,'Desenvolvimento diário'!$P:$P,$F2244,'Desenvolvimento diário'!$R:$R,"Sim")</f>
        <v>0</v>
      </c>
      <c r="Q2244" s="5">
        <f>SUMIFS('Desenvolvimento diário'!$H:$H,'Desenvolvimento diário'!$Q:$Q,$B2244,'Desenvolvimento diário'!$P:$P,$F2244,'Desenvolvimento diário'!$R:$R,"Não")</f>
        <v>0</v>
      </c>
      <c r="R2244" s="4">
        <f t="shared" si="704"/>
        <v>0</v>
      </c>
      <c r="S2244" s="4">
        <f t="shared" si="705"/>
        <v>0</v>
      </c>
      <c r="T2244" s="12">
        <f t="shared" si="696"/>
        <v>0</v>
      </c>
      <c r="Y2244" s="2"/>
      <c r="Z2244" s="2"/>
      <c r="AA2244" s="2"/>
      <c r="AB2244" s="2"/>
      <c r="AC2244" s="2"/>
    </row>
    <row r="2245" spans="1:29" ht="10.5" hidden="1">
      <c r="A2245" s="2">
        <f t="shared" si="706"/>
        <v>65</v>
      </c>
      <c r="B2245" s="2" t="str">
        <f>VLOOKUP($A2245,Controle!$B$4:$F$68,2,FALSE)</f>
        <v>EDN</v>
      </c>
      <c r="C2245" s="2" t="str">
        <f>VLOOKUP($A2245,Controle!$B$4:$F$68,3,FALSE)</f>
        <v xml:space="preserve">ESTRELA DO NORTE </v>
      </c>
      <c r="D2245" s="2" t="str">
        <f>VLOOKUP($A2245,Controle!$B$4:$F$68,4,FALSE)</f>
        <v>EDN</v>
      </c>
      <c r="E2245" s="2">
        <f>VLOOKUP($A2245,Controle!$B$4:$F$68,5,FALSE)</f>
        <v>0</v>
      </c>
      <c r="F2245" s="3" t="str">
        <f t="shared" si="701"/>
        <v>Construção - Serviços de Construção - Substituição</v>
      </c>
      <c r="G2245" s="2" t="str">
        <f>VLOOKUP($A2245,Controle!$B$4:$G$68,6,FALSE)</f>
        <v>Apolo</v>
      </c>
      <c r="H2245" s="6">
        <v>0</v>
      </c>
      <c r="I2245" s="5">
        <f t="shared" si="702"/>
        <v>0</v>
      </c>
      <c r="J2245" s="6">
        <v>0</v>
      </c>
      <c r="K2245" s="6">
        <v>0</v>
      </c>
      <c r="L2245" s="6">
        <v>0</v>
      </c>
      <c r="M2245" s="6">
        <v>0</v>
      </c>
      <c r="N2245" s="6">
        <v>0</v>
      </c>
      <c r="O2245" s="4">
        <f t="shared" si="703"/>
        <v>0</v>
      </c>
      <c r="P2245" s="5">
        <f>SUMIFS('Desenvolvimento diário'!$H:$H,'Desenvolvimento diário'!$Q:$Q,$B2245,'Desenvolvimento diário'!$P:$P,$F2245,'Desenvolvimento diário'!$R:$R,"Sim")</f>
        <v>0</v>
      </c>
      <c r="Q2245" s="5">
        <f>SUMIFS('Desenvolvimento diário'!$H:$H,'Desenvolvimento diário'!$Q:$Q,$B2245,'Desenvolvimento diário'!$P:$P,$F2245,'Desenvolvimento diário'!$R:$R,"Não")</f>
        <v>0</v>
      </c>
      <c r="R2245" s="4">
        <f t="shared" si="704"/>
        <v>0</v>
      </c>
      <c r="S2245" s="4">
        <f t="shared" si="705"/>
        <v>0</v>
      </c>
      <c r="T2245" s="12">
        <f t="shared" si="696"/>
        <v>0</v>
      </c>
      <c r="Y2245" s="2"/>
      <c r="Z2245" s="2"/>
      <c r="AA2245" s="2"/>
      <c r="AB2245" s="2"/>
      <c r="AC2245" s="2"/>
    </row>
    <row r="2246" spans="1:29" ht="10.5" hidden="1">
      <c r="A2246" s="2">
        <f t="shared" si="706"/>
        <v>65</v>
      </c>
      <c r="B2246" s="2" t="str">
        <f>VLOOKUP($A2246,Controle!$B$4:$F$68,2,FALSE)</f>
        <v>EDN</v>
      </c>
      <c r="C2246" s="2" t="str">
        <f>VLOOKUP($A2246,Controle!$B$4:$F$68,3,FALSE)</f>
        <v xml:space="preserve">ESTRELA DO NORTE </v>
      </c>
      <c r="D2246" s="2" t="str">
        <f>VLOOKUP($A2246,Controle!$B$4:$F$68,4,FALSE)</f>
        <v>EDN</v>
      </c>
      <c r="E2246" s="2">
        <f>VLOOKUP($A2246,Controle!$B$4:$F$68,5,FALSE)</f>
        <v>0</v>
      </c>
      <c r="F2246" s="3" t="str">
        <f t="shared" si="701"/>
        <v>Construção - RDA Interno</v>
      </c>
      <c r="G2246" s="2" t="str">
        <f>VLOOKUP($A2246,Controle!$B$4:$G$68,6,FALSE)</f>
        <v>Apolo</v>
      </c>
      <c r="H2246" s="6">
        <v>0</v>
      </c>
      <c r="I2246" s="5">
        <f t="shared" si="702"/>
        <v>0</v>
      </c>
      <c r="J2246" s="6">
        <v>0</v>
      </c>
      <c r="K2246" s="6">
        <v>0</v>
      </c>
      <c r="L2246" s="6">
        <v>0</v>
      </c>
      <c r="M2246" s="6">
        <v>0</v>
      </c>
      <c r="N2246" s="6">
        <v>0</v>
      </c>
      <c r="O2246" s="4">
        <f t="shared" si="703"/>
        <v>0</v>
      </c>
      <c r="P2246" s="5">
        <f>SUMIFS('Desenvolvimento diário'!$H:$H,'Desenvolvimento diário'!$Q:$Q,$B2246,'Desenvolvimento diário'!$P:$P,$F2246,'Desenvolvimento diário'!$R:$R,"Sim")</f>
        <v>0</v>
      </c>
      <c r="Q2246" s="5">
        <f>SUMIFS('Desenvolvimento diário'!$H:$H,'Desenvolvimento diário'!$Q:$Q,$B2246,'Desenvolvimento diário'!$P:$P,$F2246,'Desenvolvimento diário'!$R:$R,"Não")</f>
        <v>0</v>
      </c>
      <c r="R2246" s="4">
        <f t="shared" si="704"/>
        <v>0</v>
      </c>
      <c r="S2246" s="4">
        <f t="shared" si="705"/>
        <v>0</v>
      </c>
      <c r="T2246" s="12">
        <f t="shared" si="696"/>
        <v>0</v>
      </c>
      <c r="Y2246" s="2"/>
      <c r="Z2246" s="2"/>
      <c r="AA2246" s="2"/>
      <c r="AB2246" s="2"/>
      <c r="AC2246" s="2"/>
    </row>
    <row r="2247" spans="1:29" ht="10.5" hidden="1">
      <c r="A2247" s="2">
        <f t="shared" si="706"/>
        <v>65</v>
      </c>
      <c r="B2247" s="2" t="str">
        <f>VLOOKUP($A2247,Controle!$B$4:$F$68,2,FALSE)</f>
        <v>EDN</v>
      </c>
      <c r="C2247" s="2" t="str">
        <f>VLOOKUP($A2247,Controle!$B$4:$F$68,3,FALSE)</f>
        <v xml:space="preserve">ESTRELA DO NORTE </v>
      </c>
      <c r="D2247" s="2" t="str">
        <f>VLOOKUP($A2247,Controle!$B$4:$F$68,4,FALSE)</f>
        <v>EDN</v>
      </c>
      <c r="E2247" s="2">
        <f>VLOOKUP($A2247,Controle!$B$4:$F$68,5,FALSE)</f>
        <v>0</v>
      </c>
      <c r="F2247" s="3" t="str">
        <f t="shared" si="701"/>
        <v>Full EPC - Contrato</v>
      </c>
      <c r="G2247" s="2" t="str">
        <f>VLOOKUP($A2247,Controle!$B$4:$G$68,6,FALSE)</f>
        <v>Apolo</v>
      </c>
      <c r="H2247" s="6">
        <v>0</v>
      </c>
      <c r="I2247" s="5">
        <f t="shared" si="702"/>
        <v>0</v>
      </c>
      <c r="J2247" s="6">
        <v>0</v>
      </c>
      <c r="K2247" s="6">
        <v>0</v>
      </c>
      <c r="L2247" s="6">
        <v>0</v>
      </c>
      <c r="M2247" s="6">
        <v>0</v>
      </c>
      <c r="N2247" s="6">
        <v>0</v>
      </c>
      <c r="O2247" s="4">
        <f t="shared" si="703"/>
        <v>0</v>
      </c>
      <c r="P2247" s="5">
        <f>SUMIFS('Desenvolvimento diário'!$H:$H,'Desenvolvimento diário'!$Q:$Q,$B2247,'Desenvolvimento diário'!$P:$P,$F2247,'Desenvolvimento diário'!$R:$R,"Sim")</f>
        <v>0</v>
      </c>
      <c r="Q2247" s="5">
        <f>SUMIFS('Desenvolvimento diário'!$H:$H,'Desenvolvimento diário'!$Q:$Q,$B2247,'Desenvolvimento diário'!$P:$P,$F2247,'Desenvolvimento diário'!$R:$R,"Não")</f>
        <v>0</v>
      </c>
      <c r="R2247" s="4">
        <f t="shared" si="704"/>
        <v>0</v>
      </c>
      <c r="S2247" s="4">
        <f t="shared" si="705"/>
        <v>0</v>
      </c>
      <c r="T2247" s="12">
        <f t="shared" si="696"/>
        <v>0</v>
      </c>
      <c r="Y2247" s="2"/>
      <c r="Z2247" s="2"/>
      <c r="AA2247" s="2"/>
      <c r="AB2247" s="2"/>
      <c r="AC2247" s="2"/>
    </row>
    <row r="2248" spans="1:29" ht="10.5" hidden="1">
      <c r="A2248" s="2">
        <f t="shared" si="706"/>
        <v>65</v>
      </c>
      <c r="B2248" s="2" t="str">
        <f>VLOOKUP($A2248,Controle!$B$4:$F$68,2,FALSE)</f>
        <v>EDN</v>
      </c>
      <c r="C2248" s="2" t="str">
        <f>VLOOKUP($A2248,Controle!$B$4:$F$68,3,FALSE)</f>
        <v xml:space="preserve">ESTRELA DO NORTE </v>
      </c>
      <c r="D2248" s="2" t="str">
        <f>VLOOKUP($A2248,Controle!$B$4:$F$68,4,FALSE)</f>
        <v>EDN</v>
      </c>
      <c r="E2248" s="2">
        <f>VLOOKUP($A2248,Controle!$B$4:$F$68,5,FALSE)</f>
        <v>0</v>
      </c>
      <c r="F2248" s="3" t="str">
        <f t="shared" si="701"/>
        <v>Equipamentos Curva A - Outros (Transformadores)</v>
      </c>
      <c r="G2248" s="2" t="str">
        <f>VLOOKUP($A2248,Controle!$B$4:$G$68,6,FALSE)</f>
        <v>Apolo</v>
      </c>
      <c r="H2248" s="6">
        <v>0</v>
      </c>
      <c r="I2248" s="5">
        <f t="shared" si="702"/>
        <v>0</v>
      </c>
      <c r="J2248" s="6">
        <v>0</v>
      </c>
      <c r="K2248" s="6">
        <v>0</v>
      </c>
      <c r="L2248" s="6">
        <v>0</v>
      </c>
      <c r="M2248" s="6">
        <v>0</v>
      </c>
      <c r="N2248" s="6">
        <v>0</v>
      </c>
      <c r="O2248" s="4">
        <f t="shared" si="703"/>
        <v>0</v>
      </c>
      <c r="P2248" s="5">
        <f>SUMIFS('Desenvolvimento diário'!$H:$H,'Desenvolvimento diário'!$Q:$Q,$B2248,'Desenvolvimento diário'!$P:$P,$F2248,'Desenvolvimento diário'!$R:$R,"Sim")</f>
        <v>0</v>
      </c>
      <c r="Q2248" s="5">
        <f>SUMIFS('Desenvolvimento diário'!$H:$H,'Desenvolvimento diário'!$Q:$Q,$B2248,'Desenvolvimento diário'!$P:$P,$F2248,'Desenvolvimento diário'!$R:$R,"Não")</f>
        <v>0</v>
      </c>
      <c r="R2248" s="4">
        <f t="shared" si="704"/>
        <v>0</v>
      </c>
      <c r="S2248" s="4">
        <f t="shared" si="705"/>
        <v>0</v>
      </c>
      <c r="T2248" s="12">
        <f t="shared" ref="T2248:T2276" si="707">IFERROR(R2248/O2248,0)</f>
        <v>0</v>
      </c>
      <c r="Y2248" s="2"/>
      <c r="Z2248" s="2"/>
      <c r="AA2248" s="2"/>
      <c r="AB2248" s="2"/>
      <c r="AC2248" s="2"/>
    </row>
    <row r="2249" spans="1:29" ht="10.5" hidden="1">
      <c r="A2249" s="2">
        <f t="shared" si="706"/>
        <v>65</v>
      </c>
      <c r="B2249" s="2" t="str">
        <f>VLOOKUP($A2249,Controle!$B$4:$F$68,2,FALSE)</f>
        <v>EDN</v>
      </c>
      <c r="C2249" s="2" t="str">
        <f>VLOOKUP($A2249,Controle!$B$4:$F$68,3,FALSE)</f>
        <v xml:space="preserve">ESTRELA DO NORTE </v>
      </c>
      <c r="D2249" s="2" t="str">
        <f>VLOOKUP($A2249,Controle!$B$4:$F$68,4,FALSE)</f>
        <v>EDN</v>
      </c>
      <c r="E2249" s="2">
        <f>VLOOKUP($A2249,Controle!$B$4:$F$68,5,FALSE)</f>
        <v>0</v>
      </c>
      <c r="F2249" s="3" t="str">
        <f t="shared" si="701"/>
        <v>Equipamentos Curva A - Outros (Cabine + Skid)</v>
      </c>
      <c r="G2249" s="2" t="str">
        <f>VLOOKUP($A2249,Controle!$B$4:$G$68,6,FALSE)</f>
        <v>Apolo</v>
      </c>
      <c r="H2249" s="6">
        <v>0</v>
      </c>
      <c r="I2249" s="5">
        <f t="shared" si="702"/>
        <v>0</v>
      </c>
      <c r="J2249" s="6">
        <v>0</v>
      </c>
      <c r="K2249" s="6">
        <v>0</v>
      </c>
      <c r="L2249" s="6">
        <v>0</v>
      </c>
      <c r="M2249" s="6">
        <v>0</v>
      </c>
      <c r="N2249" s="6">
        <v>0</v>
      </c>
      <c r="O2249" s="4">
        <f t="shared" si="703"/>
        <v>0</v>
      </c>
      <c r="P2249" s="5">
        <f>SUMIFS('Desenvolvimento diário'!$H:$H,'Desenvolvimento diário'!$Q:$Q,$B2249,'Desenvolvimento diário'!$P:$P,$F2249,'Desenvolvimento diário'!$R:$R,"Sim")</f>
        <v>0</v>
      </c>
      <c r="Q2249" s="5">
        <f>SUMIFS('Desenvolvimento diário'!$H:$H,'Desenvolvimento diário'!$Q:$Q,$B2249,'Desenvolvimento diário'!$P:$P,$F2249,'Desenvolvimento diário'!$R:$R,"Não")</f>
        <v>0</v>
      </c>
      <c r="R2249" s="4">
        <f t="shared" si="704"/>
        <v>0</v>
      </c>
      <c r="S2249" s="4">
        <f t="shared" si="705"/>
        <v>0</v>
      </c>
      <c r="T2249" s="12">
        <f t="shared" si="707"/>
        <v>0</v>
      </c>
      <c r="Y2249" s="2"/>
      <c r="Z2249" s="2"/>
      <c r="AA2249" s="2"/>
      <c r="AB2249" s="2"/>
      <c r="AC2249" s="2"/>
    </row>
    <row r="2250" spans="1:29" ht="10.5" hidden="1">
      <c r="A2250" s="2">
        <f t="shared" si="706"/>
        <v>65</v>
      </c>
      <c r="B2250" s="2" t="str">
        <f>VLOOKUP($A2250,Controle!$B$4:$F$68,2,FALSE)</f>
        <v>EDN</v>
      </c>
      <c r="C2250" s="2" t="str">
        <f>VLOOKUP($A2250,Controle!$B$4:$F$68,3,FALSE)</f>
        <v xml:space="preserve">ESTRELA DO NORTE </v>
      </c>
      <c r="D2250" s="2" t="str">
        <f>VLOOKUP($A2250,Controle!$B$4:$F$68,4,FALSE)</f>
        <v>EDN</v>
      </c>
      <c r="E2250" s="2">
        <f>VLOOKUP($A2250,Controle!$B$4:$F$68,5,FALSE)</f>
        <v>0</v>
      </c>
      <c r="F2250" s="3" t="str">
        <f t="shared" si="701"/>
        <v>Equipamentos Curva A - Outros (Cabine + Skid + Transformador)</v>
      </c>
      <c r="G2250" s="2" t="str">
        <f>VLOOKUP($A2250,Controle!$B$4:$G$68,6,FALSE)</f>
        <v>Apolo</v>
      </c>
      <c r="H2250" s="6">
        <v>0</v>
      </c>
      <c r="I2250" s="5">
        <f t="shared" si="702"/>
        <v>0</v>
      </c>
      <c r="J2250" s="6">
        <v>0</v>
      </c>
      <c r="K2250" s="6">
        <v>0</v>
      </c>
      <c r="L2250" s="6">
        <v>0</v>
      </c>
      <c r="M2250" s="6">
        <v>0</v>
      </c>
      <c r="N2250" s="6">
        <v>0</v>
      </c>
      <c r="O2250" s="4">
        <f t="shared" si="703"/>
        <v>0</v>
      </c>
      <c r="P2250" s="5">
        <f>SUMIFS('Desenvolvimento diário'!$H:$H,'Desenvolvimento diário'!$Q:$Q,$B2250,'Desenvolvimento diário'!$P:$P,$F2250,'Desenvolvimento diário'!$R:$R,"Sim")</f>
        <v>0</v>
      </c>
      <c r="Q2250" s="5">
        <f>SUMIFS('Desenvolvimento diário'!$H:$H,'Desenvolvimento diário'!$Q:$Q,$B2250,'Desenvolvimento diário'!$P:$P,$F2250,'Desenvolvimento diário'!$R:$R,"Não")</f>
        <v>0</v>
      </c>
      <c r="R2250" s="4">
        <f t="shared" si="704"/>
        <v>0</v>
      </c>
      <c r="S2250" s="4">
        <f t="shared" si="705"/>
        <v>0</v>
      </c>
      <c r="T2250" s="12">
        <f t="shared" si="707"/>
        <v>0</v>
      </c>
      <c r="Y2250" s="2"/>
      <c r="Z2250" s="2"/>
      <c r="AA2250" s="2"/>
      <c r="AB2250" s="2"/>
      <c r="AC2250" s="2"/>
    </row>
    <row r="2251" spans="1:29" ht="10.5" hidden="1">
      <c r="A2251" s="2">
        <f t="shared" si="706"/>
        <v>65</v>
      </c>
      <c r="B2251" s="2" t="str">
        <f>VLOOKUP($A2251,Controle!$B$4:$F$68,2,FALSE)</f>
        <v>EDN</v>
      </c>
      <c r="C2251" s="2" t="str">
        <f>VLOOKUP($A2251,Controle!$B$4:$F$68,3,FALSE)</f>
        <v xml:space="preserve">ESTRELA DO NORTE </v>
      </c>
      <c r="D2251" s="2" t="str">
        <f>VLOOKUP($A2251,Controle!$B$4:$F$68,4,FALSE)</f>
        <v>EDN</v>
      </c>
      <c r="E2251" s="2">
        <f>VLOOKUP($A2251,Controle!$B$4:$F$68,5,FALSE)</f>
        <v>0</v>
      </c>
      <c r="F2251" s="3" t="str">
        <f t="shared" si="701"/>
        <v>Desenvolvimento de projeto - Projetos - (Eng° Proprietario)</v>
      </c>
      <c r="G2251" s="2" t="str">
        <f>VLOOKUP($A2251,Controle!$B$4:$G$68,6,FALSE)</f>
        <v>Apolo</v>
      </c>
      <c r="H2251" s="6">
        <v>0</v>
      </c>
      <c r="I2251" s="5">
        <f t="shared" si="702"/>
        <v>2643580.5500000007</v>
      </c>
      <c r="J2251" s="6">
        <v>0</v>
      </c>
      <c r="K2251" s="6">
        <v>0</v>
      </c>
      <c r="L2251" s="6">
        <v>0</v>
      </c>
      <c r="M2251" s="6">
        <v>0</v>
      </c>
      <c r="N2251" s="6">
        <v>0</v>
      </c>
      <c r="O2251" s="4">
        <f t="shared" si="703"/>
        <v>2643580.5500000007</v>
      </c>
      <c r="P2251" s="5">
        <f>SUMIFS('Desenvolvimento diário'!$H:$H,'Desenvolvimento diário'!$Q:$Q,$B2251,'Desenvolvimento diário'!$P:$P,$F2251,'Desenvolvimento diário'!$R:$R,"Sim")</f>
        <v>0</v>
      </c>
      <c r="Q2251" s="5">
        <f>SUMIFS('Desenvolvimento diário'!$H:$H,'Desenvolvimento diário'!$Q:$Q,$B2251,'Desenvolvimento diário'!$P:$P,$F2251,'Desenvolvimento diário'!$R:$R,"Não")</f>
        <v>2643580.5500000007</v>
      </c>
      <c r="R2251" s="4">
        <f t="shared" si="704"/>
        <v>2643580.5500000007</v>
      </c>
      <c r="S2251" s="4">
        <f t="shared" si="705"/>
        <v>0</v>
      </c>
      <c r="T2251" s="12">
        <f t="shared" si="707"/>
        <v>1</v>
      </c>
      <c r="Y2251" s="2"/>
      <c r="Z2251" s="2"/>
      <c r="AA2251" s="2"/>
      <c r="AB2251" s="2"/>
      <c r="AC2251" s="2"/>
    </row>
    <row r="2252" spans="1:29" ht="10.5" hidden="1">
      <c r="A2252" s="2">
        <f t="shared" si="706"/>
        <v>65</v>
      </c>
      <c r="B2252" s="2" t="str">
        <f>VLOOKUP($A2252,Controle!$B$4:$F$68,2,FALSE)</f>
        <v>EDN</v>
      </c>
      <c r="C2252" s="2" t="str">
        <f>VLOOKUP($A2252,Controle!$B$4:$F$68,3,FALSE)</f>
        <v xml:space="preserve">ESTRELA DO NORTE </v>
      </c>
      <c r="D2252" s="2" t="str">
        <f>VLOOKUP($A2252,Controle!$B$4:$F$68,4,FALSE)</f>
        <v>EDN</v>
      </c>
      <c r="E2252" s="2">
        <f>VLOOKUP($A2252,Controle!$B$4:$F$68,5,FALSE)</f>
        <v>0</v>
      </c>
      <c r="F2252" s="3" t="str">
        <f t="shared" si="701"/>
        <v>Desenvolvimento de projeto - Projetos - Executivos</v>
      </c>
      <c r="G2252" s="2" t="str">
        <f>VLOOKUP($A2252,Controle!$B$4:$G$68,6,FALSE)</f>
        <v>Apolo</v>
      </c>
      <c r="H2252" s="6">
        <v>0</v>
      </c>
      <c r="I2252" s="5">
        <f t="shared" si="702"/>
        <v>0</v>
      </c>
      <c r="J2252" s="6">
        <v>0</v>
      </c>
      <c r="K2252" s="6">
        <v>0</v>
      </c>
      <c r="L2252" s="6">
        <v>0</v>
      </c>
      <c r="M2252" s="6">
        <v>0</v>
      </c>
      <c r="N2252" s="6">
        <v>0</v>
      </c>
      <c r="O2252" s="4">
        <f t="shared" si="703"/>
        <v>0</v>
      </c>
      <c r="P2252" s="5">
        <f>SUMIFS('Desenvolvimento diário'!$H:$H,'Desenvolvimento diário'!$Q:$Q,$B2252,'Desenvolvimento diário'!$P:$P,$F2252,'Desenvolvimento diário'!$R:$R,"Sim")</f>
        <v>0</v>
      </c>
      <c r="Q2252" s="5">
        <f>SUMIFS('Desenvolvimento diário'!$H:$H,'Desenvolvimento diário'!$Q:$Q,$B2252,'Desenvolvimento diário'!$P:$P,$F2252,'Desenvolvimento diário'!$R:$R,"Não")</f>
        <v>0</v>
      </c>
      <c r="R2252" s="4">
        <f t="shared" si="704"/>
        <v>0</v>
      </c>
      <c r="S2252" s="4">
        <f t="shared" si="705"/>
        <v>0</v>
      </c>
      <c r="T2252" s="12">
        <f t="shared" si="707"/>
        <v>0</v>
      </c>
      <c r="Y2252" s="2"/>
      <c r="Z2252" s="2"/>
      <c r="AA2252" s="2"/>
      <c r="AB2252" s="2"/>
      <c r="AC2252" s="2"/>
    </row>
    <row r="2253" spans="1:29" ht="10.5" hidden="1">
      <c r="A2253" s="2">
        <f t="shared" si="706"/>
        <v>65</v>
      </c>
      <c r="B2253" s="2" t="str">
        <f>VLOOKUP($A2253,Controle!$B$4:$F$68,2,FALSE)</f>
        <v>EDN</v>
      </c>
      <c r="C2253" s="2" t="str">
        <f>VLOOKUP($A2253,Controle!$B$4:$F$68,3,FALSE)</f>
        <v xml:space="preserve">ESTRELA DO NORTE </v>
      </c>
      <c r="D2253" s="2" t="str">
        <f>VLOOKUP($A2253,Controle!$B$4:$F$68,4,FALSE)</f>
        <v>EDN</v>
      </c>
      <c r="E2253" s="2">
        <f>VLOOKUP($A2253,Controle!$B$4:$F$68,5,FALSE)</f>
        <v>0</v>
      </c>
      <c r="F2253" s="3" t="str">
        <f t="shared" si="701"/>
        <v>Desenvolvimento de projeto - Projetos Básica</v>
      </c>
      <c r="G2253" s="2" t="str">
        <f>VLOOKUP($A2253,Controle!$B$4:$G$68,6,FALSE)</f>
        <v>Apolo</v>
      </c>
      <c r="H2253" s="6">
        <v>0</v>
      </c>
      <c r="I2253" s="5">
        <f t="shared" si="702"/>
        <v>0</v>
      </c>
      <c r="J2253" s="6">
        <v>0</v>
      </c>
      <c r="K2253" s="6">
        <v>0</v>
      </c>
      <c r="L2253" s="6">
        <v>0</v>
      </c>
      <c r="M2253" s="6">
        <v>0</v>
      </c>
      <c r="N2253" s="6">
        <v>0</v>
      </c>
      <c r="O2253" s="4">
        <f t="shared" si="703"/>
        <v>0</v>
      </c>
      <c r="P2253" s="5">
        <f>SUMIFS('Desenvolvimento diário'!$H:$H,'Desenvolvimento diário'!$Q:$Q,$B2253,'Desenvolvimento diário'!$P:$P,$F2253,'Desenvolvimento diário'!$R:$R,"Sim")</f>
        <v>0</v>
      </c>
      <c r="Q2253" s="5">
        <f>SUMIFS('Desenvolvimento diário'!$H:$H,'Desenvolvimento diário'!$Q:$Q,$B2253,'Desenvolvimento diário'!$P:$P,$F2253,'Desenvolvimento diário'!$R:$R,"Não")</f>
        <v>0</v>
      </c>
      <c r="R2253" s="4">
        <f t="shared" si="704"/>
        <v>0</v>
      </c>
      <c r="S2253" s="4">
        <f t="shared" si="705"/>
        <v>0</v>
      </c>
      <c r="T2253" s="12">
        <f t="shared" si="707"/>
        <v>0</v>
      </c>
      <c r="Y2253" s="2"/>
      <c r="Z2253" s="2"/>
      <c r="AA2253" s="2"/>
      <c r="AB2253" s="2"/>
      <c r="AC2253" s="2"/>
    </row>
    <row r="2254" spans="1:29" ht="10.5" hidden="1">
      <c r="A2254" s="2">
        <f t="shared" si="706"/>
        <v>65</v>
      </c>
      <c r="B2254" s="2" t="str">
        <f>VLOOKUP($A2254,Controle!$B$4:$F$68,2,FALSE)</f>
        <v>EDN</v>
      </c>
      <c r="C2254" s="2" t="str">
        <f>VLOOKUP($A2254,Controle!$B$4:$F$68,3,FALSE)</f>
        <v xml:space="preserve">ESTRELA DO NORTE </v>
      </c>
      <c r="D2254" s="2" t="str">
        <f>VLOOKUP($A2254,Controle!$B$4:$F$68,4,FALSE)</f>
        <v>EDN</v>
      </c>
      <c r="E2254" s="2">
        <f>VLOOKUP($A2254,Controle!$B$4:$F$68,5,FALSE)</f>
        <v>0</v>
      </c>
      <c r="F2254" s="3" t="str">
        <f t="shared" si="701"/>
        <v>Desenvolvimento de projeto - Projetos Detalhada</v>
      </c>
      <c r="G2254" s="2" t="str">
        <f>VLOOKUP($A2254,Controle!$B$4:$G$68,6,FALSE)</f>
        <v>Apolo</v>
      </c>
      <c r="H2254" s="6">
        <v>0</v>
      </c>
      <c r="I2254" s="5">
        <f t="shared" si="702"/>
        <v>0</v>
      </c>
      <c r="J2254" s="6">
        <v>0</v>
      </c>
      <c r="K2254" s="6">
        <v>0</v>
      </c>
      <c r="L2254" s="6">
        <v>0</v>
      </c>
      <c r="M2254" s="6">
        <v>0</v>
      </c>
      <c r="N2254" s="6">
        <v>0</v>
      </c>
      <c r="O2254" s="4">
        <f t="shared" si="703"/>
        <v>0</v>
      </c>
      <c r="P2254" s="5">
        <f>SUMIFS('Desenvolvimento diário'!$H:$H,'Desenvolvimento diário'!$Q:$Q,$B2254,'Desenvolvimento diário'!$P:$P,$F2254,'Desenvolvimento diário'!$R:$R,"Sim")</f>
        <v>0</v>
      </c>
      <c r="Q2254" s="5">
        <f>SUMIFS('Desenvolvimento diário'!$H:$H,'Desenvolvimento diário'!$Q:$Q,$B2254,'Desenvolvimento diário'!$P:$P,$F2254,'Desenvolvimento diário'!$R:$R,"Não")</f>
        <v>0</v>
      </c>
      <c r="R2254" s="4">
        <f t="shared" si="704"/>
        <v>0</v>
      </c>
      <c r="S2254" s="4">
        <f t="shared" si="705"/>
        <v>0</v>
      </c>
      <c r="T2254" s="12">
        <f t="shared" si="707"/>
        <v>0</v>
      </c>
      <c r="Y2254" s="2"/>
      <c r="Z2254" s="2"/>
      <c r="AA2254" s="2"/>
      <c r="AB2254" s="2"/>
      <c r="AC2254" s="2"/>
    </row>
    <row r="2255" spans="1:29" ht="10.5" hidden="1">
      <c r="A2255" s="2">
        <f t="shared" si="706"/>
        <v>65</v>
      </c>
      <c r="B2255" s="2" t="str">
        <f>VLOOKUP($A2255,Controle!$B$4:$F$68,2,FALSE)</f>
        <v>EDN</v>
      </c>
      <c r="C2255" s="2" t="str">
        <f>VLOOKUP($A2255,Controle!$B$4:$F$68,3,FALSE)</f>
        <v xml:space="preserve">ESTRELA DO NORTE </v>
      </c>
      <c r="D2255" s="2" t="str">
        <f>VLOOKUP($A2255,Controle!$B$4:$F$68,4,FALSE)</f>
        <v>EDN</v>
      </c>
      <c r="E2255" s="2">
        <f>VLOOKUP($A2255,Controle!$B$4:$F$68,5,FALSE)</f>
        <v>0</v>
      </c>
      <c r="F2255" s="3" t="str">
        <f t="shared" si="701"/>
        <v>Desenvolvimento de projeto - Ambiental / Outros</v>
      </c>
      <c r="G2255" s="2" t="str">
        <f>VLOOKUP($A2255,Controle!$B$4:$G$68,6,FALSE)</f>
        <v>Apolo</v>
      </c>
      <c r="H2255" s="6">
        <v>0</v>
      </c>
      <c r="I2255" s="5">
        <f t="shared" si="702"/>
        <v>0</v>
      </c>
      <c r="J2255" s="6">
        <v>0</v>
      </c>
      <c r="K2255" s="6">
        <v>0</v>
      </c>
      <c r="L2255" s="6">
        <v>0</v>
      </c>
      <c r="M2255" s="6">
        <v>0</v>
      </c>
      <c r="N2255" s="6">
        <v>0</v>
      </c>
      <c r="O2255" s="4">
        <f t="shared" si="703"/>
        <v>0</v>
      </c>
      <c r="P2255" s="5">
        <f>SUMIFS('Desenvolvimento diário'!$H:$H,'Desenvolvimento diário'!$Q:$Q,$B2255,'Desenvolvimento diário'!$P:$P,$F2255,'Desenvolvimento diário'!$R:$R,"Sim")</f>
        <v>0</v>
      </c>
      <c r="Q2255" s="5">
        <f>SUMIFS('Desenvolvimento diário'!$H:$H,'Desenvolvimento diário'!$Q:$Q,$B2255,'Desenvolvimento diário'!$P:$P,$F2255,'Desenvolvimento diário'!$R:$R,"Não")</f>
        <v>0</v>
      </c>
      <c r="R2255" s="4">
        <f t="shared" si="704"/>
        <v>0</v>
      </c>
      <c r="S2255" s="4">
        <f t="shared" si="705"/>
        <v>0</v>
      </c>
      <c r="T2255" s="12">
        <f t="shared" si="707"/>
        <v>0</v>
      </c>
      <c r="Y2255" s="2"/>
      <c r="Z2255" s="2"/>
      <c r="AA2255" s="2"/>
      <c r="AB2255" s="2"/>
      <c r="AC2255" s="2"/>
    </row>
    <row r="2256" spans="1:29" ht="10.5" hidden="1">
      <c r="A2256" s="2">
        <f t="shared" si="706"/>
        <v>65</v>
      </c>
      <c r="B2256" s="2" t="str">
        <f>VLOOKUP($A2256,Controle!$B$4:$F$68,2,FALSE)</f>
        <v>EDN</v>
      </c>
      <c r="C2256" s="2" t="str">
        <f>VLOOKUP($A2256,Controle!$B$4:$F$68,3,FALSE)</f>
        <v xml:space="preserve">ESTRELA DO NORTE </v>
      </c>
      <c r="D2256" s="2" t="str">
        <f>VLOOKUP($A2256,Controle!$B$4:$F$68,4,FALSE)</f>
        <v>EDN</v>
      </c>
      <c r="E2256" s="2">
        <f>VLOOKUP($A2256,Controle!$B$4:$F$68,5,FALSE)</f>
        <v>0</v>
      </c>
      <c r="F2256" s="3" t="str">
        <f t="shared" si="701"/>
        <v>Desenvolvimento de projeto - Coordenograma</v>
      </c>
      <c r="G2256" s="2" t="str">
        <f>VLOOKUP($A2256,Controle!$B$4:$G$68,6,FALSE)</f>
        <v>Apolo</v>
      </c>
      <c r="H2256" s="6">
        <v>0</v>
      </c>
      <c r="I2256" s="5">
        <f t="shared" si="702"/>
        <v>0</v>
      </c>
      <c r="J2256" s="6">
        <v>0</v>
      </c>
      <c r="K2256" s="6">
        <v>0</v>
      </c>
      <c r="L2256" s="6">
        <v>0</v>
      </c>
      <c r="M2256" s="6">
        <v>0</v>
      </c>
      <c r="N2256" s="6">
        <v>0</v>
      </c>
      <c r="O2256" s="4">
        <f t="shared" si="703"/>
        <v>0</v>
      </c>
      <c r="P2256" s="5">
        <f>SUMIFS('Desenvolvimento diário'!$H:$H,'Desenvolvimento diário'!$Q:$Q,$B2256,'Desenvolvimento diário'!$P:$P,$F2256,'Desenvolvimento diário'!$R:$R,"Sim")</f>
        <v>0</v>
      </c>
      <c r="Q2256" s="5">
        <f>SUMIFS('Desenvolvimento diário'!$H:$H,'Desenvolvimento diário'!$Q:$Q,$B2256,'Desenvolvimento diário'!$P:$P,$F2256,'Desenvolvimento diário'!$R:$R,"Não")</f>
        <v>0</v>
      </c>
      <c r="R2256" s="4">
        <f t="shared" si="704"/>
        <v>0</v>
      </c>
      <c r="S2256" s="4">
        <f t="shared" si="705"/>
        <v>0</v>
      </c>
      <c r="T2256" s="12">
        <f t="shared" si="707"/>
        <v>0</v>
      </c>
      <c r="Y2256" s="2"/>
      <c r="Z2256" s="2"/>
      <c r="AA2256" s="2"/>
      <c r="AB2256" s="2"/>
      <c r="AC2256" s="2"/>
    </row>
    <row r="2257" spans="1:29" ht="10.5" hidden="1">
      <c r="A2257" s="2">
        <f t="shared" si="706"/>
        <v>65</v>
      </c>
      <c r="B2257" s="2" t="str">
        <f>VLOOKUP($A2257,Controle!$B$4:$F$68,2,FALSE)</f>
        <v>EDN</v>
      </c>
      <c r="C2257" s="2" t="str">
        <f>VLOOKUP($A2257,Controle!$B$4:$F$68,3,FALSE)</f>
        <v xml:space="preserve">ESTRELA DO NORTE </v>
      </c>
      <c r="D2257" s="2" t="str">
        <f>VLOOKUP($A2257,Controle!$B$4:$F$68,4,FALSE)</f>
        <v>EDN</v>
      </c>
      <c r="E2257" s="2">
        <f>VLOOKUP($A2257,Controle!$B$4:$F$68,5,FALSE)</f>
        <v>0</v>
      </c>
      <c r="F2257" s="3" t="str">
        <f t="shared" si="701"/>
        <v>Sistemas de Monitoramento - Supervisório</v>
      </c>
      <c r="G2257" s="2" t="str">
        <f>VLOOKUP($A2257,Controle!$B$4:$G$68,6,FALSE)</f>
        <v>Apolo</v>
      </c>
      <c r="H2257" s="6">
        <v>0</v>
      </c>
      <c r="I2257" s="5">
        <f t="shared" si="702"/>
        <v>0</v>
      </c>
      <c r="J2257" s="6">
        <v>0</v>
      </c>
      <c r="K2257" s="6">
        <v>0</v>
      </c>
      <c r="L2257" s="6">
        <v>0</v>
      </c>
      <c r="M2257" s="6">
        <v>0</v>
      </c>
      <c r="N2257" s="6">
        <v>0</v>
      </c>
      <c r="O2257" s="4">
        <f t="shared" si="703"/>
        <v>0</v>
      </c>
      <c r="P2257" s="5">
        <f>SUMIFS('Desenvolvimento diário'!$H:$H,'Desenvolvimento diário'!$Q:$Q,$B2257,'Desenvolvimento diário'!$P:$P,$F2257,'Desenvolvimento diário'!$R:$R,"Sim")</f>
        <v>0</v>
      </c>
      <c r="Q2257" s="5">
        <f>SUMIFS('Desenvolvimento diário'!$H:$H,'Desenvolvimento diário'!$Q:$Q,$B2257,'Desenvolvimento diário'!$P:$P,$F2257,'Desenvolvimento diário'!$R:$R,"Não")</f>
        <v>0</v>
      </c>
      <c r="R2257" s="4">
        <f t="shared" si="704"/>
        <v>0</v>
      </c>
      <c r="S2257" s="4">
        <f t="shared" si="705"/>
        <v>0</v>
      </c>
      <c r="T2257" s="12">
        <f t="shared" si="707"/>
        <v>0</v>
      </c>
      <c r="Y2257" s="2"/>
      <c r="Z2257" s="2"/>
      <c r="AA2257" s="2"/>
      <c r="AB2257" s="2"/>
      <c r="AC2257" s="2"/>
    </row>
    <row r="2258" spans="1:29" ht="10.5" hidden="1">
      <c r="A2258" s="2">
        <f t="shared" si="706"/>
        <v>65</v>
      </c>
      <c r="B2258" s="2" t="str">
        <f>VLOOKUP($A2258,Controle!$B$4:$F$68,2,FALSE)</f>
        <v>EDN</v>
      </c>
      <c r="C2258" s="2" t="str">
        <f>VLOOKUP($A2258,Controle!$B$4:$F$68,3,FALSE)</f>
        <v xml:space="preserve">ESTRELA DO NORTE </v>
      </c>
      <c r="D2258" s="2" t="str">
        <f>VLOOKUP($A2258,Controle!$B$4:$F$68,4,FALSE)</f>
        <v>EDN</v>
      </c>
      <c r="E2258" s="2">
        <f>VLOOKUP($A2258,Controle!$B$4:$F$68,5,FALSE)</f>
        <v>0</v>
      </c>
      <c r="F2258" s="3" t="str">
        <f t="shared" si="701"/>
        <v>Sistemas de Monitoramento - Estações Solarimétricas</v>
      </c>
      <c r="G2258" s="2" t="str">
        <f>VLOOKUP($A2258,Controle!$B$4:$G$68,6,FALSE)</f>
        <v>Apolo</v>
      </c>
      <c r="H2258" s="6">
        <v>0</v>
      </c>
      <c r="I2258" s="5">
        <f t="shared" si="702"/>
        <v>0</v>
      </c>
      <c r="J2258" s="6">
        <v>0</v>
      </c>
      <c r="K2258" s="6">
        <v>0</v>
      </c>
      <c r="L2258" s="6">
        <v>0</v>
      </c>
      <c r="M2258" s="6">
        <v>0</v>
      </c>
      <c r="N2258" s="6">
        <v>0</v>
      </c>
      <c r="O2258" s="4">
        <f t="shared" si="703"/>
        <v>0</v>
      </c>
      <c r="P2258" s="5">
        <f>SUMIFS('Desenvolvimento diário'!$H:$H,'Desenvolvimento diário'!$Q:$Q,$B2258,'Desenvolvimento diário'!$P:$P,$F2258,'Desenvolvimento diário'!$R:$R,"Sim")</f>
        <v>0</v>
      </c>
      <c r="Q2258" s="5">
        <f>SUMIFS('Desenvolvimento diário'!$H:$H,'Desenvolvimento diário'!$Q:$Q,$B2258,'Desenvolvimento diário'!$P:$P,$F2258,'Desenvolvimento diário'!$R:$R,"Não")</f>
        <v>0</v>
      </c>
      <c r="R2258" s="4">
        <f t="shared" si="704"/>
        <v>0</v>
      </c>
      <c r="S2258" s="4">
        <f t="shared" si="705"/>
        <v>0</v>
      </c>
      <c r="T2258" s="12">
        <f t="shared" si="707"/>
        <v>0</v>
      </c>
      <c r="Y2258" s="2"/>
      <c r="Z2258" s="2"/>
      <c r="AA2258" s="2"/>
      <c r="AB2258" s="2"/>
      <c r="AC2258" s="2"/>
    </row>
    <row r="2259" spans="1:29" hidden="1">
      <c r="A2259" s="2">
        <f t="shared" si="706"/>
        <v>65</v>
      </c>
      <c r="B2259" s="2" t="str">
        <f>VLOOKUP($A2259,Controle!$B$4:$F$68,2,FALSE)</f>
        <v>EDN</v>
      </c>
      <c r="C2259" s="2" t="str">
        <f>VLOOKUP($A2259,Controle!$B$4:$F$68,3,FALSE)</f>
        <v xml:space="preserve">ESTRELA DO NORTE </v>
      </c>
      <c r="D2259" s="2" t="str">
        <f>VLOOKUP($A2259,Controle!$B$4:$F$68,4,FALSE)</f>
        <v>EDN</v>
      </c>
      <c r="E2259" s="2">
        <f>VLOOKUP($A2259,Controle!$B$4:$F$68,5,FALSE)</f>
        <v>0</v>
      </c>
      <c r="F2259" s="3" t="str">
        <f t="shared" si="701"/>
        <v>Sistemas de Monitoramento - CFTV</v>
      </c>
      <c r="G2259" s="2" t="str">
        <f>VLOOKUP($A2259,Controle!$B$4:$G$68,6,FALSE)</f>
        <v>Apolo</v>
      </c>
      <c r="H2259" s="6">
        <v>0</v>
      </c>
      <c r="I2259" s="5">
        <v>0</v>
      </c>
      <c r="J2259" s="6">
        <v>0</v>
      </c>
      <c r="K2259" s="6">
        <v>0</v>
      </c>
      <c r="L2259" s="6">
        <v>0</v>
      </c>
      <c r="M2259" s="6">
        <v>0</v>
      </c>
      <c r="N2259" s="6">
        <v>0</v>
      </c>
      <c r="O2259" s="4">
        <f t="shared" si="703"/>
        <v>0</v>
      </c>
      <c r="P2259" s="5">
        <f>SUMIFS('Desenvolvimento diário'!$H:$H,'Desenvolvimento diário'!$Q:$Q,$B2259,'Desenvolvimento diário'!$P:$P,$F2259,'Desenvolvimento diário'!$R:$R,"Sim")</f>
        <v>0</v>
      </c>
      <c r="Q2259" s="5">
        <f>SUMIFS('Desenvolvimento diário'!$H:$H,'Desenvolvimento diário'!$Q:$Q,$B2259,'Desenvolvimento diário'!$P:$P,$F2259,'Desenvolvimento diário'!$R:$R,"Não")</f>
        <v>0</v>
      </c>
      <c r="R2259" s="4">
        <f t="shared" si="704"/>
        <v>0</v>
      </c>
      <c r="S2259" s="4">
        <f t="shared" si="705"/>
        <v>0</v>
      </c>
      <c r="T2259" s="12">
        <f t="shared" si="707"/>
        <v>0</v>
      </c>
      <c r="Y2259" s="2"/>
      <c r="Z2259" s="2"/>
      <c r="AA2259" s="2"/>
      <c r="AB2259" s="2"/>
      <c r="AC2259" s="2"/>
    </row>
    <row r="2260" spans="1:29" ht="10.5" hidden="1">
      <c r="A2260" s="2">
        <f t="shared" si="706"/>
        <v>65</v>
      </c>
      <c r="B2260" s="2" t="str">
        <f>VLOOKUP($A2260,Controle!$B$4:$F$68,2,FALSE)</f>
        <v>EDN</v>
      </c>
      <c r="C2260" s="2" t="str">
        <f>VLOOKUP($A2260,Controle!$B$4:$F$68,3,FALSE)</f>
        <v xml:space="preserve">ESTRELA DO NORTE </v>
      </c>
      <c r="D2260" s="2" t="str">
        <f>VLOOKUP($A2260,Controle!$B$4:$F$68,4,FALSE)</f>
        <v>EDN</v>
      </c>
      <c r="E2260" s="2">
        <f>VLOOKUP($A2260,Controle!$B$4:$F$68,5,FALSE)</f>
        <v>0</v>
      </c>
      <c r="F2260" s="3" t="str">
        <f t="shared" si="701"/>
        <v>Serviços Auxiliares - Drenagem</v>
      </c>
      <c r="G2260" s="2" t="str">
        <f>VLOOKUP($A2260,Controle!$B$4:$G$68,6,FALSE)</f>
        <v>Apolo</v>
      </c>
      <c r="H2260" s="6">
        <v>0</v>
      </c>
      <c r="I2260" s="5">
        <f t="shared" si="702"/>
        <v>0</v>
      </c>
      <c r="J2260" s="6">
        <v>0</v>
      </c>
      <c r="K2260" s="6">
        <v>0</v>
      </c>
      <c r="L2260" s="6">
        <v>0</v>
      </c>
      <c r="M2260" s="6">
        <v>0</v>
      </c>
      <c r="N2260" s="6">
        <v>0</v>
      </c>
      <c r="O2260" s="4">
        <f t="shared" si="703"/>
        <v>0</v>
      </c>
      <c r="P2260" s="5">
        <f>SUMIFS('Desenvolvimento diário'!$H:$H,'Desenvolvimento diário'!$Q:$Q,$B2260,'Desenvolvimento diário'!$P:$P,$F2260,'Desenvolvimento diário'!$R:$R,"Sim")</f>
        <v>0</v>
      </c>
      <c r="Q2260" s="5">
        <f>SUMIFS('Desenvolvimento diário'!$H:$H,'Desenvolvimento diário'!$Q:$Q,$B2260,'Desenvolvimento diário'!$P:$P,$F2260,'Desenvolvimento diário'!$R:$R,"Não")</f>
        <v>0</v>
      </c>
      <c r="R2260" s="4">
        <f t="shared" si="704"/>
        <v>0</v>
      </c>
      <c r="S2260" s="4">
        <f t="shared" si="705"/>
        <v>0</v>
      </c>
      <c r="T2260" s="12">
        <f t="shared" si="707"/>
        <v>0</v>
      </c>
      <c r="Y2260" s="2"/>
      <c r="Z2260" s="2"/>
      <c r="AA2260" s="2"/>
      <c r="AB2260" s="2"/>
      <c r="AC2260" s="2"/>
    </row>
    <row r="2261" spans="1:29" ht="10.5" hidden="1">
      <c r="A2261" s="2">
        <f t="shared" si="706"/>
        <v>65</v>
      </c>
      <c r="B2261" s="2" t="str">
        <f>VLOOKUP($A2261,Controle!$B$4:$F$68,2,FALSE)</f>
        <v>EDN</v>
      </c>
      <c r="C2261" s="2" t="str">
        <f>VLOOKUP($A2261,Controle!$B$4:$F$68,3,FALSE)</f>
        <v xml:space="preserve">ESTRELA DO NORTE </v>
      </c>
      <c r="D2261" s="2" t="str">
        <f>VLOOKUP($A2261,Controle!$B$4:$F$68,4,FALSE)</f>
        <v>EDN</v>
      </c>
      <c r="E2261" s="2">
        <f>VLOOKUP($A2261,Controle!$B$4:$F$68,5,FALSE)</f>
        <v>0</v>
      </c>
      <c r="F2261" s="3" t="str">
        <f t="shared" si="701"/>
        <v>Serviços Auxiliares - Terraplanagem</v>
      </c>
      <c r="G2261" s="2" t="str">
        <f>VLOOKUP($A2261,Controle!$B$4:$G$68,6,FALSE)</f>
        <v>Apolo</v>
      </c>
      <c r="H2261" s="6">
        <v>0</v>
      </c>
      <c r="I2261" s="5">
        <f t="shared" si="702"/>
        <v>0</v>
      </c>
      <c r="J2261" s="6">
        <v>0</v>
      </c>
      <c r="K2261" s="6">
        <v>0</v>
      </c>
      <c r="L2261" s="6">
        <v>0</v>
      </c>
      <c r="M2261" s="6">
        <v>0</v>
      </c>
      <c r="N2261" s="6">
        <v>0</v>
      </c>
      <c r="O2261" s="4">
        <f t="shared" si="703"/>
        <v>0</v>
      </c>
      <c r="P2261" s="5">
        <f>SUMIFS('Desenvolvimento diário'!$H:$H,'Desenvolvimento diário'!$Q:$Q,$B2261,'Desenvolvimento diário'!$P:$P,$F2261,'Desenvolvimento diário'!$R:$R,"Sim")</f>
        <v>0</v>
      </c>
      <c r="Q2261" s="5">
        <f>SUMIFS('Desenvolvimento diário'!$H:$H,'Desenvolvimento diário'!$Q:$Q,$B2261,'Desenvolvimento diário'!$P:$P,$F2261,'Desenvolvimento diário'!$R:$R,"Não")</f>
        <v>0</v>
      </c>
      <c r="R2261" s="4">
        <f t="shared" si="704"/>
        <v>0</v>
      </c>
      <c r="S2261" s="4">
        <f t="shared" si="705"/>
        <v>0</v>
      </c>
      <c r="T2261" s="12">
        <f t="shared" si="707"/>
        <v>0</v>
      </c>
      <c r="Y2261" s="2"/>
      <c r="Z2261" s="2"/>
      <c r="AA2261" s="2"/>
      <c r="AB2261" s="2"/>
      <c r="AC2261" s="2"/>
    </row>
    <row r="2262" spans="1:29" ht="10.5" hidden="1">
      <c r="A2262" s="2">
        <f t="shared" si="706"/>
        <v>65</v>
      </c>
      <c r="B2262" s="2" t="str">
        <f>VLOOKUP($A2262,Controle!$B$4:$F$68,2,FALSE)</f>
        <v>EDN</v>
      </c>
      <c r="C2262" s="2" t="str">
        <f>VLOOKUP($A2262,Controle!$B$4:$F$68,3,FALSE)</f>
        <v xml:space="preserve">ESTRELA DO NORTE </v>
      </c>
      <c r="D2262" s="2" t="str">
        <f>VLOOKUP($A2262,Controle!$B$4:$F$68,4,FALSE)</f>
        <v>EDN</v>
      </c>
      <c r="E2262" s="2">
        <f>VLOOKUP($A2262,Controle!$B$4:$F$68,5,FALSE)</f>
        <v>0</v>
      </c>
      <c r="F2262" s="3" t="str">
        <f t="shared" si="701"/>
        <v>Serviços Auxiliares - Supressão Vegetal</v>
      </c>
      <c r="G2262" s="2" t="str">
        <f>VLOOKUP($A2262,Controle!$B$4:$G$68,6,FALSE)</f>
        <v>Apolo</v>
      </c>
      <c r="H2262" s="6">
        <v>0</v>
      </c>
      <c r="I2262" s="5">
        <f t="shared" si="702"/>
        <v>0</v>
      </c>
      <c r="J2262" s="6">
        <v>0</v>
      </c>
      <c r="K2262" s="6">
        <v>0</v>
      </c>
      <c r="L2262" s="6">
        <v>0</v>
      </c>
      <c r="M2262" s="6">
        <v>0</v>
      </c>
      <c r="N2262" s="6">
        <v>0</v>
      </c>
      <c r="O2262" s="4">
        <f t="shared" si="703"/>
        <v>0</v>
      </c>
      <c r="P2262" s="5">
        <f>SUMIFS('Desenvolvimento diário'!$H:$H,'Desenvolvimento diário'!$Q:$Q,$B2262,'Desenvolvimento diário'!$P:$P,$F2262,'Desenvolvimento diário'!$R:$R,"Sim")</f>
        <v>0</v>
      </c>
      <c r="Q2262" s="5">
        <f>SUMIFS('Desenvolvimento diário'!$H:$H,'Desenvolvimento diário'!$Q:$Q,$B2262,'Desenvolvimento diário'!$P:$P,$F2262,'Desenvolvimento diário'!$R:$R,"Não")</f>
        <v>0</v>
      </c>
      <c r="R2262" s="4">
        <f t="shared" si="704"/>
        <v>0</v>
      </c>
      <c r="S2262" s="4">
        <f t="shared" si="705"/>
        <v>0</v>
      </c>
      <c r="T2262" s="12">
        <f t="shared" si="707"/>
        <v>0</v>
      </c>
      <c r="Y2262" s="2"/>
      <c r="Z2262" s="2"/>
      <c r="AA2262" s="2"/>
      <c r="AB2262" s="2"/>
      <c r="AC2262" s="2"/>
    </row>
    <row r="2263" spans="1:29" ht="10.5" hidden="1">
      <c r="A2263" s="2">
        <f t="shared" si="706"/>
        <v>65</v>
      </c>
      <c r="B2263" s="2" t="str">
        <f>VLOOKUP($A2263,Controle!$B$4:$F$68,2,FALSE)</f>
        <v>EDN</v>
      </c>
      <c r="C2263" s="2" t="str">
        <f>VLOOKUP($A2263,Controle!$B$4:$F$68,3,FALSE)</f>
        <v xml:space="preserve">ESTRELA DO NORTE </v>
      </c>
      <c r="D2263" s="2" t="str">
        <f>VLOOKUP($A2263,Controle!$B$4:$F$68,4,FALSE)</f>
        <v>EDN</v>
      </c>
      <c r="E2263" s="2">
        <f>VLOOKUP($A2263,Controle!$B$4:$F$68,5,FALSE)</f>
        <v>0</v>
      </c>
      <c r="F2263" s="3" t="str">
        <f t="shared" si="701"/>
        <v>RDR-Rede de Distribuição Rural</v>
      </c>
      <c r="G2263" s="2" t="str">
        <f>VLOOKUP($A2263,Controle!$B$4:$G$68,6,FALSE)</f>
        <v>Apolo</v>
      </c>
      <c r="H2263" s="6">
        <v>0</v>
      </c>
      <c r="I2263" s="5">
        <f t="shared" si="702"/>
        <v>0</v>
      </c>
      <c r="J2263" s="6">
        <v>0</v>
      </c>
      <c r="K2263" s="6">
        <v>0</v>
      </c>
      <c r="L2263" s="6">
        <v>0</v>
      </c>
      <c r="M2263" s="6">
        <v>0</v>
      </c>
      <c r="N2263" s="6">
        <v>0</v>
      </c>
      <c r="O2263" s="4">
        <f t="shared" si="703"/>
        <v>0</v>
      </c>
      <c r="P2263" s="5">
        <f>SUMIFS('Desenvolvimento diário'!$H:$H,'Desenvolvimento diário'!$Q:$Q,$B2263,'Desenvolvimento diário'!$P:$P,$F2263,'Desenvolvimento diário'!$R:$R,"Sim")</f>
        <v>0</v>
      </c>
      <c r="Q2263" s="5">
        <f>SUMIFS('Desenvolvimento diário'!$H:$H,'Desenvolvimento diário'!$Q:$Q,$B2263,'Desenvolvimento diário'!$P:$P,$F2263,'Desenvolvimento diário'!$R:$R,"Não")</f>
        <v>0</v>
      </c>
      <c r="R2263" s="4">
        <f t="shared" si="704"/>
        <v>0</v>
      </c>
      <c r="S2263" s="4">
        <f t="shared" si="705"/>
        <v>0</v>
      </c>
      <c r="T2263" s="12">
        <f t="shared" si="707"/>
        <v>0</v>
      </c>
      <c r="Y2263" s="2"/>
      <c r="Z2263" s="2"/>
      <c r="AA2263" s="2"/>
      <c r="AB2263" s="2"/>
      <c r="AC2263" s="2"/>
    </row>
    <row r="2264" spans="1:29" ht="10.5" hidden="1">
      <c r="A2264" s="2">
        <f t="shared" si="706"/>
        <v>65</v>
      </c>
      <c r="B2264" s="2" t="str">
        <f>VLOOKUP($A2264,Controle!$B$4:$F$68,2,FALSE)</f>
        <v>EDN</v>
      </c>
      <c r="C2264" s="2" t="str">
        <f>VLOOKUP($A2264,Controle!$B$4:$F$68,3,FALSE)</f>
        <v xml:space="preserve">ESTRELA DO NORTE </v>
      </c>
      <c r="D2264" s="2" t="str">
        <f>VLOOKUP($A2264,Controle!$B$4:$F$68,4,FALSE)</f>
        <v>EDN</v>
      </c>
      <c r="E2264" s="2">
        <f>VLOOKUP($A2264,Controle!$B$4:$F$68,5,FALSE)</f>
        <v>0</v>
      </c>
      <c r="F2264" s="3" t="str">
        <f t="shared" si="701"/>
        <v>Escopo COMERC</v>
      </c>
      <c r="G2264" s="2" t="str">
        <f>VLOOKUP($A2264,Controle!$B$4:$G$68,6,FALSE)</f>
        <v>Apolo</v>
      </c>
      <c r="H2264" s="6">
        <v>0</v>
      </c>
      <c r="I2264" s="5">
        <f t="shared" si="702"/>
        <v>6892.78</v>
      </c>
      <c r="J2264" s="29">
        <v>0</v>
      </c>
      <c r="K2264" s="6">
        <v>0</v>
      </c>
      <c r="L2264" s="6">
        <v>0</v>
      </c>
      <c r="M2264" s="6">
        <v>0</v>
      </c>
      <c r="N2264" s="6">
        <v>0</v>
      </c>
      <c r="O2264" s="4">
        <f t="shared" si="703"/>
        <v>6892.78</v>
      </c>
      <c r="P2264" s="5">
        <f>SUMIFS('Desenvolvimento diário'!$H:$H,'Desenvolvimento diário'!$Q:$Q,$B2264,'Desenvolvimento diário'!$P:$P,$F2264,'Desenvolvimento diário'!$R:$R,"Sim")</f>
        <v>0</v>
      </c>
      <c r="Q2264" s="5">
        <f>SUMIFS('Desenvolvimento diário'!$H:$H,'Desenvolvimento diário'!$Q:$Q,$B2264,'Desenvolvimento diário'!$P:$P,$F2264,'Desenvolvimento diário'!$R:$R,"Não")</f>
        <v>6892.78</v>
      </c>
      <c r="R2264" s="4">
        <f t="shared" si="704"/>
        <v>6892.78</v>
      </c>
      <c r="S2264" s="4">
        <f t="shared" si="705"/>
        <v>0</v>
      </c>
      <c r="T2264" s="12">
        <f t="shared" si="707"/>
        <v>1</v>
      </c>
      <c r="Y2264" s="2"/>
      <c r="Z2264" s="2"/>
      <c r="AA2264" s="2"/>
      <c r="AB2264" s="2"/>
      <c r="AC2264" s="2"/>
    </row>
    <row r="2265" spans="1:29" ht="10.5" hidden="1">
      <c r="A2265" s="2">
        <f t="shared" si="706"/>
        <v>65</v>
      </c>
      <c r="B2265" s="2" t="str">
        <f>VLOOKUP($A2265,Controle!$B$4:$F$68,2,FALSE)</f>
        <v>EDN</v>
      </c>
      <c r="C2265" s="2" t="str">
        <f>VLOOKUP($A2265,Controle!$B$4:$F$68,3,FALSE)</f>
        <v xml:space="preserve">ESTRELA DO NORTE </v>
      </c>
      <c r="D2265" s="2" t="str">
        <f>VLOOKUP($A2265,Controle!$B$4:$F$68,4,FALSE)</f>
        <v>EDN</v>
      </c>
      <c r="E2265" s="2">
        <f>VLOOKUP($A2265,Controle!$B$4:$F$68,5,FALSE)</f>
        <v>0</v>
      </c>
      <c r="F2265" s="3" t="str">
        <f t="shared" si="701"/>
        <v>Escopo COMERC - Segurança</v>
      </c>
      <c r="G2265" s="2" t="str">
        <f>VLOOKUP($A2265,Controle!$B$4:$G$68,6,FALSE)</f>
        <v>Apolo</v>
      </c>
      <c r="H2265" s="6">
        <v>0</v>
      </c>
      <c r="I2265" s="5">
        <f t="shared" si="702"/>
        <v>0</v>
      </c>
      <c r="J2265" s="6">
        <v>0</v>
      </c>
      <c r="K2265" s="6">
        <v>0</v>
      </c>
      <c r="L2265" s="6">
        <v>0</v>
      </c>
      <c r="M2265" s="6">
        <v>0</v>
      </c>
      <c r="N2265" s="6">
        <v>0</v>
      </c>
      <c r="O2265" s="4">
        <f t="shared" si="703"/>
        <v>0</v>
      </c>
      <c r="P2265" s="5">
        <f>SUMIFS('Desenvolvimento diário'!$H:$H,'Desenvolvimento diário'!$Q:$Q,$B2265,'Desenvolvimento diário'!$P:$P,$F2265,'Desenvolvimento diário'!$R:$R,"Sim")</f>
        <v>0</v>
      </c>
      <c r="Q2265" s="5">
        <f>SUMIFS('Desenvolvimento diário'!$H:$H,'Desenvolvimento diário'!$Q:$Q,$B2265,'Desenvolvimento diário'!$P:$P,$F2265,'Desenvolvimento diário'!$R:$R,"Não")</f>
        <v>0</v>
      </c>
      <c r="R2265" s="4">
        <f t="shared" si="704"/>
        <v>0</v>
      </c>
      <c r="S2265" s="4">
        <f t="shared" si="705"/>
        <v>0</v>
      </c>
      <c r="T2265" s="12">
        <f t="shared" si="707"/>
        <v>0</v>
      </c>
      <c r="Y2265" s="2"/>
      <c r="Z2265" s="2"/>
      <c r="AA2265" s="2"/>
      <c r="AB2265" s="2"/>
      <c r="AC2265" s="2"/>
    </row>
    <row r="2266" spans="1:29" hidden="1">
      <c r="A2266" s="2">
        <f t="shared" si="706"/>
        <v>65</v>
      </c>
      <c r="B2266" s="2" t="str">
        <f>VLOOKUP($A2266,Controle!$B$4:$F$68,2,FALSE)</f>
        <v>EDN</v>
      </c>
      <c r="C2266" s="2" t="str">
        <f>VLOOKUP($A2266,Controle!$B$4:$F$68,3,FALSE)</f>
        <v xml:space="preserve">ESTRELA DO NORTE </v>
      </c>
      <c r="D2266" s="2" t="str">
        <f>VLOOKUP($A2266,Controle!$B$4:$F$68,4,FALSE)</f>
        <v>EDN</v>
      </c>
      <c r="E2266" s="2">
        <f>VLOOKUP($A2266,Controle!$B$4:$F$68,5,FALSE)</f>
        <v>0</v>
      </c>
      <c r="F2266" s="3" t="str">
        <f t="shared" si="701"/>
        <v>Conexão MT - Obras Transferencia</v>
      </c>
      <c r="G2266" s="2" t="str">
        <f>VLOOKUP($A2266,Controle!$B$4:$G$68,6,FALSE)</f>
        <v>Apolo</v>
      </c>
      <c r="H2266" s="6">
        <v>0</v>
      </c>
      <c r="I2266" s="5">
        <f t="shared" ref="I2266" si="708">R2266</f>
        <v>0</v>
      </c>
      <c r="J2266" s="6">
        <v>0</v>
      </c>
      <c r="K2266" s="6">
        <v>0</v>
      </c>
      <c r="L2266" s="6">
        <v>0</v>
      </c>
      <c r="M2266" s="6">
        <v>0</v>
      </c>
      <c r="N2266" s="6">
        <v>0</v>
      </c>
      <c r="O2266" s="4">
        <f t="shared" si="703"/>
        <v>0</v>
      </c>
      <c r="P2266" s="5">
        <f>SUMIFS('Desenvolvimento diário'!$H:$H,'Desenvolvimento diário'!$Q:$Q,$B2266,'Desenvolvimento diário'!$P:$P,$F2266,'Desenvolvimento diário'!$R:$R,"Sim")</f>
        <v>0</v>
      </c>
      <c r="Q2266" s="5">
        <f>SUMIFS('Desenvolvimento diário'!$H:$H,'Desenvolvimento diário'!$Q:$Q,$B2266,'Desenvolvimento diário'!$P:$P,$F2266,'Desenvolvimento diário'!$R:$R,"Não")</f>
        <v>0</v>
      </c>
      <c r="R2266" s="4">
        <f t="shared" si="704"/>
        <v>0</v>
      </c>
      <c r="S2266" s="4">
        <f t="shared" si="705"/>
        <v>0</v>
      </c>
      <c r="T2266" s="12">
        <f t="shared" si="707"/>
        <v>0</v>
      </c>
      <c r="Y2266" s="2"/>
      <c r="Z2266" s="2"/>
      <c r="AA2266" s="2"/>
      <c r="AB2266" s="2"/>
      <c r="AC2266" s="2"/>
    </row>
    <row r="2267" spans="1:29" ht="10.5" hidden="1">
      <c r="A2267" s="2">
        <f t="shared" si="706"/>
        <v>65</v>
      </c>
      <c r="B2267" s="2" t="str">
        <f>VLOOKUP($A2267,Controle!$B$4:$F$68,2,FALSE)</f>
        <v>EDN</v>
      </c>
      <c r="C2267" s="2" t="str">
        <f>VLOOKUP($A2267,Controle!$B$4:$F$68,3,FALSE)</f>
        <v xml:space="preserve">ESTRELA DO NORTE </v>
      </c>
      <c r="D2267" s="2" t="str">
        <f>VLOOKUP($A2267,Controle!$B$4:$F$68,4,FALSE)</f>
        <v>EDN</v>
      </c>
      <c r="E2267" s="2">
        <f>VLOOKUP($A2267,Controle!$B$4:$F$68,5,FALSE)</f>
        <v>0</v>
      </c>
      <c r="F2267" s="3" t="str">
        <f t="shared" si="701"/>
        <v>Bases de Contaniers</v>
      </c>
      <c r="G2267" s="2" t="str">
        <f>VLOOKUP($A2267,Controle!$B$4:$G$68,6,FALSE)</f>
        <v>Apolo</v>
      </c>
      <c r="H2267" s="6">
        <v>0</v>
      </c>
      <c r="I2267" s="5">
        <f t="shared" si="702"/>
        <v>0</v>
      </c>
      <c r="J2267" s="6">
        <v>0</v>
      </c>
      <c r="K2267" s="6">
        <v>0</v>
      </c>
      <c r="L2267" s="6">
        <v>0</v>
      </c>
      <c r="M2267" s="6">
        <v>0</v>
      </c>
      <c r="N2267" s="6">
        <v>0</v>
      </c>
      <c r="O2267" s="4">
        <f t="shared" si="703"/>
        <v>0</v>
      </c>
      <c r="P2267" s="5">
        <f>SUMIFS('Desenvolvimento diário'!$H:$H,'Desenvolvimento diário'!$Q:$Q,$B2267,'Desenvolvimento diário'!$P:$P,$F2267,'Desenvolvimento diário'!$R:$R,"Sim")</f>
        <v>0</v>
      </c>
      <c r="Q2267" s="5">
        <f>SUMIFS('Desenvolvimento diário'!$H:$H,'Desenvolvimento diário'!$Q:$Q,$B2267,'Desenvolvimento diário'!$P:$P,$F2267,'Desenvolvimento diário'!$R:$R,"Não")</f>
        <v>0</v>
      </c>
      <c r="R2267" s="4">
        <f t="shared" si="704"/>
        <v>0</v>
      </c>
      <c r="S2267" s="4">
        <f t="shared" si="705"/>
        <v>0</v>
      </c>
      <c r="T2267" s="12">
        <f t="shared" si="707"/>
        <v>0</v>
      </c>
      <c r="Y2267" s="2"/>
      <c r="Z2267" s="2"/>
      <c r="AA2267" s="2"/>
      <c r="AB2267" s="2"/>
      <c r="AC2267" s="2"/>
    </row>
    <row r="2268" spans="1:29" ht="10.5" hidden="1">
      <c r="A2268" s="2">
        <f t="shared" si="706"/>
        <v>65</v>
      </c>
      <c r="B2268" s="2" t="str">
        <f>VLOOKUP($A2268,Controle!$B$4:$F$68,2,FALSE)</f>
        <v>EDN</v>
      </c>
      <c r="C2268" s="2" t="str">
        <f>VLOOKUP($A2268,Controle!$B$4:$F$68,3,FALSE)</f>
        <v xml:space="preserve">ESTRELA DO NORTE </v>
      </c>
      <c r="D2268" s="2" t="str">
        <f>VLOOKUP($A2268,Controle!$B$4:$F$68,4,FALSE)</f>
        <v>EDN</v>
      </c>
      <c r="E2268" s="2">
        <f>VLOOKUP($A2268,Controle!$B$4:$F$68,5,FALSE)</f>
        <v>0</v>
      </c>
      <c r="F2268" s="3" t="str">
        <f t="shared" si="701"/>
        <v>Construção - Serviços de Construção - Ase Engenharia</v>
      </c>
      <c r="G2268" s="2" t="str">
        <f>VLOOKUP($A2268,Controle!$B$4:$G$68,6,FALSE)</f>
        <v>Apolo</v>
      </c>
      <c r="H2268" s="6">
        <v>0</v>
      </c>
      <c r="I2268" s="5">
        <f t="shared" si="702"/>
        <v>0</v>
      </c>
      <c r="J2268" s="6">
        <v>0</v>
      </c>
      <c r="K2268" s="6">
        <v>0</v>
      </c>
      <c r="L2268" s="6">
        <v>0</v>
      </c>
      <c r="M2268" s="6">
        <v>0</v>
      </c>
      <c r="N2268" s="6">
        <v>0</v>
      </c>
      <c r="O2268" s="4">
        <f t="shared" si="703"/>
        <v>0</v>
      </c>
      <c r="P2268" s="5">
        <f>SUMIFS('Desenvolvimento diário'!$H:$H,'Desenvolvimento diário'!$Q:$Q,$B2268,'Desenvolvimento diário'!$P:$P,$F2268,'Desenvolvimento diário'!$R:$R,"Sim")</f>
        <v>0</v>
      </c>
      <c r="Q2268" s="5">
        <f>SUMIFS('Desenvolvimento diário'!$H:$H,'Desenvolvimento diário'!$Q:$Q,$B2268,'Desenvolvimento diário'!$P:$P,$F2268,'Desenvolvimento diário'!$R:$R,"Não")</f>
        <v>0</v>
      </c>
      <c r="R2268" s="4">
        <f t="shared" si="704"/>
        <v>0</v>
      </c>
      <c r="S2268" s="4">
        <f t="shared" si="705"/>
        <v>0</v>
      </c>
      <c r="T2268" s="12">
        <f t="shared" si="707"/>
        <v>0</v>
      </c>
      <c r="Y2268" s="2"/>
      <c r="Z2268" s="2"/>
      <c r="AA2268" s="2"/>
      <c r="AB2268" s="2"/>
      <c r="AC2268" s="2"/>
    </row>
    <row r="2269" spans="1:29" ht="10.5" hidden="1">
      <c r="A2269" s="2">
        <f t="shared" si="706"/>
        <v>65</v>
      </c>
      <c r="B2269" s="2" t="str">
        <f>VLOOKUP($A2269,Controle!$B$4:$F$68,2,FALSE)</f>
        <v>EDN</v>
      </c>
      <c r="C2269" s="2" t="str">
        <f>VLOOKUP($A2269,Controle!$B$4:$F$68,3,FALSE)</f>
        <v xml:space="preserve">ESTRELA DO NORTE </v>
      </c>
      <c r="D2269" s="2" t="str">
        <f>VLOOKUP($A2269,Controle!$B$4:$F$68,4,FALSE)</f>
        <v>EDN</v>
      </c>
      <c r="E2269" s="2">
        <f>VLOOKUP($A2269,Controle!$B$4:$F$68,5,FALSE)</f>
        <v>0</v>
      </c>
      <c r="F2269" s="3" t="str">
        <f t="shared" si="701"/>
        <v>Full EPC - Contrato Sobressalentes</v>
      </c>
      <c r="G2269" s="2" t="str">
        <f>VLOOKUP($A2269,Controle!$B$4:$G$68,6,FALSE)</f>
        <v>Apolo</v>
      </c>
      <c r="H2269" s="6">
        <v>0</v>
      </c>
      <c r="I2269" s="5">
        <f t="shared" si="702"/>
        <v>0</v>
      </c>
      <c r="J2269" s="6">
        <v>0</v>
      </c>
      <c r="K2269" s="6">
        <v>0</v>
      </c>
      <c r="L2269" s="6">
        <v>0</v>
      </c>
      <c r="M2269" s="6">
        <v>0</v>
      </c>
      <c r="N2269" s="6">
        <v>0</v>
      </c>
      <c r="O2269" s="4">
        <f t="shared" si="703"/>
        <v>0</v>
      </c>
      <c r="P2269" s="5">
        <f>SUMIFS('Desenvolvimento diário'!$H:$H,'Desenvolvimento diário'!$Q:$Q,$B2269,'Desenvolvimento diário'!$P:$P,$F2269,'Desenvolvimento diário'!$R:$R,"Sim")</f>
        <v>0</v>
      </c>
      <c r="Q2269" s="5">
        <f>SUMIFS('Desenvolvimento diário'!$H:$H,'Desenvolvimento diário'!$Q:$Q,$B2269,'Desenvolvimento diário'!$P:$P,$F2269,'Desenvolvimento diário'!$R:$R,"Não")</f>
        <v>0</v>
      </c>
      <c r="R2269" s="4">
        <f t="shared" si="704"/>
        <v>0</v>
      </c>
      <c r="S2269" s="4">
        <f t="shared" si="705"/>
        <v>0</v>
      </c>
      <c r="T2269" s="12">
        <f t="shared" si="707"/>
        <v>0</v>
      </c>
      <c r="Y2269" s="2"/>
      <c r="Z2269" s="2"/>
      <c r="AA2269" s="2"/>
      <c r="AB2269" s="2"/>
      <c r="AC2269" s="2"/>
    </row>
    <row r="2270" spans="1:29" ht="10.5" hidden="1">
      <c r="A2270" s="2">
        <f t="shared" si="706"/>
        <v>65</v>
      </c>
      <c r="B2270" s="2" t="str">
        <f>VLOOKUP($A2270,Controle!$B$4:$F$68,2,FALSE)</f>
        <v>EDN</v>
      </c>
      <c r="C2270" s="2" t="str">
        <f>VLOOKUP($A2270,Controle!$B$4:$F$68,3,FALSE)</f>
        <v xml:space="preserve">ESTRELA DO NORTE </v>
      </c>
      <c r="D2270" s="2" t="str">
        <f>VLOOKUP($A2270,Controle!$B$4:$F$68,4,FALSE)</f>
        <v>EDN</v>
      </c>
      <c r="E2270" s="2">
        <f>VLOOKUP($A2270,Controle!$B$4:$F$68,5,FALSE)</f>
        <v>0</v>
      </c>
      <c r="F2270" s="3" t="str">
        <f t="shared" si="701"/>
        <v>Construção - Serviços de Construção - NOVA MORADA</v>
      </c>
      <c r="G2270" s="2" t="str">
        <f>VLOOKUP($A2270,Controle!$B$4:$G$68,6,FALSE)</f>
        <v>Apolo</v>
      </c>
      <c r="H2270" s="6">
        <v>0</v>
      </c>
      <c r="I2270" s="5">
        <f t="shared" si="702"/>
        <v>0</v>
      </c>
      <c r="J2270" s="6">
        <v>0</v>
      </c>
      <c r="K2270" s="6">
        <v>0</v>
      </c>
      <c r="L2270" s="6">
        <v>0</v>
      </c>
      <c r="M2270" s="6">
        <v>0</v>
      </c>
      <c r="N2270" s="6">
        <v>0</v>
      </c>
      <c r="O2270" s="4">
        <f t="shared" si="703"/>
        <v>0</v>
      </c>
      <c r="P2270" s="5">
        <f>SUMIFS('Desenvolvimento diário'!$H:$H,'Desenvolvimento diário'!$Q:$Q,$B2270,'Desenvolvimento diário'!$P:$P,$F2270,'Desenvolvimento diário'!$R:$R,"Sim")</f>
        <v>0</v>
      </c>
      <c r="Q2270" s="5">
        <f>SUMIFS('Desenvolvimento diário'!$H:$H,'Desenvolvimento diário'!$Q:$Q,$B2270,'Desenvolvimento diário'!$P:$P,$F2270,'Desenvolvimento diário'!$R:$R,"Não")</f>
        <v>0</v>
      </c>
      <c r="R2270" s="4">
        <f t="shared" si="704"/>
        <v>0</v>
      </c>
      <c r="S2270" s="4">
        <f t="shared" si="705"/>
        <v>0</v>
      </c>
      <c r="T2270" s="12">
        <f t="shared" si="707"/>
        <v>0</v>
      </c>
      <c r="Y2270" s="2"/>
      <c r="Z2270" s="2"/>
      <c r="AA2270" s="2"/>
      <c r="AB2270" s="2"/>
      <c r="AC2270" s="2"/>
    </row>
    <row r="2271" spans="1:29" ht="10.5" hidden="1">
      <c r="A2271" s="2">
        <f t="shared" si="706"/>
        <v>65</v>
      </c>
      <c r="B2271" s="2" t="str">
        <f>VLOOKUP($A2271,Controle!$B$4:$F$68,2,FALSE)</f>
        <v>EDN</v>
      </c>
      <c r="C2271" s="2" t="str">
        <f>VLOOKUP($A2271,Controle!$B$4:$F$68,3,FALSE)</f>
        <v xml:space="preserve">ESTRELA DO NORTE </v>
      </c>
      <c r="D2271" s="2" t="str">
        <f>VLOOKUP($A2271,Controle!$B$4:$F$68,4,FALSE)</f>
        <v>EDN</v>
      </c>
      <c r="E2271" s="2">
        <f>VLOOKUP($A2271,Controle!$B$4:$F$68,5,FALSE)</f>
        <v>0</v>
      </c>
      <c r="F2271" s="3" t="str">
        <f t="shared" si="701"/>
        <v>Equipamentos Curva A -  Contrato Sobressalentes - SETTA</v>
      </c>
      <c r="G2271" s="2" t="str">
        <f>VLOOKUP($A2271,Controle!$B$4:$G$68,6,FALSE)</f>
        <v>Apolo</v>
      </c>
      <c r="H2271" s="6">
        <v>0</v>
      </c>
      <c r="I2271" s="5">
        <f t="shared" si="702"/>
        <v>0</v>
      </c>
      <c r="J2271" s="6">
        <v>0</v>
      </c>
      <c r="K2271" s="6">
        <v>0</v>
      </c>
      <c r="L2271" s="6">
        <v>0</v>
      </c>
      <c r="M2271" s="6">
        <v>0</v>
      </c>
      <c r="N2271" s="6">
        <v>0</v>
      </c>
      <c r="O2271" s="4">
        <f t="shared" si="703"/>
        <v>0</v>
      </c>
      <c r="P2271" s="5">
        <f>SUMIFS('Desenvolvimento diário'!$H:$H,'Desenvolvimento diário'!$Q:$Q,$B2271,'Desenvolvimento diário'!$P:$P,$F2271,'Desenvolvimento diário'!$R:$R,"Sim")</f>
        <v>0</v>
      </c>
      <c r="Q2271" s="5">
        <f>SUMIFS('Desenvolvimento diário'!$H:$H,'Desenvolvimento diário'!$Q:$Q,$B2271,'Desenvolvimento diário'!$P:$P,$F2271,'Desenvolvimento diário'!$R:$R,"Não")</f>
        <v>0</v>
      </c>
      <c r="R2271" s="4">
        <f t="shared" si="704"/>
        <v>0</v>
      </c>
      <c r="S2271" s="4">
        <f t="shared" si="705"/>
        <v>0</v>
      </c>
      <c r="T2271" s="12">
        <f t="shared" si="707"/>
        <v>0</v>
      </c>
      <c r="Y2271" s="2"/>
      <c r="Z2271" s="2"/>
      <c r="AA2271" s="2"/>
      <c r="AB2271" s="2"/>
      <c r="AC2271" s="2"/>
    </row>
    <row r="2272" spans="1:29" ht="10.5" hidden="1">
      <c r="A2272" s="2">
        <f t="shared" si="706"/>
        <v>65</v>
      </c>
      <c r="B2272" s="2" t="str">
        <f>VLOOKUP($A2272,Controle!$B$4:$F$68,2,FALSE)</f>
        <v>EDN</v>
      </c>
      <c r="C2272" s="2" t="str">
        <f>VLOOKUP($A2272,Controle!$B$4:$F$68,3,FALSE)</f>
        <v xml:space="preserve">ESTRELA DO NORTE </v>
      </c>
      <c r="D2272" s="2" t="str">
        <f>VLOOKUP($A2272,Controle!$B$4:$F$68,4,FALSE)</f>
        <v>EDN</v>
      </c>
      <c r="E2272" s="2">
        <f>VLOOKUP($A2272,Controle!$B$4:$F$68,5,FALSE)</f>
        <v>0</v>
      </c>
      <c r="F2272" s="3" t="str">
        <f t="shared" si="701"/>
        <v>Equipamentos Curva A -  Contrato Sobressalentes - Arctech</v>
      </c>
      <c r="G2272" s="2" t="str">
        <f>VLOOKUP($A2272,Controle!$B$4:$G$68,6,FALSE)</f>
        <v>Apolo</v>
      </c>
      <c r="H2272" s="29" t="s">
        <v>241</v>
      </c>
      <c r="I2272" s="5"/>
      <c r="J2272" s="6">
        <v>0</v>
      </c>
      <c r="K2272" s="6">
        <v>0</v>
      </c>
      <c r="L2272" s="6">
        <v>0</v>
      </c>
      <c r="M2272" s="6">
        <v>0</v>
      </c>
      <c r="N2272" s="6">
        <v>0</v>
      </c>
      <c r="O2272" s="4">
        <f t="shared" si="703"/>
        <v>0</v>
      </c>
      <c r="P2272" s="5">
        <f>SUMIFS('Desenvolvimento diário'!$H:$H,'Desenvolvimento diário'!$Q:$Q,$B2272,'Desenvolvimento diário'!$P:$P,$F2272,'Desenvolvimento diário'!$R:$R,"Sim")</f>
        <v>0</v>
      </c>
      <c r="Q2272" s="5">
        <f>SUMIFS('Desenvolvimento diário'!$H:$H,'Desenvolvimento diário'!$Q:$Q,$B2272,'Desenvolvimento diário'!$P:$P,$F2272,'Desenvolvimento diário'!$R:$R,"Não")</f>
        <v>0</v>
      </c>
      <c r="R2272" s="4">
        <f t="shared" si="704"/>
        <v>0</v>
      </c>
      <c r="S2272" s="33">
        <f t="shared" si="705"/>
        <v>0</v>
      </c>
      <c r="T2272" s="12">
        <f t="shared" si="707"/>
        <v>0</v>
      </c>
      <c r="U2272" s="510" t="s">
        <v>166</v>
      </c>
      <c r="V2272" s="510" t="s">
        <v>242</v>
      </c>
      <c r="Y2272" s="2"/>
      <c r="Z2272" s="2"/>
      <c r="AA2272" s="2"/>
      <c r="AB2272" s="2"/>
      <c r="AC2272" s="2"/>
    </row>
    <row r="2273" spans="1:29" hidden="1">
      <c r="A2273" s="2">
        <f t="shared" si="706"/>
        <v>65</v>
      </c>
      <c r="B2273" s="2" t="str">
        <f>VLOOKUP($A2273,Controle!$B$4:$F$68,2,FALSE)</f>
        <v>EDN</v>
      </c>
      <c r="C2273" s="2" t="str">
        <f>VLOOKUP($A2273,Controle!$B$4:$F$68,3,FALSE)</f>
        <v xml:space="preserve">ESTRELA DO NORTE </v>
      </c>
      <c r="D2273" s="2" t="str">
        <f>VLOOKUP($A2273,Controle!$B$4:$F$68,4,FALSE)</f>
        <v>EDN</v>
      </c>
      <c r="E2273" s="2">
        <f>VLOOKUP($A2273,Controle!$B$4:$F$68,5,FALSE)</f>
        <v>0</v>
      </c>
      <c r="F2273" s="3" t="str">
        <f t="shared" si="701"/>
        <v>Equipamentos Curva A -  Contrato Sobressalentes - Romagnole</v>
      </c>
      <c r="G2273" s="2" t="str">
        <f>VLOOKUP($A2273,Controle!$B$4:$G$68,6,FALSE)</f>
        <v>Apolo</v>
      </c>
      <c r="H2273" s="7">
        <v>0</v>
      </c>
      <c r="I2273" s="17">
        <f t="shared" si="702"/>
        <v>0</v>
      </c>
      <c r="J2273" s="7">
        <v>0</v>
      </c>
      <c r="K2273" s="7">
        <v>0</v>
      </c>
      <c r="L2273" s="7">
        <v>0</v>
      </c>
      <c r="M2273" s="7">
        <v>0</v>
      </c>
      <c r="N2273" s="7">
        <v>0</v>
      </c>
      <c r="O2273" s="4">
        <f t="shared" si="703"/>
        <v>0</v>
      </c>
      <c r="P2273" s="17">
        <f>SUMIFS('Desenvolvimento diário'!$H:$H,'Desenvolvimento diário'!$Q:$Q,$B2273,'Desenvolvimento diário'!$P:$P,$F2273,'Desenvolvimento diário'!$R:$R,"Sim")</f>
        <v>0</v>
      </c>
      <c r="Q2273" s="17">
        <f>SUMIFS('Desenvolvimento diário'!$H:$H,'Desenvolvimento diário'!$Q:$Q,$B2273,'Desenvolvimento diário'!$P:$P,$F2273,'Desenvolvimento diário'!$R:$R,"Não")</f>
        <v>0</v>
      </c>
      <c r="R2273" s="4">
        <f t="shared" si="704"/>
        <v>0</v>
      </c>
      <c r="S2273" s="4">
        <f t="shared" si="705"/>
        <v>0</v>
      </c>
      <c r="T2273" s="12">
        <f t="shared" si="707"/>
        <v>0</v>
      </c>
      <c r="Y2273" s="2"/>
      <c r="Z2273" s="2"/>
      <c r="AA2273" s="2"/>
      <c r="AB2273" s="2"/>
      <c r="AC2273" s="2"/>
    </row>
    <row r="2274" spans="1:29" hidden="1">
      <c r="A2274" s="2">
        <f t="shared" si="706"/>
        <v>65</v>
      </c>
      <c r="B2274" s="2" t="str">
        <f>VLOOKUP($A2274,Controle!$B$4:$F$68,2,FALSE)</f>
        <v>EDN</v>
      </c>
      <c r="C2274" s="2" t="str">
        <f>VLOOKUP($A2274,Controle!$B$4:$F$68,3,FALSE)</f>
        <v xml:space="preserve">ESTRELA DO NORTE </v>
      </c>
      <c r="D2274" s="2" t="str">
        <f>VLOOKUP($A2274,Controle!$B$4:$F$68,4,FALSE)</f>
        <v>EDN</v>
      </c>
      <c r="E2274" s="2">
        <f>VLOOKUP($A2274,Controle!$B$4:$F$68,5,FALSE)</f>
        <v>0</v>
      </c>
      <c r="F2274" s="3" t="str">
        <f t="shared" si="701"/>
        <v>GOS FLORESTAL - (PRAD - Recuperação Area Ambiental)</v>
      </c>
      <c r="G2274" s="2" t="str">
        <f>VLOOKUP($A2274,Controle!$B$4:$G$68,6,FALSE)</f>
        <v>Apolo</v>
      </c>
      <c r="H2274" s="7">
        <v>0</v>
      </c>
      <c r="I2274" s="5">
        <f t="shared" si="702"/>
        <v>0</v>
      </c>
      <c r="J2274" s="7">
        <v>0</v>
      </c>
      <c r="K2274" s="7">
        <v>0</v>
      </c>
      <c r="L2274" s="7">
        <v>0</v>
      </c>
      <c r="M2274" s="7">
        <v>0</v>
      </c>
      <c r="N2274" s="7">
        <v>0</v>
      </c>
      <c r="O2274" s="39">
        <f t="shared" si="703"/>
        <v>0</v>
      </c>
      <c r="P2274" s="17">
        <f>SUMIFS('Desenvolvimento diário'!$H:$H,'Desenvolvimento diário'!$Q:$Q,$B2274,'Desenvolvimento diário'!$P:$P,$F2274,'Desenvolvimento diário'!$R:$R,"Sim")</f>
        <v>0</v>
      </c>
      <c r="Q2274" s="17">
        <f>SUMIFS('Desenvolvimento diário'!$H:$H,'Desenvolvimento diário'!$Q:$Q,$B2274,'Desenvolvimento diário'!$P:$P,$F2274,'Desenvolvimento diário'!$R:$R,"Não")</f>
        <v>0</v>
      </c>
      <c r="R2274" s="4">
        <f t="shared" si="704"/>
        <v>0</v>
      </c>
      <c r="S2274" s="4">
        <f t="shared" si="705"/>
        <v>0</v>
      </c>
      <c r="T2274" s="12">
        <f t="shared" si="707"/>
        <v>0</v>
      </c>
      <c r="Y2274" s="2"/>
      <c r="Z2274" s="2"/>
      <c r="AA2274" s="2"/>
      <c r="AB2274" s="2"/>
      <c r="AC2274" s="2"/>
    </row>
    <row r="2275" spans="1:29" hidden="1">
      <c r="A2275" s="2">
        <f t="shared" si="706"/>
        <v>65</v>
      </c>
      <c r="B2275" s="2" t="str">
        <f>VLOOKUP($A2275,Controle!$B$4:$F$68,2,FALSE)</f>
        <v>EDN</v>
      </c>
      <c r="C2275" s="2" t="str">
        <f>VLOOKUP($A2275,Controle!$B$4:$F$68,3,FALSE)</f>
        <v xml:space="preserve">ESTRELA DO NORTE </v>
      </c>
      <c r="D2275" s="2" t="str">
        <f>VLOOKUP($A2275,Controle!$B$4:$F$68,4,FALSE)</f>
        <v>EDN</v>
      </c>
      <c r="E2275" s="2">
        <f>VLOOKUP($A2275,Controle!$B$4:$F$68,5,FALSE)</f>
        <v>0</v>
      </c>
      <c r="F2275" s="3" t="str">
        <f t="shared" si="701"/>
        <v>Cercamento das bacias de contenção ciclo 2</v>
      </c>
      <c r="G2275" s="2" t="str">
        <f>VLOOKUP($A2275,Controle!$B$4:$G$68,6,FALSE)</f>
        <v>Apolo</v>
      </c>
      <c r="H2275" s="7">
        <v>0</v>
      </c>
      <c r="I2275" s="17">
        <f t="shared" si="702"/>
        <v>0</v>
      </c>
      <c r="J2275" s="7">
        <v>0</v>
      </c>
      <c r="K2275" s="7">
        <v>0</v>
      </c>
      <c r="L2275" s="7">
        <v>0</v>
      </c>
      <c r="M2275" s="7">
        <v>0</v>
      </c>
      <c r="N2275" s="7">
        <v>0</v>
      </c>
      <c r="O2275" s="39">
        <f>SUM(I2275:N2275)</f>
        <v>0</v>
      </c>
      <c r="P2275" s="17">
        <f>SUMIFS('Desenvolvimento diário'!$H:$H,'Desenvolvimento diário'!$Q:$Q,$B2275,'Desenvolvimento diário'!$P:$P,$F2275,'Desenvolvimento diário'!$R:$R,"Sim")</f>
        <v>0</v>
      </c>
      <c r="Q2275" s="17">
        <f>SUMIFS('Desenvolvimento diário'!$H:$H,'Desenvolvimento diário'!$Q:$Q,$B2275,'Desenvolvimento diário'!$P:$P,$F2275,'Desenvolvimento diário'!$R:$R,"Não")</f>
        <v>0</v>
      </c>
      <c r="R2275" s="4">
        <f t="shared" si="704"/>
        <v>0</v>
      </c>
      <c r="S2275" s="1030">
        <f t="shared" si="705"/>
        <v>0</v>
      </c>
      <c r="T2275" s="12">
        <f t="shared" si="707"/>
        <v>0</v>
      </c>
      <c r="U2275" s="1029"/>
      <c r="V2275" s="1029" t="s">
        <v>94</v>
      </c>
      <c r="Y2275" s="2"/>
      <c r="Z2275" s="2"/>
      <c r="AA2275" s="2"/>
      <c r="AB2275" s="2"/>
      <c r="AC2275" s="2"/>
    </row>
    <row r="2276" spans="1:29" hidden="1">
      <c r="A2276" s="8">
        <f t="shared" ref="A2276:E2276" si="709">A2273</f>
        <v>65</v>
      </c>
      <c r="B2276" s="9" t="str">
        <f t="shared" si="709"/>
        <v>EDN</v>
      </c>
      <c r="C2276" s="9" t="str">
        <f t="shared" si="709"/>
        <v xml:space="preserve">ESTRELA DO NORTE </v>
      </c>
      <c r="D2276" s="9" t="str">
        <f t="shared" si="709"/>
        <v>EDN</v>
      </c>
      <c r="E2276" s="9">
        <f t="shared" si="709"/>
        <v>0</v>
      </c>
      <c r="F2276" s="10" t="s">
        <v>158</v>
      </c>
      <c r="G2276" s="9" t="str">
        <f>G2273</f>
        <v>Apolo</v>
      </c>
      <c r="H2276" s="9"/>
      <c r="I2276" s="9">
        <f>SUBTOTAL(9,I2242:I2275)</f>
        <v>0</v>
      </c>
      <c r="J2276" s="9">
        <f t="shared" ref="J2276:S2276" si="710">SUBTOTAL(9,J2242:J2275)</f>
        <v>0</v>
      </c>
      <c r="K2276" s="9">
        <f t="shared" si="710"/>
        <v>0</v>
      </c>
      <c r="L2276" s="9">
        <f t="shared" si="710"/>
        <v>0</v>
      </c>
      <c r="M2276" s="9">
        <f t="shared" si="710"/>
        <v>0</v>
      </c>
      <c r="N2276" s="9">
        <f t="shared" si="710"/>
        <v>0</v>
      </c>
      <c r="O2276" s="9">
        <f t="shared" si="710"/>
        <v>0</v>
      </c>
      <c r="P2276" s="9">
        <f t="shared" si="710"/>
        <v>0</v>
      </c>
      <c r="Q2276" s="9">
        <f t="shared" si="710"/>
        <v>0</v>
      </c>
      <c r="R2276" s="9">
        <f t="shared" si="710"/>
        <v>0</v>
      </c>
      <c r="S2276" s="9">
        <f t="shared" si="710"/>
        <v>0</v>
      </c>
      <c r="T2276" s="13">
        <f t="shared" si="707"/>
        <v>0</v>
      </c>
      <c r="U2276" s="11">
        <f>SUBTOTAL(9,U2242:U2276)</f>
        <v>0</v>
      </c>
      <c r="Y2276" s="2"/>
      <c r="Z2276" s="2"/>
      <c r="AA2276" s="2"/>
      <c r="AB2276" s="2"/>
      <c r="AC2276" s="2"/>
    </row>
    <row r="2277" spans="1:29" s="94" customFormat="1" hidden="1">
      <c r="A2277" s="1031">
        <v>0</v>
      </c>
      <c r="B2277" s="1031">
        <v>0</v>
      </c>
      <c r="C2277" s="1031">
        <v>0</v>
      </c>
      <c r="D2277" s="1031">
        <v>0</v>
      </c>
      <c r="E2277" s="1031">
        <v>0</v>
      </c>
      <c r="F2277" s="37" t="str">
        <f t="shared" ref="F2277:F2310" si="711">F2102</f>
        <v>Conexão AT - Obras</v>
      </c>
      <c r="G2277" s="94" t="s">
        <v>124</v>
      </c>
      <c r="H2277" s="1032">
        <v>0</v>
      </c>
      <c r="I2277" s="1033">
        <f>SUMIFS(I$2:I$2273,$F$2:$F$2273,$F2277)</f>
        <v>15075447.41</v>
      </c>
      <c r="J2277" s="1033">
        <f>SUMIFS(J$2:J$2273,$F$2:$F$2273,$F2277)</f>
        <v>0</v>
      </c>
      <c r="K2277" s="1033">
        <f>SUMIFS(K$2:K$2273,$F$2:$F$2273,$F2277)</f>
        <v>0</v>
      </c>
      <c r="L2277" s="1033">
        <f>SUMIFS(L$2:L$2273,$F$2:$F$2273,$F2277)</f>
        <v>0</v>
      </c>
      <c r="M2277" s="1033">
        <f>SUMIFS(M$2:M$2273,$F$2:$F$2273,$F2277)</f>
        <v>0</v>
      </c>
      <c r="N2277" s="1033">
        <f>SUMIFS(N$2:N$2273,$F$2:$F$2273,$F2277)</f>
        <v>0</v>
      </c>
      <c r="O2277" s="1034">
        <f t="shared" ref="O2277:O2310" si="712">SUM(I2277:N2277)</f>
        <v>15075447.41</v>
      </c>
      <c r="P2277" s="1034">
        <f>SUMIFS(P$2:P$2273,$F$2:$F$2273,$F2277)</f>
        <v>3257130.8299999996</v>
      </c>
      <c r="Q2277" s="1034">
        <f>SUMIFS(Q$2:Q$2273,$F$2:$F$2273,$F2277)</f>
        <v>11818316.58</v>
      </c>
      <c r="R2277" s="1034">
        <f t="shared" ref="R2277:R2310" si="713">SUM(P2277:Q2277)</f>
        <v>15075447.41</v>
      </c>
      <c r="S2277" s="1035">
        <f t="shared" ref="S2277:S2310" si="714">O2277-R2277</f>
        <v>0</v>
      </c>
      <c r="T2277" s="1039">
        <f t="shared" si="659"/>
        <v>1</v>
      </c>
    </row>
    <row r="2278" spans="1:29" s="94" customFormat="1" hidden="1">
      <c r="A2278" s="1031">
        <v>0</v>
      </c>
      <c r="B2278" s="1031">
        <v>0</v>
      </c>
      <c r="C2278" s="1031">
        <v>0</v>
      </c>
      <c r="D2278" s="1031">
        <v>0</v>
      </c>
      <c r="E2278" s="1031">
        <v>0</v>
      </c>
      <c r="F2278" s="37" t="str">
        <f t="shared" si="711"/>
        <v>Conexão MT - Obras</v>
      </c>
      <c r="G2278" s="94" t="s">
        <v>124</v>
      </c>
      <c r="H2278" s="1031">
        <v>0</v>
      </c>
      <c r="I2278" s="94">
        <f>SUMIFS(I$2:I$2273,$F$2:$F$2273,$F2278)</f>
        <v>66851032.002000004</v>
      </c>
      <c r="J2278" s="94">
        <f>SUMIFS(J$2:J$2273,$F$2:$F$2273,$F2278)</f>
        <v>36465298.850000001</v>
      </c>
      <c r="K2278" s="94">
        <f>SUMIFS(K$2:K$2273,$F$2:$F$2273,$F2278)</f>
        <v>14060449.128</v>
      </c>
      <c r="L2278" s="94">
        <f>SUMIFS(L$2:L$2273,$F$2:$F$2273,$F2278)</f>
        <v>5580703.4400000004</v>
      </c>
      <c r="M2278" s="94">
        <f>SUMIFS(M$2:M$2273,$F$2:$F$2273,$F2278)</f>
        <v>-621879.28999999992</v>
      </c>
      <c r="N2278" s="94">
        <f>SUMIFS(N$2:N$2273,$F$2:$F$2273,$F2278)</f>
        <v>-147084.37000000023</v>
      </c>
      <c r="O2278" s="39">
        <f t="shared" si="712"/>
        <v>122188519.75999999</v>
      </c>
      <c r="P2278" s="39">
        <f>SUMIFS(P$2:P$2273,$F$2:$F$2273,$F2278)</f>
        <v>52885172.520000003</v>
      </c>
      <c r="Q2278" s="39">
        <f>SUMIFS(Q$2:Q$2273,$F$2:$F$2273,$F2278)</f>
        <v>59859261.289999999</v>
      </c>
      <c r="R2278" s="39">
        <f t="shared" si="713"/>
        <v>112744433.81</v>
      </c>
      <c r="S2278" s="1036">
        <f t="shared" si="714"/>
        <v>9444085.9499999881</v>
      </c>
      <c r="T2278" s="1040">
        <f t="shared" si="659"/>
        <v>0.9227088930404439</v>
      </c>
    </row>
    <row r="2279" spans="1:29" s="94" customFormat="1" hidden="1">
      <c r="A2279" s="1031">
        <v>0</v>
      </c>
      <c r="B2279" s="1031">
        <v>0</v>
      </c>
      <c r="C2279" s="1031">
        <v>0</v>
      </c>
      <c r="D2279" s="1031">
        <v>0</v>
      </c>
      <c r="E2279" s="1031">
        <v>0</v>
      </c>
      <c r="F2279" s="37" t="str">
        <f t="shared" si="711"/>
        <v>Construção - Serviços de Construção</v>
      </c>
      <c r="G2279" s="94" t="s">
        <v>124</v>
      </c>
      <c r="H2279" s="1031">
        <v>0</v>
      </c>
      <c r="I2279" s="94">
        <f>SUMIFS(I$2:I$2273,$F$2:$F$2273,$F2279)</f>
        <v>111180737.98</v>
      </c>
      <c r="J2279" s="94">
        <f>SUMIFS(J$2:J$2273,$F$2:$F$2273,$F2279)</f>
        <v>12195100.479999999</v>
      </c>
      <c r="K2279" s="94">
        <f>SUMIFS(K$2:K$2273,$F$2:$F$2273,$F2279)</f>
        <v>8804620.0376936831</v>
      </c>
      <c r="L2279" s="94">
        <f>SUMIFS(L$2:L$2273,$F$2:$F$2273,$F2279)</f>
        <v>2563975.1823063167</v>
      </c>
      <c r="M2279" s="94">
        <f>SUMIFS(M$2:M$2273,$F$2:$F$2273,$F2279)</f>
        <v>3243869.26</v>
      </c>
      <c r="N2279" s="94">
        <f>SUMIFS(N$2:N$2273,$F$2:$F$2273,$F2279)</f>
        <v>2455077.0100000002</v>
      </c>
      <c r="O2279" s="39">
        <f t="shared" si="712"/>
        <v>140443379.94999999</v>
      </c>
      <c r="P2279" s="39">
        <f>SUMIFS(P$2:P$2273,$F$2:$F$2273,$F2279)</f>
        <v>31868612.820000011</v>
      </c>
      <c r="Q2279" s="39">
        <f>SUMIFS(Q$2:Q$2273,$F$2:$F$2273,$F2279)</f>
        <v>106461912.94500001</v>
      </c>
      <c r="R2279" s="39">
        <f t="shared" si="713"/>
        <v>138330525.76500002</v>
      </c>
      <c r="S2279" s="1036">
        <f t="shared" si="714"/>
        <v>2112854.1849999726</v>
      </c>
      <c r="T2279" s="1040">
        <f t="shared" si="659"/>
        <v>0.98495582927616676</v>
      </c>
    </row>
    <row r="2280" spans="1:29" s="94" customFormat="1" hidden="1">
      <c r="A2280" s="1031">
        <v>0</v>
      </c>
      <c r="B2280" s="1031">
        <v>0</v>
      </c>
      <c r="C2280" s="1031">
        <v>0</v>
      </c>
      <c r="D2280" s="1031">
        <v>0</v>
      </c>
      <c r="E2280" s="1031">
        <v>0</v>
      </c>
      <c r="F2280" s="37" t="str">
        <f t="shared" si="711"/>
        <v>Construção - Serviços de Construção - Substituição</v>
      </c>
      <c r="G2280" s="94" t="s">
        <v>124</v>
      </c>
      <c r="H2280" s="1031">
        <v>0</v>
      </c>
      <c r="I2280" s="94">
        <f>SUMIFS(I$2:I$2273,$F$2:$F$2273,$F2280)</f>
        <v>60558470.449999988</v>
      </c>
      <c r="J2280" s="94">
        <f>SUMIFS(J$2:J$2273,$F$2:$F$2273,$F2280)</f>
        <v>2475178.14</v>
      </c>
      <c r="K2280" s="94">
        <f>SUMIFS(K$2:K$2273,$F$2:$F$2273,$F2280)</f>
        <v>0</v>
      </c>
      <c r="L2280" s="94">
        <f>SUMIFS(L$2:L$2273,$F$2:$F$2273,$F2280)</f>
        <v>0</v>
      </c>
      <c r="M2280" s="94">
        <f>SUMIFS(M$2:M$2273,$F$2:$F$2273,$F2280)</f>
        <v>0</v>
      </c>
      <c r="N2280" s="94">
        <f>SUMIFS(N$2:N$2273,$F$2:$F$2273,$F2280)</f>
        <v>0</v>
      </c>
      <c r="O2280" s="39">
        <f t="shared" si="712"/>
        <v>63033648.589999989</v>
      </c>
      <c r="P2280" s="39">
        <f>SUMIFS(P$2:P$2273,$F$2:$F$2273,$F2280)</f>
        <v>14877796.409999998</v>
      </c>
      <c r="Q2280" s="39">
        <f>SUMIFS(Q$2:Q$2273,$F$2:$F$2273,$F2280)</f>
        <v>14813281.800000008</v>
      </c>
      <c r="R2280" s="39">
        <f t="shared" si="713"/>
        <v>29691078.210000008</v>
      </c>
      <c r="S2280" s="1036">
        <f t="shared" si="714"/>
        <v>33342570.37999998</v>
      </c>
      <c r="T2280" s="1040">
        <f t="shared" si="659"/>
        <v>0.47103537355301323</v>
      </c>
    </row>
    <row r="2281" spans="1:29" s="94" customFormat="1" hidden="1">
      <c r="A2281" s="1031">
        <v>0</v>
      </c>
      <c r="B2281" s="1031">
        <v>0</v>
      </c>
      <c r="C2281" s="1031">
        <v>0</v>
      </c>
      <c r="D2281" s="1031">
        <v>0</v>
      </c>
      <c r="E2281" s="1031">
        <v>0</v>
      </c>
      <c r="F2281" s="37" t="str">
        <f t="shared" si="711"/>
        <v>Construção - RDA Interno</v>
      </c>
      <c r="G2281" s="94" t="s">
        <v>124</v>
      </c>
      <c r="H2281" s="1031">
        <v>0</v>
      </c>
      <c r="I2281" s="94">
        <f>SUMIFS(I$2:I$2273,$F$2:$F$2273,$F2281)+0.1514</f>
        <v>18079588.191399999</v>
      </c>
      <c r="J2281" s="94">
        <f>SUMIFS(J$2:J$2273,$F$2:$F$2273,$F2281)</f>
        <v>696045.42</v>
      </c>
      <c r="K2281" s="94">
        <f>SUMIFS(K$2:K$2273,$F$2:$F$2273,$F2281)</f>
        <v>182444.66859999998</v>
      </c>
      <c r="L2281" s="94">
        <f>SUMIFS(L$2:L$2273,$F$2:$F$2273,$F2281)</f>
        <v>0</v>
      </c>
      <c r="M2281" s="94">
        <f>SUMIFS(M$2:M$2273,$F$2:$F$2273,$F2281)</f>
        <v>0</v>
      </c>
      <c r="N2281" s="94">
        <f>SUMIFS(N$2:N$2273,$F$2:$F$2273,$F2281)</f>
        <v>0</v>
      </c>
      <c r="O2281" s="39">
        <f t="shared" si="712"/>
        <v>18958078.280000001</v>
      </c>
      <c r="P2281" s="39">
        <f>SUMIFS(P$2:P$2273,$F$2:$F$2273,$F2281)</f>
        <v>1809887.78</v>
      </c>
      <c r="Q2281" s="39">
        <f>SUMIFS(Q$2:Q$2273,$F$2:$F$2273,$F2281)</f>
        <v>17148190.5</v>
      </c>
      <c r="R2281" s="39">
        <f t="shared" si="713"/>
        <v>18958078.280000001</v>
      </c>
      <c r="S2281" s="1036">
        <f>O2281-R2281</f>
        <v>0</v>
      </c>
      <c r="T2281" s="1040">
        <f t="shared" si="659"/>
        <v>1</v>
      </c>
    </row>
    <row r="2282" spans="1:29" s="94" customFormat="1" hidden="1">
      <c r="A2282" s="1031">
        <v>0</v>
      </c>
      <c r="B2282" s="1031">
        <v>0</v>
      </c>
      <c r="C2282" s="1031">
        <v>0</v>
      </c>
      <c r="D2282" s="1031">
        <v>0</v>
      </c>
      <c r="E2282" s="1031">
        <v>0</v>
      </c>
      <c r="F2282" s="37" t="str">
        <f t="shared" si="711"/>
        <v>Full EPC - Contrato</v>
      </c>
      <c r="G2282" s="94" t="s">
        <v>124</v>
      </c>
      <c r="H2282" s="1031">
        <v>0</v>
      </c>
      <c r="I2282" s="94">
        <f>SUMIFS(I$2:I$2273,$F$2:$F$2273,$F2282)</f>
        <v>211020721.46900001</v>
      </c>
      <c r="J2282" s="94">
        <f>SUMIFS(J$2:J$2273,$F$2:$F$2273,$F2282)</f>
        <v>0</v>
      </c>
      <c r="K2282" s="94">
        <f>SUMIFS(K$2:K$2273,$F$2:$F$2273,$F2282)</f>
        <v>0</v>
      </c>
      <c r="L2282" s="94">
        <f>SUMIFS(L$2:L$2273,$F$2:$F$2273,$F2282)</f>
        <v>0</v>
      </c>
      <c r="M2282" s="94">
        <f>SUMIFS(M$2:M$2273,$F$2:$F$2273,$F2282)</f>
        <v>0</v>
      </c>
      <c r="N2282" s="94">
        <f>SUMIFS(N$2:N$2273,$F$2:$F$2273,$F2282)</f>
        <v>0</v>
      </c>
      <c r="O2282" s="39">
        <f t="shared" si="712"/>
        <v>211020721.46900001</v>
      </c>
      <c r="P2282" s="39">
        <f>SUMIFS(P$2:P$2273,$F$2:$F$2273,$F2282)</f>
        <v>0</v>
      </c>
      <c r="Q2282" s="39">
        <f>SUMIFS(Q$2:Q$2273,$F$2:$F$2273,$F2282)</f>
        <v>211020721.46900001</v>
      </c>
      <c r="R2282" s="39">
        <f t="shared" si="713"/>
        <v>211020721.46900001</v>
      </c>
      <c r="S2282" s="1036">
        <f t="shared" si="714"/>
        <v>0</v>
      </c>
      <c r="T2282" s="1040">
        <f t="shared" si="659"/>
        <v>1</v>
      </c>
    </row>
    <row r="2283" spans="1:29" s="94" customFormat="1" hidden="1">
      <c r="A2283" s="1031">
        <v>0</v>
      </c>
      <c r="B2283" s="1031">
        <v>0</v>
      </c>
      <c r="C2283" s="1031">
        <v>0</v>
      </c>
      <c r="D2283" s="1031">
        <v>0</v>
      </c>
      <c r="E2283" s="1031">
        <v>0</v>
      </c>
      <c r="F2283" s="37" t="str">
        <f t="shared" si="711"/>
        <v>Equipamentos Curva A - Outros (Transformadores)</v>
      </c>
      <c r="G2283" s="94" t="s">
        <v>124</v>
      </c>
      <c r="H2283" s="1031">
        <v>0</v>
      </c>
      <c r="I2283" s="94">
        <f>SUMIFS(I$2:I$2273,$F$2:$F$2273,$F2283)</f>
        <v>4915893.2059999993</v>
      </c>
      <c r="J2283" s="94">
        <f>SUMIFS(J$2:J$2273,$F$2:$F$2273,$F2283)</f>
        <v>0</v>
      </c>
      <c r="K2283" s="94">
        <f>SUMIFS(K$2:K$2273,$F$2:$F$2273,$F2283)</f>
        <v>0</v>
      </c>
      <c r="L2283" s="94">
        <f>SUMIFS(L$2:L$2273,$F$2:$F$2273,$F2283)</f>
        <v>0</v>
      </c>
      <c r="M2283" s="94">
        <f>SUMIFS(M$2:M$2273,$F$2:$F$2273,$F2283)</f>
        <v>0</v>
      </c>
      <c r="N2283" s="94">
        <f>SUMIFS(N$2:N$2273,$F$2:$F$2273,$F2283)</f>
        <v>0</v>
      </c>
      <c r="O2283" s="39">
        <f t="shared" si="712"/>
        <v>4915893.2059999993</v>
      </c>
      <c r="P2283" s="39">
        <f>SUMIFS(P$2:P$2273,$F$2:$F$2273,$F2283)</f>
        <v>0</v>
      </c>
      <c r="Q2283" s="39">
        <f>SUMIFS(Q$2:Q$2273,$F$2:$F$2273,$F2283)</f>
        <v>4915893.2059999993</v>
      </c>
      <c r="R2283" s="39">
        <f t="shared" si="713"/>
        <v>4915893.2059999993</v>
      </c>
      <c r="S2283" s="1036">
        <f t="shared" si="714"/>
        <v>0</v>
      </c>
      <c r="T2283" s="1040">
        <f t="shared" ref="T2283:T2310" si="715">IFERROR(R2283/O2283,0)</f>
        <v>1</v>
      </c>
    </row>
    <row r="2284" spans="1:29" s="94" customFormat="1" hidden="1">
      <c r="A2284" s="1031">
        <v>0</v>
      </c>
      <c r="B2284" s="1031">
        <v>0</v>
      </c>
      <c r="C2284" s="1031">
        <v>0</v>
      </c>
      <c r="D2284" s="1031">
        <v>0</v>
      </c>
      <c r="E2284" s="1031">
        <v>0</v>
      </c>
      <c r="F2284" s="37" t="str">
        <f t="shared" si="711"/>
        <v>Equipamentos Curva A - Outros (Cabine + Skid)</v>
      </c>
      <c r="G2284" s="94" t="s">
        <v>124</v>
      </c>
      <c r="H2284" s="1031">
        <v>0</v>
      </c>
      <c r="I2284" s="94">
        <f>SUMIFS(I$2:I$2273,$F$2:$F$2273,$F2284)</f>
        <v>13683325.665774314</v>
      </c>
      <c r="J2284" s="94">
        <f>SUMIFS(J$2:J$2273,$F$2:$F$2273,$F2284)</f>
        <v>162156.89765957405</v>
      </c>
      <c r="K2284" s="94">
        <f>SUMIFS(K$2:K$2273,$F$2:$F$2273,$F2284)</f>
        <v>0</v>
      </c>
      <c r="L2284" s="94">
        <f>SUMIFS(L$2:L$2273,$F$2:$F$2273,$F2284)</f>
        <v>0</v>
      </c>
      <c r="M2284" s="94">
        <f>SUMIFS(M$2:M$2273,$F$2:$F$2273,$F2284)</f>
        <v>0</v>
      </c>
      <c r="N2284" s="94">
        <f>SUMIFS(N$2:N$2273,$F$2:$F$2273,$F2284)</f>
        <v>0</v>
      </c>
      <c r="O2284" s="39">
        <f t="shared" si="712"/>
        <v>13845482.563433887</v>
      </c>
      <c r="P2284" s="39">
        <f>SUMIFS(P$2:P$2273,$F$2:$F$2273,$F2284)</f>
        <v>0</v>
      </c>
      <c r="Q2284" s="39">
        <f>SUMIFS(Q$2:Q$2273,$F$2:$F$2273,$F2284)</f>
        <v>13845482.563433891</v>
      </c>
      <c r="R2284" s="39">
        <f t="shared" si="713"/>
        <v>13845482.563433891</v>
      </c>
      <c r="S2284" s="1036">
        <f t="shared" si="714"/>
        <v>0</v>
      </c>
      <c r="T2284" s="1040">
        <f t="shared" si="715"/>
        <v>1.0000000000000002</v>
      </c>
    </row>
    <row r="2285" spans="1:29" s="94" customFormat="1" hidden="1">
      <c r="A2285" s="1031">
        <v>0</v>
      </c>
      <c r="B2285" s="1031">
        <v>0</v>
      </c>
      <c r="C2285" s="1031">
        <v>0</v>
      </c>
      <c r="D2285" s="1031">
        <v>0</v>
      </c>
      <c r="E2285" s="1031">
        <v>0</v>
      </c>
      <c r="F2285" s="37" t="str">
        <f t="shared" si="711"/>
        <v>Equipamentos Curva A - Outros (Cabine + Skid + Transformador)</v>
      </c>
      <c r="G2285" s="94" t="s">
        <v>124</v>
      </c>
      <c r="H2285" s="1031">
        <v>0</v>
      </c>
      <c r="I2285" s="94">
        <f>SUMIFS(I$2:I$2273,$F$2:$F$2273,$F2285)</f>
        <v>33884999.361838475</v>
      </c>
      <c r="J2285" s="94">
        <f>SUMIFS(J$2:J$2273,$F$2:$F$2273,$F2285)</f>
        <v>0</v>
      </c>
      <c r="K2285" s="94">
        <f>SUMIFS(K$2:K$2273,$F$2:$F$2273,$F2285)</f>
        <v>0</v>
      </c>
      <c r="L2285" s="94">
        <f>SUMIFS(L$2:L$2273,$F$2:$F$2273,$F2285)</f>
        <v>0</v>
      </c>
      <c r="M2285" s="94">
        <f>SUMIFS(M$2:M$2273,$F$2:$F$2273,$F2285)</f>
        <v>0</v>
      </c>
      <c r="N2285" s="94">
        <f>SUMIFS(N$2:N$2273,$F$2:$F$2273,$F2285)</f>
        <v>0</v>
      </c>
      <c r="O2285" s="39">
        <f t="shared" si="712"/>
        <v>33884999.361838475</v>
      </c>
      <c r="P2285" s="39">
        <f>SUMIFS(P$2:P$2273,$F$2:$F$2273,$F2285)</f>
        <v>0</v>
      </c>
      <c r="Q2285" s="39">
        <f>SUMIFS(Q$2:Q$2273,$F$2:$F$2273,$F2285)</f>
        <v>33884999.361838475</v>
      </c>
      <c r="R2285" s="39">
        <f t="shared" si="713"/>
        <v>33884999.361838475</v>
      </c>
      <c r="S2285" s="1036">
        <f t="shared" si="714"/>
        <v>0</v>
      </c>
      <c r="T2285" s="1040">
        <f t="shared" si="715"/>
        <v>1</v>
      </c>
    </row>
    <row r="2286" spans="1:29" s="94" customFormat="1" hidden="1">
      <c r="A2286" s="1031">
        <v>0</v>
      </c>
      <c r="B2286" s="1031">
        <v>0</v>
      </c>
      <c r="C2286" s="1031">
        <v>0</v>
      </c>
      <c r="D2286" s="1031">
        <v>0</v>
      </c>
      <c r="E2286" s="1031">
        <v>0</v>
      </c>
      <c r="F2286" s="37" t="str">
        <f t="shared" si="711"/>
        <v>Desenvolvimento de projeto - Projetos - (Eng° Proprietario)</v>
      </c>
      <c r="G2286" s="94" t="s">
        <v>124</v>
      </c>
      <c r="H2286" s="1031">
        <v>0</v>
      </c>
      <c r="I2286" s="94">
        <f>SUMIFS(I$2:I$2273,$F$2:$F$2273,$F2286)</f>
        <v>10460895.370000001</v>
      </c>
      <c r="J2286" s="94">
        <f>SUMIFS(J$2:J$2273,$F$2:$F$2273,$F2286)</f>
        <v>0</v>
      </c>
      <c r="K2286" s="94">
        <f>SUMIFS(K$2:K$2273,$F$2:$F$2273,$F2286)</f>
        <v>0</v>
      </c>
      <c r="L2286" s="94">
        <f>SUMIFS(L$2:L$2273,$F$2:$F$2273,$F2286)</f>
        <v>0</v>
      </c>
      <c r="M2286" s="94">
        <f>SUMIFS(M$2:M$2273,$F$2:$F$2273,$F2286)</f>
        <v>0</v>
      </c>
      <c r="N2286" s="94">
        <f>SUMIFS(N$2:N$2273,$F$2:$F$2273,$F2286)</f>
        <v>0</v>
      </c>
      <c r="O2286" s="39">
        <f t="shared" si="712"/>
        <v>10460895.370000001</v>
      </c>
      <c r="P2286" s="39">
        <f>SUMIFS(P$2:P$2273,$F$2:$F$2273,$F2286)</f>
        <v>0</v>
      </c>
      <c r="Q2286" s="39">
        <f>SUMIFS(Q$2:Q$2273,$F$2:$F$2273,$F2286)</f>
        <v>10460895.370000001</v>
      </c>
      <c r="R2286" s="39">
        <f t="shared" si="713"/>
        <v>10460895.370000001</v>
      </c>
      <c r="S2286" s="1036">
        <f t="shared" si="714"/>
        <v>0</v>
      </c>
      <c r="T2286" s="1040">
        <f t="shared" si="715"/>
        <v>1</v>
      </c>
    </row>
    <row r="2287" spans="1:29" s="94" customFormat="1" hidden="1">
      <c r="A2287" s="1031">
        <v>0</v>
      </c>
      <c r="B2287" s="1031">
        <v>0</v>
      </c>
      <c r="C2287" s="1031">
        <v>0</v>
      </c>
      <c r="D2287" s="1031">
        <v>0</v>
      </c>
      <c r="E2287" s="1031">
        <v>0</v>
      </c>
      <c r="F2287" s="37" t="str">
        <f t="shared" si="711"/>
        <v>Desenvolvimento de projeto - Projetos - Executivos</v>
      </c>
      <c r="G2287" s="94" t="s">
        <v>124</v>
      </c>
      <c r="H2287" s="1031">
        <v>0</v>
      </c>
      <c r="I2287" s="94">
        <f>SUMIFS(I$2:I$2273,$F$2:$F$2273,$F2287)</f>
        <v>1315051.76</v>
      </c>
      <c r="J2287" s="94">
        <f>SUMIFS(J$2:J$2273,$F$2:$F$2273,$F2287)</f>
        <v>61800</v>
      </c>
      <c r="K2287" s="94">
        <f>SUMIFS(K$2:K$2273,$F$2:$F$2273,$F2287)</f>
        <v>20000</v>
      </c>
      <c r="L2287" s="94">
        <f>SUMIFS(L$2:L$2273,$F$2:$F$2273,$F2287)</f>
        <v>0</v>
      </c>
      <c r="M2287" s="94">
        <f>SUMIFS(M$2:M$2273,$F$2:$F$2273,$F2287)</f>
        <v>0</v>
      </c>
      <c r="N2287" s="94">
        <f>SUMIFS(N$2:N$2273,$F$2:$F$2273,$F2287)</f>
        <v>0</v>
      </c>
      <c r="O2287" s="39">
        <f t="shared" si="712"/>
        <v>1396851.76</v>
      </c>
      <c r="P2287" s="39">
        <f>SUMIFS(P$2:P$2273,$F$2:$F$2273,$F2287)</f>
        <v>0</v>
      </c>
      <c r="Q2287" s="39">
        <f>SUMIFS(Q$2:Q$2273,$F$2:$F$2273,$F2287)</f>
        <v>1396857.3599999999</v>
      </c>
      <c r="R2287" s="39">
        <f t="shared" si="713"/>
        <v>1396857.3599999999</v>
      </c>
      <c r="S2287" s="1036">
        <f t="shared" si="714"/>
        <v>-5.5999999998603016</v>
      </c>
      <c r="T2287" s="1040">
        <f t="shared" si="715"/>
        <v>1.0000040090152442</v>
      </c>
    </row>
    <row r="2288" spans="1:29" s="94" customFormat="1" hidden="1">
      <c r="A2288" s="1031">
        <v>0</v>
      </c>
      <c r="B2288" s="1031">
        <v>0</v>
      </c>
      <c r="C2288" s="1031">
        <v>0</v>
      </c>
      <c r="D2288" s="1031">
        <v>0</v>
      </c>
      <c r="E2288" s="1031">
        <v>0</v>
      </c>
      <c r="F2288" s="37" t="str">
        <f t="shared" si="711"/>
        <v>Desenvolvimento de projeto - Projetos Básica</v>
      </c>
      <c r="G2288" s="94" t="s">
        <v>124</v>
      </c>
      <c r="H2288" s="1031">
        <v>0</v>
      </c>
      <c r="I2288" s="94">
        <f>SUMIFS(I$2:I$2273,$F$2:$F$2273,$F2288)</f>
        <v>385000</v>
      </c>
      <c r="J2288" s="94">
        <f>SUMIFS(J$2:J$2273,$F$2:$F$2273,$F2288)</f>
        <v>76371.053333000003</v>
      </c>
      <c r="K2288" s="94">
        <f>SUMIFS(K$2:K$2273,$F$2:$F$2273,$F2288)</f>
        <v>0</v>
      </c>
      <c r="L2288" s="94">
        <f>SUMIFS(L$2:L$2273,$F$2:$F$2273,$F2288)</f>
        <v>0</v>
      </c>
      <c r="M2288" s="94">
        <f>SUMIFS(M$2:M$2273,$F$2:$F$2273,$F2288)</f>
        <v>0</v>
      </c>
      <c r="N2288" s="94">
        <f>SUMIFS(N$2:N$2273,$F$2:$F$2273,$F2288)</f>
        <v>0</v>
      </c>
      <c r="O2288" s="39">
        <f t="shared" si="712"/>
        <v>461371.05333299999</v>
      </c>
      <c r="P2288" s="39">
        <f>SUMIFS(P$2:P$2273,$F$2:$F$2273,$F2288)</f>
        <v>0</v>
      </c>
      <c r="Q2288" s="39">
        <f>SUMIFS(Q$2:Q$2273,$F$2:$F$2273,$F2288)</f>
        <v>461371.05333299999</v>
      </c>
      <c r="R2288" s="39">
        <f t="shared" si="713"/>
        <v>461371.05333299999</v>
      </c>
      <c r="S2288" s="1036">
        <f t="shared" si="714"/>
        <v>0</v>
      </c>
      <c r="T2288" s="1040">
        <f t="shared" si="715"/>
        <v>1</v>
      </c>
    </row>
    <row r="2289" spans="1:29" s="94" customFormat="1" hidden="1">
      <c r="A2289" s="1031">
        <v>0</v>
      </c>
      <c r="B2289" s="1031">
        <v>0</v>
      </c>
      <c r="C2289" s="1031">
        <v>0</v>
      </c>
      <c r="D2289" s="1031">
        <v>0</v>
      </c>
      <c r="E2289" s="1031">
        <v>0</v>
      </c>
      <c r="F2289" s="37" t="str">
        <f t="shared" si="711"/>
        <v>Desenvolvimento de projeto - Projetos Detalhada</v>
      </c>
      <c r="G2289" s="94" t="s">
        <v>124</v>
      </c>
      <c r="H2289" s="1031">
        <v>0</v>
      </c>
      <c r="I2289" s="94">
        <f>SUMIFS(I$2:I$2273,$F$2:$F$2273,$F2289)+0.04666</f>
        <v>1031612.7133199999</v>
      </c>
      <c r="J2289" s="94">
        <f>SUMIFS(J$2:J$2273,$F$2:$F$2273,$F2289)</f>
        <v>489679.48000000004</v>
      </c>
      <c r="K2289" s="94">
        <f>SUMIFS(K$2:K$2273,$F$2:$F$2273,$F2289)</f>
        <v>0</v>
      </c>
      <c r="L2289" s="94">
        <f>SUMIFS(L$2:L$2273,$F$2:$F$2273,$F2289)</f>
        <v>0</v>
      </c>
      <c r="M2289" s="94">
        <f>SUMIFS(M$2:M$2273,$F$2:$F$2273,$F2289)</f>
        <v>0</v>
      </c>
      <c r="N2289" s="94">
        <f>SUMIFS(N$2:N$2273,$F$2:$F$2273,$F2289)</f>
        <v>0</v>
      </c>
      <c r="O2289" s="39">
        <f t="shared" si="712"/>
        <v>1521292.1933199998</v>
      </c>
      <c r="P2289" s="39">
        <f>SUMIFS(P$2:P$2273,$F$2:$F$2273,$F2289)</f>
        <v>0</v>
      </c>
      <c r="Q2289" s="39">
        <f>SUMIFS(Q$2:Q$2273,$F$2:$F$2273,$F2289)</f>
        <v>1521292.5266600002</v>
      </c>
      <c r="R2289" s="39">
        <f t="shared" si="713"/>
        <v>1521292.5266600002</v>
      </c>
      <c r="S2289" s="1037">
        <f t="shared" si="714"/>
        <v>-0.33334000036120415</v>
      </c>
      <c r="T2289" s="1040">
        <f t="shared" si="715"/>
        <v>1.0000002191163551</v>
      </c>
    </row>
    <row r="2290" spans="1:29" s="94" customFormat="1" hidden="1">
      <c r="A2290" s="1031">
        <v>0</v>
      </c>
      <c r="B2290" s="1031">
        <v>0</v>
      </c>
      <c r="C2290" s="1031">
        <v>0</v>
      </c>
      <c r="D2290" s="1031">
        <v>0</v>
      </c>
      <c r="E2290" s="1031">
        <v>0</v>
      </c>
      <c r="F2290" s="37" t="str">
        <f t="shared" si="711"/>
        <v>Desenvolvimento de projeto - Ambiental / Outros</v>
      </c>
      <c r="G2290" s="94" t="s">
        <v>124</v>
      </c>
      <c r="H2290" s="1031">
        <v>0</v>
      </c>
      <c r="I2290" s="94">
        <f>SUMIFS(I$2:I$2273,$F$2:$F$2273,$F2290)</f>
        <v>7478219.0800000019</v>
      </c>
      <c r="J2290" s="94">
        <f>SUMIFS(J$2:J$2273,$F$2:$F$2273,$F2290)</f>
        <v>0</v>
      </c>
      <c r="K2290" s="94">
        <f>SUMIFS(K$2:K$2273,$F$2:$F$2273,$F2290)</f>
        <v>0</v>
      </c>
      <c r="L2290" s="94">
        <f>SUMIFS(L$2:L$2273,$F$2:$F$2273,$F2290)</f>
        <v>0</v>
      </c>
      <c r="M2290" s="94">
        <f>SUMIFS(M$2:M$2273,$F$2:$F$2273,$F2290)</f>
        <v>0</v>
      </c>
      <c r="N2290" s="94">
        <f>SUMIFS(N$2:N$2273,$F$2:$F$2273,$F2290)</f>
        <v>0</v>
      </c>
      <c r="O2290" s="39">
        <f t="shared" si="712"/>
        <v>7478219.0800000019</v>
      </c>
      <c r="P2290" s="39">
        <f>SUMIFS(P$2:P$2273,$F$2:$F$2273,$F2290)</f>
        <v>0</v>
      </c>
      <c r="Q2290" s="39">
        <f>SUMIFS(Q$2:Q$2273,$F$2:$F$2273,$F2290)</f>
        <v>7478219.0800000019</v>
      </c>
      <c r="R2290" s="39">
        <f t="shared" si="713"/>
        <v>7478219.0800000019</v>
      </c>
      <c r="S2290" s="1036">
        <f t="shared" si="714"/>
        <v>0</v>
      </c>
      <c r="T2290" s="1040">
        <f t="shared" si="715"/>
        <v>1</v>
      </c>
    </row>
    <row r="2291" spans="1:29" s="94" customFormat="1" hidden="1">
      <c r="A2291" s="1031">
        <v>0</v>
      </c>
      <c r="B2291" s="1031">
        <v>0</v>
      </c>
      <c r="C2291" s="1031">
        <v>0</v>
      </c>
      <c r="D2291" s="1031">
        <v>0</v>
      </c>
      <c r="E2291" s="1031">
        <v>0</v>
      </c>
      <c r="F2291" s="37" t="str">
        <f t="shared" si="711"/>
        <v>Desenvolvimento de projeto - Coordenograma</v>
      </c>
      <c r="G2291" s="94" t="s">
        <v>124</v>
      </c>
      <c r="H2291" s="1031">
        <v>0</v>
      </c>
      <c r="I2291" s="94">
        <f>SUMIFS(I$2:I$2273,$F$2:$F$2273,$F2291)</f>
        <v>386552.90000000043</v>
      </c>
      <c r="J2291" s="94">
        <f>SUMIFS(J$2:J$2273,$F$2:$F$2273,$F2291)</f>
        <v>57031.25</v>
      </c>
      <c r="K2291" s="94">
        <f>SUMIFS(K$2:K$2273,$F$2:$F$2273,$F2291)</f>
        <v>46366.400000000001</v>
      </c>
      <c r="L2291" s="94">
        <f>SUMIFS(L$2:L$2273,$F$2:$F$2273,$F2291)</f>
        <v>6206.9</v>
      </c>
      <c r="M2291" s="94">
        <f>SUMIFS(M$2:M$2273,$F$2:$F$2273,$F2291)</f>
        <v>0</v>
      </c>
      <c r="N2291" s="94">
        <f>SUMIFS(N$2:N$2273,$F$2:$F$2273,$F2291)</f>
        <v>0</v>
      </c>
      <c r="O2291" s="39">
        <f t="shared" si="712"/>
        <v>496157.45000000048</v>
      </c>
      <c r="P2291" s="39">
        <f>SUMIFS(P$2:P$2273,$F$2:$F$2273,$F2291)</f>
        <v>0</v>
      </c>
      <c r="Q2291" s="39">
        <f>SUMIFS(Q$2:Q$2273,$F$2:$F$2273,$F2291)</f>
        <v>496157.45000000048</v>
      </c>
      <c r="R2291" s="39">
        <f t="shared" si="713"/>
        <v>496157.45000000048</v>
      </c>
      <c r="S2291" s="1036">
        <f t="shared" si="714"/>
        <v>0</v>
      </c>
      <c r="T2291" s="1040">
        <f t="shared" si="715"/>
        <v>1</v>
      </c>
    </row>
    <row r="2292" spans="1:29" s="94" customFormat="1" hidden="1">
      <c r="A2292" s="1031">
        <v>0</v>
      </c>
      <c r="B2292" s="1031">
        <v>0</v>
      </c>
      <c r="C2292" s="1031">
        <v>0</v>
      </c>
      <c r="D2292" s="1031">
        <v>0</v>
      </c>
      <c r="E2292" s="1031">
        <v>0</v>
      </c>
      <c r="F2292" s="37" t="str">
        <f t="shared" si="711"/>
        <v>Sistemas de Monitoramento - Supervisório</v>
      </c>
      <c r="G2292" s="94" t="s">
        <v>124</v>
      </c>
      <c r="H2292" s="1031">
        <v>0</v>
      </c>
      <c r="I2292" s="94">
        <f>SUMIFS(I$2:I$2273,$F$2:$F$2273,$F2292)</f>
        <v>7883559.3999999994</v>
      </c>
      <c r="J2292" s="94">
        <f>SUMIFS(J$2:J$2273,$F$2:$F$2273,$F2292)</f>
        <v>0</v>
      </c>
      <c r="K2292" s="94">
        <f>SUMIFS(K$2:K$2273,$F$2:$F$2273,$F2292)</f>
        <v>0</v>
      </c>
      <c r="L2292" s="94">
        <f>SUMIFS(L$2:L$2273,$F$2:$F$2273,$F2292)</f>
        <v>0</v>
      </c>
      <c r="M2292" s="94">
        <f>SUMIFS(M$2:M$2273,$F$2:$F$2273,$F2292)</f>
        <v>0</v>
      </c>
      <c r="N2292" s="94">
        <f>SUMIFS(N$2:N$2273,$F$2:$F$2273,$F2292)</f>
        <v>0</v>
      </c>
      <c r="O2292" s="39">
        <f t="shared" si="712"/>
        <v>7883559.3999999994</v>
      </c>
      <c r="P2292" s="39">
        <f>SUMIFS(P$2:P$2273,$F$2:$F$2273,$F2292)</f>
        <v>403473.58000000007</v>
      </c>
      <c r="Q2292" s="39">
        <f>SUMIFS(Q$2:Q$2273,$F$2:$F$2273,$F2292)</f>
        <v>7458277.8100000024</v>
      </c>
      <c r="R2292" s="39">
        <f t="shared" si="713"/>
        <v>7861751.3900000025</v>
      </c>
      <c r="S2292" s="1036">
        <f t="shared" si="714"/>
        <v>21808.009999996983</v>
      </c>
      <c r="T2292" s="1040">
        <f t="shared" si="715"/>
        <v>0.99723373556365957</v>
      </c>
    </row>
    <row r="2293" spans="1:29" s="94" customFormat="1" hidden="1">
      <c r="A2293" s="1031">
        <v>0</v>
      </c>
      <c r="B2293" s="1031">
        <v>0</v>
      </c>
      <c r="C2293" s="1031">
        <v>0</v>
      </c>
      <c r="D2293" s="1031">
        <v>0</v>
      </c>
      <c r="E2293" s="1031">
        <v>0</v>
      </c>
      <c r="F2293" s="37" t="str">
        <f t="shared" si="711"/>
        <v>Sistemas de Monitoramento - Estações Solarimétricas</v>
      </c>
      <c r="G2293" s="94" t="s">
        <v>124</v>
      </c>
      <c r="H2293" s="1031">
        <v>0</v>
      </c>
      <c r="I2293" s="94">
        <f>SUMIFS(I$2:I$2273,$F$2:$F$2273,$F2293)</f>
        <v>2075889.7260000019</v>
      </c>
      <c r="J2293" s="94">
        <f>SUMIFS(J$2:J$2273,$F$2:$F$2273,$F2293)</f>
        <v>0</v>
      </c>
      <c r="K2293" s="94">
        <f>SUMIFS(K$2:K$2273,$F$2:$F$2273,$F2293)</f>
        <v>0</v>
      </c>
      <c r="L2293" s="94">
        <f>SUMIFS(L$2:L$2273,$F$2:$F$2273,$F2293)</f>
        <v>0</v>
      </c>
      <c r="M2293" s="94">
        <f>SUMIFS(M$2:M$2273,$F$2:$F$2273,$F2293)</f>
        <v>0</v>
      </c>
      <c r="N2293" s="94">
        <f>SUMIFS(N$2:N$2273,$F$2:$F$2273,$F2293)</f>
        <v>0</v>
      </c>
      <c r="O2293" s="39">
        <f t="shared" si="712"/>
        <v>2075889.7260000019</v>
      </c>
      <c r="P2293" s="39">
        <f>SUMIFS(P$2:P$2273,$F$2:$F$2273,$F2293)</f>
        <v>0</v>
      </c>
      <c r="Q2293" s="39">
        <f>SUMIFS(Q$2:Q$2273,$F$2:$F$2273,$F2293)</f>
        <v>2075889.7260000019</v>
      </c>
      <c r="R2293" s="39">
        <f t="shared" si="713"/>
        <v>2075889.7260000019</v>
      </c>
      <c r="S2293" s="1036">
        <f t="shared" si="714"/>
        <v>0</v>
      </c>
      <c r="T2293" s="1040">
        <f t="shared" si="715"/>
        <v>1</v>
      </c>
    </row>
    <row r="2294" spans="1:29" s="94" customFormat="1" hidden="1">
      <c r="A2294" s="1031">
        <v>0</v>
      </c>
      <c r="B2294" s="1031">
        <v>0</v>
      </c>
      <c r="C2294" s="1031">
        <v>0</v>
      </c>
      <c r="D2294" s="1031">
        <v>0</v>
      </c>
      <c r="E2294" s="1031">
        <v>0</v>
      </c>
      <c r="F2294" s="37" t="str">
        <f t="shared" si="711"/>
        <v>Sistemas de Monitoramento - CFTV</v>
      </c>
      <c r="G2294" s="94" t="s">
        <v>124</v>
      </c>
      <c r="H2294" s="1031">
        <v>0</v>
      </c>
      <c r="I2294" s="94">
        <f>SUMIFS(I$2:I$2273,$F$2:$F$2273,$F2294)</f>
        <v>16098418.629000004</v>
      </c>
      <c r="J2294" s="94">
        <f>SUMIFS(J$2:J$2273,$F$2:$F$2273,$F2294)</f>
        <v>204622.56999999995</v>
      </c>
      <c r="K2294" s="94">
        <f>SUMIFS(K$2:K$2273,$F$2:$F$2273,$F2294)</f>
        <v>253726.47000000003</v>
      </c>
      <c r="L2294" s="94">
        <f>SUMIFS(L$2:L$2273,$F$2:$F$2273,$F2294)</f>
        <v>0</v>
      </c>
      <c r="M2294" s="94">
        <f>SUMIFS(M$2:M$2273,$F$2:$F$2273,$F2294)</f>
        <v>0</v>
      </c>
      <c r="N2294" s="94">
        <f>SUMIFS(N$2:N$2273,$F$2:$F$2273,$F2294)</f>
        <v>0</v>
      </c>
      <c r="O2294" s="39">
        <f t="shared" si="712"/>
        <v>16556767.669000005</v>
      </c>
      <c r="P2294" s="39">
        <f>SUMIFS(P$2:P$2273,$F$2:$F$2273,$F2294)</f>
        <v>259050.15999999997</v>
      </c>
      <c r="Q2294" s="39">
        <f>SUMIFS(Q$2:Q$2273,$F$2:$F$2273,$F2294)</f>
        <v>16297717.509000001</v>
      </c>
      <c r="R2294" s="39">
        <f t="shared" si="713"/>
        <v>16556767.669000002</v>
      </c>
      <c r="S2294" s="1036">
        <f t="shared" si="714"/>
        <v>0</v>
      </c>
      <c r="T2294" s="1040">
        <f t="shared" si="715"/>
        <v>0.99999999999999978</v>
      </c>
      <c r="Y2294" s="1038"/>
      <c r="Z2294" s="1038"/>
      <c r="AA2294" s="1038"/>
      <c r="AB2294" s="1038"/>
      <c r="AC2294" s="1038"/>
    </row>
    <row r="2295" spans="1:29" s="94" customFormat="1" hidden="1">
      <c r="A2295" s="1031">
        <v>0</v>
      </c>
      <c r="B2295" s="1031">
        <v>0</v>
      </c>
      <c r="C2295" s="1031">
        <v>0</v>
      </c>
      <c r="D2295" s="1031">
        <v>0</v>
      </c>
      <c r="E2295" s="1031">
        <v>0</v>
      </c>
      <c r="F2295" s="37" t="str">
        <f t="shared" si="711"/>
        <v>Serviços Auxiliares - Drenagem</v>
      </c>
      <c r="G2295" s="94" t="s">
        <v>124</v>
      </c>
      <c r="H2295" s="1031">
        <v>0</v>
      </c>
      <c r="I2295" s="94">
        <f>SUMIFS(I$2:I$2273,$F$2:$F$2273,$F2295)</f>
        <v>34795536.565499991</v>
      </c>
      <c r="J2295" s="94">
        <f>SUMIFS(J$2:J$2273,$F$2:$F$2273,$F2295)</f>
        <v>5868651.0300000003</v>
      </c>
      <c r="K2295" s="94">
        <f>SUMIFS(K$2:K$2273,$F$2:$F$2273,$F2295)</f>
        <v>3702676.96</v>
      </c>
      <c r="L2295" s="94">
        <f>SUMIFS(L$2:L$2273,$F$2:$F$2273,$F2295)</f>
        <v>1579154.75</v>
      </c>
      <c r="M2295" s="94">
        <f>SUMIFS(M$2:M$2273,$F$2:$F$2273,$F2295)</f>
        <v>0</v>
      </c>
      <c r="N2295" s="94">
        <f>SUMIFS(N$2:N$2273,$F$2:$F$2273,$F2295)</f>
        <v>0</v>
      </c>
      <c r="O2295" s="39">
        <f t="shared" si="712"/>
        <v>45946019.305499993</v>
      </c>
      <c r="P2295" s="39">
        <f>SUMIFS(P$2:P$2273,$F$2:$F$2273,$F2295)</f>
        <v>2060396.37</v>
      </c>
      <c r="Q2295" s="39">
        <f>SUMIFS(Q$2:Q$2273,$F$2:$F$2273,$F2295)</f>
        <v>43369923.20849999</v>
      </c>
      <c r="R2295" s="39">
        <f t="shared" si="713"/>
        <v>45430319.578499988</v>
      </c>
      <c r="S2295" s="1037">
        <f t="shared" si="714"/>
        <v>515699.72700000554</v>
      </c>
      <c r="T2295" s="1040">
        <f t="shared" si="715"/>
        <v>0.98877596503908072</v>
      </c>
    </row>
    <row r="2296" spans="1:29" s="94" customFormat="1" hidden="1">
      <c r="A2296" s="1031">
        <v>0</v>
      </c>
      <c r="B2296" s="1031">
        <v>0</v>
      </c>
      <c r="C2296" s="1031">
        <v>0</v>
      </c>
      <c r="D2296" s="1031">
        <v>0</v>
      </c>
      <c r="E2296" s="1031">
        <v>0</v>
      </c>
      <c r="F2296" s="37" t="str">
        <f t="shared" si="711"/>
        <v>Serviços Auxiliares - Terraplanagem</v>
      </c>
      <c r="G2296" s="94" t="s">
        <v>124</v>
      </c>
      <c r="H2296" s="1031">
        <v>0</v>
      </c>
      <c r="I2296" s="94">
        <f>SUMIFS(I$2:I$2273,$F$2:$F$2273,$F2296)</f>
        <v>37848159.243999988</v>
      </c>
      <c r="J2296" s="94">
        <f>SUMIFS(J$2:J$2273,$F$2:$F$2273,$F2296)</f>
        <v>5717646.2400000012</v>
      </c>
      <c r="K2296" s="94">
        <f>SUMIFS(K$2:K$2273,$F$2:$F$2273,$F2296)</f>
        <v>1767982.6300000001</v>
      </c>
      <c r="L2296" s="94">
        <f>SUMIFS(L$2:L$2273,$F$2:$F$2273,$F2296)</f>
        <v>102964.52</v>
      </c>
      <c r="M2296" s="94">
        <f>SUMIFS(M$2:M$2273,$F$2:$F$2273,$F2296)</f>
        <v>143748.4</v>
      </c>
      <c r="N2296" s="94">
        <f>SUMIFS(N$2:N$2273,$F$2:$F$2273,$F2296)</f>
        <v>0</v>
      </c>
      <c r="O2296" s="39">
        <f t="shared" si="712"/>
        <v>45580501.033999994</v>
      </c>
      <c r="P2296" s="39">
        <f>SUMIFS(P$2:P$2273,$F$2:$F$2273,$F2296)</f>
        <v>2557172.92</v>
      </c>
      <c r="Q2296" s="39">
        <f>SUMIFS(Q$2:Q$2273,$F$2:$F$2273,$F2296)</f>
        <v>43023327.693999998</v>
      </c>
      <c r="R2296" s="39">
        <f t="shared" si="713"/>
        <v>45580500.614</v>
      </c>
      <c r="S2296" s="1036">
        <f t="shared" si="714"/>
        <v>0.41999999433755875</v>
      </c>
      <c r="T2296" s="1040">
        <f t="shared" si="715"/>
        <v>0.99999999078553359</v>
      </c>
    </row>
    <row r="2297" spans="1:29" s="94" customFormat="1" hidden="1">
      <c r="A2297" s="1031">
        <v>0</v>
      </c>
      <c r="B2297" s="1031">
        <v>0</v>
      </c>
      <c r="C2297" s="1031">
        <v>0</v>
      </c>
      <c r="D2297" s="1031">
        <v>0</v>
      </c>
      <c r="E2297" s="1031">
        <v>0</v>
      </c>
      <c r="F2297" s="37" t="str">
        <f t="shared" si="711"/>
        <v>Serviços Auxiliares - Supressão Vegetal</v>
      </c>
      <c r="G2297" s="94" t="s">
        <v>124</v>
      </c>
      <c r="H2297" s="1031">
        <v>0</v>
      </c>
      <c r="I2297" s="94">
        <f>SUMIFS(I$2:I$2273,$F$2:$F$2273,$F2297)</f>
        <v>1886590.94</v>
      </c>
      <c r="J2297" s="94">
        <f>SUMIFS(J$2:J$2273,$F$2:$F$2273,$F2297)</f>
        <v>521200.06000000006</v>
      </c>
      <c r="K2297" s="94">
        <f>SUMIFS(K$2:K$2273,$F$2:$F$2273,$F2297)</f>
        <v>232115</v>
      </c>
      <c r="L2297" s="94">
        <f>SUMIFS(L$2:L$2273,$F$2:$F$2273,$F2297)</f>
        <v>216971.61</v>
      </c>
      <c r="M2297" s="94">
        <f>SUMIFS(M$2:M$2273,$F$2:$F$2273,$F2297)</f>
        <v>60149.3</v>
      </c>
      <c r="N2297" s="94">
        <f>SUMIFS(N$2:N$2273,$F$2:$F$2273,$F2297)</f>
        <v>0</v>
      </c>
      <c r="O2297" s="39">
        <f t="shared" si="712"/>
        <v>2917026.9099999997</v>
      </c>
      <c r="P2297" s="39">
        <f>SUMIFS(P$2:P$2273,$F$2:$F$2273,$F2297)</f>
        <v>2366.54</v>
      </c>
      <c r="Q2297" s="39">
        <f>SUMIFS(Q$2:Q$2273,$F$2:$F$2273,$F2297)</f>
        <v>2823840.3699999996</v>
      </c>
      <c r="R2297" s="39">
        <f t="shared" si="713"/>
        <v>2826206.9099999997</v>
      </c>
      <c r="S2297" s="1036">
        <f t="shared" si="714"/>
        <v>90820</v>
      </c>
      <c r="T2297" s="1040">
        <f t="shared" si="715"/>
        <v>0.96886555976269684</v>
      </c>
    </row>
    <row r="2298" spans="1:29" s="94" customFormat="1" hidden="1">
      <c r="A2298" s="1031">
        <v>0</v>
      </c>
      <c r="B2298" s="1031">
        <v>0</v>
      </c>
      <c r="C2298" s="1031">
        <v>0</v>
      </c>
      <c r="D2298" s="1031">
        <v>0</v>
      </c>
      <c r="E2298" s="1031">
        <v>0</v>
      </c>
      <c r="F2298" s="37" t="str">
        <f t="shared" si="711"/>
        <v>RDR-Rede de Distribuição Rural</v>
      </c>
      <c r="G2298" s="94" t="s">
        <v>124</v>
      </c>
      <c r="H2298" s="1031">
        <v>0</v>
      </c>
      <c r="I2298" s="94">
        <f>SUMIFS(I$2:I$2273,$F$2:$F$2273,$F2298)</f>
        <v>784111</v>
      </c>
      <c r="J2298" s="94">
        <f>SUMIFS(J$2:J$2273,$F$2:$F$2273,$F2298)</f>
        <v>0</v>
      </c>
      <c r="K2298" s="94">
        <f>SUMIFS(K$2:K$2273,$F$2:$F$2273,$F2298)</f>
        <v>0</v>
      </c>
      <c r="L2298" s="94">
        <f>SUMIFS(L$2:L$2273,$F$2:$F$2273,$F2298)</f>
        <v>0</v>
      </c>
      <c r="M2298" s="94">
        <f>SUMIFS(M$2:M$2273,$F$2:$F$2273,$F2298)</f>
        <v>0</v>
      </c>
      <c r="N2298" s="94">
        <f>SUMIFS(N$2:N$2273,$F$2:$F$2273,$F2298)</f>
        <v>0</v>
      </c>
      <c r="O2298" s="39">
        <f t="shared" si="712"/>
        <v>784111</v>
      </c>
      <c r="P2298" s="39">
        <f>SUMIFS(P$2:P$2273,$F$2:$F$2273,$F2298)</f>
        <v>101000</v>
      </c>
      <c r="Q2298" s="39">
        <f>SUMIFS(Q$2:Q$2273,$F$2:$F$2273,$F2298)</f>
        <v>683111</v>
      </c>
      <c r="R2298" s="39">
        <f t="shared" si="713"/>
        <v>784111</v>
      </c>
      <c r="S2298" s="1036">
        <f t="shared" si="714"/>
        <v>0</v>
      </c>
      <c r="T2298" s="1040">
        <f t="shared" si="715"/>
        <v>1</v>
      </c>
    </row>
    <row r="2299" spans="1:29" s="94" customFormat="1" hidden="1">
      <c r="A2299" s="1031">
        <v>0</v>
      </c>
      <c r="B2299" s="1031">
        <v>0</v>
      </c>
      <c r="C2299" s="1031">
        <v>0</v>
      </c>
      <c r="D2299" s="1031">
        <v>0</v>
      </c>
      <c r="E2299" s="1031">
        <v>0</v>
      </c>
      <c r="F2299" s="37" t="str">
        <f t="shared" si="711"/>
        <v>Escopo COMERC</v>
      </c>
      <c r="G2299" s="94" t="s">
        <v>124</v>
      </c>
      <c r="H2299" s="1031">
        <v>0</v>
      </c>
      <c r="I2299" s="94">
        <f>SUMIFS(I$2:I$2273,$F$2:$F$2273,$F2299)</f>
        <v>10321924.219999995</v>
      </c>
      <c r="J2299" s="94">
        <f>SUMIFS(J$2:J$2273,$F$2:$F$2273,$F2299)</f>
        <v>2362252.0700000003</v>
      </c>
      <c r="K2299" s="94">
        <f>SUMIFS(K$2:K$2273,$F$2:$F$2273,$F2299)</f>
        <v>0</v>
      </c>
      <c r="L2299" s="94">
        <f>SUMIFS(L$2:L$2273,$F$2:$F$2273,$F2299)</f>
        <v>0</v>
      </c>
      <c r="M2299" s="94">
        <f>SUMIFS(M$2:M$2273,$F$2:$F$2273,$F2299)</f>
        <v>0</v>
      </c>
      <c r="N2299" s="94">
        <f>SUMIFS(N$2:N$2273,$F$2:$F$2273,$F2299)</f>
        <v>0</v>
      </c>
      <c r="O2299" s="39">
        <f t="shared" si="712"/>
        <v>12684176.289999995</v>
      </c>
      <c r="P2299" s="39">
        <f>SUMIFS(P$2:P$2273,$F$2:$F$2273,$F2299)</f>
        <v>854611.48</v>
      </c>
      <c r="Q2299" s="39">
        <f>SUMIFS(Q$2:Q$2273,$F$2:$F$2273,$F2299)</f>
        <v>9731833.1899999976</v>
      </c>
      <c r="R2299" s="39">
        <f t="shared" si="713"/>
        <v>10586444.669999998</v>
      </c>
      <c r="S2299" s="1036">
        <f t="shared" si="714"/>
        <v>2097731.6199999973</v>
      </c>
      <c r="T2299" s="1040">
        <f t="shared" si="715"/>
        <v>0.8346182225759653</v>
      </c>
    </row>
    <row r="2300" spans="1:29" s="94" customFormat="1" hidden="1">
      <c r="A2300" s="1031">
        <v>0</v>
      </c>
      <c r="B2300" s="1031">
        <v>0</v>
      </c>
      <c r="C2300" s="1031">
        <v>0</v>
      </c>
      <c r="D2300" s="1031">
        <v>0</v>
      </c>
      <c r="E2300" s="1031">
        <v>0</v>
      </c>
      <c r="F2300" s="37" t="str">
        <f t="shared" si="711"/>
        <v>Escopo COMERC - Segurança</v>
      </c>
      <c r="G2300" s="94" t="s">
        <v>124</v>
      </c>
      <c r="H2300" s="1031">
        <v>0</v>
      </c>
      <c r="I2300" s="94">
        <f>SUMIFS(I$2:I$2273,$F$2:$F$2273,$F2300)</f>
        <v>9814468.2200000007</v>
      </c>
      <c r="J2300" s="94">
        <f>SUMIFS(J$2:J$2273,$F$2:$F$2273,$F2300)</f>
        <v>0</v>
      </c>
      <c r="K2300" s="94">
        <f>SUMIFS(K$2:K$2273,$F$2:$F$2273,$F2300)</f>
        <v>0</v>
      </c>
      <c r="L2300" s="94">
        <f>SUMIFS(L$2:L$2273,$F$2:$F$2273,$F2300)</f>
        <v>0</v>
      </c>
      <c r="M2300" s="94">
        <f>SUMIFS(M$2:M$2273,$F$2:$F$2273,$F2300)</f>
        <v>0</v>
      </c>
      <c r="N2300" s="94">
        <f>SUMIFS(N$2:N$2273,$F$2:$F$2273,$F2300)</f>
        <v>0</v>
      </c>
      <c r="O2300" s="39">
        <f t="shared" si="712"/>
        <v>9814468.2200000007</v>
      </c>
      <c r="P2300" s="39">
        <f>SUMIFS(P$2:P$2273,$F$2:$F$2273,$F2300)</f>
        <v>66970.11</v>
      </c>
      <c r="Q2300" s="39">
        <f>SUMIFS(Q$2:Q$2273,$F$2:$F$2273,$F2300)</f>
        <v>9570901.6499999985</v>
      </c>
      <c r="R2300" s="39">
        <f t="shared" si="713"/>
        <v>9637871.7599999979</v>
      </c>
      <c r="S2300" s="1036">
        <f t="shared" si="714"/>
        <v>176596.46000000276</v>
      </c>
      <c r="T2300" s="1040">
        <f t="shared" si="715"/>
        <v>0.98200651772042691</v>
      </c>
    </row>
    <row r="2301" spans="1:29" s="94" customFormat="1" hidden="1">
      <c r="A2301" s="1031">
        <v>0</v>
      </c>
      <c r="B2301" s="1031">
        <v>0</v>
      </c>
      <c r="C2301" s="1031">
        <v>0</v>
      </c>
      <c r="D2301" s="1031">
        <v>0</v>
      </c>
      <c r="E2301" s="1031">
        <v>0</v>
      </c>
      <c r="F2301" s="37" t="str">
        <f t="shared" si="711"/>
        <v>Conexão MT - Obras Transferencia</v>
      </c>
      <c r="G2301" s="94" t="s">
        <v>124</v>
      </c>
      <c r="H2301" s="1031">
        <v>0</v>
      </c>
      <c r="I2301" s="94">
        <f>SUMIFS(I$2:I$2273,$F$2:$F$2273,$F2301)</f>
        <v>12642956.719999999</v>
      </c>
      <c r="J2301" s="94">
        <f>SUMIFS(J$2:J$2273,$F$2:$F$2273,$F2301)</f>
        <v>1630974.4</v>
      </c>
      <c r="K2301" s="94">
        <f>SUMIFS(K$2:K$2273,$F$2:$F$2273,$F2301)</f>
        <v>0</v>
      </c>
      <c r="L2301" s="94">
        <f>SUMIFS(L$2:L$2273,$F$2:$F$2273,$F2301)</f>
        <v>0</v>
      </c>
      <c r="M2301" s="94">
        <f>SUMIFS(M$2:M$2273,$F$2:$F$2273,$F2301)</f>
        <v>0</v>
      </c>
      <c r="N2301" s="94">
        <f>SUMIFS(N$2:N$2273,$F$2:$F$2273,$F2301)</f>
        <v>0</v>
      </c>
      <c r="O2301" s="39">
        <f t="shared" si="712"/>
        <v>14273931.119999999</v>
      </c>
      <c r="P2301" s="39">
        <f>SUMIFS(P$2:P$2273,$F$2:$F$2273,$F2301)</f>
        <v>5952860.1200000001</v>
      </c>
      <c r="Q2301" s="39">
        <f>SUMIFS(Q$2:Q$2273,$F$2:$F$2273,$F2301)</f>
        <v>8321071</v>
      </c>
      <c r="R2301" s="39">
        <f t="shared" si="713"/>
        <v>14273931.120000001</v>
      </c>
      <c r="S2301" s="1036">
        <f t="shared" si="714"/>
        <v>0</v>
      </c>
      <c r="T2301" s="1040">
        <f t="shared" si="715"/>
        <v>1.0000000000000002</v>
      </c>
    </row>
    <row r="2302" spans="1:29" s="94" customFormat="1" hidden="1">
      <c r="A2302" s="1031">
        <v>0</v>
      </c>
      <c r="B2302" s="1031">
        <v>0</v>
      </c>
      <c r="C2302" s="1031">
        <v>0</v>
      </c>
      <c r="D2302" s="1031">
        <v>0</v>
      </c>
      <c r="E2302" s="1031">
        <v>0</v>
      </c>
      <c r="F2302" s="37" t="str">
        <f t="shared" si="711"/>
        <v>Bases de Contaniers</v>
      </c>
      <c r="G2302" s="94" t="s">
        <v>124</v>
      </c>
      <c r="H2302" s="1031">
        <v>0</v>
      </c>
      <c r="I2302" s="94">
        <f>SUMIFS(I$2:I$2273,$F$2:$F$2273,$F2302)</f>
        <v>2693226.4299999992</v>
      </c>
      <c r="J2302" s="94">
        <f>SUMIFS(J$2:J$2273,$F$2:$F$2273,$F2302)</f>
        <v>177159.8</v>
      </c>
      <c r="K2302" s="94">
        <f>SUMIFS(K$2:K$2273,$F$2:$F$2273,$F2302)</f>
        <v>0</v>
      </c>
      <c r="L2302" s="94">
        <f>SUMIFS(L$2:L$2273,$F$2:$F$2273,$F2302)</f>
        <v>0</v>
      </c>
      <c r="M2302" s="94">
        <f>SUMIFS(M$2:M$2273,$F$2:$F$2273,$F2302)</f>
        <v>0</v>
      </c>
      <c r="N2302" s="94">
        <f>SUMIFS(N$2:N$2273,$F$2:$F$2273,$F2302)</f>
        <v>0</v>
      </c>
      <c r="O2302" s="39">
        <f t="shared" si="712"/>
        <v>2870386.2299999991</v>
      </c>
      <c r="P2302" s="39">
        <f>SUMIFS(P$2:P$2273,$F$2:$F$2273,$F2302)</f>
        <v>984174.23</v>
      </c>
      <c r="Q2302" s="39">
        <f>SUMIFS(Q$2:Q$2273,$F$2:$F$2273,$F2302)</f>
        <v>1886212.2199999997</v>
      </c>
      <c r="R2302" s="39">
        <f t="shared" si="713"/>
        <v>2870386.4499999997</v>
      </c>
      <c r="S2302" s="1036">
        <f t="shared" si="714"/>
        <v>-0.22000000067055225</v>
      </c>
      <c r="T2302" s="1040">
        <f t="shared" si="715"/>
        <v>1.0000000766447381</v>
      </c>
    </row>
    <row r="2303" spans="1:29" s="94" customFormat="1" hidden="1">
      <c r="A2303" s="1031">
        <v>0</v>
      </c>
      <c r="B2303" s="1031">
        <v>0</v>
      </c>
      <c r="C2303" s="1031">
        <v>0</v>
      </c>
      <c r="D2303" s="1031">
        <v>0</v>
      </c>
      <c r="E2303" s="1031">
        <v>0</v>
      </c>
      <c r="F2303" s="37" t="str">
        <f t="shared" si="711"/>
        <v>Construção - Serviços de Construção - Ase Engenharia</v>
      </c>
      <c r="G2303" s="94" t="s">
        <v>124</v>
      </c>
      <c r="H2303" s="1031">
        <v>0</v>
      </c>
      <c r="I2303" s="94">
        <f>SUMIFS(I$2:I$2273,$F$2:$F$2273,$F2303)</f>
        <v>2515228.9</v>
      </c>
      <c r="J2303" s="94">
        <f>SUMIFS(J$2:J$2273,$F$2:$F$2273,$F2303)</f>
        <v>490901.02</v>
      </c>
      <c r="K2303" s="94">
        <f>SUMIFS(K$2:K$2273,$F$2:$F$2273,$F2303)</f>
        <v>0</v>
      </c>
      <c r="L2303" s="94">
        <f>SUMIFS(L$2:L$2273,$F$2:$F$2273,$F2303)</f>
        <v>0</v>
      </c>
      <c r="M2303" s="94">
        <f>SUMIFS(M$2:M$2273,$F$2:$F$2273,$F2303)</f>
        <v>0</v>
      </c>
      <c r="N2303" s="94">
        <f>SUMIFS(N$2:N$2273,$F$2:$F$2273,$F2303)</f>
        <v>0</v>
      </c>
      <c r="O2303" s="39">
        <f t="shared" si="712"/>
        <v>3006129.92</v>
      </c>
      <c r="P2303" s="39">
        <f>SUMIFS(P$2:P$2273,$F$2:$F$2273,$F2303)</f>
        <v>0</v>
      </c>
      <c r="Q2303" s="39">
        <f>SUMIFS(Q$2:Q$2273,$F$2:$F$2273,$F2303)</f>
        <v>2972989.2299999995</v>
      </c>
      <c r="R2303" s="39">
        <f t="shared" si="713"/>
        <v>2972989.2299999995</v>
      </c>
      <c r="S2303" s="1037">
        <f t="shared" si="714"/>
        <v>33140.69000000041</v>
      </c>
      <c r="T2303" s="1040">
        <f t="shared" si="715"/>
        <v>0.98897562950306539</v>
      </c>
    </row>
    <row r="2304" spans="1:29" s="94" customFormat="1" hidden="1">
      <c r="A2304" s="1031">
        <v>0</v>
      </c>
      <c r="B2304" s="1031">
        <v>0</v>
      </c>
      <c r="C2304" s="1031">
        <v>0</v>
      </c>
      <c r="D2304" s="1031">
        <v>0</v>
      </c>
      <c r="E2304" s="1031">
        <v>0</v>
      </c>
      <c r="F2304" s="37" t="str">
        <f t="shared" si="711"/>
        <v>Full EPC - Contrato Sobressalentes</v>
      </c>
      <c r="G2304" s="94" t="s">
        <v>124</v>
      </c>
      <c r="H2304" s="1031">
        <v>0</v>
      </c>
      <c r="I2304" s="94">
        <f>SUMIFS(I$2:I$2273,$F$2:$F$2273,$F2304)</f>
        <v>3966375.8999999994</v>
      </c>
      <c r="J2304" s="94">
        <f>SUMIFS(J$2:J$2273,$F$2:$F$2273,$F2304)</f>
        <v>0</v>
      </c>
      <c r="K2304" s="94">
        <f>SUMIFS(K$2:K$2273,$F$2:$F$2273,$F2304)</f>
        <v>0</v>
      </c>
      <c r="L2304" s="94">
        <f>SUMIFS(L$2:L$2273,$F$2:$F$2273,$F2304)</f>
        <v>0</v>
      </c>
      <c r="M2304" s="94">
        <f>SUMIFS(M$2:M$2273,$F$2:$F$2273,$F2304)</f>
        <v>0</v>
      </c>
      <c r="N2304" s="94">
        <f>SUMIFS(N$2:N$2273,$F$2:$F$2273,$F2304)</f>
        <v>0</v>
      </c>
      <c r="O2304" s="39">
        <f t="shared" si="712"/>
        <v>3966375.8999999994</v>
      </c>
      <c r="P2304" s="39">
        <f>SUMIFS(P$2:P$2273,$F$2:$F$2273,$F2304)</f>
        <v>0</v>
      </c>
      <c r="Q2304" s="39">
        <f>SUMIFS(Q$2:Q$2273,$F$2:$F$2273,$F2304)</f>
        <v>3966375.9099999997</v>
      </c>
      <c r="R2304" s="39">
        <f t="shared" si="713"/>
        <v>3966375.9099999997</v>
      </c>
      <c r="S2304" s="1036">
        <f t="shared" si="714"/>
        <v>-1.0000000242143869E-2</v>
      </c>
      <c r="T2304" s="1040">
        <f t="shared" si="715"/>
        <v>1.0000000025211933</v>
      </c>
    </row>
    <row r="2305" spans="1:21" s="94" customFormat="1" hidden="1">
      <c r="A2305" s="1031">
        <v>0</v>
      </c>
      <c r="B2305" s="1031">
        <v>0</v>
      </c>
      <c r="C2305" s="1031">
        <v>0</v>
      </c>
      <c r="D2305" s="1031">
        <v>0</v>
      </c>
      <c r="E2305" s="1031">
        <v>0</v>
      </c>
      <c r="F2305" s="37" t="str">
        <f t="shared" si="711"/>
        <v>Construção - Serviços de Construção - NOVA MORADA</v>
      </c>
      <c r="G2305" s="94" t="s">
        <v>124</v>
      </c>
      <c r="H2305" s="1031">
        <v>0</v>
      </c>
      <c r="I2305" s="94">
        <f>SUMIFS(I$2:I$2273,$F$2:$F$2273,$F2305)</f>
        <v>250645.26</v>
      </c>
      <c r="J2305" s="94">
        <f>SUMIFS(J$2:J$2273,$F$2:$F$2273,$F2305)</f>
        <v>1800</v>
      </c>
      <c r="K2305" s="94">
        <f>SUMIFS(K$2:K$2273,$F$2:$F$2273,$F2305)</f>
        <v>0</v>
      </c>
      <c r="L2305" s="94">
        <f>SUMIFS(L$2:L$2273,$F$2:$F$2273,$F2305)</f>
        <v>0</v>
      </c>
      <c r="M2305" s="94">
        <f>SUMIFS(M$2:M$2273,$F$2:$F$2273,$F2305)</f>
        <v>0</v>
      </c>
      <c r="N2305" s="94">
        <f>SUMIFS(N$2:N$2273,$F$2:$F$2273,$F2305)</f>
        <v>0</v>
      </c>
      <c r="O2305" s="39">
        <f t="shared" si="712"/>
        <v>252445.26</v>
      </c>
      <c r="P2305" s="39">
        <f>SUMIFS(P$2:P$2273,$F$2:$F$2273,$F2305)</f>
        <v>0</v>
      </c>
      <c r="Q2305" s="39">
        <f>SUMIFS(Q$2:Q$2273,$F$2:$F$2273,$F2305)</f>
        <v>252445.26</v>
      </c>
      <c r="R2305" s="39">
        <f t="shared" si="713"/>
        <v>252445.26</v>
      </c>
      <c r="S2305" s="1036">
        <f t="shared" si="714"/>
        <v>0</v>
      </c>
      <c r="T2305" s="1040">
        <f t="shared" si="715"/>
        <v>1</v>
      </c>
    </row>
    <row r="2306" spans="1:21" s="94" customFormat="1" hidden="1">
      <c r="A2306" s="1031">
        <v>0</v>
      </c>
      <c r="B2306" s="1031">
        <v>0</v>
      </c>
      <c r="C2306" s="1031">
        <v>0</v>
      </c>
      <c r="D2306" s="1031">
        <v>0</v>
      </c>
      <c r="E2306" s="1031">
        <v>0</v>
      </c>
      <c r="F2306" s="37" t="str">
        <f t="shared" si="711"/>
        <v>Equipamentos Curva A -  Contrato Sobressalentes - SETTA</v>
      </c>
      <c r="G2306" s="94" t="s">
        <v>124</v>
      </c>
      <c r="H2306" s="1031">
        <v>0</v>
      </c>
      <c r="I2306" s="94">
        <f>SUMIFS(I$2:I$2273,$F$2:$F$2273,$F2306)</f>
        <v>706218.05999999982</v>
      </c>
      <c r="J2306" s="94">
        <f>SUMIFS(J$2:J$2273,$F$2:$F$2273,$F2306)</f>
        <v>0</v>
      </c>
      <c r="K2306" s="94">
        <f>SUMIFS(K$2:K$2273,$F$2:$F$2273,$F2306)</f>
        <v>0</v>
      </c>
      <c r="L2306" s="94">
        <f>SUMIFS(L$2:L$2273,$F$2:$F$2273,$F2306)</f>
        <v>0</v>
      </c>
      <c r="M2306" s="94">
        <f>SUMIFS(M$2:M$2273,$F$2:$F$2273,$F2306)</f>
        <v>0</v>
      </c>
      <c r="N2306" s="94">
        <f>SUMIFS(N$2:N$2273,$F$2:$F$2273,$F2306)</f>
        <v>0</v>
      </c>
      <c r="O2306" s="39">
        <f t="shared" si="712"/>
        <v>706218.05999999982</v>
      </c>
      <c r="P2306" s="39">
        <f>SUMIFS(P$2:P$2273,$F$2:$F$2273,$F2306)</f>
        <v>0</v>
      </c>
      <c r="Q2306" s="39">
        <f>SUMIFS(Q$2:Q$2273,$F$2:$F$2273,$F2306)</f>
        <v>706218.06</v>
      </c>
      <c r="R2306" s="39">
        <f t="shared" si="713"/>
        <v>706218.06</v>
      </c>
      <c r="S2306" s="1036">
        <f t="shared" si="714"/>
        <v>0</v>
      </c>
      <c r="T2306" s="1040">
        <f t="shared" si="715"/>
        <v>1.0000000000000002</v>
      </c>
    </row>
    <row r="2307" spans="1:21" s="94" customFormat="1" hidden="1">
      <c r="A2307" s="1031">
        <v>0</v>
      </c>
      <c r="B2307" s="1031">
        <v>0</v>
      </c>
      <c r="C2307" s="1031">
        <v>0</v>
      </c>
      <c r="D2307" s="1031">
        <v>0</v>
      </c>
      <c r="E2307" s="1031">
        <v>0</v>
      </c>
      <c r="F2307" s="37" t="str">
        <f t="shared" si="711"/>
        <v>Equipamentos Curva A -  Contrato Sobressalentes - Arctech</v>
      </c>
      <c r="G2307" s="94" t="s">
        <v>124</v>
      </c>
      <c r="H2307" s="1031">
        <v>0</v>
      </c>
      <c r="I2307" s="94">
        <f>SUMIFS(I$2:I$2273,$F$2:$F$2273,$F2307)</f>
        <v>0</v>
      </c>
      <c r="J2307" s="94">
        <f>SUMIFS(J$2:J$2273,$F$2:$F$2273,$F2307)</f>
        <v>0</v>
      </c>
      <c r="K2307" s="94">
        <f>SUMIFS(K$2:K$2273,$F$2:$F$2273,$F2307)</f>
        <v>0</v>
      </c>
      <c r="L2307" s="94">
        <f>SUMIFS(L$2:L$2273,$F$2:$F$2273,$F2307)</f>
        <v>0</v>
      </c>
      <c r="M2307" s="94">
        <f>SUMIFS(M$2:M$2273,$F$2:$F$2273,$F2307)</f>
        <v>0</v>
      </c>
      <c r="N2307" s="94">
        <f>SUMIFS(N$2:N$2273,$F$2:$F$2273,$F2307)</f>
        <v>0</v>
      </c>
      <c r="O2307" s="39">
        <f t="shared" si="712"/>
        <v>0</v>
      </c>
      <c r="P2307" s="39">
        <f>SUMIFS(P$2:P$2273,$F$2:$F$2273,$F2307)</f>
        <v>0</v>
      </c>
      <c r="Q2307" s="39">
        <f>SUMIFS(Q$2:Q$2273,$F$2:$F$2273,$F2307)</f>
        <v>0</v>
      </c>
      <c r="R2307" s="39">
        <f t="shared" si="713"/>
        <v>0</v>
      </c>
      <c r="S2307" s="1036">
        <f t="shared" si="714"/>
        <v>0</v>
      </c>
      <c r="T2307" s="1040">
        <f t="shared" si="715"/>
        <v>0</v>
      </c>
    </row>
    <row r="2308" spans="1:21" s="94" customFormat="1" hidden="1">
      <c r="A2308" s="1031">
        <v>0</v>
      </c>
      <c r="B2308" s="1031">
        <v>0</v>
      </c>
      <c r="C2308" s="1031">
        <v>0</v>
      </c>
      <c r="D2308" s="1031">
        <v>0</v>
      </c>
      <c r="E2308" s="1031">
        <v>0</v>
      </c>
      <c r="F2308" s="37" t="str">
        <f t="shared" si="711"/>
        <v>Equipamentos Curva A -  Contrato Sobressalentes - Romagnole</v>
      </c>
      <c r="G2308" s="94" t="s">
        <v>124</v>
      </c>
      <c r="H2308" s="1031">
        <v>0</v>
      </c>
      <c r="I2308" s="94">
        <f>SUMIFS(I$2:I$2273,$F$2:$F$2273,$F2308)</f>
        <v>1566839.21</v>
      </c>
      <c r="J2308" s="94">
        <f>SUMIFS(J$2:J$2273,$F$2:$F$2273,$F2308)</f>
        <v>990494.61</v>
      </c>
      <c r="K2308" s="94">
        <f>SUMIFS(K$2:K$2273,$F$2:$F$2273,$F2308)</f>
        <v>363506.28</v>
      </c>
      <c r="L2308" s="94">
        <f>SUMIFS(L$2:L$2273,$F$2:$F$2273,$F2308)</f>
        <v>213000</v>
      </c>
      <c r="M2308" s="94">
        <f>SUMIFS(M$2:M$2273,$F$2:$F$2273,$F2308)</f>
        <v>0</v>
      </c>
      <c r="N2308" s="94">
        <f>SUMIFS(N$2:N$2273,$F$2:$F$2273,$F2308)</f>
        <v>0</v>
      </c>
      <c r="O2308" s="39">
        <f t="shared" si="712"/>
        <v>3133840.0999999996</v>
      </c>
      <c r="P2308" s="39">
        <f>SUMIFS(P$2:P$2273,$F$2:$F$2273,$F2308)</f>
        <v>0</v>
      </c>
      <c r="Q2308" s="39">
        <f>SUMIFS(Q$2:Q$2273,$F$2:$F$2273,$F2308)</f>
        <v>3133840.1</v>
      </c>
      <c r="R2308" s="39">
        <f t="shared" si="713"/>
        <v>3133840.1</v>
      </c>
      <c r="S2308" s="1036">
        <f t="shared" si="714"/>
        <v>0</v>
      </c>
      <c r="T2308" s="1040">
        <f t="shared" si="715"/>
        <v>1.0000000000000002</v>
      </c>
    </row>
    <row r="2309" spans="1:21" s="94" customFormat="1" hidden="1">
      <c r="A2309" s="1031">
        <v>0</v>
      </c>
      <c r="B2309" s="1031">
        <v>0</v>
      </c>
      <c r="C2309" s="1031">
        <v>0</v>
      </c>
      <c r="D2309" s="1031">
        <v>0</v>
      </c>
      <c r="E2309" s="1031">
        <v>0</v>
      </c>
      <c r="F2309" s="37" t="str">
        <f t="shared" si="711"/>
        <v>GOS FLORESTAL - (PRAD - Recuperação Area Ambiental)</v>
      </c>
      <c r="G2309" s="94" t="s">
        <v>124</v>
      </c>
      <c r="H2309" s="1031">
        <v>0</v>
      </c>
      <c r="I2309" s="94">
        <f>SUMIFS(I$2:I$2273,$F$2:$F$2273,$F2309)</f>
        <v>2762730.85</v>
      </c>
      <c r="J2309" s="94">
        <f>SUMIFS(J$2:J$2273,$F$2:$F$2273,$F2309)</f>
        <v>0</v>
      </c>
      <c r="K2309" s="94">
        <f>SUMIFS(K$2:K$2273,$F$2:$F$2273,$F2309)</f>
        <v>0</v>
      </c>
      <c r="L2309" s="94">
        <f>SUMIFS(L$2:L$2273,$F$2:$F$2273,$F2309)</f>
        <v>0</v>
      </c>
      <c r="M2309" s="94">
        <f>SUMIFS(M$2:M$2273,$F$2:$F$2273,$F2309)</f>
        <v>0</v>
      </c>
      <c r="N2309" s="94">
        <f>SUMIFS(N$2:N$2273,$F$2:$F$2273,$F2309)</f>
        <v>0</v>
      </c>
      <c r="O2309" s="39">
        <f t="shared" ref="O2309:O2310" si="716">SUM(I2309:N2309)</f>
        <v>2762730.85</v>
      </c>
      <c r="P2309" s="39">
        <f>SUMIFS(P$2:P$2273,$F$2:$F$2273,$F2309)</f>
        <v>0</v>
      </c>
      <c r="Q2309" s="39">
        <f>SUMIFS(Q$2:Q$2273,$F$2:$F$2273,$F2309)</f>
        <v>2742730.85</v>
      </c>
      <c r="R2309" s="39">
        <f t="shared" ref="R2309:R2310" si="717">SUM(P2309:Q2309)</f>
        <v>2742730.85</v>
      </c>
      <c r="S2309" s="1036">
        <f t="shared" ref="S2309:S2310" si="718">O2309-R2309</f>
        <v>20000</v>
      </c>
      <c r="T2309" s="1040">
        <f t="shared" ref="T2309:T2310" si="719">IFERROR(R2309/O2309,0)</f>
        <v>0.99276078594481976</v>
      </c>
    </row>
    <row r="2310" spans="1:21" s="94" customFormat="1" hidden="1">
      <c r="A2310" s="1031">
        <v>0</v>
      </c>
      <c r="B2310" s="1031">
        <v>0</v>
      </c>
      <c r="C2310" s="1031">
        <v>0</v>
      </c>
      <c r="D2310" s="1031">
        <v>0</v>
      </c>
      <c r="E2310" s="1031">
        <v>0</v>
      </c>
      <c r="F2310" s="37" t="str">
        <f t="shared" si="711"/>
        <v>Cercamento das bacias de contenção ciclo 2</v>
      </c>
      <c r="G2310" s="94" t="s">
        <v>124</v>
      </c>
      <c r="H2310" s="1031">
        <v>0</v>
      </c>
      <c r="I2310" s="94">
        <f>SUMIFS(I$2:I$2273,$F$2:$F$2273,$F2310)</f>
        <v>0</v>
      </c>
      <c r="J2310" s="94">
        <f>SUMIFS(J$2:J$2273,$F$2:$F$2273,$F2310)</f>
        <v>0</v>
      </c>
      <c r="K2310" s="94">
        <f>SUMIFS(K$2:K$2273,$F$2:$F$2273,$F2310)</f>
        <v>0</v>
      </c>
      <c r="L2310" s="94">
        <f>SUMIFS(L$2:L$2273,$F$2:$F$2273,$F2310)</f>
        <v>0</v>
      </c>
      <c r="M2310" s="94">
        <f>SUMIFS(M$2:M$2273,$F$2:$F$2273,$F2310)</f>
        <v>0</v>
      </c>
      <c r="N2310" s="94">
        <f>SUMIFS(N$2:N$2273,$F$2:$F$2273,$F2310)</f>
        <v>0</v>
      </c>
      <c r="O2310" s="39">
        <f t="shared" si="716"/>
        <v>0</v>
      </c>
      <c r="P2310" s="39">
        <f>SUMIFS(P$2:P$2273,$F$2:$F$2273,$F2310)</f>
        <v>0</v>
      </c>
      <c r="Q2310" s="39">
        <f>SUMIFS(Q$2:Q$2273,$F$2:$F$2273,$F2310)</f>
        <v>0</v>
      </c>
      <c r="R2310" s="39">
        <f t="shared" si="717"/>
        <v>0</v>
      </c>
      <c r="S2310" s="39">
        <f t="shared" si="718"/>
        <v>0</v>
      </c>
      <c r="T2310" s="1040">
        <f t="shared" si="719"/>
        <v>0</v>
      </c>
    </row>
    <row r="2311" spans="1:21">
      <c r="A2311" s="8">
        <f t="shared" ref="A2311" si="720">A2308</f>
        <v>0</v>
      </c>
      <c r="B2311" s="9">
        <f t="shared" ref="B2311" si="721">B2308</f>
        <v>0</v>
      </c>
      <c r="C2311" s="9">
        <f t="shared" ref="C2311" si="722">C2308</f>
        <v>0</v>
      </c>
      <c r="D2311" s="9">
        <f t="shared" ref="D2311" si="723">D2308</f>
        <v>0</v>
      </c>
      <c r="E2311" s="9">
        <f t="shared" ref="E2311" si="724">E2308</f>
        <v>0</v>
      </c>
      <c r="F2311" s="10" t="s">
        <v>158</v>
      </c>
      <c r="G2311" s="9" t="str">
        <f>G2308</f>
        <v>Ciclo 2</v>
      </c>
      <c r="H2311" s="9"/>
      <c r="I2311" s="9">
        <f>SUBTOTAL(9,I2277:I2310)</f>
        <v>0</v>
      </c>
      <c r="J2311" s="9">
        <f>SUBTOTAL(9,J2277:J2310)</f>
        <v>0</v>
      </c>
      <c r="K2311" s="9">
        <f t="shared" ref="J2311:S2311" si="725">SUBTOTAL(9,K2277:K2310)</f>
        <v>0</v>
      </c>
      <c r="L2311" s="9">
        <f t="shared" si="725"/>
        <v>0</v>
      </c>
      <c r="M2311" s="9">
        <f t="shared" si="725"/>
        <v>0</v>
      </c>
      <c r="N2311" s="9">
        <f t="shared" si="725"/>
        <v>0</v>
      </c>
      <c r="O2311" s="9">
        <f>SUBTOTAL(9,O2277:O2310)</f>
        <v>0</v>
      </c>
      <c r="P2311" s="9">
        <f t="shared" si="725"/>
        <v>0</v>
      </c>
      <c r="Q2311" s="9">
        <f>SUBTOTAL(9,Q2277:Q2310)</f>
        <v>0</v>
      </c>
      <c r="R2311" s="9">
        <f>SUBTOTAL(9,R2277:R2310)</f>
        <v>0</v>
      </c>
      <c r="S2311" s="9">
        <f>SUBTOTAL(9,S2277:S2310)</f>
        <v>0</v>
      </c>
      <c r="T2311" s="13">
        <f>IFERROR(R2311/O2311,0)</f>
        <v>0</v>
      </c>
      <c r="U2311" s="11">
        <f ca="1">SUBTOTAL(9,U2277:U2311)</f>
        <v>0</v>
      </c>
    </row>
    <row r="2314" spans="1:21" ht="11.25" customHeight="1">
      <c r="L2314" s="673"/>
    </row>
    <row r="2315" spans="1:21" ht="11.25" customHeight="1">
      <c r="J2315" s="27"/>
      <c r="K2315" s="190"/>
      <c r="N2315" s="673"/>
    </row>
    <row r="2317" spans="1:21" ht="11.25" customHeight="1">
      <c r="J2317" s="139"/>
      <c r="K2317" s="27"/>
    </row>
    <row r="2319" spans="1:21" ht="11.25" customHeight="1">
      <c r="J2319" s="900" t="s">
        <v>245</v>
      </c>
    </row>
    <row r="9322" spans="8:8" ht="11.25" customHeight="1">
      <c r="H9322" s="2" t="s">
        <v>246</v>
      </c>
    </row>
    <row r="10731" spans="8:8" ht="11.25" customHeight="1">
      <c r="H10731" s="2">
        <f>53848.05-33</f>
        <v>53815.05</v>
      </c>
    </row>
  </sheetData>
  <autoFilter ref="A1:V2310" xr:uid="{D009E60B-5397-4E5C-B1ED-0CBE66DC075B}">
    <filterColumn colId="1">
      <filters>
        <filter val="Alfenas 4"/>
        <filter val="Campo Belo 5"/>
        <filter val="Diamantina 2"/>
        <filter val="Santo Antônio 1"/>
        <filter val="Três Corações 3"/>
      </filters>
    </filterColumn>
    <filterColumn colId="5">
      <filters>
        <filter val="Serviços Auxiliares - Drenagem"/>
      </filters>
    </filterColumn>
  </autoFilter>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1252D-F098-4581-88A4-470CFBE7787C}">
  <sheetPr>
    <tabColor rgb="FF00B0F0"/>
  </sheetPr>
  <dimension ref="A1:X37656"/>
  <sheetViews>
    <sheetView showGridLines="0" tabSelected="1" zoomScale="50" zoomScaleNormal="50" workbookViewId="0">
      <pane ySplit="1" topLeftCell="A10794" activePane="bottomLeft" state="frozen"/>
      <selection pane="bottomLeft" activeCell="K10799" sqref="A10798:K10799"/>
    </sheetView>
  </sheetViews>
  <sheetFormatPr defaultColWidth="11.6640625" defaultRowHeight="69" customHeight="1"/>
  <cols>
    <col min="1" max="1" width="6" style="167" customWidth="1"/>
    <col min="2" max="2" width="13.33203125" style="88" customWidth="1"/>
    <col min="3" max="3" width="28.83203125" style="88" customWidth="1"/>
    <col min="4" max="4" width="18.33203125" style="660" customWidth="1"/>
    <col min="5" max="5" width="25.83203125" style="89" customWidth="1"/>
    <col min="6" max="6" width="35.5" style="89" customWidth="1"/>
    <col min="7" max="7" width="39" style="89" customWidth="1"/>
    <col min="8" max="8" width="22.6640625" style="661" customWidth="1"/>
    <col min="9" max="9" width="20.1640625" style="90" customWidth="1"/>
    <col min="10" max="10" width="22.5" style="90" customWidth="1"/>
    <col min="11" max="11" width="23" style="91" customWidth="1"/>
    <col min="12" max="12" width="12.6640625" style="98" customWidth="1"/>
    <col min="13" max="13" width="28.33203125" style="99" hidden="1" customWidth="1"/>
    <col min="14" max="14" width="26.6640625" style="99" hidden="1" customWidth="1"/>
    <col min="15" max="15" width="23.1640625" style="88" customWidth="1"/>
    <col min="16" max="16" width="28.83203125" style="88" customWidth="1"/>
    <col min="17" max="18" width="25.33203125" style="88" customWidth="1"/>
    <col min="19" max="19" width="26.83203125" style="99" customWidth="1"/>
    <col min="20" max="16384" width="11.6640625" style="99"/>
  </cols>
  <sheetData>
    <row r="1" spans="1:18" ht="69" customHeight="1">
      <c r="B1" s="571" t="s">
        <v>2</v>
      </c>
      <c r="C1" s="571" t="s">
        <v>247</v>
      </c>
      <c r="D1" s="571" t="s">
        <v>248</v>
      </c>
      <c r="E1" s="566" t="s">
        <v>249</v>
      </c>
      <c r="F1" s="572" t="s">
        <v>250</v>
      </c>
      <c r="G1" s="572" t="s">
        <v>251</v>
      </c>
      <c r="H1" s="573" t="s">
        <v>252</v>
      </c>
      <c r="I1" s="574" t="s">
        <v>253</v>
      </c>
      <c r="J1" s="571" t="s">
        <v>254</v>
      </c>
      <c r="K1" s="566" t="s">
        <v>255</v>
      </c>
      <c r="O1" s="578" t="s">
        <v>127</v>
      </c>
      <c r="P1" s="579" t="s">
        <v>256</v>
      </c>
      <c r="Q1" s="580" t="s">
        <v>257</v>
      </c>
      <c r="R1" s="580" t="s">
        <v>258</v>
      </c>
    </row>
    <row r="2" spans="1:18" ht="69" customHeight="1">
      <c r="A2" s="168"/>
      <c r="B2" s="178">
        <v>1970</v>
      </c>
      <c r="C2" s="178" t="s">
        <v>259</v>
      </c>
      <c r="D2" s="575" t="s">
        <v>96</v>
      </c>
      <c r="E2" s="178" t="s">
        <v>260</v>
      </c>
      <c r="F2" s="576" t="s">
        <v>261</v>
      </c>
      <c r="G2" s="575" t="s">
        <v>96</v>
      </c>
      <c r="H2" s="546">
        <v>56000</v>
      </c>
      <c r="I2" s="66">
        <v>44425</v>
      </c>
      <c r="J2" s="63" t="s">
        <v>262</v>
      </c>
      <c r="K2" s="58"/>
      <c r="L2" s="99"/>
      <c r="M2" s="70" t="s">
        <v>263</v>
      </c>
      <c r="N2" s="97" t="s">
        <v>264</v>
      </c>
      <c r="O2" s="58" t="s">
        <v>141</v>
      </c>
      <c r="P2" s="58" t="s">
        <v>17</v>
      </c>
      <c r="Q2" s="58" t="s">
        <v>13</v>
      </c>
      <c r="R2" s="58" t="s">
        <v>265</v>
      </c>
    </row>
    <row r="3" spans="1:18" ht="69" customHeight="1">
      <c r="A3" s="168"/>
      <c r="B3" s="178">
        <v>2050</v>
      </c>
      <c r="C3" s="178" t="s">
        <v>259</v>
      </c>
      <c r="D3" s="575" t="s">
        <v>96</v>
      </c>
      <c r="E3" s="178" t="s">
        <v>266</v>
      </c>
      <c r="F3" s="210" t="s">
        <v>267</v>
      </c>
      <c r="G3" s="575" t="s">
        <v>96</v>
      </c>
      <c r="H3" s="546">
        <v>10496.25</v>
      </c>
      <c r="I3" s="66">
        <v>44438</v>
      </c>
      <c r="J3" s="63" t="s">
        <v>268</v>
      </c>
      <c r="K3" s="58"/>
      <c r="L3" s="99"/>
      <c r="M3" s="70" t="s">
        <v>269</v>
      </c>
      <c r="N3" s="97" t="s">
        <v>270</v>
      </c>
      <c r="O3" s="58" t="s">
        <v>271</v>
      </c>
      <c r="P3" s="58" t="s">
        <v>44</v>
      </c>
      <c r="Q3" s="58" t="s">
        <v>13</v>
      </c>
      <c r="R3" s="58" t="s">
        <v>272</v>
      </c>
    </row>
    <row r="4" spans="1:18" ht="69" customHeight="1">
      <c r="A4" s="168"/>
      <c r="B4" s="178">
        <v>2068</v>
      </c>
      <c r="C4" s="178" t="s">
        <v>259</v>
      </c>
      <c r="D4" s="575" t="s">
        <v>96</v>
      </c>
      <c r="E4" s="178" t="s">
        <v>266</v>
      </c>
      <c r="F4" s="210" t="s">
        <v>273</v>
      </c>
      <c r="G4" s="575" t="s">
        <v>96</v>
      </c>
      <c r="H4" s="546">
        <v>11551.75</v>
      </c>
      <c r="I4" s="66">
        <v>44438</v>
      </c>
      <c r="J4" s="63" t="s">
        <v>268</v>
      </c>
      <c r="K4" s="58"/>
      <c r="L4" s="99"/>
      <c r="M4" s="70" t="s">
        <v>269</v>
      </c>
      <c r="N4" s="97" t="s">
        <v>270</v>
      </c>
      <c r="O4" s="58" t="s">
        <v>271</v>
      </c>
      <c r="P4" s="58" t="s">
        <v>44</v>
      </c>
      <c r="Q4" s="58" t="s">
        <v>13</v>
      </c>
      <c r="R4" s="58" t="s">
        <v>272</v>
      </c>
    </row>
    <row r="5" spans="1:18" ht="69" customHeight="1">
      <c r="A5" s="168"/>
      <c r="B5" s="178">
        <v>2236</v>
      </c>
      <c r="C5" s="178" t="s">
        <v>259</v>
      </c>
      <c r="D5" s="575" t="s">
        <v>96</v>
      </c>
      <c r="E5" s="178" t="s">
        <v>266</v>
      </c>
      <c r="F5" s="210" t="s">
        <v>274</v>
      </c>
      <c r="G5" s="575" t="s">
        <v>96</v>
      </c>
      <c r="H5" s="546">
        <v>528.5</v>
      </c>
      <c r="I5" s="66">
        <v>44466</v>
      </c>
      <c r="J5" s="63" t="s">
        <v>275</v>
      </c>
      <c r="K5" s="58"/>
      <c r="L5" s="99"/>
      <c r="M5" s="70" t="s">
        <v>269</v>
      </c>
      <c r="N5" s="97" t="s">
        <v>270</v>
      </c>
      <c r="O5" s="58" t="s">
        <v>271</v>
      </c>
      <c r="P5" s="58" t="s">
        <v>44</v>
      </c>
      <c r="Q5" s="58" t="s">
        <v>13</v>
      </c>
      <c r="R5" s="58" t="s">
        <v>272</v>
      </c>
    </row>
    <row r="6" spans="1:18" ht="69" customHeight="1">
      <c r="A6" s="168"/>
      <c r="B6" s="178">
        <v>2237</v>
      </c>
      <c r="C6" s="178" t="s">
        <v>259</v>
      </c>
      <c r="D6" s="575" t="s">
        <v>96</v>
      </c>
      <c r="E6" s="178" t="s">
        <v>266</v>
      </c>
      <c r="F6" s="210" t="s">
        <v>276</v>
      </c>
      <c r="G6" s="575" t="s">
        <v>96</v>
      </c>
      <c r="H6" s="546">
        <v>23.34</v>
      </c>
      <c r="I6" s="66">
        <v>44466</v>
      </c>
      <c r="J6" s="63" t="s">
        <v>277</v>
      </c>
      <c r="K6" s="58"/>
      <c r="L6" s="99"/>
      <c r="M6" s="70" t="s">
        <v>269</v>
      </c>
      <c r="N6" s="97" t="s">
        <v>270</v>
      </c>
      <c r="O6" s="58" t="s">
        <v>271</v>
      </c>
      <c r="P6" s="58" t="s">
        <v>44</v>
      </c>
      <c r="Q6" s="58" t="s">
        <v>13</v>
      </c>
      <c r="R6" s="58" t="s">
        <v>272</v>
      </c>
    </row>
    <row r="7" spans="1:18" ht="69" customHeight="1">
      <c r="A7" s="168"/>
      <c r="B7" s="178">
        <v>2238</v>
      </c>
      <c r="C7" s="178" t="s">
        <v>259</v>
      </c>
      <c r="D7" s="575" t="s">
        <v>96</v>
      </c>
      <c r="E7" s="178" t="s">
        <v>266</v>
      </c>
      <c r="F7" s="210" t="s">
        <v>278</v>
      </c>
      <c r="G7" s="58" t="s">
        <v>96</v>
      </c>
      <c r="H7" s="546">
        <v>285.14999999999998</v>
      </c>
      <c r="I7" s="66">
        <v>44466</v>
      </c>
      <c r="J7" s="63" t="s">
        <v>279</v>
      </c>
      <c r="K7" s="58"/>
      <c r="L7" s="99"/>
      <c r="M7" s="70" t="s">
        <v>269</v>
      </c>
      <c r="N7" s="97" t="s">
        <v>270</v>
      </c>
      <c r="O7" s="58" t="s">
        <v>271</v>
      </c>
      <c r="P7" s="58" t="s">
        <v>44</v>
      </c>
      <c r="Q7" s="58" t="s">
        <v>13</v>
      </c>
      <c r="R7" s="58" t="s">
        <v>272</v>
      </c>
    </row>
    <row r="8" spans="1:18" ht="69" customHeight="1">
      <c r="A8" s="168"/>
      <c r="B8" s="178">
        <v>2106</v>
      </c>
      <c r="C8" s="178" t="s">
        <v>259</v>
      </c>
      <c r="D8" s="575" t="s">
        <v>96</v>
      </c>
      <c r="E8" s="178" t="s">
        <v>266</v>
      </c>
      <c r="F8" s="210" t="s">
        <v>280</v>
      </c>
      <c r="G8" s="58" t="s">
        <v>96</v>
      </c>
      <c r="H8" s="546">
        <v>8397</v>
      </c>
      <c r="I8" s="66">
        <v>44455</v>
      </c>
      <c r="J8" s="63" t="s">
        <v>281</v>
      </c>
      <c r="K8" s="58"/>
      <c r="L8" s="99"/>
      <c r="M8" s="70" t="s">
        <v>269</v>
      </c>
      <c r="N8" s="97" t="s">
        <v>270</v>
      </c>
      <c r="O8" s="58" t="s">
        <v>271</v>
      </c>
      <c r="P8" s="58" t="s">
        <v>44</v>
      </c>
      <c r="Q8" s="58" t="s">
        <v>13</v>
      </c>
      <c r="R8" s="58" t="s">
        <v>272</v>
      </c>
    </row>
    <row r="9" spans="1:18" ht="69" customHeight="1">
      <c r="A9" s="168"/>
      <c r="B9" s="178">
        <v>2305</v>
      </c>
      <c r="C9" s="178" t="s">
        <v>259</v>
      </c>
      <c r="D9" s="575"/>
      <c r="E9" s="178" t="s">
        <v>260</v>
      </c>
      <c r="F9" s="210" t="s">
        <v>261</v>
      </c>
      <c r="G9" s="58"/>
      <c r="H9" s="546">
        <v>26000</v>
      </c>
      <c r="I9" s="66">
        <v>44481</v>
      </c>
      <c r="J9" s="63" t="s">
        <v>282</v>
      </c>
      <c r="K9" s="58"/>
      <c r="L9" s="99"/>
      <c r="M9" s="70" t="s">
        <v>263</v>
      </c>
      <c r="N9" s="97" t="s">
        <v>264</v>
      </c>
      <c r="O9" s="58" t="s">
        <v>141</v>
      </c>
      <c r="P9" s="58" t="s">
        <v>17</v>
      </c>
      <c r="Q9" s="58" t="s">
        <v>13</v>
      </c>
      <c r="R9" s="58" t="s">
        <v>265</v>
      </c>
    </row>
    <row r="10" spans="1:18" ht="69" customHeight="1">
      <c r="A10" s="168"/>
      <c r="B10" s="178">
        <v>2351</v>
      </c>
      <c r="C10" s="178" t="s">
        <v>259</v>
      </c>
      <c r="D10" s="575"/>
      <c r="E10" s="577" t="s">
        <v>283</v>
      </c>
      <c r="F10" s="210" t="s">
        <v>284</v>
      </c>
      <c r="G10" s="58"/>
      <c r="H10" s="546">
        <v>41000</v>
      </c>
      <c r="I10" s="66">
        <v>44489</v>
      </c>
      <c r="J10" s="63" t="s">
        <v>285</v>
      </c>
      <c r="K10" s="58"/>
      <c r="L10" s="99"/>
      <c r="M10" s="70" t="s">
        <v>286</v>
      </c>
      <c r="N10" s="97" t="s">
        <v>264</v>
      </c>
      <c r="O10" s="58" t="s">
        <v>141</v>
      </c>
      <c r="P10" s="58" t="s">
        <v>17</v>
      </c>
      <c r="Q10" s="58" t="s">
        <v>13</v>
      </c>
      <c r="R10" s="58" t="s">
        <v>272</v>
      </c>
    </row>
    <row r="11" spans="1:18" ht="69" customHeight="1">
      <c r="A11" s="168"/>
      <c r="B11" s="178">
        <v>2353</v>
      </c>
      <c r="C11" s="178" t="s">
        <v>259</v>
      </c>
      <c r="D11" s="575" t="s">
        <v>96</v>
      </c>
      <c r="E11" s="577" t="s">
        <v>266</v>
      </c>
      <c r="F11" s="210" t="s">
        <v>287</v>
      </c>
      <c r="G11" s="58" t="s">
        <v>96</v>
      </c>
      <c r="H11" s="546">
        <v>2099.25</v>
      </c>
      <c r="I11" s="66">
        <v>44494</v>
      </c>
      <c r="J11" s="63" t="s">
        <v>288</v>
      </c>
      <c r="K11" s="58"/>
      <c r="L11" s="99"/>
      <c r="M11" s="70" t="s">
        <v>269</v>
      </c>
      <c r="N11" s="97" t="s">
        <v>270</v>
      </c>
      <c r="O11" s="58"/>
      <c r="P11" s="58" t="s">
        <v>44</v>
      </c>
      <c r="Q11" s="58" t="s">
        <v>13</v>
      </c>
      <c r="R11" s="58" t="s">
        <v>272</v>
      </c>
    </row>
    <row r="12" spans="1:18" ht="69" customHeight="1">
      <c r="A12" s="168"/>
      <c r="B12" s="178">
        <v>2501</v>
      </c>
      <c r="C12" s="178" t="s">
        <v>289</v>
      </c>
      <c r="D12" s="575" t="s">
        <v>290</v>
      </c>
      <c r="E12" s="178" t="s">
        <v>291</v>
      </c>
      <c r="F12" s="210" t="s">
        <v>292</v>
      </c>
      <c r="G12" s="58" t="s">
        <v>293</v>
      </c>
      <c r="H12" s="546">
        <v>940.94000000000233</v>
      </c>
      <c r="I12" s="66">
        <v>44656</v>
      </c>
      <c r="J12" s="63" t="s">
        <v>294</v>
      </c>
      <c r="K12" s="58" t="s">
        <v>295</v>
      </c>
      <c r="L12" s="99"/>
      <c r="M12" s="70"/>
      <c r="N12" s="97"/>
      <c r="O12" s="58" t="s">
        <v>221</v>
      </c>
      <c r="P12" s="58" t="s">
        <v>19</v>
      </c>
      <c r="Q12" s="58" t="s">
        <v>121</v>
      </c>
      <c r="R12" s="58" t="s">
        <v>272</v>
      </c>
    </row>
    <row r="13" spans="1:18" ht="69" customHeight="1">
      <c r="A13" s="168"/>
      <c r="B13" s="178">
        <v>2502</v>
      </c>
      <c r="C13" s="178" t="s">
        <v>289</v>
      </c>
      <c r="D13" s="575" t="s">
        <v>296</v>
      </c>
      <c r="E13" s="178" t="s">
        <v>291</v>
      </c>
      <c r="F13" s="210" t="s">
        <v>297</v>
      </c>
      <c r="G13" s="58" t="s">
        <v>293</v>
      </c>
      <c r="H13" s="546">
        <v>104660.83000000002</v>
      </c>
      <c r="I13" s="66">
        <v>44656</v>
      </c>
      <c r="J13" s="63" t="s">
        <v>294</v>
      </c>
      <c r="K13" s="58" t="s">
        <v>295</v>
      </c>
      <c r="L13" s="99"/>
      <c r="M13" s="70"/>
      <c r="N13" s="97"/>
      <c r="O13" s="58" t="s">
        <v>221</v>
      </c>
      <c r="P13" s="58" t="s">
        <v>19</v>
      </c>
      <c r="Q13" s="58" t="s">
        <v>106</v>
      </c>
      <c r="R13" s="58" t="s">
        <v>272</v>
      </c>
    </row>
    <row r="14" spans="1:18" ht="69" customHeight="1">
      <c r="A14" s="168"/>
      <c r="B14" s="178">
        <v>2503</v>
      </c>
      <c r="C14" s="178" t="s">
        <v>289</v>
      </c>
      <c r="D14" s="575" t="s">
        <v>298</v>
      </c>
      <c r="E14" s="178" t="s">
        <v>291</v>
      </c>
      <c r="F14" s="210" t="s">
        <v>299</v>
      </c>
      <c r="G14" s="58" t="s">
        <v>293</v>
      </c>
      <c r="H14" s="546">
        <v>568805.17000000004</v>
      </c>
      <c r="I14" s="66">
        <v>44656</v>
      </c>
      <c r="J14" s="63" t="s">
        <v>294</v>
      </c>
      <c r="K14" s="58" t="s">
        <v>295</v>
      </c>
      <c r="L14" s="99"/>
      <c r="M14" s="70"/>
      <c r="N14" s="97"/>
      <c r="O14" s="58" t="s">
        <v>221</v>
      </c>
      <c r="P14" s="58" t="s">
        <v>19</v>
      </c>
      <c r="Q14" s="58" t="s">
        <v>101</v>
      </c>
      <c r="R14" s="58" t="s">
        <v>272</v>
      </c>
    </row>
    <row r="15" spans="1:18" ht="69" customHeight="1">
      <c r="A15" s="168"/>
      <c r="B15" s="178">
        <v>2370</v>
      </c>
      <c r="C15" s="178" t="s">
        <v>259</v>
      </c>
      <c r="D15" s="575" t="s">
        <v>300</v>
      </c>
      <c r="E15" s="178" t="s">
        <v>283</v>
      </c>
      <c r="F15" s="210" t="s">
        <v>301</v>
      </c>
      <c r="G15" s="58"/>
      <c r="H15" s="546">
        <v>67400</v>
      </c>
      <c r="I15" s="66">
        <v>44531</v>
      </c>
      <c r="J15" s="63" t="s">
        <v>302</v>
      </c>
      <c r="K15" s="58"/>
      <c r="L15" s="99"/>
      <c r="M15" s="70" t="s">
        <v>286</v>
      </c>
      <c r="N15" s="97" t="s">
        <v>264</v>
      </c>
      <c r="O15" s="58" t="s">
        <v>141</v>
      </c>
      <c r="P15" s="58" t="s">
        <v>17</v>
      </c>
      <c r="Q15" s="58" t="s">
        <v>13</v>
      </c>
      <c r="R15" s="58" t="s">
        <v>272</v>
      </c>
    </row>
    <row r="16" spans="1:18" ht="69" customHeight="1">
      <c r="A16" s="168"/>
      <c r="B16" s="178">
        <v>2453</v>
      </c>
      <c r="C16" s="178" t="s">
        <v>303</v>
      </c>
      <c r="D16" s="575" t="s">
        <v>304</v>
      </c>
      <c r="E16" s="178" t="s">
        <v>305</v>
      </c>
      <c r="F16" s="210" t="s">
        <v>306</v>
      </c>
      <c r="G16" s="58" t="s">
        <v>307</v>
      </c>
      <c r="H16" s="546">
        <v>10000</v>
      </c>
      <c r="I16" s="66">
        <v>44517</v>
      </c>
      <c r="J16" s="63" t="s">
        <v>308</v>
      </c>
      <c r="K16" s="58"/>
      <c r="L16" s="99"/>
      <c r="M16" s="70" t="s">
        <v>269</v>
      </c>
      <c r="N16" s="97" t="s">
        <v>270</v>
      </c>
      <c r="O16" s="58"/>
      <c r="P16" s="58" t="s">
        <v>44</v>
      </c>
      <c r="Q16" s="58" t="s">
        <v>13</v>
      </c>
      <c r="R16" s="58" t="s">
        <v>272</v>
      </c>
    </row>
    <row r="17" spans="1:18" ht="69" customHeight="1">
      <c r="A17" s="168"/>
      <c r="B17" s="178">
        <v>2479</v>
      </c>
      <c r="C17" s="178" t="s">
        <v>309</v>
      </c>
      <c r="D17" s="575" t="s">
        <v>310</v>
      </c>
      <c r="E17" s="178" t="s">
        <v>266</v>
      </c>
      <c r="F17" s="210" t="s">
        <v>311</v>
      </c>
      <c r="G17" s="58" t="s">
        <v>312</v>
      </c>
      <c r="H17" s="546">
        <v>6600</v>
      </c>
      <c r="I17" s="66">
        <v>44540</v>
      </c>
      <c r="J17" s="63" t="s">
        <v>313</v>
      </c>
      <c r="K17" s="58"/>
      <c r="L17" s="99"/>
      <c r="M17" s="70" t="s">
        <v>269</v>
      </c>
      <c r="N17" s="97" t="s">
        <v>270</v>
      </c>
      <c r="O17" s="58"/>
      <c r="P17" s="58" t="s">
        <v>44</v>
      </c>
      <c r="Q17" s="58" t="s">
        <v>13</v>
      </c>
      <c r="R17" s="58" t="s">
        <v>272</v>
      </c>
    </row>
    <row r="18" spans="1:18" ht="69" customHeight="1">
      <c r="A18" s="168"/>
      <c r="B18" s="178">
        <v>2646</v>
      </c>
      <c r="C18" s="178" t="s">
        <v>259</v>
      </c>
      <c r="D18" s="575"/>
      <c r="E18" s="178" t="s">
        <v>266</v>
      </c>
      <c r="F18" s="210" t="s">
        <v>314</v>
      </c>
      <c r="G18" s="58" t="s">
        <v>315</v>
      </c>
      <c r="H18" s="546">
        <v>9241.4</v>
      </c>
      <c r="I18" s="66">
        <v>44546</v>
      </c>
      <c r="J18" s="63" t="s">
        <v>316</v>
      </c>
      <c r="K18" s="58"/>
      <c r="L18" s="99"/>
      <c r="M18" s="70" t="s">
        <v>269</v>
      </c>
      <c r="N18" s="97" t="s">
        <v>270</v>
      </c>
      <c r="O18" s="58"/>
      <c r="P18" s="58" t="s">
        <v>44</v>
      </c>
      <c r="Q18" s="58" t="s">
        <v>13</v>
      </c>
      <c r="R18" s="58" t="s">
        <v>272</v>
      </c>
    </row>
    <row r="19" spans="1:18" ht="69" customHeight="1">
      <c r="A19" s="168"/>
      <c r="B19" s="178">
        <v>2841</v>
      </c>
      <c r="C19" s="178" t="s">
        <v>259</v>
      </c>
      <c r="D19" s="575"/>
      <c r="E19" s="178" t="s">
        <v>266</v>
      </c>
      <c r="F19" s="210" t="s">
        <v>317</v>
      </c>
      <c r="G19" s="58"/>
      <c r="H19" s="546">
        <v>620.14</v>
      </c>
      <c r="I19" s="66">
        <v>44604</v>
      </c>
      <c r="J19" s="63" t="s">
        <v>318</v>
      </c>
      <c r="K19" s="58"/>
      <c r="L19" s="99"/>
      <c r="M19" s="70" t="s">
        <v>269</v>
      </c>
      <c r="N19" s="97" t="s">
        <v>270</v>
      </c>
      <c r="O19" s="58"/>
      <c r="P19" s="58" t="s">
        <v>44</v>
      </c>
      <c r="Q19" s="58" t="s">
        <v>13</v>
      </c>
      <c r="R19" s="58" t="s">
        <v>272</v>
      </c>
    </row>
    <row r="20" spans="1:18" ht="69" customHeight="1">
      <c r="A20" s="168"/>
      <c r="B20" s="178">
        <v>2842</v>
      </c>
      <c r="C20" s="178" t="s">
        <v>259</v>
      </c>
      <c r="D20" s="575"/>
      <c r="E20" s="178" t="s">
        <v>266</v>
      </c>
      <c r="F20" s="210" t="s">
        <v>319</v>
      </c>
      <c r="G20" s="58"/>
      <c r="H20" s="546">
        <v>57.05</v>
      </c>
      <c r="I20" s="66">
        <v>44604</v>
      </c>
      <c r="J20" s="63" t="s">
        <v>320</v>
      </c>
      <c r="K20" s="58"/>
      <c r="L20" s="99"/>
      <c r="M20" s="70" t="s">
        <v>269</v>
      </c>
      <c r="N20" s="97" t="s">
        <v>270</v>
      </c>
      <c r="O20" s="58"/>
      <c r="P20" s="58" t="s">
        <v>44</v>
      </c>
      <c r="Q20" s="58" t="s">
        <v>13</v>
      </c>
      <c r="R20" s="58" t="s">
        <v>272</v>
      </c>
    </row>
    <row r="21" spans="1:18" ht="69" customHeight="1">
      <c r="A21" s="168"/>
      <c r="B21" s="178">
        <v>2843</v>
      </c>
      <c r="C21" s="178" t="s">
        <v>259</v>
      </c>
      <c r="D21" s="575"/>
      <c r="E21" s="178" t="s">
        <v>266</v>
      </c>
      <c r="F21" s="210" t="s">
        <v>321</v>
      </c>
      <c r="G21" s="58"/>
      <c r="H21" s="546">
        <v>31.39</v>
      </c>
      <c r="I21" s="66">
        <v>44604</v>
      </c>
      <c r="J21" s="63" t="s">
        <v>322</v>
      </c>
      <c r="K21" s="58"/>
      <c r="L21" s="99"/>
      <c r="M21" s="70" t="s">
        <v>269</v>
      </c>
      <c r="N21" s="97" t="s">
        <v>270</v>
      </c>
      <c r="O21" s="58"/>
      <c r="P21" s="58" t="s">
        <v>44</v>
      </c>
      <c r="Q21" s="58" t="s">
        <v>13</v>
      </c>
      <c r="R21" s="58" t="s">
        <v>272</v>
      </c>
    </row>
    <row r="22" spans="1:18" ht="69" customHeight="1">
      <c r="A22" s="168"/>
      <c r="B22" s="178">
        <v>2852</v>
      </c>
      <c r="C22" s="178" t="s">
        <v>309</v>
      </c>
      <c r="D22" s="575" t="s">
        <v>323</v>
      </c>
      <c r="E22" s="178" t="s">
        <v>266</v>
      </c>
      <c r="F22" s="210" t="s">
        <v>324</v>
      </c>
      <c r="G22" s="58" t="s">
        <v>325</v>
      </c>
      <c r="H22" s="546">
        <v>4235.3</v>
      </c>
      <c r="I22" s="66" t="s">
        <v>96</v>
      </c>
      <c r="J22" s="63" t="s">
        <v>326</v>
      </c>
      <c r="K22" s="58"/>
      <c r="L22" s="99"/>
      <c r="M22" s="70" t="s">
        <v>269</v>
      </c>
      <c r="N22" s="97" t="s">
        <v>270</v>
      </c>
      <c r="O22" s="58"/>
      <c r="P22" s="58" t="s">
        <v>44</v>
      </c>
      <c r="Q22" s="58" t="s">
        <v>13</v>
      </c>
      <c r="R22" s="58" t="s">
        <v>272</v>
      </c>
    </row>
    <row r="23" spans="1:18" ht="69" customHeight="1">
      <c r="A23" s="168"/>
      <c r="B23" s="178">
        <v>2920</v>
      </c>
      <c r="C23" s="178" t="s">
        <v>259</v>
      </c>
      <c r="D23" s="575"/>
      <c r="E23" s="178" t="s">
        <v>266</v>
      </c>
      <c r="F23" s="210" t="s">
        <v>327</v>
      </c>
      <c r="G23" s="58" t="s">
        <v>328</v>
      </c>
      <c r="H23" s="546">
        <v>596.29</v>
      </c>
      <c r="I23" s="66">
        <v>44582</v>
      </c>
      <c r="J23" s="63" t="s">
        <v>329</v>
      </c>
      <c r="K23" s="58"/>
      <c r="L23" s="99"/>
      <c r="M23" s="70" t="s">
        <v>269</v>
      </c>
      <c r="N23" s="97" t="s">
        <v>270</v>
      </c>
      <c r="O23" s="58"/>
      <c r="P23" s="58" t="s">
        <v>44</v>
      </c>
      <c r="Q23" s="58" t="s">
        <v>13</v>
      </c>
      <c r="R23" s="58" t="s">
        <v>272</v>
      </c>
    </row>
    <row r="24" spans="1:18" ht="69" customHeight="1">
      <c r="A24" s="168"/>
      <c r="B24" s="191">
        <v>2960</v>
      </c>
      <c r="C24" s="191" t="s">
        <v>309</v>
      </c>
      <c r="D24" s="533" t="s">
        <v>330</v>
      </c>
      <c r="E24" s="191" t="s">
        <v>331</v>
      </c>
      <c r="F24" s="211" t="s">
        <v>332</v>
      </c>
      <c r="G24" s="46" t="s">
        <v>333</v>
      </c>
      <c r="H24" s="534">
        <v>0</v>
      </c>
      <c r="I24" s="56" t="s">
        <v>96</v>
      </c>
      <c r="J24" s="283" t="s">
        <v>334</v>
      </c>
      <c r="K24" s="46"/>
      <c r="L24" s="99"/>
      <c r="M24" s="379"/>
      <c r="N24" s="76" t="s">
        <v>69</v>
      </c>
      <c r="O24" s="46"/>
      <c r="P24" s="46" t="s">
        <v>69</v>
      </c>
      <c r="Q24" s="46" t="s">
        <v>13</v>
      </c>
      <c r="R24" s="46" t="s">
        <v>272</v>
      </c>
    </row>
    <row r="25" spans="1:18" ht="69" customHeight="1">
      <c r="A25" s="168"/>
      <c r="B25" s="178">
        <v>3089</v>
      </c>
      <c r="C25" s="178" t="s">
        <v>259</v>
      </c>
      <c r="D25" s="575"/>
      <c r="E25" s="178" t="s">
        <v>266</v>
      </c>
      <c r="F25" s="210" t="s">
        <v>335</v>
      </c>
      <c r="G25" s="58"/>
      <c r="H25" s="546">
        <v>2310.35</v>
      </c>
      <c r="I25" s="66">
        <v>44608</v>
      </c>
      <c r="J25" s="63" t="s">
        <v>336</v>
      </c>
      <c r="K25" s="58"/>
      <c r="L25" s="99"/>
      <c r="M25" s="70" t="s">
        <v>269</v>
      </c>
      <c r="N25" s="97" t="s">
        <v>270</v>
      </c>
      <c r="O25" s="58"/>
      <c r="P25" s="58" t="s">
        <v>44</v>
      </c>
      <c r="Q25" s="58" t="s">
        <v>13</v>
      </c>
      <c r="R25" s="58" t="s">
        <v>272</v>
      </c>
    </row>
    <row r="26" spans="1:18" ht="69" customHeight="1">
      <c r="A26" s="168"/>
      <c r="B26" s="178">
        <v>3031</v>
      </c>
      <c r="C26" s="178" t="s">
        <v>309</v>
      </c>
      <c r="D26" s="575" t="s">
        <v>337</v>
      </c>
      <c r="E26" s="178" t="s">
        <v>266</v>
      </c>
      <c r="F26" s="210" t="s">
        <v>338</v>
      </c>
      <c r="G26" s="58" t="s">
        <v>339</v>
      </c>
      <c r="H26" s="546">
        <v>8875</v>
      </c>
      <c r="I26" s="66">
        <v>44602</v>
      </c>
      <c r="J26" s="63" t="s">
        <v>340</v>
      </c>
      <c r="K26" s="58"/>
      <c r="L26" s="99"/>
      <c r="M26" s="70" t="s">
        <v>269</v>
      </c>
      <c r="N26" s="97" t="s">
        <v>270</v>
      </c>
      <c r="O26" s="58"/>
      <c r="P26" s="58" t="s">
        <v>44</v>
      </c>
      <c r="Q26" s="58" t="s">
        <v>13</v>
      </c>
      <c r="R26" s="58" t="s">
        <v>272</v>
      </c>
    </row>
    <row r="27" spans="1:18" ht="69" customHeight="1">
      <c r="A27" s="168"/>
      <c r="B27" s="178">
        <v>3087</v>
      </c>
      <c r="C27" s="178" t="s">
        <v>309</v>
      </c>
      <c r="D27" s="575" t="s">
        <v>341</v>
      </c>
      <c r="E27" s="178" t="s">
        <v>266</v>
      </c>
      <c r="F27" s="210" t="s">
        <v>342</v>
      </c>
      <c r="G27" s="58" t="s">
        <v>343</v>
      </c>
      <c r="H27" s="546">
        <v>7100</v>
      </c>
      <c r="I27" s="66">
        <v>44608</v>
      </c>
      <c r="J27" s="63" t="s">
        <v>344</v>
      </c>
      <c r="K27" s="58"/>
      <c r="L27" s="99"/>
      <c r="M27" s="70" t="s">
        <v>269</v>
      </c>
      <c r="N27" s="97" t="s">
        <v>270</v>
      </c>
      <c r="O27" s="58"/>
      <c r="P27" s="58" t="s">
        <v>44</v>
      </c>
      <c r="Q27" s="58" t="s">
        <v>13</v>
      </c>
      <c r="R27" s="58" t="s">
        <v>272</v>
      </c>
    </row>
    <row r="28" spans="1:18" ht="69" customHeight="1">
      <c r="A28" s="168"/>
      <c r="B28" s="178">
        <v>3088</v>
      </c>
      <c r="C28" s="178" t="s">
        <v>309</v>
      </c>
      <c r="D28" s="575" t="s">
        <v>345</v>
      </c>
      <c r="E28" s="178" t="s">
        <v>266</v>
      </c>
      <c r="F28" s="210" t="s">
        <v>346</v>
      </c>
      <c r="G28" s="58" t="s">
        <v>347</v>
      </c>
      <c r="H28" s="546">
        <v>1775</v>
      </c>
      <c r="I28" s="66">
        <v>44608</v>
      </c>
      <c r="J28" s="63" t="s">
        <v>348</v>
      </c>
      <c r="K28" s="58"/>
      <c r="L28" s="99"/>
      <c r="M28" s="70" t="s">
        <v>269</v>
      </c>
      <c r="N28" s="97" t="s">
        <v>270</v>
      </c>
      <c r="O28" s="58"/>
      <c r="P28" s="58" t="s">
        <v>44</v>
      </c>
      <c r="Q28" s="58" t="s">
        <v>13</v>
      </c>
      <c r="R28" s="58" t="s">
        <v>272</v>
      </c>
    </row>
    <row r="29" spans="1:18" ht="69" customHeight="1">
      <c r="A29" s="168"/>
      <c r="B29" s="178">
        <v>3118</v>
      </c>
      <c r="C29" s="178" t="s">
        <v>309</v>
      </c>
      <c r="D29" s="575" t="s">
        <v>349</v>
      </c>
      <c r="E29" s="178" t="s">
        <v>350</v>
      </c>
      <c r="F29" s="210" t="s">
        <v>351</v>
      </c>
      <c r="G29" s="58" t="s">
        <v>352</v>
      </c>
      <c r="H29" s="546">
        <v>18172.23</v>
      </c>
      <c r="I29" s="66">
        <v>44608</v>
      </c>
      <c r="J29" s="63" t="s">
        <v>353</v>
      </c>
      <c r="K29" s="58" t="s">
        <v>354</v>
      </c>
      <c r="L29" s="99"/>
      <c r="M29" s="70" t="s">
        <v>355</v>
      </c>
      <c r="N29" s="97" t="s">
        <v>356</v>
      </c>
      <c r="O29" s="58" t="s">
        <v>141</v>
      </c>
      <c r="P29" s="58" t="s">
        <v>19</v>
      </c>
      <c r="Q29" s="58" t="s">
        <v>13</v>
      </c>
      <c r="R29" s="58" t="s">
        <v>265</v>
      </c>
    </row>
    <row r="30" spans="1:18" ht="69" customHeight="1">
      <c r="A30" s="168"/>
      <c r="B30" s="178">
        <v>3114</v>
      </c>
      <c r="C30" s="178" t="s">
        <v>309</v>
      </c>
      <c r="D30" s="575" t="s">
        <v>357</v>
      </c>
      <c r="E30" s="178" t="s">
        <v>358</v>
      </c>
      <c r="F30" s="210" t="s">
        <v>359</v>
      </c>
      <c r="G30" s="58" t="s">
        <v>360</v>
      </c>
      <c r="H30" s="546">
        <v>460000</v>
      </c>
      <c r="I30" s="66">
        <v>44610</v>
      </c>
      <c r="J30" s="63" t="s">
        <v>361</v>
      </c>
      <c r="K30" s="58" t="s">
        <v>354</v>
      </c>
      <c r="L30" s="99"/>
      <c r="M30" s="70" t="s">
        <v>362</v>
      </c>
      <c r="N30" s="97" t="s">
        <v>356</v>
      </c>
      <c r="O30" s="58" t="s">
        <v>141</v>
      </c>
      <c r="P30" s="58" t="s">
        <v>19</v>
      </c>
      <c r="Q30" s="58" t="s">
        <v>13</v>
      </c>
      <c r="R30" s="58" t="s">
        <v>272</v>
      </c>
    </row>
    <row r="31" spans="1:18" ht="69" customHeight="1">
      <c r="A31" s="168"/>
      <c r="B31" s="178">
        <v>4636</v>
      </c>
      <c r="C31" s="178" t="s">
        <v>309</v>
      </c>
      <c r="D31" s="575" t="s">
        <v>363</v>
      </c>
      <c r="E31" s="178" t="s">
        <v>283</v>
      </c>
      <c r="F31" s="210" t="s">
        <v>364</v>
      </c>
      <c r="G31" s="58" t="s">
        <v>365</v>
      </c>
      <c r="H31" s="546">
        <v>101100</v>
      </c>
      <c r="I31" s="66">
        <v>44676</v>
      </c>
      <c r="J31" s="63" t="s">
        <v>366</v>
      </c>
      <c r="K31" s="58"/>
      <c r="L31" s="99"/>
      <c r="M31" s="70" t="s">
        <v>286</v>
      </c>
      <c r="N31" s="97" t="s">
        <v>264</v>
      </c>
      <c r="O31" s="58" t="s">
        <v>141</v>
      </c>
      <c r="P31" s="58" t="s">
        <v>17</v>
      </c>
      <c r="Q31" s="58" t="s">
        <v>13</v>
      </c>
      <c r="R31" s="58" t="s">
        <v>272</v>
      </c>
    </row>
    <row r="32" spans="1:18" ht="69" customHeight="1">
      <c r="A32" s="168"/>
      <c r="B32" s="178">
        <v>4734</v>
      </c>
      <c r="C32" s="178" t="s">
        <v>309</v>
      </c>
      <c r="D32" s="575" t="s">
        <v>367</v>
      </c>
      <c r="E32" s="178" t="s">
        <v>331</v>
      </c>
      <c r="F32" s="210" t="s">
        <v>368</v>
      </c>
      <c r="G32" s="58"/>
      <c r="H32" s="546">
        <v>3389.12</v>
      </c>
      <c r="I32" s="66">
        <v>44678</v>
      </c>
      <c r="J32" s="63" t="s">
        <v>369</v>
      </c>
      <c r="K32" s="58"/>
      <c r="L32" s="99"/>
      <c r="M32" s="70" t="s">
        <v>269</v>
      </c>
      <c r="N32" s="97" t="s">
        <v>270</v>
      </c>
      <c r="O32" s="58"/>
      <c r="P32" s="58" t="s">
        <v>44</v>
      </c>
      <c r="Q32" s="58" t="s">
        <v>13</v>
      </c>
      <c r="R32" s="58" t="s">
        <v>272</v>
      </c>
    </row>
    <row r="33" spans="1:18" ht="69" customHeight="1">
      <c r="A33" s="168"/>
      <c r="B33" s="178">
        <v>4734</v>
      </c>
      <c r="C33" s="178" t="s">
        <v>309</v>
      </c>
      <c r="D33" s="575" t="s">
        <v>370</v>
      </c>
      <c r="E33" s="178" t="s">
        <v>331</v>
      </c>
      <c r="F33" s="210" t="s">
        <v>371</v>
      </c>
      <c r="G33" s="58" t="s">
        <v>372</v>
      </c>
      <c r="H33" s="546">
        <v>30502.100000000002</v>
      </c>
      <c r="I33" s="66">
        <v>44701</v>
      </c>
      <c r="J33" s="63" t="s">
        <v>373</v>
      </c>
      <c r="K33" s="58"/>
      <c r="L33" s="99"/>
      <c r="M33" s="70" t="s">
        <v>269</v>
      </c>
      <c r="N33" s="97" t="s">
        <v>270</v>
      </c>
      <c r="O33" s="58"/>
      <c r="P33" s="58" t="s">
        <v>44</v>
      </c>
      <c r="Q33" s="58" t="s">
        <v>13</v>
      </c>
      <c r="R33" s="58" t="s">
        <v>272</v>
      </c>
    </row>
    <row r="34" spans="1:18" ht="69" customHeight="1">
      <c r="A34" s="168"/>
      <c r="B34" s="178">
        <v>4946</v>
      </c>
      <c r="C34" s="178" t="s">
        <v>309</v>
      </c>
      <c r="D34" s="575" t="s">
        <v>374</v>
      </c>
      <c r="E34" s="178" t="s">
        <v>266</v>
      </c>
      <c r="F34" s="210" t="s">
        <v>375</v>
      </c>
      <c r="G34" s="58" t="s">
        <v>376</v>
      </c>
      <c r="H34" s="546">
        <v>2465.06</v>
      </c>
      <c r="I34" s="66">
        <v>44706</v>
      </c>
      <c r="J34" s="63" t="s">
        <v>377</v>
      </c>
      <c r="K34" s="58"/>
      <c r="L34" s="99"/>
      <c r="M34" s="70" t="s">
        <v>269</v>
      </c>
      <c r="N34" s="97" t="s">
        <v>270</v>
      </c>
      <c r="O34" s="58"/>
      <c r="P34" s="58" t="s">
        <v>44</v>
      </c>
      <c r="Q34" s="58" t="s">
        <v>13</v>
      </c>
      <c r="R34" s="58" t="s">
        <v>272</v>
      </c>
    </row>
    <row r="35" spans="1:18" ht="69" customHeight="1">
      <c r="A35" s="168"/>
      <c r="B35" s="178">
        <v>5107</v>
      </c>
      <c r="C35" s="178" t="s">
        <v>309</v>
      </c>
      <c r="D35" s="575" t="s">
        <v>378</v>
      </c>
      <c r="E35" s="178" t="s">
        <v>266</v>
      </c>
      <c r="F35" s="210" t="s">
        <v>379</v>
      </c>
      <c r="G35" s="58" t="s">
        <v>376</v>
      </c>
      <c r="H35" s="546">
        <v>3697.58</v>
      </c>
      <c r="I35" s="66">
        <v>44732</v>
      </c>
      <c r="J35" s="63" t="s">
        <v>380</v>
      </c>
      <c r="K35" s="58"/>
      <c r="L35" s="99"/>
      <c r="M35" s="70" t="s">
        <v>269</v>
      </c>
      <c r="N35" s="97" t="s">
        <v>270</v>
      </c>
      <c r="O35" s="58"/>
      <c r="P35" s="58" t="s">
        <v>44</v>
      </c>
      <c r="Q35" s="58" t="s">
        <v>13</v>
      </c>
      <c r="R35" s="58" t="s">
        <v>272</v>
      </c>
    </row>
    <row r="36" spans="1:18" ht="69" customHeight="1">
      <c r="A36" s="168"/>
      <c r="B36" s="178">
        <v>6150</v>
      </c>
      <c r="C36" s="178" t="s">
        <v>309</v>
      </c>
      <c r="D36" s="575" t="s">
        <v>381</v>
      </c>
      <c r="E36" s="178" t="s">
        <v>382</v>
      </c>
      <c r="F36" s="210" t="s">
        <v>383</v>
      </c>
      <c r="G36" s="58" t="s">
        <v>384</v>
      </c>
      <c r="H36" s="546">
        <v>27761.33</v>
      </c>
      <c r="I36" s="66">
        <v>44736</v>
      </c>
      <c r="J36" s="63" t="s">
        <v>385</v>
      </c>
      <c r="K36" s="58"/>
      <c r="L36" s="99"/>
      <c r="M36" s="70" t="s">
        <v>386</v>
      </c>
      <c r="N36" s="97" t="s">
        <v>387</v>
      </c>
      <c r="O36" s="62" t="s">
        <v>150</v>
      </c>
      <c r="P36" s="58" t="s">
        <v>51</v>
      </c>
      <c r="Q36" s="58" t="s">
        <v>13</v>
      </c>
      <c r="R36" s="58" t="s">
        <v>272</v>
      </c>
    </row>
    <row r="37" spans="1:18" ht="69" customHeight="1">
      <c r="A37" s="168"/>
      <c r="B37" s="178">
        <v>6166</v>
      </c>
      <c r="C37" s="178" t="s">
        <v>309</v>
      </c>
      <c r="D37" s="575" t="s">
        <v>388</v>
      </c>
      <c r="E37" s="178" t="s">
        <v>382</v>
      </c>
      <c r="F37" s="210" t="s">
        <v>389</v>
      </c>
      <c r="G37" s="58" t="s">
        <v>384</v>
      </c>
      <c r="H37" s="546">
        <v>39819.519999999997</v>
      </c>
      <c r="I37" s="66">
        <v>44736</v>
      </c>
      <c r="J37" s="63" t="s">
        <v>390</v>
      </c>
      <c r="K37" s="58"/>
      <c r="L37" s="99"/>
      <c r="M37" s="70" t="s">
        <v>386</v>
      </c>
      <c r="N37" s="97" t="s">
        <v>387</v>
      </c>
      <c r="O37" s="62" t="s">
        <v>150</v>
      </c>
      <c r="P37" s="58" t="s">
        <v>51</v>
      </c>
      <c r="Q37" s="58" t="s">
        <v>13</v>
      </c>
      <c r="R37" s="58" t="s">
        <v>272</v>
      </c>
    </row>
    <row r="38" spans="1:18" ht="69" customHeight="1">
      <c r="A38" s="168"/>
      <c r="B38" s="178">
        <v>6281</v>
      </c>
      <c r="C38" s="178" t="s">
        <v>259</v>
      </c>
      <c r="D38" s="575"/>
      <c r="E38" s="178" t="s">
        <v>266</v>
      </c>
      <c r="F38" s="210" t="s">
        <v>391</v>
      </c>
      <c r="G38" s="58" t="s">
        <v>392</v>
      </c>
      <c r="H38" s="546">
        <v>276.87</v>
      </c>
      <c r="I38" s="66">
        <v>44739</v>
      </c>
      <c r="J38" s="63" t="s">
        <v>393</v>
      </c>
      <c r="K38" s="58"/>
      <c r="L38" s="99"/>
      <c r="M38" s="70" t="s">
        <v>269</v>
      </c>
      <c r="N38" s="97" t="s">
        <v>270</v>
      </c>
      <c r="O38" s="58"/>
      <c r="P38" s="58" t="s">
        <v>44</v>
      </c>
      <c r="Q38" s="58" t="s">
        <v>13</v>
      </c>
      <c r="R38" s="58" t="s">
        <v>272</v>
      </c>
    </row>
    <row r="39" spans="1:18" ht="69" customHeight="1">
      <c r="A39" s="168"/>
      <c r="B39" s="178">
        <v>5268</v>
      </c>
      <c r="C39" s="178" t="s">
        <v>309</v>
      </c>
      <c r="D39" s="575" t="s">
        <v>394</v>
      </c>
      <c r="E39" s="178" t="s">
        <v>266</v>
      </c>
      <c r="F39" s="210" t="s">
        <v>395</v>
      </c>
      <c r="G39" s="58" t="s">
        <v>396</v>
      </c>
      <c r="H39" s="546">
        <v>3500</v>
      </c>
      <c r="I39" s="66">
        <v>44753</v>
      </c>
      <c r="J39" s="63" t="s">
        <v>397</v>
      </c>
      <c r="K39" s="58"/>
      <c r="L39" s="99"/>
      <c r="M39" s="70" t="s">
        <v>398</v>
      </c>
      <c r="N39" s="97" t="s">
        <v>399</v>
      </c>
      <c r="O39" s="62" t="s">
        <v>147</v>
      </c>
      <c r="P39" s="45" t="s">
        <v>42</v>
      </c>
      <c r="Q39" s="58" t="s">
        <v>13</v>
      </c>
      <c r="R39" s="58" t="s">
        <v>272</v>
      </c>
    </row>
    <row r="40" spans="1:18" ht="69" customHeight="1">
      <c r="A40" s="168"/>
      <c r="B40" s="178">
        <v>5273</v>
      </c>
      <c r="C40" s="178" t="s">
        <v>309</v>
      </c>
      <c r="D40" s="575" t="s">
        <v>400</v>
      </c>
      <c r="E40" s="178" t="s">
        <v>266</v>
      </c>
      <c r="F40" s="210" t="s">
        <v>401</v>
      </c>
      <c r="G40" s="58" t="s">
        <v>396</v>
      </c>
      <c r="H40" s="546">
        <v>5878.3</v>
      </c>
      <c r="I40" s="66">
        <v>44753</v>
      </c>
      <c r="J40" s="63" t="s">
        <v>402</v>
      </c>
      <c r="K40" s="58"/>
      <c r="L40" s="99"/>
      <c r="M40" s="70" t="s">
        <v>398</v>
      </c>
      <c r="N40" s="97" t="s">
        <v>399</v>
      </c>
      <c r="O40" s="62" t="s">
        <v>147</v>
      </c>
      <c r="P40" s="45" t="s">
        <v>42</v>
      </c>
      <c r="Q40" s="58" t="s">
        <v>13</v>
      </c>
      <c r="R40" s="58" t="s">
        <v>272</v>
      </c>
    </row>
    <row r="41" spans="1:18" ht="69" customHeight="1">
      <c r="A41" s="168"/>
      <c r="B41" s="178">
        <v>6033</v>
      </c>
      <c r="C41" s="178" t="s">
        <v>259</v>
      </c>
      <c r="D41" s="575"/>
      <c r="E41" s="178" t="s">
        <v>266</v>
      </c>
      <c r="F41" s="210" t="s">
        <v>403</v>
      </c>
      <c r="G41" s="58" t="s">
        <v>392</v>
      </c>
      <c r="H41" s="546">
        <v>166.96</v>
      </c>
      <c r="I41" s="66">
        <v>44762</v>
      </c>
      <c r="J41" s="63" t="s">
        <v>404</v>
      </c>
      <c r="K41" s="58"/>
      <c r="L41" s="99"/>
      <c r="M41" s="70" t="s">
        <v>269</v>
      </c>
      <c r="N41" s="97" t="s">
        <v>270</v>
      </c>
      <c r="O41" s="58"/>
      <c r="P41" s="58" t="s">
        <v>44</v>
      </c>
      <c r="Q41" s="58" t="s">
        <v>13</v>
      </c>
      <c r="R41" s="58" t="s">
        <v>272</v>
      </c>
    </row>
    <row r="42" spans="1:18" ht="69" customHeight="1">
      <c r="A42" s="168"/>
      <c r="B42" s="178">
        <v>6034</v>
      </c>
      <c r="C42" s="178" t="s">
        <v>259</v>
      </c>
      <c r="D42" s="575" t="s">
        <v>405</v>
      </c>
      <c r="E42" s="178" t="s">
        <v>266</v>
      </c>
      <c r="F42" s="210" t="s">
        <v>406</v>
      </c>
      <c r="G42" s="58" t="s">
        <v>392</v>
      </c>
      <c r="H42" s="546">
        <v>166.96</v>
      </c>
      <c r="I42" s="66">
        <v>44762</v>
      </c>
      <c r="J42" s="63" t="s">
        <v>407</v>
      </c>
      <c r="K42" s="58"/>
      <c r="L42" s="99"/>
      <c r="M42" s="70" t="s">
        <v>269</v>
      </c>
      <c r="N42" s="97" t="s">
        <v>270</v>
      </c>
      <c r="O42" s="58"/>
      <c r="P42" s="58" t="s">
        <v>44</v>
      </c>
      <c r="Q42" s="58" t="s">
        <v>13</v>
      </c>
      <c r="R42" s="58" t="s">
        <v>272</v>
      </c>
    </row>
    <row r="43" spans="1:18" ht="69" customHeight="1">
      <c r="A43" s="168"/>
      <c r="B43" s="171">
        <v>6081</v>
      </c>
      <c r="C43" s="191" t="s">
        <v>309</v>
      </c>
      <c r="D43" s="533" t="s">
        <v>408</v>
      </c>
      <c r="E43" s="191" t="s">
        <v>409</v>
      </c>
      <c r="F43" s="211" t="s">
        <v>410</v>
      </c>
      <c r="G43" s="46" t="s">
        <v>411</v>
      </c>
      <c r="H43" s="534">
        <v>0</v>
      </c>
      <c r="I43" s="56" t="s">
        <v>96</v>
      </c>
      <c r="J43" s="283" t="s">
        <v>412</v>
      </c>
      <c r="K43" s="100"/>
      <c r="L43" s="99"/>
      <c r="M43" s="379" t="s">
        <v>413</v>
      </c>
      <c r="N43" s="76" t="s">
        <v>414</v>
      </c>
      <c r="O43" s="100"/>
      <c r="P43" s="100" t="s">
        <v>22</v>
      </c>
      <c r="Q43" s="100" t="s">
        <v>13</v>
      </c>
      <c r="R43" s="100" t="s">
        <v>272</v>
      </c>
    </row>
    <row r="44" spans="1:18" ht="69" customHeight="1">
      <c r="A44" s="168"/>
      <c r="B44" s="256">
        <v>6081</v>
      </c>
      <c r="C44" s="256" t="s">
        <v>309</v>
      </c>
      <c r="D44" s="299" t="s">
        <v>415</v>
      </c>
      <c r="E44" s="256" t="s">
        <v>409</v>
      </c>
      <c r="F44" s="263" t="s">
        <v>416</v>
      </c>
      <c r="G44" s="118" t="s">
        <v>411</v>
      </c>
      <c r="H44" s="300">
        <v>0</v>
      </c>
      <c r="I44" s="262">
        <v>44769</v>
      </c>
      <c r="J44" s="378" t="s">
        <v>412</v>
      </c>
      <c r="K44" s="160" t="s">
        <v>417</v>
      </c>
      <c r="L44" s="99"/>
      <c r="M44" s="380" t="s">
        <v>413</v>
      </c>
      <c r="N44" s="82" t="s">
        <v>414</v>
      </c>
      <c r="O44" s="118" t="s">
        <v>96</v>
      </c>
      <c r="P44" s="118" t="s">
        <v>67</v>
      </c>
      <c r="Q44" s="118" t="s">
        <v>13</v>
      </c>
      <c r="R44" s="118" t="s">
        <v>272</v>
      </c>
    </row>
    <row r="45" spans="1:18" ht="69" customHeight="1">
      <c r="A45" s="168"/>
      <c r="B45" s="178">
        <v>6001</v>
      </c>
      <c r="C45" s="178" t="s">
        <v>309</v>
      </c>
      <c r="D45" s="575" t="s">
        <v>418</v>
      </c>
      <c r="E45" s="178" t="s">
        <v>350</v>
      </c>
      <c r="F45" s="210" t="s">
        <v>419</v>
      </c>
      <c r="G45" s="58" t="s">
        <v>420</v>
      </c>
      <c r="H45" s="546">
        <v>118860</v>
      </c>
      <c r="I45" s="66">
        <v>44762</v>
      </c>
      <c r="J45" s="63" t="s">
        <v>421</v>
      </c>
      <c r="K45" s="58" t="s">
        <v>422</v>
      </c>
      <c r="L45" s="99"/>
      <c r="M45" s="70" t="s">
        <v>355</v>
      </c>
      <c r="N45" s="97" t="s">
        <v>356</v>
      </c>
      <c r="O45" s="58" t="s">
        <v>141</v>
      </c>
      <c r="P45" s="58" t="s">
        <v>73</v>
      </c>
      <c r="Q45" s="58" t="s">
        <v>13</v>
      </c>
      <c r="R45" s="58" t="s">
        <v>265</v>
      </c>
    </row>
    <row r="46" spans="1:18" ht="69" customHeight="1">
      <c r="A46" s="168"/>
      <c r="B46" s="178">
        <v>6125</v>
      </c>
      <c r="C46" s="178" t="s">
        <v>309</v>
      </c>
      <c r="D46" s="575" t="s">
        <v>423</v>
      </c>
      <c r="E46" s="178" t="s">
        <v>350</v>
      </c>
      <c r="F46" s="210" t="s">
        <v>424</v>
      </c>
      <c r="G46" s="58" t="s">
        <v>352</v>
      </c>
      <c r="H46" s="546">
        <f>6461.02/2</f>
        <v>3230.51</v>
      </c>
      <c r="I46" s="66">
        <v>44795</v>
      </c>
      <c r="J46" s="63" t="s">
        <v>425</v>
      </c>
      <c r="K46" s="58" t="s">
        <v>426</v>
      </c>
      <c r="L46" s="99"/>
      <c r="M46" s="70" t="s">
        <v>355</v>
      </c>
      <c r="N46" s="97" t="s">
        <v>356</v>
      </c>
      <c r="O46" s="58" t="s">
        <v>141</v>
      </c>
      <c r="P46" s="58" t="s">
        <v>73</v>
      </c>
      <c r="Q46" s="58" t="s">
        <v>13</v>
      </c>
      <c r="R46" s="58" t="s">
        <v>265</v>
      </c>
    </row>
    <row r="47" spans="1:18" ht="69" customHeight="1">
      <c r="A47" s="168"/>
      <c r="B47" s="59">
        <v>6404</v>
      </c>
      <c r="C47" s="59" t="s">
        <v>309</v>
      </c>
      <c r="D47" s="581" t="s">
        <v>427</v>
      </c>
      <c r="E47" s="59" t="s">
        <v>331</v>
      </c>
      <c r="F47" s="569" t="s">
        <v>428</v>
      </c>
      <c r="G47" s="45" t="s">
        <v>429</v>
      </c>
      <c r="H47" s="546">
        <v>13959.486000000001</v>
      </c>
      <c r="I47" s="47">
        <v>44802</v>
      </c>
      <c r="J47" s="81" t="s">
        <v>430</v>
      </c>
      <c r="K47" s="45"/>
      <c r="L47" s="99"/>
      <c r="M47" s="70" t="s">
        <v>431</v>
      </c>
      <c r="N47" s="97" t="s">
        <v>432</v>
      </c>
      <c r="O47" s="58"/>
      <c r="P47" s="58" t="s">
        <v>53</v>
      </c>
      <c r="Q47" s="58" t="s">
        <v>13</v>
      </c>
      <c r="R47" s="58" t="s">
        <v>272</v>
      </c>
    </row>
    <row r="48" spans="1:18" ht="69" customHeight="1">
      <c r="A48" s="168"/>
      <c r="B48" s="178">
        <v>6550</v>
      </c>
      <c r="C48" s="178" t="s">
        <v>259</v>
      </c>
      <c r="D48" s="575" t="s">
        <v>433</v>
      </c>
      <c r="E48" s="178" t="s">
        <v>266</v>
      </c>
      <c r="F48" s="210" t="s">
        <v>434</v>
      </c>
      <c r="G48" s="58" t="s">
        <v>392</v>
      </c>
      <c r="H48" s="546">
        <v>166.96</v>
      </c>
      <c r="I48" s="66">
        <v>44816</v>
      </c>
      <c r="J48" s="63" t="s">
        <v>435</v>
      </c>
      <c r="K48" s="58"/>
      <c r="L48" s="99"/>
      <c r="M48" s="70" t="s">
        <v>269</v>
      </c>
      <c r="N48" s="97" t="s">
        <v>270</v>
      </c>
      <c r="O48" s="58"/>
      <c r="P48" s="58" t="s">
        <v>44</v>
      </c>
      <c r="Q48" s="58" t="s">
        <v>13</v>
      </c>
      <c r="R48" s="58" t="s">
        <v>272</v>
      </c>
    </row>
    <row r="49" spans="1:18" ht="69" customHeight="1">
      <c r="A49" s="168"/>
      <c r="B49" s="178">
        <v>6551</v>
      </c>
      <c r="C49" s="178" t="s">
        <v>259</v>
      </c>
      <c r="D49" s="575" t="s">
        <v>436</v>
      </c>
      <c r="E49" s="178" t="s">
        <v>266</v>
      </c>
      <c r="F49" s="210" t="s">
        <v>437</v>
      </c>
      <c r="G49" s="58" t="s">
        <v>392</v>
      </c>
      <c r="H49" s="546">
        <v>166.96</v>
      </c>
      <c r="I49" s="66">
        <v>44816</v>
      </c>
      <c r="J49" s="63" t="s">
        <v>435</v>
      </c>
      <c r="K49" s="58"/>
      <c r="L49" s="99"/>
      <c r="M49" s="70" t="s">
        <v>269</v>
      </c>
      <c r="N49" s="97" t="s">
        <v>270</v>
      </c>
      <c r="O49" s="58"/>
      <c r="P49" s="58" t="s">
        <v>44</v>
      </c>
      <c r="Q49" s="58" t="s">
        <v>13</v>
      </c>
      <c r="R49" s="58" t="s">
        <v>272</v>
      </c>
    </row>
    <row r="50" spans="1:18" ht="69" customHeight="1">
      <c r="A50" s="168"/>
      <c r="B50" s="59">
        <v>6258</v>
      </c>
      <c r="C50" s="59" t="s">
        <v>309</v>
      </c>
      <c r="D50" s="581" t="s">
        <v>438</v>
      </c>
      <c r="E50" s="59" t="s">
        <v>409</v>
      </c>
      <c r="F50" s="569" t="s">
        <v>439</v>
      </c>
      <c r="G50" s="45" t="s">
        <v>440</v>
      </c>
      <c r="H50" s="546">
        <v>383467.5</v>
      </c>
      <c r="I50" s="47">
        <v>44785</v>
      </c>
      <c r="J50" s="81" t="s">
        <v>412</v>
      </c>
      <c r="K50" s="45"/>
      <c r="L50" s="99"/>
      <c r="M50" s="70" t="s">
        <v>413</v>
      </c>
      <c r="N50" s="97" t="s">
        <v>414</v>
      </c>
      <c r="O50" s="58" t="s">
        <v>441</v>
      </c>
      <c r="P50" s="58" t="s">
        <v>22</v>
      </c>
      <c r="Q50" s="58" t="s">
        <v>13</v>
      </c>
      <c r="R50" s="58" t="s">
        <v>272</v>
      </c>
    </row>
    <row r="51" spans="1:18" ht="69" customHeight="1">
      <c r="A51" s="168"/>
      <c r="B51" s="178">
        <v>7478</v>
      </c>
      <c r="C51" s="178" t="s">
        <v>309</v>
      </c>
      <c r="D51" s="575" t="s">
        <v>442</v>
      </c>
      <c r="E51" s="178" t="s">
        <v>266</v>
      </c>
      <c r="F51" s="210" t="s">
        <v>443</v>
      </c>
      <c r="G51" s="58" t="s">
        <v>444</v>
      </c>
      <c r="H51" s="546">
        <v>5334.67</v>
      </c>
      <c r="I51" s="66">
        <v>44879</v>
      </c>
      <c r="J51" s="63" t="s">
        <v>445</v>
      </c>
      <c r="K51" s="58"/>
      <c r="L51" s="99"/>
      <c r="M51" s="70" t="s">
        <v>269</v>
      </c>
      <c r="N51" s="97" t="s">
        <v>270</v>
      </c>
      <c r="O51" s="58"/>
      <c r="P51" s="58" t="s">
        <v>44</v>
      </c>
      <c r="Q51" s="58" t="s">
        <v>13</v>
      </c>
      <c r="R51" s="58" t="s">
        <v>272</v>
      </c>
    </row>
    <row r="52" spans="1:18" ht="69" customHeight="1">
      <c r="A52" s="168"/>
      <c r="B52" s="178">
        <v>7478</v>
      </c>
      <c r="C52" s="178" t="s">
        <v>309</v>
      </c>
      <c r="D52" s="575" t="s">
        <v>442</v>
      </c>
      <c r="E52" s="178" t="s">
        <v>266</v>
      </c>
      <c r="F52" s="210" t="s">
        <v>443</v>
      </c>
      <c r="G52" s="58" t="s">
        <v>444</v>
      </c>
      <c r="H52" s="546">
        <v>5334.67</v>
      </c>
      <c r="I52" s="66">
        <v>44879</v>
      </c>
      <c r="J52" s="63" t="s">
        <v>445</v>
      </c>
      <c r="K52" s="58"/>
      <c r="L52" s="99"/>
      <c r="M52" s="70" t="s">
        <v>269</v>
      </c>
      <c r="N52" s="97" t="s">
        <v>270</v>
      </c>
      <c r="O52" s="58"/>
      <c r="P52" s="58" t="s">
        <v>44</v>
      </c>
      <c r="Q52" s="58" t="s">
        <v>13</v>
      </c>
      <c r="R52" s="58" t="s">
        <v>272</v>
      </c>
    </row>
    <row r="53" spans="1:18" ht="69" customHeight="1">
      <c r="A53" s="168"/>
      <c r="B53" s="178">
        <v>6836</v>
      </c>
      <c r="C53" s="178" t="s">
        <v>309</v>
      </c>
      <c r="D53" s="575" t="s">
        <v>446</v>
      </c>
      <c r="E53" s="178" t="s">
        <v>266</v>
      </c>
      <c r="F53" s="210" t="s">
        <v>447</v>
      </c>
      <c r="G53" s="58" t="s">
        <v>448</v>
      </c>
      <c r="H53" s="546">
        <v>17500</v>
      </c>
      <c r="I53" s="66">
        <v>44832</v>
      </c>
      <c r="J53" s="63" t="s">
        <v>449</v>
      </c>
      <c r="K53" s="58"/>
      <c r="L53" s="99"/>
      <c r="M53" s="70" t="s">
        <v>398</v>
      </c>
      <c r="N53" s="97" t="s">
        <v>399</v>
      </c>
      <c r="O53" s="62" t="s">
        <v>147</v>
      </c>
      <c r="P53" s="45" t="s">
        <v>42</v>
      </c>
      <c r="Q53" s="58" t="s">
        <v>13</v>
      </c>
      <c r="R53" s="58" t="s">
        <v>272</v>
      </c>
    </row>
    <row r="54" spans="1:18" ht="69" customHeight="1">
      <c r="A54" s="168"/>
      <c r="B54" s="178">
        <v>8073</v>
      </c>
      <c r="C54" s="178" t="s">
        <v>450</v>
      </c>
      <c r="D54" s="575" t="s">
        <v>451</v>
      </c>
      <c r="E54" s="178" t="s">
        <v>266</v>
      </c>
      <c r="F54" s="210" t="s">
        <v>452</v>
      </c>
      <c r="G54" s="58" t="s">
        <v>453</v>
      </c>
      <c r="H54" s="546">
        <v>1000</v>
      </c>
      <c r="I54" s="66">
        <v>44911</v>
      </c>
      <c r="J54" s="63" t="s">
        <v>454</v>
      </c>
      <c r="K54" s="58"/>
      <c r="L54" s="99"/>
      <c r="M54" s="70" t="s">
        <v>269</v>
      </c>
      <c r="N54" s="97" t="s">
        <v>270</v>
      </c>
      <c r="O54" s="58"/>
      <c r="P54" s="58" t="s">
        <v>44</v>
      </c>
      <c r="Q54" s="58" t="s">
        <v>13</v>
      </c>
      <c r="R54" s="58" t="s">
        <v>272</v>
      </c>
    </row>
    <row r="55" spans="1:18" ht="69" customHeight="1">
      <c r="A55" s="168"/>
      <c r="B55" s="178">
        <v>7592</v>
      </c>
      <c r="C55" s="178" t="s">
        <v>309</v>
      </c>
      <c r="D55" s="575" t="s">
        <v>455</v>
      </c>
      <c r="E55" s="178" t="s">
        <v>266</v>
      </c>
      <c r="F55" s="210" t="s">
        <v>456</v>
      </c>
      <c r="G55" s="58" t="s">
        <v>392</v>
      </c>
      <c r="H55" s="546">
        <v>1150</v>
      </c>
      <c r="I55" s="66">
        <v>44895</v>
      </c>
      <c r="J55" s="63" t="s">
        <v>457</v>
      </c>
      <c r="K55" s="58"/>
      <c r="L55" s="99"/>
      <c r="M55" s="70" t="s">
        <v>269</v>
      </c>
      <c r="N55" s="97" t="s">
        <v>270</v>
      </c>
      <c r="O55" s="58"/>
      <c r="P55" s="58" t="s">
        <v>44</v>
      </c>
      <c r="Q55" s="58" t="s">
        <v>13</v>
      </c>
      <c r="R55" s="58" t="s">
        <v>272</v>
      </c>
    </row>
    <row r="56" spans="1:18" ht="69" customHeight="1">
      <c r="A56" s="168"/>
      <c r="B56" s="178">
        <v>8340</v>
      </c>
      <c r="C56" s="178" t="s">
        <v>458</v>
      </c>
      <c r="D56" s="575" t="s">
        <v>459</v>
      </c>
      <c r="E56" s="178" t="s">
        <v>460</v>
      </c>
      <c r="F56" s="210" t="s">
        <v>461</v>
      </c>
      <c r="G56" s="58" t="s">
        <v>462</v>
      </c>
      <c r="H56" s="546">
        <v>20000</v>
      </c>
      <c r="I56" s="66">
        <v>44923</v>
      </c>
      <c r="J56" s="65" t="s">
        <v>463</v>
      </c>
      <c r="K56" s="58"/>
      <c r="L56" s="99"/>
      <c r="M56" s="70" t="s">
        <v>464</v>
      </c>
      <c r="N56" s="97" t="s">
        <v>414</v>
      </c>
      <c r="O56" s="58" t="s">
        <v>147</v>
      </c>
      <c r="P56" s="58" t="s">
        <v>22</v>
      </c>
      <c r="Q56" s="58" t="s">
        <v>107</v>
      </c>
      <c r="R56" s="58" t="s">
        <v>265</v>
      </c>
    </row>
    <row r="57" spans="1:18" ht="69" customHeight="1">
      <c r="A57" s="168"/>
      <c r="B57" s="178">
        <v>2051</v>
      </c>
      <c r="C57" s="178" t="s">
        <v>259</v>
      </c>
      <c r="D57" s="575" t="s">
        <v>96</v>
      </c>
      <c r="E57" s="178" t="s">
        <v>266</v>
      </c>
      <c r="F57" s="210" t="s">
        <v>465</v>
      </c>
      <c r="G57" s="575" t="s">
        <v>96</v>
      </c>
      <c r="H57" s="546">
        <v>10496.25</v>
      </c>
      <c r="I57" s="66">
        <v>44438</v>
      </c>
      <c r="J57" s="65" t="s">
        <v>268</v>
      </c>
      <c r="K57" s="58"/>
      <c r="L57" s="99"/>
      <c r="M57" s="70" t="s">
        <v>466</v>
      </c>
      <c r="N57" s="97" t="s">
        <v>270</v>
      </c>
      <c r="O57" s="58" t="s">
        <v>467</v>
      </c>
      <c r="P57" s="58" t="s">
        <v>44</v>
      </c>
      <c r="Q57" s="58" t="s">
        <v>18</v>
      </c>
      <c r="R57" s="58" t="s">
        <v>272</v>
      </c>
    </row>
    <row r="58" spans="1:18" ht="69" customHeight="1">
      <c r="A58" s="168"/>
      <c r="B58" s="178">
        <v>2069</v>
      </c>
      <c r="C58" s="178" t="s">
        <v>259</v>
      </c>
      <c r="D58" s="575" t="s">
        <v>96</v>
      </c>
      <c r="E58" s="178" t="s">
        <v>266</v>
      </c>
      <c r="F58" s="210" t="s">
        <v>468</v>
      </c>
      <c r="G58" s="575" t="s">
        <v>96</v>
      </c>
      <c r="H58" s="546">
        <v>11551.75</v>
      </c>
      <c r="I58" s="66">
        <v>44438</v>
      </c>
      <c r="J58" s="65" t="s">
        <v>268</v>
      </c>
      <c r="K58" s="58"/>
      <c r="L58" s="99"/>
      <c r="M58" s="70" t="s">
        <v>466</v>
      </c>
      <c r="N58" s="97" t="s">
        <v>270</v>
      </c>
      <c r="O58" s="58" t="s">
        <v>467</v>
      </c>
      <c r="P58" s="58" t="s">
        <v>44</v>
      </c>
      <c r="Q58" s="58" t="s">
        <v>18</v>
      </c>
      <c r="R58" s="58" t="s">
        <v>272</v>
      </c>
    </row>
    <row r="59" spans="1:18" ht="69" customHeight="1">
      <c r="A59" s="168"/>
      <c r="B59" s="178">
        <v>2148</v>
      </c>
      <c r="C59" s="178" t="s">
        <v>309</v>
      </c>
      <c r="D59" s="575" t="s">
        <v>469</v>
      </c>
      <c r="E59" s="178" t="s">
        <v>266</v>
      </c>
      <c r="F59" s="210" t="s">
        <v>470</v>
      </c>
      <c r="G59" s="58"/>
      <c r="H59" s="546">
        <v>1750.59</v>
      </c>
      <c r="I59" s="66">
        <v>44455</v>
      </c>
      <c r="J59" s="65" t="s">
        <v>471</v>
      </c>
      <c r="K59" s="58"/>
      <c r="L59" s="99"/>
      <c r="M59" s="70" t="s">
        <v>466</v>
      </c>
      <c r="N59" s="97" t="s">
        <v>270</v>
      </c>
      <c r="O59" s="58"/>
      <c r="P59" s="58" t="s">
        <v>44</v>
      </c>
      <c r="Q59" s="58" t="s">
        <v>18</v>
      </c>
      <c r="R59" s="58" t="s">
        <v>272</v>
      </c>
    </row>
    <row r="60" spans="1:18" ht="69" customHeight="1">
      <c r="A60" s="168"/>
      <c r="B60" s="178">
        <v>2239</v>
      </c>
      <c r="C60" s="178" t="s">
        <v>259</v>
      </c>
      <c r="D60" s="575" t="s">
        <v>96</v>
      </c>
      <c r="E60" s="178" t="s">
        <v>266</v>
      </c>
      <c r="F60" s="210" t="s">
        <v>472</v>
      </c>
      <c r="G60" s="575" t="s">
        <v>96</v>
      </c>
      <c r="H60" s="546">
        <v>532.44000000000005</v>
      </c>
      <c r="I60" s="66">
        <v>44466</v>
      </c>
      <c r="J60" s="65" t="s">
        <v>473</v>
      </c>
      <c r="K60" s="58"/>
      <c r="L60" s="99"/>
      <c r="M60" s="70" t="s">
        <v>466</v>
      </c>
      <c r="N60" s="97" t="s">
        <v>270</v>
      </c>
      <c r="O60" s="58" t="s">
        <v>467</v>
      </c>
      <c r="P60" s="58" t="s">
        <v>44</v>
      </c>
      <c r="Q60" s="58" t="s">
        <v>18</v>
      </c>
      <c r="R60" s="58" t="s">
        <v>272</v>
      </c>
    </row>
    <row r="61" spans="1:18" ht="69" customHeight="1">
      <c r="A61" s="168"/>
      <c r="B61" s="178">
        <v>2240</v>
      </c>
      <c r="C61" s="178" t="s">
        <v>259</v>
      </c>
      <c r="D61" s="575" t="s">
        <v>96</v>
      </c>
      <c r="E61" s="178" t="s">
        <v>266</v>
      </c>
      <c r="F61" s="210" t="s">
        <v>474</v>
      </c>
      <c r="G61" s="575" t="s">
        <v>96</v>
      </c>
      <c r="H61" s="546">
        <v>0.05</v>
      </c>
      <c r="I61" s="66">
        <v>44466</v>
      </c>
      <c r="J61" s="65" t="s">
        <v>475</v>
      </c>
      <c r="K61" s="58"/>
      <c r="L61" s="99"/>
      <c r="M61" s="70" t="s">
        <v>466</v>
      </c>
      <c r="N61" s="97" t="s">
        <v>270</v>
      </c>
      <c r="O61" s="58" t="s">
        <v>467</v>
      </c>
      <c r="P61" s="58" t="s">
        <v>44</v>
      </c>
      <c r="Q61" s="58" t="s">
        <v>18</v>
      </c>
      <c r="R61" s="58" t="s">
        <v>272</v>
      </c>
    </row>
    <row r="62" spans="1:18" ht="69" customHeight="1">
      <c r="A62" s="168"/>
      <c r="B62" s="178">
        <v>2241</v>
      </c>
      <c r="C62" s="178" t="s">
        <v>259</v>
      </c>
      <c r="D62" s="575" t="s">
        <v>96</v>
      </c>
      <c r="E62" s="178" t="s">
        <v>266</v>
      </c>
      <c r="F62" s="210" t="s">
        <v>476</v>
      </c>
      <c r="G62" s="575" t="s">
        <v>96</v>
      </c>
      <c r="H62" s="546">
        <v>56.56</v>
      </c>
      <c r="I62" s="66">
        <v>44466</v>
      </c>
      <c r="J62" s="65" t="s">
        <v>477</v>
      </c>
      <c r="K62" s="58"/>
      <c r="L62" s="99"/>
      <c r="M62" s="70" t="s">
        <v>466</v>
      </c>
      <c r="N62" s="97" t="s">
        <v>270</v>
      </c>
      <c r="O62" s="58" t="s">
        <v>467</v>
      </c>
      <c r="P62" s="58" t="s">
        <v>44</v>
      </c>
      <c r="Q62" s="58" t="s">
        <v>18</v>
      </c>
      <c r="R62" s="58" t="s">
        <v>272</v>
      </c>
    </row>
    <row r="63" spans="1:18" ht="69" customHeight="1">
      <c r="A63" s="168"/>
      <c r="B63" s="178">
        <v>2242</v>
      </c>
      <c r="C63" s="178" t="s">
        <v>259</v>
      </c>
      <c r="D63" s="575" t="s">
        <v>96</v>
      </c>
      <c r="E63" s="178" t="s">
        <v>266</v>
      </c>
      <c r="F63" s="210" t="s">
        <v>478</v>
      </c>
      <c r="G63" s="575" t="s">
        <v>96</v>
      </c>
      <c r="H63" s="546">
        <v>36.51</v>
      </c>
      <c r="I63" s="66">
        <v>44466</v>
      </c>
      <c r="J63" s="65" t="s">
        <v>479</v>
      </c>
      <c r="K63" s="58"/>
      <c r="L63" s="99"/>
      <c r="M63" s="70" t="s">
        <v>466</v>
      </c>
      <c r="N63" s="97" t="s">
        <v>270</v>
      </c>
      <c r="O63" s="58" t="s">
        <v>467</v>
      </c>
      <c r="P63" s="58" t="s">
        <v>44</v>
      </c>
      <c r="Q63" s="58" t="s">
        <v>18</v>
      </c>
      <c r="R63" s="58" t="s">
        <v>272</v>
      </c>
    </row>
    <row r="64" spans="1:18" ht="69" customHeight="1">
      <c r="A64" s="168"/>
      <c r="B64" s="178">
        <v>2107</v>
      </c>
      <c r="C64" s="178" t="s">
        <v>259</v>
      </c>
      <c r="D64" s="575"/>
      <c r="E64" s="178" t="s">
        <v>266</v>
      </c>
      <c r="F64" s="210" t="s">
        <v>480</v>
      </c>
      <c r="G64" s="58"/>
      <c r="H64" s="546">
        <v>8397</v>
      </c>
      <c r="I64" s="66">
        <v>44455</v>
      </c>
      <c r="J64" s="65" t="s">
        <v>281</v>
      </c>
      <c r="K64" s="58"/>
      <c r="L64" s="99"/>
      <c r="M64" s="70" t="s">
        <v>466</v>
      </c>
      <c r="N64" s="97" t="s">
        <v>270</v>
      </c>
      <c r="O64" s="58" t="s">
        <v>467</v>
      </c>
      <c r="P64" s="58" t="s">
        <v>44</v>
      </c>
      <c r="Q64" s="58" t="s">
        <v>18</v>
      </c>
      <c r="R64" s="58" t="s">
        <v>272</v>
      </c>
    </row>
    <row r="65" spans="1:18" ht="69" customHeight="1">
      <c r="A65" s="168"/>
      <c r="B65" s="178">
        <v>2284</v>
      </c>
      <c r="C65" s="178" t="s">
        <v>309</v>
      </c>
      <c r="D65" s="575" t="s">
        <v>481</v>
      </c>
      <c r="E65" s="178" t="s">
        <v>266</v>
      </c>
      <c r="F65" s="210" t="s">
        <v>482</v>
      </c>
      <c r="G65" s="58"/>
      <c r="H65" s="546">
        <v>5220</v>
      </c>
      <c r="I65" s="66" t="s">
        <v>96</v>
      </c>
      <c r="J65" s="65" t="s">
        <v>483</v>
      </c>
      <c r="K65" s="58"/>
      <c r="L65" s="99"/>
      <c r="M65" s="70" t="s">
        <v>466</v>
      </c>
      <c r="N65" s="97" t="s">
        <v>270</v>
      </c>
      <c r="O65" s="58"/>
      <c r="P65" s="58" t="s">
        <v>44</v>
      </c>
      <c r="Q65" s="58" t="s">
        <v>18</v>
      </c>
      <c r="R65" s="58" t="s">
        <v>272</v>
      </c>
    </row>
    <row r="66" spans="1:18" ht="69" customHeight="1">
      <c r="A66" s="168"/>
      <c r="B66" s="178">
        <v>2305</v>
      </c>
      <c r="C66" s="178" t="s">
        <v>259</v>
      </c>
      <c r="D66" s="575"/>
      <c r="E66" s="178" t="s">
        <v>260</v>
      </c>
      <c r="F66" s="210" t="s">
        <v>484</v>
      </c>
      <c r="G66" s="58"/>
      <c r="H66" s="546">
        <v>30000</v>
      </c>
      <c r="I66" s="66">
        <v>44481</v>
      </c>
      <c r="J66" s="65" t="s">
        <v>282</v>
      </c>
      <c r="K66" s="58" t="s">
        <v>485</v>
      </c>
      <c r="L66" s="99"/>
      <c r="M66" s="70" t="s">
        <v>486</v>
      </c>
      <c r="N66" s="97" t="s">
        <v>264</v>
      </c>
      <c r="O66" s="58" t="s">
        <v>141</v>
      </c>
      <c r="P66" s="58" t="s">
        <v>17</v>
      </c>
      <c r="Q66" s="58" t="s">
        <v>18</v>
      </c>
      <c r="R66" s="58" t="s">
        <v>265</v>
      </c>
    </row>
    <row r="67" spans="1:18" ht="69" customHeight="1">
      <c r="A67" s="168"/>
      <c r="B67" s="178">
        <v>2351</v>
      </c>
      <c r="C67" s="178" t="s">
        <v>259</v>
      </c>
      <c r="D67" s="575"/>
      <c r="E67" s="178" t="s">
        <v>283</v>
      </c>
      <c r="F67" s="210" t="s">
        <v>487</v>
      </c>
      <c r="G67" s="58"/>
      <c r="H67" s="546">
        <v>15000</v>
      </c>
      <c r="I67" s="66">
        <v>44489</v>
      </c>
      <c r="J67" s="65" t="s">
        <v>285</v>
      </c>
      <c r="K67" s="58" t="s">
        <v>485</v>
      </c>
      <c r="L67" s="99"/>
      <c r="M67" s="70" t="s">
        <v>488</v>
      </c>
      <c r="N67" s="97" t="s">
        <v>264</v>
      </c>
      <c r="O67" s="58" t="s">
        <v>141</v>
      </c>
      <c r="P67" s="58" t="s">
        <v>17</v>
      </c>
      <c r="Q67" s="58" t="s">
        <v>18</v>
      </c>
      <c r="R67" s="58" t="s">
        <v>272</v>
      </c>
    </row>
    <row r="68" spans="1:18" ht="69" customHeight="1">
      <c r="A68" s="168"/>
      <c r="B68" s="178">
        <v>2346</v>
      </c>
      <c r="C68" s="178" t="s">
        <v>303</v>
      </c>
      <c r="D68" s="575" t="s">
        <v>489</v>
      </c>
      <c r="E68" s="178" t="s">
        <v>305</v>
      </c>
      <c r="F68" s="210" t="s">
        <v>490</v>
      </c>
      <c r="G68" s="58"/>
      <c r="H68" s="546">
        <v>10000</v>
      </c>
      <c r="I68" s="66">
        <v>44489</v>
      </c>
      <c r="J68" s="65" t="s">
        <v>491</v>
      </c>
      <c r="K68" s="58"/>
      <c r="L68" s="99"/>
      <c r="M68" s="70" t="s">
        <v>466</v>
      </c>
      <c r="N68" s="97" t="s">
        <v>270</v>
      </c>
      <c r="O68" s="58"/>
      <c r="P68" s="58" t="s">
        <v>44</v>
      </c>
      <c r="Q68" s="58" t="s">
        <v>18</v>
      </c>
      <c r="R68" s="58" t="s">
        <v>272</v>
      </c>
    </row>
    <row r="69" spans="1:18" ht="69" customHeight="1">
      <c r="A69" s="168"/>
      <c r="B69" s="178">
        <v>2362</v>
      </c>
      <c r="C69" s="178" t="s">
        <v>259</v>
      </c>
      <c r="D69" s="575"/>
      <c r="E69" s="178" t="s">
        <v>266</v>
      </c>
      <c r="F69" s="210" t="s">
        <v>492</v>
      </c>
      <c r="G69" s="58"/>
      <c r="H69" s="546">
        <v>2099.25</v>
      </c>
      <c r="I69" s="66">
        <v>44498</v>
      </c>
      <c r="J69" s="65" t="s">
        <v>493</v>
      </c>
      <c r="K69" s="58"/>
      <c r="L69" s="99"/>
      <c r="M69" s="70" t="s">
        <v>466</v>
      </c>
      <c r="N69" s="97" t="s">
        <v>270</v>
      </c>
      <c r="O69" s="58" t="s">
        <v>467</v>
      </c>
      <c r="P69" s="58" t="s">
        <v>44</v>
      </c>
      <c r="Q69" s="58" t="s">
        <v>18</v>
      </c>
      <c r="R69" s="58" t="s">
        <v>272</v>
      </c>
    </row>
    <row r="70" spans="1:18" ht="69" customHeight="1">
      <c r="A70" s="168"/>
      <c r="B70" s="178">
        <v>2371</v>
      </c>
      <c r="C70" s="178" t="s">
        <v>259</v>
      </c>
      <c r="D70" s="575" t="s">
        <v>433</v>
      </c>
      <c r="E70" s="178" t="s">
        <v>283</v>
      </c>
      <c r="F70" s="210" t="s">
        <v>494</v>
      </c>
      <c r="G70" s="58"/>
      <c r="H70" s="546">
        <v>83000</v>
      </c>
      <c r="I70" s="66">
        <v>44531</v>
      </c>
      <c r="J70" s="65" t="s">
        <v>495</v>
      </c>
      <c r="K70" s="58" t="s">
        <v>485</v>
      </c>
      <c r="L70" s="99"/>
      <c r="M70" s="70" t="s">
        <v>488</v>
      </c>
      <c r="N70" s="97" t="s">
        <v>264</v>
      </c>
      <c r="O70" s="58" t="s">
        <v>141</v>
      </c>
      <c r="P70" s="58" t="s">
        <v>17</v>
      </c>
      <c r="Q70" s="58" t="s">
        <v>18</v>
      </c>
      <c r="R70" s="58" t="s">
        <v>272</v>
      </c>
    </row>
    <row r="71" spans="1:18" ht="69" customHeight="1">
      <c r="A71" s="168"/>
      <c r="B71" s="178">
        <v>2611</v>
      </c>
      <c r="C71" s="178" t="s">
        <v>259</v>
      </c>
      <c r="D71" s="575"/>
      <c r="E71" s="178" t="s">
        <v>266</v>
      </c>
      <c r="F71" s="210" t="s">
        <v>472</v>
      </c>
      <c r="G71" s="58" t="s">
        <v>392</v>
      </c>
      <c r="H71" s="546">
        <v>532.44000000000005</v>
      </c>
      <c r="I71" s="66">
        <v>44538</v>
      </c>
      <c r="J71" s="65" t="s">
        <v>496</v>
      </c>
      <c r="K71" s="58"/>
      <c r="L71" s="99"/>
      <c r="M71" s="70" t="s">
        <v>466</v>
      </c>
      <c r="N71" s="97" t="s">
        <v>270</v>
      </c>
      <c r="O71" s="58" t="s">
        <v>467</v>
      </c>
      <c r="P71" s="58" t="s">
        <v>44</v>
      </c>
      <c r="Q71" s="58" t="s">
        <v>18</v>
      </c>
      <c r="R71" s="58" t="s">
        <v>272</v>
      </c>
    </row>
    <row r="72" spans="1:18" ht="69" customHeight="1">
      <c r="A72" s="168"/>
      <c r="B72" s="178">
        <v>2612</v>
      </c>
      <c r="C72" s="178" t="s">
        <v>259</v>
      </c>
      <c r="D72" s="575"/>
      <c r="E72" s="178" t="s">
        <v>266</v>
      </c>
      <c r="F72" s="210" t="s">
        <v>497</v>
      </c>
      <c r="G72" s="58" t="s">
        <v>392</v>
      </c>
      <c r="H72" s="546">
        <v>0.05</v>
      </c>
      <c r="I72" s="66">
        <v>44538</v>
      </c>
      <c r="J72" s="65" t="s">
        <v>498</v>
      </c>
      <c r="K72" s="58"/>
      <c r="L72" s="99"/>
      <c r="M72" s="70" t="s">
        <v>466</v>
      </c>
      <c r="N72" s="97" t="s">
        <v>270</v>
      </c>
      <c r="O72" s="58" t="s">
        <v>467</v>
      </c>
      <c r="P72" s="58" t="s">
        <v>44</v>
      </c>
      <c r="Q72" s="58" t="s">
        <v>18</v>
      </c>
      <c r="R72" s="58" t="s">
        <v>272</v>
      </c>
    </row>
    <row r="73" spans="1:18" ht="69" customHeight="1">
      <c r="A73" s="168"/>
      <c r="B73" s="178">
        <v>2647</v>
      </c>
      <c r="C73" s="178" t="s">
        <v>259</v>
      </c>
      <c r="D73" s="575"/>
      <c r="E73" s="178" t="s">
        <v>266</v>
      </c>
      <c r="F73" s="210" t="s">
        <v>499</v>
      </c>
      <c r="G73" s="58" t="s">
        <v>315</v>
      </c>
      <c r="H73" s="546">
        <v>9241.4</v>
      </c>
      <c r="I73" s="66">
        <v>44546</v>
      </c>
      <c r="J73" s="65" t="s">
        <v>500</v>
      </c>
      <c r="K73" s="58"/>
      <c r="L73" s="99"/>
      <c r="M73" s="70" t="s">
        <v>466</v>
      </c>
      <c r="N73" s="97" t="s">
        <v>270</v>
      </c>
      <c r="O73" s="58" t="s">
        <v>467</v>
      </c>
      <c r="P73" s="58" t="s">
        <v>44</v>
      </c>
      <c r="Q73" s="58" t="s">
        <v>18</v>
      </c>
      <c r="R73" s="58" t="s">
        <v>272</v>
      </c>
    </row>
    <row r="74" spans="1:18" ht="69" customHeight="1">
      <c r="A74" s="168"/>
      <c r="B74" s="178">
        <v>2844</v>
      </c>
      <c r="C74" s="178" t="s">
        <v>259</v>
      </c>
      <c r="D74" s="575"/>
      <c r="E74" s="178" t="s">
        <v>266</v>
      </c>
      <c r="F74" s="210" t="s">
        <v>501</v>
      </c>
      <c r="G74" s="58"/>
      <c r="H74" s="546">
        <v>605.83000000000004</v>
      </c>
      <c r="I74" s="66">
        <v>44604</v>
      </c>
      <c r="J74" s="65" t="s">
        <v>502</v>
      </c>
      <c r="K74" s="58"/>
      <c r="L74" s="99"/>
      <c r="M74" s="70" t="s">
        <v>466</v>
      </c>
      <c r="N74" s="97" t="s">
        <v>270</v>
      </c>
      <c r="O74" s="58" t="s">
        <v>467</v>
      </c>
      <c r="P74" s="58" t="s">
        <v>44</v>
      </c>
      <c r="Q74" s="58" t="s">
        <v>18</v>
      </c>
      <c r="R74" s="58" t="s">
        <v>272</v>
      </c>
    </row>
    <row r="75" spans="1:18" ht="69" customHeight="1">
      <c r="A75" s="168"/>
      <c r="B75" s="178">
        <v>2845</v>
      </c>
      <c r="C75" s="178" t="s">
        <v>259</v>
      </c>
      <c r="D75" s="575"/>
      <c r="E75" s="178" t="s">
        <v>266</v>
      </c>
      <c r="F75" s="210" t="s">
        <v>503</v>
      </c>
      <c r="G75" s="58"/>
      <c r="H75" s="546">
        <v>36.24</v>
      </c>
      <c r="I75" s="66">
        <v>44604</v>
      </c>
      <c r="J75" s="65" t="s">
        <v>504</v>
      </c>
      <c r="K75" s="58"/>
      <c r="L75" s="99"/>
      <c r="M75" s="70" t="s">
        <v>466</v>
      </c>
      <c r="N75" s="97" t="s">
        <v>270</v>
      </c>
      <c r="O75" s="58" t="s">
        <v>467</v>
      </c>
      <c r="P75" s="58" t="s">
        <v>44</v>
      </c>
      <c r="Q75" s="58" t="s">
        <v>18</v>
      </c>
      <c r="R75" s="58" t="s">
        <v>272</v>
      </c>
    </row>
    <row r="76" spans="1:18" ht="69" customHeight="1">
      <c r="A76" s="168"/>
      <c r="B76" s="178">
        <v>2846</v>
      </c>
      <c r="C76" s="178" t="s">
        <v>259</v>
      </c>
      <c r="D76" s="575"/>
      <c r="E76" s="178" t="s">
        <v>266</v>
      </c>
      <c r="F76" s="210" t="s">
        <v>505</v>
      </c>
      <c r="G76" s="58"/>
      <c r="H76" s="546">
        <v>59.39</v>
      </c>
      <c r="I76" s="66">
        <v>44604</v>
      </c>
      <c r="J76" s="65" t="s">
        <v>506</v>
      </c>
      <c r="K76" s="58"/>
      <c r="L76" s="99"/>
      <c r="M76" s="70" t="s">
        <v>466</v>
      </c>
      <c r="N76" s="97" t="s">
        <v>270</v>
      </c>
      <c r="O76" s="58" t="s">
        <v>467</v>
      </c>
      <c r="P76" s="58" t="s">
        <v>44</v>
      </c>
      <c r="Q76" s="58" t="s">
        <v>18</v>
      </c>
      <c r="R76" s="58" t="s">
        <v>272</v>
      </c>
    </row>
    <row r="77" spans="1:18" ht="69" customHeight="1">
      <c r="A77" s="168"/>
      <c r="B77" s="178">
        <v>2870</v>
      </c>
      <c r="C77" s="178" t="s">
        <v>259</v>
      </c>
      <c r="D77" s="575"/>
      <c r="E77" s="178" t="s">
        <v>266</v>
      </c>
      <c r="F77" s="210" t="s">
        <v>507</v>
      </c>
      <c r="G77" s="58" t="s">
        <v>392</v>
      </c>
      <c r="H77" s="546">
        <v>106.78</v>
      </c>
      <c r="I77" s="66">
        <v>44580</v>
      </c>
      <c r="J77" s="65" t="s">
        <v>508</v>
      </c>
      <c r="K77" s="58"/>
      <c r="L77" s="99"/>
      <c r="M77" s="70" t="s">
        <v>466</v>
      </c>
      <c r="N77" s="97" t="s">
        <v>270</v>
      </c>
      <c r="O77" s="58" t="s">
        <v>467</v>
      </c>
      <c r="P77" s="58" t="s">
        <v>44</v>
      </c>
      <c r="Q77" s="58" t="s">
        <v>18</v>
      </c>
      <c r="R77" s="58" t="s">
        <v>272</v>
      </c>
    </row>
    <row r="78" spans="1:18" ht="69" customHeight="1">
      <c r="A78" s="168"/>
      <c r="B78" s="178">
        <v>2871</v>
      </c>
      <c r="C78" s="178" t="s">
        <v>259</v>
      </c>
      <c r="D78" s="575"/>
      <c r="E78" s="178" t="s">
        <v>266</v>
      </c>
      <c r="F78" s="210" t="s">
        <v>509</v>
      </c>
      <c r="G78" s="58" t="s">
        <v>392</v>
      </c>
      <c r="H78" s="546">
        <v>0.06</v>
      </c>
      <c r="I78" s="66">
        <v>44580</v>
      </c>
      <c r="J78" s="65" t="s">
        <v>510</v>
      </c>
      <c r="K78" s="58"/>
      <c r="L78" s="99"/>
      <c r="M78" s="70" t="s">
        <v>466</v>
      </c>
      <c r="N78" s="97" t="s">
        <v>270</v>
      </c>
      <c r="O78" s="58" t="s">
        <v>467</v>
      </c>
      <c r="P78" s="58" t="s">
        <v>44</v>
      </c>
      <c r="Q78" s="58" t="s">
        <v>18</v>
      </c>
      <c r="R78" s="58" t="s">
        <v>272</v>
      </c>
    </row>
    <row r="79" spans="1:18" ht="69" customHeight="1">
      <c r="A79" s="168"/>
      <c r="B79" s="178">
        <v>2872</v>
      </c>
      <c r="C79" s="178" t="s">
        <v>259</v>
      </c>
      <c r="D79" s="575"/>
      <c r="E79" s="178" t="s">
        <v>266</v>
      </c>
      <c r="F79" s="210" t="s">
        <v>511</v>
      </c>
      <c r="G79" s="58" t="s">
        <v>392</v>
      </c>
      <c r="H79" s="546">
        <v>11.85</v>
      </c>
      <c r="I79" s="66">
        <v>44580</v>
      </c>
      <c r="J79" s="65" t="s">
        <v>512</v>
      </c>
      <c r="K79" s="58"/>
      <c r="L79" s="99"/>
      <c r="M79" s="70" t="s">
        <v>466</v>
      </c>
      <c r="N79" s="97" t="s">
        <v>270</v>
      </c>
      <c r="O79" s="58" t="s">
        <v>467</v>
      </c>
      <c r="P79" s="58" t="s">
        <v>44</v>
      </c>
      <c r="Q79" s="58" t="s">
        <v>18</v>
      </c>
      <c r="R79" s="58" t="s">
        <v>272</v>
      </c>
    </row>
    <row r="80" spans="1:18" ht="69" customHeight="1">
      <c r="A80" s="168"/>
      <c r="B80" s="178">
        <v>2886</v>
      </c>
      <c r="C80" s="178" t="s">
        <v>259</v>
      </c>
      <c r="D80" s="575"/>
      <c r="E80" s="178" t="s">
        <v>266</v>
      </c>
      <c r="F80" s="210" t="s">
        <v>513</v>
      </c>
      <c r="G80" s="58" t="s">
        <v>392</v>
      </c>
      <c r="H80" s="546">
        <v>639.22</v>
      </c>
      <c r="I80" s="66">
        <v>44580</v>
      </c>
      <c r="J80" s="65" t="s">
        <v>514</v>
      </c>
      <c r="K80" s="58"/>
      <c r="L80" s="99"/>
      <c r="M80" s="70" t="s">
        <v>466</v>
      </c>
      <c r="N80" s="97" t="s">
        <v>270</v>
      </c>
      <c r="O80" s="58" t="s">
        <v>467</v>
      </c>
      <c r="P80" s="58" t="s">
        <v>44</v>
      </c>
      <c r="Q80" s="58" t="s">
        <v>18</v>
      </c>
      <c r="R80" s="58" t="s">
        <v>272</v>
      </c>
    </row>
    <row r="81" spans="1:18" ht="69" customHeight="1">
      <c r="A81" s="168"/>
      <c r="B81" s="178">
        <v>2853</v>
      </c>
      <c r="C81" s="178" t="s">
        <v>309</v>
      </c>
      <c r="D81" s="575" t="s">
        <v>515</v>
      </c>
      <c r="E81" s="178" t="s">
        <v>266</v>
      </c>
      <c r="F81" s="210" t="s">
        <v>516</v>
      </c>
      <c r="G81" s="58" t="s">
        <v>325</v>
      </c>
      <c r="H81" s="546">
        <v>4235.3</v>
      </c>
      <c r="I81" s="66" t="s">
        <v>96</v>
      </c>
      <c r="J81" s="65" t="s">
        <v>517</v>
      </c>
      <c r="K81" s="58"/>
      <c r="L81" s="99"/>
      <c r="M81" s="70" t="s">
        <v>466</v>
      </c>
      <c r="N81" s="97" t="s">
        <v>270</v>
      </c>
      <c r="O81" s="58"/>
      <c r="P81" s="58" t="s">
        <v>44</v>
      </c>
      <c r="Q81" s="58" t="s">
        <v>18</v>
      </c>
      <c r="R81" s="58" t="s">
        <v>272</v>
      </c>
    </row>
    <row r="82" spans="1:18" ht="69" customHeight="1">
      <c r="A82" s="168"/>
      <c r="B82" s="191">
        <v>2961</v>
      </c>
      <c r="C82" s="191" t="s">
        <v>309</v>
      </c>
      <c r="D82" s="533" t="s">
        <v>518</v>
      </c>
      <c r="E82" s="191" t="s">
        <v>331</v>
      </c>
      <c r="F82" s="211" t="s">
        <v>519</v>
      </c>
      <c r="G82" s="46" t="s">
        <v>333</v>
      </c>
      <c r="H82" s="534">
        <v>0</v>
      </c>
      <c r="I82" s="56" t="s">
        <v>96</v>
      </c>
      <c r="J82" s="199" t="s">
        <v>334</v>
      </c>
      <c r="K82" s="46"/>
      <c r="L82" s="99"/>
      <c r="M82" s="379" t="s">
        <v>18</v>
      </c>
      <c r="N82" s="76" t="s">
        <v>69</v>
      </c>
      <c r="O82" s="46"/>
      <c r="P82" s="46" t="s">
        <v>69</v>
      </c>
      <c r="Q82" s="46" t="s">
        <v>18</v>
      </c>
      <c r="R82" s="46" t="s">
        <v>272</v>
      </c>
    </row>
    <row r="83" spans="1:18" ht="69" customHeight="1">
      <c r="A83" s="168"/>
      <c r="B83" s="178">
        <v>3090</v>
      </c>
      <c r="C83" s="178" t="s">
        <v>259</v>
      </c>
      <c r="D83" s="575"/>
      <c r="E83" s="178" t="s">
        <v>266</v>
      </c>
      <c r="F83" s="210" t="s">
        <v>520</v>
      </c>
      <c r="G83" s="58"/>
      <c r="H83" s="546">
        <v>2310.35</v>
      </c>
      <c r="I83" s="66">
        <v>44608</v>
      </c>
      <c r="J83" s="65" t="s">
        <v>521</v>
      </c>
      <c r="K83" s="58"/>
      <c r="L83" s="99"/>
      <c r="M83" s="70" t="s">
        <v>466</v>
      </c>
      <c r="N83" s="97" t="s">
        <v>270</v>
      </c>
      <c r="O83" s="58" t="s">
        <v>467</v>
      </c>
      <c r="P83" s="58" t="s">
        <v>44</v>
      </c>
      <c r="Q83" s="58" t="s">
        <v>18</v>
      </c>
      <c r="R83" s="58" t="s">
        <v>272</v>
      </c>
    </row>
    <row r="84" spans="1:18" ht="69" customHeight="1">
      <c r="A84" s="168"/>
      <c r="B84" s="178">
        <v>3119</v>
      </c>
      <c r="C84" s="178" t="s">
        <v>309</v>
      </c>
      <c r="D84" s="575" t="s">
        <v>522</v>
      </c>
      <c r="E84" s="178" t="s">
        <v>350</v>
      </c>
      <c r="F84" s="210" t="s">
        <v>523</v>
      </c>
      <c r="G84" s="58" t="s">
        <v>352</v>
      </c>
      <c r="H84" s="546">
        <v>18172.22</v>
      </c>
      <c r="I84" s="66">
        <v>44608</v>
      </c>
      <c r="J84" s="65" t="s">
        <v>524</v>
      </c>
      <c r="K84" s="58" t="s">
        <v>525</v>
      </c>
      <c r="L84" s="99"/>
      <c r="M84" s="70" t="s">
        <v>526</v>
      </c>
      <c r="N84" s="97" t="s">
        <v>356</v>
      </c>
      <c r="O84" s="58" t="s">
        <v>141</v>
      </c>
      <c r="P84" s="58" t="s">
        <v>19</v>
      </c>
      <c r="Q84" s="58" t="s">
        <v>18</v>
      </c>
      <c r="R84" s="58" t="s">
        <v>265</v>
      </c>
    </row>
    <row r="85" spans="1:18" ht="69" customHeight="1">
      <c r="A85" s="168"/>
      <c r="B85" s="178">
        <v>4179</v>
      </c>
      <c r="C85" s="178" t="s">
        <v>309</v>
      </c>
      <c r="D85" s="575" t="s">
        <v>527</v>
      </c>
      <c r="E85" s="178" t="s">
        <v>358</v>
      </c>
      <c r="F85" s="210" t="s">
        <v>528</v>
      </c>
      <c r="G85" s="58" t="s">
        <v>529</v>
      </c>
      <c r="H85" s="546">
        <v>487000</v>
      </c>
      <c r="I85" s="66">
        <v>44648</v>
      </c>
      <c r="J85" s="65" t="s">
        <v>530</v>
      </c>
      <c r="K85" s="58" t="s">
        <v>531</v>
      </c>
      <c r="L85" s="99"/>
      <c r="M85" s="70" t="s">
        <v>532</v>
      </c>
      <c r="N85" s="97" t="s">
        <v>356</v>
      </c>
      <c r="O85" s="58" t="s">
        <v>141</v>
      </c>
      <c r="P85" s="58" t="s">
        <v>19</v>
      </c>
      <c r="Q85" s="58" t="s">
        <v>18</v>
      </c>
      <c r="R85" s="58" t="s">
        <v>272</v>
      </c>
    </row>
    <row r="86" spans="1:18" ht="69" customHeight="1">
      <c r="A86" s="168"/>
      <c r="B86" s="178">
        <v>4637</v>
      </c>
      <c r="C86" s="178" t="s">
        <v>309</v>
      </c>
      <c r="D86" s="575" t="s">
        <v>533</v>
      </c>
      <c r="E86" s="178" t="s">
        <v>283</v>
      </c>
      <c r="F86" s="210" t="s">
        <v>528</v>
      </c>
      <c r="G86" s="58" t="s">
        <v>365</v>
      </c>
      <c r="H86" s="546">
        <v>124500</v>
      </c>
      <c r="I86" s="66">
        <v>44676</v>
      </c>
      <c r="J86" s="65" t="s">
        <v>534</v>
      </c>
      <c r="K86" s="58" t="s">
        <v>485</v>
      </c>
      <c r="L86" s="99"/>
      <c r="M86" s="70" t="s">
        <v>488</v>
      </c>
      <c r="N86" s="97" t="s">
        <v>264</v>
      </c>
      <c r="O86" s="58" t="s">
        <v>141</v>
      </c>
      <c r="P86" s="58" t="s">
        <v>17</v>
      </c>
      <c r="Q86" s="58" t="s">
        <v>18</v>
      </c>
      <c r="R86" s="58" t="s">
        <v>272</v>
      </c>
    </row>
    <row r="87" spans="1:18" ht="69" customHeight="1">
      <c r="A87" s="168"/>
      <c r="B87" s="178">
        <v>4735</v>
      </c>
      <c r="C87" s="178" t="s">
        <v>309</v>
      </c>
      <c r="D87" s="575" t="s">
        <v>535</v>
      </c>
      <c r="E87" s="178" t="s">
        <v>331</v>
      </c>
      <c r="F87" s="210" t="s">
        <v>536</v>
      </c>
      <c r="G87" s="58"/>
      <c r="H87" s="546">
        <v>3389.12</v>
      </c>
      <c r="I87" s="66">
        <v>44678</v>
      </c>
      <c r="J87" s="65" t="s">
        <v>537</v>
      </c>
      <c r="K87" s="58"/>
      <c r="L87" s="99"/>
      <c r="M87" s="70" t="s">
        <v>466</v>
      </c>
      <c r="N87" s="97" t="s">
        <v>270</v>
      </c>
      <c r="O87" s="58"/>
      <c r="P87" s="58" t="s">
        <v>44</v>
      </c>
      <c r="Q87" s="58" t="s">
        <v>18</v>
      </c>
      <c r="R87" s="58" t="s">
        <v>272</v>
      </c>
    </row>
    <row r="88" spans="1:18" ht="69" customHeight="1">
      <c r="A88" s="168"/>
      <c r="B88" s="178">
        <v>4735</v>
      </c>
      <c r="C88" s="178" t="s">
        <v>309</v>
      </c>
      <c r="D88" s="575" t="s">
        <v>538</v>
      </c>
      <c r="E88" s="178" t="s">
        <v>331</v>
      </c>
      <c r="F88" s="210" t="s">
        <v>539</v>
      </c>
      <c r="G88" s="58" t="s">
        <v>372</v>
      </c>
      <c r="H88" s="546">
        <v>30502.100000000002</v>
      </c>
      <c r="I88" s="66">
        <v>44701</v>
      </c>
      <c r="J88" s="65" t="s">
        <v>540</v>
      </c>
      <c r="K88" s="58"/>
      <c r="L88" s="99"/>
      <c r="M88" s="70" t="s">
        <v>466</v>
      </c>
      <c r="N88" s="97" t="s">
        <v>270</v>
      </c>
      <c r="O88" s="58"/>
      <c r="P88" s="58" t="s">
        <v>44</v>
      </c>
      <c r="Q88" s="58" t="s">
        <v>18</v>
      </c>
      <c r="R88" s="58" t="s">
        <v>272</v>
      </c>
    </row>
    <row r="89" spans="1:18" ht="69" customHeight="1">
      <c r="A89" s="168"/>
      <c r="B89" s="178">
        <v>2</v>
      </c>
      <c r="C89" s="178" t="s">
        <v>309</v>
      </c>
      <c r="D89" s="575" t="s">
        <v>541</v>
      </c>
      <c r="E89" s="178" t="s">
        <v>382</v>
      </c>
      <c r="F89" s="210" t="s">
        <v>542</v>
      </c>
      <c r="G89" s="58" t="s">
        <v>384</v>
      </c>
      <c r="H89" s="546">
        <v>27761.33</v>
      </c>
      <c r="I89" s="66">
        <v>44736</v>
      </c>
      <c r="J89" s="65" t="s">
        <v>543</v>
      </c>
      <c r="K89" s="58"/>
      <c r="L89" s="99"/>
      <c r="M89" s="70" t="s">
        <v>544</v>
      </c>
      <c r="N89" s="97" t="s">
        <v>387</v>
      </c>
      <c r="O89" s="62" t="s">
        <v>150</v>
      </c>
      <c r="P89" s="58" t="s">
        <v>51</v>
      </c>
      <c r="Q89" s="58" t="s">
        <v>18</v>
      </c>
      <c r="R89" s="58" t="s">
        <v>272</v>
      </c>
    </row>
    <row r="90" spans="1:18" ht="69" customHeight="1">
      <c r="A90" s="168"/>
      <c r="B90" s="178">
        <v>1</v>
      </c>
      <c r="C90" s="178" t="s">
        <v>309</v>
      </c>
      <c r="D90" s="575" t="s">
        <v>545</v>
      </c>
      <c r="E90" s="178" t="s">
        <v>382</v>
      </c>
      <c r="F90" s="210" t="s">
        <v>546</v>
      </c>
      <c r="G90" s="58" t="s">
        <v>384</v>
      </c>
      <c r="H90" s="546">
        <v>39819.519999999997</v>
      </c>
      <c r="I90" s="66">
        <v>44736</v>
      </c>
      <c r="J90" s="65" t="s">
        <v>547</v>
      </c>
      <c r="K90" s="58"/>
      <c r="L90" s="99"/>
      <c r="M90" s="70" t="s">
        <v>544</v>
      </c>
      <c r="N90" s="97" t="s">
        <v>387</v>
      </c>
      <c r="O90" s="62" t="s">
        <v>150</v>
      </c>
      <c r="P90" s="58" t="s">
        <v>51</v>
      </c>
      <c r="Q90" s="58" t="s">
        <v>18</v>
      </c>
      <c r="R90" s="58" t="s">
        <v>272</v>
      </c>
    </row>
    <row r="91" spans="1:18" ht="69" customHeight="1">
      <c r="A91" s="168"/>
      <c r="B91" s="178">
        <v>5276</v>
      </c>
      <c r="C91" s="178" t="s">
        <v>309</v>
      </c>
      <c r="D91" s="575" t="s">
        <v>548</v>
      </c>
      <c r="E91" s="178" t="s">
        <v>266</v>
      </c>
      <c r="F91" s="210" t="s">
        <v>549</v>
      </c>
      <c r="G91" s="58" t="s">
        <v>396</v>
      </c>
      <c r="H91" s="546">
        <v>3500</v>
      </c>
      <c r="I91" s="66">
        <v>44753</v>
      </c>
      <c r="J91" s="65" t="s">
        <v>550</v>
      </c>
      <c r="K91" s="58"/>
      <c r="L91" s="99"/>
      <c r="M91" s="70" t="s">
        <v>551</v>
      </c>
      <c r="N91" s="97" t="s">
        <v>552</v>
      </c>
      <c r="O91" s="62" t="s">
        <v>147</v>
      </c>
      <c r="P91" s="45" t="s">
        <v>42</v>
      </c>
      <c r="Q91" s="58" t="s">
        <v>18</v>
      </c>
      <c r="R91" s="58" t="s">
        <v>272</v>
      </c>
    </row>
    <row r="92" spans="1:18" ht="69" customHeight="1">
      <c r="A92" s="168"/>
      <c r="B92" s="178">
        <v>5281</v>
      </c>
      <c r="C92" s="178" t="s">
        <v>309</v>
      </c>
      <c r="D92" s="575" t="s">
        <v>553</v>
      </c>
      <c r="E92" s="178" t="s">
        <v>266</v>
      </c>
      <c r="F92" s="210" t="s">
        <v>554</v>
      </c>
      <c r="G92" s="58" t="s">
        <v>396</v>
      </c>
      <c r="H92" s="546">
        <v>5878.3</v>
      </c>
      <c r="I92" s="66">
        <v>44753</v>
      </c>
      <c r="J92" s="65" t="s">
        <v>555</v>
      </c>
      <c r="K92" s="58"/>
      <c r="L92" s="99"/>
      <c r="M92" s="70" t="s">
        <v>551</v>
      </c>
      <c r="N92" s="97" t="s">
        <v>552</v>
      </c>
      <c r="O92" s="62" t="s">
        <v>147</v>
      </c>
      <c r="P92" s="45" t="s">
        <v>42</v>
      </c>
      <c r="Q92" s="58" t="s">
        <v>18</v>
      </c>
      <c r="R92" s="58" t="s">
        <v>272</v>
      </c>
    </row>
    <row r="93" spans="1:18" ht="69" customHeight="1">
      <c r="A93" s="168"/>
      <c r="B93" s="256">
        <v>6082</v>
      </c>
      <c r="C93" s="256" t="s">
        <v>309</v>
      </c>
      <c r="D93" s="299" t="s">
        <v>556</v>
      </c>
      <c r="E93" s="256" t="s">
        <v>409</v>
      </c>
      <c r="F93" s="263" t="s">
        <v>557</v>
      </c>
      <c r="G93" s="118" t="s">
        <v>411</v>
      </c>
      <c r="H93" s="300">
        <v>383467.5</v>
      </c>
      <c r="I93" s="262">
        <v>44769</v>
      </c>
      <c r="J93" s="258" t="s">
        <v>558</v>
      </c>
      <c r="K93" s="160" t="s">
        <v>559</v>
      </c>
      <c r="L93" s="99"/>
      <c r="M93" s="380" t="s">
        <v>560</v>
      </c>
      <c r="N93" s="82" t="s">
        <v>414</v>
      </c>
      <c r="O93" s="118" t="s">
        <v>96</v>
      </c>
      <c r="P93" s="118" t="s">
        <v>67</v>
      </c>
      <c r="Q93" s="118" t="s">
        <v>18</v>
      </c>
      <c r="R93" s="118" t="s">
        <v>272</v>
      </c>
    </row>
    <row r="94" spans="1:18" ht="69" customHeight="1">
      <c r="A94" s="168"/>
      <c r="B94" s="178">
        <v>6126</v>
      </c>
      <c r="C94" s="178" t="s">
        <v>309</v>
      </c>
      <c r="D94" s="575" t="s">
        <v>561</v>
      </c>
      <c r="E94" s="178" t="s">
        <v>350</v>
      </c>
      <c r="F94" s="210" t="s">
        <v>562</v>
      </c>
      <c r="G94" s="58" t="s">
        <v>352</v>
      </c>
      <c r="H94" s="546">
        <f>6461.02/2</f>
        <v>3230.51</v>
      </c>
      <c r="I94" s="66">
        <v>44795</v>
      </c>
      <c r="J94" s="65" t="s">
        <v>563</v>
      </c>
      <c r="K94" s="58"/>
      <c r="L94" s="99"/>
      <c r="M94" s="70" t="s">
        <v>526</v>
      </c>
      <c r="N94" s="97" t="s">
        <v>356</v>
      </c>
      <c r="O94" s="58" t="s">
        <v>141</v>
      </c>
      <c r="P94" s="58" t="s">
        <v>73</v>
      </c>
      <c r="Q94" s="58" t="s">
        <v>18</v>
      </c>
      <c r="R94" s="58" t="s">
        <v>265</v>
      </c>
    </row>
    <row r="95" spans="1:18" ht="69" customHeight="1">
      <c r="A95" s="168"/>
      <c r="B95" s="59">
        <v>6405</v>
      </c>
      <c r="C95" s="59" t="s">
        <v>309</v>
      </c>
      <c r="D95" s="581" t="s">
        <v>564</v>
      </c>
      <c r="E95" s="59" t="s">
        <v>331</v>
      </c>
      <c r="F95" s="569" t="s">
        <v>565</v>
      </c>
      <c r="G95" s="45" t="s">
        <v>429</v>
      </c>
      <c r="H95" s="546">
        <v>13959.486000000001</v>
      </c>
      <c r="I95" s="47">
        <v>44802</v>
      </c>
      <c r="J95" s="73" t="s">
        <v>430</v>
      </c>
      <c r="K95" s="45"/>
      <c r="L95" s="99"/>
      <c r="M95" s="70" t="s">
        <v>566</v>
      </c>
      <c r="N95" s="97" t="s">
        <v>432</v>
      </c>
      <c r="O95" s="58"/>
      <c r="P95" s="58" t="s">
        <v>53</v>
      </c>
      <c r="Q95" s="58" t="s">
        <v>18</v>
      </c>
      <c r="R95" s="58" t="s">
        <v>272</v>
      </c>
    </row>
    <row r="96" spans="1:18" ht="69" customHeight="1">
      <c r="A96" s="168"/>
      <c r="B96" s="59">
        <v>6259</v>
      </c>
      <c r="C96" s="59" t="s">
        <v>309</v>
      </c>
      <c r="D96" s="581" t="s">
        <v>567</v>
      </c>
      <c r="E96" s="59" t="s">
        <v>409</v>
      </c>
      <c r="F96" s="569" t="s">
        <v>568</v>
      </c>
      <c r="G96" s="45" t="s">
        <v>569</v>
      </c>
      <c r="H96" s="546">
        <v>383467.5</v>
      </c>
      <c r="I96" s="47">
        <v>44785</v>
      </c>
      <c r="J96" s="73" t="s">
        <v>558</v>
      </c>
      <c r="K96" s="45"/>
      <c r="L96" s="99"/>
      <c r="M96" s="70" t="s">
        <v>560</v>
      </c>
      <c r="N96" s="97" t="s">
        <v>414</v>
      </c>
      <c r="O96" s="62" t="s">
        <v>441</v>
      </c>
      <c r="P96" s="58" t="s">
        <v>22</v>
      </c>
      <c r="Q96" s="58" t="s">
        <v>18</v>
      </c>
      <c r="R96" s="58" t="s">
        <v>272</v>
      </c>
    </row>
    <row r="97" spans="1:18" ht="69" customHeight="1">
      <c r="A97" s="168"/>
      <c r="B97" s="178">
        <v>6800</v>
      </c>
      <c r="C97" s="178" t="s">
        <v>309</v>
      </c>
      <c r="D97" s="575" t="s">
        <v>570</v>
      </c>
      <c r="E97" s="178" t="s">
        <v>266</v>
      </c>
      <c r="F97" s="210" t="s">
        <v>571</v>
      </c>
      <c r="G97" s="58" t="s">
        <v>572</v>
      </c>
      <c r="H97" s="546">
        <v>10000</v>
      </c>
      <c r="I97" s="66">
        <v>44830</v>
      </c>
      <c r="J97" s="65" t="s">
        <v>573</v>
      </c>
      <c r="K97" s="58"/>
      <c r="L97" s="99"/>
      <c r="M97" s="70" t="s">
        <v>466</v>
      </c>
      <c r="N97" s="97" t="s">
        <v>270</v>
      </c>
      <c r="O97" s="58"/>
      <c r="P97" s="58" t="s">
        <v>44</v>
      </c>
      <c r="Q97" s="58" t="s">
        <v>18</v>
      </c>
      <c r="R97" s="58" t="s">
        <v>272</v>
      </c>
    </row>
    <row r="98" spans="1:18" ht="69" customHeight="1">
      <c r="A98" s="168"/>
      <c r="B98" s="178">
        <v>7479</v>
      </c>
      <c r="C98" s="178" t="s">
        <v>309</v>
      </c>
      <c r="D98" s="575" t="s">
        <v>574</v>
      </c>
      <c r="E98" s="178" t="s">
        <v>266</v>
      </c>
      <c r="F98" s="210" t="s">
        <v>575</v>
      </c>
      <c r="G98" s="58" t="s">
        <v>444</v>
      </c>
      <c r="H98" s="546">
        <v>5334.67</v>
      </c>
      <c r="I98" s="66">
        <v>44879</v>
      </c>
      <c r="J98" s="65" t="s">
        <v>445</v>
      </c>
      <c r="K98" s="58"/>
      <c r="L98" s="99"/>
      <c r="M98" s="70" t="s">
        <v>466</v>
      </c>
      <c r="N98" s="97" t="s">
        <v>270</v>
      </c>
      <c r="O98" s="58"/>
      <c r="P98" s="58" t="s">
        <v>44</v>
      </c>
      <c r="Q98" s="58" t="s">
        <v>18</v>
      </c>
      <c r="R98" s="58" t="s">
        <v>272</v>
      </c>
    </row>
    <row r="99" spans="1:18" ht="69" customHeight="1">
      <c r="A99" s="168"/>
      <c r="B99" s="178">
        <v>6837</v>
      </c>
      <c r="C99" s="178" t="s">
        <v>309</v>
      </c>
      <c r="D99" s="575" t="s">
        <v>576</v>
      </c>
      <c r="E99" s="178" t="s">
        <v>266</v>
      </c>
      <c r="F99" s="210" t="s">
        <v>577</v>
      </c>
      <c r="G99" s="58" t="s">
        <v>448</v>
      </c>
      <c r="H99" s="546">
        <v>17500</v>
      </c>
      <c r="I99" s="66">
        <v>44832</v>
      </c>
      <c r="J99" s="65" t="s">
        <v>449</v>
      </c>
      <c r="K99" s="58"/>
      <c r="L99" s="99"/>
      <c r="M99" s="70" t="s">
        <v>578</v>
      </c>
      <c r="N99" s="97" t="s">
        <v>399</v>
      </c>
      <c r="O99" s="62" t="s">
        <v>147</v>
      </c>
      <c r="P99" s="45" t="s">
        <v>42</v>
      </c>
      <c r="Q99" s="58" t="s">
        <v>18</v>
      </c>
      <c r="R99" s="58" t="s">
        <v>272</v>
      </c>
    </row>
    <row r="100" spans="1:18" ht="69" customHeight="1">
      <c r="A100" s="168"/>
      <c r="B100" s="178">
        <v>7593</v>
      </c>
      <c r="C100" s="178" t="s">
        <v>309</v>
      </c>
      <c r="D100" s="575" t="s">
        <v>579</v>
      </c>
      <c r="E100" s="178" t="s">
        <v>266</v>
      </c>
      <c r="F100" s="210" t="s">
        <v>580</v>
      </c>
      <c r="G100" s="58" t="s">
        <v>392</v>
      </c>
      <c r="H100" s="546">
        <v>1150</v>
      </c>
      <c r="I100" s="66">
        <v>44895</v>
      </c>
      <c r="J100" s="65" t="s">
        <v>457</v>
      </c>
      <c r="K100" s="58"/>
      <c r="L100" s="99"/>
      <c r="M100" s="70" t="s">
        <v>466</v>
      </c>
      <c r="N100" s="97" t="s">
        <v>270</v>
      </c>
      <c r="O100" s="58"/>
      <c r="P100" s="58" t="s">
        <v>44</v>
      </c>
      <c r="Q100" s="58" t="s">
        <v>18</v>
      </c>
      <c r="R100" s="58" t="s">
        <v>272</v>
      </c>
    </row>
    <row r="101" spans="1:18" ht="69" customHeight="1">
      <c r="A101" s="168"/>
      <c r="B101" s="178">
        <v>8071</v>
      </c>
      <c r="C101" s="178" t="s">
        <v>581</v>
      </c>
      <c r="D101" s="575" t="s">
        <v>582</v>
      </c>
      <c r="E101" s="178" t="s">
        <v>266</v>
      </c>
      <c r="F101" s="210" t="s">
        <v>583</v>
      </c>
      <c r="G101" s="58" t="s">
        <v>453</v>
      </c>
      <c r="H101" s="546">
        <v>1000</v>
      </c>
      <c r="I101" s="66">
        <v>44911</v>
      </c>
      <c r="J101" s="65" t="s">
        <v>454</v>
      </c>
      <c r="K101" s="58"/>
      <c r="L101" s="99"/>
      <c r="M101" s="70" t="s">
        <v>466</v>
      </c>
      <c r="N101" s="97" t="s">
        <v>270</v>
      </c>
      <c r="O101" s="58"/>
      <c r="P101" s="58" t="s">
        <v>44</v>
      </c>
      <c r="Q101" s="58" t="s">
        <v>18</v>
      </c>
      <c r="R101" s="58" t="s">
        <v>272</v>
      </c>
    </row>
    <row r="102" spans="1:18" ht="69" customHeight="1">
      <c r="A102" s="168"/>
      <c r="B102" s="178">
        <v>9056</v>
      </c>
      <c r="C102" s="178" t="s">
        <v>309</v>
      </c>
      <c r="D102" s="575" t="s">
        <v>584</v>
      </c>
      <c r="E102" s="178" t="s">
        <v>585</v>
      </c>
      <c r="F102" s="210" t="s">
        <v>586</v>
      </c>
      <c r="G102" s="58" t="s">
        <v>392</v>
      </c>
      <c r="H102" s="546">
        <v>3587.39</v>
      </c>
      <c r="I102" s="66">
        <v>45009</v>
      </c>
      <c r="J102" s="65" t="s">
        <v>587</v>
      </c>
      <c r="K102" s="58"/>
      <c r="L102" s="99"/>
      <c r="M102" s="70" t="s">
        <v>466</v>
      </c>
      <c r="N102" s="97" t="s">
        <v>270</v>
      </c>
      <c r="O102" s="58" t="s">
        <v>467</v>
      </c>
      <c r="P102" s="58" t="s">
        <v>44</v>
      </c>
      <c r="Q102" s="58" t="s">
        <v>18</v>
      </c>
      <c r="R102" s="58" t="s">
        <v>272</v>
      </c>
    </row>
    <row r="103" spans="1:18" ht="69" customHeight="1">
      <c r="A103" s="168"/>
      <c r="B103" s="178">
        <v>9338</v>
      </c>
      <c r="C103" s="178" t="s">
        <v>259</v>
      </c>
      <c r="D103" s="575" t="s">
        <v>588</v>
      </c>
      <c r="E103" s="178" t="s">
        <v>266</v>
      </c>
      <c r="F103" s="210" t="s">
        <v>589</v>
      </c>
      <c r="G103" s="58" t="s">
        <v>590</v>
      </c>
      <c r="H103" s="546">
        <v>1969.9</v>
      </c>
      <c r="I103" s="66">
        <v>45016</v>
      </c>
      <c r="J103" s="65" t="s">
        <v>591</v>
      </c>
      <c r="K103" s="58"/>
      <c r="L103" s="99"/>
      <c r="M103" s="70" t="s">
        <v>466</v>
      </c>
      <c r="N103" s="97" t="s">
        <v>270</v>
      </c>
      <c r="O103" s="58" t="s">
        <v>467</v>
      </c>
      <c r="P103" s="58" t="s">
        <v>44</v>
      </c>
      <c r="Q103" s="58" t="s">
        <v>18</v>
      </c>
      <c r="R103" s="58" t="s">
        <v>272</v>
      </c>
    </row>
    <row r="104" spans="1:18" ht="69" customHeight="1">
      <c r="A104" s="168"/>
      <c r="B104" s="178">
        <v>9406</v>
      </c>
      <c r="C104" s="178" t="s">
        <v>309</v>
      </c>
      <c r="D104" s="575" t="s">
        <v>592</v>
      </c>
      <c r="E104" s="178" t="s">
        <v>358</v>
      </c>
      <c r="F104" s="210" t="s">
        <v>593</v>
      </c>
      <c r="G104" s="58" t="s">
        <v>594</v>
      </c>
      <c r="H104" s="546">
        <v>733091.34</v>
      </c>
      <c r="I104" s="66">
        <v>45012</v>
      </c>
      <c r="J104" s="65" t="s">
        <v>595</v>
      </c>
      <c r="K104" s="58"/>
      <c r="L104" s="99"/>
      <c r="M104" s="70" t="s">
        <v>532</v>
      </c>
      <c r="N104" s="97" t="s">
        <v>356</v>
      </c>
      <c r="O104" s="58" t="s">
        <v>141</v>
      </c>
      <c r="P104" s="58" t="s">
        <v>19</v>
      </c>
      <c r="Q104" s="58" t="s">
        <v>18</v>
      </c>
      <c r="R104" s="58" t="s">
        <v>272</v>
      </c>
    </row>
    <row r="105" spans="1:18" ht="69" customHeight="1">
      <c r="A105" s="168"/>
      <c r="B105" s="178">
        <v>9747</v>
      </c>
      <c r="C105" s="178" t="s">
        <v>309</v>
      </c>
      <c r="D105" s="575"/>
      <c r="E105" s="178" t="s">
        <v>350</v>
      </c>
      <c r="F105" s="210" t="s">
        <v>596</v>
      </c>
      <c r="G105" s="58" t="s">
        <v>597</v>
      </c>
      <c r="H105" s="546">
        <v>656357.82999999996</v>
      </c>
      <c r="I105" s="66">
        <v>45041</v>
      </c>
      <c r="J105" s="65" t="s">
        <v>598</v>
      </c>
      <c r="K105" s="58"/>
      <c r="L105" s="99"/>
      <c r="M105" s="70" t="s">
        <v>526</v>
      </c>
      <c r="N105" s="97" t="s">
        <v>356</v>
      </c>
      <c r="O105" s="58" t="s">
        <v>141</v>
      </c>
      <c r="P105" s="58" t="s">
        <v>73</v>
      </c>
      <c r="Q105" s="58" t="s">
        <v>18</v>
      </c>
      <c r="R105" s="58" t="s">
        <v>265</v>
      </c>
    </row>
    <row r="106" spans="1:18" ht="69" customHeight="1">
      <c r="A106" s="168"/>
      <c r="B106" s="178">
        <v>1807</v>
      </c>
      <c r="C106" s="178" t="s">
        <v>303</v>
      </c>
      <c r="D106" s="575" t="s">
        <v>599</v>
      </c>
      <c r="E106" s="178" t="s">
        <v>305</v>
      </c>
      <c r="F106" s="210" t="s">
        <v>600</v>
      </c>
      <c r="G106" s="58"/>
      <c r="H106" s="546">
        <v>10000</v>
      </c>
      <c r="I106" s="66" t="s">
        <v>96</v>
      </c>
      <c r="J106" s="65" t="s">
        <v>601</v>
      </c>
      <c r="K106" s="58"/>
      <c r="L106" s="99"/>
      <c r="M106" s="70" t="s">
        <v>602</v>
      </c>
      <c r="N106" s="97" t="s">
        <v>270</v>
      </c>
      <c r="O106" s="58"/>
      <c r="P106" s="58" t="s">
        <v>44</v>
      </c>
      <c r="Q106" s="58" t="s">
        <v>20</v>
      </c>
      <c r="R106" s="58" t="s">
        <v>272</v>
      </c>
    </row>
    <row r="107" spans="1:18" ht="69" customHeight="1">
      <c r="A107" s="168"/>
      <c r="B107" s="178">
        <v>1971</v>
      </c>
      <c r="C107" s="178" t="s">
        <v>259</v>
      </c>
      <c r="D107" s="575" t="s">
        <v>96</v>
      </c>
      <c r="E107" s="178" t="s">
        <v>260</v>
      </c>
      <c r="F107" s="210" t="s">
        <v>603</v>
      </c>
      <c r="G107" s="58" t="s">
        <v>604</v>
      </c>
      <c r="H107" s="546">
        <v>43000</v>
      </c>
      <c r="I107" s="66">
        <v>44425</v>
      </c>
      <c r="J107" s="65" t="s">
        <v>605</v>
      </c>
      <c r="K107" s="58" t="s">
        <v>606</v>
      </c>
      <c r="L107" s="99"/>
      <c r="M107" s="70" t="s">
        <v>607</v>
      </c>
      <c r="N107" s="97" t="s">
        <v>264</v>
      </c>
      <c r="O107" s="58" t="s">
        <v>141</v>
      </c>
      <c r="P107" s="58" t="s">
        <v>17</v>
      </c>
      <c r="Q107" s="58" t="s">
        <v>20</v>
      </c>
      <c r="R107" s="58" t="s">
        <v>265</v>
      </c>
    </row>
    <row r="108" spans="1:18" ht="69" customHeight="1">
      <c r="A108" s="168"/>
      <c r="B108" s="178">
        <v>2052</v>
      </c>
      <c r="C108" s="178" t="s">
        <v>259</v>
      </c>
      <c r="D108" s="575" t="s">
        <v>96</v>
      </c>
      <c r="E108" s="178" t="s">
        <v>266</v>
      </c>
      <c r="F108" s="210" t="s">
        <v>608</v>
      </c>
      <c r="G108" s="575" t="s">
        <v>96</v>
      </c>
      <c r="H108" s="546">
        <v>43000</v>
      </c>
      <c r="I108" s="66">
        <v>44438</v>
      </c>
      <c r="J108" s="65" t="s">
        <v>268</v>
      </c>
      <c r="K108" s="58"/>
      <c r="L108" s="99"/>
      <c r="M108" s="70" t="s">
        <v>602</v>
      </c>
      <c r="N108" s="97" t="s">
        <v>270</v>
      </c>
      <c r="O108" s="58"/>
      <c r="P108" s="58" t="s">
        <v>44</v>
      </c>
      <c r="Q108" s="58" t="s">
        <v>20</v>
      </c>
      <c r="R108" s="58" t="s">
        <v>272</v>
      </c>
    </row>
    <row r="109" spans="1:18" ht="69" customHeight="1">
      <c r="A109" s="168"/>
      <c r="B109" s="178">
        <v>2065</v>
      </c>
      <c r="C109" s="178" t="s">
        <v>259</v>
      </c>
      <c r="D109" s="575" t="s">
        <v>96</v>
      </c>
      <c r="E109" s="178" t="s">
        <v>266</v>
      </c>
      <c r="F109" s="210" t="s">
        <v>609</v>
      </c>
      <c r="G109" s="575" t="s">
        <v>96</v>
      </c>
      <c r="H109" s="546">
        <v>43000</v>
      </c>
      <c r="I109" s="66">
        <v>44438</v>
      </c>
      <c r="J109" s="65" t="s">
        <v>268</v>
      </c>
      <c r="K109" s="58"/>
      <c r="L109" s="99"/>
      <c r="M109" s="70" t="s">
        <v>602</v>
      </c>
      <c r="N109" s="97" t="s">
        <v>270</v>
      </c>
      <c r="O109" s="58"/>
      <c r="P109" s="58" t="s">
        <v>44</v>
      </c>
      <c r="Q109" s="58" t="s">
        <v>20</v>
      </c>
      <c r="R109" s="58" t="s">
        <v>272</v>
      </c>
    </row>
    <row r="110" spans="1:18" ht="69" customHeight="1">
      <c r="A110" s="168"/>
      <c r="B110" s="178">
        <v>2147</v>
      </c>
      <c r="C110" s="178" t="s">
        <v>309</v>
      </c>
      <c r="D110" s="575" t="s">
        <v>610</v>
      </c>
      <c r="E110" s="178" t="s">
        <v>266</v>
      </c>
      <c r="F110" s="210" t="s">
        <v>611</v>
      </c>
      <c r="G110" s="58"/>
      <c r="H110" s="546">
        <v>1750.59</v>
      </c>
      <c r="I110" s="66">
        <v>44455</v>
      </c>
      <c r="J110" s="65" t="s">
        <v>612</v>
      </c>
      <c r="K110" s="58"/>
      <c r="L110" s="99"/>
      <c r="M110" s="70" t="s">
        <v>602</v>
      </c>
      <c r="N110" s="97" t="s">
        <v>270</v>
      </c>
      <c r="O110" s="58"/>
      <c r="P110" s="58" t="s">
        <v>44</v>
      </c>
      <c r="Q110" s="58" t="s">
        <v>20</v>
      </c>
      <c r="R110" s="58" t="s">
        <v>272</v>
      </c>
    </row>
    <row r="111" spans="1:18" ht="69" customHeight="1">
      <c r="A111" s="168"/>
      <c r="B111" s="178">
        <v>2243</v>
      </c>
      <c r="C111" s="178" t="s">
        <v>259</v>
      </c>
      <c r="D111" s="575" t="s">
        <v>96</v>
      </c>
      <c r="E111" s="178" t="s">
        <v>266</v>
      </c>
      <c r="F111" s="210" t="s">
        <v>613</v>
      </c>
      <c r="G111" s="575" t="s">
        <v>96</v>
      </c>
      <c r="H111" s="546">
        <v>532.44000000000005</v>
      </c>
      <c r="I111" s="66">
        <v>44466</v>
      </c>
      <c r="J111" s="65" t="s">
        <v>614</v>
      </c>
      <c r="K111" s="58"/>
      <c r="L111" s="99"/>
      <c r="M111" s="70" t="s">
        <v>602</v>
      </c>
      <c r="N111" s="97" t="s">
        <v>270</v>
      </c>
      <c r="O111" s="58"/>
      <c r="P111" s="58" t="s">
        <v>44</v>
      </c>
      <c r="Q111" s="58" t="s">
        <v>20</v>
      </c>
      <c r="R111" s="58" t="s">
        <v>272</v>
      </c>
    </row>
    <row r="112" spans="1:18" ht="69" customHeight="1">
      <c r="A112" s="168"/>
      <c r="B112" s="178">
        <v>2244</v>
      </c>
      <c r="C112" s="178" t="s">
        <v>259</v>
      </c>
      <c r="D112" s="575" t="s">
        <v>96</v>
      </c>
      <c r="E112" s="178" t="s">
        <v>266</v>
      </c>
      <c r="F112" s="210" t="s">
        <v>615</v>
      </c>
      <c r="G112" s="575" t="s">
        <v>96</v>
      </c>
      <c r="H112" s="546">
        <v>763.32</v>
      </c>
      <c r="I112" s="66">
        <v>44466</v>
      </c>
      <c r="J112" s="65" t="s">
        <v>616</v>
      </c>
      <c r="K112" s="58"/>
      <c r="L112" s="99"/>
      <c r="M112" s="70" t="s">
        <v>602</v>
      </c>
      <c r="N112" s="97" t="s">
        <v>270</v>
      </c>
      <c r="O112" s="58"/>
      <c r="P112" s="58" t="s">
        <v>44</v>
      </c>
      <c r="Q112" s="58" t="s">
        <v>20</v>
      </c>
      <c r="R112" s="58" t="s">
        <v>272</v>
      </c>
    </row>
    <row r="113" spans="1:18" ht="69" customHeight="1">
      <c r="A113" s="168"/>
      <c r="B113" s="178">
        <v>2245</v>
      </c>
      <c r="C113" s="178" t="s">
        <v>259</v>
      </c>
      <c r="D113" s="575" t="s">
        <v>96</v>
      </c>
      <c r="E113" s="178" t="s">
        <v>266</v>
      </c>
      <c r="F113" s="210" t="s">
        <v>617</v>
      </c>
      <c r="G113" s="575" t="s">
        <v>96</v>
      </c>
      <c r="H113" s="546">
        <v>178.11</v>
      </c>
      <c r="I113" s="66">
        <v>44466</v>
      </c>
      <c r="J113" s="65" t="s">
        <v>618</v>
      </c>
      <c r="K113" s="58"/>
      <c r="L113" s="99"/>
      <c r="M113" s="70" t="s">
        <v>602</v>
      </c>
      <c r="N113" s="97" t="s">
        <v>270</v>
      </c>
      <c r="O113" s="58"/>
      <c r="P113" s="58" t="s">
        <v>44</v>
      </c>
      <c r="Q113" s="58" t="s">
        <v>20</v>
      </c>
      <c r="R113" s="58" t="s">
        <v>272</v>
      </c>
    </row>
    <row r="114" spans="1:18" ht="69" customHeight="1">
      <c r="A114" s="168"/>
      <c r="B114" s="178">
        <v>2108</v>
      </c>
      <c r="C114" s="178" t="s">
        <v>259</v>
      </c>
      <c r="D114" s="575"/>
      <c r="E114" s="178" t="s">
        <v>266</v>
      </c>
      <c r="F114" s="210" t="s">
        <v>619</v>
      </c>
      <c r="G114" s="58"/>
      <c r="H114" s="546">
        <v>8397</v>
      </c>
      <c r="I114" s="66">
        <v>44455</v>
      </c>
      <c r="J114" s="65" t="s">
        <v>281</v>
      </c>
      <c r="K114" s="58"/>
      <c r="L114" s="99"/>
      <c r="M114" s="70" t="s">
        <v>602</v>
      </c>
      <c r="N114" s="97" t="s">
        <v>270</v>
      </c>
      <c r="O114" s="58"/>
      <c r="P114" s="58" t="s">
        <v>44</v>
      </c>
      <c r="Q114" s="58" t="s">
        <v>20</v>
      </c>
      <c r="R114" s="58" t="s">
        <v>272</v>
      </c>
    </row>
    <row r="115" spans="1:18" ht="69" customHeight="1">
      <c r="A115" s="168"/>
      <c r="B115" s="178">
        <v>2121</v>
      </c>
      <c r="C115" s="178" t="s">
        <v>259</v>
      </c>
      <c r="D115" s="575"/>
      <c r="E115" s="178" t="s">
        <v>266</v>
      </c>
      <c r="F115" s="210" t="s">
        <v>620</v>
      </c>
      <c r="G115" s="58"/>
      <c r="H115" s="546">
        <v>9241.4</v>
      </c>
      <c r="I115" s="66">
        <v>44455</v>
      </c>
      <c r="J115" s="65" t="s">
        <v>281</v>
      </c>
      <c r="K115" s="58"/>
      <c r="L115" s="99"/>
      <c r="M115" s="70" t="s">
        <v>602</v>
      </c>
      <c r="N115" s="97" t="s">
        <v>270</v>
      </c>
      <c r="O115" s="58"/>
      <c r="P115" s="58" t="s">
        <v>44</v>
      </c>
      <c r="Q115" s="58" t="s">
        <v>20</v>
      </c>
      <c r="R115" s="58" t="s">
        <v>272</v>
      </c>
    </row>
    <row r="116" spans="1:18" ht="69" customHeight="1">
      <c r="A116" s="168"/>
      <c r="B116" s="178">
        <v>2311</v>
      </c>
      <c r="C116" s="178" t="s">
        <v>259</v>
      </c>
      <c r="D116" s="575"/>
      <c r="E116" s="178" t="s">
        <v>260</v>
      </c>
      <c r="F116" s="210" t="s">
        <v>603</v>
      </c>
      <c r="G116" s="58" t="s">
        <v>604</v>
      </c>
      <c r="H116" s="546">
        <v>43000</v>
      </c>
      <c r="I116" s="66">
        <v>44483</v>
      </c>
      <c r="J116" s="65" t="s">
        <v>621</v>
      </c>
      <c r="K116" s="58" t="s">
        <v>606</v>
      </c>
      <c r="L116" s="99"/>
      <c r="M116" s="70" t="s">
        <v>607</v>
      </c>
      <c r="N116" s="97" t="s">
        <v>264</v>
      </c>
      <c r="O116" s="58" t="s">
        <v>141</v>
      </c>
      <c r="P116" s="58" t="s">
        <v>17</v>
      </c>
      <c r="Q116" s="58" t="s">
        <v>20</v>
      </c>
      <c r="R116" s="58" t="s">
        <v>265</v>
      </c>
    </row>
    <row r="117" spans="1:18" ht="69" customHeight="1">
      <c r="A117" s="168"/>
      <c r="B117" s="178">
        <v>2351</v>
      </c>
      <c r="C117" s="178" t="s">
        <v>259</v>
      </c>
      <c r="D117" s="575"/>
      <c r="E117" s="178" t="s">
        <v>283</v>
      </c>
      <c r="F117" s="210" t="s">
        <v>622</v>
      </c>
      <c r="G117" s="58" t="s">
        <v>604</v>
      </c>
      <c r="H117" s="546">
        <v>43000</v>
      </c>
      <c r="I117" s="66">
        <v>44489</v>
      </c>
      <c r="J117" s="65" t="s">
        <v>285</v>
      </c>
      <c r="K117" s="58" t="s">
        <v>606</v>
      </c>
      <c r="L117" s="99"/>
      <c r="M117" s="70" t="s">
        <v>623</v>
      </c>
      <c r="N117" s="97" t="s">
        <v>264</v>
      </c>
      <c r="O117" s="58" t="s">
        <v>141</v>
      </c>
      <c r="P117" s="58" t="s">
        <v>17</v>
      </c>
      <c r="Q117" s="58" t="s">
        <v>20</v>
      </c>
      <c r="R117" s="58" t="s">
        <v>272</v>
      </c>
    </row>
    <row r="118" spans="1:18" ht="69" customHeight="1">
      <c r="A118" s="168"/>
      <c r="B118" s="178">
        <v>2352</v>
      </c>
      <c r="C118" s="178" t="s">
        <v>259</v>
      </c>
      <c r="D118" s="575"/>
      <c r="E118" s="178" t="s">
        <v>266</v>
      </c>
      <c r="F118" s="210" t="s">
        <v>624</v>
      </c>
      <c r="G118" s="58"/>
      <c r="H118" s="546">
        <v>2099.25</v>
      </c>
      <c r="I118" s="66">
        <v>44494</v>
      </c>
      <c r="J118" s="65" t="s">
        <v>625</v>
      </c>
      <c r="K118" s="58"/>
      <c r="L118" s="99"/>
      <c r="M118" s="70" t="s">
        <v>602</v>
      </c>
      <c r="N118" s="97" t="s">
        <v>270</v>
      </c>
      <c r="O118" s="58"/>
      <c r="P118" s="58" t="s">
        <v>44</v>
      </c>
      <c r="Q118" s="58" t="s">
        <v>20</v>
      </c>
      <c r="R118" s="58" t="s">
        <v>272</v>
      </c>
    </row>
    <row r="119" spans="1:18" ht="69" customHeight="1">
      <c r="A119" s="168"/>
      <c r="B119" s="178">
        <v>2364</v>
      </c>
      <c r="C119" s="178" t="s">
        <v>309</v>
      </c>
      <c r="D119" s="575" t="s">
        <v>626</v>
      </c>
      <c r="E119" s="178" t="s">
        <v>266</v>
      </c>
      <c r="F119" s="210" t="s">
        <v>627</v>
      </c>
      <c r="G119" s="58"/>
      <c r="H119" s="546">
        <v>5220</v>
      </c>
      <c r="I119" s="66">
        <v>44494</v>
      </c>
      <c r="J119" s="65" t="s">
        <v>628</v>
      </c>
      <c r="K119" s="58"/>
      <c r="L119" s="99"/>
      <c r="M119" s="70" t="s">
        <v>602</v>
      </c>
      <c r="N119" s="97" t="s">
        <v>270</v>
      </c>
      <c r="O119" s="58"/>
      <c r="P119" s="58" t="s">
        <v>44</v>
      </c>
      <c r="Q119" s="58" t="s">
        <v>20</v>
      </c>
      <c r="R119" s="58" t="s">
        <v>272</v>
      </c>
    </row>
    <row r="120" spans="1:18" ht="69" customHeight="1">
      <c r="A120" s="168"/>
      <c r="B120" s="178">
        <v>2380</v>
      </c>
      <c r="C120" s="178" t="s">
        <v>259</v>
      </c>
      <c r="D120" s="575" t="s">
        <v>629</v>
      </c>
      <c r="E120" s="178" t="s">
        <v>283</v>
      </c>
      <c r="F120" s="210" t="s">
        <v>630</v>
      </c>
      <c r="G120" s="58"/>
      <c r="H120" s="546">
        <v>66200</v>
      </c>
      <c r="I120" s="66">
        <v>44524</v>
      </c>
      <c r="J120" s="65" t="s">
        <v>631</v>
      </c>
      <c r="K120" s="58" t="s">
        <v>606</v>
      </c>
      <c r="L120" s="99"/>
      <c r="M120" s="70" t="s">
        <v>623</v>
      </c>
      <c r="N120" s="97" t="s">
        <v>264</v>
      </c>
      <c r="O120" s="58" t="s">
        <v>141</v>
      </c>
      <c r="P120" s="58" t="s">
        <v>17</v>
      </c>
      <c r="Q120" s="58" t="s">
        <v>20</v>
      </c>
      <c r="R120" s="58" t="s">
        <v>272</v>
      </c>
    </row>
    <row r="121" spans="1:18" ht="69" customHeight="1">
      <c r="A121" s="168"/>
      <c r="B121" s="178">
        <v>2457</v>
      </c>
      <c r="C121" s="178" t="s">
        <v>259</v>
      </c>
      <c r="D121" s="575"/>
      <c r="E121" s="178" t="s">
        <v>266</v>
      </c>
      <c r="F121" s="210" t="s">
        <v>632</v>
      </c>
      <c r="G121" s="58" t="s">
        <v>328</v>
      </c>
      <c r="H121" s="546">
        <v>508.78</v>
      </c>
      <c r="I121" s="66">
        <v>44512</v>
      </c>
      <c r="J121" s="65" t="s">
        <v>633</v>
      </c>
      <c r="K121" s="58"/>
      <c r="L121" s="99"/>
      <c r="M121" s="70" t="s">
        <v>602</v>
      </c>
      <c r="N121" s="97" t="s">
        <v>270</v>
      </c>
      <c r="O121" s="58"/>
      <c r="P121" s="58" t="s">
        <v>44</v>
      </c>
      <c r="Q121" s="58" t="s">
        <v>20</v>
      </c>
      <c r="R121" s="58" t="s">
        <v>272</v>
      </c>
    </row>
    <row r="122" spans="1:18" ht="69" customHeight="1">
      <c r="A122" s="168"/>
      <c r="B122" s="178">
        <v>2458</v>
      </c>
      <c r="C122" s="178" t="s">
        <v>259</v>
      </c>
      <c r="D122" s="575"/>
      <c r="E122" s="178" t="s">
        <v>266</v>
      </c>
      <c r="F122" s="210" t="s">
        <v>634</v>
      </c>
      <c r="G122" s="58" t="s">
        <v>328</v>
      </c>
      <c r="H122" s="546">
        <v>199.32</v>
      </c>
      <c r="I122" s="66">
        <v>44512</v>
      </c>
      <c r="J122" s="65" t="s">
        <v>635</v>
      </c>
      <c r="K122" s="58"/>
      <c r="L122" s="99"/>
      <c r="M122" s="70" t="s">
        <v>602</v>
      </c>
      <c r="N122" s="97" t="s">
        <v>270</v>
      </c>
      <c r="O122" s="58"/>
      <c r="P122" s="58" t="s">
        <v>44</v>
      </c>
      <c r="Q122" s="58" t="s">
        <v>20</v>
      </c>
      <c r="R122" s="58" t="s">
        <v>272</v>
      </c>
    </row>
    <row r="123" spans="1:18" ht="69" customHeight="1">
      <c r="A123" s="168"/>
      <c r="B123" s="178">
        <v>2459</v>
      </c>
      <c r="C123" s="178" t="s">
        <v>259</v>
      </c>
      <c r="D123" s="575"/>
      <c r="E123" s="178" t="s">
        <v>266</v>
      </c>
      <c r="F123" s="210" t="s">
        <v>636</v>
      </c>
      <c r="G123" s="58" t="s">
        <v>328</v>
      </c>
      <c r="H123" s="546">
        <v>374.79</v>
      </c>
      <c r="I123" s="66">
        <v>44512</v>
      </c>
      <c r="J123" s="65" t="s">
        <v>637</v>
      </c>
      <c r="K123" s="58"/>
      <c r="L123" s="99"/>
      <c r="M123" s="70" t="s">
        <v>602</v>
      </c>
      <c r="N123" s="97" t="s">
        <v>270</v>
      </c>
      <c r="O123" s="58"/>
      <c r="P123" s="58" t="s">
        <v>44</v>
      </c>
      <c r="Q123" s="58" t="s">
        <v>20</v>
      </c>
      <c r="R123" s="58" t="s">
        <v>272</v>
      </c>
    </row>
    <row r="124" spans="1:18" ht="69" customHeight="1">
      <c r="A124" s="168"/>
      <c r="B124" s="178">
        <v>2496</v>
      </c>
      <c r="C124" s="178" t="s">
        <v>309</v>
      </c>
      <c r="D124" s="575" t="s">
        <v>638</v>
      </c>
      <c r="E124" s="178" t="s">
        <v>266</v>
      </c>
      <c r="F124" s="210" t="s">
        <v>639</v>
      </c>
      <c r="G124" s="58" t="s">
        <v>640</v>
      </c>
      <c r="H124" s="546">
        <v>8875</v>
      </c>
      <c r="I124" s="66">
        <v>44526</v>
      </c>
      <c r="J124" s="65" t="s">
        <v>641</v>
      </c>
      <c r="K124" s="58"/>
      <c r="L124" s="99"/>
      <c r="M124" s="70" t="s">
        <v>602</v>
      </c>
      <c r="N124" s="97" t="s">
        <v>270</v>
      </c>
      <c r="O124" s="58"/>
      <c r="P124" s="58" t="s">
        <v>44</v>
      </c>
      <c r="Q124" s="58" t="s">
        <v>20</v>
      </c>
      <c r="R124" s="58" t="s">
        <v>272</v>
      </c>
    </row>
    <row r="125" spans="1:18" ht="69" customHeight="1">
      <c r="A125" s="168"/>
      <c r="B125" s="178">
        <v>2641</v>
      </c>
      <c r="C125" s="178" t="s">
        <v>309</v>
      </c>
      <c r="D125" s="575" t="s">
        <v>642</v>
      </c>
      <c r="E125" s="178" t="s">
        <v>266</v>
      </c>
      <c r="F125" s="210" t="s">
        <v>643</v>
      </c>
      <c r="G125" s="58" t="s">
        <v>315</v>
      </c>
      <c r="H125" s="546">
        <v>7100</v>
      </c>
      <c r="I125" s="66">
        <v>44546</v>
      </c>
      <c r="J125" s="65" t="s">
        <v>644</v>
      </c>
      <c r="K125" s="58"/>
      <c r="L125" s="99"/>
      <c r="M125" s="70" t="s">
        <v>602</v>
      </c>
      <c r="N125" s="97" t="s">
        <v>270</v>
      </c>
      <c r="O125" s="58"/>
      <c r="P125" s="58" t="s">
        <v>44</v>
      </c>
      <c r="Q125" s="58" t="s">
        <v>20</v>
      </c>
      <c r="R125" s="58" t="s">
        <v>272</v>
      </c>
    </row>
    <row r="126" spans="1:18" ht="69" customHeight="1">
      <c r="A126" s="168"/>
      <c r="B126" s="178">
        <v>2641</v>
      </c>
      <c r="C126" s="178" t="s">
        <v>309</v>
      </c>
      <c r="D126" s="575" t="s">
        <v>645</v>
      </c>
      <c r="E126" s="178" t="s">
        <v>266</v>
      </c>
      <c r="F126" s="210" t="s">
        <v>646</v>
      </c>
      <c r="G126" s="58" t="s">
        <v>315</v>
      </c>
      <c r="H126" s="546">
        <v>7100</v>
      </c>
      <c r="I126" s="66">
        <v>44546</v>
      </c>
      <c r="J126" s="65" t="s">
        <v>644</v>
      </c>
      <c r="K126" s="58"/>
      <c r="L126" s="99"/>
      <c r="M126" s="70" t="s">
        <v>602</v>
      </c>
      <c r="N126" s="97" t="s">
        <v>270</v>
      </c>
      <c r="O126" s="58"/>
      <c r="P126" s="58" t="s">
        <v>44</v>
      </c>
      <c r="Q126" s="58" t="s">
        <v>20</v>
      </c>
      <c r="R126" s="58" t="s">
        <v>272</v>
      </c>
    </row>
    <row r="127" spans="1:18" ht="69" customHeight="1">
      <c r="A127" s="168"/>
      <c r="B127" s="178">
        <v>2854</v>
      </c>
      <c r="C127" s="178" t="s">
        <v>309</v>
      </c>
      <c r="D127" s="575" t="s">
        <v>647</v>
      </c>
      <c r="E127" s="178" t="s">
        <v>266</v>
      </c>
      <c r="F127" s="210" t="s">
        <v>648</v>
      </c>
      <c r="G127" s="58" t="s">
        <v>325</v>
      </c>
      <c r="H127" s="546">
        <v>4235.3</v>
      </c>
      <c r="I127" s="66" t="s">
        <v>96</v>
      </c>
      <c r="J127" s="65" t="s">
        <v>649</v>
      </c>
      <c r="K127" s="58"/>
      <c r="L127" s="99"/>
      <c r="M127" s="70" t="s">
        <v>602</v>
      </c>
      <c r="N127" s="97" t="s">
        <v>270</v>
      </c>
      <c r="O127" s="58"/>
      <c r="P127" s="58" t="s">
        <v>44</v>
      </c>
      <c r="Q127" s="58" t="s">
        <v>20</v>
      </c>
      <c r="R127" s="58" t="s">
        <v>272</v>
      </c>
    </row>
    <row r="128" spans="1:18" ht="69" customHeight="1">
      <c r="A128" s="168"/>
      <c r="B128" s="191">
        <v>2962</v>
      </c>
      <c r="C128" s="191" t="s">
        <v>309</v>
      </c>
      <c r="D128" s="533" t="s">
        <v>650</v>
      </c>
      <c r="E128" s="191" t="s">
        <v>331</v>
      </c>
      <c r="F128" s="211" t="s">
        <v>651</v>
      </c>
      <c r="G128" s="46" t="s">
        <v>652</v>
      </c>
      <c r="H128" s="534">
        <v>0</v>
      </c>
      <c r="I128" s="56" t="s">
        <v>96</v>
      </c>
      <c r="J128" s="199" t="s">
        <v>334</v>
      </c>
      <c r="K128" s="46"/>
      <c r="L128" s="99"/>
      <c r="M128" s="379" t="s">
        <v>20</v>
      </c>
      <c r="N128" s="76" t="s">
        <v>69</v>
      </c>
      <c r="O128" s="46"/>
      <c r="P128" s="46" t="s">
        <v>69</v>
      </c>
      <c r="Q128" s="46" t="s">
        <v>20</v>
      </c>
      <c r="R128" s="46" t="s">
        <v>272</v>
      </c>
    </row>
    <row r="129" spans="1:18" ht="69" customHeight="1">
      <c r="A129" s="168"/>
      <c r="B129" s="178">
        <v>3103</v>
      </c>
      <c r="C129" s="178" t="s">
        <v>309</v>
      </c>
      <c r="D129" s="575" t="s">
        <v>653</v>
      </c>
      <c r="E129" s="178" t="s">
        <v>283</v>
      </c>
      <c r="F129" s="210" t="s">
        <v>654</v>
      </c>
      <c r="G129" s="58" t="s">
        <v>655</v>
      </c>
      <c r="H129" s="546">
        <v>99300</v>
      </c>
      <c r="I129" s="66">
        <v>44610</v>
      </c>
      <c r="J129" s="65" t="s">
        <v>656</v>
      </c>
      <c r="K129" s="58" t="s">
        <v>606</v>
      </c>
      <c r="L129" s="99"/>
      <c r="M129" s="70" t="s">
        <v>623</v>
      </c>
      <c r="N129" s="97" t="s">
        <v>264</v>
      </c>
      <c r="O129" s="58" t="s">
        <v>141</v>
      </c>
      <c r="P129" s="58" t="s">
        <v>17</v>
      </c>
      <c r="Q129" s="58" t="s">
        <v>20</v>
      </c>
      <c r="R129" s="58" t="s">
        <v>272</v>
      </c>
    </row>
    <row r="130" spans="1:18" ht="69" customHeight="1">
      <c r="B130" s="62" t="s">
        <v>96</v>
      </c>
      <c r="C130" s="58" t="s">
        <v>657</v>
      </c>
      <c r="D130" s="62" t="s">
        <v>96</v>
      </c>
      <c r="E130" s="62" t="s">
        <v>350</v>
      </c>
      <c r="F130" s="58" t="s">
        <v>658</v>
      </c>
      <c r="G130" s="62" t="s">
        <v>96</v>
      </c>
      <c r="H130" s="546">
        <v>1258.05</v>
      </c>
      <c r="I130" s="66">
        <v>44442</v>
      </c>
      <c r="J130" s="65" t="s">
        <v>294</v>
      </c>
      <c r="K130" s="62" t="s">
        <v>96</v>
      </c>
      <c r="M130" s="381" t="s">
        <v>659</v>
      </c>
      <c r="N130" s="221" t="s">
        <v>660</v>
      </c>
      <c r="O130" s="62" t="s">
        <v>221</v>
      </c>
      <c r="P130" s="58" t="s">
        <v>19</v>
      </c>
      <c r="Q130" s="58" t="s">
        <v>106</v>
      </c>
      <c r="R130" s="58" t="s">
        <v>272</v>
      </c>
    </row>
    <row r="131" spans="1:18" ht="69" customHeight="1">
      <c r="A131" s="168"/>
      <c r="B131" s="178">
        <v>3117</v>
      </c>
      <c r="C131" s="178" t="s">
        <v>309</v>
      </c>
      <c r="D131" s="575" t="s">
        <v>661</v>
      </c>
      <c r="E131" s="178" t="s">
        <v>358</v>
      </c>
      <c r="F131" s="210" t="s">
        <v>654</v>
      </c>
      <c r="G131" s="58" t="s">
        <v>360</v>
      </c>
      <c r="H131" s="546">
        <v>285000</v>
      </c>
      <c r="I131" s="66">
        <v>44610</v>
      </c>
      <c r="J131" s="65" t="s">
        <v>662</v>
      </c>
      <c r="K131" s="58" t="s">
        <v>663</v>
      </c>
      <c r="L131" s="99"/>
      <c r="M131" s="70" t="s">
        <v>664</v>
      </c>
      <c r="N131" s="97" t="s">
        <v>356</v>
      </c>
      <c r="O131" s="58" t="s">
        <v>141</v>
      </c>
      <c r="P131" s="58" t="s">
        <v>19</v>
      </c>
      <c r="Q131" s="58" t="s">
        <v>20</v>
      </c>
      <c r="R131" s="58" t="s">
        <v>272</v>
      </c>
    </row>
    <row r="132" spans="1:18" ht="69" customHeight="1">
      <c r="A132" s="168"/>
      <c r="B132" s="178">
        <v>4072</v>
      </c>
      <c r="C132" s="178" t="s">
        <v>309</v>
      </c>
      <c r="D132" s="575" t="s">
        <v>665</v>
      </c>
      <c r="E132" s="178" t="s">
        <v>350</v>
      </c>
      <c r="F132" s="210" t="s">
        <v>666</v>
      </c>
      <c r="G132" s="58" t="s">
        <v>352</v>
      </c>
      <c r="H132" s="546">
        <v>48048.45</v>
      </c>
      <c r="I132" s="66">
        <v>44641</v>
      </c>
      <c r="J132" s="65" t="s">
        <v>667</v>
      </c>
      <c r="K132" s="58" t="s">
        <v>663</v>
      </c>
      <c r="L132" s="99"/>
      <c r="M132" s="70" t="s">
        <v>668</v>
      </c>
      <c r="N132" s="97" t="s">
        <v>356</v>
      </c>
      <c r="O132" s="58" t="s">
        <v>141</v>
      </c>
      <c r="P132" s="58" t="s">
        <v>19</v>
      </c>
      <c r="Q132" s="58" t="s">
        <v>20</v>
      </c>
      <c r="R132" s="58" t="s">
        <v>265</v>
      </c>
    </row>
    <row r="133" spans="1:18" ht="69" customHeight="1">
      <c r="A133" s="168"/>
      <c r="B133" s="178">
        <v>4180</v>
      </c>
      <c r="C133" s="178" t="s">
        <v>309</v>
      </c>
      <c r="D133" s="575" t="s">
        <v>669</v>
      </c>
      <c r="E133" s="178" t="s">
        <v>358</v>
      </c>
      <c r="F133" s="210" t="s">
        <v>670</v>
      </c>
      <c r="G133" s="58" t="s">
        <v>529</v>
      </c>
      <c r="H133" s="546">
        <v>150000</v>
      </c>
      <c r="I133" s="66">
        <v>44648</v>
      </c>
      <c r="J133" s="65" t="s">
        <v>671</v>
      </c>
      <c r="K133" s="58" t="s">
        <v>663</v>
      </c>
      <c r="L133" s="99"/>
      <c r="M133" s="70" t="s">
        <v>664</v>
      </c>
      <c r="N133" s="97" t="s">
        <v>356</v>
      </c>
      <c r="O133" s="58" t="s">
        <v>141</v>
      </c>
      <c r="P133" s="58" t="s">
        <v>19</v>
      </c>
      <c r="Q133" s="58" t="s">
        <v>20</v>
      </c>
      <c r="R133" s="58" t="s">
        <v>272</v>
      </c>
    </row>
    <row r="134" spans="1:18" ht="69" customHeight="1">
      <c r="A134" s="168"/>
      <c r="B134" s="178">
        <v>4632</v>
      </c>
      <c r="C134" s="178" t="s">
        <v>309</v>
      </c>
      <c r="D134" s="575" t="s">
        <v>672</v>
      </c>
      <c r="E134" s="178" t="s">
        <v>358</v>
      </c>
      <c r="F134" s="210" t="s">
        <v>673</v>
      </c>
      <c r="G134" s="58" t="s">
        <v>529</v>
      </c>
      <c r="H134" s="546">
        <v>285000</v>
      </c>
      <c r="I134" s="66">
        <v>44676</v>
      </c>
      <c r="J134" s="65" t="s">
        <v>674</v>
      </c>
      <c r="K134" s="58" t="s">
        <v>663</v>
      </c>
      <c r="L134" s="99"/>
      <c r="M134" s="70" t="s">
        <v>664</v>
      </c>
      <c r="N134" s="97" t="s">
        <v>356</v>
      </c>
      <c r="O134" s="58" t="s">
        <v>141</v>
      </c>
      <c r="P134" s="58" t="s">
        <v>19</v>
      </c>
      <c r="Q134" s="58" t="s">
        <v>20</v>
      </c>
      <c r="R134" s="58" t="s">
        <v>272</v>
      </c>
    </row>
    <row r="135" spans="1:18" ht="69" customHeight="1">
      <c r="A135" s="168"/>
      <c r="B135" s="178">
        <v>4733</v>
      </c>
      <c r="C135" s="178" t="s">
        <v>309</v>
      </c>
      <c r="D135" s="575" t="s">
        <v>675</v>
      </c>
      <c r="E135" s="178" t="s">
        <v>331</v>
      </c>
      <c r="F135" s="210" t="s">
        <v>676</v>
      </c>
      <c r="G135" s="58"/>
      <c r="H135" s="546">
        <v>2635.98</v>
      </c>
      <c r="I135" s="66">
        <v>44678</v>
      </c>
      <c r="J135" s="65" t="s">
        <v>677</v>
      </c>
      <c r="K135" s="58"/>
      <c r="L135" s="99"/>
      <c r="M135" s="70" t="s">
        <v>602</v>
      </c>
      <c r="N135" s="97" t="s">
        <v>270</v>
      </c>
      <c r="O135" s="58"/>
      <c r="P135" s="58" t="s">
        <v>44</v>
      </c>
      <c r="Q135" s="58" t="s">
        <v>20</v>
      </c>
      <c r="R135" s="58" t="s">
        <v>272</v>
      </c>
    </row>
    <row r="136" spans="1:18" ht="69" customHeight="1">
      <c r="A136" s="168"/>
      <c r="B136" s="178">
        <v>4870</v>
      </c>
      <c r="C136" s="178" t="s">
        <v>309</v>
      </c>
      <c r="D136" s="575" t="s">
        <v>678</v>
      </c>
      <c r="E136" s="178" t="s">
        <v>266</v>
      </c>
      <c r="F136" s="210" t="s">
        <v>679</v>
      </c>
      <c r="G136" s="58" t="s">
        <v>680</v>
      </c>
      <c r="H136" s="546">
        <v>6206.9</v>
      </c>
      <c r="I136" s="66">
        <v>44706</v>
      </c>
      <c r="J136" s="65" t="s">
        <v>681</v>
      </c>
      <c r="K136" s="58"/>
      <c r="L136" s="99"/>
      <c r="M136" s="70" t="s">
        <v>682</v>
      </c>
      <c r="N136" s="97" t="s">
        <v>683</v>
      </c>
      <c r="O136" s="58" t="s">
        <v>684</v>
      </c>
      <c r="P136" s="58" t="s">
        <v>46</v>
      </c>
      <c r="Q136" s="58" t="s">
        <v>20</v>
      </c>
      <c r="R136" s="58" t="s">
        <v>272</v>
      </c>
    </row>
    <row r="137" spans="1:18" ht="69" customHeight="1">
      <c r="A137" s="168"/>
      <c r="B137" s="178">
        <v>4733</v>
      </c>
      <c r="C137" s="178" t="s">
        <v>309</v>
      </c>
      <c r="D137" s="575" t="s">
        <v>685</v>
      </c>
      <c r="E137" s="178" t="s">
        <v>331</v>
      </c>
      <c r="F137" s="210" t="s">
        <v>686</v>
      </c>
      <c r="G137" s="58" t="s">
        <v>372</v>
      </c>
      <c r="H137" s="546">
        <v>23723.850000000002</v>
      </c>
      <c r="I137" s="66">
        <v>44701</v>
      </c>
      <c r="J137" s="65" t="s">
        <v>687</v>
      </c>
      <c r="K137" s="58"/>
      <c r="L137" s="99"/>
      <c r="M137" s="70" t="s">
        <v>602</v>
      </c>
      <c r="N137" s="97" t="s">
        <v>270</v>
      </c>
      <c r="O137" s="58"/>
      <c r="P137" s="58" t="s">
        <v>44</v>
      </c>
      <c r="Q137" s="58" t="s">
        <v>20</v>
      </c>
      <c r="R137" s="58" t="s">
        <v>272</v>
      </c>
    </row>
    <row r="138" spans="1:18" ht="69" customHeight="1">
      <c r="A138" s="168"/>
      <c r="B138" s="178">
        <v>3</v>
      </c>
      <c r="C138" s="178" t="s">
        <v>309</v>
      </c>
      <c r="D138" s="575" t="s">
        <v>688</v>
      </c>
      <c r="E138" s="178" t="s">
        <v>382</v>
      </c>
      <c r="F138" s="210" t="s">
        <v>689</v>
      </c>
      <c r="G138" s="58" t="s">
        <v>384</v>
      </c>
      <c r="H138" s="546">
        <v>22679.42</v>
      </c>
      <c r="I138" s="66">
        <v>44736</v>
      </c>
      <c r="J138" s="65" t="s">
        <v>690</v>
      </c>
      <c r="K138" s="58"/>
      <c r="L138" s="99"/>
      <c r="M138" s="70" t="s">
        <v>691</v>
      </c>
      <c r="N138" s="97" t="s">
        <v>387</v>
      </c>
      <c r="O138" s="45" t="s">
        <v>150</v>
      </c>
      <c r="P138" s="58" t="s">
        <v>51</v>
      </c>
      <c r="Q138" s="58" t="s">
        <v>20</v>
      </c>
      <c r="R138" s="58" t="s">
        <v>272</v>
      </c>
    </row>
    <row r="139" spans="1:18" ht="69" customHeight="1">
      <c r="A139" s="168"/>
      <c r="B139" s="178">
        <v>13</v>
      </c>
      <c r="C139" s="178" t="s">
        <v>309</v>
      </c>
      <c r="D139" s="575" t="s">
        <v>692</v>
      </c>
      <c r="E139" s="178" t="s">
        <v>382</v>
      </c>
      <c r="F139" s="210" t="s">
        <v>693</v>
      </c>
      <c r="G139" s="58" t="s">
        <v>384</v>
      </c>
      <c r="H139" s="546">
        <v>38303.97</v>
      </c>
      <c r="I139" s="66">
        <v>44736</v>
      </c>
      <c r="J139" s="65" t="s">
        <v>694</v>
      </c>
      <c r="K139" s="58"/>
      <c r="L139" s="99"/>
      <c r="M139" s="70" t="s">
        <v>691</v>
      </c>
      <c r="N139" s="97" t="s">
        <v>387</v>
      </c>
      <c r="O139" s="45" t="s">
        <v>150</v>
      </c>
      <c r="P139" s="58" t="s">
        <v>51</v>
      </c>
      <c r="Q139" s="58" t="s">
        <v>20</v>
      </c>
      <c r="R139" s="58" t="s">
        <v>272</v>
      </c>
    </row>
    <row r="140" spans="1:18" ht="69" customHeight="1">
      <c r="A140" s="168"/>
      <c r="B140" s="178">
        <v>6278</v>
      </c>
      <c r="C140" s="178" t="s">
        <v>309</v>
      </c>
      <c r="D140" s="575" t="s">
        <v>695</v>
      </c>
      <c r="E140" s="178" t="s">
        <v>350</v>
      </c>
      <c r="F140" s="210" t="s">
        <v>696</v>
      </c>
      <c r="G140" s="58" t="s">
        <v>352</v>
      </c>
      <c r="H140" s="546">
        <v>94820</v>
      </c>
      <c r="I140" s="66">
        <v>44751</v>
      </c>
      <c r="J140" s="65" t="s">
        <v>697</v>
      </c>
      <c r="K140" s="58" t="s">
        <v>663</v>
      </c>
      <c r="L140" s="99"/>
      <c r="M140" s="70" t="s">
        <v>668</v>
      </c>
      <c r="N140" s="97" t="s">
        <v>356</v>
      </c>
      <c r="O140" s="58" t="s">
        <v>141</v>
      </c>
      <c r="P140" s="58" t="s">
        <v>19</v>
      </c>
      <c r="Q140" s="58" t="s">
        <v>20</v>
      </c>
      <c r="R140" s="58" t="s">
        <v>265</v>
      </c>
    </row>
    <row r="141" spans="1:18" ht="69" customHeight="1">
      <c r="A141" s="168"/>
      <c r="B141" s="178">
        <v>6282</v>
      </c>
      <c r="C141" s="178" t="s">
        <v>309</v>
      </c>
      <c r="D141" s="575" t="s">
        <v>698</v>
      </c>
      <c r="E141" s="178" t="s">
        <v>350</v>
      </c>
      <c r="F141" s="210" t="s">
        <v>699</v>
      </c>
      <c r="G141" s="58" t="s">
        <v>352</v>
      </c>
      <c r="H141" s="546">
        <v>190320.6</v>
      </c>
      <c r="I141" s="66">
        <v>44742</v>
      </c>
      <c r="J141" s="65" t="s">
        <v>700</v>
      </c>
      <c r="K141" s="58" t="s">
        <v>663</v>
      </c>
      <c r="L141" s="99"/>
      <c r="M141" s="70" t="s">
        <v>668</v>
      </c>
      <c r="N141" s="97" t="s">
        <v>356</v>
      </c>
      <c r="O141" s="58" t="s">
        <v>141</v>
      </c>
      <c r="P141" s="58" t="s">
        <v>19</v>
      </c>
      <c r="Q141" s="58" t="s">
        <v>20</v>
      </c>
      <c r="R141" s="58" t="s">
        <v>265</v>
      </c>
    </row>
    <row r="142" spans="1:18" ht="69" customHeight="1">
      <c r="A142" s="168"/>
      <c r="B142" s="178">
        <v>5341</v>
      </c>
      <c r="C142" s="178" t="s">
        <v>309</v>
      </c>
      <c r="D142" s="575" t="s">
        <v>701</v>
      </c>
      <c r="E142" s="178" t="s">
        <v>266</v>
      </c>
      <c r="F142" s="210" t="s">
        <v>702</v>
      </c>
      <c r="G142" s="58" t="s">
        <v>703</v>
      </c>
      <c r="H142" s="546">
        <v>1775</v>
      </c>
      <c r="I142" s="66">
        <v>44761</v>
      </c>
      <c r="J142" s="65" t="s">
        <v>704</v>
      </c>
      <c r="K142" s="58" t="s">
        <v>705</v>
      </c>
      <c r="L142" s="99"/>
      <c r="M142" s="70" t="s">
        <v>602</v>
      </c>
      <c r="N142" s="97" t="s">
        <v>270</v>
      </c>
      <c r="O142" s="58"/>
      <c r="P142" s="58" t="s">
        <v>44</v>
      </c>
      <c r="Q142" s="58" t="s">
        <v>20</v>
      </c>
      <c r="R142" s="58" t="s">
        <v>272</v>
      </c>
    </row>
    <row r="143" spans="1:18" ht="69" customHeight="1">
      <c r="A143" s="168"/>
      <c r="B143" s="178">
        <v>5349</v>
      </c>
      <c r="C143" s="178" t="s">
        <v>259</v>
      </c>
      <c r="D143" s="575" t="s">
        <v>706</v>
      </c>
      <c r="E143" s="178" t="s">
        <v>266</v>
      </c>
      <c r="F143" s="210" t="s">
        <v>707</v>
      </c>
      <c r="G143" s="58" t="s">
        <v>708</v>
      </c>
      <c r="H143" s="546">
        <v>2321.35</v>
      </c>
      <c r="I143" s="66">
        <v>44761</v>
      </c>
      <c r="J143" s="65" t="s">
        <v>709</v>
      </c>
      <c r="K143" s="58" t="s">
        <v>705</v>
      </c>
      <c r="L143" s="99"/>
      <c r="M143" s="70" t="s">
        <v>602</v>
      </c>
      <c r="N143" s="97" t="s">
        <v>270</v>
      </c>
      <c r="O143" s="58"/>
      <c r="P143" s="58" t="s">
        <v>44</v>
      </c>
      <c r="Q143" s="58" t="s">
        <v>20</v>
      </c>
      <c r="R143" s="58" t="s">
        <v>272</v>
      </c>
    </row>
    <row r="144" spans="1:18" ht="69" customHeight="1">
      <c r="A144" s="168"/>
      <c r="B144" s="178">
        <v>5353</v>
      </c>
      <c r="C144" s="178" t="s">
        <v>309</v>
      </c>
      <c r="D144" s="575" t="s">
        <v>710</v>
      </c>
      <c r="E144" s="178" t="s">
        <v>409</v>
      </c>
      <c r="F144" s="210" t="s">
        <v>711</v>
      </c>
      <c r="G144" s="58" t="s">
        <v>712</v>
      </c>
      <c r="H144" s="546">
        <v>2938377.66</v>
      </c>
      <c r="I144" s="66">
        <v>44757</v>
      </c>
      <c r="J144" s="65" t="s">
        <v>713</v>
      </c>
      <c r="K144" s="58" t="s">
        <v>714</v>
      </c>
      <c r="L144" s="99"/>
      <c r="M144" s="70" t="s">
        <v>715</v>
      </c>
      <c r="N144" s="97" t="s">
        <v>716</v>
      </c>
      <c r="O144" s="58"/>
      <c r="P144" s="58" t="s">
        <v>28</v>
      </c>
      <c r="Q144" s="58" t="s">
        <v>20</v>
      </c>
      <c r="R144" s="58" t="s">
        <v>272</v>
      </c>
    </row>
    <row r="145" spans="1:18" ht="69" customHeight="1">
      <c r="A145" s="168"/>
      <c r="B145" s="178">
        <v>6026</v>
      </c>
      <c r="C145" s="178" t="s">
        <v>309</v>
      </c>
      <c r="D145" s="575" t="s">
        <v>717</v>
      </c>
      <c r="E145" s="178" t="s">
        <v>283</v>
      </c>
      <c r="F145" s="210" t="s">
        <v>670</v>
      </c>
      <c r="G145" s="58" t="s">
        <v>718</v>
      </c>
      <c r="H145" s="546">
        <v>165500</v>
      </c>
      <c r="I145" s="66">
        <v>44769</v>
      </c>
      <c r="J145" s="65" t="s">
        <v>719</v>
      </c>
      <c r="K145" s="58" t="s">
        <v>606</v>
      </c>
      <c r="L145" s="99"/>
      <c r="M145" s="70" t="s">
        <v>623</v>
      </c>
      <c r="N145" s="97" t="s">
        <v>264</v>
      </c>
      <c r="O145" s="58" t="s">
        <v>141</v>
      </c>
      <c r="P145" s="58" t="s">
        <v>17</v>
      </c>
      <c r="Q145" s="58" t="s">
        <v>20</v>
      </c>
      <c r="R145" s="58" t="s">
        <v>272</v>
      </c>
    </row>
    <row r="146" spans="1:18" ht="69" customHeight="1">
      <c r="A146" s="168"/>
      <c r="B146" s="178">
        <v>6097</v>
      </c>
      <c r="C146" s="178" t="s">
        <v>309</v>
      </c>
      <c r="D146" s="575" t="s">
        <v>720</v>
      </c>
      <c r="E146" s="178" t="s">
        <v>358</v>
      </c>
      <c r="F146" s="210" t="s">
        <v>721</v>
      </c>
      <c r="G146" s="58" t="s">
        <v>529</v>
      </c>
      <c r="H146" s="546">
        <v>100000</v>
      </c>
      <c r="I146" s="66">
        <v>44769</v>
      </c>
      <c r="J146" s="65" t="s">
        <v>722</v>
      </c>
      <c r="K146" s="58" t="s">
        <v>663</v>
      </c>
      <c r="L146" s="99"/>
      <c r="M146" s="70" t="s">
        <v>664</v>
      </c>
      <c r="N146" s="97" t="s">
        <v>356</v>
      </c>
      <c r="O146" s="58" t="s">
        <v>141</v>
      </c>
      <c r="P146" s="58" t="s">
        <v>19</v>
      </c>
      <c r="Q146" s="58" t="s">
        <v>20</v>
      </c>
      <c r="R146" s="58" t="s">
        <v>272</v>
      </c>
    </row>
    <row r="147" spans="1:18" ht="69" customHeight="1">
      <c r="A147" s="168"/>
      <c r="B147" s="256">
        <v>5369</v>
      </c>
      <c r="C147" s="256" t="s">
        <v>309</v>
      </c>
      <c r="D147" s="299" t="s">
        <v>723</v>
      </c>
      <c r="E147" s="256" t="s">
        <v>409</v>
      </c>
      <c r="F147" s="263" t="s">
        <v>724</v>
      </c>
      <c r="G147" s="118" t="s">
        <v>725</v>
      </c>
      <c r="H147" s="300">
        <v>0</v>
      </c>
      <c r="I147" s="262">
        <v>44760</v>
      </c>
      <c r="J147" s="258" t="s">
        <v>726</v>
      </c>
      <c r="K147" s="160" t="s">
        <v>727</v>
      </c>
      <c r="M147" s="380" t="s">
        <v>20</v>
      </c>
      <c r="N147" s="82"/>
      <c r="O147" s="160"/>
      <c r="P147" s="160" t="s">
        <v>67</v>
      </c>
      <c r="Q147" s="160" t="s">
        <v>20</v>
      </c>
      <c r="R147" s="160" t="s">
        <v>272</v>
      </c>
    </row>
    <row r="148" spans="1:18" ht="69" customHeight="1">
      <c r="A148" s="168"/>
      <c r="B148" s="178">
        <v>6173</v>
      </c>
      <c r="C148" s="178" t="s">
        <v>309</v>
      </c>
      <c r="D148" s="575" t="s">
        <v>728</v>
      </c>
      <c r="E148" s="178" t="s">
        <v>305</v>
      </c>
      <c r="F148" s="210" t="s">
        <v>729</v>
      </c>
      <c r="G148" s="58" t="s">
        <v>730</v>
      </c>
      <c r="H148" s="546">
        <v>88.78</v>
      </c>
      <c r="I148" s="66">
        <v>44769</v>
      </c>
      <c r="J148" s="65" t="s">
        <v>731</v>
      </c>
      <c r="K148" s="58"/>
      <c r="L148" s="99"/>
      <c r="M148" s="70" t="s">
        <v>602</v>
      </c>
      <c r="N148" s="97" t="s">
        <v>270</v>
      </c>
      <c r="O148" s="58"/>
      <c r="P148" s="58" t="s">
        <v>44</v>
      </c>
      <c r="Q148" s="58" t="s">
        <v>20</v>
      </c>
      <c r="R148" s="58" t="s">
        <v>272</v>
      </c>
    </row>
    <row r="149" spans="1:18" ht="69" customHeight="1">
      <c r="A149" s="168"/>
      <c r="B149" s="178">
        <v>6132</v>
      </c>
      <c r="C149" s="178" t="s">
        <v>309</v>
      </c>
      <c r="D149" s="575" t="s">
        <v>732</v>
      </c>
      <c r="E149" s="178" t="s">
        <v>350</v>
      </c>
      <c r="F149" s="210" t="s">
        <v>733</v>
      </c>
      <c r="G149" s="58" t="s">
        <v>352</v>
      </c>
      <c r="H149" s="546">
        <v>3511.2</v>
      </c>
      <c r="I149" s="66">
        <v>44784</v>
      </c>
      <c r="J149" s="65" t="s">
        <v>734</v>
      </c>
      <c r="K149" s="58" t="s">
        <v>735</v>
      </c>
      <c r="L149" s="99"/>
      <c r="M149" s="70" t="s">
        <v>668</v>
      </c>
      <c r="N149" s="97" t="s">
        <v>356</v>
      </c>
      <c r="O149" s="58" t="s">
        <v>141</v>
      </c>
      <c r="P149" s="58" t="s">
        <v>19</v>
      </c>
      <c r="Q149" s="58" t="s">
        <v>20</v>
      </c>
      <c r="R149" s="58" t="s">
        <v>265</v>
      </c>
    </row>
    <row r="150" spans="1:18" ht="69" customHeight="1">
      <c r="A150" s="168"/>
      <c r="B150" s="178">
        <v>6318</v>
      </c>
      <c r="C150" s="178" t="s">
        <v>309</v>
      </c>
      <c r="D150" s="575" t="s">
        <v>736</v>
      </c>
      <c r="E150" s="178" t="s">
        <v>409</v>
      </c>
      <c r="F150" s="210" t="s">
        <v>737</v>
      </c>
      <c r="G150" s="58" t="s">
        <v>738</v>
      </c>
      <c r="H150" s="546">
        <v>74644.726500000004</v>
      </c>
      <c r="I150" s="66">
        <v>44788</v>
      </c>
      <c r="J150" s="65" t="s">
        <v>739</v>
      </c>
      <c r="K150" s="58"/>
      <c r="L150" s="99"/>
      <c r="M150" s="70" t="s">
        <v>740</v>
      </c>
      <c r="N150" s="97" t="s">
        <v>741</v>
      </c>
      <c r="O150" s="45" t="s">
        <v>154</v>
      </c>
      <c r="P150" s="58" t="s">
        <v>59</v>
      </c>
      <c r="Q150" s="58" t="s">
        <v>20</v>
      </c>
      <c r="R150" s="58" t="s">
        <v>272</v>
      </c>
    </row>
    <row r="151" spans="1:18" ht="69" customHeight="1">
      <c r="A151" s="168"/>
      <c r="B151" s="178">
        <v>6666</v>
      </c>
      <c r="C151" s="178" t="s">
        <v>309</v>
      </c>
      <c r="D151" s="575" t="s">
        <v>742</v>
      </c>
      <c r="E151" s="178" t="s">
        <v>350</v>
      </c>
      <c r="F151" s="210" t="s">
        <v>743</v>
      </c>
      <c r="G151" s="58" t="s">
        <v>744</v>
      </c>
      <c r="H151" s="546">
        <v>45668.53</v>
      </c>
      <c r="I151" s="66">
        <v>44841</v>
      </c>
      <c r="J151" s="65" t="s">
        <v>745</v>
      </c>
      <c r="K151" s="58"/>
      <c r="L151" s="99"/>
      <c r="M151" s="70" t="s">
        <v>668</v>
      </c>
      <c r="N151" s="97" t="s">
        <v>356</v>
      </c>
      <c r="O151" s="58" t="s">
        <v>141</v>
      </c>
      <c r="P151" s="58" t="s">
        <v>19</v>
      </c>
      <c r="Q151" s="58" t="s">
        <v>20</v>
      </c>
      <c r="R151" s="58" t="s">
        <v>265</v>
      </c>
    </row>
    <row r="152" spans="1:18" ht="69" customHeight="1">
      <c r="A152" s="168"/>
      <c r="B152" s="178">
        <v>6127</v>
      </c>
      <c r="C152" s="178" t="s">
        <v>309</v>
      </c>
      <c r="D152" s="575" t="s">
        <v>746</v>
      </c>
      <c r="E152" s="178" t="s">
        <v>350</v>
      </c>
      <c r="F152" s="210" t="s">
        <v>747</v>
      </c>
      <c r="G152" s="58" t="s">
        <v>352</v>
      </c>
      <c r="H152" s="546">
        <v>6461.02</v>
      </c>
      <c r="I152" s="66">
        <v>44795</v>
      </c>
      <c r="J152" s="65" t="s">
        <v>748</v>
      </c>
      <c r="K152" s="58"/>
      <c r="L152" s="99"/>
      <c r="M152" s="70" t="s">
        <v>668</v>
      </c>
      <c r="N152" s="97" t="s">
        <v>356</v>
      </c>
      <c r="O152" s="58" t="s">
        <v>141</v>
      </c>
      <c r="P152" s="58" t="s">
        <v>19</v>
      </c>
      <c r="Q152" s="58" t="s">
        <v>20</v>
      </c>
      <c r="R152" s="58" t="s">
        <v>265</v>
      </c>
    </row>
    <row r="153" spans="1:18" ht="69" customHeight="1">
      <c r="A153" s="168"/>
      <c r="B153" s="178">
        <v>6094</v>
      </c>
      <c r="C153" s="178" t="s">
        <v>309</v>
      </c>
      <c r="D153" s="575" t="s">
        <v>749</v>
      </c>
      <c r="E153" s="178" t="s">
        <v>350</v>
      </c>
      <c r="F153" s="210" t="s">
        <v>750</v>
      </c>
      <c r="G153" s="58" t="s">
        <v>352</v>
      </c>
      <c r="H153" s="546">
        <v>42819.4</v>
      </c>
      <c r="I153" s="66">
        <v>44781</v>
      </c>
      <c r="J153" s="65" t="s">
        <v>751</v>
      </c>
      <c r="K153" s="58" t="s">
        <v>752</v>
      </c>
      <c r="L153" s="99"/>
      <c r="M153" s="70" t="s">
        <v>668</v>
      </c>
      <c r="N153" s="97" t="s">
        <v>356</v>
      </c>
      <c r="O153" s="58" t="s">
        <v>141</v>
      </c>
      <c r="P153" s="58" t="s">
        <v>19</v>
      </c>
      <c r="Q153" s="58" t="s">
        <v>20</v>
      </c>
      <c r="R153" s="58" t="s">
        <v>265</v>
      </c>
    </row>
    <row r="154" spans="1:18" ht="69" customHeight="1">
      <c r="A154" s="168"/>
      <c r="B154" s="178">
        <v>8157</v>
      </c>
      <c r="C154" s="178" t="s">
        <v>753</v>
      </c>
      <c r="D154" s="575" t="s">
        <v>754</v>
      </c>
      <c r="E154" s="178" t="s">
        <v>755</v>
      </c>
      <c r="F154" s="210" t="s">
        <v>756</v>
      </c>
      <c r="G154" s="58" t="s">
        <v>757</v>
      </c>
      <c r="H154" s="546">
        <v>1175351.06</v>
      </c>
      <c r="I154" s="66">
        <v>44914</v>
      </c>
      <c r="J154" s="65" t="s">
        <v>758</v>
      </c>
      <c r="K154" s="58" t="s">
        <v>759</v>
      </c>
      <c r="L154" s="99"/>
      <c r="M154" s="70" t="s">
        <v>715</v>
      </c>
      <c r="N154" s="97" t="s">
        <v>716</v>
      </c>
      <c r="O154" s="58"/>
      <c r="P154" s="58" t="s">
        <v>28</v>
      </c>
      <c r="Q154" s="58" t="s">
        <v>20</v>
      </c>
      <c r="R154" s="58" t="s">
        <v>272</v>
      </c>
    </row>
    <row r="155" spans="1:18" ht="69" customHeight="1">
      <c r="A155" s="168"/>
      <c r="B155" s="178">
        <v>6097</v>
      </c>
      <c r="C155" s="178" t="s">
        <v>309</v>
      </c>
      <c r="D155" s="575" t="s">
        <v>760</v>
      </c>
      <c r="E155" s="178" t="s">
        <v>350</v>
      </c>
      <c r="F155" s="210" t="s">
        <v>750</v>
      </c>
      <c r="G155" s="58" t="s">
        <v>352</v>
      </c>
      <c r="H155" s="546">
        <v>359786</v>
      </c>
      <c r="I155" s="66">
        <v>44781</v>
      </c>
      <c r="J155" s="65" t="s">
        <v>761</v>
      </c>
      <c r="K155" s="58" t="s">
        <v>762</v>
      </c>
      <c r="L155" s="99"/>
      <c r="M155" s="70" t="s">
        <v>668</v>
      </c>
      <c r="N155" s="97" t="s">
        <v>356</v>
      </c>
      <c r="O155" s="58" t="s">
        <v>141</v>
      </c>
      <c r="P155" s="58" t="s">
        <v>19</v>
      </c>
      <c r="Q155" s="58" t="s">
        <v>20</v>
      </c>
      <c r="R155" s="58" t="s">
        <v>265</v>
      </c>
    </row>
    <row r="156" spans="1:18" ht="69" customHeight="1">
      <c r="A156" s="168"/>
      <c r="B156" s="178">
        <v>5369</v>
      </c>
      <c r="C156" s="178" t="s">
        <v>753</v>
      </c>
      <c r="D156" s="575" t="s">
        <v>763</v>
      </c>
      <c r="E156" s="178" t="s">
        <v>755</v>
      </c>
      <c r="F156" s="210" t="s">
        <v>764</v>
      </c>
      <c r="G156" s="58" t="s">
        <v>725</v>
      </c>
      <c r="H156" s="546">
        <v>822745.74</v>
      </c>
      <c r="I156" s="66">
        <v>44776</v>
      </c>
      <c r="J156" s="65" t="s">
        <v>726</v>
      </c>
      <c r="K156" s="58" t="s">
        <v>765</v>
      </c>
      <c r="L156" s="99"/>
      <c r="M156" s="70" t="s">
        <v>715</v>
      </c>
      <c r="N156" s="97" t="s">
        <v>716</v>
      </c>
      <c r="O156" s="58"/>
      <c r="P156" s="58" t="s">
        <v>28</v>
      </c>
      <c r="Q156" s="58" t="s">
        <v>20</v>
      </c>
      <c r="R156" s="58" t="s">
        <v>272</v>
      </c>
    </row>
    <row r="157" spans="1:18" ht="69" customHeight="1">
      <c r="A157" s="168"/>
      <c r="B157" s="178">
        <v>6585</v>
      </c>
      <c r="C157" s="178" t="s">
        <v>309</v>
      </c>
      <c r="D157" s="575" t="s">
        <v>766</v>
      </c>
      <c r="E157" s="178" t="s">
        <v>409</v>
      </c>
      <c r="F157" s="210" t="s">
        <v>767</v>
      </c>
      <c r="G157" s="58" t="s">
        <v>738</v>
      </c>
      <c r="H157" s="546">
        <v>74644.726500000004</v>
      </c>
      <c r="I157" s="66">
        <v>44813</v>
      </c>
      <c r="J157" s="65" t="s">
        <v>768</v>
      </c>
      <c r="K157" s="58"/>
      <c r="L157" s="99"/>
      <c r="M157" s="70" t="s">
        <v>740</v>
      </c>
      <c r="N157" s="97" t="s">
        <v>741</v>
      </c>
      <c r="O157" s="45" t="s">
        <v>154</v>
      </c>
      <c r="P157" s="58" t="s">
        <v>59</v>
      </c>
      <c r="Q157" s="58" t="s">
        <v>20</v>
      </c>
      <c r="R157" s="58" t="s">
        <v>272</v>
      </c>
    </row>
    <row r="158" spans="1:18" ht="69" customHeight="1">
      <c r="A158" s="168"/>
      <c r="B158" s="178">
        <v>7356</v>
      </c>
      <c r="C158" s="178" t="s">
        <v>769</v>
      </c>
      <c r="D158" s="575" t="s">
        <v>770</v>
      </c>
      <c r="E158" s="178" t="s">
        <v>755</v>
      </c>
      <c r="F158" s="210" t="s">
        <v>771</v>
      </c>
      <c r="G158" s="58" t="s">
        <v>772</v>
      </c>
      <c r="H158" s="546">
        <v>674586.5</v>
      </c>
      <c r="I158" s="66">
        <v>44872</v>
      </c>
      <c r="J158" s="65" t="s">
        <v>773</v>
      </c>
      <c r="K158" s="58" t="s">
        <v>774</v>
      </c>
      <c r="L158" s="99"/>
      <c r="M158" s="70" t="s">
        <v>715</v>
      </c>
      <c r="N158" s="97" t="s">
        <v>716</v>
      </c>
      <c r="O158" s="58"/>
      <c r="P158" s="58" t="s">
        <v>28</v>
      </c>
      <c r="Q158" s="58" t="s">
        <v>20</v>
      </c>
      <c r="R158" s="58" t="s">
        <v>272</v>
      </c>
    </row>
    <row r="159" spans="1:18" ht="69" customHeight="1">
      <c r="A159" s="168"/>
      <c r="B159" s="178">
        <v>7445</v>
      </c>
      <c r="C159" s="178" t="s">
        <v>775</v>
      </c>
      <c r="D159" s="575" t="s">
        <v>776</v>
      </c>
      <c r="E159" s="178" t="s">
        <v>755</v>
      </c>
      <c r="F159" s="210" t="s">
        <v>777</v>
      </c>
      <c r="G159" s="58" t="s">
        <v>778</v>
      </c>
      <c r="H159" s="546">
        <v>500764.56</v>
      </c>
      <c r="I159" s="66">
        <v>44879</v>
      </c>
      <c r="J159" s="65" t="s">
        <v>779</v>
      </c>
      <c r="K159" s="58"/>
      <c r="L159" s="99"/>
      <c r="M159" s="70" t="s">
        <v>715</v>
      </c>
      <c r="N159" s="97" t="s">
        <v>716</v>
      </c>
      <c r="O159" s="58"/>
      <c r="P159" s="58" t="s">
        <v>28</v>
      </c>
      <c r="Q159" s="58" t="s">
        <v>20</v>
      </c>
      <c r="R159" s="58" t="s">
        <v>272</v>
      </c>
    </row>
    <row r="160" spans="1:18" ht="69" customHeight="1">
      <c r="A160" s="168"/>
      <c r="B160" s="178">
        <v>7062</v>
      </c>
      <c r="C160" s="178" t="s">
        <v>775</v>
      </c>
      <c r="D160" s="575" t="s">
        <v>780</v>
      </c>
      <c r="E160" s="178" t="s">
        <v>755</v>
      </c>
      <c r="F160" s="210" t="s">
        <v>781</v>
      </c>
      <c r="G160" s="58" t="s">
        <v>782</v>
      </c>
      <c r="H160" s="546">
        <v>1175351.06</v>
      </c>
      <c r="I160" s="66">
        <v>44853</v>
      </c>
      <c r="J160" s="65" t="s">
        <v>783</v>
      </c>
      <c r="K160" s="58" t="s">
        <v>784</v>
      </c>
      <c r="L160" s="99"/>
      <c r="M160" s="70" t="s">
        <v>715</v>
      </c>
      <c r="N160" s="97" t="s">
        <v>716</v>
      </c>
      <c r="O160" s="58"/>
      <c r="P160" s="58" t="s">
        <v>28</v>
      </c>
      <c r="Q160" s="58" t="s">
        <v>20</v>
      </c>
      <c r="R160" s="58" t="s">
        <v>272</v>
      </c>
    </row>
    <row r="161" spans="1:18" ht="69" customHeight="1">
      <c r="A161" s="168"/>
      <c r="B161" s="178">
        <v>6212</v>
      </c>
      <c r="C161" s="178" t="s">
        <v>309</v>
      </c>
      <c r="D161" s="575" t="s">
        <v>785</v>
      </c>
      <c r="E161" s="178" t="s">
        <v>755</v>
      </c>
      <c r="F161" s="210" t="s">
        <v>786</v>
      </c>
      <c r="G161" s="58" t="s">
        <v>787</v>
      </c>
      <c r="H161" s="546">
        <v>352605.32</v>
      </c>
      <c r="I161" s="66">
        <v>44788</v>
      </c>
      <c r="J161" s="65" t="s">
        <v>726</v>
      </c>
      <c r="K161" s="58"/>
      <c r="L161" s="99"/>
      <c r="M161" s="70" t="s">
        <v>715</v>
      </c>
      <c r="N161" s="97" t="s">
        <v>716</v>
      </c>
      <c r="O161" s="58"/>
      <c r="P161" s="58" t="s">
        <v>28</v>
      </c>
      <c r="Q161" s="58" t="s">
        <v>20</v>
      </c>
      <c r="R161" s="58" t="s">
        <v>272</v>
      </c>
    </row>
    <row r="162" spans="1:18" ht="69" customHeight="1">
      <c r="A162" s="168"/>
      <c r="B162" s="178">
        <v>6286</v>
      </c>
      <c r="C162" s="178" t="s">
        <v>309</v>
      </c>
      <c r="D162" s="575" t="s">
        <v>788</v>
      </c>
      <c r="E162" s="178" t="s">
        <v>266</v>
      </c>
      <c r="F162" s="210" t="s">
        <v>789</v>
      </c>
      <c r="G162" s="58" t="s">
        <v>790</v>
      </c>
      <c r="H162" s="546">
        <v>2281.25</v>
      </c>
      <c r="I162" s="66">
        <v>44834</v>
      </c>
      <c r="J162" s="65" t="s">
        <v>791</v>
      </c>
      <c r="K162" s="58"/>
      <c r="L162" s="99"/>
      <c r="M162" s="70" t="s">
        <v>682</v>
      </c>
      <c r="N162" s="97" t="s">
        <v>683</v>
      </c>
      <c r="O162" s="58" t="s">
        <v>684</v>
      </c>
      <c r="P162" s="58" t="s">
        <v>46</v>
      </c>
      <c r="Q162" s="58" t="s">
        <v>20</v>
      </c>
      <c r="R162" s="58" t="s">
        <v>272</v>
      </c>
    </row>
    <row r="163" spans="1:18" ht="69" customHeight="1">
      <c r="A163" s="168"/>
      <c r="B163" s="178">
        <v>7599</v>
      </c>
      <c r="C163" s="178" t="s">
        <v>309</v>
      </c>
      <c r="D163" s="575" t="s">
        <v>792</v>
      </c>
      <c r="E163" s="178" t="s">
        <v>358</v>
      </c>
      <c r="F163" s="210" t="s">
        <v>793</v>
      </c>
      <c r="G163" s="58" t="s">
        <v>794</v>
      </c>
      <c r="H163" s="546">
        <v>350000</v>
      </c>
      <c r="I163" s="66">
        <v>44890</v>
      </c>
      <c r="J163" s="65" t="s">
        <v>795</v>
      </c>
      <c r="K163" s="58" t="s">
        <v>796</v>
      </c>
      <c r="L163" s="99"/>
      <c r="M163" s="70" t="s">
        <v>664</v>
      </c>
      <c r="N163" s="97" t="s">
        <v>356</v>
      </c>
      <c r="O163" s="58" t="s">
        <v>141</v>
      </c>
      <c r="P163" s="58" t="s">
        <v>19</v>
      </c>
      <c r="Q163" s="58" t="s">
        <v>20</v>
      </c>
      <c r="R163" s="58" t="s">
        <v>272</v>
      </c>
    </row>
    <row r="164" spans="1:18" ht="69" customHeight="1">
      <c r="A164" s="168"/>
      <c r="B164" s="178">
        <v>7594</v>
      </c>
      <c r="C164" s="178" t="s">
        <v>309</v>
      </c>
      <c r="D164" s="575" t="s">
        <v>797</v>
      </c>
      <c r="E164" s="178" t="s">
        <v>266</v>
      </c>
      <c r="F164" s="210" t="s">
        <v>798</v>
      </c>
      <c r="G164" s="58" t="s">
        <v>392</v>
      </c>
      <c r="H164" s="546">
        <v>1150</v>
      </c>
      <c r="I164" s="66">
        <v>44895</v>
      </c>
      <c r="J164" s="65" t="s">
        <v>457</v>
      </c>
      <c r="K164" s="58"/>
      <c r="L164" s="99"/>
      <c r="M164" s="70" t="s">
        <v>602</v>
      </c>
      <c r="N164" s="97" t="s">
        <v>270</v>
      </c>
      <c r="O164" s="58"/>
      <c r="P164" s="58" t="s">
        <v>44</v>
      </c>
      <c r="Q164" s="58" t="s">
        <v>20</v>
      </c>
      <c r="R164" s="58" t="s">
        <v>272</v>
      </c>
    </row>
    <row r="165" spans="1:18" ht="69" customHeight="1">
      <c r="A165" s="168"/>
      <c r="B165" s="178">
        <v>7570</v>
      </c>
      <c r="C165" s="178" t="s">
        <v>309</v>
      </c>
      <c r="D165" s="575" t="s">
        <v>799</v>
      </c>
      <c r="E165" s="178" t="s">
        <v>409</v>
      </c>
      <c r="F165" s="210" t="s">
        <v>800</v>
      </c>
      <c r="G165" s="58" t="s">
        <v>801</v>
      </c>
      <c r="H165" s="546">
        <v>49763.15</v>
      </c>
      <c r="I165" s="66">
        <v>44890</v>
      </c>
      <c r="J165" s="65" t="s">
        <v>802</v>
      </c>
      <c r="K165" s="58"/>
      <c r="L165" s="99"/>
      <c r="M165" s="70" t="s">
        <v>740</v>
      </c>
      <c r="N165" s="97" t="s">
        <v>741</v>
      </c>
      <c r="O165" s="45" t="s">
        <v>154</v>
      </c>
      <c r="P165" s="58" t="s">
        <v>59</v>
      </c>
      <c r="Q165" s="58" t="s">
        <v>20</v>
      </c>
      <c r="R165" s="58" t="s">
        <v>272</v>
      </c>
    </row>
    <row r="166" spans="1:18" ht="69" customHeight="1">
      <c r="A166" s="168"/>
      <c r="B166" s="178">
        <v>7718</v>
      </c>
      <c r="C166" s="178" t="s">
        <v>309</v>
      </c>
      <c r="D166" s="575" t="s">
        <v>803</v>
      </c>
      <c r="E166" s="178" t="s">
        <v>350</v>
      </c>
      <c r="F166" s="210" t="s">
        <v>804</v>
      </c>
      <c r="G166" s="58" t="s">
        <v>805</v>
      </c>
      <c r="H166" s="546">
        <v>118860</v>
      </c>
      <c r="I166" s="66">
        <v>44908</v>
      </c>
      <c r="J166" s="65" t="s">
        <v>806</v>
      </c>
      <c r="K166" s="58"/>
      <c r="L166" s="99"/>
      <c r="M166" s="70" t="s">
        <v>668</v>
      </c>
      <c r="N166" s="97" t="s">
        <v>356</v>
      </c>
      <c r="O166" s="58" t="s">
        <v>141</v>
      </c>
      <c r="P166" s="58" t="s">
        <v>19</v>
      </c>
      <c r="Q166" s="58" t="s">
        <v>20</v>
      </c>
      <c r="R166" s="58" t="s">
        <v>265</v>
      </c>
    </row>
    <row r="167" spans="1:18" ht="69" customHeight="1">
      <c r="A167" s="168"/>
      <c r="B167" s="178">
        <v>7414</v>
      </c>
      <c r="C167" s="178" t="s">
        <v>807</v>
      </c>
      <c r="D167" s="575" t="s">
        <v>808</v>
      </c>
      <c r="E167" s="178" t="s">
        <v>809</v>
      </c>
      <c r="F167" s="210" t="s">
        <v>810</v>
      </c>
      <c r="G167" s="58" t="s">
        <v>811</v>
      </c>
      <c r="H167" s="546">
        <v>34400</v>
      </c>
      <c r="I167" s="66">
        <v>44879</v>
      </c>
      <c r="J167" s="65" t="s">
        <v>812</v>
      </c>
      <c r="K167" s="58"/>
      <c r="L167" s="99"/>
      <c r="M167" s="70" t="s">
        <v>813</v>
      </c>
      <c r="N167" s="97" t="s">
        <v>814</v>
      </c>
      <c r="O167" s="58"/>
      <c r="P167" s="58" t="s">
        <v>36</v>
      </c>
      <c r="Q167" s="58" t="s">
        <v>20</v>
      </c>
      <c r="R167" s="58" t="s">
        <v>272</v>
      </c>
    </row>
    <row r="168" spans="1:18" ht="69" customHeight="1">
      <c r="A168" s="168"/>
      <c r="B168" s="178">
        <v>7765</v>
      </c>
      <c r="C168" s="178" t="s">
        <v>753</v>
      </c>
      <c r="D168" s="575" t="s">
        <v>815</v>
      </c>
      <c r="E168" s="178" t="s">
        <v>809</v>
      </c>
      <c r="F168" s="210" t="s">
        <v>816</v>
      </c>
      <c r="G168" s="58" t="s">
        <v>811</v>
      </c>
      <c r="H168" s="546">
        <v>24571.06</v>
      </c>
      <c r="I168" s="66">
        <v>44909</v>
      </c>
      <c r="J168" s="65" t="s">
        <v>817</v>
      </c>
      <c r="K168" s="58"/>
      <c r="L168" s="99"/>
      <c r="M168" s="70" t="s">
        <v>813</v>
      </c>
      <c r="N168" s="97" t="s">
        <v>814</v>
      </c>
      <c r="O168" s="58"/>
      <c r="P168" s="58" t="s">
        <v>36</v>
      </c>
      <c r="Q168" s="58" t="s">
        <v>20</v>
      </c>
      <c r="R168" s="58" t="s">
        <v>272</v>
      </c>
    </row>
    <row r="169" spans="1:18" ht="69" customHeight="1">
      <c r="A169" s="168"/>
      <c r="B169" s="178">
        <v>7594</v>
      </c>
      <c r="C169" s="178" t="s">
        <v>309</v>
      </c>
      <c r="D169" s="575" t="s">
        <v>797</v>
      </c>
      <c r="E169" s="178" t="s">
        <v>266</v>
      </c>
      <c r="F169" s="210" t="s">
        <v>798</v>
      </c>
      <c r="G169" s="58" t="s">
        <v>392</v>
      </c>
      <c r="H169" s="546">
        <v>1150</v>
      </c>
      <c r="I169" s="66">
        <v>44895</v>
      </c>
      <c r="J169" s="65" t="s">
        <v>457</v>
      </c>
      <c r="K169" s="58"/>
      <c r="L169" s="99"/>
      <c r="M169" s="70" t="s">
        <v>602</v>
      </c>
      <c r="N169" s="97" t="s">
        <v>270</v>
      </c>
      <c r="O169" s="58"/>
      <c r="P169" s="58" t="s">
        <v>44</v>
      </c>
      <c r="Q169" s="58" t="s">
        <v>20</v>
      </c>
      <c r="R169" s="58" t="s">
        <v>272</v>
      </c>
    </row>
    <row r="170" spans="1:18" ht="69" customHeight="1">
      <c r="A170" s="168"/>
      <c r="B170" s="178">
        <v>8077</v>
      </c>
      <c r="C170" s="178" t="s">
        <v>818</v>
      </c>
      <c r="D170" s="575" t="s">
        <v>819</v>
      </c>
      <c r="E170" s="178" t="s">
        <v>266</v>
      </c>
      <c r="F170" s="210" t="s">
        <v>820</v>
      </c>
      <c r="G170" s="58" t="s">
        <v>453</v>
      </c>
      <c r="H170" s="546">
        <v>1000</v>
      </c>
      <c r="I170" s="66">
        <v>44911</v>
      </c>
      <c r="J170" s="65" t="s">
        <v>454</v>
      </c>
      <c r="K170" s="58"/>
      <c r="L170" s="99"/>
      <c r="M170" s="70" t="s">
        <v>602</v>
      </c>
      <c r="N170" s="97" t="s">
        <v>270</v>
      </c>
      <c r="O170" s="58"/>
      <c r="P170" s="58" t="s">
        <v>44</v>
      </c>
      <c r="Q170" s="58" t="s">
        <v>20</v>
      </c>
      <c r="R170" s="58" t="s">
        <v>272</v>
      </c>
    </row>
    <row r="171" spans="1:18" ht="69" customHeight="1">
      <c r="A171" s="168"/>
      <c r="B171" s="178">
        <v>8650</v>
      </c>
      <c r="C171" s="178" t="s">
        <v>753</v>
      </c>
      <c r="D171" s="575" t="s">
        <v>821</v>
      </c>
      <c r="E171" s="178" t="s">
        <v>809</v>
      </c>
      <c r="F171" s="210" t="s">
        <v>822</v>
      </c>
      <c r="G171" s="58" t="s">
        <v>823</v>
      </c>
      <c r="H171" s="546">
        <v>43000</v>
      </c>
      <c r="I171" s="66">
        <v>44949</v>
      </c>
      <c r="J171" s="65" t="s">
        <v>824</v>
      </c>
      <c r="K171" s="58"/>
      <c r="L171" s="99"/>
      <c r="M171" s="70" t="s">
        <v>813</v>
      </c>
      <c r="N171" s="97" t="s">
        <v>814</v>
      </c>
      <c r="O171" s="58"/>
      <c r="P171" s="58" t="s">
        <v>36</v>
      </c>
      <c r="Q171" s="58" t="s">
        <v>20</v>
      </c>
      <c r="R171" s="58" t="s">
        <v>272</v>
      </c>
    </row>
    <row r="172" spans="1:18" ht="69" customHeight="1">
      <c r="A172" s="168"/>
      <c r="B172" s="178">
        <v>8483</v>
      </c>
      <c r="C172" s="178" t="s">
        <v>775</v>
      </c>
      <c r="D172" s="575" t="s">
        <v>825</v>
      </c>
      <c r="E172" s="178" t="s">
        <v>755</v>
      </c>
      <c r="F172" s="210" t="s">
        <v>826</v>
      </c>
      <c r="G172" s="58" t="s">
        <v>827</v>
      </c>
      <c r="H172" s="546">
        <v>1175351.06</v>
      </c>
      <c r="I172" s="66">
        <v>44935</v>
      </c>
      <c r="J172" s="65" t="s">
        <v>828</v>
      </c>
      <c r="K172" s="58" t="s">
        <v>829</v>
      </c>
      <c r="L172" s="99"/>
      <c r="M172" s="70" t="s">
        <v>715</v>
      </c>
      <c r="N172" s="97" t="s">
        <v>716</v>
      </c>
      <c r="O172" s="58"/>
      <c r="P172" s="58" t="s">
        <v>28</v>
      </c>
      <c r="Q172" s="58" t="s">
        <v>20</v>
      </c>
      <c r="R172" s="58" t="s">
        <v>272</v>
      </c>
    </row>
    <row r="173" spans="1:18" ht="69" customHeight="1">
      <c r="A173" s="168"/>
      <c r="B173" s="178">
        <v>7098</v>
      </c>
      <c r="C173" s="178" t="s">
        <v>309</v>
      </c>
      <c r="D173" s="575" t="s">
        <v>830</v>
      </c>
      <c r="E173" s="178" t="s">
        <v>350</v>
      </c>
      <c r="F173" s="210" t="s">
        <v>831</v>
      </c>
      <c r="G173" s="58" t="s">
        <v>744</v>
      </c>
      <c r="H173" s="546">
        <v>5065.83</v>
      </c>
      <c r="I173" s="66">
        <v>44876</v>
      </c>
      <c r="J173" s="65" t="s">
        <v>832</v>
      </c>
      <c r="K173" s="58"/>
      <c r="L173" s="99"/>
      <c r="M173" s="70" t="s">
        <v>668</v>
      </c>
      <c r="N173" s="97" t="s">
        <v>356</v>
      </c>
      <c r="O173" s="58" t="s">
        <v>141</v>
      </c>
      <c r="P173" s="58" t="s">
        <v>19</v>
      </c>
      <c r="Q173" s="58" t="s">
        <v>20</v>
      </c>
      <c r="R173" s="58" t="s">
        <v>265</v>
      </c>
    </row>
    <row r="174" spans="1:18" ht="69" customHeight="1">
      <c r="A174" s="168"/>
      <c r="B174" s="178">
        <v>8665</v>
      </c>
      <c r="C174" s="178" t="s">
        <v>309</v>
      </c>
      <c r="D174" s="575" t="s">
        <v>833</v>
      </c>
      <c r="E174" s="178" t="s">
        <v>350</v>
      </c>
      <c r="F174" s="210" t="s">
        <v>834</v>
      </c>
      <c r="G174" s="58" t="s">
        <v>835</v>
      </c>
      <c r="H174" s="546">
        <v>0</v>
      </c>
      <c r="I174" s="66">
        <v>44967</v>
      </c>
      <c r="J174" s="65" t="s">
        <v>836</v>
      </c>
      <c r="K174" s="58"/>
      <c r="L174" s="99"/>
      <c r="M174" s="70" t="s">
        <v>668</v>
      </c>
      <c r="N174" s="97" t="s">
        <v>356</v>
      </c>
      <c r="O174" s="58" t="s">
        <v>141</v>
      </c>
      <c r="P174" s="58" t="s">
        <v>19</v>
      </c>
      <c r="Q174" s="58" t="s">
        <v>20</v>
      </c>
      <c r="R174" s="58" t="s">
        <v>265</v>
      </c>
    </row>
    <row r="175" spans="1:18" ht="69" customHeight="1">
      <c r="A175" s="168"/>
      <c r="B175" s="178">
        <v>8666</v>
      </c>
      <c r="C175" s="178" t="s">
        <v>309</v>
      </c>
      <c r="D175" s="575" t="s">
        <v>837</v>
      </c>
      <c r="E175" s="178" t="s">
        <v>350</v>
      </c>
      <c r="F175" s="210" t="s">
        <v>838</v>
      </c>
      <c r="G175" s="58" t="s">
        <v>835</v>
      </c>
      <c r="H175" s="546">
        <v>0</v>
      </c>
      <c r="I175" s="66">
        <v>44967</v>
      </c>
      <c r="J175" s="65" t="s">
        <v>836</v>
      </c>
      <c r="K175" s="58"/>
      <c r="L175" s="99"/>
      <c r="M175" s="70" t="s">
        <v>668</v>
      </c>
      <c r="N175" s="97" t="s">
        <v>356</v>
      </c>
      <c r="O175" s="58" t="s">
        <v>141</v>
      </c>
      <c r="P175" s="58" t="s">
        <v>19</v>
      </c>
      <c r="Q175" s="58" t="s">
        <v>20</v>
      </c>
      <c r="R175" s="58" t="s">
        <v>265</v>
      </c>
    </row>
    <row r="176" spans="1:18" ht="69" customHeight="1">
      <c r="A176" s="168"/>
      <c r="B176" s="178">
        <v>8943</v>
      </c>
      <c r="C176" s="178" t="s">
        <v>753</v>
      </c>
      <c r="D176" s="575" t="s">
        <v>839</v>
      </c>
      <c r="E176" s="178" t="s">
        <v>755</v>
      </c>
      <c r="F176" s="210" t="s">
        <v>840</v>
      </c>
      <c r="G176" s="58" t="s">
        <v>841</v>
      </c>
      <c r="H176" s="546">
        <v>426684.9</v>
      </c>
      <c r="I176" s="66">
        <v>44986</v>
      </c>
      <c r="J176" s="65" t="s">
        <v>842</v>
      </c>
      <c r="K176" s="58" t="s">
        <v>842</v>
      </c>
      <c r="L176" s="99"/>
      <c r="M176" s="70" t="s">
        <v>715</v>
      </c>
      <c r="N176" s="97" t="s">
        <v>716</v>
      </c>
      <c r="O176" s="58"/>
      <c r="P176" s="58" t="s">
        <v>28</v>
      </c>
      <c r="Q176" s="58" t="s">
        <v>20</v>
      </c>
      <c r="R176" s="58" t="s">
        <v>272</v>
      </c>
    </row>
    <row r="177" spans="1:18" ht="69" customHeight="1">
      <c r="A177" s="168"/>
      <c r="B177" s="178">
        <v>8832</v>
      </c>
      <c r="C177" s="178" t="s">
        <v>753</v>
      </c>
      <c r="D177" s="575" t="s">
        <v>843</v>
      </c>
      <c r="E177" s="178" t="s">
        <v>809</v>
      </c>
      <c r="F177" s="210" t="s">
        <v>844</v>
      </c>
      <c r="G177" s="58" t="s">
        <v>845</v>
      </c>
      <c r="H177" s="546">
        <v>31942.98</v>
      </c>
      <c r="I177" s="66">
        <v>44948</v>
      </c>
      <c r="J177" s="65" t="s">
        <v>846</v>
      </c>
      <c r="K177" s="58"/>
      <c r="L177" s="99"/>
      <c r="M177" s="70" t="s">
        <v>813</v>
      </c>
      <c r="N177" s="97" t="s">
        <v>814</v>
      </c>
      <c r="O177" s="58"/>
      <c r="P177" s="58" t="s">
        <v>36</v>
      </c>
      <c r="Q177" s="58" t="s">
        <v>20</v>
      </c>
      <c r="R177" s="58" t="s">
        <v>272</v>
      </c>
    </row>
    <row r="178" spans="1:18" ht="69" customHeight="1">
      <c r="A178" s="168"/>
      <c r="B178" s="178">
        <v>8977</v>
      </c>
      <c r="C178" s="178" t="s">
        <v>753</v>
      </c>
      <c r="D178" s="575" t="s">
        <v>847</v>
      </c>
      <c r="E178" s="178" t="s">
        <v>382</v>
      </c>
      <c r="F178" s="210" t="s">
        <v>848</v>
      </c>
      <c r="G178" s="58" t="s">
        <v>849</v>
      </c>
      <c r="H178" s="546">
        <v>5821.02</v>
      </c>
      <c r="I178" s="66">
        <v>44988</v>
      </c>
      <c r="J178" s="65" t="s">
        <v>850</v>
      </c>
      <c r="K178" s="58"/>
      <c r="L178" s="99"/>
      <c r="M178" s="70" t="s">
        <v>691</v>
      </c>
      <c r="N178" s="97" t="s">
        <v>387</v>
      </c>
      <c r="O178" s="45" t="s">
        <v>150</v>
      </c>
      <c r="P178" s="58" t="s">
        <v>51</v>
      </c>
      <c r="Q178" s="58" t="s">
        <v>20</v>
      </c>
      <c r="R178" s="58" t="s">
        <v>272</v>
      </c>
    </row>
    <row r="179" spans="1:18" ht="69" customHeight="1">
      <c r="A179" s="168"/>
      <c r="B179" s="178">
        <v>8976</v>
      </c>
      <c r="C179" s="59" t="s">
        <v>309</v>
      </c>
      <c r="D179" s="581" t="s">
        <v>851</v>
      </c>
      <c r="E179" s="59" t="s">
        <v>382</v>
      </c>
      <c r="F179" s="569" t="s">
        <v>852</v>
      </c>
      <c r="G179" s="45" t="s">
        <v>853</v>
      </c>
      <c r="H179" s="198">
        <v>2892.13</v>
      </c>
      <c r="I179" s="47">
        <v>44988</v>
      </c>
      <c r="J179" s="73" t="s">
        <v>854</v>
      </c>
      <c r="K179" s="58"/>
      <c r="L179" s="99"/>
      <c r="M179" s="70" t="s">
        <v>691</v>
      </c>
      <c r="N179" s="97" t="s">
        <v>387</v>
      </c>
      <c r="O179" s="45" t="s">
        <v>150</v>
      </c>
      <c r="P179" s="58" t="s">
        <v>51</v>
      </c>
      <c r="Q179" s="58" t="s">
        <v>20</v>
      </c>
      <c r="R179" s="58" t="s">
        <v>272</v>
      </c>
    </row>
    <row r="180" spans="1:18" ht="69" customHeight="1">
      <c r="A180" s="168"/>
      <c r="B180" s="171">
        <v>9058</v>
      </c>
      <c r="C180" s="171" t="s">
        <v>309</v>
      </c>
      <c r="D180" s="593" t="s">
        <v>855</v>
      </c>
      <c r="E180" s="171" t="s">
        <v>382</v>
      </c>
      <c r="F180" s="594" t="s">
        <v>856</v>
      </c>
      <c r="G180" s="100" t="s">
        <v>857</v>
      </c>
      <c r="H180" s="542">
        <v>2892.13</v>
      </c>
      <c r="I180" s="96">
        <v>45000</v>
      </c>
      <c r="J180" s="268" t="s">
        <v>858</v>
      </c>
      <c r="K180" s="46" t="s">
        <v>859</v>
      </c>
      <c r="L180" s="99"/>
      <c r="M180" s="70" t="s">
        <v>691</v>
      </c>
      <c r="N180" s="97" t="s">
        <v>387</v>
      </c>
      <c r="O180" s="100" t="s">
        <v>150</v>
      </c>
      <c r="P180" s="100" t="s">
        <v>67</v>
      </c>
      <c r="Q180" s="100" t="s">
        <v>20</v>
      </c>
      <c r="R180" s="100" t="s">
        <v>272</v>
      </c>
    </row>
    <row r="181" spans="1:18" ht="69" customHeight="1">
      <c r="A181" s="168"/>
      <c r="B181" s="178">
        <v>8999</v>
      </c>
      <c r="C181" s="178" t="s">
        <v>860</v>
      </c>
      <c r="D181" s="575" t="s">
        <v>861</v>
      </c>
      <c r="E181" s="178" t="s">
        <v>809</v>
      </c>
      <c r="F181" s="210" t="s">
        <v>862</v>
      </c>
      <c r="G181" s="58" t="s">
        <v>863</v>
      </c>
      <c r="H181" s="546">
        <v>9828.94</v>
      </c>
      <c r="I181" s="66" t="s">
        <v>96</v>
      </c>
      <c r="J181" s="65" t="s">
        <v>864</v>
      </c>
      <c r="K181" s="58"/>
      <c r="L181" s="99"/>
      <c r="M181" s="70" t="s">
        <v>813</v>
      </c>
      <c r="N181" s="97" t="s">
        <v>814</v>
      </c>
      <c r="O181" s="58"/>
      <c r="P181" s="58" t="s">
        <v>36</v>
      </c>
      <c r="Q181" s="58" t="s">
        <v>20</v>
      </c>
      <c r="R181" s="58" t="s">
        <v>272</v>
      </c>
    </row>
    <row r="182" spans="1:18" ht="69" customHeight="1">
      <c r="A182" s="168"/>
      <c r="B182" s="178">
        <v>9102</v>
      </c>
      <c r="C182" s="178" t="s">
        <v>860</v>
      </c>
      <c r="D182" s="575" t="s">
        <v>865</v>
      </c>
      <c r="E182" s="178" t="s">
        <v>755</v>
      </c>
      <c r="F182" s="210" t="s">
        <v>866</v>
      </c>
      <c r="G182" s="58" t="s">
        <v>867</v>
      </c>
      <c r="H182" s="546">
        <v>748666.12</v>
      </c>
      <c r="I182" s="66">
        <v>45002</v>
      </c>
      <c r="J182" s="65" t="s">
        <v>868</v>
      </c>
      <c r="K182" s="58"/>
      <c r="L182" s="99"/>
      <c r="M182" s="70" t="s">
        <v>715</v>
      </c>
      <c r="N182" s="97" t="s">
        <v>716</v>
      </c>
      <c r="O182" s="58"/>
      <c r="P182" s="58" t="s">
        <v>28</v>
      </c>
      <c r="Q182" s="58" t="s">
        <v>20</v>
      </c>
      <c r="R182" s="58" t="s">
        <v>272</v>
      </c>
    </row>
    <row r="183" spans="1:18" ht="69" customHeight="1">
      <c r="A183" s="168"/>
      <c r="B183" s="178">
        <v>9732</v>
      </c>
      <c r="C183" s="178" t="s">
        <v>309</v>
      </c>
      <c r="D183" s="575" t="s">
        <v>869</v>
      </c>
      <c r="E183" s="178" t="s">
        <v>358</v>
      </c>
      <c r="F183" s="210" t="s">
        <v>870</v>
      </c>
      <c r="G183" s="58" t="s">
        <v>871</v>
      </c>
      <c r="H183" s="546">
        <v>461424.97</v>
      </c>
      <c r="I183" s="66">
        <v>45041</v>
      </c>
      <c r="J183" s="65" t="s">
        <v>872</v>
      </c>
      <c r="K183" s="58"/>
      <c r="L183" s="99"/>
      <c r="M183" s="70" t="s">
        <v>664</v>
      </c>
      <c r="N183" s="97" t="s">
        <v>356</v>
      </c>
      <c r="O183" s="58" t="s">
        <v>141</v>
      </c>
      <c r="P183" s="58" t="s">
        <v>19</v>
      </c>
      <c r="Q183" s="58" t="s">
        <v>20</v>
      </c>
      <c r="R183" s="58" t="s">
        <v>272</v>
      </c>
    </row>
    <row r="184" spans="1:18" ht="69" customHeight="1">
      <c r="A184" s="168"/>
      <c r="B184" s="178">
        <v>9700</v>
      </c>
      <c r="C184" s="178" t="s">
        <v>860</v>
      </c>
      <c r="D184" s="575" t="s">
        <v>873</v>
      </c>
      <c r="E184" s="178" t="s">
        <v>809</v>
      </c>
      <c r="F184" s="210" t="s">
        <v>862</v>
      </c>
      <c r="G184" s="58" t="s">
        <v>874</v>
      </c>
      <c r="H184" s="546">
        <v>8000.3</v>
      </c>
      <c r="I184" s="66" t="s">
        <v>96</v>
      </c>
      <c r="J184" s="65" t="s">
        <v>875</v>
      </c>
      <c r="K184" s="58"/>
      <c r="L184" s="99"/>
      <c r="M184" s="70" t="s">
        <v>813</v>
      </c>
      <c r="N184" s="97" t="s">
        <v>814</v>
      </c>
      <c r="O184" s="58"/>
      <c r="P184" s="58" t="s">
        <v>36</v>
      </c>
      <c r="Q184" s="58" t="s">
        <v>20</v>
      </c>
      <c r="R184" s="58" t="s">
        <v>272</v>
      </c>
    </row>
    <row r="185" spans="1:18" ht="69" customHeight="1">
      <c r="A185" s="168"/>
      <c r="B185" s="191">
        <v>9950</v>
      </c>
      <c r="C185" s="191" t="s">
        <v>753</v>
      </c>
      <c r="D185" s="533" t="s">
        <v>876</v>
      </c>
      <c r="E185" s="191" t="s">
        <v>877</v>
      </c>
      <c r="F185" s="211" t="s">
        <v>878</v>
      </c>
      <c r="G185" s="46" t="s">
        <v>879</v>
      </c>
      <c r="H185" s="534">
        <v>25241.9</v>
      </c>
      <c r="I185" s="56">
        <v>45049</v>
      </c>
      <c r="J185" s="199" t="s">
        <v>880</v>
      </c>
      <c r="K185" s="46" t="s">
        <v>881</v>
      </c>
      <c r="L185" s="99"/>
      <c r="M185" s="379"/>
      <c r="N185" s="76" t="s">
        <v>716</v>
      </c>
      <c r="O185" s="46"/>
      <c r="P185" s="46" t="s">
        <v>71</v>
      </c>
      <c r="Q185" s="46" t="s">
        <v>20</v>
      </c>
      <c r="R185" s="46" t="s">
        <v>272</v>
      </c>
    </row>
    <row r="186" spans="1:18" ht="69" customHeight="1">
      <c r="A186" s="168"/>
      <c r="B186" s="178">
        <v>9840</v>
      </c>
      <c r="C186" s="178" t="s">
        <v>309</v>
      </c>
      <c r="D186" s="575" t="s">
        <v>882</v>
      </c>
      <c r="E186" s="178" t="s">
        <v>382</v>
      </c>
      <c r="F186" s="210" t="s">
        <v>883</v>
      </c>
      <c r="G186" s="58" t="s">
        <v>884</v>
      </c>
      <c r="H186" s="546">
        <v>26582</v>
      </c>
      <c r="I186" s="66">
        <v>45040</v>
      </c>
      <c r="J186" s="65" t="s">
        <v>885</v>
      </c>
      <c r="K186" s="58"/>
      <c r="L186" s="99"/>
      <c r="M186" s="70" t="s">
        <v>691</v>
      </c>
      <c r="N186" s="97" t="s">
        <v>387</v>
      </c>
      <c r="O186" s="45" t="s">
        <v>150</v>
      </c>
      <c r="P186" s="58" t="s">
        <v>51</v>
      </c>
      <c r="Q186" s="58" t="s">
        <v>20</v>
      </c>
      <c r="R186" s="58" t="s">
        <v>272</v>
      </c>
    </row>
    <row r="187" spans="1:18" ht="69" customHeight="1">
      <c r="A187" s="168"/>
      <c r="B187" s="178">
        <v>1931</v>
      </c>
      <c r="C187" s="178" t="s">
        <v>303</v>
      </c>
      <c r="D187" s="575" t="s">
        <v>886</v>
      </c>
      <c r="E187" s="178" t="s">
        <v>305</v>
      </c>
      <c r="F187" s="210" t="s">
        <v>887</v>
      </c>
      <c r="G187" s="58"/>
      <c r="H187" s="546">
        <v>10000</v>
      </c>
      <c r="I187" s="66">
        <v>44413</v>
      </c>
      <c r="J187" s="65" t="s">
        <v>888</v>
      </c>
      <c r="K187" s="58"/>
      <c r="L187" s="99"/>
      <c r="M187" s="70" t="s">
        <v>889</v>
      </c>
      <c r="N187" s="97" t="s">
        <v>270</v>
      </c>
      <c r="O187" s="58"/>
      <c r="P187" s="58" t="s">
        <v>44</v>
      </c>
      <c r="Q187" s="58" t="s">
        <v>23</v>
      </c>
      <c r="R187" s="58" t="s">
        <v>272</v>
      </c>
    </row>
    <row r="188" spans="1:18" ht="69" customHeight="1">
      <c r="A188" s="168"/>
      <c r="B188" s="178">
        <v>1965</v>
      </c>
      <c r="C188" s="178" t="s">
        <v>259</v>
      </c>
      <c r="D188" s="575" t="s">
        <v>96</v>
      </c>
      <c r="E188" s="178" t="s">
        <v>260</v>
      </c>
      <c r="F188" s="210" t="s">
        <v>890</v>
      </c>
      <c r="G188" s="575" t="s">
        <v>96</v>
      </c>
      <c r="H188" s="546">
        <v>41000</v>
      </c>
      <c r="I188" s="66">
        <v>44425</v>
      </c>
      <c r="J188" s="65" t="s">
        <v>891</v>
      </c>
      <c r="K188" s="58" t="s">
        <v>892</v>
      </c>
      <c r="L188" s="99"/>
      <c r="M188" s="70" t="s">
        <v>893</v>
      </c>
      <c r="N188" s="97" t="s">
        <v>264</v>
      </c>
      <c r="O188" s="58" t="s">
        <v>141</v>
      </c>
      <c r="P188" s="58" t="s">
        <v>17</v>
      </c>
      <c r="Q188" s="58" t="s">
        <v>23</v>
      </c>
      <c r="R188" s="58" t="s">
        <v>265</v>
      </c>
    </row>
    <row r="189" spans="1:18" ht="69" customHeight="1">
      <c r="A189" s="168"/>
      <c r="B189" s="178">
        <v>2064</v>
      </c>
      <c r="C189" s="178" t="s">
        <v>259</v>
      </c>
      <c r="D189" s="575" t="s">
        <v>96</v>
      </c>
      <c r="E189" s="178" t="s">
        <v>266</v>
      </c>
      <c r="F189" s="210" t="s">
        <v>894</v>
      </c>
      <c r="G189" s="575" t="s">
        <v>96</v>
      </c>
      <c r="H189" s="546">
        <v>10496.25</v>
      </c>
      <c r="I189" s="66">
        <v>44438</v>
      </c>
      <c r="J189" s="65" t="s">
        <v>268</v>
      </c>
      <c r="K189" s="58"/>
      <c r="L189" s="99"/>
      <c r="M189" s="70" t="s">
        <v>889</v>
      </c>
      <c r="N189" s="97" t="s">
        <v>270</v>
      </c>
      <c r="O189" s="58"/>
      <c r="P189" s="58" t="s">
        <v>44</v>
      </c>
      <c r="Q189" s="58" t="s">
        <v>23</v>
      </c>
      <c r="R189" s="58" t="s">
        <v>272</v>
      </c>
    </row>
    <row r="190" spans="1:18" ht="69" customHeight="1">
      <c r="A190" s="168"/>
      <c r="B190" s="178">
        <v>2067</v>
      </c>
      <c r="C190" s="178" t="s">
        <v>259</v>
      </c>
      <c r="D190" s="575" t="s">
        <v>96</v>
      </c>
      <c r="E190" s="178" t="s">
        <v>266</v>
      </c>
      <c r="F190" s="210" t="s">
        <v>895</v>
      </c>
      <c r="G190" s="575" t="s">
        <v>96</v>
      </c>
      <c r="H190" s="546">
        <v>11551.75</v>
      </c>
      <c r="I190" s="66">
        <v>44438</v>
      </c>
      <c r="J190" s="65" t="s">
        <v>268</v>
      </c>
      <c r="K190" s="58"/>
      <c r="L190" s="99"/>
      <c r="M190" s="70" t="s">
        <v>889</v>
      </c>
      <c r="N190" s="97" t="s">
        <v>270</v>
      </c>
      <c r="O190" s="58"/>
      <c r="P190" s="58" t="s">
        <v>44</v>
      </c>
      <c r="Q190" s="58" t="s">
        <v>23</v>
      </c>
      <c r="R190" s="58" t="s">
        <v>272</v>
      </c>
    </row>
    <row r="191" spans="1:18" ht="69" customHeight="1">
      <c r="A191" s="168"/>
      <c r="B191" s="178">
        <v>2201</v>
      </c>
      <c r="C191" s="178" t="s">
        <v>259</v>
      </c>
      <c r="D191" s="575"/>
      <c r="E191" s="178" t="s">
        <v>260</v>
      </c>
      <c r="F191" s="210" t="s">
        <v>890</v>
      </c>
      <c r="G191" s="575" t="s">
        <v>96</v>
      </c>
      <c r="H191" s="546">
        <v>41000</v>
      </c>
      <c r="I191" s="66">
        <v>44468</v>
      </c>
      <c r="J191" s="65" t="s">
        <v>896</v>
      </c>
      <c r="K191" s="58" t="s">
        <v>892</v>
      </c>
      <c r="L191" s="99"/>
      <c r="M191" s="70" t="s">
        <v>893</v>
      </c>
      <c r="N191" s="97" t="s">
        <v>264</v>
      </c>
      <c r="O191" s="58" t="s">
        <v>141</v>
      </c>
      <c r="P191" s="58" t="s">
        <v>17</v>
      </c>
      <c r="Q191" s="58" t="s">
        <v>23</v>
      </c>
      <c r="R191" s="58" t="s">
        <v>265</v>
      </c>
    </row>
    <row r="192" spans="1:18" ht="69" customHeight="1">
      <c r="A192" s="168"/>
      <c r="B192" s="178">
        <v>2120</v>
      </c>
      <c r="C192" s="178" t="s">
        <v>259</v>
      </c>
      <c r="D192" s="575"/>
      <c r="E192" s="178" t="s">
        <v>266</v>
      </c>
      <c r="F192" s="210" t="s">
        <v>897</v>
      </c>
      <c r="G192" s="575" t="s">
        <v>96</v>
      </c>
      <c r="H192" s="546">
        <v>8397</v>
      </c>
      <c r="I192" s="66">
        <v>44455</v>
      </c>
      <c r="J192" s="65" t="s">
        <v>281</v>
      </c>
      <c r="K192" s="58"/>
      <c r="L192" s="99"/>
      <c r="M192" s="70" t="s">
        <v>889</v>
      </c>
      <c r="N192" s="97" t="s">
        <v>270</v>
      </c>
      <c r="O192" s="58"/>
      <c r="P192" s="58" t="s">
        <v>44</v>
      </c>
      <c r="Q192" s="58" t="s">
        <v>23</v>
      </c>
      <c r="R192" s="58" t="s">
        <v>272</v>
      </c>
    </row>
    <row r="193" spans="1:18" ht="69" customHeight="1">
      <c r="A193" s="168"/>
      <c r="B193" s="178">
        <v>2123</v>
      </c>
      <c r="C193" s="178" t="s">
        <v>259</v>
      </c>
      <c r="D193" s="575"/>
      <c r="E193" s="178" t="s">
        <v>266</v>
      </c>
      <c r="F193" s="210" t="s">
        <v>898</v>
      </c>
      <c r="G193" s="575" t="s">
        <v>96</v>
      </c>
      <c r="H193" s="546">
        <v>9241.4</v>
      </c>
      <c r="I193" s="66">
        <v>44455</v>
      </c>
      <c r="J193" s="65" t="s">
        <v>281</v>
      </c>
      <c r="K193" s="58"/>
      <c r="L193" s="99"/>
      <c r="M193" s="70" t="s">
        <v>889</v>
      </c>
      <c r="N193" s="97" t="s">
        <v>270</v>
      </c>
      <c r="O193" s="58"/>
      <c r="P193" s="58" t="s">
        <v>44</v>
      </c>
      <c r="Q193" s="58" t="s">
        <v>23</v>
      </c>
      <c r="R193" s="58" t="s">
        <v>272</v>
      </c>
    </row>
    <row r="194" spans="1:18" ht="69" customHeight="1">
      <c r="A194" s="168"/>
      <c r="B194" s="178">
        <v>2351</v>
      </c>
      <c r="C194" s="178" t="s">
        <v>259</v>
      </c>
      <c r="D194" s="575"/>
      <c r="E194" s="178" t="s">
        <v>283</v>
      </c>
      <c r="F194" s="210" t="s">
        <v>899</v>
      </c>
      <c r="G194" s="575" t="s">
        <v>96</v>
      </c>
      <c r="H194" s="546">
        <v>41000</v>
      </c>
      <c r="I194" s="66">
        <v>44489</v>
      </c>
      <c r="J194" s="65" t="s">
        <v>285</v>
      </c>
      <c r="K194" s="58" t="s">
        <v>892</v>
      </c>
      <c r="L194" s="99"/>
      <c r="M194" s="70" t="s">
        <v>900</v>
      </c>
      <c r="N194" s="97" t="s">
        <v>264</v>
      </c>
      <c r="O194" s="58" t="s">
        <v>141</v>
      </c>
      <c r="P194" s="58" t="s">
        <v>17</v>
      </c>
      <c r="Q194" s="58" t="s">
        <v>23</v>
      </c>
      <c r="R194" s="58" t="s">
        <v>272</v>
      </c>
    </row>
    <row r="195" spans="1:18" ht="69" customHeight="1">
      <c r="A195" s="168"/>
      <c r="B195" s="178"/>
      <c r="C195" s="178" t="s">
        <v>259</v>
      </c>
      <c r="D195" s="575"/>
      <c r="E195" s="178" t="s">
        <v>266</v>
      </c>
      <c r="F195" s="210" t="s">
        <v>901</v>
      </c>
      <c r="G195" s="575" t="s">
        <v>96</v>
      </c>
      <c r="H195" s="546">
        <v>246.61</v>
      </c>
      <c r="I195" s="66">
        <v>44489</v>
      </c>
      <c r="J195" s="65" t="s">
        <v>902</v>
      </c>
      <c r="K195" s="58"/>
      <c r="L195" s="99"/>
      <c r="M195" s="70" t="s">
        <v>889</v>
      </c>
      <c r="N195" s="97" t="s">
        <v>270</v>
      </c>
      <c r="O195" s="58"/>
      <c r="P195" s="58" t="s">
        <v>44</v>
      </c>
      <c r="Q195" s="58" t="s">
        <v>23</v>
      </c>
      <c r="R195" s="58" t="s">
        <v>272</v>
      </c>
    </row>
    <row r="196" spans="1:18" ht="69" customHeight="1">
      <c r="A196" s="168"/>
      <c r="B196" s="178"/>
      <c r="C196" s="178" t="s">
        <v>259</v>
      </c>
      <c r="D196" s="575"/>
      <c r="E196" s="178" t="s">
        <v>266</v>
      </c>
      <c r="F196" s="210" t="s">
        <v>903</v>
      </c>
      <c r="G196" s="575" t="s">
        <v>96</v>
      </c>
      <c r="H196" s="546">
        <v>608.13</v>
      </c>
      <c r="I196" s="66">
        <v>44489</v>
      </c>
      <c r="J196" s="65" t="s">
        <v>904</v>
      </c>
      <c r="K196" s="58"/>
      <c r="L196" s="99"/>
      <c r="M196" s="70" t="s">
        <v>889</v>
      </c>
      <c r="N196" s="97" t="s">
        <v>270</v>
      </c>
      <c r="O196" s="58"/>
      <c r="P196" s="58" t="s">
        <v>44</v>
      </c>
      <c r="Q196" s="58" t="s">
        <v>23</v>
      </c>
      <c r="R196" s="58" t="s">
        <v>272</v>
      </c>
    </row>
    <row r="197" spans="1:18" ht="69" customHeight="1">
      <c r="A197" s="168"/>
      <c r="B197" s="178"/>
      <c r="C197" s="178" t="s">
        <v>259</v>
      </c>
      <c r="D197" s="575"/>
      <c r="E197" s="178" t="s">
        <v>266</v>
      </c>
      <c r="F197" s="210" t="s">
        <v>905</v>
      </c>
      <c r="G197" s="575" t="s">
        <v>96</v>
      </c>
      <c r="H197" s="546">
        <v>532.44000000000005</v>
      </c>
      <c r="I197" s="66">
        <v>44489</v>
      </c>
      <c r="J197" s="65" t="s">
        <v>906</v>
      </c>
      <c r="K197" s="58"/>
      <c r="L197" s="99"/>
      <c r="M197" s="70" t="s">
        <v>889</v>
      </c>
      <c r="N197" s="97" t="s">
        <v>270</v>
      </c>
      <c r="O197" s="58"/>
      <c r="P197" s="58" t="s">
        <v>44</v>
      </c>
      <c r="Q197" s="58" t="s">
        <v>23</v>
      </c>
      <c r="R197" s="58" t="s">
        <v>272</v>
      </c>
    </row>
    <row r="198" spans="1:18" ht="69" customHeight="1">
      <c r="A198" s="168"/>
      <c r="B198" s="178">
        <v>2375</v>
      </c>
      <c r="C198" s="178" t="s">
        <v>259</v>
      </c>
      <c r="D198" s="575" t="s">
        <v>907</v>
      </c>
      <c r="E198" s="178" t="s">
        <v>283</v>
      </c>
      <c r="F198" s="210" t="s">
        <v>908</v>
      </c>
      <c r="G198" s="575" t="s">
        <v>96</v>
      </c>
      <c r="H198" s="546">
        <v>55400</v>
      </c>
      <c r="I198" s="66">
        <v>44524</v>
      </c>
      <c r="J198" s="65" t="s">
        <v>909</v>
      </c>
      <c r="K198" s="58" t="s">
        <v>892</v>
      </c>
      <c r="L198" s="99"/>
      <c r="M198" s="70" t="s">
        <v>900</v>
      </c>
      <c r="N198" s="97" t="s">
        <v>264</v>
      </c>
      <c r="O198" s="58" t="s">
        <v>141</v>
      </c>
      <c r="P198" s="58" t="s">
        <v>17</v>
      </c>
      <c r="Q198" s="58" t="s">
        <v>23</v>
      </c>
      <c r="R198" s="58" t="s">
        <v>272</v>
      </c>
    </row>
    <row r="199" spans="1:18" ht="69" customHeight="1">
      <c r="A199" s="168"/>
      <c r="B199" s="178">
        <v>2413</v>
      </c>
      <c r="C199" s="178" t="s">
        <v>259</v>
      </c>
      <c r="D199" s="575"/>
      <c r="E199" s="178" t="s">
        <v>266</v>
      </c>
      <c r="F199" s="210" t="s">
        <v>910</v>
      </c>
      <c r="G199" s="575" t="s">
        <v>96</v>
      </c>
      <c r="H199" s="546">
        <v>118.85</v>
      </c>
      <c r="I199" s="66">
        <v>44498</v>
      </c>
      <c r="J199" s="65" t="s">
        <v>911</v>
      </c>
      <c r="K199" s="58"/>
      <c r="L199" s="99"/>
      <c r="M199" s="70" t="s">
        <v>889</v>
      </c>
      <c r="N199" s="97" t="s">
        <v>270</v>
      </c>
      <c r="O199" s="58"/>
      <c r="P199" s="58" t="s">
        <v>44</v>
      </c>
      <c r="Q199" s="58" t="s">
        <v>23</v>
      </c>
      <c r="R199" s="58" t="s">
        <v>272</v>
      </c>
    </row>
    <row r="200" spans="1:18" ht="69" customHeight="1">
      <c r="A200" s="168"/>
      <c r="B200" s="178">
        <v>2414</v>
      </c>
      <c r="C200" s="178" t="s">
        <v>259</v>
      </c>
      <c r="D200" s="575"/>
      <c r="E200" s="178" t="s">
        <v>266</v>
      </c>
      <c r="F200" s="210" t="s">
        <v>912</v>
      </c>
      <c r="G200" s="575" t="s">
        <v>96</v>
      </c>
      <c r="H200" s="546">
        <v>728.25</v>
      </c>
      <c r="I200" s="66">
        <v>44498</v>
      </c>
      <c r="J200" s="65" t="s">
        <v>913</v>
      </c>
      <c r="K200" s="58"/>
      <c r="L200" s="99"/>
      <c r="M200" s="70" t="s">
        <v>889</v>
      </c>
      <c r="N200" s="97" t="s">
        <v>270</v>
      </c>
      <c r="O200" s="58"/>
      <c r="P200" s="58" t="s">
        <v>44</v>
      </c>
      <c r="Q200" s="58" t="s">
        <v>23</v>
      </c>
      <c r="R200" s="58" t="s">
        <v>272</v>
      </c>
    </row>
    <row r="201" spans="1:18" ht="69" customHeight="1">
      <c r="A201" s="168"/>
      <c r="B201" s="178">
        <v>2415</v>
      </c>
      <c r="C201" s="178" t="s">
        <v>259</v>
      </c>
      <c r="D201" s="575"/>
      <c r="E201" s="178" t="s">
        <v>266</v>
      </c>
      <c r="F201" s="210" t="s">
        <v>914</v>
      </c>
      <c r="G201" s="575" t="s">
        <v>96</v>
      </c>
      <c r="H201" s="546">
        <v>496.94</v>
      </c>
      <c r="I201" s="66">
        <v>44498</v>
      </c>
      <c r="J201" s="65" t="s">
        <v>915</v>
      </c>
      <c r="K201" s="58"/>
      <c r="L201" s="99"/>
      <c r="M201" s="70" t="s">
        <v>889</v>
      </c>
      <c r="N201" s="97" t="s">
        <v>270</v>
      </c>
      <c r="O201" s="58"/>
      <c r="P201" s="58" t="s">
        <v>44</v>
      </c>
      <c r="Q201" s="58" t="s">
        <v>23</v>
      </c>
      <c r="R201" s="58" t="s">
        <v>272</v>
      </c>
    </row>
    <row r="202" spans="1:18" ht="69" customHeight="1">
      <c r="A202" s="168"/>
      <c r="B202" s="178">
        <v>2435</v>
      </c>
      <c r="C202" s="178" t="s">
        <v>259</v>
      </c>
      <c r="D202" s="575"/>
      <c r="E202" s="178" t="s">
        <v>266</v>
      </c>
      <c r="F202" s="210" t="s">
        <v>916</v>
      </c>
      <c r="G202" s="575" t="s">
        <v>96</v>
      </c>
      <c r="H202" s="546">
        <v>1056.9000000000001</v>
      </c>
      <c r="I202" s="66">
        <v>44505</v>
      </c>
      <c r="J202" s="65" t="s">
        <v>917</v>
      </c>
      <c r="K202" s="58"/>
      <c r="L202" s="99"/>
      <c r="M202" s="70" t="s">
        <v>889</v>
      </c>
      <c r="N202" s="97" t="s">
        <v>270</v>
      </c>
      <c r="O202" s="58"/>
      <c r="P202" s="58" t="s">
        <v>44</v>
      </c>
      <c r="Q202" s="58" t="s">
        <v>23</v>
      </c>
      <c r="R202" s="58" t="s">
        <v>272</v>
      </c>
    </row>
    <row r="203" spans="1:18" ht="69" customHeight="1">
      <c r="A203" s="168"/>
      <c r="B203" s="178">
        <v>2436</v>
      </c>
      <c r="C203" s="178" t="s">
        <v>259</v>
      </c>
      <c r="D203" s="575"/>
      <c r="E203" s="178" t="s">
        <v>266</v>
      </c>
      <c r="F203" s="210" t="s">
        <v>918</v>
      </c>
      <c r="G203" s="575" t="s">
        <v>96</v>
      </c>
      <c r="H203" s="546">
        <v>390.25</v>
      </c>
      <c r="I203" s="66">
        <v>44505</v>
      </c>
      <c r="J203" s="65" t="s">
        <v>919</v>
      </c>
      <c r="K203" s="58"/>
      <c r="L203" s="99"/>
      <c r="M203" s="70" t="s">
        <v>889</v>
      </c>
      <c r="N203" s="97" t="s">
        <v>270</v>
      </c>
      <c r="O203" s="58"/>
      <c r="P203" s="58" t="s">
        <v>44</v>
      </c>
      <c r="Q203" s="58" t="s">
        <v>23</v>
      </c>
      <c r="R203" s="58" t="s">
        <v>272</v>
      </c>
    </row>
    <row r="204" spans="1:18" ht="69" customHeight="1">
      <c r="A204" s="168"/>
      <c r="B204" s="178">
        <v>2472</v>
      </c>
      <c r="C204" s="178" t="s">
        <v>309</v>
      </c>
      <c r="D204" s="575" t="s">
        <v>920</v>
      </c>
      <c r="E204" s="178" t="s">
        <v>921</v>
      </c>
      <c r="F204" s="210" t="s">
        <v>922</v>
      </c>
      <c r="G204" s="575" t="s">
        <v>96</v>
      </c>
      <c r="H204" s="546">
        <v>32106.38</v>
      </c>
      <c r="I204" s="66">
        <v>44531</v>
      </c>
      <c r="J204" s="65" t="s">
        <v>923</v>
      </c>
      <c r="K204" s="58" t="s">
        <v>924</v>
      </c>
      <c r="L204" s="99"/>
      <c r="M204" s="70" t="s">
        <v>925</v>
      </c>
      <c r="N204" s="97" t="s">
        <v>356</v>
      </c>
      <c r="O204" s="58" t="s">
        <v>156</v>
      </c>
      <c r="P204" s="58" t="s">
        <v>19</v>
      </c>
      <c r="Q204" s="58" t="s">
        <v>23</v>
      </c>
      <c r="R204" s="58" t="s">
        <v>272</v>
      </c>
    </row>
    <row r="205" spans="1:18" ht="69" customHeight="1">
      <c r="A205" s="168"/>
      <c r="B205" s="178">
        <v>2495</v>
      </c>
      <c r="C205" s="178" t="s">
        <v>309</v>
      </c>
      <c r="D205" s="575" t="s">
        <v>926</v>
      </c>
      <c r="E205" s="178" t="s">
        <v>266</v>
      </c>
      <c r="F205" s="210" t="s">
        <v>927</v>
      </c>
      <c r="G205" s="575" t="s">
        <v>96</v>
      </c>
      <c r="H205" s="546">
        <v>8875</v>
      </c>
      <c r="I205" s="66">
        <v>44526</v>
      </c>
      <c r="J205" s="65" t="s">
        <v>928</v>
      </c>
      <c r="K205" s="58"/>
      <c r="L205" s="99"/>
      <c r="M205" s="70" t="s">
        <v>889</v>
      </c>
      <c r="N205" s="97" t="s">
        <v>270</v>
      </c>
      <c r="O205" s="58"/>
      <c r="P205" s="58" t="s">
        <v>44</v>
      </c>
      <c r="Q205" s="58" t="s">
        <v>23</v>
      </c>
      <c r="R205" s="58" t="s">
        <v>272</v>
      </c>
    </row>
    <row r="206" spans="1:18" ht="69" customHeight="1">
      <c r="A206" s="168"/>
      <c r="B206" s="178">
        <v>2532</v>
      </c>
      <c r="C206" s="178" t="s">
        <v>259</v>
      </c>
      <c r="D206" s="575"/>
      <c r="E206" s="178" t="s">
        <v>266</v>
      </c>
      <c r="F206" s="210" t="s">
        <v>929</v>
      </c>
      <c r="G206" s="575" t="s">
        <v>96</v>
      </c>
      <c r="H206" s="546">
        <v>2310.35</v>
      </c>
      <c r="I206" s="66">
        <v>44533</v>
      </c>
      <c r="J206" s="65" t="s">
        <v>930</v>
      </c>
      <c r="K206" s="58"/>
      <c r="L206" s="99"/>
      <c r="M206" s="70" t="s">
        <v>889</v>
      </c>
      <c r="N206" s="97" t="s">
        <v>270</v>
      </c>
      <c r="O206" s="58"/>
      <c r="P206" s="58" t="s">
        <v>44</v>
      </c>
      <c r="Q206" s="58" t="s">
        <v>23</v>
      </c>
      <c r="R206" s="58" t="s">
        <v>272</v>
      </c>
    </row>
    <row r="207" spans="1:18" ht="69" customHeight="1">
      <c r="A207" s="168"/>
      <c r="B207" s="178">
        <v>2530</v>
      </c>
      <c r="C207" s="178" t="s">
        <v>309</v>
      </c>
      <c r="D207" s="575" t="s">
        <v>931</v>
      </c>
      <c r="E207" s="178" t="s">
        <v>266</v>
      </c>
      <c r="F207" s="210" t="s">
        <v>932</v>
      </c>
      <c r="G207" s="575" t="s">
        <v>96</v>
      </c>
      <c r="H207" s="546">
        <v>7100</v>
      </c>
      <c r="I207" s="66">
        <v>44533</v>
      </c>
      <c r="J207" s="65" t="s">
        <v>933</v>
      </c>
      <c r="K207" s="58"/>
      <c r="L207" s="99"/>
      <c r="M207" s="70" t="s">
        <v>889</v>
      </c>
      <c r="N207" s="97" t="s">
        <v>270</v>
      </c>
      <c r="O207" s="58"/>
      <c r="P207" s="58" t="s">
        <v>44</v>
      </c>
      <c r="Q207" s="58" t="s">
        <v>23</v>
      </c>
      <c r="R207" s="58" t="s">
        <v>272</v>
      </c>
    </row>
    <row r="208" spans="1:18" ht="69" customHeight="1">
      <c r="A208" s="168"/>
      <c r="B208" s="178">
        <v>2531</v>
      </c>
      <c r="C208" s="178" t="s">
        <v>309</v>
      </c>
      <c r="D208" s="575" t="s">
        <v>934</v>
      </c>
      <c r="E208" s="178" t="s">
        <v>266</v>
      </c>
      <c r="F208" s="210" t="s">
        <v>935</v>
      </c>
      <c r="G208" s="575" t="s">
        <v>96</v>
      </c>
      <c r="H208" s="546">
        <v>1775</v>
      </c>
      <c r="I208" s="66">
        <v>44533</v>
      </c>
      <c r="J208" s="65" t="s">
        <v>936</v>
      </c>
      <c r="K208" s="58"/>
      <c r="L208" s="99"/>
      <c r="M208" s="70" t="s">
        <v>889</v>
      </c>
      <c r="N208" s="97" t="s">
        <v>270</v>
      </c>
      <c r="O208" s="58"/>
      <c r="P208" s="58" t="s">
        <v>44</v>
      </c>
      <c r="Q208" s="58" t="s">
        <v>23</v>
      </c>
      <c r="R208" s="58" t="s">
        <v>272</v>
      </c>
    </row>
    <row r="209" spans="1:18" ht="69" customHeight="1">
      <c r="A209" s="168"/>
      <c r="B209" s="178">
        <v>2574</v>
      </c>
      <c r="C209" s="178" t="s">
        <v>309</v>
      </c>
      <c r="D209" s="575" t="s">
        <v>937</v>
      </c>
      <c r="E209" s="178" t="s">
        <v>266</v>
      </c>
      <c r="F209" s="210" t="s">
        <v>938</v>
      </c>
      <c r="G209" s="575" t="s">
        <v>96</v>
      </c>
      <c r="H209" s="546">
        <v>5900</v>
      </c>
      <c r="I209" s="66">
        <v>44540</v>
      </c>
      <c r="J209" s="65" t="s">
        <v>939</v>
      </c>
      <c r="K209" s="58"/>
      <c r="L209" s="99"/>
      <c r="M209" s="70" t="s">
        <v>889</v>
      </c>
      <c r="N209" s="97" t="s">
        <v>270</v>
      </c>
      <c r="O209" s="58"/>
      <c r="P209" s="58" t="s">
        <v>44</v>
      </c>
      <c r="Q209" s="58" t="s">
        <v>23</v>
      </c>
      <c r="R209" s="58" t="s">
        <v>272</v>
      </c>
    </row>
    <row r="210" spans="1:18" ht="69" customHeight="1">
      <c r="A210" s="168"/>
      <c r="B210" s="178">
        <v>2740</v>
      </c>
      <c r="C210" s="178" t="s">
        <v>309</v>
      </c>
      <c r="D210" s="575" t="s">
        <v>940</v>
      </c>
      <c r="E210" s="178" t="s">
        <v>305</v>
      </c>
      <c r="F210" s="210" t="s">
        <v>941</v>
      </c>
      <c r="G210" s="575" t="s">
        <v>96</v>
      </c>
      <c r="H210" s="546">
        <v>5000</v>
      </c>
      <c r="I210" s="66">
        <v>44559</v>
      </c>
      <c r="J210" s="65" t="s">
        <v>942</v>
      </c>
      <c r="K210" s="58"/>
      <c r="L210" s="99"/>
      <c r="M210" s="70" t="s">
        <v>889</v>
      </c>
      <c r="N210" s="97" t="s">
        <v>270</v>
      </c>
      <c r="O210" s="58"/>
      <c r="P210" s="58" t="s">
        <v>44</v>
      </c>
      <c r="Q210" s="58" t="s">
        <v>23</v>
      </c>
      <c r="R210" s="58" t="s">
        <v>272</v>
      </c>
    </row>
    <row r="211" spans="1:18" ht="69" customHeight="1">
      <c r="A211" s="168"/>
      <c r="B211" s="178">
        <v>2855</v>
      </c>
      <c r="C211" s="178" t="s">
        <v>309</v>
      </c>
      <c r="D211" s="575" t="s">
        <v>943</v>
      </c>
      <c r="E211" s="178" t="s">
        <v>266</v>
      </c>
      <c r="F211" s="210" t="s">
        <v>944</v>
      </c>
      <c r="G211" s="575" t="s">
        <v>96</v>
      </c>
      <c r="H211" s="546">
        <v>4235.3</v>
      </c>
      <c r="I211" s="66" t="s">
        <v>96</v>
      </c>
      <c r="J211" s="65" t="s">
        <v>945</v>
      </c>
      <c r="K211" s="58"/>
      <c r="L211" s="99"/>
      <c r="M211" s="70" t="s">
        <v>889</v>
      </c>
      <c r="N211" s="97" t="s">
        <v>270</v>
      </c>
      <c r="O211" s="58"/>
      <c r="P211" s="58" t="s">
        <v>44</v>
      </c>
      <c r="Q211" s="58" t="s">
        <v>23</v>
      </c>
      <c r="R211" s="58" t="s">
        <v>272</v>
      </c>
    </row>
    <row r="212" spans="1:18" ht="69" customHeight="1">
      <c r="A212" s="168"/>
      <c r="B212" s="191">
        <v>2963</v>
      </c>
      <c r="C212" s="191" t="s">
        <v>309</v>
      </c>
      <c r="D212" s="533" t="s">
        <v>946</v>
      </c>
      <c r="E212" s="191" t="s">
        <v>331</v>
      </c>
      <c r="F212" s="211" t="s">
        <v>947</v>
      </c>
      <c r="G212" s="533" t="s">
        <v>96</v>
      </c>
      <c r="H212" s="534">
        <v>0</v>
      </c>
      <c r="I212" s="56" t="s">
        <v>96</v>
      </c>
      <c r="J212" s="199" t="s">
        <v>334</v>
      </c>
      <c r="K212" s="46"/>
      <c r="L212" s="99"/>
      <c r="M212" s="70" t="s">
        <v>23</v>
      </c>
      <c r="N212" s="97" t="s">
        <v>69</v>
      </c>
      <c r="O212" s="46"/>
      <c r="P212" s="46" t="s">
        <v>69</v>
      </c>
      <c r="Q212" s="46" t="s">
        <v>23</v>
      </c>
      <c r="R212" s="46" t="s">
        <v>272</v>
      </c>
    </row>
    <row r="213" spans="1:18" ht="69" customHeight="1">
      <c r="A213" s="168"/>
      <c r="B213" s="178">
        <v>3104</v>
      </c>
      <c r="C213" s="178" t="s">
        <v>309</v>
      </c>
      <c r="D213" s="575" t="s">
        <v>948</v>
      </c>
      <c r="E213" s="178" t="s">
        <v>283</v>
      </c>
      <c r="F213" s="210" t="s">
        <v>949</v>
      </c>
      <c r="G213" s="575" t="s">
        <v>96</v>
      </c>
      <c r="H213" s="546">
        <v>83100</v>
      </c>
      <c r="I213" s="66">
        <v>44610</v>
      </c>
      <c r="J213" s="65" t="s">
        <v>950</v>
      </c>
      <c r="K213" s="58" t="s">
        <v>892</v>
      </c>
      <c r="L213" s="99"/>
      <c r="M213" s="70" t="s">
        <v>900</v>
      </c>
      <c r="N213" s="97" t="s">
        <v>264</v>
      </c>
      <c r="O213" s="58" t="s">
        <v>141</v>
      </c>
      <c r="P213" s="58" t="s">
        <v>17</v>
      </c>
      <c r="Q213" s="58" t="s">
        <v>23</v>
      </c>
      <c r="R213" s="58" t="s">
        <v>272</v>
      </c>
    </row>
    <row r="214" spans="1:18" ht="69" customHeight="1">
      <c r="A214" s="168"/>
      <c r="B214" s="178">
        <v>4332</v>
      </c>
      <c r="C214" s="178" t="s">
        <v>309</v>
      </c>
      <c r="D214" s="575" t="s">
        <v>951</v>
      </c>
      <c r="E214" s="178" t="s">
        <v>266</v>
      </c>
      <c r="F214" s="210" t="s">
        <v>952</v>
      </c>
      <c r="G214" s="575" t="s">
        <v>96</v>
      </c>
      <c r="H214" s="546">
        <v>111.55</v>
      </c>
      <c r="I214" s="66">
        <v>44659</v>
      </c>
      <c r="J214" s="65" t="s">
        <v>953</v>
      </c>
      <c r="K214" s="58"/>
      <c r="L214" s="99"/>
      <c r="M214" s="70" t="s">
        <v>889</v>
      </c>
      <c r="N214" s="97" t="s">
        <v>270</v>
      </c>
      <c r="O214" s="58"/>
      <c r="P214" s="58" t="s">
        <v>44</v>
      </c>
      <c r="Q214" s="58" t="s">
        <v>23</v>
      </c>
      <c r="R214" s="58" t="s">
        <v>272</v>
      </c>
    </row>
    <row r="215" spans="1:18" ht="69" customHeight="1">
      <c r="A215" s="168"/>
      <c r="B215" s="178">
        <v>4334</v>
      </c>
      <c r="C215" s="178" t="s">
        <v>309</v>
      </c>
      <c r="D215" s="575" t="s">
        <v>954</v>
      </c>
      <c r="E215" s="178" t="s">
        <v>266</v>
      </c>
      <c r="F215" s="210" t="s">
        <v>955</v>
      </c>
      <c r="G215" s="575" t="s">
        <v>96</v>
      </c>
      <c r="H215" s="546">
        <v>127.41</v>
      </c>
      <c r="I215" s="66">
        <v>44659</v>
      </c>
      <c r="J215" s="65" t="s">
        <v>956</v>
      </c>
      <c r="K215" s="58"/>
      <c r="L215" s="99"/>
      <c r="M215" s="70" t="s">
        <v>889</v>
      </c>
      <c r="N215" s="97" t="s">
        <v>270</v>
      </c>
      <c r="O215" s="58"/>
      <c r="P215" s="58" t="s">
        <v>44</v>
      </c>
      <c r="Q215" s="58" t="s">
        <v>23</v>
      </c>
      <c r="R215" s="58" t="s">
        <v>272</v>
      </c>
    </row>
    <row r="216" spans="1:18" ht="69" customHeight="1">
      <c r="A216" s="168"/>
      <c r="B216" s="178">
        <v>4335</v>
      </c>
      <c r="C216" s="178" t="s">
        <v>309</v>
      </c>
      <c r="D216" s="575" t="s">
        <v>957</v>
      </c>
      <c r="E216" s="178" t="s">
        <v>266</v>
      </c>
      <c r="F216" s="210" t="s">
        <v>958</v>
      </c>
      <c r="G216" s="575" t="s">
        <v>96</v>
      </c>
      <c r="H216" s="546">
        <v>221.42</v>
      </c>
      <c r="I216" s="66">
        <v>44659</v>
      </c>
      <c r="J216" s="65" t="s">
        <v>959</v>
      </c>
      <c r="K216" s="58"/>
      <c r="L216" s="99"/>
      <c r="M216" s="70" t="s">
        <v>889</v>
      </c>
      <c r="N216" s="97" t="s">
        <v>270</v>
      </c>
      <c r="O216" s="58"/>
      <c r="P216" s="58" t="s">
        <v>44</v>
      </c>
      <c r="Q216" s="58" t="s">
        <v>23</v>
      </c>
      <c r="R216" s="58" t="s">
        <v>272</v>
      </c>
    </row>
    <row r="217" spans="1:18" ht="69" customHeight="1">
      <c r="A217" s="168"/>
      <c r="B217" s="178">
        <v>4301</v>
      </c>
      <c r="C217" s="178" t="s">
        <v>309</v>
      </c>
      <c r="D217" s="575" t="s">
        <v>960</v>
      </c>
      <c r="E217" s="178" t="s">
        <v>266</v>
      </c>
      <c r="F217" s="210" t="s">
        <v>961</v>
      </c>
      <c r="G217" s="575" t="s">
        <v>96</v>
      </c>
      <c r="H217" s="546">
        <v>81.75</v>
      </c>
      <c r="I217" s="66">
        <v>44659</v>
      </c>
      <c r="J217" s="65" t="s">
        <v>962</v>
      </c>
      <c r="K217" s="58"/>
      <c r="L217" s="99"/>
      <c r="M217" s="70" t="s">
        <v>889</v>
      </c>
      <c r="N217" s="97" t="s">
        <v>270</v>
      </c>
      <c r="O217" s="58"/>
      <c r="P217" s="58" t="s">
        <v>44</v>
      </c>
      <c r="Q217" s="58" t="s">
        <v>23</v>
      </c>
      <c r="R217" s="58" t="s">
        <v>272</v>
      </c>
    </row>
    <row r="218" spans="1:18" ht="69" customHeight="1">
      <c r="A218" s="168"/>
      <c r="B218" s="178">
        <v>4333</v>
      </c>
      <c r="C218" s="178" t="s">
        <v>309</v>
      </c>
      <c r="D218" s="575" t="s">
        <v>963</v>
      </c>
      <c r="E218" s="178" t="s">
        <v>266</v>
      </c>
      <c r="F218" s="210" t="s">
        <v>964</v>
      </c>
      <c r="G218" s="575" t="s">
        <v>96</v>
      </c>
      <c r="H218" s="546">
        <v>51.67</v>
      </c>
      <c r="I218" s="66">
        <v>44659</v>
      </c>
      <c r="J218" s="65" t="s">
        <v>965</v>
      </c>
      <c r="K218" s="58"/>
      <c r="L218" s="99"/>
      <c r="M218" s="70" t="s">
        <v>889</v>
      </c>
      <c r="N218" s="97" t="s">
        <v>270</v>
      </c>
      <c r="O218" s="58"/>
      <c r="P218" s="58" t="s">
        <v>44</v>
      </c>
      <c r="Q218" s="58" t="s">
        <v>23</v>
      </c>
      <c r="R218" s="58" t="s">
        <v>272</v>
      </c>
    </row>
    <row r="219" spans="1:18" ht="69" customHeight="1">
      <c r="A219" s="168"/>
      <c r="B219" s="178">
        <v>4306</v>
      </c>
      <c r="C219" s="178" t="s">
        <v>309</v>
      </c>
      <c r="D219" s="575" t="s">
        <v>966</v>
      </c>
      <c r="E219" s="178" t="s">
        <v>266</v>
      </c>
      <c r="F219" s="210" t="s">
        <v>967</v>
      </c>
      <c r="G219" s="575" t="s">
        <v>96</v>
      </c>
      <c r="H219" s="546">
        <v>7293.34</v>
      </c>
      <c r="I219" s="66">
        <v>44664</v>
      </c>
      <c r="J219" s="65" t="s">
        <v>968</v>
      </c>
      <c r="K219" s="58"/>
      <c r="L219" s="99"/>
      <c r="M219" s="70" t="s">
        <v>969</v>
      </c>
      <c r="N219" s="97" t="s">
        <v>970</v>
      </c>
      <c r="O219" s="58" t="s">
        <v>971</v>
      </c>
      <c r="P219" s="58" t="s">
        <v>38</v>
      </c>
      <c r="Q219" s="58" t="s">
        <v>23</v>
      </c>
      <c r="R219" s="58" t="s">
        <v>272</v>
      </c>
    </row>
    <row r="220" spans="1:18" ht="69" customHeight="1">
      <c r="A220" s="168"/>
      <c r="B220" s="178">
        <v>4635</v>
      </c>
      <c r="C220" s="178" t="s">
        <v>309</v>
      </c>
      <c r="D220" s="575" t="s">
        <v>972</v>
      </c>
      <c r="E220" s="178" t="s">
        <v>283</v>
      </c>
      <c r="F220" s="210" t="s">
        <v>973</v>
      </c>
      <c r="G220" s="575" t="s">
        <v>96</v>
      </c>
      <c r="H220" s="546">
        <v>81875</v>
      </c>
      <c r="I220" s="66">
        <v>44676</v>
      </c>
      <c r="J220" s="65" t="s">
        <v>974</v>
      </c>
      <c r="K220" s="58" t="s">
        <v>892</v>
      </c>
      <c r="L220" s="99"/>
      <c r="M220" s="70" t="s">
        <v>900</v>
      </c>
      <c r="N220" s="97" t="s">
        <v>264</v>
      </c>
      <c r="O220" s="58" t="s">
        <v>141</v>
      </c>
      <c r="P220" s="58" t="s">
        <v>17</v>
      </c>
      <c r="Q220" s="58" t="s">
        <v>23</v>
      </c>
      <c r="R220" s="58" t="s">
        <v>272</v>
      </c>
    </row>
    <row r="221" spans="1:18" ht="69" customHeight="1">
      <c r="A221" s="168"/>
      <c r="B221" s="178">
        <v>4697</v>
      </c>
      <c r="C221" s="178" t="s">
        <v>309</v>
      </c>
      <c r="D221" s="575" t="s">
        <v>975</v>
      </c>
      <c r="E221" s="178" t="s">
        <v>331</v>
      </c>
      <c r="F221" s="210" t="s">
        <v>976</v>
      </c>
      <c r="G221" s="575" t="s">
        <v>96</v>
      </c>
      <c r="H221" s="546">
        <v>2635.98</v>
      </c>
      <c r="I221" s="66">
        <v>44678</v>
      </c>
      <c r="J221" s="65" t="s">
        <v>977</v>
      </c>
      <c r="K221" s="58"/>
      <c r="L221" s="99"/>
      <c r="M221" s="70" t="s">
        <v>889</v>
      </c>
      <c r="N221" s="97" t="s">
        <v>270</v>
      </c>
      <c r="O221" s="58"/>
      <c r="P221" s="58" t="s">
        <v>44</v>
      </c>
      <c r="Q221" s="58" t="s">
        <v>23</v>
      </c>
      <c r="R221" s="58" t="s">
        <v>272</v>
      </c>
    </row>
    <row r="222" spans="1:18" ht="69" customHeight="1">
      <c r="A222" s="168"/>
      <c r="B222" s="178">
        <v>4785</v>
      </c>
      <c r="C222" s="178" t="s">
        <v>309</v>
      </c>
      <c r="D222" s="575" t="s">
        <v>978</v>
      </c>
      <c r="E222" s="178" t="s">
        <v>979</v>
      </c>
      <c r="F222" s="210" t="s">
        <v>980</v>
      </c>
      <c r="G222" s="575" t="s">
        <v>96</v>
      </c>
      <c r="H222" s="546">
        <v>9000</v>
      </c>
      <c r="I222" s="66">
        <v>44683</v>
      </c>
      <c r="J222" s="65" t="s">
        <v>981</v>
      </c>
      <c r="K222" s="58" t="s">
        <v>924</v>
      </c>
      <c r="L222" s="99"/>
      <c r="M222" s="70" t="s">
        <v>982</v>
      </c>
      <c r="N222" s="97" t="s">
        <v>356</v>
      </c>
      <c r="O222" s="58" t="s">
        <v>156</v>
      </c>
      <c r="P222" s="58" t="s">
        <v>19</v>
      </c>
      <c r="Q222" s="58" t="s">
        <v>23</v>
      </c>
      <c r="R222" s="58" t="s">
        <v>265</v>
      </c>
    </row>
    <row r="223" spans="1:18" ht="69" customHeight="1">
      <c r="A223" s="168"/>
      <c r="B223" s="178">
        <v>4786</v>
      </c>
      <c r="C223" s="178" t="s">
        <v>309</v>
      </c>
      <c r="D223" s="575" t="s">
        <v>983</v>
      </c>
      <c r="E223" s="178" t="s">
        <v>979</v>
      </c>
      <c r="F223" s="210" t="s">
        <v>984</v>
      </c>
      <c r="G223" s="575" t="s">
        <v>96</v>
      </c>
      <c r="H223" s="546">
        <v>28000</v>
      </c>
      <c r="I223" s="66">
        <v>44683</v>
      </c>
      <c r="J223" s="65" t="s">
        <v>985</v>
      </c>
      <c r="K223" s="58" t="s">
        <v>924</v>
      </c>
      <c r="L223" s="99"/>
      <c r="M223" s="70" t="s">
        <v>982</v>
      </c>
      <c r="N223" s="97" t="s">
        <v>356</v>
      </c>
      <c r="O223" s="58" t="s">
        <v>156</v>
      </c>
      <c r="P223" s="58" t="s">
        <v>19</v>
      </c>
      <c r="Q223" s="58" t="s">
        <v>23</v>
      </c>
      <c r="R223" s="58" t="s">
        <v>265</v>
      </c>
    </row>
    <row r="224" spans="1:18" ht="69" customHeight="1">
      <c r="A224" s="168"/>
      <c r="B224" s="178">
        <v>4787</v>
      </c>
      <c r="C224" s="178" t="s">
        <v>309</v>
      </c>
      <c r="D224" s="575" t="s">
        <v>986</v>
      </c>
      <c r="E224" s="178" t="s">
        <v>979</v>
      </c>
      <c r="F224" s="210" t="s">
        <v>987</v>
      </c>
      <c r="G224" s="575" t="s">
        <v>96</v>
      </c>
      <c r="H224" s="546">
        <v>397857.39</v>
      </c>
      <c r="I224" s="66">
        <v>44683</v>
      </c>
      <c r="J224" s="65" t="s">
        <v>988</v>
      </c>
      <c r="K224" s="58" t="s">
        <v>924</v>
      </c>
      <c r="L224" s="99"/>
      <c r="M224" s="70" t="s">
        <v>982</v>
      </c>
      <c r="N224" s="97" t="s">
        <v>356</v>
      </c>
      <c r="O224" s="58" t="s">
        <v>156</v>
      </c>
      <c r="P224" s="58" t="s">
        <v>19</v>
      </c>
      <c r="Q224" s="58" t="s">
        <v>23</v>
      </c>
      <c r="R224" s="58" t="s">
        <v>265</v>
      </c>
    </row>
    <row r="225" spans="1:18" ht="69" customHeight="1">
      <c r="A225" s="168"/>
      <c r="B225" s="178">
        <v>4195</v>
      </c>
      <c r="C225" s="178" t="s">
        <v>309</v>
      </c>
      <c r="D225" s="575" t="s">
        <v>989</v>
      </c>
      <c r="E225" s="178" t="s">
        <v>266</v>
      </c>
      <c r="F225" s="210" t="s">
        <v>990</v>
      </c>
      <c r="G225" s="575" t="s">
        <v>96</v>
      </c>
      <c r="H225" s="546">
        <v>2764.73</v>
      </c>
      <c r="I225" s="66">
        <v>44697</v>
      </c>
      <c r="J225" s="65" t="s">
        <v>991</v>
      </c>
      <c r="K225" s="58"/>
      <c r="L225" s="99"/>
      <c r="M225" s="70" t="s">
        <v>889</v>
      </c>
      <c r="N225" s="97" t="s">
        <v>270</v>
      </c>
      <c r="O225" s="58"/>
      <c r="P225" s="58" t="s">
        <v>44</v>
      </c>
      <c r="Q225" s="58" t="s">
        <v>23</v>
      </c>
      <c r="R225" s="58" t="s">
        <v>272</v>
      </c>
    </row>
    <row r="226" spans="1:18" ht="69" customHeight="1">
      <c r="A226" s="168"/>
      <c r="B226" s="178">
        <v>4856</v>
      </c>
      <c r="C226" s="178" t="s">
        <v>309</v>
      </c>
      <c r="D226" s="575" t="s">
        <v>992</v>
      </c>
      <c r="E226" s="178" t="s">
        <v>979</v>
      </c>
      <c r="F226" s="210" t="s">
        <v>993</v>
      </c>
      <c r="G226" s="575" t="s">
        <v>96</v>
      </c>
      <c r="H226" s="546">
        <v>17478.349999999999</v>
      </c>
      <c r="I226" s="66">
        <v>44699</v>
      </c>
      <c r="J226" s="65" t="s">
        <v>994</v>
      </c>
      <c r="K226" s="58" t="s">
        <v>924</v>
      </c>
      <c r="L226" s="99"/>
      <c r="M226" s="70" t="s">
        <v>982</v>
      </c>
      <c r="N226" s="97" t="s">
        <v>356</v>
      </c>
      <c r="O226" s="58" t="s">
        <v>156</v>
      </c>
      <c r="P226" s="58" t="s">
        <v>19</v>
      </c>
      <c r="Q226" s="58" t="s">
        <v>23</v>
      </c>
      <c r="R226" s="58" t="s">
        <v>265</v>
      </c>
    </row>
    <row r="227" spans="1:18" ht="69" customHeight="1">
      <c r="A227" s="168"/>
      <c r="B227" s="178">
        <v>4871</v>
      </c>
      <c r="C227" s="178" t="s">
        <v>309</v>
      </c>
      <c r="D227" s="575" t="s">
        <v>995</v>
      </c>
      <c r="E227" s="178" t="s">
        <v>266</v>
      </c>
      <c r="F227" s="210" t="s">
        <v>996</v>
      </c>
      <c r="G227" s="575" t="s">
        <v>96</v>
      </c>
      <c r="H227" s="546">
        <v>6206.9</v>
      </c>
      <c r="I227" s="66">
        <v>44706</v>
      </c>
      <c r="J227" s="65" t="s">
        <v>997</v>
      </c>
      <c r="K227" s="58"/>
      <c r="L227" s="99"/>
      <c r="M227" s="70" t="s">
        <v>998</v>
      </c>
      <c r="N227" s="97" t="s">
        <v>683</v>
      </c>
      <c r="O227" s="58" t="s">
        <v>684</v>
      </c>
      <c r="P227" s="58" t="s">
        <v>46</v>
      </c>
      <c r="Q227" s="58" t="s">
        <v>23</v>
      </c>
      <c r="R227" s="58" t="s">
        <v>272</v>
      </c>
    </row>
    <row r="228" spans="1:18" ht="69" customHeight="1">
      <c r="A228" s="168"/>
      <c r="B228" s="178">
        <v>4697</v>
      </c>
      <c r="C228" s="178" t="s">
        <v>309</v>
      </c>
      <c r="D228" s="575" t="s">
        <v>999</v>
      </c>
      <c r="E228" s="178" t="s">
        <v>331</v>
      </c>
      <c r="F228" s="210" t="s">
        <v>1000</v>
      </c>
      <c r="G228" s="575" t="s">
        <v>96</v>
      </c>
      <c r="H228" s="546">
        <v>23723.850000000002</v>
      </c>
      <c r="I228" s="66">
        <v>44701</v>
      </c>
      <c r="J228" s="65" t="s">
        <v>1001</v>
      </c>
      <c r="K228" s="58"/>
      <c r="L228" s="99"/>
      <c r="M228" s="70" t="s">
        <v>889</v>
      </c>
      <c r="N228" s="97" t="s">
        <v>270</v>
      </c>
      <c r="O228" s="58"/>
      <c r="P228" s="58" t="s">
        <v>44</v>
      </c>
      <c r="Q228" s="58" t="s">
        <v>23</v>
      </c>
      <c r="R228" s="58" t="s">
        <v>272</v>
      </c>
    </row>
    <row r="229" spans="1:18" ht="69" customHeight="1">
      <c r="A229" s="168"/>
      <c r="B229" s="178">
        <v>4306</v>
      </c>
      <c r="C229" s="178" t="s">
        <v>309</v>
      </c>
      <c r="D229" s="575" t="s">
        <v>1002</v>
      </c>
      <c r="E229" s="178" t="s">
        <v>266</v>
      </c>
      <c r="F229" s="210" t="s">
        <v>1003</v>
      </c>
      <c r="G229" s="575" t="s">
        <v>96</v>
      </c>
      <c r="H229" s="546">
        <v>7293.34</v>
      </c>
      <c r="I229" s="66">
        <v>44725</v>
      </c>
      <c r="J229" s="65" t="s">
        <v>1004</v>
      </c>
      <c r="K229" s="58"/>
      <c r="L229" s="99"/>
      <c r="M229" s="70" t="s">
        <v>969</v>
      </c>
      <c r="N229" s="97" t="s">
        <v>970</v>
      </c>
      <c r="O229" s="58" t="s">
        <v>971</v>
      </c>
      <c r="P229" s="58" t="s">
        <v>38</v>
      </c>
      <c r="Q229" s="58" t="s">
        <v>23</v>
      </c>
      <c r="R229" s="58" t="s">
        <v>272</v>
      </c>
    </row>
    <row r="230" spans="1:18" ht="69" customHeight="1">
      <c r="A230" s="168"/>
      <c r="B230" s="178">
        <v>5113</v>
      </c>
      <c r="C230" s="178" t="s">
        <v>309</v>
      </c>
      <c r="D230" s="575" t="s">
        <v>1005</v>
      </c>
      <c r="E230" s="178" t="s">
        <v>283</v>
      </c>
      <c r="F230" s="210" t="s">
        <v>1006</v>
      </c>
      <c r="G230" s="575" t="s">
        <v>96</v>
      </c>
      <c r="H230" s="546">
        <v>45300</v>
      </c>
      <c r="I230" s="66">
        <v>44732</v>
      </c>
      <c r="J230" s="65" t="s">
        <v>1007</v>
      </c>
      <c r="K230" s="58" t="s">
        <v>892</v>
      </c>
      <c r="L230" s="99"/>
      <c r="M230" s="70" t="s">
        <v>900</v>
      </c>
      <c r="N230" s="97" t="s">
        <v>264</v>
      </c>
      <c r="O230" s="58" t="s">
        <v>141</v>
      </c>
      <c r="P230" s="58" t="s">
        <v>17</v>
      </c>
      <c r="Q230" s="58" t="s">
        <v>23</v>
      </c>
      <c r="R230" s="58" t="s">
        <v>272</v>
      </c>
    </row>
    <row r="231" spans="1:18" ht="69" customHeight="1">
      <c r="A231" s="168"/>
      <c r="B231" s="178">
        <v>5105</v>
      </c>
      <c r="C231" s="178" t="s">
        <v>259</v>
      </c>
      <c r="D231" s="575"/>
      <c r="E231" s="178" t="s">
        <v>266</v>
      </c>
      <c r="F231" s="210" t="s">
        <v>1008</v>
      </c>
      <c r="G231" s="575" t="s">
        <v>96</v>
      </c>
      <c r="H231" s="546">
        <v>2099.25</v>
      </c>
      <c r="I231" s="66">
        <v>44740</v>
      </c>
      <c r="J231" s="65" t="s">
        <v>1009</v>
      </c>
      <c r="K231" s="58"/>
      <c r="L231" s="99"/>
      <c r="M231" s="70" t="s">
        <v>889</v>
      </c>
      <c r="N231" s="97" t="s">
        <v>270</v>
      </c>
      <c r="O231" s="58"/>
      <c r="P231" s="58" t="s">
        <v>44</v>
      </c>
      <c r="Q231" s="58" t="s">
        <v>23</v>
      </c>
      <c r="R231" s="58" t="s">
        <v>272</v>
      </c>
    </row>
    <row r="232" spans="1:18" ht="69" customHeight="1">
      <c r="A232" s="168"/>
      <c r="B232" s="178">
        <v>4</v>
      </c>
      <c r="C232" s="178" t="s">
        <v>309</v>
      </c>
      <c r="D232" s="575" t="s">
        <v>1010</v>
      </c>
      <c r="E232" s="178" t="s">
        <v>382</v>
      </c>
      <c r="F232" s="210" t="s">
        <v>1011</v>
      </c>
      <c r="G232" s="575" t="s">
        <v>96</v>
      </c>
      <c r="H232" s="546">
        <v>17597.53</v>
      </c>
      <c r="I232" s="66">
        <v>44736</v>
      </c>
      <c r="J232" s="65" t="s">
        <v>1012</v>
      </c>
      <c r="K232" s="58"/>
      <c r="L232" s="99"/>
      <c r="M232" s="70" t="s">
        <v>1013</v>
      </c>
      <c r="N232" s="97" t="s">
        <v>387</v>
      </c>
      <c r="O232" s="45" t="s">
        <v>150</v>
      </c>
      <c r="P232" s="58" t="s">
        <v>51</v>
      </c>
      <c r="Q232" s="58" t="s">
        <v>23</v>
      </c>
      <c r="R232" s="58" t="s">
        <v>272</v>
      </c>
    </row>
    <row r="233" spans="1:18" ht="69" customHeight="1">
      <c r="A233" s="168"/>
      <c r="B233" s="178">
        <v>5</v>
      </c>
      <c r="C233" s="178" t="s">
        <v>309</v>
      </c>
      <c r="D233" s="575" t="s">
        <v>1014</v>
      </c>
      <c r="E233" s="178" t="s">
        <v>382</v>
      </c>
      <c r="F233" s="210" t="s">
        <v>1015</v>
      </c>
      <c r="G233" s="575" t="s">
        <v>96</v>
      </c>
      <c r="H233" s="546">
        <v>36600.67</v>
      </c>
      <c r="I233" s="66">
        <v>44736</v>
      </c>
      <c r="J233" s="65" t="s">
        <v>1016</v>
      </c>
      <c r="K233" s="58"/>
      <c r="L233" s="99"/>
      <c r="M233" s="70" t="s">
        <v>1013</v>
      </c>
      <c r="N233" s="97" t="s">
        <v>387</v>
      </c>
      <c r="O233" s="45" t="s">
        <v>150</v>
      </c>
      <c r="P233" s="58" t="s">
        <v>51</v>
      </c>
      <c r="Q233" s="58" t="s">
        <v>23</v>
      </c>
      <c r="R233" s="58" t="s">
        <v>272</v>
      </c>
    </row>
    <row r="234" spans="1:18" ht="69" customHeight="1">
      <c r="A234" s="168"/>
      <c r="B234" s="178">
        <v>5129</v>
      </c>
      <c r="C234" s="178" t="s">
        <v>309</v>
      </c>
      <c r="D234" s="575" t="s">
        <v>1017</v>
      </c>
      <c r="E234" s="178" t="s">
        <v>921</v>
      </c>
      <c r="F234" s="210" t="s">
        <v>973</v>
      </c>
      <c r="G234" s="575" t="s">
        <v>96</v>
      </c>
      <c r="H234" s="546">
        <v>160000</v>
      </c>
      <c r="I234" s="66">
        <v>44746</v>
      </c>
      <c r="J234" s="65" t="s">
        <v>1018</v>
      </c>
      <c r="K234" s="58" t="s">
        <v>924</v>
      </c>
      <c r="L234" s="99"/>
      <c r="M234" s="70" t="s">
        <v>925</v>
      </c>
      <c r="N234" s="97" t="s">
        <v>356</v>
      </c>
      <c r="O234" s="58" t="s">
        <v>156</v>
      </c>
      <c r="P234" s="58" t="s">
        <v>19</v>
      </c>
      <c r="Q234" s="58" t="s">
        <v>23</v>
      </c>
      <c r="R234" s="58" t="s">
        <v>272</v>
      </c>
    </row>
    <row r="235" spans="1:18" ht="69" customHeight="1">
      <c r="A235" s="168"/>
      <c r="B235" s="178">
        <v>6004</v>
      </c>
      <c r="C235" s="178" t="s">
        <v>309</v>
      </c>
      <c r="D235" s="575" t="s">
        <v>1019</v>
      </c>
      <c r="E235" s="178" t="s">
        <v>921</v>
      </c>
      <c r="F235" s="210" t="s">
        <v>1006</v>
      </c>
      <c r="G235" s="575" t="s">
        <v>96</v>
      </c>
      <c r="H235" s="546">
        <v>140000</v>
      </c>
      <c r="I235" s="66">
        <v>44774</v>
      </c>
      <c r="J235" s="65" t="s">
        <v>1020</v>
      </c>
      <c r="K235" s="58" t="s">
        <v>924</v>
      </c>
      <c r="L235" s="99"/>
      <c r="M235" s="70" t="s">
        <v>925</v>
      </c>
      <c r="N235" s="97" t="s">
        <v>356</v>
      </c>
      <c r="O235" s="58" t="s">
        <v>156</v>
      </c>
      <c r="P235" s="58" t="s">
        <v>19</v>
      </c>
      <c r="Q235" s="58" t="s">
        <v>23</v>
      </c>
      <c r="R235" s="58" t="s">
        <v>272</v>
      </c>
    </row>
    <row r="236" spans="1:18" ht="69" customHeight="1">
      <c r="A236" s="168"/>
      <c r="B236" s="178">
        <v>6044</v>
      </c>
      <c r="C236" s="178" t="s">
        <v>309</v>
      </c>
      <c r="D236" s="575" t="s">
        <v>1021</v>
      </c>
      <c r="E236" s="178" t="s">
        <v>266</v>
      </c>
      <c r="F236" s="210" t="s">
        <v>1022</v>
      </c>
      <c r="G236" s="575" t="s">
        <v>96</v>
      </c>
      <c r="H236" s="546">
        <v>7293.34</v>
      </c>
      <c r="I236" s="66" t="s">
        <v>96</v>
      </c>
      <c r="J236" s="65" t="s">
        <v>1023</v>
      </c>
      <c r="K236" s="58"/>
      <c r="L236" s="99"/>
      <c r="M236" s="70" t="s">
        <v>969</v>
      </c>
      <c r="N236" s="97" t="s">
        <v>970</v>
      </c>
      <c r="O236" s="58" t="s">
        <v>971</v>
      </c>
      <c r="P236" s="58" t="s">
        <v>38</v>
      </c>
      <c r="Q236" s="58" t="s">
        <v>23</v>
      </c>
      <c r="R236" s="58" t="s">
        <v>272</v>
      </c>
    </row>
    <row r="237" spans="1:18" ht="69" customHeight="1">
      <c r="A237" s="168"/>
      <c r="B237" s="178">
        <v>6027</v>
      </c>
      <c r="C237" s="178" t="s">
        <v>309</v>
      </c>
      <c r="D237" s="575" t="s">
        <v>1024</v>
      </c>
      <c r="E237" s="178" t="s">
        <v>283</v>
      </c>
      <c r="F237" s="210" t="s">
        <v>1025</v>
      </c>
      <c r="G237" s="575" t="s">
        <v>96</v>
      </c>
      <c r="H237" s="546">
        <v>11325</v>
      </c>
      <c r="I237" s="66">
        <v>44769</v>
      </c>
      <c r="J237" s="65" t="s">
        <v>1026</v>
      </c>
      <c r="K237" s="58" t="s">
        <v>892</v>
      </c>
      <c r="L237" s="99"/>
      <c r="M237" s="70" t="s">
        <v>900</v>
      </c>
      <c r="N237" s="97" t="s">
        <v>264</v>
      </c>
      <c r="O237" s="58" t="s">
        <v>141</v>
      </c>
      <c r="P237" s="58" t="s">
        <v>17</v>
      </c>
      <c r="Q237" s="58" t="s">
        <v>23</v>
      </c>
      <c r="R237" s="58" t="s">
        <v>272</v>
      </c>
    </row>
    <row r="238" spans="1:18" ht="69" customHeight="1">
      <c r="A238" s="168"/>
      <c r="B238" s="178">
        <v>6333</v>
      </c>
      <c r="C238" s="178" t="s">
        <v>309</v>
      </c>
      <c r="D238" s="575" t="s">
        <v>1027</v>
      </c>
      <c r="E238" s="178" t="s">
        <v>409</v>
      </c>
      <c r="F238" s="210" t="s">
        <v>1028</v>
      </c>
      <c r="G238" s="575" t="s">
        <v>96</v>
      </c>
      <c r="H238" s="546">
        <v>175110</v>
      </c>
      <c r="I238" s="66">
        <v>44790</v>
      </c>
      <c r="J238" s="65" t="s">
        <v>1029</v>
      </c>
      <c r="K238" s="58"/>
      <c r="L238" s="99"/>
      <c r="M238" s="70" t="s">
        <v>1030</v>
      </c>
      <c r="N238" s="97" t="s">
        <v>414</v>
      </c>
      <c r="O238" s="58"/>
      <c r="P238" s="58" t="s">
        <v>24</v>
      </c>
      <c r="Q238" s="58" t="s">
        <v>23</v>
      </c>
      <c r="R238" s="58" t="s">
        <v>272</v>
      </c>
    </row>
    <row r="239" spans="1:18" ht="69" customHeight="1">
      <c r="A239" s="168"/>
      <c r="B239" s="178">
        <v>6413</v>
      </c>
      <c r="C239" s="178" t="s">
        <v>309</v>
      </c>
      <c r="D239" s="575" t="s">
        <v>1031</v>
      </c>
      <c r="E239" s="178" t="s">
        <v>331</v>
      </c>
      <c r="F239" s="210" t="s">
        <v>1032</v>
      </c>
      <c r="G239" s="58" t="s">
        <v>429</v>
      </c>
      <c r="H239" s="546">
        <v>13959.486000000001</v>
      </c>
      <c r="I239" s="66">
        <v>44802</v>
      </c>
      <c r="J239" s="65" t="s">
        <v>1033</v>
      </c>
      <c r="K239" s="58"/>
      <c r="L239" s="99"/>
      <c r="M239" s="70" t="s">
        <v>1034</v>
      </c>
      <c r="N239" s="97" t="s">
        <v>432</v>
      </c>
      <c r="O239" s="58"/>
      <c r="P239" s="58" t="s">
        <v>53</v>
      </c>
      <c r="Q239" s="58" t="s">
        <v>23</v>
      </c>
      <c r="R239" s="58" t="s">
        <v>272</v>
      </c>
    </row>
    <row r="240" spans="1:18" ht="69" customHeight="1">
      <c r="A240" s="168"/>
      <c r="B240" s="178">
        <v>6544</v>
      </c>
      <c r="C240" s="178" t="s">
        <v>309</v>
      </c>
      <c r="D240" s="575" t="s">
        <v>1035</v>
      </c>
      <c r="E240" s="178" t="s">
        <v>979</v>
      </c>
      <c r="F240" s="210" t="s">
        <v>1036</v>
      </c>
      <c r="G240" s="58" t="s">
        <v>805</v>
      </c>
      <c r="H240" s="546">
        <v>118860</v>
      </c>
      <c r="I240" s="66">
        <v>44806</v>
      </c>
      <c r="J240" s="65" t="s">
        <v>1037</v>
      </c>
      <c r="K240" s="58"/>
      <c r="L240" s="99"/>
      <c r="M240" s="70" t="s">
        <v>982</v>
      </c>
      <c r="N240" s="97" t="s">
        <v>356</v>
      </c>
      <c r="O240" s="58" t="s">
        <v>156</v>
      </c>
      <c r="P240" s="58" t="s">
        <v>19</v>
      </c>
      <c r="Q240" s="58" t="s">
        <v>23</v>
      </c>
      <c r="R240" s="58" t="s">
        <v>265</v>
      </c>
    </row>
    <row r="241" spans="1:18" ht="69" customHeight="1">
      <c r="A241" s="168"/>
      <c r="B241" s="178">
        <v>7471</v>
      </c>
      <c r="C241" s="178" t="s">
        <v>309</v>
      </c>
      <c r="D241" s="575" t="s">
        <v>1038</v>
      </c>
      <c r="E241" s="178" t="s">
        <v>1039</v>
      </c>
      <c r="F241" s="210" t="s">
        <v>1040</v>
      </c>
      <c r="G241" s="58" t="s">
        <v>1041</v>
      </c>
      <c r="H241" s="546">
        <v>52553.279999999999</v>
      </c>
      <c r="I241" s="66">
        <v>44888</v>
      </c>
      <c r="J241" s="65" t="s">
        <v>1042</v>
      </c>
      <c r="K241" s="58"/>
      <c r="L241" s="99"/>
      <c r="M241" s="70" t="s">
        <v>1043</v>
      </c>
      <c r="N241" s="97" t="s">
        <v>1044</v>
      </c>
      <c r="O241" s="58"/>
      <c r="P241" s="58" t="s">
        <v>26</v>
      </c>
      <c r="Q241" s="58" t="s">
        <v>23</v>
      </c>
      <c r="R241" s="58" t="s">
        <v>272</v>
      </c>
    </row>
    <row r="242" spans="1:18" ht="69" customHeight="1">
      <c r="A242" s="168"/>
      <c r="B242" s="178">
        <v>6809</v>
      </c>
      <c r="C242" s="178" t="s">
        <v>309</v>
      </c>
      <c r="D242" s="575" t="s">
        <v>1045</v>
      </c>
      <c r="E242" s="178" t="s">
        <v>1046</v>
      </c>
      <c r="F242" s="210" t="s">
        <v>1047</v>
      </c>
      <c r="G242" s="58" t="s">
        <v>1048</v>
      </c>
      <c r="H242" s="546">
        <v>20457.099999999999</v>
      </c>
      <c r="I242" s="66">
        <v>44832</v>
      </c>
      <c r="J242" s="65" t="s">
        <v>1049</v>
      </c>
      <c r="K242" s="58"/>
      <c r="L242" s="99"/>
      <c r="M242" s="70" t="s">
        <v>1050</v>
      </c>
      <c r="N242" s="97" t="s">
        <v>414</v>
      </c>
      <c r="O242" s="58"/>
      <c r="P242" s="58" t="s">
        <v>24</v>
      </c>
      <c r="Q242" s="58" t="s">
        <v>23</v>
      </c>
      <c r="R242" s="58" t="s">
        <v>265</v>
      </c>
    </row>
    <row r="243" spans="1:18" ht="69" customHeight="1">
      <c r="A243" s="168"/>
      <c r="B243" s="178">
        <v>6913</v>
      </c>
      <c r="C243" s="178" t="s">
        <v>309</v>
      </c>
      <c r="D243" s="575" t="s">
        <v>1051</v>
      </c>
      <c r="E243" s="178" t="s">
        <v>266</v>
      </c>
      <c r="F243" s="210" t="s">
        <v>1052</v>
      </c>
      <c r="G243" s="58" t="s">
        <v>1053</v>
      </c>
      <c r="H243" s="546">
        <v>11200</v>
      </c>
      <c r="I243" s="66">
        <v>44844</v>
      </c>
      <c r="J243" s="65" t="s">
        <v>1054</v>
      </c>
      <c r="K243" s="58"/>
      <c r="L243" s="99"/>
      <c r="M243" s="70" t="s">
        <v>889</v>
      </c>
      <c r="N243" s="97" t="s">
        <v>270</v>
      </c>
      <c r="O243" s="58"/>
      <c r="P243" s="58" t="s">
        <v>44</v>
      </c>
      <c r="Q243" s="58" t="s">
        <v>23</v>
      </c>
      <c r="R243" s="58" t="s">
        <v>272</v>
      </c>
    </row>
    <row r="244" spans="1:18" ht="69" customHeight="1">
      <c r="A244" s="168"/>
      <c r="B244" s="191">
        <v>6958</v>
      </c>
      <c r="C244" s="191" t="s">
        <v>309</v>
      </c>
      <c r="D244" s="533" t="s">
        <v>1055</v>
      </c>
      <c r="E244" s="191" t="s">
        <v>1056</v>
      </c>
      <c r="F244" s="211" t="s">
        <v>1057</v>
      </c>
      <c r="G244" s="46" t="s">
        <v>1058</v>
      </c>
      <c r="H244" s="534">
        <v>45600</v>
      </c>
      <c r="I244" s="56">
        <v>44846</v>
      </c>
      <c r="J244" s="199" t="s">
        <v>1059</v>
      </c>
      <c r="K244" s="46"/>
      <c r="L244" s="99"/>
      <c r="M244" s="70" t="s">
        <v>1060</v>
      </c>
      <c r="N244" s="97" t="s">
        <v>814</v>
      </c>
      <c r="O244" s="46" t="s">
        <v>1061</v>
      </c>
      <c r="P244" s="46" t="s">
        <v>36</v>
      </c>
      <c r="Q244" s="46" t="s">
        <v>15</v>
      </c>
      <c r="R244" s="46" t="s">
        <v>272</v>
      </c>
    </row>
    <row r="245" spans="1:18" ht="69" customHeight="1">
      <c r="A245" s="168"/>
      <c r="B245" s="178">
        <v>7621</v>
      </c>
      <c r="C245" s="178" t="s">
        <v>309</v>
      </c>
      <c r="D245" s="575" t="s">
        <v>1062</v>
      </c>
      <c r="E245" s="178" t="s">
        <v>1046</v>
      </c>
      <c r="F245" s="210" t="s">
        <v>1063</v>
      </c>
      <c r="G245" s="58"/>
      <c r="H245" s="546">
        <v>8231.11</v>
      </c>
      <c r="I245" s="66">
        <v>44893</v>
      </c>
      <c r="J245" s="65" t="s">
        <v>1064</v>
      </c>
      <c r="K245" s="58"/>
      <c r="L245" s="99"/>
      <c r="M245" s="70" t="s">
        <v>1050</v>
      </c>
      <c r="N245" s="97" t="s">
        <v>414</v>
      </c>
      <c r="O245" s="58"/>
      <c r="P245" s="58" t="s">
        <v>24</v>
      </c>
      <c r="Q245" s="58" t="s">
        <v>23</v>
      </c>
      <c r="R245" s="58" t="s">
        <v>265</v>
      </c>
    </row>
    <row r="246" spans="1:18" ht="69" customHeight="1">
      <c r="A246" s="168"/>
      <c r="B246" s="178">
        <v>7622</v>
      </c>
      <c r="C246" s="178" t="s">
        <v>309</v>
      </c>
      <c r="D246" s="575" t="s">
        <v>1065</v>
      </c>
      <c r="E246" s="178" t="s">
        <v>1046</v>
      </c>
      <c r="F246" s="210" t="s">
        <v>1066</v>
      </c>
      <c r="G246" s="58"/>
      <c r="H246" s="546">
        <v>32924.449999999997</v>
      </c>
      <c r="I246" s="66">
        <v>44893</v>
      </c>
      <c r="J246" s="65" t="s">
        <v>1064</v>
      </c>
      <c r="K246" s="58"/>
      <c r="L246" s="99"/>
      <c r="M246" s="70" t="s">
        <v>1050</v>
      </c>
      <c r="N246" s="97" t="s">
        <v>414</v>
      </c>
      <c r="O246" s="58"/>
      <c r="P246" s="58" t="s">
        <v>24</v>
      </c>
      <c r="Q246" s="58" t="s">
        <v>23</v>
      </c>
      <c r="R246" s="58" t="s">
        <v>265</v>
      </c>
    </row>
    <row r="247" spans="1:18" ht="69" customHeight="1">
      <c r="A247" s="168"/>
      <c r="B247" s="178">
        <v>7443</v>
      </c>
      <c r="C247" s="178" t="s">
        <v>309</v>
      </c>
      <c r="D247" s="575" t="s">
        <v>1067</v>
      </c>
      <c r="E247" s="178" t="s">
        <v>1046</v>
      </c>
      <c r="F247" s="210" t="s">
        <v>1068</v>
      </c>
      <c r="G247" s="58" t="s">
        <v>1069</v>
      </c>
      <c r="H247" s="546">
        <v>32650</v>
      </c>
      <c r="I247" s="66">
        <v>44895</v>
      </c>
      <c r="J247" s="65" t="s">
        <v>1070</v>
      </c>
      <c r="K247" s="58"/>
      <c r="L247" s="99"/>
      <c r="M247" s="70" t="s">
        <v>1050</v>
      </c>
      <c r="N247" s="97" t="s">
        <v>414</v>
      </c>
      <c r="O247" s="58"/>
      <c r="P247" s="58" t="s">
        <v>24</v>
      </c>
      <c r="Q247" s="58" t="s">
        <v>23</v>
      </c>
      <c r="R247" s="58" t="s">
        <v>265</v>
      </c>
    </row>
    <row r="248" spans="1:18" ht="69" customHeight="1">
      <c r="A248" s="168"/>
      <c r="B248" s="178">
        <v>7444</v>
      </c>
      <c r="C248" s="178" t="s">
        <v>309</v>
      </c>
      <c r="D248" s="575" t="s">
        <v>1071</v>
      </c>
      <c r="E248" s="178" t="s">
        <v>1046</v>
      </c>
      <c r="F248" s="210" t="s">
        <v>1072</v>
      </c>
      <c r="G248" s="58" t="s">
        <v>1069</v>
      </c>
      <c r="H248" s="546">
        <v>90281.41</v>
      </c>
      <c r="I248" s="66">
        <v>44895</v>
      </c>
      <c r="J248" s="65" t="s">
        <v>1070</v>
      </c>
      <c r="K248" s="58"/>
      <c r="L248" s="99"/>
      <c r="M248" s="70" t="s">
        <v>1050</v>
      </c>
      <c r="N248" s="97" t="s">
        <v>414</v>
      </c>
      <c r="O248" s="58"/>
      <c r="P248" s="58" t="s">
        <v>24</v>
      </c>
      <c r="Q248" s="58" t="s">
        <v>23</v>
      </c>
      <c r="R248" s="58" t="s">
        <v>265</v>
      </c>
    </row>
    <row r="249" spans="1:18" ht="69" customHeight="1">
      <c r="A249" s="168"/>
      <c r="B249" s="178">
        <v>7572</v>
      </c>
      <c r="C249" s="178" t="s">
        <v>309</v>
      </c>
      <c r="D249" s="575" t="s">
        <v>1073</v>
      </c>
      <c r="E249" s="178" t="s">
        <v>1074</v>
      </c>
      <c r="F249" s="210" t="s">
        <v>1075</v>
      </c>
      <c r="G249" s="58" t="s">
        <v>1076</v>
      </c>
      <c r="H249" s="546">
        <v>28017.599999999999</v>
      </c>
      <c r="I249" s="66">
        <v>44893</v>
      </c>
      <c r="J249" s="65" t="s">
        <v>1077</v>
      </c>
      <c r="K249" s="58"/>
      <c r="L249" s="99"/>
      <c r="M249" s="70" t="s">
        <v>1030</v>
      </c>
      <c r="N249" s="97" t="s">
        <v>414</v>
      </c>
      <c r="O249" s="58"/>
      <c r="P249" s="58" t="s">
        <v>24</v>
      </c>
      <c r="Q249" s="58" t="s">
        <v>23</v>
      </c>
      <c r="R249" s="58" t="s">
        <v>272</v>
      </c>
    </row>
    <row r="250" spans="1:18" ht="69" customHeight="1">
      <c r="A250" s="168"/>
      <c r="B250" s="178">
        <v>7566</v>
      </c>
      <c r="C250" s="178" t="s">
        <v>309</v>
      </c>
      <c r="D250" s="575" t="s">
        <v>1078</v>
      </c>
      <c r="E250" s="178" t="s">
        <v>1039</v>
      </c>
      <c r="F250" s="210" t="s">
        <v>1079</v>
      </c>
      <c r="G250" s="58" t="s">
        <v>1041</v>
      </c>
      <c r="H250" s="546">
        <v>8680</v>
      </c>
      <c r="I250" s="66">
        <v>44904</v>
      </c>
      <c r="J250" s="65" t="s">
        <v>1080</v>
      </c>
      <c r="K250" s="58"/>
      <c r="L250" s="99"/>
      <c r="M250" s="70" t="s">
        <v>1043</v>
      </c>
      <c r="N250" s="97" t="s">
        <v>1044</v>
      </c>
      <c r="O250" s="58"/>
      <c r="P250" s="58" t="s">
        <v>26</v>
      </c>
      <c r="Q250" s="58" t="s">
        <v>23</v>
      </c>
      <c r="R250" s="58" t="s">
        <v>272</v>
      </c>
    </row>
    <row r="251" spans="1:18" ht="69" customHeight="1">
      <c r="A251" s="168"/>
      <c r="B251" s="178">
        <v>755</v>
      </c>
      <c r="C251" s="178" t="s">
        <v>309</v>
      </c>
      <c r="D251" s="575" t="s">
        <v>1081</v>
      </c>
      <c r="E251" s="178" t="s">
        <v>266</v>
      </c>
      <c r="F251" s="210" t="s">
        <v>1082</v>
      </c>
      <c r="G251" s="58" t="s">
        <v>392</v>
      </c>
      <c r="H251" s="546">
        <v>1150</v>
      </c>
      <c r="I251" s="66">
        <v>44895</v>
      </c>
      <c r="J251" s="65" t="s">
        <v>457</v>
      </c>
      <c r="K251" s="58"/>
      <c r="L251" s="99"/>
      <c r="M251" s="70" t="s">
        <v>889</v>
      </c>
      <c r="N251" s="97" t="s">
        <v>270</v>
      </c>
      <c r="O251" s="58"/>
      <c r="P251" s="58" t="s">
        <v>44</v>
      </c>
      <c r="Q251" s="58" t="s">
        <v>23</v>
      </c>
      <c r="R251" s="58" t="s">
        <v>272</v>
      </c>
    </row>
    <row r="252" spans="1:18" ht="69" customHeight="1">
      <c r="A252" s="168"/>
      <c r="B252" s="178">
        <v>7671</v>
      </c>
      <c r="C252" s="178" t="s">
        <v>309</v>
      </c>
      <c r="D252" s="575" t="s">
        <v>1083</v>
      </c>
      <c r="E252" s="178" t="s">
        <v>1046</v>
      </c>
      <c r="F252" s="210" t="s">
        <v>1084</v>
      </c>
      <c r="G252" s="58" t="s">
        <v>1085</v>
      </c>
      <c r="H252" s="546">
        <v>34800</v>
      </c>
      <c r="I252" s="66">
        <v>44900</v>
      </c>
      <c r="J252" s="65" t="s">
        <v>1086</v>
      </c>
      <c r="K252" s="58"/>
      <c r="L252" s="99"/>
      <c r="M252" s="70" t="s">
        <v>1050</v>
      </c>
      <c r="N252" s="97" t="s">
        <v>414</v>
      </c>
      <c r="O252" s="58"/>
      <c r="P252" s="58" t="s">
        <v>24</v>
      </c>
      <c r="Q252" s="58" t="s">
        <v>23</v>
      </c>
      <c r="R252" s="58" t="s">
        <v>265</v>
      </c>
    </row>
    <row r="253" spans="1:18" ht="69" customHeight="1">
      <c r="A253" s="168"/>
      <c r="B253" s="191">
        <v>6961</v>
      </c>
      <c r="C253" s="191" t="s">
        <v>309</v>
      </c>
      <c r="D253" s="533" t="s">
        <v>1087</v>
      </c>
      <c r="E253" s="191" t="s">
        <v>1056</v>
      </c>
      <c r="F253" s="211" t="s">
        <v>1088</v>
      </c>
      <c r="G253" s="46" t="s">
        <v>1058</v>
      </c>
      <c r="H253" s="534">
        <v>33448.839999999997</v>
      </c>
      <c r="I253" s="56">
        <v>44846</v>
      </c>
      <c r="J253" s="199" t="s">
        <v>1059</v>
      </c>
      <c r="K253" s="46"/>
      <c r="L253" s="99"/>
      <c r="M253" s="70" t="s">
        <v>1060</v>
      </c>
      <c r="N253" s="97" t="s">
        <v>814</v>
      </c>
      <c r="O253" s="46" t="s">
        <v>1061</v>
      </c>
      <c r="P253" s="46" t="s">
        <v>36</v>
      </c>
      <c r="Q253" s="46" t="s">
        <v>15</v>
      </c>
      <c r="R253" s="46" t="s">
        <v>272</v>
      </c>
    </row>
    <row r="254" spans="1:18" ht="69" customHeight="1">
      <c r="A254" s="168"/>
      <c r="B254" s="178">
        <v>7325</v>
      </c>
      <c r="C254" s="178" t="s">
        <v>309</v>
      </c>
      <c r="D254" s="575" t="s">
        <v>1089</v>
      </c>
      <c r="E254" s="178" t="s">
        <v>1046</v>
      </c>
      <c r="F254" s="210" t="s">
        <v>1090</v>
      </c>
      <c r="G254" s="58" t="s">
        <v>1048</v>
      </c>
      <c r="H254" s="546">
        <v>62235.82</v>
      </c>
      <c r="I254" s="66">
        <v>44865</v>
      </c>
      <c r="J254" s="65" t="s">
        <v>1091</v>
      </c>
      <c r="K254" s="58"/>
      <c r="L254" s="99"/>
      <c r="M254" s="70" t="s">
        <v>1050</v>
      </c>
      <c r="N254" s="97" t="s">
        <v>414</v>
      </c>
      <c r="O254" s="58" t="s">
        <v>1092</v>
      </c>
      <c r="P254" s="58" t="s">
        <v>24</v>
      </c>
      <c r="Q254" s="58" t="s">
        <v>23</v>
      </c>
      <c r="R254" s="58" t="s">
        <v>265</v>
      </c>
    </row>
    <row r="255" spans="1:18" ht="69" customHeight="1">
      <c r="A255" s="168"/>
      <c r="B255" s="178">
        <v>7336</v>
      </c>
      <c r="C255" s="178" t="s">
        <v>309</v>
      </c>
      <c r="D255" s="575" t="s">
        <v>1093</v>
      </c>
      <c r="E255" s="178" t="s">
        <v>1074</v>
      </c>
      <c r="F255" s="210" t="s">
        <v>1094</v>
      </c>
      <c r="G255" s="58" t="s">
        <v>1095</v>
      </c>
      <c r="H255" s="546">
        <v>58836.959999999999</v>
      </c>
      <c r="I255" s="66">
        <v>44874</v>
      </c>
      <c r="J255" s="65" t="s">
        <v>1096</v>
      </c>
      <c r="K255" s="58"/>
      <c r="L255" s="99"/>
      <c r="M255" s="70" t="s">
        <v>1030</v>
      </c>
      <c r="N255" s="97" t="s">
        <v>414</v>
      </c>
      <c r="O255" s="58"/>
      <c r="P255" s="58" t="s">
        <v>24</v>
      </c>
      <c r="Q255" s="58" t="s">
        <v>23</v>
      </c>
      <c r="R255" s="58" t="s">
        <v>272</v>
      </c>
    </row>
    <row r="256" spans="1:18" ht="69" customHeight="1">
      <c r="A256" s="168"/>
      <c r="B256" s="178">
        <v>7340</v>
      </c>
      <c r="C256" s="178" t="s">
        <v>309</v>
      </c>
      <c r="D256" s="575" t="s">
        <v>1097</v>
      </c>
      <c r="E256" s="178" t="s">
        <v>1046</v>
      </c>
      <c r="F256" s="210" t="s">
        <v>1098</v>
      </c>
      <c r="G256" s="58" t="s">
        <v>1048</v>
      </c>
      <c r="H256" s="546">
        <v>50890</v>
      </c>
      <c r="I256" s="66">
        <v>44869</v>
      </c>
      <c r="J256" s="65" t="s">
        <v>1096</v>
      </c>
      <c r="K256" s="58"/>
      <c r="L256" s="99"/>
      <c r="M256" s="70" t="s">
        <v>1050</v>
      </c>
      <c r="N256" s="97" t="s">
        <v>414</v>
      </c>
      <c r="O256" s="58"/>
      <c r="P256" s="58" t="s">
        <v>24</v>
      </c>
      <c r="Q256" s="58" t="s">
        <v>23</v>
      </c>
      <c r="R256" s="58" t="s">
        <v>265</v>
      </c>
    </row>
    <row r="257" spans="1:18" ht="69" customHeight="1">
      <c r="A257" s="168"/>
      <c r="B257" s="178">
        <v>7341</v>
      </c>
      <c r="C257" s="178" t="s">
        <v>309</v>
      </c>
      <c r="D257" s="575" t="s">
        <v>1099</v>
      </c>
      <c r="E257" s="178" t="s">
        <v>1046</v>
      </c>
      <c r="F257" s="210" t="s">
        <v>1100</v>
      </c>
      <c r="G257" s="58" t="s">
        <v>1048</v>
      </c>
      <c r="H257" s="546">
        <v>38671</v>
      </c>
      <c r="I257" s="66">
        <v>44869</v>
      </c>
      <c r="J257" s="65" t="s">
        <v>1096</v>
      </c>
      <c r="K257" s="58"/>
      <c r="L257" s="99"/>
      <c r="M257" s="70" t="s">
        <v>1050</v>
      </c>
      <c r="N257" s="97" t="s">
        <v>414</v>
      </c>
      <c r="O257" s="58"/>
      <c r="P257" s="58" t="s">
        <v>24</v>
      </c>
      <c r="Q257" s="58" t="s">
        <v>23</v>
      </c>
      <c r="R257" s="58" t="s">
        <v>265</v>
      </c>
    </row>
    <row r="258" spans="1:18" ht="69" customHeight="1">
      <c r="A258" s="168"/>
      <c r="B258" s="191">
        <v>7343</v>
      </c>
      <c r="C258" s="191" t="s">
        <v>309</v>
      </c>
      <c r="D258" s="533" t="s">
        <v>1101</v>
      </c>
      <c r="E258" s="191" t="s">
        <v>1046</v>
      </c>
      <c r="F258" s="211" t="s">
        <v>1102</v>
      </c>
      <c r="G258" s="46" t="s">
        <v>1048</v>
      </c>
      <c r="H258" s="534">
        <v>0</v>
      </c>
      <c r="I258" s="56">
        <v>44869</v>
      </c>
      <c r="J258" s="199" t="s">
        <v>1103</v>
      </c>
      <c r="K258" s="46" t="s">
        <v>1104</v>
      </c>
      <c r="L258" s="99"/>
      <c r="M258" s="379" t="s">
        <v>1050</v>
      </c>
      <c r="N258" s="76" t="s">
        <v>414</v>
      </c>
      <c r="O258" s="46"/>
      <c r="P258" s="46" t="s">
        <v>24</v>
      </c>
      <c r="Q258" s="46" t="s">
        <v>23</v>
      </c>
      <c r="R258" s="46" t="s">
        <v>265</v>
      </c>
    </row>
    <row r="259" spans="1:18" ht="69" customHeight="1">
      <c r="A259" s="168"/>
      <c r="B259" s="178">
        <v>6578</v>
      </c>
      <c r="C259" s="178" t="s">
        <v>309</v>
      </c>
      <c r="D259" s="575" t="s">
        <v>1105</v>
      </c>
      <c r="E259" s="178" t="s">
        <v>266</v>
      </c>
      <c r="F259" s="210" t="s">
        <v>1106</v>
      </c>
      <c r="G259" s="58" t="s">
        <v>1107</v>
      </c>
      <c r="H259" s="546">
        <v>7293.34</v>
      </c>
      <c r="I259" s="66">
        <v>44879</v>
      </c>
      <c r="J259" s="65" t="s">
        <v>1108</v>
      </c>
      <c r="K259" s="58"/>
      <c r="L259" s="99"/>
      <c r="M259" s="70" t="s">
        <v>969</v>
      </c>
      <c r="N259" s="97" t="s">
        <v>970</v>
      </c>
      <c r="O259" s="58" t="s">
        <v>971</v>
      </c>
      <c r="P259" s="58" t="s">
        <v>38</v>
      </c>
      <c r="Q259" s="58" t="s">
        <v>23</v>
      </c>
      <c r="R259" s="58" t="s">
        <v>272</v>
      </c>
    </row>
    <row r="260" spans="1:18" ht="69" customHeight="1">
      <c r="A260" s="168"/>
      <c r="B260" s="178">
        <v>6579</v>
      </c>
      <c r="C260" s="178" t="s">
        <v>309</v>
      </c>
      <c r="D260" s="575" t="s">
        <v>1109</v>
      </c>
      <c r="E260" s="178" t="s">
        <v>266</v>
      </c>
      <c r="F260" s="210" t="s">
        <v>1110</v>
      </c>
      <c r="G260" s="58" t="s">
        <v>1107</v>
      </c>
      <c r="H260" s="546">
        <v>7293.34</v>
      </c>
      <c r="I260" s="66">
        <v>44879</v>
      </c>
      <c r="J260" s="65" t="s">
        <v>1108</v>
      </c>
      <c r="K260" s="58"/>
      <c r="L260" s="99"/>
      <c r="M260" s="70" t="s">
        <v>969</v>
      </c>
      <c r="N260" s="97" t="s">
        <v>970</v>
      </c>
      <c r="O260" s="58" t="s">
        <v>971</v>
      </c>
      <c r="P260" s="58" t="s">
        <v>38</v>
      </c>
      <c r="Q260" s="58" t="s">
        <v>23</v>
      </c>
      <c r="R260" s="58" t="s">
        <v>272</v>
      </c>
    </row>
    <row r="261" spans="1:18" ht="69" customHeight="1">
      <c r="A261" s="168"/>
      <c r="B261" s="178">
        <v>7301</v>
      </c>
      <c r="C261" s="178" t="s">
        <v>309</v>
      </c>
      <c r="D261" s="575" t="s">
        <v>1111</v>
      </c>
      <c r="E261" s="178" t="s">
        <v>1039</v>
      </c>
      <c r="F261" s="210" t="s">
        <v>1112</v>
      </c>
      <c r="G261" s="58" t="s">
        <v>1041</v>
      </c>
      <c r="H261" s="546">
        <v>13130</v>
      </c>
      <c r="I261" s="66">
        <v>44869</v>
      </c>
      <c r="J261" s="65" t="s">
        <v>1113</v>
      </c>
      <c r="K261" s="58"/>
      <c r="L261" s="99"/>
      <c r="M261" s="70" t="s">
        <v>1043</v>
      </c>
      <c r="N261" s="97" t="s">
        <v>1044</v>
      </c>
      <c r="O261" s="58"/>
      <c r="P261" s="58" t="s">
        <v>26</v>
      </c>
      <c r="Q261" s="58" t="s">
        <v>23</v>
      </c>
      <c r="R261" s="58" t="s">
        <v>272</v>
      </c>
    </row>
    <row r="262" spans="1:18" ht="69" customHeight="1">
      <c r="A262" s="168"/>
      <c r="B262" s="178">
        <v>8188</v>
      </c>
      <c r="C262" s="178" t="s">
        <v>309</v>
      </c>
      <c r="D262" s="575" t="s">
        <v>1114</v>
      </c>
      <c r="E262" s="178" t="s">
        <v>1115</v>
      </c>
      <c r="F262" s="210" t="s">
        <v>1116</v>
      </c>
      <c r="G262" s="58" t="s">
        <v>1117</v>
      </c>
      <c r="H262" s="546">
        <v>175867.07</v>
      </c>
      <c r="I262" s="66">
        <v>44931</v>
      </c>
      <c r="J262" s="65" t="s">
        <v>1118</v>
      </c>
      <c r="K262" s="58"/>
      <c r="L262" s="99"/>
      <c r="M262" s="70" t="s">
        <v>1043</v>
      </c>
      <c r="N262" s="97" t="s">
        <v>1044</v>
      </c>
      <c r="O262" s="58"/>
      <c r="P262" s="58" t="s">
        <v>26</v>
      </c>
      <c r="Q262" s="58" t="s">
        <v>23</v>
      </c>
      <c r="R262" s="58" t="s">
        <v>272</v>
      </c>
    </row>
    <row r="263" spans="1:18" ht="69" customHeight="1">
      <c r="A263" s="168"/>
      <c r="B263" s="178">
        <v>7378</v>
      </c>
      <c r="C263" s="178" t="s">
        <v>309</v>
      </c>
      <c r="D263" s="575" t="s">
        <v>1119</v>
      </c>
      <c r="E263" s="178" t="s">
        <v>331</v>
      </c>
      <c r="F263" s="210" t="s">
        <v>1120</v>
      </c>
      <c r="G263" s="58" t="s">
        <v>1121</v>
      </c>
      <c r="H263" s="546">
        <v>34317.03</v>
      </c>
      <c r="I263" s="66">
        <v>44876</v>
      </c>
      <c r="J263" s="65" t="s">
        <v>1122</v>
      </c>
      <c r="K263" s="58"/>
      <c r="L263" s="99"/>
      <c r="M263" s="70" t="s">
        <v>1034</v>
      </c>
      <c r="N263" s="97" t="s">
        <v>432</v>
      </c>
      <c r="O263" s="58"/>
      <c r="P263" s="58" t="s">
        <v>53</v>
      </c>
      <c r="Q263" s="58" t="s">
        <v>23</v>
      </c>
      <c r="R263" s="58" t="s">
        <v>272</v>
      </c>
    </row>
    <row r="264" spans="1:18" ht="69" customHeight="1">
      <c r="A264" s="168"/>
      <c r="B264" s="178">
        <v>7755</v>
      </c>
      <c r="C264" s="178" t="s">
        <v>309</v>
      </c>
      <c r="D264" s="575" t="s">
        <v>1123</v>
      </c>
      <c r="E264" s="178" t="s">
        <v>1046</v>
      </c>
      <c r="F264" s="210" t="s">
        <v>1124</v>
      </c>
      <c r="G264" s="58" t="s">
        <v>1125</v>
      </c>
      <c r="H264" s="546">
        <v>22500</v>
      </c>
      <c r="I264" s="66">
        <v>44907</v>
      </c>
      <c r="J264" s="65" t="s">
        <v>1126</v>
      </c>
      <c r="K264" s="58"/>
      <c r="L264" s="99"/>
      <c r="M264" s="70" t="s">
        <v>1050</v>
      </c>
      <c r="N264" s="97" t="s">
        <v>414</v>
      </c>
      <c r="O264" s="58"/>
      <c r="P264" s="58" t="s">
        <v>24</v>
      </c>
      <c r="Q264" s="58" t="s">
        <v>23</v>
      </c>
      <c r="R264" s="58" t="s">
        <v>265</v>
      </c>
    </row>
    <row r="265" spans="1:18" ht="69" customHeight="1">
      <c r="A265" s="168"/>
      <c r="B265" s="178">
        <v>8803</v>
      </c>
      <c r="C265" s="178" t="s">
        <v>309</v>
      </c>
      <c r="D265" s="575" t="s">
        <v>1127</v>
      </c>
      <c r="E265" s="178" t="s">
        <v>1074</v>
      </c>
      <c r="F265" s="210" t="s">
        <v>1128</v>
      </c>
      <c r="G265" s="58" t="s">
        <v>1129</v>
      </c>
      <c r="H265" s="546">
        <v>81718</v>
      </c>
      <c r="I265" s="66">
        <v>44953</v>
      </c>
      <c r="J265" s="65" t="s">
        <v>1130</v>
      </c>
      <c r="K265" s="58"/>
      <c r="L265" s="99"/>
      <c r="M265" s="70" t="s">
        <v>1030</v>
      </c>
      <c r="N265" s="97" t="s">
        <v>414</v>
      </c>
      <c r="O265" s="58"/>
      <c r="P265" s="58" t="s">
        <v>24</v>
      </c>
      <c r="Q265" s="58" t="s">
        <v>23</v>
      </c>
      <c r="R265" s="58" t="s">
        <v>272</v>
      </c>
    </row>
    <row r="266" spans="1:18" ht="69" customHeight="1">
      <c r="A266" s="168"/>
      <c r="B266" s="178">
        <v>8252</v>
      </c>
      <c r="C266" s="178" t="s">
        <v>309</v>
      </c>
      <c r="D266" s="575" t="s">
        <v>1131</v>
      </c>
      <c r="E266" s="178" t="s">
        <v>1046</v>
      </c>
      <c r="F266" s="210" t="s">
        <v>1132</v>
      </c>
      <c r="G266" s="58" t="s">
        <v>1133</v>
      </c>
      <c r="H266" s="546">
        <v>34800</v>
      </c>
      <c r="I266" s="66">
        <v>44921</v>
      </c>
      <c r="J266" s="65" t="s">
        <v>1134</v>
      </c>
      <c r="K266" s="58"/>
      <c r="L266" s="99"/>
      <c r="M266" s="70" t="s">
        <v>1050</v>
      </c>
      <c r="N266" s="97" t="s">
        <v>414</v>
      </c>
      <c r="O266" s="58"/>
      <c r="P266" s="58" t="s">
        <v>24</v>
      </c>
      <c r="Q266" s="58" t="s">
        <v>23</v>
      </c>
      <c r="R266" s="58" t="s">
        <v>265</v>
      </c>
    </row>
    <row r="267" spans="1:18" ht="69" customHeight="1">
      <c r="A267" s="168"/>
      <c r="B267" s="256"/>
      <c r="C267" s="256" t="s">
        <v>309</v>
      </c>
      <c r="D267" s="301" t="s">
        <v>96</v>
      </c>
      <c r="E267" s="256" t="s">
        <v>1046</v>
      </c>
      <c r="F267" s="263" t="s">
        <v>1135</v>
      </c>
      <c r="G267" s="118" t="s">
        <v>1125</v>
      </c>
      <c r="H267" s="300">
        <v>0</v>
      </c>
      <c r="I267" s="262">
        <v>44907</v>
      </c>
      <c r="J267" s="258" t="s">
        <v>1126</v>
      </c>
      <c r="K267" s="118"/>
      <c r="L267" s="404"/>
      <c r="M267" s="382" t="s">
        <v>1050</v>
      </c>
      <c r="N267" s="101" t="s">
        <v>414</v>
      </c>
      <c r="O267" s="118" t="s">
        <v>96</v>
      </c>
      <c r="P267" s="118" t="s">
        <v>67</v>
      </c>
      <c r="Q267" s="118" t="s">
        <v>23</v>
      </c>
      <c r="R267" s="118" t="s">
        <v>265</v>
      </c>
    </row>
    <row r="268" spans="1:18" ht="69" customHeight="1">
      <c r="A268" s="168"/>
      <c r="B268" s="178">
        <v>8021</v>
      </c>
      <c r="C268" s="178" t="s">
        <v>309</v>
      </c>
      <c r="D268" s="575" t="s">
        <v>1136</v>
      </c>
      <c r="E268" s="178" t="s">
        <v>1046</v>
      </c>
      <c r="F268" s="210" t="s">
        <v>1137</v>
      </c>
      <c r="G268" s="58" t="s">
        <v>1138</v>
      </c>
      <c r="H268" s="546">
        <v>6040</v>
      </c>
      <c r="I268" s="66">
        <v>44909</v>
      </c>
      <c r="J268" s="65" t="s">
        <v>1139</v>
      </c>
      <c r="K268" s="58"/>
      <c r="L268" s="99"/>
      <c r="M268" s="70" t="s">
        <v>1050</v>
      </c>
      <c r="N268" s="97" t="s">
        <v>414</v>
      </c>
      <c r="O268" s="58"/>
      <c r="P268" s="58" t="s">
        <v>24</v>
      </c>
      <c r="Q268" s="58" t="s">
        <v>23</v>
      </c>
      <c r="R268" s="58" t="s">
        <v>265</v>
      </c>
    </row>
    <row r="269" spans="1:18" ht="69" customHeight="1">
      <c r="A269" s="168"/>
      <c r="B269" s="178">
        <v>8022</v>
      </c>
      <c r="C269" s="178" t="s">
        <v>309</v>
      </c>
      <c r="D269" s="575" t="s">
        <v>1140</v>
      </c>
      <c r="E269" s="178" t="s">
        <v>1046</v>
      </c>
      <c r="F269" s="210" t="s">
        <v>1141</v>
      </c>
      <c r="G269" s="58" t="s">
        <v>1142</v>
      </c>
      <c r="H269" s="546">
        <v>24160</v>
      </c>
      <c r="I269" s="66">
        <v>44909</v>
      </c>
      <c r="J269" s="65" t="s">
        <v>1139</v>
      </c>
      <c r="K269" s="58"/>
      <c r="L269" s="99"/>
      <c r="M269" s="70" t="s">
        <v>1050</v>
      </c>
      <c r="N269" s="97" t="s">
        <v>414</v>
      </c>
      <c r="O269" s="58"/>
      <c r="P269" s="58" t="s">
        <v>24</v>
      </c>
      <c r="Q269" s="58" t="s">
        <v>23</v>
      </c>
      <c r="R269" s="58" t="s">
        <v>265</v>
      </c>
    </row>
    <row r="270" spans="1:18" ht="69" customHeight="1">
      <c r="A270" s="168"/>
      <c r="B270" s="178">
        <v>8143</v>
      </c>
      <c r="C270" s="178" t="s">
        <v>309</v>
      </c>
      <c r="D270" s="575" t="s">
        <v>1143</v>
      </c>
      <c r="E270" s="178" t="s">
        <v>1046</v>
      </c>
      <c r="F270" s="210" t="s">
        <v>1144</v>
      </c>
      <c r="G270" s="58" t="s">
        <v>1145</v>
      </c>
      <c r="H270" s="546">
        <v>34800</v>
      </c>
      <c r="I270" s="66">
        <v>44914</v>
      </c>
      <c r="J270" s="65" t="s">
        <v>1146</v>
      </c>
      <c r="K270" s="58"/>
      <c r="L270" s="99"/>
      <c r="M270" s="70" t="s">
        <v>1050</v>
      </c>
      <c r="N270" s="97" t="s">
        <v>414</v>
      </c>
      <c r="O270" s="58"/>
      <c r="P270" s="58" t="s">
        <v>24</v>
      </c>
      <c r="Q270" s="58" t="s">
        <v>23</v>
      </c>
      <c r="R270" s="58" t="s">
        <v>265</v>
      </c>
    </row>
    <row r="271" spans="1:18" ht="69" customHeight="1">
      <c r="A271" s="168"/>
      <c r="B271" s="178">
        <v>8146</v>
      </c>
      <c r="C271" s="178" t="s">
        <v>309</v>
      </c>
      <c r="D271" s="575" t="s">
        <v>1147</v>
      </c>
      <c r="E271" s="178" t="s">
        <v>1046</v>
      </c>
      <c r="F271" s="210" t="s">
        <v>1148</v>
      </c>
      <c r="G271" s="58" t="s">
        <v>1149</v>
      </c>
      <c r="H271" s="546">
        <v>39682.800000000003</v>
      </c>
      <c r="I271" s="66">
        <v>44914</v>
      </c>
      <c r="J271" s="65" t="s">
        <v>1146</v>
      </c>
      <c r="K271" s="58"/>
      <c r="L271" s="99"/>
      <c r="M271" s="70" t="s">
        <v>1050</v>
      </c>
      <c r="N271" s="97" t="s">
        <v>414</v>
      </c>
      <c r="O271" s="58"/>
      <c r="P271" s="58" t="s">
        <v>24</v>
      </c>
      <c r="Q271" s="58" t="s">
        <v>23</v>
      </c>
      <c r="R271" s="58" t="s">
        <v>265</v>
      </c>
    </row>
    <row r="272" spans="1:18" ht="69" customHeight="1">
      <c r="A272" s="168"/>
      <c r="B272" s="178">
        <v>7326</v>
      </c>
      <c r="C272" s="178" t="s">
        <v>309</v>
      </c>
      <c r="D272" s="575" t="s">
        <v>1150</v>
      </c>
      <c r="E272" s="178" t="s">
        <v>1046</v>
      </c>
      <c r="F272" s="210" t="s">
        <v>1151</v>
      </c>
      <c r="G272" s="58" t="s">
        <v>1048</v>
      </c>
      <c r="H272" s="546">
        <v>10389.4</v>
      </c>
      <c r="I272" s="66">
        <v>44865</v>
      </c>
      <c r="J272" s="65" t="s">
        <v>1091</v>
      </c>
      <c r="K272" s="58"/>
      <c r="L272" s="99"/>
      <c r="M272" s="70" t="s">
        <v>1050</v>
      </c>
      <c r="N272" s="97" t="s">
        <v>414</v>
      </c>
      <c r="O272" s="58"/>
      <c r="P272" s="58" t="s">
        <v>24</v>
      </c>
      <c r="Q272" s="58" t="s">
        <v>23</v>
      </c>
      <c r="R272" s="58" t="s">
        <v>265</v>
      </c>
    </row>
    <row r="273" spans="1:18" ht="69" customHeight="1">
      <c r="A273" s="168"/>
      <c r="B273" s="178">
        <v>7661</v>
      </c>
      <c r="C273" s="178" t="s">
        <v>458</v>
      </c>
      <c r="D273" s="575" t="s">
        <v>1152</v>
      </c>
      <c r="E273" s="178" t="s">
        <v>266</v>
      </c>
      <c r="F273" s="210" t="s">
        <v>1153</v>
      </c>
      <c r="G273" s="58" t="s">
        <v>1154</v>
      </c>
      <c r="H273" s="546">
        <v>6206.9</v>
      </c>
      <c r="I273" s="66">
        <v>44904</v>
      </c>
      <c r="J273" s="65" t="s">
        <v>1155</v>
      </c>
      <c r="K273" s="58"/>
      <c r="L273" s="99"/>
      <c r="M273" s="70" t="s">
        <v>998</v>
      </c>
      <c r="N273" s="97" t="s">
        <v>683</v>
      </c>
      <c r="O273" s="58" t="s">
        <v>684</v>
      </c>
      <c r="P273" s="58" t="s">
        <v>46</v>
      </c>
      <c r="Q273" s="58" t="s">
        <v>100</v>
      </c>
      <c r="R273" s="58" t="s">
        <v>272</v>
      </c>
    </row>
    <row r="274" spans="1:18" ht="69" customHeight="1">
      <c r="A274" s="168"/>
      <c r="B274" s="178">
        <v>755</v>
      </c>
      <c r="C274" s="178" t="s">
        <v>309</v>
      </c>
      <c r="D274" s="575" t="s">
        <v>1081</v>
      </c>
      <c r="E274" s="178" t="s">
        <v>266</v>
      </c>
      <c r="F274" s="210" t="s">
        <v>1082</v>
      </c>
      <c r="G274" s="58" t="s">
        <v>392</v>
      </c>
      <c r="H274" s="546">
        <v>1150</v>
      </c>
      <c r="I274" s="66">
        <v>44895</v>
      </c>
      <c r="J274" s="65" t="s">
        <v>457</v>
      </c>
      <c r="K274" s="58"/>
      <c r="L274" s="99"/>
      <c r="M274" s="70" t="s">
        <v>889</v>
      </c>
      <c r="N274" s="97" t="s">
        <v>270</v>
      </c>
      <c r="O274" s="58"/>
      <c r="P274" s="58" t="s">
        <v>44</v>
      </c>
      <c r="Q274" s="58" t="s">
        <v>23</v>
      </c>
      <c r="R274" s="58" t="s">
        <v>272</v>
      </c>
    </row>
    <row r="275" spans="1:18" ht="69" customHeight="1">
      <c r="A275" s="168"/>
      <c r="B275" s="178">
        <v>8338</v>
      </c>
      <c r="C275" s="178" t="s">
        <v>309</v>
      </c>
      <c r="D275" s="575" t="s">
        <v>1156</v>
      </c>
      <c r="E275" s="178" t="s">
        <v>1046</v>
      </c>
      <c r="F275" s="210" t="s">
        <v>1157</v>
      </c>
      <c r="G275" s="58" t="s">
        <v>1158</v>
      </c>
      <c r="H275" s="546">
        <v>50985</v>
      </c>
      <c r="I275" s="66">
        <v>44923</v>
      </c>
      <c r="J275" s="65" t="s">
        <v>1159</v>
      </c>
      <c r="K275" s="58"/>
      <c r="L275" s="99"/>
      <c r="M275" s="70" t="s">
        <v>1050</v>
      </c>
      <c r="N275" s="97" t="s">
        <v>414</v>
      </c>
      <c r="O275" s="58"/>
      <c r="P275" s="58" t="s">
        <v>24</v>
      </c>
      <c r="Q275" s="58" t="s">
        <v>23</v>
      </c>
      <c r="R275" s="58" t="s">
        <v>265</v>
      </c>
    </row>
    <row r="276" spans="1:18" ht="69" customHeight="1">
      <c r="A276" s="168"/>
      <c r="B276" s="178">
        <v>8251</v>
      </c>
      <c r="C276" s="178" t="s">
        <v>309</v>
      </c>
      <c r="D276" s="575" t="s">
        <v>1160</v>
      </c>
      <c r="E276" s="178" t="s">
        <v>1046</v>
      </c>
      <c r="F276" s="210" t="s">
        <v>1161</v>
      </c>
      <c r="G276" s="58" t="s">
        <v>1133</v>
      </c>
      <c r="H276" s="546">
        <v>17400.009999999998</v>
      </c>
      <c r="I276" s="66">
        <v>44921</v>
      </c>
      <c r="J276" s="65" t="s">
        <v>1134</v>
      </c>
      <c r="K276" s="58"/>
      <c r="L276" s="99"/>
      <c r="M276" s="70" t="s">
        <v>1050</v>
      </c>
      <c r="N276" s="97" t="s">
        <v>414</v>
      </c>
      <c r="O276" s="58"/>
      <c r="P276" s="58" t="s">
        <v>24</v>
      </c>
      <c r="Q276" s="58" t="s">
        <v>23</v>
      </c>
      <c r="R276" s="58" t="s">
        <v>265</v>
      </c>
    </row>
    <row r="277" spans="1:18" ht="69" customHeight="1">
      <c r="A277" s="168"/>
      <c r="B277" s="178">
        <v>9045</v>
      </c>
      <c r="C277" s="178" t="s">
        <v>309</v>
      </c>
      <c r="D277" s="575" t="s">
        <v>1162</v>
      </c>
      <c r="E277" s="178" t="s">
        <v>1074</v>
      </c>
      <c r="F277" s="210" t="s">
        <v>1163</v>
      </c>
      <c r="G277" s="58" t="s">
        <v>1164</v>
      </c>
      <c r="H277" s="546">
        <v>32878.080000000002</v>
      </c>
      <c r="I277" s="66">
        <v>45001</v>
      </c>
      <c r="J277" s="65" t="s">
        <v>1165</v>
      </c>
      <c r="K277" s="58"/>
      <c r="L277" s="99"/>
      <c r="M277" s="70" t="s">
        <v>1030</v>
      </c>
      <c r="N277" s="97" t="s">
        <v>414</v>
      </c>
      <c r="O277" s="58"/>
      <c r="P277" s="58" t="s">
        <v>24</v>
      </c>
      <c r="Q277" s="58" t="s">
        <v>23</v>
      </c>
      <c r="R277" s="58" t="s">
        <v>272</v>
      </c>
    </row>
    <row r="278" spans="1:18" ht="69" customHeight="1">
      <c r="A278" s="168"/>
      <c r="B278" s="191">
        <v>8357</v>
      </c>
      <c r="C278" s="191" t="s">
        <v>309</v>
      </c>
      <c r="D278" s="533" t="s">
        <v>1166</v>
      </c>
      <c r="E278" s="191" t="s">
        <v>1046</v>
      </c>
      <c r="F278" s="211" t="s">
        <v>1167</v>
      </c>
      <c r="G278" s="46" t="s">
        <v>1168</v>
      </c>
      <c r="H278" s="534">
        <v>11239.02</v>
      </c>
      <c r="I278" s="56">
        <v>44923</v>
      </c>
      <c r="J278" s="199" t="s">
        <v>1169</v>
      </c>
      <c r="K278" s="46" t="s">
        <v>1170</v>
      </c>
      <c r="L278" s="99"/>
      <c r="M278" s="379"/>
      <c r="N278" s="76" t="s">
        <v>414</v>
      </c>
      <c r="O278" s="46" t="s">
        <v>1171</v>
      </c>
      <c r="P278" s="46" t="s">
        <v>71</v>
      </c>
      <c r="Q278" s="46" t="s">
        <v>23</v>
      </c>
      <c r="R278" s="46" t="s">
        <v>272</v>
      </c>
    </row>
    <row r="279" spans="1:18" ht="69" customHeight="1">
      <c r="A279" s="168"/>
      <c r="B279" s="191">
        <v>8379</v>
      </c>
      <c r="C279" s="191" t="s">
        <v>309</v>
      </c>
      <c r="D279" s="533" t="s">
        <v>1172</v>
      </c>
      <c r="E279" s="191" t="s">
        <v>1046</v>
      </c>
      <c r="F279" s="211" t="s">
        <v>1173</v>
      </c>
      <c r="G279" s="46" t="s">
        <v>1174</v>
      </c>
      <c r="H279" s="534">
        <v>3000</v>
      </c>
      <c r="I279" s="56">
        <v>44923</v>
      </c>
      <c r="J279" s="199" t="s">
        <v>1175</v>
      </c>
      <c r="K279" s="46" t="s">
        <v>1176</v>
      </c>
      <c r="L279" s="99"/>
      <c r="M279" s="379"/>
      <c r="N279" s="76" t="s">
        <v>414</v>
      </c>
      <c r="O279" s="46" t="s">
        <v>1177</v>
      </c>
      <c r="P279" s="46" t="s">
        <v>65</v>
      </c>
      <c r="Q279" s="46" t="s">
        <v>23</v>
      </c>
      <c r="R279" s="46" t="s">
        <v>272</v>
      </c>
    </row>
    <row r="280" spans="1:18" ht="69" customHeight="1">
      <c r="A280" s="168"/>
      <c r="B280" s="178">
        <v>7088</v>
      </c>
      <c r="C280" s="178" t="s">
        <v>309</v>
      </c>
      <c r="D280" s="575" t="s">
        <v>1178</v>
      </c>
      <c r="E280" s="178" t="s">
        <v>1046</v>
      </c>
      <c r="F280" s="210" t="s">
        <v>1179</v>
      </c>
      <c r="G280" s="58" t="s">
        <v>1180</v>
      </c>
      <c r="H280" s="546">
        <v>11789</v>
      </c>
      <c r="I280" s="66">
        <v>44858</v>
      </c>
      <c r="J280" s="65" t="s">
        <v>1181</v>
      </c>
      <c r="K280" s="58"/>
      <c r="L280" s="99"/>
      <c r="M280" s="70" t="s">
        <v>1050</v>
      </c>
      <c r="N280" s="97" t="s">
        <v>414</v>
      </c>
      <c r="O280" s="58"/>
      <c r="P280" s="58" t="s">
        <v>24</v>
      </c>
      <c r="Q280" s="58" t="s">
        <v>23</v>
      </c>
      <c r="R280" s="58" t="s">
        <v>265</v>
      </c>
    </row>
    <row r="281" spans="1:18" ht="69" customHeight="1">
      <c r="A281" s="168"/>
      <c r="B281" s="178">
        <v>8720</v>
      </c>
      <c r="C281" s="178" t="s">
        <v>309</v>
      </c>
      <c r="D281" s="575" t="s">
        <v>1182</v>
      </c>
      <c r="E281" s="178" t="s">
        <v>921</v>
      </c>
      <c r="F281" s="210" t="s">
        <v>1183</v>
      </c>
      <c r="G281" s="58" t="s">
        <v>1184</v>
      </c>
      <c r="H281" s="546">
        <v>17753.95</v>
      </c>
      <c r="I281" s="66">
        <v>44958</v>
      </c>
      <c r="J281" s="65" t="s">
        <v>1185</v>
      </c>
      <c r="K281" s="58"/>
      <c r="L281" s="99"/>
      <c r="M281" s="70" t="s">
        <v>925</v>
      </c>
      <c r="N281" s="97" t="s">
        <v>356</v>
      </c>
      <c r="O281" s="58" t="s">
        <v>156</v>
      </c>
      <c r="P281" s="58" t="s">
        <v>19</v>
      </c>
      <c r="Q281" s="58" t="s">
        <v>23</v>
      </c>
      <c r="R281" s="58" t="s">
        <v>272</v>
      </c>
    </row>
    <row r="282" spans="1:18" ht="69" customHeight="1">
      <c r="A282" s="168"/>
      <c r="B282" s="178">
        <v>8600</v>
      </c>
      <c r="C282" s="178" t="s">
        <v>309</v>
      </c>
      <c r="D282" s="575" t="s">
        <v>1186</v>
      </c>
      <c r="E282" s="178" t="s">
        <v>1046</v>
      </c>
      <c r="F282" s="210" t="s">
        <v>1187</v>
      </c>
      <c r="G282" s="58" t="s">
        <v>1188</v>
      </c>
      <c r="H282" s="546">
        <v>24000</v>
      </c>
      <c r="I282" s="66">
        <v>44946</v>
      </c>
      <c r="J282" s="65" t="s">
        <v>1189</v>
      </c>
      <c r="K282" s="58"/>
      <c r="L282" s="99"/>
      <c r="M282" s="70" t="s">
        <v>1050</v>
      </c>
      <c r="N282" s="97" t="s">
        <v>414</v>
      </c>
      <c r="O282" s="58"/>
      <c r="P282" s="58" t="s">
        <v>24</v>
      </c>
      <c r="Q282" s="58" t="s">
        <v>23</v>
      </c>
      <c r="R282" s="58" t="s">
        <v>265</v>
      </c>
    </row>
    <row r="283" spans="1:18" ht="69" customHeight="1">
      <c r="A283" s="168"/>
      <c r="B283" s="178">
        <v>8601</v>
      </c>
      <c r="C283" s="178" t="s">
        <v>309</v>
      </c>
      <c r="D283" s="575" t="s">
        <v>1190</v>
      </c>
      <c r="E283" s="178" t="s">
        <v>1046</v>
      </c>
      <c r="F283" s="210" t="s">
        <v>1191</v>
      </c>
      <c r="G283" s="58" t="s">
        <v>1192</v>
      </c>
      <c r="H283" s="546">
        <v>6000</v>
      </c>
      <c r="I283" s="66">
        <v>44946</v>
      </c>
      <c r="J283" s="65" t="s">
        <v>1189</v>
      </c>
      <c r="K283" s="58"/>
      <c r="L283" s="99"/>
      <c r="M283" s="70" t="s">
        <v>1050</v>
      </c>
      <c r="N283" s="97" t="s">
        <v>414</v>
      </c>
      <c r="O283" s="58"/>
      <c r="P283" s="58" t="s">
        <v>24</v>
      </c>
      <c r="Q283" s="58" t="s">
        <v>23</v>
      </c>
      <c r="R283" s="58" t="s">
        <v>265</v>
      </c>
    </row>
    <row r="284" spans="1:18" ht="69" customHeight="1">
      <c r="A284" s="168"/>
      <c r="B284" s="178">
        <v>8605</v>
      </c>
      <c r="C284" s="178" t="s">
        <v>309</v>
      </c>
      <c r="D284" s="575" t="s">
        <v>1193</v>
      </c>
      <c r="E284" s="178" t="s">
        <v>1046</v>
      </c>
      <c r="F284" s="210" t="s">
        <v>1194</v>
      </c>
      <c r="G284" s="58" t="s">
        <v>1195</v>
      </c>
      <c r="H284" s="546">
        <v>27460</v>
      </c>
      <c r="I284" s="66">
        <v>44944</v>
      </c>
      <c r="J284" s="65" t="s">
        <v>1196</v>
      </c>
      <c r="K284" s="58"/>
      <c r="L284" s="99"/>
      <c r="M284" s="70" t="s">
        <v>1050</v>
      </c>
      <c r="N284" s="97" t="s">
        <v>414</v>
      </c>
      <c r="O284" s="58"/>
      <c r="P284" s="58" t="s">
        <v>24</v>
      </c>
      <c r="Q284" s="58" t="s">
        <v>23</v>
      </c>
      <c r="R284" s="58" t="s">
        <v>265</v>
      </c>
    </row>
    <row r="285" spans="1:18" ht="69" customHeight="1">
      <c r="A285" s="168"/>
      <c r="B285" s="191">
        <v>8607</v>
      </c>
      <c r="C285" s="191" t="s">
        <v>309</v>
      </c>
      <c r="D285" s="533" t="s">
        <v>1197</v>
      </c>
      <c r="E285" s="191" t="s">
        <v>1198</v>
      </c>
      <c r="F285" s="211" t="s">
        <v>1199</v>
      </c>
      <c r="G285" s="46" t="s">
        <v>1200</v>
      </c>
      <c r="H285" s="534">
        <v>11239.02</v>
      </c>
      <c r="I285" s="56">
        <v>44946</v>
      </c>
      <c r="J285" s="199" t="s">
        <v>1201</v>
      </c>
      <c r="K285" s="46" t="s">
        <v>1170</v>
      </c>
      <c r="L285" s="99"/>
      <c r="M285" s="379"/>
      <c r="N285" s="76" t="s">
        <v>414</v>
      </c>
      <c r="O285" s="46" t="s">
        <v>1171</v>
      </c>
      <c r="P285" s="46" t="s">
        <v>71</v>
      </c>
      <c r="Q285" s="46" t="s">
        <v>23</v>
      </c>
      <c r="R285" s="46" t="s">
        <v>272</v>
      </c>
    </row>
    <row r="286" spans="1:18" ht="69" customHeight="1">
      <c r="A286" s="168"/>
      <c r="B286" s="178">
        <v>8695</v>
      </c>
      <c r="C286" s="178" t="s">
        <v>309</v>
      </c>
      <c r="D286" s="575" t="s">
        <v>1202</v>
      </c>
      <c r="E286" s="178" t="s">
        <v>1046</v>
      </c>
      <c r="F286" s="210" t="s">
        <v>1203</v>
      </c>
      <c r="G286" s="58" t="s">
        <v>1204</v>
      </c>
      <c r="H286" s="546">
        <v>34800</v>
      </c>
      <c r="I286" s="66">
        <v>44949</v>
      </c>
      <c r="J286" s="65" t="s">
        <v>1205</v>
      </c>
      <c r="K286" s="58"/>
      <c r="L286" s="99"/>
      <c r="M286" s="70" t="s">
        <v>1050</v>
      </c>
      <c r="N286" s="97" t="s">
        <v>414</v>
      </c>
      <c r="O286" s="58"/>
      <c r="P286" s="58" t="s">
        <v>24</v>
      </c>
      <c r="Q286" s="58" t="s">
        <v>23</v>
      </c>
      <c r="R286" s="58" t="s">
        <v>265</v>
      </c>
    </row>
    <row r="287" spans="1:18" ht="69" customHeight="1">
      <c r="A287" s="168"/>
      <c r="B287" s="178">
        <v>8798</v>
      </c>
      <c r="C287" s="178" t="s">
        <v>309</v>
      </c>
      <c r="D287" s="575" t="s">
        <v>1206</v>
      </c>
      <c r="E287" s="178" t="s">
        <v>1039</v>
      </c>
      <c r="F287" s="210" t="s">
        <v>1207</v>
      </c>
      <c r="G287" s="58" t="s">
        <v>1208</v>
      </c>
      <c r="H287" s="546">
        <v>4440.8999999999996</v>
      </c>
      <c r="I287" s="66">
        <v>44953</v>
      </c>
      <c r="J287" s="65" t="s">
        <v>1209</v>
      </c>
      <c r="K287" s="58"/>
      <c r="L287" s="99"/>
      <c r="M287" s="70" t="s">
        <v>1043</v>
      </c>
      <c r="N287" s="97" t="s">
        <v>1044</v>
      </c>
      <c r="O287" s="58"/>
      <c r="P287" s="58" t="s">
        <v>26</v>
      </c>
      <c r="Q287" s="58" t="s">
        <v>23</v>
      </c>
      <c r="R287" s="58" t="s">
        <v>272</v>
      </c>
    </row>
    <row r="288" spans="1:18" ht="69" customHeight="1">
      <c r="A288" s="168"/>
      <c r="B288" s="178">
        <v>8737</v>
      </c>
      <c r="C288" s="178" t="s">
        <v>309</v>
      </c>
      <c r="D288" s="575" t="s">
        <v>1210</v>
      </c>
      <c r="E288" s="178" t="s">
        <v>1046</v>
      </c>
      <c r="F288" s="210" t="s">
        <v>1211</v>
      </c>
      <c r="G288" s="58" t="s">
        <v>1212</v>
      </c>
      <c r="H288" s="546">
        <v>25800</v>
      </c>
      <c r="I288" s="66">
        <v>44970</v>
      </c>
      <c r="J288" s="65" t="s">
        <v>1213</v>
      </c>
      <c r="K288" s="58"/>
      <c r="L288" s="99"/>
      <c r="M288" s="70" t="s">
        <v>1050</v>
      </c>
      <c r="N288" s="97" t="s">
        <v>414</v>
      </c>
      <c r="O288" s="58"/>
      <c r="P288" s="58" t="s">
        <v>24</v>
      </c>
      <c r="Q288" s="58" t="s">
        <v>23</v>
      </c>
      <c r="R288" s="58" t="s">
        <v>265</v>
      </c>
    </row>
    <row r="289" spans="1:18" ht="69" customHeight="1">
      <c r="A289" s="168"/>
      <c r="B289" s="191">
        <v>8939</v>
      </c>
      <c r="C289" s="191" t="s">
        <v>309</v>
      </c>
      <c r="D289" s="533" t="s">
        <v>1214</v>
      </c>
      <c r="E289" s="191" t="s">
        <v>1046</v>
      </c>
      <c r="F289" s="211" t="s">
        <v>1215</v>
      </c>
      <c r="G289" s="46" t="s">
        <v>1216</v>
      </c>
      <c r="H289" s="534">
        <v>11239.02</v>
      </c>
      <c r="I289" s="56">
        <v>44986</v>
      </c>
      <c r="J289" s="199" t="s">
        <v>1217</v>
      </c>
      <c r="K289" s="46" t="s">
        <v>1170</v>
      </c>
      <c r="L289" s="99"/>
      <c r="M289" s="379"/>
      <c r="N289" s="76" t="s">
        <v>414</v>
      </c>
      <c r="O289" s="46" t="s">
        <v>1171</v>
      </c>
      <c r="P289" s="46" t="s">
        <v>71</v>
      </c>
      <c r="Q289" s="46" t="s">
        <v>23</v>
      </c>
      <c r="R289" s="46" t="s">
        <v>272</v>
      </c>
    </row>
    <row r="290" spans="1:18" ht="69" customHeight="1">
      <c r="A290" s="168"/>
      <c r="B290" s="178">
        <v>1390</v>
      </c>
      <c r="C290" s="178" t="s">
        <v>303</v>
      </c>
      <c r="D290" s="575" t="s">
        <v>1218</v>
      </c>
      <c r="E290" s="178" t="s">
        <v>270</v>
      </c>
      <c r="F290" s="210" t="s">
        <v>1219</v>
      </c>
      <c r="G290" s="58"/>
      <c r="H290" s="546">
        <v>10000</v>
      </c>
      <c r="I290" s="66">
        <v>44293</v>
      </c>
      <c r="J290" s="65" t="s">
        <v>1220</v>
      </c>
      <c r="K290" s="58"/>
      <c r="L290" s="99"/>
      <c r="M290" s="70" t="s">
        <v>889</v>
      </c>
      <c r="N290" s="97" t="s">
        <v>270</v>
      </c>
      <c r="O290" s="58"/>
      <c r="P290" s="58" t="s">
        <v>44</v>
      </c>
      <c r="Q290" s="58" t="s">
        <v>23</v>
      </c>
      <c r="R290" s="58" t="s">
        <v>272</v>
      </c>
    </row>
    <row r="291" spans="1:18" ht="69" customHeight="1">
      <c r="A291" s="168"/>
      <c r="B291" s="178">
        <v>8206</v>
      </c>
      <c r="C291" s="178" t="s">
        <v>309</v>
      </c>
      <c r="D291" s="575" t="s">
        <v>1221</v>
      </c>
      <c r="E291" s="178" t="s">
        <v>1074</v>
      </c>
      <c r="F291" s="210" t="s">
        <v>1222</v>
      </c>
      <c r="G291" s="58" t="s">
        <v>1223</v>
      </c>
      <c r="H291" s="546">
        <v>238365.13</v>
      </c>
      <c r="I291" s="66">
        <v>44921</v>
      </c>
      <c r="J291" s="65" t="s">
        <v>1224</v>
      </c>
      <c r="K291" s="58"/>
      <c r="L291" s="99"/>
      <c r="M291" s="70" t="s">
        <v>1030</v>
      </c>
      <c r="N291" s="97" t="s">
        <v>414</v>
      </c>
      <c r="O291" s="58"/>
      <c r="P291" s="58" t="s">
        <v>24</v>
      </c>
      <c r="Q291" s="58" t="s">
        <v>23</v>
      </c>
      <c r="R291" s="58" t="s">
        <v>272</v>
      </c>
    </row>
    <row r="292" spans="1:18" ht="69" customHeight="1">
      <c r="A292" s="168"/>
      <c r="B292" s="178">
        <v>8205</v>
      </c>
      <c r="C292" s="178" t="s">
        <v>309</v>
      </c>
      <c r="D292" s="575" t="s">
        <v>1225</v>
      </c>
      <c r="E292" s="178" t="s">
        <v>1074</v>
      </c>
      <c r="F292" s="210" t="s">
        <v>1226</v>
      </c>
      <c r="G292" s="58" t="s">
        <v>1223</v>
      </c>
      <c r="H292" s="546">
        <v>103229.1</v>
      </c>
      <c r="I292" s="66">
        <v>44921</v>
      </c>
      <c r="J292" s="65" t="s">
        <v>1224</v>
      </c>
      <c r="K292" s="58"/>
      <c r="L292" s="99"/>
      <c r="M292" s="70" t="s">
        <v>1030</v>
      </c>
      <c r="N292" s="97" t="s">
        <v>414</v>
      </c>
      <c r="O292" s="58"/>
      <c r="P292" s="58" t="s">
        <v>24</v>
      </c>
      <c r="Q292" s="58" t="s">
        <v>23</v>
      </c>
      <c r="R292" s="58" t="s">
        <v>272</v>
      </c>
    </row>
    <row r="293" spans="1:18" ht="69" customHeight="1">
      <c r="A293" s="168"/>
      <c r="B293" s="178">
        <v>8198</v>
      </c>
      <c r="C293" s="178" t="s">
        <v>309</v>
      </c>
      <c r="D293" s="575" t="s">
        <v>1227</v>
      </c>
      <c r="E293" s="178" t="s">
        <v>1074</v>
      </c>
      <c r="F293" s="210" t="s">
        <v>1228</v>
      </c>
      <c r="G293" s="58" t="s">
        <v>1223</v>
      </c>
      <c r="H293" s="546">
        <v>73597.2</v>
      </c>
      <c r="I293" s="66">
        <v>44921</v>
      </c>
      <c r="J293" s="65" t="s">
        <v>1224</v>
      </c>
      <c r="K293" s="58"/>
      <c r="L293" s="99"/>
      <c r="M293" s="70" t="s">
        <v>1030</v>
      </c>
      <c r="N293" s="97" t="s">
        <v>414</v>
      </c>
      <c r="O293" s="58"/>
      <c r="P293" s="58" t="s">
        <v>24</v>
      </c>
      <c r="Q293" s="58" t="s">
        <v>23</v>
      </c>
      <c r="R293" s="58" t="s">
        <v>272</v>
      </c>
    </row>
    <row r="294" spans="1:18" ht="69" customHeight="1">
      <c r="A294" s="168"/>
      <c r="B294" s="178">
        <v>9029</v>
      </c>
      <c r="C294" s="178" t="s">
        <v>309</v>
      </c>
      <c r="D294" s="575" t="s">
        <v>1229</v>
      </c>
      <c r="E294" s="178" t="s">
        <v>1115</v>
      </c>
      <c r="F294" s="210" t="s">
        <v>1230</v>
      </c>
      <c r="G294" s="58" t="s">
        <v>1231</v>
      </c>
      <c r="H294" s="546">
        <v>107928.75</v>
      </c>
      <c r="I294" s="66">
        <v>45000</v>
      </c>
      <c r="J294" s="65" t="s">
        <v>1232</v>
      </c>
      <c r="K294" s="58"/>
      <c r="L294" s="99"/>
      <c r="M294" s="70" t="s">
        <v>1043</v>
      </c>
      <c r="N294" s="97" t="s">
        <v>1044</v>
      </c>
      <c r="O294" s="58"/>
      <c r="P294" s="58" t="s">
        <v>26</v>
      </c>
      <c r="Q294" s="58" t="s">
        <v>23</v>
      </c>
      <c r="R294" s="58" t="s">
        <v>272</v>
      </c>
    </row>
    <row r="295" spans="1:18" ht="69" customHeight="1">
      <c r="A295" s="168"/>
      <c r="B295" s="191">
        <v>9098</v>
      </c>
      <c r="C295" s="191" t="s">
        <v>309</v>
      </c>
      <c r="D295" s="533" t="s">
        <v>1233</v>
      </c>
      <c r="E295" s="191" t="s">
        <v>1234</v>
      </c>
      <c r="F295" s="211" t="s">
        <v>1235</v>
      </c>
      <c r="G295" s="46" t="s">
        <v>1236</v>
      </c>
      <c r="H295" s="534">
        <v>9418.06</v>
      </c>
      <c r="I295" s="56">
        <v>45002</v>
      </c>
      <c r="J295" s="199" t="s">
        <v>1237</v>
      </c>
      <c r="K295" s="46" t="s">
        <v>1176</v>
      </c>
      <c r="L295" s="99"/>
      <c r="M295" s="379"/>
      <c r="N295" s="76" t="s">
        <v>414</v>
      </c>
      <c r="O295" s="46" t="s">
        <v>1238</v>
      </c>
      <c r="P295" s="46" t="s">
        <v>65</v>
      </c>
      <c r="Q295" s="46" t="s">
        <v>23</v>
      </c>
      <c r="R295" s="46" t="s">
        <v>272</v>
      </c>
    </row>
    <row r="296" spans="1:18" ht="69" customHeight="1">
      <c r="A296" s="168"/>
      <c r="B296" s="178">
        <v>9420</v>
      </c>
      <c r="C296" s="178" t="s">
        <v>309</v>
      </c>
      <c r="D296" s="575" t="s">
        <v>1239</v>
      </c>
      <c r="E296" s="178" t="s">
        <v>1046</v>
      </c>
      <c r="F296" s="210" t="s">
        <v>1240</v>
      </c>
      <c r="G296" s="58" t="s">
        <v>1241</v>
      </c>
      <c r="H296" s="546">
        <v>34800</v>
      </c>
      <c r="I296" s="66">
        <v>45012</v>
      </c>
      <c r="J296" s="65" t="s">
        <v>1242</v>
      </c>
      <c r="K296" s="58"/>
      <c r="L296" s="99"/>
      <c r="M296" s="70" t="s">
        <v>1050</v>
      </c>
      <c r="N296" s="97" t="s">
        <v>414</v>
      </c>
      <c r="O296" s="58"/>
      <c r="P296" s="58" t="s">
        <v>24</v>
      </c>
      <c r="Q296" s="58" t="s">
        <v>23</v>
      </c>
      <c r="R296" s="58" t="s">
        <v>265</v>
      </c>
    </row>
    <row r="297" spans="1:18" ht="69" customHeight="1">
      <c r="A297" s="168"/>
      <c r="B297" s="178">
        <v>9436</v>
      </c>
      <c r="C297" s="178" t="s">
        <v>309</v>
      </c>
      <c r="D297" s="575" t="s">
        <v>1243</v>
      </c>
      <c r="E297" s="178" t="s">
        <v>1046</v>
      </c>
      <c r="F297" s="210" t="s">
        <v>1244</v>
      </c>
      <c r="G297" s="58" t="s">
        <v>1241</v>
      </c>
      <c r="H297" s="546">
        <v>37142.04</v>
      </c>
      <c r="I297" s="66">
        <v>45012</v>
      </c>
      <c r="J297" s="65" t="s">
        <v>1245</v>
      </c>
      <c r="K297" s="58"/>
      <c r="L297" s="99"/>
      <c r="M297" s="70" t="s">
        <v>1050</v>
      </c>
      <c r="N297" s="97" t="s">
        <v>414</v>
      </c>
      <c r="O297" s="58"/>
      <c r="P297" s="58" t="s">
        <v>24</v>
      </c>
      <c r="Q297" s="58" t="s">
        <v>23</v>
      </c>
      <c r="R297" s="58" t="s">
        <v>265</v>
      </c>
    </row>
    <row r="298" spans="1:18" ht="69" customHeight="1">
      <c r="A298" s="168"/>
      <c r="B298" s="178">
        <v>9437</v>
      </c>
      <c r="C298" s="178" t="s">
        <v>309</v>
      </c>
      <c r="D298" s="575" t="s">
        <v>1246</v>
      </c>
      <c r="E298" s="178" t="s">
        <v>1046</v>
      </c>
      <c r="F298" s="210" t="s">
        <v>1247</v>
      </c>
      <c r="G298" s="58" t="s">
        <v>1241</v>
      </c>
      <c r="H298" s="546">
        <v>2342.04</v>
      </c>
      <c r="I298" s="66">
        <v>45012</v>
      </c>
      <c r="J298" s="65" t="s">
        <v>1245</v>
      </c>
      <c r="K298" s="58"/>
      <c r="L298" s="99"/>
      <c r="M298" s="70" t="s">
        <v>1050</v>
      </c>
      <c r="N298" s="97" t="s">
        <v>414</v>
      </c>
      <c r="O298" s="58"/>
      <c r="P298" s="58" t="s">
        <v>24</v>
      </c>
      <c r="Q298" s="58" t="s">
        <v>23</v>
      </c>
      <c r="R298" s="58" t="s">
        <v>265</v>
      </c>
    </row>
    <row r="299" spans="1:18" ht="69" customHeight="1">
      <c r="A299" s="168"/>
      <c r="B299" s="178">
        <v>9438</v>
      </c>
      <c r="C299" s="178" t="s">
        <v>309</v>
      </c>
      <c r="D299" s="575" t="s">
        <v>1248</v>
      </c>
      <c r="E299" s="178" t="s">
        <v>1046</v>
      </c>
      <c r="F299" s="210" t="s">
        <v>1249</v>
      </c>
      <c r="G299" s="58" t="s">
        <v>1241</v>
      </c>
      <c r="H299" s="546">
        <v>2342.0500000000002</v>
      </c>
      <c r="I299" s="66">
        <v>45012</v>
      </c>
      <c r="J299" s="65" t="s">
        <v>1245</v>
      </c>
      <c r="K299" s="58"/>
      <c r="L299" s="99"/>
      <c r="M299" s="70" t="s">
        <v>1050</v>
      </c>
      <c r="N299" s="97" t="s">
        <v>414</v>
      </c>
      <c r="O299" s="58"/>
      <c r="P299" s="58" t="s">
        <v>24</v>
      </c>
      <c r="Q299" s="58" t="s">
        <v>23</v>
      </c>
      <c r="R299" s="58" t="s">
        <v>265</v>
      </c>
    </row>
    <row r="300" spans="1:18" ht="69" customHeight="1">
      <c r="A300" s="168"/>
      <c r="B300" s="191">
        <v>9943</v>
      </c>
      <c r="C300" s="191" t="s">
        <v>309</v>
      </c>
      <c r="D300" s="533"/>
      <c r="E300" s="191" t="s">
        <v>1046</v>
      </c>
      <c r="F300" s="211" t="s">
        <v>1250</v>
      </c>
      <c r="G300" s="46" t="s">
        <v>1251</v>
      </c>
      <c r="H300" s="534">
        <v>2900</v>
      </c>
      <c r="I300" s="56">
        <v>45061</v>
      </c>
      <c r="J300" s="283" t="s">
        <v>1252</v>
      </c>
      <c r="K300" s="46" t="s">
        <v>1170</v>
      </c>
      <c r="L300" s="99"/>
      <c r="M300" s="70" t="s">
        <v>1050</v>
      </c>
      <c r="N300" s="97" t="s">
        <v>414</v>
      </c>
      <c r="O300" s="46" t="s">
        <v>1253</v>
      </c>
      <c r="P300" s="46" t="s">
        <v>65</v>
      </c>
      <c r="Q300" s="46" t="s">
        <v>23</v>
      </c>
      <c r="R300" s="46" t="s">
        <v>265</v>
      </c>
    </row>
    <row r="301" spans="1:18" ht="69" customHeight="1">
      <c r="A301" s="168"/>
      <c r="B301" s="178">
        <v>1808</v>
      </c>
      <c r="C301" s="178" t="s">
        <v>303</v>
      </c>
      <c r="D301" s="575" t="s">
        <v>1254</v>
      </c>
      <c r="E301" s="178" t="s">
        <v>305</v>
      </c>
      <c r="F301" s="210" t="s">
        <v>1255</v>
      </c>
      <c r="G301" s="58"/>
      <c r="H301" s="546">
        <v>10000</v>
      </c>
      <c r="I301" s="66">
        <v>44397</v>
      </c>
      <c r="J301" s="65" t="s">
        <v>1256</v>
      </c>
      <c r="K301" s="58"/>
      <c r="L301" s="99"/>
      <c r="M301" s="70" t="s">
        <v>1257</v>
      </c>
      <c r="N301" s="97" t="s">
        <v>270</v>
      </c>
      <c r="O301" s="58"/>
      <c r="P301" s="58" t="s">
        <v>44</v>
      </c>
      <c r="Q301" s="58" t="s">
        <v>25</v>
      </c>
      <c r="R301" s="58" t="s">
        <v>272</v>
      </c>
    </row>
    <row r="302" spans="1:18" ht="69" customHeight="1">
      <c r="A302" s="168"/>
      <c r="B302" s="178">
        <v>2054</v>
      </c>
      <c r="C302" s="178" t="s">
        <v>259</v>
      </c>
      <c r="D302" s="575" t="s">
        <v>96</v>
      </c>
      <c r="E302" s="178" t="s">
        <v>266</v>
      </c>
      <c r="F302" s="210" t="s">
        <v>1258</v>
      </c>
      <c r="G302" s="575" t="s">
        <v>96</v>
      </c>
      <c r="H302" s="546">
        <v>10496.25</v>
      </c>
      <c r="I302" s="66">
        <v>44438</v>
      </c>
      <c r="J302" s="65" t="s">
        <v>268</v>
      </c>
      <c r="K302" s="58"/>
      <c r="L302" s="99"/>
      <c r="M302" s="70" t="s">
        <v>1257</v>
      </c>
      <c r="N302" s="97" t="s">
        <v>270</v>
      </c>
      <c r="O302" s="58"/>
      <c r="P302" s="58" t="s">
        <v>44</v>
      </c>
      <c r="Q302" s="58" t="s">
        <v>25</v>
      </c>
      <c r="R302" s="58" t="s">
        <v>272</v>
      </c>
    </row>
    <row r="303" spans="1:18" ht="69" customHeight="1">
      <c r="A303" s="168"/>
      <c r="B303" s="178">
        <v>2246</v>
      </c>
      <c r="C303" s="178" t="s">
        <v>259</v>
      </c>
      <c r="D303" s="575" t="s">
        <v>96</v>
      </c>
      <c r="E303" s="178" t="s">
        <v>266</v>
      </c>
      <c r="F303" s="210" t="s">
        <v>1259</v>
      </c>
      <c r="G303" s="575" t="s">
        <v>96</v>
      </c>
      <c r="H303" s="546">
        <v>508.78</v>
      </c>
      <c r="I303" s="66">
        <v>44466</v>
      </c>
      <c r="J303" s="65" t="s">
        <v>1260</v>
      </c>
      <c r="K303" s="58"/>
      <c r="L303" s="99"/>
      <c r="M303" s="70" t="s">
        <v>1257</v>
      </c>
      <c r="N303" s="97" t="s">
        <v>270</v>
      </c>
      <c r="O303" s="58"/>
      <c r="P303" s="58" t="s">
        <v>44</v>
      </c>
      <c r="Q303" s="58" t="s">
        <v>25</v>
      </c>
      <c r="R303" s="58" t="s">
        <v>272</v>
      </c>
    </row>
    <row r="304" spans="1:18" ht="69" customHeight="1">
      <c r="A304" s="168"/>
      <c r="B304" s="178">
        <v>2247</v>
      </c>
      <c r="C304" s="178" t="s">
        <v>259</v>
      </c>
      <c r="D304" s="575" t="s">
        <v>96</v>
      </c>
      <c r="E304" s="178" t="s">
        <v>266</v>
      </c>
      <c r="F304" s="210" t="s">
        <v>1261</v>
      </c>
      <c r="G304" s="575" t="s">
        <v>96</v>
      </c>
      <c r="H304" s="546">
        <v>469.14</v>
      </c>
      <c r="I304" s="66">
        <v>44466</v>
      </c>
      <c r="J304" s="65" t="s">
        <v>1262</v>
      </c>
      <c r="K304" s="58"/>
      <c r="L304" s="99"/>
      <c r="M304" s="70" t="s">
        <v>1257</v>
      </c>
      <c r="N304" s="97" t="s">
        <v>270</v>
      </c>
      <c r="O304" s="58"/>
      <c r="P304" s="58" t="s">
        <v>44</v>
      </c>
      <c r="Q304" s="58" t="s">
        <v>25</v>
      </c>
      <c r="R304" s="58" t="s">
        <v>272</v>
      </c>
    </row>
    <row r="305" spans="1:18" ht="69" customHeight="1">
      <c r="A305" s="168"/>
      <c r="B305" s="178">
        <v>2248</v>
      </c>
      <c r="C305" s="178" t="s">
        <v>259</v>
      </c>
      <c r="D305" s="575" t="s">
        <v>96</v>
      </c>
      <c r="E305" s="178" t="s">
        <v>266</v>
      </c>
      <c r="F305" s="210" t="s">
        <v>1263</v>
      </c>
      <c r="G305" s="575" t="s">
        <v>96</v>
      </c>
      <c r="H305" s="546">
        <v>108.59</v>
      </c>
      <c r="I305" s="66">
        <v>44466</v>
      </c>
      <c r="J305" s="65" t="s">
        <v>1264</v>
      </c>
      <c r="K305" s="58"/>
      <c r="L305" s="99"/>
      <c r="M305" s="70" t="s">
        <v>1257</v>
      </c>
      <c r="N305" s="97" t="s">
        <v>270</v>
      </c>
      <c r="O305" s="58"/>
      <c r="P305" s="58" t="s">
        <v>44</v>
      </c>
      <c r="Q305" s="58" t="s">
        <v>25</v>
      </c>
      <c r="R305" s="58" t="s">
        <v>272</v>
      </c>
    </row>
    <row r="306" spans="1:18" ht="69" customHeight="1">
      <c r="A306" s="168"/>
      <c r="B306" s="178">
        <v>2249</v>
      </c>
      <c r="C306" s="178" t="s">
        <v>259</v>
      </c>
      <c r="D306" s="575" t="s">
        <v>96</v>
      </c>
      <c r="E306" s="178" t="s">
        <v>266</v>
      </c>
      <c r="F306" s="210" t="s">
        <v>1265</v>
      </c>
      <c r="G306" s="575" t="s">
        <v>96</v>
      </c>
      <c r="H306" s="546">
        <v>47.9</v>
      </c>
      <c r="I306" s="66">
        <v>44466</v>
      </c>
      <c r="J306" s="65" t="s">
        <v>1266</v>
      </c>
      <c r="K306" s="58"/>
      <c r="L306" s="99"/>
      <c r="M306" s="70" t="s">
        <v>1257</v>
      </c>
      <c r="N306" s="97" t="s">
        <v>270</v>
      </c>
      <c r="O306" s="58"/>
      <c r="P306" s="58" t="s">
        <v>44</v>
      </c>
      <c r="Q306" s="58" t="s">
        <v>25</v>
      </c>
      <c r="R306" s="58" t="s">
        <v>272</v>
      </c>
    </row>
    <row r="307" spans="1:18" ht="69" customHeight="1">
      <c r="A307" s="168"/>
      <c r="B307" s="178">
        <v>2110</v>
      </c>
      <c r="C307" s="178" t="s">
        <v>259</v>
      </c>
      <c r="D307" s="575"/>
      <c r="E307" s="178" t="s">
        <v>266</v>
      </c>
      <c r="F307" s="210" t="s">
        <v>1267</v>
      </c>
      <c r="G307" s="58"/>
      <c r="H307" s="546">
        <v>8397</v>
      </c>
      <c r="I307" s="66">
        <v>44455</v>
      </c>
      <c r="J307" s="65" t="s">
        <v>281</v>
      </c>
      <c r="K307" s="58"/>
      <c r="L307" s="99"/>
      <c r="M307" s="70" t="s">
        <v>1257</v>
      </c>
      <c r="N307" s="97" t="s">
        <v>270</v>
      </c>
      <c r="O307" s="58"/>
      <c r="P307" s="58" t="s">
        <v>44</v>
      </c>
      <c r="Q307" s="58" t="s">
        <v>25</v>
      </c>
      <c r="R307" s="58" t="s">
        <v>272</v>
      </c>
    </row>
    <row r="308" spans="1:18" ht="69" customHeight="1">
      <c r="A308" s="168"/>
      <c r="B308" s="178">
        <v>2348</v>
      </c>
      <c r="C308" s="178" t="s">
        <v>259</v>
      </c>
      <c r="D308" s="575" t="s">
        <v>1268</v>
      </c>
      <c r="E308" s="178" t="s">
        <v>266</v>
      </c>
      <c r="F308" s="210" t="s">
        <v>1269</v>
      </c>
      <c r="G308" s="58"/>
      <c r="H308" s="546">
        <v>6180</v>
      </c>
      <c r="I308" s="66">
        <v>44503</v>
      </c>
      <c r="J308" s="65" t="s">
        <v>1270</v>
      </c>
      <c r="K308" s="58"/>
      <c r="L308" s="99"/>
      <c r="M308" s="70" t="s">
        <v>1257</v>
      </c>
      <c r="N308" s="97" t="s">
        <v>270</v>
      </c>
      <c r="O308" s="58"/>
      <c r="P308" s="58" t="s">
        <v>44</v>
      </c>
      <c r="Q308" s="58" t="s">
        <v>25</v>
      </c>
      <c r="R308" s="58" t="s">
        <v>272</v>
      </c>
    </row>
    <row r="309" spans="1:18" ht="69" customHeight="1">
      <c r="A309" s="168"/>
      <c r="B309" s="178">
        <v>2856</v>
      </c>
      <c r="C309" s="178" t="s">
        <v>309</v>
      </c>
      <c r="D309" s="575" t="s">
        <v>1271</v>
      </c>
      <c r="E309" s="178" t="s">
        <v>266</v>
      </c>
      <c r="F309" s="210" t="s">
        <v>1272</v>
      </c>
      <c r="G309" s="58" t="s">
        <v>325</v>
      </c>
      <c r="H309" s="546">
        <v>4235.3</v>
      </c>
      <c r="I309" s="66" t="s">
        <v>96</v>
      </c>
      <c r="J309" s="65" t="s">
        <v>1273</v>
      </c>
      <c r="K309" s="58"/>
      <c r="L309" s="99"/>
      <c r="M309" s="70" t="s">
        <v>1257</v>
      </c>
      <c r="N309" s="97" t="s">
        <v>270</v>
      </c>
      <c r="O309" s="58"/>
      <c r="P309" s="58" t="s">
        <v>44</v>
      </c>
      <c r="Q309" s="58" t="s">
        <v>25</v>
      </c>
      <c r="R309" s="58" t="s">
        <v>272</v>
      </c>
    </row>
    <row r="310" spans="1:18" ht="69" customHeight="1">
      <c r="A310" s="168"/>
      <c r="B310" s="191">
        <v>2964</v>
      </c>
      <c r="C310" s="191" t="s">
        <v>309</v>
      </c>
      <c r="D310" s="533" t="s">
        <v>1274</v>
      </c>
      <c r="E310" s="191" t="s">
        <v>331</v>
      </c>
      <c r="F310" s="211" t="s">
        <v>1275</v>
      </c>
      <c r="G310" s="46" t="s">
        <v>1276</v>
      </c>
      <c r="H310" s="534">
        <v>0</v>
      </c>
      <c r="I310" s="56" t="s">
        <v>96</v>
      </c>
      <c r="J310" s="199" t="s">
        <v>334</v>
      </c>
      <c r="K310" s="46"/>
      <c r="L310" s="99"/>
      <c r="M310" s="379" t="s">
        <v>25</v>
      </c>
      <c r="N310" s="76" t="s">
        <v>69</v>
      </c>
      <c r="O310" s="46"/>
      <c r="P310" s="46" t="s">
        <v>69</v>
      </c>
      <c r="Q310" s="46" t="s">
        <v>25</v>
      </c>
      <c r="R310" s="46" t="s">
        <v>272</v>
      </c>
    </row>
    <row r="311" spans="1:18" ht="69" customHeight="1">
      <c r="A311" s="168"/>
      <c r="B311" s="178">
        <v>3063</v>
      </c>
      <c r="C311" s="178" t="s">
        <v>259</v>
      </c>
      <c r="D311" s="575"/>
      <c r="E311" s="178" t="s">
        <v>266</v>
      </c>
      <c r="F311" s="210" t="s">
        <v>1277</v>
      </c>
      <c r="G311" s="58" t="s">
        <v>392</v>
      </c>
      <c r="H311" s="546">
        <v>106.59</v>
      </c>
      <c r="I311" s="66">
        <v>44601</v>
      </c>
      <c r="J311" s="65" t="s">
        <v>1278</v>
      </c>
      <c r="K311" s="58"/>
      <c r="L311" s="99"/>
      <c r="M311" s="70" t="s">
        <v>1257</v>
      </c>
      <c r="N311" s="97" t="s">
        <v>270</v>
      </c>
      <c r="O311" s="58"/>
      <c r="P311" s="58" t="s">
        <v>44</v>
      </c>
      <c r="Q311" s="58" t="s">
        <v>25</v>
      </c>
      <c r="R311" s="58" t="s">
        <v>272</v>
      </c>
    </row>
    <row r="312" spans="1:18" ht="69" customHeight="1">
      <c r="A312" s="168"/>
      <c r="B312" s="178">
        <v>3064</v>
      </c>
      <c r="C312" s="178" t="s">
        <v>259</v>
      </c>
      <c r="D312" s="575"/>
      <c r="E312" s="178" t="s">
        <v>266</v>
      </c>
      <c r="F312" s="210" t="s">
        <v>1279</v>
      </c>
      <c r="G312" s="58" t="s">
        <v>392</v>
      </c>
      <c r="H312" s="546">
        <v>130.94</v>
      </c>
      <c r="I312" s="66">
        <v>44601</v>
      </c>
      <c r="J312" s="65" t="s">
        <v>1280</v>
      </c>
      <c r="K312" s="58"/>
      <c r="L312" s="99"/>
      <c r="M312" s="70" t="s">
        <v>1257</v>
      </c>
      <c r="N312" s="97" t="s">
        <v>270</v>
      </c>
      <c r="O312" s="58"/>
      <c r="P312" s="58" t="s">
        <v>44</v>
      </c>
      <c r="Q312" s="58" t="s">
        <v>25</v>
      </c>
      <c r="R312" s="58" t="s">
        <v>272</v>
      </c>
    </row>
    <row r="313" spans="1:18" ht="69" customHeight="1">
      <c r="A313" s="168"/>
      <c r="B313" s="178">
        <v>3065</v>
      </c>
      <c r="C313" s="178" t="s">
        <v>259</v>
      </c>
      <c r="D313" s="575"/>
      <c r="E313" s="178" t="s">
        <v>266</v>
      </c>
      <c r="F313" s="210" t="s">
        <v>1281</v>
      </c>
      <c r="G313" s="58" t="s">
        <v>392</v>
      </c>
      <c r="H313" s="546">
        <v>22.76</v>
      </c>
      <c r="I313" s="66">
        <v>44601</v>
      </c>
      <c r="J313" s="65" t="s">
        <v>1282</v>
      </c>
      <c r="K313" s="58"/>
      <c r="L313" s="99"/>
      <c r="M313" s="70" t="s">
        <v>1257</v>
      </c>
      <c r="N313" s="97" t="s">
        <v>270</v>
      </c>
      <c r="O313" s="58"/>
      <c r="P313" s="58" t="s">
        <v>44</v>
      </c>
      <c r="Q313" s="58" t="s">
        <v>25</v>
      </c>
      <c r="R313" s="58" t="s">
        <v>272</v>
      </c>
    </row>
    <row r="314" spans="1:18" ht="69" customHeight="1">
      <c r="A314" s="168"/>
      <c r="B314" s="178">
        <v>3066</v>
      </c>
      <c r="C314" s="178" t="s">
        <v>259</v>
      </c>
      <c r="D314" s="575"/>
      <c r="E314" s="178" t="s">
        <v>266</v>
      </c>
      <c r="F314" s="210" t="s">
        <v>1283</v>
      </c>
      <c r="G314" s="58" t="s">
        <v>392</v>
      </c>
      <c r="H314" s="546">
        <v>10.029999999999999</v>
      </c>
      <c r="I314" s="66">
        <v>44601</v>
      </c>
      <c r="J314" s="65" t="s">
        <v>1284</v>
      </c>
      <c r="K314" s="58"/>
      <c r="L314" s="99"/>
      <c r="M314" s="70" t="s">
        <v>1257</v>
      </c>
      <c r="N314" s="97" t="s">
        <v>270</v>
      </c>
      <c r="O314" s="58"/>
      <c r="P314" s="58" t="s">
        <v>44</v>
      </c>
      <c r="Q314" s="58" t="s">
        <v>25</v>
      </c>
      <c r="R314" s="58" t="s">
        <v>272</v>
      </c>
    </row>
    <row r="315" spans="1:18" ht="69" customHeight="1">
      <c r="A315" s="168"/>
      <c r="B315" s="178">
        <v>3115</v>
      </c>
      <c r="C315" s="178" t="s">
        <v>309</v>
      </c>
      <c r="D315" s="575" t="s">
        <v>1285</v>
      </c>
      <c r="E315" s="178" t="s">
        <v>358</v>
      </c>
      <c r="F315" s="210" t="s">
        <v>1286</v>
      </c>
      <c r="G315" s="58" t="s">
        <v>360</v>
      </c>
      <c r="H315" s="546">
        <v>102000</v>
      </c>
      <c r="I315" s="66">
        <v>44610</v>
      </c>
      <c r="J315" s="65" t="s">
        <v>1287</v>
      </c>
      <c r="K315" s="58" t="s">
        <v>1288</v>
      </c>
      <c r="L315" s="99"/>
      <c r="M315" s="70" t="s">
        <v>1289</v>
      </c>
      <c r="N315" s="97" t="s">
        <v>356</v>
      </c>
      <c r="O315" s="58" t="s">
        <v>141</v>
      </c>
      <c r="P315" s="58" t="s">
        <v>19</v>
      </c>
      <c r="Q315" s="58" t="s">
        <v>25</v>
      </c>
      <c r="R315" s="58" t="s">
        <v>272</v>
      </c>
    </row>
    <row r="316" spans="1:18" ht="69" customHeight="1">
      <c r="A316" s="168"/>
      <c r="B316" s="178">
        <v>4067</v>
      </c>
      <c r="C316" s="178" t="s">
        <v>259</v>
      </c>
      <c r="D316" s="575"/>
      <c r="E316" s="178" t="s">
        <v>266</v>
      </c>
      <c r="F316" s="210" t="s">
        <v>1290</v>
      </c>
      <c r="G316" s="58" t="s">
        <v>1291</v>
      </c>
      <c r="H316" s="546">
        <v>2099.25</v>
      </c>
      <c r="I316" s="66">
        <v>44638</v>
      </c>
      <c r="J316" s="65" t="s">
        <v>1292</v>
      </c>
      <c r="K316" s="58"/>
      <c r="L316" s="99"/>
      <c r="M316" s="70" t="s">
        <v>1257</v>
      </c>
      <c r="N316" s="97" t="s">
        <v>270</v>
      </c>
      <c r="O316" s="58"/>
      <c r="P316" s="58" t="s">
        <v>44</v>
      </c>
      <c r="Q316" s="58" t="s">
        <v>25</v>
      </c>
      <c r="R316" s="58" t="s">
        <v>272</v>
      </c>
    </row>
    <row r="317" spans="1:18" ht="69" customHeight="1">
      <c r="A317" s="168"/>
      <c r="B317" s="178">
        <v>4181</v>
      </c>
      <c r="C317" s="178" t="s">
        <v>309</v>
      </c>
      <c r="D317" s="575" t="s">
        <v>1293</v>
      </c>
      <c r="E317" s="178" t="s">
        <v>358</v>
      </c>
      <c r="F317" s="210" t="s">
        <v>1294</v>
      </c>
      <c r="G317" s="58" t="s">
        <v>529</v>
      </c>
      <c r="H317" s="546">
        <v>150000</v>
      </c>
      <c r="I317" s="66">
        <v>44648</v>
      </c>
      <c r="J317" s="65" t="s">
        <v>1295</v>
      </c>
      <c r="K317" s="58" t="s">
        <v>1288</v>
      </c>
      <c r="L317" s="99"/>
      <c r="M317" s="70" t="s">
        <v>1289</v>
      </c>
      <c r="N317" s="97" t="s">
        <v>356</v>
      </c>
      <c r="O317" s="58" t="s">
        <v>141</v>
      </c>
      <c r="P317" s="58" t="s">
        <v>19</v>
      </c>
      <c r="Q317" s="58" t="s">
        <v>25</v>
      </c>
      <c r="R317" s="58" t="s">
        <v>272</v>
      </c>
    </row>
    <row r="318" spans="1:18" ht="69" customHeight="1">
      <c r="A318" s="168"/>
      <c r="B318" s="178">
        <v>4633</v>
      </c>
      <c r="C318" s="178" t="s">
        <v>309</v>
      </c>
      <c r="D318" s="575" t="s">
        <v>1296</v>
      </c>
      <c r="E318" s="178" t="s">
        <v>358</v>
      </c>
      <c r="F318" s="210" t="s">
        <v>1297</v>
      </c>
      <c r="G318" s="58" t="s">
        <v>529</v>
      </c>
      <c r="H318" s="546">
        <v>102000</v>
      </c>
      <c r="I318" s="66">
        <v>44676</v>
      </c>
      <c r="J318" s="65" t="s">
        <v>1298</v>
      </c>
      <c r="K318" s="58" t="s">
        <v>1288</v>
      </c>
      <c r="L318" s="99"/>
      <c r="M318" s="70" t="s">
        <v>1289</v>
      </c>
      <c r="N318" s="97" t="s">
        <v>356</v>
      </c>
      <c r="O318" s="58" t="s">
        <v>141</v>
      </c>
      <c r="P318" s="58" t="s">
        <v>19</v>
      </c>
      <c r="Q318" s="58" t="s">
        <v>25</v>
      </c>
      <c r="R318" s="58" t="s">
        <v>272</v>
      </c>
    </row>
    <row r="319" spans="1:18" ht="69" customHeight="1">
      <c r="A319" s="168"/>
      <c r="B319" s="178">
        <v>4700</v>
      </c>
      <c r="C319" s="178" t="s">
        <v>309</v>
      </c>
      <c r="D319" s="575" t="s">
        <v>1299</v>
      </c>
      <c r="E319" s="178" t="s">
        <v>331</v>
      </c>
      <c r="F319" s="210" t="s">
        <v>1300</v>
      </c>
      <c r="G319" s="58"/>
      <c r="H319" s="546">
        <v>2635.98</v>
      </c>
      <c r="I319" s="66">
        <v>44678</v>
      </c>
      <c r="J319" s="65" t="s">
        <v>1301</v>
      </c>
      <c r="K319" s="58"/>
      <c r="L319" s="99"/>
      <c r="M319" s="70" t="s">
        <v>1257</v>
      </c>
      <c r="N319" s="97" t="s">
        <v>270</v>
      </c>
      <c r="O319" s="58"/>
      <c r="P319" s="58" t="s">
        <v>44</v>
      </c>
      <c r="Q319" s="58" t="s">
        <v>25</v>
      </c>
      <c r="R319" s="58" t="s">
        <v>272</v>
      </c>
    </row>
    <row r="320" spans="1:18" ht="69" customHeight="1">
      <c r="A320" s="168"/>
      <c r="B320" s="178">
        <v>4758</v>
      </c>
      <c r="C320" s="178" t="s">
        <v>309</v>
      </c>
      <c r="D320" s="575" t="s">
        <v>1302</v>
      </c>
      <c r="E320" s="178" t="s">
        <v>350</v>
      </c>
      <c r="F320" s="210" t="s">
        <v>1303</v>
      </c>
      <c r="G320" s="58" t="s">
        <v>352</v>
      </c>
      <c r="H320" s="546">
        <v>25882.21</v>
      </c>
      <c r="I320" s="66">
        <v>44686</v>
      </c>
      <c r="J320" s="65" t="s">
        <v>1304</v>
      </c>
      <c r="K320" s="58" t="s">
        <v>1288</v>
      </c>
      <c r="L320" s="99"/>
      <c r="M320" s="70" t="s">
        <v>1305</v>
      </c>
      <c r="N320" s="97" t="s">
        <v>356</v>
      </c>
      <c r="O320" s="58" t="s">
        <v>141</v>
      </c>
      <c r="P320" s="58" t="s">
        <v>19</v>
      </c>
      <c r="Q320" s="58" t="s">
        <v>25</v>
      </c>
      <c r="R320" s="58" t="s">
        <v>265</v>
      </c>
    </row>
    <row r="321" spans="1:18" ht="69" customHeight="1">
      <c r="A321" s="168"/>
      <c r="B321" s="178">
        <v>4196</v>
      </c>
      <c r="C321" s="178" t="s">
        <v>309</v>
      </c>
      <c r="D321" s="575" t="s">
        <v>1306</v>
      </c>
      <c r="E321" s="178" t="s">
        <v>266</v>
      </c>
      <c r="F321" s="210" t="s">
        <v>1307</v>
      </c>
      <c r="G321" s="58" t="s">
        <v>376</v>
      </c>
      <c r="H321" s="546">
        <v>4147.0600000000004</v>
      </c>
      <c r="I321" s="66">
        <v>44697</v>
      </c>
      <c r="J321" s="65" t="s">
        <v>1308</v>
      </c>
      <c r="K321" s="58"/>
      <c r="L321" s="99"/>
      <c r="M321" s="70" t="s">
        <v>1257</v>
      </c>
      <c r="N321" s="97" t="s">
        <v>270</v>
      </c>
      <c r="O321" s="58"/>
      <c r="P321" s="58" t="s">
        <v>44</v>
      </c>
      <c r="Q321" s="58" t="s">
        <v>25</v>
      </c>
      <c r="R321" s="58" t="s">
        <v>272</v>
      </c>
    </row>
    <row r="322" spans="1:18" ht="69" customHeight="1">
      <c r="A322" s="168"/>
      <c r="B322" s="178">
        <v>4872</v>
      </c>
      <c r="C322" s="178" t="s">
        <v>309</v>
      </c>
      <c r="D322" s="575" t="s">
        <v>1309</v>
      </c>
      <c r="E322" s="178" t="s">
        <v>266</v>
      </c>
      <c r="F322" s="210" t="s">
        <v>1310</v>
      </c>
      <c r="G322" s="58" t="s">
        <v>680</v>
      </c>
      <c r="H322" s="546">
        <v>6206.9</v>
      </c>
      <c r="I322" s="66">
        <v>44706</v>
      </c>
      <c r="J322" s="65" t="s">
        <v>1311</v>
      </c>
      <c r="K322" s="58"/>
      <c r="L322" s="99"/>
      <c r="M322" s="70" t="s">
        <v>1312</v>
      </c>
      <c r="N322" s="97" t="s">
        <v>683</v>
      </c>
      <c r="O322" s="58" t="s">
        <v>684</v>
      </c>
      <c r="P322" s="58" t="s">
        <v>46</v>
      </c>
      <c r="Q322" s="58" t="s">
        <v>25</v>
      </c>
      <c r="R322" s="58" t="s">
        <v>272</v>
      </c>
    </row>
    <row r="323" spans="1:18" ht="69" customHeight="1">
      <c r="A323" s="168"/>
      <c r="B323" s="178">
        <v>4700</v>
      </c>
      <c r="C323" s="178" t="s">
        <v>309</v>
      </c>
      <c r="D323" s="575" t="s">
        <v>1313</v>
      </c>
      <c r="E323" s="178" t="s">
        <v>331</v>
      </c>
      <c r="F323" s="210" t="s">
        <v>1314</v>
      </c>
      <c r="G323" s="58" t="s">
        <v>372</v>
      </c>
      <c r="H323" s="546">
        <v>23723.850000000002</v>
      </c>
      <c r="I323" s="66">
        <v>44701</v>
      </c>
      <c r="J323" s="65" t="s">
        <v>1315</v>
      </c>
      <c r="K323" s="58"/>
      <c r="L323" s="99"/>
      <c r="M323" s="70" t="s">
        <v>1257</v>
      </c>
      <c r="N323" s="97" t="s">
        <v>270</v>
      </c>
      <c r="O323" s="58"/>
      <c r="P323" s="58" t="s">
        <v>44</v>
      </c>
      <c r="Q323" s="58" t="s">
        <v>25</v>
      </c>
      <c r="R323" s="58" t="s">
        <v>272</v>
      </c>
    </row>
    <row r="324" spans="1:18" ht="69" customHeight="1">
      <c r="A324" s="168"/>
      <c r="B324" s="178">
        <v>5</v>
      </c>
      <c r="C324" s="178" t="s">
        <v>309</v>
      </c>
      <c r="D324" s="575" t="s">
        <v>1316</v>
      </c>
      <c r="E324" s="178" t="s">
        <v>382</v>
      </c>
      <c r="F324" s="210" t="s">
        <v>1317</v>
      </c>
      <c r="G324" s="58" t="s">
        <v>384</v>
      </c>
      <c r="H324" s="546">
        <v>22679.42</v>
      </c>
      <c r="I324" s="66">
        <v>44736</v>
      </c>
      <c r="J324" s="65" t="s">
        <v>1318</v>
      </c>
      <c r="K324" s="58"/>
      <c r="L324" s="99"/>
      <c r="M324" s="70" t="s">
        <v>1319</v>
      </c>
      <c r="N324" s="97" t="s">
        <v>387</v>
      </c>
      <c r="O324" s="45" t="s">
        <v>150</v>
      </c>
      <c r="P324" s="58" t="s">
        <v>51</v>
      </c>
      <c r="Q324" s="58" t="s">
        <v>25</v>
      </c>
      <c r="R324" s="58" t="s">
        <v>272</v>
      </c>
    </row>
    <row r="325" spans="1:18" ht="69" customHeight="1">
      <c r="A325" s="168"/>
      <c r="B325" s="178">
        <v>3</v>
      </c>
      <c r="C325" s="178" t="s">
        <v>309</v>
      </c>
      <c r="D325" s="575" t="s">
        <v>1320</v>
      </c>
      <c r="E325" s="178" t="s">
        <v>382</v>
      </c>
      <c r="F325" s="210" t="s">
        <v>1321</v>
      </c>
      <c r="G325" s="58" t="s">
        <v>384</v>
      </c>
      <c r="H325" s="546">
        <v>38303.97</v>
      </c>
      <c r="I325" s="66">
        <v>44736</v>
      </c>
      <c r="J325" s="65" t="s">
        <v>1322</v>
      </c>
      <c r="K325" s="58"/>
      <c r="L325" s="99"/>
      <c r="M325" s="70" t="s">
        <v>1319</v>
      </c>
      <c r="N325" s="97" t="s">
        <v>387</v>
      </c>
      <c r="O325" s="45" t="s">
        <v>150</v>
      </c>
      <c r="P325" s="58" t="s">
        <v>51</v>
      </c>
      <c r="Q325" s="58" t="s">
        <v>25</v>
      </c>
      <c r="R325" s="58" t="s">
        <v>272</v>
      </c>
    </row>
    <row r="326" spans="1:18" ht="69" customHeight="1">
      <c r="A326" s="168"/>
      <c r="B326" s="178">
        <v>5370</v>
      </c>
      <c r="C326" s="178" t="s">
        <v>1323</v>
      </c>
      <c r="D326" s="575" t="s">
        <v>1324</v>
      </c>
      <c r="E326" s="178" t="s">
        <v>755</v>
      </c>
      <c r="F326" s="210" t="s">
        <v>1325</v>
      </c>
      <c r="G326" s="58" t="s">
        <v>725</v>
      </c>
      <c r="H326" s="546">
        <v>613894.9</v>
      </c>
      <c r="I326" s="66">
        <v>44781</v>
      </c>
      <c r="J326" s="65" t="s">
        <v>1326</v>
      </c>
      <c r="K326" s="58" t="s">
        <v>1327</v>
      </c>
      <c r="L326" s="99"/>
      <c r="M326" s="70" t="s">
        <v>1328</v>
      </c>
      <c r="N326" s="97" t="s">
        <v>716</v>
      </c>
      <c r="O326" s="58"/>
      <c r="P326" s="58" t="s">
        <v>28</v>
      </c>
      <c r="Q326" s="58" t="s">
        <v>25</v>
      </c>
      <c r="R326" s="58" t="s">
        <v>272</v>
      </c>
    </row>
    <row r="327" spans="1:18" ht="69" customHeight="1">
      <c r="A327" s="168"/>
      <c r="B327" s="178">
        <v>7441</v>
      </c>
      <c r="C327" s="178" t="s">
        <v>1323</v>
      </c>
      <c r="D327" s="575" t="s">
        <v>1329</v>
      </c>
      <c r="E327" s="178" t="s">
        <v>755</v>
      </c>
      <c r="F327" s="210" t="s">
        <v>1330</v>
      </c>
      <c r="G327" s="58" t="s">
        <v>778</v>
      </c>
      <c r="H327" s="546">
        <v>789327.62</v>
      </c>
      <c r="I327" s="66">
        <v>44879</v>
      </c>
      <c r="J327" s="65" t="s">
        <v>1331</v>
      </c>
      <c r="K327" s="58" t="s">
        <v>1332</v>
      </c>
      <c r="L327" s="99"/>
      <c r="M327" s="70" t="s">
        <v>1328</v>
      </c>
      <c r="N327" s="97" t="s">
        <v>716</v>
      </c>
      <c r="O327" s="58"/>
      <c r="P327" s="58" t="s">
        <v>28</v>
      </c>
      <c r="Q327" s="58" t="s">
        <v>25</v>
      </c>
      <c r="R327" s="58" t="s">
        <v>272</v>
      </c>
    </row>
    <row r="328" spans="1:18" ht="69" customHeight="1">
      <c r="A328" s="168"/>
      <c r="B328" s="178">
        <v>7493</v>
      </c>
      <c r="C328" s="178" t="s">
        <v>1333</v>
      </c>
      <c r="D328" s="575" t="s">
        <v>1334</v>
      </c>
      <c r="E328" s="178" t="s">
        <v>755</v>
      </c>
      <c r="F328" s="210" t="s">
        <v>1335</v>
      </c>
      <c r="G328" s="58" t="s">
        <v>1336</v>
      </c>
      <c r="H328" s="546">
        <v>87665.1</v>
      </c>
      <c r="I328" s="66">
        <v>44876</v>
      </c>
      <c r="J328" s="65" t="s">
        <v>1337</v>
      </c>
      <c r="K328" s="58"/>
      <c r="L328" s="99"/>
      <c r="M328" s="70" t="s">
        <v>1328</v>
      </c>
      <c r="N328" s="97" t="s">
        <v>716</v>
      </c>
      <c r="O328" s="58"/>
      <c r="P328" s="58" t="s">
        <v>28</v>
      </c>
      <c r="Q328" s="58" t="s">
        <v>25</v>
      </c>
      <c r="R328" s="58" t="s">
        <v>272</v>
      </c>
    </row>
    <row r="329" spans="1:18" ht="69" customHeight="1">
      <c r="A329" s="168"/>
      <c r="B329" s="178">
        <v>7692</v>
      </c>
      <c r="C329" s="178" t="s">
        <v>1333</v>
      </c>
      <c r="D329" s="575" t="s">
        <v>1338</v>
      </c>
      <c r="E329" s="178" t="s">
        <v>755</v>
      </c>
      <c r="F329" s="210" t="s">
        <v>1339</v>
      </c>
      <c r="G329" s="58" t="s">
        <v>1340</v>
      </c>
      <c r="H329" s="546">
        <v>876992.72</v>
      </c>
      <c r="I329" s="66">
        <v>44897</v>
      </c>
      <c r="J329" s="65" t="s">
        <v>1341</v>
      </c>
      <c r="K329" s="58" t="s">
        <v>1342</v>
      </c>
      <c r="L329" s="99"/>
      <c r="M329" s="70" t="s">
        <v>1328</v>
      </c>
      <c r="N329" s="97" t="s">
        <v>716</v>
      </c>
      <c r="O329" s="58"/>
      <c r="P329" s="58" t="s">
        <v>28</v>
      </c>
      <c r="Q329" s="58" t="s">
        <v>25</v>
      </c>
      <c r="R329" s="58" t="s">
        <v>272</v>
      </c>
    </row>
    <row r="330" spans="1:18" ht="69" customHeight="1">
      <c r="A330" s="168"/>
      <c r="B330" s="178">
        <v>5354</v>
      </c>
      <c r="C330" s="178" t="s">
        <v>309</v>
      </c>
      <c r="D330" s="575" t="s">
        <v>1343</v>
      </c>
      <c r="E330" s="178" t="s">
        <v>409</v>
      </c>
      <c r="F330" s="210" t="s">
        <v>1344</v>
      </c>
      <c r="G330" s="58" t="s">
        <v>712</v>
      </c>
      <c r="H330" s="546">
        <v>2192481.79</v>
      </c>
      <c r="I330" s="66">
        <v>44757</v>
      </c>
      <c r="J330" s="65" t="s">
        <v>1345</v>
      </c>
      <c r="K330" s="58" t="s">
        <v>714</v>
      </c>
      <c r="L330" s="99"/>
      <c r="M330" s="70" t="s">
        <v>1328</v>
      </c>
      <c r="N330" s="97" t="s">
        <v>716</v>
      </c>
      <c r="O330" s="58"/>
      <c r="P330" s="58" t="s">
        <v>28</v>
      </c>
      <c r="Q330" s="58" t="s">
        <v>25</v>
      </c>
      <c r="R330" s="58" t="s">
        <v>272</v>
      </c>
    </row>
    <row r="331" spans="1:18" ht="69" customHeight="1">
      <c r="A331" s="168"/>
      <c r="B331" s="178">
        <v>6175</v>
      </c>
      <c r="C331" s="178" t="s">
        <v>309</v>
      </c>
      <c r="D331" s="575" t="s">
        <v>1346</v>
      </c>
      <c r="E331" s="178" t="s">
        <v>305</v>
      </c>
      <c r="F331" s="210" t="s">
        <v>1347</v>
      </c>
      <c r="G331" s="58" t="s">
        <v>730</v>
      </c>
      <c r="H331" s="546">
        <v>88.78</v>
      </c>
      <c r="I331" s="66">
        <v>44769</v>
      </c>
      <c r="J331" s="65" t="s">
        <v>1348</v>
      </c>
      <c r="K331" s="58"/>
      <c r="L331" s="99"/>
      <c r="M331" s="70" t="s">
        <v>1257</v>
      </c>
      <c r="N331" s="97" t="s">
        <v>270</v>
      </c>
      <c r="O331" s="58"/>
      <c r="P331" s="58" t="s">
        <v>44</v>
      </c>
      <c r="Q331" s="58" t="s">
        <v>25</v>
      </c>
      <c r="R331" s="58" t="s">
        <v>272</v>
      </c>
    </row>
    <row r="332" spans="1:18" ht="69" customHeight="1">
      <c r="A332" s="168"/>
      <c r="B332" s="178">
        <v>6128</v>
      </c>
      <c r="C332" s="178" t="s">
        <v>309</v>
      </c>
      <c r="D332" s="575" t="s">
        <v>1349</v>
      </c>
      <c r="E332" s="178" t="s">
        <v>350</v>
      </c>
      <c r="F332" s="210" t="s">
        <v>1350</v>
      </c>
      <c r="G332" s="58" t="s">
        <v>352</v>
      </c>
      <c r="H332" s="546">
        <v>6461.02</v>
      </c>
      <c r="I332" s="66">
        <v>44795</v>
      </c>
      <c r="J332" s="65" t="s">
        <v>1351</v>
      </c>
      <c r="K332" s="58"/>
      <c r="L332" s="99"/>
      <c r="M332" s="70" t="s">
        <v>1305</v>
      </c>
      <c r="N332" s="97" t="s">
        <v>356</v>
      </c>
      <c r="O332" s="58" t="s">
        <v>141</v>
      </c>
      <c r="P332" s="58" t="s">
        <v>19</v>
      </c>
      <c r="Q332" s="58" t="s">
        <v>25</v>
      </c>
      <c r="R332" s="58" t="s">
        <v>265</v>
      </c>
    </row>
    <row r="333" spans="1:18" ht="69" customHeight="1">
      <c r="A333" s="168"/>
      <c r="B333" s="178">
        <v>6586</v>
      </c>
      <c r="C333" s="178" t="s">
        <v>309</v>
      </c>
      <c r="D333" s="575" t="s">
        <v>1352</v>
      </c>
      <c r="E333" s="178" t="s">
        <v>741</v>
      </c>
      <c r="F333" s="210" t="s">
        <v>1353</v>
      </c>
      <c r="G333" s="58" t="s">
        <v>738</v>
      </c>
      <c r="H333" s="546">
        <v>451824.8</v>
      </c>
      <c r="I333" s="66">
        <v>44813</v>
      </c>
      <c r="J333" s="65" t="s">
        <v>1354</v>
      </c>
      <c r="K333" s="58"/>
      <c r="L333" s="99"/>
      <c r="M333" s="70" t="s">
        <v>1355</v>
      </c>
      <c r="N333" s="97" t="s">
        <v>741</v>
      </c>
      <c r="O333" s="45" t="s">
        <v>154</v>
      </c>
      <c r="P333" s="58" t="s">
        <v>59</v>
      </c>
      <c r="Q333" s="58" t="s">
        <v>25</v>
      </c>
      <c r="R333" s="58" t="s">
        <v>272</v>
      </c>
    </row>
    <row r="334" spans="1:18" ht="69" customHeight="1">
      <c r="A334" s="168"/>
      <c r="B334" s="178">
        <v>6244</v>
      </c>
      <c r="C334" s="178" t="s">
        <v>1356</v>
      </c>
      <c r="D334" s="575" t="s">
        <v>1357</v>
      </c>
      <c r="E334" s="178" t="s">
        <v>755</v>
      </c>
      <c r="F334" s="210" t="s">
        <v>1358</v>
      </c>
      <c r="G334" s="58" t="s">
        <v>787</v>
      </c>
      <c r="H334" s="546">
        <v>263097.81</v>
      </c>
      <c r="I334" s="66">
        <v>44788</v>
      </c>
      <c r="J334" s="65" t="s">
        <v>1326</v>
      </c>
      <c r="K334" s="58" t="s">
        <v>309</v>
      </c>
      <c r="L334" s="99"/>
      <c r="M334" s="70" t="s">
        <v>1328</v>
      </c>
      <c r="N334" s="97" t="s">
        <v>716</v>
      </c>
      <c r="O334" s="58" t="s">
        <v>1359</v>
      </c>
      <c r="P334" s="58" t="s">
        <v>28</v>
      </c>
      <c r="Q334" s="58" t="s">
        <v>25</v>
      </c>
      <c r="R334" s="58" t="s">
        <v>272</v>
      </c>
    </row>
    <row r="335" spans="1:18" ht="69" customHeight="1">
      <c r="A335" s="168"/>
      <c r="B335" s="178">
        <v>6283</v>
      </c>
      <c r="C335" s="178" t="s">
        <v>309</v>
      </c>
      <c r="D335" s="575" t="s">
        <v>1360</v>
      </c>
      <c r="E335" s="178" t="s">
        <v>266</v>
      </c>
      <c r="F335" s="210" t="s">
        <v>1361</v>
      </c>
      <c r="G335" s="58" t="s">
        <v>790</v>
      </c>
      <c r="H335" s="546">
        <v>2281.25</v>
      </c>
      <c r="I335" s="66">
        <v>44834</v>
      </c>
      <c r="J335" s="65" t="s">
        <v>1362</v>
      </c>
      <c r="K335" s="58"/>
      <c r="L335" s="99"/>
      <c r="M335" s="70" t="s">
        <v>1312</v>
      </c>
      <c r="N335" s="97" t="s">
        <v>683</v>
      </c>
      <c r="O335" s="58" t="s">
        <v>684</v>
      </c>
      <c r="P335" s="58" t="s">
        <v>46</v>
      </c>
      <c r="Q335" s="58" t="s">
        <v>25</v>
      </c>
      <c r="R335" s="58" t="s">
        <v>272</v>
      </c>
    </row>
    <row r="336" spans="1:18" ht="69" customHeight="1">
      <c r="A336" s="168"/>
      <c r="B336" s="178">
        <v>6293</v>
      </c>
      <c r="C336" s="178" t="s">
        <v>309</v>
      </c>
      <c r="D336" s="575" t="s">
        <v>1363</v>
      </c>
      <c r="E336" s="178" t="s">
        <v>266</v>
      </c>
      <c r="F336" s="723" t="s">
        <v>1364</v>
      </c>
      <c r="G336" s="58" t="s">
        <v>790</v>
      </c>
      <c r="H336" s="546">
        <v>2281.25</v>
      </c>
      <c r="I336" s="66">
        <v>44834</v>
      </c>
      <c r="J336" s="65" t="s">
        <v>1365</v>
      </c>
      <c r="K336" s="58"/>
      <c r="L336" s="99"/>
      <c r="M336" s="70" t="s">
        <v>1312</v>
      </c>
      <c r="N336" s="97" t="s">
        <v>683</v>
      </c>
      <c r="O336" s="58" t="s">
        <v>684</v>
      </c>
      <c r="P336" s="58" t="s">
        <v>46</v>
      </c>
      <c r="Q336" s="58" t="s">
        <v>25</v>
      </c>
      <c r="R336" s="58" t="s">
        <v>272</v>
      </c>
    </row>
    <row r="337" spans="1:18" ht="69" customHeight="1">
      <c r="A337" s="168"/>
      <c r="B337" s="178">
        <v>6923</v>
      </c>
      <c r="C337" s="178" t="s">
        <v>309</v>
      </c>
      <c r="D337" s="575" t="s">
        <v>1366</v>
      </c>
      <c r="E337" s="178" t="s">
        <v>1367</v>
      </c>
      <c r="F337" s="210" t="s">
        <v>1368</v>
      </c>
      <c r="G337" s="58" t="s">
        <v>1369</v>
      </c>
      <c r="H337" s="546">
        <v>1600</v>
      </c>
      <c r="I337" s="66">
        <v>44844</v>
      </c>
      <c r="J337" s="65" t="s">
        <v>1370</v>
      </c>
      <c r="K337" s="58"/>
      <c r="L337" s="99"/>
      <c r="M337" s="70" t="s">
        <v>1257</v>
      </c>
      <c r="N337" s="97" t="s">
        <v>270</v>
      </c>
      <c r="O337" s="58"/>
      <c r="P337" s="58" t="s">
        <v>44</v>
      </c>
      <c r="Q337" s="58" t="s">
        <v>25</v>
      </c>
      <c r="R337" s="58" t="s">
        <v>272</v>
      </c>
    </row>
    <row r="338" spans="1:18" ht="69" customHeight="1">
      <c r="A338" s="168"/>
      <c r="B338" s="178">
        <v>7675</v>
      </c>
      <c r="C338" s="178" t="s">
        <v>1333</v>
      </c>
      <c r="D338" s="575" t="s">
        <v>1371</v>
      </c>
      <c r="E338" s="178" t="s">
        <v>1372</v>
      </c>
      <c r="F338" s="210" t="s">
        <v>1373</v>
      </c>
      <c r="G338" s="58" t="s">
        <v>1374</v>
      </c>
      <c r="H338" s="546">
        <v>44861.17</v>
      </c>
      <c r="I338" s="66">
        <v>44900</v>
      </c>
      <c r="J338" s="65" t="s">
        <v>1375</v>
      </c>
      <c r="K338" s="58"/>
      <c r="L338" s="99"/>
      <c r="M338" s="70" t="s">
        <v>1376</v>
      </c>
      <c r="N338" s="97" t="s">
        <v>1372</v>
      </c>
      <c r="O338" s="58"/>
      <c r="P338" s="58" t="s">
        <v>57</v>
      </c>
      <c r="Q338" s="58" t="s">
        <v>25</v>
      </c>
      <c r="R338" s="58" t="s">
        <v>272</v>
      </c>
    </row>
    <row r="339" spans="1:18" ht="69" customHeight="1">
      <c r="A339" s="168"/>
      <c r="B339" s="178">
        <v>7415</v>
      </c>
      <c r="C339" s="178" t="s">
        <v>1333</v>
      </c>
      <c r="D339" s="575" t="s">
        <v>1377</v>
      </c>
      <c r="E339" s="178" t="s">
        <v>809</v>
      </c>
      <c r="F339" s="210" t="s">
        <v>1378</v>
      </c>
      <c r="G339" s="58" t="s">
        <v>811</v>
      </c>
      <c r="H339" s="546">
        <v>15999.9</v>
      </c>
      <c r="I339" s="66">
        <v>44879</v>
      </c>
      <c r="J339" s="65" t="s">
        <v>812</v>
      </c>
      <c r="K339" s="58"/>
      <c r="L339" s="99"/>
      <c r="M339" s="70" t="s">
        <v>1379</v>
      </c>
      <c r="N339" s="97" t="s">
        <v>814</v>
      </c>
      <c r="O339" s="58"/>
      <c r="P339" s="58" t="s">
        <v>36</v>
      </c>
      <c r="Q339" s="58" t="s">
        <v>25</v>
      </c>
      <c r="R339" s="58" t="s">
        <v>272</v>
      </c>
    </row>
    <row r="340" spans="1:18" ht="69" customHeight="1">
      <c r="A340" s="168"/>
      <c r="B340" s="178">
        <v>7766</v>
      </c>
      <c r="C340" s="178" t="s">
        <v>1333</v>
      </c>
      <c r="D340" s="575" t="s">
        <v>1380</v>
      </c>
      <c r="E340" s="178" t="s">
        <v>809</v>
      </c>
      <c r="F340" s="210" t="s">
        <v>1381</v>
      </c>
      <c r="G340" s="58" t="s">
        <v>811</v>
      </c>
      <c r="H340" s="546">
        <v>17999.8</v>
      </c>
      <c r="I340" s="66">
        <v>44909</v>
      </c>
      <c r="J340" s="65" t="s">
        <v>817</v>
      </c>
      <c r="K340" s="58"/>
      <c r="L340" s="99"/>
      <c r="M340" s="70" t="s">
        <v>1379</v>
      </c>
      <c r="N340" s="97" t="s">
        <v>814</v>
      </c>
      <c r="O340" s="58"/>
      <c r="P340" s="58" t="s">
        <v>36</v>
      </c>
      <c r="Q340" s="58" t="s">
        <v>25</v>
      </c>
      <c r="R340" s="58" t="s">
        <v>272</v>
      </c>
    </row>
    <row r="341" spans="1:18" ht="69" customHeight="1">
      <c r="A341" s="168"/>
      <c r="B341" s="178">
        <v>7627</v>
      </c>
      <c r="C341" s="178" t="s">
        <v>309</v>
      </c>
      <c r="D341" s="575" t="s">
        <v>1382</v>
      </c>
      <c r="E341" s="178" t="s">
        <v>266</v>
      </c>
      <c r="F341" s="210" t="s">
        <v>1383</v>
      </c>
      <c r="G341" s="58" t="s">
        <v>392</v>
      </c>
      <c r="H341" s="546">
        <v>1150</v>
      </c>
      <c r="I341" s="66">
        <v>44895</v>
      </c>
      <c r="J341" s="65" t="s">
        <v>457</v>
      </c>
      <c r="K341" s="58"/>
      <c r="L341" s="99"/>
      <c r="M341" s="70" t="s">
        <v>1257</v>
      </c>
      <c r="N341" s="97" t="s">
        <v>270</v>
      </c>
      <c r="O341" s="58"/>
      <c r="P341" s="58" t="s">
        <v>44</v>
      </c>
      <c r="Q341" s="58" t="s">
        <v>25</v>
      </c>
      <c r="R341" s="58" t="s">
        <v>272</v>
      </c>
    </row>
    <row r="342" spans="1:18" ht="69" customHeight="1">
      <c r="A342" s="168"/>
      <c r="B342" s="178">
        <v>8076</v>
      </c>
      <c r="C342" s="178" t="s">
        <v>1323</v>
      </c>
      <c r="D342" s="575" t="s">
        <v>1384</v>
      </c>
      <c r="E342" s="178" t="s">
        <v>266</v>
      </c>
      <c r="F342" s="210" t="s">
        <v>1385</v>
      </c>
      <c r="G342" s="58" t="s">
        <v>453</v>
      </c>
      <c r="H342" s="546">
        <v>1000</v>
      </c>
      <c r="I342" s="66">
        <v>44911</v>
      </c>
      <c r="J342" s="65" t="s">
        <v>454</v>
      </c>
      <c r="K342" s="58"/>
      <c r="L342" s="99"/>
      <c r="M342" s="70" t="s">
        <v>1257</v>
      </c>
      <c r="N342" s="97" t="s">
        <v>270</v>
      </c>
      <c r="O342" s="58"/>
      <c r="P342" s="58" t="s">
        <v>44</v>
      </c>
      <c r="Q342" s="58" t="s">
        <v>25</v>
      </c>
      <c r="R342" s="58" t="s">
        <v>272</v>
      </c>
    </row>
    <row r="343" spans="1:18" ht="69" customHeight="1">
      <c r="A343" s="168"/>
      <c r="B343" s="178">
        <v>8335</v>
      </c>
      <c r="C343" s="178" t="s">
        <v>1333</v>
      </c>
      <c r="D343" s="575" t="s">
        <v>1386</v>
      </c>
      <c r="E343" s="178" t="s">
        <v>1372</v>
      </c>
      <c r="F343" s="210" t="s">
        <v>1387</v>
      </c>
      <c r="G343" s="58" t="s">
        <v>1388</v>
      </c>
      <c r="H343" s="546">
        <v>121178.72</v>
      </c>
      <c r="I343" s="66">
        <v>44923</v>
      </c>
      <c r="J343" s="65" t="s">
        <v>1389</v>
      </c>
      <c r="K343" s="58"/>
      <c r="L343" s="99"/>
      <c r="M343" s="70" t="s">
        <v>1376</v>
      </c>
      <c r="N343" s="97" t="s">
        <v>1372</v>
      </c>
      <c r="O343" s="58"/>
      <c r="P343" s="58" t="s">
        <v>57</v>
      </c>
      <c r="Q343" s="58" t="s">
        <v>25</v>
      </c>
      <c r="R343" s="58" t="s">
        <v>272</v>
      </c>
    </row>
    <row r="344" spans="1:18" ht="69" customHeight="1">
      <c r="A344" s="168"/>
      <c r="B344" s="178">
        <v>8604</v>
      </c>
      <c r="C344" s="178" t="s">
        <v>1390</v>
      </c>
      <c r="D344" s="575" t="s">
        <v>1391</v>
      </c>
      <c r="E344" s="178" t="s">
        <v>1372</v>
      </c>
      <c r="F344" s="210" t="s">
        <v>1392</v>
      </c>
      <c r="G344" s="58" t="s">
        <v>1393</v>
      </c>
      <c r="H344" s="546">
        <v>119585.92</v>
      </c>
      <c r="I344" s="66">
        <v>44946</v>
      </c>
      <c r="J344" s="65" t="s">
        <v>1394</v>
      </c>
      <c r="K344" s="58"/>
      <c r="L344" s="99"/>
      <c r="M344" s="70" t="s">
        <v>1376</v>
      </c>
      <c r="N344" s="97" t="s">
        <v>1372</v>
      </c>
      <c r="O344" s="58"/>
      <c r="P344" s="58" t="s">
        <v>57</v>
      </c>
      <c r="Q344" s="58" t="s">
        <v>25</v>
      </c>
      <c r="R344" s="58" t="s">
        <v>272</v>
      </c>
    </row>
    <row r="345" spans="1:18" ht="69" customHeight="1">
      <c r="A345" s="168"/>
      <c r="B345" s="178">
        <v>8651</v>
      </c>
      <c r="C345" s="178" t="s">
        <v>1395</v>
      </c>
      <c r="D345" s="575" t="s">
        <v>1396</v>
      </c>
      <c r="E345" s="178" t="s">
        <v>809</v>
      </c>
      <c r="F345" s="210" t="s">
        <v>1397</v>
      </c>
      <c r="G345" s="58" t="s">
        <v>823</v>
      </c>
      <c r="H345" s="546">
        <v>15999.9</v>
      </c>
      <c r="I345" s="66">
        <v>44949</v>
      </c>
      <c r="J345" s="65" t="s">
        <v>824</v>
      </c>
      <c r="K345" s="58"/>
      <c r="L345" s="99"/>
      <c r="M345" s="70" t="s">
        <v>1379</v>
      </c>
      <c r="N345" s="97" t="s">
        <v>814</v>
      </c>
      <c r="O345" s="58"/>
      <c r="P345" s="58" t="s">
        <v>36</v>
      </c>
      <c r="Q345" s="58" t="s">
        <v>25</v>
      </c>
      <c r="R345" s="58" t="s">
        <v>272</v>
      </c>
    </row>
    <row r="346" spans="1:18" ht="69" customHeight="1">
      <c r="A346" s="168"/>
      <c r="B346" s="178">
        <v>6496</v>
      </c>
      <c r="C346" s="178" t="s">
        <v>309</v>
      </c>
      <c r="D346" s="575" t="s">
        <v>1398</v>
      </c>
      <c r="E346" s="178" t="s">
        <v>350</v>
      </c>
      <c r="F346" s="210" t="s">
        <v>1399</v>
      </c>
      <c r="G346" s="58" t="s">
        <v>744</v>
      </c>
      <c r="H346" s="546">
        <v>118860</v>
      </c>
      <c r="I346" s="66">
        <v>44802</v>
      </c>
      <c r="J346" s="65" t="s">
        <v>1400</v>
      </c>
      <c r="K346" s="58"/>
      <c r="L346" s="99"/>
      <c r="M346" s="70" t="s">
        <v>1305</v>
      </c>
      <c r="N346" s="97" t="s">
        <v>356</v>
      </c>
      <c r="O346" s="58" t="s">
        <v>141</v>
      </c>
      <c r="P346" s="58" t="s">
        <v>19</v>
      </c>
      <c r="Q346" s="58" t="s">
        <v>25</v>
      </c>
      <c r="R346" s="58" t="s">
        <v>265</v>
      </c>
    </row>
    <row r="347" spans="1:18" ht="69" customHeight="1">
      <c r="A347" s="168"/>
      <c r="B347" s="178">
        <v>8664</v>
      </c>
      <c r="C347" s="178" t="s">
        <v>1333</v>
      </c>
      <c r="D347" s="575" t="s">
        <v>1401</v>
      </c>
      <c r="E347" s="178" t="s">
        <v>1372</v>
      </c>
      <c r="F347" s="210" t="s">
        <v>1402</v>
      </c>
      <c r="G347" s="58" t="s">
        <v>1403</v>
      </c>
      <c r="H347" s="546">
        <v>162985.85999999999</v>
      </c>
      <c r="I347" s="66" t="s">
        <v>96</v>
      </c>
      <c r="J347" s="65" t="s">
        <v>1404</v>
      </c>
      <c r="K347" s="58"/>
      <c r="L347" s="99"/>
      <c r="M347" s="70" t="s">
        <v>1376</v>
      </c>
      <c r="N347" s="97" t="s">
        <v>1372</v>
      </c>
      <c r="O347" s="58"/>
      <c r="P347" s="58" t="s">
        <v>57</v>
      </c>
      <c r="Q347" s="58" t="s">
        <v>25</v>
      </c>
      <c r="R347" s="58" t="s">
        <v>272</v>
      </c>
    </row>
    <row r="348" spans="1:18" ht="69" customHeight="1">
      <c r="A348" s="168"/>
      <c r="B348" s="178">
        <v>8833</v>
      </c>
      <c r="C348" s="178" t="s">
        <v>1333</v>
      </c>
      <c r="D348" s="575" t="s">
        <v>1405</v>
      </c>
      <c r="E348" s="178" t="s">
        <v>809</v>
      </c>
      <c r="F348" s="210" t="s">
        <v>1406</v>
      </c>
      <c r="G348" s="58" t="s">
        <v>845</v>
      </c>
      <c r="H348" s="546">
        <v>12000.1</v>
      </c>
      <c r="I348" s="66">
        <v>44948</v>
      </c>
      <c r="J348" s="65" t="s">
        <v>846</v>
      </c>
      <c r="K348" s="58"/>
      <c r="L348" s="99"/>
      <c r="M348" s="70" t="s">
        <v>1379</v>
      </c>
      <c r="N348" s="97" t="s">
        <v>814</v>
      </c>
      <c r="O348" s="58"/>
      <c r="P348" s="58" t="s">
        <v>36</v>
      </c>
      <c r="Q348" s="58" t="s">
        <v>25</v>
      </c>
      <c r="R348" s="58" t="s">
        <v>272</v>
      </c>
    </row>
    <row r="349" spans="1:18" ht="69" customHeight="1">
      <c r="A349" s="168"/>
      <c r="B349" s="178">
        <v>8994</v>
      </c>
      <c r="C349" s="178" t="s">
        <v>309</v>
      </c>
      <c r="D349" s="575" t="s">
        <v>1407</v>
      </c>
      <c r="E349" s="178" t="s">
        <v>358</v>
      </c>
      <c r="F349" s="210" t="s">
        <v>1408</v>
      </c>
      <c r="G349" s="58" t="s">
        <v>1409</v>
      </c>
      <c r="H349" s="546">
        <v>93796.77</v>
      </c>
      <c r="I349" s="66">
        <v>45001</v>
      </c>
      <c r="J349" s="65" t="s">
        <v>1410</v>
      </c>
      <c r="K349" s="58"/>
      <c r="L349" s="99"/>
      <c r="M349" s="70" t="s">
        <v>1289</v>
      </c>
      <c r="N349" s="97" t="s">
        <v>356</v>
      </c>
      <c r="O349" s="58" t="s">
        <v>141</v>
      </c>
      <c r="P349" s="58" t="s">
        <v>19</v>
      </c>
      <c r="Q349" s="58" t="s">
        <v>25</v>
      </c>
      <c r="R349" s="58" t="s">
        <v>272</v>
      </c>
    </row>
    <row r="350" spans="1:18" ht="69" customHeight="1">
      <c r="A350" s="168"/>
      <c r="B350" s="178">
        <v>9000</v>
      </c>
      <c r="C350" s="178" t="s">
        <v>1333</v>
      </c>
      <c r="D350" s="575" t="s">
        <v>1411</v>
      </c>
      <c r="E350" s="178" t="s">
        <v>809</v>
      </c>
      <c r="F350" s="210" t="s">
        <v>1412</v>
      </c>
      <c r="G350" s="58" t="s">
        <v>863</v>
      </c>
      <c r="H350" s="546">
        <v>8999.9</v>
      </c>
      <c r="I350" s="66" t="s">
        <v>96</v>
      </c>
      <c r="J350" s="65" t="s">
        <v>864</v>
      </c>
      <c r="K350" s="58"/>
      <c r="L350" s="99"/>
      <c r="M350" s="70" t="s">
        <v>1379</v>
      </c>
      <c r="N350" s="97" t="s">
        <v>814</v>
      </c>
      <c r="O350" s="58"/>
      <c r="P350" s="58" t="s">
        <v>36</v>
      </c>
      <c r="Q350" s="58" t="s">
        <v>25</v>
      </c>
      <c r="R350" s="58" t="s">
        <v>272</v>
      </c>
    </row>
    <row r="351" spans="1:18" ht="69" customHeight="1">
      <c r="A351" s="168"/>
      <c r="B351" s="178">
        <v>9698</v>
      </c>
      <c r="C351" s="178" t="s">
        <v>1333</v>
      </c>
      <c r="D351" s="575" t="s">
        <v>1413</v>
      </c>
      <c r="E351" s="178" t="s">
        <v>755</v>
      </c>
      <c r="F351" s="210" t="s">
        <v>1414</v>
      </c>
      <c r="G351" s="58" t="s">
        <v>1415</v>
      </c>
      <c r="H351" s="546">
        <v>644100.25</v>
      </c>
      <c r="I351" s="66">
        <v>45019</v>
      </c>
      <c r="J351" s="65" t="s">
        <v>1416</v>
      </c>
      <c r="K351" s="58"/>
      <c r="L351" s="99"/>
      <c r="M351" s="70" t="s">
        <v>1328</v>
      </c>
      <c r="N351" s="97" t="s">
        <v>716</v>
      </c>
      <c r="O351" s="58"/>
      <c r="P351" s="58" t="s">
        <v>28</v>
      </c>
      <c r="Q351" s="58" t="s">
        <v>25</v>
      </c>
      <c r="R351" s="58" t="s">
        <v>272</v>
      </c>
    </row>
    <row r="352" spans="1:18" ht="69" customHeight="1">
      <c r="A352" s="168"/>
      <c r="B352" s="178">
        <v>9730</v>
      </c>
      <c r="C352" s="178" t="s">
        <v>1333</v>
      </c>
      <c r="D352" s="575" t="s">
        <v>1417</v>
      </c>
      <c r="E352" s="178" t="s">
        <v>755</v>
      </c>
      <c r="F352" s="210" t="s">
        <v>1418</v>
      </c>
      <c r="G352" s="58" t="s">
        <v>1419</v>
      </c>
      <c r="H352" s="546">
        <v>232892.47</v>
      </c>
      <c r="I352" s="66">
        <v>45041</v>
      </c>
      <c r="J352" s="65" t="s">
        <v>1420</v>
      </c>
      <c r="K352" s="58"/>
      <c r="L352" s="99"/>
      <c r="M352" s="70" t="s">
        <v>1328</v>
      </c>
      <c r="N352" s="97" t="s">
        <v>716</v>
      </c>
      <c r="O352" s="58"/>
      <c r="P352" s="58" t="s">
        <v>28</v>
      </c>
      <c r="Q352" s="58" t="s">
        <v>25</v>
      </c>
      <c r="R352" s="58" t="s">
        <v>272</v>
      </c>
    </row>
    <row r="353" spans="1:18" ht="69" customHeight="1">
      <c r="A353" s="168"/>
      <c r="B353" s="178">
        <v>9701</v>
      </c>
      <c r="C353" s="178" t="s">
        <v>1333</v>
      </c>
      <c r="D353" s="575" t="s">
        <v>1421</v>
      </c>
      <c r="E353" s="178" t="s">
        <v>809</v>
      </c>
      <c r="F353" s="210" t="s">
        <v>1412</v>
      </c>
      <c r="G353" s="58" t="s">
        <v>874</v>
      </c>
      <c r="H353" s="546">
        <v>12000.1</v>
      </c>
      <c r="I353" s="66" t="s">
        <v>96</v>
      </c>
      <c r="J353" s="65" t="s">
        <v>875</v>
      </c>
      <c r="K353" s="58"/>
      <c r="L353" s="99"/>
      <c r="M353" s="70" t="s">
        <v>1379</v>
      </c>
      <c r="N353" s="97" t="s">
        <v>814</v>
      </c>
      <c r="O353" s="58"/>
      <c r="P353" s="58" t="s">
        <v>36</v>
      </c>
      <c r="Q353" s="58" t="s">
        <v>25</v>
      </c>
      <c r="R353" s="58" t="s">
        <v>272</v>
      </c>
    </row>
    <row r="354" spans="1:18" ht="69" customHeight="1">
      <c r="A354" s="168"/>
      <c r="B354" s="178">
        <v>9820</v>
      </c>
      <c r="C354" s="178" t="s">
        <v>1333</v>
      </c>
      <c r="D354" s="575" t="s">
        <v>1422</v>
      </c>
      <c r="E354" s="178" t="s">
        <v>755</v>
      </c>
      <c r="F354" s="210" t="s">
        <v>1423</v>
      </c>
      <c r="G354" s="58" t="s">
        <v>1424</v>
      </c>
      <c r="H354" s="546">
        <v>162585.31</v>
      </c>
      <c r="I354" s="66">
        <v>45035</v>
      </c>
      <c r="J354" s="65" t="s">
        <v>1425</v>
      </c>
      <c r="K354" s="58"/>
      <c r="L354" s="99"/>
      <c r="M354" s="70" t="s">
        <v>1328</v>
      </c>
      <c r="N354" s="97" t="s">
        <v>716</v>
      </c>
      <c r="O354" s="58"/>
      <c r="P354" s="58" t="s">
        <v>28</v>
      </c>
      <c r="Q354" s="58" t="s">
        <v>25</v>
      </c>
      <c r="R354" s="58" t="s">
        <v>272</v>
      </c>
    </row>
    <row r="355" spans="1:18" ht="69" customHeight="1">
      <c r="A355" s="168"/>
      <c r="B355" s="178">
        <v>1969</v>
      </c>
      <c r="C355" s="178" t="s">
        <v>259</v>
      </c>
      <c r="D355" s="575" t="s">
        <v>96</v>
      </c>
      <c r="E355" s="178" t="s">
        <v>260</v>
      </c>
      <c r="F355" s="210" t="s">
        <v>1426</v>
      </c>
      <c r="G355" s="575" t="s">
        <v>96</v>
      </c>
      <c r="H355" s="546">
        <v>27500</v>
      </c>
      <c r="I355" s="66">
        <v>44425</v>
      </c>
      <c r="J355" s="65" t="s">
        <v>1427</v>
      </c>
      <c r="K355" s="58" t="s">
        <v>1428</v>
      </c>
      <c r="L355" s="99"/>
      <c r="M355" s="70" t="s">
        <v>1429</v>
      </c>
      <c r="N355" s="97" t="s">
        <v>264</v>
      </c>
      <c r="O355" s="58" t="s">
        <v>141</v>
      </c>
      <c r="P355" s="58" t="s">
        <v>17</v>
      </c>
      <c r="Q355" s="58" t="s">
        <v>27</v>
      </c>
      <c r="R355" s="58" t="s">
        <v>265</v>
      </c>
    </row>
    <row r="356" spans="1:18" ht="69" customHeight="1">
      <c r="A356" s="168"/>
      <c r="B356" s="178">
        <v>2053</v>
      </c>
      <c r="C356" s="178" t="s">
        <v>259</v>
      </c>
      <c r="D356" s="575" t="s">
        <v>96</v>
      </c>
      <c r="E356" s="178" t="s">
        <v>266</v>
      </c>
      <c r="F356" s="210" t="s">
        <v>1430</v>
      </c>
      <c r="G356" s="575" t="s">
        <v>96</v>
      </c>
      <c r="H356" s="546">
        <v>10496.25</v>
      </c>
      <c r="I356" s="66">
        <v>44438</v>
      </c>
      <c r="J356" s="65" t="s">
        <v>268</v>
      </c>
      <c r="K356" s="58"/>
      <c r="L356" s="99"/>
      <c r="M356" s="70" t="s">
        <v>1431</v>
      </c>
      <c r="N356" s="97" t="s">
        <v>270</v>
      </c>
      <c r="O356" s="58"/>
      <c r="P356" s="58" t="s">
        <v>44</v>
      </c>
      <c r="Q356" s="58" t="s">
        <v>27</v>
      </c>
      <c r="R356" s="58" t="s">
        <v>272</v>
      </c>
    </row>
    <row r="357" spans="1:18" ht="69" customHeight="1">
      <c r="A357" s="168"/>
      <c r="B357" s="178">
        <v>2066</v>
      </c>
      <c r="C357" s="178" t="s">
        <v>259</v>
      </c>
      <c r="D357" s="575" t="s">
        <v>96</v>
      </c>
      <c r="E357" s="178" t="s">
        <v>266</v>
      </c>
      <c r="F357" s="210" t="s">
        <v>1432</v>
      </c>
      <c r="G357" s="575" t="s">
        <v>96</v>
      </c>
      <c r="H357" s="546">
        <v>11551.75</v>
      </c>
      <c r="I357" s="66">
        <v>44438</v>
      </c>
      <c r="J357" s="65" t="s">
        <v>268</v>
      </c>
      <c r="K357" s="58"/>
      <c r="L357" s="99"/>
      <c r="M357" s="70" t="s">
        <v>1431</v>
      </c>
      <c r="N357" s="97" t="s">
        <v>270</v>
      </c>
      <c r="O357" s="58"/>
      <c r="P357" s="58" t="s">
        <v>44</v>
      </c>
      <c r="Q357" s="58" t="s">
        <v>27</v>
      </c>
      <c r="R357" s="58" t="s">
        <v>272</v>
      </c>
    </row>
    <row r="358" spans="1:18" ht="69" customHeight="1">
      <c r="A358" s="168"/>
      <c r="B358" s="178">
        <v>2250</v>
      </c>
      <c r="C358" s="178" t="s">
        <v>259</v>
      </c>
      <c r="D358" s="575" t="s">
        <v>96</v>
      </c>
      <c r="E358" s="178" t="s">
        <v>266</v>
      </c>
      <c r="F358" s="210" t="s">
        <v>1433</v>
      </c>
      <c r="G358" s="575" t="s">
        <v>96</v>
      </c>
      <c r="H358" s="546">
        <v>493</v>
      </c>
      <c r="I358" s="66">
        <v>44466</v>
      </c>
      <c r="J358" s="65" t="s">
        <v>1434</v>
      </c>
      <c r="K358" s="58"/>
      <c r="L358" s="99"/>
      <c r="M358" s="70" t="s">
        <v>1431</v>
      </c>
      <c r="N358" s="97" t="s">
        <v>270</v>
      </c>
      <c r="O358" s="58"/>
      <c r="P358" s="58" t="s">
        <v>44</v>
      </c>
      <c r="Q358" s="58" t="s">
        <v>27</v>
      </c>
      <c r="R358" s="58" t="s">
        <v>272</v>
      </c>
    </row>
    <row r="359" spans="1:18" ht="69" customHeight="1">
      <c r="A359" s="168"/>
      <c r="B359" s="178">
        <v>2251</v>
      </c>
      <c r="C359" s="178" t="s">
        <v>259</v>
      </c>
      <c r="D359" s="575" t="s">
        <v>96</v>
      </c>
      <c r="E359" s="178" t="s">
        <v>266</v>
      </c>
      <c r="F359" s="210" t="s">
        <v>1435</v>
      </c>
      <c r="G359" s="575" t="s">
        <v>96</v>
      </c>
      <c r="H359" s="546">
        <v>528.5</v>
      </c>
      <c r="I359" s="66">
        <v>44466</v>
      </c>
      <c r="J359" s="65" t="s">
        <v>1436</v>
      </c>
      <c r="K359" s="58"/>
      <c r="L359" s="99"/>
      <c r="M359" s="70" t="s">
        <v>1431</v>
      </c>
      <c r="N359" s="97" t="s">
        <v>270</v>
      </c>
      <c r="O359" s="58"/>
      <c r="P359" s="58" t="s">
        <v>44</v>
      </c>
      <c r="Q359" s="58" t="s">
        <v>27</v>
      </c>
      <c r="R359" s="58" t="s">
        <v>272</v>
      </c>
    </row>
    <row r="360" spans="1:18" ht="69" customHeight="1">
      <c r="A360" s="168"/>
      <c r="B360" s="178">
        <v>2252</v>
      </c>
      <c r="C360" s="178" t="s">
        <v>259</v>
      </c>
      <c r="D360" s="575" t="s">
        <v>96</v>
      </c>
      <c r="E360" s="178" t="s">
        <v>266</v>
      </c>
      <c r="F360" s="210" t="s">
        <v>1437</v>
      </c>
      <c r="G360" s="575" t="s">
        <v>96</v>
      </c>
      <c r="H360" s="546">
        <v>907.55</v>
      </c>
      <c r="I360" s="66">
        <v>44466</v>
      </c>
      <c r="J360" s="65" t="s">
        <v>1438</v>
      </c>
      <c r="K360" s="58"/>
      <c r="L360" s="99"/>
      <c r="M360" s="70" t="s">
        <v>1431</v>
      </c>
      <c r="N360" s="97" t="s">
        <v>270</v>
      </c>
      <c r="O360" s="58"/>
      <c r="P360" s="58" t="s">
        <v>44</v>
      </c>
      <c r="Q360" s="58" t="s">
        <v>27</v>
      </c>
      <c r="R360" s="58" t="s">
        <v>272</v>
      </c>
    </row>
    <row r="361" spans="1:18" ht="69" customHeight="1">
      <c r="A361" s="168"/>
      <c r="B361" s="178">
        <v>2253</v>
      </c>
      <c r="C361" s="178" t="s">
        <v>259</v>
      </c>
      <c r="D361" s="575" t="s">
        <v>96</v>
      </c>
      <c r="E361" s="178" t="s">
        <v>266</v>
      </c>
      <c r="F361" s="210" t="s">
        <v>1439</v>
      </c>
      <c r="G361" s="575" t="s">
        <v>96</v>
      </c>
      <c r="H361" s="546">
        <v>6831.25</v>
      </c>
      <c r="I361" s="66">
        <v>44466</v>
      </c>
      <c r="J361" s="65" t="s">
        <v>1440</v>
      </c>
      <c r="K361" s="58"/>
      <c r="L361" s="99"/>
      <c r="M361" s="70" t="s">
        <v>1431</v>
      </c>
      <c r="N361" s="97" t="s">
        <v>270</v>
      </c>
      <c r="O361" s="58"/>
      <c r="P361" s="58" t="s">
        <v>44</v>
      </c>
      <c r="Q361" s="58" t="s">
        <v>27</v>
      </c>
      <c r="R361" s="58" t="s">
        <v>272</v>
      </c>
    </row>
    <row r="362" spans="1:18" ht="69" customHeight="1">
      <c r="A362" s="168"/>
      <c r="B362" s="178">
        <v>2283</v>
      </c>
      <c r="C362" s="178" t="s">
        <v>259</v>
      </c>
      <c r="D362" s="575"/>
      <c r="E362" s="178" t="s">
        <v>260</v>
      </c>
      <c r="F362" s="210" t="s">
        <v>1441</v>
      </c>
      <c r="G362" s="58" t="s">
        <v>96</v>
      </c>
      <c r="H362" s="546">
        <v>27500</v>
      </c>
      <c r="I362" s="66">
        <v>44475</v>
      </c>
      <c r="J362" s="65" t="s">
        <v>1442</v>
      </c>
      <c r="K362" s="58" t="s">
        <v>1428</v>
      </c>
      <c r="L362" s="99"/>
      <c r="M362" s="70" t="s">
        <v>1429</v>
      </c>
      <c r="N362" s="97" t="s">
        <v>264</v>
      </c>
      <c r="O362" s="58" t="s">
        <v>141</v>
      </c>
      <c r="P362" s="58" t="s">
        <v>17</v>
      </c>
      <c r="Q362" s="58" t="s">
        <v>27</v>
      </c>
      <c r="R362" s="58" t="s">
        <v>265</v>
      </c>
    </row>
    <row r="363" spans="1:18" ht="69" customHeight="1">
      <c r="A363" s="168"/>
      <c r="B363" s="178">
        <v>2109</v>
      </c>
      <c r="C363" s="178" t="s">
        <v>259</v>
      </c>
      <c r="D363" s="575"/>
      <c r="E363" s="178" t="s">
        <v>266</v>
      </c>
      <c r="F363" s="210" t="s">
        <v>1443</v>
      </c>
      <c r="G363" s="58" t="s">
        <v>96</v>
      </c>
      <c r="H363" s="546">
        <v>8397</v>
      </c>
      <c r="I363" s="66">
        <v>44455</v>
      </c>
      <c r="J363" s="65" t="s">
        <v>281</v>
      </c>
      <c r="K363" s="58"/>
      <c r="L363" s="99"/>
      <c r="M363" s="70" t="s">
        <v>1431</v>
      </c>
      <c r="N363" s="97" t="s">
        <v>270</v>
      </c>
      <c r="O363" s="58"/>
      <c r="P363" s="58" t="s">
        <v>44</v>
      </c>
      <c r="Q363" s="58" t="s">
        <v>27</v>
      </c>
      <c r="R363" s="58" t="s">
        <v>272</v>
      </c>
    </row>
    <row r="364" spans="1:18" ht="69" customHeight="1">
      <c r="A364" s="168"/>
      <c r="B364" s="178">
        <v>2122</v>
      </c>
      <c r="C364" s="178" t="s">
        <v>259</v>
      </c>
      <c r="D364" s="575"/>
      <c r="E364" s="178" t="s">
        <v>266</v>
      </c>
      <c r="F364" s="210" t="s">
        <v>1444</v>
      </c>
      <c r="G364" s="58" t="s">
        <v>96</v>
      </c>
      <c r="H364" s="546">
        <v>9241.4</v>
      </c>
      <c r="I364" s="66">
        <v>44455</v>
      </c>
      <c r="J364" s="65" t="s">
        <v>281</v>
      </c>
      <c r="K364" s="58"/>
      <c r="L364" s="99"/>
      <c r="M364" s="70" t="s">
        <v>1431</v>
      </c>
      <c r="N364" s="97" t="s">
        <v>270</v>
      </c>
      <c r="O364" s="58"/>
      <c r="P364" s="58" t="s">
        <v>44</v>
      </c>
      <c r="Q364" s="58" t="s">
        <v>27</v>
      </c>
      <c r="R364" s="58" t="s">
        <v>272</v>
      </c>
    </row>
    <row r="365" spans="1:18" ht="69" customHeight="1">
      <c r="A365" s="168"/>
      <c r="B365" s="178">
        <v>2306</v>
      </c>
      <c r="C365" s="178" t="s">
        <v>1445</v>
      </c>
      <c r="D365" s="575" t="s">
        <v>1320</v>
      </c>
      <c r="E365" s="178" t="s">
        <v>266</v>
      </c>
      <c r="F365" s="210" t="s">
        <v>1446</v>
      </c>
      <c r="G365" s="58" t="s">
        <v>96</v>
      </c>
      <c r="H365" s="546">
        <v>504.83</v>
      </c>
      <c r="I365" s="66">
        <v>44473</v>
      </c>
      <c r="J365" s="65" t="s">
        <v>1447</v>
      </c>
      <c r="K365" s="58"/>
      <c r="L365" s="99"/>
      <c r="M365" s="70" t="s">
        <v>1431</v>
      </c>
      <c r="N365" s="97" t="s">
        <v>270</v>
      </c>
      <c r="O365" s="58"/>
      <c r="P365" s="58" t="s">
        <v>44</v>
      </c>
      <c r="Q365" s="58" t="s">
        <v>27</v>
      </c>
      <c r="R365" s="58" t="s">
        <v>272</v>
      </c>
    </row>
    <row r="366" spans="1:18" ht="69" customHeight="1">
      <c r="A366" s="168"/>
      <c r="B366" s="178">
        <v>2312</v>
      </c>
      <c r="C366" s="178" t="s">
        <v>1445</v>
      </c>
      <c r="D366" s="575" t="s">
        <v>1448</v>
      </c>
      <c r="E366" s="178" t="s">
        <v>266</v>
      </c>
      <c r="F366" s="210" t="s">
        <v>1449</v>
      </c>
      <c r="G366" s="58" t="s">
        <v>96</v>
      </c>
      <c r="H366" s="546">
        <v>493</v>
      </c>
      <c r="I366" s="66">
        <v>44473</v>
      </c>
      <c r="J366" s="65" t="s">
        <v>1450</v>
      </c>
      <c r="K366" s="58"/>
      <c r="L366" s="99"/>
      <c r="M366" s="70" t="s">
        <v>1431</v>
      </c>
      <c r="N366" s="97" t="s">
        <v>270</v>
      </c>
      <c r="O366" s="58"/>
      <c r="P366" s="58" t="s">
        <v>44</v>
      </c>
      <c r="Q366" s="58" t="s">
        <v>27</v>
      </c>
      <c r="R366" s="58" t="s">
        <v>272</v>
      </c>
    </row>
    <row r="367" spans="1:18" ht="69" customHeight="1">
      <c r="A367" s="168"/>
      <c r="B367" s="178">
        <v>2313</v>
      </c>
      <c r="C367" s="178" t="s">
        <v>1445</v>
      </c>
      <c r="D367" s="575" t="s">
        <v>1451</v>
      </c>
      <c r="E367" s="178" t="s">
        <v>266</v>
      </c>
      <c r="F367" s="210" t="s">
        <v>1452</v>
      </c>
      <c r="G367" s="58" t="s">
        <v>96</v>
      </c>
      <c r="H367" s="546">
        <v>360.78</v>
      </c>
      <c r="I367" s="66">
        <v>44473</v>
      </c>
      <c r="J367" s="65" t="s">
        <v>1453</v>
      </c>
      <c r="K367" s="58"/>
      <c r="L367" s="99"/>
      <c r="M367" s="70" t="s">
        <v>1431</v>
      </c>
      <c r="N367" s="97" t="s">
        <v>270</v>
      </c>
      <c r="O367" s="58"/>
      <c r="P367" s="58" t="s">
        <v>44</v>
      </c>
      <c r="Q367" s="58" t="s">
        <v>27</v>
      </c>
      <c r="R367" s="58" t="s">
        <v>272</v>
      </c>
    </row>
    <row r="368" spans="1:18" ht="69" customHeight="1">
      <c r="A368" s="168"/>
      <c r="B368" s="178">
        <v>2314</v>
      </c>
      <c r="C368" s="178" t="s">
        <v>1445</v>
      </c>
      <c r="D368" s="575" t="s">
        <v>695</v>
      </c>
      <c r="E368" s="178" t="s">
        <v>266</v>
      </c>
      <c r="F368" s="210" t="s">
        <v>1454</v>
      </c>
      <c r="G368" s="58" t="s">
        <v>96</v>
      </c>
      <c r="H368" s="546">
        <v>2211.41</v>
      </c>
      <c r="I368" s="66">
        <v>44473</v>
      </c>
      <c r="J368" s="65" t="s">
        <v>1455</v>
      </c>
      <c r="K368" s="58"/>
      <c r="L368" s="99"/>
      <c r="M368" s="70" t="s">
        <v>1431</v>
      </c>
      <c r="N368" s="97" t="s">
        <v>270</v>
      </c>
      <c r="O368" s="58"/>
      <c r="P368" s="58" t="s">
        <v>44</v>
      </c>
      <c r="Q368" s="58" t="s">
        <v>27</v>
      </c>
      <c r="R368" s="58" t="s">
        <v>272</v>
      </c>
    </row>
    <row r="369" spans="1:18" ht="69" customHeight="1">
      <c r="A369" s="168"/>
      <c r="B369" s="178">
        <v>2351</v>
      </c>
      <c r="C369" s="178" t="s">
        <v>259</v>
      </c>
      <c r="D369" s="575"/>
      <c r="E369" s="178" t="s">
        <v>260</v>
      </c>
      <c r="F369" s="210" t="s">
        <v>1456</v>
      </c>
      <c r="G369" s="58" t="s">
        <v>96</v>
      </c>
      <c r="H369" s="546">
        <v>27500</v>
      </c>
      <c r="I369" s="66">
        <v>44489</v>
      </c>
      <c r="J369" s="65" t="s">
        <v>285</v>
      </c>
      <c r="K369" s="58" t="s">
        <v>1428</v>
      </c>
      <c r="L369" s="99"/>
      <c r="M369" s="70" t="s">
        <v>1429</v>
      </c>
      <c r="N369" s="97" t="s">
        <v>264</v>
      </c>
      <c r="O369" s="58" t="s">
        <v>141</v>
      </c>
      <c r="P369" s="58" t="s">
        <v>17</v>
      </c>
      <c r="Q369" s="58" t="s">
        <v>27</v>
      </c>
      <c r="R369" s="58" t="s">
        <v>265</v>
      </c>
    </row>
    <row r="370" spans="1:18" ht="69" customHeight="1">
      <c r="A370" s="168"/>
      <c r="B370" s="178">
        <v>2354</v>
      </c>
      <c r="C370" s="178" t="s">
        <v>309</v>
      </c>
      <c r="D370" s="575" t="s">
        <v>1457</v>
      </c>
      <c r="E370" s="178" t="s">
        <v>266</v>
      </c>
      <c r="F370" s="210" t="s">
        <v>1458</v>
      </c>
      <c r="G370" s="58" t="s">
        <v>96</v>
      </c>
      <c r="H370" s="546">
        <v>9411.76</v>
      </c>
      <c r="I370" s="66">
        <v>44490</v>
      </c>
      <c r="J370" s="65" t="s">
        <v>1459</v>
      </c>
      <c r="K370" s="58"/>
      <c r="L370" s="99"/>
      <c r="M370" s="70" t="s">
        <v>1431</v>
      </c>
      <c r="N370" s="97" t="s">
        <v>270</v>
      </c>
      <c r="O370" s="58"/>
      <c r="P370" s="58" t="s">
        <v>44</v>
      </c>
      <c r="Q370" s="58" t="s">
        <v>27</v>
      </c>
      <c r="R370" s="58" t="s">
        <v>272</v>
      </c>
    </row>
    <row r="371" spans="1:18" ht="69" customHeight="1">
      <c r="A371" s="168"/>
      <c r="B371" s="178">
        <v>1392</v>
      </c>
      <c r="C371" s="178" t="s">
        <v>259</v>
      </c>
      <c r="D371" s="575" t="s">
        <v>1338</v>
      </c>
      <c r="E371" s="178" t="s">
        <v>305</v>
      </c>
      <c r="F371" s="210" t="s">
        <v>1460</v>
      </c>
      <c r="G371" s="58" t="s">
        <v>96</v>
      </c>
      <c r="H371" s="546">
        <v>10000</v>
      </c>
      <c r="I371" s="66">
        <v>44501</v>
      </c>
      <c r="J371" s="65" t="s">
        <v>1461</v>
      </c>
      <c r="K371" s="58"/>
      <c r="L371" s="99"/>
      <c r="M371" s="70" t="s">
        <v>1431</v>
      </c>
      <c r="N371" s="97" t="s">
        <v>270</v>
      </c>
      <c r="O371" s="58"/>
      <c r="P371" s="58" t="s">
        <v>44</v>
      </c>
      <c r="Q371" s="58" t="s">
        <v>27</v>
      </c>
      <c r="R371" s="58" t="s">
        <v>272</v>
      </c>
    </row>
    <row r="372" spans="1:18" ht="69" customHeight="1">
      <c r="A372" s="168"/>
      <c r="B372" s="178">
        <v>2372</v>
      </c>
      <c r="C372" s="178" t="s">
        <v>259</v>
      </c>
      <c r="D372" s="575" t="s">
        <v>436</v>
      </c>
      <c r="E372" s="178" t="s">
        <v>283</v>
      </c>
      <c r="F372" s="210" t="s">
        <v>1462</v>
      </c>
      <c r="G372" s="58" t="s">
        <v>96</v>
      </c>
      <c r="H372" s="546">
        <v>65000</v>
      </c>
      <c r="I372" s="66">
        <v>44524</v>
      </c>
      <c r="J372" s="65" t="s">
        <v>1463</v>
      </c>
      <c r="K372" s="58" t="s">
        <v>1428</v>
      </c>
      <c r="L372" s="99"/>
      <c r="M372" s="70" t="s">
        <v>1464</v>
      </c>
      <c r="N372" s="97" t="s">
        <v>264</v>
      </c>
      <c r="O372" s="58" t="s">
        <v>141</v>
      </c>
      <c r="P372" s="58" t="s">
        <v>17</v>
      </c>
      <c r="Q372" s="58" t="s">
        <v>27</v>
      </c>
      <c r="R372" s="58" t="s">
        <v>272</v>
      </c>
    </row>
    <row r="373" spans="1:18" ht="69" customHeight="1">
      <c r="A373" s="168"/>
      <c r="B373" s="178">
        <v>2450</v>
      </c>
      <c r="C373" s="178" t="s">
        <v>309</v>
      </c>
      <c r="D373" s="575" t="s">
        <v>1465</v>
      </c>
      <c r="E373" s="178" t="s">
        <v>266</v>
      </c>
      <c r="F373" s="210" t="s">
        <v>1466</v>
      </c>
      <c r="G373" s="58" t="s">
        <v>315</v>
      </c>
      <c r="H373" s="546">
        <v>7529.4</v>
      </c>
      <c r="I373" s="66">
        <v>44518</v>
      </c>
      <c r="J373" s="65" t="s">
        <v>1467</v>
      </c>
      <c r="K373" s="58"/>
      <c r="L373" s="99"/>
      <c r="M373" s="70" t="s">
        <v>1431</v>
      </c>
      <c r="N373" s="97" t="s">
        <v>270</v>
      </c>
      <c r="O373" s="58"/>
      <c r="P373" s="58" t="s">
        <v>44</v>
      </c>
      <c r="Q373" s="58" t="s">
        <v>27</v>
      </c>
      <c r="R373" s="58" t="s">
        <v>272</v>
      </c>
    </row>
    <row r="374" spans="1:18" ht="69" customHeight="1">
      <c r="A374" s="168"/>
      <c r="B374" s="178">
        <v>2737</v>
      </c>
      <c r="C374" s="178" t="s">
        <v>309</v>
      </c>
      <c r="D374" s="575" t="s">
        <v>1468</v>
      </c>
      <c r="E374" s="178" t="s">
        <v>305</v>
      </c>
      <c r="F374" s="210" t="s">
        <v>1469</v>
      </c>
      <c r="G374" s="58" t="s">
        <v>1470</v>
      </c>
      <c r="H374" s="546">
        <v>5000</v>
      </c>
      <c r="I374" s="66">
        <v>44559</v>
      </c>
      <c r="J374" s="65" t="s">
        <v>1471</v>
      </c>
      <c r="K374" s="58"/>
      <c r="L374" s="99"/>
      <c r="M374" s="70" t="s">
        <v>1431</v>
      </c>
      <c r="N374" s="97" t="s">
        <v>270</v>
      </c>
      <c r="O374" s="58"/>
      <c r="P374" s="58" t="s">
        <v>44</v>
      </c>
      <c r="Q374" s="58" t="s">
        <v>27</v>
      </c>
      <c r="R374" s="58" t="s">
        <v>272</v>
      </c>
    </row>
    <row r="375" spans="1:18" ht="69" customHeight="1">
      <c r="A375" s="168"/>
      <c r="B375" s="178">
        <v>2821</v>
      </c>
      <c r="C375" s="178" t="s">
        <v>309</v>
      </c>
      <c r="D375" s="575" t="s">
        <v>1472</v>
      </c>
      <c r="E375" s="178" t="s">
        <v>1473</v>
      </c>
      <c r="F375" s="210" t="s">
        <v>1474</v>
      </c>
      <c r="G375" s="58" t="s">
        <v>1475</v>
      </c>
      <c r="H375" s="546">
        <v>15000</v>
      </c>
      <c r="I375" s="66">
        <v>44571</v>
      </c>
      <c r="J375" s="65" t="s">
        <v>1476</v>
      </c>
      <c r="K375" s="58"/>
      <c r="L375" s="99"/>
      <c r="M375" s="70" t="s">
        <v>1431</v>
      </c>
      <c r="N375" s="97" t="s">
        <v>270</v>
      </c>
      <c r="O375" s="58"/>
      <c r="P375" s="58" t="s">
        <v>44</v>
      </c>
      <c r="Q375" s="58" t="s">
        <v>27</v>
      </c>
      <c r="R375" s="58" t="s">
        <v>272</v>
      </c>
    </row>
    <row r="376" spans="1:18" ht="69" customHeight="1">
      <c r="A376" s="168"/>
      <c r="B376" s="256">
        <v>2833</v>
      </c>
      <c r="C376" s="256" t="s">
        <v>1445</v>
      </c>
      <c r="D376" s="299" t="s">
        <v>1477</v>
      </c>
      <c r="E376" s="256" t="s">
        <v>266</v>
      </c>
      <c r="F376" s="263" t="s">
        <v>1478</v>
      </c>
      <c r="G376" s="118" t="s">
        <v>392</v>
      </c>
      <c r="H376" s="300">
        <v>105.77</v>
      </c>
      <c r="I376" s="262">
        <v>44606</v>
      </c>
      <c r="J376" s="258" t="s">
        <v>1479</v>
      </c>
      <c r="K376" s="160" t="s">
        <v>727</v>
      </c>
      <c r="M376" s="70" t="s">
        <v>1431</v>
      </c>
      <c r="N376" s="97" t="s">
        <v>270</v>
      </c>
      <c r="O376" s="118"/>
      <c r="P376" s="118" t="s">
        <v>67</v>
      </c>
      <c r="Q376" s="118" t="s">
        <v>27</v>
      </c>
      <c r="R376" s="118" t="s">
        <v>272</v>
      </c>
    </row>
    <row r="377" spans="1:18" ht="69" customHeight="1">
      <c r="A377" s="168"/>
      <c r="B377" s="256">
        <v>2834</v>
      </c>
      <c r="C377" s="256" t="s">
        <v>1445</v>
      </c>
      <c r="D377" s="299" t="s">
        <v>415</v>
      </c>
      <c r="E377" s="256" t="s">
        <v>266</v>
      </c>
      <c r="F377" s="263" t="s">
        <v>1480</v>
      </c>
      <c r="G377" s="118" t="s">
        <v>392</v>
      </c>
      <c r="H377" s="300">
        <v>103.29</v>
      </c>
      <c r="I377" s="262">
        <v>44606</v>
      </c>
      <c r="J377" s="258" t="s">
        <v>1481</v>
      </c>
      <c r="K377" s="160" t="s">
        <v>727</v>
      </c>
      <c r="M377" s="70" t="s">
        <v>1431</v>
      </c>
      <c r="N377" s="97" t="s">
        <v>270</v>
      </c>
      <c r="O377" s="118"/>
      <c r="P377" s="118" t="s">
        <v>67</v>
      </c>
      <c r="Q377" s="118" t="s">
        <v>27</v>
      </c>
      <c r="R377" s="118" t="s">
        <v>272</v>
      </c>
    </row>
    <row r="378" spans="1:18" ht="69" customHeight="1">
      <c r="A378" s="168"/>
      <c r="B378" s="256">
        <v>2835</v>
      </c>
      <c r="C378" s="256" t="s">
        <v>1445</v>
      </c>
      <c r="D378" s="299" t="s">
        <v>556</v>
      </c>
      <c r="E378" s="256" t="s">
        <v>266</v>
      </c>
      <c r="F378" s="263" t="s">
        <v>1482</v>
      </c>
      <c r="G378" s="118" t="s">
        <v>392</v>
      </c>
      <c r="H378" s="300">
        <v>75.58</v>
      </c>
      <c r="I378" s="262">
        <v>44606</v>
      </c>
      <c r="J378" s="258" t="s">
        <v>1483</v>
      </c>
      <c r="K378" s="160" t="s">
        <v>727</v>
      </c>
      <c r="M378" s="70" t="s">
        <v>1431</v>
      </c>
      <c r="N378" s="97" t="s">
        <v>270</v>
      </c>
      <c r="O378" s="118"/>
      <c r="P378" s="118" t="s">
        <v>67</v>
      </c>
      <c r="Q378" s="118" t="s">
        <v>27</v>
      </c>
      <c r="R378" s="118" t="s">
        <v>272</v>
      </c>
    </row>
    <row r="379" spans="1:18" ht="69" customHeight="1">
      <c r="A379" s="168"/>
      <c r="B379" s="256">
        <v>2836</v>
      </c>
      <c r="C379" s="256" t="s">
        <v>1445</v>
      </c>
      <c r="D379" s="299" t="s">
        <v>717</v>
      </c>
      <c r="E379" s="256" t="s">
        <v>266</v>
      </c>
      <c r="F379" s="263" t="s">
        <v>1484</v>
      </c>
      <c r="G379" s="118" t="s">
        <v>392</v>
      </c>
      <c r="H379" s="300">
        <v>463.71</v>
      </c>
      <c r="I379" s="262">
        <v>44606</v>
      </c>
      <c r="J379" s="258" t="s">
        <v>1485</v>
      </c>
      <c r="K379" s="160" t="s">
        <v>727</v>
      </c>
      <c r="M379" s="70" t="s">
        <v>1431</v>
      </c>
      <c r="N379" s="97" t="s">
        <v>270</v>
      </c>
      <c r="O379" s="118"/>
      <c r="P379" s="118" t="s">
        <v>67</v>
      </c>
      <c r="Q379" s="118" t="s">
        <v>27</v>
      </c>
      <c r="R379" s="118" t="s">
        <v>272</v>
      </c>
    </row>
    <row r="380" spans="1:18" ht="69" customHeight="1">
      <c r="A380" s="168"/>
      <c r="B380" s="178">
        <v>2833</v>
      </c>
      <c r="C380" s="178" t="s">
        <v>259</v>
      </c>
      <c r="D380" s="575"/>
      <c r="E380" s="178" t="s">
        <v>266</v>
      </c>
      <c r="F380" s="210" t="s">
        <v>1486</v>
      </c>
      <c r="G380" s="58" t="s">
        <v>392</v>
      </c>
      <c r="H380" s="546">
        <v>105.77</v>
      </c>
      <c r="I380" s="66">
        <v>44604</v>
      </c>
      <c r="J380" s="65" t="s">
        <v>1479</v>
      </c>
      <c r="K380" s="58"/>
      <c r="L380" s="99"/>
      <c r="M380" s="70" t="s">
        <v>1431</v>
      </c>
      <c r="N380" s="97" t="s">
        <v>270</v>
      </c>
      <c r="O380" s="58"/>
      <c r="P380" s="58" t="s">
        <v>44</v>
      </c>
      <c r="Q380" s="58" t="s">
        <v>27</v>
      </c>
      <c r="R380" s="58" t="s">
        <v>272</v>
      </c>
    </row>
    <row r="381" spans="1:18" ht="69" customHeight="1">
      <c r="A381" s="168"/>
      <c r="B381" s="178">
        <v>2834</v>
      </c>
      <c r="C381" s="178" t="s">
        <v>259</v>
      </c>
      <c r="D381" s="575"/>
      <c r="E381" s="178" t="s">
        <v>266</v>
      </c>
      <c r="F381" s="210" t="s">
        <v>1487</v>
      </c>
      <c r="G381" s="58" t="s">
        <v>392</v>
      </c>
      <c r="H381" s="546">
        <v>103.29</v>
      </c>
      <c r="I381" s="66">
        <v>44604</v>
      </c>
      <c r="J381" s="65" t="s">
        <v>1481</v>
      </c>
      <c r="K381" s="58"/>
      <c r="L381" s="99"/>
      <c r="M381" s="70" t="s">
        <v>1431</v>
      </c>
      <c r="N381" s="97" t="s">
        <v>270</v>
      </c>
      <c r="O381" s="58"/>
      <c r="P381" s="58" t="s">
        <v>44</v>
      </c>
      <c r="Q381" s="58" t="s">
        <v>27</v>
      </c>
      <c r="R381" s="58" t="s">
        <v>272</v>
      </c>
    </row>
    <row r="382" spans="1:18" ht="69" customHeight="1">
      <c r="A382" s="168"/>
      <c r="B382" s="178">
        <v>2835</v>
      </c>
      <c r="C382" s="178" t="s">
        <v>259</v>
      </c>
      <c r="D382" s="575"/>
      <c r="E382" s="178" t="s">
        <v>266</v>
      </c>
      <c r="F382" s="210" t="s">
        <v>1488</v>
      </c>
      <c r="G382" s="58" t="s">
        <v>392</v>
      </c>
      <c r="H382" s="546">
        <v>75.58</v>
      </c>
      <c r="I382" s="66">
        <v>44604</v>
      </c>
      <c r="J382" s="65" t="s">
        <v>1483</v>
      </c>
      <c r="K382" s="58"/>
      <c r="L382" s="99"/>
      <c r="M382" s="70" t="s">
        <v>1431</v>
      </c>
      <c r="N382" s="97" t="s">
        <v>270</v>
      </c>
      <c r="O382" s="58"/>
      <c r="P382" s="58" t="s">
        <v>44</v>
      </c>
      <c r="Q382" s="58" t="s">
        <v>27</v>
      </c>
      <c r="R382" s="58" t="s">
        <v>272</v>
      </c>
    </row>
    <row r="383" spans="1:18" ht="69" customHeight="1">
      <c r="A383" s="168"/>
      <c r="B383" s="178">
        <v>2836</v>
      </c>
      <c r="C383" s="178" t="s">
        <v>259</v>
      </c>
      <c r="D383" s="575"/>
      <c r="E383" s="178" t="s">
        <v>266</v>
      </c>
      <c r="F383" s="210" t="s">
        <v>1489</v>
      </c>
      <c r="G383" s="58" t="s">
        <v>392</v>
      </c>
      <c r="H383" s="546">
        <v>463.31</v>
      </c>
      <c r="I383" s="66">
        <v>44604</v>
      </c>
      <c r="J383" s="65" t="s">
        <v>1485</v>
      </c>
      <c r="K383" s="58"/>
      <c r="L383" s="99"/>
      <c r="M383" s="70" t="s">
        <v>1431</v>
      </c>
      <c r="N383" s="97" t="s">
        <v>270</v>
      </c>
      <c r="O383" s="58"/>
      <c r="P383" s="58" t="s">
        <v>44</v>
      </c>
      <c r="Q383" s="58" t="s">
        <v>27</v>
      </c>
      <c r="R383" s="58" t="s">
        <v>272</v>
      </c>
    </row>
    <row r="384" spans="1:18" ht="69" customHeight="1">
      <c r="A384" s="168"/>
      <c r="B384" s="178">
        <v>2857</v>
      </c>
      <c r="C384" s="178" t="s">
        <v>309</v>
      </c>
      <c r="D384" s="575" t="s">
        <v>1490</v>
      </c>
      <c r="E384" s="178" t="s">
        <v>266</v>
      </c>
      <c r="F384" s="210" t="s">
        <v>1491</v>
      </c>
      <c r="G384" s="58" t="s">
        <v>325</v>
      </c>
      <c r="H384" s="546">
        <v>4235.3</v>
      </c>
      <c r="I384" s="66" t="s">
        <v>96</v>
      </c>
      <c r="J384" s="65" t="s">
        <v>1492</v>
      </c>
      <c r="K384" s="58"/>
      <c r="L384" s="99"/>
      <c r="M384" s="70" t="s">
        <v>1431</v>
      </c>
      <c r="N384" s="97" t="s">
        <v>270</v>
      </c>
      <c r="O384" s="58"/>
      <c r="P384" s="58" t="s">
        <v>44</v>
      </c>
      <c r="Q384" s="58" t="s">
        <v>27</v>
      </c>
      <c r="R384" s="58" t="s">
        <v>272</v>
      </c>
    </row>
    <row r="385" spans="1:18" ht="69" customHeight="1">
      <c r="A385" s="168"/>
      <c r="B385" s="178">
        <v>2892</v>
      </c>
      <c r="C385" s="178" t="s">
        <v>259</v>
      </c>
      <c r="D385" s="575"/>
      <c r="E385" s="178" t="s">
        <v>266</v>
      </c>
      <c r="F385" s="210" t="s">
        <v>1493</v>
      </c>
      <c r="G385" s="58" t="s">
        <v>392</v>
      </c>
      <c r="H385" s="546">
        <v>596.29</v>
      </c>
      <c r="I385" s="66">
        <v>44585</v>
      </c>
      <c r="J385" s="65" t="s">
        <v>1494</v>
      </c>
      <c r="K385" s="58"/>
      <c r="L385" s="99"/>
      <c r="M385" s="70" t="s">
        <v>1431</v>
      </c>
      <c r="N385" s="97" t="s">
        <v>270</v>
      </c>
      <c r="O385" s="58"/>
      <c r="P385" s="58" t="s">
        <v>44</v>
      </c>
      <c r="Q385" s="58" t="s">
        <v>27</v>
      </c>
      <c r="R385" s="58" t="s">
        <v>272</v>
      </c>
    </row>
    <row r="386" spans="1:18" ht="69" customHeight="1">
      <c r="A386" s="168"/>
      <c r="B386" s="178">
        <v>2952</v>
      </c>
      <c r="C386" s="178" t="s">
        <v>259</v>
      </c>
      <c r="D386" s="575"/>
      <c r="E386" s="178" t="s">
        <v>266</v>
      </c>
      <c r="F386" s="210" t="s">
        <v>1486</v>
      </c>
      <c r="G386" s="58" t="s">
        <v>392</v>
      </c>
      <c r="H386" s="546">
        <v>103.29</v>
      </c>
      <c r="I386" s="66">
        <v>44587</v>
      </c>
      <c r="J386" s="65" t="s">
        <v>1495</v>
      </c>
      <c r="K386" s="58"/>
      <c r="L386" s="99"/>
      <c r="M386" s="70" t="s">
        <v>1431</v>
      </c>
      <c r="N386" s="97" t="s">
        <v>270</v>
      </c>
      <c r="O386" s="58"/>
      <c r="P386" s="58" t="s">
        <v>44</v>
      </c>
      <c r="Q386" s="58" t="s">
        <v>27</v>
      </c>
      <c r="R386" s="58" t="s">
        <v>272</v>
      </c>
    </row>
    <row r="387" spans="1:18" ht="69" customHeight="1">
      <c r="A387" s="168"/>
      <c r="B387" s="178">
        <v>2953</v>
      </c>
      <c r="C387" s="178" t="s">
        <v>259</v>
      </c>
      <c r="D387" s="575"/>
      <c r="E387" s="178" t="s">
        <v>266</v>
      </c>
      <c r="F387" s="210" t="s">
        <v>1487</v>
      </c>
      <c r="G387" s="58" t="s">
        <v>392</v>
      </c>
      <c r="H387" s="546">
        <v>110.72</v>
      </c>
      <c r="I387" s="66">
        <v>44587</v>
      </c>
      <c r="J387" s="65" t="s">
        <v>1496</v>
      </c>
      <c r="K387" s="58"/>
      <c r="L387" s="99"/>
      <c r="M387" s="70" t="s">
        <v>1431</v>
      </c>
      <c r="N387" s="97" t="s">
        <v>270</v>
      </c>
      <c r="O387" s="58"/>
      <c r="P387" s="58" t="s">
        <v>44</v>
      </c>
      <c r="Q387" s="58" t="s">
        <v>27</v>
      </c>
      <c r="R387" s="58" t="s">
        <v>272</v>
      </c>
    </row>
    <row r="388" spans="1:18" ht="69" customHeight="1">
      <c r="A388" s="168"/>
      <c r="B388" s="178">
        <v>2954</v>
      </c>
      <c r="C388" s="178" t="s">
        <v>259</v>
      </c>
      <c r="D388" s="575"/>
      <c r="E388" s="178" t="s">
        <v>266</v>
      </c>
      <c r="F388" s="210" t="s">
        <v>1488</v>
      </c>
      <c r="G388" s="58" t="s">
        <v>392</v>
      </c>
      <c r="H388" s="546">
        <v>190.14</v>
      </c>
      <c r="I388" s="66">
        <v>44587</v>
      </c>
      <c r="J388" s="65" t="s">
        <v>1497</v>
      </c>
      <c r="K388" s="58"/>
      <c r="L388" s="99"/>
      <c r="M388" s="70" t="s">
        <v>1431</v>
      </c>
      <c r="N388" s="97" t="s">
        <v>270</v>
      </c>
      <c r="O388" s="58"/>
      <c r="P388" s="58" t="s">
        <v>44</v>
      </c>
      <c r="Q388" s="58" t="s">
        <v>27</v>
      </c>
      <c r="R388" s="58" t="s">
        <v>272</v>
      </c>
    </row>
    <row r="389" spans="1:18" ht="69" customHeight="1">
      <c r="A389" s="168"/>
      <c r="B389" s="178">
        <v>2955</v>
      </c>
      <c r="C389" s="178" t="s">
        <v>259</v>
      </c>
      <c r="D389" s="575"/>
      <c r="E389" s="178" t="s">
        <v>266</v>
      </c>
      <c r="F389" s="210" t="s">
        <v>1489</v>
      </c>
      <c r="G389" s="58" t="s">
        <v>392</v>
      </c>
      <c r="H389" s="546">
        <v>1431.2</v>
      </c>
      <c r="I389" s="66">
        <v>44587</v>
      </c>
      <c r="J389" s="65" t="s">
        <v>1498</v>
      </c>
      <c r="K389" s="58"/>
      <c r="L389" s="99"/>
      <c r="M389" s="70" t="s">
        <v>1431</v>
      </c>
      <c r="N389" s="97" t="s">
        <v>270</v>
      </c>
      <c r="O389" s="58"/>
      <c r="P389" s="58" t="s">
        <v>44</v>
      </c>
      <c r="Q389" s="58" t="s">
        <v>27</v>
      </c>
      <c r="R389" s="58" t="s">
        <v>272</v>
      </c>
    </row>
    <row r="390" spans="1:18" ht="69" customHeight="1">
      <c r="A390" s="168"/>
      <c r="B390" s="191">
        <v>2965</v>
      </c>
      <c r="C390" s="191" t="s">
        <v>309</v>
      </c>
      <c r="D390" s="533" t="s">
        <v>1499</v>
      </c>
      <c r="E390" s="191" t="s">
        <v>331</v>
      </c>
      <c r="F390" s="211" t="s">
        <v>1500</v>
      </c>
      <c r="G390" s="46" t="s">
        <v>652</v>
      </c>
      <c r="H390" s="534">
        <v>0</v>
      </c>
      <c r="I390" s="56" t="s">
        <v>96</v>
      </c>
      <c r="J390" s="199" t="s">
        <v>334</v>
      </c>
      <c r="K390" s="46"/>
      <c r="L390" s="99"/>
      <c r="M390" s="379" t="s">
        <v>27</v>
      </c>
      <c r="N390" s="76" t="s">
        <v>69</v>
      </c>
      <c r="O390" s="46"/>
      <c r="P390" s="46" t="s">
        <v>69</v>
      </c>
      <c r="Q390" s="46" t="s">
        <v>27</v>
      </c>
      <c r="R390" s="46" t="s">
        <v>272</v>
      </c>
    </row>
    <row r="391" spans="1:18" ht="69" customHeight="1">
      <c r="A391" s="168"/>
      <c r="B391" s="178">
        <v>3202</v>
      </c>
      <c r="C391" s="178" t="s">
        <v>259</v>
      </c>
      <c r="D391" s="575"/>
      <c r="E391" s="178" t="s">
        <v>266</v>
      </c>
      <c r="F391" s="210" t="s">
        <v>1501</v>
      </c>
      <c r="G391" s="58"/>
      <c r="H391" s="546">
        <v>2310.35</v>
      </c>
      <c r="I391" s="66">
        <v>44610</v>
      </c>
      <c r="J391" s="65" t="s">
        <v>1502</v>
      </c>
      <c r="K391" s="58"/>
      <c r="L391" s="99"/>
      <c r="M391" s="70" t="s">
        <v>1431</v>
      </c>
      <c r="N391" s="97" t="s">
        <v>270</v>
      </c>
      <c r="O391" s="58"/>
      <c r="P391" s="58" t="s">
        <v>44</v>
      </c>
      <c r="Q391" s="58" t="s">
        <v>27</v>
      </c>
      <c r="R391" s="58" t="s">
        <v>272</v>
      </c>
    </row>
    <row r="392" spans="1:18" ht="69" customHeight="1">
      <c r="A392" s="168"/>
      <c r="B392" s="178">
        <v>3097</v>
      </c>
      <c r="C392" s="178" t="s">
        <v>309</v>
      </c>
      <c r="D392" s="575" t="s">
        <v>1503</v>
      </c>
      <c r="E392" s="178" t="s">
        <v>266</v>
      </c>
      <c r="F392" s="210" t="s">
        <v>1504</v>
      </c>
      <c r="G392" s="58" t="s">
        <v>703</v>
      </c>
      <c r="H392" s="546">
        <v>1882.35</v>
      </c>
      <c r="I392" s="66">
        <v>44610</v>
      </c>
      <c r="J392" s="65" t="s">
        <v>1505</v>
      </c>
      <c r="K392" s="58"/>
      <c r="L392" s="99"/>
      <c r="M392" s="70" t="s">
        <v>1431</v>
      </c>
      <c r="N392" s="97" t="s">
        <v>270</v>
      </c>
      <c r="O392" s="58"/>
      <c r="P392" s="58" t="s">
        <v>44</v>
      </c>
      <c r="Q392" s="58" t="s">
        <v>27</v>
      </c>
      <c r="R392" s="58" t="s">
        <v>272</v>
      </c>
    </row>
    <row r="393" spans="1:18" ht="69" customHeight="1">
      <c r="A393" s="168"/>
      <c r="B393" s="178">
        <v>3107</v>
      </c>
      <c r="C393" s="178" t="s">
        <v>309</v>
      </c>
      <c r="D393" s="575" t="s">
        <v>1506</v>
      </c>
      <c r="E393" s="178" t="s">
        <v>283</v>
      </c>
      <c r="F393" s="210" t="s">
        <v>1507</v>
      </c>
      <c r="G393" s="58" t="s">
        <v>655</v>
      </c>
      <c r="H393" s="546">
        <v>98250</v>
      </c>
      <c r="I393" s="66">
        <v>44610</v>
      </c>
      <c r="J393" s="65" t="s">
        <v>1508</v>
      </c>
      <c r="K393" s="58" t="s">
        <v>1428</v>
      </c>
      <c r="L393" s="99"/>
      <c r="M393" s="70" t="s">
        <v>1464</v>
      </c>
      <c r="N393" s="97" t="s">
        <v>264</v>
      </c>
      <c r="O393" s="58" t="s">
        <v>141</v>
      </c>
      <c r="P393" s="58" t="s">
        <v>17</v>
      </c>
      <c r="Q393" s="58" t="s">
        <v>27</v>
      </c>
      <c r="R393" s="58" t="s">
        <v>272</v>
      </c>
    </row>
    <row r="394" spans="1:18" ht="69" customHeight="1">
      <c r="A394" s="168"/>
      <c r="B394" s="178">
        <v>3116</v>
      </c>
      <c r="C394" s="178" t="s">
        <v>309</v>
      </c>
      <c r="D394" s="575" t="s">
        <v>1509</v>
      </c>
      <c r="E394" s="178" t="s">
        <v>358</v>
      </c>
      <c r="F394" s="210" t="s">
        <v>1510</v>
      </c>
      <c r="G394" s="58" t="s">
        <v>360</v>
      </c>
      <c r="H394" s="546">
        <v>242000</v>
      </c>
      <c r="I394" s="66">
        <v>44610</v>
      </c>
      <c r="J394" s="65" t="s">
        <v>1511</v>
      </c>
      <c r="K394" s="58" t="s">
        <v>1512</v>
      </c>
      <c r="L394" s="99"/>
      <c r="M394" s="70" t="s">
        <v>1513</v>
      </c>
      <c r="N394" s="97" t="s">
        <v>356</v>
      </c>
      <c r="O394" s="58" t="s">
        <v>141</v>
      </c>
      <c r="P394" s="58" t="s">
        <v>19</v>
      </c>
      <c r="Q394" s="58" t="s">
        <v>27</v>
      </c>
      <c r="R394" s="58" t="s">
        <v>272</v>
      </c>
    </row>
    <row r="395" spans="1:18" ht="69" customHeight="1">
      <c r="A395" s="168"/>
      <c r="B395" s="178">
        <v>4182</v>
      </c>
      <c r="C395" s="178" t="s">
        <v>309</v>
      </c>
      <c r="D395" s="575" t="s">
        <v>1514</v>
      </c>
      <c r="E395" s="178" t="s">
        <v>358</v>
      </c>
      <c r="F395" s="210" t="s">
        <v>1515</v>
      </c>
      <c r="G395" s="58" t="s">
        <v>529</v>
      </c>
      <c r="H395" s="546">
        <v>150000</v>
      </c>
      <c r="I395" s="66">
        <v>44648</v>
      </c>
      <c r="J395" s="65" t="s">
        <v>1516</v>
      </c>
      <c r="K395" s="58" t="s">
        <v>1512</v>
      </c>
      <c r="L395" s="99"/>
      <c r="M395" s="70" t="s">
        <v>1513</v>
      </c>
      <c r="N395" s="97" t="s">
        <v>356</v>
      </c>
      <c r="O395" s="58" t="s">
        <v>141</v>
      </c>
      <c r="P395" s="58" t="s">
        <v>19</v>
      </c>
      <c r="Q395" s="58" t="s">
        <v>27</v>
      </c>
      <c r="R395" s="58" t="s">
        <v>272</v>
      </c>
    </row>
    <row r="396" spans="1:18" ht="69" customHeight="1">
      <c r="A396" s="168"/>
      <c r="B396" s="178">
        <v>4634</v>
      </c>
      <c r="C396" s="178" t="s">
        <v>309</v>
      </c>
      <c r="D396" s="575" t="s">
        <v>1517</v>
      </c>
      <c r="E396" s="178" t="s">
        <v>358</v>
      </c>
      <c r="F396" s="210" t="s">
        <v>1518</v>
      </c>
      <c r="G396" s="58" t="s">
        <v>529</v>
      </c>
      <c r="H396" s="546">
        <v>242000</v>
      </c>
      <c r="I396" s="66">
        <v>44676</v>
      </c>
      <c r="J396" s="65" t="s">
        <v>1519</v>
      </c>
      <c r="K396" s="58" t="s">
        <v>1512</v>
      </c>
      <c r="L396" s="99"/>
      <c r="M396" s="70" t="s">
        <v>1513</v>
      </c>
      <c r="N396" s="97" t="s">
        <v>356</v>
      </c>
      <c r="O396" s="58" t="s">
        <v>141</v>
      </c>
      <c r="P396" s="58" t="s">
        <v>19</v>
      </c>
      <c r="Q396" s="58" t="s">
        <v>27</v>
      </c>
      <c r="R396" s="58" t="s">
        <v>272</v>
      </c>
    </row>
    <row r="397" spans="1:18" ht="69" customHeight="1">
      <c r="A397" s="168"/>
      <c r="B397" s="178">
        <v>4688</v>
      </c>
      <c r="C397" s="178" t="s">
        <v>309</v>
      </c>
      <c r="D397" s="575" t="s">
        <v>1520</v>
      </c>
      <c r="E397" s="178" t="s">
        <v>331</v>
      </c>
      <c r="F397" s="210" t="s">
        <v>1521</v>
      </c>
      <c r="G397" s="58"/>
      <c r="H397" s="546">
        <v>2635.98</v>
      </c>
      <c r="I397" s="66">
        <v>44678</v>
      </c>
      <c r="J397" s="65" t="s">
        <v>1522</v>
      </c>
      <c r="K397" s="58"/>
      <c r="L397" s="99"/>
      <c r="M397" s="70" t="s">
        <v>1431</v>
      </c>
      <c r="N397" s="97" t="s">
        <v>270</v>
      </c>
      <c r="O397" s="58"/>
      <c r="P397" s="58" t="s">
        <v>44</v>
      </c>
      <c r="Q397" s="58" t="s">
        <v>27</v>
      </c>
      <c r="R397" s="58" t="s">
        <v>272</v>
      </c>
    </row>
    <row r="398" spans="1:18" ht="69" customHeight="1">
      <c r="A398" s="168"/>
      <c r="B398" s="178">
        <v>4746</v>
      </c>
      <c r="C398" s="178" t="s">
        <v>309</v>
      </c>
      <c r="D398" s="575" t="s">
        <v>1523</v>
      </c>
      <c r="E398" s="178" t="s">
        <v>350</v>
      </c>
      <c r="F398" s="210" t="s">
        <v>1524</v>
      </c>
      <c r="G398" s="58" t="s">
        <v>352</v>
      </c>
      <c r="H398" s="546">
        <v>30000</v>
      </c>
      <c r="I398" s="66">
        <v>44683</v>
      </c>
      <c r="J398" s="65" t="s">
        <v>1525</v>
      </c>
      <c r="K398" s="58" t="s">
        <v>1512</v>
      </c>
      <c r="L398" s="99"/>
      <c r="M398" s="70" t="s">
        <v>1526</v>
      </c>
      <c r="N398" s="97" t="s">
        <v>356</v>
      </c>
      <c r="O398" s="58" t="s">
        <v>141</v>
      </c>
      <c r="P398" s="58" t="s">
        <v>19</v>
      </c>
      <c r="Q398" s="58" t="s">
        <v>27</v>
      </c>
      <c r="R398" s="58" t="s">
        <v>265</v>
      </c>
    </row>
    <row r="399" spans="1:18" ht="69" customHeight="1">
      <c r="A399" s="168"/>
      <c r="B399" s="178">
        <v>4197</v>
      </c>
      <c r="C399" s="178" t="s">
        <v>309</v>
      </c>
      <c r="D399" s="575" t="s">
        <v>1527</v>
      </c>
      <c r="E399" s="178" t="s">
        <v>266</v>
      </c>
      <c r="F399" s="210" t="s">
        <v>1528</v>
      </c>
      <c r="G399" s="58" t="s">
        <v>376</v>
      </c>
      <c r="H399" s="546">
        <v>5529.41</v>
      </c>
      <c r="I399" s="66">
        <v>44697</v>
      </c>
      <c r="J399" s="65" t="s">
        <v>1529</v>
      </c>
      <c r="K399" s="58"/>
      <c r="L399" s="99"/>
      <c r="M399" s="70" t="s">
        <v>1431</v>
      </c>
      <c r="N399" s="97" t="s">
        <v>270</v>
      </c>
      <c r="O399" s="58"/>
      <c r="P399" s="58" t="s">
        <v>44</v>
      </c>
      <c r="Q399" s="58" t="s">
        <v>27</v>
      </c>
      <c r="R399" s="58" t="s">
        <v>272</v>
      </c>
    </row>
    <row r="400" spans="1:18" ht="69" customHeight="1">
      <c r="A400" s="168"/>
      <c r="B400" s="178">
        <v>4873</v>
      </c>
      <c r="C400" s="178" t="s">
        <v>309</v>
      </c>
      <c r="D400" s="575" t="s">
        <v>1530</v>
      </c>
      <c r="E400" s="178" t="s">
        <v>266</v>
      </c>
      <c r="F400" s="210" t="s">
        <v>1531</v>
      </c>
      <c r="G400" s="58" t="s">
        <v>680</v>
      </c>
      <c r="H400" s="546">
        <v>6206.9</v>
      </c>
      <c r="I400" s="66">
        <v>44706</v>
      </c>
      <c r="J400" s="65" t="s">
        <v>1532</v>
      </c>
      <c r="K400" s="58"/>
      <c r="L400" s="99"/>
      <c r="M400" s="70" t="s">
        <v>1533</v>
      </c>
      <c r="N400" s="97" t="s">
        <v>683</v>
      </c>
      <c r="O400" s="58" t="s">
        <v>684</v>
      </c>
      <c r="P400" s="58" t="s">
        <v>46</v>
      </c>
      <c r="Q400" s="58" t="s">
        <v>27</v>
      </c>
      <c r="R400" s="58" t="s">
        <v>272</v>
      </c>
    </row>
    <row r="401" spans="1:18" ht="69" customHeight="1">
      <c r="A401" s="168"/>
      <c r="B401" s="178">
        <v>4688</v>
      </c>
      <c r="C401" s="178" t="s">
        <v>309</v>
      </c>
      <c r="D401" s="575" t="s">
        <v>1534</v>
      </c>
      <c r="E401" s="178" t="s">
        <v>331</v>
      </c>
      <c r="F401" s="210" t="s">
        <v>1535</v>
      </c>
      <c r="G401" s="58" t="s">
        <v>372</v>
      </c>
      <c r="H401" s="546">
        <v>23723.850000000002</v>
      </c>
      <c r="I401" s="66">
        <v>44701</v>
      </c>
      <c r="J401" s="65" t="s">
        <v>1536</v>
      </c>
      <c r="K401" s="58"/>
      <c r="L401" s="99"/>
      <c r="M401" s="70" t="s">
        <v>1431</v>
      </c>
      <c r="N401" s="97" t="s">
        <v>270</v>
      </c>
      <c r="O401" s="58"/>
      <c r="P401" s="58" t="s">
        <v>44</v>
      </c>
      <c r="Q401" s="58" t="s">
        <v>27</v>
      </c>
      <c r="R401" s="58" t="s">
        <v>272</v>
      </c>
    </row>
    <row r="402" spans="1:18" ht="69" customHeight="1">
      <c r="A402" s="168"/>
      <c r="B402" s="178">
        <v>5033</v>
      </c>
      <c r="C402" s="178" t="s">
        <v>259</v>
      </c>
      <c r="D402" s="575"/>
      <c r="E402" s="178" t="s">
        <v>266</v>
      </c>
      <c r="F402" s="210" t="s">
        <v>1537</v>
      </c>
      <c r="G402" s="58"/>
      <c r="H402" s="546">
        <v>2099.25</v>
      </c>
      <c r="I402" s="66" t="s">
        <v>96</v>
      </c>
      <c r="J402" s="65" t="s">
        <v>1538</v>
      </c>
      <c r="K402" s="58"/>
      <c r="L402" s="99"/>
      <c r="M402" s="70" t="s">
        <v>1431</v>
      </c>
      <c r="N402" s="97" t="s">
        <v>270</v>
      </c>
      <c r="O402" s="58"/>
      <c r="P402" s="58" t="s">
        <v>44</v>
      </c>
      <c r="Q402" s="58" t="s">
        <v>27</v>
      </c>
      <c r="R402" s="58" t="s">
        <v>272</v>
      </c>
    </row>
    <row r="403" spans="1:18" ht="69" customHeight="1">
      <c r="A403" s="168"/>
      <c r="B403" s="178">
        <v>5114</v>
      </c>
      <c r="C403" s="178" t="s">
        <v>309</v>
      </c>
      <c r="D403" s="575" t="s">
        <v>1539</v>
      </c>
      <c r="E403" s="178" t="s">
        <v>283</v>
      </c>
      <c r="F403" s="210" t="s">
        <v>1540</v>
      </c>
      <c r="G403" s="58" t="s">
        <v>718</v>
      </c>
      <c r="H403" s="546">
        <v>164250</v>
      </c>
      <c r="I403" s="66">
        <v>44732</v>
      </c>
      <c r="J403" s="65" t="s">
        <v>1541</v>
      </c>
      <c r="K403" s="58" t="s">
        <v>1428</v>
      </c>
      <c r="L403" s="99"/>
      <c r="M403" s="70" t="s">
        <v>1464</v>
      </c>
      <c r="N403" s="97" t="s">
        <v>264</v>
      </c>
      <c r="O403" s="58" t="s">
        <v>141</v>
      </c>
      <c r="P403" s="58" t="s">
        <v>17</v>
      </c>
      <c r="Q403" s="58" t="s">
        <v>27</v>
      </c>
      <c r="R403" s="58" t="s">
        <v>272</v>
      </c>
    </row>
    <row r="404" spans="1:18" ht="69" customHeight="1">
      <c r="A404" s="168"/>
      <c r="B404" s="178">
        <v>1</v>
      </c>
      <c r="C404" s="178" t="s">
        <v>309</v>
      </c>
      <c r="D404" s="575" t="s">
        <v>1542</v>
      </c>
      <c r="E404" s="178" t="s">
        <v>382</v>
      </c>
      <c r="F404" s="210" t="s">
        <v>1543</v>
      </c>
      <c r="G404" s="58" t="s">
        <v>384</v>
      </c>
      <c r="H404" s="546">
        <v>22679.42</v>
      </c>
      <c r="I404" s="66">
        <v>44736</v>
      </c>
      <c r="J404" s="65" t="s">
        <v>1544</v>
      </c>
      <c r="K404" s="58"/>
      <c r="L404" s="99"/>
      <c r="M404" s="70" t="s">
        <v>1545</v>
      </c>
      <c r="N404" s="97" t="s">
        <v>387</v>
      </c>
      <c r="O404" s="45" t="s">
        <v>150</v>
      </c>
      <c r="P404" s="58" t="s">
        <v>51</v>
      </c>
      <c r="Q404" s="58" t="s">
        <v>27</v>
      </c>
      <c r="R404" s="58" t="s">
        <v>272</v>
      </c>
    </row>
    <row r="405" spans="1:18" ht="69" customHeight="1">
      <c r="A405" s="168"/>
      <c r="B405" s="178">
        <v>4</v>
      </c>
      <c r="C405" s="178" t="s">
        <v>309</v>
      </c>
      <c r="D405" s="575" t="s">
        <v>1451</v>
      </c>
      <c r="E405" s="178" t="s">
        <v>382</v>
      </c>
      <c r="F405" s="210" t="s">
        <v>1546</v>
      </c>
      <c r="G405" s="58" t="s">
        <v>384</v>
      </c>
      <c r="H405" s="546">
        <v>38303.97</v>
      </c>
      <c r="I405" s="66">
        <v>44736</v>
      </c>
      <c r="J405" s="65" t="s">
        <v>1547</v>
      </c>
      <c r="K405" s="58"/>
      <c r="L405" s="99"/>
      <c r="M405" s="70" t="s">
        <v>1545</v>
      </c>
      <c r="N405" s="97" t="s">
        <v>387</v>
      </c>
      <c r="O405" s="45" t="s">
        <v>150</v>
      </c>
      <c r="P405" s="58" t="s">
        <v>51</v>
      </c>
      <c r="Q405" s="58" t="s">
        <v>27</v>
      </c>
      <c r="R405" s="58" t="s">
        <v>272</v>
      </c>
    </row>
    <row r="406" spans="1:18" ht="69" customHeight="1">
      <c r="A406" s="168"/>
      <c r="B406" s="178">
        <v>6280</v>
      </c>
      <c r="C406" s="178" t="s">
        <v>309</v>
      </c>
      <c r="D406" s="575" t="s">
        <v>1548</v>
      </c>
      <c r="E406" s="178" t="s">
        <v>350</v>
      </c>
      <c r="F406" s="210" t="s">
        <v>1549</v>
      </c>
      <c r="G406" s="58" t="s">
        <v>352</v>
      </c>
      <c r="H406" s="546">
        <v>96020</v>
      </c>
      <c r="I406" s="66">
        <v>44751</v>
      </c>
      <c r="J406" s="65" t="s">
        <v>1550</v>
      </c>
      <c r="K406" s="58" t="s">
        <v>1512</v>
      </c>
      <c r="L406" s="99"/>
      <c r="M406" s="70" t="s">
        <v>1526</v>
      </c>
      <c r="N406" s="97" t="s">
        <v>356</v>
      </c>
      <c r="O406" s="58" t="s">
        <v>141</v>
      </c>
      <c r="P406" s="58" t="s">
        <v>19</v>
      </c>
      <c r="Q406" s="58" t="s">
        <v>27</v>
      </c>
      <c r="R406" s="58" t="s">
        <v>265</v>
      </c>
    </row>
    <row r="407" spans="1:18" ht="69" customHeight="1">
      <c r="A407" s="168"/>
      <c r="B407" s="178">
        <v>6283</v>
      </c>
      <c r="C407" s="178" t="s">
        <v>309</v>
      </c>
      <c r="D407" s="575" t="s">
        <v>1551</v>
      </c>
      <c r="E407" s="178" t="s">
        <v>350</v>
      </c>
      <c r="F407" s="210" t="s">
        <v>1552</v>
      </c>
      <c r="G407" s="58" t="s">
        <v>352</v>
      </c>
      <c r="H407" s="546">
        <v>154885.57</v>
      </c>
      <c r="I407" s="66">
        <v>44742</v>
      </c>
      <c r="J407" s="65" t="s">
        <v>1553</v>
      </c>
      <c r="K407" s="58" t="s">
        <v>1512</v>
      </c>
      <c r="L407" s="99"/>
      <c r="M407" s="70" t="s">
        <v>1526</v>
      </c>
      <c r="N407" s="97" t="s">
        <v>356</v>
      </c>
      <c r="O407" s="58" t="s">
        <v>141</v>
      </c>
      <c r="P407" s="58" t="s">
        <v>19</v>
      </c>
      <c r="Q407" s="58" t="s">
        <v>27</v>
      </c>
      <c r="R407" s="58" t="s">
        <v>265</v>
      </c>
    </row>
    <row r="408" spans="1:18" ht="69" customHeight="1">
      <c r="A408" s="168"/>
      <c r="B408" s="178">
        <v>5128</v>
      </c>
      <c r="C408" s="178" t="s">
        <v>259</v>
      </c>
      <c r="D408" s="575"/>
      <c r="E408" s="178" t="s">
        <v>266</v>
      </c>
      <c r="F408" s="210" t="s">
        <v>1554</v>
      </c>
      <c r="G408" s="58" t="s">
        <v>392</v>
      </c>
      <c r="H408" s="546">
        <v>10006.49</v>
      </c>
      <c r="I408" s="66">
        <v>44743</v>
      </c>
      <c r="J408" s="65" t="s">
        <v>1555</v>
      </c>
      <c r="K408" s="58" t="s">
        <v>705</v>
      </c>
      <c r="L408" s="99"/>
      <c r="M408" s="70" t="s">
        <v>1431</v>
      </c>
      <c r="N408" s="97" t="s">
        <v>270</v>
      </c>
      <c r="O408" s="58"/>
      <c r="P408" s="58" t="s">
        <v>44</v>
      </c>
      <c r="Q408" s="58" t="s">
        <v>27</v>
      </c>
      <c r="R408" s="58" t="s">
        <v>272</v>
      </c>
    </row>
    <row r="409" spans="1:18" ht="69" customHeight="1">
      <c r="A409" s="168"/>
      <c r="B409" s="178">
        <v>5135</v>
      </c>
      <c r="C409" s="178" t="s">
        <v>259</v>
      </c>
      <c r="D409" s="575"/>
      <c r="E409" s="178" t="s">
        <v>266</v>
      </c>
      <c r="F409" s="210" t="s">
        <v>1556</v>
      </c>
      <c r="G409" s="58" t="s">
        <v>392</v>
      </c>
      <c r="H409" s="546">
        <v>156465.84</v>
      </c>
      <c r="I409" s="66">
        <v>44743</v>
      </c>
      <c r="J409" s="65" t="s">
        <v>397</v>
      </c>
      <c r="K409" s="58" t="s">
        <v>705</v>
      </c>
      <c r="L409" s="99"/>
      <c r="M409" s="70" t="s">
        <v>1431</v>
      </c>
      <c r="N409" s="97" t="s">
        <v>270</v>
      </c>
      <c r="O409" s="58"/>
      <c r="P409" s="58" t="s">
        <v>44</v>
      </c>
      <c r="Q409" s="58" t="s">
        <v>27</v>
      </c>
      <c r="R409" s="58" t="s">
        <v>272</v>
      </c>
    </row>
    <row r="410" spans="1:18" ht="69" customHeight="1">
      <c r="A410" s="168"/>
      <c r="B410" s="178">
        <v>5341</v>
      </c>
      <c r="C410" s="178" t="s">
        <v>259</v>
      </c>
      <c r="D410" s="575"/>
      <c r="E410" s="178" t="s">
        <v>266</v>
      </c>
      <c r="F410" s="210" t="s">
        <v>1557</v>
      </c>
      <c r="G410" s="58" t="s">
        <v>392</v>
      </c>
      <c r="H410" s="546">
        <v>3586.52</v>
      </c>
      <c r="I410" s="66">
        <v>44753</v>
      </c>
      <c r="J410" s="65" t="s">
        <v>1558</v>
      </c>
      <c r="K410" s="58" t="s">
        <v>705</v>
      </c>
      <c r="L410" s="99"/>
      <c r="M410" s="70" t="s">
        <v>1431</v>
      </c>
      <c r="N410" s="97" t="s">
        <v>270</v>
      </c>
      <c r="O410" s="58"/>
      <c r="P410" s="58" t="s">
        <v>44</v>
      </c>
      <c r="Q410" s="58" t="s">
        <v>27</v>
      </c>
      <c r="R410" s="58" t="s">
        <v>272</v>
      </c>
    </row>
    <row r="411" spans="1:18" ht="69" customHeight="1">
      <c r="A411" s="168"/>
      <c r="B411" s="178">
        <v>5342</v>
      </c>
      <c r="C411" s="178" t="s">
        <v>259</v>
      </c>
      <c r="D411" s="575"/>
      <c r="E411" s="178" t="s">
        <v>266</v>
      </c>
      <c r="F411" s="210" t="s">
        <v>1559</v>
      </c>
      <c r="G411" s="58" t="s">
        <v>392</v>
      </c>
      <c r="H411" s="546">
        <v>13356.84</v>
      </c>
      <c r="I411" s="66">
        <v>44753</v>
      </c>
      <c r="J411" s="65" t="s">
        <v>1560</v>
      </c>
      <c r="K411" s="58" t="s">
        <v>705</v>
      </c>
      <c r="L411" s="99"/>
      <c r="M411" s="70" t="s">
        <v>1431</v>
      </c>
      <c r="N411" s="97" t="s">
        <v>270</v>
      </c>
      <c r="O411" s="58"/>
      <c r="P411" s="58" t="s">
        <v>44</v>
      </c>
      <c r="Q411" s="58" t="s">
        <v>27</v>
      </c>
      <c r="R411" s="58" t="s">
        <v>272</v>
      </c>
    </row>
    <row r="412" spans="1:18" ht="69" customHeight="1">
      <c r="A412" s="168"/>
      <c r="B412" s="178">
        <v>5355</v>
      </c>
      <c r="C412" s="178" t="s">
        <v>309</v>
      </c>
      <c r="D412" s="575" t="s">
        <v>1561</v>
      </c>
      <c r="E412" s="178" t="s">
        <v>409</v>
      </c>
      <c r="F412" s="210" t="s">
        <v>1562</v>
      </c>
      <c r="G412" s="58" t="s">
        <v>712</v>
      </c>
      <c r="H412" s="546">
        <v>2938377.66</v>
      </c>
      <c r="I412" s="66">
        <v>44757</v>
      </c>
      <c r="J412" s="65" t="s">
        <v>1563</v>
      </c>
      <c r="K412" s="58" t="s">
        <v>1564</v>
      </c>
      <c r="L412" s="99"/>
      <c r="M412" s="70" t="s">
        <v>1565</v>
      </c>
      <c r="N412" s="97" t="s">
        <v>716</v>
      </c>
      <c r="O412" s="58" t="s">
        <v>1566</v>
      </c>
      <c r="P412" s="58" t="s">
        <v>28</v>
      </c>
      <c r="Q412" s="58" t="s">
        <v>27</v>
      </c>
      <c r="R412" s="58" t="s">
        <v>272</v>
      </c>
    </row>
    <row r="413" spans="1:18" ht="69" customHeight="1">
      <c r="A413" s="168"/>
      <c r="B413" s="59">
        <v>6003</v>
      </c>
      <c r="C413" s="59" t="s">
        <v>309</v>
      </c>
      <c r="D413" s="581" t="s">
        <v>1567</v>
      </c>
      <c r="E413" s="59" t="s">
        <v>350</v>
      </c>
      <c r="F413" s="569" t="s">
        <v>1568</v>
      </c>
      <c r="G413" s="45" t="s">
        <v>1569</v>
      </c>
      <c r="H413" s="546">
        <v>118860</v>
      </c>
      <c r="I413" s="47">
        <v>44762</v>
      </c>
      <c r="J413" s="73" t="s">
        <v>1570</v>
      </c>
      <c r="K413" s="45" t="s">
        <v>1571</v>
      </c>
      <c r="M413" s="70" t="s">
        <v>1526</v>
      </c>
      <c r="N413" s="97" t="s">
        <v>356</v>
      </c>
      <c r="O413" s="45" t="s">
        <v>141</v>
      </c>
      <c r="P413" s="45" t="s">
        <v>19</v>
      </c>
      <c r="Q413" s="45" t="s">
        <v>41</v>
      </c>
      <c r="R413" s="45" t="s">
        <v>265</v>
      </c>
    </row>
    <row r="414" spans="1:18" ht="69" customHeight="1">
      <c r="A414" s="168"/>
      <c r="B414" s="178">
        <v>6176</v>
      </c>
      <c r="C414" s="178" t="s">
        <v>309</v>
      </c>
      <c r="D414" s="575" t="s">
        <v>1572</v>
      </c>
      <c r="E414" s="178" t="s">
        <v>305</v>
      </c>
      <c r="F414" s="210" t="s">
        <v>1573</v>
      </c>
      <c r="G414" s="58" t="s">
        <v>730</v>
      </c>
      <c r="H414" s="546">
        <v>88.78</v>
      </c>
      <c r="I414" s="66">
        <v>44769</v>
      </c>
      <c r="J414" s="65" t="s">
        <v>1574</v>
      </c>
      <c r="K414" s="58"/>
      <c r="L414" s="99"/>
      <c r="M414" s="70" t="s">
        <v>1431</v>
      </c>
      <c r="N414" s="97" t="s">
        <v>270</v>
      </c>
      <c r="O414" s="58"/>
      <c r="P414" s="58" t="s">
        <v>44</v>
      </c>
      <c r="Q414" s="58" t="s">
        <v>27</v>
      </c>
      <c r="R414" s="58" t="s">
        <v>272</v>
      </c>
    </row>
    <row r="415" spans="1:18" ht="69" customHeight="1">
      <c r="A415" s="168"/>
      <c r="B415" s="178">
        <v>6139</v>
      </c>
      <c r="C415" s="178" t="s">
        <v>309</v>
      </c>
      <c r="D415" s="575" t="s">
        <v>1575</v>
      </c>
      <c r="E415" s="178" t="s">
        <v>350</v>
      </c>
      <c r="F415" s="210" t="s">
        <v>1576</v>
      </c>
      <c r="G415" s="58" t="s">
        <v>352</v>
      </c>
      <c r="H415" s="546">
        <v>4989.6000000000004</v>
      </c>
      <c r="I415" s="66">
        <v>44784</v>
      </c>
      <c r="J415" s="65" t="s">
        <v>1577</v>
      </c>
      <c r="K415" s="58" t="s">
        <v>735</v>
      </c>
      <c r="L415" s="99"/>
      <c r="M415" s="70" t="s">
        <v>1526</v>
      </c>
      <c r="N415" s="97" t="s">
        <v>356</v>
      </c>
      <c r="O415" s="58" t="s">
        <v>141</v>
      </c>
      <c r="P415" s="58" t="s">
        <v>19</v>
      </c>
      <c r="Q415" s="58" t="s">
        <v>27</v>
      </c>
      <c r="R415" s="58" t="s">
        <v>265</v>
      </c>
    </row>
    <row r="416" spans="1:18" ht="69" customHeight="1">
      <c r="A416" s="168"/>
      <c r="B416" s="178">
        <v>6129</v>
      </c>
      <c r="C416" s="178" t="s">
        <v>309</v>
      </c>
      <c r="D416" s="575" t="s">
        <v>1578</v>
      </c>
      <c r="E416" s="178" t="s">
        <v>350</v>
      </c>
      <c r="F416" s="210" t="s">
        <v>1579</v>
      </c>
      <c r="G416" s="58" t="s">
        <v>352</v>
      </c>
      <c r="H416" s="546">
        <v>6461.02</v>
      </c>
      <c r="I416" s="66">
        <v>44795</v>
      </c>
      <c r="J416" s="65" t="s">
        <v>1580</v>
      </c>
      <c r="K416" s="58"/>
      <c r="L416" s="99"/>
      <c r="M416" s="70" t="s">
        <v>1526</v>
      </c>
      <c r="N416" s="97" t="s">
        <v>356</v>
      </c>
      <c r="O416" s="58" t="s">
        <v>141</v>
      </c>
      <c r="P416" s="58" t="s">
        <v>19</v>
      </c>
      <c r="Q416" s="58" t="s">
        <v>27</v>
      </c>
      <c r="R416" s="58" t="s">
        <v>265</v>
      </c>
    </row>
    <row r="417" spans="1:18" ht="69" customHeight="1">
      <c r="A417" s="168"/>
      <c r="B417" s="178">
        <v>6095</v>
      </c>
      <c r="C417" s="178" t="s">
        <v>309</v>
      </c>
      <c r="D417" s="575" t="s">
        <v>1581</v>
      </c>
      <c r="E417" s="178" t="s">
        <v>350</v>
      </c>
      <c r="F417" s="210" t="s">
        <v>1582</v>
      </c>
      <c r="G417" s="58" t="s">
        <v>352</v>
      </c>
      <c r="H417" s="546">
        <v>387287.47</v>
      </c>
      <c r="I417" s="66">
        <v>44781</v>
      </c>
      <c r="J417" s="65" t="s">
        <v>1583</v>
      </c>
      <c r="K417" s="58" t="s">
        <v>752</v>
      </c>
      <c r="L417" s="99"/>
      <c r="M417" s="70" t="s">
        <v>1526</v>
      </c>
      <c r="N417" s="97" t="s">
        <v>356</v>
      </c>
      <c r="O417" s="58" t="s">
        <v>141</v>
      </c>
      <c r="P417" s="58" t="s">
        <v>19</v>
      </c>
      <c r="Q417" s="58" t="s">
        <v>27</v>
      </c>
      <c r="R417" s="58" t="s">
        <v>265</v>
      </c>
    </row>
    <row r="418" spans="1:18" ht="69" customHeight="1">
      <c r="A418" s="168"/>
      <c r="B418" s="178">
        <v>5371</v>
      </c>
      <c r="C418" s="178" t="s">
        <v>1584</v>
      </c>
      <c r="D418" s="575" t="s">
        <v>1585</v>
      </c>
      <c r="E418" s="178" t="s">
        <v>755</v>
      </c>
      <c r="F418" s="210" t="s">
        <v>1586</v>
      </c>
      <c r="G418" s="58" t="s">
        <v>725</v>
      </c>
      <c r="H418" s="546">
        <v>822745.74</v>
      </c>
      <c r="I418" s="66">
        <v>44776</v>
      </c>
      <c r="J418" s="65" t="s">
        <v>1587</v>
      </c>
      <c r="K418" s="58" t="s">
        <v>1445</v>
      </c>
      <c r="L418" s="99"/>
      <c r="M418" s="70" t="s">
        <v>1565</v>
      </c>
      <c r="N418" s="97" t="s">
        <v>716</v>
      </c>
      <c r="O418" s="58" t="s">
        <v>1566</v>
      </c>
      <c r="P418" s="58" t="s">
        <v>28</v>
      </c>
      <c r="Q418" s="58" t="s">
        <v>27</v>
      </c>
      <c r="R418" s="58" t="s">
        <v>272</v>
      </c>
    </row>
    <row r="419" spans="1:18" ht="69" customHeight="1">
      <c r="A419" s="168"/>
      <c r="B419" s="178">
        <v>6213</v>
      </c>
      <c r="C419" s="178" t="s">
        <v>309</v>
      </c>
      <c r="D419" s="575" t="s">
        <v>1588</v>
      </c>
      <c r="E419" s="178" t="s">
        <v>755</v>
      </c>
      <c r="F419" s="210" t="s">
        <v>1589</v>
      </c>
      <c r="G419" s="58" t="s">
        <v>787</v>
      </c>
      <c r="H419" s="546">
        <v>352605.32</v>
      </c>
      <c r="I419" s="66">
        <v>44788</v>
      </c>
      <c r="J419" s="65" t="s">
        <v>1587</v>
      </c>
      <c r="K419" s="58"/>
      <c r="L419" s="99"/>
      <c r="M419" s="70" t="s">
        <v>1565</v>
      </c>
      <c r="N419" s="97" t="s">
        <v>716</v>
      </c>
      <c r="O419" s="58" t="s">
        <v>1566</v>
      </c>
      <c r="P419" s="58" t="s">
        <v>28</v>
      </c>
      <c r="Q419" s="58" t="s">
        <v>27</v>
      </c>
      <c r="R419" s="58" t="s">
        <v>272</v>
      </c>
    </row>
    <row r="420" spans="1:18" ht="69" customHeight="1">
      <c r="A420" s="168"/>
      <c r="B420" s="178">
        <v>6284</v>
      </c>
      <c r="C420" s="178" t="s">
        <v>309</v>
      </c>
      <c r="D420" s="575" t="s">
        <v>1590</v>
      </c>
      <c r="E420" s="178" t="s">
        <v>266</v>
      </c>
      <c r="F420" s="210" t="s">
        <v>1591</v>
      </c>
      <c r="G420" s="58" t="s">
        <v>790</v>
      </c>
      <c r="H420" s="546">
        <v>2281.25</v>
      </c>
      <c r="I420" s="66">
        <v>44834</v>
      </c>
      <c r="J420" s="65" t="s">
        <v>1592</v>
      </c>
      <c r="K420" s="58"/>
      <c r="M420" s="70" t="s">
        <v>1533</v>
      </c>
      <c r="N420" s="97" t="s">
        <v>683</v>
      </c>
      <c r="O420" s="58" t="s">
        <v>684</v>
      </c>
      <c r="P420" s="58" t="s">
        <v>46</v>
      </c>
      <c r="Q420" s="58" t="s">
        <v>27</v>
      </c>
      <c r="R420" s="58" t="s">
        <v>272</v>
      </c>
    </row>
    <row r="421" spans="1:18" ht="69" customHeight="1">
      <c r="A421" s="168"/>
      <c r="B421" s="178">
        <v>6786</v>
      </c>
      <c r="C421" s="178" t="s">
        <v>1593</v>
      </c>
      <c r="D421" s="575" t="s">
        <v>1594</v>
      </c>
      <c r="E421" s="178" t="s">
        <v>755</v>
      </c>
      <c r="F421" s="210" t="s">
        <v>1595</v>
      </c>
      <c r="G421" s="58" t="s">
        <v>1596</v>
      </c>
      <c r="H421" s="546">
        <v>1175351.06</v>
      </c>
      <c r="I421" s="66">
        <v>44832</v>
      </c>
      <c r="J421" s="65" t="s">
        <v>1597</v>
      </c>
      <c r="K421" s="58" t="s">
        <v>1598</v>
      </c>
      <c r="L421" s="99"/>
      <c r="M421" s="70" t="s">
        <v>1565</v>
      </c>
      <c r="N421" s="97" t="s">
        <v>716</v>
      </c>
      <c r="O421" s="58" t="s">
        <v>1566</v>
      </c>
      <c r="P421" s="58" t="s">
        <v>28</v>
      </c>
      <c r="Q421" s="58" t="s">
        <v>27</v>
      </c>
      <c r="R421" s="58" t="s">
        <v>272</v>
      </c>
    </row>
    <row r="422" spans="1:18" ht="69" customHeight="1">
      <c r="A422" s="168"/>
      <c r="B422" s="178">
        <v>7180</v>
      </c>
      <c r="C422" s="178" t="s">
        <v>1593</v>
      </c>
      <c r="D422" s="575" t="s">
        <v>1599</v>
      </c>
      <c r="E422" s="178" t="s">
        <v>755</v>
      </c>
      <c r="F422" s="210" t="s">
        <v>1600</v>
      </c>
      <c r="G422" s="58" t="s">
        <v>772</v>
      </c>
      <c r="H422" s="546">
        <v>1175351.06</v>
      </c>
      <c r="I422" s="66">
        <v>44860</v>
      </c>
      <c r="J422" s="65" t="s">
        <v>1601</v>
      </c>
      <c r="K422" s="58" t="s">
        <v>1602</v>
      </c>
      <c r="L422" s="99"/>
      <c r="M422" s="70" t="s">
        <v>1565</v>
      </c>
      <c r="N422" s="97" t="s">
        <v>716</v>
      </c>
      <c r="O422" s="58" t="s">
        <v>1566</v>
      </c>
      <c r="P422" s="58" t="s">
        <v>28</v>
      </c>
      <c r="Q422" s="58" t="s">
        <v>27</v>
      </c>
      <c r="R422" s="58" t="s">
        <v>272</v>
      </c>
    </row>
    <row r="423" spans="1:18" ht="69" customHeight="1">
      <c r="A423" s="168"/>
      <c r="B423" s="178">
        <v>7443</v>
      </c>
      <c r="C423" s="178" t="s">
        <v>309</v>
      </c>
      <c r="D423" s="575" t="s">
        <v>1603</v>
      </c>
      <c r="E423" s="178" t="s">
        <v>741</v>
      </c>
      <c r="F423" s="210" t="s">
        <v>1604</v>
      </c>
      <c r="G423" s="58" t="s">
        <v>1605</v>
      </c>
      <c r="H423" s="546">
        <v>497063.63</v>
      </c>
      <c r="I423" s="66">
        <v>44879</v>
      </c>
      <c r="J423" s="65" t="s">
        <v>1606</v>
      </c>
      <c r="K423" s="58"/>
      <c r="L423" s="99"/>
      <c r="M423" s="70" t="s">
        <v>1607</v>
      </c>
      <c r="N423" s="97" t="s">
        <v>741</v>
      </c>
      <c r="O423" s="45" t="s">
        <v>154</v>
      </c>
      <c r="P423" s="58" t="s">
        <v>59</v>
      </c>
      <c r="Q423" s="58" t="s">
        <v>27</v>
      </c>
      <c r="R423" s="58" t="s">
        <v>272</v>
      </c>
    </row>
    <row r="424" spans="1:18" ht="69" customHeight="1">
      <c r="A424" s="168"/>
      <c r="B424" s="178">
        <v>7416</v>
      </c>
      <c r="C424" s="178" t="s">
        <v>1593</v>
      </c>
      <c r="D424" s="575" t="s">
        <v>1608</v>
      </c>
      <c r="E424" s="178" t="s">
        <v>809</v>
      </c>
      <c r="F424" s="210" t="s">
        <v>1609</v>
      </c>
      <c r="G424" s="58" t="s">
        <v>811</v>
      </c>
      <c r="H424" s="546">
        <v>24571.06</v>
      </c>
      <c r="I424" s="66">
        <v>44879</v>
      </c>
      <c r="J424" s="65" t="s">
        <v>812</v>
      </c>
      <c r="K424" s="58"/>
      <c r="L424" s="99"/>
      <c r="M424" s="70" t="s">
        <v>1610</v>
      </c>
      <c r="N424" s="97" t="s">
        <v>814</v>
      </c>
      <c r="O424" s="58"/>
      <c r="P424" s="58" t="s">
        <v>36</v>
      </c>
      <c r="Q424" s="58" t="s">
        <v>27</v>
      </c>
      <c r="R424" s="58" t="s">
        <v>272</v>
      </c>
    </row>
    <row r="425" spans="1:18" ht="69" customHeight="1">
      <c r="A425" s="168"/>
      <c r="B425" s="178">
        <v>7719</v>
      </c>
      <c r="C425" s="178" t="s">
        <v>309</v>
      </c>
      <c r="D425" s="575" t="s">
        <v>1611</v>
      </c>
      <c r="E425" s="178" t="s">
        <v>350</v>
      </c>
      <c r="F425" s="210" t="s">
        <v>1612</v>
      </c>
      <c r="G425" s="58" t="s">
        <v>805</v>
      </c>
      <c r="H425" s="546">
        <v>59430</v>
      </c>
      <c r="I425" s="66">
        <v>44908</v>
      </c>
      <c r="J425" s="65" t="s">
        <v>806</v>
      </c>
      <c r="K425" s="58" t="s">
        <v>1613</v>
      </c>
      <c r="L425" s="99"/>
      <c r="M425" s="70" t="s">
        <v>1526</v>
      </c>
      <c r="N425" s="97" t="s">
        <v>356</v>
      </c>
      <c r="O425" s="58" t="s">
        <v>141</v>
      </c>
      <c r="P425" s="58" t="s">
        <v>19</v>
      </c>
      <c r="Q425" s="58" t="s">
        <v>27</v>
      </c>
      <c r="R425" s="58" t="s">
        <v>265</v>
      </c>
    </row>
    <row r="426" spans="1:18" ht="69" customHeight="1">
      <c r="A426" s="168"/>
      <c r="B426" s="178">
        <v>6889</v>
      </c>
      <c r="C426" s="178" t="s">
        <v>309</v>
      </c>
      <c r="D426" s="575" t="s">
        <v>1614</v>
      </c>
      <c r="E426" s="178" t="s">
        <v>350</v>
      </c>
      <c r="F426" s="210" t="s">
        <v>1615</v>
      </c>
      <c r="G426" s="58" t="s">
        <v>1048</v>
      </c>
      <c r="H426" s="546">
        <v>234975.69</v>
      </c>
      <c r="I426" s="66">
        <v>44838</v>
      </c>
      <c r="J426" s="65" t="s">
        <v>1616</v>
      </c>
      <c r="K426" s="58"/>
      <c r="L426" s="99"/>
      <c r="M426" s="70" t="s">
        <v>1526</v>
      </c>
      <c r="N426" s="97" t="s">
        <v>356</v>
      </c>
      <c r="O426" s="58" t="s">
        <v>141</v>
      </c>
      <c r="P426" s="58" t="s">
        <v>19</v>
      </c>
      <c r="Q426" s="58" t="s">
        <v>27</v>
      </c>
      <c r="R426" s="58" t="s">
        <v>265</v>
      </c>
    </row>
    <row r="427" spans="1:18" ht="69" customHeight="1">
      <c r="A427" s="168"/>
      <c r="B427" s="178">
        <v>7667</v>
      </c>
      <c r="C427" s="178" t="s">
        <v>309</v>
      </c>
      <c r="D427" s="575" t="s">
        <v>1617</v>
      </c>
      <c r="E427" s="178" t="s">
        <v>266</v>
      </c>
      <c r="F427" s="210" t="s">
        <v>1618</v>
      </c>
      <c r="G427" s="58" t="s">
        <v>1619</v>
      </c>
      <c r="H427" s="546">
        <v>6206.9</v>
      </c>
      <c r="I427" s="66">
        <v>44904</v>
      </c>
      <c r="J427" s="65" t="s">
        <v>1155</v>
      </c>
      <c r="K427" s="58"/>
      <c r="L427" s="99"/>
      <c r="M427" s="70" t="s">
        <v>1533</v>
      </c>
      <c r="N427" s="97" t="s">
        <v>683</v>
      </c>
      <c r="O427" s="58" t="s">
        <v>684</v>
      </c>
      <c r="P427" s="58" t="s">
        <v>46</v>
      </c>
      <c r="Q427" s="58" t="s">
        <v>27</v>
      </c>
      <c r="R427" s="58" t="s">
        <v>272</v>
      </c>
    </row>
    <row r="428" spans="1:18" ht="69" customHeight="1">
      <c r="A428" s="168"/>
      <c r="B428" s="178">
        <v>7767</v>
      </c>
      <c r="C428" s="178" t="s">
        <v>1593</v>
      </c>
      <c r="D428" s="575" t="s">
        <v>1620</v>
      </c>
      <c r="E428" s="178" t="s">
        <v>809</v>
      </c>
      <c r="F428" s="210" t="s">
        <v>1621</v>
      </c>
      <c r="G428" s="58" t="s">
        <v>811</v>
      </c>
      <c r="H428" s="546">
        <v>27028.94</v>
      </c>
      <c r="I428" s="66">
        <v>44909</v>
      </c>
      <c r="J428" s="65" t="s">
        <v>817</v>
      </c>
      <c r="K428" s="58"/>
      <c r="L428" s="99"/>
      <c r="M428" s="70" t="s">
        <v>1610</v>
      </c>
      <c r="N428" s="97" t="s">
        <v>814</v>
      </c>
      <c r="O428" s="58"/>
      <c r="P428" s="58" t="s">
        <v>36</v>
      </c>
      <c r="Q428" s="58" t="s">
        <v>27</v>
      </c>
      <c r="R428" s="58" t="s">
        <v>272</v>
      </c>
    </row>
    <row r="429" spans="1:18" ht="69" customHeight="1">
      <c r="A429" s="168"/>
      <c r="B429" s="178">
        <v>7596</v>
      </c>
      <c r="C429" s="178" t="s">
        <v>309</v>
      </c>
      <c r="D429" s="575" t="s">
        <v>1622</v>
      </c>
      <c r="E429" s="178" t="s">
        <v>266</v>
      </c>
      <c r="F429" s="210" t="s">
        <v>1623</v>
      </c>
      <c r="G429" s="58" t="s">
        <v>392</v>
      </c>
      <c r="H429" s="546">
        <v>1150</v>
      </c>
      <c r="I429" s="66">
        <v>44895</v>
      </c>
      <c r="J429" s="65" t="s">
        <v>457</v>
      </c>
      <c r="K429" s="58"/>
      <c r="L429" s="99"/>
      <c r="M429" s="70" t="s">
        <v>1431</v>
      </c>
      <c r="N429" s="97" t="s">
        <v>270</v>
      </c>
      <c r="O429" s="58"/>
      <c r="P429" s="58" t="s">
        <v>44</v>
      </c>
      <c r="Q429" s="58" t="s">
        <v>27</v>
      </c>
      <c r="R429" s="58" t="s">
        <v>272</v>
      </c>
    </row>
    <row r="430" spans="1:18" ht="69" customHeight="1">
      <c r="A430" s="168"/>
      <c r="B430" s="178">
        <v>8078</v>
      </c>
      <c r="C430" s="178" t="s">
        <v>1624</v>
      </c>
      <c r="D430" s="575" t="s">
        <v>1625</v>
      </c>
      <c r="E430" s="178" t="s">
        <v>266</v>
      </c>
      <c r="F430" s="210" t="s">
        <v>1626</v>
      </c>
      <c r="G430" s="58" t="s">
        <v>453</v>
      </c>
      <c r="H430" s="546">
        <v>1000</v>
      </c>
      <c r="I430" s="66">
        <v>44911</v>
      </c>
      <c r="J430" s="65" t="s">
        <v>454</v>
      </c>
      <c r="K430" s="58"/>
      <c r="L430" s="99"/>
      <c r="M430" s="70" t="s">
        <v>1431</v>
      </c>
      <c r="N430" s="97" t="s">
        <v>270</v>
      </c>
      <c r="O430" s="58"/>
      <c r="P430" s="58" t="s">
        <v>44</v>
      </c>
      <c r="Q430" s="58" t="s">
        <v>27</v>
      </c>
      <c r="R430" s="58" t="s">
        <v>272</v>
      </c>
    </row>
    <row r="431" spans="1:18" ht="69" customHeight="1">
      <c r="A431" s="168"/>
      <c r="B431" s="178">
        <v>8652</v>
      </c>
      <c r="C431" s="178" t="s">
        <v>1593</v>
      </c>
      <c r="D431" s="575" t="s">
        <v>1627</v>
      </c>
      <c r="E431" s="178" t="s">
        <v>809</v>
      </c>
      <c r="F431" s="210" t="s">
        <v>1628</v>
      </c>
      <c r="G431" s="58" t="s">
        <v>823</v>
      </c>
      <c r="H431" s="546">
        <v>29485.96</v>
      </c>
      <c r="I431" s="66">
        <v>44949</v>
      </c>
      <c r="J431" s="65" t="s">
        <v>824</v>
      </c>
      <c r="K431" s="58"/>
      <c r="L431" s="99"/>
      <c r="M431" s="70" t="s">
        <v>1610</v>
      </c>
      <c r="N431" s="97" t="s">
        <v>814</v>
      </c>
      <c r="O431" s="58"/>
      <c r="P431" s="58" t="s">
        <v>36</v>
      </c>
      <c r="Q431" s="58" t="s">
        <v>27</v>
      </c>
      <c r="R431" s="58" t="s">
        <v>272</v>
      </c>
    </row>
    <row r="432" spans="1:18" ht="69" customHeight="1">
      <c r="A432" s="168"/>
      <c r="B432" s="178">
        <v>7496</v>
      </c>
      <c r="C432" s="582" t="s">
        <v>1593</v>
      </c>
      <c r="D432" s="583" t="s">
        <v>1629</v>
      </c>
      <c r="E432" s="582" t="s">
        <v>755</v>
      </c>
      <c r="F432" s="584" t="s">
        <v>1630</v>
      </c>
      <c r="G432" s="585" t="s">
        <v>1631</v>
      </c>
      <c r="H432" s="546">
        <v>457564.56</v>
      </c>
      <c r="I432" s="586">
        <v>44879</v>
      </c>
      <c r="J432" s="587" t="s">
        <v>1337</v>
      </c>
      <c r="K432" s="58"/>
      <c r="M432" s="70" t="s">
        <v>1565</v>
      </c>
      <c r="N432" s="97" t="s">
        <v>716</v>
      </c>
      <c r="O432" s="58" t="s">
        <v>1566</v>
      </c>
      <c r="P432" s="58" t="s">
        <v>28</v>
      </c>
      <c r="Q432" s="58" t="s">
        <v>27</v>
      </c>
      <c r="R432" s="58" t="s">
        <v>272</v>
      </c>
    </row>
    <row r="433" spans="1:18" ht="69" customHeight="1">
      <c r="A433" s="168"/>
      <c r="B433" s="178">
        <v>8834</v>
      </c>
      <c r="C433" s="178" t="s">
        <v>1593</v>
      </c>
      <c r="D433" s="575" t="s">
        <v>1632</v>
      </c>
      <c r="E433" s="178" t="s">
        <v>809</v>
      </c>
      <c r="F433" s="210" t="s">
        <v>1633</v>
      </c>
      <c r="G433" s="58" t="s">
        <v>845</v>
      </c>
      <c r="H433" s="546">
        <v>18428.939999999999</v>
      </c>
      <c r="I433" s="66">
        <v>44948</v>
      </c>
      <c r="J433" s="65" t="s">
        <v>846</v>
      </c>
      <c r="K433" s="58"/>
      <c r="M433" s="70" t="s">
        <v>1610</v>
      </c>
      <c r="N433" s="97" t="s">
        <v>814</v>
      </c>
      <c r="O433" s="58"/>
      <c r="P433" s="58" t="s">
        <v>36</v>
      </c>
      <c r="Q433" s="58" t="s">
        <v>27</v>
      </c>
      <c r="R433" s="58" t="s">
        <v>272</v>
      </c>
    </row>
    <row r="434" spans="1:18" ht="69" customHeight="1">
      <c r="A434" s="168"/>
      <c r="B434" s="178">
        <v>8968</v>
      </c>
      <c r="C434" s="178" t="s">
        <v>1593</v>
      </c>
      <c r="D434" s="575" t="s">
        <v>1634</v>
      </c>
      <c r="E434" s="178" t="s">
        <v>755</v>
      </c>
      <c r="F434" s="210" t="s">
        <v>1635</v>
      </c>
      <c r="G434" s="58" t="s">
        <v>1636</v>
      </c>
      <c r="H434" s="546">
        <v>717786.5</v>
      </c>
      <c r="I434" s="66">
        <v>44988</v>
      </c>
      <c r="J434" s="65" t="s">
        <v>1637</v>
      </c>
      <c r="K434" s="58"/>
      <c r="M434" s="70" t="s">
        <v>1565</v>
      </c>
      <c r="N434" s="97" t="s">
        <v>716</v>
      </c>
      <c r="O434" s="58" t="s">
        <v>1566</v>
      </c>
      <c r="P434" s="58" t="s">
        <v>28</v>
      </c>
      <c r="Q434" s="58" t="s">
        <v>27</v>
      </c>
      <c r="R434" s="58" t="s">
        <v>272</v>
      </c>
    </row>
    <row r="435" spans="1:18" ht="69" customHeight="1">
      <c r="A435" s="168"/>
      <c r="B435" s="178">
        <v>8991</v>
      </c>
      <c r="C435" s="178" t="s">
        <v>309</v>
      </c>
      <c r="D435" s="575" t="s">
        <v>1638</v>
      </c>
      <c r="E435" s="178" t="s">
        <v>1639</v>
      </c>
      <c r="F435" s="210" t="s">
        <v>1640</v>
      </c>
      <c r="G435" s="58" t="s">
        <v>1641</v>
      </c>
      <c r="H435" s="546">
        <v>3350</v>
      </c>
      <c r="I435" s="66">
        <v>45001</v>
      </c>
      <c r="J435" s="65" t="s">
        <v>1642</v>
      </c>
      <c r="K435" s="58"/>
      <c r="M435" s="70" t="s">
        <v>1431</v>
      </c>
      <c r="N435" s="97" t="s">
        <v>270</v>
      </c>
      <c r="O435" s="58"/>
      <c r="P435" s="58" t="s">
        <v>44</v>
      </c>
      <c r="Q435" s="58" t="s">
        <v>27</v>
      </c>
      <c r="R435" s="58" t="s">
        <v>272</v>
      </c>
    </row>
    <row r="436" spans="1:18" ht="69" customHeight="1">
      <c r="A436" s="168"/>
      <c r="B436" s="178">
        <v>9001</v>
      </c>
      <c r="C436" s="178" t="s">
        <v>1593</v>
      </c>
      <c r="D436" s="575" t="s">
        <v>1643</v>
      </c>
      <c r="E436" s="178" t="s">
        <v>809</v>
      </c>
      <c r="F436" s="210" t="s">
        <v>1644</v>
      </c>
      <c r="G436" s="58" t="s">
        <v>863</v>
      </c>
      <c r="H436" s="546">
        <v>22114.04</v>
      </c>
      <c r="I436" s="66" t="s">
        <v>96</v>
      </c>
      <c r="J436" s="65" t="s">
        <v>864</v>
      </c>
      <c r="K436" s="58"/>
      <c r="M436" s="70" t="s">
        <v>1610</v>
      </c>
      <c r="N436" s="97" t="s">
        <v>814</v>
      </c>
      <c r="O436" s="58"/>
      <c r="P436" s="58" t="s">
        <v>36</v>
      </c>
      <c r="Q436" s="58" t="s">
        <v>27</v>
      </c>
      <c r="R436" s="58" t="s">
        <v>272</v>
      </c>
    </row>
    <row r="437" spans="1:18" ht="69" customHeight="1">
      <c r="A437" s="168"/>
      <c r="B437" s="178">
        <v>9646</v>
      </c>
      <c r="C437" s="178" t="s">
        <v>1593</v>
      </c>
      <c r="D437" s="575" t="s">
        <v>1645</v>
      </c>
      <c r="E437" s="178" t="s">
        <v>1372</v>
      </c>
      <c r="F437" s="210" t="s">
        <v>1646</v>
      </c>
      <c r="G437" s="58" t="s">
        <v>1647</v>
      </c>
      <c r="H437" s="546">
        <v>155751.75</v>
      </c>
      <c r="I437" s="66" t="s">
        <v>96</v>
      </c>
      <c r="J437" s="65" t="s">
        <v>1648</v>
      </c>
      <c r="K437" s="58"/>
      <c r="M437" s="70" t="s">
        <v>1649</v>
      </c>
      <c r="N437" s="97" t="s">
        <v>1372</v>
      </c>
      <c r="O437" s="58"/>
      <c r="P437" s="58" t="s">
        <v>57</v>
      </c>
      <c r="Q437" s="58" t="s">
        <v>27</v>
      </c>
      <c r="R437" s="58" t="s">
        <v>272</v>
      </c>
    </row>
    <row r="438" spans="1:18" ht="69" customHeight="1">
      <c r="A438" s="168"/>
      <c r="B438" s="178">
        <v>9702</v>
      </c>
      <c r="C438" s="178" t="s">
        <v>1593</v>
      </c>
      <c r="D438" s="575" t="s">
        <v>1650</v>
      </c>
      <c r="E438" s="178" t="s">
        <v>809</v>
      </c>
      <c r="F438" s="210" t="s">
        <v>1644</v>
      </c>
      <c r="G438" s="58" t="s">
        <v>874</v>
      </c>
      <c r="H438" s="546">
        <v>23342.98</v>
      </c>
      <c r="I438" s="66" t="s">
        <v>96</v>
      </c>
      <c r="J438" s="65" t="s">
        <v>875</v>
      </c>
      <c r="K438" s="58"/>
      <c r="M438" s="70" t="s">
        <v>1610</v>
      </c>
      <c r="N438" s="97" t="s">
        <v>814</v>
      </c>
      <c r="O438" s="58"/>
      <c r="P438" s="58" t="s">
        <v>36</v>
      </c>
      <c r="Q438" s="58" t="s">
        <v>27</v>
      </c>
      <c r="R438" s="58" t="s">
        <v>272</v>
      </c>
    </row>
    <row r="439" spans="1:18" ht="69" customHeight="1">
      <c r="A439" s="168"/>
      <c r="B439" s="178">
        <v>1965</v>
      </c>
      <c r="C439" s="178" t="s">
        <v>259</v>
      </c>
      <c r="D439" s="575" t="s">
        <v>96</v>
      </c>
      <c r="E439" s="178" t="s">
        <v>260</v>
      </c>
      <c r="F439" s="210" t="s">
        <v>1651</v>
      </c>
      <c r="G439" s="575" t="s">
        <v>96</v>
      </c>
      <c r="H439" s="546">
        <v>7500</v>
      </c>
      <c r="I439" s="66">
        <v>44425</v>
      </c>
      <c r="J439" s="65" t="s">
        <v>891</v>
      </c>
      <c r="K439" s="58" t="s">
        <v>1652</v>
      </c>
      <c r="M439" s="70" t="s">
        <v>1653</v>
      </c>
      <c r="N439" s="97" t="s">
        <v>264</v>
      </c>
      <c r="O439" s="58" t="s">
        <v>141</v>
      </c>
      <c r="P439" s="58" t="s">
        <v>17</v>
      </c>
      <c r="Q439" s="58" t="s">
        <v>29</v>
      </c>
      <c r="R439" s="58" t="s">
        <v>265</v>
      </c>
    </row>
    <row r="440" spans="1:18" ht="69" customHeight="1">
      <c r="A440" s="168"/>
      <c r="B440" s="178">
        <v>2057</v>
      </c>
      <c r="C440" s="178" t="s">
        <v>259</v>
      </c>
      <c r="D440" s="575" t="s">
        <v>96</v>
      </c>
      <c r="E440" s="178" t="s">
        <v>266</v>
      </c>
      <c r="F440" s="210" t="s">
        <v>1654</v>
      </c>
      <c r="G440" s="575" t="s">
        <v>96</v>
      </c>
      <c r="H440" s="546">
        <v>10496.25</v>
      </c>
      <c r="I440" s="66">
        <v>44438</v>
      </c>
      <c r="J440" s="65" t="s">
        <v>268</v>
      </c>
      <c r="K440" s="58"/>
      <c r="M440" s="70" t="s">
        <v>1655</v>
      </c>
      <c r="N440" s="97" t="s">
        <v>270</v>
      </c>
      <c r="O440" s="58"/>
      <c r="P440" s="58" t="s">
        <v>44</v>
      </c>
      <c r="Q440" s="58" t="s">
        <v>29</v>
      </c>
      <c r="R440" s="58" t="s">
        <v>272</v>
      </c>
    </row>
    <row r="441" spans="1:18" ht="69" customHeight="1">
      <c r="A441" s="168"/>
      <c r="B441" s="178">
        <v>2072</v>
      </c>
      <c r="C441" s="178" t="s">
        <v>259</v>
      </c>
      <c r="D441" s="575" t="s">
        <v>96</v>
      </c>
      <c r="E441" s="178" t="s">
        <v>266</v>
      </c>
      <c r="F441" s="210" t="s">
        <v>1656</v>
      </c>
      <c r="G441" s="575" t="s">
        <v>96</v>
      </c>
      <c r="H441" s="546">
        <v>11551.75</v>
      </c>
      <c r="I441" s="66">
        <v>44438</v>
      </c>
      <c r="J441" s="65" t="s">
        <v>268</v>
      </c>
      <c r="K441" s="58"/>
      <c r="M441" s="70" t="s">
        <v>1655</v>
      </c>
      <c r="N441" s="97" t="s">
        <v>270</v>
      </c>
      <c r="O441" s="58"/>
      <c r="P441" s="58" t="s">
        <v>44</v>
      </c>
      <c r="Q441" s="58" t="s">
        <v>29</v>
      </c>
      <c r="R441" s="58" t="s">
        <v>272</v>
      </c>
    </row>
    <row r="442" spans="1:18" ht="69" customHeight="1">
      <c r="A442" s="168"/>
      <c r="B442" s="178">
        <v>2160</v>
      </c>
      <c r="C442" s="178" t="s">
        <v>303</v>
      </c>
      <c r="D442" s="575" t="s">
        <v>1338</v>
      </c>
      <c r="E442" s="178" t="s">
        <v>305</v>
      </c>
      <c r="F442" s="210" t="s">
        <v>1657</v>
      </c>
      <c r="G442" s="58"/>
      <c r="H442" s="546">
        <v>10000</v>
      </c>
      <c r="I442" s="66">
        <v>44456</v>
      </c>
      <c r="J442" s="65" t="s">
        <v>1658</v>
      </c>
      <c r="K442" s="58"/>
      <c r="M442" s="70" t="s">
        <v>1655</v>
      </c>
      <c r="N442" s="97" t="s">
        <v>270</v>
      </c>
      <c r="O442" s="58"/>
      <c r="P442" s="58" t="s">
        <v>44</v>
      </c>
      <c r="Q442" s="58" t="s">
        <v>29</v>
      </c>
      <c r="R442" s="58" t="s">
        <v>272</v>
      </c>
    </row>
    <row r="443" spans="1:18" ht="69" customHeight="1">
      <c r="A443" s="168"/>
      <c r="B443" s="178">
        <v>2149</v>
      </c>
      <c r="C443" s="178" t="s">
        <v>309</v>
      </c>
      <c r="D443" s="575" t="s">
        <v>1659</v>
      </c>
      <c r="E443" s="178" t="s">
        <v>266</v>
      </c>
      <c r="F443" s="210" t="s">
        <v>1660</v>
      </c>
      <c r="G443" s="58"/>
      <c r="H443" s="546">
        <v>1750.59</v>
      </c>
      <c r="I443" s="66">
        <v>44455</v>
      </c>
      <c r="J443" s="65" t="s">
        <v>1661</v>
      </c>
      <c r="K443" s="58"/>
      <c r="M443" s="70" t="s">
        <v>1655</v>
      </c>
      <c r="N443" s="97" t="s">
        <v>270</v>
      </c>
      <c r="O443" s="58"/>
      <c r="P443" s="58" t="s">
        <v>44</v>
      </c>
      <c r="Q443" s="58" t="s">
        <v>29</v>
      </c>
      <c r="R443" s="58" t="s">
        <v>272</v>
      </c>
    </row>
    <row r="444" spans="1:18" ht="69" customHeight="1">
      <c r="A444" s="168"/>
      <c r="B444" s="178">
        <v>2201</v>
      </c>
      <c r="C444" s="178" t="s">
        <v>259</v>
      </c>
      <c r="D444" s="575"/>
      <c r="E444" s="178" t="s">
        <v>260</v>
      </c>
      <c r="F444" s="210" t="s">
        <v>1651</v>
      </c>
      <c r="G444" s="58"/>
      <c r="H444" s="546">
        <v>7500</v>
      </c>
      <c r="I444" s="66">
        <v>44468</v>
      </c>
      <c r="J444" s="65" t="s">
        <v>896</v>
      </c>
      <c r="K444" s="58" t="s">
        <v>1652</v>
      </c>
      <c r="M444" s="70" t="s">
        <v>1653</v>
      </c>
      <c r="N444" s="97" t="s">
        <v>264</v>
      </c>
      <c r="O444" s="58" t="s">
        <v>141</v>
      </c>
      <c r="P444" s="58" t="s">
        <v>17</v>
      </c>
      <c r="Q444" s="58" t="s">
        <v>29</v>
      </c>
      <c r="R444" s="58" t="s">
        <v>265</v>
      </c>
    </row>
    <row r="445" spans="1:18" ht="69" customHeight="1">
      <c r="A445" s="168"/>
      <c r="B445" s="178">
        <v>2254</v>
      </c>
      <c r="C445" s="178" t="s">
        <v>259</v>
      </c>
      <c r="D445" s="575" t="s">
        <v>96</v>
      </c>
      <c r="E445" s="178" t="s">
        <v>266</v>
      </c>
      <c r="F445" s="210" t="s">
        <v>1662</v>
      </c>
      <c r="G445" s="575" t="s">
        <v>96</v>
      </c>
      <c r="H445" s="546">
        <v>579.77</v>
      </c>
      <c r="I445" s="66">
        <v>44466</v>
      </c>
      <c r="J445" s="65" t="s">
        <v>1663</v>
      </c>
      <c r="K445" s="58"/>
      <c r="M445" s="70" t="s">
        <v>1655</v>
      </c>
      <c r="N445" s="97" t="s">
        <v>270</v>
      </c>
      <c r="O445" s="58"/>
      <c r="P445" s="58" t="s">
        <v>44</v>
      </c>
      <c r="Q445" s="58" t="s">
        <v>29</v>
      </c>
      <c r="R445" s="58" t="s">
        <v>272</v>
      </c>
    </row>
    <row r="446" spans="1:18" ht="69" customHeight="1">
      <c r="A446" s="168"/>
      <c r="B446" s="178">
        <v>2255</v>
      </c>
      <c r="C446" s="178" t="s">
        <v>259</v>
      </c>
      <c r="D446" s="575" t="s">
        <v>96</v>
      </c>
      <c r="E446" s="178" t="s">
        <v>266</v>
      </c>
      <c r="F446" s="210" t="s">
        <v>1664</v>
      </c>
      <c r="G446" s="575" t="s">
        <v>96</v>
      </c>
      <c r="H446" s="546">
        <v>414.78</v>
      </c>
      <c r="I446" s="66">
        <v>44466</v>
      </c>
      <c r="J446" s="65" t="s">
        <v>1665</v>
      </c>
      <c r="K446" s="58"/>
      <c r="M446" s="70" t="s">
        <v>1655</v>
      </c>
      <c r="N446" s="97" t="s">
        <v>270</v>
      </c>
      <c r="O446" s="58"/>
      <c r="P446" s="58" t="s">
        <v>44</v>
      </c>
      <c r="Q446" s="58" t="s">
        <v>29</v>
      </c>
      <c r="R446" s="58" t="s">
        <v>272</v>
      </c>
    </row>
    <row r="447" spans="1:18" ht="69" customHeight="1">
      <c r="A447" s="168"/>
      <c r="B447" s="178">
        <v>2256</v>
      </c>
      <c r="C447" s="178" t="s">
        <v>259</v>
      </c>
      <c r="D447" s="575" t="s">
        <v>96</v>
      </c>
      <c r="E447" s="178" t="s">
        <v>266</v>
      </c>
      <c r="F447" s="210" t="s">
        <v>1666</v>
      </c>
      <c r="G447" s="575" t="s">
        <v>96</v>
      </c>
      <c r="H447" s="546">
        <v>72.72</v>
      </c>
      <c r="I447" s="66">
        <v>44466</v>
      </c>
      <c r="J447" s="65" t="s">
        <v>1667</v>
      </c>
      <c r="K447" s="58"/>
      <c r="M447" s="70" t="s">
        <v>1655</v>
      </c>
      <c r="N447" s="97" t="s">
        <v>270</v>
      </c>
      <c r="O447" s="58"/>
      <c r="P447" s="58" t="s">
        <v>44</v>
      </c>
      <c r="Q447" s="58" t="s">
        <v>29</v>
      </c>
      <c r="R447" s="58" t="s">
        <v>272</v>
      </c>
    </row>
    <row r="448" spans="1:18" ht="69" customHeight="1">
      <c r="A448" s="168"/>
      <c r="B448" s="178">
        <v>2257</v>
      </c>
      <c r="C448" s="178" t="s">
        <v>259</v>
      </c>
      <c r="D448" s="575" t="s">
        <v>96</v>
      </c>
      <c r="E448" s="178" t="s">
        <v>266</v>
      </c>
      <c r="F448" s="210" t="s">
        <v>1668</v>
      </c>
      <c r="G448" s="575" t="s">
        <v>96</v>
      </c>
      <c r="H448" s="546">
        <v>160.69</v>
      </c>
      <c r="I448" s="66">
        <v>44466</v>
      </c>
      <c r="J448" s="65" t="s">
        <v>1669</v>
      </c>
      <c r="K448" s="58"/>
      <c r="M448" s="70" t="s">
        <v>1655</v>
      </c>
      <c r="N448" s="97" t="s">
        <v>270</v>
      </c>
      <c r="O448" s="58"/>
      <c r="P448" s="58" t="s">
        <v>44</v>
      </c>
      <c r="Q448" s="58" t="s">
        <v>29</v>
      </c>
      <c r="R448" s="58" t="s">
        <v>272</v>
      </c>
    </row>
    <row r="449" spans="1:18" ht="69" customHeight="1">
      <c r="A449" s="168"/>
      <c r="B449" s="178">
        <v>2113</v>
      </c>
      <c r="C449" s="178" t="s">
        <v>259</v>
      </c>
      <c r="D449" s="575"/>
      <c r="E449" s="178" t="s">
        <v>266</v>
      </c>
      <c r="F449" s="210" t="s">
        <v>1670</v>
      </c>
      <c r="G449" s="58"/>
      <c r="H449" s="546">
        <v>8397</v>
      </c>
      <c r="I449" s="66">
        <v>44455</v>
      </c>
      <c r="J449" s="65" t="s">
        <v>281</v>
      </c>
      <c r="K449" s="58"/>
      <c r="M449" s="70" t="s">
        <v>1655</v>
      </c>
      <c r="N449" s="97" t="s">
        <v>270</v>
      </c>
      <c r="O449" s="58"/>
      <c r="P449" s="58" t="s">
        <v>44</v>
      </c>
      <c r="Q449" s="58" t="s">
        <v>29</v>
      </c>
      <c r="R449" s="58" t="s">
        <v>272</v>
      </c>
    </row>
    <row r="450" spans="1:18" ht="69" customHeight="1">
      <c r="A450" s="168"/>
      <c r="B450" s="178">
        <v>2332</v>
      </c>
      <c r="C450" s="178" t="s">
        <v>259</v>
      </c>
      <c r="D450" s="575"/>
      <c r="E450" s="178" t="s">
        <v>266</v>
      </c>
      <c r="F450" s="210" t="s">
        <v>1671</v>
      </c>
      <c r="G450" s="58"/>
      <c r="H450" s="546">
        <v>9241.4</v>
      </c>
      <c r="I450" s="66">
        <v>44479</v>
      </c>
      <c r="J450" s="65" t="s">
        <v>1672</v>
      </c>
      <c r="K450" s="58"/>
      <c r="M450" s="70" t="s">
        <v>1655</v>
      </c>
      <c r="N450" s="97" t="s">
        <v>270</v>
      </c>
      <c r="O450" s="58"/>
      <c r="P450" s="58" t="s">
        <v>44</v>
      </c>
      <c r="Q450" s="58" t="s">
        <v>29</v>
      </c>
      <c r="R450" s="58" t="s">
        <v>272</v>
      </c>
    </row>
    <row r="451" spans="1:18" ht="69" customHeight="1">
      <c r="A451" s="168"/>
      <c r="B451" s="178">
        <v>2339</v>
      </c>
      <c r="C451" s="178" t="s">
        <v>309</v>
      </c>
      <c r="D451" s="575" t="s">
        <v>1673</v>
      </c>
      <c r="E451" s="178" t="s">
        <v>266</v>
      </c>
      <c r="F451" s="210" t="s">
        <v>1674</v>
      </c>
      <c r="G451" s="58"/>
      <c r="H451" s="546">
        <v>5220</v>
      </c>
      <c r="I451" s="66">
        <v>44482</v>
      </c>
      <c r="J451" s="65" t="s">
        <v>1675</v>
      </c>
      <c r="K451" s="58"/>
      <c r="M451" s="70" t="s">
        <v>1655</v>
      </c>
      <c r="N451" s="97" t="s">
        <v>270</v>
      </c>
      <c r="O451" s="58"/>
      <c r="P451" s="58" t="s">
        <v>44</v>
      </c>
      <c r="Q451" s="58" t="s">
        <v>29</v>
      </c>
      <c r="R451" s="58" t="s">
        <v>272</v>
      </c>
    </row>
    <row r="452" spans="1:18" ht="69" customHeight="1">
      <c r="A452" s="168"/>
      <c r="B452" s="178">
        <v>2351</v>
      </c>
      <c r="C452" s="178" t="s">
        <v>259</v>
      </c>
      <c r="D452" s="575"/>
      <c r="E452" s="178" t="s">
        <v>283</v>
      </c>
      <c r="F452" s="210" t="s">
        <v>1676</v>
      </c>
      <c r="G452" s="58"/>
      <c r="H452" s="546">
        <v>7500</v>
      </c>
      <c r="I452" s="66">
        <v>44489</v>
      </c>
      <c r="J452" s="65" t="s">
        <v>285</v>
      </c>
      <c r="K452" s="58" t="s">
        <v>1652</v>
      </c>
      <c r="M452" s="70" t="s">
        <v>1677</v>
      </c>
      <c r="N452" s="97" t="s">
        <v>264</v>
      </c>
      <c r="O452" s="58" t="s">
        <v>141</v>
      </c>
      <c r="P452" s="58" t="s">
        <v>17</v>
      </c>
      <c r="Q452" s="58" t="s">
        <v>29</v>
      </c>
      <c r="R452" s="58" t="s">
        <v>272</v>
      </c>
    </row>
    <row r="453" spans="1:18" ht="69" customHeight="1">
      <c r="A453" s="168"/>
      <c r="B453" s="178">
        <v>2373</v>
      </c>
      <c r="C453" s="178" t="s">
        <v>259</v>
      </c>
      <c r="D453" s="575" t="s">
        <v>1678</v>
      </c>
      <c r="E453" s="178" t="s">
        <v>283</v>
      </c>
      <c r="F453" s="210" t="s">
        <v>1679</v>
      </c>
      <c r="G453" s="58"/>
      <c r="H453" s="546">
        <v>75500</v>
      </c>
      <c r="I453" s="66">
        <v>44524</v>
      </c>
      <c r="J453" s="65" t="s">
        <v>1680</v>
      </c>
      <c r="K453" s="58" t="s">
        <v>1652</v>
      </c>
      <c r="M453" s="70" t="s">
        <v>1677</v>
      </c>
      <c r="N453" s="97" t="s">
        <v>264</v>
      </c>
      <c r="O453" s="58" t="s">
        <v>141</v>
      </c>
      <c r="P453" s="58" t="s">
        <v>17</v>
      </c>
      <c r="Q453" s="58" t="s">
        <v>29</v>
      </c>
      <c r="R453" s="58" t="s">
        <v>272</v>
      </c>
    </row>
    <row r="454" spans="1:18" ht="69" customHeight="1">
      <c r="A454" s="168"/>
      <c r="B454" s="178">
        <v>1</v>
      </c>
      <c r="C454" s="178" t="s">
        <v>259</v>
      </c>
      <c r="D454" s="575"/>
      <c r="E454" s="178" t="s">
        <v>266</v>
      </c>
      <c r="F454" s="210" t="s">
        <v>1681</v>
      </c>
      <c r="G454" s="58" t="s">
        <v>328</v>
      </c>
      <c r="H454" s="546">
        <v>500.89</v>
      </c>
      <c r="I454" s="66">
        <v>44512</v>
      </c>
      <c r="J454" s="65" t="s">
        <v>1682</v>
      </c>
      <c r="K454" s="58"/>
      <c r="M454" s="70" t="s">
        <v>1655</v>
      </c>
      <c r="N454" s="97" t="s">
        <v>270</v>
      </c>
      <c r="O454" s="58"/>
      <c r="P454" s="58" t="s">
        <v>44</v>
      </c>
      <c r="Q454" s="58" t="s">
        <v>29</v>
      </c>
      <c r="R454" s="58" t="s">
        <v>272</v>
      </c>
    </row>
    <row r="455" spans="1:18" ht="69" customHeight="1">
      <c r="A455" s="168"/>
      <c r="B455" s="178">
        <v>2461</v>
      </c>
      <c r="C455" s="178" t="s">
        <v>259</v>
      </c>
      <c r="D455" s="575"/>
      <c r="E455" s="178" t="s">
        <v>266</v>
      </c>
      <c r="F455" s="210" t="s">
        <v>1683</v>
      </c>
      <c r="G455" s="58" t="s">
        <v>328</v>
      </c>
      <c r="H455" s="546">
        <v>24.85</v>
      </c>
      <c r="I455" s="66">
        <v>44512</v>
      </c>
      <c r="J455" s="65" t="s">
        <v>1684</v>
      </c>
      <c r="K455" s="58"/>
      <c r="M455" s="70" t="s">
        <v>1655</v>
      </c>
      <c r="N455" s="97" t="s">
        <v>270</v>
      </c>
      <c r="O455" s="58"/>
      <c r="P455" s="58" t="s">
        <v>44</v>
      </c>
      <c r="Q455" s="58" t="s">
        <v>29</v>
      </c>
      <c r="R455" s="58" t="s">
        <v>272</v>
      </c>
    </row>
    <row r="456" spans="1:18" ht="69" customHeight="1">
      <c r="A456" s="168"/>
      <c r="B456" s="178">
        <v>2462</v>
      </c>
      <c r="C456" s="178" t="s">
        <v>259</v>
      </c>
      <c r="D456" s="575"/>
      <c r="E456" s="178" t="s">
        <v>266</v>
      </c>
      <c r="F456" s="210" t="s">
        <v>1685</v>
      </c>
      <c r="G456" s="58" t="s">
        <v>328</v>
      </c>
      <c r="H456" s="546">
        <v>721.94</v>
      </c>
      <c r="I456" s="66">
        <v>44512</v>
      </c>
      <c r="J456" s="65" t="s">
        <v>1686</v>
      </c>
      <c r="K456" s="58"/>
      <c r="M456" s="70" t="s">
        <v>1655</v>
      </c>
      <c r="N456" s="97" t="s">
        <v>270</v>
      </c>
      <c r="O456" s="58"/>
      <c r="P456" s="58" t="s">
        <v>44</v>
      </c>
      <c r="Q456" s="58" t="s">
        <v>29</v>
      </c>
      <c r="R456" s="58" t="s">
        <v>272</v>
      </c>
    </row>
    <row r="457" spans="1:18" ht="69" customHeight="1">
      <c r="A457" s="168"/>
      <c r="B457" s="178">
        <v>2474</v>
      </c>
      <c r="C457" s="178" t="s">
        <v>309</v>
      </c>
      <c r="D457" s="575" t="s">
        <v>1687</v>
      </c>
      <c r="E457" s="178" t="s">
        <v>921</v>
      </c>
      <c r="F457" s="210" t="s">
        <v>1688</v>
      </c>
      <c r="G457" s="58" t="s">
        <v>1689</v>
      </c>
      <c r="H457" s="546">
        <v>66937.5</v>
      </c>
      <c r="I457" s="66">
        <v>44531</v>
      </c>
      <c r="J457" s="65" t="s">
        <v>1690</v>
      </c>
      <c r="K457" s="58" t="s">
        <v>1691</v>
      </c>
      <c r="M457" s="70" t="s">
        <v>1692</v>
      </c>
      <c r="N457" s="97" t="s">
        <v>356</v>
      </c>
      <c r="O457" s="58" t="s">
        <v>156</v>
      </c>
      <c r="P457" s="58" t="s">
        <v>19</v>
      </c>
      <c r="Q457" s="58" t="s">
        <v>29</v>
      </c>
      <c r="R457" s="58" t="s">
        <v>272</v>
      </c>
    </row>
    <row r="458" spans="1:18" ht="69" customHeight="1">
      <c r="A458" s="168"/>
      <c r="B458" s="178">
        <v>2779</v>
      </c>
      <c r="C458" s="178" t="s">
        <v>259</v>
      </c>
      <c r="D458" s="575"/>
      <c r="E458" s="178" t="s">
        <v>266</v>
      </c>
      <c r="F458" s="210" t="s">
        <v>1693</v>
      </c>
      <c r="G458" s="58"/>
      <c r="H458" s="546">
        <v>2310.35</v>
      </c>
      <c r="I458" s="66">
        <v>44924</v>
      </c>
      <c r="J458" s="65" t="s">
        <v>1694</v>
      </c>
      <c r="K458" s="58"/>
      <c r="M458" s="70" t="s">
        <v>1655</v>
      </c>
      <c r="N458" s="97" t="s">
        <v>270</v>
      </c>
      <c r="O458" s="58"/>
      <c r="P458" s="58" t="s">
        <v>44</v>
      </c>
      <c r="Q458" s="58" t="s">
        <v>29</v>
      </c>
      <c r="R458" s="58" t="s">
        <v>272</v>
      </c>
    </row>
    <row r="459" spans="1:18" ht="69" customHeight="1">
      <c r="A459" s="168"/>
      <c r="B459" s="178">
        <v>2837</v>
      </c>
      <c r="C459" s="178" t="s">
        <v>259</v>
      </c>
      <c r="D459" s="575"/>
      <c r="E459" s="178" t="s">
        <v>266</v>
      </c>
      <c r="F459" s="210" t="s">
        <v>1695</v>
      </c>
      <c r="G459" s="58" t="s">
        <v>392</v>
      </c>
      <c r="H459" s="546">
        <v>121.46</v>
      </c>
      <c r="I459" s="66">
        <v>44604</v>
      </c>
      <c r="J459" s="65" t="s">
        <v>1696</v>
      </c>
      <c r="K459" s="58"/>
      <c r="M459" s="70" t="s">
        <v>1655</v>
      </c>
      <c r="N459" s="97" t="s">
        <v>270</v>
      </c>
      <c r="O459" s="58"/>
      <c r="P459" s="58" t="s">
        <v>44</v>
      </c>
      <c r="Q459" s="58" t="s">
        <v>29</v>
      </c>
      <c r="R459" s="58" t="s">
        <v>272</v>
      </c>
    </row>
    <row r="460" spans="1:18" ht="69" customHeight="1">
      <c r="A460" s="168"/>
      <c r="B460" s="178">
        <v>2838</v>
      </c>
      <c r="C460" s="178" t="s">
        <v>259</v>
      </c>
      <c r="D460" s="575"/>
      <c r="E460" s="178" t="s">
        <v>266</v>
      </c>
      <c r="F460" s="210" t="s">
        <v>1697</v>
      </c>
      <c r="G460" s="58" t="s">
        <v>392</v>
      </c>
      <c r="H460" s="546">
        <v>86.91</v>
      </c>
      <c r="I460" s="66">
        <v>44604</v>
      </c>
      <c r="J460" s="65" t="s">
        <v>1698</v>
      </c>
      <c r="K460" s="58"/>
      <c r="M460" s="70" t="s">
        <v>1655</v>
      </c>
      <c r="N460" s="97" t="s">
        <v>270</v>
      </c>
      <c r="O460" s="58"/>
      <c r="P460" s="58" t="s">
        <v>44</v>
      </c>
      <c r="Q460" s="58" t="s">
        <v>29</v>
      </c>
      <c r="R460" s="58" t="s">
        <v>272</v>
      </c>
    </row>
    <row r="461" spans="1:18" ht="69" customHeight="1">
      <c r="A461" s="168"/>
      <c r="B461" s="178">
        <v>2839</v>
      </c>
      <c r="C461" s="178" t="s">
        <v>259</v>
      </c>
      <c r="D461" s="575"/>
      <c r="E461" s="178" t="s">
        <v>266</v>
      </c>
      <c r="F461" s="210" t="s">
        <v>1699</v>
      </c>
      <c r="G461" s="58" t="s">
        <v>392</v>
      </c>
      <c r="H461" s="546">
        <v>15.24</v>
      </c>
      <c r="I461" s="66">
        <v>44604</v>
      </c>
      <c r="J461" s="65" t="s">
        <v>1700</v>
      </c>
      <c r="K461" s="58"/>
      <c r="M461" s="70" t="s">
        <v>1655</v>
      </c>
      <c r="N461" s="97" t="s">
        <v>270</v>
      </c>
      <c r="O461" s="58"/>
      <c r="P461" s="58" t="s">
        <v>44</v>
      </c>
      <c r="Q461" s="58" t="s">
        <v>29</v>
      </c>
      <c r="R461" s="58" t="s">
        <v>272</v>
      </c>
    </row>
    <row r="462" spans="1:18" ht="69" customHeight="1">
      <c r="A462" s="168"/>
      <c r="B462" s="178">
        <v>2840</v>
      </c>
      <c r="C462" s="178" t="s">
        <v>259</v>
      </c>
      <c r="D462" s="575"/>
      <c r="E462" s="178" t="s">
        <v>266</v>
      </c>
      <c r="F462" s="210" t="s">
        <v>1701</v>
      </c>
      <c r="G462" s="58" t="s">
        <v>392</v>
      </c>
      <c r="H462" s="546">
        <v>33.659999999999997</v>
      </c>
      <c r="I462" s="66">
        <v>44604</v>
      </c>
      <c r="J462" s="65" t="s">
        <v>1702</v>
      </c>
      <c r="K462" s="58"/>
      <c r="M462" s="70" t="s">
        <v>1655</v>
      </c>
      <c r="N462" s="97" t="s">
        <v>270</v>
      </c>
      <c r="O462" s="58"/>
      <c r="P462" s="58" t="s">
        <v>44</v>
      </c>
      <c r="Q462" s="58" t="s">
        <v>29</v>
      </c>
      <c r="R462" s="58" t="s">
        <v>272</v>
      </c>
    </row>
    <row r="463" spans="1:18" ht="69" customHeight="1">
      <c r="A463" s="168"/>
      <c r="B463" s="178">
        <v>2858</v>
      </c>
      <c r="C463" s="178" t="s">
        <v>309</v>
      </c>
      <c r="D463" s="575" t="s">
        <v>1703</v>
      </c>
      <c r="E463" s="178" t="s">
        <v>266</v>
      </c>
      <c r="F463" s="210" t="s">
        <v>1704</v>
      </c>
      <c r="G463" s="58" t="s">
        <v>325</v>
      </c>
      <c r="H463" s="546">
        <v>4235.3</v>
      </c>
      <c r="I463" s="66" t="s">
        <v>96</v>
      </c>
      <c r="J463" s="65" t="s">
        <v>1705</v>
      </c>
      <c r="K463" s="58"/>
      <c r="M463" s="70" t="s">
        <v>1655</v>
      </c>
      <c r="N463" s="97" t="s">
        <v>270</v>
      </c>
      <c r="O463" s="58"/>
      <c r="P463" s="58" t="s">
        <v>44</v>
      </c>
      <c r="Q463" s="58" t="s">
        <v>29</v>
      </c>
      <c r="R463" s="58" t="s">
        <v>272</v>
      </c>
    </row>
    <row r="464" spans="1:18" ht="69" customHeight="1">
      <c r="A464" s="168"/>
      <c r="B464" s="178">
        <v>3042</v>
      </c>
      <c r="C464" s="178" t="s">
        <v>259</v>
      </c>
      <c r="D464" s="575"/>
      <c r="E464" s="178" t="s">
        <v>266</v>
      </c>
      <c r="F464" s="210" t="s">
        <v>1706</v>
      </c>
      <c r="G464" s="58" t="s">
        <v>392</v>
      </c>
      <c r="H464" s="546">
        <v>689.13</v>
      </c>
      <c r="I464" s="66">
        <v>44594</v>
      </c>
      <c r="J464" s="65" t="s">
        <v>1707</v>
      </c>
      <c r="K464" s="58"/>
      <c r="M464" s="70" t="s">
        <v>1655</v>
      </c>
      <c r="N464" s="97" t="s">
        <v>270</v>
      </c>
      <c r="O464" s="58"/>
      <c r="P464" s="58" t="s">
        <v>44</v>
      </c>
      <c r="Q464" s="58" t="s">
        <v>29</v>
      </c>
      <c r="R464" s="58" t="s">
        <v>272</v>
      </c>
    </row>
    <row r="465" spans="1:18" ht="69" customHeight="1">
      <c r="A465" s="168"/>
      <c r="B465" s="178">
        <v>3043</v>
      </c>
      <c r="C465" s="178" t="s">
        <v>259</v>
      </c>
      <c r="D465" s="575"/>
      <c r="E465" s="178" t="s">
        <v>266</v>
      </c>
      <c r="F465" s="210" t="s">
        <v>1708</v>
      </c>
      <c r="G465" s="58" t="s">
        <v>392</v>
      </c>
      <c r="H465" s="546">
        <v>954.06</v>
      </c>
      <c r="I465" s="66">
        <v>44594</v>
      </c>
      <c r="J465" s="65" t="s">
        <v>1709</v>
      </c>
      <c r="K465" s="58"/>
      <c r="M465" s="70" t="s">
        <v>1655</v>
      </c>
      <c r="N465" s="97" t="s">
        <v>270</v>
      </c>
      <c r="O465" s="58"/>
      <c r="P465" s="58" t="s">
        <v>44</v>
      </c>
      <c r="Q465" s="58" t="s">
        <v>29</v>
      </c>
      <c r="R465" s="58" t="s">
        <v>272</v>
      </c>
    </row>
    <row r="466" spans="1:18" ht="69" customHeight="1">
      <c r="A466" s="168"/>
      <c r="B466" s="191">
        <v>2966</v>
      </c>
      <c r="C466" s="191" t="s">
        <v>309</v>
      </c>
      <c r="D466" s="533" t="s">
        <v>1710</v>
      </c>
      <c r="E466" s="191" t="s">
        <v>331</v>
      </c>
      <c r="F466" s="211" t="s">
        <v>1711</v>
      </c>
      <c r="G466" s="46" t="s">
        <v>333</v>
      </c>
      <c r="H466" s="534">
        <v>0</v>
      </c>
      <c r="I466" s="56" t="s">
        <v>96</v>
      </c>
      <c r="J466" s="199" t="s">
        <v>334</v>
      </c>
      <c r="K466" s="46"/>
      <c r="M466" s="379" t="s">
        <v>29</v>
      </c>
      <c r="N466" s="76" t="s">
        <v>69</v>
      </c>
      <c r="O466" s="46"/>
      <c r="P466" s="46" t="s">
        <v>69</v>
      </c>
      <c r="Q466" s="46" t="s">
        <v>29</v>
      </c>
      <c r="R466" s="46" t="s">
        <v>272</v>
      </c>
    </row>
    <row r="467" spans="1:18" ht="69" customHeight="1">
      <c r="A467" s="168"/>
      <c r="B467" s="178">
        <v>3108</v>
      </c>
      <c r="C467" s="178" t="s">
        <v>309</v>
      </c>
      <c r="D467" s="575" t="s">
        <v>1712</v>
      </c>
      <c r="E467" s="178" t="s">
        <v>283</v>
      </c>
      <c r="F467" s="210" t="s">
        <v>1713</v>
      </c>
      <c r="G467" s="58" t="s">
        <v>655</v>
      </c>
      <c r="H467" s="546">
        <v>113250</v>
      </c>
      <c r="I467" s="66">
        <v>44610</v>
      </c>
      <c r="J467" s="65" t="s">
        <v>1714</v>
      </c>
      <c r="K467" s="58" t="s">
        <v>1652</v>
      </c>
      <c r="M467" s="70" t="s">
        <v>1677</v>
      </c>
      <c r="N467" s="97" t="s">
        <v>264</v>
      </c>
      <c r="O467" s="58" t="s">
        <v>141</v>
      </c>
      <c r="P467" s="58" t="s">
        <v>17</v>
      </c>
      <c r="Q467" s="58" t="s">
        <v>29</v>
      </c>
      <c r="R467" s="58" t="s">
        <v>272</v>
      </c>
    </row>
    <row r="468" spans="1:18" ht="69" customHeight="1">
      <c r="A468" s="168"/>
      <c r="B468" s="178">
        <v>4178</v>
      </c>
      <c r="C468" s="178" t="s">
        <v>259</v>
      </c>
      <c r="D468" s="575"/>
      <c r="E468" s="178" t="s">
        <v>266</v>
      </c>
      <c r="F468" s="210" t="s">
        <v>1715</v>
      </c>
      <c r="G468" s="58"/>
      <c r="H468" s="546">
        <v>2099.25</v>
      </c>
      <c r="I468" s="66">
        <v>44649</v>
      </c>
      <c r="J468" s="65" t="s">
        <v>1716</v>
      </c>
      <c r="K468" s="58"/>
      <c r="M468" s="70" t="s">
        <v>1655</v>
      </c>
      <c r="N468" s="97" t="s">
        <v>270</v>
      </c>
      <c r="O468" s="58"/>
      <c r="P468" s="58" t="s">
        <v>44</v>
      </c>
      <c r="Q468" s="58" t="s">
        <v>29</v>
      </c>
      <c r="R468" s="58" t="s">
        <v>272</v>
      </c>
    </row>
    <row r="469" spans="1:18" ht="69" customHeight="1">
      <c r="A469" s="168"/>
      <c r="B469" s="178">
        <v>4307</v>
      </c>
      <c r="C469" s="178" t="s">
        <v>309</v>
      </c>
      <c r="D469" s="575" t="s">
        <v>1717</v>
      </c>
      <c r="E469" s="178" t="s">
        <v>266</v>
      </c>
      <c r="F469" s="210" t="s">
        <v>1718</v>
      </c>
      <c r="G469" s="58" t="s">
        <v>1107</v>
      </c>
      <c r="H469" s="546">
        <v>7293.34</v>
      </c>
      <c r="I469" s="66">
        <v>44664</v>
      </c>
      <c r="J469" s="65" t="s">
        <v>1719</v>
      </c>
      <c r="K469" s="58"/>
      <c r="M469" s="70" t="s">
        <v>1720</v>
      </c>
      <c r="N469" s="97" t="s">
        <v>552</v>
      </c>
      <c r="O469" s="58" t="s">
        <v>971</v>
      </c>
      <c r="P469" s="58" t="s">
        <v>38</v>
      </c>
      <c r="Q469" s="58" t="s">
        <v>29</v>
      </c>
      <c r="R469" s="58" t="s">
        <v>272</v>
      </c>
    </row>
    <row r="470" spans="1:18" ht="69" customHeight="1">
      <c r="A470" s="168"/>
      <c r="B470" s="178">
        <v>4548</v>
      </c>
      <c r="C470" s="178" t="s">
        <v>309</v>
      </c>
      <c r="D470" s="575" t="s">
        <v>1721</v>
      </c>
      <c r="E470" s="178" t="s">
        <v>979</v>
      </c>
      <c r="F470" s="210" t="s">
        <v>1722</v>
      </c>
      <c r="G470" s="58" t="s">
        <v>352</v>
      </c>
      <c r="H470" s="546">
        <v>125000</v>
      </c>
      <c r="I470" s="66">
        <v>44673</v>
      </c>
      <c r="J470" s="65" t="s">
        <v>1723</v>
      </c>
      <c r="K470" s="58" t="s">
        <v>1691</v>
      </c>
      <c r="M470" s="70" t="s">
        <v>1724</v>
      </c>
      <c r="N470" s="97" t="s">
        <v>356</v>
      </c>
      <c r="O470" s="58" t="s">
        <v>156</v>
      </c>
      <c r="P470" s="58" t="s">
        <v>19</v>
      </c>
      <c r="Q470" s="58" t="s">
        <v>29</v>
      </c>
      <c r="R470" s="58" t="s">
        <v>265</v>
      </c>
    </row>
    <row r="471" spans="1:18" ht="69" customHeight="1">
      <c r="A471" s="168"/>
      <c r="B471" s="178">
        <v>4500</v>
      </c>
      <c r="C471" s="178" t="s">
        <v>309</v>
      </c>
      <c r="D471" s="575" t="s">
        <v>1725</v>
      </c>
      <c r="E471" s="178" t="s">
        <v>979</v>
      </c>
      <c r="F471" s="210" t="s">
        <v>1726</v>
      </c>
      <c r="G471" s="58" t="s">
        <v>352</v>
      </c>
      <c r="H471" s="546">
        <v>333390</v>
      </c>
      <c r="I471" s="66">
        <v>44673</v>
      </c>
      <c r="J471" s="65" t="s">
        <v>1727</v>
      </c>
      <c r="K471" s="58" t="s">
        <v>1691</v>
      </c>
      <c r="M471" s="70" t="s">
        <v>1724</v>
      </c>
      <c r="N471" s="97" t="s">
        <v>356</v>
      </c>
      <c r="O471" s="58" t="s">
        <v>156</v>
      </c>
      <c r="P471" s="58" t="s">
        <v>19</v>
      </c>
      <c r="Q471" s="58" t="s">
        <v>29</v>
      </c>
      <c r="R471" s="58" t="s">
        <v>265</v>
      </c>
    </row>
    <row r="472" spans="1:18" ht="69" customHeight="1">
      <c r="A472" s="168"/>
      <c r="B472" s="178">
        <v>4691</v>
      </c>
      <c r="C472" s="178" t="s">
        <v>309</v>
      </c>
      <c r="D472" s="575" t="s">
        <v>1728</v>
      </c>
      <c r="E472" s="178" t="s">
        <v>331</v>
      </c>
      <c r="F472" s="210" t="s">
        <v>1729</v>
      </c>
      <c r="G472" s="58"/>
      <c r="H472" s="546">
        <v>3389.12</v>
      </c>
      <c r="I472" s="66">
        <v>44678</v>
      </c>
      <c r="J472" s="65" t="s">
        <v>1730</v>
      </c>
      <c r="K472" s="58"/>
      <c r="M472" s="70" t="s">
        <v>1655</v>
      </c>
      <c r="N472" s="97" t="s">
        <v>270</v>
      </c>
      <c r="O472" s="58"/>
      <c r="P472" s="58" t="s">
        <v>44</v>
      </c>
      <c r="Q472" s="58" t="s">
        <v>29</v>
      </c>
      <c r="R472" s="58" t="s">
        <v>272</v>
      </c>
    </row>
    <row r="473" spans="1:18" ht="69" customHeight="1">
      <c r="A473" s="168"/>
      <c r="B473" s="178">
        <v>4874</v>
      </c>
      <c r="C473" s="178" t="s">
        <v>309</v>
      </c>
      <c r="D473" s="575" t="s">
        <v>1731</v>
      </c>
      <c r="E473" s="178" t="s">
        <v>266</v>
      </c>
      <c r="F473" s="210" t="s">
        <v>1732</v>
      </c>
      <c r="G473" s="58" t="s">
        <v>680</v>
      </c>
      <c r="H473" s="546">
        <v>6206.9</v>
      </c>
      <c r="I473" s="66">
        <v>44706</v>
      </c>
      <c r="J473" s="65" t="s">
        <v>1733</v>
      </c>
      <c r="K473" s="58"/>
      <c r="M473" s="70" t="s">
        <v>1734</v>
      </c>
      <c r="N473" s="97" t="s">
        <v>683</v>
      </c>
      <c r="O473" s="58" t="s">
        <v>684</v>
      </c>
      <c r="P473" s="58" t="s">
        <v>46</v>
      </c>
      <c r="Q473" s="58" t="s">
        <v>29</v>
      </c>
      <c r="R473" s="58" t="s">
        <v>272</v>
      </c>
    </row>
    <row r="474" spans="1:18" ht="69" customHeight="1">
      <c r="A474" s="168"/>
      <c r="B474" s="178">
        <v>4691</v>
      </c>
      <c r="C474" s="178" t="s">
        <v>309</v>
      </c>
      <c r="D474" s="575" t="s">
        <v>1735</v>
      </c>
      <c r="E474" s="178" t="s">
        <v>331</v>
      </c>
      <c r="F474" s="210" t="s">
        <v>1736</v>
      </c>
      <c r="G474" s="58" t="s">
        <v>372</v>
      </c>
      <c r="H474" s="546">
        <v>30502.09</v>
      </c>
      <c r="I474" s="66">
        <v>44701</v>
      </c>
      <c r="J474" s="65" t="s">
        <v>1737</v>
      </c>
      <c r="K474" s="58"/>
      <c r="L474" s="99"/>
      <c r="M474" s="70" t="s">
        <v>1655</v>
      </c>
      <c r="N474" s="97" t="s">
        <v>270</v>
      </c>
      <c r="O474" s="58"/>
      <c r="P474" s="58" t="s">
        <v>44</v>
      </c>
      <c r="Q474" s="58" t="s">
        <v>29</v>
      </c>
      <c r="R474" s="58" t="s">
        <v>272</v>
      </c>
    </row>
    <row r="475" spans="1:18" ht="69" customHeight="1">
      <c r="A475" s="168"/>
      <c r="B475" s="178">
        <v>4307</v>
      </c>
      <c r="C475" s="178" t="s">
        <v>309</v>
      </c>
      <c r="D475" s="575" t="s">
        <v>1738</v>
      </c>
      <c r="E475" s="178" t="s">
        <v>266</v>
      </c>
      <c r="F475" s="210" t="s">
        <v>1739</v>
      </c>
      <c r="G475" s="58" t="s">
        <v>1107</v>
      </c>
      <c r="H475" s="546">
        <v>7293.34</v>
      </c>
      <c r="I475" s="66">
        <v>44725</v>
      </c>
      <c r="J475" s="65" t="s">
        <v>1740</v>
      </c>
      <c r="K475" s="58"/>
      <c r="L475" s="99"/>
      <c r="M475" s="70" t="s">
        <v>1720</v>
      </c>
      <c r="N475" s="97" t="s">
        <v>552</v>
      </c>
      <c r="O475" s="58" t="s">
        <v>971</v>
      </c>
      <c r="P475" s="58" t="s">
        <v>38</v>
      </c>
      <c r="Q475" s="58" t="s">
        <v>29</v>
      </c>
      <c r="R475" s="58" t="s">
        <v>272</v>
      </c>
    </row>
    <row r="476" spans="1:18" ht="69" customHeight="1">
      <c r="A476" s="168"/>
      <c r="B476" s="178">
        <v>5115</v>
      </c>
      <c r="C476" s="178" t="s">
        <v>309</v>
      </c>
      <c r="D476" s="575" t="s">
        <v>1741</v>
      </c>
      <c r="E476" s="178" t="s">
        <v>283</v>
      </c>
      <c r="F476" s="210" t="s">
        <v>1742</v>
      </c>
      <c r="G476" s="58" t="s">
        <v>718</v>
      </c>
      <c r="H476" s="546">
        <v>151000</v>
      </c>
      <c r="I476" s="66">
        <v>44732</v>
      </c>
      <c r="J476" s="65" t="s">
        <v>1743</v>
      </c>
      <c r="K476" s="58" t="s">
        <v>1652</v>
      </c>
      <c r="M476" s="70" t="s">
        <v>1677</v>
      </c>
      <c r="N476" s="97" t="s">
        <v>264</v>
      </c>
      <c r="O476" s="58" t="s">
        <v>141</v>
      </c>
      <c r="P476" s="58" t="s">
        <v>17</v>
      </c>
      <c r="Q476" s="58" t="s">
        <v>29</v>
      </c>
      <c r="R476" s="58" t="s">
        <v>272</v>
      </c>
    </row>
    <row r="477" spans="1:18" ht="69" customHeight="1">
      <c r="A477" s="168"/>
      <c r="B477" s="178">
        <v>1</v>
      </c>
      <c r="C477" s="178" t="s">
        <v>309</v>
      </c>
      <c r="D477" s="575" t="s">
        <v>1744</v>
      </c>
      <c r="E477" s="178" t="s">
        <v>382</v>
      </c>
      <c r="F477" s="210" t="s">
        <v>1745</v>
      </c>
      <c r="G477" s="58" t="s">
        <v>384</v>
      </c>
      <c r="H477" s="546">
        <v>27761.33</v>
      </c>
      <c r="I477" s="66">
        <v>44736</v>
      </c>
      <c r="J477" s="65" t="s">
        <v>1746</v>
      </c>
      <c r="K477" s="58"/>
      <c r="L477" s="99"/>
      <c r="M477" s="70" t="s">
        <v>1747</v>
      </c>
      <c r="N477" s="97" t="s">
        <v>387</v>
      </c>
      <c r="O477" s="45" t="s">
        <v>150</v>
      </c>
      <c r="P477" s="58" t="s">
        <v>51</v>
      </c>
      <c r="Q477" s="58" t="s">
        <v>29</v>
      </c>
      <c r="R477" s="58" t="s">
        <v>272</v>
      </c>
    </row>
    <row r="478" spans="1:18" ht="69" customHeight="1">
      <c r="A478" s="168"/>
      <c r="B478" s="178">
        <v>2</v>
      </c>
      <c r="C478" s="178" t="s">
        <v>309</v>
      </c>
      <c r="D478" s="575" t="s">
        <v>1748</v>
      </c>
      <c r="E478" s="178" t="s">
        <v>382</v>
      </c>
      <c r="F478" s="210" t="s">
        <v>1749</v>
      </c>
      <c r="G478" s="58" t="s">
        <v>384</v>
      </c>
      <c r="H478" s="546">
        <v>39819.519999999997</v>
      </c>
      <c r="I478" s="66">
        <v>44736</v>
      </c>
      <c r="J478" s="65" t="s">
        <v>1750</v>
      </c>
      <c r="K478" s="58"/>
      <c r="L478" s="99"/>
      <c r="M478" s="70" t="s">
        <v>1747</v>
      </c>
      <c r="N478" s="97" t="s">
        <v>387</v>
      </c>
      <c r="O478" s="45" t="s">
        <v>150</v>
      </c>
      <c r="P478" s="58" t="s">
        <v>51</v>
      </c>
      <c r="Q478" s="58" t="s">
        <v>29</v>
      </c>
      <c r="R478" s="58" t="s">
        <v>272</v>
      </c>
    </row>
    <row r="479" spans="1:18" ht="69" customHeight="1">
      <c r="A479" s="168"/>
      <c r="B479" s="178">
        <v>5006</v>
      </c>
      <c r="C479" s="178" t="s">
        <v>309</v>
      </c>
      <c r="D479" s="575" t="s">
        <v>1751</v>
      </c>
      <c r="E479" s="178" t="s">
        <v>266</v>
      </c>
      <c r="F479" s="210" t="s">
        <v>1752</v>
      </c>
      <c r="G479" s="58" t="s">
        <v>1753</v>
      </c>
      <c r="H479" s="546">
        <v>5390</v>
      </c>
      <c r="I479" s="66">
        <v>44762</v>
      </c>
      <c r="J479" s="65" t="s">
        <v>1754</v>
      </c>
      <c r="K479" s="58" t="s">
        <v>705</v>
      </c>
      <c r="L479" s="99"/>
      <c r="M479" s="70" t="s">
        <v>1655</v>
      </c>
      <c r="N479" s="97" t="s">
        <v>270</v>
      </c>
      <c r="O479" s="58"/>
      <c r="P479" s="58" t="s">
        <v>44</v>
      </c>
      <c r="Q479" s="58" t="s">
        <v>29</v>
      </c>
      <c r="R479" s="58" t="s">
        <v>272</v>
      </c>
    </row>
    <row r="480" spans="1:18" ht="69" customHeight="1">
      <c r="A480" s="168"/>
      <c r="B480" s="178">
        <v>6028</v>
      </c>
      <c r="C480" s="178" t="s">
        <v>309</v>
      </c>
      <c r="D480" s="575" t="s">
        <v>1755</v>
      </c>
      <c r="E480" s="178" t="s">
        <v>283</v>
      </c>
      <c r="F480" s="210" t="s">
        <v>1756</v>
      </c>
      <c r="G480" s="58" t="s">
        <v>718</v>
      </c>
      <c r="H480" s="546">
        <v>37750</v>
      </c>
      <c r="I480" s="66">
        <v>44769</v>
      </c>
      <c r="J480" s="65" t="s">
        <v>1757</v>
      </c>
      <c r="K480" s="58" t="s">
        <v>1652</v>
      </c>
      <c r="L480" s="99"/>
      <c r="M480" s="70" t="s">
        <v>1677</v>
      </c>
      <c r="N480" s="97" t="s">
        <v>264</v>
      </c>
      <c r="O480" s="58" t="s">
        <v>141</v>
      </c>
      <c r="P480" s="58" t="s">
        <v>17</v>
      </c>
      <c r="Q480" s="58" t="s">
        <v>29</v>
      </c>
      <c r="R480" s="58" t="s">
        <v>272</v>
      </c>
    </row>
    <row r="481" spans="1:18" ht="69" customHeight="1">
      <c r="A481" s="168"/>
      <c r="B481" s="178">
        <v>6334</v>
      </c>
      <c r="C481" s="178" t="s">
        <v>309</v>
      </c>
      <c r="D481" s="575" t="s">
        <v>1758</v>
      </c>
      <c r="E481" s="178" t="s">
        <v>1759</v>
      </c>
      <c r="F481" s="210" t="s">
        <v>1760</v>
      </c>
      <c r="G481" s="58" t="s">
        <v>1761</v>
      </c>
      <c r="H481" s="546">
        <v>415886.25</v>
      </c>
      <c r="I481" s="66">
        <v>44790</v>
      </c>
      <c r="J481" s="65" t="s">
        <v>1762</v>
      </c>
      <c r="K481" s="58"/>
      <c r="L481" s="99"/>
      <c r="M481" s="70" t="s">
        <v>1763</v>
      </c>
      <c r="N481" s="97" t="s">
        <v>414</v>
      </c>
      <c r="O481" s="58"/>
      <c r="P481" s="58" t="s">
        <v>24</v>
      </c>
      <c r="Q481" s="58" t="s">
        <v>29</v>
      </c>
      <c r="R481" s="58" t="s">
        <v>272</v>
      </c>
    </row>
    <row r="482" spans="1:18" ht="69" customHeight="1">
      <c r="A482" s="168"/>
      <c r="B482" s="178">
        <v>6421</v>
      </c>
      <c r="C482" s="178" t="s">
        <v>309</v>
      </c>
      <c r="D482" s="575" t="s">
        <v>1764</v>
      </c>
      <c r="E482" s="178" t="s">
        <v>331</v>
      </c>
      <c r="F482" s="210" t="s">
        <v>1765</v>
      </c>
      <c r="G482" s="58" t="s">
        <v>429</v>
      </c>
      <c r="H482" s="546">
        <v>13959.486000000001</v>
      </c>
      <c r="I482" s="66">
        <v>44802</v>
      </c>
      <c r="J482" s="65" t="s">
        <v>1766</v>
      </c>
      <c r="K482" s="58" t="s">
        <v>1767</v>
      </c>
      <c r="L482" s="99"/>
      <c r="M482" s="70" t="s">
        <v>1655</v>
      </c>
      <c r="N482" s="97" t="s">
        <v>270</v>
      </c>
      <c r="O482" s="58" t="s">
        <v>1768</v>
      </c>
      <c r="P482" s="58" t="s">
        <v>53</v>
      </c>
      <c r="Q482" s="58" t="s">
        <v>29</v>
      </c>
      <c r="R482" s="58" t="s">
        <v>272</v>
      </c>
    </row>
    <row r="483" spans="1:18" ht="69" customHeight="1">
      <c r="A483" s="168"/>
      <c r="B483" s="178">
        <v>6737</v>
      </c>
      <c r="C483" s="178" t="s">
        <v>309</v>
      </c>
      <c r="D483" s="575" t="s">
        <v>1769</v>
      </c>
      <c r="E483" s="178" t="s">
        <v>1046</v>
      </c>
      <c r="F483" s="210" t="s">
        <v>1770</v>
      </c>
      <c r="G483" s="58" t="s">
        <v>1048</v>
      </c>
      <c r="H483" s="546">
        <v>136958.03</v>
      </c>
      <c r="I483" s="66">
        <v>44827</v>
      </c>
      <c r="J483" s="65" t="s">
        <v>1771</v>
      </c>
      <c r="K483" s="58"/>
      <c r="L483" s="99"/>
      <c r="M483" s="70" t="s">
        <v>1772</v>
      </c>
      <c r="N483" s="97" t="s">
        <v>414</v>
      </c>
      <c r="O483" s="58"/>
      <c r="P483" s="58" t="s">
        <v>24</v>
      </c>
      <c r="Q483" s="58" t="s">
        <v>29</v>
      </c>
      <c r="R483" s="58" t="s">
        <v>265</v>
      </c>
    </row>
    <row r="484" spans="1:18" ht="69" customHeight="1">
      <c r="A484" s="168"/>
      <c r="B484" s="178">
        <v>6296</v>
      </c>
      <c r="C484" s="178" t="s">
        <v>309</v>
      </c>
      <c r="D484" s="575" t="s">
        <v>1363</v>
      </c>
      <c r="E484" s="178" t="s">
        <v>266</v>
      </c>
      <c r="F484" s="210" t="s">
        <v>1773</v>
      </c>
      <c r="G484" s="58" t="s">
        <v>790</v>
      </c>
      <c r="H484" s="546">
        <v>2281.25</v>
      </c>
      <c r="I484" s="66">
        <v>44834</v>
      </c>
      <c r="J484" s="65" t="s">
        <v>1774</v>
      </c>
      <c r="K484" s="58"/>
      <c r="L484" s="99"/>
      <c r="M484" s="70" t="s">
        <v>1734</v>
      </c>
      <c r="N484" s="97" t="s">
        <v>683</v>
      </c>
      <c r="O484" s="58" t="s">
        <v>684</v>
      </c>
      <c r="P484" s="58" t="s">
        <v>46</v>
      </c>
      <c r="Q484" s="58" t="s">
        <v>29</v>
      </c>
      <c r="R484" s="58" t="s">
        <v>272</v>
      </c>
    </row>
    <row r="485" spans="1:18" ht="69" customHeight="1">
      <c r="A485" s="168"/>
      <c r="B485" s="178">
        <v>6810</v>
      </c>
      <c r="C485" s="178" t="s">
        <v>309</v>
      </c>
      <c r="D485" s="575" t="s">
        <v>1775</v>
      </c>
      <c r="E485" s="178" t="s">
        <v>1046</v>
      </c>
      <c r="F485" s="210" t="s">
        <v>1776</v>
      </c>
      <c r="G485" s="58" t="s">
        <v>1048</v>
      </c>
      <c r="H485" s="546">
        <v>22551.1</v>
      </c>
      <c r="I485" s="66">
        <v>44832</v>
      </c>
      <c r="J485" s="65" t="s">
        <v>1777</v>
      </c>
      <c r="K485" s="58"/>
      <c r="L485" s="99"/>
      <c r="M485" s="70" t="s">
        <v>1772</v>
      </c>
      <c r="N485" s="97" t="s">
        <v>414</v>
      </c>
      <c r="O485" s="58"/>
      <c r="P485" s="58" t="s">
        <v>24</v>
      </c>
      <c r="Q485" s="58" t="s">
        <v>29</v>
      </c>
      <c r="R485" s="58" t="s">
        <v>265</v>
      </c>
    </row>
    <row r="486" spans="1:18" ht="69" customHeight="1">
      <c r="A486" s="168"/>
      <c r="B486" s="178">
        <v>7337</v>
      </c>
      <c r="C486" s="178" t="s">
        <v>309</v>
      </c>
      <c r="D486" s="575" t="s">
        <v>1778</v>
      </c>
      <c r="E486" s="178" t="s">
        <v>1759</v>
      </c>
      <c r="F486" s="210" t="s">
        <v>1779</v>
      </c>
      <c r="G486" s="58" t="s">
        <v>1095</v>
      </c>
      <c r="H486" s="546">
        <v>139737.78</v>
      </c>
      <c r="I486" s="66">
        <v>44874</v>
      </c>
      <c r="J486" s="65" t="s">
        <v>1096</v>
      </c>
      <c r="K486" s="58"/>
      <c r="L486" s="99"/>
      <c r="M486" s="70" t="s">
        <v>1763</v>
      </c>
      <c r="N486" s="97" t="s">
        <v>414</v>
      </c>
      <c r="O486" s="58"/>
      <c r="P486" s="58" t="s">
        <v>24</v>
      </c>
      <c r="Q486" s="58" t="s">
        <v>29</v>
      </c>
      <c r="R486" s="58" t="s">
        <v>272</v>
      </c>
    </row>
    <row r="487" spans="1:18" ht="69" customHeight="1">
      <c r="A487" s="168"/>
      <c r="B487" s="178">
        <v>7467</v>
      </c>
      <c r="C487" s="178" t="s">
        <v>309</v>
      </c>
      <c r="D487" s="575" t="s">
        <v>1780</v>
      </c>
      <c r="E487" s="178" t="s">
        <v>1044</v>
      </c>
      <c r="F487" s="210" t="s">
        <v>1781</v>
      </c>
      <c r="G487" s="58" t="s">
        <v>1041</v>
      </c>
      <c r="H487" s="546">
        <v>142675.4</v>
      </c>
      <c r="I487" s="66">
        <v>44890</v>
      </c>
      <c r="J487" s="65" t="s">
        <v>1042</v>
      </c>
      <c r="K487" s="58"/>
      <c r="L487" s="99"/>
      <c r="M487" s="70" t="s">
        <v>1782</v>
      </c>
      <c r="N487" s="97" t="s">
        <v>1044</v>
      </c>
      <c r="O487" s="58"/>
      <c r="P487" s="58" t="s">
        <v>26</v>
      </c>
      <c r="Q487" s="58" t="s">
        <v>29</v>
      </c>
      <c r="R487" s="58" t="s">
        <v>272</v>
      </c>
    </row>
    <row r="488" spans="1:18" ht="69" customHeight="1">
      <c r="A488" s="168"/>
      <c r="B488" s="178">
        <v>7593</v>
      </c>
      <c r="C488" s="178" t="s">
        <v>309</v>
      </c>
      <c r="D488" s="575" t="s">
        <v>1783</v>
      </c>
      <c r="E488" s="178" t="s">
        <v>1046</v>
      </c>
      <c r="F488" s="210" t="s">
        <v>1784</v>
      </c>
      <c r="G488" s="58" t="s">
        <v>1048</v>
      </c>
      <c r="H488" s="546">
        <v>6540.56</v>
      </c>
      <c r="I488" s="66">
        <v>44890</v>
      </c>
      <c r="J488" s="65" t="s">
        <v>1785</v>
      </c>
      <c r="K488" s="58"/>
      <c r="L488" s="99"/>
      <c r="M488" s="70" t="s">
        <v>1772</v>
      </c>
      <c r="N488" s="97" t="s">
        <v>414</v>
      </c>
      <c r="O488" s="58"/>
      <c r="P488" s="58" t="s">
        <v>24</v>
      </c>
      <c r="Q488" s="58" t="s">
        <v>29</v>
      </c>
      <c r="R488" s="58" t="s">
        <v>265</v>
      </c>
    </row>
    <row r="489" spans="1:18" ht="69" customHeight="1">
      <c r="A489" s="168"/>
      <c r="B489" s="178">
        <v>7594</v>
      </c>
      <c r="C489" s="178" t="s">
        <v>309</v>
      </c>
      <c r="D489" s="575" t="s">
        <v>1786</v>
      </c>
      <c r="E489" s="178" t="s">
        <v>1046</v>
      </c>
      <c r="F489" s="210" t="s">
        <v>1787</v>
      </c>
      <c r="G489" s="58" t="s">
        <v>1048</v>
      </c>
      <c r="H489" s="546">
        <v>26162.22</v>
      </c>
      <c r="I489" s="66">
        <v>44890</v>
      </c>
      <c r="J489" s="65" t="s">
        <v>1785</v>
      </c>
      <c r="K489" s="58"/>
      <c r="L489" s="99"/>
      <c r="M489" s="70" t="s">
        <v>1772</v>
      </c>
      <c r="N489" s="97" t="s">
        <v>414</v>
      </c>
      <c r="O489" s="58"/>
      <c r="P489" s="58" t="s">
        <v>24</v>
      </c>
      <c r="Q489" s="58" t="s">
        <v>29</v>
      </c>
      <c r="R489" s="58" t="s">
        <v>265</v>
      </c>
    </row>
    <row r="490" spans="1:18" ht="69" customHeight="1">
      <c r="A490" s="168"/>
      <c r="B490" s="178">
        <v>7349</v>
      </c>
      <c r="C490" s="178" t="s">
        <v>309</v>
      </c>
      <c r="D490" s="575" t="s">
        <v>1788</v>
      </c>
      <c r="E490" s="178" t="s">
        <v>1046</v>
      </c>
      <c r="F490" s="210" t="s">
        <v>1789</v>
      </c>
      <c r="G490" s="58" t="s">
        <v>1048</v>
      </c>
      <c r="H490" s="546">
        <v>35511</v>
      </c>
      <c r="I490" s="66">
        <v>44872</v>
      </c>
      <c r="J490" s="65" t="s">
        <v>1790</v>
      </c>
      <c r="K490" s="58"/>
      <c r="L490" s="99"/>
      <c r="M490" s="70" t="s">
        <v>1772</v>
      </c>
      <c r="N490" s="97" t="s">
        <v>414</v>
      </c>
      <c r="O490" s="58"/>
      <c r="P490" s="58" t="s">
        <v>24</v>
      </c>
      <c r="Q490" s="58" t="s">
        <v>29</v>
      </c>
      <c r="R490" s="58" t="s">
        <v>265</v>
      </c>
    </row>
    <row r="491" spans="1:18" ht="69" customHeight="1">
      <c r="A491" s="168"/>
      <c r="B491" s="178">
        <v>7350</v>
      </c>
      <c r="C491" s="178" t="s">
        <v>309</v>
      </c>
      <c r="D491" s="575" t="s">
        <v>1791</v>
      </c>
      <c r="E491" s="178" t="s">
        <v>1046</v>
      </c>
      <c r="F491" s="210" t="s">
        <v>1792</v>
      </c>
      <c r="G491" s="58" t="s">
        <v>1048</v>
      </c>
      <c r="H491" s="546">
        <v>46395</v>
      </c>
      <c r="I491" s="66">
        <v>44872</v>
      </c>
      <c r="J491" s="65" t="s">
        <v>1790</v>
      </c>
      <c r="K491" s="58" t="s">
        <v>1793</v>
      </c>
      <c r="L491" s="99"/>
      <c r="M491" s="70" t="s">
        <v>1772</v>
      </c>
      <c r="N491" s="97" t="s">
        <v>414</v>
      </c>
      <c r="O491" s="58"/>
      <c r="P491" s="58" t="s">
        <v>24</v>
      </c>
      <c r="Q491" s="58" t="s">
        <v>29</v>
      </c>
      <c r="R491" s="58" t="s">
        <v>265</v>
      </c>
    </row>
    <row r="492" spans="1:18" ht="69" customHeight="1">
      <c r="A492" s="168"/>
      <c r="B492" s="178">
        <v>7302</v>
      </c>
      <c r="C492" s="178" t="s">
        <v>309</v>
      </c>
      <c r="D492" s="575" t="s">
        <v>1794</v>
      </c>
      <c r="E492" s="178" t="s">
        <v>1044</v>
      </c>
      <c r="F492" s="210" t="s">
        <v>1795</v>
      </c>
      <c r="G492" s="58" t="s">
        <v>1041</v>
      </c>
      <c r="H492" s="546">
        <v>30590</v>
      </c>
      <c r="I492" s="66">
        <v>44869</v>
      </c>
      <c r="J492" s="65" t="s">
        <v>1113</v>
      </c>
      <c r="K492" s="58"/>
      <c r="M492" s="70" t="s">
        <v>1782</v>
      </c>
      <c r="N492" s="97" t="s">
        <v>1044</v>
      </c>
      <c r="O492" s="58"/>
      <c r="P492" s="58" t="s">
        <v>26</v>
      </c>
      <c r="Q492" s="58" t="s">
        <v>29</v>
      </c>
      <c r="R492" s="58" t="s">
        <v>272</v>
      </c>
    </row>
    <row r="493" spans="1:18" ht="69" customHeight="1">
      <c r="A493" s="168"/>
      <c r="B493" s="178">
        <v>7588</v>
      </c>
      <c r="C493" s="178" t="s">
        <v>309</v>
      </c>
      <c r="D493" s="575" t="s">
        <v>1796</v>
      </c>
      <c r="E493" s="178" t="s">
        <v>1046</v>
      </c>
      <c r="F493" s="210" t="s">
        <v>1797</v>
      </c>
      <c r="G493" s="58" t="s">
        <v>1048</v>
      </c>
      <c r="H493" s="546">
        <v>15040</v>
      </c>
      <c r="I493" s="66">
        <v>44890</v>
      </c>
      <c r="J493" s="65" t="s">
        <v>1785</v>
      </c>
      <c r="K493" s="58"/>
      <c r="L493" s="99"/>
      <c r="M493" s="70" t="s">
        <v>1772</v>
      </c>
      <c r="N493" s="97" t="s">
        <v>414</v>
      </c>
      <c r="O493" s="58"/>
      <c r="P493" s="58" t="s">
        <v>24</v>
      </c>
      <c r="Q493" s="58" t="s">
        <v>29</v>
      </c>
      <c r="R493" s="58" t="s">
        <v>265</v>
      </c>
    </row>
    <row r="494" spans="1:18" ht="69" customHeight="1">
      <c r="A494" s="168"/>
      <c r="B494" s="178">
        <v>7394</v>
      </c>
      <c r="C494" s="178" t="s">
        <v>309</v>
      </c>
      <c r="D494" s="575" t="s">
        <v>1798</v>
      </c>
      <c r="E494" s="178" t="s">
        <v>331</v>
      </c>
      <c r="F494" s="210" t="s">
        <v>1799</v>
      </c>
      <c r="G494" s="58" t="s">
        <v>1121</v>
      </c>
      <c r="H494" s="546">
        <f>48276.52*0.7+523</f>
        <v>34316.563999999998</v>
      </c>
      <c r="I494" s="66">
        <v>44876</v>
      </c>
      <c r="J494" s="65" t="s">
        <v>1122</v>
      </c>
      <c r="K494" s="58" t="s">
        <v>1800</v>
      </c>
      <c r="L494" s="99"/>
      <c r="M494" s="70" t="s">
        <v>1655</v>
      </c>
      <c r="N494" s="97" t="s">
        <v>270</v>
      </c>
      <c r="O494" s="58" t="s">
        <v>1768</v>
      </c>
      <c r="P494" s="58" t="s">
        <v>53</v>
      </c>
      <c r="Q494" s="58" t="s">
        <v>29</v>
      </c>
      <c r="R494" s="58" t="s">
        <v>272</v>
      </c>
    </row>
    <row r="495" spans="1:18" ht="69" customHeight="1">
      <c r="A495" s="168"/>
      <c r="B495" s="178">
        <v>7630</v>
      </c>
      <c r="C495" s="178" t="s">
        <v>309</v>
      </c>
      <c r="D495" s="575" t="s">
        <v>1801</v>
      </c>
      <c r="E495" s="178" t="s">
        <v>979</v>
      </c>
      <c r="F495" s="210" t="s">
        <v>1802</v>
      </c>
      <c r="G495" s="58" t="s">
        <v>1803</v>
      </c>
      <c r="H495" s="546">
        <v>380000</v>
      </c>
      <c r="I495" s="66">
        <v>44897</v>
      </c>
      <c r="J495" s="65" t="s">
        <v>1804</v>
      </c>
      <c r="K495" s="58"/>
      <c r="M495" s="70" t="s">
        <v>1724</v>
      </c>
      <c r="N495" s="97" t="s">
        <v>356</v>
      </c>
      <c r="O495" s="58" t="s">
        <v>1805</v>
      </c>
      <c r="P495" s="58" t="s">
        <v>19</v>
      </c>
      <c r="Q495" s="58" t="s">
        <v>29</v>
      </c>
      <c r="R495" s="58" t="s">
        <v>265</v>
      </c>
    </row>
    <row r="496" spans="1:18" ht="69" customHeight="1">
      <c r="A496" s="168"/>
      <c r="B496" s="178">
        <v>7567</v>
      </c>
      <c r="C496" s="178" t="s">
        <v>309</v>
      </c>
      <c r="D496" s="575" t="s">
        <v>1806</v>
      </c>
      <c r="E496" s="178" t="s">
        <v>1044</v>
      </c>
      <c r="F496" s="210" t="s">
        <v>1807</v>
      </c>
      <c r="G496" s="58" t="s">
        <v>1041</v>
      </c>
      <c r="H496" s="546">
        <v>8680</v>
      </c>
      <c r="I496" s="66">
        <v>44904</v>
      </c>
      <c r="J496" s="65" t="s">
        <v>1080</v>
      </c>
      <c r="K496" s="58"/>
      <c r="M496" s="70" t="s">
        <v>1782</v>
      </c>
      <c r="N496" s="97" t="s">
        <v>1044</v>
      </c>
      <c r="O496" s="58"/>
      <c r="P496" s="58" t="s">
        <v>26</v>
      </c>
      <c r="Q496" s="58" t="s">
        <v>29</v>
      </c>
      <c r="R496" s="58" t="s">
        <v>272</v>
      </c>
    </row>
    <row r="497" spans="1:18" ht="69" customHeight="1">
      <c r="A497" s="168"/>
      <c r="B497" s="178">
        <v>7573</v>
      </c>
      <c r="C497" s="178" t="s">
        <v>309</v>
      </c>
      <c r="D497" s="575" t="s">
        <v>1808</v>
      </c>
      <c r="E497" s="178" t="s">
        <v>1759</v>
      </c>
      <c r="F497" s="210" t="s">
        <v>1809</v>
      </c>
      <c r="G497" s="58" t="s">
        <v>1076</v>
      </c>
      <c r="H497" s="546">
        <v>66541.8</v>
      </c>
      <c r="I497" s="66">
        <v>44893</v>
      </c>
      <c r="J497" s="65" t="s">
        <v>1077</v>
      </c>
      <c r="K497" s="58"/>
      <c r="M497" s="70" t="s">
        <v>1763</v>
      </c>
      <c r="N497" s="97" t="s">
        <v>414</v>
      </c>
      <c r="O497" s="58"/>
      <c r="P497" s="58" t="s">
        <v>24</v>
      </c>
      <c r="Q497" s="58" t="s">
        <v>29</v>
      </c>
      <c r="R497" s="58" t="s">
        <v>272</v>
      </c>
    </row>
    <row r="498" spans="1:18" ht="69" customHeight="1">
      <c r="A498" s="168"/>
      <c r="B498" s="178">
        <v>7672</v>
      </c>
      <c r="C498" s="178" t="s">
        <v>309</v>
      </c>
      <c r="D498" s="575" t="s">
        <v>1810</v>
      </c>
      <c r="E498" s="178" t="s">
        <v>1046</v>
      </c>
      <c r="F498" s="210" t="s">
        <v>1811</v>
      </c>
      <c r="G498" s="58" t="s">
        <v>1085</v>
      </c>
      <c r="H498" s="546">
        <v>34800</v>
      </c>
      <c r="I498" s="66">
        <v>44900</v>
      </c>
      <c r="J498" s="65" t="s">
        <v>1086</v>
      </c>
      <c r="K498" s="58"/>
      <c r="M498" s="70" t="s">
        <v>1772</v>
      </c>
      <c r="N498" s="97" t="s">
        <v>414</v>
      </c>
      <c r="O498" s="58"/>
      <c r="P498" s="58" t="s">
        <v>24</v>
      </c>
      <c r="Q498" s="58" t="s">
        <v>29</v>
      </c>
      <c r="R498" s="58" t="s">
        <v>265</v>
      </c>
    </row>
    <row r="499" spans="1:18" ht="69" customHeight="1">
      <c r="A499" s="168"/>
      <c r="B499" s="178">
        <v>7679</v>
      </c>
      <c r="C499" s="178" t="s">
        <v>309</v>
      </c>
      <c r="D499" s="575" t="s">
        <v>1812</v>
      </c>
      <c r="E499" s="178" t="s">
        <v>1046</v>
      </c>
      <c r="F499" s="210" t="s">
        <v>1813</v>
      </c>
      <c r="G499" s="58" t="s">
        <v>1069</v>
      </c>
      <c r="H499" s="546">
        <v>156473.85999999999</v>
      </c>
      <c r="I499" s="66">
        <v>44902</v>
      </c>
      <c r="J499" s="65" t="s">
        <v>1070</v>
      </c>
      <c r="K499" s="58"/>
      <c r="M499" s="70" t="s">
        <v>1772</v>
      </c>
      <c r="N499" s="97" t="s">
        <v>414</v>
      </c>
      <c r="O499" s="58"/>
      <c r="P499" s="58" t="s">
        <v>24</v>
      </c>
      <c r="Q499" s="58" t="s">
        <v>29</v>
      </c>
      <c r="R499" s="58" t="s">
        <v>265</v>
      </c>
    </row>
    <row r="500" spans="1:18" ht="69" customHeight="1">
      <c r="A500" s="168"/>
      <c r="B500" s="178">
        <v>7756</v>
      </c>
      <c r="C500" s="178" t="s">
        <v>309</v>
      </c>
      <c r="D500" s="575" t="s">
        <v>1814</v>
      </c>
      <c r="E500" s="178" t="s">
        <v>1046</v>
      </c>
      <c r="F500" s="210" t="s">
        <v>1815</v>
      </c>
      <c r="G500" s="58" t="s">
        <v>1816</v>
      </c>
      <c r="H500" s="546">
        <v>28000</v>
      </c>
      <c r="I500" s="66">
        <v>44909</v>
      </c>
      <c r="J500" s="65" t="s">
        <v>1126</v>
      </c>
      <c r="K500" s="58"/>
      <c r="M500" s="70" t="s">
        <v>1772</v>
      </c>
      <c r="N500" s="97" t="s">
        <v>414</v>
      </c>
      <c r="O500" s="58"/>
      <c r="P500" s="58" t="s">
        <v>24</v>
      </c>
      <c r="Q500" s="58" t="s">
        <v>29</v>
      </c>
      <c r="R500" s="58" t="s">
        <v>265</v>
      </c>
    </row>
    <row r="501" spans="1:18" ht="69" customHeight="1">
      <c r="A501" s="168"/>
      <c r="B501" s="178">
        <v>8021</v>
      </c>
      <c r="C501" s="178" t="s">
        <v>309</v>
      </c>
      <c r="D501" s="575" t="s">
        <v>1817</v>
      </c>
      <c r="E501" s="178" t="s">
        <v>1046</v>
      </c>
      <c r="F501" s="210" t="s">
        <v>1818</v>
      </c>
      <c r="G501" s="58" t="s">
        <v>1819</v>
      </c>
      <c r="H501" s="546">
        <v>24360</v>
      </c>
      <c r="I501" s="66">
        <v>44909</v>
      </c>
      <c r="J501" s="65" t="s">
        <v>1820</v>
      </c>
      <c r="K501" s="58"/>
      <c r="M501" s="70" t="s">
        <v>1772</v>
      </c>
      <c r="N501" s="97" t="s">
        <v>414</v>
      </c>
      <c r="O501" s="58"/>
      <c r="P501" s="58" t="s">
        <v>24</v>
      </c>
      <c r="Q501" s="58" t="s">
        <v>29</v>
      </c>
      <c r="R501" s="58" t="s">
        <v>265</v>
      </c>
    </row>
    <row r="502" spans="1:18" ht="69" customHeight="1">
      <c r="A502" s="168"/>
      <c r="B502" s="178">
        <v>8022</v>
      </c>
      <c r="C502" s="178" t="s">
        <v>309</v>
      </c>
      <c r="D502" s="575" t="s">
        <v>1821</v>
      </c>
      <c r="E502" s="178" t="s">
        <v>1046</v>
      </c>
      <c r="F502" s="210" t="s">
        <v>1822</v>
      </c>
      <c r="G502" s="58" t="s">
        <v>1823</v>
      </c>
      <c r="H502" s="546">
        <v>6090</v>
      </c>
      <c r="I502" s="66">
        <v>44909</v>
      </c>
      <c r="J502" s="65" t="s">
        <v>1820</v>
      </c>
      <c r="K502" s="58"/>
      <c r="M502" s="70" t="s">
        <v>1772</v>
      </c>
      <c r="N502" s="97" t="s">
        <v>414</v>
      </c>
      <c r="O502" s="58"/>
      <c r="P502" s="58" t="s">
        <v>24</v>
      </c>
      <c r="Q502" s="58" t="s">
        <v>29</v>
      </c>
      <c r="R502" s="58" t="s">
        <v>265</v>
      </c>
    </row>
    <row r="503" spans="1:18" ht="69" customHeight="1">
      <c r="A503" s="168"/>
      <c r="B503" s="178">
        <v>8145</v>
      </c>
      <c r="C503" s="178" t="s">
        <v>309</v>
      </c>
      <c r="D503" s="575" t="s">
        <v>1824</v>
      </c>
      <c r="E503" s="178" t="s">
        <v>1046</v>
      </c>
      <c r="F503" s="210" t="s">
        <v>1825</v>
      </c>
      <c r="G503" s="58" t="s">
        <v>1145</v>
      </c>
      <c r="H503" s="546">
        <v>34800</v>
      </c>
      <c r="I503" s="66">
        <v>44914</v>
      </c>
      <c r="J503" s="65" t="s">
        <v>1146</v>
      </c>
      <c r="K503" s="58"/>
      <c r="M503" s="70" t="s">
        <v>1772</v>
      </c>
      <c r="N503" s="97" t="s">
        <v>414</v>
      </c>
      <c r="O503" s="58"/>
      <c r="P503" s="58" t="s">
        <v>24</v>
      </c>
      <c r="Q503" s="58" t="s">
        <v>29</v>
      </c>
      <c r="R503" s="58" t="s">
        <v>265</v>
      </c>
    </row>
    <row r="504" spans="1:18" ht="69" customHeight="1">
      <c r="A504" s="168"/>
      <c r="B504" s="178">
        <v>6910</v>
      </c>
      <c r="C504" s="178" t="s">
        <v>309</v>
      </c>
      <c r="D504" s="575" t="s">
        <v>1826</v>
      </c>
      <c r="E504" s="178" t="s">
        <v>266</v>
      </c>
      <c r="F504" s="210" t="s">
        <v>1827</v>
      </c>
      <c r="G504" s="58" t="s">
        <v>1053</v>
      </c>
      <c r="H504" s="546">
        <v>5810</v>
      </c>
      <c r="I504" s="66">
        <v>44844</v>
      </c>
      <c r="J504" s="65" t="s">
        <v>1828</v>
      </c>
      <c r="K504" s="58"/>
      <c r="M504" s="70" t="s">
        <v>1655</v>
      </c>
      <c r="N504" s="97" t="s">
        <v>270</v>
      </c>
      <c r="O504" s="58"/>
      <c r="P504" s="58" t="s">
        <v>44</v>
      </c>
      <c r="Q504" s="58" t="s">
        <v>29</v>
      </c>
      <c r="R504" s="58" t="s">
        <v>272</v>
      </c>
    </row>
    <row r="505" spans="1:18" ht="69" customHeight="1">
      <c r="A505" s="168"/>
      <c r="B505" s="178">
        <v>7553</v>
      </c>
      <c r="C505" s="178" t="s">
        <v>309</v>
      </c>
      <c r="D505" s="575" t="s">
        <v>1829</v>
      </c>
      <c r="E505" s="178" t="s">
        <v>552</v>
      </c>
      <c r="F505" s="210" t="s">
        <v>1830</v>
      </c>
      <c r="G505" s="58" t="s">
        <v>1107</v>
      </c>
      <c r="H505" s="546">
        <v>7293.34</v>
      </c>
      <c r="I505" s="66">
        <v>44893</v>
      </c>
      <c r="J505" s="65" t="s">
        <v>1831</v>
      </c>
      <c r="K505" s="58"/>
      <c r="L505" s="99"/>
      <c r="M505" s="70" t="s">
        <v>1720</v>
      </c>
      <c r="N505" s="97" t="s">
        <v>552</v>
      </c>
      <c r="O505" s="58" t="s">
        <v>971</v>
      </c>
      <c r="P505" s="58" t="s">
        <v>38</v>
      </c>
      <c r="Q505" s="58" t="s">
        <v>29</v>
      </c>
      <c r="R505" s="58" t="s">
        <v>272</v>
      </c>
    </row>
    <row r="506" spans="1:18" ht="69" customHeight="1">
      <c r="A506" s="168"/>
      <c r="B506" s="178">
        <v>7554</v>
      </c>
      <c r="C506" s="178" t="s">
        <v>309</v>
      </c>
      <c r="D506" s="575" t="s">
        <v>1832</v>
      </c>
      <c r="E506" s="178" t="s">
        <v>552</v>
      </c>
      <c r="F506" s="210" t="s">
        <v>1833</v>
      </c>
      <c r="G506" s="58" t="s">
        <v>1107</v>
      </c>
      <c r="H506" s="546">
        <v>7293.34</v>
      </c>
      <c r="I506" s="66">
        <v>44893</v>
      </c>
      <c r="J506" s="65" t="s">
        <v>1831</v>
      </c>
      <c r="K506" s="58"/>
      <c r="M506" s="70" t="s">
        <v>1720</v>
      </c>
      <c r="N506" s="97" t="s">
        <v>552</v>
      </c>
      <c r="O506" s="58" t="s">
        <v>971</v>
      </c>
      <c r="P506" s="58" t="s">
        <v>38</v>
      </c>
      <c r="Q506" s="58" t="s">
        <v>29</v>
      </c>
      <c r="R506" s="58" t="s">
        <v>272</v>
      </c>
    </row>
    <row r="507" spans="1:18" ht="69" customHeight="1">
      <c r="A507" s="168"/>
      <c r="B507" s="178">
        <v>8250</v>
      </c>
      <c r="C507" s="178" t="s">
        <v>309</v>
      </c>
      <c r="D507" s="575" t="s">
        <v>1834</v>
      </c>
      <c r="E507" s="178" t="s">
        <v>1046</v>
      </c>
      <c r="F507" s="210" t="s">
        <v>1835</v>
      </c>
      <c r="G507" s="58" t="s">
        <v>1133</v>
      </c>
      <c r="H507" s="546">
        <v>34800</v>
      </c>
      <c r="I507" s="66">
        <v>44921</v>
      </c>
      <c r="J507" s="65" t="s">
        <v>1134</v>
      </c>
      <c r="K507" s="58"/>
      <c r="L507" s="99"/>
      <c r="M507" s="70" t="s">
        <v>1772</v>
      </c>
      <c r="N507" s="97" t="s">
        <v>414</v>
      </c>
      <c r="O507" s="58"/>
      <c r="P507" s="58" t="s">
        <v>24</v>
      </c>
      <c r="Q507" s="58" t="s">
        <v>29</v>
      </c>
      <c r="R507" s="58" t="s">
        <v>265</v>
      </c>
    </row>
    <row r="508" spans="1:18" ht="69" customHeight="1">
      <c r="A508" s="168"/>
      <c r="B508" s="178">
        <v>8339</v>
      </c>
      <c r="C508" s="178" t="s">
        <v>309</v>
      </c>
      <c r="D508" s="575" t="s">
        <v>1836</v>
      </c>
      <c r="E508" s="178" t="s">
        <v>979</v>
      </c>
      <c r="F508" s="210" t="s">
        <v>1837</v>
      </c>
      <c r="G508" s="58" t="s">
        <v>1838</v>
      </c>
      <c r="H508" s="546">
        <v>16311.94</v>
      </c>
      <c r="I508" s="66">
        <v>44938</v>
      </c>
      <c r="J508" s="65" t="s">
        <v>1839</v>
      </c>
      <c r="K508" s="58"/>
      <c r="M508" s="70" t="s">
        <v>1724</v>
      </c>
      <c r="N508" s="97" t="s">
        <v>356</v>
      </c>
      <c r="O508" s="58" t="s">
        <v>1840</v>
      </c>
      <c r="P508" s="58" t="s">
        <v>19</v>
      </c>
      <c r="Q508" s="58" t="s">
        <v>29</v>
      </c>
      <c r="R508" s="58" t="s">
        <v>265</v>
      </c>
    </row>
    <row r="509" spans="1:18" ht="69" customHeight="1">
      <c r="A509" s="168"/>
      <c r="B509" s="178">
        <v>8340</v>
      </c>
      <c r="C509" s="178" t="s">
        <v>309</v>
      </c>
      <c r="D509" s="575" t="s">
        <v>1841</v>
      </c>
      <c r="E509" s="178" t="s">
        <v>979</v>
      </c>
      <c r="F509" s="210" t="s">
        <v>1842</v>
      </c>
      <c r="G509" s="58" t="s">
        <v>1838</v>
      </c>
      <c r="H509" s="546">
        <v>177609.7</v>
      </c>
      <c r="I509" s="66">
        <v>44938</v>
      </c>
      <c r="J509" s="65" t="s">
        <v>1839</v>
      </c>
      <c r="K509" s="58"/>
      <c r="M509" s="70" t="s">
        <v>1724</v>
      </c>
      <c r="N509" s="97" t="s">
        <v>356</v>
      </c>
      <c r="O509" s="58" t="s">
        <v>1840</v>
      </c>
      <c r="P509" s="58" t="s">
        <v>19</v>
      </c>
      <c r="Q509" s="58" t="s">
        <v>29</v>
      </c>
      <c r="R509" s="58" t="s">
        <v>265</v>
      </c>
    </row>
    <row r="510" spans="1:18" ht="69" customHeight="1">
      <c r="A510" s="168"/>
      <c r="B510" s="191">
        <v>8353</v>
      </c>
      <c r="C510" s="191" t="s">
        <v>309</v>
      </c>
      <c r="D510" s="533" t="s">
        <v>1843</v>
      </c>
      <c r="E510" s="191" t="s">
        <v>1046</v>
      </c>
      <c r="F510" s="211" t="s">
        <v>1844</v>
      </c>
      <c r="G510" s="46" t="s">
        <v>1168</v>
      </c>
      <c r="H510" s="534">
        <v>11239.02</v>
      </c>
      <c r="I510" s="56">
        <v>44923</v>
      </c>
      <c r="J510" s="199" t="s">
        <v>1169</v>
      </c>
      <c r="K510" s="46" t="s">
        <v>881</v>
      </c>
      <c r="M510" s="379"/>
      <c r="N510" s="76" t="s">
        <v>414</v>
      </c>
      <c r="O510" s="46"/>
      <c r="P510" s="46" t="s">
        <v>71</v>
      </c>
      <c r="Q510" s="46" t="s">
        <v>29</v>
      </c>
      <c r="R510" s="46" t="s">
        <v>272</v>
      </c>
    </row>
    <row r="511" spans="1:18" ht="69" customHeight="1">
      <c r="A511" s="168"/>
      <c r="B511" s="178">
        <v>7201</v>
      </c>
      <c r="C511" s="178" t="s">
        <v>309</v>
      </c>
      <c r="D511" s="575" t="s">
        <v>1845</v>
      </c>
      <c r="E511" s="178" t="s">
        <v>1046</v>
      </c>
      <c r="F511" s="210" t="s">
        <v>1846</v>
      </c>
      <c r="G511" s="58" t="s">
        <v>1847</v>
      </c>
      <c r="H511" s="546">
        <v>38400</v>
      </c>
      <c r="I511" s="66">
        <v>44862</v>
      </c>
      <c r="J511" s="65" t="s">
        <v>1848</v>
      </c>
      <c r="K511" s="58"/>
      <c r="M511" s="70" t="s">
        <v>1772</v>
      </c>
      <c r="N511" s="97" t="s">
        <v>414</v>
      </c>
      <c r="O511" s="58"/>
      <c r="P511" s="58" t="s">
        <v>24</v>
      </c>
      <c r="Q511" s="58" t="s">
        <v>29</v>
      </c>
      <c r="R511" s="58" t="s">
        <v>265</v>
      </c>
    </row>
    <row r="512" spans="1:18" ht="69" customHeight="1">
      <c r="A512" s="168"/>
      <c r="B512" s="178">
        <v>8199</v>
      </c>
      <c r="C512" s="178" t="s">
        <v>309</v>
      </c>
      <c r="D512" s="575" t="s">
        <v>1849</v>
      </c>
      <c r="E512" s="178" t="s">
        <v>1759</v>
      </c>
      <c r="F512" s="210" t="s">
        <v>1850</v>
      </c>
      <c r="G512" s="58" t="s">
        <v>1223</v>
      </c>
      <c r="H512" s="546">
        <v>211264.32</v>
      </c>
      <c r="I512" s="66">
        <v>44921</v>
      </c>
      <c r="J512" s="65" t="s">
        <v>1224</v>
      </c>
      <c r="K512" s="58"/>
      <c r="M512" s="70" t="s">
        <v>1763</v>
      </c>
      <c r="N512" s="97" t="s">
        <v>414</v>
      </c>
      <c r="O512" s="58"/>
      <c r="P512" s="58" t="s">
        <v>24</v>
      </c>
      <c r="Q512" s="58" t="s">
        <v>29</v>
      </c>
      <c r="R512" s="58" t="s">
        <v>272</v>
      </c>
    </row>
    <row r="513" spans="1:18" ht="69" customHeight="1">
      <c r="A513" s="168"/>
      <c r="B513" s="178">
        <v>7597</v>
      </c>
      <c r="C513" s="178" t="s">
        <v>309</v>
      </c>
      <c r="D513" s="575" t="s">
        <v>1851</v>
      </c>
      <c r="E513" s="178" t="s">
        <v>266</v>
      </c>
      <c r="F513" s="210" t="s">
        <v>1852</v>
      </c>
      <c r="G513" s="58" t="s">
        <v>392</v>
      </c>
      <c r="H513" s="546">
        <v>1150</v>
      </c>
      <c r="I513" s="66">
        <v>44895</v>
      </c>
      <c r="J513" s="65" t="s">
        <v>457</v>
      </c>
      <c r="K513" s="58"/>
      <c r="M513" s="70" t="s">
        <v>1655</v>
      </c>
      <c r="N513" s="97" t="s">
        <v>270</v>
      </c>
      <c r="O513" s="58"/>
      <c r="P513" s="58" t="s">
        <v>44</v>
      </c>
      <c r="Q513" s="58" t="s">
        <v>29</v>
      </c>
      <c r="R513" s="58" t="s">
        <v>272</v>
      </c>
    </row>
    <row r="514" spans="1:18" ht="69" customHeight="1">
      <c r="A514" s="168"/>
      <c r="B514" s="178">
        <v>8069</v>
      </c>
      <c r="C514" s="178" t="s">
        <v>1853</v>
      </c>
      <c r="D514" s="575" t="s">
        <v>1854</v>
      </c>
      <c r="E514" s="178" t="s">
        <v>266</v>
      </c>
      <c r="F514" s="210" t="s">
        <v>1855</v>
      </c>
      <c r="G514" s="58" t="s">
        <v>453</v>
      </c>
      <c r="H514" s="546">
        <v>1000</v>
      </c>
      <c r="I514" s="66">
        <v>44911</v>
      </c>
      <c r="J514" s="65" t="s">
        <v>454</v>
      </c>
      <c r="K514" s="58"/>
      <c r="M514" s="70" t="s">
        <v>1655</v>
      </c>
      <c r="N514" s="97" t="s">
        <v>270</v>
      </c>
      <c r="O514" s="58"/>
      <c r="P514" s="58" t="s">
        <v>44</v>
      </c>
      <c r="Q514" s="58" t="s">
        <v>29</v>
      </c>
      <c r="R514" s="58" t="s">
        <v>272</v>
      </c>
    </row>
    <row r="515" spans="1:18" ht="69" customHeight="1">
      <c r="A515" s="168"/>
      <c r="B515" s="178">
        <v>8249</v>
      </c>
      <c r="C515" s="178" t="s">
        <v>309</v>
      </c>
      <c r="D515" s="575" t="s">
        <v>1856</v>
      </c>
      <c r="E515" s="178" t="s">
        <v>1046</v>
      </c>
      <c r="F515" s="210" t="s">
        <v>1857</v>
      </c>
      <c r="G515" s="58" t="s">
        <v>1133</v>
      </c>
      <c r="H515" s="546">
        <v>37333.33</v>
      </c>
      <c r="I515" s="66">
        <v>44921</v>
      </c>
      <c r="J515" s="65" t="s">
        <v>1134</v>
      </c>
      <c r="K515" s="58"/>
      <c r="M515" s="70" t="s">
        <v>1772</v>
      </c>
      <c r="N515" s="97" t="s">
        <v>414</v>
      </c>
      <c r="O515" s="58"/>
      <c r="P515" s="58" t="s">
        <v>24</v>
      </c>
      <c r="Q515" s="58" t="s">
        <v>29</v>
      </c>
      <c r="R515" s="58" t="s">
        <v>265</v>
      </c>
    </row>
    <row r="516" spans="1:18" ht="69" customHeight="1">
      <c r="A516" s="168"/>
      <c r="B516" s="178">
        <v>7129</v>
      </c>
      <c r="C516" s="178" t="s">
        <v>309</v>
      </c>
      <c r="D516" s="575" t="s">
        <v>1858</v>
      </c>
      <c r="E516" s="178" t="s">
        <v>1046</v>
      </c>
      <c r="F516" s="210" t="s">
        <v>1859</v>
      </c>
      <c r="G516" s="58" t="s">
        <v>1048</v>
      </c>
      <c r="H516" s="546">
        <v>10389.4</v>
      </c>
      <c r="I516" s="66">
        <v>44855</v>
      </c>
      <c r="J516" s="65" t="s">
        <v>1860</v>
      </c>
      <c r="K516" s="58"/>
      <c r="M516" s="70" t="s">
        <v>1772</v>
      </c>
      <c r="N516" s="97" t="s">
        <v>414</v>
      </c>
      <c r="O516" s="58"/>
      <c r="P516" s="58" t="s">
        <v>24</v>
      </c>
      <c r="Q516" s="58" t="s">
        <v>29</v>
      </c>
      <c r="R516" s="58" t="s">
        <v>265</v>
      </c>
    </row>
    <row r="517" spans="1:18" ht="69" customHeight="1">
      <c r="A517" s="168"/>
      <c r="B517" s="178">
        <v>7200</v>
      </c>
      <c r="C517" s="178" t="s">
        <v>309</v>
      </c>
      <c r="D517" s="575" t="s">
        <v>1861</v>
      </c>
      <c r="E517" s="178" t="s">
        <v>1046</v>
      </c>
      <c r="F517" s="210" t="s">
        <v>1862</v>
      </c>
      <c r="G517" s="58" t="s">
        <v>1863</v>
      </c>
      <c r="H517" s="546">
        <v>9600</v>
      </c>
      <c r="I517" s="66">
        <v>44862</v>
      </c>
      <c r="J517" s="65" t="s">
        <v>1848</v>
      </c>
      <c r="K517" s="58"/>
      <c r="M517" s="70" t="s">
        <v>1772</v>
      </c>
      <c r="N517" s="97" t="s">
        <v>414</v>
      </c>
      <c r="O517" s="58"/>
      <c r="P517" s="58" t="s">
        <v>24</v>
      </c>
      <c r="Q517" s="58" t="s">
        <v>29</v>
      </c>
      <c r="R517" s="58" t="s">
        <v>265</v>
      </c>
    </row>
    <row r="518" spans="1:18" ht="69" customHeight="1">
      <c r="A518" s="168"/>
      <c r="B518" s="178">
        <v>8207</v>
      </c>
      <c r="C518" s="178" t="s">
        <v>309</v>
      </c>
      <c r="D518" s="575" t="s">
        <v>1864</v>
      </c>
      <c r="E518" s="178" t="s">
        <v>1759</v>
      </c>
      <c r="F518" s="210" t="s">
        <v>1865</v>
      </c>
      <c r="G518" s="58" t="s">
        <v>1223</v>
      </c>
      <c r="H518" s="546">
        <v>224580.47</v>
      </c>
      <c r="I518" s="66">
        <v>44921</v>
      </c>
      <c r="J518" s="65" t="s">
        <v>1224</v>
      </c>
      <c r="K518" s="58"/>
      <c r="M518" s="70" t="s">
        <v>1763</v>
      </c>
      <c r="N518" s="97" t="s">
        <v>414</v>
      </c>
      <c r="O518" s="58"/>
      <c r="P518" s="58" t="s">
        <v>24</v>
      </c>
      <c r="Q518" s="58" t="s">
        <v>29</v>
      </c>
      <c r="R518" s="58" t="s">
        <v>272</v>
      </c>
    </row>
    <row r="519" spans="1:18" ht="69" customHeight="1">
      <c r="A519" s="168"/>
      <c r="B519" s="178">
        <v>8804</v>
      </c>
      <c r="C519" s="178" t="s">
        <v>309</v>
      </c>
      <c r="D519" s="575" t="s">
        <v>1866</v>
      </c>
      <c r="E519" s="178" t="s">
        <v>1759</v>
      </c>
      <c r="F519" s="210" t="s">
        <v>1867</v>
      </c>
      <c r="G519" s="58" t="s">
        <v>1868</v>
      </c>
      <c r="H519" s="546">
        <v>217369.88</v>
      </c>
      <c r="I519" s="66">
        <v>44953</v>
      </c>
      <c r="J519" s="65" t="s">
        <v>1130</v>
      </c>
      <c r="K519" s="58"/>
      <c r="M519" s="70" t="s">
        <v>1763</v>
      </c>
      <c r="N519" s="97" t="s">
        <v>414</v>
      </c>
      <c r="O519" s="58"/>
      <c r="P519" s="58" t="s">
        <v>24</v>
      </c>
      <c r="Q519" s="58" t="s">
        <v>29</v>
      </c>
      <c r="R519" s="58" t="s">
        <v>272</v>
      </c>
    </row>
    <row r="520" spans="1:18" ht="69" customHeight="1">
      <c r="A520" s="168"/>
      <c r="B520" s="178">
        <v>6956</v>
      </c>
      <c r="C520" s="178" t="s">
        <v>309</v>
      </c>
      <c r="D520" s="575" t="s">
        <v>1869</v>
      </c>
      <c r="E520" s="178" t="s">
        <v>979</v>
      </c>
      <c r="F520" s="210" t="s">
        <v>1870</v>
      </c>
      <c r="G520" s="58" t="s">
        <v>805</v>
      </c>
      <c r="H520" s="546">
        <v>118860</v>
      </c>
      <c r="I520" s="66">
        <v>44851</v>
      </c>
      <c r="J520" s="65" t="s">
        <v>1871</v>
      </c>
      <c r="K520" s="58"/>
      <c r="M520" s="70" t="s">
        <v>1724</v>
      </c>
      <c r="N520" s="97" t="s">
        <v>356</v>
      </c>
      <c r="O520" s="58" t="s">
        <v>1872</v>
      </c>
      <c r="P520" s="58" t="s">
        <v>19</v>
      </c>
      <c r="Q520" s="58" t="s">
        <v>29</v>
      </c>
      <c r="R520" s="58" t="s">
        <v>265</v>
      </c>
    </row>
    <row r="521" spans="1:18" ht="69" customHeight="1">
      <c r="A521" s="168"/>
      <c r="B521" s="191">
        <v>8935</v>
      </c>
      <c r="C521" s="191" t="s">
        <v>309</v>
      </c>
      <c r="D521" s="533" t="s">
        <v>1873</v>
      </c>
      <c r="E521" s="191" t="s">
        <v>1046</v>
      </c>
      <c r="F521" s="211" t="s">
        <v>1874</v>
      </c>
      <c r="G521" s="46" t="s">
        <v>1216</v>
      </c>
      <c r="H521" s="534">
        <v>11239.02</v>
      </c>
      <c r="I521" s="56">
        <v>44986</v>
      </c>
      <c r="J521" s="199" t="s">
        <v>1217</v>
      </c>
      <c r="K521" s="46" t="s">
        <v>881</v>
      </c>
      <c r="M521" s="379"/>
      <c r="N521" s="76" t="s">
        <v>414</v>
      </c>
      <c r="O521" s="46"/>
      <c r="P521" s="46" t="s">
        <v>71</v>
      </c>
      <c r="Q521" s="46" t="s">
        <v>29</v>
      </c>
      <c r="R521" s="46" t="s">
        <v>272</v>
      </c>
    </row>
    <row r="522" spans="1:18" ht="69" customHeight="1">
      <c r="A522" s="168"/>
      <c r="B522" s="178">
        <v>8565</v>
      </c>
      <c r="C522" s="178" t="s">
        <v>309</v>
      </c>
      <c r="D522" s="575" t="s">
        <v>1875</v>
      </c>
      <c r="E522" s="178" t="s">
        <v>1044</v>
      </c>
      <c r="F522" s="210" t="s">
        <v>1876</v>
      </c>
      <c r="G522" s="58" t="s">
        <v>1877</v>
      </c>
      <c r="H522" s="546">
        <v>12615.3</v>
      </c>
      <c r="I522" s="66">
        <v>44946</v>
      </c>
      <c r="J522" s="65" t="s">
        <v>1878</v>
      </c>
      <c r="K522" s="58"/>
      <c r="M522" s="70" t="s">
        <v>1782</v>
      </c>
      <c r="N522" s="97" t="s">
        <v>1044</v>
      </c>
      <c r="O522" s="58"/>
      <c r="P522" s="58" t="s">
        <v>26</v>
      </c>
      <c r="Q522" s="58" t="s">
        <v>29</v>
      </c>
      <c r="R522" s="58" t="s">
        <v>272</v>
      </c>
    </row>
    <row r="523" spans="1:18" ht="69" customHeight="1">
      <c r="A523" s="168"/>
      <c r="B523" s="178">
        <v>8045</v>
      </c>
      <c r="C523" s="178" t="s">
        <v>309</v>
      </c>
      <c r="D523" s="575" t="s">
        <v>1879</v>
      </c>
      <c r="E523" s="178" t="s">
        <v>1046</v>
      </c>
      <c r="F523" s="210" t="s">
        <v>1880</v>
      </c>
      <c r="G523" s="58" t="s">
        <v>1881</v>
      </c>
      <c r="H523" s="546">
        <v>28000</v>
      </c>
      <c r="I523" s="66">
        <v>44939</v>
      </c>
      <c r="J523" s="65" t="s">
        <v>1882</v>
      </c>
      <c r="K523" s="58"/>
      <c r="L523" s="99"/>
      <c r="M523" s="70" t="s">
        <v>1772</v>
      </c>
      <c r="N523" s="97" t="s">
        <v>414</v>
      </c>
      <c r="O523" s="58"/>
      <c r="P523" s="58" t="s">
        <v>24</v>
      </c>
      <c r="Q523" s="58" t="s">
        <v>29</v>
      </c>
      <c r="R523" s="58" t="s">
        <v>265</v>
      </c>
    </row>
    <row r="524" spans="1:18" ht="69" customHeight="1">
      <c r="A524" s="168"/>
      <c r="B524" s="191">
        <v>8606</v>
      </c>
      <c r="C524" s="191" t="s">
        <v>309</v>
      </c>
      <c r="D524" s="533" t="s">
        <v>1883</v>
      </c>
      <c r="E524" s="191" t="s">
        <v>1198</v>
      </c>
      <c r="F524" s="211" t="s">
        <v>1884</v>
      </c>
      <c r="G524" s="46" t="s">
        <v>1200</v>
      </c>
      <c r="H524" s="534">
        <v>11239.02</v>
      </c>
      <c r="I524" s="56">
        <v>44946</v>
      </c>
      <c r="J524" s="199" t="s">
        <v>1201</v>
      </c>
      <c r="K524" s="46" t="s">
        <v>881</v>
      </c>
      <c r="L524" s="99"/>
      <c r="M524" s="379"/>
      <c r="N524" s="76" t="s">
        <v>414</v>
      </c>
      <c r="O524" s="46"/>
      <c r="P524" s="46" t="s">
        <v>71</v>
      </c>
      <c r="Q524" s="46" t="s">
        <v>29</v>
      </c>
      <c r="R524" s="46" t="s">
        <v>272</v>
      </c>
    </row>
    <row r="525" spans="1:18" ht="69" customHeight="1">
      <c r="A525" s="168"/>
      <c r="B525" s="178">
        <v>8623</v>
      </c>
      <c r="C525" s="178" t="s">
        <v>309</v>
      </c>
      <c r="D525" s="575" t="s">
        <v>1885</v>
      </c>
      <c r="E525" s="178" t="s">
        <v>1046</v>
      </c>
      <c r="F525" s="210" t="s">
        <v>1886</v>
      </c>
      <c r="G525" s="58" t="s">
        <v>1188</v>
      </c>
      <c r="H525" s="546">
        <v>24000</v>
      </c>
      <c r="I525" s="66">
        <v>44946</v>
      </c>
      <c r="J525" s="65" t="s">
        <v>1887</v>
      </c>
      <c r="K525" s="58"/>
      <c r="L525" s="99"/>
      <c r="M525" s="70" t="s">
        <v>1772</v>
      </c>
      <c r="N525" s="97" t="s">
        <v>414</v>
      </c>
      <c r="O525" s="58"/>
      <c r="P525" s="58" t="s">
        <v>24</v>
      </c>
      <c r="Q525" s="58" t="s">
        <v>29</v>
      </c>
      <c r="R525" s="58" t="s">
        <v>265</v>
      </c>
    </row>
    <row r="526" spans="1:18" ht="69" customHeight="1">
      <c r="A526" s="168"/>
      <c r="B526" s="178">
        <v>8624</v>
      </c>
      <c r="C526" s="178" t="s">
        <v>309</v>
      </c>
      <c r="D526" s="575" t="s">
        <v>1888</v>
      </c>
      <c r="E526" s="178" t="s">
        <v>1046</v>
      </c>
      <c r="F526" s="210" t="s">
        <v>1889</v>
      </c>
      <c r="G526" s="58" t="s">
        <v>1192</v>
      </c>
      <c r="H526" s="546">
        <v>6000</v>
      </c>
      <c r="I526" s="66">
        <v>44946</v>
      </c>
      <c r="J526" s="65" t="s">
        <v>1887</v>
      </c>
      <c r="K526" s="58"/>
      <c r="L526" s="99"/>
      <c r="M526" s="70" t="s">
        <v>1772</v>
      </c>
      <c r="N526" s="97" t="s">
        <v>414</v>
      </c>
      <c r="O526" s="58"/>
      <c r="P526" s="58" t="s">
        <v>24</v>
      </c>
      <c r="Q526" s="58" t="s">
        <v>29</v>
      </c>
      <c r="R526" s="58" t="s">
        <v>265</v>
      </c>
    </row>
    <row r="527" spans="1:18" ht="69" customHeight="1">
      <c r="A527" s="168"/>
      <c r="B527" s="178">
        <v>8696</v>
      </c>
      <c r="C527" s="178" t="s">
        <v>309</v>
      </c>
      <c r="D527" s="575" t="s">
        <v>1890</v>
      </c>
      <c r="E527" s="178" t="s">
        <v>1046</v>
      </c>
      <c r="F527" s="210" t="s">
        <v>1891</v>
      </c>
      <c r="G527" s="58" t="s">
        <v>1204</v>
      </c>
      <c r="H527" s="546">
        <v>34800</v>
      </c>
      <c r="I527" s="66">
        <v>44949</v>
      </c>
      <c r="J527" s="65" t="s">
        <v>1205</v>
      </c>
      <c r="K527" s="58"/>
      <c r="L527" s="99"/>
      <c r="M527" s="70" t="s">
        <v>1772</v>
      </c>
      <c r="N527" s="97" t="s">
        <v>414</v>
      </c>
      <c r="O527" s="58"/>
      <c r="P527" s="58" t="s">
        <v>24</v>
      </c>
      <c r="Q527" s="58" t="s">
        <v>29</v>
      </c>
      <c r="R527" s="58" t="s">
        <v>265</v>
      </c>
    </row>
    <row r="528" spans="1:18" ht="69" customHeight="1">
      <c r="A528" s="168"/>
      <c r="B528" s="178">
        <v>8717</v>
      </c>
      <c r="C528" s="178" t="s">
        <v>309</v>
      </c>
      <c r="D528" s="575" t="s">
        <v>1892</v>
      </c>
      <c r="E528" s="178" t="s">
        <v>921</v>
      </c>
      <c r="F528" s="210" t="s">
        <v>1893</v>
      </c>
      <c r="G528" s="58" t="s">
        <v>1894</v>
      </c>
      <c r="H528" s="546">
        <v>200000</v>
      </c>
      <c r="I528" s="66">
        <v>44958</v>
      </c>
      <c r="J528" s="65" t="s">
        <v>1185</v>
      </c>
      <c r="K528" s="58"/>
      <c r="L528" s="99"/>
      <c r="M528" s="70" t="s">
        <v>1692</v>
      </c>
      <c r="N528" s="97" t="s">
        <v>356</v>
      </c>
      <c r="O528" s="58" t="s">
        <v>156</v>
      </c>
      <c r="P528" s="58" t="s">
        <v>19</v>
      </c>
      <c r="Q528" s="58" t="s">
        <v>29</v>
      </c>
      <c r="R528" s="58" t="s">
        <v>272</v>
      </c>
    </row>
    <row r="529" spans="1:18" ht="69" customHeight="1">
      <c r="A529" s="168"/>
      <c r="B529" s="178">
        <v>8799</v>
      </c>
      <c r="C529" s="178" t="s">
        <v>309</v>
      </c>
      <c r="D529" s="575" t="s">
        <v>1895</v>
      </c>
      <c r="E529" s="178" t="s">
        <v>1046</v>
      </c>
      <c r="F529" s="210" t="s">
        <v>1896</v>
      </c>
      <c r="G529" s="58" t="s">
        <v>1897</v>
      </c>
      <c r="H529" s="546">
        <v>78310.55</v>
      </c>
      <c r="I529" s="66">
        <v>44953</v>
      </c>
      <c r="J529" s="65" t="s">
        <v>1898</v>
      </c>
      <c r="K529" s="58"/>
      <c r="L529" s="99"/>
      <c r="M529" s="70" t="s">
        <v>1772</v>
      </c>
      <c r="N529" s="97" t="s">
        <v>414</v>
      </c>
      <c r="O529" s="58"/>
      <c r="P529" s="58" t="s">
        <v>24</v>
      </c>
      <c r="Q529" s="58" t="s">
        <v>29</v>
      </c>
      <c r="R529" s="58" t="s">
        <v>265</v>
      </c>
    </row>
    <row r="530" spans="1:18" ht="69" customHeight="1">
      <c r="A530" s="168"/>
      <c r="B530" s="178">
        <v>8930</v>
      </c>
      <c r="C530" s="178" t="s">
        <v>309</v>
      </c>
      <c r="D530" s="575" t="s">
        <v>1899</v>
      </c>
      <c r="E530" s="178" t="s">
        <v>979</v>
      </c>
      <c r="F530" s="210" t="s">
        <v>1900</v>
      </c>
      <c r="G530" s="58" t="s">
        <v>1901</v>
      </c>
      <c r="H530" s="546">
        <v>53950</v>
      </c>
      <c r="I530" s="66">
        <v>44985</v>
      </c>
      <c r="J530" s="65" t="s">
        <v>1902</v>
      </c>
      <c r="K530" s="58"/>
      <c r="L530" s="99"/>
      <c r="M530" s="70" t="s">
        <v>1724</v>
      </c>
      <c r="N530" s="97" t="s">
        <v>356</v>
      </c>
      <c r="O530" s="58" t="s">
        <v>1805</v>
      </c>
      <c r="P530" s="58" t="s">
        <v>19</v>
      </c>
      <c r="Q530" s="58" t="s">
        <v>29</v>
      </c>
      <c r="R530" s="58" t="s">
        <v>265</v>
      </c>
    </row>
    <row r="531" spans="1:18" ht="69" customHeight="1">
      <c r="A531" s="168"/>
      <c r="B531" s="178">
        <v>8931</v>
      </c>
      <c r="C531" s="178" t="s">
        <v>309</v>
      </c>
      <c r="D531" s="575" t="s">
        <v>1903</v>
      </c>
      <c r="E531" s="178" t="s">
        <v>979</v>
      </c>
      <c r="F531" s="210" t="s">
        <v>1904</v>
      </c>
      <c r="G531" s="58" t="s">
        <v>1905</v>
      </c>
      <c r="H531" s="546">
        <v>8500</v>
      </c>
      <c r="I531" s="66">
        <v>44985</v>
      </c>
      <c r="J531" s="65" t="s">
        <v>1902</v>
      </c>
      <c r="K531" s="58"/>
      <c r="L531" s="99"/>
      <c r="M531" s="70" t="s">
        <v>1724</v>
      </c>
      <c r="N531" s="97" t="s">
        <v>356</v>
      </c>
      <c r="O531" s="58" t="s">
        <v>1805</v>
      </c>
      <c r="P531" s="58" t="s">
        <v>19</v>
      </c>
      <c r="Q531" s="58" t="s">
        <v>29</v>
      </c>
      <c r="R531" s="58" t="s">
        <v>265</v>
      </c>
    </row>
    <row r="532" spans="1:18" ht="69" customHeight="1">
      <c r="A532" s="168"/>
      <c r="B532" s="178">
        <v>8969</v>
      </c>
      <c r="C532" s="178" t="s">
        <v>309</v>
      </c>
      <c r="D532" s="575" t="s">
        <v>1906</v>
      </c>
      <c r="E532" s="178" t="s">
        <v>270</v>
      </c>
      <c r="F532" s="210" t="s">
        <v>1907</v>
      </c>
      <c r="G532" s="58" t="s">
        <v>1908</v>
      </c>
      <c r="H532" s="546">
        <v>7500</v>
      </c>
      <c r="I532" s="66">
        <v>44988</v>
      </c>
      <c r="J532" s="65" t="s">
        <v>1909</v>
      </c>
      <c r="K532" s="58"/>
      <c r="L532" s="99"/>
      <c r="M532" s="70" t="s">
        <v>1655</v>
      </c>
      <c r="N532" s="97" t="s">
        <v>270</v>
      </c>
      <c r="O532" s="58" t="s">
        <v>1910</v>
      </c>
      <c r="P532" s="58" t="s">
        <v>44</v>
      </c>
      <c r="Q532" s="58" t="s">
        <v>29</v>
      </c>
      <c r="R532" s="58" t="s">
        <v>272</v>
      </c>
    </row>
    <row r="533" spans="1:18" ht="69" customHeight="1">
      <c r="A533" s="168"/>
      <c r="B533" s="178">
        <v>9080</v>
      </c>
      <c r="C533" s="178" t="s">
        <v>1853</v>
      </c>
      <c r="D533" s="575" t="s">
        <v>1911</v>
      </c>
      <c r="E533" s="178" t="s">
        <v>585</v>
      </c>
      <c r="F533" s="210" t="s">
        <v>1912</v>
      </c>
      <c r="G533" s="58" t="s">
        <v>1913</v>
      </c>
      <c r="H533" s="546">
        <v>9000</v>
      </c>
      <c r="I533" s="66">
        <v>45000</v>
      </c>
      <c r="J533" s="65" t="s">
        <v>1914</v>
      </c>
      <c r="K533" s="58"/>
      <c r="L533" s="99"/>
      <c r="M533" s="70" t="s">
        <v>1655</v>
      </c>
      <c r="N533" s="97" t="s">
        <v>270</v>
      </c>
      <c r="O533" s="58"/>
      <c r="P533" s="58" t="s">
        <v>44</v>
      </c>
      <c r="Q533" s="58" t="s">
        <v>29</v>
      </c>
      <c r="R533" s="58" t="s">
        <v>272</v>
      </c>
    </row>
    <row r="534" spans="1:18" ht="69" customHeight="1">
      <c r="A534" s="168"/>
      <c r="B534" s="178">
        <v>9096</v>
      </c>
      <c r="C534" s="178" t="s">
        <v>309</v>
      </c>
      <c r="D534" s="575" t="s">
        <v>1915</v>
      </c>
      <c r="E534" s="178" t="s">
        <v>1046</v>
      </c>
      <c r="F534" s="210" t="s">
        <v>1916</v>
      </c>
      <c r="G534" s="58" t="s">
        <v>1917</v>
      </c>
      <c r="H534" s="546">
        <v>40532.699999999997</v>
      </c>
      <c r="I534" s="66">
        <v>45002</v>
      </c>
      <c r="J534" s="65" t="s">
        <v>1918</v>
      </c>
      <c r="K534" s="58"/>
      <c r="L534" s="99"/>
      <c r="M534" s="70" t="s">
        <v>1772</v>
      </c>
      <c r="N534" s="97" t="s">
        <v>414</v>
      </c>
      <c r="O534" s="58"/>
      <c r="P534" s="58" t="s">
        <v>24</v>
      </c>
      <c r="Q534" s="58" t="s">
        <v>29</v>
      </c>
      <c r="R534" s="58" t="s">
        <v>265</v>
      </c>
    </row>
    <row r="535" spans="1:18" ht="69" customHeight="1">
      <c r="A535" s="168"/>
      <c r="B535" s="191">
        <v>9325</v>
      </c>
      <c r="C535" s="191" t="s">
        <v>309</v>
      </c>
      <c r="D535" s="533" t="s">
        <v>1919</v>
      </c>
      <c r="E535" s="191" t="s">
        <v>1234</v>
      </c>
      <c r="F535" s="211" t="s">
        <v>1920</v>
      </c>
      <c r="G535" s="46" t="s">
        <v>1921</v>
      </c>
      <c r="H535" s="534">
        <v>1828</v>
      </c>
      <c r="I535" s="56">
        <v>45007</v>
      </c>
      <c r="J535" s="199" t="s">
        <v>1922</v>
      </c>
      <c r="K535" s="46" t="s">
        <v>881</v>
      </c>
      <c r="L535" s="99"/>
      <c r="M535" s="379"/>
      <c r="N535" s="76" t="s">
        <v>414</v>
      </c>
      <c r="O535" s="46"/>
      <c r="P535" s="46" t="s">
        <v>65</v>
      </c>
      <c r="Q535" s="46" t="s">
        <v>29</v>
      </c>
      <c r="R535" s="46" t="s">
        <v>272</v>
      </c>
    </row>
    <row r="536" spans="1:18" ht="69" customHeight="1">
      <c r="A536" s="168"/>
      <c r="B536" s="178">
        <v>9405</v>
      </c>
      <c r="C536" s="178" t="s">
        <v>309</v>
      </c>
      <c r="D536" s="575" t="s">
        <v>1923</v>
      </c>
      <c r="E536" s="178" t="s">
        <v>921</v>
      </c>
      <c r="F536" s="210" t="s">
        <v>1924</v>
      </c>
      <c r="G536" s="58" t="s">
        <v>1925</v>
      </c>
      <c r="H536" s="546">
        <v>400000</v>
      </c>
      <c r="I536" s="66">
        <v>45019</v>
      </c>
      <c r="J536" s="65" t="s">
        <v>1926</v>
      </c>
      <c r="K536" s="58"/>
      <c r="L536" s="99"/>
      <c r="M536" s="70" t="s">
        <v>1692</v>
      </c>
      <c r="N536" s="97" t="s">
        <v>356</v>
      </c>
      <c r="O536" s="58" t="s">
        <v>156</v>
      </c>
      <c r="P536" s="58" t="s">
        <v>19</v>
      </c>
      <c r="Q536" s="58" t="s">
        <v>29</v>
      </c>
      <c r="R536" s="58" t="s">
        <v>272</v>
      </c>
    </row>
    <row r="537" spans="1:18" ht="69" customHeight="1">
      <c r="A537" s="168"/>
      <c r="B537" s="178">
        <v>9419</v>
      </c>
      <c r="C537" s="178" t="s">
        <v>309</v>
      </c>
      <c r="D537" s="575" t="s">
        <v>1927</v>
      </c>
      <c r="E537" s="178" t="s">
        <v>1046</v>
      </c>
      <c r="F537" s="210" t="s">
        <v>1928</v>
      </c>
      <c r="G537" s="58" t="s">
        <v>1241</v>
      </c>
      <c r="H537" s="546">
        <v>34800</v>
      </c>
      <c r="I537" s="66">
        <v>45012</v>
      </c>
      <c r="J537" s="65" t="s">
        <v>1242</v>
      </c>
      <c r="K537" s="58"/>
      <c r="L537" s="99"/>
      <c r="M537" s="70" t="s">
        <v>1772</v>
      </c>
      <c r="N537" s="97" t="s">
        <v>414</v>
      </c>
      <c r="O537" s="58"/>
      <c r="P537" s="58" t="s">
        <v>24</v>
      </c>
      <c r="Q537" s="58" t="s">
        <v>29</v>
      </c>
      <c r="R537" s="58" t="s">
        <v>265</v>
      </c>
    </row>
    <row r="538" spans="1:18" ht="69" customHeight="1">
      <c r="A538" s="168"/>
      <c r="B538" s="178">
        <v>9433</v>
      </c>
      <c r="C538" s="178" t="s">
        <v>309</v>
      </c>
      <c r="D538" s="575" t="s">
        <v>1929</v>
      </c>
      <c r="E538" s="178" t="s">
        <v>1046</v>
      </c>
      <c r="F538" s="210" t="s">
        <v>1930</v>
      </c>
      <c r="G538" s="58" t="s">
        <v>1241</v>
      </c>
      <c r="H538" s="546">
        <v>2342.04</v>
      </c>
      <c r="I538" s="66">
        <v>45012</v>
      </c>
      <c r="J538" s="65" t="s">
        <v>1931</v>
      </c>
      <c r="K538" s="58"/>
      <c r="L538" s="99"/>
      <c r="M538" s="70" t="s">
        <v>1772</v>
      </c>
      <c r="N538" s="97" t="s">
        <v>414</v>
      </c>
      <c r="O538" s="58"/>
      <c r="P538" s="58" t="s">
        <v>24</v>
      </c>
      <c r="Q538" s="58" t="s">
        <v>29</v>
      </c>
      <c r="R538" s="58" t="s">
        <v>265</v>
      </c>
    </row>
    <row r="539" spans="1:18" ht="69" customHeight="1">
      <c r="A539" s="168"/>
      <c r="B539" s="178">
        <v>9434</v>
      </c>
      <c r="C539" s="178" t="s">
        <v>309</v>
      </c>
      <c r="D539" s="575" t="s">
        <v>1932</v>
      </c>
      <c r="E539" s="178" t="s">
        <v>1046</v>
      </c>
      <c r="F539" s="210" t="s">
        <v>1933</v>
      </c>
      <c r="G539" s="58" t="s">
        <v>1241</v>
      </c>
      <c r="H539" s="546">
        <v>2342.06</v>
      </c>
      <c r="I539" s="66">
        <v>45012</v>
      </c>
      <c r="J539" s="65" t="s">
        <v>1931</v>
      </c>
      <c r="K539" s="58"/>
      <c r="L539" s="99"/>
      <c r="M539" s="70" t="s">
        <v>1772</v>
      </c>
      <c r="N539" s="97" t="s">
        <v>414</v>
      </c>
      <c r="O539" s="58"/>
      <c r="P539" s="58" t="s">
        <v>24</v>
      </c>
      <c r="Q539" s="58" t="s">
        <v>29</v>
      </c>
      <c r="R539" s="58" t="s">
        <v>265</v>
      </c>
    </row>
    <row r="540" spans="1:18" ht="69" customHeight="1">
      <c r="A540" s="168"/>
      <c r="B540" s="178">
        <v>9435</v>
      </c>
      <c r="C540" s="178" t="s">
        <v>309</v>
      </c>
      <c r="D540" s="575" t="s">
        <v>1934</v>
      </c>
      <c r="E540" s="178" t="s">
        <v>1046</v>
      </c>
      <c r="F540" s="210" t="s">
        <v>1935</v>
      </c>
      <c r="G540" s="58" t="s">
        <v>1241</v>
      </c>
      <c r="H540" s="546">
        <v>37142.04</v>
      </c>
      <c r="I540" s="66">
        <v>45012</v>
      </c>
      <c r="J540" s="65" t="s">
        <v>1245</v>
      </c>
      <c r="K540" s="58"/>
      <c r="L540" s="99"/>
      <c r="M540" s="70" t="s">
        <v>1772</v>
      </c>
      <c r="N540" s="97" t="s">
        <v>414</v>
      </c>
      <c r="O540" s="58"/>
      <c r="P540" s="58" t="s">
        <v>24</v>
      </c>
      <c r="Q540" s="58" t="s">
        <v>29</v>
      </c>
      <c r="R540" s="58" t="s">
        <v>265</v>
      </c>
    </row>
    <row r="541" spans="1:18" ht="69" customHeight="1">
      <c r="A541" s="168"/>
      <c r="B541" s="178">
        <v>9668</v>
      </c>
      <c r="C541" s="178" t="s">
        <v>309</v>
      </c>
      <c r="D541" s="575"/>
      <c r="E541" s="178" t="s">
        <v>585</v>
      </c>
      <c r="F541" s="210" t="s">
        <v>1936</v>
      </c>
      <c r="G541" s="58" t="s">
        <v>1908</v>
      </c>
      <c r="H541" s="546">
        <v>10000</v>
      </c>
      <c r="I541" s="66">
        <v>45016</v>
      </c>
      <c r="J541" s="65" t="s">
        <v>1937</v>
      </c>
      <c r="K541" s="58">
        <v>20000</v>
      </c>
      <c r="L541" s="99"/>
      <c r="M541" s="70" t="s">
        <v>1655</v>
      </c>
      <c r="N541" s="97" t="s">
        <v>270</v>
      </c>
      <c r="O541" s="58"/>
      <c r="P541" s="58" t="s">
        <v>44</v>
      </c>
      <c r="Q541" s="58" t="s">
        <v>29</v>
      </c>
      <c r="R541" s="58" t="s">
        <v>272</v>
      </c>
    </row>
    <row r="542" spans="1:18" ht="69" customHeight="1">
      <c r="A542" s="168"/>
      <c r="B542" s="178">
        <v>9669</v>
      </c>
      <c r="C542" s="178" t="s">
        <v>309</v>
      </c>
      <c r="D542" s="575"/>
      <c r="E542" s="178" t="s">
        <v>585</v>
      </c>
      <c r="F542" s="210" t="s">
        <v>1938</v>
      </c>
      <c r="G542" s="58" t="s">
        <v>1908</v>
      </c>
      <c r="H542" s="546">
        <v>5000</v>
      </c>
      <c r="I542" s="66">
        <v>45016</v>
      </c>
      <c r="J542" s="65" t="s">
        <v>1937</v>
      </c>
      <c r="K542" s="58">
        <v>10000</v>
      </c>
      <c r="L542" s="99"/>
      <c r="M542" s="70" t="s">
        <v>1655</v>
      </c>
      <c r="N542" s="97" t="s">
        <v>270</v>
      </c>
      <c r="O542" s="58"/>
      <c r="P542" s="58" t="s">
        <v>44</v>
      </c>
      <c r="Q542" s="58" t="s">
        <v>29</v>
      </c>
      <c r="R542" s="58" t="s">
        <v>272</v>
      </c>
    </row>
    <row r="543" spans="1:18" ht="69" customHeight="1">
      <c r="A543" s="168"/>
      <c r="B543" s="178">
        <v>9670</v>
      </c>
      <c r="C543" s="178" t="s">
        <v>309</v>
      </c>
      <c r="D543" s="575"/>
      <c r="E543" s="178" t="s">
        <v>585</v>
      </c>
      <c r="F543" s="210" t="s">
        <v>1939</v>
      </c>
      <c r="G543" s="58" t="s">
        <v>1908</v>
      </c>
      <c r="H543" s="546">
        <v>5000</v>
      </c>
      <c r="I543" s="66">
        <v>45016</v>
      </c>
      <c r="J543" s="65" t="s">
        <v>1937</v>
      </c>
      <c r="K543" s="58">
        <v>10000</v>
      </c>
      <c r="M543" s="70" t="s">
        <v>1655</v>
      </c>
      <c r="N543" s="97" t="s">
        <v>270</v>
      </c>
      <c r="O543" s="58"/>
      <c r="P543" s="58" t="s">
        <v>44</v>
      </c>
      <c r="Q543" s="58" t="s">
        <v>29</v>
      </c>
      <c r="R543" s="58" t="s">
        <v>272</v>
      </c>
    </row>
    <row r="544" spans="1:18" ht="69" customHeight="1">
      <c r="A544" s="168"/>
      <c r="B544" s="178">
        <v>9673</v>
      </c>
      <c r="C544" s="178" t="s">
        <v>309</v>
      </c>
      <c r="D544" s="575" t="s">
        <v>1940</v>
      </c>
      <c r="E544" s="178" t="s">
        <v>1759</v>
      </c>
      <c r="F544" s="210" t="s">
        <v>1941</v>
      </c>
      <c r="G544" s="58" t="s">
        <v>1942</v>
      </c>
      <c r="H544" s="546">
        <v>69314.38</v>
      </c>
      <c r="I544" s="66">
        <v>45016</v>
      </c>
      <c r="J544" s="65" t="s">
        <v>1943</v>
      </c>
      <c r="K544" s="58"/>
      <c r="M544" s="70" t="s">
        <v>1763</v>
      </c>
      <c r="N544" s="97" t="s">
        <v>414</v>
      </c>
      <c r="O544" s="58"/>
      <c r="P544" s="58" t="s">
        <v>24</v>
      </c>
      <c r="Q544" s="58" t="s">
        <v>29</v>
      </c>
      <c r="R544" s="58" t="s">
        <v>272</v>
      </c>
    </row>
    <row r="545" spans="1:18" ht="69" customHeight="1">
      <c r="A545" s="168"/>
      <c r="B545" s="191">
        <v>9687</v>
      </c>
      <c r="C545" s="191" t="s">
        <v>309</v>
      </c>
      <c r="D545" s="533"/>
      <c r="E545" s="191" t="s">
        <v>1234</v>
      </c>
      <c r="F545" s="211" t="s">
        <v>1944</v>
      </c>
      <c r="G545" s="46" t="s">
        <v>1945</v>
      </c>
      <c r="H545" s="534">
        <v>13320</v>
      </c>
      <c r="I545" s="56">
        <v>45019</v>
      </c>
      <c r="J545" s="199" t="s">
        <v>1946</v>
      </c>
      <c r="K545" s="46" t="s">
        <v>881</v>
      </c>
      <c r="M545" s="379"/>
      <c r="N545" s="76" t="s">
        <v>414</v>
      </c>
      <c r="O545" s="46"/>
      <c r="P545" s="46" t="s">
        <v>65</v>
      </c>
      <c r="Q545" s="46" t="s">
        <v>29</v>
      </c>
      <c r="R545" s="46" t="s">
        <v>272</v>
      </c>
    </row>
    <row r="546" spans="1:18" ht="69" customHeight="1">
      <c r="A546" s="168"/>
      <c r="B546" s="178">
        <v>9788</v>
      </c>
      <c r="C546" s="178" t="s">
        <v>309</v>
      </c>
      <c r="D546" s="575" t="s">
        <v>1947</v>
      </c>
      <c r="E546" s="178" t="s">
        <v>921</v>
      </c>
      <c r="F546" s="210" t="s">
        <v>1948</v>
      </c>
      <c r="G546" s="58" t="s">
        <v>1949</v>
      </c>
      <c r="H546" s="546">
        <v>400000</v>
      </c>
      <c r="I546" s="66">
        <v>45041</v>
      </c>
      <c r="J546" s="65" t="s">
        <v>1950</v>
      </c>
      <c r="K546" s="58"/>
      <c r="L546" s="99"/>
      <c r="M546" s="70" t="s">
        <v>1692</v>
      </c>
      <c r="N546" s="97" t="s">
        <v>356</v>
      </c>
      <c r="O546" s="58" t="s">
        <v>156</v>
      </c>
      <c r="P546" s="58" t="s">
        <v>19</v>
      </c>
      <c r="Q546" s="58" t="s">
        <v>29</v>
      </c>
      <c r="R546" s="58" t="s">
        <v>272</v>
      </c>
    </row>
    <row r="547" spans="1:18" ht="69" customHeight="1">
      <c r="A547" s="168"/>
      <c r="B547" s="191">
        <v>9850</v>
      </c>
      <c r="C547" s="191" t="s">
        <v>309</v>
      </c>
      <c r="D547" s="533" t="s">
        <v>1951</v>
      </c>
      <c r="E547" s="191" t="s">
        <v>1198</v>
      </c>
      <c r="F547" s="211" t="s">
        <v>1952</v>
      </c>
      <c r="G547" s="46" t="s">
        <v>1953</v>
      </c>
      <c r="H547" s="534">
        <v>4249.4399999999996</v>
      </c>
      <c r="I547" s="56">
        <v>45042</v>
      </c>
      <c r="J547" s="199" t="s">
        <v>1954</v>
      </c>
      <c r="K547" s="46" t="s">
        <v>881</v>
      </c>
      <c r="L547" s="99"/>
      <c r="M547" s="379"/>
      <c r="N547" s="76" t="s">
        <v>414</v>
      </c>
      <c r="O547" s="46"/>
      <c r="P547" s="46" t="s">
        <v>65</v>
      </c>
      <c r="Q547" s="46" t="s">
        <v>29</v>
      </c>
      <c r="R547" s="46" t="s">
        <v>272</v>
      </c>
    </row>
    <row r="548" spans="1:18" ht="69" customHeight="1">
      <c r="A548" s="168"/>
      <c r="B548" s="191">
        <v>9942</v>
      </c>
      <c r="C548" s="191" t="s">
        <v>309</v>
      </c>
      <c r="D548" s="533"/>
      <c r="E548" s="191" t="s">
        <v>1046</v>
      </c>
      <c r="F548" s="211" t="s">
        <v>1955</v>
      </c>
      <c r="G548" s="46" t="s">
        <v>1251</v>
      </c>
      <c r="H548" s="534">
        <v>4249.4399999999996</v>
      </c>
      <c r="I548" s="56">
        <v>45061</v>
      </c>
      <c r="J548" s="199" t="s">
        <v>1956</v>
      </c>
      <c r="K548" s="46" t="s">
        <v>881</v>
      </c>
      <c r="L548" s="99"/>
      <c r="M548" s="379"/>
      <c r="N548" s="76" t="s">
        <v>414</v>
      </c>
      <c r="O548" s="46"/>
      <c r="P548" s="46" t="s">
        <v>65</v>
      </c>
      <c r="Q548" s="46" t="s">
        <v>29</v>
      </c>
      <c r="R548" s="46" t="s">
        <v>272</v>
      </c>
    </row>
    <row r="549" spans="1:18" ht="69" customHeight="1">
      <c r="A549" s="168"/>
      <c r="B549" s="178">
        <v>2058</v>
      </c>
      <c r="C549" s="178" t="s">
        <v>259</v>
      </c>
      <c r="D549" s="575" t="s">
        <v>96</v>
      </c>
      <c r="E549" s="178" t="s">
        <v>266</v>
      </c>
      <c r="F549" s="210" t="s">
        <v>1957</v>
      </c>
      <c r="G549" s="575" t="s">
        <v>96</v>
      </c>
      <c r="H549" s="546">
        <v>10496.25</v>
      </c>
      <c r="I549" s="66">
        <v>44438</v>
      </c>
      <c r="J549" s="65" t="s">
        <v>268</v>
      </c>
      <c r="K549" s="58"/>
      <c r="L549" s="99"/>
      <c r="M549" s="70" t="s">
        <v>1958</v>
      </c>
      <c r="N549" s="97" t="s">
        <v>270</v>
      </c>
      <c r="O549" s="58"/>
      <c r="P549" s="58" t="s">
        <v>44</v>
      </c>
      <c r="Q549" s="58" t="s">
        <v>31</v>
      </c>
      <c r="R549" s="58" t="s">
        <v>272</v>
      </c>
    </row>
    <row r="550" spans="1:18" ht="69" customHeight="1">
      <c r="A550" s="168"/>
      <c r="B550" s="178">
        <v>2073</v>
      </c>
      <c r="C550" s="178" t="s">
        <v>259</v>
      </c>
      <c r="D550" s="575" t="s">
        <v>96</v>
      </c>
      <c r="E550" s="178" t="s">
        <v>266</v>
      </c>
      <c r="F550" s="210" t="s">
        <v>1959</v>
      </c>
      <c r="G550" s="575" t="s">
        <v>96</v>
      </c>
      <c r="H550" s="546">
        <v>11551.75</v>
      </c>
      <c r="I550" s="66">
        <v>44438</v>
      </c>
      <c r="J550" s="65" t="s">
        <v>268</v>
      </c>
      <c r="K550" s="58"/>
      <c r="L550" s="99"/>
      <c r="M550" s="70" t="s">
        <v>1958</v>
      </c>
      <c r="N550" s="97" t="s">
        <v>270</v>
      </c>
      <c r="O550" s="58"/>
      <c r="P550" s="58" t="s">
        <v>44</v>
      </c>
      <c r="Q550" s="58" t="s">
        <v>31</v>
      </c>
      <c r="R550" s="58" t="s">
        <v>272</v>
      </c>
    </row>
    <row r="551" spans="1:18" ht="69" customHeight="1">
      <c r="A551" s="168"/>
      <c r="B551" s="178">
        <v>2150</v>
      </c>
      <c r="C551" s="178" t="s">
        <v>309</v>
      </c>
      <c r="D551" s="575" t="s">
        <v>1960</v>
      </c>
      <c r="E551" s="178" t="s">
        <v>266</v>
      </c>
      <c r="F551" s="210" t="s">
        <v>1961</v>
      </c>
      <c r="G551" s="58"/>
      <c r="H551" s="546">
        <v>1750.59</v>
      </c>
      <c r="I551" s="66">
        <v>44455</v>
      </c>
      <c r="J551" s="65" t="s">
        <v>1962</v>
      </c>
      <c r="K551" s="58"/>
      <c r="L551" s="99"/>
      <c r="M551" s="70" t="s">
        <v>1958</v>
      </c>
      <c r="N551" s="97" t="s">
        <v>270</v>
      </c>
      <c r="O551" s="58"/>
      <c r="P551" s="58" t="s">
        <v>44</v>
      </c>
      <c r="Q551" s="58" t="s">
        <v>31</v>
      </c>
      <c r="R551" s="58" t="s">
        <v>272</v>
      </c>
    </row>
    <row r="552" spans="1:18" ht="69" customHeight="1">
      <c r="A552" s="168"/>
      <c r="B552" s="178">
        <v>2258</v>
      </c>
      <c r="C552" s="178" t="s">
        <v>259</v>
      </c>
      <c r="D552" s="575" t="s">
        <v>96</v>
      </c>
      <c r="E552" s="178" t="s">
        <v>266</v>
      </c>
      <c r="F552" s="210" t="s">
        <v>1963</v>
      </c>
      <c r="G552" s="575" t="s">
        <v>96</v>
      </c>
      <c r="H552" s="546">
        <v>532.44000000000005</v>
      </c>
      <c r="I552" s="66">
        <v>44466</v>
      </c>
      <c r="J552" s="65" t="s">
        <v>1964</v>
      </c>
      <c r="K552" s="58"/>
      <c r="L552" s="99"/>
      <c r="M552" s="70" t="s">
        <v>1958</v>
      </c>
      <c r="N552" s="97" t="s">
        <v>270</v>
      </c>
      <c r="O552" s="58"/>
      <c r="P552" s="58" t="s">
        <v>44</v>
      </c>
      <c r="Q552" s="58" t="s">
        <v>31</v>
      </c>
      <c r="R552" s="58" t="s">
        <v>272</v>
      </c>
    </row>
    <row r="553" spans="1:18" ht="69" customHeight="1">
      <c r="A553" s="168"/>
      <c r="B553" s="178">
        <v>2259</v>
      </c>
      <c r="C553" s="178" t="s">
        <v>259</v>
      </c>
      <c r="D553" s="575" t="s">
        <v>96</v>
      </c>
      <c r="E553" s="178" t="s">
        <v>266</v>
      </c>
      <c r="F553" s="210" t="s">
        <v>1965</v>
      </c>
      <c r="G553" s="575" t="s">
        <v>96</v>
      </c>
      <c r="H553" s="546">
        <v>589.83000000000004</v>
      </c>
      <c r="I553" s="66">
        <v>44466</v>
      </c>
      <c r="J553" s="65" t="s">
        <v>1966</v>
      </c>
      <c r="K553" s="58"/>
      <c r="L553" s="99"/>
      <c r="M553" s="70" t="s">
        <v>1958</v>
      </c>
      <c r="N553" s="97" t="s">
        <v>270</v>
      </c>
      <c r="O553" s="58"/>
      <c r="P553" s="58" t="s">
        <v>44</v>
      </c>
      <c r="Q553" s="58" t="s">
        <v>31</v>
      </c>
      <c r="R553" s="58" t="s">
        <v>272</v>
      </c>
    </row>
    <row r="554" spans="1:18" ht="69" customHeight="1">
      <c r="A554" s="168"/>
      <c r="B554" s="178">
        <v>2260</v>
      </c>
      <c r="C554" s="178" t="s">
        <v>259</v>
      </c>
      <c r="D554" s="575" t="s">
        <v>96</v>
      </c>
      <c r="E554" s="178" t="s">
        <v>266</v>
      </c>
      <c r="F554" s="210" t="s">
        <v>1967</v>
      </c>
      <c r="G554" s="575" t="s">
        <v>96</v>
      </c>
      <c r="H554" s="546">
        <v>2554.9499999999998</v>
      </c>
      <c r="I554" s="66">
        <v>44466</v>
      </c>
      <c r="J554" s="65" t="s">
        <v>1968</v>
      </c>
      <c r="K554" s="58"/>
      <c r="L554" s="99"/>
      <c r="M554" s="70" t="s">
        <v>1958</v>
      </c>
      <c r="N554" s="97" t="s">
        <v>270</v>
      </c>
      <c r="O554" s="58"/>
      <c r="P554" s="58" t="s">
        <v>44</v>
      </c>
      <c r="Q554" s="58" t="s">
        <v>31</v>
      </c>
      <c r="R554" s="58" t="s">
        <v>272</v>
      </c>
    </row>
    <row r="555" spans="1:18" ht="69" customHeight="1">
      <c r="A555" s="168"/>
      <c r="B555" s="178">
        <v>2114</v>
      </c>
      <c r="C555" s="178" t="s">
        <v>259</v>
      </c>
      <c r="D555" s="575"/>
      <c r="E555" s="178" t="s">
        <v>266</v>
      </c>
      <c r="F555" s="210" t="s">
        <v>1969</v>
      </c>
      <c r="G555" s="58"/>
      <c r="H555" s="546">
        <v>8397</v>
      </c>
      <c r="I555" s="66">
        <v>44455</v>
      </c>
      <c r="J555" s="65" t="s">
        <v>281</v>
      </c>
      <c r="K555" s="58"/>
      <c r="L555" s="99"/>
      <c r="M555" s="70" t="s">
        <v>1958</v>
      </c>
      <c r="N555" s="97" t="s">
        <v>270</v>
      </c>
      <c r="O555" s="58"/>
      <c r="P555" s="58" t="s">
        <v>44</v>
      </c>
      <c r="Q555" s="58" t="s">
        <v>31</v>
      </c>
      <c r="R555" s="58" t="s">
        <v>272</v>
      </c>
    </row>
    <row r="556" spans="1:18" ht="69" customHeight="1">
      <c r="A556" s="168"/>
      <c r="B556" s="178">
        <v>2340</v>
      </c>
      <c r="C556" s="178" t="s">
        <v>309</v>
      </c>
      <c r="D556" s="575" t="s">
        <v>1970</v>
      </c>
      <c r="E556" s="178" t="s">
        <v>266</v>
      </c>
      <c r="F556" s="210" t="s">
        <v>1971</v>
      </c>
      <c r="G556" s="58"/>
      <c r="H556" s="546">
        <v>5220</v>
      </c>
      <c r="I556" s="66">
        <v>44482</v>
      </c>
      <c r="J556" s="65" t="s">
        <v>1972</v>
      </c>
      <c r="K556" s="58"/>
      <c r="L556" s="99"/>
      <c r="M556" s="70" t="s">
        <v>1958</v>
      </c>
      <c r="N556" s="97" t="s">
        <v>270</v>
      </c>
      <c r="O556" s="58"/>
      <c r="P556" s="58" t="s">
        <v>44</v>
      </c>
      <c r="Q556" s="58" t="s">
        <v>31</v>
      </c>
      <c r="R556" s="58" t="s">
        <v>272</v>
      </c>
    </row>
    <row r="557" spans="1:18" ht="69" customHeight="1">
      <c r="A557" s="168"/>
      <c r="B557" s="178">
        <v>2376</v>
      </c>
      <c r="C557" s="178" t="s">
        <v>259</v>
      </c>
      <c r="D557" s="575" t="s">
        <v>1973</v>
      </c>
      <c r="E557" s="178" t="s">
        <v>283</v>
      </c>
      <c r="F557" s="210" t="s">
        <v>1974</v>
      </c>
      <c r="G557" s="58"/>
      <c r="H557" s="546">
        <v>120000</v>
      </c>
      <c r="I557" s="66">
        <v>44531</v>
      </c>
      <c r="J557" s="65" t="s">
        <v>1975</v>
      </c>
      <c r="K557" s="58" t="s">
        <v>1976</v>
      </c>
      <c r="L557" s="99"/>
      <c r="M557" s="70" t="s">
        <v>1977</v>
      </c>
      <c r="N557" s="97" t="s">
        <v>264</v>
      </c>
      <c r="O557" s="58" t="s">
        <v>141</v>
      </c>
      <c r="P557" s="58" t="s">
        <v>17</v>
      </c>
      <c r="Q557" s="58" t="s">
        <v>31</v>
      </c>
      <c r="R557" s="58" t="s">
        <v>272</v>
      </c>
    </row>
    <row r="558" spans="1:18" ht="69" customHeight="1">
      <c r="A558" s="168"/>
      <c r="B558" s="178">
        <v>2473</v>
      </c>
      <c r="C558" s="178" t="s">
        <v>309</v>
      </c>
      <c r="D558" s="575" t="s">
        <v>1978</v>
      </c>
      <c r="E558" s="178" t="s">
        <v>921</v>
      </c>
      <c r="F558" s="210" t="s">
        <v>1979</v>
      </c>
      <c r="G558" s="58" t="s">
        <v>1980</v>
      </c>
      <c r="H558" s="546">
        <v>118340.9</v>
      </c>
      <c r="I558" s="66">
        <v>44531</v>
      </c>
      <c r="J558" s="65" t="s">
        <v>1981</v>
      </c>
      <c r="K558" s="58" t="s">
        <v>1982</v>
      </c>
      <c r="L558" s="99"/>
      <c r="M558" s="70" t="s">
        <v>1983</v>
      </c>
      <c r="N558" s="97" t="s">
        <v>356</v>
      </c>
      <c r="O558" s="58" t="s">
        <v>156</v>
      </c>
      <c r="P558" s="58" t="s">
        <v>19</v>
      </c>
      <c r="Q558" s="58" t="s">
        <v>31</v>
      </c>
      <c r="R558" s="58" t="s">
        <v>272</v>
      </c>
    </row>
    <row r="559" spans="1:18" ht="69" customHeight="1">
      <c r="A559" s="168"/>
      <c r="B559" s="178">
        <v>2493</v>
      </c>
      <c r="C559" s="178" t="s">
        <v>303</v>
      </c>
      <c r="D559" s="575" t="s">
        <v>1984</v>
      </c>
      <c r="E559" s="178" t="s">
        <v>305</v>
      </c>
      <c r="F559" s="210" t="s">
        <v>1985</v>
      </c>
      <c r="G559" s="58" t="s">
        <v>307</v>
      </c>
      <c r="H559" s="546">
        <v>10000</v>
      </c>
      <c r="I559" s="66">
        <v>44526</v>
      </c>
      <c r="J559" s="65" t="s">
        <v>1986</v>
      </c>
      <c r="K559" s="58"/>
      <c r="L559" s="99"/>
      <c r="M559" s="70" t="s">
        <v>1958</v>
      </c>
      <c r="N559" s="97" t="s">
        <v>270</v>
      </c>
      <c r="O559" s="58"/>
      <c r="P559" s="58" t="s">
        <v>44</v>
      </c>
      <c r="Q559" s="58" t="s">
        <v>31</v>
      </c>
      <c r="R559" s="58" t="s">
        <v>272</v>
      </c>
    </row>
    <row r="560" spans="1:18" ht="69" customHeight="1">
      <c r="A560" s="168"/>
      <c r="B560" s="178">
        <v>2807</v>
      </c>
      <c r="C560" s="178" t="s">
        <v>259</v>
      </c>
      <c r="D560" s="575"/>
      <c r="E560" s="178" t="s">
        <v>266</v>
      </c>
      <c r="F560" s="210" t="s">
        <v>1987</v>
      </c>
      <c r="G560" s="58" t="s">
        <v>1291</v>
      </c>
      <c r="H560" s="546">
        <v>2099.25</v>
      </c>
      <c r="I560" s="66">
        <v>44576</v>
      </c>
      <c r="J560" s="65" t="s">
        <v>1988</v>
      </c>
      <c r="K560" s="58"/>
      <c r="L560" s="99"/>
      <c r="M560" s="70" t="s">
        <v>1958</v>
      </c>
      <c r="N560" s="97" t="s">
        <v>270</v>
      </c>
      <c r="O560" s="58"/>
      <c r="P560" s="58" t="s">
        <v>44</v>
      </c>
      <c r="Q560" s="58" t="s">
        <v>31</v>
      </c>
      <c r="R560" s="58" t="s">
        <v>272</v>
      </c>
    </row>
    <row r="561" spans="1:18" ht="69" customHeight="1">
      <c r="A561" s="168"/>
      <c r="B561" s="178">
        <v>2859</v>
      </c>
      <c r="C561" s="178" t="s">
        <v>309</v>
      </c>
      <c r="D561" s="575" t="s">
        <v>1989</v>
      </c>
      <c r="E561" s="178" t="s">
        <v>266</v>
      </c>
      <c r="F561" s="210" t="s">
        <v>1990</v>
      </c>
      <c r="G561" s="58" t="s">
        <v>325</v>
      </c>
      <c r="H561" s="546">
        <v>4235.3</v>
      </c>
      <c r="I561" s="66" t="s">
        <v>96</v>
      </c>
      <c r="J561" s="65" t="s">
        <v>1991</v>
      </c>
      <c r="K561" s="58"/>
      <c r="L561" s="99"/>
      <c r="M561" s="70" t="s">
        <v>1958</v>
      </c>
      <c r="N561" s="97" t="s">
        <v>270</v>
      </c>
      <c r="O561" s="58"/>
      <c r="P561" s="58" t="s">
        <v>44</v>
      </c>
      <c r="Q561" s="58" t="s">
        <v>31</v>
      </c>
      <c r="R561" s="58" t="s">
        <v>272</v>
      </c>
    </row>
    <row r="562" spans="1:18" ht="69" customHeight="1">
      <c r="A562" s="168"/>
      <c r="B562" s="178">
        <v>2895</v>
      </c>
      <c r="C562" s="178" t="s">
        <v>309</v>
      </c>
      <c r="D562" s="575" t="s">
        <v>1992</v>
      </c>
      <c r="E562" s="178" t="s">
        <v>266</v>
      </c>
      <c r="F562" s="210" t="s">
        <v>1993</v>
      </c>
      <c r="G562" s="58" t="s">
        <v>1994</v>
      </c>
      <c r="H562" s="546">
        <v>3500</v>
      </c>
      <c r="I562" s="66">
        <v>44585</v>
      </c>
      <c r="J562" s="65" t="s">
        <v>1995</v>
      </c>
      <c r="K562" s="58"/>
      <c r="L562" s="99"/>
      <c r="M562" s="70" t="s">
        <v>1958</v>
      </c>
      <c r="N562" s="97" t="s">
        <v>270</v>
      </c>
      <c r="O562" s="58"/>
      <c r="P562" s="58" t="s">
        <v>44</v>
      </c>
      <c r="Q562" s="58" t="s">
        <v>31</v>
      </c>
      <c r="R562" s="58" t="s">
        <v>272</v>
      </c>
    </row>
    <row r="563" spans="1:18" ht="69" customHeight="1">
      <c r="A563" s="168"/>
      <c r="B563" s="178">
        <v>2896</v>
      </c>
      <c r="C563" s="178" t="s">
        <v>309</v>
      </c>
      <c r="D563" s="575" t="s">
        <v>1996</v>
      </c>
      <c r="E563" s="178" t="s">
        <v>266</v>
      </c>
      <c r="F563" s="210" t="s">
        <v>1997</v>
      </c>
      <c r="G563" s="58" t="s">
        <v>1994</v>
      </c>
      <c r="H563" s="546">
        <v>3500</v>
      </c>
      <c r="I563" s="66">
        <v>44585</v>
      </c>
      <c r="J563" s="65" t="s">
        <v>1998</v>
      </c>
      <c r="K563" s="58"/>
      <c r="L563" s="99"/>
      <c r="M563" s="70" t="s">
        <v>1958</v>
      </c>
      <c r="N563" s="97" t="s">
        <v>270</v>
      </c>
      <c r="O563" s="58"/>
      <c r="P563" s="58" t="s">
        <v>44</v>
      </c>
      <c r="Q563" s="58" t="s">
        <v>31</v>
      </c>
      <c r="R563" s="58" t="s">
        <v>272</v>
      </c>
    </row>
    <row r="564" spans="1:18" ht="69" customHeight="1">
      <c r="A564" s="168"/>
      <c r="B564" s="178">
        <v>2561</v>
      </c>
      <c r="C564" s="178" t="s">
        <v>309</v>
      </c>
      <c r="D564" s="575" t="s">
        <v>1999</v>
      </c>
      <c r="E564" s="178" t="s">
        <v>1367</v>
      </c>
      <c r="F564" s="210" t="s">
        <v>2000</v>
      </c>
      <c r="G564" s="58" t="s">
        <v>2001</v>
      </c>
      <c r="H564" s="546">
        <v>2000</v>
      </c>
      <c r="I564" s="66" t="s">
        <v>96</v>
      </c>
      <c r="J564" s="65" t="s">
        <v>2002</v>
      </c>
      <c r="K564" s="58"/>
      <c r="L564" s="99"/>
      <c r="M564" s="70" t="s">
        <v>1958</v>
      </c>
      <c r="N564" s="97" t="s">
        <v>270</v>
      </c>
      <c r="O564" s="58"/>
      <c r="P564" s="58" t="s">
        <v>44</v>
      </c>
      <c r="Q564" s="58" t="s">
        <v>31</v>
      </c>
      <c r="R564" s="58" t="s">
        <v>272</v>
      </c>
    </row>
    <row r="565" spans="1:18" ht="69" customHeight="1">
      <c r="A565" s="168"/>
      <c r="B565" s="178">
        <v>2924</v>
      </c>
      <c r="C565" s="178" t="s">
        <v>309</v>
      </c>
      <c r="D565" s="575" t="s">
        <v>2003</v>
      </c>
      <c r="E565" s="178" t="s">
        <v>1367</v>
      </c>
      <c r="F565" s="210" t="s">
        <v>2004</v>
      </c>
      <c r="G565" s="58" t="s">
        <v>2001</v>
      </c>
      <c r="H565" s="546">
        <v>2000</v>
      </c>
      <c r="I565" s="66" t="s">
        <v>96</v>
      </c>
      <c r="J565" s="65" t="s">
        <v>2005</v>
      </c>
      <c r="K565" s="58"/>
      <c r="L565" s="99"/>
      <c r="M565" s="70" t="s">
        <v>1958</v>
      </c>
      <c r="N565" s="97" t="s">
        <v>270</v>
      </c>
      <c r="O565" s="58"/>
      <c r="P565" s="58" t="s">
        <v>44</v>
      </c>
      <c r="Q565" s="58" t="s">
        <v>31</v>
      </c>
      <c r="R565" s="58" t="s">
        <v>272</v>
      </c>
    </row>
    <row r="566" spans="1:18" ht="69" customHeight="1">
      <c r="A566" s="168"/>
      <c r="B566" s="178">
        <v>2925</v>
      </c>
      <c r="C566" s="178" t="s">
        <v>309</v>
      </c>
      <c r="D566" s="575" t="s">
        <v>2006</v>
      </c>
      <c r="E566" s="178" t="s">
        <v>1367</v>
      </c>
      <c r="F566" s="210" t="s">
        <v>2007</v>
      </c>
      <c r="G566" s="58" t="s">
        <v>2001</v>
      </c>
      <c r="H566" s="546">
        <v>4000</v>
      </c>
      <c r="I566" s="66" t="s">
        <v>96</v>
      </c>
      <c r="J566" s="65" t="s">
        <v>2008</v>
      </c>
      <c r="K566" s="58"/>
      <c r="L566" s="99"/>
      <c r="M566" s="70" t="s">
        <v>1958</v>
      </c>
      <c r="N566" s="97" t="s">
        <v>270</v>
      </c>
      <c r="O566" s="58"/>
      <c r="P566" s="58" t="s">
        <v>44</v>
      </c>
      <c r="Q566" s="58" t="s">
        <v>31</v>
      </c>
      <c r="R566" s="58" t="s">
        <v>272</v>
      </c>
    </row>
    <row r="567" spans="1:18" ht="69" customHeight="1">
      <c r="A567" s="168"/>
      <c r="B567" s="191">
        <v>2967</v>
      </c>
      <c r="C567" s="191" t="s">
        <v>309</v>
      </c>
      <c r="D567" s="533" t="s">
        <v>2009</v>
      </c>
      <c r="E567" s="191" t="s">
        <v>331</v>
      </c>
      <c r="F567" s="211" t="s">
        <v>2010</v>
      </c>
      <c r="G567" s="46" t="s">
        <v>333</v>
      </c>
      <c r="H567" s="534">
        <v>0</v>
      </c>
      <c r="I567" s="56" t="s">
        <v>96</v>
      </c>
      <c r="J567" s="199" t="s">
        <v>334</v>
      </c>
      <c r="K567" s="46"/>
      <c r="L567" s="99"/>
      <c r="M567" s="379" t="s">
        <v>31</v>
      </c>
      <c r="N567" s="76" t="s">
        <v>69</v>
      </c>
      <c r="O567" s="46"/>
      <c r="P567" s="46" t="s">
        <v>69</v>
      </c>
      <c r="Q567" s="46" t="s">
        <v>31</v>
      </c>
      <c r="R567" s="46" t="s">
        <v>272</v>
      </c>
    </row>
    <row r="568" spans="1:18" ht="69" customHeight="1">
      <c r="A568" s="168"/>
      <c r="B568" s="178">
        <v>3109</v>
      </c>
      <c r="C568" s="178" t="s">
        <v>309</v>
      </c>
      <c r="D568" s="575" t="s">
        <v>2011</v>
      </c>
      <c r="E568" s="178" t="s">
        <v>283</v>
      </c>
      <c r="F568" s="210" t="s">
        <v>2012</v>
      </c>
      <c r="G568" s="58" t="s">
        <v>655</v>
      </c>
      <c r="H568" s="546">
        <v>80000</v>
      </c>
      <c r="I568" s="66">
        <v>44610</v>
      </c>
      <c r="J568" s="65" t="s">
        <v>2013</v>
      </c>
      <c r="K568" s="58" t="s">
        <v>1976</v>
      </c>
      <c r="L568" s="99"/>
      <c r="M568" s="70" t="s">
        <v>1977</v>
      </c>
      <c r="N568" s="97" t="s">
        <v>264</v>
      </c>
      <c r="O568" s="58" t="s">
        <v>141</v>
      </c>
      <c r="P568" s="58" t="s">
        <v>17</v>
      </c>
      <c r="Q568" s="58" t="s">
        <v>31</v>
      </c>
      <c r="R568" s="58" t="s">
        <v>272</v>
      </c>
    </row>
    <row r="569" spans="1:18" ht="69" customHeight="1">
      <c r="A569" s="168"/>
      <c r="B569" s="178">
        <v>3958</v>
      </c>
      <c r="C569" s="178" t="s">
        <v>309</v>
      </c>
      <c r="D569" s="575" t="s">
        <v>2014</v>
      </c>
      <c r="E569" s="178" t="s">
        <v>305</v>
      </c>
      <c r="F569" s="210" t="s">
        <v>2015</v>
      </c>
      <c r="G569" s="58" t="s">
        <v>2016</v>
      </c>
      <c r="H569" s="546">
        <v>4800</v>
      </c>
      <c r="I569" s="66">
        <v>44615</v>
      </c>
      <c r="J569" s="65" t="s">
        <v>2017</v>
      </c>
      <c r="K569" s="58"/>
      <c r="L569" s="99"/>
      <c r="M569" s="70" t="s">
        <v>1958</v>
      </c>
      <c r="N569" s="97" t="s">
        <v>270</v>
      </c>
      <c r="O569" s="58"/>
      <c r="P569" s="58" t="s">
        <v>44</v>
      </c>
      <c r="Q569" s="58" t="s">
        <v>31</v>
      </c>
      <c r="R569" s="58" t="s">
        <v>272</v>
      </c>
    </row>
    <row r="570" spans="1:18" ht="69" customHeight="1">
      <c r="A570" s="168"/>
      <c r="B570" s="178">
        <v>4202</v>
      </c>
      <c r="C570" s="178" t="s">
        <v>309</v>
      </c>
      <c r="D570" s="575" t="s">
        <v>2018</v>
      </c>
      <c r="E570" s="178" t="s">
        <v>266</v>
      </c>
      <c r="F570" s="210" t="s">
        <v>2019</v>
      </c>
      <c r="G570" s="58" t="s">
        <v>640</v>
      </c>
      <c r="H570" s="546">
        <v>10496.25</v>
      </c>
      <c r="I570" s="66">
        <v>44651</v>
      </c>
      <c r="J570" s="65" t="s">
        <v>2020</v>
      </c>
      <c r="K570" s="58"/>
      <c r="L570" s="99"/>
      <c r="M570" s="70" t="s">
        <v>1958</v>
      </c>
      <c r="N570" s="97" t="s">
        <v>270</v>
      </c>
      <c r="O570" s="58"/>
      <c r="P570" s="58" t="s">
        <v>44</v>
      </c>
      <c r="Q570" s="58" t="s">
        <v>31</v>
      </c>
      <c r="R570" s="58" t="s">
        <v>272</v>
      </c>
    </row>
    <row r="571" spans="1:18" ht="69" customHeight="1">
      <c r="A571" s="168"/>
      <c r="B571" s="178">
        <v>4243</v>
      </c>
      <c r="C571" s="178" t="s">
        <v>309</v>
      </c>
      <c r="D571" s="575" t="s">
        <v>2021</v>
      </c>
      <c r="E571" s="178" t="s">
        <v>266</v>
      </c>
      <c r="F571" s="210" t="s">
        <v>2022</v>
      </c>
      <c r="G571" s="58" t="s">
        <v>392</v>
      </c>
      <c r="H571" s="546">
        <v>639.22</v>
      </c>
      <c r="I571" s="66">
        <v>44656</v>
      </c>
      <c r="J571" s="65" t="s">
        <v>2023</v>
      </c>
      <c r="K571" s="58"/>
      <c r="L571" s="99"/>
      <c r="M571" s="70" t="s">
        <v>1958</v>
      </c>
      <c r="N571" s="97" t="s">
        <v>270</v>
      </c>
      <c r="O571" s="58"/>
      <c r="P571" s="58" t="s">
        <v>44</v>
      </c>
      <c r="Q571" s="58" t="s">
        <v>31</v>
      </c>
      <c r="R571" s="58" t="s">
        <v>272</v>
      </c>
    </row>
    <row r="572" spans="1:18" ht="69" customHeight="1">
      <c r="A572" s="168"/>
      <c r="B572" s="178">
        <v>4244</v>
      </c>
      <c r="C572" s="178" t="s">
        <v>309</v>
      </c>
      <c r="D572" s="575" t="s">
        <v>2024</v>
      </c>
      <c r="E572" s="178" t="s">
        <v>266</v>
      </c>
      <c r="F572" s="210" t="s">
        <v>2025</v>
      </c>
      <c r="G572" s="58" t="s">
        <v>392</v>
      </c>
      <c r="H572" s="546">
        <v>360.53</v>
      </c>
      <c r="I572" s="66">
        <v>44656</v>
      </c>
      <c r="J572" s="65" t="s">
        <v>2026</v>
      </c>
      <c r="K572" s="58"/>
      <c r="L572" s="99"/>
      <c r="M572" s="70" t="s">
        <v>1958</v>
      </c>
      <c r="N572" s="97" t="s">
        <v>270</v>
      </c>
      <c r="O572" s="58"/>
      <c r="P572" s="58" t="s">
        <v>44</v>
      </c>
      <c r="Q572" s="58" t="s">
        <v>31</v>
      </c>
      <c r="R572" s="58" t="s">
        <v>272</v>
      </c>
    </row>
    <row r="573" spans="1:18" ht="69" customHeight="1">
      <c r="A573" s="168"/>
      <c r="B573" s="178">
        <v>4245</v>
      </c>
      <c r="C573" s="178" t="s">
        <v>309</v>
      </c>
      <c r="D573" s="575" t="s">
        <v>2027</v>
      </c>
      <c r="E573" s="178" t="s">
        <v>266</v>
      </c>
      <c r="F573" s="210" t="s">
        <v>2028</v>
      </c>
      <c r="G573" s="58" t="s">
        <v>392</v>
      </c>
      <c r="H573" s="546">
        <v>3137.65</v>
      </c>
      <c r="I573" s="66">
        <v>44656</v>
      </c>
      <c r="J573" s="65" t="s">
        <v>2029</v>
      </c>
      <c r="K573" s="58"/>
      <c r="L573" s="99"/>
      <c r="M573" s="70" t="s">
        <v>1958</v>
      </c>
      <c r="N573" s="97" t="s">
        <v>270</v>
      </c>
      <c r="O573" s="58"/>
      <c r="P573" s="58" t="s">
        <v>44</v>
      </c>
      <c r="Q573" s="58" t="s">
        <v>31</v>
      </c>
      <c r="R573" s="58" t="s">
        <v>272</v>
      </c>
    </row>
    <row r="574" spans="1:18" ht="69" customHeight="1">
      <c r="A574" s="168"/>
      <c r="B574" s="178">
        <v>4517</v>
      </c>
      <c r="C574" s="178" t="s">
        <v>309</v>
      </c>
      <c r="D574" s="575" t="s">
        <v>2030</v>
      </c>
      <c r="E574" s="178" t="s">
        <v>266</v>
      </c>
      <c r="F574" s="210" t="s">
        <v>2031</v>
      </c>
      <c r="G574" s="58" t="s">
        <v>315</v>
      </c>
      <c r="H574" s="546">
        <v>8397</v>
      </c>
      <c r="I574" s="66">
        <v>44670</v>
      </c>
      <c r="J574" s="65" t="s">
        <v>2032</v>
      </c>
      <c r="K574" s="58"/>
      <c r="L574" s="99"/>
      <c r="M574" s="70" t="s">
        <v>1958</v>
      </c>
      <c r="N574" s="97" t="s">
        <v>270</v>
      </c>
      <c r="O574" s="58"/>
      <c r="P574" s="58" t="s">
        <v>44</v>
      </c>
      <c r="Q574" s="58" t="s">
        <v>31</v>
      </c>
      <c r="R574" s="58" t="s">
        <v>272</v>
      </c>
    </row>
    <row r="575" spans="1:18" ht="69" customHeight="1">
      <c r="A575" s="168"/>
      <c r="B575" s="178">
        <v>4692</v>
      </c>
      <c r="C575" s="178" t="s">
        <v>309</v>
      </c>
      <c r="D575" s="575" t="s">
        <v>2033</v>
      </c>
      <c r="E575" s="178" t="s">
        <v>331</v>
      </c>
      <c r="F575" s="210" t="s">
        <v>2034</v>
      </c>
      <c r="G575" s="58"/>
      <c r="H575" s="546">
        <v>3389.12</v>
      </c>
      <c r="I575" s="66">
        <v>44678</v>
      </c>
      <c r="J575" s="65" t="s">
        <v>2035</v>
      </c>
      <c r="K575" s="58"/>
      <c r="L575" s="99"/>
      <c r="M575" s="70" t="s">
        <v>1958</v>
      </c>
      <c r="N575" s="97" t="s">
        <v>270</v>
      </c>
      <c r="O575" s="58"/>
      <c r="P575" s="58" t="s">
        <v>44</v>
      </c>
      <c r="Q575" s="58" t="s">
        <v>31</v>
      </c>
      <c r="R575" s="58" t="s">
        <v>272</v>
      </c>
    </row>
    <row r="576" spans="1:18" ht="69" customHeight="1">
      <c r="A576" s="168"/>
      <c r="B576" s="178">
        <v>4114</v>
      </c>
      <c r="C576" s="178" t="s">
        <v>309</v>
      </c>
      <c r="D576" s="575" t="s">
        <v>2036</v>
      </c>
      <c r="E576" s="178" t="s">
        <v>266</v>
      </c>
      <c r="F576" s="210" t="s">
        <v>2037</v>
      </c>
      <c r="G576" s="58" t="s">
        <v>376</v>
      </c>
      <c r="H576" s="546">
        <v>3146</v>
      </c>
      <c r="I576" s="66">
        <v>44676</v>
      </c>
      <c r="J576" s="65" t="s">
        <v>2038</v>
      </c>
      <c r="K576" s="58"/>
      <c r="L576" s="99"/>
      <c r="M576" s="70" t="s">
        <v>1958</v>
      </c>
      <c r="N576" s="97" t="s">
        <v>270</v>
      </c>
      <c r="O576" s="58"/>
      <c r="P576" s="58" t="s">
        <v>44</v>
      </c>
      <c r="Q576" s="58" t="s">
        <v>31</v>
      </c>
      <c r="R576" s="58" t="s">
        <v>272</v>
      </c>
    </row>
    <row r="577" spans="1:18" ht="69" customHeight="1">
      <c r="A577" s="168"/>
      <c r="B577" s="178">
        <v>4849</v>
      </c>
      <c r="C577" s="178" t="s">
        <v>309</v>
      </c>
      <c r="D577" s="575" t="s">
        <v>2039</v>
      </c>
      <c r="E577" s="178" t="s">
        <v>266</v>
      </c>
      <c r="F577" s="210" t="s">
        <v>2040</v>
      </c>
      <c r="G577" s="58" t="s">
        <v>703</v>
      </c>
      <c r="H577" s="546">
        <v>2099.25</v>
      </c>
      <c r="I577" s="66">
        <v>44699</v>
      </c>
      <c r="J577" s="65" t="s">
        <v>2041</v>
      </c>
      <c r="K577" s="58"/>
      <c r="L577" s="99"/>
      <c r="M577" s="70" t="s">
        <v>1958</v>
      </c>
      <c r="N577" s="97" t="s">
        <v>270</v>
      </c>
      <c r="O577" s="58"/>
      <c r="P577" s="58" t="s">
        <v>44</v>
      </c>
      <c r="Q577" s="58" t="s">
        <v>31</v>
      </c>
      <c r="R577" s="58" t="s">
        <v>272</v>
      </c>
    </row>
    <row r="578" spans="1:18" ht="69" customHeight="1">
      <c r="A578" s="168"/>
      <c r="B578" s="178">
        <v>4692</v>
      </c>
      <c r="C578" s="178" t="s">
        <v>309</v>
      </c>
      <c r="D578" s="575" t="s">
        <v>2042</v>
      </c>
      <c r="E578" s="178" t="s">
        <v>331</v>
      </c>
      <c r="F578" s="210" t="s">
        <v>2043</v>
      </c>
      <c r="G578" s="58" t="s">
        <v>372</v>
      </c>
      <c r="H578" s="546">
        <v>30502.09</v>
      </c>
      <c r="I578" s="66">
        <v>44701</v>
      </c>
      <c r="J578" s="65" t="s">
        <v>2044</v>
      </c>
      <c r="K578" s="58"/>
      <c r="L578" s="99"/>
      <c r="M578" s="70" t="s">
        <v>1958</v>
      </c>
      <c r="N578" s="97" t="s">
        <v>270</v>
      </c>
      <c r="O578" s="58"/>
      <c r="P578" s="58" t="s">
        <v>44</v>
      </c>
      <c r="Q578" s="58" t="s">
        <v>31</v>
      </c>
      <c r="R578" s="58" t="s">
        <v>272</v>
      </c>
    </row>
    <row r="579" spans="1:18" ht="69" customHeight="1">
      <c r="A579" s="168"/>
      <c r="B579" s="178">
        <v>4316</v>
      </c>
      <c r="C579" s="178" t="s">
        <v>309</v>
      </c>
      <c r="D579" s="575" t="s">
        <v>2045</v>
      </c>
      <c r="E579" s="178" t="s">
        <v>266</v>
      </c>
      <c r="F579" s="210" t="s">
        <v>2046</v>
      </c>
      <c r="G579" s="58" t="s">
        <v>392</v>
      </c>
      <c r="H579" s="546">
        <v>3558.6</v>
      </c>
      <c r="I579" s="66">
        <v>44701</v>
      </c>
      <c r="J579" s="65" t="s">
        <v>2047</v>
      </c>
      <c r="K579" s="58"/>
      <c r="L579" s="99"/>
      <c r="M579" s="70" t="s">
        <v>1958</v>
      </c>
      <c r="N579" s="97" t="s">
        <v>270</v>
      </c>
      <c r="O579" s="58"/>
      <c r="P579" s="58" t="s">
        <v>44</v>
      </c>
      <c r="Q579" s="58" t="s">
        <v>31</v>
      </c>
      <c r="R579" s="58" t="s">
        <v>272</v>
      </c>
    </row>
    <row r="580" spans="1:18" ht="69" customHeight="1">
      <c r="A580" s="168"/>
      <c r="B580" s="178">
        <v>4317</v>
      </c>
      <c r="C580" s="178" t="s">
        <v>309</v>
      </c>
      <c r="D580" s="575" t="s">
        <v>2048</v>
      </c>
      <c r="E580" s="178" t="s">
        <v>266</v>
      </c>
      <c r="F580" s="210" t="s">
        <v>2049</v>
      </c>
      <c r="G580" s="58" t="s">
        <v>392</v>
      </c>
      <c r="H580" s="546">
        <v>1908.12</v>
      </c>
      <c r="I580" s="66">
        <v>44701</v>
      </c>
      <c r="J580" s="65" t="s">
        <v>2050</v>
      </c>
      <c r="K580" s="58"/>
      <c r="L580" s="99"/>
      <c r="M580" s="70" t="s">
        <v>1958</v>
      </c>
      <c r="N580" s="97" t="s">
        <v>270</v>
      </c>
      <c r="O580" s="58"/>
      <c r="P580" s="58" t="s">
        <v>44</v>
      </c>
      <c r="Q580" s="58" t="s">
        <v>31</v>
      </c>
      <c r="R580" s="58" t="s">
        <v>272</v>
      </c>
    </row>
    <row r="581" spans="1:18" ht="69" customHeight="1">
      <c r="A581" s="168"/>
      <c r="B581" s="178">
        <v>5116</v>
      </c>
      <c r="C581" s="178" t="s">
        <v>309</v>
      </c>
      <c r="D581" s="575" t="s">
        <v>2051</v>
      </c>
      <c r="E581" s="178" t="s">
        <v>283</v>
      </c>
      <c r="F581" s="210" t="s">
        <v>2052</v>
      </c>
      <c r="G581" s="58" t="s">
        <v>718</v>
      </c>
      <c r="H581" s="546">
        <v>160000</v>
      </c>
      <c r="I581" s="66">
        <v>44732</v>
      </c>
      <c r="J581" s="65" t="s">
        <v>2053</v>
      </c>
      <c r="K581" s="58" t="s">
        <v>1976</v>
      </c>
      <c r="L581" s="99"/>
      <c r="M581" s="70" t="s">
        <v>1977</v>
      </c>
      <c r="N581" s="97" t="s">
        <v>264</v>
      </c>
      <c r="O581" s="58" t="s">
        <v>141</v>
      </c>
      <c r="P581" s="58" t="s">
        <v>17</v>
      </c>
      <c r="Q581" s="58" t="s">
        <v>31</v>
      </c>
      <c r="R581" s="58" t="s">
        <v>272</v>
      </c>
    </row>
    <row r="582" spans="1:18" ht="69" customHeight="1">
      <c r="A582" s="168"/>
      <c r="B582" s="178">
        <v>2</v>
      </c>
      <c r="C582" s="178" t="s">
        <v>309</v>
      </c>
      <c r="D582" s="575" t="s">
        <v>2054</v>
      </c>
      <c r="E582" s="178" t="s">
        <v>382</v>
      </c>
      <c r="F582" s="210" t="s">
        <v>2055</v>
      </c>
      <c r="G582" s="58" t="s">
        <v>384</v>
      </c>
      <c r="H582" s="546">
        <v>27761.33</v>
      </c>
      <c r="I582" s="66">
        <v>44736</v>
      </c>
      <c r="J582" s="65" t="s">
        <v>2056</v>
      </c>
      <c r="K582" s="58"/>
      <c r="L582" s="99"/>
      <c r="M582" s="70" t="s">
        <v>2057</v>
      </c>
      <c r="N582" s="97" t="s">
        <v>387</v>
      </c>
      <c r="O582" s="45" t="s">
        <v>150</v>
      </c>
      <c r="P582" s="58" t="s">
        <v>51</v>
      </c>
      <c r="Q582" s="58" t="s">
        <v>31</v>
      </c>
      <c r="R582" s="58" t="s">
        <v>272</v>
      </c>
    </row>
    <row r="583" spans="1:18" ht="69" customHeight="1">
      <c r="A583" s="168"/>
      <c r="B583" s="178">
        <v>1</v>
      </c>
      <c r="C583" s="178" t="s">
        <v>309</v>
      </c>
      <c r="D583" s="575" t="s">
        <v>2058</v>
      </c>
      <c r="E583" s="178" t="s">
        <v>382</v>
      </c>
      <c r="F583" s="210" t="s">
        <v>2059</v>
      </c>
      <c r="G583" s="58" t="s">
        <v>384</v>
      </c>
      <c r="H583" s="546">
        <v>39819.519999999997</v>
      </c>
      <c r="I583" s="66">
        <v>44736</v>
      </c>
      <c r="J583" s="65" t="s">
        <v>2060</v>
      </c>
      <c r="K583" s="58"/>
      <c r="L583" s="99"/>
      <c r="M583" s="70" t="s">
        <v>2057</v>
      </c>
      <c r="N583" s="97" t="s">
        <v>387</v>
      </c>
      <c r="O583" s="62" t="s">
        <v>150</v>
      </c>
      <c r="P583" s="58" t="s">
        <v>51</v>
      </c>
      <c r="Q583" s="58" t="s">
        <v>31</v>
      </c>
      <c r="R583" s="58" t="s">
        <v>272</v>
      </c>
    </row>
    <row r="584" spans="1:18" ht="69" customHeight="1">
      <c r="A584" s="168"/>
      <c r="B584" s="178">
        <v>7480</v>
      </c>
      <c r="C584" s="178" t="s">
        <v>309</v>
      </c>
      <c r="D584" s="575" t="s">
        <v>2061</v>
      </c>
      <c r="E584" s="178" t="s">
        <v>266</v>
      </c>
      <c r="F584" s="210" t="s">
        <v>2062</v>
      </c>
      <c r="G584" s="58" t="s">
        <v>444</v>
      </c>
      <c r="H584" s="546">
        <v>5334.67</v>
      </c>
      <c r="I584" s="66">
        <v>44879</v>
      </c>
      <c r="J584" s="65" t="s">
        <v>445</v>
      </c>
      <c r="K584" s="58"/>
      <c r="L584" s="99"/>
      <c r="M584" s="70" t="s">
        <v>1958</v>
      </c>
      <c r="N584" s="97" t="s">
        <v>270</v>
      </c>
      <c r="O584" s="58"/>
      <c r="P584" s="58" t="s">
        <v>44</v>
      </c>
      <c r="Q584" s="58" t="s">
        <v>31</v>
      </c>
      <c r="R584" s="58" t="s">
        <v>272</v>
      </c>
    </row>
    <row r="585" spans="1:18" ht="69" customHeight="1">
      <c r="A585" s="168"/>
      <c r="B585" s="178">
        <v>6060</v>
      </c>
      <c r="C585" s="178" t="s">
        <v>309</v>
      </c>
      <c r="D585" s="575" t="s">
        <v>2063</v>
      </c>
      <c r="E585" s="178" t="s">
        <v>266</v>
      </c>
      <c r="F585" s="210" t="s">
        <v>2064</v>
      </c>
      <c r="G585" s="58" t="s">
        <v>680</v>
      </c>
      <c r="H585" s="546">
        <v>6206.9</v>
      </c>
      <c r="I585" s="66" t="s">
        <v>96</v>
      </c>
      <c r="J585" s="65" t="s">
        <v>2065</v>
      </c>
      <c r="K585" s="58"/>
      <c r="L585" s="99"/>
      <c r="M585" s="70" t="s">
        <v>2066</v>
      </c>
      <c r="N585" s="97" t="s">
        <v>683</v>
      </c>
      <c r="O585" s="58" t="s">
        <v>684</v>
      </c>
      <c r="P585" s="58" t="s">
        <v>46</v>
      </c>
      <c r="Q585" s="58" t="s">
        <v>37</v>
      </c>
      <c r="R585" s="58" t="s">
        <v>272</v>
      </c>
    </row>
    <row r="586" spans="1:18" ht="69" customHeight="1">
      <c r="A586" s="168"/>
      <c r="B586" s="178">
        <v>6029</v>
      </c>
      <c r="C586" s="178" t="s">
        <v>309</v>
      </c>
      <c r="D586" s="575" t="s">
        <v>2067</v>
      </c>
      <c r="E586" s="178" t="s">
        <v>283</v>
      </c>
      <c r="F586" s="210" t="s">
        <v>2068</v>
      </c>
      <c r="G586" s="58" t="s">
        <v>718</v>
      </c>
      <c r="H586" s="546">
        <v>40000</v>
      </c>
      <c r="I586" s="66">
        <v>44769</v>
      </c>
      <c r="J586" s="65" t="s">
        <v>2069</v>
      </c>
      <c r="K586" s="58" t="s">
        <v>1976</v>
      </c>
      <c r="L586" s="99"/>
      <c r="M586" s="70" t="s">
        <v>1977</v>
      </c>
      <c r="N586" s="97" t="s">
        <v>264</v>
      </c>
      <c r="O586" s="58" t="s">
        <v>141</v>
      </c>
      <c r="P586" s="58" t="s">
        <v>17</v>
      </c>
      <c r="Q586" s="58" t="s">
        <v>31</v>
      </c>
      <c r="R586" s="58" t="s">
        <v>272</v>
      </c>
    </row>
    <row r="587" spans="1:18" ht="69" customHeight="1">
      <c r="A587" s="168"/>
      <c r="B587" s="178">
        <v>6335</v>
      </c>
      <c r="C587" s="178" t="s">
        <v>309</v>
      </c>
      <c r="D587" s="575" t="s">
        <v>2070</v>
      </c>
      <c r="E587" s="178" t="s">
        <v>409</v>
      </c>
      <c r="F587" s="210" t="s">
        <v>2071</v>
      </c>
      <c r="G587" s="58" t="s">
        <v>1761</v>
      </c>
      <c r="H587" s="546">
        <v>415886.25</v>
      </c>
      <c r="I587" s="66">
        <v>44790</v>
      </c>
      <c r="J587" s="65" t="s">
        <v>2072</v>
      </c>
      <c r="K587" s="58"/>
      <c r="L587" s="99"/>
      <c r="M587" s="70" t="s">
        <v>2073</v>
      </c>
      <c r="N587" s="97" t="s">
        <v>414</v>
      </c>
      <c r="O587" s="58"/>
      <c r="P587" s="58" t="s">
        <v>24</v>
      </c>
      <c r="Q587" s="58" t="s">
        <v>31</v>
      </c>
      <c r="R587" s="58" t="s">
        <v>272</v>
      </c>
    </row>
    <row r="588" spans="1:18" ht="69" customHeight="1">
      <c r="A588" s="168"/>
      <c r="B588" s="178">
        <v>7313</v>
      </c>
      <c r="C588" s="178" t="s">
        <v>309</v>
      </c>
      <c r="D588" s="575" t="s">
        <v>2074</v>
      </c>
      <c r="E588" s="178" t="s">
        <v>2075</v>
      </c>
      <c r="F588" s="210" t="s">
        <v>2076</v>
      </c>
      <c r="G588" s="58" t="s">
        <v>2077</v>
      </c>
      <c r="H588" s="546">
        <v>56400</v>
      </c>
      <c r="I588" s="66">
        <v>44869</v>
      </c>
      <c r="J588" s="65" t="s">
        <v>2078</v>
      </c>
      <c r="K588" s="58"/>
      <c r="L588" s="99"/>
      <c r="M588" s="70" t="s">
        <v>2079</v>
      </c>
      <c r="N588" s="97" t="s">
        <v>356</v>
      </c>
      <c r="O588" s="58" t="s">
        <v>156</v>
      </c>
      <c r="P588" s="58" t="s">
        <v>19</v>
      </c>
      <c r="Q588" s="58" t="s">
        <v>31</v>
      </c>
      <c r="R588" s="58" t="s">
        <v>265</v>
      </c>
    </row>
    <row r="589" spans="1:18" ht="69" customHeight="1">
      <c r="A589" s="168"/>
      <c r="B589" s="178">
        <v>7314</v>
      </c>
      <c r="C589" s="178" t="s">
        <v>309</v>
      </c>
      <c r="D589" s="575" t="s">
        <v>2080</v>
      </c>
      <c r="E589" s="178" t="s">
        <v>2075</v>
      </c>
      <c r="F589" s="210" t="s">
        <v>2081</v>
      </c>
      <c r="G589" s="58" t="s">
        <v>2077</v>
      </c>
      <c r="H589" s="546">
        <v>91500</v>
      </c>
      <c r="I589" s="66">
        <v>44869</v>
      </c>
      <c r="J589" s="65" t="s">
        <v>2078</v>
      </c>
      <c r="K589" s="58"/>
      <c r="L589" s="99"/>
      <c r="M589" s="70" t="s">
        <v>2079</v>
      </c>
      <c r="N589" s="97" t="s">
        <v>356</v>
      </c>
      <c r="O589" s="58" t="s">
        <v>156</v>
      </c>
      <c r="P589" s="58" t="s">
        <v>19</v>
      </c>
      <c r="Q589" s="58" t="s">
        <v>31</v>
      </c>
      <c r="R589" s="58" t="s">
        <v>265</v>
      </c>
    </row>
    <row r="590" spans="1:18" ht="69" customHeight="1">
      <c r="A590" s="168"/>
      <c r="B590" s="178">
        <v>7315</v>
      </c>
      <c r="C590" s="178" t="s">
        <v>309</v>
      </c>
      <c r="D590" s="575" t="s">
        <v>2082</v>
      </c>
      <c r="E590" s="178" t="s">
        <v>2075</v>
      </c>
      <c r="F590" s="210" t="s">
        <v>2083</v>
      </c>
      <c r="G590" s="58" t="s">
        <v>2077</v>
      </c>
      <c r="H590" s="546">
        <v>344000</v>
      </c>
      <c r="I590" s="66">
        <v>44869</v>
      </c>
      <c r="J590" s="65" t="s">
        <v>2078</v>
      </c>
      <c r="K590" s="58"/>
      <c r="L590" s="99"/>
      <c r="M590" s="70" t="s">
        <v>2079</v>
      </c>
      <c r="N590" s="97" t="s">
        <v>356</v>
      </c>
      <c r="O590" s="58" t="s">
        <v>156</v>
      </c>
      <c r="P590" s="58" t="s">
        <v>19</v>
      </c>
      <c r="Q590" s="58" t="s">
        <v>31</v>
      </c>
      <c r="R590" s="58" t="s">
        <v>265</v>
      </c>
    </row>
    <row r="591" spans="1:18" ht="69" customHeight="1">
      <c r="A591" s="168"/>
      <c r="B591" s="178">
        <v>7316</v>
      </c>
      <c r="C591" s="178" t="s">
        <v>309</v>
      </c>
      <c r="D591" s="575" t="s">
        <v>2084</v>
      </c>
      <c r="E591" s="178" t="s">
        <v>2075</v>
      </c>
      <c r="F591" s="210" t="s">
        <v>2085</v>
      </c>
      <c r="G591" s="58" t="s">
        <v>2077</v>
      </c>
      <c r="H591" s="546">
        <v>303710</v>
      </c>
      <c r="I591" s="66">
        <v>44878</v>
      </c>
      <c r="J591" s="65" t="s">
        <v>2078</v>
      </c>
      <c r="K591" s="58"/>
      <c r="L591" s="99"/>
      <c r="M591" s="70" t="s">
        <v>2079</v>
      </c>
      <c r="N591" s="97" t="s">
        <v>356</v>
      </c>
      <c r="O591" s="58" t="s">
        <v>156</v>
      </c>
      <c r="P591" s="58" t="s">
        <v>19</v>
      </c>
      <c r="Q591" s="58" t="s">
        <v>31</v>
      </c>
      <c r="R591" s="58" t="s">
        <v>265</v>
      </c>
    </row>
    <row r="592" spans="1:18" ht="69" customHeight="1">
      <c r="A592" s="168"/>
      <c r="B592" s="178">
        <v>7317</v>
      </c>
      <c r="C592" s="178" t="s">
        <v>309</v>
      </c>
      <c r="D592" s="575" t="s">
        <v>2086</v>
      </c>
      <c r="E592" s="178" t="s">
        <v>2075</v>
      </c>
      <c r="F592" s="210" t="s">
        <v>2087</v>
      </c>
      <c r="G592" s="58" t="s">
        <v>2077</v>
      </c>
      <c r="H592" s="546">
        <v>208240.73</v>
      </c>
      <c r="I592" s="66">
        <v>44882</v>
      </c>
      <c r="J592" s="65" t="s">
        <v>2078</v>
      </c>
      <c r="K592" s="58"/>
      <c r="L592" s="99"/>
      <c r="M592" s="70" t="s">
        <v>2079</v>
      </c>
      <c r="N592" s="97" t="s">
        <v>356</v>
      </c>
      <c r="O592" s="58" t="s">
        <v>156</v>
      </c>
      <c r="P592" s="58" t="s">
        <v>19</v>
      </c>
      <c r="Q592" s="58" t="s">
        <v>31</v>
      </c>
      <c r="R592" s="58" t="s">
        <v>265</v>
      </c>
    </row>
    <row r="593" spans="1:18" ht="69" customHeight="1">
      <c r="A593" s="168"/>
      <c r="B593" s="178">
        <v>6422</v>
      </c>
      <c r="C593" s="59" t="s">
        <v>309</v>
      </c>
      <c r="D593" s="581" t="s">
        <v>2088</v>
      </c>
      <c r="E593" s="59" t="s">
        <v>432</v>
      </c>
      <c r="F593" s="569" t="s">
        <v>2089</v>
      </c>
      <c r="G593" s="45" t="s">
        <v>429</v>
      </c>
      <c r="H593" s="546">
        <v>13959.486000000001</v>
      </c>
      <c r="I593" s="47">
        <v>44802</v>
      </c>
      <c r="J593" s="73" t="s">
        <v>1766</v>
      </c>
      <c r="K593" s="45"/>
      <c r="M593" s="70" t="s">
        <v>2090</v>
      </c>
      <c r="N593" s="97" t="s">
        <v>432</v>
      </c>
      <c r="O593" s="58" t="s">
        <v>2091</v>
      </c>
      <c r="P593" s="58" t="s">
        <v>53</v>
      </c>
      <c r="Q593" s="58" t="s">
        <v>31</v>
      </c>
      <c r="R593" s="58" t="s">
        <v>272</v>
      </c>
    </row>
    <row r="594" spans="1:18" ht="69" customHeight="1">
      <c r="A594" s="168"/>
      <c r="B594" s="178">
        <v>5339</v>
      </c>
      <c r="C594" s="178" t="s">
        <v>309</v>
      </c>
      <c r="D594" s="575" t="s">
        <v>2092</v>
      </c>
      <c r="E594" s="178" t="s">
        <v>552</v>
      </c>
      <c r="F594" s="210" t="s">
        <v>2093</v>
      </c>
      <c r="G594" s="58" t="s">
        <v>1107</v>
      </c>
      <c r="H594" s="546">
        <v>6500</v>
      </c>
      <c r="I594" s="66" t="s">
        <v>96</v>
      </c>
      <c r="J594" s="65" t="s">
        <v>2094</v>
      </c>
      <c r="K594" s="58" t="s">
        <v>2095</v>
      </c>
      <c r="L594" s="99"/>
      <c r="M594" s="70" t="s">
        <v>2096</v>
      </c>
      <c r="N594" s="97" t="s">
        <v>552</v>
      </c>
      <c r="O594" s="58" t="s">
        <v>971</v>
      </c>
      <c r="P594" s="58" t="s">
        <v>38</v>
      </c>
      <c r="Q594" s="58" t="s">
        <v>31</v>
      </c>
      <c r="R594" s="58" t="s">
        <v>272</v>
      </c>
    </row>
    <row r="595" spans="1:18" ht="69" customHeight="1">
      <c r="A595" s="168"/>
      <c r="B595" s="178">
        <v>6301</v>
      </c>
      <c r="C595" s="178" t="s">
        <v>309</v>
      </c>
      <c r="D595" s="575" t="s">
        <v>2097</v>
      </c>
      <c r="E595" s="178" t="s">
        <v>266</v>
      </c>
      <c r="F595" s="210" t="s">
        <v>2098</v>
      </c>
      <c r="G595" s="58" t="s">
        <v>790</v>
      </c>
      <c r="H595" s="546">
        <v>2281.25</v>
      </c>
      <c r="I595" s="66">
        <v>44834</v>
      </c>
      <c r="J595" s="65" t="s">
        <v>2099</v>
      </c>
      <c r="K595" s="58"/>
      <c r="L595" s="99"/>
      <c r="M595" s="70" t="s">
        <v>2066</v>
      </c>
      <c r="N595" s="97" t="s">
        <v>683</v>
      </c>
      <c r="O595" s="58" t="s">
        <v>684</v>
      </c>
      <c r="P595" s="58" t="s">
        <v>46</v>
      </c>
      <c r="Q595" s="58" t="s">
        <v>31</v>
      </c>
      <c r="R595" s="58" t="s">
        <v>272</v>
      </c>
    </row>
    <row r="596" spans="1:18" ht="69" customHeight="1">
      <c r="A596" s="168"/>
      <c r="B596" s="178">
        <v>7480</v>
      </c>
      <c r="C596" s="178" t="s">
        <v>309</v>
      </c>
      <c r="D596" s="575" t="s">
        <v>2061</v>
      </c>
      <c r="E596" s="178" t="s">
        <v>266</v>
      </c>
      <c r="F596" s="210" t="s">
        <v>2062</v>
      </c>
      <c r="G596" s="58" t="s">
        <v>444</v>
      </c>
      <c r="H596" s="546">
        <v>5334.67</v>
      </c>
      <c r="I596" s="66">
        <v>44879</v>
      </c>
      <c r="J596" s="65" t="s">
        <v>445</v>
      </c>
      <c r="K596" s="58"/>
      <c r="L596" s="99"/>
      <c r="M596" s="70" t="s">
        <v>1958</v>
      </c>
      <c r="N596" s="97" t="s">
        <v>270</v>
      </c>
      <c r="O596" s="58"/>
      <c r="P596" s="58" t="s">
        <v>44</v>
      </c>
      <c r="Q596" s="58" t="s">
        <v>31</v>
      </c>
      <c r="R596" s="58" t="s">
        <v>272</v>
      </c>
    </row>
    <row r="597" spans="1:18" ht="69" customHeight="1">
      <c r="A597" s="168"/>
      <c r="B597" s="178">
        <v>7564</v>
      </c>
      <c r="C597" s="178" t="s">
        <v>309</v>
      </c>
      <c r="D597" s="575" t="s">
        <v>2100</v>
      </c>
      <c r="E597" s="178" t="s">
        <v>2101</v>
      </c>
      <c r="F597" s="210" t="s">
        <v>2102</v>
      </c>
      <c r="G597" s="58" t="s">
        <v>2103</v>
      </c>
      <c r="H597" s="546">
        <v>0</v>
      </c>
      <c r="I597" s="66">
        <v>44895</v>
      </c>
      <c r="J597" s="65" t="s">
        <v>2104</v>
      </c>
      <c r="K597" s="58" t="s">
        <v>2105</v>
      </c>
      <c r="L597" s="99"/>
      <c r="M597" s="70" t="s">
        <v>2106</v>
      </c>
      <c r="N597" s="97" t="s">
        <v>264</v>
      </c>
      <c r="O597" s="58" t="s">
        <v>141</v>
      </c>
      <c r="P597" s="58" t="s">
        <v>17</v>
      </c>
      <c r="Q597" s="58" t="s">
        <v>31</v>
      </c>
      <c r="R597" s="58" t="s">
        <v>265</v>
      </c>
    </row>
    <row r="598" spans="1:18" ht="69" customHeight="1">
      <c r="A598" s="168"/>
      <c r="B598" s="178">
        <v>7565</v>
      </c>
      <c r="C598" s="178" t="s">
        <v>309</v>
      </c>
      <c r="D598" s="575" t="s">
        <v>2107</v>
      </c>
      <c r="E598" s="178" t="s">
        <v>2101</v>
      </c>
      <c r="F598" s="210" t="s">
        <v>2108</v>
      </c>
      <c r="G598" s="58" t="s">
        <v>2103</v>
      </c>
      <c r="H598" s="546">
        <v>0</v>
      </c>
      <c r="I598" s="66">
        <v>44895</v>
      </c>
      <c r="J598" s="65" t="s">
        <v>2104</v>
      </c>
      <c r="K598" s="58" t="s">
        <v>2105</v>
      </c>
      <c r="L598" s="99"/>
      <c r="M598" s="70" t="s">
        <v>2106</v>
      </c>
      <c r="N598" s="97" t="s">
        <v>264</v>
      </c>
      <c r="O598" s="58" t="s">
        <v>141</v>
      </c>
      <c r="P598" s="58" t="s">
        <v>17</v>
      </c>
      <c r="Q598" s="58" t="s">
        <v>31</v>
      </c>
      <c r="R598" s="58" t="s">
        <v>265</v>
      </c>
    </row>
    <row r="599" spans="1:18" ht="69" customHeight="1">
      <c r="A599" s="168"/>
      <c r="B599" s="178">
        <v>7610</v>
      </c>
      <c r="C599" s="178" t="s">
        <v>309</v>
      </c>
      <c r="D599" s="575" t="s">
        <v>2109</v>
      </c>
      <c r="E599" s="178" t="s">
        <v>2075</v>
      </c>
      <c r="F599" s="210" t="s">
        <v>2110</v>
      </c>
      <c r="G599" s="58" t="s">
        <v>1838</v>
      </c>
      <c r="H599" s="546">
        <v>11959.6</v>
      </c>
      <c r="I599" s="66">
        <v>44902</v>
      </c>
      <c r="J599" s="65" t="s">
        <v>2111</v>
      </c>
      <c r="K599" s="58"/>
      <c r="L599" s="99"/>
      <c r="M599" s="70" t="s">
        <v>2079</v>
      </c>
      <c r="N599" s="97" t="s">
        <v>356</v>
      </c>
      <c r="O599" s="58" t="s">
        <v>156</v>
      </c>
      <c r="P599" s="58" t="s">
        <v>19</v>
      </c>
      <c r="Q599" s="58" t="s">
        <v>31</v>
      </c>
      <c r="R599" s="58" t="s">
        <v>265</v>
      </c>
    </row>
    <row r="600" spans="1:18" ht="69" customHeight="1">
      <c r="A600" s="168"/>
      <c r="B600" s="178">
        <v>7609</v>
      </c>
      <c r="C600" s="178" t="s">
        <v>309</v>
      </c>
      <c r="D600" s="575" t="s">
        <v>2112</v>
      </c>
      <c r="E600" s="178" t="s">
        <v>2075</v>
      </c>
      <c r="F600" s="210" t="s">
        <v>2113</v>
      </c>
      <c r="G600" s="58" t="s">
        <v>1838</v>
      </c>
      <c r="H600" s="546">
        <v>10558.08</v>
      </c>
      <c r="I600" s="66">
        <v>44902</v>
      </c>
      <c r="J600" s="65" t="s">
        <v>2111</v>
      </c>
      <c r="K600" s="58"/>
      <c r="L600" s="99"/>
      <c r="M600" s="70" t="s">
        <v>2079</v>
      </c>
      <c r="N600" s="97" t="s">
        <v>356</v>
      </c>
      <c r="O600" s="58" t="s">
        <v>156</v>
      </c>
      <c r="P600" s="58" t="s">
        <v>19</v>
      </c>
      <c r="Q600" s="58" t="s">
        <v>31</v>
      </c>
      <c r="R600" s="58" t="s">
        <v>265</v>
      </c>
    </row>
    <row r="601" spans="1:18" ht="69" customHeight="1">
      <c r="A601" s="168"/>
      <c r="B601" s="178">
        <v>6841</v>
      </c>
      <c r="C601" s="178" t="s">
        <v>309</v>
      </c>
      <c r="D601" s="575" t="s">
        <v>2114</v>
      </c>
      <c r="E601" s="178" t="s">
        <v>266</v>
      </c>
      <c r="F601" s="210" t="s">
        <v>2115</v>
      </c>
      <c r="G601" s="58" t="s">
        <v>448</v>
      </c>
      <c r="H601" s="546">
        <v>17500</v>
      </c>
      <c r="I601" s="66">
        <v>44832</v>
      </c>
      <c r="J601" s="65" t="s">
        <v>2116</v>
      </c>
      <c r="K601" s="58"/>
      <c r="L601" s="99"/>
      <c r="M601" s="70" t="s">
        <v>2117</v>
      </c>
      <c r="N601" s="97" t="s">
        <v>399</v>
      </c>
      <c r="O601" s="58"/>
      <c r="P601" s="58" t="s">
        <v>40</v>
      </c>
      <c r="Q601" s="58" t="s">
        <v>31</v>
      </c>
      <c r="R601" s="58" t="s">
        <v>272</v>
      </c>
    </row>
    <row r="602" spans="1:18" ht="69" customHeight="1">
      <c r="A602" s="168"/>
      <c r="B602" s="178">
        <v>7558</v>
      </c>
      <c r="C602" s="178" t="s">
        <v>309</v>
      </c>
      <c r="D602" s="575" t="s">
        <v>2118</v>
      </c>
      <c r="E602" s="178" t="s">
        <v>552</v>
      </c>
      <c r="F602" s="210" t="s">
        <v>2119</v>
      </c>
      <c r="G602" s="58" t="s">
        <v>1107</v>
      </c>
      <c r="H602" s="546">
        <v>6500</v>
      </c>
      <c r="I602" s="66">
        <v>44893</v>
      </c>
      <c r="J602" s="65" t="s">
        <v>1831</v>
      </c>
      <c r="K602" s="58"/>
      <c r="L602" s="99"/>
      <c r="M602" s="70" t="s">
        <v>2096</v>
      </c>
      <c r="N602" s="97" t="s">
        <v>552</v>
      </c>
      <c r="O602" s="58" t="s">
        <v>971</v>
      </c>
      <c r="P602" s="58" t="s">
        <v>38</v>
      </c>
      <c r="Q602" s="58" t="s">
        <v>31</v>
      </c>
      <c r="R602" s="58" t="s">
        <v>272</v>
      </c>
    </row>
    <row r="603" spans="1:18" ht="69" customHeight="1">
      <c r="A603" s="168"/>
      <c r="B603" s="178">
        <v>7559</v>
      </c>
      <c r="C603" s="178" t="s">
        <v>309</v>
      </c>
      <c r="D603" s="575" t="s">
        <v>2120</v>
      </c>
      <c r="E603" s="178" t="s">
        <v>552</v>
      </c>
      <c r="F603" s="210" t="s">
        <v>2121</v>
      </c>
      <c r="G603" s="58" t="s">
        <v>1107</v>
      </c>
      <c r="H603" s="546">
        <v>6500</v>
      </c>
      <c r="I603" s="66">
        <v>44893</v>
      </c>
      <c r="J603" s="65" t="s">
        <v>1831</v>
      </c>
      <c r="K603" s="58"/>
      <c r="L603" s="99"/>
      <c r="M603" s="70" t="s">
        <v>2096</v>
      </c>
      <c r="N603" s="97" t="s">
        <v>552</v>
      </c>
      <c r="O603" s="58" t="s">
        <v>971</v>
      </c>
      <c r="P603" s="58" t="s">
        <v>38</v>
      </c>
      <c r="Q603" s="58" t="s">
        <v>31</v>
      </c>
      <c r="R603" s="58" t="s">
        <v>272</v>
      </c>
    </row>
    <row r="604" spans="1:18" ht="69" customHeight="1">
      <c r="A604" s="168"/>
      <c r="B604" s="178">
        <v>7560</v>
      </c>
      <c r="C604" s="178" t="s">
        <v>309</v>
      </c>
      <c r="D604" s="575" t="s">
        <v>2122</v>
      </c>
      <c r="E604" s="178" t="s">
        <v>552</v>
      </c>
      <c r="F604" s="210" t="s">
        <v>2123</v>
      </c>
      <c r="G604" s="58" t="s">
        <v>1107</v>
      </c>
      <c r="H604" s="546">
        <v>6500</v>
      </c>
      <c r="I604" s="66">
        <v>44893</v>
      </c>
      <c r="J604" s="65" t="s">
        <v>1831</v>
      </c>
      <c r="K604" s="58"/>
      <c r="L604" s="99"/>
      <c r="M604" s="70" t="s">
        <v>2096</v>
      </c>
      <c r="N604" s="97" t="s">
        <v>552</v>
      </c>
      <c r="O604" s="58" t="s">
        <v>971</v>
      </c>
      <c r="P604" s="58" t="s">
        <v>38</v>
      </c>
      <c r="Q604" s="58" t="s">
        <v>31</v>
      </c>
      <c r="R604" s="58" t="s">
        <v>272</v>
      </c>
    </row>
    <row r="605" spans="1:18" ht="69" customHeight="1">
      <c r="A605" s="168"/>
      <c r="B605" s="178">
        <v>7561</v>
      </c>
      <c r="C605" s="178" t="s">
        <v>309</v>
      </c>
      <c r="D605" s="575" t="s">
        <v>2124</v>
      </c>
      <c r="E605" s="178" t="s">
        <v>552</v>
      </c>
      <c r="F605" s="210" t="s">
        <v>2125</v>
      </c>
      <c r="G605" s="58" t="s">
        <v>1107</v>
      </c>
      <c r="H605" s="546">
        <v>850</v>
      </c>
      <c r="I605" s="66">
        <v>44893</v>
      </c>
      <c r="J605" s="65" t="s">
        <v>1831</v>
      </c>
      <c r="K605" s="58"/>
      <c r="L605" s="99"/>
      <c r="M605" s="70" t="s">
        <v>2096</v>
      </c>
      <c r="N605" s="97" t="s">
        <v>552</v>
      </c>
      <c r="O605" s="58" t="s">
        <v>971</v>
      </c>
      <c r="P605" s="58" t="s">
        <v>38</v>
      </c>
      <c r="Q605" s="58" t="s">
        <v>31</v>
      </c>
      <c r="R605" s="58" t="s">
        <v>272</v>
      </c>
    </row>
    <row r="606" spans="1:18" ht="69" customHeight="1">
      <c r="A606" s="168"/>
      <c r="B606" s="178">
        <v>8362</v>
      </c>
      <c r="C606" s="178" t="s">
        <v>309</v>
      </c>
      <c r="D606" s="575" t="s">
        <v>2126</v>
      </c>
      <c r="E606" s="178" t="s">
        <v>552</v>
      </c>
      <c r="F606" s="210" t="s">
        <v>2127</v>
      </c>
      <c r="G606" s="58" t="s">
        <v>1107</v>
      </c>
      <c r="H606" s="546">
        <v>6500</v>
      </c>
      <c r="I606" s="66">
        <v>44923</v>
      </c>
      <c r="J606" s="65" t="s">
        <v>2128</v>
      </c>
      <c r="K606" s="58"/>
      <c r="L606" s="99"/>
      <c r="M606" s="70" t="s">
        <v>2096</v>
      </c>
      <c r="N606" s="97" t="s">
        <v>552</v>
      </c>
      <c r="O606" s="58" t="s">
        <v>971</v>
      </c>
      <c r="P606" s="58" t="s">
        <v>38</v>
      </c>
      <c r="Q606" s="58" t="s">
        <v>31</v>
      </c>
      <c r="R606" s="58" t="s">
        <v>272</v>
      </c>
    </row>
    <row r="607" spans="1:18" ht="69" customHeight="1">
      <c r="A607" s="168"/>
      <c r="B607" s="178">
        <v>7599</v>
      </c>
      <c r="C607" s="178" t="s">
        <v>309</v>
      </c>
      <c r="D607" s="575" t="s">
        <v>2129</v>
      </c>
      <c r="E607" s="178" t="s">
        <v>266</v>
      </c>
      <c r="F607" s="210" t="s">
        <v>2130</v>
      </c>
      <c r="G607" s="58" t="s">
        <v>392</v>
      </c>
      <c r="H607" s="546">
        <v>1150</v>
      </c>
      <c r="I607" s="66">
        <v>44895</v>
      </c>
      <c r="J607" s="65" t="s">
        <v>457</v>
      </c>
      <c r="K607" s="58"/>
      <c r="L607" s="99"/>
      <c r="M607" s="70" t="s">
        <v>1958</v>
      </c>
      <c r="N607" s="97" t="s">
        <v>270</v>
      </c>
      <c r="O607" s="58"/>
      <c r="P607" s="58" t="s">
        <v>44</v>
      </c>
      <c r="Q607" s="58" t="s">
        <v>31</v>
      </c>
      <c r="R607" s="58" t="s">
        <v>272</v>
      </c>
    </row>
    <row r="608" spans="1:18" ht="69" customHeight="1">
      <c r="A608" s="168"/>
      <c r="B608" s="178">
        <v>8070</v>
      </c>
      <c r="C608" s="178" t="s">
        <v>2131</v>
      </c>
      <c r="D608" s="575" t="s">
        <v>2132</v>
      </c>
      <c r="E608" s="178" t="s">
        <v>266</v>
      </c>
      <c r="F608" s="210" t="s">
        <v>2133</v>
      </c>
      <c r="G608" s="58" t="s">
        <v>453</v>
      </c>
      <c r="H608" s="546">
        <v>1000</v>
      </c>
      <c r="I608" s="66">
        <v>44911</v>
      </c>
      <c r="J608" s="65" t="s">
        <v>454</v>
      </c>
      <c r="K608" s="58"/>
      <c r="L608" s="99"/>
      <c r="M608" s="70" t="s">
        <v>1958</v>
      </c>
      <c r="N608" s="97" t="s">
        <v>270</v>
      </c>
      <c r="O608" s="58"/>
      <c r="P608" s="58" t="s">
        <v>44</v>
      </c>
      <c r="Q608" s="58" t="s">
        <v>31</v>
      </c>
      <c r="R608" s="58" t="s">
        <v>272</v>
      </c>
    </row>
    <row r="609" spans="1:18" ht="69" customHeight="1">
      <c r="A609" s="168"/>
      <c r="B609" s="178">
        <v>8256</v>
      </c>
      <c r="C609" s="178" t="s">
        <v>309</v>
      </c>
      <c r="D609" s="575" t="s">
        <v>2134</v>
      </c>
      <c r="E609" s="178" t="s">
        <v>2075</v>
      </c>
      <c r="F609" s="210" t="s">
        <v>2135</v>
      </c>
      <c r="G609" s="58" t="s">
        <v>1838</v>
      </c>
      <c r="H609" s="546">
        <v>3261.72</v>
      </c>
      <c r="I609" s="66">
        <v>44939</v>
      </c>
      <c r="J609" s="65" t="s">
        <v>2136</v>
      </c>
      <c r="K609" s="58"/>
      <c r="L609" s="99"/>
      <c r="M609" s="70" t="s">
        <v>2079</v>
      </c>
      <c r="N609" s="97" t="s">
        <v>356</v>
      </c>
      <c r="O609" s="58" t="s">
        <v>156</v>
      </c>
      <c r="P609" s="58" t="s">
        <v>19</v>
      </c>
      <c r="Q609" s="58" t="s">
        <v>31</v>
      </c>
      <c r="R609" s="58" t="s">
        <v>265</v>
      </c>
    </row>
    <row r="610" spans="1:18" ht="69" customHeight="1">
      <c r="A610" s="168"/>
      <c r="B610" s="178">
        <v>7087</v>
      </c>
      <c r="C610" s="178" t="s">
        <v>309</v>
      </c>
      <c r="D610" s="575" t="s">
        <v>1152</v>
      </c>
      <c r="E610" s="178" t="s">
        <v>921</v>
      </c>
      <c r="F610" s="210" t="s">
        <v>2137</v>
      </c>
      <c r="G610" s="58" t="s">
        <v>2138</v>
      </c>
      <c r="H610" s="546">
        <v>400000</v>
      </c>
      <c r="I610" s="66">
        <v>44859</v>
      </c>
      <c r="J610" s="65" t="s">
        <v>2139</v>
      </c>
      <c r="K610" s="58"/>
      <c r="L610" s="99"/>
      <c r="M610" s="70" t="s">
        <v>1983</v>
      </c>
      <c r="N610" s="97" t="s">
        <v>356</v>
      </c>
      <c r="O610" s="58" t="s">
        <v>156</v>
      </c>
      <c r="P610" s="58" t="s">
        <v>19</v>
      </c>
      <c r="Q610" s="58" t="s">
        <v>31</v>
      </c>
      <c r="R610" s="58" t="s">
        <v>272</v>
      </c>
    </row>
    <row r="611" spans="1:18" ht="69" customHeight="1">
      <c r="A611" s="168"/>
      <c r="B611" s="178">
        <v>6956</v>
      </c>
      <c r="C611" s="178" t="s">
        <v>309</v>
      </c>
      <c r="D611" s="575" t="s">
        <v>1869</v>
      </c>
      <c r="E611" s="178" t="s">
        <v>2075</v>
      </c>
      <c r="F611" s="210" t="s">
        <v>1870</v>
      </c>
      <c r="G611" s="58" t="s">
        <v>805</v>
      </c>
      <c r="H611" s="546">
        <v>118860</v>
      </c>
      <c r="I611" s="66">
        <v>44851</v>
      </c>
      <c r="J611" s="65" t="s">
        <v>1871</v>
      </c>
      <c r="K611" s="58"/>
      <c r="L611" s="99"/>
      <c r="M611" s="70" t="s">
        <v>2079</v>
      </c>
      <c r="N611" s="97" t="s">
        <v>356</v>
      </c>
      <c r="O611" s="58" t="s">
        <v>156</v>
      </c>
      <c r="P611" s="58" t="s">
        <v>19</v>
      </c>
      <c r="Q611" s="58" t="s">
        <v>31</v>
      </c>
      <c r="R611" s="58" t="s">
        <v>265</v>
      </c>
    </row>
    <row r="612" spans="1:18" ht="69" customHeight="1">
      <c r="A612" s="168"/>
      <c r="B612" s="178">
        <v>7548</v>
      </c>
      <c r="C612" s="178" t="s">
        <v>309</v>
      </c>
      <c r="D612" s="575" t="s">
        <v>2140</v>
      </c>
      <c r="E612" s="178" t="s">
        <v>2075</v>
      </c>
      <c r="F612" s="210" t="s">
        <v>2141</v>
      </c>
      <c r="G612" s="58" t="s">
        <v>1838</v>
      </c>
      <c r="H612" s="546">
        <v>721356.38</v>
      </c>
      <c r="I612" s="66">
        <v>44890</v>
      </c>
      <c r="J612" s="65" t="s">
        <v>2142</v>
      </c>
      <c r="K612" s="58"/>
      <c r="L612" s="99"/>
      <c r="M612" s="70" t="s">
        <v>2079</v>
      </c>
      <c r="N612" s="97" t="s">
        <v>356</v>
      </c>
      <c r="O612" s="58" t="s">
        <v>156</v>
      </c>
      <c r="P612" s="58" t="s">
        <v>19</v>
      </c>
      <c r="Q612" s="58" t="s">
        <v>31</v>
      </c>
      <c r="R612" s="58" t="s">
        <v>265</v>
      </c>
    </row>
    <row r="613" spans="1:18" ht="69" customHeight="1">
      <c r="A613" s="168"/>
      <c r="B613" s="178">
        <v>8750</v>
      </c>
      <c r="C613" s="178" t="s">
        <v>309</v>
      </c>
      <c r="D613" s="575" t="s">
        <v>2143</v>
      </c>
      <c r="E613" s="178" t="s">
        <v>2075</v>
      </c>
      <c r="F613" s="210" t="s">
        <v>2144</v>
      </c>
      <c r="G613" s="58" t="s">
        <v>2145</v>
      </c>
      <c r="H613" s="546">
        <v>38755.879999999997</v>
      </c>
      <c r="I613" s="66">
        <v>44970</v>
      </c>
      <c r="J613" s="65" t="s">
        <v>2146</v>
      </c>
      <c r="K613" s="58" t="s">
        <v>2147</v>
      </c>
      <c r="L613" s="99"/>
      <c r="M613" s="70" t="s">
        <v>2079</v>
      </c>
      <c r="N613" s="97" t="s">
        <v>356</v>
      </c>
      <c r="O613" s="58" t="s">
        <v>156</v>
      </c>
      <c r="P613" s="58" t="s">
        <v>19</v>
      </c>
      <c r="Q613" s="58" t="s">
        <v>31</v>
      </c>
      <c r="R613" s="58" t="s">
        <v>265</v>
      </c>
    </row>
    <row r="614" spans="1:18" ht="69" customHeight="1">
      <c r="A614" s="168"/>
      <c r="B614" s="178">
        <v>7319</v>
      </c>
      <c r="C614" s="178" t="s">
        <v>309</v>
      </c>
      <c r="D614" s="575" t="s">
        <v>2148</v>
      </c>
      <c r="E614" s="178" t="s">
        <v>2075</v>
      </c>
      <c r="F614" s="210" t="s">
        <v>2149</v>
      </c>
      <c r="G614" s="58" t="s">
        <v>2077</v>
      </c>
      <c r="H614" s="546">
        <v>205834.79</v>
      </c>
      <c r="I614" s="66">
        <v>44882</v>
      </c>
      <c r="J614" s="65" t="s">
        <v>2150</v>
      </c>
      <c r="K614" s="58"/>
      <c r="L614" s="99"/>
      <c r="M614" s="70" t="s">
        <v>2079</v>
      </c>
      <c r="N614" s="97" t="s">
        <v>356</v>
      </c>
      <c r="O614" s="58" t="s">
        <v>156</v>
      </c>
      <c r="P614" s="58" t="s">
        <v>19</v>
      </c>
      <c r="Q614" s="58" t="s">
        <v>31</v>
      </c>
      <c r="R614" s="58" t="s">
        <v>265</v>
      </c>
    </row>
    <row r="615" spans="1:18" ht="69" customHeight="1">
      <c r="A615" s="168"/>
      <c r="B615" s="178">
        <v>8824</v>
      </c>
      <c r="C615" s="178" t="s">
        <v>309</v>
      </c>
      <c r="D615" s="575" t="s">
        <v>2151</v>
      </c>
      <c r="E615" s="178" t="s">
        <v>2075</v>
      </c>
      <c r="F615" s="210" t="s">
        <v>2152</v>
      </c>
      <c r="G615" s="58" t="s">
        <v>2153</v>
      </c>
      <c r="H615" s="546">
        <v>5450.05</v>
      </c>
      <c r="I615" s="66">
        <v>44966</v>
      </c>
      <c r="J615" s="65" t="s">
        <v>2154</v>
      </c>
      <c r="K615" s="58"/>
      <c r="L615" s="99"/>
      <c r="M615" s="70" t="s">
        <v>2079</v>
      </c>
      <c r="N615" s="97" t="s">
        <v>356</v>
      </c>
      <c r="O615" s="58" t="s">
        <v>156</v>
      </c>
      <c r="P615" s="58" t="s">
        <v>19</v>
      </c>
      <c r="Q615" s="58" t="s">
        <v>31</v>
      </c>
      <c r="R615" s="58" t="s">
        <v>265</v>
      </c>
    </row>
    <row r="616" spans="1:18" ht="69" customHeight="1">
      <c r="A616" s="168"/>
      <c r="B616" s="191">
        <v>9333</v>
      </c>
      <c r="C616" s="191" t="s">
        <v>309</v>
      </c>
      <c r="D616" s="533" t="s">
        <v>2155</v>
      </c>
      <c r="E616" s="191" t="s">
        <v>2156</v>
      </c>
      <c r="F616" s="211" t="s">
        <v>2157</v>
      </c>
      <c r="G616" s="46" t="s">
        <v>2158</v>
      </c>
      <c r="H616" s="534">
        <v>11239.02</v>
      </c>
      <c r="I616" s="56">
        <v>45007</v>
      </c>
      <c r="J616" s="199" t="s">
        <v>2159</v>
      </c>
      <c r="K616" s="46" t="s">
        <v>167</v>
      </c>
      <c r="L616" s="99"/>
      <c r="M616" s="379"/>
      <c r="N616" s="76" t="s">
        <v>414</v>
      </c>
      <c r="O616" s="46"/>
      <c r="P616" s="46" t="s">
        <v>71</v>
      </c>
      <c r="Q616" s="46" t="s">
        <v>31</v>
      </c>
      <c r="R616" s="46" t="s">
        <v>272</v>
      </c>
    </row>
    <row r="617" spans="1:18" ht="69" customHeight="1">
      <c r="A617" s="168"/>
      <c r="B617" s="191">
        <v>9334</v>
      </c>
      <c r="C617" s="191" t="s">
        <v>309</v>
      </c>
      <c r="D617" s="533" t="s">
        <v>2160</v>
      </c>
      <c r="E617" s="191" t="s">
        <v>2156</v>
      </c>
      <c r="F617" s="211" t="s">
        <v>2161</v>
      </c>
      <c r="G617" s="46" t="s">
        <v>2158</v>
      </c>
      <c r="H617" s="534">
        <v>11239.02</v>
      </c>
      <c r="I617" s="56">
        <v>45007</v>
      </c>
      <c r="J617" s="199" t="s">
        <v>2159</v>
      </c>
      <c r="K617" s="46" t="s">
        <v>167</v>
      </c>
      <c r="L617" s="99"/>
      <c r="M617" s="379"/>
      <c r="N617" s="76" t="s">
        <v>414</v>
      </c>
      <c r="O617" s="46"/>
      <c r="P617" s="46" t="s">
        <v>71</v>
      </c>
      <c r="Q617" s="46" t="s">
        <v>31</v>
      </c>
      <c r="R617" s="46" t="s">
        <v>272</v>
      </c>
    </row>
    <row r="618" spans="1:18" ht="69" customHeight="1">
      <c r="A618" s="168"/>
      <c r="B618" s="178">
        <v>9444</v>
      </c>
      <c r="C618" s="178" t="s">
        <v>309</v>
      </c>
      <c r="D618" s="575" t="s">
        <v>2162</v>
      </c>
      <c r="E618" s="178" t="s">
        <v>2156</v>
      </c>
      <c r="F618" s="210" t="s">
        <v>2163</v>
      </c>
      <c r="G618" s="58" t="s">
        <v>1241</v>
      </c>
      <c r="H618" s="546">
        <v>25756.720000000001</v>
      </c>
      <c r="I618" s="66">
        <v>45012</v>
      </c>
      <c r="J618" s="65" t="s">
        <v>1245</v>
      </c>
      <c r="K618" s="58"/>
      <c r="L618" s="99"/>
      <c r="M618" s="70" t="s">
        <v>2164</v>
      </c>
      <c r="N618" s="97" t="s">
        <v>414</v>
      </c>
      <c r="O618" s="58"/>
      <c r="P618" s="58" t="s">
        <v>24</v>
      </c>
      <c r="Q618" s="58" t="s">
        <v>31</v>
      </c>
      <c r="R618" s="58" t="s">
        <v>265</v>
      </c>
    </row>
    <row r="619" spans="1:18" ht="69" customHeight="1">
      <c r="A619" s="168"/>
      <c r="B619" s="178">
        <v>9688</v>
      </c>
      <c r="C619" s="178" t="s">
        <v>309</v>
      </c>
      <c r="D619" s="575" t="s">
        <v>2165</v>
      </c>
      <c r="E619" s="178" t="s">
        <v>2156</v>
      </c>
      <c r="F619" s="210" t="s">
        <v>2166</v>
      </c>
      <c r="G619" s="58" t="s">
        <v>2167</v>
      </c>
      <c r="H619" s="546">
        <v>480963.73</v>
      </c>
      <c r="I619" s="66">
        <v>45019</v>
      </c>
      <c r="J619" s="65" t="s">
        <v>2168</v>
      </c>
      <c r="K619" s="58" t="s">
        <v>2169</v>
      </c>
      <c r="L619" s="99"/>
      <c r="M619" s="70" t="s">
        <v>2164</v>
      </c>
      <c r="N619" s="97" t="s">
        <v>414</v>
      </c>
      <c r="O619" s="58"/>
      <c r="P619" s="58" t="s">
        <v>24</v>
      </c>
      <c r="Q619" s="58" t="s">
        <v>31</v>
      </c>
      <c r="R619" s="58" t="s">
        <v>265</v>
      </c>
    </row>
    <row r="620" spans="1:18" ht="69" customHeight="1">
      <c r="A620" s="168"/>
      <c r="B620" s="191">
        <v>9903</v>
      </c>
      <c r="C620" s="191" t="s">
        <v>309</v>
      </c>
      <c r="D620" s="533" t="s">
        <v>2170</v>
      </c>
      <c r="E620" s="191" t="s">
        <v>2156</v>
      </c>
      <c r="F620" s="211" t="s">
        <v>2171</v>
      </c>
      <c r="G620" s="46" t="s">
        <v>2172</v>
      </c>
      <c r="H620" s="534">
        <v>11239.02</v>
      </c>
      <c r="I620" s="56">
        <v>45044</v>
      </c>
      <c r="J620" s="199" t="s">
        <v>2173</v>
      </c>
      <c r="K620" s="46" t="s">
        <v>167</v>
      </c>
      <c r="L620" s="99"/>
      <c r="M620" s="379"/>
      <c r="N620" s="76" t="s">
        <v>414</v>
      </c>
      <c r="O620" s="46"/>
      <c r="P620" s="46" t="s">
        <v>71</v>
      </c>
      <c r="Q620" s="46" t="s">
        <v>31</v>
      </c>
      <c r="R620" s="46" t="s">
        <v>272</v>
      </c>
    </row>
    <row r="621" spans="1:18" ht="69" customHeight="1">
      <c r="A621" s="168"/>
      <c r="B621" s="191">
        <v>9911</v>
      </c>
      <c r="C621" s="191" t="s">
        <v>309</v>
      </c>
      <c r="D621" s="533" t="s">
        <v>2174</v>
      </c>
      <c r="E621" s="191" t="s">
        <v>2156</v>
      </c>
      <c r="F621" s="211" t="s">
        <v>2175</v>
      </c>
      <c r="G621" s="46" t="s">
        <v>2176</v>
      </c>
      <c r="H621" s="534">
        <v>11524.5</v>
      </c>
      <c r="I621" s="56">
        <v>45044</v>
      </c>
      <c r="J621" s="199" t="s">
        <v>2177</v>
      </c>
      <c r="K621" s="46" t="s">
        <v>167</v>
      </c>
      <c r="L621" s="99"/>
      <c r="M621" s="379"/>
      <c r="N621" s="76" t="s">
        <v>414</v>
      </c>
      <c r="O621" s="46"/>
      <c r="P621" s="46" t="s">
        <v>65</v>
      </c>
      <c r="Q621" s="46" t="s">
        <v>31</v>
      </c>
      <c r="R621" s="46" t="s">
        <v>272</v>
      </c>
    </row>
    <row r="622" spans="1:18" ht="69" customHeight="1">
      <c r="A622" s="168"/>
      <c r="B622" s="191">
        <v>9938</v>
      </c>
      <c r="C622" s="191" t="s">
        <v>309</v>
      </c>
      <c r="D622" s="533" t="s">
        <v>2178</v>
      </c>
      <c r="E622" s="191" t="s">
        <v>2156</v>
      </c>
      <c r="F622" s="211" t="s">
        <v>2179</v>
      </c>
      <c r="G622" s="46" t="s">
        <v>2180</v>
      </c>
      <c r="H622" s="534">
        <v>47350</v>
      </c>
      <c r="I622" s="56">
        <v>45061</v>
      </c>
      <c r="J622" s="199" t="s">
        <v>2181</v>
      </c>
      <c r="K622" s="46" t="s">
        <v>881</v>
      </c>
      <c r="L622" s="99"/>
      <c r="M622" s="379"/>
      <c r="N622" s="76" t="s">
        <v>414</v>
      </c>
      <c r="O622" s="46"/>
      <c r="P622" s="46" t="s">
        <v>65</v>
      </c>
      <c r="Q622" s="46" t="s">
        <v>31</v>
      </c>
      <c r="R622" s="46" t="s">
        <v>272</v>
      </c>
    </row>
    <row r="623" spans="1:18" ht="69" customHeight="1">
      <c r="A623" s="168"/>
      <c r="B623" s="178">
        <v>9845</v>
      </c>
      <c r="C623" s="178" t="s">
        <v>2182</v>
      </c>
      <c r="D623" s="575" t="s">
        <v>2183</v>
      </c>
      <c r="E623" s="178" t="s">
        <v>552</v>
      </c>
      <c r="F623" s="210" t="s">
        <v>2184</v>
      </c>
      <c r="G623" s="58" t="s">
        <v>2185</v>
      </c>
      <c r="H623" s="546">
        <v>18000</v>
      </c>
      <c r="I623" s="66">
        <v>45040</v>
      </c>
      <c r="J623" s="65" t="s">
        <v>2186</v>
      </c>
      <c r="K623" s="58"/>
      <c r="L623" s="99"/>
      <c r="M623" s="70" t="s">
        <v>2096</v>
      </c>
      <c r="N623" s="97" t="s">
        <v>552</v>
      </c>
      <c r="O623" s="58" t="s">
        <v>971</v>
      </c>
      <c r="P623" s="58" t="s">
        <v>38</v>
      </c>
      <c r="Q623" s="58" t="s">
        <v>31</v>
      </c>
      <c r="R623" s="58" t="s">
        <v>272</v>
      </c>
    </row>
    <row r="624" spans="1:18" ht="69" customHeight="1">
      <c r="A624" s="168"/>
      <c r="B624" s="191">
        <v>1965</v>
      </c>
      <c r="C624" s="191" t="s">
        <v>259</v>
      </c>
      <c r="D624" s="533" t="s">
        <v>96</v>
      </c>
      <c r="E624" s="191" t="s">
        <v>260</v>
      </c>
      <c r="F624" s="211" t="s">
        <v>2187</v>
      </c>
      <c r="G624" s="533" t="s">
        <v>96</v>
      </c>
      <c r="H624" s="534">
        <v>7500</v>
      </c>
      <c r="I624" s="56">
        <v>44425</v>
      </c>
      <c r="J624" s="283" t="s">
        <v>891</v>
      </c>
      <c r="K624" s="46" t="s">
        <v>2188</v>
      </c>
      <c r="L624" s="99"/>
      <c r="M624" s="70" t="s">
        <v>2189</v>
      </c>
      <c r="N624" s="97" t="s">
        <v>264</v>
      </c>
      <c r="O624" s="46" t="s">
        <v>141</v>
      </c>
      <c r="P624" s="46" t="s">
        <v>65</v>
      </c>
      <c r="Q624" s="46" t="s">
        <v>33</v>
      </c>
      <c r="R624" s="46" t="s">
        <v>265</v>
      </c>
    </row>
    <row r="625" spans="1:18" ht="69" customHeight="1">
      <c r="A625" s="168"/>
      <c r="B625" s="178">
        <v>2059</v>
      </c>
      <c r="C625" s="178" t="s">
        <v>259</v>
      </c>
      <c r="D625" s="575" t="s">
        <v>96</v>
      </c>
      <c r="E625" s="178" t="s">
        <v>266</v>
      </c>
      <c r="F625" s="210" t="s">
        <v>2190</v>
      </c>
      <c r="G625" s="575" t="s">
        <v>96</v>
      </c>
      <c r="H625" s="546">
        <v>10496.25</v>
      </c>
      <c r="I625" s="66">
        <v>44438</v>
      </c>
      <c r="J625" s="63" t="s">
        <v>268</v>
      </c>
      <c r="K625" s="58"/>
      <c r="L625" s="99"/>
      <c r="M625" s="70" t="s">
        <v>2191</v>
      </c>
      <c r="N625" s="97" t="s">
        <v>270</v>
      </c>
      <c r="O625" s="58"/>
      <c r="P625" s="58" t="s">
        <v>44</v>
      </c>
      <c r="Q625" s="58" t="s">
        <v>33</v>
      </c>
      <c r="R625" s="58" t="s">
        <v>272</v>
      </c>
    </row>
    <row r="626" spans="1:18" ht="69" customHeight="1">
      <c r="A626" s="168"/>
      <c r="B626" s="178">
        <v>2074</v>
      </c>
      <c r="C626" s="178" t="s">
        <v>259</v>
      </c>
      <c r="D626" s="575" t="s">
        <v>96</v>
      </c>
      <c r="E626" s="178" t="s">
        <v>266</v>
      </c>
      <c r="F626" s="210" t="s">
        <v>2192</v>
      </c>
      <c r="G626" s="575" t="s">
        <v>96</v>
      </c>
      <c r="H626" s="546">
        <v>11551.75</v>
      </c>
      <c r="I626" s="66">
        <v>44438</v>
      </c>
      <c r="J626" s="63" t="s">
        <v>268</v>
      </c>
      <c r="K626" s="58"/>
      <c r="L626" s="99"/>
      <c r="M626" s="70" t="s">
        <v>2191</v>
      </c>
      <c r="N626" s="97" t="s">
        <v>270</v>
      </c>
      <c r="O626" s="58"/>
      <c r="P626" s="58" t="s">
        <v>44</v>
      </c>
      <c r="Q626" s="58" t="s">
        <v>33</v>
      </c>
      <c r="R626" s="58" t="s">
        <v>272</v>
      </c>
    </row>
    <row r="627" spans="1:18" ht="69" customHeight="1">
      <c r="A627" s="168"/>
      <c r="B627" s="178">
        <v>2161</v>
      </c>
      <c r="C627" s="178" t="s">
        <v>303</v>
      </c>
      <c r="D627" s="575" t="s">
        <v>2193</v>
      </c>
      <c r="E627" s="178" t="s">
        <v>305</v>
      </c>
      <c r="F627" s="210" t="s">
        <v>2194</v>
      </c>
      <c r="G627" s="58"/>
      <c r="H627" s="546">
        <v>10000</v>
      </c>
      <c r="I627" s="66">
        <v>44456</v>
      </c>
      <c r="J627" s="63" t="s">
        <v>2195</v>
      </c>
      <c r="K627" s="58"/>
      <c r="L627" s="99"/>
      <c r="M627" s="70" t="s">
        <v>2191</v>
      </c>
      <c r="N627" s="97" t="s">
        <v>270</v>
      </c>
      <c r="O627" s="58"/>
      <c r="P627" s="58" t="s">
        <v>44</v>
      </c>
      <c r="Q627" s="58" t="s">
        <v>33</v>
      </c>
      <c r="R627" s="58" t="s">
        <v>272</v>
      </c>
    </row>
    <row r="628" spans="1:18" ht="69" customHeight="1">
      <c r="A628" s="168"/>
      <c r="B628" s="191">
        <v>2201</v>
      </c>
      <c r="C628" s="191" t="s">
        <v>259</v>
      </c>
      <c r="D628" s="533"/>
      <c r="E628" s="191" t="s">
        <v>260</v>
      </c>
      <c r="F628" s="211" t="s">
        <v>2187</v>
      </c>
      <c r="G628" s="533" t="s">
        <v>96</v>
      </c>
      <c r="H628" s="534">
        <v>7500</v>
      </c>
      <c r="I628" s="56">
        <v>44468</v>
      </c>
      <c r="J628" s="418" t="s">
        <v>896</v>
      </c>
      <c r="K628" s="46" t="s">
        <v>2188</v>
      </c>
      <c r="L628" s="99"/>
      <c r="M628" s="70" t="s">
        <v>2189</v>
      </c>
      <c r="N628" s="97" t="s">
        <v>264</v>
      </c>
      <c r="O628" s="46" t="s">
        <v>141</v>
      </c>
      <c r="P628" s="46" t="s">
        <v>65</v>
      </c>
      <c r="Q628" s="46" t="s">
        <v>33</v>
      </c>
      <c r="R628" s="46" t="s">
        <v>265</v>
      </c>
    </row>
    <row r="629" spans="1:18" ht="69" customHeight="1">
      <c r="A629" s="168"/>
      <c r="B629" s="178">
        <v>2261</v>
      </c>
      <c r="C629" s="178" t="s">
        <v>259</v>
      </c>
      <c r="D629" s="575" t="s">
        <v>96</v>
      </c>
      <c r="E629" s="178" t="s">
        <v>266</v>
      </c>
      <c r="F629" s="210" t="s">
        <v>2196</v>
      </c>
      <c r="G629" s="575" t="s">
        <v>96</v>
      </c>
      <c r="H629" s="546">
        <v>532.44000000000005</v>
      </c>
      <c r="I629" s="66">
        <v>44466</v>
      </c>
      <c r="J629" s="63" t="s">
        <v>2197</v>
      </c>
      <c r="K629" s="58"/>
      <c r="L629" s="99"/>
      <c r="M629" s="70" t="s">
        <v>2191</v>
      </c>
      <c r="N629" s="97" t="s">
        <v>270</v>
      </c>
      <c r="O629" s="58"/>
      <c r="P629" s="58" t="s">
        <v>44</v>
      </c>
      <c r="Q629" s="58" t="s">
        <v>33</v>
      </c>
      <c r="R629" s="58" t="s">
        <v>272</v>
      </c>
    </row>
    <row r="630" spans="1:18" ht="69" customHeight="1">
      <c r="A630" s="168"/>
      <c r="B630" s="178">
        <v>2262</v>
      </c>
      <c r="C630" s="178" t="s">
        <v>259</v>
      </c>
      <c r="D630" s="575" t="s">
        <v>96</v>
      </c>
      <c r="E630" s="178" t="s">
        <v>266</v>
      </c>
      <c r="F630" s="210" t="s">
        <v>2198</v>
      </c>
      <c r="G630" s="575" t="s">
        <v>96</v>
      </c>
      <c r="H630" s="546">
        <v>610.25</v>
      </c>
      <c r="I630" s="66">
        <v>44466</v>
      </c>
      <c r="J630" s="63" t="s">
        <v>2199</v>
      </c>
      <c r="K630" s="58"/>
      <c r="L630" s="99"/>
      <c r="M630" s="70" t="s">
        <v>2191</v>
      </c>
      <c r="N630" s="97" t="s">
        <v>270</v>
      </c>
      <c r="O630" s="58"/>
      <c r="P630" s="58" t="s">
        <v>44</v>
      </c>
      <c r="Q630" s="58" t="s">
        <v>33</v>
      </c>
      <c r="R630" s="58" t="s">
        <v>272</v>
      </c>
    </row>
    <row r="631" spans="1:18" ht="69" customHeight="1">
      <c r="A631" s="168"/>
      <c r="B631" s="178">
        <v>2263</v>
      </c>
      <c r="C631" s="178" t="s">
        <v>259</v>
      </c>
      <c r="D631" s="575" t="s">
        <v>96</v>
      </c>
      <c r="E631" s="178" t="s">
        <v>266</v>
      </c>
      <c r="F631" s="210" t="s">
        <v>2200</v>
      </c>
      <c r="G631" s="575" t="s">
        <v>96</v>
      </c>
      <c r="H631" s="546">
        <v>96.81</v>
      </c>
      <c r="I631" s="66">
        <v>44466</v>
      </c>
      <c r="J631" s="63" t="s">
        <v>2201</v>
      </c>
      <c r="K631" s="58"/>
      <c r="L631" s="99"/>
      <c r="M631" s="70" t="s">
        <v>2191</v>
      </c>
      <c r="N631" s="97" t="s">
        <v>270</v>
      </c>
      <c r="O631" s="58"/>
      <c r="P631" s="58" t="s">
        <v>44</v>
      </c>
      <c r="Q631" s="58" t="s">
        <v>33</v>
      </c>
      <c r="R631" s="58" t="s">
        <v>272</v>
      </c>
    </row>
    <row r="632" spans="1:18" ht="69" customHeight="1">
      <c r="A632" s="168"/>
      <c r="B632" s="178">
        <v>2264</v>
      </c>
      <c r="C632" s="178" t="s">
        <v>259</v>
      </c>
      <c r="D632" s="575" t="s">
        <v>96</v>
      </c>
      <c r="E632" s="178" t="s">
        <v>266</v>
      </c>
      <c r="F632" s="210" t="s">
        <v>2202</v>
      </c>
      <c r="G632" s="575" t="s">
        <v>96</v>
      </c>
      <c r="H632" s="546">
        <v>304.42</v>
      </c>
      <c r="I632" s="66">
        <v>44466</v>
      </c>
      <c r="J632" s="63" t="s">
        <v>2203</v>
      </c>
      <c r="K632" s="58"/>
      <c r="L632" s="99"/>
      <c r="M632" s="70" t="s">
        <v>2191</v>
      </c>
      <c r="N632" s="97" t="s">
        <v>270</v>
      </c>
      <c r="O632" s="58"/>
      <c r="P632" s="58" t="s">
        <v>44</v>
      </c>
      <c r="Q632" s="58" t="s">
        <v>33</v>
      </c>
      <c r="R632" s="58" t="s">
        <v>272</v>
      </c>
    </row>
    <row r="633" spans="1:18" ht="69" customHeight="1">
      <c r="A633" s="168"/>
      <c r="B633" s="178">
        <v>2115</v>
      </c>
      <c r="C633" s="178" t="s">
        <v>259</v>
      </c>
      <c r="D633" s="575"/>
      <c r="E633" s="178" t="s">
        <v>266</v>
      </c>
      <c r="F633" s="210" t="s">
        <v>2204</v>
      </c>
      <c r="G633" s="58"/>
      <c r="H633" s="546">
        <v>8397</v>
      </c>
      <c r="I633" s="66">
        <v>44455</v>
      </c>
      <c r="J633" s="63" t="s">
        <v>281</v>
      </c>
      <c r="K633" s="58"/>
      <c r="L633" s="99"/>
      <c r="M633" s="70" t="s">
        <v>2191</v>
      </c>
      <c r="N633" s="97" t="s">
        <v>270</v>
      </c>
      <c r="O633" s="58"/>
      <c r="P633" s="58" t="s">
        <v>44</v>
      </c>
      <c r="Q633" s="58" t="s">
        <v>33</v>
      </c>
      <c r="R633" s="58" t="s">
        <v>272</v>
      </c>
    </row>
    <row r="634" spans="1:18" ht="69" customHeight="1">
      <c r="A634" s="168"/>
      <c r="B634" s="178">
        <v>2333</v>
      </c>
      <c r="C634" s="178" t="s">
        <v>259</v>
      </c>
      <c r="D634" s="575"/>
      <c r="E634" s="178" t="s">
        <v>266</v>
      </c>
      <c r="F634" s="210" t="s">
        <v>2205</v>
      </c>
      <c r="G634" s="58"/>
      <c r="H634" s="546">
        <v>9241.4</v>
      </c>
      <c r="I634" s="66">
        <v>44479</v>
      </c>
      <c r="J634" s="63" t="s">
        <v>2206</v>
      </c>
      <c r="K634" s="58"/>
      <c r="L634" s="99"/>
      <c r="M634" s="70" t="s">
        <v>2191</v>
      </c>
      <c r="N634" s="97" t="s">
        <v>270</v>
      </c>
      <c r="O634" s="58"/>
      <c r="P634" s="58" t="s">
        <v>44</v>
      </c>
      <c r="Q634" s="58" t="s">
        <v>33</v>
      </c>
      <c r="R634" s="58" t="s">
        <v>272</v>
      </c>
    </row>
    <row r="635" spans="1:18" ht="69" customHeight="1">
      <c r="A635" s="168"/>
      <c r="B635" s="191">
        <v>2351</v>
      </c>
      <c r="C635" s="191" t="s">
        <v>259</v>
      </c>
      <c r="D635" s="533"/>
      <c r="E635" s="191" t="s">
        <v>283</v>
      </c>
      <c r="F635" s="211" t="s">
        <v>2207</v>
      </c>
      <c r="G635" s="533" t="s">
        <v>96</v>
      </c>
      <c r="H635" s="534">
        <v>7500</v>
      </c>
      <c r="I635" s="56">
        <v>44489</v>
      </c>
      <c r="J635" s="283" t="s">
        <v>285</v>
      </c>
      <c r="K635" s="46" t="s">
        <v>2188</v>
      </c>
      <c r="L635" s="99"/>
      <c r="M635" s="70" t="s">
        <v>2208</v>
      </c>
      <c r="N635" s="97" t="s">
        <v>264</v>
      </c>
      <c r="O635" s="46" t="s">
        <v>141</v>
      </c>
      <c r="P635" s="46" t="s">
        <v>65</v>
      </c>
      <c r="Q635" s="46" t="s">
        <v>33</v>
      </c>
      <c r="R635" s="46" t="s">
        <v>272</v>
      </c>
    </row>
    <row r="636" spans="1:18" ht="69" customHeight="1">
      <c r="A636" s="168"/>
      <c r="B636" s="178">
        <v>2475</v>
      </c>
      <c r="C636" s="178" t="s">
        <v>309</v>
      </c>
      <c r="D636" s="575" t="s">
        <v>2209</v>
      </c>
      <c r="E636" s="178" t="s">
        <v>921</v>
      </c>
      <c r="F636" s="210" t="s">
        <v>2210</v>
      </c>
      <c r="G636" s="58" t="s">
        <v>2211</v>
      </c>
      <c r="H636" s="546">
        <v>42105</v>
      </c>
      <c r="I636" s="66">
        <v>44531</v>
      </c>
      <c r="J636" s="63" t="s">
        <v>2212</v>
      </c>
      <c r="K636" s="58" t="s">
        <v>2213</v>
      </c>
      <c r="L636" s="99"/>
      <c r="M636" s="70" t="s">
        <v>2214</v>
      </c>
      <c r="N636" s="97" t="s">
        <v>356</v>
      </c>
      <c r="O636" s="58" t="s">
        <v>156</v>
      </c>
      <c r="P636" s="58" t="s">
        <v>19</v>
      </c>
      <c r="Q636" s="58" t="s">
        <v>33</v>
      </c>
      <c r="R636" s="58" t="s">
        <v>272</v>
      </c>
    </row>
    <row r="637" spans="1:18" ht="69" customHeight="1">
      <c r="A637" s="168"/>
      <c r="B637" s="178">
        <v>2642</v>
      </c>
      <c r="C637" s="178" t="s">
        <v>309</v>
      </c>
      <c r="D637" s="575" t="s">
        <v>2215</v>
      </c>
      <c r="E637" s="178" t="s">
        <v>266</v>
      </c>
      <c r="F637" s="210" t="s">
        <v>2216</v>
      </c>
      <c r="G637" s="58" t="s">
        <v>640</v>
      </c>
      <c r="H637" s="546">
        <v>8875</v>
      </c>
      <c r="I637" s="66">
        <v>44546</v>
      </c>
      <c r="J637" s="63" t="s">
        <v>2217</v>
      </c>
      <c r="K637" s="58"/>
      <c r="L637" s="99"/>
      <c r="M637" s="70" t="s">
        <v>2191</v>
      </c>
      <c r="N637" s="97" t="s">
        <v>270</v>
      </c>
      <c r="O637" s="58"/>
      <c r="P637" s="58" t="s">
        <v>44</v>
      </c>
      <c r="Q637" s="58" t="s">
        <v>33</v>
      </c>
      <c r="R637" s="58" t="s">
        <v>272</v>
      </c>
    </row>
    <row r="638" spans="1:18" ht="69" customHeight="1">
      <c r="A638" s="168"/>
      <c r="B638" s="178">
        <v>2643</v>
      </c>
      <c r="C638" s="178" t="s">
        <v>309</v>
      </c>
      <c r="D638" s="575" t="s">
        <v>2218</v>
      </c>
      <c r="E638" s="178" t="s">
        <v>266</v>
      </c>
      <c r="F638" s="210" t="s">
        <v>2219</v>
      </c>
      <c r="G638" s="58" t="s">
        <v>315</v>
      </c>
      <c r="H638" s="546">
        <v>7100</v>
      </c>
      <c r="I638" s="66">
        <v>44550</v>
      </c>
      <c r="J638" s="63" t="s">
        <v>2220</v>
      </c>
      <c r="K638" s="58"/>
      <c r="L638" s="99"/>
      <c r="M638" s="70" t="s">
        <v>2191</v>
      </c>
      <c r="N638" s="97" t="s">
        <v>270</v>
      </c>
      <c r="O638" s="58"/>
      <c r="P638" s="58" t="s">
        <v>44</v>
      </c>
      <c r="Q638" s="58" t="s">
        <v>33</v>
      </c>
      <c r="R638" s="58" t="s">
        <v>272</v>
      </c>
    </row>
    <row r="639" spans="1:18" ht="69" customHeight="1">
      <c r="A639" s="168"/>
      <c r="B639" s="178">
        <v>2642</v>
      </c>
      <c r="C639" s="178" t="s">
        <v>309</v>
      </c>
      <c r="D639" s="575" t="s">
        <v>2221</v>
      </c>
      <c r="E639" s="178" t="s">
        <v>266</v>
      </c>
      <c r="F639" s="210" t="s">
        <v>2222</v>
      </c>
      <c r="G639" s="58" t="s">
        <v>640</v>
      </c>
      <c r="H639" s="546">
        <v>8875</v>
      </c>
      <c r="I639" s="66">
        <v>44546</v>
      </c>
      <c r="J639" s="63" t="s">
        <v>2217</v>
      </c>
      <c r="K639" s="58"/>
      <c r="L639" s="99"/>
      <c r="M639" s="70" t="s">
        <v>2191</v>
      </c>
      <c r="N639" s="97" t="s">
        <v>270</v>
      </c>
      <c r="O639" s="58"/>
      <c r="P639" s="58" t="s">
        <v>44</v>
      </c>
      <c r="Q639" s="58" t="s">
        <v>33</v>
      </c>
      <c r="R639" s="58" t="s">
        <v>272</v>
      </c>
    </row>
    <row r="640" spans="1:18" ht="69" customHeight="1">
      <c r="A640" s="168"/>
      <c r="B640" s="178">
        <v>2643</v>
      </c>
      <c r="C640" s="178" t="s">
        <v>309</v>
      </c>
      <c r="D640" s="575" t="s">
        <v>2223</v>
      </c>
      <c r="E640" s="178" t="s">
        <v>266</v>
      </c>
      <c r="F640" s="210" t="s">
        <v>2224</v>
      </c>
      <c r="G640" s="58" t="s">
        <v>315</v>
      </c>
      <c r="H640" s="546">
        <v>7100</v>
      </c>
      <c r="I640" s="66">
        <v>44550</v>
      </c>
      <c r="J640" s="63" t="s">
        <v>2220</v>
      </c>
      <c r="K640" s="58"/>
      <c r="L640" s="99"/>
      <c r="M640" s="70" t="s">
        <v>2191</v>
      </c>
      <c r="N640" s="97" t="s">
        <v>270</v>
      </c>
      <c r="O640" s="58"/>
      <c r="P640" s="58" t="s">
        <v>44</v>
      </c>
      <c r="Q640" s="58" t="s">
        <v>33</v>
      </c>
      <c r="R640" s="58" t="s">
        <v>272</v>
      </c>
    </row>
    <row r="641" spans="1:18" ht="69" customHeight="1">
      <c r="A641" s="168"/>
      <c r="B641" s="178">
        <v>2860</v>
      </c>
      <c r="C641" s="178" t="s">
        <v>309</v>
      </c>
      <c r="D641" s="575" t="s">
        <v>2225</v>
      </c>
      <c r="E641" s="178" t="s">
        <v>270</v>
      </c>
      <c r="F641" s="210" t="s">
        <v>2226</v>
      </c>
      <c r="G641" s="58" t="s">
        <v>325</v>
      </c>
      <c r="H641" s="546">
        <v>4235.3</v>
      </c>
      <c r="I641" s="66" t="s">
        <v>96</v>
      </c>
      <c r="J641" s="63" t="s">
        <v>2227</v>
      </c>
      <c r="K641" s="58"/>
      <c r="L641" s="99"/>
      <c r="M641" s="70" t="s">
        <v>2191</v>
      </c>
      <c r="N641" s="97" t="s">
        <v>270</v>
      </c>
      <c r="O641" s="58"/>
      <c r="P641" s="58" t="s">
        <v>44</v>
      </c>
      <c r="Q641" s="58" t="s">
        <v>33</v>
      </c>
      <c r="R641" s="58" t="s">
        <v>272</v>
      </c>
    </row>
    <row r="642" spans="1:18" ht="69" customHeight="1">
      <c r="A642" s="168"/>
      <c r="B642" s="178">
        <v>3038</v>
      </c>
      <c r="C642" s="178" t="s">
        <v>259</v>
      </c>
      <c r="D642" s="575"/>
      <c r="E642" s="178" t="s">
        <v>266</v>
      </c>
      <c r="F642" s="210" t="s">
        <v>2228</v>
      </c>
      <c r="G642" s="58" t="s">
        <v>328</v>
      </c>
      <c r="H642" s="546">
        <v>596.29</v>
      </c>
      <c r="I642" s="66">
        <v>44594</v>
      </c>
      <c r="J642" s="63" t="s">
        <v>2229</v>
      </c>
      <c r="K642" s="58"/>
      <c r="L642" s="99"/>
      <c r="M642" s="70" t="s">
        <v>2191</v>
      </c>
      <c r="N642" s="97" t="s">
        <v>270</v>
      </c>
      <c r="O642" s="58"/>
      <c r="P642" s="58" t="s">
        <v>44</v>
      </c>
      <c r="Q642" s="58" t="s">
        <v>33</v>
      </c>
      <c r="R642" s="58" t="s">
        <v>272</v>
      </c>
    </row>
    <row r="643" spans="1:18" ht="69" customHeight="1">
      <c r="A643" s="168"/>
      <c r="B643" s="178">
        <v>3039</v>
      </c>
      <c r="C643" s="178" t="s">
        <v>259</v>
      </c>
      <c r="D643" s="575"/>
      <c r="E643" s="178" t="s">
        <v>266</v>
      </c>
      <c r="F643" s="210" t="s">
        <v>2230</v>
      </c>
      <c r="G643" s="58" t="s">
        <v>392</v>
      </c>
      <c r="H643" s="546">
        <v>620.14</v>
      </c>
      <c r="I643" s="66">
        <v>44594</v>
      </c>
      <c r="J643" s="63" t="s">
        <v>2231</v>
      </c>
      <c r="K643" s="58"/>
      <c r="L643" s="99"/>
      <c r="M643" s="70" t="s">
        <v>2191</v>
      </c>
      <c r="N643" s="97" t="s">
        <v>270</v>
      </c>
      <c r="O643" s="58"/>
      <c r="P643" s="58" t="s">
        <v>44</v>
      </c>
      <c r="Q643" s="58" t="s">
        <v>33</v>
      </c>
      <c r="R643" s="58" t="s">
        <v>272</v>
      </c>
    </row>
    <row r="644" spans="1:18" ht="69" customHeight="1">
      <c r="A644" s="168"/>
      <c r="B644" s="178">
        <v>3040</v>
      </c>
      <c r="C644" s="178" t="s">
        <v>259</v>
      </c>
      <c r="D644" s="575"/>
      <c r="E644" s="178" t="s">
        <v>266</v>
      </c>
      <c r="F644" s="210" t="s">
        <v>2232</v>
      </c>
      <c r="G644" s="58" t="s">
        <v>392</v>
      </c>
      <c r="H644" s="546">
        <v>161.93</v>
      </c>
      <c r="I644" s="66">
        <v>44594</v>
      </c>
      <c r="J644" s="63" t="s">
        <v>2233</v>
      </c>
      <c r="K644" s="58"/>
      <c r="L644" s="99"/>
      <c r="M644" s="70" t="s">
        <v>2191</v>
      </c>
      <c r="N644" s="97" t="s">
        <v>270</v>
      </c>
      <c r="O644" s="58"/>
      <c r="P644" s="58" t="s">
        <v>44</v>
      </c>
      <c r="Q644" s="58" t="s">
        <v>33</v>
      </c>
      <c r="R644" s="58" t="s">
        <v>272</v>
      </c>
    </row>
    <row r="645" spans="1:18" ht="69" customHeight="1">
      <c r="A645" s="168"/>
      <c r="B645" s="178">
        <v>3041</v>
      </c>
      <c r="C645" s="178" t="s">
        <v>259</v>
      </c>
      <c r="D645" s="575"/>
      <c r="E645" s="178" t="s">
        <v>266</v>
      </c>
      <c r="F645" s="210" t="s">
        <v>2234</v>
      </c>
      <c r="G645" s="58" t="s">
        <v>392</v>
      </c>
      <c r="H645" s="546">
        <v>1184.6199999999999</v>
      </c>
      <c r="I645" s="66">
        <v>44594</v>
      </c>
      <c r="J645" s="63" t="s">
        <v>2235</v>
      </c>
      <c r="K645" s="58"/>
      <c r="L645" s="99"/>
      <c r="M645" s="70" t="s">
        <v>2191</v>
      </c>
      <c r="N645" s="97" t="s">
        <v>270</v>
      </c>
      <c r="O645" s="58"/>
      <c r="P645" s="58" t="s">
        <v>44</v>
      </c>
      <c r="Q645" s="58" t="s">
        <v>33</v>
      </c>
      <c r="R645" s="58" t="s">
        <v>272</v>
      </c>
    </row>
    <row r="646" spans="1:18" ht="69" customHeight="1">
      <c r="A646" s="168"/>
      <c r="B646" s="178">
        <v>3038</v>
      </c>
      <c r="C646" s="178" t="s">
        <v>259</v>
      </c>
      <c r="D646" s="575"/>
      <c r="E646" s="178" t="s">
        <v>266</v>
      </c>
      <c r="F646" s="210" t="s">
        <v>2236</v>
      </c>
      <c r="G646" s="58" t="s">
        <v>392</v>
      </c>
      <c r="H646" s="546">
        <v>501.83</v>
      </c>
      <c r="I646" s="66">
        <v>44596</v>
      </c>
      <c r="J646" s="63" t="s">
        <v>2237</v>
      </c>
      <c r="K646" s="58"/>
      <c r="L646" s="99"/>
      <c r="M646" s="70" t="s">
        <v>2191</v>
      </c>
      <c r="N646" s="97" t="s">
        <v>270</v>
      </c>
      <c r="O646" s="58"/>
      <c r="P646" s="58" t="s">
        <v>44</v>
      </c>
      <c r="Q646" s="58" t="s">
        <v>33</v>
      </c>
      <c r="R646" s="58" t="s">
        <v>272</v>
      </c>
    </row>
    <row r="647" spans="1:18" ht="69" customHeight="1">
      <c r="A647" s="168"/>
      <c r="B647" s="178">
        <v>3039</v>
      </c>
      <c r="C647" s="178" t="s">
        <v>259</v>
      </c>
      <c r="D647" s="575"/>
      <c r="E647" s="178" t="s">
        <v>266</v>
      </c>
      <c r="F647" s="210" t="s">
        <v>2238</v>
      </c>
      <c r="G647" s="58" t="s">
        <v>392</v>
      </c>
      <c r="H647" s="546">
        <v>236.28</v>
      </c>
      <c r="I647" s="66">
        <v>44596</v>
      </c>
      <c r="J647" s="63" t="s">
        <v>2239</v>
      </c>
      <c r="K647" s="58"/>
      <c r="L647" s="99"/>
      <c r="M647" s="70" t="s">
        <v>2191</v>
      </c>
      <c r="N647" s="97" t="s">
        <v>270</v>
      </c>
      <c r="O647" s="58"/>
      <c r="P647" s="58" t="s">
        <v>44</v>
      </c>
      <c r="Q647" s="58" t="s">
        <v>33</v>
      </c>
      <c r="R647" s="58" t="s">
        <v>272</v>
      </c>
    </row>
    <row r="648" spans="1:18" ht="69" customHeight="1">
      <c r="A648" s="168"/>
      <c r="B648" s="191">
        <v>2968</v>
      </c>
      <c r="C648" s="191" t="s">
        <v>309</v>
      </c>
      <c r="D648" s="533" t="s">
        <v>2240</v>
      </c>
      <c r="E648" s="191" t="s">
        <v>331</v>
      </c>
      <c r="F648" s="211" t="s">
        <v>2241</v>
      </c>
      <c r="G648" s="46" t="s">
        <v>333</v>
      </c>
      <c r="H648" s="534">
        <v>0</v>
      </c>
      <c r="I648" s="56" t="s">
        <v>96</v>
      </c>
      <c r="J648" s="283" t="s">
        <v>334</v>
      </c>
      <c r="K648" s="46"/>
      <c r="L648" s="99"/>
      <c r="M648" s="379" t="s">
        <v>33</v>
      </c>
      <c r="N648" s="76" t="s">
        <v>69</v>
      </c>
      <c r="O648" s="46"/>
      <c r="P648" s="46" t="s">
        <v>69</v>
      </c>
      <c r="Q648" s="46" t="s">
        <v>33</v>
      </c>
      <c r="R648" s="46" t="s">
        <v>272</v>
      </c>
    </row>
    <row r="649" spans="1:18" ht="69" customHeight="1">
      <c r="A649" s="168"/>
      <c r="B649" s="178">
        <v>3067</v>
      </c>
      <c r="C649" s="178" t="s">
        <v>259</v>
      </c>
      <c r="D649" s="575"/>
      <c r="E649" s="178" t="s">
        <v>266</v>
      </c>
      <c r="F649" s="210" t="s">
        <v>2242</v>
      </c>
      <c r="G649" s="58" t="s">
        <v>392</v>
      </c>
      <c r="H649" s="546">
        <v>111.55</v>
      </c>
      <c r="I649" s="66">
        <v>44601</v>
      </c>
      <c r="J649" s="63" t="s">
        <v>2243</v>
      </c>
      <c r="K649" s="58"/>
      <c r="L649" s="99"/>
      <c r="M649" s="70" t="s">
        <v>2191</v>
      </c>
      <c r="N649" s="97" t="s">
        <v>270</v>
      </c>
      <c r="O649" s="58"/>
      <c r="P649" s="58" t="s">
        <v>44</v>
      </c>
      <c r="Q649" s="58" t="s">
        <v>33</v>
      </c>
      <c r="R649" s="58" t="s">
        <v>272</v>
      </c>
    </row>
    <row r="650" spans="1:18" ht="69" customHeight="1">
      <c r="A650" s="168"/>
      <c r="B650" s="178">
        <v>3068</v>
      </c>
      <c r="C650" s="178" t="s">
        <v>259</v>
      </c>
      <c r="D650" s="575"/>
      <c r="E650" s="178" t="s">
        <v>266</v>
      </c>
      <c r="F650" s="210" t="s">
        <v>2244</v>
      </c>
      <c r="G650" s="58" t="s">
        <v>392</v>
      </c>
      <c r="H650" s="546">
        <v>20.420000000000002</v>
      </c>
      <c r="I650" s="66">
        <v>44601</v>
      </c>
      <c r="J650" s="63" t="s">
        <v>2245</v>
      </c>
      <c r="K650" s="58"/>
      <c r="L650" s="99"/>
      <c r="M650" s="70" t="s">
        <v>2191</v>
      </c>
      <c r="N650" s="97" t="s">
        <v>270</v>
      </c>
      <c r="O650" s="58"/>
      <c r="P650" s="58" t="s">
        <v>44</v>
      </c>
      <c r="Q650" s="58" t="s">
        <v>33</v>
      </c>
      <c r="R650" s="58" t="s">
        <v>272</v>
      </c>
    </row>
    <row r="651" spans="1:18" ht="69" customHeight="1">
      <c r="A651" s="168"/>
      <c r="B651" s="178">
        <v>3069</v>
      </c>
      <c r="C651" s="178" t="s">
        <v>259</v>
      </c>
      <c r="D651" s="575"/>
      <c r="E651" s="178" t="s">
        <v>266</v>
      </c>
      <c r="F651" s="210" t="s">
        <v>2246</v>
      </c>
      <c r="G651" s="58" t="s">
        <v>392</v>
      </c>
      <c r="H651" s="546">
        <v>63.78</v>
      </c>
      <c r="I651" s="66">
        <v>44601</v>
      </c>
      <c r="J651" s="63" t="s">
        <v>2247</v>
      </c>
      <c r="K651" s="58"/>
      <c r="L651" s="99"/>
      <c r="M651" s="70" t="s">
        <v>2191</v>
      </c>
      <c r="N651" s="97" t="s">
        <v>270</v>
      </c>
      <c r="O651" s="58"/>
      <c r="P651" s="58" t="s">
        <v>44</v>
      </c>
      <c r="Q651" s="58" t="s">
        <v>33</v>
      </c>
      <c r="R651" s="58" t="s">
        <v>272</v>
      </c>
    </row>
    <row r="652" spans="1:18" ht="69" customHeight="1">
      <c r="A652" s="168"/>
      <c r="B652" s="178">
        <v>3100</v>
      </c>
      <c r="C652" s="178" t="s">
        <v>259</v>
      </c>
      <c r="D652" s="575"/>
      <c r="E652" s="178" t="s">
        <v>266</v>
      </c>
      <c r="F652" s="210" t="s">
        <v>2248</v>
      </c>
      <c r="G652" s="58"/>
      <c r="H652" s="546">
        <v>2310.35</v>
      </c>
      <c r="I652" s="66">
        <v>44614</v>
      </c>
      <c r="J652" s="63" t="s">
        <v>2249</v>
      </c>
      <c r="K652" s="58"/>
      <c r="L652" s="99"/>
      <c r="M652" s="70" t="s">
        <v>2191</v>
      </c>
      <c r="N652" s="97" t="s">
        <v>270</v>
      </c>
      <c r="O652" s="58"/>
      <c r="P652" s="58" t="s">
        <v>44</v>
      </c>
      <c r="Q652" s="58" t="s">
        <v>33</v>
      </c>
      <c r="R652" s="58" t="s">
        <v>272</v>
      </c>
    </row>
    <row r="653" spans="1:18" ht="69" customHeight="1">
      <c r="A653" s="168"/>
      <c r="B653" s="178">
        <v>3099</v>
      </c>
      <c r="C653" s="178" t="s">
        <v>309</v>
      </c>
      <c r="D653" s="575" t="s">
        <v>2250</v>
      </c>
      <c r="E653" s="178" t="s">
        <v>266</v>
      </c>
      <c r="F653" s="210" t="s">
        <v>2251</v>
      </c>
      <c r="G653" s="58" t="s">
        <v>703</v>
      </c>
      <c r="H653" s="546">
        <v>1775</v>
      </c>
      <c r="I653" s="66">
        <v>44614</v>
      </c>
      <c r="J653" s="63" t="s">
        <v>2252</v>
      </c>
      <c r="K653" s="58"/>
      <c r="L653" s="99"/>
      <c r="M653" s="70" t="s">
        <v>2191</v>
      </c>
      <c r="N653" s="97" t="s">
        <v>270</v>
      </c>
      <c r="O653" s="58"/>
      <c r="P653" s="58" t="s">
        <v>44</v>
      </c>
      <c r="Q653" s="58" t="s">
        <v>33</v>
      </c>
      <c r="R653" s="58" t="s">
        <v>272</v>
      </c>
    </row>
    <row r="654" spans="1:18" ht="69" customHeight="1">
      <c r="A654" s="168"/>
      <c r="B654" s="178">
        <v>4308</v>
      </c>
      <c r="C654" s="178" t="s">
        <v>309</v>
      </c>
      <c r="D654" s="575" t="s">
        <v>2253</v>
      </c>
      <c r="E654" s="178" t="s">
        <v>266</v>
      </c>
      <c r="F654" s="210" t="s">
        <v>2254</v>
      </c>
      <c r="G654" s="58" t="s">
        <v>1107</v>
      </c>
      <c r="H654" s="546">
        <v>7293.34</v>
      </c>
      <c r="I654" s="66">
        <v>44664</v>
      </c>
      <c r="J654" s="63" t="s">
        <v>2255</v>
      </c>
      <c r="K654" s="58"/>
      <c r="L654" s="99"/>
      <c r="M654" s="70" t="s">
        <v>2256</v>
      </c>
      <c r="N654" s="97" t="s">
        <v>970</v>
      </c>
      <c r="O654" s="58" t="s">
        <v>971</v>
      </c>
      <c r="P654" s="58" t="s">
        <v>38</v>
      </c>
      <c r="Q654" s="58" t="s">
        <v>33</v>
      </c>
      <c r="R654" s="58" t="s">
        <v>272</v>
      </c>
    </row>
    <row r="655" spans="1:18" ht="69" customHeight="1">
      <c r="A655" s="168"/>
      <c r="B655" s="178">
        <v>4550</v>
      </c>
      <c r="C655" s="178" t="s">
        <v>309</v>
      </c>
      <c r="D655" s="575" t="s">
        <v>2257</v>
      </c>
      <c r="E655" s="178" t="s">
        <v>979</v>
      </c>
      <c r="F655" s="210" t="s">
        <v>2258</v>
      </c>
      <c r="G655" s="58" t="s">
        <v>352</v>
      </c>
      <c r="H655" s="546">
        <v>323400</v>
      </c>
      <c r="I655" s="66">
        <v>44673</v>
      </c>
      <c r="J655" s="63" t="s">
        <v>2259</v>
      </c>
      <c r="K655" s="58" t="s">
        <v>2213</v>
      </c>
      <c r="L655" s="99"/>
      <c r="M655" s="70" t="s">
        <v>2260</v>
      </c>
      <c r="N655" s="97" t="s">
        <v>356</v>
      </c>
      <c r="O655" s="58" t="s">
        <v>156</v>
      </c>
      <c r="P655" s="58" t="s">
        <v>19</v>
      </c>
      <c r="Q655" s="58" t="s">
        <v>33</v>
      </c>
      <c r="R655" s="58" t="s">
        <v>265</v>
      </c>
    </row>
    <row r="656" spans="1:18" ht="69" customHeight="1">
      <c r="A656" s="168"/>
      <c r="B656" s="178">
        <v>4693</v>
      </c>
      <c r="C656" s="178" t="s">
        <v>309</v>
      </c>
      <c r="D656" s="575" t="s">
        <v>2261</v>
      </c>
      <c r="E656" s="178" t="s">
        <v>331</v>
      </c>
      <c r="F656" s="210" t="s">
        <v>2262</v>
      </c>
      <c r="G656" s="58"/>
      <c r="H656" s="546">
        <v>3389.12</v>
      </c>
      <c r="I656" s="66">
        <v>44678</v>
      </c>
      <c r="J656" s="63" t="s">
        <v>2263</v>
      </c>
      <c r="K656" s="58"/>
      <c r="L656" s="99"/>
      <c r="M656" s="70" t="s">
        <v>2191</v>
      </c>
      <c r="N656" s="97" t="s">
        <v>270</v>
      </c>
      <c r="O656" s="58"/>
      <c r="P656" s="58" t="s">
        <v>44</v>
      </c>
      <c r="Q656" s="58" t="s">
        <v>33</v>
      </c>
      <c r="R656" s="58" t="s">
        <v>272</v>
      </c>
    </row>
    <row r="657" spans="1:18" ht="69" customHeight="1">
      <c r="A657" s="168"/>
      <c r="B657" s="178">
        <v>4115</v>
      </c>
      <c r="C657" s="178" t="s">
        <v>309</v>
      </c>
      <c r="D657" s="575" t="s">
        <v>2264</v>
      </c>
      <c r="E657" s="178" t="s">
        <v>266</v>
      </c>
      <c r="F657" s="210" t="s">
        <v>2265</v>
      </c>
      <c r="G657" s="58" t="s">
        <v>376</v>
      </c>
      <c r="H657" s="546">
        <v>6080</v>
      </c>
      <c r="I657" s="66">
        <v>44676</v>
      </c>
      <c r="J657" s="63" t="s">
        <v>2266</v>
      </c>
      <c r="K657" s="58"/>
      <c r="L657" s="99"/>
      <c r="M657" s="70" t="s">
        <v>2191</v>
      </c>
      <c r="N657" s="97" t="s">
        <v>270</v>
      </c>
      <c r="O657" s="58"/>
      <c r="P657" s="58" t="s">
        <v>44</v>
      </c>
      <c r="Q657" s="58" t="s">
        <v>33</v>
      </c>
      <c r="R657" s="58" t="s">
        <v>272</v>
      </c>
    </row>
    <row r="658" spans="1:18" ht="69" customHeight="1">
      <c r="A658" s="168"/>
      <c r="B658" s="178">
        <v>4903</v>
      </c>
      <c r="C658" s="178" t="s">
        <v>259</v>
      </c>
      <c r="D658" s="575"/>
      <c r="E658" s="178" t="s">
        <v>266</v>
      </c>
      <c r="F658" s="210" t="s">
        <v>2267</v>
      </c>
      <c r="G658" s="58" t="s">
        <v>2268</v>
      </c>
      <c r="H658" s="546">
        <v>2099.25</v>
      </c>
      <c r="I658" s="66">
        <v>44697</v>
      </c>
      <c r="J658" s="63" t="s">
        <v>2269</v>
      </c>
      <c r="K658" s="58"/>
      <c r="L658" s="99"/>
      <c r="M658" s="70" t="s">
        <v>2191</v>
      </c>
      <c r="N658" s="97" t="s">
        <v>270</v>
      </c>
      <c r="O658" s="58"/>
      <c r="P658" s="58" t="s">
        <v>44</v>
      </c>
      <c r="Q658" s="58" t="s">
        <v>33</v>
      </c>
      <c r="R658" s="58" t="s">
        <v>272</v>
      </c>
    </row>
    <row r="659" spans="1:18" ht="69" customHeight="1">
      <c r="A659" s="168"/>
      <c r="B659" s="178">
        <v>4693</v>
      </c>
      <c r="C659" s="178" t="s">
        <v>309</v>
      </c>
      <c r="D659" s="575" t="s">
        <v>2270</v>
      </c>
      <c r="E659" s="178" t="s">
        <v>331</v>
      </c>
      <c r="F659" s="210" t="s">
        <v>2271</v>
      </c>
      <c r="G659" s="58" t="s">
        <v>372</v>
      </c>
      <c r="H659" s="546">
        <v>30502.09</v>
      </c>
      <c r="I659" s="66">
        <v>44701</v>
      </c>
      <c r="J659" s="63" t="s">
        <v>2272</v>
      </c>
      <c r="K659" s="58"/>
      <c r="L659" s="99"/>
      <c r="M659" s="70" t="s">
        <v>2191</v>
      </c>
      <c r="N659" s="97" t="s">
        <v>270</v>
      </c>
      <c r="O659" s="58"/>
      <c r="P659" s="58" t="s">
        <v>44</v>
      </c>
      <c r="Q659" s="58" t="s">
        <v>33</v>
      </c>
      <c r="R659" s="58" t="s">
        <v>272</v>
      </c>
    </row>
    <row r="660" spans="1:18" ht="69" customHeight="1">
      <c r="A660" s="168"/>
      <c r="B660" s="178">
        <v>4308</v>
      </c>
      <c r="C660" s="178" t="s">
        <v>309</v>
      </c>
      <c r="D660" s="575" t="s">
        <v>2273</v>
      </c>
      <c r="E660" s="178" t="s">
        <v>266</v>
      </c>
      <c r="F660" s="210" t="s">
        <v>2274</v>
      </c>
      <c r="G660" s="58" t="s">
        <v>1107</v>
      </c>
      <c r="H660" s="546">
        <v>7293.34</v>
      </c>
      <c r="I660" s="66">
        <v>44725</v>
      </c>
      <c r="J660" s="63" t="s">
        <v>2275</v>
      </c>
      <c r="K660" s="58"/>
      <c r="L660" s="99"/>
      <c r="M660" s="70" t="s">
        <v>2256</v>
      </c>
      <c r="N660" s="97" t="s">
        <v>970</v>
      </c>
      <c r="O660" s="58" t="s">
        <v>971</v>
      </c>
      <c r="P660" s="58" t="s">
        <v>38</v>
      </c>
      <c r="Q660" s="58" t="s">
        <v>33</v>
      </c>
      <c r="R660" s="58" t="s">
        <v>272</v>
      </c>
    </row>
    <row r="661" spans="1:18" ht="69" customHeight="1">
      <c r="A661" s="168"/>
      <c r="B661" s="178">
        <v>4309</v>
      </c>
      <c r="C661" s="178" t="s">
        <v>309</v>
      </c>
      <c r="D661" s="575" t="s">
        <v>2276</v>
      </c>
      <c r="E661" s="178" t="s">
        <v>382</v>
      </c>
      <c r="F661" s="210" t="s">
        <v>2277</v>
      </c>
      <c r="G661" s="58" t="s">
        <v>384</v>
      </c>
      <c r="H661" s="546">
        <v>27761.33</v>
      </c>
      <c r="I661" s="66">
        <v>44736</v>
      </c>
      <c r="J661" s="63" t="s">
        <v>2278</v>
      </c>
      <c r="K661" s="58"/>
      <c r="L661" s="99"/>
      <c r="M661" s="70" t="s">
        <v>2279</v>
      </c>
      <c r="N661" s="97" t="s">
        <v>387</v>
      </c>
      <c r="O661" s="62" t="s">
        <v>150</v>
      </c>
      <c r="P661" s="58" t="s">
        <v>51</v>
      </c>
      <c r="Q661" s="58" t="s">
        <v>33</v>
      </c>
      <c r="R661" s="58" t="s">
        <v>272</v>
      </c>
    </row>
    <row r="662" spans="1:18" ht="69" customHeight="1">
      <c r="A662" s="168"/>
      <c r="B662" s="178">
        <v>4310</v>
      </c>
      <c r="C662" s="178" t="s">
        <v>309</v>
      </c>
      <c r="D662" s="575" t="s">
        <v>2280</v>
      </c>
      <c r="E662" s="178" t="s">
        <v>382</v>
      </c>
      <c r="F662" s="210" t="s">
        <v>2281</v>
      </c>
      <c r="G662" s="58" t="s">
        <v>384</v>
      </c>
      <c r="H662" s="546">
        <v>39819.519999999997</v>
      </c>
      <c r="I662" s="66">
        <v>44736</v>
      </c>
      <c r="J662" s="63" t="s">
        <v>2282</v>
      </c>
      <c r="K662" s="58"/>
      <c r="L662" s="99"/>
      <c r="M662" s="70" t="s">
        <v>2279</v>
      </c>
      <c r="N662" s="97" t="s">
        <v>387</v>
      </c>
      <c r="O662" s="62" t="s">
        <v>150</v>
      </c>
      <c r="P662" s="58" t="s">
        <v>51</v>
      </c>
      <c r="Q662" s="58" t="s">
        <v>33</v>
      </c>
      <c r="R662" s="58" t="s">
        <v>272</v>
      </c>
    </row>
    <row r="663" spans="1:18" ht="69" customHeight="1">
      <c r="A663" s="168"/>
      <c r="B663" s="178">
        <v>5007</v>
      </c>
      <c r="C663" s="178" t="s">
        <v>309</v>
      </c>
      <c r="D663" s="575" t="s">
        <v>2283</v>
      </c>
      <c r="E663" s="178" t="s">
        <v>266</v>
      </c>
      <c r="F663" s="210" t="s">
        <v>2284</v>
      </c>
      <c r="G663" s="58" t="s">
        <v>1753</v>
      </c>
      <c r="H663" s="546">
        <v>5390</v>
      </c>
      <c r="I663" s="66">
        <v>44762</v>
      </c>
      <c r="J663" s="63" t="s">
        <v>2285</v>
      </c>
      <c r="K663" s="58" t="s">
        <v>705</v>
      </c>
      <c r="L663" s="99"/>
      <c r="M663" s="70" t="s">
        <v>2191</v>
      </c>
      <c r="N663" s="97" t="s">
        <v>270</v>
      </c>
      <c r="O663" s="58"/>
      <c r="P663" s="58" t="s">
        <v>44</v>
      </c>
      <c r="Q663" s="58" t="s">
        <v>33</v>
      </c>
      <c r="R663" s="58" t="s">
        <v>272</v>
      </c>
    </row>
    <row r="664" spans="1:18" ht="69" customHeight="1">
      <c r="A664" s="168"/>
      <c r="B664" s="178">
        <v>6061</v>
      </c>
      <c r="C664" s="178" t="s">
        <v>1593</v>
      </c>
      <c r="D664" s="575"/>
      <c r="E664" s="178" t="s">
        <v>755</v>
      </c>
      <c r="F664" s="210" t="s">
        <v>2286</v>
      </c>
      <c r="G664" s="58" t="s">
        <v>2287</v>
      </c>
      <c r="H664" s="546">
        <v>125730.76999999955</v>
      </c>
      <c r="I664" s="66">
        <v>45986</v>
      </c>
      <c r="J664" s="63"/>
      <c r="K664" s="58" t="s">
        <v>2288</v>
      </c>
      <c r="L664" s="99"/>
      <c r="M664" s="70" t="s">
        <v>2289</v>
      </c>
      <c r="N664" s="97" t="s">
        <v>683</v>
      </c>
      <c r="O664" s="58" t="s">
        <v>1566</v>
      </c>
      <c r="P664" s="58" t="s">
        <v>28</v>
      </c>
      <c r="Q664" s="58" t="s">
        <v>27</v>
      </c>
      <c r="R664" s="58" t="s">
        <v>272</v>
      </c>
    </row>
    <row r="665" spans="1:18" ht="69" customHeight="1">
      <c r="A665" s="168"/>
      <c r="B665" s="178">
        <v>6336</v>
      </c>
      <c r="C665" s="178" t="s">
        <v>309</v>
      </c>
      <c r="D665" s="575" t="s">
        <v>2290</v>
      </c>
      <c r="E665" s="178" t="s">
        <v>2291</v>
      </c>
      <c r="F665" s="210" t="s">
        <v>2292</v>
      </c>
      <c r="G665" s="58" t="s">
        <v>1761</v>
      </c>
      <c r="H665" s="546">
        <v>415886.25</v>
      </c>
      <c r="I665" s="66">
        <v>44790</v>
      </c>
      <c r="J665" s="63" t="s">
        <v>2293</v>
      </c>
      <c r="K665" s="58"/>
      <c r="L665" s="99"/>
      <c r="M665" s="70" t="s">
        <v>2294</v>
      </c>
      <c r="N665" s="97" t="s">
        <v>414</v>
      </c>
      <c r="O665" s="58"/>
      <c r="P665" s="58" t="s">
        <v>24</v>
      </c>
      <c r="Q665" s="58" t="s">
        <v>33</v>
      </c>
      <c r="R665" s="58" t="s">
        <v>272</v>
      </c>
    </row>
    <row r="666" spans="1:18" ht="69" customHeight="1">
      <c r="A666" s="168"/>
      <c r="B666" s="178">
        <v>6423</v>
      </c>
      <c r="C666" s="178" t="s">
        <v>309</v>
      </c>
      <c r="D666" s="575" t="s">
        <v>2295</v>
      </c>
      <c r="E666" s="178" t="s">
        <v>432</v>
      </c>
      <c r="F666" s="210" t="s">
        <v>2296</v>
      </c>
      <c r="G666" s="58" t="s">
        <v>429</v>
      </c>
      <c r="H666" s="546">
        <v>13959.486000000001</v>
      </c>
      <c r="I666" s="66">
        <v>44802</v>
      </c>
      <c r="J666" s="63" t="s">
        <v>1766</v>
      </c>
      <c r="K666" s="58"/>
      <c r="L666" s="99"/>
      <c r="M666" s="70" t="s">
        <v>2297</v>
      </c>
      <c r="N666" s="97" t="s">
        <v>432</v>
      </c>
      <c r="O666" s="58"/>
      <c r="P666" s="58" t="s">
        <v>53</v>
      </c>
      <c r="Q666" s="58" t="s">
        <v>33</v>
      </c>
      <c r="R666" s="58" t="s">
        <v>272</v>
      </c>
    </row>
    <row r="667" spans="1:18" ht="69" customHeight="1">
      <c r="A667" s="168"/>
      <c r="B667" s="178">
        <v>6545</v>
      </c>
      <c r="C667" s="178" t="s">
        <v>259</v>
      </c>
      <c r="D667" s="575" t="s">
        <v>300</v>
      </c>
      <c r="E667" s="178" t="s">
        <v>266</v>
      </c>
      <c r="F667" s="210" t="s">
        <v>2298</v>
      </c>
      <c r="G667" s="58" t="s">
        <v>392</v>
      </c>
      <c r="H667" s="546">
        <v>734.63</v>
      </c>
      <c r="I667" s="66">
        <v>44816</v>
      </c>
      <c r="J667" s="63" t="s">
        <v>2299</v>
      </c>
      <c r="K667" s="58"/>
      <c r="L667" s="99"/>
      <c r="M667" s="70" t="s">
        <v>2191</v>
      </c>
      <c r="N667" s="97" t="s">
        <v>270</v>
      </c>
      <c r="O667" s="58"/>
      <c r="P667" s="58" t="s">
        <v>44</v>
      </c>
      <c r="Q667" s="58" t="s">
        <v>33</v>
      </c>
      <c r="R667" s="58" t="s">
        <v>272</v>
      </c>
    </row>
    <row r="668" spans="1:18" ht="69" customHeight="1">
      <c r="A668" s="168"/>
      <c r="B668" s="178">
        <v>7224</v>
      </c>
      <c r="C668" s="178" t="s">
        <v>309</v>
      </c>
      <c r="D668" s="575" t="s">
        <v>2300</v>
      </c>
      <c r="E668" s="178" t="s">
        <v>2301</v>
      </c>
      <c r="F668" s="210" t="s">
        <v>2302</v>
      </c>
      <c r="G668" s="58" t="s">
        <v>1048</v>
      </c>
      <c r="H668" s="546">
        <v>1700</v>
      </c>
      <c r="I668" s="66">
        <v>44866</v>
      </c>
      <c r="J668" s="63" t="s">
        <v>2303</v>
      </c>
      <c r="K668" s="58"/>
      <c r="L668" s="99"/>
      <c r="M668" s="70" t="s">
        <v>2304</v>
      </c>
      <c r="N668" s="97" t="s">
        <v>2305</v>
      </c>
      <c r="O668" s="58"/>
      <c r="P668" s="58" t="s">
        <v>63</v>
      </c>
      <c r="Q668" s="58" t="s">
        <v>33</v>
      </c>
      <c r="R668" s="58" t="s">
        <v>272</v>
      </c>
    </row>
    <row r="669" spans="1:18" ht="69" customHeight="1">
      <c r="A669" s="168"/>
      <c r="B669" s="178">
        <v>7225</v>
      </c>
      <c r="C669" s="178" t="s">
        <v>309</v>
      </c>
      <c r="D669" s="575" t="s">
        <v>2306</v>
      </c>
      <c r="E669" s="178" t="s">
        <v>2301</v>
      </c>
      <c r="F669" s="210" t="s">
        <v>2307</v>
      </c>
      <c r="G669" s="58" t="s">
        <v>1048</v>
      </c>
      <c r="H669" s="546">
        <v>96228</v>
      </c>
      <c r="I669" s="66">
        <v>44866</v>
      </c>
      <c r="J669" s="63" t="s">
        <v>2303</v>
      </c>
      <c r="K669" s="58"/>
      <c r="L669" s="99"/>
      <c r="M669" s="70" t="s">
        <v>2304</v>
      </c>
      <c r="N669" s="97" t="s">
        <v>2305</v>
      </c>
      <c r="O669" s="58"/>
      <c r="P669" s="58" t="s">
        <v>63</v>
      </c>
      <c r="Q669" s="58" t="s">
        <v>33</v>
      </c>
      <c r="R669" s="58" t="s">
        <v>272</v>
      </c>
    </row>
    <row r="670" spans="1:18" ht="69" customHeight="1">
      <c r="A670" s="168"/>
      <c r="B670" s="178">
        <v>6289</v>
      </c>
      <c r="C670" s="178" t="s">
        <v>657</v>
      </c>
      <c r="D670" s="575" t="s">
        <v>2308</v>
      </c>
      <c r="E670" s="178" t="s">
        <v>266</v>
      </c>
      <c r="F670" s="723" t="s">
        <v>2309</v>
      </c>
      <c r="G670" s="58" t="s">
        <v>790</v>
      </c>
      <c r="H670" s="546">
        <v>2281.25</v>
      </c>
      <c r="I670" s="66">
        <v>44834</v>
      </c>
      <c r="J670" s="63" t="s">
        <v>2310</v>
      </c>
      <c r="K670" s="58"/>
      <c r="L670" s="99"/>
      <c r="M670" s="70" t="s">
        <v>2289</v>
      </c>
      <c r="N670" s="97" t="s">
        <v>683</v>
      </c>
      <c r="O670" s="58" t="s">
        <v>684</v>
      </c>
      <c r="P670" s="58" t="s">
        <v>46</v>
      </c>
      <c r="Q670" s="58" t="s">
        <v>33</v>
      </c>
      <c r="R670" s="58" t="s">
        <v>272</v>
      </c>
    </row>
    <row r="671" spans="1:18" ht="69" customHeight="1">
      <c r="A671" s="168"/>
      <c r="B671" s="178">
        <v>7348</v>
      </c>
      <c r="C671" s="178" t="s">
        <v>309</v>
      </c>
      <c r="D671" s="575" t="s">
        <v>2311</v>
      </c>
      <c r="E671" s="178" t="s">
        <v>2312</v>
      </c>
      <c r="F671" s="210" t="s">
        <v>2313</v>
      </c>
      <c r="G671" s="58" t="s">
        <v>1048</v>
      </c>
      <c r="H671" s="546">
        <v>32748</v>
      </c>
      <c r="I671" s="66">
        <v>44872</v>
      </c>
      <c r="J671" s="63" t="s">
        <v>1790</v>
      </c>
      <c r="K671" s="58"/>
      <c r="L671" s="99"/>
      <c r="M671" s="70" t="s">
        <v>2314</v>
      </c>
      <c r="N671" s="97" t="s">
        <v>414</v>
      </c>
      <c r="O671" s="58"/>
      <c r="P671" s="58" t="s">
        <v>24</v>
      </c>
      <c r="Q671" s="58" t="s">
        <v>33</v>
      </c>
      <c r="R671" s="58" t="s">
        <v>265</v>
      </c>
    </row>
    <row r="672" spans="1:18" ht="69" customHeight="1">
      <c r="A672" s="168"/>
      <c r="B672" s="178">
        <v>7472</v>
      </c>
      <c r="C672" s="178" t="s">
        <v>309</v>
      </c>
      <c r="D672" s="575" t="s">
        <v>2315</v>
      </c>
      <c r="E672" s="178" t="s">
        <v>1044</v>
      </c>
      <c r="F672" s="210" t="s">
        <v>2316</v>
      </c>
      <c r="G672" s="58" t="s">
        <v>1041</v>
      </c>
      <c r="H672" s="546">
        <v>116545.3</v>
      </c>
      <c r="I672" s="66">
        <v>44890</v>
      </c>
      <c r="J672" s="63" t="s">
        <v>1042</v>
      </c>
      <c r="K672" s="58"/>
      <c r="L672" s="99"/>
      <c r="M672" s="70" t="s">
        <v>2317</v>
      </c>
      <c r="N672" s="97" t="s">
        <v>1044</v>
      </c>
      <c r="O672" s="58"/>
      <c r="P672" s="58" t="s">
        <v>26</v>
      </c>
      <c r="Q672" s="58" t="s">
        <v>33</v>
      </c>
      <c r="R672" s="58" t="s">
        <v>272</v>
      </c>
    </row>
    <row r="673" spans="1:18" ht="69" customHeight="1">
      <c r="A673" s="168"/>
      <c r="B673" s="191">
        <v>7374</v>
      </c>
      <c r="C673" s="191" t="s">
        <v>309</v>
      </c>
      <c r="D673" s="533" t="s">
        <v>2318</v>
      </c>
      <c r="E673" s="191" t="s">
        <v>2312</v>
      </c>
      <c r="F673" s="211" t="s">
        <v>2319</v>
      </c>
      <c r="G673" s="46" t="s">
        <v>2320</v>
      </c>
      <c r="H673" s="534">
        <v>2500</v>
      </c>
      <c r="I673" s="56">
        <v>44876</v>
      </c>
      <c r="J673" s="283" t="s">
        <v>2321</v>
      </c>
      <c r="K673" s="46" t="s">
        <v>167</v>
      </c>
      <c r="L673" s="99"/>
      <c r="M673" s="379"/>
      <c r="N673" s="76" t="s">
        <v>414</v>
      </c>
      <c r="O673" s="46" t="s">
        <v>1092</v>
      </c>
      <c r="P673" s="46" t="s">
        <v>65</v>
      </c>
      <c r="Q673" s="46" t="s">
        <v>33</v>
      </c>
      <c r="R673" s="46" t="s">
        <v>272</v>
      </c>
    </row>
    <row r="674" spans="1:18" ht="69" customHeight="1">
      <c r="A674" s="168"/>
      <c r="B674" s="178">
        <v>7395</v>
      </c>
      <c r="C674" s="178" t="s">
        <v>309</v>
      </c>
      <c r="D674" s="575" t="s">
        <v>2322</v>
      </c>
      <c r="E674" s="178" t="s">
        <v>432</v>
      </c>
      <c r="F674" s="210" t="s">
        <v>2323</v>
      </c>
      <c r="G674" s="58" t="s">
        <v>1121</v>
      </c>
      <c r="H674" s="546">
        <v>34317.03</v>
      </c>
      <c r="I674" s="66">
        <v>44876</v>
      </c>
      <c r="J674" s="63" t="s">
        <v>1122</v>
      </c>
      <c r="K674" s="58"/>
      <c r="L674" s="99"/>
      <c r="M674" s="70" t="s">
        <v>2297</v>
      </c>
      <c r="N674" s="97" t="s">
        <v>432</v>
      </c>
      <c r="O674" s="58"/>
      <c r="P674" s="58" t="s">
        <v>53</v>
      </c>
      <c r="Q674" s="58" t="s">
        <v>33</v>
      </c>
      <c r="R674" s="58" t="s">
        <v>272</v>
      </c>
    </row>
    <row r="675" spans="1:18" ht="69" customHeight="1">
      <c r="A675" s="168"/>
      <c r="B675" s="178">
        <v>7305</v>
      </c>
      <c r="C675" s="178" t="s">
        <v>309</v>
      </c>
      <c r="D675" s="575" t="s">
        <v>2324</v>
      </c>
      <c r="E675" s="178" t="s">
        <v>1044</v>
      </c>
      <c r="F675" s="210" t="s">
        <v>2325</v>
      </c>
      <c r="G675" s="58" t="s">
        <v>1041</v>
      </c>
      <c r="H675" s="546">
        <v>18420</v>
      </c>
      <c r="I675" s="66">
        <v>44869</v>
      </c>
      <c r="J675" s="63" t="s">
        <v>1113</v>
      </c>
      <c r="K675" s="58"/>
      <c r="L675" s="99"/>
      <c r="M675" s="70" t="s">
        <v>2317</v>
      </c>
      <c r="N675" s="97" t="s">
        <v>1044</v>
      </c>
      <c r="O675" s="58"/>
      <c r="P675" s="58" t="s">
        <v>26</v>
      </c>
      <c r="Q675" s="58" t="s">
        <v>33</v>
      </c>
      <c r="R675" s="58" t="s">
        <v>272</v>
      </c>
    </row>
    <row r="676" spans="1:18" ht="69" customHeight="1">
      <c r="A676" s="168"/>
      <c r="B676" s="178">
        <v>7568</v>
      </c>
      <c r="C676" s="178" t="s">
        <v>309</v>
      </c>
      <c r="D676" s="575" t="s">
        <v>2326</v>
      </c>
      <c r="E676" s="178" t="s">
        <v>1044</v>
      </c>
      <c r="F676" s="210" t="s">
        <v>2327</v>
      </c>
      <c r="G676" s="58" t="s">
        <v>1041</v>
      </c>
      <c r="H676" s="546">
        <v>8680</v>
      </c>
      <c r="I676" s="66">
        <v>44904</v>
      </c>
      <c r="J676" s="63" t="s">
        <v>1080</v>
      </c>
      <c r="K676" s="58"/>
      <c r="L676" s="99"/>
      <c r="M676" s="70" t="s">
        <v>2317</v>
      </c>
      <c r="N676" s="97" t="s">
        <v>1044</v>
      </c>
      <c r="O676" s="58"/>
      <c r="P676" s="58" t="s">
        <v>26</v>
      </c>
      <c r="Q676" s="58" t="s">
        <v>33</v>
      </c>
      <c r="R676" s="58" t="s">
        <v>272</v>
      </c>
    </row>
    <row r="677" spans="1:18" ht="69" customHeight="1">
      <c r="A677" s="168"/>
      <c r="B677" s="178">
        <v>8029</v>
      </c>
      <c r="C677" s="178" t="s">
        <v>309</v>
      </c>
      <c r="D677" s="575" t="s">
        <v>2328</v>
      </c>
      <c r="E677" s="178" t="s">
        <v>2329</v>
      </c>
      <c r="F677" s="210" t="s">
        <v>2330</v>
      </c>
      <c r="G677" s="58" t="s">
        <v>2331</v>
      </c>
      <c r="H677" s="546">
        <v>118925.2</v>
      </c>
      <c r="I677" s="66">
        <v>44915</v>
      </c>
      <c r="J677" s="63" t="s">
        <v>2332</v>
      </c>
      <c r="K677" s="58"/>
      <c r="L677" s="99"/>
      <c r="M677" s="70" t="s">
        <v>2304</v>
      </c>
      <c r="N677" s="97" t="s">
        <v>2305</v>
      </c>
      <c r="O677" s="58"/>
      <c r="P677" s="58" t="s">
        <v>63</v>
      </c>
      <c r="Q677" s="58" t="s">
        <v>33</v>
      </c>
      <c r="R677" s="58" t="s">
        <v>272</v>
      </c>
    </row>
    <row r="678" spans="1:18" ht="69" customHeight="1">
      <c r="A678" s="168"/>
      <c r="B678" s="178">
        <v>7668</v>
      </c>
      <c r="C678" s="178" t="s">
        <v>309</v>
      </c>
      <c r="D678" s="575" t="s">
        <v>2333</v>
      </c>
      <c r="E678" s="178" t="s">
        <v>2312</v>
      </c>
      <c r="F678" s="210" t="s">
        <v>2334</v>
      </c>
      <c r="G678" s="58" t="s">
        <v>1085</v>
      </c>
      <c r="H678" s="546">
        <v>34800</v>
      </c>
      <c r="I678" s="66">
        <v>44900</v>
      </c>
      <c r="J678" s="63" t="s">
        <v>1086</v>
      </c>
      <c r="K678" s="58"/>
      <c r="L678" s="99"/>
      <c r="M678" s="70" t="s">
        <v>2314</v>
      </c>
      <c r="N678" s="97" t="s">
        <v>414</v>
      </c>
      <c r="O678" s="58"/>
      <c r="P678" s="58" t="s">
        <v>24</v>
      </c>
      <c r="Q678" s="58" t="s">
        <v>33</v>
      </c>
      <c r="R678" s="58" t="s">
        <v>265</v>
      </c>
    </row>
    <row r="679" spans="1:18" ht="69" customHeight="1">
      <c r="A679" s="168"/>
      <c r="B679" s="178">
        <v>8139</v>
      </c>
      <c r="C679" s="178" t="s">
        <v>309</v>
      </c>
      <c r="D679" s="575" t="s">
        <v>2335</v>
      </c>
      <c r="E679" s="178" t="s">
        <v>2312</v>
      </c>
      <c r="F679" s="210" t="s">
        <v>2336</v>
      </c>
      <c r="G679" s="58" t="s">
        <v>2337</v>
      </c>
      <c r="H679" s="546">
        <v>34800</v>
      </c>
      <c r="I679" s="66">
        <v>44914</v>
      </c>
      <c r="J679" s="63" t="s">
        <v>1146</v>
      </c>
      <c r="K679" s="58"/>
      <c r="L679" s="99"/>
      <c r="M679" s="70" t="s">
        <v>2314</v>
      </c>
      <c r="N679" s="97" t="s">
        <v>414</v>
      </c>
      <c r="O679" s="58"/>
      <c r="P679" s="58" t="s">
        <v>24</v>
      </c>
      <c r="Q679" s="58" t="s">
        <v>33</v>
      </c>
      <c r="R679" s="58" t="s">
        <v>265</v>
      </c>
    </row>
    <row r="680" spans="1:18" ht="69" customHeight="1">
      <c r="A680" s="168"/>
      <c r="B680" s="178">
        <v>6911</v>
      </c>
      <c r="C680" s="178" t="s">
        <v>309</v>
      </c>
      <c r="D680" s="575" t="s">
        <v>2338</v>
      </c>
      <c r="E680" s="178" t="s">
        <v>266</v>
      </c>
      <c r="F680" s="210" t="s">
        <v>2339</v>
      </c>
      <c r="G680" s="58" t="s">
        <v>1053</v>
      </c>
      <c r="H680" s="546">
        <v>5810</v>
      </c>
      <c r="I680" s="66">
        <v>44844</v>
      </c>
      <c r="J680" s="63" t="s">
        <v>1828</v>
      </c>
      <c r="K680" s="58"/>
      <c r="L680" s="99"/>
      <c r="M680" s="70" t="s">
        <v>2191</v>
      </c>
      <c r="N680" s="97" t="s">
        <v>270</v>
      </c>
      <c r="O680" s="58"/>
      <c r="P680" s="58" t="s">
        <v>44</v>
      </c>
      <c r="Q680" s="58" t="s">
        <v>33</v>
      </c>
      <c r="R680" s="58" t="s">
        <v>272</v>
      </c>
    </row>
    <row r="681" spans="1:18" ht="69" customHeight="1">
      <c r="A681" s="168"/>
      <c r="B681" s="178">
        <v>8243</v>
      </c>
      <c r="C681" s="178" t="s">
        <v>309</v>
      </c>
      <c r="D681" s="575" t="s">
        <v>2340</v>
      </c>
      <c r="E681" s="178" t="s">
        <v>2312</v>
      </c>
      <c r="F681" s="210" t="s">
        <v>2341</v>
      </c>
      <c r="G681" s="58" t="s">
        <v>1133</v>
      </c>
      <c r="H681" s="546">
        <v>5800.01</v>
      </c>
      <c r="I681" s="66">
        <v>44921</v>
      </c>
      <c r="J681" s="63" t="s">
        <v>1134</v>
      </c>
      <c r="K681" s="58"/>
      <c r="L681" s="99"/>
      <c r="M681" s="70" t="s">
        <v>2314</v>
      </c>
      <c r="N681" s="97" t="s">
        <v>414</v>
      </c>
      <c r="O681" s="58"/>
      <c r="P681" s="58" t="s">
        <v>24</v>
      </c>
      <c r="Q681" s="58" t="s">
        <v>33</v>
      </c>
      <c r="R681" s="58" t="s">
        <v>265</v>
      </c>
    </row>
    <row r="682" spans="1:18" ht="69" customHeight="1">
      <c r="A682" s="168"/>
      <c r="B682" s="178">
        <v>8244</v>
      </c>
      <c r="C682" s="178" t="s">
        <v>309</v>
      </c>
      <c r="D682" s="575" t="s">
        <v>2342</v>
      </c>
      <c r="E682" s="178" t="s">
        <v>2312</v>
      </c>
      <c r="F682" s="210" t="s">
        <v>2343</v>
      </c>
      <c r="G682" s="58" t="s">
        <v>1133</v>
      </c>
      <c r="H682" s="546">
        <v>34800</v>
      </c>
      <c r="I682" s="66">
        <v>44921</v>
      </c>
      <c r="J682" s="63" t="s">
        <v>1134</v>
      </c>
      <c r="K682" s="58"/>
      <c r="L682" s="99"/>
      <c r="M682" s="70" t="s">
        <v>2314</v>
      </c>
      <c r="N682" s="97" t="s">
        <v>414</v>
      </c>
      <c r="O682" s="58"/>
      <c r="P682" s="58" t="s">
        <v>24</v>
      </c>
      <c r="Q682" s="58" t="s">
        <v>33</v>
      </c>
      <c r="R682" s="58" t="s">
        <v>265</v>
      </c>
    </row>
    <row r="683" spans="1:18" ht="69" customHeight="1">
      <c r="A683" s="168"/>
      <c r="B683" s="178">
        <v>8342</v>
      </c>
      <c r="C683" s="178" t="s">
        <v>309</v>
      </c>
      <c r="D683" s="575" t="s">
        <v>2344</v>
      </c>
      <c r="E683" s="178" t="s">
        <v>979</v>
      </c>
      <c r="F683" s="210" t="s">
        <v>2345</v>
      </c>
      <c r="G683" s="58" t="s">
        <v>1838</v>
      </c>
      <c r="H683" s="546">
        <v>140046.39000000001</v>
      </c>
      <c r="I683" s="66">
        <v>44938</v>
      </c>
      <c r="J683" s="63" t="s">
        <v>2346</v>
      </c>
      <c r="K683" s="58"/>
      <c r="L683" s="99"/>
      <c r="M683" s="70" t="s">
        <v>2260</v>
      </c>
      <c r="N683" s="97" t="s">
        <v>356</v>
      </c>
      <c r="O683" s="58" t="s">
        <v>156</v>
      </c>
      <c r="P683" s="58" t="s">
        <v>19</v>
      </c>
      <c r="Q683" s="58" t="s">
        <v>33</v>
      </c>
      <c r="R683" s="58" t="s">
        <v>265</v>
      </c>
    </row>
    <row r="684" spans="1:18" ht="69" customHeight="1">
      <c r="A684" s="168"/>
      <c r="B684" s="178">
        <v>8343</v>
      </c>
      <c r="C684" s="178" t="s">
        <v>309</v>
      </c>
      <c r="D684" s="575" t="s">
        <v>1984</v>
      </c>
      <c r="E684" s="178" t="s">
        <v>979</v>
      </c>
      <c r="F684" s="210" t="s">
        <v>2347</v>
      </c>
      <c r="G684" s="58" t="s">
        <v>1838</v>
      </c>
      <c r="H684" s="546">
        <v>9006.48</v>
      </c>
      <c r="I684" s="66">
        <v>44938</v>
      </c>
      <c r="J684" s="63" t="s">
        <v>2346</v>
      </c>
      <c r="K684" s="58"/>
      <c r="L684" s="99"/>
      <c r="M684" s="70" t="s">
        <v>2260</v>
      </c>
      <c r="N684" s="97" t="s">
        <v>356</v>
      </c>
      <c r="O684" s="58" t="s">
        <v>156</v>
      </c>
      <c r="P684" s="58" t="s">
        <v>19</v>
      </c>
      <c r="Q684" s="58" t="s">
        <v>33</v>
      </c>
      <c r="R684" s="58" t="s">
        <v>265</v>
      </c>
    </row>
    <row r="685" spans="1:18" ht="69" customHeight="1">
      <c r="A685" s="168"/>
      <c r="B685" s="191">
        <v>8354</v>
      </c>
      <c r="C685" s="191" t="s">
        <v>309</v>
      </c>
      <c r="D685" s="533" t="s">
        <v>2348</v>
      </c>
      <c r="E685" s="191" t="s">
        <v>2312</v>
      </c>
      <c r="F685" s="211" t="s">
        <v>2349</v>
      </c>
      <c r="G685" s="46" t="s">
        <v>1168</v>
      </c>
      <c r="H685" s="534">
        <v>11239.02</v>
      </c>
      <c r="I685" s="56">
        <v>44923</v>
      </c>
      <c r="J685" s="283" t="s">
        <v>1169</v>
      </c>
      <c r="K685" s="46" t="s">
        <v>167</v>
      </c>
      <c r="L685" s="99"/>
      <c r="M685" s="379"/>
      <c r="N685" s="76" t="s">
        <v>414</v>
      </c>
      <c r="O685" s="46"/>
      <c r="P685" s="46" t="s">
        <v>71</v>
      </c>
      <c r="Q685" s="46" t="s">
        <v>33</v>
      </c>
      <c r="R685" s="46" t="s">
        <v>272</v>
      </c>
    </row>
    <row r="686" spans="1:18" ht="69" customHeight="1">
      <c r="A686" s="168"/>
      <c r="B686" s="178">
        <v>7130</v>
      </c>
      <c r="C686" s="178" t="s">
        <v>309</v>
      </c>
      <c r="D686" s="575" t="s">
        <v>2350</v>
      </c>
      <c r="E686" s="178" t="s">
        <v>2312</v>
      </c>
      <c r="F686" s="210" t="s">
        <v>2351</v>
      </c>
      <c r="G686" s="58" t="s">
        <v>1048</v>
      </c>
      <c r="H686" s="546">
        <v>135512.17000000001</v>
      </c>
      <c r="I686" s="66">
        <v>44855</v>
      </c>
      <c r="J686" s="63" t="s">
        <v>1860</v>
      </c>
      <c r="K686" s="58"/>
      <c r="L686" s="99"/>
      <c r="M686" s="70" t="s">
        <v>2314</v>
      </c>
      <c r="N686" s="97" t="s">
        <v>414</v>
      </c>
      <c r="O686" s="58"/>
      <c r="P686" s="58" t="s">
        <v>24</v>
      </c>
      <c r="Q686" s="58" t="s">
        <v>33</v>
      </c>
      <c r="R686" s="58" t="s">
        <v>265</v>
      </c>
    </row>
    <row r="687" spans="1:18" ht="69" customHeight="1">
      <c r="A687" s="168"/>
      <c r="B687" s="178">
        <v>7131</v>
      </c>
      <c r="C687" s="178" t="s">
        <v>309</v>
      </c>
      <c r="D687" s="575" t="s">
        <v>2352</v>
      </c>
      <c r="E687" s="178" t="s">
        <v>2312</v>
      </c>
      <c r="F687" s="210" t="s">
        <v>2353</v>
      </c>
      <c r="G687" s="58" t="s">
        <v>1048</v>
      </c>
      <c r="H687" s="546">
        <v>10389.4</v>
      </c>
      <c r="I687" s="66">
        <v>44855</v>
      </c>
      <c r="J687" s="63" t="s">
        <v>1860</v>
      </c>
      <c r="K687" s="58"/>
      <c r="L687" s="99"/>
      <c r="M687" s="70" t="s">
        <v>2314</v>
      </c>
      <c r="N687" s="97" t="s">
        <v>414</v>
      </c>
      <c r="O687" s="58"/>
      <c r="P687" s="58" t="s">
        <v>24</v>
      </c>
      <c r="Q687" s="58" t="s">
        <v>33</v>
      </c>
      <c r="R687" s="58" t="s">
        <v>265</v>
      </c>
    </row>
    <row r="688" spans="1:18" ht="69" customHeight="1">
      <c r="A688" s="168"/>
      <c r="B688" s="178">
        <v>7248</v>
      </c>
      <c r="C688" s="178" t="s">
        <v>309</v>
      </c>
      <c r="D688" s="575" t="s">
        <v>2354</v>
      </c>
      <c r="E688" s="178" t="s">
        <v>2312</v>
      </c>
      <c r="F688" s="210" t="s">
        <v>2355</v>
      </c>
      <c r="G688" s="58" t="s">
        <v>1048</v>
      </c>
      <c r="H688" s="546">
        <v>42750</v>
      </c>
      <c r="I688" s="66">
        <v>44862</v>
      </c>
      <c r="J688" s="63" t="s">
        <v>1091</v>
      </c>
      <c r="K688" s="58"/>
      <c r="L688" s="99"/>
      <c r="M688" s="70" t="s">
        <v>2314</v>
      </c>
      <c r="N688" s="97" t="s">
        <v>414</v>
      </c>
      <c r="O688" s="58"/>
      <c r="P688" s="58" t="s">
        <v>24</v>
      </c>
      <c r="Q688" s="58" t="s">
        <v>33</v>
      </c>
      <c r="R688" s="58" t="s">
        <v>265</v>
      </c>
    </row>
    <row r="689" spans="1:18" ht="69" customHeight="1">
      <c r="A689" s="168"/>
      <c r="B689" s="178">
        <v>6858</v>
      </c>
      <c r="C689" s="178" t="s">
        <v>309</v>
      </c>
      <c r="D689" s="575" t="s">
        <v>2356</v>
      </c>
      <c r="E689" s="178" t="s">
        <v>2312</v>
      </c>
      <c r="F689" s="210" t="s">
        <v>2357</v>
      </c>
      <c r="G689" s="58" t="s">
        <v>1048</v>
      </c>
      <c r="H689" s="546">
        <v>20116.599999999999</v>
      </c>
      <c r="I689" s="66">
        <v>44832</v>
      </c>
      <c r="J689" s="63" t="s">
        <v>2358</v>
      </c>
      <c r="K689" s="58"/>
      <c r="L689" s="99"/>
      <c r="M689" s="70" t="s">
        <v>2314</v>
      </c>
      <c r="N689" s="97" t="s">
        <v>414</v>
      </c>
      <c r="O689" s="58"/>
      <c r="P689" s="58" t="s">
        <v>24</v>
      </c>
      <c r="Q689" s="58" t="s">
        <v>33</v>
      </c>
      <c r="R689" s="58" t="s">
        <v>265</v>
      </c>
    </row>
    <row r="690" spans="1:18" ht="69" customHeight="1">
      <c r="A690" s="168"/>
      <c r="B690" s="178">
        <v>6956</v>
      </c>
      <c r="C690" s="178" t="s">
        <v>309</v>
      </c>
      <c r="D690" s="575" t="s">
        <v>1869</v>
      </c>
      <c r="E690" s="178" t="s">
        <v>979</v>
      </c>
      <c r="F690" s="210" t="s">
        <v>1870</v>
      </c>
      <c r="G690" s="58" t="s">
        <v>805</v>
      </c>
      <c r="H690" s="546">
        <v>118860</v>
      </c>
      <c r="I690" s="66">
        <v>44851</v>
      </c>
      <c r="J690" s="63" t="s">
        <v>1871</v>
      </c>
      <c r="K690" s="58"/>
      <c r="L690" s="99"/>
      <c r="M690" s="70" t="s">
        <v>2260</v>
      </c>
      <c r="N690" s="97" t="s">
        <v>356</v>
      </c>
      <c r="O690" s="58" t="s">
        <v>156</v>
      </c>
      <c r="P690" s="58" t="s">
        <v>19</v>
      </c>
      <c r="Q690" s="58" t="s">
        <v>33</v>
      </c>
      <c r="R690" s="58" t="s">
        <v>265</v>
      </c>
    </row>
    <row r="691" spans="1:18" ht="69" customHeight="1">
      <c r="A691" s="168"/>
      <c r="B691" s="178">
        <v>8564</v>
      </c>
      <c r="C691" s="178" t="s">
        <v>309</v>
      </c>
      <c r="D691" s="575" t="s">
        <v>2359</v>
      </c>
      <c r="E691" s="178" t="s">
        <v>1044</v>
      </c>
      <c r="F691" s="210" t="s">
        <v>2360</v>
      </c>
      <c r="G691" s="58" t="s">
        <v>1877</v>
      </c>
      <c r="H691" s="546">
        <v>7506.3</v>
      </c>
      <c r="I691" s="66">
        <v>44946</v>
      </c>
      <c r="J691" s="63" t="s">
        <v>1878</v>
      </c>
      <c r="K691" s="58"/>
      <c r="L691" s="99"/>
      <c r="M691" s="70" t="s">
        <v>2317</v>
      </c>
      <c r="N691" s="97" t="s">
        <v>1044</v>
      </c>
      <c r="O691" s="58"/>
      <c r="P691" s="58" t="s">
        <v>26</v>
      </c>
      <c r="Q691" s="58" t="s">
        <v>33</v>
      </c>
      <c r="R691" s="58" t="s">
        <v>272</v>
      </c>
    </row>
    <row r="692" spans="1:18" ht="69" customHeight="1">
      <c r="A692" s="168"/>
      <c r="B692" s="191">
        <v>8610</v>
      </c>
      <c r="C692" s="191" t="s">
        <v>309</v>
      </c>
      <c r="D692" s="533" t="s">
        <v>2361</v>
      </c>
      <c r="E692" s="191" t="s">
        <v>1198</v>
      </c>
      <c r="F692" s="211" t="s">
        <v>2362</v>
      </c>
      <c r="G692" s="46" t="s">
        <v>1200</v>
      </c>
      <c r="H692" s="534">
        <v>11239.02</v>
      </c>
      <c r="I692" s="56">
        <v>44946</v>
      </c>
      <c r="J692" s="283" t="s">
        <v>1201</v>
      </c>
      <c r="K692" s="46" t="s">
        <v>167</v>
      </c>
      <c r="L692" s="99"/>
      <c r="M692" s="379"/>
      <c r="N692" s="76" t="s">
        <v>414</v>
      </c>
      <c r="O692" s="46"/>
      <c r="P692" s="46" t="s">
        <v>71</v>
      </c>
      <c r="Q692" s="46" t="s">
        <v>33</v>
      </c>
      <c r="R692" s="46" t="s">
        <v>272</v>
      </c>
    </row>
    <row r="693" spans="1:18" ht="69" customHeight="1">
      <c r="A693" s="168"/>
      <c r="B693" s="178">
        <v>8700</v>
      </c>
      <c r="C693" s="178" t="s">
        <v>309</v>
      </c>
      <c r="D693" s="575" t="s">
        <v>2363</v>
      </c>
      <c r="E693" s="178" t="s">
        <v>2312</v>
      </c>
      <c r="F693" s="210" t="s">
        <v>2364</v>
      </c>
      <c r="G693" s="58" t="s">
        <v>1204</v>
      </c>
      <c r="H693" s="546">
        <v>34800</v>
      </c>
      <c r="I693" s="66">
        <v>44949</v>
      </c>
      <c r="J693" s="63" t="s">
        <v>1205</v>
      </c>
      <c r="K693" s="58"/>
      <c r="L693" s="99"/>
      <c r="M693" s="70" t="s">
        <v>2314</v>
      </c>
      <c r="N693" s="97" t="s">
        <v>414</v>
      </c>
      <c r="O693" s="58"/>
      <c r="P693" s="58" t="s">
        <v>24</v>
      </c>
      <c r="Q693" s="58" t="s">
        <v>33</v>
      </c>
      <c r="R693" s="58" t="s">
        <v>265</v>
      </c>
    </row>
    <row r="694" spans="1:18" ht="69" customHeight="1">
      <c r="A694" s="168"/>
      <c r="B694" s="178">
        <v>8718</v>
      </c>
      <c r="C694" s="178" t="s">
        <v>309</v>
      </c>
      <c r="D694" s="575" t="s">
        <v>2365</v>
      </c>
      <c r="E694" s="178" t="s">
        <v>921</v>
      </c>
      <c r="F694" s="210" t="s">
        <v>2366</v>
      </c>
      <c r="G694" s="58" t="s">
        <v>1894</v>
      </c>
      <c r="H694" s="546">
        <v>100000</v>
      </c>
      <c r="I694" s="66">
        <v>44958</v>
      </c>
      <c r="J694" s="63" t="s">
        <v>1185</v>
      </c>
      <c r="K694" s="58"/>
      <c r="L694" s="99"/>
      <c r="M694" s="70" t="s">
        <v>2214</v>
      </c>
      <c r="N694" s="97" t="s">
        <v>356</v>
      </c>
      <c r="O694" s="58" t="s">
        <v>156</v>
      </c>
      <c r="P694" s="58" t="s">
        <v>19</v>
      </c>
      <c r="Q694" s="58" t="s">
        <v>33</v>
      </c>
      <c r="R694" s="58" t="s">
        <v>272</v>
      </c>
    </row>
    <row r="695" spans="1:18" ht="69" customHeight="1">
      <c r="A695" s="168"/>
      <c r="B695" s="178">
        <v>7223</v>
      </c>
      <c r="C695" s="178" t="s">
        <v>309</v>
      </c>
      <c r="D695" s="575" t="s">
        <v>2367</v>
      </c>
      <c r="E695" s="178" t="s">
        <v>2301</v>
      </c>
      <c r="F695" s="210" t="s">
        <v>2368</v>
      </c>
      <c r="G695" s="58" t="s">
        <v>1048</v>
      </c>
      <c r="H695" s="546">
        <v>18899.8</v>
      </c>
      <c r="I695" s="66">
        <v>44865</v>
      </c>
      <c r="J695" s="63" t="s">
        <v>2303</v>
      </c>
      <c r="K695" s="58"/>
      <c r="L695" s="99"/>
      <c r="M695" s="70" t="s">
        <v>2304</v>
      </c>
      <c r="N695" s="97" t="s">
        <v>2305</v>
      </c>
      <c r="O695" s="58"/>
      <c r="P695" s="58" t="s">
        <v>63</v>
      </c>
      <c r="Q695" s="58" t="s">
        <v>33</v>
      </c>
      <c r="R695" s="58" t="s">
        <v>272</v>
      </c>
    </row>
    <row r="696" spans="1:18" ht="69" customHeight="1">
      <c r="A696" s="168"/>
      <c r="B696" s="178">
        <v>8909</v>
      </c>
      <c r="C696" s="178" t="s">
        <v>309</v>
      </c>
      <c r="D696" s="575" t="s">
        <v>2369</v>
      </c>
      <c r="E696" s="178" t="s">
        <v>2312</v>
      </c>
      <c r="F696" s="210" t="s">
        <v>2370</v>
      </c>
      <c r="G696" s="58" t="s">
        <v>2371</v>
      </c>
      <c r="H696" s="546">
        <v>184846.36</v>
      </c>
      <c r="I696" s="66">
        <v>44984</v>
      </c>
      <c r="J696" s="63" t="s">
        <v>2372</v>
      </c>
      <c r="K696" s="58"/>
      <c r="L696" s="99"/>
      <c r="M696" s="70" t="s">
        <v>2314</v>
      </c>
      <c r="N696" s="97" t="s">
        <v>414</v>
      </c>
      <c r="O696" s="58"/>
      <c r="P696" s="58" t="s">
        <v>24</v>
      </c>
      <c r="Q696" s="58" t="s">
        <v>33</v>
      </c>
      <c r="R696" s="58" t="s">
        <v>265</v>
      </c>
    </row>
    <row r="697" spans="1:18" ht="69" customHeight="1">
      <c r="A697" s="168"/>
      <c r="B697" s="178">
        <v>8910</v>
      </c>
      <c r="C697" s="178" t="s">
        <v>309</v>
      </c>
      <c r="D697" s="575" t="s">
        <v>2373</v>
      </c>
      <c r="E697" s="178" t="s">
        <v>2312</v>
      </c>
      <c r="F697" s="210" t="s">
        <v>2374</v>
      </c>
      <c r="G697" s="58" t="s">
        <v>2371</v>
      </c>
      <c r="H697" s="546">
        <v>25250</v>
      </c>
      <c r="I697" s="66">
        <v>44984</v>
      </c>
      <c r="J697" s="63" t="s">
        <v>2372</v>
      </c>
      <c r="K697" s="58"/>
      <c r="L697" s="99"/>
      <c r="M697" s="70" t="s">
        <v>2314</v>
      </c>
      <c r="N697" s="97" t="s">
        <v>414</v>
      </c>
      <c r="O697" s="58"/>
      <c r="P697" s="58" t="s">
        <v>24</v>
      </c>
      <c r="Q697" s="58" t="s">
        <v>33</v>
      </c>
      <c r="R697" s="58" t="s">
        <v>265</v>
      </c>
    </row>
    <row r="698" spans="1:18" ht="69" customHeight="1">
      <c r="A698" s="168"/>
      <c r="B698" s="191">
        <v>8936</v>
      </c>
      <c r="C698" s="191" t="s">
        <v>309</v>
      </c>
      <c r="D698" s="533" t="s">
        <v>2375</v>
      </c>
      <c r="E698" s="191" t="s">
        <v>2312</v>
      </c>
      <c r="F698" s="211" t="s">
        <v>2376</v>
      </c>
      <c r="G698" s="46" t="s">
        <v>1216</v>
      </c>
      <c r="H698" s="534">
        <v>11239.02</v>
      </c>
      <c r="I698" s="56">
        <v>44986</v>
      </c>
      <c r="J698" s="283" t="s">
        <v>1217</v>
      </c>
      <c r="K698" s="46" t="s">
        <v>167</v>
      </c>
      <c r="L698" s="99"/>
      <c r="M698" s="379"/>
      <c r="N698" s="76" t="s">
        <v>414</v>
      </c>
      <c r="O698" s="46"/>
      <c r="P698" s="46" t="s">
        <v>71</v>
      </c>
      <c r="Q698" s="46" t="s">
        <v>33</v>
      </c>
      <c r="R698" s="46" t="s">
        <v>272</v>
      </c>
    </row>
    <row r="699" spans="1:18" ht="69" customHeight="1">
      <c r="A699" s="168"/>
      <c r="B699" s="178">
        <v>8969</v>
      </c>
      <c r="C699" s="178" t="s">
        <v>309</v>
      </c>
      <c r="D699" s="575" t="s">
        <v>1906</v>
      </c>
      <c r="E699" s="178" t="s">
        <v>270</v>
      </c>
      <c r="F699" s="210" t="s">
        <v>1907</v>
      </c>
      <c r="G699" s="58" t="s">
        <v>1908</v>
      </c>
      <c r="H699" s="546">
        <v>7500</v>
      </c>
      <c r="I699" s="66">
        <v>44988</v>
      </c>
      <c r="J699" s="63" t="s">
        <v>1909</v>
      </c>
      <c r="K699" s="58">
        <v>15000</v>
      </c>
      <c r="L699" s="99"/>
      <c r="M699" s="70" t="s">
        <v>2191</v>
      </c>
      <c r="N699" s="97" t="s">
        <v>270</v>
      </c>
      <c r="O699" s="58" t="s">
        <v>1910</v>
      </c>
      <c r="P699" s="58" t="s">
        <v>44</v>
      </c>
      <c r="Q699" s="58" t="s">
        <v>33</v>
      </c>
      <c r="R699" s="58" t="s">
        <v>272</v>
      </c>
    </row>
    <row r="700" spans="1:18" ht="69" customHeight="1">
      <c r="A700" s="168"/>
      <c r="B700" s="178">
        <v>8208</v>
      </c>
      <c r="C700" s="178" t="s">
        <v>309</v>
      </c>
      <c r="D700" s="575" t="s">
        <v>2377</v>
      </c>
      <c r="E700" s="178" t="s">
        <v>2291</v>
      </c>
      <c r="F700" s="210" t="s">
        <v>2378</v>
      </c>
      <c r="G700" s="58" t="s">
        <v>1223</v>
      </c>
      <c r="H700" s="546">
        <v>48910.13</v>
      </c>
      <c r="I700" s="66">
        <v>44921</v>
      </c>
      <c r="J700" s="63" t="s">
        <v>1224</v>
      </c>
      <c r="K700" s="58"/>
      <c r="L700" s="99"/>
      <c r="M700" s="70" t="s">
        <v>2294</v>
      </c>
      <c r="N700" s="97" t="s">
        <v>414</v>
      </c>
      <c r="O700" s="58"/>
      <c r="P700" s="58" t="s">
        <v>24</v>
      </c>
      <c r="Q700" s="58" t="s">
        <v>33</v>
      </c>
      <c r="R700" s="58" t="s">
        <v>272</v>
      </c>
    </row>
    <row r="701" spans="1:18" ht="69" customHeight="1">
      <c r="A701" s="168"/>
      <c r="B701" s="178">
        <v>8805</v>
      </c>
      <c r="C701" s="178" t="s">
        <v>309</v>
      </c>
      <c r="D701" s="575" t="s">
        <v>2379</v>
      </c>
      <c r="E701" s="178" t="s">
        <v>2291</v>
      </c>
      <c r="F701" s="210" t="s">
        <v>2380</v>
      </c>
      <c r="G701" s="58" t="s">
        <v>2381</v>
      </c>
      <c r="H701" s="546">
        <v>163027.41</v>
      </c>
      <c r="I701" s="66">
        <v>44953</v>
      </c>
      <c r="J701" s="63" t="s">
        <v>1130</v>
      </c>
      <c r="K701" s="58"/>
      <c r="L701" s="99"/>
      <c r="M701" s="70" t="s">
        <v>2294</v>
      </c>
      <c r="N701" s="97" t="s">
        <v>414</v>
      </c>
      <c r="O701" s="58"/>
      <c r="P701" s="58" t="s">
        <v>24</v>
      </c>
      <c r="Q701" s="58" t="s">
        <v>33</v>
      </c>
      <c r="R701" s="58" t="s">
        <v>272</v>
      </c>
    </row>
    <row r="702" spans="1:18" ht="69" customHeight="1">
      <c r="A702" s="168"/>
      <c r="B702" s="178">
        <v>9095</v>
      </c>
      <c r="C702" s="178" t="s">
        <v>309</v>
      </c>
      <c r="D702" s="575" t="s">
        <v>2382</v>
      </c>
      <c r="E702" s="178" t="s">
        <v>2312</v>
      </c>
      <c r="F702" s="210" t="s">
        <v>2383</v>
      </c>
      <c r="G702" s="58" t="s">
        <v>2384</v>
      </c>
      <c r="H702" s="546">
        <v>25200</v>
      </c>
      <c r="I702" s="66">
        <v>45002</v>
      </c>
      <c r="J702" s="63" t="s">
        <v>2385</v>
      </c>
      <c r="K702" s="58"/>
      <c r="L702" s="99"/>
      <c r="M702" s="70" t="s">
        <v>2314</v>
      </c>
      <c r="N702" s="97" t="s">
        <v>414</v>
      </c>
      <c r="O702" s="58"/>
      <c r="P702" s="58" t="s">
        <v>24</v>
      </c>
      <c r="Q702" s="58" t="s">
        <v>33</v>
      </c>
      <c r="R702" s="58" t="s">
        <v>265</v>
      </c>
    </row>
    <row r="703" spans="1:18" ht="69" customHeight="1">
      <c r="A703" s="168"/>
      <c r="B703" s="191">
        <v>9335</v>
      </c>
      <c r="C703" s="191" t="s">
        <v>309</v>
      </c>
      <c r="D703" s="533" t="s">
        <v>2386</v>
      </c>
      <c r="E703" s="191" t="s">
        <v>2312</v>
      </c>
      <c r="F703" s="211" t="s">
        <v>2387</v>
      </c>
      <c r="G703" s="46" t="s">
        <v>2158</v>
      </c>
      <c r="H703" s="534">
        <v>11239.02</v>
      </c>
      <c r="I703" s="56">
        <v>45007</v>
      </c>
      <c r="J703" s="283" t="s">
        <v>2159</v>
      </c>
      <c r="K703" s="46" t="s">
        <v>167</v>
      </c>
      <c r="L703" s="99"/>
      <c r="M703" s="379"/>
      <c r="N703" s="76" t="s">
        <v>414</v>
      </c>
      <c r="O703" s="46"/>
      <c r="P703" s="46" t="s">
        <v>71</v>
      </c>
      <c r="Q703" s="46" t="s">
        <v>33</v>
      </c>
      <c r="R703" s="46" t="s">
        <v>272</v>
      </c>
    </row>
    <row r="704" spans="1:18" ht="69" customHeight="1">
      <c r="A704" s="168"/>
      <c r="B704" s="178">
        <v>9399</v>
      </c>
      <c r="C704" s="178" t="s">
        <v>309</v>
      </c>
      <c r="D704" s="575" t="s">
        <v>2388</v>
      </c>
      <c r="E704" s="178" t="s">
        <v>921</v>
      </c>
      <c r="F704" s="210" t="s">
        <v>2389</v>
      </c>
      <c r="G704" s="58" t="s">
        <v>1925</v>
      </c>
      <c r="H704" s="546">
        <v>200000</v>
      </c>
      <c r="I704" s="66">
        <v>45019</v>
      </c>
      <c r="J704" s="63" t="s">
        <v>2390</v>
      </c>
      <c r="K704" s="58"/>
      <c r="L704" s="99"/>
      <c r="M704" s="70" t="s">
        <v>2214</v>
      </c>
      <c r="N704" s="97" t="s">
        <v>356</v>
      </c>
      <c r="O704" s="58" t="s">
        <v>156</v>
      </c>
      <c r="P704" s="58" t="s">
        <v>19</v>
      </c>
      <c r="Q704" s="58" t="s">
        <v>33</v>
      </c>
      <c r="R704" s="58" t="s">
        <v>272</v>
      </c>
    </row>
    <row r="705" spans="1:18" ht="69" customHeight="1">
      <c r="A705" s="168"/>
      <c r="B705" s="178">
        <v>9415</v>
      </c>
      <c r="C705" s="178" t="s">
        <v>309</v>
      </c>
      <c r="D705" s="575" t="s">
        <v>2391</v>
      </c>
      <c r="E705" s="178" t="s">
        <v>2312</v>
      </c>
      <c r="F705" s="210" t="s">
        <v>2392</v>
      </c>
      <c r="G705" s="58" t="s">
        <v>1241</v>
      </c>
      <c r="H705" s="546">
        <v>34800</v>
      </c>
      <c r="I705" s="66">
        <v>45012</v>
      </c>
      <c r="J705" s="63" t="s">
        <v>1242</v>
      </c>
      <c r="K705" s="58"/>
      <c r="L705" s="99"/>
      <c r="M705" s="70" t="s">
        <v>2314</v>
      </c>
      <c r="N705" s="97" t="s">
        <v>414</v>
      </c>
      <c r="O705" s="58"/>
      <c r="P705" s="58" t="s">
        <v>24</v>
      </c>
      <c r="Q705" s="58" t="s">
        <v>33</v>
      </c>
      <c r="R705" s="58" t="s">
        <v>265</v>
      </c>
    </row>
    <row r="706" spans="1:18" ht="69" customHeight="1">
      <c r="A706" s="168"/>
      <c r="B706" s="178">
        <v>9422</v>
      </c>
      <c r="C706" s="178" t="s">
        <v>309</v>
      </c>
      <c r="D706" s="575" t="s">
        <v>2393</v>
      </c>
      <c r="E706" s="178" t="s">
        <v>2312</v>
      </c>
      <c r="F706" s="210" t="s">
        <v>2394</v>
      </c>
      <c r="G706" s="58" t="s">
        <v>1241</v>
      </c>
      <c r="H706" s="546">
        <v>37142.04</v>
      </c>
      <c r="I706" s="66">
        <v>45012</v>
      </c>
      <c r="J706" s="63" t="s">
        <v>1242</v>
      </c>
      <c r="K706" s="58"/>
      <c r="L706" s="99"/>
      <c r="M706" s="70" t="s">
        <v>2314</v>
      </c>
      <c r="N706" s="97" t="s">
        <v>414</v>
      </c>
      <c r="O706" s="58"/>
      <c r="P706" s="58" t="s">
        <v>24</v>
      </c>
      <c r="Q706" s="58" t="s">
        <v>33</v>
      </c>
      <c r="R706" s="58" t="s">
        <v>265</v>
      </c>
    </row>
    <row r="707" spans="1:18" ht="69" customHeight="1">
      <c r="A707" s="168"/>
      <c r="B707" s="178">
        <v>9423</v>
      </c>
      <c r="C707" s="178" t="s">
        <v>309</v>
      </c>
      <c r="D707" s="575" t="s">
        <v>2395</v>
      </c>
      <c r="E707" s="178" t="s">
        <v>2312</v>
      </c>
      <c r="F707" s="210" t="s">
        <v>2396</v>
      </c>
      <c r="G707" s="58" t="s">
        <v>1241</v>
      </c>
      <c r="H707" s="546">
        <v>2342.04</v>
      </c>
      <c r="I707" s="66">
        <v>45012</v>
      </c>
      <c r="J707" s="63" t="s">
        <v>1242</v>
      </c>
      <c r="K707" s="58"/>
      <c r="L707" s="99"/>
      <c r="M707" s="70" t="s">
        <v>2314</v>
      </c>
      <c r="N707" s="97" t="s">
        <v>414</v>
      </c>
      <c r="O707" s="58"/>
      <c r="P707" s="58" t="s">
        <v>24</v>
      </c>
      <c r="Q707" s="58" t="s">
        <v>33</v>
      </c>
      <c r="R707" s="58" t="s">
        <v>265</v>
      </c>
    </row>
    <row r="708" spans="1:18" ht="69" customHeight="1">
      <c r="A708" s="168"/>
      <c r="B708" s="178">
        <v>9424</v>
      </c>
      <c r="C708" s="178" t="s">
        <v>309</v>
      </c>
      <c r="D708" s="575" t="s">
        <v>2397</v>
      </c>
      <c r="E708" s="178" t="s">
        <v>2312</v>
      </c>
      <c r="F708" s="210" t="s">
        <v>2398</v>
      </c>
      <c r="G708" s="58" t="s">
        <v>1241</v>
      </c>
      <c r="H708" s="546">
        <v>2342.0500000000002</v>
      </c>
      <c r="I708" s="66">
        <v>45012</v>
      </c>
      <c r="J708" s="63" t="s">
        <v>1242</v>
      </c>
      <c r="K708" s="58"/>
      <c r="L708" s="99"/>
      <c r="M708" s="70" t="s">
        <v>2314</v>
      </c>
      <c r="N708" s="97" t="s">
        <v>414</v>
      </c>
      <c r="O708" s="58"/>
      <c r="P708" s="58" t="s">
        <v>24</v>
      </c>
      <c r="Q708" s="58" t="s">
        <v>33</v>
      </c>
      <c r="R708" s="58" t="s">
        <v>265</v>
      </c>
    </row>
    <row r="709" spans="1:18" ht="69" customHeight="1">
      <c r="A709" s="168"/>
      <c r="B709" s="178">
        <v>9668</v>
      </c>
      <c r="C709" s="178" t="s">
        <v>309</v>
      </c>
      <c r="D709" s="575"/>
      <c r="E709" s="178" t="s">
        <v>585</v>
      </c>
      <c r="F709" s="210" t="s">
        <v>1936</v>
      </c>
      <c r="G709" s="58" t="s">
        <v>1908</v>
      </c>
      <c r="H709" s="546">
        <v>10000</v>
      </c>
      <c r="I709" s="66">
        <v>45016</v>
      </c>
      <c r="J709" s="63" t="s">
        <v>1937</v>
      </c>
      <c r="K709" s="58">
        <v>20000</v>
      </c>
      <c r="L709" s="99"/>
      <c r="M709" s="70" t="s">
        <v>2191</v>
      </c>
      <c r="N709" s="97" t="s">
        <v>270</v>
      </c>
      <c r="O709" s="58"/>
      <c r="P709" s="58" t="s">
        <v>44</v>
      </c>
      <c r="Q709" s="58" t="s">
        <v>33</v>
      </c>
      <c r="R709" s="58" t="s">
        <v>272</v>
      </c>
    </row>
    <row r="710" spans="1:18" ht="69" customHeight="1">
      <c r="A710" s="168"/>
      <c r="B710" s="178">
        <v>9669</v>
      </c>
      <c r="C710" s="178" t="s">
        <v>309</v>
      </c>
      <c r="D710" s="575"/>
      <c r="E710" s="178" t="s">
        <v>585</v>
      </c>
      <c r="F710" s="210" t="s">
        <v>1938</v>
      </c>
      <c r="G710" s="58" t="s">
        <v>1908</v>
      </c>
      <c r="H710" s="546">
        <v>5000</v>
      </c>
      <c r="I710" s="66">
        <v>45016</v>
      </c>
      <c r="J710" s="63" t="s">
        <v>1937</v>
      </c>
      <c r="K710" s="58">
        <v>10000</v>
      </c>
      <c r="L710" s="99"/>
      <c r="M710" s="70" t="s">
        <v>2191</v>
      </c>
      <c r="N710" s="97" t="s">
        <v>270</v>
      </c>
      <c r="O710" s="58"/>
      <c r="P710" s="58" t="s">
        <v>44</v>
      </c>
      <c r="Q710" s="58" t="s">
        <v>33</v>
      </c>
      <c r="R710" s="58" t="s">
        <v>272</v>
      </c>
    </row>
    <row r="711" spans="1:18" ht="69" customHeight="1">
      <c r="A711" s="168"/>
      <c r="B711" s="178">
        <v>9670</v>
      </c>
      <c r="C711" s="178" t="s">
        <v>309</v>
      </c>
      <c r="D711" s="575"/>
      <c r="E711" s="178" t="s">
        <v>585</v>
      </c>
      <c r="F711" s="210" t="s">
        <v>1939</v>
      </c>
      <c r="G711" s="58" t="s">
        <v>1908</v>
      </c>
      <c r="H711" s="546">
        <v>5000</v>
      </c>
      <c r="I711" s="66">
        <v>45016</v>
      </c>
      <c r="J711" s="63" t="s">
        <v>1937</v>
      </c>
      <c r="K711" s="58">
        <v>10000</v>
      </c>
      <c r="L711" s="99"/>
      <c r="M711" s="70" t="s">
        <v>2191</v>
      </c>
      <c r="N711" s="97" t="s">
        <v>270</v>
      </c>
      <c r="O711" s="58"/>
      <c r="P711" s="58" t="s">
        <v>44</v>
      </c>
      <c r="Q711" s="58" t="s">
        <v>33</v>
      </c>
      <c r="R711" s="58" t="s">
        <v>272</v>
      </c>
    </row>
    <row r="712" spans="1:18" ht="69" customHeight="1">
      <c r="A712" s="168"/>
      <c r="B712" s="178">
        <v>9671</v>
      </c>
      <c r="C712" s="178" t="s">
        <v>309</v>
      </c>
      <c r="D712" s="575" t="s">
        <v>2399</v>
      </c>
      <c r="E712" s="178" t="s">
        <v>2291</v>
      </c>
      <c r="F712" s="210" t="s">
        <v>2400</v>
      </c>
      <c r="G712" s="58" t="s">
        <v>2401</v>
      </c>
      <c r="H712" s="546">
        <v>46492.92</v>
      </c>
      <c r="I712" s="66">
        <v>45016</v>
      </c>
      <c r="J712" s="63" t="s">
        <v>2402</v>
      </c>
      <c r="K712" s="58"/>
      <c r="L712" s="99"/>
      <c r="M712" s="70" t="s">
        <v>2294</v>
      </c>
      <c r="N712" s="97" t="s">
        <v>414</v>
      </c>
      <c r="O712" s="58"/>
      <c r="P712" s="58" t="s">
        <v>24</v>
      </c>
      <c r="Q712" s="58" t="s">
        <v>33</v>
      </c>
      <c r="R712" s="58" t="s">
        <v>272</v>
      </c>
    </row>
    <row r="713" spans="1:18" ht="69" customHeight="1">
      <c r="A713" s="168"/>
      <c r="B713" s="178">
        <v>9674</v>
      </c>
      <c r="C713" s="178" t="s">
        <v>309</v>
      </c>
      <c r="D713" s="575" t="s">
        <v>2403</v>
      </c>
      <c r="E713" s="178" t="s">
        <v>2291</v>
      </c>
      <c r="F713" s="210" t="s">
        <v>2404</v>
      </c>
      <c r="G713" s="58" t="s">
        <v>2405</v>
      </c>
      <c r="H713" s="546">
        <v>55451.5</v>
      </c>
      <c r="I713" s="66">
        <v>45016</v>
      </c>
      <c r="J713" s="63" t="s">
        <v>1943</v>
      </c>
      <c r="K713" s="58"/>
      <c r="L713" s="99"/>
      <c r="M713" s="70" t="s">
        <v>2294</v>
      </c>
      <c r="N713" s="97" t="s">
        <v>414</v>
      </c>
      <c r="O713" s="58"/>
      <c r="P713" s="58" t="s">
        <v>24</v>
      </c>
      <c r="Q713" s="58" t="s">
        <v>33</v>
      </c>
      <c r="R713" s="58" t="s">
        <v>272</v>
      </c>
    </row>
    <row r="714" spans="1:18" ht="69" customHeight="1">
      <c r="A714" s="168"/>
      <c r="B714" s="178">
        <v>9771</v>
      </c>
      <c r="C714" s="178" t="s">
        <v>309</v>
      </c>
      <c r="D714" s="575" t="s">
        <v>2406</v>
      </c>
      <c r="E714" s="178" t="s">
        <v>921</v>
      </c>
      <c r="F714" s="210" t="s">
        <v>2407</v>
      </c>
      <c r="G714" s="58" t="s">
        <v>1949</v>
      </c>
      <c r="H714" s="546">
        <v>200000</v>
      </c>
      <c r="I714" s="66">
        <v>45041</v>
      </c>
      <c r="J714" s="63" t="s">
        <v>2408</v>
      </c>
      <c r="K714" s="58"/>
      <c r="L714" s="99"/>
      <c r="M714" s="70" t="s">
        <v>2214</v>
      </c>
      <c r="N714" s="97" t="s">
        <v>356</v>
      </c>
      <c r="O714" s="58" t="s">
        <v>156</v>
      </c>
      <c r="P714" s="58" t="s">
        <v>19</v>
      </c>
      <c r="Q714" s="58" t="s">
        <v>33</v>
      </c>
      <c r="R714" s="58" t="s">
        <v>272</v>
      </c>
    </row>
    <row r="715" spans="1:18" ht="69" customHeight="1">
      <c r="A715" s="168"/>
      <c r="B715" s="191">
        <v>9902</v>
      </c>
      <c r="C715" s="191" t="s">
        <v>309</v>
      </c>
      <c r="D715" s="533" t="s">
        <v>2409</v>
      </c>
      <c r="E715" s="191" t="s">
        <v>2312</v>
      </c>
      <c r="F715" s="211" t="s">
        <v>2410</v>
      </c>
      <c r="G715" s="46" t="s">
        <v>2172</v>
      </c>
      <c r="H715" s="534">
        <v>11239.02</v>
      </c>
      <c r="I715" s="56">
        <v>45044</v>
      </c>
      <c r="J715" s="412" t="s">
        <v>2173</v>
      </c>
      <c r="K715" s="46" t="s">
        <v>167</v>
      </c>
      <c r="L715" s="99"/>
      <c r="M715" s="379"/>
      <c r="N715" s="76" t="s">
        <v>414</v>
      </c>
      <c r="O715" s="46"/>
      <c r="P715" s="46" t="s">
        <v>71</v>
      </c>
      <c r="Q715" s="46" t="s">
        <v>33</v>
      </c>
      <c r="R715" s="46" t="s">
        <v>272</v>
      </c>
    </row>
    <row r="716" spans="1:18" ht="69" customHeight="1">
      <c r="A716" s="168"/>
      <c r="B716" s="191">
        <v>9941</v>
      </c>
      <c r="C716" s="191" t="s">
        <v>309</v>
      </c>
      <c r="D716" s="533"/>
      <c r="E716" s="191" t="s">
        <v>2312</v>
      </c>
      <c r="F716" s="211" t="s">
        <v>2411</v>
      </c>
      <c r="G716" s="46" t="s">
        <v>1251</v>
      </c>
      <c r="H716" s="534">
        <v>1400</v>
      </c>
      <c r="I716" s="56">
        <v>45061</v>
      </c>
      <c r="J716" s="412" t="s">
        <v>1956</v>
      </c>
      <c r="K716" s="211" t="s">
        <v>167</v>
      </c>
      <c r="L716" s="99"/>
      <c r="M716" s="379"/>
      <c r="N716" s="76" t="s">
        <v>414</v>
      </c>
      <c r="O716" s="46" t="s">
        <v>1092</v>
      </c>
      <c r="P716" s="46" t="s">
        <v>65</v>
      </c>
      <c r="Q716" s="46" t="s">
        <v>33</v>
      </c>
      <c r="R716" s="46" t="s">
        <v>272</v>
      </c>
    </row>
    <row r="717" spans="1:18" ht="69" customHeight="1">
      <c r="A717" s="168"/>
      <c r="B717" s="178">
        <v>1965</v>
      </c>
      <c r="C717" s="178" t="s">
        <v>259</v>
      </c>
      <c r="D717" s="575" t="s">
        <v>96</v>
      </c>
      <c r="E717" s="178" t="s">
        <v>260</v>
      </c>
      <c r="F717" s="210" t="s">
        <v>2412</v>
      </c>
      <c r="G717" s="575" t="s">
        <v>96</v>
      </c>
      <c r="H717" s="546">
        <v>7500</v>
      </c>
      <c r="I717" s="66">
        <v>44425</v>
      </c>
      <c r="J717" s="411" t="s">
        <v>891</v>
      </c>
      <c r="K717" s="58" t="s">
        <v>2413</v>
      </c>
      <c r="L717" s="99"/>
      <c r="M717" s="70" t="s">
        <v>2414</v>
      </c>
      <c r="N717" s="97" t="s">
        <v>264</v>
      </c>
      <c r="O717" s="58" t="s">
        <v>141</v>
      </c>
      <c r="P717" s="58" t="s">
        <v>17</v>
      </c>
      <c r="Q717" s="58" t="s">
        <v>35</v>
      </c>
      <c r="R717" s="58" t="s">
        <v>265</v>
      </c>
    </row>
    <row r="718" spans="1:18" ht="69" customHeight="1">
      <c r="A718" s="168"/>
      <c r="B718" s="178">
        <v>2060</v>
      </c>
      <c r="C718" s="178" t="s">
        <v>259</v>
      </c>
      <c r="D718" s="575" t="s">
        <v>96</v>
      </c>
      <c r="E718" s="178" t="s">
        <v>266</v>
      </c>
      <c r="F718" s="210" t="s">
        <v>2415</v>
      </c>
      <c r="G718" s="575" t="s">
        <v>96</v>
      </c>
      <c r="H718" s="546">
        <v>10496.25</v>
      </c>
      <c r="I718" s="66">
        <v>44438</v>
      </c>
      <c r="J718" s="411" t="s">
        <v>268</v>
      </c>
      <c r="K718" s="58"/>
      <c r="L718" s="99"/>
      <c r="M718" s="70" t="s">
        <v>2416</v>
      </c>
      <c r="N718" s="97" t="s">
        <v>270</v>
      </c>
      <c r="O718" s="58"/>
      <c r="P718" s="58" t="s">
        <v>44</v>
      </c>
      <c r="Q718" s="58" t="s">
        <v>35</v>
      </c>
      <c r="R718" s="58" t="s">
        <v>272</v>
      </c>
    </row>
    <row r="719" spans="1:18" ht="69" customHeight="1">
      <c r="A719" s="168"/>
      <c r="B719" s="178">
        <v>2075</v>
      </c>
      <c r="C719" s="178" t="s">
        <v>259</v>
      </c>
      <c r="D719" s="575" t="s">
        <v>96</v>
      </c>
      <c r="E719" s="178" t="s">
        <v>266</v>
      </c>
      <c r="F719" s="210" t="s">
        <v>2417</v>
      </c>
      <c r="G719" s="575" t="s">
        <v>96</v>
      </c>
      <c r="H719" s="546">
        <v>11551.75</v>
      </c>
      <c r="I719" s="66">
        <v>44438</v>
      </c>
      <c r="J719" s="411" t="s">
        <v>268</v>
      </c>
      <c r="K719" s="58"/>
      <c r="L719" s="99"/>
      <c r="M719" s="70" t="s">
        <v>2416</v>
      </c>
      <c r="N719" s="97" t="s">
        <v>270</v>
      </c>
      <c r="O719" s="58"/>
      <c r="P719" s="58" t="s">
        <v>44</v>
      </c>
      <c r="Q719" s="58" t="s">
        <v>35</v>
      </c>
      <c r="R719" s="58" t="s">
        <v>272</v>
      </c>
    </row>
    <row r="720" spans="1:18" ht="69" customHeight="1">
      <c r="A720" s="168"/>
      <c r="B720" s="178">
        <v>2151</v>
      </c>
      <c r="C720" s="178" t="s">
        <v>309</v>
      </c>
      <c r="D720" s="575" t="s">
        <v>2418</v>
      </c>
      <c r="E720" s="178" t="s">
        <v>266</v>
      </c>
      <c r="F720" s="210" t="s">
        <v>2419</v>
      </c>
      <c r="G720" s="58"/>
      <c r="H720" s="546">
        <v>1750.59</v>
      </c>
      <c r="I720" s="66">
        <v>44455</v>
      </c>
      <c r="J720" s="411" t="s">
        <v>2420</v>
      </c>
      <c r="K720" s="58"/>
      <c r="L720" s="99"/>
      <c r="M720" s="70" t="s">
        <v>2416</v>
      </c>
      <c r="N720" s="97" t="s">
        <v>270</v>
      </c>
      <c r="O720" s="58"/>
      <c r="P720" s="58" t="s">
        <v>44</v>
      </c>
      <c r="Q720" s="58" t="s">
        <v>35</v>
      </c>
      <c r="R720" s="58" t="s">
        <v>272</v>
      </c>
    </row>
    <row r="721" spans="1:18" ht="69" customHeight="1">
      <c r="A721" s="168"/>
      <c r="B721" s="178">
        <v>2201</v>
      </c>
      <c r="C721" s="178" t="s">
        <v>259</v>
      </c>
      <c r="D721" s="575"/>
      <c r="E721" s="178" t="s">
        <v>260</v>
      </c>
      <c r="F721" s="210" t="s">
        <v>2412</v>
      </c>
      <c r="G721" s="58"/>
      <c r="H721" s="546">
        <v>7500</v>
      </c>
      <c r="I721" s="66">
        <v>44468</v>
      </c>
      <c r="J721" s="411" t="s">
        <v>896</v>
      </c>
      <c r="K721" s="58" t="s">
        <v>2413</v>
      </c>
      <c r="L721" s="99"/>
      <c r="M721" s="70" t="s">
        <v>2414</v>
      </c>
      <c r="N721" s="97" t="s">
        <v>264</v>
      </c>
      <c r="O721" s="58" t="s">
        <v>141</v>
      </c>
      <c r="P721" s="58" t="s">
        <v>17</v>
      </c>
      <c r="Q721" s="58" t="s">
        <v>35</v>
      </c>
      <c r="R721" s="58" t="s">
        <v>265</v>
      </c>
    </row>
    <row r="722" spans="1:18" ht="69" customHeight="1">
      <c r="A722" s="168"/>
      <c r="B722" s="178">
        <v>2265</v>
      </c>
      <c r="C722" s="178" t="s">
        <v>259</v>
      </c>
      <c r="D722" s="575" t="s">
        <v>96</v>
      </c>
      <c r="E722" s="178" t="s">
        <v>266</v>
      </c>
      <c r="F722" s="210" t="s">
        <v>2421</v>
      </c>
      <c r="G722" s="575" t="s">
        <v>96</v>
      </c>
      <c r="H722" s="546">
        <v>532.44000000000005</v>
      </c>
      <c r="I722" s="66">
        <v>44466</v>
      </c>
      <c r="J722" s="411" t="s">
        <v>2422</v>
      </c>
      <c r="K722" s="58"/>
      <c r="L722" s="99"/>
      <c r="M722" s="70" t="s">
        <v>2416</v>
      </c>
      <c r="N722" s="97" t="s">
        <v>270</v>
      </c>
      <c r="O722" s="58"/>
      <c r="P722" s="58" t="s">
        <v>44</v>
      </c>
      <c r="Q722" s="58" t="s">
        <v>35</v>
      </c>
      <c r="R722" s="58" t="s">
        <v>272</v>
      </c>
    </row>
    <row r="723" spans="1:18" ht="69" customHeight="1">
      <c r="A723" s="168"/>
      <c r="B723" s="178">
        <v>2266</v>
      </c>
      <c r="C723" s="178" t="s">
        <v>259</v>
      </c>
      <c r="D723" s="575" t="s">
        <v>96</v>
      </c>
      <c r="E723" s="178" t="s">
        <v>266</v>
      </c>
      <c r="F723" s="210" t="s">
        <v>2423</v>
      </c>
      <c r="G723" s="575" t="s">
        <v>96</v>
      </c>
      <c r="H723" s="546">
        <v>466.32</v>
      </c>
      <c r="I723" s="66">
        <v>44466</v>
      </c>
      <c r="J723" s="411" t="s">
        <v>2424</v>
      </c>
      <c r="K723" s="58"/>
      <c r="L723" s="99"/>
      <c r="M723" s="70" t="s">
        <v>2416</v>
      </c>
      <c r="N723" s="97" t="s">
        <v>270</v>
      </c>
      <c r="O723" s="58"/>
      <c r="P723" s="58" t="s">
        <v>44</v>
      </c>
      <c r="Q723" s="58" t="s">
        <v>35</v>
      </c>
      <c r="R723" s="58" t="s">
        <v>272</v>
      </c>
    </row>
    <row r="724" spans="1:18" ht="69" customHeight="1">
      <c r="A724" s="168"/>
      <c r="B724" s="178">
        <v>2267</v>
      </c>
      <c r="C724" s="178" t="s">
        <v>259</v>
      </c>
      <c r="D724" s="575" t="s">
        <v>96</v>
      </c>
      <c r="E724" s="178" t="s">
        <v>266</v>
      </c>
      <c r="F724" s="210" t="s">
        <v>2425</v>
      </c>
      <c r="G724" s="575" t="s">
        <v>96</v>
      </c>
      <c r="H724" s="546">
        <v>60.55</v>
      </c>
      <c r="I724" s="66">
        <v>44466</v>
      </c>
      <c r="J724" s="411" t="s">
        <v>2426</v>
      </c>
      <c r="K724" s="58"/>
      <c r="L724" s="99"/>
      <c r="M724" s="70" t="s">
        <v>2416</v>
      </c>
      <c r="N724" s="97" t="s">
        <v>270</v>
      </c>
      <c r="O724" s="58"/>
      <c r="P724" s="58" t="s">
        <v>44</v>
      </c>
      <c r="Q724" s="58" t="s">
        <v>35</v>
      </c>
      <c r="R724" s="58" t="s">
        <v>272</v>
      </c>
    </row>
    <row r="725" spans="1:18" ht="69" customHeight="1">
      <c r="A725" s="168"/>
      <c r="B725" s="178">
        <v>2268</v>
      </c>
      <c r="C725" s="178" t="s">
        <v>259</v>
      </c>
      <c r="D725" s="575" t="s">
        <v>96</v>
      </c>
      <c r="E725" s="178" t="s">
        <v>266</v>
      </c>
      <c r="F725" s="210" t="s">
        <v>2427</v>
      </c>
      <c r="G725" s="575" t="s">
        <v>96</v>
      </c>
      <c r="H725" s="546">
        <v>322.3</v>
      </c>
      <c r="I725" s="66">
        <v>44466</v>
      </c>
      <c r="J725" s="411" t="s">
        <v>2428</v>
      </c>
      <c r="K725" s="58"/>
      <c r="L725" s="99"/>
      <c r="M725" s="70" t="s">
        <v>2416</v>
      </c>
      <c r="N725" s="97" t="s">
        <v>270</v>
      </c>
      <c r="O725" s="58"/>
      <c r="P725" s="58" t="s">
        <v>44</v>
      </c>
      <c r="Q725" s="58" t="s">
        <v>35</v>
      </c>
      <c r="R725" s="58" t="s">
        <v>272</v>
      </c>
    </row>
    <row r="726" spans="1:18" ht="69" customHeight="1">
      <c r="A726" s="168"/>
      <c r="B726" s="178">
        <v>2116</v>
      </c>
      <c r="C726" s="178" t="s">
        <v>259</v>
      </c>
      <c r="D726" s="575"/>
      <c r="E726" s="178" t="s">
        <v>266</v>
      </c>
      <c r="F726" s="210" t="s">
        <v>2429</v>
      </c>
      <c r="G726" s="58"/>
      <c r="H726" s="546">
        <v>8397</v>
      </c>
      <c r="I726" s="66">
        <v>44455</v>
      </c>
      <c r="J726" s="411" t="s">
        <v>281</v>
      </c>
      <c r="K726" s="58"/>
      <c r="L726" s="99"/>
      <c r="M726" s="70" t="s">
        <v>2416</v>
      </c>
      <c r="N726" s="97" t="s">
        <v>270</v>
      </c>
      <c r="O726" s="58"/>
      <c r="P726" s="58" t="s">
        <v>44</v>
      </c>
      <c r="Q726" s="58" t="s">
        <v>35</v>
      </c>
      <c r="R726" s="58" t="s">
        <v>272</v>
      </c>
    </row>
    <row r="727" spans="1:18" ht="69" customHeight="1">
      <c r="A727" s="168"/>
      <c r="B727" s="178">
        <v>2337</v>
      </c>
      <c r="C727" s="178" t="s">
        <v>309</v>
      </c>
      <c r="D727" s="575" t="s">
        <v>2430</v>
      </c>
      <c r="E727" s="178" t="s">
        <v>266</v>
      </c>
      <c r="F727" s="210" t="s">
        <v>2431</v>
      </c>
      <c r="G727" s="58"/>
      <c r="H727" s="546">
        <v>5220</v>
      </c>
      <c r="I727" s="66">
        <v>44482</v>
      </c>
      <c r="J727" s="411" t="s">
        <v>2432</v>
      </c>
      <c r="K727" s="58"/>
      <c r="L727" s="99"/>
      <c r="M727" s="70" t="s">
        <v>2416</v>
      </c>
      <c r="N727" s="97" t="s">
        <v>270</v>
      </c>
      <c r="O727" s="58"/>
      <c r="P727" s="58" t="s">
        <v>44</v>
      </c>
      <c r="Q727" s="58" t="s">
        <v>35</v>
      </c>
      <c r="R727" s="58" t="s">
        <v>272</v>
      </c>
    </row>
    <row r="728" spans="1:18" ht="69" customHeight="1">
      <c r="A728" s="168"/>
      <c r="B728" s="178">
        <v>2351</v>
      </c>
      <c r="C728" s="178" t="s">
        <v>259</v>
      </c>
      <c r="D728" s="575"/>
      <c r="E728" s="178" t="s">
        <v>283</v>
      </c>
      <c r="F728" s="210" t="s">
        <v>2433</v>
      </c>
      <c r="G728" s="58"/>
      <c r="H728" s="546">
        <v>7500</v>
      </c>
      <c r="I728" s="66">
        <v>44489</v>
      </c>
      <c r="J728" s="411" t="s">
        <v>285</v>
      </c>
      <c r="K728" s="58" t="s">
        <v>2413</v>
      </c>
      <c r="L728" s="99"/>
      <c r="M728" s="70" t="s">
        <v>2434</v>
      </c>
      <c r="N728" s="97" t="s">
        <v>264</v>
      </c>
      <c r="O728" s="58" t="s">
        <v>141</v>
      </c>
      <c r="P728" s="58" t="s">
        <v>17</v>
      </c>
      <c r="Q728" s="58" t="s">
        <v>35</v>
      </c>
      <c r="R728" s="58" t="s">
        <v>272</v>
      </c>
    </row>
    <row r="729" spans="1:18" ht="69" customHeight="1">
      <c r="A729" s="168"/>
      <c r="B729" s="178">
        <v>2377</v>
      </c>
      <c r="C729" s="178" t="s">
        <v>259</v>
      </c>
      <c r="D729" s="575" t="s">
        <v>2435</v>
      </c>
      <c r="E729" s="178" t="s">
        <v>283</v>
      </c>
      <c r="F729" s="210" t="s">
        <v>2436</v>
      </c>
      <c r="G729" s="58"/>
      <c r="H729" s="546">
        <v>75500</v>
      </c>
      <c r="I729" s="66">
        <v>44524</v>
      </c>
      <c r="J729" s="411" t="s">
        <v>2437</v>
      </c>
      <c r="K729" s="58" t="s">
        <v>2413</v>
      </c>
      <c r="L729" s="99"/>
      <c r="M729" s="70" t="s">
        <v>2434</v>
      </c>
      <c r="N729" s="97" t="s">
        <v>264</v>
      </c>
      <c r="O729" s="58" t="s">
        <v>141</v>
      </c>
      <c r="P729" s="58" t="s">
        <v>17</v>
      </c>
      <c r="Q729" s="58" t="s">
        <v>35</v>
      </c>
      <c r="R729" s="58" t="s">
        <v>272</v>
      </c>
    </row>
    <row r="730" spans="1:18" ht="69" customHeight="1">
      <c r="A730" s="168"/>
      <c r="B730" s="178">
        <v>2476</v>
      </c>
      <c r="C730" s="178" t="s">
        <v>309</v>
      </c>
      <c r="D730" s="575" t="s">
        <v>2438</v>
      </c>
      <c r="E730" s="178" t="s">
        <v>921</v>
      </c>
      <c r="F730" s="210" t="s">
        <v>2439</v>
      </c>
      <c r="G730" s="58" t="s">
        <v>2440</v>
      </c>
      <c r="H730" s="546">
        <v>64050</v>
      </c>
      <c r="I730" s="66">
        <v>44531</v>
      </c>
      <c r="J730" s="411" t="s">
        <v>2441</v>
      </c>
      <c r="K730" s="58" t="s">
        <v>2442</v>
      </c>
      <c r="L730" s="99"/>
      <c r="M730" s="70" t="s">
        <v>2443</v>
      </c>
      <c r="N730" s="97" t="s">
        <v>356</v>
      </c>
      <c r="O730" s="58" t="s">
        <v>156</v>
      </c>
      <c r="P730" s="58" t="s">
        <v>19</v>
      </c>
      <c r="Q730" s="58" t="s">
        <v>35</v>
      </c>
      <c r="R730" s="58" t="s">
        <v>272</v>
      </c>
    </row>
    <row r="731" spans="1:18" ht="69" customHeight="1">
      <c r="A731" s="168"/>
      <c r="B731" s="207">
        <v>2562</v>
      </c>
      <c r="C731" s="207" t="s">
        <v>303</v>
      </c>
      <c r="D731" s="301" t="s">
        <v>2444</v>
      </c>
      <c r="E731" s="207" t="s">
        <v>1367</v>
      </c>
      <c r="F731" s="208" t="s">
        <v>2445</v>
      </c>
      <c r="G731" s="160" t="s">
        <v>2001</v>
      </c>
      <c r="H731" s="300">
        <v>0</v>
      </c>
      <c r="I731" s="209" t="s">
        <v>96</v>
      </c>
      <c r="J731" s="322" t="s">
        <v>2446</v>
      </c>
      <c r="K731" s="160" t="s">
        <v>727</v>
      </c>
      <c r="M731" s="380" t="s">
        <v>35</v>
      </c>
      <c r="N731" s="82"/>
      <c r="O731" s="160"/>
      <c r="P731" s="160" t="s">
        <v>67</v>
      </c>
      <c r="Q731" s="160" t="s">
        <v>35</v>
      </c>
      <c r="R731" s="160" t="s">
        <v>272</v>
      </c>
    </row>
    <row r="732" spans="1:18" ht="69" customHeight="1">
      <c r="A732" s="168"/>
      <c r="B732" s="178">
        <v>2815</v>
      </c>
      <c r="C732" s="178" t="s">
        <v>2447</v>
      </c>
      <c r="D732" s="575" t="s">
        <v>2448</v>
      </c>
      <c r="E732" s="178" t="s">
        <v>305</v>
      </c>
      <c r="F732" s="210" t="s">
        <v>2449</v>
      </c>
      <c r="G732" s="58" t="s">
        <v>307</v>
      </c>
      <c r="H732" s="546">
        <v>10000</v>
      </c>
      <c r="I732" s="66">
        <v>44573</v>
      </c>
      <c r="J732" s="411" t="s">
        <v>2450</v>
      </c>
      <c r="K732" s="58"/>
      <c r="L732" s="99"/>
      <c r="M732" s="70" t="s">
        <v>2416</v>
      </c>
      <c r="N732" s="97" t="s">
        <v>270</v>
      </c>
      <c r="O732" s="58"/>
      <c r="P732" s="58" t="s">
        <v>44</v>
      </c>
      <c r="Q732" s="58" t="s">
        <v>35</v>
      </c>
      <c r="R732" s="58" t="s">
        <v>272</v>
      </c>
    </row>
    <row r="733" spans="1:18" ht="69" customHeight="1">
      <c r="A733" s="168"/>
      <c r="B733" s="178">
        <v>2862</v>
      </c>
      <c r="C733" s="178" t="s">
        <v>309</v>
      </c>
      <c r="D733" s="575" t="s">
        <v>2451</v>
      </c>
      <c r="E733" s="178" t="s">
        <v>266</v>
      </c>
      <c r="F733" s="210" t="s">
        <v>2452</v>
      </c>
      <c r="G733" s="58" t="s">
        <v>325</v>
      </c>
      <c r="H733" s="546">
        <v>4235.3</v>
      </c>
      <c r="I733" s="66" t="s">
        <v>96</v>
      </c>
      <c r="J733" s="411" t="s">
        <v>2453</v>
      </c>
      <c r="K733" s="58"/>
      <c r="L733" s="99"/>
      <c r="M733" s="70" t="s">
        <v>2454</v>
      </c>
      <c r="N733" s="97" t="s">
        <v>683</v>
      </c>
      <c r="O733" s="58" t="s">
        <v>2455</v>
      </c>
      <c r="P733" s="58" t="s">
        <v>44</v>
      </c>
      <c r="Q733" s="58" t="s">
        <v>35</v>
      </c>
      <c r="R733" s="58" t="s">
        <v>272</v>
      </c>
    </row>
    <row r="734" spans="1:18" ht="69" customHeight="1">
      <c r="A734" s="168"/>
      <c r="B734" s="178">
        <v>2897</v>
      </c>
      <c r="C734" s="178" t="s">
        <v>309</v>
      </c>
      <c r="D734" s="575" t="s">
        <v>2456</v>
      </c>
      <c r="E734" s="178" t="s">
        <v>266</v>
      </c>
      <c r="F734" s="210" t="s">
        <v>2457</v>
      </c>
      <c r="G734" s="58" t="s">
        <v>1994</v>
      </c>
      <c r="H734" s="546">
        <v>3500</v>
      </c>
      <c r="I734" s="66">
        <v>44585</v>
      </c>
      <c r="J734" s="411" t="s">
        <v>2458</v>
      </c>
      <c r="K734" s="58"/>
      <c r="L734" s="99"/>
      <c r="M734" s="70" t="s">
        <v>2416</v>
      </c>
      <c r="N734" s="97" t="s">
        <v>270</v>
      </c>
      <c r="O734" s="58"/>
      <c r="P734" s="58" t="s">
        <v>44</v>
      </c>
      <c r="Q734" s="58" t="s">
        <v>35</v>
      </c>
      <c r="R734" s="58" t="s">
        <v>272</v>
      </c>
    </row>
    <row r="735" spans="1:18" ht="69" customHeight="1">
      <c r="A735" s="168"/>
      <c r="B735" s="178">
        <v>2898</v>
      </c>
      <c r="C735" s="178" t="s">
        <v>309</v>
      </c>
      <c r="D735" s="575" t="s">
        <v>2459</v>
      </c>
      <c r="E735" s="178" t="s">
        <v>270</v>
      </c>
      <c r="F735" s="210" t="s">
        <v>2460</v>
      </c>
      <c r="G735" s="58" t="s">
        <v>1994</v>
      </c>
      <c r="H735" s="546">
        <v>3500</v>
      </c>
      <c r="I735" s="66">
        <v>44585</v>
      </c>
      <c r="J735" s="411" t="s">
        <v>2461</v>
      </c>
      <c r="K735" s="58"/>
      <c r="L735" s="99"/>
      <c r="M735" s="70" t="s">
        <v>2416</v>
      </c>
      <c r="N735" s="97" t="s">
        <v>270</v>
      </c>
      <c r="O735" s="58"/>
      <c r="P735" s="58" t="s">
        <v>44</v>
      </c>
      <c r="Q735" s="58" t="s">
        <v>35</v>
      </c>
      <c r="R735" s="58" t="s">
        <v>272</v>
      </c>
    </row>
    <row r="736" spans="1:18" ht="69" customHeight="1">
      <c r="A736" s="168"/>
      <c r="B736" s="178">
        <v>2562</v>
      </c>
      <c r="C736" s="178" t="s">
        <v>309</v>
      </c>
      <c r="D736" s="575" t="s">
        <v>2462</v>
      </c>
      <c r="E736" s="178" t="s">
        <v>1367</v>
      </c>
      <c r="F736" s="210" t="s">
        <v>2463</v>
      </c>
      <c r="G736" s="58" t="s">
        <v>2001</v>
      </c>
      <c r="H736" s="546">
        <v>2000</v>
      </c>
      <c r="I736" s="66" t="s">
        <v>96</v>
      </c>
      <c r="J736" s="411" t="s">
        <v>2446</v>
      </c>
      <c r="K736" s="58"/>
      <c r="L736" s="99"/>
      <c r="M736" s="70" t="s">
        <v>2416</v>
      </c>
      <c r="N736" s="97" t="s">
        <v>270</v>
      </c>
      <c r="O736" s="58"/>
      <c r="P736" s="58" t="s">
        <v>44</v>
      </c>
      <c r="Q736" s="58" t="s">
        <v>35</v>
      </c>
      <c r="R736" s="58" t="s">
        <v>272</v>
      </c>
    </row>
    <row r="737" spans="1:18" ht="69" customHeight="1">
      <c r="A737" s="168"/>
      <c r="B737" s="178">
        <v>2926</v>
      </c>
      <c r="C737" s="178" t="s">
        <v>309</v>
      </c>
      <c r="D737" s="575" t="s">
        <v>2464</v>
      </c>
      <c r="E737" s="178" t="s">
        <v>1367</v>
      </c>
      <c r="F737" s="210" t="s">
        <v>2465</v>
      </c>
      <c r="G737" s="58" t="s">
        <v>2001</v>
      </c>
      <c r="H737" s="546">
        <v>2000</v>
      </c>
      <c r="I737" s="66" t="s">
        <v>96</v>
      </c>
      <c r="J737" s="411" t="s">
        <v>2466</v>
      </c>
      <c r="K737" s="58"/>
      <c r="L737" s="99"/>
      <c r="M737" s="70" t="s">
        <v>2416</v>
      </c>
      <c r="N737" s="97" t="s">
        <v>270</v>
      </c>
      <c r="O737" s="58"/>
      <c r="P737" s="58" t="s">
        <v>44</v>
      </c>
      <c r="Q737" s="58" t="s">
        <v>35</v>
      </c>
      <c r="R737" s="58" t="s">
        <v>272</v>
      </c>
    </row>
    <row r="738" spans="1:18" ht="69" customHeight="1">
      <c r="A738" s="168"/>
      <c r="B738" s="178">
        <v>2927</v>
      </c>
      <c r="C738" s="178" t="s">
        <v>309</v>
      </c>
      <c r="D738" s="575" t="s">
        <v>2467</v>
      </c>
      <c r="E738" s="178" t="s">
        <v>1367</v>
      </c>
      <c r="F738" s="210" t="s">
        <v>2468</v>
      </c>
      <c r="G738" s="58" t="s">
        <v>2001</v>
      </c>
      <c r="H738" s="546">
        <v>4000</v>
      </c>
      <c r="I738" s="66" t="s">
        <v>96</v>
      </c>
      <c r="J738" s="411" t="s">
        <v>2469</v>
      </c>
      <c r="K738" s="58"/>
      <c r="L738" s="99"/>
      <c r="M738" s="70" t="s">
        <v>2416</v>
      </c>
      <c r="N738" s="97" t="s">
        <v>270</v>
      </c>
      <c r="O738" s="58"/>
      <c r="P738" s="58" t="s">
        <v>44</v>
      </c>
      <c r="Q738" s="58" t="s">
        <v>35</v>
      </c>
      <c r="R738" s="58" t="s">
        <v>272</v>
      </c>
    </row>
    <row r="739" spans="1:18" ht="69" customHeight="1">
      <c r="A739" s="168"/>
      <c r="B739" s="178">
        <v>2928</v>
      </c>
      <c r="C739" s="178" t="s">
        <v>309</v>
      </c>
      <c r="D739" s="575" t="s">
        <v>2470</v>
      </c>
      <c r="E739" s="178" t="s">
        <v>1367</v>
      </c>
      <c r="F739" s="210" t="s">
        <v>2471</v>
      </c>
      <c r="G739" s="58" t="s">
        <v>2001</v>
      </c>
      <c r="H739" s="546">
        <v>4000</v>
      </c>
      <c r="I739" s="66" t="s">
        <v>96</v>
      </c>
      <c r="J739" s="411" t="s">
        <v>2472</v>
      </c>
      <c r="K739" s="58"/>
      <c r="L739" s="99"/>
      <c r="M739" s="70" t="s">
        <v>2416</v>
      </c>
      <c r="N739" s="97" t="s">
        <v>270</v>
      </c>
      <c r="O739" s="58"/>
      <c r="P739" s="58" t="s">
        <v>44</v>
      </c>
      <c r="Q739" s="58" t="s">
        <v>35</v>
      </c>
      <c r="R739" s="58" t="s">
        <v>272</v>
      </c>
    </row>
    <row r="740" spans="1:18" ht="69" customHeight="1">
      <c r="A740" s="168"/>
      <c r="B740" s="191">
        <v>2969</v>
      </c>
      <c r="C740" s="191" t="s">
        <v>309</v>
      </c>
      <c r="D740" s="533" t="s">
        <v>2473</v>
      </c>
      <c r="E740" s="191" t="s">
        <v>331</v>
      </c>
      <c r="F740" s="211" t="s">
        <v>2474</v>
      </c>
      <c r="G740" s="46" t="s">
        <v>652</v>
      </c>
      <c r="H740" s="534">
        <v>0</v>
      </c>
      <c r="I740" s="56" t="s">
        <v>96</v>
      </c>
      <c r="J740" s="412" t="s">
        <v>334</v>
      </c>
      <c r="K740" s="46"/>
      <c r="L740" s="99"/>
      <c r="M740" s="379" t="s">
        <v>35</v>
      </c>
      <c r="N740" s="76" t="s">
        <v>69</v>
      </c>
      <c r="O740" s="46"/>
      <c r="P740" s="46" t="s">
        <v>69</v>
      </c>
      <c r="Q740" s="46" t="s">
        <v>35</v>
      </c>
      <c r="R740" s="46" t="s">
        <v>272</v>
      </c>
    </row>
    <row r="741" spans="1:18" ht="69" customHeight="1">
      <c r="A741" s="168"/>
      <c r="B741" s="178">
        <v>3219</v>
      </c>
      <c r="C741" s="178" t="s">
        <v>259</v>
      </c>
      <c r="D741" s="575"/>
      <c r="E741" s="178" t="s">
        <v>266</v>
      </c>
      <c r="F741" s="210" t="s">
        <v>2475</v>
      </c>
      <c r="G741" s="58" t="s">
        <v>392</v>
      </c>
      <c r="H741" s="546">
        <v>111.55</v>
      </c>
      <c r="I741" s="66">
        <v>44608</v>
      </c>
      <c r="J741" s="411" t="s">
        <v>2476</v>
      </c>
      <c r="K741" s="58"/>
      <c r="L741" s="99"/>
      <c r="M741" s="70" t="s">
        <v>2416</v>
      </c>
      <c r="N741" s="97" t="s">
        <v>270</v>
      </c>
      <c r="O741" s="58"/>
      <c r="P741" s="58" t="s">
        <v>44</v>
      </c>
      <c r="Q741" s="58" t="s">
        <v>35</v>
      </c>
      <c r="R741" s="58" t="s">
        <v>272</v>
      </c>
    </row>
    <row r="742" spans="1:18" ht="69" customHeight="1">
      <c r="A742" s="168"/>
      <c r="B742" s="178">
        <v>3220</v>
      </c>
      <c r="C742" s="178" t="s">
        <v>259</v>
      </c>
      <c r="D742" s="575"/>
      <c r="E742" s="178" t="s">
        <v>266</v>
      </c>
      <c r="F742" s="210" t="s">
        <v>2477</v>
      </c>
      <c r="G742" s="58" t="s">
        <v>392</v>
      </c>
      <c r="H742" s="546">
        <v>97.7</v>
      </c>
      <c r="I742" s="66">
        <v>44608</v>
      </c>
      <c r="J742" s="411" t="s">
        <v>2478</v>
      </c>
      <c r="K742" s="58"/>
      <c r="L742" s="99"/>
      <c r="M742" s="70" t="s">
        <v>2416</v>
      </c>
      <c r="N742" s="97" t="s">
        <v>270</v>
      </c>
      <c r="O742" s="58"/>
      <c r="P742" s="58" t="s">
        <v>44</v>
      </c>
      <c r="Q742" s="58" t="s">
        <v>35</v>
      </c>
      <c r="R742" s="58" t="s">
        <v>272</v>
      </c>
    </row>
    <row r="743" spans="1:18" ht="69" customHeight="1">
      <c r="A743" s="168"/>
      <c r="B743" s="178">
        <v>3221</v>
      </c>
      <c r="C743" s="178" t="s">
        <v>259</v>
      </c>
      <c r="D743" s="575"/>
      <c r="E743" s="178" t="s">
        <v>266</v>
      </c>
      <c r="F743" s="210" t="s">
        <v>2479</v>
      </c>
      <c r="G743" s="58" t="s">
        <v>392</v>
      </c>
      <c r="H743" s="546">
        <v>12.69</v>
      </c>
      <c r="I743" s="66">
        <v>44608</v>
      </c>
      <c r="J743" s="411" t="s">
        <v>2480</v>
      </c>
      <c r="K743" s="58"/>
      <c r="L743" s="99"/>
      <c r="M743" s="70" t="s">
        <v>2416</v>
      </c>
      <c r="N743" s="97" t="s">
        <v>270</v>
      </c>
      <c r="O743" s="58"/>
      <c r="P743" s="58" t="s">
        <v>44</v>
      </c>
      <c r="Q743" s="58" t="s">
        <v>35</v>
      </c>
      <c r="R743" s="58" t="s">
        <v>272</v>
      </c>
    </row>
    <row r="744" spans="1:18" ht="69" customHeight="1">
      <c r="A744" s="168"/>
      <c r="B744" s="178">
        <v>3222</v>
      </c>
      <c r="C744" s="178" t="s">
        <v>259</v>
      </c>
      <c r="D744" s="575"/>
      <c r="E744" s="178" t="s">
        <v>266</v>
      </c>
      <c r="F744" s="210" t="s">
        <v>2481</v>
      </c>
      <c r="G744" s="58" t="s">
        <v>392</v>
      </c>
      <c r="H744" s="546">
        <v>67.52</v>
      </c>
      <c r="I744" s="66">
        <v>44608</v>
      </c>
      <c r="J744" s="411" t="s">
        <v>2482</v>
      </c>
      <c r="K744" s="58"/>
      <c r="L744" s="99"/>
      <c r="M744" s="70" t="s">
        <v>2416</v>
      </c>
      <c r="N744" s="97" t="s">
        <v>270</v>
      </c>
      <c r="O744" s="58"/>
      <c r="P744" s="58" t="s">
        <v>44</v>
      </c>
      <c r="Q744" s="58" t="s">
        <v>35</v>
      </c>
      <c r="R744" s="58" t="s">
        <v>272</v>
      </c>
    </row>
    <row r="745" spans="1:18" ht="69" customHeight="1">
      <c r="A745" s="168"/>
      <c r="B745" s="178">
        <v>3110</v>
      </c>
      <c r="C745" s="178" t="s">
        <v>309</v>
      </c>
      <c r="D745" s="575" t="s">
        <v>2483</v>
      </c>
      <c r="E745" s="178" t="s">
        <v>283</v>
      </c>
      <c r="F745" s="210" t="s">
        <v>2484</v>
      </c>
      <c r="G745" s="58" t="s">
        <v>655</v>
      </c>
      <c r="H745" s="546">
        <v>113250</v>
      </c>
      <c r="I745" s="66">
        <v>44610</v>
      </c>
      <c r="J745" s="411" t="s">
        <v>2485</v>
      </c>
      <c r="K745" s="58" t="s">
        <v>2413</v>
      </c>
      <c r="L745" s="99"/>
      <c r="M745" s="70" t="s">
        <v>2434</v>
      </c>
      <c r="N745" s="97" t="s">
        <v>264</v>
      </c>
      <c r="O745" s="58" t="s">
        <v>141</v>
      </c>
      <c r="P745" s="58" t="s">
        <v>17</v>
      </c>
      <c r="Q745" s="58" t="s">
        <v>35</v>
      </c>
      <c r="R745" s="58" t="s">
        <v>272</v>
      </c>
    </row>
    <row r="746" spans="1:18" ht="69" customHeight="1">
      <c r="A746" s="168"/>
      <c r="B746" s="178">
        <v>4129</v>
      </c>
      <c r="C746" s="178" t="s">
        <v>309</v>
      </c>
      <c r="D746" s="575" t="s">
        <v>2486</v>
      </c>
      <c r="E746" s="178" t="s">
        <v>266</v>
      </c>
      <c r="F746" s="210" t="s">
        <v>2487</v>
      </c>
      <c r="G746" s="58" t="s">
        <v>1107</v>
      </c>
      <c r="H746" s="546">
        <v>7293.34</v>
      </c>
      <c r="I746" s="66">
        <v>44643</v>
      </c>
      <c r="J746" s="411" t="s">
        <v>2488</v>
      </c>
      <c r="K746" s="58"/>
      <c r="L746" s="99"/>
      <c r="M746" s="70" t="s">
        <v>2489</v>
      </c>
      <c r="N746" s="97" t="s">
        <v>970</v>
      </c>
      <c r="O746" s="58" t="s">
        <v>971</v>
      </c>
      <c r="P746" s="58" t="s">
        <v>38</v>
      </c>
      <c r="Q746" s="58" t="s">
        <v>35</v>
      </c>
      <c r="R746" s="58" t="s">
        <v>272</v>
      </c>
    </row>
    <row r="747" spans="1:18" ht="69" customHeight="1">
      <c r="A747" s="168"/>
      <c r="B747" s="178">
        <v>4695</v>
      </c>
      <c r="C747" s="178" t="s">
        <v>309</v>
      </c>
      <c r="D747" s="575" t="s">
        <v>2490</v>
      </c>
      <c r="E747" s="178" t="s">
        <v>331</v>
      </c>
      <c r="F747" s="210" t="s">
        <v>2491</v>
      </c>
      <c r="G747" s="58"/>
      <c r="H747" s="546">
        <v>2635.98</v>
      </c>
      <c r="I747" s="66">
        <v>44678</v>
      </c>
      <c r="J747" s="411" t="s">
        <v>2492</v>
      </c>
      <c r="K747" s="58"/>
      <c r="L747" s="99"/>
      <c r="M747" s="70" t="s">
        <v>2416</v>
      </c>
      <c r="N747" s="97" t="s">
        <v>270</v>
      </c>
      <c r="O747" s="58"/>
      <c r="P747" s="58" t="s">
        <v>44</v>
      </c>
      <c r="Q747" s="58" t="s">
        <v>35</v>
      </c>
      <c r="R747" s="58" t="s">
        <v>272</v>
      </c>
    </row>
    <row r="748" spans="1:18" ht="69" customHeight="1">
      <c r="A748" s="168"/>
      <c r="B748" s="178">
        <v>4773</v>
      </c>
      <c r="C748" s="178" t="s">
        <v>309</v>
      </c>
      <c r="D748" s="575" t="s">
        <v>2493</v>
      </c>
      <c r="E748" s="178" t="s">
        <v>979</v>
      </c>
      <c r="F748" s="210" t="s">
        <v>2494</v>
      </c>
      <c r="G748" s="58" t="s">
        <v>352</v>
      </c>
      <c r="H748" s="546">
        <v>1008015.3</v>
      </c>
      <c r="I748" s="66">
        <v>44686</v>
      </c>
      <c r="J748" s="411" t="s">
        <v>2495</v>
      </c>
      <c r="K748" s="58" t="s">
        <v>2442</v>
      </c>
      <c r="L748" s="99"/>
      <c r="M748" s="70" t="s">
        <v>2496</v>
      </c>
      <c r="N748" s="97" t="s">
        <v>356</v>
      </c>
      <c r="O748" s="58" t="s">
        <v>156</v>
      </c>
      <c r="P748" s="58" t="s">
        <v>19</v>
      </c>
      <c r="Q748" s="58" t="s">
        <v>35</v>
      </c>
      <c r="R748" s="58" t="s">
        <v>265</v>
      </c>
    </row>
    <row r="749" spans="1:18" ht="69" customHeight="1">
      <c r="A749" s="168"/>
      <c r="B749" s="178">
        <v>4845</v>
      </c>
      <c r="C749" s="178" t="s">
        <v>259</v>
      </c>
      <c r="D749" s="575"/>
      <c r="E749" s="178" t="s">
        <v>266</v>
      </c>
      <c r="F749" s="210" t="s">
        <v>2497</v>
      </c>
      <c r="G749" s="58" t="s">
        <v>2268</v>
      </c>
      <c r="H749" s="546">
        <v>2099.25</v>
      </c>
      <c r="I749" s="66">
        <v>44698</v>
      </c>
      <c r="J749" s="411" t="s">
        <v>2498</v>
      </c>
      <c r="K749" s="58"/>
      <c r="L749" s="99"/>
      <c r="M749" s="70" t="s">
        <v>2416</v>
      </c>
      <c r="N749" s="97" t="s">
        <v>270</v>
      </c>
      <c r="O749" s="58"/>
      <c r="P749" s="58" t="s">
        <v>44</v>
      </c>
      <c r="Q749" s="58" t="s">
        <v>35</v>
      </c>
      <c r="R749" s="58" t="s">
        <v>272</v>
      </c>
    </row>
    <row r="750" spans="1:18" ht="69" customHeight="1">
      <c r="A750" s="168"/>
      <c r="B750" s="178">
        <v>4695</v>
      </c>
      <c r="C750" s="178" t="s">
        <v>309</v>
      </c>
      <c r="D750" s="575" t="s">
        <v>2499</v>
      </c>
      <c r="E750" s="178" t="s">
        <v>331</v>
      </c>
      <c r="F750" s="210" t="s">
        <v>2500</v>
      </c>
      <c r="G750" s="58" t="s">
        <v>372</v>
      </c>
      <c r="H750" s="546">
        <v>23723.850000000002</v>
      </c>
      <c r="I750" s="66">
        <v>44701</v>
      </c>
      <c r="J750" s="411" t="s">
        <v>2501</v>
      </c>
      <c r="K750" s="58"/>
      <c r="L750" s="99"/>
      <c r="M750" s="70" t="s">
        <v>2416</v>
      </c>
      <c r="N750" s="97" t="s">
        <v>270</v>
      </c>
      <c r="O750" s="58"/>
      <c r="P750" s="58" t="s">
        <v>44</v>
      </c>
      <c r="Q750" s="58" t="s">
        <v>35</v>
      </c>
      <c r="R750" s="58" t="s">
        <v>272</v>
      </c>
    </row>
    <row r="751" spans="1:18" ht="69" customHeight="1">
      <c r="A751" s="168"/>
      <c r="B751" s="178">
        <v>4129</v>
      </c>
      <c r="C751" s="178" t="s">
        <v>309</v>
      </c>
      <c r="D751" s="575" t="s">
        <v>2502</v>
      </c>
      <c r="E751" s="178" t="s">
        <v>266</v>
      </c>
      <c r="F751" s="210" t="s">
        <v>2503</v>
      </c>
      <c r="G751" s="58" t="s">
        <v>1107</v>
      </c>
      <c r="H751" s="546">
        <v>7293.34</v>
      </c>
      <c r="I751" s="66">
        <v>44725</v>
      </c>
      <c r="J751" s="411" t="s">
        <v>2504</v>
      </c>
      <c r="K751" s="58"/>
      <c r="L751" s="99"/>
      <c r="M751" s="70" t="s">
        <v>2489</v>
      </c>
      <c r="N751" s="97" t="s">
        <v>970</v>
      </c>
      <c r="O751" s="58" t="s">
        <v>971</v>
      </c>
      <c r="P751" s="58" t="s">
        <v>38</v>
      </c>
      <c r="Q751" s="58" t="s">
        <v>35</v>
      </c>
      <c r="R751" s="58" t="s">
        <v>272</v>
      </c>
    </row>
    <row r="752" spans="1:18" ht="69" customHeight="1">
      <c r="A752" s="168"/>
      <c r="B752" s="178">
        <v>5117</v>
      </c>
      <c r="C752" s="178" t="s">
        <v>309</v>
      </c>
      <c r="D752" s="575" t="s">
        <v>2505</v>
      </c>
      <c r="E752" s="178" t="s">
        <v>283</v>
      </c>
      <c r="F752" s="210" t="s">
        <v>2506</v>
      </c>
      <c r="G752" s="58" t="s">
        <v>718</v>
      </c>
      <c r="H752" s="546">
        <v>151000</v>
      </c>
      <c r="I752" s="66">
        <v>44732</v>
      </c>
      <c r="J752" s="411" t="s">
        <v>2507</v>
      </c>
      <c r="K752" s="58" t="s">
        <v>2413</v>
      </c>
      <c r="L752" s="99"/>
      <c r="M752" s="70" t="s">
        <v>2434</v>
      </c>
      <c r="N752" s="97" t="s">
        <v>264</v>
      </c>
      <c r="O752" s="58" t="s">
        <v>141</v>
      </c>
      <c r="P752" s="58" t="s">
        <v>17</v>
      </c>
      <c r="Q752" s="58" t="s">
        <v>35</v>
      </c>
      <c r="R752" s="58" t="s">
        <v>272</v>
      </c>
    </row>
    <row r="753" spans="1:18" ht="69" customHeight="1">
      <c r="A753" s="168"/>
      <c r="B753" s="178">
        <v>1</v>
      </c>
      <c r="C753" s="178" t="s">
        <v>309</v>
      </c>
      <c r="D753" s="575" t="s">
        <v>2508</v>
      </c>
      <c r="E753" s="178" t="s">
        <v>382</v>
      </c>
      <c r="F753" s="210" t="s">
        <v>2509</v>
      </c>
      <c r="G753" s="58" t="s">
        <v>384</v>
      </c>
      <c r="H753" s="546">
        <v>22679.42</v>
      </c>
      <c r="I753" s="66">
        <v>44736</v>
      </c>
      <c r="J753" s="411" t="s">
        <v>2510</v>
      </c>
      <c r="K753" s="58"/>
      <c r="L753" s="99"/>
      <c r="M753" s="70" t="s">
        <v>2511</v>
      </c>
      <c r="N753" s="97" t="s">
        <v>387</v>
      </c>
      <c r="O753" s="62" t="s">
        <v>150</v>
      </c>
      <c r="P753" s="58" t="s">
        <v>51</v>
      </c>
      <c r="Q753" s="58" t="s">
        <v>35</v>
      </c>
      <c r="R753" s="58" t="s">
        <v>272</v>
      </c>
    </row>
    <row r="754" spans="1:18" ht="69" customHeight="1">
      <c r="A754" s="168"/>
      <c r="B754" s="178">
        <v>2</v>
      </c>
      <c r="C754" s="178" t="s">
        <v>309</v>
      </c>
      <c r="D754" s="575" t="s">
        <v>2512</v>
      </c>
      <c r="E754" s="178" t="s">
        <v>382</v>
      </c>
      <c r="F754" s="210" t="s">
        <v>2513</v>
      </c>
      <c r="G754" s="58" t="s">
        <v>384</v>
      </c>
      <c r="H754" s="546">
        <v>38303.97</v>
      </c>
      <c r="I754" s="66">
        <v>44736</v>
      </c>
      <c r="J754" s="411" t="s">
        <v>2514</v>
      </c>
      <c r="K754" s="58"/>
      <c r="L754" s="99"/>
      <c r="M754" s="70" t="s">
        <v>2511</v>
      </c>
      <c r="N754" s="97" t="s">
        <v>387</v>
      </c>
      <c r="O754" s="62" t="s">
        <v>150</v>
      </c>
      <c r="P754" s="58" t="s">
        <v>51</v>
      </c>
      <c r="Q754" s="58" t="s">
        <v>35</v>
      </c>
      <c r="R754" s="58" t="s">
        <v>272</v>
      </c>
    </row>
    <row r="755" spans="1:18" ht="69" customHeight="1">
      <c r="A755" s="168"/>
      <c r="B755" s="178">
        <v>5008</v>
      </c>
      <c r="C755" s="178" t="s">
        <v>309</v>
      </c>
      <c r="D755" s="575" t="s">
        <v>2515</v>
      </c>
      <c r="E755" s="178" t="s">
        <v>266</v>
      </c>
      <c r="F755" s="210" t="s">
        <v>2516</v>
      </c>
      <c r="G755" s="58" t="s">
        <v>1753</v>
      </c>
      <c r="H755" s="546">
        <v>5390</v>
      </c>
      <c r="I755" s="66">
        <v>44762</v>
      </c>
      <c r="J755" s="411" t="s">
        <v>2517</v>
      </c>
      <c r="K755" s="58" t="s">
        <v>705</v>
      </c>
      <c r="L755" s="99"/>
      <c r="M755" s="70" t="s">
        <v>2416</v>
      </c>
      <c r="N755" s="97" t="s">
        <v>270</v>
      </c>
      <c r="O755" s="58"/>
      <c r="P755" s="58" t="s">
        <v>44</v>
      </c>
      <c r="Q755" s="58" t="s">
        <v>35</v>
      </c>
      <c r="R755" s="58" t="s">
        <v>272</v>
      </c>
    </row>
    <row r="756" spans="1:18" ht="69" customHeight="1">
      <c r="A756" s="168"/>
      <c r="B756" s="178">
        <v>6030</v>
      </c>
      <c r="C756" s="178" t="s">
        <v>309</v>
      </c>
      <c r="D756" s="575" t="s">
        <v>2518</v>
      </c>
      <c r="E756" s="178" t="s">
        <v>283</v>
      </c>
      <c r="F756" s="210" t="s">
        <v>2519</v>
      </c>
      <c r="G756" s="58" t="s">
        <v>718</v>
      </c>
      <c r="H756" s="546">
        <v>37750</v>
      </c>
      <c r="I756" s="66">
        <v>44769</v>
      </c>
      <c r="J756" s="411" t="s">
        <v>2520</v>
      </c>
      <c r="K756" s="58" t="s">
        <v>2413</v>
      </c>
      <c r="L756" s="99"/>
      <c r="M756" s="70" t="s">
        <v>2434</v>
      </c>
      <c r="N756" s="97" t="s">
        <v>264</v>
      </c>
      <c r="O756" s="58" t="s">
        <v>141</v>
      </c>
      <c r="P756" s="58" t="s">
        <v>17</v>
      </c>
      <c r="Q756" s="58" t="s">
        <v>35</v>
      </c>
      <c r="R756" s="58" t="s">
        <v>272</v>
      </c>
    </row>
    <row r="757" spans="1:18" ht="69" customHeight="1">
      <c r="A757" s="168"/>
      <c r="B757" s="178">
        <v>6337</v>
      </c>
      <c r="C757" s="178" t="s">
        <v>309</v>
      </c>
      <c r="D757" s="575" t="s">
        <v>2521</v>
      </c>
      <c r="E757" s="178" t="s">
        <v>2522</v>
      </c>
      <c r="F757" s="210" t="s">
        <v>2523</v>
      </c>
      <c r="G757" s="58" t="s">
        <v>1761</v>
      </c>
      <c r="H757" s="546">
        <v>350220</v>
      </c>
      <c r="I757" s="66">
        <v>44790</v>
      </c>
      <c r="J757" s="411" t="s">
        <v>2524</v>
      </c>
      <c r="K757" s="58"/>
      <c r="L757" s="99"/>
      <c r="M757" s="70" t="s">
        <v>2525</v>
      </c>
      <c r="N757" s="97" t="s">
        <v>414</v>
      </c>
      <c r="O757" s="58"/>
      <c r="P757" s="58" t="s">
        <v>24</v>
      </c>
      <c r="Q757" s="58" t="s">
        <v>35</v>
      </c>
      <c r="R757" s="58" t="s">
        <v>272</v>
      </c>
    </row>
    <row r="758" spans="1:18" ht="69" customHeight="1">
      <c r="A758" s="168"/>
      <c r="B758" s="178">
        <v>6218</v>
      </c>
      <c r="C758" s="178" t="s">
        <v>259</v>
      </c>
      <c r="D758" s="575" t="s">
        <v>2526</v>
      </c>
      <c r="E758" s="178" t="s">
        <v>266</v>
      </c>
      <c r="F758" s="210" t="s">
        <v>2527</v>
      </c>
      <c r="G758" s="58" t="s">
        <v>392</v>
      </c>
      <c r="H758" s="546">
        <v>313.87</v>
      </c>
      <c r="I758" s="66">
        <v>44781</v>
      </c>
      <c r="J758" s="411" t="s">
        <v>2528</v>
      </c>
      <c r="K758" s="58"/>
      <c r="L758" s="99"/>
      <c r="M758" s="70" t="s">
        <v>2416</v>
      </c>
      <c r="N758" s="97" t="s">
        <v>270</v>
      </c>
      <c r="O758" s="58"/>
      <c r="P758" s="58" t="s">
        <v>44</v>
      </c>
      <c r="Q758" s="58" t="s">
        <v>35</v>
      </c>
      <c r="R758" s="58" t="s">
        <v>272</v>
      </c>
    </row>
    <row r="759" spans="1:18" ht="69" customHeight="1">
      <c r="A759" s="168"/>
      <c r="B759" s="178">
        <v>6219</v>
      </c>
      <c r="C759" s="178" t="s">
        <v>259</v>
      </c>
      <c r="D759" s="575" t="s">
        <v>2529</v>
      </c>
      <c r="E759" s="178" t="s">
        <v>266</v>
      </c>
      <c r="F759" s="210" t="s">
        <v>2527</v>
      </c>
      <c r="G759" s="58" t="s">
        <v>392</v>
      </c>
      <c r="H759" s="546">
        <v>250.15</v>
      </c>
      <c r="I759" s="66">
        <v>44781</v>
      </c>
      <c r="J759" s="411" t="s">
        <v>2528</v>
      </c>
      <c r="K759" s="58"/>
      <c r="L759" s="99"/>
      <c r="M759" s="70" t="s">
        <v>2416</v>
      </c>
      <c r="N759" s="97" t="s">
        <v>270</v>
      </c>
      <c r="O759" s="58"/>
      <c r="P759" s="58" t="s">
        <v>44</v>
      </c>
      <c r="Q759" s="58" t="s">
        <v>35</v>
      </c>
      <c r="R759" s="58" t="s">
        <v>272</v>
      </c>
    </row>
    <row r="760" spans="1:18" ht="69" customHeight="1">
      <c r="A760" s="168"/>
      <c r="B760" s="178">
        <v>6424</v>
      </c>
      <c r="C760" s="178" t="s">
        <v>309</v>
      </c>
      <c r="D760" s="575" t="s">
        <v>2530</v>
      </c>
      <c r="E760" s="178" t="s">
        <v>432</v>
      </c>
      <c r="F760" s="210" t="s">
        <v>2531</v>
      </c>
      <c r="G760" s="58" t="s">
        <v>429</v>
      </c>
      <c r="H760" s="546">
        <v>13959.486000000001</v>
      </c>
      <c r="I760" s="66">
        <v>44802</v>
      </c>
      <c r="J760" s="411" t="s">
        <v>1766</v>
      </c>
      <c r="K760" s="58"/>
      <c r="L760" s="99"/>
      <c r="M760" s="70" t="s">
        <v>2532</v>
      </c>
      <c r="N760" s="97" t="s">
        <v>432</v>
      </c>
      <c r="O760" s="58"/>
      <c r="P760" s="58" t="s">
        <v>53</v>
      </c>
      <c r="Q760" s="58" t="s">
        <v>35</v>
      </c>
      <c r="R760" s="58" t="s">
        <v>272</v>
      </c>
    </row>
    <row r="761" spans="1:18" ht="69" customHeight="1">
      <c r="A761" s="168"/>
      <c r="B761" s="178">
        <v>6738</v>
      </c>
      <c r="C761" s="178" t="s">
        <v>309</v>
      </c>
      <c r="D761" s="575" t="s">
        <v>2533</v>
      </c>
      <c r="E761" s="178" t="s">
        <v>1046</v>
      </c>
      <c r="F761" s="210" t="s">
        <v>2534</v>
      </c>
      <c r="G761" s="58" t="s">
        <v>1048</v>
      </c>
      <c r="H761" s="546">
        <v>133757.43</v>
      </c>
      <c r="I761" s="66">
        <v>44827</v>
      </c>
      <c r="J761" s="411" t="s">
        <v>2535</v>
      </c>
      <c r="K761" s="58"/>
      <c r="L761" s="99"/>
      <c r="M761" s="70" t="s">
        <v>2536</v>
      </c>
      <c r="N761" s="97" t="s">
        <v>414</v>
      </c>
      <c r="O761" s="58"/>
      <c r="P761" s="58" t="s">
        <v>24</v>
      </c>
      <c r="Q761" s="58" t="s">
        <v>35</v>
      </c>
      <c r="R761" s="58" t="s">
        <v>265</v>
      </c>
    </row>
    <row r="762" spans="1:18" ht="69" customHeight="1">
      <c r="A762" s="168"/>
      <c r="B762" s="178">
        <v>6808</v>
      </c>
      <c r="C762" s="178" t="s">
        <v>309</v>
      </c>
      <c r="D762" s="575" t="s">
        <v>2537</v>
      </c>
      <c r="E762" s="178" t="s">
        <v>1046</v>
      </c>
      <c r="F762" s="210" t="s">
        <v>2538</v>
      </c>
      <c r="G762" s="58" t="s">
        <v>1048</v>
      </c>
      <c r="H762" s="546">
        <v>20407.599999999999</v>
      </c>
      <c r="I762" s="66">
        <v>44832</v>
      </c>
      <c r="J762" s="411" t="s">
        <v>2358</v>
      </c>
      <c r="K762" s="58"/>
      <c r="L762" s="99"/>
      <c r="M762" s="70" t="s">
        <v>2536</v>
      </c>
      <c r="N762" s="97" t="s">
        <v>414</v>
      </c>
      <c r="O762" s="58"/>
      <c r="P762" s="58" t="s">
        <v>24</v>
      </c>
      <c r="Q762" s="58" t="s">
        <v>35</v>
      </c>
      <c r="R762" s="58" t="s">
        <v>265</v>
      </c>
    </row>
    <row r="763" spans="1:18" ht="69" customHeight="1">
      <c r="A763" s="168"/>
      <c r="B763" s="178">
        <v>7245</v>
      </c>
      <c r="C763" s="178" t="s">
        <v>309</v>
      </c>
      <c r="D763" s="575" t="s">
        <v>2539</v>
      </c>
      <c r="E763" s="178" t="s">
        <v>1046</v>
      </c>
      <c r="F763" s="210" t="s">
        <v>2540</v>
      </c>
      <c r="G763" s="58" t="s">
        <v>1048</v>
      </c>
      <c r="H763" s="546">
        <v>29235</v>
      </c>
      <c r="I763" s="66">
        <v>44862</v>
      </c>
      <c r="J763" s="411" t="s">
        <v>1091</v>
      </c>
      <c r="K763" s="58"/>
      <c r="L763" s="99"/>
      <c r="M763" s="70" t="s">
        <v>2536</v>
      </c>
      <c r="N763" s="97" t="s">
        <v>414</v>
      </c>
      <c r="O763" s="58"/>
      <c r="P763" s="58" t="s">
        <v>24</v>
      </c>
      <c r="Q763" s="58" t="s">
        <v>35</v>
      </c>
      <c r="R763" s="58" t="s">
        <v>265</v>
      </c>
    </row>
    <row r="764" spans="1:18" ht="69" customHeight="1">
      <c r="A764" s="168"/>
      <c r="B764" s="178">
        <v>7476</v>
      </c>
      <c r="C764" s="178" t="s">
        <v>309</v>
      </c>
      <c r="D764" s="575" t="s">
        <v>2541</v>
      </c>
      <c r="E764" s="178" t="s">
        <v>2542</v>
      </c>
      <c r="F764" s="210" t="s">
        <v>2543</v>
      </c>
      <c r="G764" s="58" t="s">
        <v>1041</v>
      </c>
      <c r="H764" s="546">
        <v>100231.88</v>
      </c>
      <c r="I764" s="66">
        <v>44890</v>
      </c>
      <c r="J764" s="411" t="s">
        <v>1042</v>
      </c>
      <c r="K764" s="58"/>
      <c r="L764" s="99"/>
      <c r="M764" s="70" t="s">
        <v>2544</v>
      </c>
      <c r="N764" s="97" t="s">
        <v>1044</v>
      </c>
      <c r="O764" s="58"/>
      <c r="P764" s="58" t="s">
        <v>26</v>
      </c>
      <c r="Q764" s="58" t="s">
        <v>35</v>
      </c>
      <c r="R764" s="58" t="s">
        <v>265</v>
      </c>
    </row>
    <row r="765" spans="1:18" ht="69" customHeight="1">
      <c r="A765" s="168"/>
      <c r="B765" s="178">
        <v>7381</v>
      </c>
      <c r="C765" s="178" t="s">
        <v>309</v>
      </c>
      <c r="D765" s="575" t="s">
        <v>2545</v>
      </c>
      <c r="E765" s="178" t="s">
        <v>432</v>
      </c>
      <c r="F765" s="210" t="s">
        <v>2546</v>
      </c>
      <c r="G765" s="58" t="s">
        <v>1121</v>
      </c>
      <c r="H765" s="546">
        <v>34317.03</v>
      </c>
      <c r="I765" s="66">
        <v>44876</v>
      </c>
      <c r="J765" s="411" t="s">
        <v>1122</v>
      </c>
      <c r="K765" s="58"/>
      <c r="L765" s="99"/>
      <c r="M765" s="70" t="s">
        <v>2532</v>
      </c>
      <c r="N765" s="97" t="s">
        <v>432</v>
      </c>
      <c r="O765" s="58"/>
      <c r="P765" s="58" t="s">
        <v>53</v>
      </c>
      <c r="Q765" s="58" t="s">
        <v>35</v>
      </c>
      <c r="R765" s="58" t="s">
        <v>272</v>
      </c>
    </row>
    <row r="766" spans="1:18" ht="69" customHeight="1">
      <c r="A766" s="168"/>
      <c r="B766" s="178">
        <v>7560</v>
      </c>
      <c r="C766" s="178" t="s">
        <v>309</v>
      </c>
      <c r="D766" s="575" t="s">
        <v>2547</v>
      </c>
      <c r="E766" s="178" t="s">
        <v>921</v>
      </c>
      <c r="F766" s="210" t="s">
        <v>2548</v>
      </c>
      <c r="G766" s="58" t="s">
        <v>1838</v>
      </c>
      <c r="H766" s="546">
        <v>400000</v>
      </c>
      <c r="I766" s="66">
        <v>44895</v>
      </c>
      <c r="J766" s="411" t="s">
        <v>2549</v>
      </c>
      <c r="K766" s="58"/>
      <c r="L766" s="99"/>
      <c r="M766" s="70" t="s">
        <v>2443</v>
      </c>
      <c r="N766" s="97" t="s">
        <v>356</v>
      </c>
      <c r="O766" s="58" t="s">
        <v>156</v>
      </c>
      <c r="P766" s="58" t="s">
        <v>19</v>
      </c>
      <c r="Q766" s="58" t="s">
        <v>35</v>
      </c>
      <c r="R766" s="58" t="s">
        <v>272</v>
      </c>
    </row>
    <row r="767" spans="1:18" ht="69" customHeight="1">
      <c r="A767" s="168"/>
      <c r="B767" s="178">
        <v>7569</v>
      </c>
      <c r="C767" s="178" t="s">
        <v>309</v>
      </c>
      <c r="D767" s="575" t="s">
        <v>2550</v>
      </c>
      <c r="E767" s="178" t="s">
        <v>2542</v>
      </c>
      <c r="F767" s="210" t="s">
        <v>2551</v>
      </c>
      <c r="G767" s="58" t="s">
        <v>1041</v>
      </c>
      <c r="H767" s="546">
        <v>8680</v>
      </c>
      <c r="I767" s="66">
        <v>44904</v>
      </c>
      <c r="J767" s="411" t="s">
        <v>1080</v>
      </c>
      <c r="K767" s="58"/>
      <c r="L767" s="99"/>
      <c r="M767" s="70" t="s">
        <v>2544</v>
      </c>
      <c r="N767" s="97" t="s">
        <v>1044</v>
      </c>
      <c r="O767" s="58"/>
      <c r="P767" s="58" t="s">
        <v>26</v>
      </c>
      <c r="Q767" s="58" t="s">
        <v>35</v>
      </c>
      <c r="R767" s="58" t="s">
        <v>265</v>
      </c>
    </row>
    <row r="768" spans="1:18" ht="69" customHeight="1">
      <c r="A768" s="168"/>
      <c r="B768" s="178">
        <v>7574</v>
      </c>
      <c r="C768" s="178" t="s">
        <v>309</v>
      </c>
      <c r="D768" s="575" t="s">
        <v>2552</v>
      </c>
      <c r="E768" s="178" t="s">
        <v>2522</v>
      </c>
      <c r="F768" s="210" t="s">
        <v>2553</v>
      </c>
      <c r="G768" s="58" t="s">
        <v>1076</v>
      </c>
      <c r="H768" s="546">
        <v>56035.199999999997</v>
      </c>
      <c r="I768" s="66">
        <v>44893</v>
      </c>
      <c r="J768" s="411" t="s">
        <v>1077</v>
      </c>
      <c r="K768" s="58"/>
      <c r="L768" s="99"/>
      <c r="M768" s="70" t="s">
        <v>2525</v>
      </c>
      <c r="N768" s="97" t="s">
        <v>414</v>
      </c>
      <c r="O768" s="58"/>
      <c r="P768" s="58" t="s">
        <v>24</v>
      </c>
      <c r="Q768" s="58" t="s">
        <v>35</v>
      </c>
      <c r="R768" s="58" t="s">
        <v>272</v>
      </c>
    </row>
    <row r="769" spans="1:18" ht="69" customHeight="1">
      <c r="A769" s="168"/>
      <c r="B769" s="178">
        <v>7669</v>
      </c>
      <c r="C769" s="178" t="s">
        <v>309</v>
      </c>
      <c r="D769" s="575" t="s">
        <v>2554</v>
      </c>
      <c r="E769" s="178" t="s">
        <v>1046</v>
      </c>
      <c r="F769" s="210" t="s">
        <v>2555</v>
      </c>
      <c r="G769" s="58" t="s">
        <v>1085</v>
      </c>
      <c r="H769" s="546">
        <v>34800</v>
      </c>
      <c r="I769" s="66">
        <v>44900</v>
      </c>
      <c r="J769" s="411" t="s">
        <v>1086</v>
      </c>
      <c r="K769" s="58"/>
      <c r="L769" s="99"/>
      <c r="M769" s="70" t="s">
        <v>2536</v>
      </c>
      <c r="N769" s="97" t="s">
        <v>414</v>
      </c>
      <c r="O769" s="58"/>
      <c r="P769" s="58" t="s">
        <v>24</v>
      </c>
      <c r="Q769" s="58" t="s">
        <v>35</v>
      </c>
      <c r="R769" s="58" t="s">
        <v>265</v>
      </c>
    </row>
    <row r="770" spans="1:18" ht="69" customHeight="1">
      <c r="A770" s="168"/>
      <c r="B770" s="178">
        <v>8020</v>
      </c>
      <c r="C770" s="178" t="s">
        <v>309</v>
      </c>
      <c r="D770" s="575" t="s">
        <v>2556</v>
      </c>
      <c r="E770" s="178" t="s">
        <v>1046</v>
      </c>
      <c r="F770" s="210" t="s">
        <v>2557</v>
      </c>
      <c r="G770" s="58" t="s">
        <v>2558</v>
      </c>
      <c r="H770" s="546">
        <v>15600</v>
      </c>
      <c r="I770" s="66">
        <v>44909</v>
      </c>
      <c r="J770" s="411" t="s">
        <v>1820</v>
      </c>
      <c r="K770" s="58"/>
      <c r="L770" s="99"/>
      <c r="M770" s="70" t="s">
        <v>2536</v>
      </c>
      <c r="N770" s="97" t="s">
        <v>414</v>
      </c>
      <c r="O770" s="58"/>
      <c r="P770" s="58" t="s">
        <v>24</v>
      </c>
      <c r="Q770" s="58" t="s">
        <v>35</v>
      </c>
      <c r="R770" s="58" t="s">
        <v>265</v>
      </c>
    </row>
    <row r="771" spans="1:18" ht="69" customHeight="1">
      <c r="A771" s="168"/>
      <c r="B771" s="178">
        <v>8031</v>
      </c>
      <c r="C771" s="178" t="s">
        <v>309</v>
      </c>
      <c r="D771" s="575" t="s">
        <v>2559</v>
      </c>
      <c r="E771" s="178" t="s">
        <v>1046</v>
      </c>
      <c r="F771" s="210" t="s">
        <v>2560</v>
      </c>
      <c r="G771" s="58" t="s">
        <v>1142</v>
      </c>
      <c r="H771" s="546">
        <v>51240</v>
      </c>
      <c r="I771" s="66">
        <v>44909</v>
      </c>
      <c r="J771" s="411" t="s">
        <v>2561</v>
      </c>
      <c r="K771" s="58"/>
      <c r="L771" s="99"/>
      <c r="M771" s="70" t="s">
        <v>2536</v>
      </c>
      <c r="N771" s="97" t="s">
        <v>414</v>
      </c>
      <c r="O771" s="58"/>
      <c r="P771" s="58" t="s">
        <v>24</v>
      </c>
      <c r="Q771" s="58" t="s">
        <v>35</v>
      </c>
      <c r="R771" s="58" t="s">
        <v>265</v>
      </c>
    </row>
    <row r="772" spans="1:18" ht="69" customHeight="1">
      <c r="A772" s="168"/>
      <c r="B772" s="178">
        <v>8140</v>
      </c>
      <c r="C772" s="178" t="s">
        <v>309</v>
      </c>
      <c r="D772" s="575" t="s">
        <v>2562</v>
      </c>
      <c r="E772" s="178" t="s">
        <v>1046</v>
      </c>
      <c r="F772" s="210" t="s">
        <v>2563</v>
      </c>
      <c r="G772" s="58" t="s">
        <v>1145</v>
      </c>
      <c r="H772" s="546">
        <v>34800</v>
      </c>
      <c r="I772" s="66">
        <v>44914</v>
      </c>
      <c r="J772" s="411" t="s">
        <v>1146</v>
      </c>
      <c r="K772" s="58"/>
      <c r="L772" s="99"/>
      <c r="M772" s="70" t="s">
        <v>2536</v>
      </c>
      <c r="N772" s="97" t="s">
        <v>414</v>
      </c>
      <c r="O772" s="58"/>
      <c r="P772" s="58" t="s">
        <v>24</v>
      </c>
      <c r="Q772" s="58" t="s">
        <v>35</v>
      </c>
      <c r="R772" s="58" t="s">
        <v>265</v>
      </c>
    </row>
    <row r="773" spans="1:18" ht="69" customHeight="1">
      <c r="A773" s="168"/>
      <c r="B773" s="178">
        <v>6912</v>
      </c>
      <c r="C773" s="178" t="s">
        <v>309</v>
      </c>
      <c r="D773" s="575" t="s">
        <v>2564</v>
      </c>
      <c r="E773" s="178" t="s">
        <v>266</v>
      </c>
      <c r="F773" s="210" t="s">
        <v>2565</v>
      </c>
      <c r="G773" s="58" t="s">
        <v>1053</v>
      </c>
      <c r="H773" s="546">
        <v>5810</v>
      </c>
      <c r="I773" s="66">
        <v>44844</v>
      </c>
      <c r="J773" s="411" t="s">
        <v>1828</v>
      </c>
      <c r="K773" s="58"/>
      <c r="L773" s="99"/>
      <c r="M773" s="70" t="s">
        <v>2416</v>
      </c>
      <c r="N773" s="97" t="s">
        <v>270</v>
      </c>
      <c r="O773" s="58"/>
      <c r="P773" s="58" t="s">
        <v>44</v>
      </c>
      <c r="Q773" s="58" t="s">
        <v>35</v>
      </c>
      <c r="R773" s="58" t="s">
        <v>272</v>
      </c>
    </row>
    <row r="774" spans="1:18" ht="69" customHeight="1">
      <c r="A774" s="168"/>
      <c r="B774" s="178">
        <v>7556</v>
      </c>
      <c r="C774" s="178" t="s">
        <v>309</v>
      </c>
      <c r="D774" s="575" t="s">
        <v>2566</v>
      </c>
      <c r="E774" s="178" t="s">
        <v>970</v>
      </c>
      <c r="F774" s="210" t="s">
        <v>2567</v>
      </c>
      <c r="G774" s="58" t="s">
        <v>1107</v>
      </c>
      <c r="H774" s="546">
        <v>7293.34</v>
      </c>
      <c r="I774" s="66">
        <v>44893</v>
      </c>
      <c r="J774" s="411" t="s">
        <v>1831</v>
      </c>
      <c r="K774" s="58"/>
      <c r="L774" s="99"/>
      <c r="M774" s="70" t="s">
        <v>2489</v>
      </c>
      <c r="N774" s="97" t="s">
        <v>970</v>
      </c>
      <c r="O774" s="58" t="s">
        <v>971</v>
      </c>
      <c r="P774" s="58" t="s">
        <v>38</v>
      </c>
      <c r="Q774" s="58" t="s">
        <v>35</v>
      </c>
      <c r="R774" s="58" t="s">
        <v>272</v>
      </c>
    </row>
    <row r="775" spans="1:18" ht="69" customHeight="1">
      <c r="A775" s="168"/>
      <c r="B775" s="178">
        <v>7557</v>
      </c>
      <c r="C775" s="178" t="s">
        <v>309</v>
      </c>
      <c r="D775" s="575" t="s">
        <v>2568</v>
      </c>
      <c r="E775" s="178" t="s">
        <v>970</v>
      </c>
      <c r="F775" s="210" t="s">
        <v>2569</v>
      </c>
      <c r="G775" s="58" t="s">
        <v>1107</v>
      </c>
      <c r="H775" s="546">
        <v>7293.34</v>
      </c>
      <c r="I775" s="66">
        <v>44893</v>
      </c>
      <c r="J775" s="411" t="s">
        <v>1831</v>
      </c>
      <c r="K775" s="58"/>
      <c r="L775" s="99"/>
      <c r="M775" s="70" t="s">
        <v>2489</v>
      </c>
      <c r="N775" s="97" t="s">
        <v>970</v>
      </c>
      <c r="O775" s="58" t="s">
        <v>971</v>
      </c>
      <c r="P775" s="58" t="s">
        <v>38</v>
      </c>
      <c r="Q775" s="58" t="s">
        <v>35</v>
      </c>
      <c r="R775" s="58" t="s">
        <v>272</v>
      </c>
    </row>
    <row r="776" spans="1:18" ht="69" customHeight="1">
      <c r="A776" s="168"/>
      <c r="B776" s="178">
        <v>8245</v>
      </c>
      <c r="C776" s="178" t="s">
        <v>309</v>
      </c>
      <c r="D776" s="575" t="s">
        <v>2570</v>
      </c>
      <c r="E776" s="178" t="s">
        <v>1046</v>
      </c>
      <c r="F776" s="210" t="s">
        <v>2571</v>
      </c>
      <c r="G776" s="58" t="s">
        <v>1133</v>
      </c>
      <c r="H776" s="546">
        <v>5800.01</v>
      </c>
      <c r="I776" s="66">
        <v>44921</v>
      </c>
      <c r="J776" s="411" t="s">
        <v>1134</v>
      </c>
      <c r="K776" s="58"/>
      <c r="L776" s="99"/>
      <c r="M776" s="70" t="s">
        <v>2536</v>
      </c>
      <c r="N776" s="97" t="s">
        <v>414</v>
      </c>
      <c r="O776" s="58"/>
      <c r="P776" s="58" t="s">
        <v>24</v>
      </c>
      <c r="Q776" s="58" t="s">
        <v>35</v>
      </c>
      <c r="R776" s="58" t="s">
        <v>265</v>
      </c>
    </row>
    <row r="777" spans="1:18" ht="69" customHeight="1">
      <c r="A777" s="168"/>
      <c r="B777" s="178">
        <v>8246</v>
      </c>
      <c r="C777" s="178" t="s">
        <v>309</v>
      </c>
      <c r="D777" s="575" t="s">
        <v>2572</v>
      </c>
      <c r="E777" s="178" t="s">
        <v>1046</v>
      </c>
      <c r="F777" s="210" t="s">
        <v>2573</v>
      </c>
      <c r="G777" s="58" t="s">
        <v>1133</v>
      </c>
      <c r="H777" s="546">
        <v>34800</v>
      </c>
      <c r="I777" s="66">
        <v>44921</v>
      </c>
      <c r="J777" s="411" t="s">
        <v>1134</v>
      </c>
      <c r="K777" s="58"/>
      <c r="L777" s="99"/>
      <c r="M777" s="70" t="s">
        <v>2536</v>
      </c>
      <c r="N777" s="97" t="s">
        <v>414</v>
      </c>
      <c r="O777" s="58"/>
      <c r="P777" s="58" t="s">
        <v>24</v>
      </c>
      <c r="Q777" s="58" t="s">
        <v>35</v>
      </c>
      <c r="R777" s="58" t="s">
        <v>265</v>
      </c>
    </row>
    <row r="778" spans="1:18" ht="69" customHeight="1">
      <c r="A778" s="168"/>
      <c r="B778" s="178">
        <v>8330</v>
      </c>
      <c r="C778" s="178" t="s">
        <v>309</v>
      </c>
      <c r="D778" s="575" t="s">
        <v>2574</v>
      </c>
      <c r="E778" s="178" t="s">
        <v>1046</v>
      </c>
      <c r="F778" s="210" t="s">
        <v>2575</v>
      </c>
      <c r="G778" s="58" t="s">
        <v>2576</v>
      </c>
      <c r="H778" s="546">
        <v>131872.5</v>
      </c>
      <c r="I778" s="66">
        <v>44921</v>
      </c>
      <c r="J778" s="411" t="s">
        <v>2577</v>
      </c>
      <c r="K778" s="58"/>
      <c r="L778" s="99"/>
      <c r="M778" s="70" t="s">
        <v>2536</v>
      </c>
      <c r="N778" s="97" t="s">
        <v>414</v>
      </c>
      <c r="O778" s="58"/>
      <c r="P778" s="58" t="s">
        <v>24</v>
      </c>
      <c r="Q778" s="58" t="s">
        <v>35</v>
      </c>
      <c r="R778" s="58" t="s">
        <v>265</v>
      </c>
    </row>
    <row r="779" spans="1:18" ht="69" customHeight="1">
      <c r="A779" s="168"/>
      <c r="B779" s="178">
        <v>8196</v>
      </c>
      <c r="C779" s="178" t="s">
        <v>309</v>
      </c>
      <c r="D779" s="575" t="s">
        <v>2578</v>
      </c>
      <c r="E779" s="178" t="s">
        <v>921</v>
      </c>
      <c r="F779" s="210" t="s">
        <v>2579</v>
      </c>
      <c r="G779" s="58" t="s">
        <v>1117</v>
      </c>
      <c r="H779" s="546">
        <v>400000</v>
      </c>
      <c r="I779" s="66">
        <v>44931</v>
      </c>
      <c r="J779" s="411" t="s">
        <v>2580</v>
      </c>
      <c r="K779" s="58"/>
      <c r="L779" s="99"/>
      <c r="M779" s="70" t="s">
        <v>2443</v>
      </c>
      <c r="N779" s="97" t="s">
        <v>356</v>
      </c>
      <c r="O779" s="58" t="s">
        <v>156</v>
      </c>
      <c r="P779" s="58" t="s">
        <v>19</v>
      </c>
      <c r="Q779" s="58" t="s">
        <v>35</v>
      </c>
      <c r="R779" s="58" t="s">
        <v>272</v>
      </c>
    </row>
    <row r="780" spans="1:18" ht="69" customHeight="1">
      <c r="A780" s="168"/>
      <c r="B780" s="191">
        <v>8355</v>
      </c>
      <c r="C780" s="191" t="s">
        <v>309</v>
      </c>
      <c r="D780" s="533" t="s">
        <v>2581</v>
      </c>
      <c r="E780" s="191" t="s">
        <v>1046</v>
      </c>
      <c r="F780" s="211" t="s">
        <v>2582</v>
      </c>
      <c r="G780" s="46" t="s">
        <v>1168</v>
      </c>
      <c r="H780" s="534">
        <v>11239.02</v>
      </c>
      <c r="I780" s="56">
        <v>44923</v>
      </c>
      <c r="J780" s="412" t="s">
        <v>1169</v>
      </c>
      <c r="K780" s="46" t="s">
        <v>167</v>
      </c>
      <c r="L780" s="99"/>
      <c r="M780" s="379"/>
      <c r="N780" s="76" t="s">
        <v>414</v>
      </c>
      <c r="O780" s="46"/>
      <c r="P780" s="46" t="s">
        <v>71</v>
      </c>
      <c r="Q780" s="46" t="s">
        <v>35</v>
      </c>
      <c r="R780" s="46" t="s">
        <v>272</v>
      </c>
    </row>
    <row r="781" spans="1:18" ht="69" customHeight="1">
      <c r="A781" s="168"/>
      <c r="B781" s="178">
        <v>7304</v>
      </c>
      <c r="C781" s="178" t="s">
        <v>309</v>
      </c>
      <c r="D781" s="575" t="s">
        <v>2583</v>
      </c>
      <c r="E781" s="178" t="s">
        <v>2542</v>
      </c>
      <c r="F781" s="210" t="s">
        <v>2584</v>
      </c>
      <c r="G781" s="58" t="s">
        <v>1041</v>
      </c>
      <c r="H781" s="546">
        <v>23160</v>
      </c>
      <c r="I781" s="66">
        <v>44869</v>
      </c>
      <c r="J781" s="411" t="s">
        <v>1113</v>
      </c>
      <c r="K781" s="58"/>
      <c r="L781" s="99"/>
      <c r="M781" s="70" t="s">
        <v>2544</v>
      </c>
      <c r="N781" s="97" t="s">
        <v>1044</v>
      </c>
      <c r="O781" s="58"/>
      <c r="P781" s="58" t="s">
        <v>26</v>
      </c>
      <c r="Q781" s="58" t="s">
        <v>35</v>
      </c>
      <c r="R781" s="58" t="s">
        <v>265</v>
      </c>
    </row>
    <row r="782" spans="1:18" ht="69" customHeight="1">
      <c r="A782" s="168"/>
      <c r="B782" s="178">
        <v>6660</v>
      </c>
      <c r="C782" s="178" t="s">
        <v>309</v>
      </c>
      <c r="D782" s="575" t="s">
        <v>2585</v>
      </c>
      <c r="E782" s="178" t="s">
        <v>921</v>
      </c>
      <c r="F782" s="210" t="s">
        <v>2586</v>
      </c>
      <c r="G782" s="58" t="s">
        <v>2587</v>
      </c>
      <c r="H782" s="546">
        <v>335950</v>
      </c>
      <c r="I782" s="66">
        <v>44830</v>
      </c>
      <c r="J782" s="411" t="s">
        <v>2588</v>
      </c>
      <c r="K782" s="58"/>
      <c r="L782" s="99"/>
      <c r="M782" s="70" t="s">
        <v>2443</v>
      </c>
      <c r="N782" s="97" t="s">
        <v>356</v>
      </c>
      <c r="O782" s="58" t="s">
        <v>156</v>
      </c>
      <c r="P782" s="58" t="s">
        <v>19</v>
      </c>
      <c r="Q782" s="58" t="s">
        <v>35</v>
      </c>
      <c r="R782" s="58" t="s">
        <v>272</v>
      </c>
    </row>
    <row r="783" spans="1:18" ht="69" customHeight="1">
      <c r="A783" s="168"/>
      <c r="B783" s="178">
        <v>6490</v>
      </c>
      <c r="C783" s="178" t="s">
        <v>309</v>
      </c>
      <c r="D783" s="575" t="s">
        <v>2589</v>
      </c>
      <c r="E783" s="178" t="s">
        <v>979</v>
      </c>
      <c r="F783" s="210" t="s">
        <v>2590</v>
      </c>
      <c r="G783" s="58" t="s">
        <v>352</v>
      </c>
      <c r="H783" s="546">
        <v>206913.36</v>
      </c>
      <c r="I783" s="66">
        <v>44806</v>
      </c>
      <c r="J783" s="411" t="s">
        <v>2591</v>
      </c>
      <c r="K783" s="58"/>
      <c r="L783" s="99"/>
      <c r="M783" s="70" t="s">
        <v>2496</v>
      </c>
      <c r="N783" s="97" t="s">
        <v>356</v>
      </c>
      <c r="O783" s="58" t="s">
        <v>156</v>
      </c>
      <c r="P783" s="58" t="s">
        <v>19</v>
      </c>
      <c r="Q783" s="58" t="s">
        <v>35</v>
      </c>
      <c r="R783" s="58" t="s">
        <v>265</v>
      </c>
    </row>
    <row r="784" spans="1:18" ht="69" customHeight="1">
      <c r="A784" s="168"/>
      <c r="B784" s="178">
        <v>7246</v>
      </c>
      <c r="C784" s="178" t="s">
        <v>309</v>
      </c>
      <c r="D784" s="575" t="s">
        <v>2592</v>
      </c>
      <c r="E784" s="178" t="s">
        <v>1046</v>
      </c>
      <c r="F784" s="210" t="s">
        <v>2593</v>
      </c>
      <c r="G784" s="58" t="s">
        <v>1048</v>
      </c>
      <c r="H784" s="546">
        <v>37965</v>
      </c>
      <c r="I784" s="66">
        <v>44862</v>
      </c>
      <c r="J784" s="411" t="s">
        <v>1091</v>
      </c>
      <c r="K784" s="58"/>
      <c r="L784" s="99"/>
      <c r="M784" s="70" t="s">
        <v>2536</v>
      </c>
      <c r="N784" s="97" t="s">
        <v>414</v>
      </c>
      <c r="O784" s="58"/>
      <c r="P784" s="58" t="s">
        <v>24</v>
      </c>
      <c r="Q784" s="58" t="s">
        <v>35</v>
      </c>
      <c r="R784" s="58" t="s">
        <v>265</v>
      </c>
    </row>
    <row r="785" spans="1:18" ht="69" customHeight="1">
      <c r="A785" s="168"/>
      <c r="B785" s="178">
        <v>7247</v>
      </c>
      <c r="C785" s="178" t="s">
        <v>309</v>
      </c>
      <c r="D785" s="575" t="s">
        <v>2594</v>
      </c>
      <c r="E785" s="178" t="s">
        <v>1046</v>
      </c>
      <c r="F785" s="210" t="s">
        <v>2595</v>
      </c>
      <c r="G785" s="58" t="s">
        <v>1048</v>
      </c>
      <c r="H785" s="546">
        <v>10389.4</v>
      </c>
      <c r="I785" s="66">
        <v>44862</v>
      </c>
      <c r="J785" s="411" t="s">
        <v>1091</v>
      </c>
      <c r="K785" s="58"/>
      <c r="L785" s="99"/>
      <c r="M785" s="70" t="s">
        <v>2536</v>
      </c>
      <c r="N785" s="97" t="s">
        <v>414</v>
      </c>
      <c r="O785" s="58"/>
      <c r="P785" s="58" t="s">
        <v>24</v>
      </c>
      <c r="Q785" s="58" t="s">
        <v>35</v>
      </c>
      <c r="R785" s="58" t="s">
        <v>265</v>
      </c>
    </row>
    <row r="786" spans="1:18" ht="69" customHeight="1">
      <c r="A786" s="168"/>
      <c r="B786" s="178">
        <v>8030</v>
      </c>
      <c r="C786" s="178" t="s">
        <v>309</v>
      </c>
      <c r="D786" s="575" t="s">
        <v>2596</v>
      </c>
      <c r="E786" s="178" t="s">
        <v>1046</v>
      </c>
      <c r="F786" s="210" t="s">
        <v>2597</v>
      </c>
      <c r="G786" s="58" t="s">
        <v>1138</v>
      </c>
      <c r="H786" s="546">
        <v>12810</v>
      </c>
      <c r="I786" s="66">
        <v>44909</v>
      </c>
      <c r="J786" s="411" t="s">
        <v>2561</v>
      </c>
      <c r="K786" s="58"/>
      <c r="L786" s="99"/>
      <c r="M786" s="70" t="s">
        <v>2536</v>
      </c>
      <c r="N786" s="97" t="s">
        <v>414</v>
      </c>
      <c r="O786" s="58"/>
      <c r="P786" s="58" t="s">
        <v>24</v>
      </c>
      <c r="Q786" s="58" t="s">
        <v>35</v>
      </c>
      <c r="R786" s="58" t="s">
        <v>265</v>
      </c>
    </row>
    <row r="787" spans="1:18" ht="69" customHeight="1">
      <c r="A787" s="168"/>
      <c r="B787" s="178">
        <v>6956</v>
      </c>
      <c r="C787" s="178" t="s">
        <v>309</v>
      </c>
      <c r="D787" s="575" t="s">
        <v>1869</v>
      </c>
      <c r="E787" s="178" t="s">
        <v>979</v>
      </c>
      <c r="F787" s="210" t="s">
        <v>1870</v>
      </c>
      <c r="G787" s="58" t="s">
        <v>805</v>
      </c>
      <c r="H787" s="546">
        <v>118060</v>
      </c>
      <c r="I787" s="66">
        <v>44851</v>
      </c>
      <c r="J787" s="411" t="s">
        <v>1871</v>
      </c>
      <c r="K787" s="58"/>
      <c r="L787" s="99"/>
      <c r="M787" s="70" t="s">
        <v>2496</v>
      </c>
      <c r="N787" s="97" t="s">
        <v>356</v>
      </c>
      <c r="O787" s="58" t="s">
        <v>156</v>
      </c>
      <c r="P787" s="58" t="s">
        <v>19</v>
      </c>
      <c r="Q787" s="58" t="s">
        <v>35</v>
      </c>
      <c r="R787" s="58" t="s">
        <v>265</v>
      </c>
    </row>
    <row r="788" spans="1:18" ht="69" customHeight="1">
      <c r="A788" s="168"/>
      <c r="B788" s="178"/>
      <c r="C788" s="178" t="s">
        <v>309</v>
      </c>
      <c r="D788" s="575" t="s">
        <v>2598</v>
      </c>
      <c r="E788" s="178" t="s">
        <v>979</v>
      </c>
      <c r="F788" s="210" t="s">
        <v>2599</v>
      </c>
      <c r="G788" s="58" t="s">
        <v>2600</v>
      </c>
      <c r="H788" s="546">
        <v>541608.78</v>
      </c>
      <c r="I788" s="66">
        <v>44902</v>
      </c>
      <c r="J788" s="411" t="s">
        <v>1871</v>
      </c>
      <c r="K788" s="58"/>
      <c r="L788" s="99"/>
      <c r="M788" s="70" t="s">
        <v>2496</v>
      </c>
      <c r="N788" s="97" t="s">
        <v>356</v>
      </c>
      <c r="O788" s="58" t="s">
        <v>156</v>
      </c>
      <c r="P788" s="58" t="s">
        <v>19</v>
      </c>
      <c r="Q788" s="58" t="s">
        <v>35</v>
      </c>
      <c r="R788" s="58" t="s">
        <v>265</v>
      </c>
    </row>
    <row r="789" spans="1:18" ht="69" customHeight="1">
      <c r="A789" s="168"/>
      <c r="B789" s="178">
        <v>8557</v>
      </c>
      <c r="C789" s="178" t="s">
        <v>309</v>
      </c>
      <c r="D789" s="575" t="s">
        <v>2601</v>
      </c>
      <c r="E789" s="178" t="s">
        <v>2542</v>
      </c>
      <c r="F789" s="210" t="s">
        <v>2602</v>
      </c>
      <c r="G789" s="58" t="s">
        <v>1877</v>
      </c>
      <c r="H789" s="546">
        <v>8626.35</v>
      </c>
      <c r="I789" s="66">
        <v>44946</v>
      </c>
      <c r="J789" s="411" t="s">
        <v>1878</v>
      </c>
      <c r="K789" s="58"/>
      <c r="L789" s="99"/>
      <c r="M789" s="70" t="s">
        <v>2544</v>
      </c>
      <c r="N789" s="97" t="s">
        <v>1044</v>
      </c>
      <c r="O789" s="58"/>
      <c r="P789" s="58" t="s">
        <v>26</v>
      </c>
      <c r="Q789" s="58" t="s">
        <v>35</v>
      </c>
      <c r="R789" s="58" t="s">
        <v>265</v>
      </c>
    </row>
    <row r="790" spans="1:18" ht="69" customHeight="1">
      <c r="A790" s="168"/>
      <c r="B790" s="178">
        <v>8596</v>
      </c>
      <c r="C790" s="178" t="s">
        <v>309</v>
      </c>
      <c r="D790" s="575" t="s">
        <v>2603</v>
      </c>
      <c r="E790" s="178" t="s">
        <v>1046</v>
      </c>
      <c r="F790" s="210" t="s">
        <v>2604</v>
      </c>
      <c r="G790" s="58" t="s">
        <v>1188</v>
      </c>
      <c r="H790" s="546">
        <v>23640</v>
      </c>
      <c r="I790" s="66">
        <v>44946</v>
      </c>
      <c r="J790" s="411" t="s">
        <v>1189</v>
      </c>
      <c r="K790" s="58"/>
      <c r="L790" s="99"/>
      <c r="M790" s="70" t="s">
        <v>2536</v>
      </c>
      <c r="N790" s="97" t="s">
        <v>414</v>
      </c>
      <c r="O790" s="58"/>
      <c r="P790" s="58" t="s">
        <v>24</v>
      </c>
      <c r="Q790" s="58" t="s">
        <v>35</v>
      </c>
      <c r="R790" s="58" t="s">
        <v>265</v>
      </c>
    </row>
    <row r="791" spans="1:18" ht="69" customHeight="1">
      <c r="A791" s="168"/>
      <c r="B791" s="178">
        <v>8597</v>
      </c>
      <c r="C791" s="178" t="s">
        <v>309</v>
      </c>
      <c r="D791" s="575" t="s">
        <v>2605</v>
      </c>
      <c r="E791" s="178" t="s">
        <v>1046</v>
      </c>
      <c r="F791" s="210" t="s">
        <v>2606</v>
      </c>
      <c r="G791" s="58" t="s">
        <v>1192</v>
      </c>
      <c r="H791" s="546">
        <v>5910</v>
      </c>
      <c r="I791" s="66">
        <v>44946</v>
      </c>
      <c r="J791" s="411" t="s">
        <v>1189</v>
      </c>
      <c r="K791" s="58"/>
      <c r="L791" s="99"/>
      <c r="M791" s="70" t="s">
        <v>2536</v>
      </c>
      <c r="N791" s="97" t="s">
        <v>414</v>
      </c>
      <c r="O791" s="58"/>
      <c r="P791" s="58" t="s">
        <v>24</v>
      </c>
      <c r="Q791" s="58" t="s">
        <v>35</v>
      </c>
      <c r="R791" s="58" t="s">
        <v>265</v>
      </c>
    </row>
    <row r="792" spans="1:18" ht="69" customHeight="1">
      <c r="A792" s="168"/>
      <c r="B792" s="191">
        <v>8609</v>
      </c>
      <c r="C792" s="191" t="s">
        <v>309</v>
      </c>
      <c r="D792" s="533" t="s">
        <v>2607</v>
      </c>
      <c r="E792" s="191" t="s">
        <v>1198</v>
      </c>
      <c r="F792" s="211" t="s">
        <v>2608</v>
      </c>
      <c r="G792" s="46" t="s">
        <v>1200</v>
      </c>
      <c r="H792" s="534">
        <v>11239.02</v>
      </c>
      <c r="I792" s="56">
        <v>44946</v>
      </c>
      <c r="J792" s="412" t="s">
        <v>1201</v>
      </c>
      <c r="K792" s="46" t="s">
        <v>167</v>
      </c>
      <c r="L792" s="99"/>
      <c r="M792" s="379"/>
      <c r="N792" s="76" t="s">
        <v>414</v>
      </c>
      <c r="O792" s="46"/>
      <c r="P792" s="46" t="s">
        <v>71</v>
      </c>
      <c r="Q792" s="46" t="s">
        <v>35</v>
      </c>
      <c r="R792" s="46" t="s">
        <v>272</v>
      </c>
    </row>
    <row r="793" spans="1:18" ht="69" customHeight="1">
      <c r="A793" s="168"/>
      <c r="B793" s="178">
        <v>8699</v>
      </c>
      <c r="C793" s="178" t="s">
        <v>309</v>
      </c>
      <c r="D793" s="575" t="s">
        <v>2609</v>
      </c>
      <c r="E793" s="178" t="s">
        <v>1046</v>
      </c>
      <c r="F793" s="210" t="s">
        <v>2610</v>
      </c>
      <c r="G793" s="58" t="s">
        <v>1204</v>
      </c>
      <c r="H793" s="546">
        <v>34800</v>
      </c>
      <c r="I793" s="66">
        <v>44949</v>
      </c>
      <c r="J793" s="411" t="s">
        <v>1205</v>
      </c>
      <c r="K793" s="58"/>
      <c r="L793" s="99"/>
      <c r="M793" s="70" t="s">
        <v>2536</v>
      </c>
      <c r="N793" s="97" t="s">
        <v>414</v>
      </c>
      <c r="O793" s="58"/>
      <c r="P793" s="58" t="s">
        <v>24</v>
      </c>
      <c r="Q793" s="58" t="s">
        <v>35</v>
      </c>
      <c r="R793" s="58" t="s">
        <v>265</v>
      </c>
    </row>
    <row r="794" spans="1:18" ht="69" customHeight="1">
      <c r="A794" s="168"/>
      <c r="B794" s="178">
        <v>8722</v>
      </c>
      <c r="C794" s="178" t="s">
        <v>309</v>
      </c>
      <c r="D794" s="575" t="s">
        <v>2611</v>
      </c>
      <c r="E794" s="178" t="s">
        <v>2612</v>
      </c>
      <c r="F794" s="210" t="s">
        <v>2613</v>
      </c>
      <c r="G794" s="58" t="s">
        <v>2614</v>
      </c>
      <c r="H794" s="546">
        <v>132511.24</v>
      </c>
      <c r="I794" s="66">
        <v>44958</v>
      </c>
      <c r="J794" s="411" t="s">
        <v>2615</v>
      </c>
      <c r="K794" s="58"/>
      <c r="L794" s="99"/>
      <c r="M794" s="70" t="s">
        <v>2544</v>
      </c>
      <c r="N794" s="97" t="s">
        <v>1044</v>
      </c>
      <c r="O794" s="58"/>
      <c r="P794" s="58" t="s">
        <v>26</v>
      </c>
      <c r="Q794" s="58" t="s">
        <v>35</v>
      </c>
      <c r="R794" s="58" t="s">
        <v>272</v>
      </c>
    </row>
    <row r="795" spans="1:18" ht="69" customHeight="1">
      <c r="A795" s="168"/>
      <c r="B795" s="178">
        <v>8850</v>
      </c>
      <c r="C795" s="178" t="s">
        <v>309</v>
      </c>
      <c r="D795" s="575" t="s">
        <v>2616</v>
      </c>
      <c r="E795" s="178" t="s">
        <v>1046</v>
      </c>
      <c r="F795" s="210" t="s">
        <v>2617</v>
      </c>
      <c r="G795" s="58" t="s">
        <v>2618</v>
      </c>
      <c r="H795" s="546">
        <v>76756.5</v>
      </c>
      <c r="I795" s="66">
        <v>44948</v>
      </c>
      <c r="J795" s="411" t="s">
        <v>2619</v>
      </c>
      <c r="K795" s="58"/>
      <c r="L795" s="99"/>
      <c r="M795" s="70" t="s">
        <v>2536</v>
      </c>
      <c r="N795" s="97" t="s">
        <v>414</v>
      </c>
      <c r="O795" s="58"/>
      <c r="P795" s="58" t="s">
        <v>24</v>
      </c>
      <c r="Q795" s="58" t="s">
        <v>35</v>
      </c>
      <c r="R795" s="58" t="s">
        <v>265</v>
      </c>
    </row>
    <row r="796" spans="1:18" ht="69" customHeight="1">
      <c r="A796" s="168"/>
      <c r="B796" s="178">
        <v>8852</v>
      </c>
      <c r="C796" s="178" t="s">
        <v>309</v>
      </c>
      <c r="D796" s="575" t="s">
        <v>2620</v>
      </c>
      <c r="E796" s="178" t="s">
        <v>2522</v>
      </c>
      <c r="F796" s="210" t="s">
        <v>2621</v>
      </c>
      <c r="G796" s="58" t="s">
        <v>2622</v>
      </c>
      <c r="H796" s="546">
        <v>261497.68</v>
      </c>
      <c r="I796" s="66">
        <v>44948</v>
      </c>
      <c r="J796" s="411" t="s">
        <v>2623</v>
      </c>
      <c r="K796" s="58"/>
      <c r="L796" s="99"/>
      <c r="M796" s="70" t="s">
        <v>2525</v>
      </c>
      <c r="N796" s="97" t="s">
        <v>414</v>
      </c>
      <c r="O796" s="58"/>
      <c r="P796" s="58" t="s">
        <v>24</v>
      </c>
      <c r="Q796" s="58" t="s">
        <v>35</v>
      </c>
      <c r="R796" s="58" t="s">
        <v>272</v>
      </c>
    </row>
    <row r="797" spans="1:18" ht="69" customHeight="1">
      <c r="A797" s="168"/>
      <c r="B797" s="191">
        <v>8937</v>
      </c>
      <c r="C797" s="191" t="s">
        <v>309</v>
      </c>
      <c r="D797" s="533" t="s">
        <v>2624</v>
      </c>
      <c r="E797" s="191" t="s">
        <v>1046</v>
      </c>
      <c r="F797" s="211" t="s">
        <v>2625</v>
      </c>
      <c r="G797" s="46" t="s">
        <v>1216</v>
      </c>
      <c r="H797" s="534">
        <v>11239.02</v>
      </c>
      <c r="I797" s="56">
        <v>44986</v>
      </c>
      <c r="J797" s="412" t="s">
        <v>1217</v>
      </c>
      <c r="K797" s="46" t="s">
        <v>167</v>
      </c>
      <c r="L797" s="99"/>
      <c r="M797" s="379"/>
      <c r="N797" s="76" t="s">
        <v>414</v>
      </c>
      <c r="O797" s="46"/>
      <c r="P797" s="46" t="s">
        <v>71</v>
      </c>
      <c r="Q797" s="46" t="s">
        <v>35</v>
      </c>
      <c r="R797" s="46" t="s">
        <v>272</v>
      </c>
    </row>
    <row r="798" spans="1:18" ht="69" customHeight="1">
      <c r="A798" s="168"/>
      <c r="B798" s="178">
        <v>8952</v>
      </c>
      <c r="C798" s="178" t="s">
        <v>309</v>
      </c>
      <c r="D798" s="575" t="s">
        <v>2626</v>
      </c>
      <c r="E798" s="178" t="s">
        <v>1046</v>
      </c>
      <c r="F798" s="210" t="s">
        <v>2627</v>
      </c>
      <c r="G798" s="58" t="s">
        <v>2628</v>
      </c>
      <c r="H798" s="546">
        <v>59743.8</v>
      </c>
      <c r="I798" s="66">
        <v>44988</v>
      </c>
      <c r="J798" s="411" t="s">
        <v>2629</v>
      </c>
      <c r="K798" s="58"/>
      <c r="L798" s="99"/>
      <c r="M798" s="70" t="s">
        <v>2536</v>
      </c>
      <c r="N798" s="97" t="s">
        <v>414</v>
      </c>
      <c r="O798" s="58"/>
      <c r="P798" s="58" t="s">
        <v>24</v>
      </c>
      <c r="Q798" s="58" t="s">
        <v>35</v>
      </c>
      <c r="R798" s="58" t="s">
        <v>265</v>
      </c>
    </row>
    <row r="799" spans="1:18" ht="69" customHeight="1">
      <c r="A799" s="168"/>
      <c r="B799" s="178">
        <v>8200</v>
      </c>
      <c r="C799" s="178" t="s">
        <v>309</v>
      </c>
      <c r="D799" s="575" t="s">
        <v>2630</v>
      </c>
      <c r="E799" s="178" t="s">
        <v>2522</v>
      </c>
      <c r="F799" s="210" t="s">
        <v>2631</v>
      </c>
      <c r="G799" s="58" t="s">
        <v>1223</v>
      </c>
      <c r="H799" s="546">
        <v>155123.51999999999</v>
      </c>
      <c r="I799" s="66">
        <v>44921</v>
      </c>
      <c r="J799" s="411" t="s">
        <v>1224</v>
      </c>
      <c r="K799" s="58"/>
      <c r="L799" s="99"/>
      <c r="M799" s="70" t="s">
        <v>2525</v>
      </c>
      <c r="N799" s="97" t="s">
        <v>414</v>
      </c>
      <c r="O799" s="58"/>
      <c r="P799" s="58" t="s">
        <v>24</v>
      </c>
      <c r="Q799" s="58" t="s">
        <v>35</v>
      </c>
      <c r="R799" s="58" t="s">
        <v>272</v>
      </c>
    </row>
    <row r="800" spans="1:18" ht="69" customHeight="1">
      <c r="A800" s="168"/>
      <c r="B800" s="178">
        <v>8211</v>
      </c>
      <c r="C800" s="178" t="s">
        <v>309</v>
      </c>
      <c r="D800" s="575" t="s">
        <v>2632</v>
      </c>
      <c r="E800" s="178" t="s">
        <v>2522</v>
      </c>
      <c r="F800" s="210" t="s">
        <v>2633</v>
      </c>
      <c r="G800" s="58" t="s">
        <v>1223</v>
      </c>
      <c r="H800" s="546">
        <v>142208.73000000001</v>
      </c>
      <c r="I800" s="66">
        <v>44921</v>
      </c>
      <c r="J800" s="411" t="s">
        <v>1224</v>
      </c>
      <c r="K800" s="58"/>
      <c r="L800" s="99"/>
      <c r="M800" s="70" t="s">
        <v>2525</v>
      </c>
      <c r="N800" s="97" t="s">
        <v>414</v>
      </c>
      <c r="O800" s="58"/>
      <c r="P800" s="58" t="s">
        <v>24</v>
      </c>
      <c r="Q800" s="58" t="s">
        <v>35</v>
      </c>
      <c r="R800" s="58" t="s">
        <v>272</v>
      </c>
    </row>
    <row r="801" spans="1:18" ht="69" customHeight="1">
      <c r="A801" s="168"/>
      <c r="B801" s="178">
        <v>8806</v>
      </c>
      <c r="C801" s="178" t="s">
        <v>309</v>
      </c>
      <c r="D801" s="575" t="s">
        <v>2634</v>
      </c>
      <c r="E801" s="178" t="s">
        <v>2522</v>
      </c>
      <c r="F801" s="210" t="s">
        <v>2635</v>
      </c>
      <c r="G801" s="58" t="s">
        <v>2636</v>
      </c>
      <c r="H801" s="546">
        <v>131402.54</v>
      </c>
      <c r="I801" s="66">
        <v>44953</v>
      </c>
      <c r="J801" s="411" t="s">
        <v>1130</v>
      </c>
      <c r="K801" s="58"/>
      <c r="L801" s="99"/>
      <c r="M801" s="70" t="s">
        <v>2525</v>
      </c>
      <c r="N801" s="97" t="s">
        <v>414</v>
      </c>
      <c r="O801" s="58"/>
      <c r="P801" s="58" t="s">
        <v>24</v>
      </c>
      <c r="Q801" s="58" t="s">
        <v>35</v>
      </c>
      <c r="R801" s="58" t="s">
        <v>272</v>
      </c>
    </row>
    <row r="802" spans="1:18" ht="69" customHeight="1">
      <c r="A802" s="168"/>
      <c r="B802" s="178">
        <v>9047</v>
      </c>
      <c r="C802" s="178" t="s">
        <v>309</v>
      </c>
      <c r="D802" s="575" t="s">
        <v>2637</v>
      </c>
      <c r="E802" s="178" t="s">
        <v>2522</v>
      </c>
      <c r="F802" s="210" t="s">
        <v>2638</v>
      </c>
      <c r="G802" s="58" t="s">
        <v>2639</v>
      </c>
      <c r="H802" s="546">
        <v>122343.52</v>
      </c>
      <c r="I802" s="66">
        <v>45001</v>
      </c>
      <c r="J802" s="411" t="s">
        <v>1165</v>
      </c>
      <c r="K802" s="58"/>
      <c r="L802" s="99"/>
      <c r="M802" s="70" t="s">
        <v>2525</v>
      </c>
      <c r="N802" s="97" t="s">
        <v>414</v>
      </c>
      <c r="O802" s="58"/>
      <c r="P802" s="58" t="s">
        <v>24</v>
      </c>
      <c r="Q802" s="58" t="s">
        <v>35</v>
      </c>
      <c r="R802" s="58" t="s">
        <v>272</v>
      </c>
    </row>
    <row r="803" spans="1:18" ht="69" customHeight="1">
      <c r="A803" s="168"/>
      <c r="B803" s="178">
        <v>9048</v>
      </c>
      <c r="C803" s="178" t="s">
        <v>309</v>
      </c>
      <c r="D803" s="575" t="s">
        <v>2640</v>
      </c>
      <c r="E803" s="178" t="s">
        <v>2522</v>
      </c>
      <c r="F803" s="210" t="s">
        <v>2641</v>
      </c>
      <c r="G803" s="58" t="s">
        <v>2642</v>
      </c>
      <c r="H803" s="546">
        <v>210771.6</v>
      </c>
      <c r="I803" s="66">
        <v>45001</v>
      </c>
      <c r="J803" s="411" t="s">
        <v>1165</v>
      </c>
      <c r="K803" s="58"/>
      <c r="L803" s="99"/>
      <c r="M803" s="70" t="s">
        <v>2525</v>
      </c>
      <c r="N803" s="97" t="s">
        <v>414</v>
      </c>
      <c r="O803" s="58"/>
      <c r="P803" s="58" t="s">
        <v>24</v>
      </c>
      <c r="Q803" s="58" t="s">
        <v>35</v>
      </c>
      <c r="R803" s="58" t="s">
        <v>272</v>
      </c>
    </row>
    <row r="804" spans="1:18" ht="69" customHeight="1">
      <c r="A804" s="168"/>
      <c r="B804" s="178">
        <v>9031</v>
      </c>
      <c r="C804" s="178" t="s">
        <v>309</v>
      </c>
      <c r="D804" s="575" t="s">
        <v>2643</v>
      </c>
      <c r="E804" s="178" t="s">
        <v>921</v>
      </c>
      <c r="F804" s="210" t="s">
        <v>2644</v>
      </c>
      <c r="G804" s="58" t="s">
        <v>2645</v>
      </c>
      <c r="H804" s="546">
        <v>124605.56</v>
      </c>
      <c r="I804" s="66">
        <v>45000</v>
      </c>
      <c r="J804" s="411" t="s">
        <v>1232</v>
      </c>
      <c r="K804" s="58"/>
      <c r="L804" s="99"/>
      <c r="M804" s="70" t="s">
        <v>2443</v>
      </c>
      <c r="N804" s="97" t="s">
        <v>356</v>
      </c>
      <c r="O804" s="58" t="s">
        <v>156</v>
      </c>
      <c r="P804" s="58" t="s">
        <v>19</v>
      </c>
      <c r="Q804" s="58" t="s">
        <v>35</v>
      </c>
      <c r="R804" s="58" t="s">
        <v>272</v>
      </c>
    </row>
    <row r="805" spans="1:18" ht="69" customHeight="1">
      <c r="A805" s="168"/>
      <c r="B805" s="178">
        <v>9346</v>
      </c>
      <c r="C805" s="178" t="s">
        <v>309</v>
      </c>
      <c r="D805" s="575" t="s">
        <v>2646</v>
      </c>
      <c r="E805" s="178" t="s">
        <v>1046</v>
      </c>
      <c r="F805" s="210" t="s">
        <v>2647</v>
      </c>
      <c r="G805" s="58" t="s">
        <v>2648</v>
      </c>
      <c r="H805" s="546">
        <v>28250</v>
      </c>
      <c r="I805" s="66">
        <v>45007</v>
      </c>
      <c r="J805" s="411" t="s">
        <v>2649</v>
      </c>
      <c r="K805" s="58"/>
      <c r="L805" s="99"/>
      <c r="M805" s="70" t="s">
        <v>2536</v>
      </c>
      <c r="N805" s="97" t="s">
        <v>414</v>
      </c>
      <c r="O805" s="58"/>
      <c r="P805" s="58" t="s">
        <v>24</v>
      </c>
      <c r="Q805" s="58" t="s">
        <v>35</v>
      </c>
      <c r="R805" s="58" t="s">
        <v>265</v>
      </c>
    </row>
    <row r="806" spans="1:18" ht="69" customHeight="1">
      <c r="A806" s="168"/>
      <c r="B806" s="178">
        <v>9416</v>
      </c>
      <c r="C806" s="178" t="s">
        <v>309</v>
      </c>
      <c r="D806" s="575" t="s">
        <v>2650</v>
      </c>
      <c r="E806" s="178" t="s">
        <v>1046</v>
      </c>
      <c r="F806" s="210" t="s">
        <v>2651</v>
      </c>
      <c r="G806" s="58" t="s">
        <v>1241</v>
      </c>
      <c r="H806" s="546">
        <v>34800</v>
      </c>
      <c r="I806" s="66">
        <v>45012</v>
      </c>
      <c r="J806" s="411" t="s">
        <v>1242</v>
      </c>
      <c r="K806" s="58"/>
      <c r="L806" s="99"/>
      <c r="M806" s="70" t="s">
        <v>2536</v>
      </c>
      <c r="N806" s="97" t="s">
        <v>414</v>
      </c>
      <c r="O806" s="58"/>
      <c r="P806" s="58" t="s">
        <v>24</v>
      </c>
      <c r="Q806" s="58" t="s">
        <v>35</v>
      </c>
      <c r="R806" s="58" t="s">
        <v>265</v>
      </c>
    </row>
    <row r="807" spans="1:18" ht="69" customHeight="1">
      <c r="A807" s="168"/>
      <c r="B807" s="178">
        <v>9425</v>
      </c>
      <c r="C807" s="178" t="s">
        <v>309</v>
      </c>
      <c r="D807" s="575" t="s">
        <v>2652</v>
      </c>
      <c r="E807" s="178" t="s">
        <v>1046</v>
      </c>
      <c r="F807" s="210" t="s">
        <v>2653</v>
      </c>
      <c r="G807" s="58" t="s">
        <v>1241</v>
      </c>
      <c r="H807" s="546">
        <v>2342.04</v>
      </c>
      <c r="I807" s="66">
        <v>45012</v>
      </c>
      <c r="J807" s="411" t="s">
        <v>1931</v>
      </c>
      <c r="K807" s="58"/>
      <c r="L807" s="99"/>
      <c r="M807" s="70" t="s">
        <v>2536</v>
      </c>
      <c r="N807" s="97" t="s">
        <v>414</v>
      </c>
      <c r="O807" s="58"/>
      <c r="P807" s="58" t="s">
        <v>24</v>
      </c>
      <c r="Q807" s="58" t="s">
        <v>35</v>
      </c>
      <c r="R807" s="58" t="s">
        <v>265</v>
      </c>
    </row>
    <row r="808" spans="1:18" ht="69" customHeight="1">
      <c r="A808" s="168"/>
      <c r="B808" s="178">
        <v>9426</v>
      </c>
      <c r="C808" s="178" t="s">
        <v>309</v>
      </c>
      <c r="D808" s="575" t="s">
        <v>2654</v>
      </c>
      <c r="E808" s="178" t="s">
        <v>1046</v>
      </c>
      <c r="F808" s="210" t="s">
        <v>2655</v>
      </c>
      <c r="G808" s="58" t="s">
        <v>1241</v>
      </c>
      <c r="H808" s="546">
        <v>2342.0500000000002</v>
      </c>
      <c r="I808" s="66">
        <v>45012</v>
      </c>
      <c r="J808" s="411" t="s">
        <v>1931</v>
      </c>
      <c r="K808" s="58"/>
      <c r="L808" s="99"/>
      <c r="M808" s="70" t="s">
        <v>2536</v>
      </c>
      <c r="N808" s="97" t="s">
        <v>414</v>
      </c>
      <c r="O808" s="58"/>
      <c r="P808" s="58" t="s">
        <v>24</v>
      </c>
      <c r="Q808" s="58" t="s">
        <v>35</v>
      </c>
      <c r="R808" s="58" t="s">
        <v>265</v>
      </c>
    </row>
    <row r="809" spans="1:18" ht="69" customHeight="1">
      <c r="A809" s="168"/>
      <c r="B809" s="178">
        <v>9427</v>
      </c>
      <c r="C809" s="178" t="s">
        <v>309</v>
      </c>
      <c r="D809" s="575" t="s">
        <v>2656</v>
      </c>
      <c r="E809" s="178" t="s">
        <v>1046</v>
      </c>
      <c r="F809" s="210" t="s">
        <v>2657</v>
      </c>
      <c r="G809" s="58" t="s">
        <v>1241</v>
      </c>
      <c r="H809" s="546">
        <v>37142.04</v>
      </c>
      <c r="I809" s="66">
        <v>45012</v>
      </c>
      <c r="J809" s="411" t="s">
        <v>1931</v>
      </c>
      <c r="K809" s="58"/>
      <c r="L809" s="99"/>
      <c r="M809" s="70" t="s">
        <v>2536</v>
      </c>
      <c r="N809" s="97" t="s">
        <v>414</v>
      </c>
      <c r="O809" s="58"/>
      <c r="P809" s="58" t="s">
        <v>24</v>
      </c>
      <c r="Q809" s="58" t="s">
        <v>35</v>
      </c>
      <c r="R809" s="58" t="s">
        <v>265</v>
      </c>
    </row>
    <row r="810" spans="1:18" ht="69" customHeight="1">
      <c r="A810" s="168"/>
      <c r="B810" s="178">
        <v>9672</v>
      </c>
      <c r="C810" s="178" t="s">
        <v>309</v>
      </c>
      <c r="D810" s="575" t="s">
        <v>2658</v>
      </c>
      <c r="E810" s="178" t="s">
        <v>2522</v>
      </c>
      <c r="F810" s="210" t="s">
        <v>2659</v>
      </c>
      <c r="G810" s="58" t="s">
        <v>2660</v>
      </c>
      <c r="H810" s="546">
        <v>44361.2</v>
      </c>
      <c r="I810" s="66">
        <v>45016</v>
      </c>
      <c r="J810" s="411" t="s">
        <v>2402</v>
      </c>
      <c r="K810" s="58"/>
      <c r="L810" s="99"/>
      <c r="M810" s="70" t="s">
        <v>2525</v>
      </c>
      <c r="N810" s="97" t="s">
        <v>414</v>
      </c>
      <c r="O810" s="58"/>
      <c r="P810" s="58" t="s">
        <v>24</v>
      </c>
      <c r="Q810" s="58" t="s">
        <v>35</v>
      </c>
      <c r="R810" s="58" t="s">
        <v>272</v>
      </c>
    </row>
    <row r="811" spans="1:18" ht="69" customHeight="1">
      <c r="A811" s="168"/>
      <c r="B811" s="191">
        <v>9849</v>
      </c>
      <c r="C811" s="191" t="s">
        <v>309</v>
      </c>
      <c r="D811" s="533" t="s">
        <v>2661</v>
      </c>
      <c r="E811" s="191" t="s">
        <v>1198</v>
      </c>
      <c r="F811" s="211" t="s">
        <v>2662</v>
      </c>
      <c r="G811" s="46" t="s">
        <v>1953</v>
      </c>
      <c r="H811" s="534">
        <v>2701.9</v>
      </c>
      <c r="I811" s="56">
        <v>45042</v>
      </c>
      <c r="J811" s="412" t="s">
        <v>1954</v>
      </c>
      <c r="K811" s="46" t="s">
        <v>167</v>
      </c>
      <c r="L811" s="99"/>
      <c r="M811" s="379"/>
      <c r="N811" s="76" t="s">
        <v>414</v>
      </c>
      <c r="O811" s="46"/>
      <c r="P811" s="46" t="s">
        <v>65</v>
      </c>
      <c r="Q811" s="46" t="s">
        <v>35</v>
      </c>
      <c r="R811" s="46" t="s">
        <v>272</v>
      </c>
    </row>
    <row r="812" spans="1:18" ht="69" customHeight="1">
      <c r="A812" s="168"/>
      <c r="B812" s="191">
        <v>9940</v>
      </c>
      <c r="C812" s="191" t="s">
        <v>309</v>
      </c>
      <c r="D812" s="533"/>
      <c r="E812" s="191" t="s">
        <v>1046</v>
      </c>
      <c r="F812" s="211" t="s">
        <v>2663</v>
      </c>
      <c r="G812" s="46" t="s">
        <v>1251</v>
      </c>
      <c r="H812" s="534">
        <v>2600</v>
      </c>
      <c r="I812" s="56">
        <v>45061</v>
      </c>
      <c r="J812" s="412" t="s">
        <v>1956</v>
      </c>
      <c r="K812" s="46" t="s">
        <v>167</v>
      </c>
      <c r="L812" s="99"/>
      <c r="M812" s="379"/>
      <c r="N812" s="76" t="s">
        <v>414</v>
      </c>
      <c r="O812" s="46"/>
      <c r="P812" s="46" t="s">
        <v>65</v>
      </c>
      <c r="Q812" s="46" t="s">
        <v>35</v>
      </c>
      <c r="R812" s="46" t="s">
        <v>272</v>
      </c>
    </row>
    <row r="813" spans="1:18" ht="69" customHeight="1">
      <c r="A813" s="168"/>
      <c r="B813" s="178">
        <v>1965</v>
      </c>
      <c r="C813" s="178" t="s">
        <v>259</v>
      </c>
      <c r="D813" s="575" t="s">
        <v>96</v>
      </c>
      <c r="E813" s="178" t="s">
        <v>260</v>
      </c>
      <c r="F813" s="210" t="s">
        <v>2664</v>
      </c>
      <c r="G813" s="575" t="s">
        <v>96</v>
      </c>
      <c r="H813" s="546">
        <v>7500</v>
      </c>
      <c r="I813" s="66">
        <v>44425</v>
      </c>
      <c r="J813" s="411" t="s">
        <v>891</v>
      </c>
      <c r="K813" s="58" t="s">
        <v>2665</v>
      </c>
      <c r="L813" s="99"/>
      <c r="M813" s="70" t="s">
        <v>2666</v>
      </c>
      <c r="N813" s="97" t="s">
        <v>264</v>
      </c>
      <c r="O813" s="58" t="s">
        <v>141</v>
      </c>
      <c r="P813" s="58" t="s">
        <v>17</v>
      </c>
      <c r="Q813" s="58" t="s">
        <v>37</v>
      </c>
      <c r="R813" s="58" t="s">
        <v>265</v>
      </c>
    </row>
    <row r="814" spans="1:18" ht="69" customHeight="1">
      <c r="A814" s="168"/>
      <c r="B814" s="178">
        <v>2061</v>
      </c>
      <c r="C814" s="178" t="s">
        <v>259</v>
      </c>
      <c r="D814" s="575" t="s">
        <v>96</v>
      </c>
      <c r="E814" s="178" t="s">
        <v>266</v>
      </c>
      <c r="F814" s="210" t="s">
        <v>2667</v>
      </c>
      <c r="G814" s="575" t="s">
        <v>96</v>
      </c>
      <c r="H814" s="546">
        <v>10496.25</v>
      </c>
      <c r="I814" s="66">
        <v>44438</v>
      </c>
      <c r="J814" s="411" t="s">
        <v>268</v>
      </c>
      <c r="K814" s="58"/>
      <c r="L814" s="99"/>
      <c r="M814" s="70" t="s">
        <v>2668</v>
      </c>
      <c r="N814" s="97" t="s">
        <v>270</v>
      </c>
      <c r="O814" s="58"/>
      <c r="P814" s="58" t="s">
        <v>44</v>
      </c>
      <c r="Q814" s="58" t="s">
        <v>37</v>
      </c>
      <c r="R814" s="58" t="s">
        <v>272</v>
      </c>
    </row>
    <row r="815" spans="1:18" ht="69" customHeight="1">
      <c r="A815" s="168"/>
      <c r="B815" s="178">
        <v>2076</v>
      </c>
      <c r="C815" s="178" t="s">
        <v>259</v>
      </c>
      <c r="D815" s="575" t="s">
        <v>96</v>
      </c>
      <c r="E815" s="178" t="s">
        <v>266</v>
      </c>
      <c r="F815" s="210" t="s">
        <v>2669</v>
      </c>
      <c r="G815" s="575" t="s">
        <v>96</v>
      </c>
      <c r="H815" s="546">
        <v>11551.75</v>
      </c>
      <c r="I815" s="66">
        <v>44438</v>
      </c>
      <c r="J815" s="411" t="s">
        <v>268</v>
      </c>
      <c r="K815" s="58"/>
      <c r="L815" s="99"/>
      <c r="M815" s="70" t="s">
        <v>2668</v>
      </c>
      <c r="N815" s="97" t="s">
        <v>270</v>
      </c>
      <c r="O815" s="58"/>
      <c r="P815" s="58" t="s">
        <v>44</v>
      </c>
      <c r="Q815" s="58" t="s">
        <v>37</v>
      </c>
      <c r="R815" s="58" t="s">
        <v>272</v>
      </c>
    </row>
    <row r="816" spans="1:18" ht="69" customHeight="1">
      <c r="A816" s="168"/>
      <c r="B816" s="178">
        <v>2152</v>
      </c>
      <c r="C816" s="178" t="s">
        <v>309</v>
      </c>
      <c r="D816" s="575" t="s">
        <v>2670</v>
      </c>
      <c r="E816" s="178" t="s">
        <v>266</v>
      </c>
      <c r="F816" s="210" t="s">
        <v>2671</v>
      </c>
      <c r="G816" s="58"/>
      <c r="H816" s="546">
        <v>1750.59</v>
      </c>
      <c r="I816" s="66">
        <v>44455</v>
      </c>
      <c r="J816" s="411" t="s">
        <v>2672</v>
      </c>
      <c r="K816" s="58"/>
      <c r="L816" s="99"/>
      <c r="M816" s="70" t="s">
        <v>2668</v>
      </c>
      <c r="N816" s="97" t="s">
        <v>270</v>
      </c>
      <c r="O816" s="58"/>
      <c r="P816" s="58" t="s">
        <v>44</v>
      </c>
      <c r="Q816" s="58" t="s">
        <v>37</v>
      </c>
      <c r="R816" s="58" t="s">
        <v>272</v>
      </c>
    </row>
    <row r="817" spans="1:18" ht="69" customHeight="1">
      <c r="A817" s="168"/>
      <c r="B817" s="178">
        <v>2201</v>
      </c>
      <c r="C817" s="178" t="s">
        <v>259</v>
      </c>
      <c r="D817" s="575"/>
      <c r="E817" s="178" t="s">
        <v>260</v>
      </c>
      <c r="F817" s="210" t="s">
        <v>2664</v>
      </c>
      <c r="G817" s="58"/>
      <c r="H817" s="546">
        <v>7500</v>
      </c>
      <c r="I817" s="66">
        <v>44468</v>
      </c>
      <c r="J817" s="411" t="s">
        <v>896</v>
      </c>
      <c r="K817" s="58" t="s">
        <v>2665</v>
      </c>
      <c r="L817" s="99"/>
      <c r="M817" s="70" t="s">
        <v>2666</v>
      </c>
      <c r="N817" s="97" t="s">
        <v>264</v>
      </c>
      <c r="O817" s="58" t="s">
        <v>141</v>
      </c>
      <c r="P817" s="58" t="s">
        <v>17</v>
      </c>
      <c r="Q817" s="58" t="s">
        <v>37</v>
      </c>
      <c r="R817" s="58" t="s">
        <v>265</v>
      </c>
    </row>
    <row r="818" spans="1:18" ht="69" customHeight="1">
      <c r="A818" s="168"/>
      <c r="B818" s="178">
        <v>2269</v>
      </c>
      <c r="C818" s="178" t="s">
        <v>259</v>
      </c>
      <c r="D818" s="575" t="s">
        <v>96</v>
      </c>
      <c r="E818" s="178" t="s">
        <v>266</v>
      </c>
      <c r="F818" s="210" t="s">
        <v>2673</v>
      </c>
      <c r="G818" s="575" t="s">
        <v>96</v>
      </c>
      <c r="H818" s="546">
        <v>552.16</v>
      </c>
      <c r="I818" s="66">
        <v>44466</v>
      </c>
      <c r="J818" s="411" t="s">
        <v>2674</v>
      </c>
      <c r="K818" s="58"/>
      <c r="L818" s="99"/>
      <c r="M818" s="70" t="s">
        <v>2668</v>
      </c>
      <c r="N818" s="97" t="s">
        <v>270</v>
      </c>
      <c r="O818" s="58"/>
      <c r="P818" s="58" t="s">
        <v>44</v>
      </c>
      <c r="Q818" s="58" t="s">
        <v>37</v>
      </c>
      <c r="R818" s="58" t="s">
        <v>272</v>
      </c>
    </row>
    <row r="819" spans="1:18" ht="69" customHeight="1">
      <c r="A819" s="168"/>
      <c r="B819" s="178">
        <v>2270</v>
      </c>
      <c r="C819" s="178" t="s">
        <v>259</v>
      </c>
      <c r="D819" s="575" t="s">
        <v>96</v>
      </c>
      <c r="E819" s="178" t="s">
        <v>266</v>
      </c>
      <c r="F819" s="210" t="s">
        <v>2675</v>
      </c>
      <c r="G819" s="575" t="s">
        <v>96</v>
      </c>
      <c r="H819" s="546">
        <v>502.81</v>
      </c>
      <c r="I819" s="66">
        <v>44466</v>
      </c>
      <c r="J819" s="411" t="s">
        <v>2676</v>
      </c>
      <c r="K819" s="58"/>
      <c r="L819" s="99"/>
      <c r="M819" s="70" t="s">
        <v>2668</v>
      </c>
      <c r="N819" s="97" t="s">
        <v>270</v>
      </c>
      <c r="O819" s="58"/>
      <c r="P819" s="58" t="s">
        <v>44</v>
      </c>
      <c r="Q819" s="58" t="s">
        <v>37</v>
      </c>
      <c r="R819" s="58" t="s">
        <v>272</v>
      </c>
    </row>
    <row r="820" spans="1:18" ht="69" customHeight="1">
      <c r="A820" s="168"/>
      <c r="B820" s="178">
        <v>2271</v>
      </c>
      <c r="C820" s="178" t="s">
        <v>259</v>
      </c>
      <c r="D820" s="575" t="s">
        <v>96</v>
      </c>
      <c r="E820" s="178" t="s">
        <v>266</v>
      </c>
      <c r="F820" s="210" t="s">
        <v>2677</v>
      </c>
      <c r="G820" s="575" t="s">
        <v>96</v>
      </c>
      <c r="H820" s="546">
        <v>513.58000000000004</v>
      </c>
      <c r="I820" s="66">
        <v>44466</v>
      </c>
      <c r="J820" s="411" t="s">
        <v>2678</v>
      </c>
      <c r="K820" s="58"/>
      <c r="L820" s="99"/>
      <c r="M820" s="70" t="s">
        <v>2668</v>
      </c>
      <c r="N820" s="97" t="s">
        <v>270</v>
      </c>
      <c r="O820" s="58"/>
      <c r="P820" s="58" t="s">
        <v>44</v>
      </c>
      <c r="Q820" s="58" t="s">
        <v>37</v>
      </c>
      <c r="R820" s="58" t="s">
        <v>272</v>
      </c>
    </row>
    <row r="821" spans="1:18" ht="69" customHeight="1">
      <c r="A821" s="168"/>
      <c r="B821" s="178">
        <v>2117</v>
      </c>
      <c r="C821" s="178" t="s">
        <v>259</v>
      </c>
      <c r="D821" s="575"/>
      <c r="E821" s="178" t="s">
        <v>266</v>
      </c>
      <c r="F821" s="210" t="s">
        <v>2679</v>
      </c>
      <c r="G821" s="58"/>
      <c r="H821" s="546">
        <v>8397</v>
      </c>
      <c r="I821" s="66">
        <v>44455</v>
      </c>
      <c r="J821" s="411" t="s">
        <v>281</v>
      </c>
      <c r="K821" s="58"/>
      <c r="L821" s="99"/>
      <c r="M821" s="70" t="s">
        <v>2668</v>
      </c>
      <c r="N821" s="97" t="s">
        <v>270</v>
      </c>
      <c r="O821" s="58"/>
      <c r="P821" s="58" t="s">
        <v>44</v>
      </c>
      <c r="Q821" s="58" t="s">
        <v>37</v>
      </c>
      <c r="R821" s="58" t="s">
        <v>272</v>
      </c>
    </row>
    <row r="822" spans="1:18" ht="69" customHeight="1">
      <c r="A822" s="168"/>
      <c r="B822" s="178">
        <v>2338</v>
      </c>
      <c r="C822" s="178" t="s">
        <v>309</v>
      </c>
      <c r="D822" s="575" t="s">
        <v>2680</v>
      </c>
      <c r="E822" s="178" t="s">
        <v>266</v>
      </c>
      <c r="F822" s="210" t="s">
        <v>2681</v>
      </c>
      <c r="G822" s="58"/>
      <c r="H822" s="546">
        <v>5220</v>
      </c>
      <c r="I822" s="66">
        <v>44482</v>
      </c>
      <c r="J822" s="411" t="s">
        <v>2682</v>
      </c>
      <c r="K822" s="58"/>
      <c r="L822" s="99"/>
      <c r="M822" s="70" t="s">
        <v>2668</v>
      </c>
      <c r="N822" s="97" t="s">
        <v>270</v>
      </c>
      <c r="O822" s="58"/>
      <c r="P822" s="58" t="s">
        <v>44</v>
      </c>
      <c r="Q822" s="58" t="s">
        <v>37</v>
      </c>
      <c r="R822" s="58" t="s">
        <v>272</v>
      </c>
    </row>
    <row r="823" spans="1:18" ht="69" customHeight="1">
      <c r="A823" s="168"/>
      <c r="B823" s="178">
        <v>2351</v>
      </c>
      <c r="C823" s="178" t="s">
        <v>259</v>
      </c>
      <c r="D823" s="575"/>
      <c r="E823" s="178" t="s">
        <v>283</v>
      </c>
      <c r="F823" s="210" t="s">
        <v>2683</v>
      </c>
      <c r="G823" s="58"/>
      <c r="H823" s="546">
        <v>7500</v>
      </c>
      <c r="I823" s="66">
        <v>44489</v>
      </c>
      <c r="J823" s="411" t="s">
        <v>285</v>
      </c>
      <c r="K823" s="58" t="s">
        <v>2665</v>
      </c>
      <c r="L823" s="99"/>
      <c r="M823" s="70" t="s">
        <v>2684</v>
      </c>
      <c r="N823" s="97" t="s">
        <v>264</v>
      </c>
      <c r="O823" s="58" t="s">
        <v>141</v>
      </c>
      <c r="P823" s="58" t="s">
        <v>17</v>
      </c>
      <c r="Q823" s="58" t="s">
        <v>37</v>
      </c>
      <c r="R823" s="58" t="s">
        <v>272</v>
      </c>
    </row>
    <row r="824" spans="1:18" ht="69" customHeight="1">
      <c r="A824" s="168"/>
      <c r="B824" s="178">
        <v>2374</v>
      </c>
      <c r="C824" s="178" t="s">
        <v>259</v>
      </c>
      <c r="D824" s="575" t="s">
        <v>2685</v>
      </c>
      <c r="E824" s="178" t="s">
        <v>283</v>
      </c>
      <c r="F824" s="210" t="s">
        <v>2686</v>
      </c>
      <c r="G824" s="58"/>
      <c r="H824" s="546">
        <v>85500</v>
      </c>
      <c r="I824" s="66">
        <v>44524</v>
      </c>
      <c r="J824" s="411" t="s">
        <v>2687</v>
      </c>
      <c r="K824" s="58" t="s">
        <v>2665</v>
      </c>
      <c r="L824" s="99"/>
      <c r="M824" s="70" t="s">
        <v>2684</v>
      </c>
      <c r="N824" s="97" t="s">
        <v>264</v>
      </c>
      <c r="O824" s="58" t="s">
        <v>141</v>
      </c>
      <c r="P824" s="58" t="s">
        <v>17</v>
      </c>
      <c r="Q824" s="58" t="s">
        <v>37</v>
      </c>
      <c r="R824" s="58" t="s">
        <v>272</v>
      </c>
    </row>
    <row r="825" spans="1:18" ht="69" customHeight="1">
      <c r="A825" s="168"/>
      <c r="B825" s="178">
        <v>2412</v>
      </c>
      <c r="C825" s="178" t="s">
        <v>259</v>
      </c>
      <c r="D825" s="575"/>
      <c r="E825" s="178" t="s">
        <v>266</v>
      </c>
      <c r="F825" s="210" t="s">
        <v>2688</v>
      </c>
      <c r="G825" s="58"/>
      <c r="H825" s="546">
        <v>2099.25</v>
      </c>
      <c r="I825" s="66">
        <v>44505</v>
      </c>
      <c r="J825" s="411" t="s">
        <v>2689</v>
      </c>
      <c r="K825" s="58"/>
      <c r="L825" s="99"/>
      <c r="M825" s="70" t="s">
        <v>2668</v>
      </c>
      <c r="N825" s="97" t="s">
        <v>270</v>
      </c>
      <c r="O825" s="58"/>
      <c r="P825" s="58" t="s">
        <v>44</v>
      </c>
      <c r="Q825" s="58" t="s">
        <v>37</v>
      </c>
      <c r="R825" s="58" t="s">
        <v>272</v>
      </c>
    </row>
    <row r="826" spans="1:18" ht="69" customHeight="1">
      <c r="A826" s="168"/>
      <c r="B826" s="178">
        <v>2477</v>
      </c>
      <c r="C826" s="178" t="s">
        <v>309</v>
      </c>
      <c r="D826" s="575" t="s">
        <v>2690</v>
      </c>
      <c r="E826" s="178" t="s">
        <v>921</v>
      </c>
      <c r="F826" s="210" t="s">
        <v>2691</v>
      </c>
      <c r="G826" s="58" t="s">
        <v>2692</v>
      </c>
      <c r="H826" s="546">
        <v>55802.5</v>
      </c>
      <c r="I826" s="66">
        <v>44531</v>
      </c>
      <c r="J826" s="411" t="s">
        <v>2693</v>
      </c>
      <c r="K826" s="58" t="s">
        <v>2694</v>
      </c>
      <c r="L826" s="99"/>
      <c r="M826" s="70" t="s">
        <v>2695</v>
      </c>
      <c r="N826" s="97" t="s">
        <v>356</v>
      </c>
      <c r="O826" s="58" t="s">
        <v>156</v>
      </c>
      <c r="P826" s="58" t="s">
        <v>19</v>
      </c>
      <c r="Q826" s="58" t="s">
        <v>37</v>
      </c>
      <c r="R826" s="58" t="s">
        <v>272</v>
      </c>
    </row>
    <row r="827" spans="1:18" ht="69" customHeight="1">
      <c r="A827" s="168"/>
      <c r="B827" s="207">
        <v>2563</v>
      </c>
      <c r="C827" s="207" t="s">
        <v>303</v>
      </c>
      <c r="D827" s="301" t="s">
        <v>2696</v>
      </c>
      <c r="E827" s="207" t="s">
        <v>1367</v>
      </c>
      <c r="F827" s="208" t="s">
        <v>2697</v>
      </c>
      <c r="G827" s="160" t="s">
        <v>2001</v>
      </c>
      <c r="H827" s="300">
        <v>0</v>
      </c>
      <c r="I827" s="209" t="s">
        <v>96</v>
      </c>
      <c r="J827" s="322" t="s">
        <v>2698</v>
      </c>
      <c r="K827" s="160" t="s">
        <v>727</v>
      </c>
      <c r="M827" s="379" t="s">
        <v>37</v>
      </c>
      <c r="N827" s="76"/>
      <c r="O827" s="160"/>
      <c r="P827" s="160" t="s">
        <v>67</v>
      </c>
      <c r="Q827" s="160" t="s">
        <v>37</v>
      </c>
      <c r="R827" s="160" t="s">
        <v>272</v>
      </c>
    </row>
    <row r="828" spans="1:18" ht="69" customHeight="1">
      <c r="A828" s="168"/>
      <c r="B828" s="178">
        <v>2816</v>
      </c>
      <c r="C828" s="178" t="s">
        <v>2447</v>
      </c>
      <c r="D828" s="575" t="s">
        <v>2699</v>
      </c>
      <c r="E828" s="178" t="s">
        <v>305</v>
      </c>
      <c r="F828" s="210" t="s">
        <v>2700</v>
      </c>
      <c r="G828" s="58" t="s">
        <v>307</v>
      </c>
      <c r="H828" s="546">
        <v>10000</v>
      </c>
      <c r="I828" s="66">
        <v>44573</v>
      </c>
      <c r="J828" s="411" t="s">
        <v>2701</v>
      </c>
      <c r="K828" s="58"/>
      <c r="L828" s="99"/>
      <c r="M828" s="70" t="s">
        <v>2668</v>
      </c>
      <c r="N828" s="97" t="s">
        <v>270</v>
      </c>
      <c r="O828" s="58"/>
      <c r="P828" s="58" t="s">
        <v>44</v>
      </c>
      <c r="Q828" s="58" t="s">
        <v>37</v>
      </c>
      <c r="R828" s="58" t="s">
        <v>272</v>
      </c>
    </row>
    <row r="829" spans="1:18" ht="69" customHeight="1">
      <c r="A829" s="168"/>
      <c r="B829" s="178">
        <v>2863</v>
      </c>
      <c r="C829" s="178" t="s">
        <v>309</v>
      </c>
      <c r="D829" s="575" t="s">
        <v>2702</v>
      </c>
      <c r="E829" s="178" t="s">
        <v>266</v>
      </c>
      <c r="F829" s="210" t="s">
        <v>2703</v>
      </c>
      <c r="G829" s="58" t="s">
        <v>325</v>
      </c>
      <c r="H829" s="546">
        <v>4235.3</v>
      </c>
      <c r="I829" s="66" t="s">
        <v>96</v>
      </c>
      <c r="J829" s="411" t="s">
        <v>2704</v>
      </c>
      <c r="K829" s="58"/>
      <c r="L829" s="99"/>
      <c r="M829" s="70" t="s">
        <v>2668</v>
      </c>
      <c r="N829" s="97" t="s">
        <v>270</v>
      </c>
      <c r="O829" s="58"/>
      <c r="P829" s="58" t="s">
        <v>44</v>
      </c>
      <c r="Q829" s="58" t="s">
        <v>37</v>
      </c>
      <c r="R829" s="58" t="s">
        <v>272</v>
      </c>
    </row>
    <row r="830" spans="1:18" ht="69" customHeight="1">
      <c r="A830" s="168"/>
      <c r="B830" s="178">
        <v>2899</v>
      </c>
      <c r="C830" s="178" t="s">
        <v>309</v>
      </c>
      <c r="D830" s="575" t="s">
        <v>2705</v>
      </c>
      <c r="E830" s="178" t="s">
        <v>266</v>
      </c>
      <c r="F830" s="210" t="s">
        <v>2706</v>
      </c>
      <c r="G830" s="58" t="s">
        <v>1994</v>
      </c>
      <c r="H830" s="546">
        <v>3500</v>
      </c>
      <c r="I830" s="66">
        <v>44585</v>
      </c>
      <c r="J830" s="411" t="s">
        <v>2707</v>
      </c>
      <c r="K830" s="58"/>
      <c r="L830" s="99"/>
      <c r="M830" s="70" t="s">
        <v>2668</v>
      </c>
      <c r="N830" s="97" t="s">
        <v>270</v>
      </c>
      <c r="O830" s="58"/>
      <c r="P830" s="58" t="s">
        <v>44</v>
      </c>
      <c r="Q830" s="58" t="s">
        <v>37</v>
      </c>
      <c r="R830" s="58" t="s">
        <v>272</v>
      </c>
    </row>
    <row r="831" spans="1:18" ht="69" customHeight="1">
      <c r="A831" s="168"/>
      <c r="B831" s="178">
        <v>2563</v>
      </c>
      <c r="C831" s="178" t="s">
        <v>309</v>
      </c>
      <c r="D831" s="575" t="s">
        <v>2708</v>
      </c>
      <c r="E831" s="178" t="s">
        <v>1367</v>
      </c>
      <c r="F831" s="210" t="s">
        <v>2709</v>
      </c>
      <c r="G831" s="58" t="s">
        <v>2001</v>
      </c>
      <c r="H831" s="546">
        <v>2000</v>
      </c>
      <c r="I831" s="66" t="s">
        <v>96</v>
      </c>
      <c r="J831" s="411" t="s">
        <v>2698</v>
      </c>
      <c r="K831" s="58"/>
      <c r="L831" s="99"/>
      <c r="M831" s="70" t="s">
        <v>2668</v>
      </c>
      <c r="N831" s="97" t="s">
        <v>270</v>
      </c>
      <c r="O831" s="58"/>
      <c r="P831" s="58" t="s">
        <v>44</v>
      </c>
      <c r="Q831" s="58" t="s">
        <v>37</v>
      </c>
      <c r="R831" s="58" t="s">
        <v>272</v>
      </c>
    </row>
    <row r="832" spans="1:18" ht="69" customHeight="1">
      <c r="A832" s="168"/>
      <c r="B832" s="178">
        <v>2929</v>
      </c>
      <c r="C832" s="178" t="s">
        <v>309</v>
      </c>
      <c r="D832" s="575" t="s">
        <v>2710</v>
      </c>
      <c r="E832" s="178" t="s">
        <v>1367</v>
      </c>
      <c r="F832" s="210" t="s">
        <v>2711</v>
      </c>
      <c r="G832" s="58" t="s">
        <v>2001</v>
      </c>
      <c r="H832" s="546">
        <v>2000</v>
      </c>
      <c r="I832" s="66" t="s">
        <v>96</v>
      </c>
      <c r="J832" s="411" t="s">
        <v>2712</v>
      </c>
      <c r="K832" s="58"/>
      <c r="L832" s="99"/>
      <c r="M832" s="70" t="s">
        <v>2668</v>
      </c>
      <c r="N832" s="97" t="s">
        <v>270</v>
      </c>
      <c r="O832" s="58"/>
      <c r="P832" s="58" t="s">
        <v>44</v>
      </c>
      <c r="Q832" s="58" t="s">
        <v>37</v>
      </c>
      <c r="R832" s="58" t="s">
        <v>272</v>
      </c>
    </row>
    <row r="833" spans="1:18" ht="69" customHeight="1">
      <c r="A833" s="168"/>
      <c r="B833" s="178">
        <v>2930</v>
      </c>
      <c r="C833" s="178" t="s">
        <v>309</v>
      </c>
      <c r="D833" s="575" t="s">
        <v>2713</v>
      </c>
      <c r="E833" s="178" t="s">
        <v>1367</v>
      </c>
      <c r="F833" s="210" t="s">
        <v>2714</v>
      </c>
      <c r="G833" s="58" t="s">
        <v>2001</v>
      </c>
      <c r="H833" s="546">
        <v>4000</v>
      </c>
      <c r="I833" s="66" t="s">
        <v>96</v>
      </c>
      <c r="J833" s="411" t="s">
        <v>2715</v>
      </c>
      <c r="K833" s="58"/>
      <c r="L833" s="99"/>
      <c r="M833" s="70" t="s">
        <v>2668</v>
      </c>
      <c r="N833" s="97" t="s">
        <v>270</v>
      </c>
      <c r="O833" s="58"/>
      <c r="P833" s="58" t="s">
        <v>44</v>
      </c>
      <c r="Q833" s="58" t="s">
        <v>37</v>
      </c>
      <c r="R833" s="58" t="s">
        <v>272</v>
      </c>
    </row>
    <row r="834" spans="1:18" ht="69" customHeight="1">
      <c r="A834" s="168"/>
      <c r="B834" s="178">
        <v>2931</v>
      </c>
      <c r="C834" s="178" t="s">
        <v>309</v>
      </c>
      <c r="D834" s="575" t="s">
        <v>2716</v>
      </c>
      <c r="E834" s="178" t="s">
        <v>1367</v>
      </c>
      <c r="F834" s="210" t="s">
        <v>2717</v>
      </c>
      <c r="G834" s="58" t="s">
        <v>2001</v>
      </c>
      <c r="H834" s="546">
        <v>4000</v>
      </c>
      <c r="I834" s="66" t="s">
        <v>96</v>
      </c>
      <c r="J834" s="411" t="s">
        <v>2718</v>
      </c>
      <c r="K834" s="58"/>
      <c r="L834" s="99"/>
      <c r="M834" s="70" t="s">
        <v>2668</v>
      </c>
      <c r="N834" s="97" t="s">
        <v>270</v>
      </c>
      <c r="O834" s="58"/>
      <c r="P834" s="58" t="s">
        <v>44</v>
      </c>
      <c r="Q834" s="58" t="s">
        <v>37</v>
      </c>
      <c r="R834" s="58" t="s">
        <v>272</v>
      </c>
    </row>
    <row r="835" spans="1:18" ht="69" customHeight="1">
      <c r="A835" s="168"/>
      <c r="B835" s="191">
        <v>2970</v>
      </c>
      <c r="C835" s="191" t="s">
        <v>309</v>
      </c>
      <c r="D835" s="533" t="s">
        <v>2719</v>
      </c>
      <c r="E835" s="191" t="s">
        <v>331</v>
      </c>
      <c r="F835" s="211" t="s">
        <v>2720</v>
      </c>
      <c r="G835" s="46" t="s">
        <v>652</v>
      </c>
      <c r="H835" s="534">
        <v>0</v>
      </c>
      <c r="I835" s="56" t="s">
        <v>96</v>
      </c>
      <c r="J835" s="412" t="s">
        <v>334</v>
      </c>
      <c r="K835" s="46"/>
      <c r="L835" s="99"/>
      <c r="M835" s="379" t="s">
        <v>37</v>
      </c>
      <c r="N835" s="76" t="s">
        <v>69</v>
      </c>
      <c r="O835" s="46"/>
      <c r="P835" s="46" t="s">
        <v>69</v>
      </c>
      <c r="Q835" s="46" t="s">
        <v>37</v>
      </c>
      <c r="R835" s="46" t="s">
        <v>272</v>
      </c>
    </row>
    <row r="836" spans="1:18" ht="69" customHeight="1">
      <c r="A836" s="168"/>
      <c r="B836" s="178">
        <v>3111</v>
      </c>
      <c r="C836" s="178" t="s">
        <v>309</v>
      </c>
      <c r="D836" s="575" t="s">
        <v>2721</v>
      </c>
      <c r="E836" s="178" t="s">
        <v>283</v>
      </c>
      <c r="F836" s="210" t="s">
        <v>2722</v>
      </c>
      <c r="G836" s="58" t="s">
        <v>655</v>
      </c>
      <c r="H836" s="546">
        <v>128250</v>
      </c>
      <c r="I836" s="66">
        <v>44610</v>
      </c>
      <c r="J836" s="411" t="s">
        <v>2723</v>
      </c>
      <c r="K836" s="58" t="s">
        <v>2665</v>
      </c>
      <c r="L836" s="99"/>
      <c r="M836" s="70" t="s">
        <v>2684</v>
      </c>
      <c r="N836" s="97" t="s">
        <v>264</v>
      </c>
      <c r="O836" s="58" t="s">
        <v>141</v>
      </c>
      <c r="P836" s="58" t="s">
        <v>17</v>
      </c>
      <c r="Q836" s="58" t="s">
        <v>37</v>
      </c>
      <c r="R836" s="58" t="s">
        <v>272</v>
      </c>
    </row>
    <row r="837" spans="1:18" ht="69" customHeight="1">
      <c r="A837" s="168"/>
      <c r="B837" s="178">
        <v>4112</v>
      </c>
      <c r="C837" s="178" t="s">
        <v>259</v>
      </c>
      <c r="D837" s="575"/>
      <c r="E837" s="178" t="s">
        <v>266</v>
      </c>
      <c r="F837" s="210" t="s">
        <v>2724</v>
      </c>
      <c r="G837" s="58" t="s">
        <v>2725</v>
      </c>
      <c r="H837" s="546">
        <v>57.24</v>
      </c>
      <c r="I837" s="66">
        <v>44634</v>
      </c>
      <c r="J837" s="411" t="s">
        <v>2726</v>
      </c>
      <c r="K837" s="58"/>
      <c r="L837" s="99"/>
      <c r="M837" s="70" t="s">
        <v>2668</v>
      </c>
      <c r="N837" s="97" t="s">
        <v>270</v>
      </c>
      <c r="O837" s="58"/>
      <c r="P837" s="58" t="s">
        <v>44</v>
      </c>
      <c r="Q837" s="58" t="s">
        <v>37</v>
      </c>
      <c r="R837" s="58" t="s">
        <v>272</v>
      </c>
    </row>
    <row r="838" spans="1:18" ht="69" customHeight="1">
      <c r="A838" s="168"/>
      <c r="B838" s="178">
        <v>4128</v>
      </c>
      <c r="C838" s="178" t="s">
        <v>309</v>
      </c>
      <c r="D838" s="575" t="s">
        <v>2727</v>
      </c>
      <c r="E838" s="178" t="s">
        <v>266</v>
      </c>
      <c r="F838" s="210" t="s">
        <v>2728</v>
      </c>
      <c r="G838" s="58" t="s">
        <v>1107</v>
      </c>
      <c r="H838" s="546">
        <v>7293.34</v>
      </c>
      <c r="I838" s="66">
        <v>44643</v>
      </c>
      <c r="J838" s="411" t="s">
        <v>2729</v>
      </c>
      <c r="K838" s="58"/>
      <c r="L838" s="99"/>
      <c r="M838" s="70" t="s">
        <v>2730</v>
      </c>
      <c r="N838" s="97" t="s">
        <v>970</v>
      </c>
      <c r="O838" s="58" t="s">
        <v>971</v>
      </c>
      <c r="P838" s="58" t="s">
        <v>38</v>
      </c>
      <c r="Q838" s="58" t="s">
        <v>37</v>
      </c>
      <c r="R838" s="58" t="s">
        <v>272</v>
      </c>
    </row>
    <row r="839" spans="1:18" ht="69" customHeight="1">
      <c r="A839" s="168"/>
      <c r="B839" s="178">
        <v>4173</v>
      </c>
      <c r="C839" s="178" t="s">
        <v>309</v>
      </c>
      <c r="D839" s="575" t="s">
        <v>2731</v>
      </c>
      <c r="E839" s="178" t="s">
        <v>266</v>
      </c>
      <c r="F839" s="210" t="s">
        <v>2732</v>
      </c>
      <c r="G839" s="58" t="s">
        <v>392</v>
      </c>
      <c r="H839" s="546">
        <v>2024.49</v>
      </c>
      <c r="I839" s="66">
        <v>44656</v>
      </c>
      <c r="J839" s="411" t="s">
        <v>2733</v>
      </c>
      <c r="K839" s="58"/>
      <c r="L839" s="99"/>
      <c r="M839" s="70" t="s">
        <v>2668</v>
      </c>
      <c r="N839" s="97" t="s">
        <v>270</v>
      </c>
      <c r="O839" s="58"/>
      <c r="P839" s="58" t="s">
        <v>44</v>
      </c>
      <c r="Q839" s="58" t="s">
        <v>37</v>
      </c>
      <c r="R839" s="58" t="s">
        <v>272</v>
      </c>
    </row>
    <row r="840" spans="1:18" ht="69" customHeight="1">
      <c r="A840" s="168"/>
      <c r="B840" s="178">
        <v>4174</v>
      </c>
      <c r="C840" s="178" t="s">
        <v>309</v>
      </c>
      <c r="D840" s="575" t="s">
        <v>2734</v>
      </c>
      <c r="E840" s="178" t="s">
        <v>266</v>
      </c>
      <c r="F840" s="210" t="s">
        <v>2735</v>
      </c>
      <c r="G840" s="58" t="s">
        <v>392</v>
      </c>
      <c r="H840" s="546">
        <v>103.55</v>
      </c>
      <c r="I840" s="66">
        <v>44656</v>
      </c>
      <c r="J840" s="411" t="s">
        <v>2736</v>
      </c>
      <c r="K840" s="58"/>
      <c r="L840" s="99"/>
      <c r="M840" s="70" t="s">
        <v>2668</v>
      </c>
      <c r="N840" s="97" t="s">
        <v>270</v>
      </c>
      <c r="O840" s="58"/>
      <c r="P840" s="58" t="s">
        <v>44</v>
      </c>
      <c r="Q840" s="58" t="s">
        <v>37</v>
      </c>
      <c r="R840" s="58" t="s">
        <v>272</v>
      </c>
    </row>
    <row r="841" spans="1:18" ht="69" customHeight="1">
      <c r="A841" s="168"/>
      <c r="B841" s="178">
        <v>4549</v>
      </c>
      <c r="C841" s="178" t="s">
        <v>309</v>
      </c>
      <c r="D841" s="575" t="s">
        <v>2737</v>
      </c>
      <c r="E841" s="178" t="s">
        <v>979</v>
      </c>
      <c r="F841" s="210" t="s">
        <v>2738</v>
      </c>
      <c r="G841" s="58" t="s">
        <v>352</v>
      </c>
      <c r="H841" s="546">
        <v>319370</v>
      </c>
      <c r="I841" s="66">
        <v>44673</v>
      </c>
      <c r="J841" s="411" t="s">
        <v>2739</v>
      </c>
      <c r="K841" s="58" t="s">
        <v>2694</v>
      </c>
      <c r="L841" s="99"/>
      <c r="M841" s="70" t="s">
        <v>2740</v>
      </c>
      <c r="N841" s="97" t="s">
        <v>356</v>
      </c>
      <c r="O841" s="58" t="s">
        <v>156</v>
      </c>
      <c r="P841" s="58" t="s">
        <v>19</v>
      </c>
      <c r="Q841" s="58" t="s">
        <v>37</v>
      </c>
      <c r="R841" s="58" t="s">
        <v>265</v>
      </c>
    </row>
    <row r="842" spans="1:18" ht="69" customHeight="1">
      <c r="A842" s="168"/>
      <c r="B842" s="178">
        <v>4696</v>
      </c>
      <c r="C842" s="178" t="s">
        <v>309</v>
      </c>
      <c r="D842" s="575" t="s">
        <v>2741</v>
      </c>
      <c r="E842" s="178" t="s">
        <v>331</v>
      </c>
      <c r="F842" s="210" t="s">
        <v>2742</v>
      </c>
      <c r="G842" s="58"/>
      <c r="H842" s="546">
        <v>2635.98</v>
      </c>
      <c r="I842" s="66">
        <v>44678</v>
      </c>
      <c r="J842" s="411" t="s">
        <v>2743</v>
      </c>
      <c r="K842" s="58"/>
      <c r="L842" s="99"/>
      <c r="M842" s="70" t="s">
        <v>2668</v>
      </c>
      <c r="N842" s="97" t="s">
        <v>270</v>
      </c>
      <c r="O842" s="58"/>
      <c r="P842" s="58" t="s">
        <v>44</v>
      </c>
      <c r="Q842" s="58" t="s">
        <v>37</v>
      </c>
      <c r="R842" s="58" t="s">
        <v>272</v>
      </c>
    </row>
    <row r="843" spans="1:18" ht="69" customHeight="1">
      <c r="A843" s="168"/>
      <c r="B843" s="178">
        <v>4775</v>
      </c>
      <c r="C843" s="178" t="s">
        <v>309</v>
      </c>
      <c r="D843" s="575" t="s">
        <v>2744</v>
      </c>
      <c r="E843" s="178" t="s">
        <v>979</v>
      </c>
      <c r="F843" s="210" t="s">
        <v>2745</v>
      </c>
      <c r="G843" s="58" t="s">
        <v>352</v>
      </c>
      <c r="H843" s="546">
        <v>937381.25</v>
      </c>
      <c r="I843" s="66">
        <v>44686</v>
      </c>
      <c r="J843" s="411" t="s">
        <v>2746</v>
      </c>
      <c r="K843" s="58" t="s">
        <v>2694</v>
      </c>
      <c r="L843" s="99"/>
      <c r="M843" s="70" t="s">
        <v>2740</v>
      </c>
      <c r="N843" s="97" t="s">
        <v>356</v>
      </c>
      <c r="O843" s="58" t="s">
        <v>156</v>
      </c>
      <c r="P843" s="58" t="s">
        <v>19</v>
      </c>
      <c r="Q843" s="58" t="s">
        <v>37</v>
      </c>
      <c r="R843" s="58" t="s">
        <v>265</v>
      </c>
    </row>
    <row r="844" spans="1:18" ht="69" customHeight="1">
      <c r="A844" s="168"/>
      <c r="B844" s="178">
        <v>4696</v>
      </c>
      <c r="C844" s="178" t="s">
        <v>309</v>
      </c>
      <c r="D844" s="575" t="s">
        <v>2747</v>
      </c>
      <c r="E844" s="178" t="s">
        <v>331</v>
      </c>
      <c r="F844" s="210" t="s">
        <v>2748</v>
      </c>
      <c r="G844" s="58" t="s">
        <v>372</v>
      </c>
      <c r="H844" s="546">
        <v>23723.850000000002</v>
      </c>
      <c r="I844" s="66">
        <v>44701</v>
      </c>
      <c r="J844" s="411" t="s">
        <v>2749</v>
      </c>
      <c r="K844" s="58"/>
      <c r="L844" s="99"/>
      <c r="M844" s="70" t="s">
        <v>2668</v>
      </c>
      <c r="N844" s="97" t="s">
        <v>270</v>
      </c>
      <c r="O844" s="58"/>
      <c r="P844" s="58" t="s">
        <v>44</v>
      </c>
      <c r="Q844" s="58" t="s">
        <v>37</v>
      </c>
      <c r="R844" s="58" t="s">
        <v>272</v>
      </c>
    </row>
    <row r="845" spans="1:18" ht="69" customHeight="1">
      <c r="A845" s="168"/>
      <c r="B845" s="178">
        <v>4128</v>
      </c>
      <c r="C845" s="178" t="s">
        <v>309</v>
      </c>
      <c r="D845" s="575" t="s">
        <v>2750</v>
      </c>
      <c r="E845" s="178" t="s">
        <v>266</v>
      </c>
      <c r="F845" s="210" t="s">
        <v>2751</v>
      </c>
      <c r="G845" s="58" t="s">
        <v>1107</v>
      </c>
      <c r="H845" s="546">
        <v>7293.34</v>
      </c>
      <c r="I845" s="66">
        <v>44725</v>
      </c>
      <c r="J845" s="411" t="s">
        <v>2752</v>
      </c>
      <c r="K845" s="58"/>
      <c r="L845" s="99"/>
      <c r="M845" s="70" t="s">
        <v>2730</v>
      </c>
      <c r="N845" s="97" t="s">
        <v>970</v>
      </c>
      <c r="O845" s="58" t="s">
        <v>971</v>
      </c>
      <c r="P845" s="58" t="s">
        <v>38</v>
      </c>
      <c r="Q845" s="58" t="s">
        <v>37</v>
      </c>
      <c r="R845" s="58" t="s">
        <v>272</v>
      </c>
    </row>
    <row r="846" spans="1:18" ht="69" customHeight="1">
      <c r="A846" s="168"/>
      <c r="B846" s="178">
        <v>5009</v>
      </c>
      <c r="C846" s="178" t="s">
        <v>309</v>
      </c>
      <c r="D846" s="575" t="s">
        <v>2753</v>
      </c>
      <c r="E846" s="178" t="s">
        <v>266</v>
      </c>
      <c r="F846" s="210" t="s">
        <v>2754</v>
      </c>
      <c r="G846" s="58" t="s">
        <v>1753</v>
      </c>
      <c r="H846" s="546">
        <v>5390</v>
      </c>
      <c r="I846" s="66">
        <v>44727</v>
      </c>
      <c r="J846" s="411" t="s">
        <v>2755</v>
      </c>
      <c r="K846" s="58"/>
      <c r="L846" s="99"/>
      <c r="M846" s="70" t="s">
        <v>2668</v>
      </c>
      <c r="N846" s="97" t="s">
        <v>270</v>
      </c>
      <c r="O846" s="58"/>
      <c r="P846" s="58" t="s">
        <v>44</v>
      </c>
      <c r="Q846" s="58" t="s">
        <v>37</v>
      </c>
      <c r="R846" s="58" t="s">
        <v>272</v>
      </c>
    </row>
    <row r="847" spans="1:18" ht="69" customHeight="1">
      <c r="A847" s="168"/>
      <c r="B847" s="178">
        <v>5118</v>
      </c>
      <c r="C847" s="178" t="s">
        <v>309</v>
      </c>
      <c r="D847" s="575" t="s">
        <v>2756</v>
      </c>
      <c r="E847" s="178" t="s">
        <v>283</v>
      </c>
      <c r="F847" s="210" t="s">
        <v>2757</v>
      </c>
      <c r="G847" s="58" t="s">
        <v>718</v>
      </c>
      <c r="H847" s="546">
        <v>171000</v>
      </c>
      <c r="I847" s="66">
        <v>44732</v>
      </c>
      <c r="J847" s="411" t="s">
        <v>2758</v>
      </c>
      <c r="K847" s="58" t="s">
        <v>2665</v>
      </c>
      <c r="L847" s="99"/>
      <c r="M847" s="70" t="s">
        <v>2684</v>
      </c>
      <c r="N847" s="97" t="s">
        <v>264</v>
      </c>
      <c r="O847" s="58" t="s">
        <v>141</v>
      </c>
      <c r="P847" s="58" t="s">
        <v>17</v>
      </c>
      <c r="Q847" s="58" t="s">
        <v>37</v>
      </c>
      <c r="R847" s="58" t="s">
        <v>272</v>
      </c>
    </row>
    <row r="848" spans="1:18" ht="69" customHeight="1">
      <c r="A848" s="168"/>
      <c r="B848" s="178">
        <v>1</v>
      </c>
      <c r="C848" s="178" t="s">
        <v>309</v>
      </c>
      <c r="D848" s="575" t="s">
        <v>2759</v>
      </c>
      <c r="E848" s="178" t="s">
        <v>382</v>
      </c>
      <c r="F848" s="210" t="s">
        <v>2760</v>
      </c>
      <c r="G848" s="58" t="s">
        <v>384</v>
      </c>
      <c r="H848" s="546">
        <v>22679.42</v>
      </c>
      <c r="I848" s="66">
        <v>44736</v>
      </c>
      <c r="J848" s="411" t="s">
        <v>2761</v>
      </c>
      <c r="K848" s="58"/>
      <c r="L848" s="99"/>
      <c r="M848" s="70" t="s">
        <v>2762</v>
      </c>
      <c r="N848" s="97" t="s">
        <v>387</v>
      </c>
      <c r="O848" s="62" t="s">
        <v>150</v>
      </c>
      <c r="P848" s="58" t="s">
        <v>51</v>
      </c>
      <c r="Q848" s="58" t="s">
        <v>37</v>
      </c>
      <c r="R848" s="58" t="s">
        <v>272</v>
      </c>
    </row>
    <row r="849" spans="1:18" ht="69" customHeight="1">
      <c r="A849" s="168"/>
      <c r="B849" s="178">
        <v>1</v>
      </c>
      <c r="C849" s="178" t="s">
        <v>309</v>
      </c>
      <c r="D849" s="575" t="s">
        <v>2763</v>
      </c>
      <c r="E849" s="178" t="s">
        <v>382</v>
      </c>
      <c r="F849" s="210" t="s">
        <v>2764</v>
      </c>
      <c r="G849" s="58" t="s">
        <v>384</v>
      </c>
      <c r="H849" s="546">
        <v>38303.97</v>
      </c>
      <c r="I849" s="66">
        <v>44736</v>
      </c>
      <c r="J849" s="411" t="s">
        <v>2765</v>
      </c>
      <c r="K849" s="58"/>
      <c r="L849" s="99"/>
      <c r="M849" s="70" t="s">
        <v>2762</v>
      </c>
      <c r="N849" s="97" t="s">
        <v>387</v>
      </c>
      <c r="O849" s="62" t="s">
        <v>150</v>
      </c>
      <c r="P849" s="58" t="s">
        <v>51</v>
      </c>
      <c r="Q849" s="58" t="s">
        <v>37</v>
      </c>
      <c r="R849" s="58" t="s">
        <v>272</v>
      </c>
    </row>
    <row r="850" spans="1:18" ht="69" customHeight="1">
      <c r="A850" s="168"/>
      <c r="B850" s="178">
        <v>6031</v>
      </c>
      <c r="C850" s="178" t="s">
        <v>309</v>
      </c>
      <c r="D850" s="575" t="s">
        <v>2766</v>
      </c>
      <c r="E850" s="178" t="s">
        <v>283</v>
      </c>
      <c r="F850" s="210" t="s">
        <v>2767</v>
      </c>
      <c r="G850" s="58" t="s">
        <v>718</v>
      </c>
      <c r="H850" s="546">
        <v>42750</v>
      </c>
      <c r="I850" s="66">
        <v>44769</v>
      </c>
      <c r="J850" s="411" t="s">
        <v>2768</v>
      </c>
      <c r="K850" s="58" t="s">
        <v>2665</v>
      </c>
      <c r="L850" s="99"/>
      <c r="M850" s="70" t="s">
        <v>2684</v>
      </c>
      <c r="N850" s="97" t="s">
        <v>264</v>
      </c>
      <c r="O850" s="58" t="s">
        <v>141</v>
      </c>
      <c r="P850" s="58" t="s">
        <v>17</v>
      </c>
      <c r="Q850" s="58" t="s">
        <v>37</v>
      </c>
      <c r="R850" s="58" t="s">
        <v>272</v>
      </c>
    </row>
    <row r="851" spans="1:18" ht="69" customHeight="1">
      <c r="A851" s="168"/>
      <c r="B851" s="178">
        <v>6338</v>
      </c>
      <c r="C851" s="178" t="s">
        <v>309</v>
      </c>
      <c r="D851" s="575" t="s">
        <v>2769</v>
      </c>
      <c r="E851" s="178" t="s">
        <v>2291</v>
      </c>
      <c r="F851" s="210" t="s">
        <v>2770</v>
      </c>
      <c r="G851" s="58" t="s">
        <v>1761</v>
      </c>
      <c r="H851" s="546">
        <v>350220</v>
      </c>
      <c r="I851" s="66">
        <v>44790</v>
      </c>
      <c r="J851" s="411" t="s">
        <v>2771</v>
      </c>
      <c r="K851" s="58"/>
      <c r="L851" s="99"/>
      <c r="M851" s="70" t="s">
        <v>2772</v>
      </c>
      <c r="N851" s="97" t="s">
        <v>414</v>
      </c>
      <c r="O851" s="58"/>
      <c r="P851" s="58" t="s">
        <v>24</v>
      </c>
      <c r="Q851" s="58" t="s">
        <v>37</v>
      </c>
      <c r="R851" s="58" t="s">
        <v>272</v>
      </c>
    </row>
    <row r="852" spans="1:18" ht="69" customHeight="1">
      <c r="A852" s="168"/>
      <c r="B852" s="178">
        <v>6372</v>
      </c>
      <c r="C852" s="178" t="s">
        <v>309</v>
      </c>
      <c r="D852" s="575" t="s">
        <v>2773</v>
      </c>
      <c r="E852" s="178" t="s">
        <v>270</v>
      </c>
      <c r="F852" s="210" t="s">
        <v>2774</v>
      </c>
      <c r="G852" s="58" t="s">
        <v>2775</v>
      </c>
      <c r="H852" s="546">
        <v>5810</v>
      </c>
      <c r="I852" s="66">
        <v>44799</v>
      </c>
      <c r="J852" s="411" t="s">
        <v>2776</v>
      </c>
      <c r="K852" s="58"/>
      <c r="L852" s="99"/>
      <c r="M852" s="70" t="s">
        <v>2668</v>
      </c>
      <c r="N852" s="97" t="s">
        <v>270</v>
      </c>
      <c r="O852" s="58"/>
      <c r="P852" s="58" t="s">
        <v>44</v>
      </c>
      <c r="Q852" s="58" t="s">
        <v>37</v>
      </c>
      <c r="R852" s="58" t="s">
        <v>272</v>
      </c>
    </row>
    <row r="853" spans="1:18" ht="69" customHeight="1">
      <c r="A853" s="168"/>
      <c r="B853" s="178">
        <v>6425</v>
      </c>
      <c r="C853" s="178" t="s">
        <v>309</v>
      </c>
      <c r="D853" s="575" t="s">
        <v>2777</v>
      </c>
      <c r="E853" s="178" t="s">
        <v>432</v>
      </c>
      <c r="F853" s="210" t="s">
        <v>2778</v>
      </c>
      <c r="G853" s="58" t="s">
        <v>429</v>
      </c>
      <c r="H853" s="546">
        <v>13959.486000000001</v>
      </c>
      <c r="I853" s="66">
        <v>44802</v>
      </c>
      <c r="J853" s="411" t="s">
        <v>1766</v>
      </c>
      <c r="K853" s="58"/>
      <c r="L853" s="99"/>
      <c r="M853" s="70" t="s">
        <v>2779</v>
      </c>
      <c r="N853" s="97" t="s">
        <v>432</v>
      </c>
      <c r="O853" s="58"/>
      <c r="P853" s="58" t="s">
        <v>53</v>
      </c>
      <c r="Q853" s="58" t="s">
        <v>37</v>
      </c>
      <c r="R853" s="58" t="s">
        <v>272</v>
      </c>
    </row>
    <row r="854" spans="1:18" ht="69" customHeight="1">
      <c r="A854" s="168"/>
      <c r="B854" s="178">
        <v>6788</v>
      </c>
      <c r="C854" s="178" t="s">
        <v>309</v>
      </c>
      <c r="D854" s="575" t="s">
        <v>2780</v>
      </c>
      <c r="E854" s="178" t="s">
        <v>266</v>
      </c>
      <c r="F854" s="210" t="s">
        <v>2781</v>
      </c>
      <c r="G854" s="58" t="s">
        <v>1107</v>
      </c>
      <c r="H854" s="546">
        <v>7293.34</v>
      </c>
      <c r="I854" s="66">
        <v>44832</v>
      </c>
      <c r="J854" s="411" t="s">
        <v>2782</v>
      </c>
      <c r="K854" s="58"/>
      <c r="L854" s="99"/>
      <c r="M854" s="70" t="s">
        <v>2730</v>
      </c>
      <c r="N854" s="97" t="s">
        <v>970</v>
      </c>
      <c r="O854" s="58" t="s">
        <v>971</v>
      </c>
      <c r="P854" s="58" t="s">
        <v>38</v>
      </c>
      <c r="Q854" s="58" t="s">
        <v>37</v>
      </c>
      <c r="R854" s="58" t="s">
        <v>272</v>
      </c>
    </row>
    <row r="855" spans="1:18" ht="69" customHeight="1">
      <c r="A855" s="168"/>
      <c r="B855" s="178">
        <v>7473</v>
      </c>
      <c r="C855" s="178" t="s">
        <v>309</v>
      </c>
      <c r="D855" s="575" t="s">
        <v>2783</v>
      </c>
      <c r="E855" s="178" t="s">
        <v>2784</v>
      </c>
      <c r="F855" s="210" t="s">
        <v>2785</v>
      </c>
      <c r="G855" s="58" t="s">
        <v>1041</v>
      </c>
      <c r="H855" s="546">
        <v>83834.039999999994</v>
      </c>
      <c r="I855" s="66">
        <v>44890</v>
      </c>
      <c r="J855" s="411" t="s">
        <v>1042</v>
      </c>
      <c r="K855" s="58"/>
      <c r="L855" s="99"/>
      <c r="M855" s="70" t="s">
        <v>2786</v>
      </c>
      <c r="N855" s="97" t="s">
        <v>1044</v>
      </c>
      <c r="O855" s="58"/>
      <c r="P855" s="58" t="s">
        <v>26</v>
      </c>
      <c r="Q855" s="58" t="s">
        <v>37</v>
      </c>
      <c r="R855" s="58" t="s">
        <v>272</v>
      </c>
    </row>
    <row r="856" spans="1:18" ht="69" customHeight="1">
      <c r="A856" s="168"/>
      <c r="B856" s="178">
        <v>7393</v>
      </c>
      <c r="C856" s="178" t="s">
        <v>309</v>
      </c>
      <c r="D856" s="575" t="s">
        <v>2787</v>
      </c>
      <c r="E856" s="178" t="s">
        <v>432</v>
      </c>
      <c r="F856" s="210" t="s">
        <v>2788</v>
      </c>
      <c r="G856" s="58" t="s">
        <v>1121</v>
      </c>
      <c r="H856" s="546">
        <v>34317.03</v>
      </c>
      <c r="I856" s="66">
        <v>44876</v>
      </c>
      <c r="J856" s="411" t="s">
        <v>1122</v>
      </c>
      <c r="K856" s="58"/>
      <c r="L856" s="99"/>
      <c r="M856" s="70" t="s">
        <v>2779</v>
      </c>
      <c r="N856" s="97" t="s">
        <v>432</v>
      </c>
      <c r="O856" s="58"/>
      <c r="P856" s="58" t="s">
        <v>53</v>
      </c>
      <c r="Q856" s="58" t="s">
        <v>37</v>
      </c>
      <c r="R856" s="58" t="s">
        <v>272</v>
      </c>
    </row>
    <row r="857" spans="1:18" ht="69" customHeight="1">
      <c r="A857" s="168"/>
      <c r="B857" s="178">
        <v>7562</v>
      </c>
      <c r="C857" s="178" t="s">
        <v>309</v>
      </c>
      <c r="D857" s="575" t="s">
        <v>2789</v>
      </c>
      <c r="E857" s="178" t="s">
        <v>921</v>
      </c>
      <c r="F857" s="210" t="s">
        <v>2790</v>
      </c>
      <c r="G857" s="58" t="s">
        <v>1838</v>
      </c>
      <c r="H857" s="546">
        <v>450000</v>
      </c>
      <c r="I857" s="66">
        <v>44895</v>
      </c>
      <c r="J857" s="411" t="s">
        <v>2549</v>
      </c>
      <c r="K857" s="58"/>
      <c r="L857" s="99"/>
      <c r="M857" s="70" t="s">
        <v>2695</v>
      </c>
      <c r="N857" s="97" t="s">
        <v>356</v>
      </c>
      <c r="O857" s="58" t="s">
        <v>156</v>
      </c>
      <c r="P857" s="58" t="s">
        <v>19</v>
      </c>
      <c r="Q857" s="58" t="s">
        <v>37</v>
      </c>
      <c r="R857" s="58" t="s">
        <v>272</v>
      </c>
    </row>
    <row r="858" spans="1:18" ht="69" customHeight="1">
      <c r="A858" s="168"/>
      <c r="B858" s="178">
        <v>7570</v>
      </c>
      <c r="C858" s="178" t="s">
        <v>309</v>
      </c>
      <c r="D858" s="575" t="s">
        <v>2791</v>
      </c>
      <c r="E858" s="178" t="s">
        <v>2784</v>
      </c>
      <c r="F858" s="210" t="s">
        <v>2792</v>
      </c>
      <c r="G858" s="58" t="s">
        <v>1041</v>
      </c>
      <c r="H858" s="546">
        <v>8680</v>
      </c>
      <c r="I858" s="66">
        <v>44904</v>
      </c>
      <c r="J858" s="411" t="s">
        <v>1080</v>
      </c>
      <c r="K858" s="58"/>
      <c r="L858" s="99"/>
      <c r="M858" s="70" t="s">
        <v>2786</v>
      </c>
      <c r="N858" s="97" t="s">
        <v>1044</v>
      </c>
      <c r="O858" s="58"/>
      <c r="P858" s="58" t="s">
        <v>26</v>
      </c>
      <c r="Q858" s="58" t="s">
        <v>37</v>
      </c>
      <c r="R858" s="58" t="s">
        <v>272</v>
      </c>
    </row>
    <row r="859" spans="1:18" ht="69" customHeight="1">
      <c r="A859" s="168"/>
      <c r="B859" s="178">
        <v>7670</v>
      </c>
      <c r="C859" s="178" t="s">
        <v>309</v>
      </c>
      <c r="D859" s="575" t="s">
        <v>2793</v>
      </c>
      <c r="E859" s="178" t="s">
        <v>2794</v>
      </c>
      <c r="F859" s="210" t="s">
        <v>2795</v>
      </c>
      <c r="G859" s="58" t="s">
        <v>1085</v>
      </c>
      <c r="H859" s="546">
        <v>34800</v>
      </c>
      <c r="I859" s="66">
        <v>44900</v>
      </c>
      <c r="J859" s="411" t="s">
        <v>1086</v>
      </c>
      <c r="K859" s="58"/>
      <c r="L859" s="99"/>
      <c r="M859" s="70" t="s">
        <v>2796</v>
      </c>
      <c r="N859" s="97" t="s">
        <v>414</v>
      </c>
      <c r="O859" s="58"/>
      <c r="P859" s="58" t="s">
        <v>24</v>
      </c>
      <c r="Q859" s="58" t="s">
        <v>37</v>
      </c>
      <c r="R859" s="58" t="s">
        <v>265</v>
      </c>
    </row>
    <row r="860" spans="1:18" ht="69" customHeight="1">
      <c r="A860" s="168"/>
      <c r="B860" s="178">
        <v>7745</v>
      </c>
      <c r="C860" s="178" t="s">
        <v>309</v>
      </c>
      <c r="D860" s="575" t="s">
        <v>2797</v>
      </c>
      <c r="E860" s="178" t="s">
        <v>2794</v>
      </c>
      <c r="F860" s="210" t="s">
        <v>2798</v>
      </c>
      <c r="G860" s="58" t="s">
        <v>2799</v>
      </c>
      <c r="H860" s="546">
        <v>87221.43</v>
      </c>
      <c r="I860" s="66">
        <v>44914</v>
      </c>
      <c r="J860" s="411" t="s">
        <v>2800</v>
      </c>
      <c r="K860" s="58"/>
      <c r="L860" s="99"/>
      <c r="M860" s="70" t="s">
        <v>2796</v>
      </c>
      <c r="N860" s="97" t="s">
        <v>414</v>
      </c>
      <c r="O860" s="58"/>
      <c r="P860" s="58" t="s">
        <v>24</v>
      </c>
      <c r="Q860" s="58" t="s">
        <v>37</v>
      </c>
      <c r="R860" s="58" t="s">
        <v>265</v>
      </c>
    </row>
    <row r="861" spans="1:18" ht="69" customHeight="1">
      <c r="A861" s="168"/>
      <c r="B861" s="178">
        <v>8141</v>
      </c>
      <c r="C861" s="178" t="s">
        <v>309</v>
      </c>
      <c r="D861" s="575" t="s">
        <v>489</v>
      </c>
      <c r="E861" s="178" t="s">
        <v>2794</v>
      </c>
      <c r="F861" s="210" t="s">
        <v>2801</v>
      </c>
      <c r="G861" s="58" t="s">
        <v>1145</v>
      </c>
      <c r="H861" s="546">
        <v>34800</v>
      </c>
      <c r="I861" s="66">
        <v>44914</v>
      </c>
      <c r="J861" s="411" t="s">
        <v>1146</v>
      </c>
      <c r="K861" s="58"/>
      <c r="L861" s="99"/>
      <c r="M861" s="70" t="s">
        <v>2796</v>
      </c>
      <c r="N861" s="97" t="s">
        <v>414</v>
      </c>
      <c r="O861" s="58"/>
      <c r="P861" s="58" t="s">
        <v>24</v>
      </c>
      <c r="Q861" s="58" t="s">
        <v>37</v>
      </c>
      <c r="R861" s="58" t="s">
        <v>265</v>
      </c>
    </row>
    <row r="862" spans="1:18" ht="69" customHeight="1">
      <c r="A862" s="168"/>
      <c r="B862" s="178">
        <v>6788</v>
      </c>
      <c r="C862" s="178" t="s">
        <v>309</v>
      </c>
      <c r="D862" s="575" t="s">
        <v>2780</v>
      </c>
      <c r="E862" s="178" t="s">
        <v>266</v>
      </c>
      <c r="F862" s="210" t="s">
        <v>2781</v>
      </c>
      <c r="G862" s="58" t="s">
        <v>1107</v>
      </c>
      <c r="H862" s="546">
        <v>7293.34</v>
      </c>
      <c r="I862" s="66">
        <v>44832</v>
      </c>
      <c r="J862" s="411" t="s">
        <v>2782</v>
      </c>
      <c r="K862" s="58"/>
      <c r="L862" s="99"/>
      <c r="M862" s="70" t="s">
        <v>2730</v>
      </c>
      <c r="N862" s="97" t="s">
        <v>970</v>
      </c>
      <c r="O862" s="58" t="s">
        <v>971</v>
      </c>
      <c r="P862" s="58" t="s">
        <v>38</v>
      </c>
      <c r="Q862" s="58" t="s">
        <v>37</v>
      </c>
      <c r="R862" s="58" t="s">
        <v>272</v>
      </c>
    </row>
    <row r="863" spans="1:18" ht="69" customHeight="1">
      <c r="A863" s="168"/>
      <c r="B863" s="178">
        <v>8241</v>
      </c>
      <c r="C863" s="178" t="s">
        <v>309</v>
      </c>
      <c r="D863" s="575" t="s">
        <v>2802</v>
      </c>
      <c r="E863" s="178" t="s">
        <v>2794</v>
      </c>
      <c r="F863" s="210" t="s">
        <v>2803</v>
      </c>
      <c r="G863" s="58" t="s">
        <v>1133</v>
      </c>
      <c r="H863" s="546">
        <v>5800.01</v>
      </c>
      <c r="I863" s="66">
        <v>44921</v>
      </c>
      <c r="J863" s="411" t="s">
        <v>1134</v>
      </c>
      <c r="K863" s="58"/>
      <c r="L863" s="99"/>
      <c r="M863" s="70" t="s">
        <v>2796</v>
      </c>
      <c r="N863" s="97" t="s">
        <v>414</v>
      </c>
      <c r="O863" s="58"/>
      <c r="P863" s="411" t="s">
        <v>24</v>
      </c>
      <c r="Q863" s="58" t="s">
        <v>37</v>
      </c>
      <c r="R863" s="58" t="s">
        <v>265</v>
      </c>
    </row>
    <row r="864" spans="1:18" ht="69" customHeight="1">
      <c r="A864" s="168"/>
      <c r="B864" s="178">
        <v>8242</v>
      </c>
      <c r="C864" s="178" t="s">
        <v>309</v>
      </c>
      <c r="D864" s="575" t="s">
        <v>2804</v>
      </c>
      <c r="E864" s="178" t="s">
        <v>2794</v>
      </c>
      <c r="F864" s="210" t="s">
        <v>2805</v>
      </c>
      <c r="G864" s="58" t="s">
        <v>1133</v>
      </c>
      <c r="H864" s="546">
        <v>34800</v>
      </c>
      <c r="I864" s="66">
        <v>44921</v>
      </c>
      <c r="J864" s="411" t="s">
        <v>1134</v>
      </c>
      <c r="K864" s="58"/>
      <c r="L864" s="99"/>
      <c r="M864" s="70" t="s">
        <v>2796</v>
      </c>
      <c r="N864" s="97" t="s">
        <v>414</v>
      </c>
      <c r="O864" s="58"/>
      <c r="P864" s="58" t="s">
        <v>24</v>
      </c>
      <c r="Q864" s="58" t="s">
        <v>37</v>
      </c>
      <c r="R864" s="58" t="s">
        <v>265</v>
      </c>
    </row>
    <row r="865" spans="1:18" ht="69" customHeight="1">
      <c r="A865" s="168"/>
      <c r="B865" s="191">
        <v>8356</v>
      </c>
      <c r="C865" s="191" t="s">
        <v>309</v>
      </c>
      <c r="D865" s="533" t="s">
        <v>2806</v>
      </c>
      <c r="E865" s="191" t="s">
        <v>2794</v>
      </c>
      <c r="F865" s="211" t="s">
        <v>2807</v>
      </c>
      <c r="G865" s="46" t="s">
        <v>1168</v>
      </c>
      <c r="H865" s="534">
        <v>11239.02</v>
      </c>
      <c r="I865" s="56">
        <v>44923</v>
      </c>
      <c r="J865" s="412" t="s">
        <v>1169</v>
      </c>
      <c r="K865" s="46" t="s">
        <v>167</v>
      </c>
      <c r="L865" s="99"/>
      <c r="M865" s="379"/>
      <c r="N865" s="76" t="s">
        <v>414</v>
      </c>
      <c r="O865" s="46"/>
      <c r="P865" s="46" t="s">
        <v>71</v>
      </c>
      <c r="Q865" s="46" t="s">
        <v>37</v>
      </c>
      <c r="R865" s="46" t="s">
        <v>272</v>
      </c>
    </row>
    <row r="866" spans="1:18" ht="69" customHeight="1">
      <c r="A866" s="168"/>
      <c r="B866" s="178">
        <v>6661</v>
      </c>
      <c r="C866" s="178" t="s">
        <v>309</v>
      </c>
      <c r="D866" s="575" t="s">
        <v>2808</v>
      </c>
      <c r="E866" s="178" t="s">
        <v>921</v>
      </c>
      <c r="F866" s="210" t="s">
        <v>2809</v>
      </c>
      <c r="G866" s="58" t="s">
        <v>2587</v>
      </c>
      <c r="H866" s="546">
        <v>344197.5</v>
      </c>
      <c r="I866" s="66">
        <v>44830</v>
      </c>
      <c r="J866" s="411" t="s">
        <v>2810</v>
      </c>
      <c r="K866" s="58"/>
      <c r="L866" s="99"/>
      <c r="M866" s="70" t="s">
        <v>2695</v>
      </c>
      <c r="N866" s="97" t="s">
        <v>356</v>
      </c>
      <c r="O866" s="58" t="s">
        <v>156</v>
      </c>
      <c r="P866" s="58" t="s">
        <v>19</v>
      </c>
      <c r="Q866" s="58" t="s">
        <v>37</v>
      </c>
      <c r="R866" s="58" t="s">
        <v>272</v>
      </c>
    </row>
    <row r="867" spans="1:18" ht="69" customHeight="1">
      <c r="A867" s="168"/>
      <c r="B867" s="178">
        <v>7306</v>
      </c>
      <c r="C867" s="178" t="s">
        <v>309</v>
      </c>
      <c r="D867" s="575" t="s">
        <v>2811</v>
      </c>
      <c r="E867" s="178" t="s">
        <v>2784</v>
      </c>
      <c r="F867" s="210" t="s">
        <v>2812</v>
      </c>
      <c r="G867" s="58" t="s">
        <v>1041</v>
      </c>
      <c r="H867" s="546">
        <v>17260</v>
      </c>
      <c r="I867" s="66">
        <v>44869</v>
      </c>
      <c r="J867" s="411" t="s">
        <v>1113</v>
      </c>
      <c r="K867" s="58"/>
      <c r="L867" s="99"/>
      <c r="M867" s="70" t="s">
        <v>2786</v>
      </c>
      <c r="N867" s="97" t="s">
        <v>1044</v>
      </c>
      <c r="O867" s="58"/>
      <c r="P867" s="58" t="s">
        <v>26</v>
      </c>
      <c r="Q867" s="58" t="s">
        <v>37</v>
      </c>
      <c r="R867" s="58" t="s">
        <v>272</v>
      </c>
    </row>
    <row r="868" spans="1:18" ht="69" customHeight="1">
      <c r="A868" s="168"/>
      <c r="B868" s="178">
        <v>8563</v>
      </c>
      <c r="C868" s="178" t="s">
        <v>309</v>
      </c>
      <c r="D868" s="575" t="s">
        <v>2813</v>
      </c>
      <c r="E868" s="178" t="s">
        <v>2784</v>
      </c>
      <c r="F868" s="210" t="s">
        <v>2814</v>
      </c>
      <c r="G868" s="58" t="s">
        <v>1877</v>
      </c>
      <c r="H868" s="546">
        <v>4892.8500000000004</v>
      </c>
      <c r="I868" s="66">
        <v>44946</v>
      </c>
      <c r="J868" s="411" t="s">
        <v>1878</v>
      </c>
      <c r="K868" s="58"/>
      <c r="L868" s="99"/>
      <c r="M868" s="70" t="s">
        <v>2786</v>
      </c>
      <c r="N868" s="97" t="s">
        <v>1044</v>
      </c>
      <c r="O868" s="58"/>
      <c r="P868" s="58" t="s">
        <v>26</v>
      </c>
      <c r="Q868" s="58" t="s">
        <v>37</v>
      </c>
      <c r="R868" s="58" t="s">
        <v>272</v>
      </c>
    </row>
    <row r="869" spans="1:18" ht="69" customHeight="1">
      <c r="A869" s="168"/>
      <c r="B869" s="178">
        <v>7086</v>
      </c>
      <c r="C869" s="178" t="s">
        <v>309</v>
      </c>
      <c r="D869" s="575" t="s">
        <v>2815</v>
      </c>
      <c r="E869" s="178" t="s">
        <v>921</v>
      </c>
      <c r="F869" s="210" t="s">
        <v>2816</v>
      </c>
      <c r="G869" s="58" t="s">
        <v>2138</v>
      </c>
      <c r="H869" s="546">
        <v>450000</v>
      </c>
      <c r="I869" s="66">
        <v>44866</v>
      </c>
      <c r="J869" s="411" t="s">
        <v>2139</v>
      </c>
      <c r="K869" s="58"/>
      <c r="L869" s="99"/>
      <c r="M869" s="70" t="s">
        <v>2695</v>
      </c>
      <c r="N869" s="97" t="s">
        <v>356</v>
      </c>
      <c r="O869" s="58" t="s">
        <v>156</v>
      </c>
      <c r="P869" s="58" t="s">
        <v>19</v>
      </c>
      <c r="Q869" s="58" t="s">
        <v>37</v>
      </c>
      <c r="R869" s="58" t="s">
        <v>272</v>
      </c>
    </row>
    <row r="870" spans="1:18" ht="69" customHeight="1">
      <c r="A870" s="168"/>
      <c r="B870" s="178">
        <v>6491</v>
      </c>
      <c r="C870" s="178" t="s">
        <v>309</v>
      </c>
      <c r="D870" s="575" t="s">
        <v>2817</v>
      </c>
      <c r="E870" s="178" t="s">
        <v>979</v>
      </c>
      <c r="F870" s="210" t="s">
        <v>2818</v>
      </c>
      <c r="G870" s="58" t="s">
        <v>352</v>
      </c>
      <c r="H870" s="546">
        <v>253661.96</v>
      </c>
      <c r="I870" s="66">
        <v>44806</v>
      </c>
      <c r="J870" s="411" t="s">
        <v>2819</v>
      </c>
      <c r="K870" s="58"/>
      <c r="L870" s="99"/>
      <c r="M870" s="70" t="s">
        <v>2740</v>
      </c>
      <c r="N870" s="97" t="s">
        <v>356</v>
      </c>
      <c r="O870" s="58" t="s">
        <v>156</v>
      </c>
      <c r="P870" s="58" t="s">
        <v>19</v>
      </c>
      <c r="Q870" s="58" t="s">
        <v>37</v>
      </c>
      <c r="R870" s="58" t="s">
        <v>265</v>
      </c>
    </row>
    <row r="871" spans="1:18" ht="69" customHeight="1">
      <c r="A871" s="168"/>
      <c r="B871" s="178">
        <v>8401</v>
      </c>
      <c r="C871" s="178" t="s">
        <v>309</v>
      </c>
      <c r="D871" s="575" t="s">
        <v>2820</v>
      </c>
      <c r="E871" s="178" t="s">
        <v>2794</v>
      </c>
      <c r="F871" s="210" t="s">
        <v>2821</v>
      </c>
      <c r="G871" s="58" t="s">
        <v>2822</v>
      </c>
      <c r="H871" s="546">
        <v>27768</v>
      </c>
      <c r="I871" s="588" t="s">
        <v>96</v>
      </c>
      <c r="J871" s="411" t="s">
        <v>2823</v>
      </c>
      <c r="K871" s="588"/>
      <c r="L871" s="99"/>
      <c r="M871" s="70" t="s">
        <v>2796</v>
      </c>
      <c r="N871" s="97" t="s">
        <v>414</v>
      </c>
      <c r="O871" s="58"/>
      <c r="P871" s="58" t="s">
        <v>24</v>
      </c>
      <c r="Q871" s="58" t="s">
        <v>37</v>
      </c>
      <c r="R871" s="58" t="s">
        <v>265</v>
      </c>
    </row>
    <row r="872" spans="1:18" ht="69" customHeight="1">
      <c r="A872" s="168"/>
      <c r="B872" s="178">
        <v>8402</v>
      </c>
      <c r="C872" s="178" t="s">
        <v>309</v>
      </c>
      <c r="D872" s="575" t="s">
        <v>2824</v>
      </c>
      <c r="E872" s="178" t="s">
        <v>2794</v>
      </c>
      <c r="F872" s="210" t="s">
        <v>2825</v>
      </c>
      <c r="G872" s="58" t="s">
        <v>2822</v>
      </c>
      <c r="H872" s="546">
        <v>36105</v>
      </c>
      <c r="I872" s="66">
        <v>44923</v>
      </c>
      <c r="J872" s="411" t="s">
        <v>2823</v>
      </c>
      <c r="K872" s="58"/>
      <c r="L872" s="99"/>
      <c r="M872" s="70" t="s">
        <v>2796</v>
      </c>
      <c r="N872" s="97" t="s">
        <v>414</v>
      </c>
      <c r="O872" s="58"/>
      <c r="P872" s="58" t="s">
        <v>24</v>
      </c>
      <c r="Q872" s="58" t="s">
        <v>37</v>
      </c>
      <c r="R872" s="58" t="s">
        <v>265</v>
      </c>
    </row>
    <row r="873" spans="1:18" ht="69" customHeight="1">
      <c r="A873" s="168"/>
      <c r="B873" s="178">
        <v>6461</v>
      </c>
      <c r="C873" s="178" t="s">
        <v>309</v>
      </c>
      <c r="D873" s="575" t="s">
        <v>2826</v>
      </c>
      <c r="E873" s="178" t="s">
        <v>979</v>
      </c>
      <c r="F873" s="210" t="s">
        <v>2827</v>
      </c>
      <c r="G873" s="58" t="s">
        <v>2828</v>
      </c>
      <c r="H873" s="546">
        <v>480366.08000000002</v>
      </c>
      <c r="I873" s="66">
        <v>44804</v>
      </c>
      <c r="J873" s="411" t="s">
        <v>2829</v>
      </c>
      <c r="K873" s="58"/>
      <c r="L873" s="99"/>
      <c r="M873" s="70" t="s">
        <v>2740</v>
      </c>
      <c r="N873" s="97" t="s">
        <v>356</v>
      </c>
      <c r="O873" s="58" t="s">
        <v>156</v>
      </c>
      <c r="P873" s="58" t="s">
        <v>19</v>
      </c>
      <c r="Q873" s="58" t="s">
        <v>37</v>
      </c>
      <c r="R873" s="58" t="s">
        <v>265</v>
      </c>
    </row>
    <row r="874" spans="1:18" ht="69" customHeight="1">
      <c r="A874" s="168"/>
      <c r="B874" s="178">
        <v>6956</v>
      </c>
      <c r="C874" s="178" t="s">
        <v>309</v>
      </c>
      <c r="D874" s="575" t="s">
        <v>1869</v>
      </c>
      <c r="E874" s="178" t="s">
        <v>979</v>
      </c>
      <c r="F874" s="210" t="s">
        <v>1870</v>
      </c>
      <c r="G874" s="58" t="s">
        <v>805</v>
      </c>
      <c r="H874" s="546">
        <v>118060</v>
      </c>
      <c r="I874" s="66">
        <v>44851</v>
      </c>
      <c r="J874" s="411" t="s">
        <v>1871</v>
      </c>
      <c r="K874" s="58"/>
      <c r="L874" s="99"/>
      <c r="M874" s="70" t="s">
        <v>2740</v>
      </c>
      <c r="N874" s="97" t="s">
        <v>356</v>
      </c>
      <c r="O874" s="58" t="s">
        <v>156</v>
      </c>
      <c r="P874" s="58" t="s">
        <v>19</v>
      </c>
      <c r="Q874" s="58" t="s">
        <v>37</v>
      </c>
      <c r="R874" s="58" t="s">
        <v>265</v>
      </c>
    </row>
    <row r="875" spans="1:18" ht="69" customHeight="1">
      <c r="A875" s="168"/>
      <c r="B875" s="178">
        <v>8593</v>
      </c>
      <c r="C875" s="178" t="s">
        <v>309</v>
      </c>
      <c r="D875" s="575" t="s">
        <v>2830</v>
      </c>
      <c r="E875" s="178" t="s">
        <v>2794</v>
      </c>
      <c r="F875" s="210" t="s">
        <v>2831</v>
      </c>
      <c r="G875" s="58" t="s">
        <v>2832</v>
      </c>
      <c r="H875" s="546">
        <v>32710.6</v>
      </c>
      <c r="I875" s="66">
        <v>44942</v>
      </c>
      <c r="J875" s="411" t="s">
        <v>2833</v>
      </c>
      <c r="K875" s="58"/>
      <c r="L875" s="99"/>
      <c r="M875" s="70" t="s">
        <v>2796</v>
      </c>
      <c r="N875" s="97" t="s">
        <v>414</v>
      </c>
      <c r="O875" s="58"/>
      <c r="P875" s="58" t="s">
        <v>24</v>
      </c>
      <c r="Q875" s="58" t="s">
        <v>37</v>
      </c>
      <c r="R875" s="58" t="s">
        <v>265</v>
      </c>
    </row>
    <row r="876" spans="1:18" ht="69" customHeight="1">
      <c r="A876" s="168"/>
      <c r="B876" s="178">
        <v>8594</v>
      </c>
      <c r="C876" s="178" t="s">
        <v>309</v>
      </c>
      <c r="D876" s="575" t="s">
        <v>2834</v>
      </c>
      <c r="E876" s="178" t="s">
        <v>2794</v>
      </c>
      <c r="F876" s="210" t="s">
        <v>2835</v>
      </c>
      <c r="G876" s="58" t="s">
        <v>2832</v>
      </c>
      <c r="H876" s="546">
        <v>18500</v>
      </c>
      <c r="I876" s="66">
        <v>44942</v>
      </c>
      <c r="J876" s="411" t="s">
        <v>2833</v>
      </c>
      <c r="K876" s="58"/>
      <c r="L876" s="99"/>
      <c r="M876" s="70" t="s">
        <v>2796</v>
      </c>
      <c r="N876" s="97" t="s">
        <v>414</v>
      </c>
      <c r="O876" s="58"/>
      <c r="P876" s="58" t="s">
        <v>24</v>
      </c>
      <c r="Q876" s="58" t="s">
        <v>37</v>
      </c>
      <c r="R876" s="58" t="s">
        <v>265</v>
      </c>
    </row>
    <row r="877" spans="1:18" ht="69" customHeight="1">
      <c r="A877" s="168"/>
      <c r="B877" s="191">
        <v>8608</v>
      </c>
      <c r="C877" s="191" t="s">
        <v>309</v>
      </c>
      <c r="D877" s="533" t="s">
        <v>2836</v>
      </c>
      <c r="E877" s="191" t="s">
        <v>1198</v>
      </c>
      <c r="F877" s="211" t="s">
        <v>2837</v>
      </c>
      <c r="G877" s="46" t="s">
        <v>1200</v>
      </c>
      <c r="H877" s="534">
        <v>11239.02</v>
      </c>
      <c r="I877" s="56">
        <v>44946</v>
      </c>
      <c r="J877" s="412" t="s">
        <v>1201</v>
      </c>
      <c r="K877" s="46" t="s">
        <v>167</v>
      </c>
      <c r="L877" s="99"/>
      <c r="M877" s="379"/>
      <c r="N877" s="76" t="s">
        <v>414</v>
      </c>
      <c r="O877" s="46"/>
      <c r="P877" s="46" t="s">
        <v>71</v>
      </c>
      <c r="Q877" s="46" t="s">
        <v>37</v>
      </c>
      <c r="R877" s="46" t="s">
        <v>272</v>
      </c>
    </row>
    <row r="878" spans="1:18" ht="69" customHeight="1">
      <c r="A878" s="168"/>
      <c r="B878" s="178">
        <v>8698</v>
      </c>
      <c r="C878" s="178" t="s">
        <v>309</v>
      </c>
      <c r="D878" s="575" t="s">
        <v>2838</v>
      </c>
      <c r="E878" s="178" t="s">
        <v>2794</v>
      </c>
      <c r="F878" s="210" t="s">
        <v>2839</v>
      </c>
      <c r="G878" s="58" t="s">
        <v>1204</v>
      </c>
      <c r="H878" s="546">
        <v>34800</v>
      </c>
      <c r="I878" s="66">
        <v>44949</v>
      </c>
      <c r="J878" s="411" t="s">
        <v>1205</v>
      </c>
      <c r="K878" s="58"/>
      <c r="L878" s="99"/>
      <c r="M878" s="70" t="s">
        <v>2796</v>
      </c>
      <c r="N878" s="97" t="s">
        <v>414</v>
      </c>
      <c r="O878" s="58"/>
      <c r="P878" s="58" t="s">
        <v>24</v>
      </c>
      <c r="Q878" s="58" t="s">
        <v>37</v>
      </c>
      <c r="R878" s="58" t="s">
        <v>265</v>
      </c>
    </row>
    <row r="879" spans="1:18" ht="69" customHeight="1">
      <c r="A879" s="168"/>
      <c r="B879" s="178">
        <v>8721</v>
      </c>
      <c r="C879" s="178" t="s">
        <v>309</v>
      </c>
      <c r="D879" s="575" t="s">
        <v>2840</v>
      </c>
      <c r="E879" s="178" t="s">
        <v>2841</v>
      </c>
      <c r="F879" s="210" t="s">
        <v>2842</v>
      </c>
      <c r="G879" s="58" t="s">
        <v>2614</v>
      </c>
      <c r="H879" s="546">
        <v>150733.18</v>
      </c>
      <c r="I879" s="66">
        <v>44958</v>
      </c>
      <c r="J879" s="411" t="s">
        <v>2615</v>
      </c>
      <c r="K879" s="58"/>
      <c r="L879" s="99"/>
      <c r="M879" s="70" t="s">
        <v>2786</v>
      </c>
      <c r="N879" s="97" t="s">
        <v>1044</v>
      </c>
      <c r="O879" s="58"/>
      <c r="P879" s="58" t="s">
        <v>26</v>
      </c>
      <c r="Q879" s="58" t="s">
        <v>37</v>
      </c>
      <c r="R879" s="58" t="s">
        <v>272</v>
      </c>
    </row>
    <row r="880" spans="1:18" ht="69" customHeight="1">
      <c r="A880" s="168"/>
      <c r="B880" s="191">
        <v>8785</v>
      </c>
      <c r="C880" s="191" t="s">
        <v>309</v>
      </c>
      <c r="D880" s="533" t="s">
        <v>2843</v>
      </c>
      <c r="E880" s="191" t="s">
        <v>2794</v>
      </c>
      <c r="F880" s="211" t="s">
        <v>2844</v>
      </c>
      <c r="G880" s="46" t="s">
        <v>2845</v>
      </c>
      <c r="H880" s="534">
        <v>28000</v>
      </c>
      <c r="I880" s="56">
        <v>44972</v>
      </c>
      <c r="J880" s="412" t="s">
        <v>2846</v>
      </c>
      <c r="K880" s="46" t="s">
        <v>167</v>
      </c>
      <c r="L880" s="99"/>
      <c r="M880" s="379"/>
      <c r="N880" s="76" t="s">
        <v>414</v>
      </c>
      <c r="O880" s="46"/>
      <c r="P880" s="46" t="s">
        <v>65</v>
      </c>
      <c r="Q880" s="46" t="s">
        <v>37</v>
      </c>
      <c r="R880" s="46" t="s">
        <v>272</v>
      </c>
    </row>
    <row r="881" spans="1:18" ht="69" customHeight="1">
      <c r="A881" s="168"/>
      <c r="B881" s="178">
        <v>8848</v>
      </c>
      <c r="C881" s="178" t="s">
        <v>309</v>
      </c>
      <c r="D881" s="575" t="s">
        <v>2847</v>
      </c>
      <c r="E881" s="178" t="s">
        <v>2794</v>
      </c>
      <c r="F881" s="210" t="s">
        <v>2848</v>
      </c>
      <c r="G881" s="58" t="s">
        <v>2618</v>
      </c>
      <c r="H881" s="546">
        <v>31250</v>
      </c>
      <c r="I881" s="66">
        <v>44948</v>
      </c>
      <c r="J881" s="411" t="s">
        <v>2619</v>
      </c>
      <c r="K881" s="58"/>
      <c r="L881" s="99"/>
      <c r="M881" s="70" t="s">
        <v>2796</v>
      </c>
      <c r="N881" s="97" t="s">
        <v>414</v>
      </c>
      <c r="O881" s="58"/>
      <c r="P881" s="58" t="s">
        <v>24</v>
      </c>
      <c r="Q881" s="58" t="s">
        <v>37</v>
      </c>
      <c r="R881" s="58" t="s">
        <v>265</v>
      </c>
    </row>
    <row r="882" spans="1:18" ht="69" customHeight="1">
      <c r="A882" s="168"/>
      <c r="B882" s="178">
        <v>8849</v>
      </c>
      <c r="C882" s="178" t="s">
        <v>309</v>
      </c>
      <c r="D882" s="575" t="s">
        <v>2849</v>
      </c>
      <c r="E882" s="178" t="s">
        <v>2794</v>
      </c>
      <c r="F882" s="210" t="s">
        <v>2850</v>
      </c>
      <c r="G882" s="58" t="s">
        <v>2851</v>
      </c>
      <c r="H882" s="546">
        <v>132818.47</v>
      </c>
      <c r="I882" s="66">
        <v>44948</v>
      </c>
      <c r="J882" s="411" t="s">
        <v>2619</v>
      </c>
      <c r="K882" s="58"/>
      <c r="L882" s="99"/>
      <c r="M882" s="70" t="s">
        <v>2796</v>
      </c>
      <c r="N882" s="97" t="s">
        <v>414</v>
      </c>
      <c r="O882" s="58"/>
      <c r="P882" s="58" t="s">
        <v>24</v>
      </c>
      <c r="Q882" s="58" t="s">
        <v>37</v>
      </c>
      <c r="R882" s="58" t="s">
        <v>265</v>
      </c>
    </row>
    <row r="883" spans="1:18" ht="69" customHeight="1">
      <c r="A883" s="168"/>
      <c r="B883" s="191">
        <v>8938</v>
      </c>
      <c r="C883" s="191" t="s">
        <v>309</v>
      </c>
      <c r="D883" s="533" t="s">
        <v>2852</v>
      </c>
      <c r="E883" s="191" t="s">
        <v>2794</v>
      </c>
      <c r="F883" s="211" t="s">
        <v>2853</v>
      </c>
      <c r="G883" s="46" t="s">
        <v>1216</v>
      </c>
      <c r="H883" s="534">
        <v>11239.02</v>
      </c>
      <c r="I883" s="56">
        <v>44986</v>
      </c>
      <c r="J883" s="412" t="s">
        <v>1217</v>
      </c>
      <c r="K883" s="46" t="s">
        <v>167</v>
      </c>
      <c r="L883" s="99"/>
      <c r="M883" s="379"/>
      <c r="N883" s="76" t="s">
        <v>414</v>
      </c>
      <c r="O883" s="46"/>
      <c r="P883" s="46" t="s">
        <v>71</v>
      </c>
      <c r="Q883" s="46" t="s">
        <v>37</v>
      </c>
      <c r="R883" s="46" t="s">
        <v>272</v>
      </c>
    </row>
    <row r="884" spans="1:18" ht="69" customHeight="1">
      <c r="A884" s="168"/>
      <c r="B884" s="178">
        <v>8201</v>
      </c>
      <c r="C884" s="178" t="s">
        <v>309</v>
      </c>
      <c r="D884" s="575" t="s">
        <v>2854</v>
      </c>
      <c r="E884" s="178" t="s">
        <v>2291</v>
      </c>
      <c r="F884" s="210" t="s">
        <v>2855</v>
      </c>
      <c r="G884" s="58" t="s">
        <v>1223</v>
      </c>
      <c r="H884" s="546">
        <v>57536.639999999999</v>
      </c>
      <c r="I884" s="66">
        <v>44921</v>
      </c>
      <c r="J884" s="411" t="s">
        <v>1224</v>
      </c>
      <c r="K884" s="58"/>
      <c r="L884" s="99"/>
      <c r="M884" s="70" t="s">
        <v>2772</v>
      </c>
      <c r="N884" s="97" t="s">
        <v>414</v>
      </c>
      <c r="O884" s="58"/>
      <c r="P884" s="58" t="s">
        <v>24</v>
      </c>
      <c r="Q884" s="58" t="s">
        <v>37</v>
      </c>
      <c r="R884" s="58" t="s">
        <v>272</v>
      </c>
    </row>
    <row r="885" spans="1:18" ht="69" customHeight="1">
      <c r="A885" s="168"/>
      <c r="B885" s="178">
        <v>8212</v>
      </c>
      <c r="C885" s="178" t="s">
        <v>309</v>
      </c>
      <c r="D885" s="575" t="s">
        <v>2856</v>
      </c>
      <c r="E885" s="178" t="s">
        <v>2291</v>
      </c>
      <c r="F885" s="210" t="s">
        <v>2857</v>
      </c>
      <c r="G885" s="58" t="s">
        <v>1223</v>
      </c>
      <c r="H885" s="546">
        <v>182554.08</v>
      </c>
      <c r="I885" s="66">
        <v>44921</v>
      </c>
      <c r="J885" s="411" t="s">
        <v>1224</v>
      </c>
      <c r="K885" s="58"/>
      <c r="L885" s="99"/>
      <c r="M885" s="70" t="s">
        <v>2772</v>
      </c>
      <c r="N885" s="97" t="s">
        <v>414</v>
      </c>
      <c r="O885" s="58"/>
      <c r="P885" s="58" t="s">
        <v>24</v>
      </c>
      <c r="Q885" s="58" t="s">
        <v>37</v>
      </c>
      <c r="R885" s="58" t="s">
        <v>272</v>
      </c>
    </row>
    <row r="886" spans="1:18" ht="69" customHeight="1">
      <c r="A886" s="168"/>
      <c r="B886" s="178">
        <v>8807</v>
      </c>
      <c r="C886" s="178" t="s">
        <v>309</v>
      </c>
      <c r="D886" s="575" t="s">
        <v>2858</v>
      </c>
      <c r="E886" s="178" t="s">
        <v>2291</v>
      </c>
      <c r="F886" s="210" t="s">
        <v>2859</v>
      </c>
      <c r="G886" s="58" t="s">
        <v>2860</v>
      </c>
      <c r="H886" s="546">
        <v>93392</v>
      </c>
      <c r="I886" s="66">
        <v>44953</v>
      </c>
      <c r="J886" s="411" t="s">
        <v>1130</v>
      </c>
      <c r="K886" s="58"/>
      <c r="L886" s="99"/>
      <c r="M886" s="70" t="s">
        <v>2772</v>
      </c>
      <c r="N886" s="97" t="s">
        <v>414</v>
      </c>
      <c r="O886" s="58"/>
      <c r="P886" s="58" t="s">
        <v>24</v>
      </c>
      <c r="Q886" s="58" t="s">
        <v>37</v>
      </c>
      <c r="R886" s="58" t="s">
        <v>272</v>
      </c>
    </row>
    <row r="887" spans="1:18" ht="69" customHeight="1">
      <c r="A887" s="168"/>
      <c r="B887" s="178">
        <v>9049</v>
      </c>
      <c r="C887" s="178" t="s">
        <v>309</v>
      </c>
      <c r="D887" s="575" t="s">
        <v>2861</v>
      </c>
      <c r="E887" s="178" t="s">
        <v>2291</v>
      </c>
      <c r="F887" s="210" t="s">
        <v>2862</v>
      </c>
      <c r="G887" s="58" t="s">
        <v>2863</v>
      </c>
      <c r="H887" s="546">
        <v>139621.04</v>
      </c>
      <c r="I887" s="66">
        <v>45001</v>
      </c>
      <c r="J887" s="411" t="s">
        <v>1165</v>
      </c>
      <c r="K887" s="58"/>
      <c r="L887" s="99"/>
      <c r="M887" s="70" t="s">
        <v>2772</v>
      </c>
      <c r="N887" s="97" t="s">
        <v>414</v>
      </c>
      <c r="O887" s="58"/>
      <c r="P887" s="58" t="s">
        <v>24</v>
      </c>
      <c r="Q887" s="58" t="s">
        <v>37</v>
      </c>
      <c r="R887" s="58" t="s">
        <v>272</v>
      </c>
    </row>
    <row r="888" spans="1:18" ht="69" customHeight="1">
      <c r="A888" s="168"/>
      <c r="B888" s="178">
        <v>9028</v>
      </c>
      <c r="C888" s="178" t="s">
        <v>309</v>
      </c>
      <c r="D888" s="575" t="s">
        <v>2864</v>
      </c>
      <c r="E888" s="178" t="s">
        <v>2841</v>
      </c>
      <c r="F888" s="210" t="s">
        <v>2865</v>
      </c>
      <c r="G888" s="58" t="s">
        <v>1231</v>
      </c>
      <c r="H888" s="546">
        <v>64599.93</v>
      </c>
      <c r="I888" s="66">
        <v>45000</v>
      </c>
      <c r="J888" s="411" t="s">
        <v>1232</v>
      </c>
      <c r="K888" s="58"/>
      <c r="L888" s="99"/>
      <c r="M888" s="70" t="s">
        <v>2786</v>
      </c>
      <c r="N888" s="97" t="s">
        <v>1044</v>
      </c>
      <c r="O888" s="58"/>
      <c r="P888" s="58" t="s">
        <v>26</v>
      </c>
      <c r="Q888" s="58" t="s">
        <v>37</v>
      </c>
      <c r="R888" s="58" t="s">
        <v>272</v>
      </c>
    </row>
    <row r="889" spans="1:18" ht="69" customHeight="1">
      <c r="A889" s="168"/>
      <c r="B889" s="178">
        <v>9033</v>
      </c>
      <c r="C889" s="178" t="s">
        <v>309</v>
      </c>
      <c r="D889" s="575" t="s">
        <v>2866</v>
      </c>
      <c r="E889" s="178" t="s">
        <v>921</v>
      </c>
      <c r="F889" s="210" t="s">
        <v>2867</v>
      </c>
      <c r="G889" s="58" t="s">
        <v>2645</v>
      </c>
      <c r="H889" s="546">
        <v>90360.71</v>
      </c>
      <c r="I889" s="66">
        <v>45000</v>
      </c>
      <c r="J889" s="411" t="s">
        <v>1232</v>
      </c>
      <c r="K889" s="58"/>
      <c r="L889" s="99"/>
      <c r="M889" s="70" t="s">
        <v>2695</v>
      </c>
      <c r="N889" s="97" t="s">
        <v>356</v>
      </c>
      <c r="O889" s="58" t="s">
        <v>156</v>
      </c>
      <c r="P889" s="58" t="s">
        <v>19</v>
      </c>
      <c r="Q889" s="58" t="s">
        <v>37</v>
      </c>
      <c r="R889" s="58" t="s">
        <v>272</v>
      </c>
    </row>
    <row r="890" spans="1:18" ht="69" customHeight="1">
      <c r="A890" s="168"/>
      <c r="B890" s="191">
        <v>9104</v>
      </c>
      <c r="C890" s="191" t="s">
        <v>309</v>
      </c>
      <c r="D890" s="533" t="s">
        <v>2868</v>
      </c>
      <c r="E890" s="191" t="s">
        <v>1234</v>
      </c>
      <c r="F890" s="211" t="s">
        <v>2869</v>
      </c>
      <c r="G890" s="46" t="s">
        <v>1236</v>
      </c>
      <c r="H890" s="534">
        <v>4986.4799999999996</v>
      </c>
      <c r="I890" s="56">
        <v>45002</v>
      </c>
      <c r="J890" s="412" t="s">
        <v>2870</v>
      </c>
      <c r="K890" s="46" t="s">
        <v>167</v>
      </c>
      <c r="L890" s="99"/>
      <c r="M890" s="379"/>
      <c r="N890" s="76" t="s">
        <v>414</v>
      </c>
      <c r="O890" s="46"/>
      <c r="P890" s="46" t="s">
        <v>65</v>
      </c>
      <c r="Q890" s="46" t="s">
        <v>37</v>
      </c>
      <c r="R890" s="46" t="s">
        <v>272</v>
      </c>
    </row>
    <row r="891" spans="1:18" ht="69" customHeight="1">
      <c r="A891" s="168"/>
      <c r="B891" s="178">
        <v>9330</v>
      </c>
      <c r="C891" s="178" t="s">
        <v>309</v>
      </c>
      <c r="D891" s="575" t="s">
        <v>2871</v>
      </c>
      <c r="E891" s="178" t="s">
        <v>2794</v>
      </c>
      <c r="F891" s="210" t="s">
        <v>2872</v>
      </c>
      <c r="G891" s="58" t="s">
        <v>2873</v>
      </c>
      <c r="H891" s="546">
        <v>68960.42</v>
      </c>
      <c r="I891" s="66">
        <v>45009</v>
      </c>
      <c r="J891" s="411" t="s">
        <v>2874</v>
      </c>
      <c r="K891" s="58"/>
      <c r="L891" s="99"/>
      <c r="M891" s="70" t="s">
        <v>2796</v>
      </c>
      <c r="N891" s="97" t="s">
        <v>414</v>
      </c>
      <c r="O891" s="58"/>
      <c r="P891" s="58" t="s">
        <v>24</v>
      </c>
      <c r="Q891" s="58" t="s">
        <v>37</v>
      </c>
      <c r="R891" s="58" t="s">
        <v>265</v>
      </c>
    </row>
    <row r="892" spans="1:18" ht="69" customHeight="1">
      <c r="A892" s="168"/>
      <c r="B892" s="178">
        <v>9332</v>
      </c>
      <c r="C892" s="178" t="s">
        <v>309</v>
      </c>
      <c r="D892" s="575" t="s">
        <v>2875</v>
      </c>
      <c r="E892" s="178" t="s">
        <v>2794</v>
      </c>
      <c r="F892" s="210" t="s">
        <v>2876</v>
      </c>
      <c r="G892" s="58" t="s">
        <v>2877</v>
      </c>
      <c r="H892" s="546">
        <v>28000</v>
      </c>
      <c r="I892" s="66">
        <v>45007</v>
      </c>
      <c r="J892" s="411" t="s">
        <v>2878</v>
      </c>
      <c r="K892" s="58"/>
      <c r="L892" s="99"/>
      <c r="M892" s="70" t="s">
        <v>2796</v>
      </c>
      <c r="N892" s="97" t="s">
        <v>414</v>
      </c>
      <c r="O892" s="58"/>
      <c r="P892" s="58" t="s">
        <v>24</v>
      </c>
      <c r="Q892" s="58" t="s">
        <v>37</v>
      </c>
      <c r="R892" s="58" t="s">
        <v>265</v>
      </c>
    </row>
    <row r="893" spans="1:18" ht="69" customHeight="1">
      <c r="A893" s="168"/>
      <c r="B893" s="178">
        <v>9417</v>
      </c>
      <c r="C893" s="178" t="s">
        <v>309</v>
      </c>
      <c r="D893" s="575" t="s">
        <v>2879</v>
      </c>
      <c r="E893" s="178" t="s">
        <v>2794</v>
      </c>
      <c r="F893" s="210" t="s">
        <v>2880</v>
      </c>
      <c r="G893" s="58" t="s">
        <v>1241</v>
      </c>
      <c r="H893" s="546">
        <v>34800</v>
      </c>
      <c r="I893" s="66">
        <v>45012</v>
      </c>
      <c r="J893" s="411" t="s">
        <v>1242</v>
      </c>
      <c r="K893" s="58"/>
      <c r="L893" s="99"/>
      <c r="M893" s="70" t="s">
        <v>2796</v>
      </c>
      <c r="N893" s="97" t="s">
        <v>414</v>
      </c>
      <c r="O893" s="58"/>
      <c r="P893" s="58" t="s">
        <v>24</v>
      </c>
      <c r="Q893" s="58" t="s">
        <v>37</v>
      </c>
      <c r="R893" s="58" t="s">
        <v>265</v>
      </c>
    </row>
    <row r="894" spans="1:18" ht="69" customHeight="1">
      <c r="A894" s="168"/>
      <c r="B894" s="178">
        <v>9428</v>
      </c>
      <c r="C894" s="178" t="s">
        <v>309</v>
      </c>
      <c r="D894" s="575" t="s">
        <v>2881</v>
      </c>
      <c r="E894" s="178" t="s">
        <v>2794</v>
      </c>
      <c r="F894" s="210" t="s">
        <v>2882</v>
      </c>
      <c r="G894" s="58" t="s">
        <v>1241</v>
      </c>
      <c r="H894" s="546">
        <v>37142.04</v>
      </c>
      <c r="I894" s="66">
        <v>45012</v>
      </c>
      <c r="J894" s="411" t="s">
        <v>1931</v>
      </c>
      <c r="K894" s="58"/>
      <c r="L894" s="99"/>
      <c r="M894" s="70" t="s">
        <v>2796</v>
      </c>
      <c r="N894" s="97" t="s">
        <v>414</v>
      </c>
      <c r="O894" s="58"/>
      <c r="P894" s="58" t="s">
        <v>24</v>
      </c>
      <c r="Q894" s="58" t="s">
        <v>37</v>
      </c>
      <c r="R894" s="58" t="s">
        <v>265</v>
      </c>
    </row>
    <row r="895" spans="1:18" ht="69" customHeight="1">
      <c r="A895" s="168"/>
      <c r="B895" s="178">
        <v>9429</v>
      </c>
      <c r="C895" s="178" t="s">
        <v>309</v>
      </c>
      <c r="D895" s="575" t="s">
        <v>2883</v>
      </c>
      <c r="E895" s="178" t="s">
        <v>2794</v>
      </c>
      <c r="F895" s="210" t="s">
        <v>2884</v>
      </c>
      <c r="G895" s="58" t="s">
        <v>1241</v>
      </c>
      <c r="H895" s="546">
        <v>2342.04</v>
      </c>
      <c r="I895" s="66">
        <v>45012</v>
      </c>
      <c r="J895" s="411" t="s">
        <v>1931</v>
      </c>
      <c r="K895" s="58"/>
      <c r="L895" s="99"/>
      <c r="M895" s="70" t="s">
        <v>2796</v>
      </c>
      <c r="N895" s="97" t="s">
        <v>414</v>
      </c>
      <c r="O895" s="58"/>
      <c r="P895" s="58" t="s">
        <v>24</v>
      </c>
      <c r="Q895" s="58" t="s">
        <v>37</v>
      </c>
      <c r="R895" s="58" t="s">
        <v>265</v>
      </c>
    </row>
    <row r="896" spans="1:18" ht="69" customHeight="1">
      <c r="A896" s="168"/>
      <c r="B896" s="178">
        <v>9430</v>
      </c>
      <c r="C896" s="178" t="s">
        <v>309</v>
      </c>
      <c r="D896" s="575" t="s">
        <v>2885</v>
      </c>
      <c r="E896" s="178" t="s">
        <v>2794</v>
      </c>
      <c r="F896" s="210" t="s">
        <v>2886</v>
      </c>
      <c r="G896" s="58" t="s">
        <v>1241</v>
      </c>
      <c r="H896" s="546">
        <v>2342.0500000000002</v>
      </c>
      <c r="I896" s="66">
        <v>45012</v>
      </c>
      <c r="J896" s="411" t="s">
        <v>1931</v>
      </c>
      <c r="K896" s="58"/>
      <c r="L896" s="99"/>
      <c r="M896" s="70" t="s">
        <v>2796</v>
      </c>
      <c r="N896" s="97" t="s">
        <v>414</v>
      </c>
      <c r="O896" s="58"/>
      <c r="P896" s="58" t="s">
        <v>24</v>
      </c>
      <c r="Q896" s="58" t="s">
        <v>37</v>
      </c>
      <c r="R896" s="58" t="s">
        <v>265</v>
      </c>
    </row>
    <row r="897" spans="1:18" ht="69" customHeight="1">
      <c r="A897" s="168"/>
      <c r="B897" s="178">
        <v>9676</v>
      </c>
      <c r="C897" s="178" t="s">
        <v>309</v>
      </c>
      <c r="D897" s="575" t="s">
        <v>2887</v>
      </c>
      <c r="E897" s="178" t="s">
        <v>2291</v>
      </c>
      <c r="F897" s="210" t="s">
        <v>2888</v>
      </c>
      <c r="G897" s="58" t="s">
        <v>2889</v>
      </c>
      <c r="H897" s="546">
        <v>23348</v>
      </c>
      <c r="I897" s="66">
        <v>45016</v>
      </c>
      <c r="J897" s="411" t="s">
        <v>2890</v>
      </c>
      <c r="K897" s="58"/>
      <c r="L897" s="99"/>
      <c r="M897" s="70" t="s">
        <v>2772</v>
      </c>
      <c r="N897" s="97" t="s">
        <v>414</v>
      </c>
      <c r="O897" s="58"/>
      <c r="P897" s="58" t="s">
        <v>24</v>
      </c>
      <c r="Q897" s="58" t="s">
        <v>37</v>
      </c>
      <c r="R897" s="58" t="s">
        <v>272</v>
      </c>
    </row>
    <row r="898" spans="1:18" ht="69" customHeight="1">
      <c r="A898" s="168"/>
      <c r="B898" s="191">
        <v>9939</v>
      </c>
      <c r="C898" s="191" t="s">
        <v>309</v>
      </c>
      <c r="D898" s="533"/>
      <c r="E898" s="191" t="s">
        <v>2794</v>
      </c>
      <c r="F898" s="211" t="s">
        <v>2891</v>
      </c>
      <c r="G898" s="46" t="s">
        <v>1251</v>
      </c>
      <c r="H898" s="534">
        <v>2900</v>
      </c>
      <c r="I898" s="56">
        <v>45061</v>
      </c>
      <c r="J898" s="412" t="s">
        <v>1956</v>
      </c>
      <c r="K898" s="46" t="s">
        <v>2892</v>
      </c>
      <c r="L898" s="99"/>
      <c r="M898" s="379"/>
      <c r="N898" s="76" t="s">
        <v>414</v>
      </c>
      <c r="O898" s="46"/>
      <c r="P898" s="46" t="s">
        <v>65</v>
      </c>
      <c r="Q898" s="46" t="s">
        <v>37</v>
      </c>
      <c r="R898" s="46" t="s">
        <v>272</v>
      </c>
    </row>
    <row r="899" spans="1:18" ht="69" customHeight="1">
      <c r="A899" s="168"/>
      <c r="B899" s="178">
        <v>1972</v>
      </c>
      <c r="C899" s="178" t="s">
        <v>259</v>
      </c>
      <c r="D899" s="575" t="s">
        <v>96</v>
      </c>
      <c r="E899" s="178" t="s">
        <v>260</v>
      </c>
      <c r="F899" s="210" t="s">
        <v>2893</v>
      </c>
      <c r="G899" s="575" t="s">
        <v>96</v>
      </c>
      <c r="H899" s="546">
        <v>36500</v>
      </c>
      <c r="I899" s="66">
        <v>44425</v>
      </c>
      <c r="J899" s="411" t="s">
        <v>2894</v>
      </c>
      <c r="K899" s="58" t="s">
        <v>2895</v>
      </c>
      <c r="L899" s="99"/>
      <c r="M899" s="70" t="s">
        <v>2896</v>
      </c>
      <c r="N899" s="97" t="s">
        <v>264</v>
      </c>
      <c r="O899" s="58" t="s">
        <v>141</v>
      </c>
      <c r="P899" s="58" t="s">
        <v>17</v>
      </c>
      <c r="Q899" s="58" t="s">
        <v>39</v>
      </c>
      <c r="R899" s="58" t="s">
        <v>265</v>
      </c>
    </row>
    <row r="900" spans="1:18" ht="69" customHeight="1">
      <c r="A900" s="168"/>
      <c r="B900" s="178">
        <v>2055</v>
      </c>
      <c r="C900" s="178" t="s">
        <v>259</v>
      </c>
      <c r="D900" s="575" t="s">
        <v>96</v>
      </c>
      <c r="E900" s="178" t="s">
        <v>266</v>
      </c>
      <c r="F900" s="210" t="s">
        <v>2897</v>
      </c>
      <c r="G900" s="575" t="s">
        <v>96</v>
      </c>
      <c r="H900" s="546">
        <v>1632.75</v>
      </c>
      <c r="I900" s="66">
        <v>44438</v>
      </c>
      <c r="J900" s="411" t="s">
        <v>268</v>
      </c>
      <c r="K900" s="58"/>
      <c r="L900" s="99"/>
      <c r="M900" s="70" t="s">
        <v>2898</v>
      </c>
      <c r="N900" s="97" t="s">
        <v>270</v>
      </c>
      <c r="O900" s="58"/>
      <c r="P900" s="58" t="s">
        <v>44</v>
      </c>
      <c r="Q900" s="58" t="s">
        <v>39</v>
      </c>
      <c r="R900" s="58" t="s">
        <v>272</v>
      </c>
    </row>
    <row r="901" spans="1:18" ht="69" customHeight="1">
      <c r="A901" s="168"/>
      <c r="B901" s="178">
        <v>2070</v>
      </c>
      <c r="C901" s="178" t="s">
        <v>259</v>
      </c>
      <c r="D901" s="575" t="s">
        <v>96</v>
      </c>
      <c r="E901" s="178" t="s">
        <v>266</v>
      </c>
      <c r="F901" s="210" t="s">
        <v>2899</v>
      </c>
      <c r="G901" s="575" t="s">
        <v>96</v>
      </c>
      <c r="H901" s="546">
        <v>11551.75</v>
      </c>
      <c r="I901" s="66">
        <v>44438</v>
      </c>
      <c r="J901" s="411" t="s">
        <v>268</v>
      </c>
      <c r="K901" s="58"/>
      <c r="L901" s="99"/>
      <c r="M901" s="70" t="s">
        <v>2898</v>
      </c>
      <c r="N901" s="97" t="s">
        <v>270</v>
      </c>
      <c r="O901" s="58"/>
      <c r="P901" s="58" t="s">
        <v>44</v>
      </c>
      <c r="Q901" s="58" t="s">
        <v>39</v>
      </c>
      <c r="R901" s="58" t="s">
        <v>272</v>
      </c>
    </row>
    <row r="902" spans="1:18" ht="69" customHeight="1">
      <c r="A902" s="168"/>
      <c r="B902" s="178">
        <v>2153</v>
      </c>
      <c r="C902" s="178" t="s">
        <v>309</v>
      </c>
      <c r="D902" s="575" t="s">
        <v>2900</v>
      </c>
      <c r="E902" s="178" t="s">
        <v>266</v>
      </c>
      <c r="F902" s="210" t="s">
        <v>2901</v>
      </c>
      <c r="G902" s="58"/>
      <c r="H902" s="546">
        <v>1750.59</v>
      </c>
      <c r="I902" s="66">
        <v>44455</v>
      </c>
      <c r="J902" s="411" t="s">
        <v>2902</v>
      </c>
      <c r="K902" s="58"/>
      <c r="L902" s="99"/>
      <c r="M902" s="70" t="s">
        <v>2898</v>
      </c>
      <c r="N902" s="97" t="s">
        <v>270</v>
      </c>
      <c r="O902" s="58"/>
      <c r="P902" s="58" t="s">
        <v>44</v>
      </c>
      <c r="Q902" s="58" t="s">
        <v>39</v>
      </c>
      <c r="R902" s="58" t="s">
        <v>272</v>
      </c>
    </row>
    <row r="903" spans="1:18" ht="69" customHeight="1">
      <c r="A903" s="168"/>
      <c r="B903" s="178">
        <v>2111</v>
      </c>
      <c r="C903" s="178" t="s">
        <v>259</v>
      </c>
      <c r="D903" s="575"/>
      <c r="E903" s="178" t="s">
        <v>266</v>
      </c>
      <c r="F903" s="210" t="s">
        <v>2903</v>
      </c>
      <c r="G903" s="58"/>
      <c r="H903" s="546">
        <v>1306.2</v>
      </c>
      <c r="I903" s="66">
        <v>44455</v>
      </c>
      <c r="J903" s="411" t="s">
        <v>281</v>
      </c>
      <c r="K903" s="58"/>
      <c r="L903" s="99"/>
      <c r="M903" s="70" t="s">
        <v>2898</v>
      </c>
      <c r="N903" s="97" t="s">
        <v>270</v>
      </c>
      <c r="O903" s="58"/>
      <c r="P903" s="58" t="s">
        <v>44</v>
      </c>
      <c r="Q903" s="58" t="s">
        <v>39</v>
      </c>
      <c r="R903" s="58" t="s">
        <v>272</v>
      </c>
    </row>
    <row r="904" spans="1:18" ht="69" customHeight="1">
      <c r="A904" s="168"/>
      <c r="B904" s="178">
        <v>2365</v>
      </c>
      <c r="C904" s="178" t="s">
        <v>309</v>
      </c>
      <c r="D904" s="575" t="s">
        <v>2904</v>
      </c>
      <c r="E904" s="178" t="s">
        <v>266</v>
      </c>
      <c r="F904" s="210" t="s">
        <v>2905</v>
      </c>
      <c r="G904" s="58"/>
      <c r="H904" s="546">
        <v>5220</v>
      </c>
      <c r="I904" s="66">
        <v>44494</v>
      </c>
      <c r="J904" s="411" t="s">
        <v>2906</v>
      </c>
      <c r="K904" s="58"/>
      <c r="L904" s="99"/>
      <c r="M904" s="70" t="s">
        <v>2898</v>
      </c>
      <c r="N904" s="97" t="s">
        <v>270</v>
      </c>
      <c r="O904" s="58"/>
      <c r="P904" s="58" t="s">
        <v>44</v>
      </c>
      <c r="Q904" s="58" t="s">
        <v>39</v>
      </c>
      <c r="R904" s="58" t="s">
        <v>272</v>
      </c>
    </row>
    <row r="905" spans="1:18" ht="69" customHeight="1">
      <c r="A905" s="168"/>
      <c r="B905" s="178">
        <v>2378</v>
      </c>
      <c r="C905" s="178" t="s">
        <v>259</v>
      </c>
      <c r="D905" s="575" t="s">
        <v>2907</v>
      </c>
      <c r="E905" s="178" t="s">
        <v>283</v>
      </c>
      <c r="F905" s="210" t="s">
        <v>2908</v>
      </c>
      <c r="G905" s="58"/>
      <c r="H905" s="546">
        <v>17500</v>
      </c>
      <c r="I905" s="66">
        <v>44531</v>
      </c>
      <c r="J905" s="411" t="s">
        <v>2909</v>
      </c>
      <c r="K905" s="58" t="s">
        <v>2895</v>
      </c>
      <c r="L905" s="99"/>
      <c r="M905" s="70" t="s">
        <v>2910</v>
      </c>
      <c r="N905" s="97" t="s">
        <v>264</v>
      </c>
      <c r="O905" s="58" t="s">
        <v>141</v>
      </c>
      <c r="P905" s="58" t="s">
        <v>17</v>
      </c>
      <c r="Q905" s="58" t="s">
        <v>39</v>
      </c>
      <c r="R905" s="58" t="s">
        <v>272</v>
      </c>
    </row>
    <row r="906" spans="1:18" ht="69" customHeight="1">
      <c r="A906" s="168"/>
      <c r="B906" s="178">
        <v>2448</v>
      </c>
      <c r="C906" s="178" t="s">
        <v>309</v>
      </c>
      <c r="D906" s="575" t="s">
        <v>2911</v>
      </c>
      <c r="E906" s="178" t="s">
        <v>260</v>
      </c>
      <c r="F906" s="210" t="s">
        <v>2912</v>
      </c>
      <c r="G906" s="58" t="s">
        <v>2913</v>
      </c>
      <c r="H906" s="546">
        <v>13327.38</v>
      </c>
      <c r="I906" s="66">
        <v>44510</v>
      </c>
      <c r="J906" s="411" t="s">
        <v>2914</v>
      </c>
      <c r="K906" s="58" t="s">
        <v>2895</v>
      </c>
      <c r="L906" s="99"/>
      <c r="M906" s="70" t="s">
        <v>2896</v>
      </c>
      <c r="N906" s="97" t="s">
        <v>264</v>
      </c>
      <c r="O906" s="58" t="s">
        <v>141</v>
      </c>
      <c r="P906" s="58" t="s">
        <v>17</v>
      </c>
      <c r="Q906" s="58" t="s">
        <v>39</v>
      </c>
      <c r="R906" s="58" t="s">
        <v>265</v>
      </c>
    </row>
    <row r="907" spans="1:18" ht="69" customHeight="1">
      <c r="A907" s="168"/>
      <c r="B907" s="178">
        <v>2657</v>
      </c>
      <c r="C907" s="178" t="s">
        <v>259</v>
      </c>
      <c r="D907" s="575"/>
      <c r="E907" s="178" t="s">
        <v>1367</v>
      </c>
      <c r="F907" s="210" t="s">
        <v>2915</v>
      </c>
      <c r="G907" s="58"/>
      <c r="H907" s="546">
        <v>326.55</v>
      </c>
      <c r="I907" s="66">
        <v>44551</v>
      </c>
      <c r="J907" s="411" t="s">
        <v>2916</v>
      </c>
      <c r="K907" s="58"/>
      <c r="L907" s="99"/>
      <c r="M907" s="70" t="s">
        <v>2898</v>
      </c>
      <c r="N907" s="97" t="s">
        <v>270</v>
      </c>
      <c r="O907" s="58"/>
      <c r="P907" s="58" t="s">
        <v>44</v>
      </c>
      <c r="Q907" s="58" t="s">
        <v>39</v>
      </c>
      <c r="R907" s="58" t="s">
        <v>272</v>
      </c>
    </row>
    <row r="908" spans="1:18" ht="69" customHeight="1">
      <c r="A908" s="168"/>
      <c r="B908" s="178">
        <v>2813</v>
      </c>
      <c r="C908" s="178" t="s">
        <v>309</v>
      </c>
      <c r="D908" s="575" t="s">
        <v>2917</v>
      </c>
      <c r="E908" s="178" t="s">
        <v>260</v>
      </c>
      <c r="F908" s="210" t="s">
        <v>2918</v>
      </c>
      <c r="G908" s="58" t="s">
        <v>2919</v>
      </c>
      <c r="H908" s="546">
        <v>6393</v>
      </c>
      <c r="I908" s="66">
        <v>44578</v>
      </c>
      <c r="J908" s="411" t="s">
        <v>2920</v>
      </c>
      <c r="K908" s="58" t="s">
        <v>2895</v>
      </c>
      <c r="L908" s="99"/>
      <c r="M908" s="70" t="s">
        <v>2896</v>
      </c>
      <c r="N908" s="97" t="s">
        <v>264</v>
      </c>
      <c r="O908" s="58" t="s">
        <v>141</v>
      </c>
      <c r="P908" s="58" t="s">
        <v>17</v>
      </c>
      <c r="Q908" s="58" t="s">
        <v>39</v>
      </c>
      <c r="R908" s="58" t="s">
        <v>265</v>
      </c>
    </row>
    <row r="909" spans="1:18" ht="69" customHeight="1">
      <c r="A909" s="168"/>
      <c r="B909" s="178">
        <v>2865</v>
      </c>
      <c r="C909" s="178" t="s">
        <v>309</v>
      </c>
      <c r="D909" s="575" t="s">
        <v>2921</v>
      </c>
      <c r="E909" s="178" t="s">
        <v>266</v>
      </c>
      <c r="F909" s="210" t="s">
        <v>2922</v>
      </c>
      <c r="G909" s="58" t="s">
        <v>325</v>
      </c>
      <c r="H909" s="546">
        <v>4235.3</v>
      </c>
      <c r="I909" s="66" t="s">
        <v>96</v>
      </c>
      <c r="J909" s="411" t="s">
        <v>2923</v>
      </c>
      <c r="K909" s="58"/>
      <c r="L909" s="99"/>
      <c r="M909" s="70" t="s">
        <v>2898</v>
      </c>
      <c r="N909" s="97" t="s">
        <v>270</v>
      </c>
      <c r="O909" s="58"/>
      <c r="P909" s="58" t="s">
        <v>44</v>
      </c>
      <c r="Q909" s="58" t="s">
        <v>39</v>
      </c>
      <c r="R909" s="58" t="s">
        <v>272</v>
      </c>
    </row>
    <row r="910" spans="1:18" ht="69" customHeight="1">
      <c r="A910" s="168"/>
      <c r="B910" s="178">
        <v>2951</v>
      </c>
      <c r="C910" s="178" t="s">
        <v>309</v>
      </c>
      <c r="D910" s="575" t="s">
        <v>2924</v>
      </c>
      <c r="E910" s="178" t="s">
        <v>260</v>
      </c>
      <c r="F910" s="210" t="s">
        <v>2925</v>
      </c>
      <c r="G910" s="58" t="s">
        <v>2919</v>
      </c>
      <c r="H910" s="546">
        <v>185</v>
      </c>
      <c r="I910" s="66">
        <v>44609</v>
      </c>
      <c r="J910" s="411" t="s">
        <v>2926</v>
      </c>
      <c r="K910" s="58" t="s">
        <v>2895</v>
      </c>
      <c r="L910" s="99"/>
      <c r="M910" s="70" t="s">
        <v>2896</v>
      </c>
      <c r="N910" s="97" t="s">
        <v>264</v>
      </c>
      <c r="O910" s="58" t="s">
        <v>141</v>
      </c>
      <c r="P910" s="58" t="s">
        <v>17</v>
      </c>
      <c r="Q910" s="58" t="s">
        <v>39</v>
      </c>
      <c r="R910" s="58" t="s">
        <v>265</v>
      </c>
    </row>
    <row r="911" spans="1:18" ht="69" customHeight="1">
      <c r="A911" s="168"/>
      <c r="B911" s="178">
        <v>2944</v>
      </c>
      <c r="C911" s="178" t="s">
        <v>309</v>
      </c>
      <c r="D911" s="575" t="s">
        <v>2927</v>
      </c>
      <c r="E911" s="178" t="s">
        <v>260</v>
      </c>
      <c r="F911" s="210" t="s">
        <v>2928</v>
      </c>
      <c r="G911" s="58" t="s">
        <v>2919</v>
      </c>
      <c r="H911" s="546">
        <v>11951.3</v>
      </c>
      <c r="I911" s="66">
        <v>44596</v>
      </c>
      <c r="J911" s="411" t="s">
        <v>2929</v>
      </c>
      <c r="K911" s="58" t="s">
        <v>2895</v>
      </c>
      <c r="L911" s="99"/>
      <c r="M911" s="70" t="s">
        <v>2896</v>
      </c>
      <c r="N911" s="97" t="s">
        <v>264</v>
      </c>
      <c r="O911" s="58" t="s">
        <v>141</v>
      </c>
      <c r="P911" s="58" t="s">
        <v>17</v>
      </c>
      <c r="Q911" s="58" t="s">
        <v>39</v>
      </c>
      <c r="R911" s="58" t="s">
        <v>265</v>
      </c>
    </row>
    <row r="912" spans="1:18" ht="69" customHeight="1">
      <c r="A912" s="168"/>
      <c r="B912" s="191">
        <v>2971</v>
      </c>
      <c r="C912" s="191" t="s">
        <v>309</v>
      </c>
      <c r="D912" s="533" t="s">
        <v>2930</v>
      </c>
      <c r="E912" s="191" t="s">
        <v>331</v>
      </c>
      <c r="F912" s="211" t="s">
        <v>2931</v>
      </c>
      <c r="G912" s="46" t="s">
        <v>652</v>
      </c>
      <c r="H912" s="534">
        <v>0</v>
      </c>
      <c r="I912" s="56" t="s">
        <v>96</v>
      </c>
      <c r="J912" s="412" t="s">
        <v>334</v>
      </c>
      <c r="K912" s="46"/>
      <c r="L912" s="99"/>
      <c r="M912" s="379" t="s">
        <v>2932</v>
      </c>
      <c r="N912" s="76" t="s">
        <v>69</v>
      </c>
      <c r="O912" s="46"/>
      <c r="P912" s="46" t="s">
        <v>69</v>
      </c>
      <c r="Q912" s="46" t="s">
        <v>39</v>
      </c>
      <c r="R912" s="46" t="s">
        <v>272</v>
      </c>
    </row>
    <row r="913" spans="1:18" ht="69" customHeight="1">
      <c r="A913" s="168"/>
      <c r="B913" s="178">
        <v>2956</v>
      </c>
      <c r="C913" s="178" t="s">
        <v>309</v>
      </c>
      <c r="D913" s="575" t="s">
        <v>2933</v>
      </c>
      <c r="E913" s="178" t="s">
        <v>266</v>
      </c>
      <c r="F913" s="210" t="s">
        <v>2934</v>
      </c>
      <c r="G913" s="58" t="s">
        <v>680</v>
      </c>
      <c r="H913" s="546">
        <v>6206.9</v>
      </c>
      <c r="I913" s="66">
        <v>44601</v>
      </c>
      <c r="J913" s="411" t="s">
        <v>2935</v>
      </c>
      <c r="K913" s="58"/>
      <c r="L913" s="99"/>
      <c r="M913" s="70" t="s">
        <v>2936</v>
      </c>
      <c r="N913" s="97" t="s">
        <v>683</v>
      </c>
      <c r="O913" s="58" t="s">
        <v>684</v>
      </c>
      <c r="P913" s="58" t="s">
        <v>46</v>
      </c>
      <c r="Q913" s="58" t="s">
        <v>39</v>
      </c>
      <c r="R913" s="58" t="s">
        <v>272</v>
      </c>
    </row>
    <row r="914" spans="1:18" ht="69" customHeight="1">
      <c r="A914" s="168"/>
      <c r="B914" s="178">
        <v>3062</v>
      </c>
      <c r="C914" s="178" t="s">
        <v>309</v>
      </c>
      <c r="D914" s="575" t="s">
        <v>2937</v>
      </c>
      <c r="E914" s="178" t="s">
        <v>260</v>
      </c>
      <c r="F914" s="210" t="s">
        <v>2938</v>
      </c>
      <c r="G914" s="58" t="s">
        <v>2919</v>
      </c>
      <c r="H914" s="546">
        <v>6375.98</v>
      </c>
      <c r="I914" s="66">
        <v>44621</v>
      </c>
      <c r="J914" s="411" t="s">
        <v>2939</v>
      </c>
      <c r="K914" s="58" t="s">
        <v>2895</v>
      </c>
      <c r="L914" s="99"/>
      <c r="M914" s="70" t="s">
        <v>2896</v>
      </c>
      <c r="N914" s="97" t="s">
        <v>264</v>
      </c>
      <c r="O914" s="58" t="s">
        <v>141</v>
      </c>
      <c r="P914" s="58" t="s">
        <v>17</v>
      </c>
      <c r="Q914" s="58" t="s">
        <v>39</v>
      </c>
      <c r="R914" s="58" t="s">
        <v>265</v>
      </c>
    </row>
    <row r="915" spans="1:18" ht="69" customHeight="1">
      <c r="A915" s="168"/>
      <c r="B915" s="178">
        <v>2662</v>
      </c>
      <c r="C915" s="178" t="s">
        <v>309</v>
      </c>
      <c r="D915" s="575" t="s">
        <v>2940</v>
      </c>
      <c r="E915" s="178" t="s">
        <v>260</v>
      </c>
      <c r="F915" s="210" t="s">
        <v>2941</v>
      </c>
      <c r="G915" s="58" t="s">
        <v>2942</v>
      </c>
      <c r="H915" s="546">
        <v>1971.45</v>
      </c>
      <c r="I915" s="66">
        <v>44552</v>
      </c>
      <c r="J915" s="411" t="s">
        <v>2943</v>
      </c>
      <c r="K915" s="58" t="s">
        <v>2895</v>
      </c>
      <c r="L915" s="99"/>
      <c r="M915" s="70" t="s">
        <v>2896</v>
      </c>
      <c r="N915" s="97" t="s">
        <v>264</v>
      </c>
      <c r="O915" s="58" t="s">
        <v>141</v>
      </c>
      <c r="P915" s="58" t="s">
        <v>17</v>
      </c>
      <c r="Q915" s="58" t="s">
        <v>39</v>
      </c>
      <c r="R915" s="58" t="s">
        <v>265</v>
      </c>
    </row>
    <row r="916" spans="1:18" ht="69" customHeight="1">
      <c r="A916" s="168"/>
      <c r="B916" s="178">
        <v>3942</v>
      </c>
      <c r="C916" s="178" t="s">
        <v>309</v>
      </c>
      <c r="D916" s="575" t="s">
        <v>2944</v>
      </c>
      <c r="E916" s="178" t="s">
        <v>260</v>
      </c>
      <c r="F916" s="210" t="s">
        <v>2945</v>
      </c>
      <c r="G916" s="58" t="s">
        <v>2919</v>
      </c>
      <c r="H916" s="546">
        <v>9539.7800000000007</v>
      </c>
      <c r="I916" s="66">
        <v>44610</v>
      </c>
      <c r="J916" s="411" t="s">
        <v>2946</v>
      </c>
      <c r="K916" s="58" t="s">
        <v>2895</v>
      </c>
      <c r="L916" s="99"/>
      <c r="M916" s="70" t="s">
        <v>2896</v>
      </c>
      <c r="N916" s="97" t="s">
        <v>264</v>
      </c>
      <c r="O916" s="58" t="s">
        <v>141</v>
      </c>
      <c r="P916" s="58" t="s">
        <v>17</v>
      </c>
      <c r="Q916" s="58" t="s">
        <v>39</v>
      </c>
      <c r="R916" s="58" t="s">
        <v>265</v>
      </c>
    </row>
    <row r="917" spans="1:18" ht="69" customHeight="1">
      <c r="A917" s="168"/>
      <c r="B917" s="178">
        <v>2448</v>
      </c>
      <c r="C917" s="178" t="s">
        <v>309</v>
      </c>
      <c r="D917" s="575" t="s">
        <v>2911</v>
      </c>
      <c r="E917" s="178" t="s">
        <v>260</v>
      </c>
      <c r="F917" s="210" t="s">
        <v>2947</v>
      </c>
      <c r="G917" s="58" t="s">
        <v>2913</v>
      </c>
      <c r="H917" s="546">
        <v>13327.38</v>
      </c>
      <c r="I917" s="66">
        <v>44615</v>
      </c>
      <c r="J917" s="411" t="s">
        <v>2948</v>
      </c>
      <c r="K917" s="58" t="s">
        <v>2895</v>
      </c>
      <c r="L917" s="99"/>
      <c r="M917" s="70" t="s">
        <v>2896</v>
      </c>
      <c r="N917" s="97" t="s">
        <v>264</v>
      </c>
      <c r="O917" s="58" t="s">
        <v>141</v>
      </c>
      <c r="P917" s="58" t="s">
        <v>17</v>
      </c>
      <c r="Q917" s="58" t="s">
        <v>39</v>
      </c>
      <c r="R917" s="58" t="s">
        <v>265</v>
      </c>
    </row>
    <row r="918" spans="1:18" ht="69" customHeight="1">
      <c r="A918" s="168"/>
      <c r="B918" s="178">
        <v>3960</v>
      </c>
      <c r="C918" s="178" t="s">
        <v>309</v>
      </c>
      <c r="D918" s="575" t="s">
        <v>2949</v>
      </c>
      <c r="E918" s="178" t="s">
        <v>260</v>
      </c>
      <c r="F918" s="210" t="s">
        <v>2945</v>
      </c>
      <c r="G918" s="58" t="s">
        <v>2950</v>
      </c>
      <c r="H918" s="546">
        <v>1335</v>
      </c>
      <c r="I918" s="66">
        <v>44615</v>
      </c>
      <c r="J918" s="411" t="s">
        <v>2951</v>
      </c>
      <c r="K918" s="58" t="s">
        <v>2895</v>
      </c>
      <c r="L918" s="99"/>
      <c r="M918" s="70" t="s">
        <v>2896</v>
      </c>
      <c r="N918" s="97" t="s">
        <v>264</v>
      </c>
      <c r="O918" s="58" t="s">
        <v>141</v>
      </c>
      <c r="P918" s="58" t="s">
        <v>17</v>
      </c>
      <c r="Q918" s="58" t="s">
        <v>39</v>
      </c>
      <c r="R918" s="58" t="s">
        <v>265</v>
      </c>
    </row>
    <row r="919" spans="1:18" ht="69" customHeight="1">
      <c r="A919" s="168"/>
      <c r="B919" s="178">
        <v>2448</v>
      </c>
      <c r="C919" s="178" t="s">
        <v>309</v>
      </c>
      <c r="D919" s="575" t="s">
        <v>2911</v>
      </c>
      <c r="E919" s="178" t="s">
        <v>260</v>
      </c>
      <c r="F919" s="210" t="s">
        <v>2952</v>
      </c>
      <c r="G919" s="58" t="s">
        <v>2913</v>
      </c>
      <c r="H919" s="546">
        <v>1563.54</v>
      </c>
      <c r="I919" s="66">
        <v>44636</v>
      </c>
      <c r="J919" s="411" t="s">
        <v>2953</v>
      </c>
      <c r="K919" s="58" t="s">
        <v>2895</v>
      </c>
      <c r="L919" s="99"/>
      <c r="M919" s="70" t="s">
        <v>2896</v>
      </c>
      <c r="N919" s="97" t="s">
        <v>264</v>
      </c>
      <c r="O919" s="58" t="s">
        <v>141</v>
      </c>
      <c r="P919" s="58" t="s">
        <v>17</v>
      </c>
      <c r="Q919" s="58" t="s">
        <v>39</v>
      </c>
      <c r="R919" s="58" t="s">
        <v>265</v>
      </c>
    </row>
    <row r="920" spans="1:18" ht="69" customHeight="1">
      <c r="A920" s="168"/>
      <c r="B920" s="178">
        <v>4124</v>
      </c>
      <c r="C920" s="178" t="s">
        <v>309</v>
      </c>
      <c r="D920" s="575" t="s">
        <v>2954</v>
      </c>
      <c r="E920" s="178" t="s">
        <v>266</v>
      </c>
      <c r="F920" s="210" t="s">
        <v>2955</v>
      </c>
      <c r="G920" s="58" t="s">
        <v>1107</v>
      </c>
      <c r="H920" s="546">
        <v>7293.34</v>
      </c>
      <c r="I920" s="66">
        <v>44643</v>
      </c>
      <c r="J920" s="411" t="s">
        <v>2956</v>
      </c>
      <c r="K920" s="58"/>
      <c r="L920" s="99"/>
      <c r="M920" s="70" t="s">
        <v>2957</v>
      </c>
      <c r="N920" s="97" t="s">
        <v>970</v>
      </c>
      <c r="O920" s="58" t="s">
        <v>971</v>
      </c>
      <c r="P920" s="58" t="s">
        <v>38</v>
      </c>
      <c r="Q920" s="58" t="s">
        <v>39</v>
      </c>
      <c r="R920" s="58" t="s">
        <v>272</v>
      </c>
    </row>
    <row r="921" spans="1:18" ht="69" customHeight="1">
      <c r="A921" s="168"/>
      <c r="B921" s="178">
        <v>4140</v>
      </c>
      <c r="C921" s="178" t="s">
        <v>309</v>
      </c>
      <c r="D921" s="575" t="s">
        <v>2958</v>
      </c>
      <c r="E921" s="178" t="s">
        <v>260</v>
      </c>
      <c r="F921" s="210" t="s">
        <v>2959</v>
      </c>
      <c r="G921" s="58" t="s">
        <v>2913</v>
      </c>
      <c r="H921" s="546">
        <v>800</v>
      </c>
      <c r="I921" s="66">
        <v>44643</v>
      </c>
      <c r="J921" s="411" t="s">
        <v>2960</v>
      </c>
      <c r="K921" s="58" t="s">
        <v>2895</v>
      </c>
      <c r="L921" s="99"/>
      <c r="M921" s="70" t="s">
        <v>2896</v>
      </c>
      <c r="N921" s="97" t="s">
        <v>264</v>
      </c>
      <c r="O921" s="58" t="s">
        <v>141</v>
      </c>
      <c r="P921" s="58" t="s">
        <v>17</v>
      </c>
      <c r="Q921" s="58" t="s">
        <v>39</v>
      </c>
      <c r="R921" s="58" t="s">
        <v>265</v>
      </c>
    </row>
    <row r="922" spans="1:18" ht="69" customHeight="1">
      <c r="A922" s="168"/>
      <c r="B922" s="178">
        <v>4183</v>
      </c>
      <c r="C922" s="178" t="s">
        <v>309</v>
      </c>
      <c r="D922" s="575" t="s">
        <v>2961</v>
      </c>
      <c r="E922" s="178" t="s">
        <v>358</v>
      </c>
      <c r="F922" s="210" t="s">
        <v>2962</v>
      </c>
      <c r="G922" s="58" t="s">
        <v>529</v>
      </c>
      <c r="H922" s="546">
        <v>480000</v>
      </c>
      <c r="I922" s="66">
        <v>44648</v>
      </c>
      <c r="J922" s="411" t="s">
        <v>2963</v>
      </c>
      <c r="K922" s="58" t="s">
        <v>2964</v>
      </c>
      <c r="L922" s="99"/>
      <c r="M922" s="70" t="s">
        <v>2965</v>
      </c>
      <c r="N922" s="97" t="s">
        <v>356</v>
      </c>
      <c r="O922" s="58" t="s">
        <v>141</v>
      </c>
      <c r="P922" s="58" t="s">
        <v>19</v>
      </c>
      <c r="Q922" s="58" t="s">
        <v>39</v>
      </c>
      <c r="R922" s="58" t="s">
        <v>272</v>
      </c>
    </row>
    <row r="923" spans="1:18" ht="69" customHeight="1">
      <c r="A923" s="168"/>
      <c r="B923" s="178">
        <v>4195</v>
      </c>
      <c r="C923" s="178" t="s">
        <v>309</v>
      </c>
      <c r="D923" s="575" t="s">
        <v>2966</v>
      </c>
      <c r="E923" s="178" t="s">
        <v>260</v>
      </c>
      <c r="F923" s="210" t="s">
        <v>2959</v>
      </c>
      <c r="G923" s="58" t="s">
        <v>2913</v>
      </c>
      <c r="H923" s="546">
        <v>850</v>
      </c>
      <c r="I923" s="66">
        <v>44650</v>
      </c>
      <c r="J923" s="411" t="s">
        <v>2967</v>
      </c>
      <c r="K923" s="58" t="s">
        <v>2895</v>
      </c>
      <c r="L923" s="99"/>
      <c r="M923" s="70" t="s">
        <v>2896</v>
      </c>
      <c r="N923" s="97" t="s">
        <v>264</v>
      </c>
      <c r="O923" s="58" t="s">
        <v>141</v>
      </c>
      <c r="P923" s="58" t="s">
        <v>17</v>
      </c>
      <c r="Q923" s="58" t="s">
        <v>39</v>
      </c>
      <c r="R923" s="58" t="s">
        <v>265</v>
      </c>
    </row>
    <row r="924" spans="1:18" ht="69" customHeight="1">
      <c r="A924" s="168"/>
      <c r="B924" s="178">
        <v>4196</v>
      </c>
      <c r="C924" s="178" t="s">
        <v>309</v>
      </c>
      <c r="D924" s="575" t="s">
        <v>2968</v>
      </c>
      <c r="E924" s="178" t="s">
        <v>260</v>
      </c>
      <c r="F924" s="210" t="s">
        <v>2959</v>
      </c>
      <c r="G924" s="58" t="s">
        <v>2913</v>
      </c>
      <c r="H924" s="546">
        <v>900</v>
      </c>
      <c r="I924" s="66">
        <v>44650</v>
      </c>
      <c r="J924" s="411" t="s">
        <v>2969</v>
      </c>
      <c r="K924" s="58" t="s">
        <v>2895</v>
      </c>
      <c r="L924" s="99"/>
      <c r="M924" s="70" t="s">
        <v>2896</v>
      </c>
      <c r="N924" s="97" t="s">
        <v>264</v>
      </c>
      <c r="O924" s="58" t="s">
        <v>141</v>
      </c>
      <c r="P924" s="58" t="s">
        <v>17</v>
      </c>
      <c r="Q924" s="58" t="s">
        <v>39</v>
      </c>
      <c r="R924" s="58" t="s">
        <v>265</v>
      </c>
    </row>
    <row r="925" spans="1:18" ht="69" customHeight="1">
      <c r="A925" s="168"/>
      <c r="B925" s="178">
        <v>4197</v>
      </c>
      <c r="C925" s="178" t="s">
        <v>309</v>
      </c>
      <c r="D925" s="575" t="s">
        <v>2970</v>
      </c>
      <c r="E925" s="178" t="s">
        <v>260</v>
      </c>
      <c r="F925" s="210" t="s">
        <v>2959</v>
      </c>
      <c r="G925" s="58" t="s">
        <v>2913</v>
      </c>
      <c r="H925" s="546">
        <v>800</v>
      </c>
      <c r="I925" s="66">
        <v>44650</v>
      </c>
      <c r="J925" s="411" t="s">
        <v>2971</v>
      </c>
      <c r="K925" s="58" t="s">
        <v>2895</v>
      </c>
      <c r="L925" s="99"/>
      <c r="M925" s="70" t="s">
        <v>2896</v>
      </c>
      <c r="N925" s="97" t="s">
        <v>264</v>
      </c>
      <c r="O925" s="58" t="s">
        <v>141</v>
      </c>
      <c r="P925" s="58" t="s">
        <v>17</v>
      </c>
      <c r="Q925" s="58" t="s">
        <v>39</v>
      </c>
      <c r="R925" s="58" t="s">
        <v>265</v>
      </c>
    </row>
    <row r="926" spans="1:18" ht="69" customHeight="1">
      <c r="A926" s="168"/>
      <c r="B926" s="178">
        <v>4198</v>
      </c>
      <c r="C926" s="178" t="s">
        <v>309</v>
      </c>
      <c r="D926" s="575" t="s">
        <v>2972</v>
      </c>
      <c r="E926" s="178" t="s">
        <v>260</v>
      </c>
      <c r="F926" s="210" t="s">
        <v>2959</v>
      </c>
      <c r="G926" s="58" t="s">
        <v>2913</v>
      </c>
      <c r="H926" s="546">
        <v>1300</v>
      </c>
      <c r="I926" s="66">
        <v>44650</v>
      </c>
      <c r="J926" s="411" t="s">
        <v>2973</v>
      </c>
      <c r="K926" s="58" t="s">
        <v>2895</v>
      </c>
      <c r="L926" s="99"/>
      <c r="M926" s="70" t="s">
        <v>2896</v>
      </c>
      <c r="N926" s="97" t="s">
        <v>264</v>
      </c>
      <c r="O926" s="58" t="s">
        <v>141</v>
      </c>
      <c r="P926" s="58" t="s">
        <v>17</v>
      </c>
      <c r="Q926" s="58" t="s">
        <v>39</v>
      </c>
      <c r="R926" s="58" t="s">
        <v>265</v>
      </c>
    </row>
    <row r="927" spans="1:18" ht="69" customHeight="1">
      <c r="A927" s="168"/>
      <c r="B927" s="178">
        <v>4493</v>
      </c>
      <c r="C927" s="178" t="s">
        <v>309</v>
      </c>
      <c r="D927" s="575" t="s">
        <v>2974</v>
      </c>
      <c r="E927" s="178" t="s">
        <v>260</v>
      </c>
      <c r="F927" s="210" t="s">
        <v>2959</v>
      </c>
      <c r="G927" s="58" t="s">
        <v>2913</v>
      </c>
      <c r="H927" s="546">
        <v>500</v>
      </c>
      <c r="I927" s="66">
        <v>44666</v>
      </c>
      <c r="J927" s="411" t="s">
        <v>2975</v>
      </c>
      <c r="K927" s="58" t="s">
        <v>2895</v>
      </c>
      <c r="L927" s="99"/>
      <c r="M927" s="70" t="s">
        <v>2896</v>
      </c>
      <c r="N927" s="97" t="s">
        <v>264</v>
      </c>
      <c r="O927" s="58" t="s">
        <v>141</v>
      </c>
      <c r="P927" s="58" t="s">
        <v>17</v>
      </c>
      <c r="Q927" s="58" t="s">
        <v>39</v>
      </c>
      <c r="R927" s="58" t="s">
        <v>265</v>
      </c>
    </row>
    <row r="928" spans="1:18" ht="69" customHeight="1">
      <c r="A928" s="168"/>
      <c r="B928" s="178">
        <v>4492</v>
      </c>
      <c r="C928" s="178" t="s">
        <v>309</v>
      </c>
      <c r="D928" s="575" t="s">
        <v>2976</v>
      </c>
      <c r="E928" s="178" t="s">
        <v>260</v>
      </c>
      <c r="F928" s="210" t="s">
        <v>2977</v>
      </c>
      <c r="G928" s="58" t="s">
        <v>2913</v>
      </c>
      <c r="H928" s="546">
        <v>5706.96</v>
      </c>
      <c r="I928" s="66">
        <v>44673</v>
      </c>
      <c r="J928" s="411" t="s">
        <v>2978</v>
      </c>
      <c r="K928" s="58" t="s">
        <v>2895</v>
      </c>
      <c r="L928" s="99"/>
      <c r="M928" s="70" t="s">
        <v>2896</v>
      </c>
      <c r="N928" s="97" t="s">
        <v>264</v>
      </c>
      <c r="O928" s="58" t="s">
        <v>141</v>
      </c>
      <c r="P928" s="58" t="s">
        <v>17</v>
      </c>
      <c r="Q928" s="58" t="s">
        <v>39</v>
      </c>
      <c r="R928" s="58" t="s">
        <v>265</v>
      </c>
    </row>
    <row r="929" spans="1:18" ht="69" customHeight="1">
      <c r="A929" s="168"/>
      <c r="B929" s="178">
        <v>4640</v>
      </c>
      <c r="C929" s="178" t="s">
        <v>309</v>
      </c>
      <c r="D929" s="575" t="s">
        <v>2979</v>
      </c>
      <c r="E929" s="178" t="s">
        <v>283</v>
      </c>
      <c r="F929" s="210" t="s">
        <v>2980</v>
      </c>
      <c r="G929" s="58" t="s">
        <v>2981</v>
      </c>
      <c r="H929" s="546">
        <v>46000</v>
      </c>
      <c r="I929" s="66">
        <v>44676</v>
      </c>
      <c r="J929" s="411" t="s">
        <v>2982</v>
      </c>
      <c r="K929" s="58" t="s">
        <v>2895</v>
      </c>
      <c r="L929" s="99"/>
      <c r="M929" s="70" t="s">
        <v>2910</v>
      </c>
      <c r="N929" s="97" t="s">
        <v>264</v>
      </c>
      <c r="O929" s="58" t="s">
        <v>141</v>
      </c>
      <c r="P929" s="58" t="s">
        <v>17</v>
      </c>
      <c r="Q929" s="58" t="s">
        <v>39</v>
      </c>
      <c r="R929" s="58" t="s">
        <v>272</v>
      </c>
    </row>
    <row r="930" spans="1:18" ht="69" customHeight="1">
      <c r="A930" s="168"/>
      <c r="B930" s="178">
        <v>4698</v>
      </c>
      <c r="C930" s="178" t="s">
        <v>309</v>
      </c>
      <c r="D930" s="575" t="s">
        <v>2983</v>
      </c>
      <c r="E930" s="178" t="s">
        <v>331</v>
      </c>
      <c r="F930" s="210" t="s">
        <v>2984</v>
      </c>
      <c r="G930" s="58"/>
      <c r="H930" s="546">
        <v>2635.98</v>
      </c>
      <c r="I930" s="66">
        <v>44678</v>
      </c>
      <c r="J930" s="411" t="s">
        <v>2985</v>
      </c>
      <c r="K930" s="58"/>
      <c r="L930" s="99"/>
      <c r="M930" s="70" t="s">
        <v>2898</v>
      </c>
      <c r="N930" s="97" t="s">
        <v>270</v>
      </c>
      <c r="O930" s="58"/>
      <c r="P930" s="58" t="s">
        <v>44</v>
      </c>
      <c r="Q930" s="58" t="s">
        <v>39</v>
      </c>
      <c r="R930" s="58" t="s">
        <v>272</v>
      </c>
    </row>
    <row r="931" spans="1:18" ht="69" customHeight="1">
      <c r="A931" s="168"/>
      <c r="B931" s="178">
        <v>4638</v>
      </c>
      <c r="C931" s="178" t="s">
        <v>309</v>
      </c>
      <c r="D931" s="575" t="s">
        <v>2986</v>
      </c>
      <c r="E931" s="178" t="s">
        <v>283</v>
      </c>
      <c r="F931" s="210" t="s">
        <v>2962</v>
      </c>
      <c r="G931" s="58" t="s">
        <v>365</v>
      </c>
      <c r="H931" s="546">
        <v>196625</v>
      </c>
      <c r="I931" s="66">
        <v>44676</v>
      </c>
      <c r="J931" s="411" t="s">
        <v>2987</v>
      </c>
      <c r="K931" s="58" t="s">
        <v>2895</v>
      </c>
      <c r="L931" s="99"/>
      <c r="M931" s="70" t="s">
        <v>2910</v>
      </c>
      <c r="N931" s="97" t="s">
        <v>264</v>
      </c>
      <c r="O931" s="58" t="s">
        <v>141</v>
      </c>
      <c r="P931" s="58" t="s">
        <v>17</v>
      </c>
      <c r="Q931" s="58" t="s">
        <v>39</v>
      </c>
      <c r="R931" s="58" t="s">
        <v>272</v>
      </c>
    </row>
    <row r="932" spans="1:18" ht="69" customHeight="1">
      <c r="A932" s="168"/>
      <c r="B932" s="178">
        <v>4698</v>
      </c>
      <c r="C932" s="178" t="s">
        <v>309</v>
      </c>
      <c r="D932" s="575" t="s">
        <v>2988</v>
      </c>
      <c r="E932" s="178" t="s">
        <v>331</v>
      </c>
      <c r="F932" s="210" t="s">
        <v>2989</v>
      </c>
      <c r="G932" s="58" t="s">
        <v>372</v>
      </c>
      <c r="H932" s="546">
        <v>23723.85</v>
      </c>
      <c r="I932" s="66">
        <v>44701</v>
      </c>
      <c r="J932" s="411" t="s">
        <v>2990</v>
      </c>
      <c r="K932" s="58"/>
      <c r="L932" s="99"/>
      <c r="M932" s="70" t="s">
        <v>2898</v>
      </c>
      <c r="N932" s="97" t="s">
        <v>270</v>
      </c>
      <c r="O932" s="58"/>
      <c r="P932" s="58" t="s">
        <v>44</v>
      </c>
      <c r="Q932" s="58" t="s">
        <v>39</v>
      </c>
      <c r="R932" s="58" t="s">
        <v>272</v>
      </c>
    </row>
    <row r="933" spans="1:18" ht="69" customHeight="1">
      <c r="A933" s="168"/>
      <c r="B933" s="178">
        <v>4124</v>
      </c>
      <c r="C933" s="178" t="s">
        <v>309</v>
      </c>
      <c r="D933" s="575" t="s">
        <v>2991</v>
      </c>
      <c r="E933" s="178" t="s">
        <v>266</v>
      </c>
      <c r="F933" s="210" t="s">
        <v>2992</v>
      </c>
      <c r="G933" s="58" t="s">
        <v>1107</v>
      </c>
      <c r="H933" s="546">
        <v>7293.34</v>
      </c>
      <c r="I933" s="66">
        <v>44725</v>
      </c>
      <c r="J933" s="411" t="s">
        <v>2993</v>
      </c>
      <c r="K933" s="58"/>
      <c r="L933" s="99"/>
      <c r="M933" s="70" t="s">
        <v>2957</v>
      </c>
      <c r="N933" s="97" t="s">
        <v>970</v>
      </c>
      <c r="O933" s="58" t="s">
        <v>971</v>
      </c>
      <c r="P933" s="58" t="s">
        <v>38</v>
      </c>
      <c r="Q933" s="58" t="s">
        <v>39</v>
      </c>
      <c r="R933" s="58" t="s">
        <v>272</v>
      </c>
    </row>
    <row r="934" spans="1:18" ht="69" customHeight="1">
      <c r="A934" s="168"/>
      <c r="B934" s="178">
        <v>5119</v>
      </c>
      <c r="C934" s="178" t="s">
        <v>309</v>
      </c>
      <c r="D934" s="575" t="s">
        <v>2994</v>
      </c>
      <c r="E934" s="178" t="s">
        <v>283</v>
      </c>
      <c r="F934" s="210" t="s">
        <v>2995</v>
      </c>
      <c r="G934" s="58" t="s">
        <v>718</v>
      </c>
      <c r="H934" s="546">
        <v>11272.19</v>
      </c>
      <c r="I934" s="66">
        <v>44732</v>
      </c>
      <c r="J934" s="411" t="s">
        <v>2996</v>
      </c>
      <c r="K934" s="58" t="s">
        <v>2895</v>
      </c>
      <c r="L934" s="99"/>
      <c r="M934" s="70" t="s">
        <v>2910</v>
      </c>
      <c r="N934" s="97" t="s">
        <v>264</v>
      </c>
      <c r="O934" s="58" t="s">
        <v>141</v>
      </c>
      <c r="P934" s="58" t="s">
        <v>17</v>
      </c>
      <c r="Q934" s="58" t="s">
        <v>39</v>
      </c>
      <c r="R934" s="58" t="s">
        <v>272</v>
      </c>
    </row>
    <row r="935" spans="1:18" ht="69" customHeight="1">
      <c r="A935" s="168"/>
      <c r="B935" s="178">
        <v>5120</v>
      </c>
      <c r="C935" s="178" t="s">
        <v>309</v>
      </c>
      <c r="D935" s="575" t="s">
        <v>2997</v>
      </c>
      <c r="E935" s="178" t="s">
        <v>382</v>
      </c>
      <c r="F935" s="210" t="s">
        <v>2998</v>
      </c>
      <c r="G935" s="58" t="s">
        <v>384</v>
      </c>
      <c r="H935" s="546">
        <v>22679.42</v>
      </c>
      <c r="I935" s="66">
        <v>44736</v>
      </c>
      <c r="J935" s="411" t="s">
        <v>2999</v>
      </c>
      <c r="K935" s="58"/>
      <c r="L935" s="99"/>
      <c r="M935" s="70" t="s">
        <v>3000</v>
      </c>
      <c r="N935" s="97" t="s">
        <v>387</v>
      </c>
      <c r="O935" s="62" t="s">
        <v>150</v>
      </c>
      <c r="P935" s="58" t="s">
        <v>51</v>
      </c>
      <c r="Q935" s="58" t="s">
        <v>39</v>
      </c>
      <c r="R935" s="58" t="s">
        <v>272</v>
      </c>
    </row>
    <row r="936" spans="1:18" ht="69" customHeight="1">
      <c r="A936" s="168"/>
      <c r="B936" s="178">
        <v>5121</v>
      </c>
      <c r="C936" s="178" t="s">
        <v>309</v>
      </c>
      <c r="D936" s="575" t="s">
        <v>3001</v>
      </c>
      <c r="E936" s="178" t="s">
        <v>382</v>
      </c>
      <c r="F936" s="210" t="s">
        <v>3002</v>
      </c>
      <c r="G936" s="58" t="s">
        <v>384</v>
      </c>
      <c r="H936" s="546">
        <v>38303.97</v>
      </c>
      <c r="I936" s="66">
        <v>44736</v>
      </c>
      <c r="J936" s="411" t="s">
        <v>3003</v>
      </c>
      <c r="K936" s="58"/>
      <c r="L936" s="99"/>
      <c r="M936" s="70" t="s">
        <v>3000</v>
      </c>
      <c r="N936" s="97" t="s">
        <v>387</v>
      </c>
      <c r="O936" s="62" t="s">
        <v>150</v>
      </c>
      <c r="P936" s="58" t="s">
        <v>51</v>
      </c>
      <c r="Q936" s="58" t="s">
        <v>39</v>
      </c>
      <c r="R936" s="58" t="s">
        <v>272</v>
      </c>
    </row>
    <row r="937" spans="1:18" ht="69" customHeight="1">
      <c r="A937" s="168"/>
      <c r="B937" s="178">
        <v>5011</v>
      </c>
      <c r="C937" s="178" t="s">
        <v>309</v>
      </c>
      <c r="D937" s="575" t="s">
        <v>3004</v>
      </c>
      <c r="E937" s="178" t="s">
        <v>266</v>
      </c>
      <c r="F937" s="210" t="s">
        <v>3005</v>
      </c>
      <c r="G937" s="58" t="s">
        <v>1753</v>
      </c>
      <c r="H937" s="546">
        <v>5390</v>
      </c>
      <c r="I937" s="66">
        <v>44762</v>
      </c>
      <c r="J937" s="411" t="s">
        <v>3006</v>
      </c>
      <c r="K937" s="58" t="s">
        <v>705</v>
      </c>
      <c r="L937" s="99"/>
      <c r="M937" s="70" t="s">
        <v>2898</v>
      </c>
      <c r="N937" s="97" t="s">
        <v>270</v>
      </c>
      <c r="O937" s="58"/>
      <c r="P937" s="58" t="s">
        <v>44</v>
      </c>
      <c r="Q937" s="58" t="s">
        <v>39</v>
      </c>
      <c r="R937" s="58" t="s">
        <v>272</v>
      </c>
    </row>
    <row r="938" spans="1:18" ht="69" customHeight="1">
      <c r="A938" s="168"/>
      <c r="B938" s="191">
        <v>6315</v>
      </c>
      <c r="C938" s="191" t="s">
        <v>3007</v>
      </c>
      <c r="D938" s="533" t="s">
        <v>3008</v>
      </c>
      <c r="E938" s="191" t="s">
        <v>260</v>
      </c>
      <c r="F938" s="211" t="s">
        <v>3009</v>
      </c>
      <c r="G938" s="46" t="s">
        <v>352</v>
      </c>
      <c r="H938" s="534">
        <v>826</v>
      </c>
      <c r="I938" s="56">
        <v>44792</v>
      </c>
      <c r="J938" s="412" t="s">
        <v>3010</v>
      </c>
      <c r="K938" s="46" t="s">
        <v>167</v>
      </c>
      <c r="L938" s="99"/>
      <c r="M938" s="70" t="s">
        <v>2896</v>
      </c>
      <c r="N938" s="97" t="s">
        <v>264</v>
      </c>
      <c r="O938" s="46" t="s">
        <v>141</v>
      </c>
      <c r="P938" s="46" t="s">
        <v>65</v>
      </c>
      <c r="Q938" s="46" t="s">
        <v>39</v>
      </c>
      <c r="R938" s="46" t="s">
        <v>272</v>
      </c>
    </row>
    <row r="939" spans="1:18" ht="69" customHeight="1">
      <c r="A939" s="168"/>
      <c r="B939" s="178">
        <v>6339</v>
      </c>
      <c r="C939" s="178" t="s">
        <v>309</v>
      </c>
      <c r="D939" s="575" t="s">
        <v>3011</v>
      </c>
      <c r="E939" s="178" t="s">
        <v>409</v>
      </c>
      <c r="F939" s="210" t="s">
        <v>3012</v>
      </c>
      <c r="G939" s="58" t="s">
        <v>1761</v>
      </c>
      <c r="H939" s="546">
        <v>350220</v>
      </c>
      <c r="I939" s="66">
        <v>44790</v>
      </c>
      <c r="J939" s="411" t="s">
        <v>3013</v>
      </c>
      <c r="K939" s="58"/>
      <c r="L939" s="99"/>
      <c r="M939" s="70" t="s">
        <v>3014</v>
      </c>
      <c r="N939" s="97" t="s">
        <v>414</v>
      </c>
      <c r="O939" s="58"/>
      <c r="P939" s="58" t="s">
        <v>24</v>
      </c>
      <c r="Q939" s="58" t="s">
        <v>39</v>
      </c>
      <c r="R939" s="58" t="s">
        <v>272</v>
      </c>
    </row>
    <row r="940" spans="1:18" ht="69" customHeight="1">
      <c r="A940" s="168"/>
      <c r="B940" s="178">
        <v>6130</v>
      </c>
      <c r="C940" s="178" t="s">
        <v>309</v>
      </c>
      <c r="D940" s="575" t="s">
        <v>3015</v>
      </c>
      <c r="E940" s="178" t="s">
        <v>350</v>
      </c>
      <c r="F940" s="210" t="s">
        <v>3016</v>
      </c>
      <c r="G940" s="58" t="s">
        <v>352</v>
      </c>
      <c r="H940" s="546">
        <v>6461.02</v>
      </c>
      <c r="I940" s="66">
        <v>44795</v>
      </c>
      <c r="J940" s="411" t="s">
        <v>3017</v>
      </c>
      <c r="K940" s="58"/>
      <c r="L940" s="99"/>
      <c r="M940" s="70" t="s">
        <v>3018</v>
      </c>
      <c r="N940" s="97" t="s">
        <v>356</v>
      </c>
      <c r="O940" s="58" t="s">
        <v>141</v>
      </c>
      <c r="P940" s="58" t="s">
        <v>19</v>
      </c>
      <c r="Q940" s="58" t="s">
        <v>39</v>
      </c>
      <c r="R940" s="58" t="s">
        <v>265</v>
      </c>
    </row>
    <row r="941" spans="1:18" ht="69" customHeight="1">
      <c r="A941" s="168"/>
      <c r="B941" s="178">
        <v>7445</v>
      </c>
      <c r="C941" s="178" t="s">
        <v>309</v>
      </c>
      <c r="D941" s="575" t="s">
        <v>3019</v>
      </c>
      <c r="E941" s="178" t="s">
        <v>2312</v>
      </c>
      <c r="F941" s="210" t="s">
        <v>3020</v>
      </c>
      <c r="G941" s="58" t="s">
        <v>1069</v>
      </c>
      <c r="H941" s="546">
        <v>92910.67</v>
      </c>
      <c r="I941" s="66">
        <v>44895</v>
      </c>
      <c r="J941" s="411" t="s">
        <v>1070</v>
      </c>
      <c r="K941" s="58"/>
      <c r="L941" s="99"/>
      <c r="M941" s="70" t="s">
        <v>3021</v>
      </c>
      <c r="N941" s="97" t="s">
        <v>414</v>
      </c>
      <c r="O941" s="58"/>
      <c r="P941" s="58" t="s">
        <v>24</v>
      </c>
      <c r="Q941" s="58" t="s">
        <v>39</v>
      </c>
      <c r="R941" s="58" t="s">
        <v>265</v>
      </c>
    </row>
    <row r="942" spans="1:18" ht="69" customHeight="1">
      <c r="A942" s="168"/>
      <c r="B942" s="178">
        <v>7571</v>
      </c>
      <c r="C942" s="178" t="s">
        <v>309</v>
      </c>
      <c r="D942" s="575" t="s">
        <v>3022</v>
      </c>
      <c r="E942" s="178" t="s">
        <v>2075</v>
      </c>
      <c r="F942" s="210" t="s">
        <v>3023</v>
      </c>
      <c r="G942" s="58" t="s">
        <v>1041</v>
      </c>
      <c r="H942" s="546">
        <v>8680</v>
      </c>
      <c r="I942" s="66">
        <v>44904</v>
      </c>
      <c r="J942" s="411" t="s">
        <v>1080</v>
      </c>
      <c r="K942" s="58"/>
      <c r="L942" s="99"/>
      <c r="M942" s="70" t="s">
        <v>3024</v>
      </c>
      <c r="N942" s="97" t="s">
        <v>1044</v>
      </c>
      <c r="O942" s="58"/>
      <c r="P942" s="58" t="s">
        <v>26</v>
      </c>
      <c r="Q942" s="58" t="s">
        <v>39</v>
      </c>
      <c r="R942" s="58" t="s">
        <v>272</v>
      </c>
    </row>
    <row r="943" spans="1:18" ht="69" customHeight="1">
      <c r="A943" s="168"/>
      <c r="B943" s="178">
        <v>7576</v>
      </c>
      <c r="C943" s="178" t="s">
        <v>309</v>
      </c>
      <c r="D943" s="575" t="s">
        <v>3025</v>
      </c>
      <c r="E943" s="178" t="s">
        <v>2522</v>
      </c>
      <c r="F943" s="210" t="s">
        <v>3026</v>
      </c>
      <c r="G943" s="58" t="s">
        <v>1076</v>
      </c>
      <c r="H943" s="546">
        <v>317532.79999999999</v>
      </c>
      <c r="I943" s="66">
        <v>44893</v>
      </c>
      <c r="J943" s="411" t="s">
        <v>1077</v>
      </c>
      <c r="K943" s="58"/>
      <c r="L943" s="99"/>
      <c r="M943" s="70" t="s">
        <v>3014</v>
      </c>
      <c r="N943" s="97" t="s">
        <v>414</v>
      </c>
      <c r="O943" s="58"/>
      <c r="P943" s="58" t="s">
        <v>24</v>
      </c>
      <c r="Q943" s="58" t="s">
        <v>39</v>
      </c>
      <c r="R943" s="58" t="s">
        <v>272</v>
      </c>
    </row>
    <row r="944" spans="1:18" ht="69" customHeight="1">
      <c r="A944" s="168"/>
      <c r="B944" s="178">
        <v>7673</v>
      </c>
      <c r="C944" s="178" t="s">
        <v>309</v>
      </c>
      <c r="D944" s="575" t="s">
        <v>3027</v>
      </c>
      <c r="E944" s="178" t="s">
        <v>2312</v>
      </c>
      <c r="F944" s="210" t="s">
        <v>3028</v>
      </c>
      <c r="G944" s="58" t="s">
        <v>1085</v>
      </c>
      <c r="H944" s="546">
        <v>34800</v>
      </c>
      <c r="I944" s="66">
        <v>44900</v>
      </c>
      <c r="J944" s="411" t="s">
        <v>1086</v>
      </c>
      <c r="K944" s="58"/>
      <c r="L944" s="99"/>
      <c r="M944" s="70" t="s">
        <v>3021</v>
      </c>
      <c r="N944" s="97" t="s">
        <v>414</v>
      </c>
      <c r="O944" s="58"/>
      <c r="P944" s="58" t="s">
        <v>24</v>
      </c>
      <c r="Q944" s="58" t="s">
        <v>39</v>
      </c>
      <c r="R944" s="58" t="s">
        <v>265</v>
      </c>
    </row>
    <row r="945" spans="1:18" ht="69" customHeight="1">
      <c r="A945" s="168"/>
      <c r="B945" s="178">
        <v>7741</v>
      </c>
      <c r="C945" s="178" t="s">
        <v>309</v>
      </c>
      <c r="D945" s="575" t="s">
        <v>3029</v>
      </c>
      <c r="E945" s="178" t="s">
        <v>2312</v>
      </c>
      <c r="F945" s="210" t="s">
        <v>3030</v>
      </c>
      <c r="G945" s="58" t="s">
        <v>3031</v>
      </c>
      <c r="H945" s="546">
        <v>43598</v>
      </c>
      <c r="I945" s="66">
        <v>44907</v>
      </c>
      <c r="J945" s="411" t="s">
        <v>2800</v>
      </c>
      <c r="K945" s="58"/>
      <c r="L945" s="99"/>
      <c r="M945" s="70" t="s">
        <v>3021</v>
      </c>
      <c r="N945" s="97" t="s">
        <v>414</v>
      </c>
      <c r="O945" s="58"/>
      <c r="P945" s="58" t="s">
        <v>24</v>
      </c>
      <c r="Q945" s="58" t="s">
        <v>39</v>
      </c>
      <c r="R945" s="58" t="s">
        <v>265</v>
      </c>
    </row>
    <row r="946" spans="1:18" ht="69" customHeight="1">
      <c r="A946" s="168"/>
      <c r="B946" s="178">
        <v>7742</v>
      </c>
      <c r="C946" s="178" t="s">
        <v>309</v>
      </c>
      <c r="D946" s="575" t="s">
        <v>3032</v>
      </c>
      <c r="E946" s="178" t="s">
        <v>2312</v>
      </c>
      <c r="F946" s="210" t="s">
        <v>3033</v>
      </c>
      <c r="G946" s="58" t="s">
        <v>3034</v>
      </c>
      <c r="H946" s="546">
        <v>5241.6000000000004</v>
      </c>
      <c r="I946" s="66">
        <v>44909</v>
      </c>
      <c r="J946" s="411" t="s">
        <v>2800</v>
      </c>
      <c r="K946" s="58"/>
      <c r="L946" s="99"/>
      <c r="M946" s="70" t="s">
        <v>3021</v>
      </c>
      <c r="N946" s="97" t="s">
        <v>414</v>
      </c>
      <c r="O946" s="58"/>
      <c r="P946" s="58" t="s">
        <v>24</v>
      </c>
      <c r="Q946" s="58" t="s">
        <v>39</v>
      </c>
      <c r="R946" s="58" t="s">
        <v>265</v>
      </c>
    </row>
    <row r="947" spans="1:18" ht="69" customHeight="1">
      <c r="A947" s="168"/>
      <c r="B947" s="178">
        <v>8023</v>
      </c>
      <c r="C947" s="178" t="s">
        <v>309</v>
      </c>
      <c r="D947" s="575" t="s">
        <v>3035</v>
      </c>
      <c r="E947" s="178" t="s">
        <v>2312</v>
      </c>
      <c r="F947" s="210" t="s">
        <v>3036</v>
      </c>
      <c r="G947" s="58" t="s">
        <v>1142</v>
      </c>
      <c r="H947" s="546">
        <v>19890</v>
      </c>
      <c r="I947" s="66">
        <v>44909</v>
      </c>
      <c r="J947" s="411" t="s">
        <v>1139</v>
      </c>
      <c r="K947" s="58"/>
      <c r="L947" s="99"/>
      <c r="M947" s="70" t="s">
        <v>3021</v>
      </c>
      <c r="N947" s="97" t="s">
        <v>414</v>
      </c>
      <c r="O947" s="58"/>
      <c r="P947" s="58" t="s">
        <v>24</v>
      </c>
      <c r="Q947" s="58" t="s">
        <v>39</v>
      </c>
      <c r="R947" s="58" t="s">
        <v>265</v>
      </c>
    </row>
    <row r="948" spans="1:18" ht="69" customHeight="1">
      <c r="A948" s="168"/>
      <c r="B948" s="178">
        <v>8027</v>
      </c>
      <c r="C948" s="178" t="s">
        <v>309</v>
      </c>
      <c r="D948" s="575" t="s">
        <v>3037</v>
      </c>
      <c r="E948" s="178" t="s">
        <v>2312</v>
      </c>
      <c r="F948" s="210" t="s">
        <v>3038</v>
      </c>
      <c r="G948" s="58" t="s">
        <v>1138</v>
      </c>
      <c r="H948" s="546">
        <v>6000</v>
      </c>
      <c r="I948" s="66">
        <v>44909</v>
      </c>
      <c r="J948" s="411" t="s">
        <v>3039</v>
      </c>
      <c r="K948" s="58"/>
      <c r="L948" s="99"/>
      <c r="M948" s="70" t="s">
        <v>3021</v>
      </c>
      <c r="N948" s="97" t="s">
        <v>414</v>
      </c>
      <c r="O948" s="58"/>
      <c r="P948" s="58" t="s">
        <v>24</v>
      </c>
      <c r="Q948" s="58" t="s">
        <v>39</v>
      </c>
      <c r="R948" s="58" t="s">
        <v>265</v>
      </c>
    </row>
    <row r="949" spans="1:18" ht="69" customHeight="1">
      <c r="A949" s="168"/>
      <c r="B949" s="178">
        <v>8028</v>
      </c>
      <c r="C949" s="178" t="s">
        <v>309</v>
      </c>
      <c r="D949" s="575" t="s">
        <v>3040</v>
      </c>
      <c r="E949" s="178" t="s">
        <v>2312</v>
      </c>
      <c r="F949" s="210" t="s">
        <v>3041</v>
      </c>
      <c r="G949" s="58" t="s">
        <v>1142</v>
      </c>
      <c r="H949" s="546">
        <v>24000</v>
      </c>
      <c r="I949" s="66">
        <v>44909</v>
      </c>
      <c r="J949" s="411" t="s">
        <v>3039</v>
      </c>
      <c r="K949" s="58"/>
      <c r="L949" s="99"/>
      <c r="M949" s="70" t="s">
        <v>3021</v>
      </c>
      <c r="N949" s="97" t="s">
        <v>414</v>
      </c>
      <c r="O949" s="58"/>
      <c r="P949" s="58" t="s">
        <v>24</v>
      </c>
      <c r="Q949" s="58" t="s">
        <v>39</v>
      </c>
      <c r="R949" s="58" t="s">
        <v>265</v>
      </c>
    </row>
    <row r="950" spans="1:18" ht="69" customHeight="1">
      <c r="A950" s="168"/>
      <c r="B950" s="191">
        <v>8030</v>
      </c>
      <c r="C950" s="191" t="s">
        <v>309</v>
      </c>
      <c r="D950" s="533" t="s">
        <v>2596</v>
      </c>
      <c r="E950" s="191" t="s">
        <v>2312</v>
      </c>
      <c r="F950" s="211" t="s">
        <v>2597</v>
      </c>
      <c r="G950" s="46" t="s">
        <v>1138</v>
      </c>
      <c r="H950" s="534">
        <v>12810</v>
      </c>
      <c r="I950" s="56">
        <v>44909</v>
      </c>
      <c r="J950" s="412" t="s">
        <v>2561</v>
      </c>
      <c r="K950" s="46" t="s">
        <v>881</v>
      </c>
      <c r="L950" s="99"/>
      <c r="M950" s="379"/>
      <c r="N950" s="76" t="s">
        <v>414</v>
      </c>
      <c r="O950" s="46"/>
      <c r="P950" s="46" t="s">
        <v>65</v>
      </c>
      <c r="Q950" s="46" t="s">
        <v>39</v>
      </c>
      <c r="R950" s="46" t="s">
        <v>272</v>
      </c>
    </row>
    <row r="951" spans="1:18" ht="69" customHeight="1">
      <c r="A951" s="168"/>
      <c r="B951" s="178">
        <v>8144</v>
      </c>
      <c r="C951" s="178" t="s">
        <v>309</v>
      </c>
      <c r="D951" s="575" t="s">
        <v>3042</v>
      </c>
      <c r="E951" s="178" t="s">
        <v>2312</v>
      </c>
      <c r="F951" s="210" t="s">
        <v>3043</v>
      </c>
      <c r="G951" s="58" t="s">
        <v>1145</v>
      </c>
      <c r="H951" s="546">
        <v>34800</v>
      </c>
      <c r="I951" s="66">
        <v>44914</v>
      </c>
      <c r="J951" s="411" t="s">
        <v>1146</v>
      </c>
      <c r="K951" s="58"/>
      <c r="L951" s="99"/>
      <c r="M951" s="70" t="s">
        <v>3021</v>
      </c>
      <c r="N951" s="97" t="s">
        <v>414</v>
      </c>
      <c r="O951" s="58"/>
      <c r="P951" s="58" t="s">
        <v>24</v>
      </c>
      <c r="Q951" s="58" t="s">
        <v>39</v>
      </c>
      <c r="R951" s="58" t="s">
        <v>265</v>
      </c>
    </row>
    <row r="952" spans="1:18" ht="69" customHeight="1">
      <c r="A952" s="168"/>
      <c r="B952" s="178">
        <v>6426</v>
      </c>
      <c r="C952" s="178" t="s">
        <v>309</v>
      </c>
      <c r="D952" s="575" t="s">
        <v>3044</v>
      </c>
      <c r="E952" s="178" t="s">
        <v>432</v>
      </c>
      <c r="F952" s="210" t="s">
        <v>3045</v>
      </c>
      <c r="G952" s="58" t="s">
        <v>429</v>
      </c>
      <c r="H952" s="546">
        <v>13959.486000000001</v>
      </c>
      <c r="I952" s="66">
        <v>44802</v>
      </c>
      <c r="J952" s="411" t="s">
        <v>3046</v>
      </c>
      <c r="K952" s="58"/>
      <c r="L952" s="99"/>
      <c r="M952" s="70" t="s">
        <v>3047</v>
      </c>
      <c r="N952" s="97" t="s">
        <v>432</v>
      </c>
      <c r="O952" s="58"/>
      <c r="P952" s="58" t="s">
        <v>53</v>
      </c>
      <c r="Q952" s="58" t="s">
        <v>39</v>
      </c>
      <c r="R952" s="58" t="s">
        <v>272</v>
      </c>
    </row>
    <row r="953" spans="1:18" ht="69" customHeight="1">
      <c r="A953" s="168"/>
      <c r="B953" s="178">
        <v>8247</v>
      </c>
      <c r="C953" s="178" t="s">
        <v>309</v>
      </c>
      <c r="D953" s="575" t="s">
        <v>3048</v>
      </c>
      <c r="E953" s="178" t="s">
        <v>2312</v>
      </c>
      <c r="F953" s="210" t="s">
        <v>3049</v>
      </c>
      <c r="G953" s="58" t="s">
        <v>1133</v>
      </c>
      <c r="H953" s="546">
        <v>37333.33</v>
      </c>
      <c r="I953" s="66">
        <v>44921</v>
      </c>
      <c r="J953" s="411" t="s">
        <v>1134</v>
      </c>
      <c r="K953" s="58"/>
      <c r="L953" s="99"/>
      <c r="M953" s="70" t="s">
        <v>3021</v>
      </c>
      <c r="N953" s="97" t="s">
        <v>414</v>
      </c>
      <c r="O953" s="58"/>
      <c r="P953" s="58" t="s">
        <v>24</v>
      </c>
      <c r="Q953" s="58" t="s">
        <v>39</v>
      </c>
      <c r="R953" s="58" t="s">
        <v>265</v>
      </c>
    </row>
    <row r="954" spans="1:18" ht="69" customHeight="1">
      <c r="A954" s="168"/>
      <c r="B954" s="178">
        <v>8248</v>
      </c>
      <c r="C954" s="178" t="s">
        <v>309</v>
      </c>
      <c r="D954" s="575" t="s">
        <v>3050</v>
      </c>
      <c r="E954" s="178" t="s">
        <v>2312</v>
      </c>
      <c r="F954" s="210" t="s">
        <v>3051</v>
      </c>
      <c r="G954" s="58" t="s">
        <v>1133</v>
      </c>
      <c r="H954" s="546">
        <v>34800</v>
      </c>
      <c r="I954" s="66">
        <v>44921</v>
      </c>
      <c r="J954" s="411" t="s">
        <v>1134</v>
      </c>
      <c r="K954" s="58"/>
      <c r="L954" s="99"/>
      <c r="M954" s="70" t="s">
        <v>3021</v>
      </c>
      <c r="N954" s="97" t="s">
        <v>414</v>
      </c>
      <c r="O954" s="58"/>
      <c r="P954" s="58" t="s">
        <v>24</v>
      </c>
      <c r="Q954" s="58" t="s">
        <v>39</v>
      </c>
      <c r="R954" s="58" t="s">
        <v>265</v>
      </c>
    </row>
    <row r="955" spans="1:18" ht="69" customHeight="1">
      <c r="A955" s="168"/>
      <c r="B955" s="178">
        <v>8391</v>
      </c>
      <c r="C955" s="178" t="s">
        <v>309</v>
      </c>
      <c r="D955" s="575" t="s">
        <v>3052</v>
      </c>
      <c r="E955" s="178" t="s">
        <v>2312</v>
      </c>
      <c r="F955" s="210" t="s">
        <v>3053</v>
      </c>
      <c r="G955" s="58" t="s">
        <v>3054</v>
      </c>
      <c r="H955" s="546">
        <v>66693.3</v>
      </c>
      <c r="I955" s="66">
        <v>44923</v>
      </c>
      <c r="J955" s="411" t="s">
        <v>3055</v>
      </c>
      <c r="K955" s="58"/>
      <c r="L955" s="99"/>
      <c r="M955" s="70" t="s">
        <v>3021</v>
      </c>
      <c r="N955" s="97" t="s">
        <v>414</v>
      </c>
      <c r="O955" s="58"/>
      <c r="P955" s="58" t="s">
        <v>24</v>
      </c>
      <c r="Q955" s="58" t="s">
        <v>39</v>
      </c>
      <c r="R955" s="58" t="s">
        <v>265</v>
      </c>
    </row>
    <row r="956" spans="1:18" ht="69" customHeight="1">
      <c r="A956" s="168"/>
      <c r="B956" s="178">
        <v>8392</v>
      </c>
      <c r="C956" s="178" t="s">
        <v>309</v>
      </c>
      <c r="D956" s="575" t="s">
        <v>3056</v>
      </c>
      <c r="E956" s="178" t="s">
        <v>2312</v>
      </c>
      <c r="F956" s="210" t="s">
        <v>3057</v>
      </c>
      <c r="G956" s="58" t="s">
        <v>3058</v>
      </c>
      <c r="H956" s="546">
        <v>101500</v>
      </c>
      <c r="I956" s="66">
        <v>44923</v>
      </c>
      <c r="J956" s="411" t="s">
        <v>3055</v>
      </c>
      <c r="K956" s="58"/>
      <c r="L956" s="99"/>
      <c r="M956" s="70" t="s">
        <v>3021</v>
      </c>
      <c r="N956" s="97" t="s">
        <v>414</v>
      </c>
      <c r="O956" s="58"/>
      <c r="P956" s="58" t="s">
        <v>24</v>
      </c>
      <c r="Q956" s="58" t="s">
        <v>39</v>
      </c>
      <c r="R956" s="58" t="s">
        <v>265</v>
      </c>
    </row>
    <row r="957" spans="1:18" ht="69" customHeight="1">
      <c r="A957" s="168"/>
      <c r="B957" s="191">
        <v>8358</v>
      </c>
      <c r="C957" s="191" t="s">
        <v>309</v>
      </c>
      <c r="D957" s="533" t="s">
        <v>3059</v>
      </c>
      <c r="E957" s="191" t="s">
        <v>2312</v>
      </c>
      <c r="F957" s="211" t="s">
        <v>3060</v>
      </c>
      <c r="G957" s="46" t="s">
        <v>1168</v>
      </c>
      <c r="H957" s="534">
        <v>22478.04</v>
      </c>
      <c r="I957" s="56">
        <v>44923</v>
      </c>
      <c r="J957" s="412" t="s">
        <v>1169</v>
      </c>
      <c r="K957" s="46" t="s">
        <v>881</v>
      </c>
      <c r="L957" s="99"/>
      <c r="M957" s="379"/>
      <c r="N957" s="76" t="s">
        <v>414</v>
      </c>
      <c r="O957" s="46"/>
      <c r="P957" s="46" t="s">
        <v>71</v>
      </c>
      <c r="Q957" s="46" t="s">
        <v>39</v>
      </c>
      <c r="R957" s="46" t="s">
        <v>272</v>
      </c>
    </row>
    <row r="958" spans="1:18" ht="69" customHeight="1">
      <c r="A958" s="168"/>
      <c r="B958" s="178">
        <v>7308</v>
      </c>
      <c r="C958" s="178" t="s">
        <v>309</v>
      </c>
      <c r="D958" s="575" t="s">
        <v>3061</v>
      </c>
      <c r="E958" s="178" t="s">
        <v>2075</v>
      </c>
      <c r="F958" s="210" t="s">
        <v>3062</v>
      </c>
      <c r="G958" s="58" t="s">
        <v>1041</v>
      </c>
      <c r="H958" s="546">
        <v>19060</v>
      </c>
      <c r="I958" s="66">
        <v>44869</v>
      </c>
      <c r="J958" s="411" t="s">
        <v>1113</v>
      </c>
      <c r="K958" s="58"/>
      <c r="L958" s="99"/>
      <c r="M958" s="70" t="s">
        <v>3024</v>
      </c>
      <c r="N958" s="97" t="s">
        <v>1044</v>
      </c>
      <c r="O958" s="58"/>
      <c r="P958" s="58" t="s">
        <v>26</v>
      </c>
      <c r="Q958" s="58" t="s">
        <v>39</v>
      </c>
      <c r="R958" s="58" t="s">
        <v>272</v>
      </c>
    </row>
    <row r="959" spans="1:18" ht="69" customHeight="1">
      <c r="A959" s="168"/>
      <c r="B959" s="178">
        <v>7474</v>
      </c>
      <c r="C959" s="178" t="s">
        <v>309</v>
      </c>
      <c r="D959" s="575" t="s">
        <v>3063</v>
      </c>
      <c r="E959" s="178" t="s">
        <v>2075</v>
      </c>
      <c r="F959" s="210" t="s">
        <v>3064</v>
      </c>
      <c r="G959" s="58" t="s">
        <v>1041</v>
      </c>
      <c r="H959" s="546">
        <v>95333.119999999995</v>
      </c>
      <c r="I959" s="66">
        <v>44890</v>
      </c>
      <c r="J959" s="411" t="s">
        <v>1042</v>
      </c>
      <c r="K959" s="58"/>
      <c r="L959" s="99"/>
      <c r="M959" s="70" t="s">
        <v>3024</v>
      </c>
      <c r="N959" s="97" t="s">
        <v>1044</v>
      </c>
      <c r="O959" s="58"/>
      <c r="P959" s="58" t="s">
        <v>26</v>
      </c>
      <c r="Q959" s="58" t="s">
        <v>39</v>
      </c>
      <c r="R959" s="58" t="s">
        <v>272</v>
      </c>
    </row>
    <row r="960" spans="1:18" ht="69" customHeight="1">
      <c r="A960" s="168"/>
      <c r="B960" s="178">
        <v>6821</v>
      </c>
      <c r="C960" s="178" t="s">
        <v>309</v>
      </c>
      <c r="D960" s="575" t="s">
        <v>3065</v>
      </c>
      <c r="E960" s="178" t="s">
        <v>2312</v>
      </c>
      <c r="F960" s="210" t="s">
        <v>3066</v>
      </c>
      <c r="G960" s="58" t="s">
        <v>1048</v>
      </c>
      <c r="H960" s="546">
        <v>22410.06</v>
      </c>
      <c r="I960" s="66">
        <v>44832</v>
      </c>
      <c r="J960" s="411" t="s">
        <v>3067</v>
      </c>
      <c r="K960" s="58"/>
      <c r="L960" s="99"/>
      <c r="M960" s="70" t="s">
        <v>3021</v>
      </c>
      <c r="N960" s="97" t="s">
        <v>414</v>
      </c>
      <c r="O960" s="58"/>
      <c r="P960" s="58" t="s">
        <v>24</v>
      </c>
      <c r="Q960" s="58" t="s">
        <v>39</v>
      </c>
      <c r="R960" s="58" t="s">
        <v>265</v>
      </c>
    </row>
    <row r="961" spans="1:18" ht="69" customHeight="1">
      <c r="A961" s="168"/>
      <c r="B961" s="178">
        <v>6884</v>
      </c>
      <c r="C961" s="178" t="s">
        <v>309</v>
      </c>
      <c r="D961" s="575" t="s">
        <v>3068</v>
      </c>
      <c r="E961" s="178" t="s">
        <v>2312</v>
      </c>
      <c r="F961" s="210" t="s">
        <v>3069</v>
      </c>
      <c r="G961" s="58" t="s">
        <v>1048</v>
      </c>
      <c r="H961" s="546">
        <v>83298.97</v>
      </c>
      <c r="I961" s="66">
        <v>44834</v>
      </c>
      <c r="J961" s="411" t="s">
        <v>3070</v>
      </c>
      <c r="K961" s="58"/>
      <c r="L961" s="99"/>
      <c r="M961" s="70" t="s">
        <v>3021</v>
      </c>
      <c r="N961" s="97" t="s">
        <v>414</v>
      </c>
      <c r="O961" s="58"/>
      <c r="P961" s="58" t="s">
        <v>24</v>
      </c>
      <c r="Q961" s="58" t="s">
        <v>39</v>
      </c>
      <c r="R961" s="58" t="s">
        <v>265</v>
      </c>
    </row>
    <row r="962" spans="1:18" ht="69" customHeight="1">
      <c r="A962" s="168"/>
      <c r="B962" s="178">
        <v>7127</v>
      </c>
      <c r="C962" s="178" t="s">
        <v>309</v>
      </c>
      <c r="D962" s="575" t="s">
        <v>3071</v>
      </c>
      <c r="E962" s="178" t="s">
        <v>2312</v>
      </c>
      <c r="F962" s="210" t="s">
        <v>3072</v>
      </c>
      <c r="G962" s="58" t="s">
        <v>1048</v>
      </c>
      <c r="H962" s="546">
        <v>10389.4</v>
      </c>
      <c r="I962" s="66">
        <v>44855</v>
      </c>
      <c r="J962" s="411" t="s">
        <v>1860</v>
      </c>
      <c r="K962" s="58"/>
      <c r="L962" s="99"/>
      <c r="M962" s="70" t="s">
        <v>3021</v>
      </c>
      <c r="N962" s="97" t="s">
        <v>414</v>
      </c>
      <c r="O962" s="58"/>
      <c r="P962" s="58" t="s">
        <v>24</v>
      </c>
      <c r="Q962" s="58" t="s">
        <v>39</v>
      </c>
      <c r="R962" s="58" t="s">
        <v>265</v>
      </c>
    </row>
    <row r="963" spans="1:18" ht="69" customHeight="1">
      <c r="A963" s="168"/>
      <c r="B963" s="178">
        <v>7202</v>
      </c>
      <c r="C963" s="178" t="s">
        <v>309</v>
      </c>
      <c r="D963" s="575" t="s">
        <v>3073</v>
      </c>
      <c r="E963" s="178" t="s">
        <v>2312</v>
      </c>
      <c r="F963" s="210" t="s">
        <v>3074</v>
      </c>
      <c r="G963" s="58" t="s">
        <v>1048</v>
      </c>
      <c r="H963" s="546">
        <v>40750</v>
      </c>
      <c r="I963" s="66">
        <v>44860</v>
      </c>
      <c r="J963" s="411" t="s">
        <v>1848</v>
      </c>
      <c r="K963" s="58"/>
      <c r="L963" s="99"/>
      <c r="M963" s="70" t="s">
        <v>3021</v>
      </c>
      <c r="N963" s="97" t="s">
        <v>414</v>
      </c>
      <c r="O963" s="58"/>
      <c r="P963" s="58" t="s">
        <v>24</v>
      </c>
      <c r="Q963" s="58" t="s">
        <v>39</v>
      </c>
      <c r="R963" s="58" t="s">
        <v>265</v>
      </c>
    </row>
    <row r="964" spans="1:18" ht="69" customHeight="1">
      <c r="A964" s="168"/>
      <c r="B964" s="178">
        <v>7203</v>
      </c>
      <c r="C964" s="178" t="s">
        <v>309</v>
      </c>
      <c r="D964" s="575" t="s">
        <v>3075</v>
      </c>
      <c r="E964" s="178" t="s">
        <v>2312</v>
      </c>
      <c r="F964" s="210" t="s">
        <v>3076</v>
      </c>
      <c r="G964" s="58" t="s">
        <v>1048</v>
      </c>
      <c r="H964" s="546">
        <v>31270</v>
      </c>
      <c r="I964" s="66">
        <v>44860</v>
      </c>
      <c r="J964" s="411" t="s">
        <v>1848</v>
      </c>
      <c r="K964" s="58"/>
      <c r="L964" s="99"/>
      <c r="M964" s="70" t="s">
        <v>3021</v>
      </c>
      <c r="N964" s="97" t="s">
        <v>414</v>
      </c>
      <c r="O964" s="58"/>
      <c r="P964" s="58" t="s">
        <v>24</v>
      </c>
      <c r="Q964" s="58" t="s">
        <v>39</v>
      </c>
      <c r="R964" s="58" t="s">
        <v>265</v>
      </c>
    </row>
    <row r="965" spans="1:18" ht="69" customHeight="1">
      <c r="A965" s="168"/>
      <c r="B965" s="178">
        <v>7204</v>
      </c>
      <c r="C965" s="178" t="s">
        <v>309</v>
      </c>
      <c r="D965" s="575" t="s">
        <v>3077</v>
      </c>
      <c r="E965" s="178" t="s">
        <v>2312</v>
      </c>
      <c r="F965" s="210" t="s">
        <v>3078</v>
      </c>
      <c r="G965" s="58" t="s">
        <v>1847</v>
      </c>
      <c r="H965" s="546">
        <v>37111.11</v>
      </c>
      <c r="I965" s="66">
        <v>44860</v>
      </c>
      <c r="J965" s="411" t="s">
        <v>1848</v>
      </c>
      <c r="K965" s="58"/>
      <c r="L965" s="99"/>
      <c r="M965" s="70" t="s">
        <v>3021</v>
      </c>
      <c r="N965" s="97" t="s">
        <v>414</v>
      </c>
      <c r="O965" s="58"/>
      <c r="P965" s="58" t="s">
        <v>24</v>
      </c>
      <c r="Q965" s="58" t="s">
        <v>39</v>
      </c>
      <c r="R965" s="58" t="s">
        <v>265</v>
      </c>
    </row>
    <row r="966" spans="1:18" ht="69" customHeight="1">
      <c r="A966" s="168"/>
      <c r="B966" s="178">
        <v>7205</v>
      </c>
      <c r="C966" s="178" t="s">
        <v>309</v>
      </c>
      <c r="D966" s="575" t="s">
        <v>3079</v>
      </c>
      <c r="E966" s="178" t="s">
        <v>2312</v>
      </c>
      <c r="F966" s="210" t="s">
        <v>3080</v>
      </c>
      <c r="G966" s="58" t="s">
        <v>1863</v>
      </c>
      <c r="H966" s="546">
        <v>9277.7800000000007</v>
      </c>
      <c r="I966" s="66">
        <v>44860</v>
      </c>
      <c r="J966" s="411" t="s">
        <v>1848</v>
      </c>
      <c r="K966" s="58"/>
      <c r="L966" s="99"/>
      <c r="M966" s="70" t="s">
        <v>3021</v>
      </c>
      <c r="N966" s="97" t="s">
        <v>414</v>
      </c>
      <c r="O966" s="58"/>
      <c r="P966" s="58" t="s">
        <v>24</v>
      </c>
      <c r="Q966" s="58" t="s">
        <v>39</v>
      </c>
      <c r="R966" s="58" t="s">
        <v>265</v>
      </c>
    </row>
    <row r="967" spans="1:18" ht="69" customHeight="1">
      <c r="A967" s="168"/>
      <c r="B967" s="178">
        <v>7521</v>
      </c>
      <c r="C967" s="178" t="s">
        <v>309</v>
      </c>
      <c r="D967" s="575" t="s">
        <v>3081</v>
      </c>
      <c r="E967" s="178" t="s">
        <v>2312</v>
      </c>
      <c r="F967" s="210" t="s">
        <v>3082</v>
      </c>
      <c r="G967" s="58" t="s">
        <v>1048</v>
      </c>
      <c r="H967" s="546">
        <v>54510.7</v>
      </c>
      <c r="I967" s="66">
        <v>44883</v>
      </c>
      <c r="J967" s="411" t="s">
        <v>3083</v>
      </c>
      <c r="K967" s="58"/>
      <c r="L967" s="99"/>
      <c r="M967" s="70" t="s">
        <v>3021</v>
      </c>
      <c r="N967" s="97" t="s">
        <v>414</v>
      </c>
      <c r="O967" s="58"/>
      <c r="P967" s="58" t="s">
        <v>24</v>
      </c>
      <c r="Q967" s="58" t="s">
        <v>39</v>
      </c>
      <c r="R967" s="58" t="s">
        <v>265</v>
      </c>
    </row>
    <row r="968" spans="1:18" ht="69" customHeight="1">
      <c r="A968" s="168"/>
      <c r="B968" s="178">
        <v>7590</v>
      </c>
      <c r="C968" s="178" t="s">
        <v>309</v>
      </c>
      <c r="D968" s="575" t="s">
        <v>459</v>
      </c>
      <c r="E968" s="178" t="s">
        <v>2312</v>
      </c>
      <c r="F968" s="210" t="s">
        <v>3084</v>
      </c>
      <c r="G968" s="58" t="s">
        <v>1048</v>
      </c>
      <c r="H968" s="546">
        <v>5440</v>
      </c>
      <c r="I968" s="66">
        <v>44890</v>
      </c>
      <c r="J968" s="411" t="s">
        <v>1785</v>
      </c>
      <c r="K968" s="58"/>
      <c r="L968" s="99"/>
      <c r="M968" s="70" t="s">
        <v>3021</v>
      </c>
      <c r="N968" s="97" t="s">
        <v>414</v>
      </c>
      <c r="O968" s="58"/>
      <c r="P968" s="58" t="s">
        <v>24</v>
      </c>
      <c r="Q968" s="58" t="s">
        <v>39</v>
      </c>
      <c r="R968" s="58" t="s">
        <v>265</v>
      </c>
    </row>
    <row r="969" spans="1:18" ht="69" customHeight="1">
      <c r="A969" s="168"/>
      <c r="B969" s="178">
        <v>7591</v>
      </c>
      <c r="C969" s="178" t="s">
        <v>309</v>
      </c>
      <c r="D969" s="575" t="s">
        <v>3085</v>
      </c>
      <c r="E969" s="178" t="s">
        <v>2312</v>
      </c>
      <c r="F969" s="210" t="s">
        <v>3086</v>
      </c>
      <c r="G969" s="58" t="s">
        <v>1048</v>
      </c>
      <c r="H969" s="546">
        <v>6435</v>
      </c>
      <c r="I969" s="66">
        <v>44890</v>
      </c>
      <c r="J969" s="411" t="s">
        <v>1785</v>
      </c>
      <c r="K969" s="58"/>
      <c r="L969" s="99"/>
      <c r="M969" s="70" t="s">
        <v>3021</v>
      </c>
      <c r="N969" s="97" t="s">
        <v>414</v>
      </c>
      <c r="O969" s="58"/>
      <c r="P969" s="58" t="s">
        <v>24</v>
      </c>
      <c r="Q969" s="58" t="s">
        <v>39</v>
      </c>
      <c r="R969" s="58" t="s">
        <v>265</v>
      </c>
    </row>
    <row r="970" spans="1:18" ht="69" customHeight="1">
      <c r="A970" s="168"/>
      <c r="B970" s="178">
        <v>7592</v>
      </c>
      <c r="C970" s="178" t="s">
        <v>309</v>
      </c>
      <c r="D970" s="575" t="s">
        <v>3087</v>
      </c>
      <c r="E970" s="178" t="s">
        <v>2312</v>
      </c>
      <c r="F970" s="210" t="s">
        <v>3088</v>
      </c>
      <c r="G970" s="58" t="s">
        <v>1048</v>
      </c>
      <c r="H970" s="546">
        <v>25740</v>
      </c>
      <c r="I970" s="66">
        <v>44890</v>
      </c>
      <c r="J970" s="411" t="s">
        <v>1785</v>
      </c>
      <c r="K970" s="58"/>
      <c r="L970" s="99"/>
      <c r="M970" s="70" t="s">
        <v>3021</v>
      </c>
      <c r="N970" s="97" t="s">
        <v>414</v>
      </c>
      <c r="O970" s="58"/>
      <c r="P970" s="58" t="s">
        <v>24</v>
      </c>
      <c r="Q970" s="58" t="s">
        <v>39</v>
      </c>
      <c r="R970" s="58" t="s">
        <v>265</v>
      </c>
    </row>
    <row r="971" spans="1:18" ht="69" customHeight="1">
      <c r="A971" s="168"/>
      <c r="B971" s="178">
        <v>7589</v>
      </c>
      <c r="C971" s="178" t="s">
        <v>309</v>
      </c>
      <c r="D971" s="575" t="s">
        <v>3089</v>
      </c>
      <c r="E971" s="178" t="s">
        <v>2312</v>
      </c>
      <c r="F971" s="210" t="s">
        <v>3090</v>
      </c>
      <c r="G971" s="58" t="s">
        <v>1048</v>
      </c>
      <c r="H971" s="546">
        <v>19890</v>
      </c>
      <c r="I971" s="66">
        <v>44890</v>
      </c>
      <c r="J971" s="411" t="s">
        <v>1785</v>
      </c>
      <c r="K971" s="58"/>
      <c r="L971" s="99"/>
      <c r="M971" s="70" t="s">
        <v>3021</v>
      </c>
      <c r="N971" s="97" t="s">
        <v>414</v>
      </c>
      <c r="O971" s="58"/>
      <c r="P971" s="58" t="s">
        <v>24</v>
      </c>
      <c r="Q971" s="58" t="s">
        <v>39</v>
      </c>
      <c r="R971" s="58" t="s">
        <v>265</v>
      </c>
    </row>
    <row r="972" spans="1:18" ht="69" customHeight="1">
      <c r="A972" s="168"/>
      <c r="B972" s="178">
        <v>8562</v>
      </c>
      <c r="C972" s="178" t="s">
        <v>309</v>
      </c>
      <c r="D972" s="575" t="s">
        <v>3091</v>
      </c>
      <c r="E972" s="178" t="s">
        <v>2075</v>
      </c>
      <c r="F972" s="210" t="s">
        <v>3092</v>
      </c>
      <c r="G972" s="58" t="s">
        <v>1877</v>
      </c>
      <c r="H972" s="546">
        <v>11082.6</v>
      </c>
      <c r="I972" s="66">
        <v>44946</v>
      </c>
      <c r="J972" s="411" t="s">
        <v>1878</v>
      </c>
      <c r="K972" s="58"/>
      <c r="L972" s="99"/>
      <c r="M972" s="70" t="s">
        <v>3024</v>
      </c>
      <c r="N972" s="97" t="s">
        <v>1044</v>
      </c>
      <c r="O972" s="58"/>
      <c r="P972" s="58" t="s">
        <v>26</v>
      </c>
      <c r="Q972" s="58" t="s">
        <v>39</v>
      </c>
      <c r="R972" s="58" t="s">
        <v>272</v>
      </c>
    </row>
    <row r="973" spans="1:18" ht="69" customHeight="1">
      <c r="A973" s="168"/>
      <c r="B973" s="178">
        <v>8598</v>
      </c>
      <c r="C973" s="178" t="s">
        <v>309</v>
      </c>
      <c r="D973" s="575" t="s">
        <v>3093</v>
      </c>
      <c r="E973" s="178" t="s">
        <v>2312</v>
      </c>
      <c r="F973" s="210" t="s">
        <v>3094</v>
      </c>
      <c r="G973" s="58" t="s">
        <v>1188</v>
      </c>
      <c r="H973" s="546">
        <v>24000</v>
      </c>
      <c r="I973" s="66">
        <v>44946</v>
      </c>
      <c r="J973" s="411" t="s">
        <v>1189</v>
      </c>
      <c r="K973" s="58"/>
      <c r="L973" s="99"/>
      <c r="M973" s="70" t="s">
        <v>3021</v>
      </c>
      <c r="N973" s="97" t="s">
        <v>414</v>
      </c>
      <c r="O973" s="58"/>
      <c r="P973" s="58" t="s">
        <v>24</v>
      </c>
      <c r="Q973" s="58" t="s">
        <v>39</v>
      </c>
      <c r="R973" s="58" t="s">
        <v>265</v>
      </c>
    </row>
    <row r="974" spans="1:18" ht="69" customHeight="1">
      <c r="A974" s="168"/>
      <c r="B974" s="178">
        <v>8599</v>
      </c>
      <c r="C974" s="178" t="s">
        <v>309</v>
      </c>
      <c r="D974" s="575" t="s">
        <v>3095</v>
      </c>
      <c r="E974" s="178" t="s">
        <v>2312</v>
      </c>
      <c r="F974" s="210" t="s">
        <v>3096</v>
      </c>
      <c r="G974" s="58" t="s">
        <v>1192</v>
      </c>
      <c r="H974" s="546">
        <v>6000</v>
      </c>
      <c r="I974" s="66">
        <v>44946</v>
      </c>
      <c r="J974" s="411" t="s">
        <v>1189</v>
      </c>
      <c r="K974" s="58"/>
      <c r="L974" s="99"/>
      <c r="M974" s="70" t="s">
        <v>3021</v>
      </c>
      <c r="N974" s="97" t="s">
        <v>414</v>
      </c>
      <c r="O974" s="58"/>
      <c r="P974" s="58" t="s">
        <v>24</v>
      </c>
      <c r="Q974" s="58" t="s">
        <v>39</v>
      </c>
      <c r="R974" s="58" t="s">
        <v>265</v>
      </c>
    </row>
    <row r="975" spans="1:18" ht="69" customHeight="1">
      <c r="A975" s="168"/>
      <c r="B975" s="191">
        <v>8611</v>
      </c>
      <c r="C975" s="191" t="s">
        <v>309</v>
      </c>
      <c r="D975" s="533" t="s">
        <v>3097</v>
      </c>
      <c r="E975" s="191" t="s">
        <v>1198</v>
      </c>
      <c r="F975" s="211" t="s">
        <v>3098</v>
      </c>
      <c r="G975" s="46" t="s">
        <v>1200</v>
      </c>
      <c r="H975" s="534">
        <v>6743.41</v>
      </c>
      <c r="I975" s="56">
        <v>44946</v>
      </c>
      <c r="J975" s="412" t="s">
        <v>1201</v>
      </c>
      <c r="K975" s="46" t="s">
        <v>881</v>
      </c>
      <c r="L975" s="99"/>
      <c r="M975" s="379"/>
      <c r="N975" s="76" t="s">
        <v>414</v>
      </c>
      <c r="O975" s="46"/>
      <c r="P975" s="46" t="s">
        <v>71</v>
      </c>
      <c r="Q975" s="46" t="s">
        <v>39</v>
      </c>
      <c r="R975" s="46" t="s">
        <v>272</v>
      </c>
    </row>
    <row r="976" spans="1:18" ht="69" customHeight="1">
      <c r="A976" s="168"/>
      <c r="B976" s="178">
        <v>8694</v>
      </c>
      <c r="C976" s="178" t="s">
        <v>309</v>
      </c>
      <c r="D976" s="575" t="s">
        <v>3099</v>
      </c>
      <c r="E976" s="178" t="s">
        <v>2312</v>
      </c>
      <c r="F976" s="210" t="s">
        <v>3100</v>
      </c>
      <c r="G976" s="58" t="s">
        <v>1204</v>
      </c>
      <c r="H976" s="546">
        <v>34800</v>
      </c>
      <c r="I976" s="66">
        <v>44949</v>
      </c>
      <c r="J976" s="411" t="s">
        <v>1205</v>
      </c>
      <c r="K976" s="58"/>
      <c r="L976" s="99"/>
      <c r="M976" s="70" t="s">
        <v>3021</v>
      </c>
      <c r="N976" s="97" t="s">
        <v>414</v>
      </c>
      <c r="O976" s="58"/>
      <c r="P976" s="58" t="s">
        <v>24</v>
      </c>
      <c r="Q976" s="58" t="s">
        <v>39</v>
      </c>
      <c r="R976" s="58" t="s">
        <v>265</v>
      </c>
    </row>
    <row r="977" spans="1:18" ht="69" customHeight="1">
      <c r="A977" s="168"/>
      <c r="B977" s="178">
        <v>7338</v>
      </c>
      <c r="C977" s="178" t="s">
        <v>309</v>
      </c>
      <c r="D977" s="575" t="s">
        <v>3101</v>
      </c>
      <c r="E977" s="178" t="s">
        <v>2522</v>
      </c>
      <c r="F977" s="210" t="s">
        <v>3102</v>
      </c>
      <c r="G977" s="58" t="s">
        <v>1095</v>
      </c>
      <c r="H977" s="546">
        <v>117673.92</v>
      </c>
      <c r="I977" s="66">
        <v>44874</v>
      </c>
      <c r="J977" s="411" t="s">
        <v>1096</v>
      </c>
      <c r="K977" s="58"/>
      <c r="L977" s="99"/>
      <c r="M977" s="70" t="s">
        <v>3014</v>
      </c>
      <c r="N977" s="97" t="s">
        <v>414</v>
      </c>
      <c r="O977" s="58"/>
      <c r="P977" s="58" t="s">
        <v>24</v>
      </c>
      <c r="Q977" s="58" t="s">
        <v>39</v>
      </c>
      <c r="R977" s="58" t="s">
        <v>272</v>
      </c>
    </row>
    <row r="978" spans="1:18" ht="69" customHeight="1">
      <c r="A978" s="168"/>
      <c r="B978" s="178">
        <v>8203</v>
      </c>
      <c r="C978" s="178" t="s">
        <v>309</v>
      </c>
      <c r="D978" s="575" t="s">
        <v>3103</v>
      </c>
      <c r="E978" s="178" t="s">
        <v>2522</v>
      </c>
      <c r="F978" s="210" t="s">
        <v>3104</v>
      </c>
      <c r="G978" s="58" t="s">
        <v>1223</v>
      </c>
      <c r="H978" s="546">
        <v>309687.3</v>
      </c>
      <c r="I978" s="66">
        <v>44921</v>
      </c>
      <c r="J978" s="411" t="s">
        <v>1224</v>
      </c>
      <c r="K978" s="58"/>
      <c r="L978" s="99"/>
      <c r="M978" s="70" t="s">
        <v>3014</v>
      </c>
      <c r="N978" s="97" t="s">
        <v>414</v>
      </c>
      <c r="O978" s="58"/>
      <c r="P978" s="58" t="s">
        <v>24</v>
      </c>
      <c r="Q978" s="58" t="s">
        <v>39</v>
      </c>
      <c r="R978" s="58" t="s">
        <v>272</v>
      </c>
    </row>
    <row r="979" spans="1:18" ht="69" customHeight="1">
      <c r="A979" s="168"/>
      <c r="B979" s="178">
        <v>8209</v>
      </c>
      <c r="C979" s="178" t="s">
        <v>309</v>
      </c>
      <c r="D979" s="575" t="s">
        <v>3105</v>
      </c>
      <c r="E979" s="178" t="s">
        <v>2522</v>
      </c>
      <c r="F979" s="210" t="s">
        <v>3106</v>
      </c>
      <c r="G979" s="58" t="s">
        <v>1223</v>
      </c>
      <c r="H979" s="546">
        <v>81690.720000000001</v>
      </c>
      <c r="I979" s="66">
        <v>44921</v>
      </c>
      <c r="J979" s="411" t="s">
        <v>1224</v>
      </c>
      <c r="K979" s="58"/>
      <c r="L979" s="99"/>
      <c r="M979" s="70" t="s">
        <v>3014</v>
      </c>
      <c r="N979" s="97" t="s">
        <v>414</v>
      </c>
      <c r="O979" s="58"/>
      <c r="P979" s="58" t="s">
        <v>24</v>
      </c>
      <c r="Q979" s="58" t="s">
        <v>39</v>
      </c>
      <c r="R979" s="58" t="s">
        <v>272</v>
      </c>
    </row>
    <row r="980" spans="1:18" ht="69" customHeight="1">
      <c r="A980" s="168"/>
      <c r="B980" s="191">
        <v>8769</v>
      </c>
      <c r="C980" s="191" t="s">
        <v>309</v>
      </c>
      <c r="D980" s="533" t="s">
        <v>3107</v>
      </c>
      <c r="E980" s="191" t="s">
        <v>2312</v>
      </c>
      <c r="F980" s="211" t="s">
        <v>3108</v>
      </c>
      <c r="G980" s="46" t="s">
        <v>3109</v>
      </c>
      <c r="H980" s="534">
        <v>18750</v>
      </c>
      <c r="I980" s="56">
        <v>44953</v>
      </c>
      <c r="J980" s="412" t="s">
        <v>3110</v>
      </c>
      <c r="K980" s="46" t="s">
        <v>881</v>
      </c>
      <c r="L980" s="99"/>
      <c r="M980" s="379"/>
      <c r="N980" s="76" t="s">
        <v>414</v>
      </c>
      <c r="O980" s="46"/>
      <c r="P980" s="46" t="s">
        <v>65</v>
      </c>
      <c r="Q980" s="46" t="s">
        <v>39</v>
      </c>
      <c r="R980" s="46" t="s">
        <v>272</v>
      </c>
    </row>
    <row r="981" spans="1:18" ht="69" customHeight="1">
      <c r="A981" s="168"/>
      <c r="B981" s="191">
        <v>8612</v>
      </c>
      <c r="C981" s="191" t="s">
        <v>309</v>
      </c>
      <c r="D981" s="533" t="s">
        <v>3111</v>
      </c>
      <c r="E981" s="191" t="s">
        <v>1198</v>
      </c>
      <c r="F981" s="211" t="s">
        <v>3112</v>
      </c>
      <c r="G981" s="46" t="s">
        <v>1200</v>
      </c>
      <c r="H981" s="534">
        <v>6743.41</v>
      </c>
      <c r="I981" s="56">
        <v>44946</v>
      </c>
      <c r="J981" s="412" t="s">
        <v>1201</v>
      </c>
      <c r="K981" s="46" t="s">
        <v>881</v>
      </c>
      <c r="L981" s="99"/>
      <c r="M981" s="379"/>
      <c r="N981" s="76" t="s">
        <v>414</v>
      </c>
      <c r="O981" s="46"/>
      <c r="P981" s="46" t="s">
        <v>71</v>
      </c>
      <c r="Q981" s="46" t="s">
        <v>39</v>
      </c>
      <c r="R981" s="46" t="s">
        <v>272</v>
      </c>
    </row>
    <row r="982" spans="1:18" ht="69" customHeight="1">
      <c r="A982" s="168"/>
      <c r="B982" s="178">
        <v>8851</v>
      </c>
      <c r="C982" s="178" t="s">
        <v>309</v>
      </c>
      <c r="D982" s="575" t="s">
        <v>3113</v>
      </c>
      <c r="E982" s="178" t="s">
        <v>2522</v>
      </c>
      <c r="F982" s="210" t="s">
        <v>3114</v>
      </c>
      <c r="G982" s="58" t="s">
        <v>3115</v>
      </c>
      <c r="H982" s="546">
        <v>303524</v>
      </c>
      <c r="I982" s="66">
        <v>44948</v>
      </c>
      <c r="J982" s="411" t="s">
        <v>2623</v>
      </c>
      <c r="K982" s="58"/>
      <c r="L982" s="99"/>
      <c r="M982" s="70" t="s">
        <v>3014</v>
      </c>
      <c r="N982" s="97" t="s">
        <v>414</v>
      </c>
      <c r="O982" s="58"/>
      <c r="P982" s="58" t="s">
        <v>24</v>
      </c>
      <c r="Q982" s="58" t="s">
        <v>39</v>
      </c>
      <c r="R982" s="58" t="s">
        <v>272</v>
      </c>
    </row>
    <row r="983" spans="1:18" ht="69" customHeight="1">
      <c r="A983" s="168"/>
      <c r="B983" s="191">
        <v>8950</v>
      </c>
      <c r="C983" s="191" t="s">
        <v>309</v>
      </c>
      <c r="D983" s="533" t="s">
        <v>3116</v>
      </c>
      <c r="E983" s="191" t="s">
        <v>2312</v>
      </c>
      <c r="F983" s="211" t="s">
        <v>3117</v>
      </c>
      <c r="G983" s="46" t="s">
        <v>3118</v>
      </c>
      <c r="H983" s="534">
        <v>6645.36</v>
      </c>
      <c r="I983" s="56">
        <v>44999</v>
      </c>
      <c r="J983" s="412" t="s">
        <v>3119</v>
      </c>
      <c r="K983" s="46" t="s">
        <v>881</v>
      </c>
      <c r="L983" s="99"/>
      <c r="M983" s="379"/>
      <c r="N983" s="76" t="s">
        <v>414</v>
      </c>
      <c r="O983" s="46"/>
      <c r="P983" s="46" t="s">
        <v>65</v>
      </c>
      <c r="Q983" s="46" t="s">
        <v>39</v>
      </c>
      <c r="R983" s="46" t="s">
        <v>272</v>
      </c>
    </row>
    <row r="984" spans="1:18" ht="69" customHeight="1">
      <c r="A984" s="168"/>
      <c r="B984" s="178">
        <v>8808</v>
      </c>
      <c r="C984" s="178" t="s">
        <v>309</v>
      </c>
      <c r="D984" s="575" t="s">
        <v>3120</v>
      </c>
      <c r="E984" s="178" t="s">
        <v>2522</v>
      </c>
      <c r="F984" s="210" t="s">
        <v>3121</v>
      </c>
      <c r="G984" s="58" t="s">
        <v>3122</v>
      </c>
      <c r="H984" s="546">
        <v>75236</v>
      </c>
      <c r="I984" s="66">
        <v>44953</v>
      </c>
      <c r="J984" s="411" t="s">
        <v>1130</v>
      </c>
      <c r="K984" s="58"/>
      <c r="L984" s="99"/>
      <c r="M984" s="70" t="s">
        <v>3014</v>
      </c>
      <c r="N984" s="97" t="s">
        <v>414</v>
      </c>
      <c r="O984" s="58"/>
      <c r="P984" s="58" t="s">
        <v>24</v>
      </c>
      <c r="Q984" s="58" t="s">
        <v>39</v>
      </c>
      <c r="R984" s="58" t="s">
        <v>272</v>
      </c>
    </row>
    <row r="985" spans="1:18" ht="69" customHeight="1">
      <c r="A985" s="168"/>
      <c r="B985" s="178">
        <v>9046</v>
      </c>
      <c r="C985" s="178" t="s">
        <v>309</v>
      </c>
      <c r="D985" s="575" t="s">
        <v>3123</v>
      </c>
      <c r="E985" s="178" t="s">
        <v>2522</v>
      </c>
      <c r="F985" s="210" t="s">
        <v>3124</v>
      </c>
      <c r="G985" s="58" t="s">
        <v>3125</v>
      </c>
      <c r="H985" s="546">
        <v>23348</v>
      </c>
      <c r="I985" s="66">
        <v>45001</v>
      </c>
      <c r="J985" s="411" t="s">
        <v>1165</v>
      </c>
      <c r="K985" s="58"/>
      <c r="L985" s="99"/>
      <c r="M985" s="70" t="s">
        <v>3014</v>
      </c>
      <c r="N985" s="97" t="s">
        <v>414</v>
      </c>
      <c r="O985" s="58"/>
      <c r="P985" s="58" t="s">
        <v>24</v>
      </c>
      <c r="Q985" s="58" t="s">
        <v>39</v>
      </c>
      <c r="R985" s="58" t="s">
        <v>272</v>
      </c>
    </row>
    <row r="986" spans="1:18" ht="69" customHeight="1">
      <c r="A986" s="168"/>
      <c r="B986" s="178">
        <v>9397</v>
      </c>
      <c r="C986" s="178" t="s">
        <v>309</v>
      </c>
      <c r="D986" s="575" t="s">
        <v>3126</v>
      </c>
      <c r="E986" s="178" t="s">
        <v>3127</v>
      </c>
      <c r="F986" s="210" t="s">
        <v>3128</v>
      </c>
      <c r="G986" s="58" t="s">
        <v>3129</v>
      </c>
      <c r="H986" s="546">
        <v>137090.99</v>
      </c>
      <c r="I986" s="66">
        <v>45019</v>
      </c>
      <c r="J986" s="411" t="s">
        <v>3130</v>
      </c>
      <c r="K986" s="58"/>
      <c r="L986" s="99"/>
      <c r="M986" s="70" t="s">
        <v>3024</v>
      </c>
      <c r="N986" s="97" t="s">
        <v>1044</v>
      </c>
      <c r="O986" s="58"/>
      <c r="P986" s="58" t="s">
        <v>26</v>
      </c>
      <c r="Q986" s="58" t="s">
        <v>39</v>
      </c>
      <c r="R986" s="58" t="s">
        <v>272</v>
      </c>
    </row>
    <row r="987" spans="1:18" ht="69" customHeight="1">
      <c r="A987" s="168"/>
      <c r="B987" s="178">
        <v>9421</v>
      </c>
      <c r="C987" s="178" t="s">
        <v>309</v>
      </c>
      <c r="D987" s="575" t="s">
        <v>3131</v>
      </c>
      <c r="E987" s="178" t="s">
        <v>2312</v>
      </c>
      <c r="F987" s="210" t="s">
        <v>3132</v>
      </c>
      <c r="G987" s="58" t="s">
        <v>1241</v>
      </c>
      <c r="H987" s="546">
        <v>34800</v>
      </c>
      <c r="I987" s="66">
        <v>45012</v>
      </c>
      <c r="J987" s="411" t="s">
        <v>1242</v>
      </c>
      <c r="K987" s="58"/>
      <c r="L987" s="99"/>
      <c r="M987" s="70" t="s">
        <v>3021</v>
      </c>
      <c r="N987" s="97" t="s">
        <v>414</v>
      </c>
      <c r="O987" s="58"/>
      <c r="P987" s="58" t="s">
        <v>24</v>
      </c>
      <c r="Q987" s="58" t="s">
        <v>39</v>
      </c>
      <c r="R987" s="58" t="s">
        <v>265</v>
      </c>
    </row>
    <row r="988" spans="1:18" ht="69" customHeight="1">
      <c r="A988" s="168"/>
      <c r="B988" s="178">
        <v>9439</v>
      </c>
      <c r="C988" s="178" t="s">
        <v>309</v>
      </c>
      <c r="D988" s="575" t="s">
        <v>3133</v>
      </c>
      <c r="E988" s="178" t="s">
        <v>2312</v>
      </c>
      <c r="F988" s="210" t="s">
        <v>3134</v>
      </c>
      <c r="G988" s="58" t="s">
        <v>1241</v>
      </c>
      <c r="H988" s="546">
        <v>2342.04</v>
      </c>
      <c r="I988" s="66">
        <v>45012</v>
      </c>
      <c r="J988" s="411" t="s">
        <v>1245</v>
      </c>
      <c r="K988" s="58"/>
      <c r="L988" s="99"/>
      <c r="M988" s="70" t="s">
        <v>3021</v>
      </c>
      <c r="N988" s="97" t="s">
        <v>414</v>
      </c>
      <c r="O988" s="58"/>
      <c r="P988" s="58" t="s">
        <v>24</v>
      </c>
      <c r="Q988" s="58" t="s">
        <v>39</v>
      </c>
      <c r="R988" s="58" t="s">
        <v>265</v>
      </c>
    </row>
    <row r="989" spans="1:18" ht="69" customHeight="1">
      <c r="A989" s="168"/>
      <c r="B989" s="178">
        <v>9440</v>
      </c>
      <c r="C989" s="178" t="s">
        <v>309</v>
      </c>
      <c r="D989" s="575" t="s">
        <v>3135</v>
      </c>
      <c r="E989" s="178" t="s">
        <v>2312</v>
      </c>
      <c r="F989" s="210" t="s">
        <v>3136</v>
      </c>
      <c r="G989" s="58" t="s">
        <v>1241</v>
      </c>
      <c r="H989" s="546">
        <v>2342.06</v>
      </c>
      <c r="I989" s="66">
        <v>45012</v>
      </c>
      <c r="J989" s="411" t="s">
        <v>1245</v>
      </c>
      <c r="K989" s="58"/>
      <c r="L989" s="99"/>
      <c r="M989" s="70" t="s">
        <v>3021</v>
      </c>
      <c r="N989" s="97" t="s">
        <v>414</v>
      </c>
      <c r="O989" s="58"/>
      <c r="P989" s="58" t="s">
        <v>24</v>
      </c>
      <c r="Q989" s="58" t="s">
        <v>39</v>
      </c>
      <c r="R989" s="58" t="s">
        <v>265</v>
      </c>
    </row>
    <row r="990" spans="1:18" ht="69" customHeight="1">
      <c r="A990" s="168"/>
      <c r="B990" s="178">
        <v>9441</v>
      </c>
      <c r="C990" s="178" t="s">
        <v>309</v>
      </c>
      <c r="D990" s="575" t="s">
        <v>3137</v>
      </c>
      <c r="E990" s="178" t="s">
        <v>2312</v>
      </c>
      <c r="F990" s="210" t="s">
        <v>3138</v>
      </c>
      <c r="G990" s="58" t="s">
        <v>1241</v>
      </c>
      <c r="H990" s="546">
        <v>37142.04</v>
      </c>
      <c r="I990" s="66">
        <v>45012</v>
      </c>
      <c r="J990" s="411" t="s">
        <v>1245</v>
      </c>
      <c r="K990" s="58"/>
      <c r="L990" s="99"/>
      <c r="M990" s="70" t="s">
        <v>3021</v>
      </c>
      <c r="N990" s="97" t="s">
        <v>414</v>
      </c>
      <c r="O990" s="58"/>
      <c r="P990" s="58" t="s">
        <v>24</v>
      </c>
      <c r="Q990" s="58" t="s">
        <v>39</v>
      </c>
      <c r="R990" s="58" t="s">
        <v>265</v>
      </c>
    </row>
    <row r="991" spans="1:18" ht="69" customHeight="1">
      <c r="A991" s="168"/>
      <c r="B991" s="178">
        <v>9677</v>
      </c>
      <c r="C991" s="178" t="s">
        <v>309</v>
      </c>
      <c r="D991" s="575" t="s">
        <v>3139</v>
      </c>
      <c r="E991" s="178" t="s">
        <v>2522</v>
      </c>
      <c r="F991" s="210" t="s">
        <v>3140</v>
      </c>
      <c r="G991" s="58" t="s">
        <v>3141</v>
      </c>
      <c r="H991" s="546">
        <v>107400.8</v>
      </c>
      <c r="I991" s="66">
        <v>45016</v>
      </c>
      <c r="J991" s="411" t="s">
        <v>2890</v>
      </c>
      <c r="K991" s="58"/>
      <c r="L991" s="99"/>
      <c r="M991" s="70" t="s">
        <v>3014</v>
      </c>
      <c r="N991" s="97" t="s">
        <v>414</v>
      </c>
      <c r="O991" s="58"/>
      <c r="P991" s="58" t="s">
        <v>24</v>
      </c>
      <c r="Q991" s="58" t="s">
        <v>39</v>
      </c>
      <c r="R991" s="58" t="s">
        <v>272</v>
      </c>
    </row>
    <row r="992" spans="1:18" ht="69" customHeight="1">
      <c r="A992" s="168"/>
      <c r="B992" s="191">
        <v>9780</v>
      </c>
      <c r="C992" s="191" t="s">
        <v>309</v>
      </c>
      <c r="D992" s="533" t="s">
        <v>3142</v>
      </c>
      <c r="E992" s="191" t="s">
        <v>3143</v>
      </c>
      <c r="F992" s="211" t="s">
        <v>3144</v>
      </c>
      <c r="G992" s="46" t="s">
        <v>3145</v>
      </c>
      <c r="H992" s="534">
        <v>31006</v>
      </c>
      <c r="I992" s="56">
        <v>45041</v>
      </c>
      <c r="J992" s="412" t="s">
        <v>3146</v>
      </c>
      <c r="K992" s="46" t="s">
        <v>881</v>
      </c>
      <c r="L992" s="99"/>
      <c r="M992" s="379"/>
      <c r="N992" s="76" t="s">
        <v>356</v>
      </c>
      <c r="O992" s="46"/>
      <c r="P992" s="46" t="s">
        <v>65</v>
      </c>
      <c r="Q992" s="46" t="s">
        <v>39</v>
      </c>
      <c r="R992" s="46" t="s">
        <v>272</v>
      </c>
    </row>
    <row r="993" spans="1:18" ht="69" customHeight="1">
      <c r="A993" s="168"/>
      <c r="B993" s="191">
        <v>9781</v>
      </c>
      <c r="C993" s="191" t="s">
        <v>309</v>
      </c>
      <c r="D993" s="533" t="s">
        <v>3147</v>
      </c>
      <c r="E993" s="191" t="s">
        <v>3143</v>
      </c>
      <c r="F993" s="211" t="s">
        <v>3148</v>
      </c>
      <c r="G993" s="46" t="s">
        <v>3149</v>
      </c>
      <c r="H993" s="534">
        <v>12468</v>
      </c>
      <c r="I993" s="56">
        <v>45041</v>
      </c>
      <c r="J993" s="412" t="s">
        <v>3146</v>
      </c>
      <c r="K993" s="46" t="s">
        <v>167</v>
      </c>
      <c r="L993" s="99"/>
      <c r="M993" s="379"/>
      <c r="N993" s="76" t="s">
        <v>356</v>
      </c>
      <c r="O993" s="46"/>
      <c r="P993" s="46" t="s">
        <v>65</v>
      </c>
      <c r="Q993" s="46" t="s">
        <v>39</v>
      </c>
      <c r="R993" s="46" t="s">
        <v>272</v>
      </c>
    </row>
    <row r="994" spans="1:18" ht="69" customHeight="1">
      <c r="A994" s="168"/>
      <c r="B994" s="191">
        <v>9944</v>
      </c>
      <c r="C994" s="191" t="s">
        <v>309</v>
      </c>
      <c r="D994" s="533"/>
      <c r="E994" s="191" t="s">
        <v>2312</v>
      </c>
      <c r="F994" s="211" t="s">
        <v>3150</v>
      </c>
      <c r="G994" s="46" t="s">
        <v>1251</v>
      </c>
      <c r="H994" s="534">
        <v>2600</v>
      </c>
      <c r="I994" s="56">
        <v>45061</v>
      </c>
      <c r="J994" s="412" t="s">
        <v>1956</v>
      </c>
      <c r="K994" s="46" t="s">
        <v>881</v>
      </c>
      <c r="L994" s="99"/>
      <c r="M994" s="379"/>
      <c r="N994" s="54" t="s">
        <v>414</v>
      </c>
      <c r="O994" s="46"/>
      <c r="P994" s="46" t="s">
        <v>65</v>
      </c>
      <c r="Q994" s="46" t="s">
        <v>39</v>
      </c>
      <c r="R994" s="46" t="s">
        <v>272</v>
      </c>
    </row>
    <row r="995" spans="1:18" ht="69" customHeight="1">
      <c r="A995" s="168"/>
      <c r="B995" s="178">
        <v>2056</v>
      </c>
      <c r="C995" s="178" t="s">
        <v>259</v>
      </c>
      <c r="D995" s="575" t="s">
        <v>96</v>
      </c>
      <c r="E995" s="178" t="s">
        <v>266</v>
      </c>
      <c r="F995" s="210" t="s">
        <v>3151</v>
      </c>
      <c r="G995" s="575" t="s">
        <v>96</v>
      </c>
      <c r="H995" s="546">
        <v>1632.75</v>
      </c>
      <c r="I995" s="66">
        <v>44438</v>
      </c>
      <c r="J995" s="411" t="s">
        <v>268</v>
      </c>
      <c r="K995" s="58"/>
      <c r="L995" s="99"/>
      <c r="M995" s="70" t="s">
        <v>3152</v>
      </c>
      <c r="N995" s="97" t="s">
        <v>270</v>
      </c>
      <c r="O995" s="58"/>
      <c r="P995" s="58" t="s">
        <v>44</v>
      </c>
      <c r="Q995" s="58" t="s">
        <v>41</v>
      </c>
      <c r="R995" s="58" t="s">
        <v>272</v>
      </c>
    </row>
    <row r="996" spans="1:18" ht="69" customHeight="1">
      <c r="A996" s="168"/>
      <c r="B996" s="178">
        <v>2071</v>
      </c>
      <c r="C996" s="178" t="s">
        <v>259</v>
      </c>
      <c r="D996" s="575" t="s">
        <v>96</v>
      </c>
      <c r="E996" s="178" t="s">
        <v>266</v>
      </c>
      <c r="F996" s="210" t="s">
        <v>3153</v>
      </c>
      <c r="G996" s="575" t="s">
        <v>96</v>
      </c>
      <c r="H996" s="546">
        <v>11551.75</v>
      </c>
      <c r="I996" s="66">
        <v>44438</v>
      </c>
      <c r="J996" s="411" t="s">
        <v>268</v>
      </c>
      <c r="K996" s="58"/>
      <c r="L996" s="99"/>
      <c r="M996" s="70" t="s">
        <v>3152</v>
      </c>
      <c r="N996" s="97" t="s">
        <v>270</v>
      </c>
      <c r="O996" s="58"/>
      <c r="P996" s="58" t="s">
        <v>44</v>
      </c>
      <c r="Q996" s="58" t="s">
        <v>41</v>
      </c>
      <c r="R996" s="58" t="s">
        <v>272</v>
      </c>
    </row>
    <row r="997" spans="1:18" ht="69" customHeight="1">
      <c r="A997" s="168"/>
      <c r="B997" s="178">
        <v>2154</v>
      </c>
      <c r="C997" s="178" t="s">
        <v>309</v>
      </c>
      <c r="D997" s="575" t="s">
        <v>3154</v>
      </c>
      <c r="E997" s="178" t="s">
        <v>266</v>
      </c>
      <c r="F997" s="210" t="s">
        <v>3155</v>
      </c>
      <c r="G997" s="58"/>
      <c r="H997" s="546">
        <v>1750.59</v>
      </c>
      <c r="I997" s="66">
        <v>44455</v>
      </c>
      <c r="J997" s="411" t="s">
        <v>3156</v>
      </c>
      <c r="K997" s="58"/>
      <c r="L997" s="99"/>
      <c r="M997" s="70" t="s">
        <v>3152</v>
      </c>
      <c r="N997" s="97" t="s">
        <v>270</v>
      </c>
      <c r="O997" s="58"/>
      <c r="P997" s="58" t="s">
        <v>44</v>
      </c>
      <c r="Q997" s="58" t="s">
        <v>41</v>
      </c>
      <c r="R997" s="58" t="s">
        <v>272</v>
      </c>
    </row>
    <row r="998" spans="1:18" ht="69" customHeight="1">
      <c r="A998" s="168"/>
      <c r="B998" s="178">
        <v>2112</v>
      </c>
      <c r="C998" s="178" t="s">
        <v>259</v>
      </c>
      <c r="D998" s="575"/>
      <c r="E998" s="178" t="s">
        <v>266</v>
      </c>
      <c r="F998" s="210" t="s">
        <v>3157</v>
      </c>
      <c r="G998" s="58"/>
      <c r="H998" s="546">
        <v>1306.2</v>
      </c>
      <c r="I998" s="66">
        <v>44455</v>
      </c>
      <c r="J998" s="411" t="s">
        <v>281</v>
      </c>
      <c r="K998" s="58"/>
      <c r="L998" s="99"/>
      <c r="M998" s="70" t="s">
        <v>3152</v>
      </c>
      <c r="N998" s="97" t="s">
        <v>270</v>
      </c>
      <c r="O998" s="58"/>
      <c r="P998" s="58" t="s">
        <v>44</v>
      </c>
      <c r="Q998" s="58" t="s">
        <v>41</v>
      </c>
      <c r="R998" s="58" t="s">
        <v>272</v>
      </c>
    </row>
    <row r="999" spans="1:18" ht="69" customHeight="1">
      <c r="A999" s="168"/>
      <c r="B999" s="178">
        <v>2366</v>
      </c>
      <c r="C999" s="178" t="s">
        <v>309</v>
      </c>
      <c r="D999" s="575" t="s">
        <v>3158</v>
      </c>
      <c r="E999" s="178" t="s">
        <v>266</v>
      </c>
      <c r="F999" s="210" t="s">
        <v>3159</v>
      </c>
      <c r="G999" s="58"/>
      <c r="H999" s="546">
        <v>5220</v>
      </c>
      <c r="I999" s="66">
        <v>44494</v>
      </c>
      <c r="J999" s="411" t="s">
        <v>3160</v>
      </c>
      <c r="K999" s="58"/>
      <c r="L999" s="99"/>
      <c r="M999" s="70" t="s">
        <v>3152</v>
      </c>
      <c r="N999" s="97" t="s">
        <v>270</v>
      </c>
      <c r="O999" s="58"/>
      <c r="P999" s="58" t="s">
        <v>44</v>
      </c>
      <c r="Q999" s="58" t="s">
        <v>41</v>
      </c>
      <c r="R999" s="58" t="s">
        <v>272</v>
      </c>
    </row>
    <row r="1000" spans="1:18" ht="69" customHeight="1">
      <c r="A1000" s="168"/>
      <c r="B1000" s="178"/>
      <c r="C1000" s="178" t="s">
        <v>259</v>
      </c>
      <c r="D1000" s="575"/>
      <c r="E1000" s="178" t="s">
        <v>260</v>
      </c>
      <c r="F1000" s="210" t="s">
        <v>3161</v>
      </c>
      <c r="G1000" s="58"/>
      <c r="H1000" s="546">
        <v>36500</v>
      </c>
      <c r="I1000" s="66">
        <v>44499</v>
      </c>
      <c r="J1000" s="411" t="s">
        <v>3162</v>
      </c>
      <c r="K1000" s="58"/>
      <c r="L1000" s="99"/>
      <c r="M1000" s="70" t="s">
        <v>3163</v>
      </c>
      <c r="N1000" s="97" t="s">
        <v>264</v>
      </c>
      <c r="O1000" s="58" t="s">
        <v>141</v>
      </c>
      <c r="P1000" s="58" t="s">
        <v>17</v>
      </c>
      <c r="Q1000" s="58" t="s">
        <v>41</v>
      </c>
      <c r="R1000" s="58" t="s">
        <v>265</v>
      </c>
    </row>
    <row r="1001" spans="1:18" ht="69" customHeight="1">
      <c r="A1001" s="168"/>
      <c r="B1001" s="178">
        <v>2379</v>
      </c>
      <c r="C1001" s="178" t="s">
        <v>259</v>
      </c>
      <c r="D1001" s="575" t="s">
        <v>3164</v>
      </c>
      <c r="E1001" s="178" t="s">
        <v>283</v>
      </c>
      <c r="F1001" s="210" t="s">
        <v>3165</v>
      </c>
      <c r="G1001" s="58"/>
      <c r="H1001" s="546">
        <v>28600</v>
      </c>
      <c r="I1001" s="66">
        <v>44524</v>
      </c>
      <c r="J1001" s="411" t="s">
        <v>3166</v>
      </c>
      <c r="K1001" s="58"/>
      <c r="L1001" s="99"/>
      <c r="M1001" s="70" t="s">
        <v>3167</v>
      </c>
      <c r="N1001" s="97" t="s">
        <v>264</v>
      </c>
      <c r="O1001" s="58" t="s">
        <v>141</v>
      </c>
      <c r="P1001" s="58" t="s">
        <v>17</v>
      </c>
      <c r="Q1001" s="58" t="s">
        <v>41</v>
      </c>
      <c r="R1001" s="58" t="s">
        <v>272</v>
      </c>
    </row>
    <row r="1002" spans="1:18" ht="69" customHeight="1">
      <c r="A1002" s="168"/>
      <c r="B1002" s="178">
        <v>2658</v>
      </c>
      <c r="C1002" s="178" t="s">
        <v>259</v>
      </c>
      <c r="D1002" s="575"/>
      <c r="E1002" s="178" t="s">
        <v>1367</v>
      </c>
      <c r="F1002" s="210" t="s">
        <v>3168</v>
      </c>
      <c r="G1002" s="58"/>
      <c r="H1002" s="546">
        <v>326.55</v>
      </c>
      <c r="I1002" s="66">
        <v>44551</v>
      </c>
      <c r="J1002" s="411" t="s">
        <v>3169</v>
      </c>
      <c r="K1002" s="58"/>
      <c r="L1002" s="99"/>
      <c r="M1002" s="70" t="s">
        <v>3152</v>
      </c>
      <c r="N1002" s="97" t="s">
        <v>270</v>
      </c>
      <c r="O1002" s="58"/>
      <c r="P1002" s="58" t="s">
        <v>44</v>
      </c>
      <c r="Q1002" s="58" t="s">
        <v>41</v>
      </c>
      <c r="R1002" s="58" t="s">
        <v>272</v>
      </c>
    </row>
    <row r="1003" spans="1:18" ht="69" customHeight="1">
      <c r="A1003" s="168"/>
      <c r="B1003" s="178">
        <v>2866</v>
      </c>
      <c r="C1003" s="178" t="s">
        <v>309</v>
      </c>
      <c r="D1003" s="575" t="s">
        <v>3170</v>
      </c>
      <c r="E1003" s="178" t="s">
        <v>266</v>
      </c>
      <c r="F1003" s="210" t="s">
        <v>3171</v>
      </c>
      <c r="G1003" s="58" t="s">
        <v>325</v>
      </c>
      <c r="H1003" s="546">
        <v>4235.3</v>
      </c>
      <c r="I1003" s="66" t="s">
        <v>96</v>
      </c>
      <c r="J1003" s="411" t="s">
        <v>3172</v>
      </c>
      <c r="K1003" s="58"/>
      <c r="L1003" s="99"/>
      <c r="M1003" s="70" t="s">
        <v>3152</v>
      </c>
      <c r="N1003" s="97" t="s">
        <v>270</v>
      </c>
      <c r="O1003" s="58"/>
      <c r="P1003" s="58" t="s">
        <v>44</v>
      </c>
      <c r="Q1003" s="58" t="s">
        <v>41</v>
      </c>
      <c r="R1003" s="58" t="s">
        <v>272</v>
      </c>
    </row>
    <row r="1004" spans="1:18" ht="69" customHeight="1">
      <c r="A1004" s="168"/>
      <c r="B1004" s="191">
        <v>2972</v>
      </c>
      <c r="C1004" s="191" t="s">
        <v>309</v>
      </c>
      <c r="D1004" s="533" t="s">
        <v>3173</v>
      </c>
      <c r="E1004" s="191" t="s">
        <v>331</v>
      </c>
      <c r="F1004" s="211" t="s">
        <v>3174</v>
      </c>
      <c r="G1004" s="46" t="s">
        <v>652</v>
      </c>
      <c r="H1004" s="534">
        <v>0</v>
      </c>
      <c r="I1004" s="56" t="s">
        <v>96</v>
      </c>
      <c r="J1004" s="412" t="s">
        <v>334</v>
      </c>
      <c r="K1004" s="46"/>
      <c r="L1004" s="99"/>
      <c r="M1004" s="379" t="s">
        <v>41</v>
      </c>
      <c r="N1004" s="76" t="s">
        <v>69</v>
      </c>
      <c r="O1004" s="46"/>
      <c r="P1004" s="46" t="s">
        <v>69</v>
      </c>
      <c r="Q1004" s="46" t="s">
        <v>41</v>
      </c>
      <c r="R1004" s="46" t="s">
        <v>272</v>
      </c>
    </row>
    <row r="1005" spans="1:18" ht="69" customHeight="1">
      <c r="A1005" s="168"/>
      <c r="B1005" s="178">
        <v>2957</v>
      </c>
      <c r="C1005" s="178" t="s">
        <v>309</v>
      </c>
      <c r="D1005" s="575" t="s">
        <v>3175</v>
      </c>
      <c r="E1005" s="178" t="s">
        <v>266</v>
      </c>
      <c r="F1005" s="210" t="s">
        <v>3176</v>
      </c>
      <c r="G1005" s="58" t="s">
        <v>680</v>
      </c>
      <c r="H1005" s="546">
        <v>6206.9</v>
      </c>
      <c r="I1005" s="66">
        <v>44601</v>
      </c>
      <c r="J1005" s="411" t="s">
        <v>3177</v>
      </c>
      <c r="K1005" s="58"/>
      <c r="L1005" s="99"/>
      <c r="M1005" s="70" t="s">
        <v>3178</v>
      </c>
      <c r="N1005" s="97" t="s">
        <v>683</v>
      </c>
      <c r="O1005" s="58" t="s">
        <v>684</v>
      </c>
      <c r="P1005" s="58" t="s">
        <v>46</v>
      </c>
      <c r="Q1005" s="58" t="s">
        <v>41</v>
      </c>
      <c r="R1005" s="58" t="s">
        <v>272</v>
      </c>
    </row>
    <row r="1006" spans="1:18" ht="69" customHeight="1">
      <c r="A1006" s="168"/>
      <c r="B1006" s="178">
        <v>4125</v>
      </c>
      <c r="C1006" s="178" t="s">
        <v>309</v>
      </c>
      <c r="D1006" s="575" t="s">
        <v>3179</v>
      </c>
      <c r="E1006" s="178" t="s">
        <v>266</v>
      </c>
      <c r="F1006" s="210" t="s">
        <v>3180</v>
      </c>
      <c r="G1006" s="58" t="s">
        <v>1107</v>
      </c>
      <c r="H1006" s="546">
        <v>7293.34</v>
      </c>
      <c r="I1006" s="66">
        <v>44643</v>
      </c>
      <c r="J1006" s="411" t="s">
        <v>3181</v>
      </c>
      <c r="K1006" s="58"/>
      <c r="L1006" s="99"/>
      <c r="M1006" s="70" t="s">
        <v>3182</v>
      </c>
      <c r="N1006" s="97" t="s">
        <v>970</v>
      </c>
      <c r="O1006" s="58" t="s">
        <v>971</v>
      </c>
      <c r="P1006" s="58" t="s">
        <v>38</v>
      </c>
      <c r="Q1006" s="58" t="s">
        <v>41</v>
      </c>
      <c r="R1006" s="58" t="s">
        <v>272</v>
      </c>
    </row>
    <row r="1007" spans="1:18" ht="69" customHeight="1">
      <c r="A1007" s="168"/>
      <c r="B1007" s="178">
        <v>4184</v>
      </c>
      <c r="C1007" s="178" t="s">
        <v>309</v>
      </c>
      <c r="D1007" s="575" t="s">
        <v>3183</v>
      </c>
      <c r="E1007" s="178" t="s">
        <v>358</v>
      </c>
      <c r="F1007" s="210" t="s">
        <v>3184</v>
      </c>
      <c r="G1007" s="58" t="s">
        <v>529</v>
      </c>
      <c r="H1007" s="546">
        <v>440000</v>
      </c>
      <c r="I1007" s="66">
        <v>44648</v>
      </c>
      <c r="J1007" s="411" t="s">
        <v>3185</v>
      </c>
      <c r="K1007" s="58"/>
      <c r="L1007" s="99"/>
      <c r="M1007" s="70" t="s">
        <v>3186</v>
      </c>
      <c r="N1007" s="97" t="s">
        <v>356</v>
      </c>
      <c r="O1007" s="58" t="s">
        <v>141</v>
      </c>
      <c r="P1007" s="58" t="s">
        <v>19</v>
      </c>
      <c r="Q1007" s="58" t="s">
        <v>41</v>
      </c>
      <c r="R1007" s="58" t="s">
        <v>272</v>
      </c>
    </row>
    <row r="1008" spans="1:18" ht="69" customHeight="1">
      <c r="A1008" s="168"/>
      <c r="B1008" s="178">
        <v>4041</v>
      </c>
      <c r="C1008" s="178" t="s">
        <v>309</v>
      </c>
      <c r="D1008" s="575" t="s">
        <v>3187</v>
      </c>
      <c r="E1008" s="178" t="s">
        <v>283</v>
      </c>
      <c r="F1008" s="210" t="s">
        <v>3188</v>
      </c>
      <c r="G1008" s="58" t="s">
        <v>2981</v>
      </c>
      <c r="H1008" s="546">
        <v>27000</v>
      </c>
      <c r="I1008" s="66">
        <v>44676</v>
      </c>
      <c r="J1008" s="411" t="s">
        <v>3189</v>
      </c>
      <c r="K1008" s="58"/>
      <c r="L1008" s="99"/>
      <c r="M1008" s="70" t="s">
        <v>3167</v>
      </c>
      <c r="N1008" s="97" t="s">
        <v>264</v>
      </c>
      <c r="O1008" s="58" t="s">
        <v>141</v>
      </c>
      <c r="P1008" s="58" t="s">
        <v>17</v>
      </c>
      <c r="Q1008" s="58" t="s">
        <v>41</v>
      </c>
      <c r="R1008" s="58" t="s">
        <v>272</v>
      </c>
    </row>
    <row r="1009" spans="1:18" ht="69" customHeight="1">
      <c r="A1009" s="168"/>
      <c r="B1009" s="178">
        <v>4699</v>
      </c>
      <c r="C1009" s="178" t="s">
        <v>309</v>
      </c>
      <c r="D1009" s="575" t="s">
        <v>3190</v>
      </c>
      <c r="E1009" s="178" t="s">
        <v>331</v>
      </c>
      <c r="F1009" s="210" t="s">
        <v>3191</v>
      </c>
      <c r="G1009" s="58"/>
      <c r="H1009" s="546">
        <v>2635.98</v>
      </c>
      <c r="I1009" s="66">
        <v>44678</v>
      </c>
      <c r="J1009" s="411" t="s">
        <v>3192</v>
      </c>
      <c r="K1009" s="58"/>
      <c r="L1009" s="99"/>
      <c r="M1009" s="70" t="s">
        <v>3152</v>
      </c>
      <c r="N1009" s="97" t="s">
        <v>270</v>
      </c>
      <c r="O1009" s="58"/>
      <c r="P1009" s="58" t="s">
        <v>44</v>
      </c>
      <c r="Q1009" s="58" t="s">
        <v>41</v>
      </c>
      <c r="R1009" s="58" t="s">
        <v>272</v>
      </c>
    </row>
    <row r="1010" spans="1:18" ht="69" customHeight="1">
      <c r="A1010" s="168"/>
      <c r="B1010" s="178">
        <v>4639</v>
      </c>
      <c r="C1010" s="178" t="s">
        <v>309</v>
      </c>
      <c r="D1010" s="575" t="s">
        <v>3193</v>
      </c>
      <c r="E1010" s="178" t="s">
        <v>283</v>
      </c>
      <c r="F1010" s="210" t="s">
        <v>3184</v>
      </c>
      <c r="G1010" s="58" t="s">
        <v>365</v>
      </c>
      <c r="H1010" s="546">
        <v>42900</v>
      </c>
      <c r="I1010" s="66">
        <v>44676</v>
      </c>
      <c r="J1010" s="411" t="s">
        <v>3194</v>
      </c>
      <c r="K1010" s="58"/>
      <c r="L1010" s="99"/>
      <c r="M1010" s="70" t="s">
        <v>3167</v>
      </c>
      <c r="N1010" s="97" t="s">
        <v>264</v>
      </c>
      <c r="O1010" s="58" t="s">
        <v>141</v>
      </c>
      <c r="P1010" s="58" t="s">
        <v>17</v>
      </c>
      <c r="Q1010" s="58" t="s">
        <v>41</v>
      </c>
      <c r="R1010" s="58" t="s">
        <v>272</v>
      </c>
    </row>
    <row r="1011" spans="1:18" ht="69" customHeight="1">
      <c r="A1011" s="168"/>
      <c r="B1011" s="178">
        <v>4699</v>
      </c>
      <c r="C1011" s="178" t="s">
        <v>309</v>
      </c>
      <c r="D1011" s="575" t="s">
        <v>3195</v>
      </c>
      <c r="E1011" s="178" t="s">
        <v>331</v>
      </c>
      <c r="F1011" s="210" t="s">
        <v>3196</v>
      </c>
      <c r="G1011" s="58" t="s">
        <v>372</v>
      </c>
      <c r="H1011" s="546">
        <v>23723.85</v>
      </c>
      <c r="I1011" s="66">
        <v>44701</v>
      </c>
      <c r="J1011" s="411" t="s">
        <v>3197</v>
      </c>
      <c r="K1011" s="58"/>
      <c r="L1011" s="99"/>
      <c r="M1011" s="70" t="s">
        <v>3152</v>
      </c>
      <c r="N1011" s="97" t="s">
        <v>270</v>
      </c>
      <c r="O1011" s="58"/>
      <c r="P1011" s="58" t="s">
        <v>44</v>
      </c>
      <c r="Q1011" s="58" t="s">
        <v>41</v>
      </c>
      <c r="R1011" s="58" t="s">
        <v>272</v>
      </c>
    </row>
    <row r="1012" spans="1:18" ht="69" customHeight="1">
      <c r="A1012" s="168"/>
      <c r="B1012" s="178">
        <v>4125</v>
      </c>
      <c r="C1012" s="178" t="s">
        <v>309</v>
      </c>
      <c r="D1012" s="575" t="s">
        <v>3198</v>
      </c>
      <c r="E1012" s="178" t="s">
        <v>266</v>
      </c>
      <c r="F1012" s="210" t="s">
        <v>3199</v>
      </c>
      <c r="G1012" s="58" t="s">
        <v>1107</v>
      </c>
      <c r="H1012" s="546">
        <v>7293.34</v>
      </c>
      <c r="I1012" s="66">
        <v>44725</v>
      </c>
      <c r="J1012" s="411" t="s">
        <v>3200</v>
      </c>
      <c r="K1012" s="58"/>
      <c r="L1012" s="99"/>
      <c r="M1012" s="70" t="s">
        <v>3182</v>
      </c>
      <c r="N1012" s="97" t="s">
        <v>970</v>
      </c>
      <c r="O1012" s="58" t="s">
        <v>971</v>
      </c>
      <c r="P1012" s="58" t="s">
        <v>38</v>
      </c>
      <c r="Q1012" s="58" t="s">
        <v>41</v>
      </c>
      <c r="R1012" s="58" t="s">
        <v>272</v>
      </c>
    </row>
    <row r="1013" spans="1:18" ht="69" customHeight="1">
      <c r="A1013" s="168"/>
      <c r="B1013" s="178">
        <v>5120</v>
      </c>
      <c r="C1013" s="178" t="s">
        <v>309</v>
      </c>
      <c r="D1013" s="575" t="s">
        <v>3201</v>
      </c>
      <c r="E1013" s="178" t="s">
        <v>283</v>
      </c>
      <c r="F1013" s="210" t="s">
        <v>3202</v>
      </c>
      <c r="G1013" s="58" t="s">
        <v>718</v>
      </c>
      <c r="H1013" s="546">
        <v>28000</v>
      </c>
      <c r="I1013" s="66">
        <v>44732</v>
      </c>
      <c r="J1013" s="411" t="s">
        <v>3203</v>
      </c>
      <c r="K1013" s="58"/>
      <c r="L1013" s="99"/>
      <c r="M1013" s="70" t="s">
        <v>3167</v>
      </c>
      <c r="N1013" s="97" t="s">
        <v>264</v>
      </c>
      <c r="O1013" s="58" t="s">
        <v>141</v>
      </c>
      <c r="P1013" s="58" t="s">
        <v>17</v>
      </c>
      <c r="Q1013" s="58" t="s">
        <v>41</v>
      </c>
      <c r="R1013" s="58" t="s">
        <v>272</v>
      </c>
    </row>
    <row r="1014" spans="1:18" ht="69" customHeight="1">
      <c r="A1014" s="168"/>
      <c r="B1014" s="178">
        <v>1</v>
      </c>
      <c r="C1014" s="178" t="s">
        <v>309</v>
      </c>
      <c r="D1014" s="575" t="s">
        <v>3204</v>
      </c>
      <c r="E1014" s="178" t="s">
        <v>382</v>
      </c>
      <c r="F1014" s="210" t="s">
        <v>3205</v>
      </c>
      <c r="G1014" s="58" t="s">
        <v>384</v>
      </c>
      <c r="H1014" s="546">
        <v>22679.42</v>
      </c>
      <c r="I1014" s="66">
        <v>44736</v>
      </c>
      <c r="J1014" s="411" t="s">
        <v>3206</v>
      </c>
      <c r="K1014" s="58"/>
      <c r="L1014" s="99"/>
      <c r="M1014" s="70" t="s">
        <v>3207</v>
      </c>
      <c r="N1014" s="97" t="s">
        <v>387</v>
      </c>
      <c r="O1014" s="62" t="s">
        <v>150</v>
      </c>
      <c r="P1014" s="58" t="s">
        <v>51</v>
      </c>
      <c r="Q1014" s="58" t="s">
        <v>41</v>
      </c>
      <c r="R1014" s="58" t="s">
        <v>272</v>
      </c>
    </row>
    <row r="1015" spans="1:18" ht="69" customHeight="1">
      <c r="A1015" s="168"/>
      <c r="B1015" s="178">
        <v>2</v>
      </c>
      <c r="C1015" s="178" t="s">
        <v>309</v>
      </c>
      <c r="D1015" s="575" t="s">
        <v>1448</v>
      </c>
      <c r="E1015" s="178" t="s">
        <v>382</v>
      </c>
      <c r="F1015" s="210" t="s">
        <v>3208</v>
      </c>
      <c r="G1015" s="58" t="s">
        <v>384</v>
      </c>
      <c r="H1015" s="546">
        <v>38303.97</v>
      </c>
      <c r="I1015" s="66">
        <v>44736</v>
      </c>
      <c r="J1015" s="411" t="s">
        <v>3209</v>
      </c>
      <c r="K1015" s="58"/>
      <c r="L1015" s="99"/>
      <c r="M1015" s="70" t="s">
        <v>3207</v>
      </c>
      <c r="N1015" s="97" t="s">
        <v>387</v>
      </c>
      <c r="O1015" s="62" t="s">
        <v>150</v>
      </c>
      <c r="P1015" s="58" t="s">
        <v>51</v>
      </c>
      <c r="Q1015" s="58" t="s">
        <v>41</v>
      </c>
      <c r="R1015" s="58" t="s">
        <v>272</v>
      </c>
    </row>
    <row r="1016" spans="1:18" ht="69" customHeight="1">
      <c r="A1016" s="168"/>
      <c r="B1016" s="178">
        <v>5012</v>
      </c>
      <c r="C1016" s="178" t="s">
        <v>309</v>
      </c>
      <c r="D1016" s="575" t="s">
        <v>3210</v>
      </c>
      <c r="E1016" s="178" t="s">
        <v>266</v>
      </c>
      <c r="F1016" s="210" t="s">
        <v>3211</v>
      </c>
      <c r="G1016" s="58" t="s">
        <v>1753</v>
      </c>
      <c r="H1016" s="546">
        <v>5390</v>
      </c>
      <c r="I1016" s="66">
        <v>44762</v>
      </c>
      <c r="J1016" s="411" t="s">
        <v>3212</v>
      </c>
      <c r="K1016" s="58"/>
      <c r="L1016" s="99"/>
      <c r="M1016" s="70" t="s">
        <v>3152</v>
      </c>
      <c r="N1016" s="97" t="s">
        <v>270</v>
      </c>
      <c r="O1016" s="58"/>
      <c r="P1016" s="58" t="s">
        <v>44</v>
      </c>
      <c r="Q1016" s="58" t="s">
        <v>41</v>
      </c>
      <c r="R1016" s="58" t="s">
        <v>272</v>
      </c>
    </row>
    <row r="1017" spans="1:18" ht="69" customHeight="1">
      <c r="A1017" s="168"/>
      <c r="B1017" s="178">
        <v>6340</v>
      </c>
      <c r="C1017" s="178" t="s">
        <v>309</v>
      </c>
      <c r="D1017" s="575" t="s">
        <v>3213</v>
      </c>
      <c r="E1017" s="178" t="s">
        <v>409</v>
      </c>
      <c r="F1017" s="210" t="s">
        <v>3214</v>
      </c>
      <c r="G1017" s="58" t="s">
        <v>1761</v>
      </c>
      <c r="H1017" s="546">
        <v>350220</v>
      </c>
      <c r="I1017" s="66">
        <v>44790</v>
      </c>
      <c r="J1017" s="411" t="s">
        <v>3215</v>
      </c>
      <c r="K1017" s="58"/>
      <c r="L1017" s="99"/>
      <c r="M1017" s="70" t="s">
        <v>3216</v>
      </c>
      <c r="N1017" s="97" t="s">
        <v>414</v>
      </c>
      <c r="O1017" s="58"/>
      <c r="P1017" s="58" t="s">
        <v>24</v>
      </c>
      <c r="Q1017" s="58" t="s">
        <v>41</v>
      </c>
      <c r="R1017" s="58" t="s">
        <v>272</v>
      </c>
    </row>
    <row r="1018" spans="1:18" ht="69" customHeight="1">
      <c r="A1018" s="168"/>
      <c r="B1018" s="178">
        <v>6131</v>
      </c>
      <c r="C1018" s="178" t="s">
        <v>309</v>
      </c>
      <c r="D1018" s="575" t="s">
        <v>3217</v>
      </c>
      <c r="E1018" s="178" t="s">
        <v>350</v>
      </c>
      <c r="F1018" s="210" t="s">
        <v>3218</v>
      </c>
      <c r="G1018" s="58" t="s">
        <v>352</v>
      </c>
      <c r="H1018" s="546">
        <v>6461.02</v>
      </c>
      <c r="I1018" s="66">
        <v>44795</v>
      </c>
      <c r="J1018" s="411" t="s">
        <v>3219</v>
      </c>
      <c r="K1018" s="58"/>
      <c r="L1018" s="99"/>
      <c r="M1018" s="70" t="s">
        <v>3220</v>
      </c>
      <c r="N1018" s="97" t="s">
        <v>356</v>
      </c>
      <c r="O1018" s="58" t="s">
        <v>141</v>
      </c>
      <c r="P1018" s="58" t="s">
        <v>19</v>
      </c>
      <c r="Q1018" s="58" t="s">
        <v>41</v>
      </c>
      <c r="R1018" s="58" t="s">
        <v>265</v>
      </c>
    </row>
    <row r="1019" spans="1:18" ht="69" customHeight="1">
      <c r="A1019" s="168"/>
      <c r="B1019" s="178">
        <v>6427</v>
      </c>
      <c r="C1019" s="178" t="s">
        <v>309</v>
      </c>
      <c r="D1019" s="575" t="s">
        <v>3221</v>
      </c>
      <c r="E1019" s="178" t="s">
        <v>432</v>
      </c>
      <c r="F1019" s="210" t="s">
        <v>3222</v>
      </c>
      <c r="G1019" s="58" t="s">
        <v>429</v>
      </c>
      <c r="H1019" s="546">
        <v>13959.486000000001</v>
      </c>
      <c r="I1019" s="66">
        <v>44802</v>
      </c>
      <c r="J1019" s="411" t="s">
        <v>3046</v>
      </c>
      <c r="K1019" s="58"/>
      <c r="L1019" s="99"/>
      <c r="M1019" s="70" t="s">
        <v>3223</v>
      </c>
      <c r="N1019" s="97" t="s">
        <v>432</v>
      </c>
      <c r="O1019" s="58"/>
      <c r="P1019" s="58" t="s">
        <v>53</v>
      </c>
      <c r="Q1019" s="58" t="s">
        <v>41</v>
      </c>
      <c r="R1019" s="58" t="s">
        <v>272</v>
      </c>
    </row>
    <row r="1020" spans="1:18" ht="69" customHeight="1">
      <c r="A1020" s="168"/>
      <c r="B1020" s="178">
        <v>9050</v>
      </c>
      <c r="C1020" s="178" t="s">
        <v>309</v>
      </c>
      <c r="D1020" s="575" t="s">
        <v>3224</v>
      </c>
      <c r="E1020" s="178" t="s">
        <v>3225</v>
      </c>
      <c r="F1020" s="210" t="s">
        <v>3226</v>
      </c>
      <c r="G1020" s="58" t="s">
        <v>3115</v>
      </c>
      <c r="H1020" s="546">
        <v>123295.67999999999</v>
      </c>
      <c r="I1020" s="66">
        <v>45001</v>
      </c>
      <c r="J1020" s="411" t="s">
        <v>1165</v>
      </c>
      <c r="K1020" s="58"/>
      <c r="L1020" s="99"/>
      <c r="M1020" s="70" t="s">
        <v>3216</v>
      </c>
      <c r="N1020" s="97" t="s">
        <v>414</v>
      </c>
      <c r="O1020" s="58"/>
      <c r="P1020" s="58" t="s">
        <v>24</v>
      </c>
      <c r="Q1020" s="58" t="s">
        <v>41</v>
      </c>
      <c r="R1020" s="58" t="s">
        <v>272</v>
      </c>
    </row>
    <row r="1021" spans="1:18" ht="69" customHeight="1">
      <c r="A1021" s="168"/>
      <c r="B1021" s="178">
        <v>7383</v>
      </c>
      <c r="C1021" s="178" t="s">
        <v>309</v>
      </c>
      <c r="D1021" s="575" t="s">
        <v>3227</v>
      </c>
      <c r="E1021" s="178" t="s">
        <v>331</v>
      </c>
      <c r="F1021" s="210" t="s">
        <v>3228</v>
      </c>
      <c r="G1021" s="58" t="s">
        <v>1121</v>
      </c>
      <c r="H1021" s="546">
        <v>34317.03</v>
      </c>
      <c r="I1021" s="66">
        <v>44876</v>
      </c>
      <c r="J1021" s="411" t="s">
        <v>1122</v>
      </c>
      <c r="K1021" s="58"/>
      <c r="L1021" s="99"/>
      <c r="M1021" s="70" t="s">
        <v>3152</v>
      </c>
      <c r="N1021" s="97" t="s">
        <v>270</v>
      </c>
      <c r="O1021" s="58"/>
      <c r="P1021" s="58" t="s">
        <v>53</v>
      </c>
      <c r="Q1021" s="58" t="s">
        <v>39</v>
      </c>
      <c r="R1021" s="58" t="s">
        <v>272</v>
      </c>
    </row>
    <row r="1022" spans="1:18" ht="69" customHeight="1">
      <c r="A1022" s="168"/>
      <c r="B1022" s="178">
        <v>6574</v>
      </c>
      <c r="C1022" s="178" t="s">
        <v>309</v>
      </c>
      <c r="D1022" s="575" t="s">
        <v>3229</v>
      </c>
      <c r="E1022" s="178" t="s">
        <v>266</v>
      </c>
      <c r="F1022" s="210" t="s">
        <v>3230</v>
      </c>
      <c r="G1022" s="58" t="s">
        <v>1107</v>
      </c>
      <c r="H1022" s="546">
        <v>7293.34</v>
      </c>
      <c r="I1022" s="66">
        <v>44879</v>
      </c>
      <c r="J1022" s="411" t="s">
        <v>1108</v>
      </c>
      <c r="K1022" s="58"/>
      <c r="L1022" s="99"/>
      <c r="M1022" s="70" t="s">
        <v>3182</v>
      </c>
      <c r="N1022" s="97" t="s">
        <v>970</v>
      </c>
      <c r="O1022" s="58" t="s">
        <v>971</v>
      </c>
      <c r="P1022" s="58" t="s">
        <v>38</v>
      </c>
      <c r="Q1022" s="58" t="s">
        <v>41</v>
      </c>
      <c r="R1022" s="58" t="s">
        <v>272</v>
      </c>
    </row>
    <row r="1023" spans="1:18" ht="69" customHeight="1">
      <c r="A1023" s="168"/>
      <c r="B1023" s="178">
        <v>7307</v>
      </c>
      <c r="C1023" s="178" t="s">
        <v>309</v>
      </c>
      <c r="D1023" s="575" t="s">
        <v>3231</v>
      </c>
      <c r="E1023" s="178" t="s">
        <v>2075</v>
      </c>
      <c r="F1023" s="210" t="s">
        <v>3232</v>
      </c>
      <c r="G1023" s="58" t="s">
        <v>1041</v>
      </c>
      <c r="H1023" s="546">
        <v>21640</v>
      </c>
      <c r="I1023" s="66">
        <v>44869</v>
      </c>
      <c r="J1023" s="411" t="s">
        <v>1113</v>
      </c>
      <c r="K1023" s="58"/>
      <c r="L1023" s="99"/>
      <c r="M1023" s="70" t="s">
        <v>3233</v>
      </c>
      <c r="N1023" s="97" t="s">
        <v>1044</v>
      </c>
      <c r="O1023" s="58"/>
      <c r="P1023" s="58" t="s">
        <v>26</v>
      </c>
      <c r="Q1023" s="58" t="s">
        <v>41</v>
      </c>
      <c r="R1023" s="58" t="s">
        <v>272</v>
      </c>
    </row>
    <row r="1024" spans="1:18" ht="69" customHeight="1">
      <c r="A1024" s="168"/>
      <c r="B1024" s="178">
        <v>8561</v>
      </c>
      <c r="C1024" s="178" t="s">
        <v>309</v>
      </c>
      <c r="D1024" s="575" t="s">
        <v>3234</v>
      </c>
      <c r="E1024" s="178" t="s">
        <v>3235</v>
      </c>
      <c r="F1024" s="210" t="s">
        <v>3236</v>
      </c>
      <c r="G1024" s="58" t="s">
        <v>1877</v>
      </c>
      <c r="H1024" s="546">
        <v>8233.35</v>
      </c>
      <c r="I1024" s="66">
        <v>44946</v>
      </c>
      <c r="J1024" s="411" t="s">
        <v>1878</v>
      </c>
      <c r="K1024" s="58"/>
      <c r="L1024" s="99"/>
      <c r="M1024" s="70" t="s">
        <v>3233</v>
      </c>
      <c r="N1024" s="97" t="s">
        <v>1044</v>
      </c>
      <c r="O1024" s="58"/>
      <c r="P1024" s="58" t="s">
        <v>26</v>
      </c>
      <c r="Q1024" s="58" t="s">
        <v>41</v>
      </c>
      <c r="R1024" s="58" t="s">
        <v>272</v>
      </c>
    </row>
    <row r="1025" spans="1:18" ht="69" customHeight="1">
      <c r="A1025" s="168"/>
      <c r="B1025" s="191">
        <v>7590</v>
      </c>
      <c r="C1025" s="191" t="s">
        <v>309</v>
      </c>
      <c r="D1025" s="533" t="s">
        <v>459</v>
      </c>
      <c r="E1025" s="191" t="s">
        <v>2312</v>
      </c>
      <c r="F1025" s="211" t="s">
        <v>3084</v>
      </c>
      <c r="G1025" s="46" t="s">
        <v>1048</v>
      </c>
      <c r="H1025" s="534">
        <v>5440</v>
      </c>
      <c r="I1025" s="56">
        <v>44890</v>
      </c>
      <c r="J1025" s="412" t="s">
        <v>1785</v>
      </c>
      <c r="K1025" s="46" t="s">
        <v>3237</v>
      </c>
      <c r="L1025" s="99"/>
      <c r="M1025" s="379"/>
      <c r="N1025" s="76" t="s">
        <v>414</v>
      </c>
      <c r="O1025" s="46"/>
      <c r="P1025" s="46" t="s">
        <v>65</v>
      </c>
      <c r="Q1025" s="46" t="s">
        <v>41</v>
      </c>
      <c r="R1025" s="46" t="s">
        <v>272</v>
      </c>
    </row>
    <row r="1026" spans="1:18" ht="69" customHeight="1">
      <c r="A1026" s="168"/>
      <c r="B1026" s="178">
        <v>7339</v>
      </c>
      <c r="C1026" s="178" t="s">
        <v>309</v>
      </c>
      <c r="D1026" s="575" t="s">
        <v>3238</v>
      </c>
      <c r="E1026" s="178" t="s">
        <v>3225</v>
      </c>
      <c r="F1026" s="210" t="s">
        <v>3239</v>
      </c>
      <c r="G1026" s="58" t="s">
        <v>1095</v>
      </c>
      <c r="H1026" s="546">
        <v>117673.92</v>
      </c>
      <c r="I1026" s="66">
        <v>44874</v>
      </c>
      <c r="J1026" s="411" t="s">
        <v>1096</v>
      </c>
      <c r="K1026" s="58"/>
      <c r="L1026" s="99"/>
      <c r="M1026" s="70" t="s">
        <v>3216</v>
      </c>
      <c r="N1026" s="97" t="s">
        <v>414</v>
      </c>
      <c r="O1026" s="58"/>
      <c r="P1026" s="58" t="s">
        <v>24</v>
      </c>
      <c r="Q1026" s="58" t="s">
        <v>41</v>
      </c>
      <c r="R1026" s="58" t="s">
        <v>272</v>
      </c>
    </row>
    <row r="1027" spans="1:18" ht="69" customHeight="1">
      <c r="A1027" s="168"/>
      <c r="B1027" s="178">
        <v>7382</v>
      </c>
      <c r="C1027" s="178" t="s">
        <v>309</v>
      </c>
      <c r="D1027" s="575" t="s">
        <v>3240</v>
      </c>
      <c r="E1027" s="178" t="s">
        <v>432</v>
      </c>
      <c r="F1027" s="210" t="s">
        <v>3241</v>
      </c>
      <c r="G1027" s="58" t="s">
        <v>1121</v>
      </c>
      <c r="H1027" s="546">
        <v>34317.03</v>
      </c>
      <c r="I1027" s="66">
        <v>44876</v>
      </c>
      <c r="J1027" s="411" t="s">
        <v>1122</v>
      </c>
      <c r="K1027" s="58"/>
      <c r="L1027" s="99"/>
      <c r="M1027" s="70" t="s">
        <v>3223</v>
      </c>
      <c r="N1027" s="97" t="s">
        <v>432</v>
      </c>
      <c r="O1027" s="58"/>
      <c r="P1027" s="58" t="s">
        <v>53</v>
      </c>
      <c r="Q1027" s="58" t="s">
        <v>41</v>
      </c>
      <c r="R1027" s="58" t="s">
        <v>272</v>
      </c>
    </row>
    <row r="1028" spans="1:18" ht="69" customHeight="1">
      <c r="A1028" s="168"/>
      <c r="B1028" s="178">
        <v>7475</v>
      </c>
      <c r="C1028" s="178" t="s">
        <v>309</v>
      </c>
      <c r="D1028" s="575" t="s">
        <v>3242</v>
      </c>
      <c r="E1028" s="178" t="s">
        <v>2075</v>
      </c>
      <c r="F1028" s="210" t="s">
        <v>3243</v>
      </c>
      <c r="G1028" s="58" t="s">
        <v>1041</v>
      </c>
      <c r="H1028" s="546">
        <v>97660.59</v>
      </c>
      <c r="I1028" s="66">
        <v>44890</v>
      </c>
      <c r="J1028" s="411" t="s">
        <v>1042</v>
      </c>
      <c r="K1028" s="58"/>
      <c r="L1028" s="99"/>
      <c r="M1028" s="70" t="s">
        <v>3233</v>
      </c>
      <c r="N1028" s="97" t="s">
        <v>1044</v>
      </c>
      <c r="O1028" s="58"/>
      <c r="P1028" s="58" t="s">
        <v>26</v>
      </c>
      <c r="Q1028" s="58" t="s">
        <v>41</v>
      </c>
      <c r="R1028" s="58" t="s">
        <v>272</v>
      </c>
    </row>
    <row r="1029" spans="1:18" ht="69" customHeight="1">
      <c r="A1029" s="168"/>
      <c r="B1029" s="178">
        <v>7520</v>
      </c>
      <c r="C1029" s="178" t="s">
        <v>309</v>
      </c>
      <c r="D1029" s="575" t="s">
        <v>3244</v>
      </c>
      <c r="E1029" s="178" t="s">
        <v>2312</v>
      </c>
      <c r="F1029" s="210" t="s">
        <v>3245</v>
      </c>
      <c r="G1029" s="58" t="s">
        <v>1048</v>
      </c>
      <c r="H1029" s="546">
        <v>55674.9</v>
      </c>
      <c r="I1029" s="66">
        <v>44883</v>
      </c>
      <c r="J1029" s="411" t="s">
        <v>3083</v>
      </c>
      <c r="K1029" s="58"/>
      <c r="L1029" s="99"/>
      <c r="M1029" s="70" t="s">
        <v>3246</v>
      </c>
      <c r="N1029" s="97" t="s">
        <v>414</v>
      </c>
      <c r="O1029" s="58"/>
      <c r="P1029" s="58" t="s">
        <v>24</v>
      </c>
      <c r="Q1029" s="58" t="s">
        <v>41</v>
      </c>
      <c r="R1029" s="58" t="s">
        <v>265</v>
      </c>
    </row>
    <row r="1030" spans="1:18" ht="69" customHeight="1">
      <c r="A1030" s="168"/>
      <c r="B1030" s="178">
        <v>7522</v>
      </c>
      <c r="C1030" s="178" t="s">
        <v>309</v>
      </c>
      <c r="D1030" s="575" t="s">
        <v>3247</v>
      </c>
      <c r="E1030" s="178" t="s">
        <v>2312</v>
      </c>
      <c r="F1030" s="210" t="s">
        <v>3248</v>
      </c>
      <c r="G1030" s="58" t="s">
        <v>3249</v>
      </c>
      <c r="H1030" s="546">
        <v>8320</v>
      </c>
      <c r="I1030" s="66">
        <v>44886</v>
      </c>
      <c r="J1030" s="411" t="s">
        <v>3083</v>
      </c>
      <c r="K1030" s="58"/>
      <c r="L1030" s="99"/>
      <c r="M1030" s="70" t="s">
        <v>3246</v>
      </c>
      <c r="N1030" s="97" t="s">
        <v>414</v>
      </c>
      <c r="O1030" s="58"/>
      <c r="P1030" s="58" t="s">
        <v>24</v>
      </c>
      <c r="Q1030" s="58" t="s">
        <v>41</v>
      </c>
      <c r="R1030" s="58" t="s">
        <v>265</v>
      </c>
    </row>
    <row r="1031" spans="1:18" ht="69" customHeight="1">
      <c r="A1031" s="168"/>
      <c r="B1031" s="178">
        <v>7402</v>
      </c>
      <c r="C1031" s="178" t="s">
        <v>309</v>
      </c>
      <c r="D1031" s="575" t="s">
        <v>3250</v>
      </c>
      <c r="E1031" s="178" t="s">
        <v>2312</v>
      </c>
      <c r="F1031" s="210" t="s">
        <v>3251</v>
      </c>
      <c r="G1031" s="58" t="s">
        <v>3252</v>
      </c>
      <c r="H1031" s="546">
        <v>19500</v>
      </c>
      <c r="I1031" s="66">
        <v>44879</v>
      </c>
      <c r="J1031" s="411" t="s">
        <v>3253</v>
      </c>
      <c r="K1031" s="58"/>
      <c r="L1031" s="99"/>
      <c r="M1031" s="70" t="s">
        <v>3246</v>
      </c>
      <c r="N1031" s="97" t="s">
        <v>414</v>
      </c>
      <c r="O1031" s="58"/>
      <c r="P1031" s="58" t="s">
        <v>24</v>
      </c>
      <c r="Q1031" s="58" t="s">
        <v>41</v>
      </c>
      <c r="R1031" s="58" t="s">
        <v>265</v>
      </c>
    </row>
    <row r="1032" spans="1:18" ht="69" customHeight="1">
      <c r="A1032" s="168"/>
      <c r="B1032" s="178">
        <v>7456</v>
      </c>
      <c r="C1032" s="178" t="s">
        <v>309</v>
      </c>
      <c r="D1032" s="575" t="s">
        <v>3254</v>
      </c>
      <c r="E1032" s="178" t="s">
        <v>2312</v>
      </c>
      <c r="F1032" s="210" t="s">
        <v>3255</v>
      </c>
      <c r="G1032" s="58" t="s">
        <v>1069</v>
      </c>
      <c r="H1032" s="546">
        <v>115548.65</v>
      </c>
      <c r="I1032" s="66">
        <v>44895</v>
      </c>
      <c r="J1032" s="411" t="s">
        <v>1070</v>
      </c>
      <c r="K1032" s="58"/>
      <c r="L1032" s="99"/>
      <c r="M1032" s="70" t="s">
        <v>3246</v>
      </c>
      <c r="N1032" s="97" t="s">
        <v>414</v>
      </c>
      <c r="O1032" s="58"/>
      <c r="P1032" s="58" t="s">
        <v>24</v>
      </c>
      <c r="Q1032" s="58" t="s">
        <v>41</v>
      </c>
      <c r="R1032" s="58" t="s">
        <v>265</v>
      </c>
    </row>
    <row r="1033" spans="1:18" ht="69" customHeight="1">
      <c r="A1033" s="168"/>
      <c r="B1033" s="178">
        <v>7447</v>
      </c>
      <c r="C1033" s="178" t="s">
        <v>309</v>
      </c>
      <c r="D1033" s="575" t="s">
        <v>3256</v>
      </c>
      <c r="E1033" s="178" t="s">
        <v>2312</v>
      </c>
      <c r="F1033" s="210" t="s">
        <v>3257</v>
      </c>
      <c r="G1033" s="58" t="s">
        <v>3258</v>
      </c>
      <c r="H1033" s="546">
        <v>10880</v>
      </c>
      <c r="I1033" s="66">
        <v>44893</v>
      </c>
      <c r="J1033" s="411" t="s">
        <v>1070</v>
      </c>
      <c r="K1033" s="58"/>
      <c r="L1033" s="99"/>
      <c r="M1033" s="70" t="s">
        <v>3246</v>
      </c>
      <c r="N1033" s="97" t="s">
        <v>414</v>
      </c>
      <c r="O1033" s="58"/>
      <c r="P1033" s="58" t="s">
        <v>24</v>
      </c>
      <c r="Q1033" s="58" t="s">
        <v>41</v>
      </c>
      <c r="R1033" s="58" t="s">
        <v>265</v>
      </c>
    </row>
    <row r="1034" spans="1:18" ht="69" customHeight="1">
      <c r="A1034" s="168"/>
      <c r="B1034" s="178">
        <v>7448</v>
      </c>
      <c r="C1034" s="178" t="s">
        <v>309</v>
      </c>
      <c r="D1034" s="575" t="s">
        <v>3259</v>
      </c>
      <c r="E1034" s="178" t="s">
        <v>2312</v>
      </c>
      <c r="F1034" s="210" t="s">
        <v>3260</v>
      </c>
      <c r="G1034" s="58" t="s">
        <v>3258</v>
      </c>
      <c r="H1034" s="546">
        <v>6365</v>
      </c>
      <c r="I1034" s="66">
        <v>44904</v>
      </c>
      <c r="J1034" s="411" t="s">
        <v>1070</v>
      </c>
      <c r="K1034" s="58"/>
      <c r="L1034" s="99"/>
      <c r="M1034" s="70" t="s">
        <v>3246</v>
      </c>
      <c r="N1034" s="97" t="s">
        <v>414</v>
      </c>
      <c r="O1034" s="58"/>
      <c r="P1034" s="58" t="s">
        <v>24</v>
      </c>
      <c r="Q1034" s="58" t="s">
        <v>41</v>
      </c>
      <c r="R1034" s="58" t="s">
        <v>265</v>
      </c>
    </row>
    <row r="1035" spans="1:18" ht="69" customHeight="1">
      <c r="A1035" s="168"/>
      <c r="B1035" s="191">
        <v>7478</v>
      </c>
      <c r="C1035" s="191" t="s">
        <v>309</v>
      </c>
      <c r="D1035" s="533" t="s">
        <v>3261</v>
      </c>
      <c r="E1035" s="191" t="s">
        <v>2312</v>
      </c>
      <c r="F1035" s="211" t="s">
        <v>3262</v>
      </c>
      <c r="G1035" s="46" t="s">
        <v>3258</v>
      </c>
      <c r="H1035" s="534">
        <v>22500</v>
      </c>
      <c r="I1035" s="56">
        <v>44895</v>
      </c>
      <c r="J1035" s="412" t="s">
        <v>1070</v>
      </c>
      <c r="K1035" s="46" t="s">
        <v>3237</v>
      </c>
      <c r="L1035" s="99"/>
      <c r="M1035" s="379"/>
      <c r="N1035" s="76" t="s">
        <v>414</v>
      </c>
      <c r="O1035" s="46"/>
      <c r="P1035" s="46" t="s">
        <v>65</v>
      </c>
      <c r="Q1035" s="46" t="s">
        <v>41</v>
      </c>
      <c r="R1035" s="46" t="s">
        <v>272</v>
      </c>
    </row>
    <row r="1036" spans="1:18" ht="69" customHeight="1">
      <c r="A1036" s="168"/>
      <c r="B1036" s="178">
        <v>7572</v>
      </c>
      <c r="C1036" s="178" t="s">
        <v>309</v>
      </c>
      <c r="D1036" s="575" t="s">
        <v>3263</v>
      </c>
      <c r="E1036" s="178" t="s">
        <v>2075</v>
      </c>
      <c r="F1036" s="210" t="s">
        <v>3264</v>
      </c>
      <c r="G1036" s="58" t="s">
        <v>1041</v>
      </c>
      <c r="H1036" s="546">
        <v>8680</v>
      </c>
      <c r="I1036" s="66">
        <v>44904</v>
      </c>
      <c r="J1036" s="411" t="s">
        <v>1080</v>
      </c>
      <c r="K1036" s="58"/>
      <c r="L1036" s="99"/>
      <c r="M1036" s="70" t="s">
        <v>3233</v>
      </c>
      <c r="N1036" s="97" t="s">
        <v>1044</v>
      </c>
      <c r="O1036" s="58"/>
      <c r="P1036" s="58" t="s">
        <v>26</v>
      </c>
      <c r="Q1036" s="58" t="s">
        <v>41</v>
      </c>
      <c r="R1036" s="58" t="s">
        <v>272</v>
      </c>
    </row>
    <row r="1037" spans="1:18" ht="69" customHeight="1">
      <c r="A1037" s="168"/>
      <c r="B1037" s="178">
        <v>7578</v>
      </c>
      <c r="C1037" s="178" t="s">
        <v>309</v>
      </c>
      <c r="D1037" s="575" t="s">
        <v>3265</v>
      </c>
      <c r="E1037" s="178" t="s">
        <v>3225</v>
      </c>
      <c r="F1037" s="210" t="s">
        <v>3266</v>
      </c>
      <c r="G1037" s="58" t="s">
        <v>1076</v>
      </c>
      <c r="H1037" s="546">
        <v>317532.79999999999</v>
      </c>
      <c r="I1037" s="66">
        <v>44893</v>
      </c>
      <c r="J1037" s="411" t="s">
        <v>1077</v>
      </c>
      <c r="K1037" s="58"/>
      <c r="L1037" s="99"/>
      <c r="M1037" s="70" t="s">
        <v>3216</v>
      </c>
      <c r="N1037" s="97" t="s">
        <v>414</v>
      </c>
      <c r="O1037" s="58"/>
      <c r="P1037" s="58" t="s">
        <v>24</v>
      </c>
      <c r="Q1037" s="58" t="s">
        <v>41</v>
      </c>
      <c r="R1037" s="58" t="s">
        <v>272</v>
      </c>
    </row>
    <row r="1038" spans="1:18" ht="69" customHeight="1">
      <c r="A1038" s="168"/>
      <c r="B1038" s="178">
        <v>7674</v>
      </c>
      <c r="C1038" s="178" t="s">
        <v>309</v>
      </c>
      <c r="D1038" s="575" t="s">
        <v>3267</v>
      </c>
      <c r="E1038" s="178" t="s">
        <v>2312</v>
      </c>
      <c r="F1038" s="210" t="s">
        <v>3268</v>
      </c>
      <c r="G1038" s="58" t="s">
        <v>1085</v>
      </c>
      <c r="H1038" s="546">
        <v>34800</v>
      </c>
      <c r="I1038" s="66">
        <v>44900</v>
      </c>
      <c r="J1038" s="411" t="s">
        <v>1086</v>
      </c>
      <c r="K1038" s="58"/>
      <c r="L1038" s="99"/>
      <c r="M1038" s="70" t="s">
        <v>3246</v>
      </c>
      <c r="N1038" s="97" t="s">
        <v>414</v>
      </c>
      <c r="O1038" s="58"/>
      <c r="P1038" s="58" t="s">
        <v>24</v>
      </c>
      <c r="Q1038" s="58" t="s">
        <v>41</v>
      </c>
      <c r="R1038" s="58" t="s">
        <v>265</v>
      </c>
    </row>
    <row r="1039" spans="1:18" ht="69" customHeight="1">
      <c r="A1039" s="168"/>
      <c r="B1039" s="178">
        <v>7705</v>
      </c>
      <c r="C1039" s="178" t="s">
        <v>309</v>
      </c>
      <c r="D1039" s="575" t="s">
        <v>3269</v>
      </c>
      <c r="E1039" s="178" t="s">
        <v>2312</v>
      </c>
      <c r="F1039" s="210" t="s">
        <v>3270</v>
      </c>
      <c r="G1039" s="58" t="s">
        <v>3271</v>
      </c>
      <c r="H1039" s="546">
        <v>19890</v>
      </c>
      <c r="I1039" s="66">
        <v>44904</v>
      </c>
      <c r="J1039" s="411" t="s">
        <v>3272</v>
      </c>
      <c r="K1039" s="58"/>
      <c r="L1039" s="99"/>
      <c r="M1039" s="70" t="s">
        <v>3246</v>
      </c>
      <c r="N1039" s="97" t="s">
        <v>414</v>
      </c>
      <c r="O1039" s="58"/>
      <c r="P1039" s="58" t="s">
        <v>24</v>
      </c>
      <c r="Q1039" s="58" t="s">
        <v>41</v>
      </c>
      <c r="R1039" s="58" t="s">
        <v>265</v>
      </c>
    </row>
    <row r="1040" spans="1:18" ht="69" customHeight="1">
      <c r="A1040" s="168"/>
      <c r="B1040" s="178">
        <v>7743</v>
      </c>
      <c r="C1040" s="178" t="s">
        <v>309</v>
      </c>
      <c r="D1040" s="575" t="s">
        <v>3273</v>
      </c>
      <c r="E1040" s="178" t="s">
        <v>2312</v>
      </c>
      <c r="F1040" s="210" t="s">
        <v>3274</v>
      </c>
      <c r="G1040" s="58" t="s">
        <v>3034</v>
      </c>
      <c r="H1040" s="546">
        <v>5241.6000000000004</v>
      </c>
      <c r="I1040" s="66">
        <v>44909</v>
      </c>
      <c r="J1040" s="411" t="s">
        <v>2800</v>
      </c>
      <c r="K1040" s="58"/>
      <c r="L1040" s="99"/>
      <c r="M1040" s="70" t="s">
        <v>3246</v>
      </c>
      <c r="N1040" s="97" t="s">
        <v>414</v>
      </c>
      <c r="O1040" s="58"/>
      <c r="P1040" s="58" t="s">
        <v>24</v>
      </c>
      <c r="Q1040" s="58" t="s">
        <v>41</v>
      </c>
      <c r="R1040" s="58" t="s">
        <v>265</v>
      </c>
    </row>
    <row r="1041" spans="1:18" ht="69" customHeight="1">
      <c r="A1041" s="168"/>
      <c r="B1041" s="178">
        <v>7744</v>
      </c>
      <c r="C1041" s="178" t="s">
        <v>309</v>
      </c>
      <c r="D1041" s="575" t="s">
        <v>3275</v>
      </c>
      <c r="E1041" s="178" t="s">
        <v>2312</v>
      </c>
      <c r="F1041" s="210" t="s">
        <v>3276</v>
      </c>
      <c r="G1041" s="58" t="s">
        <v>3031</v>
      </c>
      <c r="H1041" s="546">
        <v>26000</v>
      </c>
      <c r="I1041" s="66">
        <v>44907</v>
      </c>
      <c r="J1041" s="411" t="s">
        <v>2800</v>
      </c>
      <c r="K1041" s="58"/>
      <c r="L1041" s="99"/>
      <c r="M1041" s="70" t="s">
        <v>3246</v>
      </c>
      <c r="N1041" s="97" t="s">
        <v>414</v>
      </c>
      <c r="O1041" s="58"/>
      <c r="P1041" s="58" t="s">
        <v>24</v>
      </c>
      <c r="Q1041" s="58" t="s">
        <v>41</v>
      </c>
      <c r="R1041" s="58" t="s">
        <v>265</v>
      </c>
    </row>
    <row r="1042" spans="1:18" ht="69" customHeight="1">
      <c r="A1042" s="168"/>
      <c r="B1042" s="178">
        <v>8142</v>
      </c>
      <c r="C1042" s="178" t="s">
        <v>309</v>
      </c>
      <c r="D1042" s="575" t="s">
        <v>3277</v>
      </c>
      <c r="E1042" s="178" t="s">
        <v>2312</v>
      </c>
      <c r="F1042" s="210" t="s">
        <v>3278</v>
      </c>
      <c r="G1042" s="58" t="s">
        <v>1145</v>
      </c>
      <c r="H1042" s="546">
        <v>34800</v>
      </c>
      <c r="I1042" s="66">
        <v>44914</v>
      </c>
      <c r="J1042" s="411" t="s">
        <v>1146</v>
      </c>
      <c r="K1042" s="58"/>
      <c r="L1042" s="99"/>
      <c r="M1042" s="70" t="s">
        <v>3246</v>
      </c>
      <c r="N1042" s="97" t="s">
        <v>414</v>
      </c>
      <c r="O1042" s="58"/>
      <c r="P1042" s="58" t="s">
        <v>24</v>
      </c>
      <c r="Q1042" s="58" t="s">
        <v>41</v>
      </c>
      <c r="R1042" s="58" t="s">
        <v>265</v>
      </c>
    </row>
    <row r="1043" spans="1:18" ht="69" customHeight="1">
      <c r="A1043" s="168"/>
      <c r="B1043" s="191">
        <v>7634</v>
      </c>
      <c r="C1043" s="191" t="s">
        <v>309</v>
      </c>
      <c r="D1043" s="533" t="s">
        <v>3279</v>
      </c>
      <c r="E1043" s="191" t="s">
        <v>2312</v>
      </c>
      <c r="F1043" s="211" t="s">
        <v>3280</v>
      </c>
      <c r="G1043" s="46" t="s">
        <v>3281</v>
      </c>
      <c r="H1043" s="534">
        <v>18750</v>
      </c>
      <c r="I1043" s="56">
        <v>44900</v>
      </c>
      <c r="J1043" s="412" t="s">
        <v>3282</v>
      </c>
      <c r="K1043" s="46" t="s">
        <v>3237</v>
      </c>
      <c r="L1043" s="99"/>
      <c r="M1043" s="379"/>
      <c r="N1043" s="76" t="s">
        <v>414</v>
      </c>
      <c r="O1043" s="46"/>
      <c r="P1043" s="46" t="s">
        <v>65</v>
      </c>
      <c r="Q1043" s="46" t="s">
        <v>41</v>
      </c>
      <c r="R1043" s="46" t="s">
        <v>272</v>
      </c>
    </row>
    <row r="1044" spans="1:18" ht="69" customHeight="1">
      <c r="A1044" s="168"/>
      <c r="B1044" s="191">
        <v>8253</v>
      </c>
      <c r="C1044" s="191" t="s">
        <v>309</v>
      </c>
      <c r="D1044" s="533" t="s">
        <v>3283</v>
      </c>
      <c r="E1044" s="191" t="s">
        <v>2312</v>
      </c>
      <c r="F1044" s="211" t="s">
        <v>3284</v>
      </c>
      <c r="G1044" s="46" t="s">
        <v>1133</v>
      </c>
      <c r="H1044" s="534">
        <v>24360</v>
      </c>
      <c r="I1044" s="56">
        <v>44921</v>
      </c>
      <c r="J1044" s="412" t="s">
        <v>1134</v>
      </c>
      <c r="K1044" s="46" t="s">
        <v>3237</v>
      </c>
      <c r="L1044" s="99"/>
      <c r="M1044" s="379"/>
      <c r="N1044" s="76" t="s">
        <v>414</v>
      </c>
      <c r="O1044" s="46"/>
      <c r="P1044" s="46" t="s">
        <v>71</v>
      </c>
      <c r="Q1044" s="46" t="s">
        <v>41</v>
      </c>
      <c r="R1044" s="46" t="s">
        <v>272</v>
      </c>
    </row>
    <row r="1045" spans="1:18" ht="69" customHeight="1">
      <c r="A1045" s="168"/>
      <c r="B1045" s="178">
        <v>8388</v>
      </c>
      <c r="C1045" s="178" t="s">
        <v>309</v>
      </c>
      <c r="D1045" s="575" t="s">
        <v>3285</v>
      </c>
      <c r="E1045" s="178" t="s">
        <v>2312</v>
      </c>
      <c r="F1045" s="210" t="s">
        <v>3286</v>
      </c>
      <c r="G1045" s="58" t="s">
        <v>3058</v>
      </c>
      <c r="H1045" s="546">
        <v>18125</v>
      </c>
      <c r="I1045" s="66">
        <v>44923</v>
      </c>
      <c r="J1045" s="411" t="s">
        <v>3055</v>
      </c>
      <c r="K1045" s="58"/>
      <c r="L1045" s="99"/>
      <c r="M1045" s="70" t="s">
        <v>3246</v>
      </c>
      <c r="N1045" s="97" t="s">
        <v>414</v>
      </c>
      <c r="O1045" s="58"/>
      <c r="P1045" s="58" t="s">
        <v>24</v>
      </c>
      <c r="Q1045" s="58" t="s">
        <v>41</v>
      </c>
      <c r="R1045" s="58" t="s">
        <v>265</v>
      </c>
    </row>
    <row r="1046" spans="1:18" ht="69" customHeight="1">
      <c r="A1046" s="168"/>
      <c r="B1046" s="178">
        <v>8389</v>
      </c>
      <c r="C1046" s="178" t="s">
        <v>309</v>
      </c>
      <c r="D1046" s="575" t="s">
        <v>3287</v>
      </c>
      <c r="E1046" s="178" t="s">
        <v>2312</v>
      </c>
      <c r="F1046" s="210" t="s">
        <v>3288</v>
      </c>
      <c r="G1046" s="58" t="s">
        <v>3058</v>
      </c>
      <c r="H1046" s="546">
        <v>101500</v>
      </c>
      <c r="I1046" s="66">
        <v>44923</v>
      </c>
      <c r="J1046" s="411" t="s">
        <v>3055</v>
      </c>
      <c r="K1046" s="58"/>
      <c r="L1046" s="99"/>
      <c r="M1046" s="70" t="s">
        <v>3246</v>
      </c>
      <c r="N1046" s="97" t="s">
        <v>414</v>
      </c>
      <c r="O1046" s="58"/>
      <c r="P1046" s="58" t="s">
        <v>24</v>
      </c>
      <c r="Q1046" s="58" t="s">
        <v>41</v>
      </c>
      <c r="R1046" s="58" t="s">
        <v>265</v>
      </c>
    </row>
    <row r="1047" spans="1:18" ht="69" customHeight="1">
      <c r="A1047" s="168"/>
      <c r="B1047" s="178">
        <v>8390</v>
      </c>
      <c r="C1047" s="178" t="s">
        <v>309</v>
      </c>
      <c r="D1047" s="575" t="s">
        <v>3289</v>
      </c>
      <c r="E1047" s="178" t="s">
        <v>2312</v>
      </c>
      <c r="F1047" s="210" t="s">
        <v>3290</v>
      </c>
      <c r="G1047" s="58" t="s">
        <v>3054</v>
      </c>
      <c r="H1047" s="546">
        <v>68495.820000000007</v>
      </c>
      <c r="I1047" s="66">
        <v>44923</v>
      </c>
      <c r="J1047" s="411" t="s">
        <v>3055</v>
      </c>
      <c r="K1047" s="58"/>
      <c r="L1047" s="99"/>
      <c r="M1047" s="70" t="s">
        <v>3246</v>
      </c>
      <c r="N1047" s="97" t="s">
        <v>414</v>
      </c>
      <c r="O1047" s="58"/>
      <c r="P1047" s="58" t="s">
        <v>24</v>
      </c>
      <c r="Q1047" s="58" t="s">
        <v>41</v>
      </c>
      <c r="R1047" s="58" t="s">
        <v>265</v>
      </c>
    </row>
    <row r="1048" spans="1:18" ht="69" customHeight="1">
      <c r="A1048" s="168"/>
      <c r="B1048" s="178">
        <v>6819</v>
      </c>
      <c r="C1048" s="178" t="s">
        <v>309</v>
      </c>
      <c r="D1048" s="575" t="s">
        <v>3291</v>
      </c>
      <c r="E1048" s="178" t="s">
        <v>2312</v>
      </c>
      <c r="F1048" s="210" t="s">
        <v>3292</v>
      </c>
      <c r="G1048" s="58" t="s">
        <v>1048</v>
      </c>
      <c r="H1048" s="546">
        <v>22830.1</v>
      </c>
      <c r="I1048" s="66">
        <v>44832</v>
      </c>
      <c r="J1048" s="411" t="s">
        <v>3293</v>
      </c>
      <c r="K1048" s="58"/>
      <c r="L1048" s="99"/>
      <c r="M1048" s="70" t="s">
        <v>3246</v>
      </c>
      <c r="N1048" s="97" t="s">
        <v>414</v>
      </c>
      <c r="O1048" s="58"/>
      <c r="P1048" s="58" t="s">
        <v>24</v>
      </c>
      <c r="Q1048" s="58" t="s">
        <v>41</v>
      </c>
      <c r="R1048" s="58" t="s">
        <v>265</v>
      </c>
    </row>
    <row r="1049" spans="1:18" ht="69" customHeight="1">
      <c r="A1049" s="168"/>
      <c r="B1049" s="178">
        <v>6820</v>
      </c>
      <c r="C1049" s="178" t="s">
        <v>309</v>
      </c>
      <c r="D1049" s="575" t="s">
        <v>3294</v>
      </c>
      <c r="E1049" s="178" t="s">
        <v>2312</v>
      </c>
      <c r="F1049" s="210" t="s">
        <v>3295</v>
      </c>
      <c r="G1049" s="58" t="s">
        <v>1048</v>
      </c>
      <c r="H1049" s="546">
        <v>7600</v>
      </c>
      <c r="I1049" s="66">
        <v>44832</v>
      </c>
      <c r="J1049" s="411" t="s">
        <v>3293</v>
      </c>
      <c r="K1049" s="58"/>
      <c r="L1049" s="99"/>
      <c r="M1049" s="70" t="s">
        <v>3246</v>
      </c>
      <c r="N1049" s="97" t="s">
        <v>414</v>
      </c>
      <c r="O1049" s="58"/>
      <c r="P1049" s="58" t="s">
        <v>24</v>
      </c>
      <c r="Q1049" s="58" t="s">
        <v>41</v>
      </c>
      <c r="R1049" s="58" t="s">
        <v>265</v>
      </c>
    </row>
    <row r="1050" spans="1:18" ht="69" customHeight="1">
      <c r="A1050" s="168"/>
      <c r="B1050" s="178">
        <v>6883</v>
      </c>
      <c r="C1050" s="178" t="s">
        <v>309</v>
      </c>
      <c r="D1050" s="575" t="s">
        <v>3296</v>
      </c>
      <c r="E1050" s="178" t="s">
        <v>2312</v>
      </c>
      <c r="F1050" s="210" t="s">
        <v>3297</v>
      </c>
      <c r="G1050" s="58" t="s">
        <v>1048</v>
      </c>
      <c r="H1050" s="546">
        <v>84762.92</v>
      </c>
      <c r="I1050" s="66">
        <v>44834</v>
      </c>
      <c r="J1050" s="411" t="s">
        <v>3070</v>
      </c>
      <c r="K1050" s="58"/>
      <c r="L1050" s="99"/>
      <c r="M1050" s="70" t="s">
        <v>3246</v>
      </c>
      <c r="N1050" s="97" t="s">
        <v>414</v>
      </c>
      <c r="O1050" s="58"/>
      <c r="P1050" s="58" t="s">
        <v>24</v>
      </c>
      <c r="Q1050" s="58" t="s">
        <v>41</v>
      </c>
      <c r="R1050" s="58" t="s">
        <v>265</v>
      </c>
    </row>
    <row r="1051" spans="1:18" ht="69" customHeight="1">
      <c r="A1051" s="168"/>
      <c r="B1051" s="178">
        <v>7128</v>
      </c>
      <c r="C1051" s="178" t="s">
        <v>309</v>
      </c>
      <c r="D1051" s="575" t="s">
        <v>3298</v>
      </c>
      <c r="E1051" s="178" t="s">
        <v>2312</v>
      </c>
      <c r="F1051" s="210" t="s">
        <v>3299</v>
      </c>
      <c r="G1051" s="58" t="s">
        <v>1048</v>
      </c>
      <c r="H1051" s="546">
        <v>10389.4</v>
      </c>
      <c r="I1051" s="66">
        <v>44855</v>
      </c>
      <c r="J1051" s="411" t="s">
        <v>1860</v>
      </c>
      <c r="K1051" s="58"/>
      <c r="L1051" s="99"/>
      <c r="M1051" s="70" t="s">
        <v>3246</v>
      </c>
      <c r="N1051" s="97" t="s">
        <v>414</v>
      </c>
      <c r="O1051" s="58"/>
      <c r="P1051" s="58" t="s">
        <v>24</v>
      </c>
      <c r="Q1051" s="58" t="s">
        <v>41</v>
      </c>
      <c r="R1051" s="58" t="s">
        <v>265</v>
      </c>
    </row>
    <row r="1052" spans="1:18" ht="69" customHeight="1">
      <c r="A1052" s="168"/>
      <c r="B1052" s="178">
        <v>7207</v>
      </c>
      <c r="C1052" s="178" t="s">
        <v>309</v>
      </c>
      <c r="D1052" s="575" t="s">
        <v>3300</v>
      </c>
      <c r="E1052" s="178" t="s">
        <v>2312</v>
      </c>
      <c r="F1052" s="210" t="s">
        <v>3301</v>
      </c>
      <c r="G1052" s="58" t="s">
        <v>1048</v>
      </c>
      <c r="H1052" s="546">
        <v>28871</v>
      </c>
      <c r="I1052" s="66">
        <v>44860</v>
      </c>
      <c r="J1052" s="411" t="s">
        <v>1848</v>
      </c>
      <c r="K1052" s="58"/>
      <c r="L1052" s="99"/>
      <c r="M1052" s="70" t="s">
        <v>3246</v>
      </c>
      <c r="N1052" s="97" t="s">
        <v>414</v>
      </c>
      <c r="O1052" s="58"/>
      <c r="P1052" s="58" t="s">
        <v>24</v>
      </c>
      <c r="Q1052" s="58" t="s">
        <v>41</v>
      </c>
      <c r="R1052" s="58" t="s">
        <v>265</v>
      </c>
    </row>
    <row r="1053" spans="1:18" ht="69" customHeight="1">
      <c r="A1053" s="168"/>
      <c r="B1053" s="178">
        <v>7206</v>
      </c>
      <c r="C1053" s="178" t="s">
        <v>309</v>
      </c>
      <c r="D1053" s="575" t="s">
        <v>3302</v>
      </c>
      <c r="E1053" s="178" t="s">
        <v>2312</v>
      </c>
      <c r="F1053" s="210" t="s">
        <v>3303</v>
      </c>
      <c r="G1053" s="58" t="s">
        <v>1048</v>
      </c>
      <c r="H1053" s="546">
        <v>37535</v>
      </c>
      <c r="I1053" s="66">
        <v>44860</v>
      </c>
      <c r="J1053" s="411" t="s">
        <v>1848</v>
      </c>
      <c r="K1053" s="58"/>
      <c r="L1053" s="99"/>
      <c r="M1053" s="70" t="s">
        <v>3246</v>
      </c>
      <c r="N1053" s="97" t="s">
        <v>414</v>
      </c>
      <c r="O1053" s="58"/>
      <c r="P1053" s="58" t="s">
        <v>24</v>
      </c>
      <c r="Q1053" s="58" t="s">
        <v>41</v>
      </c>
      <c r="R1053" s="58" t="s">
        <v>265</v>
      </c>
    </row>
    <row r="1054" spans="1:18" ht="69" customHeight="1">
      <c r="A1054" s="168"/>
      <c r="B1054" s="191">
        <v>8359</v>
      </c>
      <c r="C1054" s="191" t="s">
        <v>309</v>
      </c>
      <c r="D1054" s="533" t="s">
        <v>3304</v>
      </c>
      <c r="E1054" s="191" t="s">
        <v>2312</v>
      </c>
      <c r="F1054" s="211" t="s">
        <v>3305</v>
      </c>
      <c r="G1054" s="46" t="s">
        <v>1168</v>
      </c>
      <c r="H1054" s="534">
        <v>11239.02</v>
      </c>
      <c r="I1054" s="56">
        <v>44923</v>
      </c>
      <c r="J1054" s="412" t="s">
        <v>1169</v>
      </c>
      <c r="K1054" s="46" t="s">
        <v>3237</v>
      </c>
      <c r="L1054" s="99"/>
      <c r="M1054" s="379"/>
      <c r="N1054" s="76" t="s">
        <v>414</v>
      </c>
      <c r="O1054" s="46"/>
      <c r="P1054" s="46" t="s">
        <v>71</v>
      </c>
      <c r="Q1054" s="46" t="s">
        <v>41</v>
      </c>
      <c r="R1054" s="46" t="s">
        <v>272</v>
      </c>
    </row>
    <row r="1055" spans="1:18" ht="69" customHeight="1">
      <c r="A1055" s="168"/>
      <c r="B1055" s="191">
        <v>8950</v>
      </c>
      <c r="C1055" s="191" t="s">
        <v>309</v>
      </c>
      <c r="D1055" s="533" t="s">
        <v>3116</v>
      </c>
      <c r="E1055" s="191" t="s">
        <v>1198</v>
      </c>
      <c r="F1055" s="211" t="s">
        <v>3306</v>
      </c>
      <c r="G1055" s="46" t="s">
        <v>3118</v>
      </c>
      <c r="H1055" s="534">
        <v>6645.36</v>
      </c>
      <c r="I1055" s="56">
        <v>44999</v>
      </c>
      <c r="J1055" s="412" t="s">
        <v>3119</v>
      </c>
      <c r="K1055" s="46" t="s">
        <v>3237</v>
      </c>
      <c r="L1055" s="99"/>
      <c r="M1055" s="379"/>
      <c r="N1055" s="76" t="s">
        <v>414</v>
      </c>
      <c r="O1055" s="46"/>
      <c r="P1055" s="46" t="s">
        <v>65</v>
      </c>
      <c r="Q1055" s="46" t="s">
        <v>41</v>
      </c>
      <c r="R1055" s="46" t="s">
        <v>272</v>
      </c>
    </row>
    <row r="1056" spans="1:18" ht="69" customHeight="1">
      <c r="A1056" s="168"/>
      <c r="B1056" s="191">
        <v>8951</v>
      </c>
      <c r="C1056" s="191" t="s">
        <v>309</v>
      </c>
      <c r="D1056" s="533" t="s">
        <v>3307</v>
      </c>
      <c r="E1056" s="191" t="s">
        <v>1198</v>
      </c>
      <c r="F1056" s="211" t="s">
        <v>3308</v>
      </c>
      <c r="G1056" s="46" t="s">
        <v>3309</v>
      </c>
      <c r="H1056" s="534">
        <v>6645.36</v>
      </c>
      <c r="I1056" s="56">
        <v>44999</v>
      </c>
      <c r="J1056" s="412" t="s">
        <v>3119</v>
      </c>
      <c r="K1056" s="46" t="s">
        <v>3237</v>
      </c>
      <c r="L1056" s="99"/>
      <c r="M1056" s="379"/>
      <c r="N1056" s="76" t="s">
        <v>414</v>
      </c>
      <c r="O1056" s="46"/>
      <c r="P1056" s="46" t="s">
        <v>65</v>
      </c>
      <c r="Q1056" s="46" t="s">
        <v>41</v>
      </c>
      <c r="R1056" s="46" t="s">
        <v>272</v>
      </c>
    </row>
    <row r="1057" spans="1:18" ht="69" customHeight="1">
      <c r="A1057" s="168"/>
      <c r="B1057" s="191">
        <v>8951</v>
      </c>
      <c r="C1057" s="191" t="s">
        <v>309</v>
      </c>
      <c r="D1057" s="533" t="s">
        <v>3307</v>
      </c>
      <c r="E1057" s="191" t="s">
        <v>2312</v>
      </c>
      <c r="F1057" s="211" t="s">
        <v>3308</v>
      </c>
      <c r="G1057" s="46" t="s">
        <v>3309</v>
      </c>
      <c r="H1057" s="534">
        <v>6645.36</v>
      </c>
      <c r="I1057" s="56">
        <v>44999</v>
      </c>
      <c r="J1057" s="412" t="s">
        <v>3119</v>
      </c>
      <c r="K1057" s="46" t="s">
        <v>3237</v>
      </c>
      <c r="L1057" s="99"/>
      <c r="M1057" s="379"/>
      <c r="N1057" s="76" t="s">
        <v>414</v>
      </c>
      <c r="O1057" s="46"/>
      <c r="P1057" s="46" t="s">
        <v>65</v>
      </c>
      <c r="Q1057" s="46" t="s">
        <v>41</v>
      </c>
      <c r="R1057" s="46" t="s">
        <v>272</v>
      </c>
    </row>
    <row r="1058" spans="1:18" ht="69" customHeight="1">
      <c r="A1058" s="168"/>
      <c r="B1058" s="178">
        <v>8697</v>
      </c>
      <c r="C1058" s="178" t="s">
        <v>309</v>
      </c>
      <c r="D1058" s="575" t="s">
        <v>3310</v>
      </c>
      <c r="E1058" s="178" t="s">
        <v>2312</v>
      </c>
      <c r="F1058" s="210" t="s">
        <v>3311</v>
      </c>
      <c r="G1058" s="58" t="s">
        <v>1204</v>
      </c>
      <c r="H1058" s="546">
        <v>34800</v>
      </c>
      <c r="I1058" s="66">
        <v>44949</v>
      </c>
      <c r="J1058" s="411" t="s">
        <v>1205</v>
      </c>
      <c r="K1058" s="58"/>
      <c r="L1058" s="99"/>
      <c r="M1058" s="70" t="s">
        <v>3246</v>
      </c>
      <c r="N1058" s="97" t="s">
        <v>414</v>
      </c>
      <c r="O1058" s="58"/>
      <c r="P1058" s="58" t="s">
        <v>24</v>
      </c>
      <c r="Q1058" s="58" t="s">
        <v>41</v>
      </c>
      <c r="R1058" s="58" t="s">
        <v>265</v>
      </c>
    </row>
    <row r="1059" spans="1:18" ht="69" customHeight="1">
      <c r="A1059" s="168"/>
      <c r="B1059" s="178">
        <v>8197</v>
      </c>
      <c r="C1059" s="178" t="s">
        <v>309</v>
      </c>
      <c r="D1059" s="575" t="s">
        <v>3312</v>
      </c>
      <c r="E1059" s="178" t="s">
        <v>3225</v>
      </c>
      <c r="F1059" s="210" t="s">
        <v>3313</v>
      </c>
      <c r="G1059" s="58" t="s">
        <v>1223</v>
      </c>
      <c r="H1059" s="546">
        <v>13652.88</v>
      </c>
      <c r="I1059" s="66">
        <v>44921</v>
      </c>
      <c r="J1059" s="411" t="s">
        <v>1224</v>
      </c>
      <c r="K1059" s="58"/>
      <c r="L1059" s="99"/>
      <c r="M1059" s="70" t="s">
        <v>3216</v>
      </c>
      <c r="N1059" s="97" t="s">
        <v>414</v>
      </c>
      <c r="O1059" s="58"/>
      <c r="P1059" s="58" t="s">
        <v>24</v>
      </c>
      <c r="Q1059" s="58" t="s">
        <v>41</v>
      </c>
      <c r="R1059" s="58" t="s">
        <v>272</v>
      </c>
    </row>
    <row r="1060" spans="1:18" ht="69" customHeight="1">
      <c r="A1060" s="168"/>
      <c r="B1060" s="178">
        <v>8204</v>
      </c>
      <c r="C1060" s="178" t="s">
        <v>309</v>
      </c>
      <c r="D1060" s="575" t="s">
        <v>3314</v>
      </c>
      <c r="E1060" s="178" t="s">
        <v>3225</v>
      </c>
      <c r="F1060" s="210" t="s">
        <v>3315</v>
      </c>
      <c r="G1060" s="58" t="s">
        <v>1223</v>
      </c>
      <c r="H1060" s="546">
        <v>309687.3</v>
      </c>
      <c r="I1060" s="66">
        <v>44921</v>
      </c>
      <c r="J1060" s="411" t="s">
        <v>1224</v>
      </c>
      <c r="K1060" s="58"/>
      <c r="L1060" s="99"/>
      <c r="M1060" s="70" t="s">
        <v>3216</v>
      </c>
      <c r="N1060" s="97" t="s">
        <v>414</v>
      </c>
      <c r="O1060" s="58"/>
      <c r="P1060" s="58" t="s">
        <v>24</v>
      </c>
      <c r="Q1060" s="58" t="s">
        <v>41</v>
      </c>
      <c r="R1060" s="58" t="s">
        <v>272</v>
      </c>
    </row>
    <row r="1061" spans="1:18" ht="69" customHeight="1">
      <c r="A1061" s="168"/>
      <c r="B1061" s="178">
        <v>8210</v>
      </c>
      <c r="C1061" s="178" t="s">
        <v>309</v>
      </c>
      <c r="D1061" s="575" t="s">
        <v>3316</v>
      </c>
      <c r="E1061" s="178" t="s">
        <v>3225</v>
      </c>
      <c r="F1061" s="210" t="s">
        <v>3317</v>
      </c>
      <c r="G1061" s="58" t="s">
        <v>1223</v>
      </c>
      <c r="H1061" s="546">
        <v>81690.720000000001</v>
      </c>
      <c r="I1061" s="66">
        <v>44921</v>
      </c>
      <c r="J1061" s="411" t="s">
        <v>1224</v>
      </c>
      <c r="K1061" s="58"/>
      <c r="L1061" s="99"/>
      <c r="M1061" s="70" t="s">
        <v>3216</v>
      </c>
      <c r="N1061" s="97" t="s">
        <v>414</v>
      </c>
      <c r="O1061" s="58"/>
      <c r="P1061" s="58" t="s">
        <v>24</v>
      </c>
      <c r="Q1061" s="58" t="s">
        <v>41</v>
      </c>
      <c r="R1061" s="58" t="s">
        <v>272</v>
      </c>
    </row>
    <row r="1062" spans="1:18" ht="69" customHeight="1">
      <c r="A1062" s="168"/>
      <c r="B1062" s="178">
        <v>9398</v>
      </c>
      <c r="C1062" s="178" t="s">
        <v>309</v>
      </c>
      <c r="D1062" s="575" t="s">
        <v>3318</v>
      </c>
      <c r="E1062" s="178" t="s">
        <v>3127</v>
      </c>
      <c r="F1062" s="210" t="s">
        <v>3319</v>
      </c>
      <c r="G1062" s="58" t="s">
        <v>3129</v>
      </c>
      <c r="H1062" s="546">
        <v>135650.23999999999</v>
      </c>
      <c r="I1062" s="66">
        <v>45019</v>
      </c>
      <c r="J1062" s="411" t="s">
        <v>3130</v>
      </c>
      <c r="K1062" s="58"/>
      <c r="L1062" s="99"/>
      <c r="M1062" s="70" t="s">
        <v>3233</v>
      </c>
      <c r="N1062" s="97" t="s">
        <v>1044</v>
      </c>
      <c r="O1062" s="58"/>
      <c r="P1062" s="58" t="s">
        <v>26</v>
      </c>
      <c r="Q1062" s="58" t="s">
        <v>41</v>
      </c>
      <c r="R1062" s="58" t="s">
        <v>272</v>
      </c>
    </row>
    <row r="1063" spans="1:18" ht="69" customHeight="1">
      <c r="A1063" s="168"/>
      <c r="B1063" s="178">
        <v>9418</v>
      </c>
      <c r="C1063" s="178" t="s">
        <v>309</v>
      </c>
      <c r="D1063" s="575" t="s">
        <v>3320</v>
      </c>
      <c r="E1063" s="178" t="s">
        <v>2312</v>
      </c>
      <c r="F1063" s="210" t="s">
        <v>3321</v>
      </c>
      <c r="G1063" s="58" t="s">
        <v>1241</v>
      </c>
      <c r="H1063" s="546">
        <v>34800</v>
      </c>
      <c r="I1063" s="66">
        <v>45012</v>
      </c>
      <c r="J1063" s="411" t="s">
        <v>1242</v>
      </c>
      <c r="K1063" s="58"/>
      <c r="L1063" s="99"/>
      <c r="M1063" s="70" t="s">
        <v>3246</v>
      </c>
      <c r="N1063" s="97" t="s">
        <v>414</v>
      </c>
      <c r="O1063" s="58"/>
      <c r="P1063" s="58" t="s">
        <v>24</v>
      </c>
      <c r="Q1063" s="58" t="s">
        <v>41</v>
      </c>
      <c r="R1063" s="58" t="s">
        <v>265</v>
      </c>
    </row>
    <row r="1064" spans="1:18" ht="69" customHeight="1">
      <c r="A1064" s="168"/>
      <c r="B1064" s="178">
        <v>9431</v>
      </c>
      <c r="C1064" s="178" t="s">
        <v>309</v>
      </c>
      <c r="D1064" s="575" t="s">
        <v>3322</v>
      </c>
      <c r="E1064" s="178" t="s">
        <v>2312</v>
      </c>
      <c r="F1064" s="210" t="s">
        <v>3323</v>
      </c>
      <c r="G1064" s="58" t="s">
        <v>1241</v>
      </c>
      <c r="H1064" s="546">
        <v>2342.04</v>
      </c>
      <c r="I1064" s="66">
        <v>45012</v>
      </c>
      <c r="J1064" s="411" t="s">
        <v>1931</v>
      </c>
      <c r="K1064" s="58"/>
      <c r="L1064" s="99"/>
      <c r="M1064" s="70" t="s">
        <v>3246</v>
      </c>
      <c r="N1064" s="97" t="s">
        <v>414</v>
      </c>
      <c r="O1064" s="58"/>
      <c r="P1064" s="58" t="s">
        <v>24</v>
      </c>
      <c r="Q1064" s="58" t="s">
        <v>41</v>
      </c>
      <c r="R1064" s="58" t="s">
        <v>265</v>
      </c>
    </row>
    <row r="1065" spans="1:18" ht="69" customHeight="1">
      <c r="A1065" s="168"/>
      <c r="B1065" s="178">
        <v>9432</v>
      </c>
      <c r="C1065" s="178" t="s">
        <v>309</v>
      </c>
      <c r="D1065" s="575" t="s">
        <v>3324</v>
      </c>
      <c r="E1065" s="178" t="s">
        <v>2312</v>
      </c>
      <c r="F1065" s="210" t="s">
        <v>3325</v>
      </c>
      <c r="G1065" s="58" t="s">
        <v>1241</v>
      </c>
      <c r="H1065" s="546">
        <v>2342.0500000000002</v>
      </c>
      <c r="I1065" s="66">
        <v>45012</v>
      </c>
      <c r="J1065" s="411" t="s">
        <v>1931</v>
      </c>
      <c r="K1065" s="58"/>
      <c r="L1065" s="99"/>
      <c r="M1065" s="70" t="s">
        <v>3246</v>
      </c>
      <c r="N1065" s="97" t="s">
        <v>414</v>
      </c>
      <c r="O1065" s="58"/>
      <c r="P1065" s="58" t="s">
        <v>24</v>
      </c>
      <c r="Q1065" s="58" t="s">
        <v>41</v>
      </c>
      <c r="R1065" s="58" t="s">
        <v>265</v>
      </c>
    </row>
    <row r="1066" spans="1:18" ht="69" customHeight="1">
      <c r="A1066" s="168"/>
      <c r="B1066" s="178">
        <v>9442</v>
      </c>
      <c r="C1066" s="178" t="s">
        <v>309</v>
      </c>
      <c r="D1066" s="575" t="s">
        <v>3326</v>
      </c>
      <c r="E1066" s="178" t="s">
        <v>2312</v>
      </c>
      <c r="F1066" s="210" t="s">
        <v>3327</v>
      </c>
      <c r="G1066" s="58" t="s">
        <v>1241</v>
      </c>
      <c r="H1066" s="546">
        <v>37142.04</v>
      </c>
      <c r="I1066" s="66">
        <v>45012</v>
      </c>
      <c r="J1066" s="411" t="s">
        <v>1245</v>
      </c>
      <c r="K1066" s="58"/>
      <c r="L1066" s="99"/>
      <c r="M1066" s="70" t="s">
        <v>3246</v>
      </c>
      <c r="N1066" s="97" t="s">
        <v>414</v>
      </c>
      <c r="O1066" s="58"/>
      <c r="P1066" s="58" t="s">
        <v>24</v>
      </c>
      <c r="Q1066" s="58" t="s">
        <v>41</v>
      </c>
      <c r="R1066" s="58" t="s">
        <v>265</v>
      </c>
    </row>
    <row r="1067" spans="1:18" ht="69" customHeight="1">
      <c r="A1067" s="168"/>
      <c r="B1067" s="178">
        <v>9678</v>
      </c>
      <c r="C1067" s="178" t="s">
        <v>309</v>
      </c>
      <c r="D1067" s="575" t="s">
        <v>3328</v>
      </c>
      <c r="E1067" s="178" t="s">
        <v>3225</v>
      </c>
      <c r="F1067" s="210" t="s">
        <v>3329</v>
      </c>
      <c r="G1067" s="58" t="s">
        <v>3330</v>
      </c>
      <c r="H1067" s="546">
        <v>142422.79999999999</v>
      </c>
      <c r="I1067" s="66">
        <v>45016</v>
      </c>
      <c r="J1067" s="411" t="s">
        <v>2890</v>
      </c>
      <c r="K1067" s="58"/>
      <c r="L1067" s="99"/>
      <c r="M1067" s="70" t="s">
        <v>3216</v>
      </c>
      <c r="N1067" s="97" t="s">
        <v>414</v>
      </c>
      <c r="O1067" s="58"/>
      <c r="P1067" s="58" t="s">
        <v>24</v>
      </c>
      <c r="Q1067" s="58" t="s">
        <v>41</v>
      </c>
      <c r="R1067" s="58" t="s">
        <v>272</v>
      </c>
    </row>
    <row r="1068" spans="1:18" ht="69" customHeight="1">
      <c r="A1068" s="168"/>
      <c r="B1068" s="178">
        <v>9699</v>
      </c>
      <c r="C1068" s="178" t="s">
        <v>3331</v>
      </c>
      <c r="D1068" s="575" t="s">
        <v>3332</v>
      </c>
      <c r="E1068" s="178" t="s">
        <v>266</v>
      </c>
      <c r="F1068" s="210" t="s">
        <v>3333</v>
      </c>
      <c r="G1068" s="58" t="s">
        <v>3334</v>
      </c>
      <c r="H1068" s="546">
        <v>60.44</v>
      </c>
      <c r="I1068" s="66">
        <v>45041</v>
      </c>
      <c r="J1068" s="411" t="s">
        <v>3335</v>
      </c>
      <c r="K1068" s="58"/>
      <c r="L1068" s="99"/>
      <c r="M1068" s="70" t="s">
        <v>3152</v>
      </c>
      <c r="N1068" s="97" t="s">
        <v>270</v>
      </c>
      <c r="O1068" s="58"/>
      <c r="P1068" s="58" t="s">
        <v>44</v>
      </c>
      <c r="Q1068" s="58" t="s">
        <v>41</v>
      </c>
      <c r="R1068" s="58" t="s">
        <v>272</v>
      </c>
    </row>
    <row r="1069" spans="1:18" ht="69" customHeight="1">
      <c r="A1069" s="168"/>
      <c r="B1069" s="191">
        <v>9782</v>
      </c>
      <c r="C1069" s="191" t="s">
        <v>309</v>
      </c>
      <c r="D1069" s="533" t="s">
        <v>3336</v>
      </c>
      <c r="E1069" s="191" t="s">
        <v>3143</v>
      </c>
      <c r="F1069" s="211" t="s">
        <v>3337</v>
      </c>
      <c r="G1069" s="46" t="s">
        <v>3145</v>
      </c>
      <c r="H1069" s="534">
        <v>31006</v>
      </c>
      <c r="I1069" s="56">
        <v>45041</v>
      </c>
      <c r="J1069" s="412" t="s">
        <v>3146</v>
      </c>
      <c r="K1069" s="46" t="s">
        <v>3237</v>
      </c>
      <c r="L1069" s="99"/>
      <c r="M1069" s="379"/>
      <c r="N1069" s="76" t="s">
        <v>264</v>
      </c>
      <c r="O1069" s="46"/>
      <c r="P1069" s="46" t="s">
        <v>65</v>
      </c>
      <c r="Q1069" s="46" t="s">
        <v>41</v>
      </c>
      <c r="R1069" s="46" t="s">
        <v>272</v>
      </c>
    </row>
    <row r="1070" spans="1:18" ht="69" customHeight="1">
      <c r="A1070" s="168"/>
      <c r="B1070" s="191">
        <v>9783</v>
      </c>
      <c r="C1070" s="191" t="s">
        <v>309</v>
      </c>
      <c r="D1070" s="533" t="s">
        <v>3338</v>
      </c>
      <c r="E1070" s="191" t="s">
        <v>3143</v>
      </c>
      <c r="F1070" s="211" t="s">
        <v>3339</v>
      </c>
      <c r="G1070" s="46" t="s">
        <v>3149</v>
      </c>
      <c r="H1070" s="534">
        <v>12468</v>
      </c>
      <c r="I1070" s="56">
        <v>45041</v>
      </c>
      <c r="J1070" s="412" t="s">
        <v>3146</v>
      </c>
      <c r="K1070" s="46" t="s">
        <v>3237</v>
      </c>
      <c r="L1070" s="99"/>
      <c r="M1070" s="379"/>
      <c r="N1070" s="76" t="s">
        <v>264</v>
      </c>
      <c r="O1070" s="46"/>
      <c r="P1070" s="46" t="s">
        <v>65</v>
      </c>
      <c r="Q1070" s="46" t="s">
        <v>41</v>
      </c>
      <c r="R1070" s="46" t="s">
        <v>272</v>
      </c>
    </row>
    <row r="1071" spans="1:18" ht="69" customHeight="1">
      <c r="A1071" s="168"/>
      <c r="B1071" s="178">
        <v>9791</v>
      </c>
      <c r="C1071" s="178" t="s">
        <v>3340</v>
      </c>
      <c r="D1071" s="575" t="s">
        <v>3341</v>
      </c>
      <c r="E1071" s="178" t="s">
        <v>266</v>
      </c>
      <c r="F1071" s="210" t="s">
        <v>3342</v>
      </c>
      <c r="G1071" s="58" t="s">
        <v>3343</v>
      </c>
      <c r="H1071" s="546">
        <v>35400</v>
      </c>
      <c r="I1071" s="66">
        <v>45030</v>
      </c>
      <c r="J1071" s="411" t="s">
        <v>3344</v>
      </c>
      <c r="K1071" s="58"/>
      <c r="L1071" s="99"/>
      <c r="M1071" s="70" t="s">
        <v>3152</v>
      </c>
      <c r="N1071" s="97" t="s">
        <v>270</v>
      </c>
      <c r="O1071" s="58"/>
      <c r="P1071" s="58" t="s">
        <v>44</v>
      </c>
      <c r="Q1071" s="58" t="s">
        <v>41</v>
      </c>
      <c r="R1071" s="58" t="s">
        <v>272</v>
      </c>
    </row>
    <row r="1072" spans="1:18" ht="69" customHeight="1">
      <c r="A1072" s="168"/>
      <c r="B1072" s="191">
        <v>9945</v>
      </c>
      <c r="C1072" s="191" t="s">
        <v>309</v>
      </c>
      <c r="D1072" s="533"/>
      <c r="E1072" s="191" t="s">
        <v>2312</v>
      </c>
      <c r="F1072" s="211" t="s">
        <v>3345</v>
      </c>
      <c r="G1072" s="46" t="s">
        <v>1251</v>
      </c>
      <c r="H1072" s="534">
        <v>1100</v>
      </c>
      <c r="I1072" s="56">
        <v>45061</v>
      </c>
      <c r="J1072" s="412" t="s">
        <v>1956</v>
      </c>
      <c r="K1072" s="46" t="s">
        <v>3237</v>
      </c>
      <c r="L1072" s="99"/>
      <c r="M1072" s="379"/>
      <c r="N1072" s="76" t="s">
        <v>414</v>
      </c>
      <c r="O1072" s="46"/>
      <c r="P1072" s="46" t="s">
        <v>65</v>
      </c>
      <c r="Q1072" s="46" t="s">
        <v>41</v>
      </c>
      <c r="R1072" s="46" t="s">
        <v>272</v>
      </c>
    </row>
    <row r="1073" spans="1:18" ht="69" customHeight="1">
      <c r="A1073" s="168"/>
      <c r="B1073" s="178">
        <v>6587</v>
      </c>
      <c r="C1073" s="178" t="s">
        <v>309</v>
      </c>
      <c r="D1073" s="575" t="s">
        <v>3346</v>
      </c>
      <c r="E1073" s="178" t="s">
        <v>409</v>
      </c>
      <c r="F1073" s="210" t="s">
        <v>3347</v>
      </c>
      <c r="G1073" s="58" t="s">
        <v>738</v>
      </c>
      <c r="H1073" s="546">
        <v>108189.79</v>
      </c>
      <c r="I1073" s="66">
        <v>44813</v>
      </c>
      <c r="J1073" s="411" t="s">
        <v>3348</v>
      </c>
      <c r="K1073" s="58"/>
      <c r="L1073" s="99"/>
      <c r="M1073" s="70" t="s">
        <v>3349</v>
      </c>
      <c r="N1073" s="97" t="s">
        <v>741</v>
      </c>
      <c r="O1073" s="45" t="s">
        <v>154</v>
      </c>
      <c r="P1073" s="58" t="s">
        <v>59</v>
      </c>
      <c r="Q1073" s="58" t="s">
        <v>43</v>
      </c>
      <c r="R1073" s="58" t="s">
        <v>272</v>
      </c>
    </row>
    <row r="1074" spans="1:18" ht="69" customHeight="1">
      <c r="A1074" s="168"/>
      <c r="B1074" s="178">
        <v>7481</v>
      </c>
      <c r="C1074" s="178" t="s">
        <v>309</v>
      </c>
      <c r="D1074" s="575" t="s">
        <v>3350</v>
      </c>
      <c r="E1074" s="178" t="s">
        <v>266</v>
      </c>
      <c r="F1074" s="210" t="s">
        <v>3351</v>
      </c>
      <c r="G1074" s="58" t="s">
        <v>444</v>
      </c>
      <c r="H1074" s="546">
        <v>5334.67</v>
      </c>
      <c r="I1074" s="66">
        <v>44879</v>
      </c>
      <c r="J1074" s="411" t="s">
        <v>445</v>
      </c>
      <c r="K1074" s="58"/>
      <c r="L1074" s="99"/>
      <c r="M1074" s="70" t="s">
        <v>3352</v>
      </c>
      <c r="N1074" s="97" t="s">
        <v>270</v>
      </c>
      <c r="O1074" s="58"/>
      <c r="P1074" s="58" t="s">
        <v>44</v>
      </c>
      <c r="Q1074" s="58" t="s">
        <v>43</v>
      </c>
      <c r="R1074" s="58" t="s">
        <v>272</v>
      </c>
    </row>
    <row r="1075" spans="1:18" ht="69" customHeight="1">
      <c r="A1075" s="168"/>
      <c r="B1075" s="178">
        <v>5368</v>
      </c>
      <c r="C1075" s="178" t="s">
        <v>3353</v>
      </c>
      <c r="D1075" s="575" t="s">
        <v>3354</v>
      </c>
      <c r="E1075" s="178" t="s">
        <v>755</v>
      </c>
      <c r="F1075" s="210" t="s">
        <v>3355</v>
      </c>
      <c r="G1075" s="58" t="s">
        <v>725</v>
      </c>
      <c r="H1075" s="546">
        <v>411372.87</v>
      </c>
      <c r="I1075" s="66">
        <v>44781</v>
      </c>
      <c r="J1075" s="411" t="s">
        <v>3356</v>
      </c>
      <c r="K1075" s="58" t="s">
        <v>3357</v>
      </c>
      <c r="L1075" s="99"/>
      <c r="M1075" s="70" t="s">
        <v>3358</v>
      </c>
      <c r="N1075" s="97" t="s">
        <v>716</v>
      </c>
      <c r="O1075" s="58"/>
      <c r="P1075" s="58" t="s">
        <v>28</v>
      </c>
      <c r="Q1075" s="58" t="s">
        <v>43</v>
      </c>
      <c r="R1075" s="58" t="s">
        <v>272</v>
      </c>
    </row>
    <row r="1076" spans="1:18" ht="69" customHeight="1">
      <c r="A1076" s="168"/>
      <c r="B1076" s="178">
        <v>7606</v>
      </c>
      <c r="C1076" s="178" t="s">
        <v>309</v>
      </c>
      <c r="D1076" s="575" t="s">
        <v>3359</v>
      </c>
      <c r="E1076" s="178" t="s">
        <v>266</v>
      </c>
      <c r="F1076" s="210" t="s">
        <v>3360</v>
      </c>
      <c r="G1076" s="58" t="s">
        <v>392</v>
      </c>
      <c r="H1076" s="546">
        <v>1150</v>
      </c>
      <c r="I1076" s="66">
        <v>44895</v>
      </c>
      <c r="J1076" s="411" t="s">
        <v>457</v>
      </c>
      <c r="K1076" s="58"/>
      <c r="L1076" s="99"/>
      <c r="M1076" s="70" t="s">
        <v>3352</v>
      </c>
      <c r="N1076" s="97" t="s">
        <v>270</v>
      </c>
      <c r="O1076" s="58"/>
      <c r="P1076" s="58" t="s">
        <v>44</v>
      </c>
      <c r="Q1076" s="58" t="s">
        <v>43</v>
      </c>
      <c r="R1076" s="58" t="s">
        <v>272</v>
      </c>
    </row>
    <row r="1077" spans="1:18" ht="69" customHeight="1">
      <c r="A1077" s="168"/>
      <c r="B1077" s="178">
        <v>6245</v>
      </c>
      <c r="C1077" s="178" t="s">
        <v>3361</v>
      </c>
      <c r="D1077" s="575" t="s">
        <v>3362</v>
      </c>
      <c r="E1077" s="178" t="s">
        <v>755</v>
      </c>
      <c r="F1077" s="210" t="s">
        <v>3363</v>
      </c>
      <c r="G1077" s="58" t="s">
        <v>787</v>
      </c>
      <c r="H1077" s="546">
        <v>176302.66</v>
      </c>
      <c r="I1077" s="66">
        <v>44788</v>
      </c>
      <c r="J1077" s="411" t="s">
        <v>3356</v>
      </c>
      <c r="K1077" s="58"/>
      <c r="L1077" s="99"/>
      <c r="M1077" s="70" t="s">
        <v>3358</v>
      </c>
      <c r="N1077" s="97" t="s">
        <v>716</v>
      </c>
      <c r="O1077" s="58"/>
      <c r="P1077" s="58" t="s">
        <v>28</v>
      </c>
      <c r="Q1077" s="58" t="s">
        <v>43</v>
      </c>
      <c r="R1077" s="58" t="s">
        <v>272</v>
      </c>
    </row>
    <row r="1078" spans="1:18" ht="69" customHeight="1">
      <c r="A1078" s="168"/>
      <c r="B1078" s="178">
        <v>6948</v>
      </c>
      <c r="C1078" s="178" t="s">
        <v>309</v>
      </c>
      <c r="D1078" s="575" t="s">
        <v>3364</v>
      </c>
      <c r="E1078" s="178" t="s">
        <v>409</v>
      </c>
      <c r="F1078" s="210" t="s">
        <v>3365</v>
      </c>
      <c r="G1078" s="58" t="s">
        <v>3366</v>
      </c>
      <c r="H1078" s="546">
        <v>58256.04</v>
      </c>
      <c r="I1078" s="66">
        <v>44844</v>
      </c>
      <c r="J1078" s="411" t="s">
        <v>3367</v>
      </c>
      <c r="K1078" s="58"/>
      <c r="L1078" s="99"/>
      <c r="M1078" s="70" t="s">
        <v>3349</v>
      </c>
      <c r="N1078" s="97" t="s">
        <v>741</v>
      </c>
      <c r="O1078" s="45" t="s">
        <v>154</v>
      </c>
      <c r="P1078" s="58" t="s">
        <v>59</v>
      </c>
      <c r="Q1078" s="58" t="s">
        <v>43</v>
      </c>
      <c r="R1078" s="58" t="s">
        <v>272</v>
      </c>
    </row>
    <row r="1079" spans="1:18" ht="69" customHeight="1">
      <c r="A1079" s="168"/>
      <c r="B1079" s="178">
        <v>7417</v>
      </c>
      <c r="C1079" s="178" t="s">
        <v>3368</v>
      </c>
      <c r="D1079" s="575" t="s">
        <v>3369</v>
      </c>
      <c r="E1079" s="178" t="s">
        <v>809</v>
      </c>
      <c r="F1079" s="210" t="s">
        <v>3370</v>
      </c>
      <c r="G1079" s="58" t="s">
        <v>811</v>
      </c>
      <c r="H1079" s="546">
        <v>12000.1</v>
      </c>
      <c r="I1079" s="66">
        <v>44879</v>
      </c>
      <c r="J1079" s="411" t="s">
        <v>812</v>
      </c>
      <c r="K1079" s="58"/>
      <c r="L1079" s="99"/>
      <c r="M1079" s="70" t="s">
        <v>3371</v>
      </c>
      <c r="N1079" s="97" t="s">
        <v>814</v>
      </c>
      <c r="O1079" s="58"/>
      <c r="P1079" s="58" t="s">
        <v>36</v>
      </c>
      <c r="Q1079" s="58" t="s">
        <v>43</v>
      </c>
      <c r="R1079" s="58" t="s">
        <v>272</v>
      </c>
    </row>
    <row r="1080" spans="1:18" ht="69" customHeight="1">
      <c r="A1080" s="168"/>
      <c r="B1080" s="178">
        <v>8167</v>
      </c>
      <c r="C1080" s="178" t="s">
        <v>3372</v>
      </c>
      <c r="D1080" s="575" t="s">
        <v>3373</v>
      </c>
      <c r="E1080" s="178" t="s">
        <v>755</v>
      </c>
      <c r="F1080" s="210" t="s">
        <v>3374</v>
      </c>
      <c r="G1080" s="58" t="s">
        <v>3375</v>
      </c>
      <c r="H1080" s="546">
        <v>587675.53</v>
      </c>
      <c r="I1080" s="66">
        <v>44914</v>
      </c>
      <c r="J1080" s="411" t="s">
        <v>3376</v>
      </c>
      <c r="K1080" s="58" t="s">
        <v>3377</v>
      </c>
      <c r="L1080" s="99"/>
      <c r="M1080" s="70" t="s">
        <v>3358</v>
      </c>
      <c r="N1080" s="97" t="s">
        <v>716</v>
      </c>
      <c r="O1080" s="58"/>
      <c r="P1080" s="58" t="s">
        <v>28</v>
      </c>
      <c r="Q1080" s="58" t="s">
        <v>43</v>
      </c>
      <c r="R1080" s="58" t="s">
        <v>272</v>
      </c>
    </row>
    <row r="1081" spans="1:18" ht="69" customHeight="1">
      <c r="A1081" s="168"/>
      <c r="B1081" s="178">
        <v>8148</v>
      </c>
      <c r="C1081" s="178" t="s">
        <v>3372</v>
      </c>
      <c r="D1081" s="575" t="s">
        <v>3378</v>
      </c>
      <c r="E1081" s="178" t="s">
        <v>755</v>
      </c>
      <c r="F1081" s="210" t="s">
        <v>3379</v>
      </c>
      <c r="G1081" s="58" t="s">
        <v>3380</v>
      </c>
      <c r="H1081" s="546">
        <v>587675.53</v>
      </c>
      <c r="I1081" s="66">
        <v>44914</v>
      </c>
      <c r="J1081" s="411" t="s">
        <v>758</v>
      </c>
      <c r="K1081" s="58" t="s">
        <v>3381</v>
      </c>
      <c r="L1081" s="99"/>
      <c r="M1081" s="70" t="s">
        <v>3358</v>
      </c>
      <c r="N1081" s="97" t="s">
        <v>716</v>
      </c>
      <c r="O1081" s="58"/>
      <c r="P1081" s="58" t="s">
        <v>28</v>
      </c>
      <c r="Q1081" s="58" t="s">
        <v>43</v>
      </c>
      <c r="R1081" s="58" t="s">
        <v>272</v>
      </c>
    </row>
    <row r="1082" spans="1:18" ht="69" customHeight="1">
      <c r="A1082" s="168"/>
      <c r="B1082" s="178">
        <v>5352</v>
      </c>
      <c r="C1082" s="178" t="s">
        <v>309</v>
      </c>
      <c r="D1082" s="575" t="s">
        <v>3382</v>
      </c>
      <c r="E1082" s="178" t="s">
        <v>409</v>
      </c>
      <c r="F1082" s="210" t="s">
        <v>3383</v>
      </c>
      <c r="G1082" s="58" t="s">
        <v>712</v>
      </c>
      <c r="H1082" s="546">
        <v>1469188.83</v>
      </c>
      <c r="I1082" s="66">
        <v>44757</v>
      </c>
      <c r="J1082" s="411" t="s">
        <v>3384</v>
      </c>
      <c r="K1082" s="58" t="s">
        <v>3385</v>
      </c>
      <c r="L1082" s="99"/>
      <c r="M1082" s="70" t="s">
        <v>3358</v>
      </c>
      <c r="N1082" s="97" t="s">
        <v>716</v>
      </c>
      <c r="O1082" s="58"/>
      <c r="P1082" s="58" t="s">
        <v>28</v>
      </c>
      <c r="Q1082" s="58" t="s">
        <v>43</v>
      </c>
      <c r="R1082" s="58" t="s">
        <v>272</v>
      </c>
    </row>
    <row r="1083" spans="1:18" ht="69" customHeight="1">
      <c r="A1083" s="168"/>
      <c r="B1083" s="178">
        <v>8072</v>
      </c>
      <c r="C1083" s="178" t="s">
        <v>3372</v>
      </c>
      <c r="D1083" s="575" t="s">
        <v>3386</v>
      </c>
      <c r="E1083" s="178" t="s">
        <v>266</v>
      </c>
      <c r="F1083" s="210" t="s">
        <v>3387</v>
      </c>
      <c r="G1083" s="58" t="s">
        <v>453</v>
      </c>
      <c r="H1083" s="546">
        <v>1000</v>
      </c>
      <c r="I1083" s="66">
        <v>44911</v>
      </c>
      <c r="J1083" s="411" t="s">
        <v>454</v>
      </c>
      <c r="K1083" s="58"/>
      <c r="L1083" s="99"/>
      <c r="M1083" s="70" t="s">
        <v>3352</v>
      </c>
      <c r="N1083" s="97" t="s">
        <v>270</v>
      </c>
      <c r="O1083" s="58"/>
      <c r="P1083" s="58" t="s">
        <v>44</v>
      </c>
      <c r="Q1083" s="58" t="s">
        <v>43</v>
      </c>
      <c r="R1083" s="58" t="s">
        <v>272</v>
      </c>
    </row>
    <row r="1084" spans="1:18" ht="69" customHeight="1">
      <c r="A1084" s="168"/>
      <c r="B1084" s="178">
        <v>8058</v>
      </c>
      <c r="C1084" s="178" t="s">
        <v>309</v>
      </c>
      <c r="D1084" s="575" t="s">
        <v>3388</v>
      </c>
      <c r="E1084" s="178" t="s">
        <v>266</v>
      </c>
      <c r="F1084" s="210" t="s">
        <v>3389</v>
      </c>
      <c r="G1084" s="58" t="s">
        <v>392</v>
      </c>
      <c r="H1084" s="546">
        <v>1150</v>
      </c>
      <c r="I1084" s="66">
        <v>44918</v>
      </c>
      <c r="J1084" s="411" t="s">
        <v>3390</v>
      </c>
      <c r="K1084" s="58"/>
      <c r="L1084" s="99"/>
      <c r="M1084" s="70" t="s">
        <v>3352</v>
      </c>
      <c r="N1084" s="97" t="s">
        <v>270</v>
      </c>
      <c r="O1084" s="58"/>
      <c r="P1084" s="58" t="s">
        <v>44</v>
      </c>
      <c r="Q1084" s="58" t="s">
        <v>43</v>
      </c>
      <c r="R1084" s="58" t="s">
        <v>272</v>
      </c>
    </row>
    <row r="1085" spans="1:18" ht="69" customHeight="1">
      <c r="A1085" s="168"/>
      <c r="B1085" s="178">
        <v>7668</v>
      </c>
      <c r="C1085" s="178" t="s">
        <v>309</v>
      </c>
      <c r="D1085" s="575" t="s">
        <v>3391</v>
      </c>
      <c r="E1085" s="178" t="s">
        <v>266</v>
      </c>
      <c r="F1085" s="210" t="s">
        <v>3392</v>
      </c>
      <c r="G1085" s="58" t="s">
        <v>3393</v>
      </c>
      <c r="H1085" s="546">
        <v>6206.9</v>
      </c>
      <c r="I1085" s="66">
        <v>44904</v>
      </c>
      <c r="J1085" s="411" t="s">
        <v>1155</v>
      </c>
      <c r="K1085" s="58"/>
      <c r="L1085" s="99"/>
      <c r="M1085" s="70" t="s">
        <v>3394</v>
      </c>
      <c r="N1085" s="97" t="s">
        <v>683</v>
      </c>
      <c r="O1085" s="58" t="s">
        <v>684</v>
      </c>
      <c r="P1085" s="58" t="s">
        <v>46</v>
      </c>
      <c r="Q1085" s="58" t="s">
        <v>43</v>
      </c>
      <c r="R1085" s="58" t="s">
        <v>272</v>
      </c>
    </row>
    <row r="1086" spans="1:18" ht="69" customHeight="1">
      <c r="A1086" s="168"/>
      <c r="B1086" s="178">
        <v>7768</v>
      </c>
      <c r="C1086" s="178" t="s">
        <v>3368</v>
      </c>
      <c r="D1086" s="575" t="s">
        <v>3395</v>
      </c>
      <c r="E1086" s="178" t="s">
        <v>809</v>
      </c>
      <c r="F1086" s="210" t="s">
        <v>3396</v>
      </c>
      <c r="G1086" s="58" t="s">
        <v>811</v>
      </c>
      <c r="H1086" s="546">
        <v>10000.200000000001</v>
      </c>
      <c r="I1086" s="66">
        <v>44909</v>
      </c>
      <c r="J1086" s="411" t="s">
        <v>817</v>
      </c>
      <c r="K1086" s="58"/>
      <c r="L1086" s="99"/>
      <c r="M1086" s="70" t="s">
        <v>3371</v>
      </c>
      <c r="N1086" s="97" t="s">
        <v>814</v>
      </c>
      <c r="O1086" s="58"/>
      <c r="P1086" s="58" t="s">
        <v>36</v>
      </c>
      <c r="Q1086" s="58" t="s">
        <v>43</v>
      </c>
      <c r="R1086" s="58" t="s">
        <v>272</v>
      </c>
    </row>
    <row r="1087" spans="1:18" ht="69" customHeight="1">
      <c r="A1087" s="168"/>
      <c r="B1087" s="178">
        <v>2487</v>
      </c>
      <c r="C1087" s="178" t="s">
        <v>309</v>
      </c>
      <c r="D1087" s="575" t="s">
        <v>3397</v>
      </c>
      <c r="E1087" s="178" t="s">
        <v>979</v>
      </c>
      <c r="F1087" s="210" t="s">
        <v>3398</v>
      </c>
      <c r="G1087" s="58" t="s">
        <v>3399</v>
      </c>
      <c r="H1087" s="546">
        <v>55000</v>
      </c>
      <c r="I1087" s="66">
        <v>44524</v>
      </c>
      <c r="J1087" s="411" t="s">
        <v>3400</v>
      </c>
      <c r="K1087" s="58" t="s">
        <v>3401</v>
      </c>
      <c r="L1087" s="99"/>
      <c r="M1087" s="70" t="s">
        <v>3402</v>
      </c>
      <c r="N1087" s="97" t="s">
        <v>356</v>
      </c>
      <c r="O1087" s="58" t="s">
        <v>156</v>
      </c>
      <c r="P1087" s="58" t="s">
        <v>19</v>
      </c>
      <c r="Q1087" s="58" t="s">
        <v>43</v>
      </c>
      <c r="R1087" s="58" t="s">
        <v>265</v>
      </c>
    </row>
    <row r="1088" spans="1:18" ht="69" customHeight="1">
      <c r="A1088" s="168"/>
      <c r="B1088" s="178">
        <v>2478</v>
      </c>
      <c r="C1088" s="178" t="s">
        <v>309</v>
      </c>
      <c r="D1088" s="575" t="s">
        <v>3403</v>
      </c>
      <c r="E1088" s="178" t="s">
        <v>921</v>
      </c>
      <c r="F1088" s="210" t="s">
        <v>3404</v>
      </c>
      <c r="G1088" s="58" t="s">
        <v>3405</v>
      </c>
      <c r="H1088" s="546">
        <v>127942.5</v>
      </c>
      <c r="I1088" s="66">
        <v>44520</v>
      </c>
      <c r="J1088" s="411" t="s">
        <v>3406</v>
      </c>
      <c r="K1088" s="58"/>
      <c r="L1088" s="99"/>
      <c r="M1088" s="70" t="s">
        <v>3407</v>
      </c>
      <c r="N1088" s="97" t="s">
        <v>356</v>
      </c>
      <c r="O1088" s="58" t="s">
        <v>156</v>
      </c>
      <c r="P1088" s="58" t="s">
        <v>19</v>
      </c>
      <c r="Q1088" s="58" t="s">
        <v>43</v>
      </c>
      <c r="R1088" s="58" t="s">
        <v>272</v>
      </c>
    </row>
    <row r="1089" spans="1:18" ht="69" customHeight="1">
      <c r="A1089" s="168"/>
      <c r="B1089" s="178">
        <v>2546</v>
      </c>
      <c r="C1089" s="178" t="s">
        <v>309</v>
      </c>
      <c r="D1089" s="575" t="s">
        <v>3408</v>
      </c>
      <c r="E1089" s="178" t="s">
        <v>979</v>
      </c>
      <c r="F1089" s="210" t="s">
        <v>3409</v>
      </c>
      <c r="G1089" s="58" t="s">
        <v>352</v>
      </c>
      <c r="H1089" s="546">
        <v>63600</v>
      </c>
      <c r="I1089" s="66">
        <v>44534</v>
      </c>
      <c r="J1089" s="411" t="s">
        <v>3410</v>
      </c>
      <c r="K1089" s="58"/>
      <c r="L1089" s="99"/>
      <c r="M1089" s="70" t="s">
        <v>3402</v>
      </c>
      <c r="N1089" s="97" t="s">
        <v>356</v>
      </c>
      <c r="O1089" s="58" t="s">
        <v>156</v>
      </c>
      <c r="P1089" s="58" t="s">
        <v>19</v>
      </c>
      <c r="Q1089" s="58" t="s">
        <v>43</v>
      </c>
      <c r="R1089" s="58" t="s">
        <v>265</v>
      </c>
    </row>
    <row r="1090" spans="1:18" ht="69" customHeight="1">
      <c r="A1090" s="168"/>
      <c r="B1090" s="178">
        <v>2545</v>
      </c>
      <c r="C1090" s="178" t="s">
        <v>309</v>
      </c>
      <c r="D1090" s="575" t="s">
        <v>3411</v>
      </c>
      <c r="E1090" s="178" t="s">
        <v>979</v>
      </c>
      <c r="F1090" s="210" t="s">
        <v>3412</v>
      </c>
      <c r="G1090" s="58" t="s">
        <v>352</v>
      </c>
      <c r="H1090" s="546">
        <v>32023.52</v>
      </c>
      <c r="I1090" s="66">
        <v>44534</v>
      </c>
      <c r="J1090" s="411" t="s">
        <v>3413</v>
      </c>
      <c r="K1090" s="58"/>
      <c r="L1090" s="99"/>
      <c r="M1090" s="70" t="s">
        <v>3402</v>
      </c>
      <c r="N1090" s="97" t="s">
        <v>356</v>
      </c>
      <c r="O1090" s="58" t="s">
        <v>156</v>
      </c>
      <c r="P1090" s="58" t="s">
        <v>19</v>
      </c>
      <c r="Q1090" s="58" t="s">
        <v>43</v>
      </c>
      <c r="R1090" s="58" t="s">
        <v>265</v>
      </c>
    </row>
    <row r="1091" spans="1:18" ht="69" customHeight="1">
      <c r="A1091" s="168"/>
      <c r="B1091" s="178">
        <v>2544</v>
      </c>
      <c r="C1091" s="178" t="s">
        <v>309</v>
      </c>
      <c r="D1091" s="575" t="s">
        <v>3414</v>
      </c>
      <c r="E1091" s="178" t="s">
        <v>979</v>
      </c>
      <c r="F1091" s="210" t="s">
        <v>3415</v>
      </c>
      <c r="G1091" s="58" t="s">
        <v>352</v>
      </c>
      <c r="H1091" s="546">
        <v>282040</v>
      </c>
      <c r="I1091" s="66">
        <v>44533</v>
      </c>
      <c r="J1091" s="411" t="s">
        <v>3416</v>
      </c>
      <c r="K1091" s="58"/>
      <c r="L1091" s="99"/>
      <c r="M1091" s="70" t="s">
        <v>3402</v>
      </c>
      <c r="N1091" s="97" t="s">
        <v>356</v>
      </c>
      <c r="O1091" s="58" t="s">
        <v>156</v>
      </c>
      <c r="P1091" s="58" t="s">
        <v>19</v>
      </c>
      <c r="Q1091" s="58" t="s">
        <v>43</v>
      </c>
      <c r="R1091" s="58" t="s">
        <v>265</v>
      </c>
    </row>
    <row r="1092" spans="1:18" ht="69" customHeight="1">
      <c r="A1092" s="168"/>
      <c r="B1092" s="178">
        <v>2603</v>
      </c>
      <c r="C1092" s="178" t="s">
        <v>309</v>
      </c>
      <c r="D1092" s="575" t="s">
        <v>3417</v>
      </c>
      <c r="E1092" s="178" t="s">
        <v>979</v>
      </c>
      <c r="F1092" s="210" t="s">
        <v>3418</v>
      </c>
      <c r="G1092" s="58" t="s">
        <v>352</v>
      </c>
      <c r="H1092" s="546">
        <v>102060</v>
      </c>
      <c r="I1092" s="66">
        <v>44540</v>
      </c>
      <c r="J1092" s="411" t="s">
        <v>3419</v>
      </c>
      <c r="K1092" s="58"/>
      <c r="L1092" s="99"/>
      <c r="M1092" s="70" t="s">
        <v>3402</v>
      </c>
      <c r="N1092" s="97" t="s">
        <v>356</v>
      </c>
      <c r="O1092" s="58" t="s">
        <v>156</v>
      </c>
      <c r="P1092" s="58" t="s">
        <v>19</v>
      </c>
      <c r="Q1092" s="58" t="s">
        <v>43</v>
      </c>
      <c r="R1092" s="58" t="s">
        <v>265</v>
      </c>
    </row>
    <row r="1093" spans="1:18" ht="69" customHeight="1">
      <c r="A1093" s="168"/>
      <c r="B1093" s="178">
        <v>2548</v>
      </c>
      <c r="C1093" s="178" t="s">
        <v>1445</v>
      </c>
      <c r="D1093" s="575" t="s">
        <v>3420</v>
      </c>
      <c r="E1093" s="178" t="s">
        <v>979</v>
      </c>
      <c r="F1093" s="210" t="s">
        <v>3421</v>
      </c>
      <c r="G1093" s="58" t="s">
        <v>352</v>
      </c>
      <c r="H1093" s="546">
        <v>1378.71</v>
      </c>
      <c r="I1093" s="66">
        <v>44533</v>
      </c>
      <c r="J1093" s="411" t="s">
        <v>3422</v>
      </c>
      <c r="K1093" s="58"/>
      <c r="L1093" s="99"/>
      <c r="M1093" s="70" t="s">
        <v>3402</v>
      </c>
      <c r="N1093" s="97" t="s">
        <v>356</v>
      </c>
      <c r="O1093" s="58" t="s">
        <v>156</v>
      </c>
      <c r="P1093" s="58" t="s">
        <v>19</v>
      </c>
      <c r="Q1093" s="58" t="s">
        <v>43</v>
      </c>
      <c r="R1093" s="58" t="s">
        <v>265</v>
      </c>
    </row>
    <row r="1094" spans="1:18" ht="69" customHeight="1">
      <c r="A1094" s="168"/>
      <c r="B1094" s="178">
        <v>2549</v>
      </c>
      <c r="C1094" s="178" t="s">
        <v>1445</v>
      </c>
      <c r="D1094" s="575" t="s">
        <v>400</v>
      </c>
      <c r="E1094" s="178" t="s">
        <v>979</v>
      </c>
      <c r="F1094" s="210" t="s">
        <v>3423</v>
      </c>
      <c r="G1094" s="58" t="s">
        <v>352</v>
      </c>
      <c r="H1094" s="546">
        <v>5681.91</v>
      </c>
      <c r="I1094" s="66">
        <v>44533</v>
      </c>
      <c r="J1094" s="411" t="s">
        <v>3424</v>
      </c>
      <c r="K1094" s="58"/>
      <c r="L1094" s="99"/>
      <c r="M1094" s="70" t="s">
        <v>3402</v>
      </c>
      <c r="N1094" s="97" t="s">
        <v>356</v>
      </c>
      <c r="O1094" s="58" t="s">
        <v>156</v>
      </c>
      <c r="P1094" s="58" t="s">
        <v>19</v>
      </c>
      <c r="Q1094" s="58" t="s">
        <v>43</v>
      </c>
      <c r="R1094" s="58" t="s">
        <v>265</v>
      </c>
    </row>
    <row r="1095" spans="1:18" ht="69" customHeight="1">
      <c r="A1095" s="168"/>
      <c r="B1095" s="178">
        <v>2550</v>
      </c>
      <c r="C1095" s="178" t="s">
        <v>1445</v>
      </c>
      <c r="D1095" s="575" t="s">
        <v>553</v>
      </c>
      <c r="E1095" s="178" t="s">
        <v>979</v>
      </c>
      <c r="F1095" s="210" t="s">
        <v>3425</v>
      </c>
      <c r="G1095" s="58" t="s">
        <v>352</v>
      </c>
      <c r="H1095" s="546">
        <v>11889.04</v>
      </c>
      <c r="I1095" s="66">
        <v>44533</v>
      </c>
      <c r="J1095" s="411" t="s">
        <v>3426</v>
      </c>
      <c r="K1095" s="58"/>
      <c r="L1095" s="99"/>
      <c r="M1095" s="70" t="s">
        <v>3402</v>
      </c>
      <c r="N1095" s="97" t="s">
        <v>356</v>
      </c>
      <c r="O1095" s="58" t="s">
        <v>156</v>
      </c>
      <c r="P1095" s="58" t="s">
        <v>19</v>
      </c>
      <c r="Q1095" s="58" t="s">
        <v>43</v>
      </c>
      <c r="R1095" s="58" t="s">
        <v>265</v>
      </c>
    </row>
    <row r="1096" spans="1:18" ht="69" customHeight="1">
      <c r="A1096" s="168"/>
      <c r="B1096" s="178">
        <v>2551</v>
      </c>
      <c r="C1096" s="178" t="s">
        <v>1445</v>
      </c>
      <c r="D1096" s="575" t="s">
        <v>2092</v>
      </c>
      <c r="E1096" s="178" t="s">
        <v>979</v>
      </c>
      <c r="F1096" s="210" t="s">
        <v>3427</v>
      </c>
      <c r="G1096" s="58" t="s">
        <v>352</v>
      </c>
      <c r="H1096" s="546">
        <v>4975.72</v>
      </c>
      <c r="I1096" s="66">
        <v>44533</v>
      </c>
      <c r="J1096" s="411" t="s">
        <v>3428</v>
      </c>
      <c r="K1096" s="58"/>
      <c r="L1096" s="99"/>
      <c r="M1096" s="70" t="s">
        <v>3402</v>
      </c>
      <c r="N1096" s="97" t="s">
        <v>356</v>
      </c>
      <c r="O1096" s="58" t="s">
        <v>156</v>
      </c>
      <c r="P1096" s="58" t="s">
        <v>19</v>
      </c>
      <c r="Q1096" s="58" t="s">
        <v>43</v>
      </c>
      <c r="R1096" s="58" t="s">
        <v>265</v>
      </c>
    </row>
    <row r="1097" spans="1:18" ht="69" customHeight="1">
      <c r="A1097" s="168"/>
      <c r="B1097" s="178">
        <v>2553</v>
      </c>
      <c r="C1097" s="178" t="s">
        <v>1445</v>
      </c>
      <c r="D1097" s="575" t="s">
        <v>3429</v>
      </c>
      <c r="E1097" s="178" t="s">
        <v>979</v>
      </c>
      <c r="F1097" s="210" t="s">
        <v>3430</v>
      </c>
      <c r="G1097" s="58" t="s">
        <v>352</v>
      </c>
      <c r="H1097" s="546">
        <v>3303.1</v>
      </c>
      <c r="I1097" s="66">
        <v>44533</v>
      </c>
      <c r="J1097" s="411" t="s">
        <v>3431</v>
      </c>
      <c r="K1097" s="58"/>
      <c r="L1097" s="99"/>
      <c r="M1097" s="70" t="s">
        <v>3402</v>
      </c>
      <c r="N1097" s="97" t="s">
        <v>356</v>
      </c>
      <c r="O1097" s="58" t="s">
        <v>156</v>
      </c>
      <c r="P1097" s="58" t="s">
        <v>19</v>
      </c>
      <c r="Q1097" s="58" t="s">
        <v>43</v>
      </c>
      <c r="R1097" s="58" t="s">
        <v>265</v>
      </c>
    </row>
    <row r="1098" spans="1:18" ht="69" customHeight="1">
      <c r="A1098" s="168"/>
      <c r="B1098" s="178">
        <v>2554</v>
      </c>
      <c r="C1098" s="178" t="s">
        <v>1445</v>
      </c>
      <c r="D1098" s="575" t="s">
        <v>3432</v>
      </c>
      <c r="E1098" s="178" t="s">
        <v>979</v>
      </c>
      <c r="F1098" s="210" t="s">
        <v>3433</v>
      </c>
      <c r="G1098" s="58" t="s">
        <v>352</v>
      </c>
      <c r="H1098" s="546">
        <v>6631.82</v>
      </c>
      <c r="I1098" s="66">
        <v>44533</v>
      </c>
      <c r="J1098" s="411" t="s">
        <v>3434</v>
      </c>
      <c r="K1098" s="58"/>
      <c r="L1098" s="99"/>
      <c r="M1098" s="70" t="s">
        <v>3402</v>
      </c>
      <c r="N1098" s="97" t="s">
        <v>356</v>
      </c>
      <c r="O1098" s="58" t="s">
        <v>156</v>
      </c>
      <c r="P1098" s="58" t="s">
        <v>19</v>
      </c>
      <c r="Q1098" s="58" t="s">
        <v>43</v>
      </c>
      <c r="R1098" s="58" t="s">
        <v>265</v>
      </c>
    </row>
    <row r="1099" spans="1:18" ht="69" customHeight="1">
      <c r="A1099" s="168"/>
      <c r="B1099" s="178">
        <v>2555</v>
      </c>
      <c r="C1099" s="178" t="s">
        <v>1445</v>
      </c>
      <c r="D1099" s="575" t="s">
        <v>701</v>
      </c>
      <c r="E1099" s="178" t="s">
        <v>979</v>
      </c>
      <c r="F1099" s="210" t="s">
        <v>3435</v>
      </c>
      <c r="G1099" s="58" t="s">
        <v>352</v>
      </c>
      <c r="H1099" s="546">
        <v>7000.07</v>
      </c>
      <c r="I1099" s="66">
        <v>44533</v>
      </c>
      <c r="J1099" s="411" t="s">
        <v>3436</v>
      </c>
      <c r="K1099" s="58"/>
      <c r="L1099" s="99"/>
      <c r="M1099" s="70" t="s">
        <v>3402</v>
      </c>
      <c r="N1099" s="97" t="s">
        <v>356</v>
      </c>
      <c r="O1099" s="58" t="s">
        <v>156</v>
      </c>
      <c r="P1099" s="58" t="s">
        <v>19</v>
      </c>
      <c r="Q1099" s="58" t="s">
        <v>43</v>
      </c>
      <c r="R1099" s="58" t="s">
        <v>265</v>
      </c>
    </row>
    <row r="1100" spans="1:18" ht="69" customHeight="1">
      <c r="A1100" s="168"/>
      <c r="B1100" s="178">
        <v>2556</v>
      </c>
      <c r="C1100" s="178" t="s">
        <v>1445</v>
      </c>
      <c r="D1100" s="575" t="s">
        <v>1751</v>
      </c>
      <c r="E1100" s="178" t="s">
        <v>979</v>
      </c>
      <c r="F1100" s="210" t="s">
        <v>3437</v>
      </c>
      <c r="G1100" s="58" t="s">
        <v>352</v>
      </c>
      <c r="H1100" s="546">
        <v>20122.28</v>
      </c>
      <c r="I1100" s="66">
        <v>44533</v>
      </c>
      <c r="J1100" s="411" t="s">
        <v>3438</v>
      </c>
      <c r="K1100" s="58"/>
      <c r="L1100" s="99"/>
      <c r="M1100" s="70" t="s">
        <v>3402</v>
      </c>
      <c r="N1100" s="97" t="s">
        <v>356</v>
      </c>
      <c r="O1100" s="58" t="s">
        <v>156</v>
      </c>
      <c r="P1100" s="58" t="s">
        <v>19</v>
      </c>
      <c r="Q1100" s="58" t="s">
        <v>43</v>
      </c>
      <c r="R1100" s="58" t="s">
        <v>265</v>
      </c>
    </row>
    <row r="1101" spans="1:18" ht="69" customHeight="1">
      <c r="A1101" s="168"/>
      <c r="B1101" s="178">
        <v>2557</v>
      </c>
      <c r="C1101" s="178" t="s">
        <v>1445</v>
      </c>
      <c r="D1101" s="575" t="s">
        <v>2283</v>
      </c>
      <c r="E1101" s="178" t="s">
        <v>979</v>
      </c>
      <c r="F1101" s="210" t="s">
        <v>3439</v>
      </c>
      <c r="G1101" s="58" t="s">
        <v>352</v>
      </c>
      <c r="H1101" s="546">
        <v>26408.09</v>
      </c>
      <c r="I1101" s="66">
        <v>44533</v>
      </c>
      <c r="J1101" s="411" t="s">
        <v>3440</v>
      </c>
      <c r="K1101" s="58"/>
      <c r="L1101" s="99"/>
      <c r="M1101" s="70" t="s">
        <v>3402</v>
      </c>
      <c r="N1101" s="97" t="s">
        <v>356</v>
      </c>
      <c r="O1101" s="58" t="s">
        <v>156</v>
      </c>
      <c r="P1101" s="58" t="s">
        <v>19</v>
      </c>
      <c r="Q1101" s="58" t="s">
        <v>43</v>
      </c>
      <c r="R1101" s="58" t="s">
        <v>265</v>
      </c>
    </row>
    <row r="1102" spans="1:18" ht="69" customHeight="1">
      <c r="A1102" s="168"/>
      <c r="B1102" s="178">
        <v>2558</v>
      </c>
      <c r="C1102" s="178" t="s">
        <v>1445</v>
      </c>
      <c r="D1102" s="575" t="s">
        <v>2515</v>
      </c>
      <c r="E1102" s="178" t="s">
        <v>979</v>
      </c>
      <c r="F1102" s="210" t="s">
        <v>3441</v>
      </c>
      <c r="G1102" s="58" t="s">
        <v>352</v>
      </c>
      <c r="H1102" s="546">
        <v>41659.67</v>
      </c>
      <c r="I1102" s="66">
        <v>44533</v>
      </c>
      <c r="J1102" s="411" t="s">
        <v>3442</v>
      </c>
      <c r="K1102" s="58"/>
      <c r="L1102" s="99"/>
      <c r="M1102" s="70" t="s">
        <v>3402</v>
      </c>
      <c r="N1102" s="97" t="s">
        <v>356</v>
      </c>
      <c r="O1102" s="58" t="s">
        <v>156</v>
      </c>
      <c r="P1102" s="58" t="s">
        <v>19</v>
      </c>
      <c r="Q1102" s="58" t="s">
        <v>43</v>
      </c>
      <c r="R1102" s="58" t="s">
        <v>265</v>
      </c>
    </row>
    <row r="1103" spans="1:18" ht="69" customHeight="1">
      <c r="A1103" s="168"/>
      <c r="B1103" s="178">
        <v>2559</v>
      </c>
      <c r="C1103" s="178" t="s">
        <v>1445</v>
      </c>
      <c r="D1103" s="575" t="s">
        <v>3004</v>
      </c>
      <c r="E1103" s="178" t="s">
        <v>979</v>
      </c>
      <c r="F1103" s="210" t="s">
        <v>3443</v>
      </c>
      <c r="G1103" s="58" t="s">
        <v>352</v>
      </c>
      <c r="H1103" s="546">
        <v>29842.21</v>
      </c>
      <c r="I1103" s="66">
        <v>44533</v>
      </c>
      <c r="J1103" s="411" t="s">
        <v>3444</v>
      </c>
      <c r="K1103" s="58"/>
      <c r="L1103" s="99"/>
      <c r="M1103" s="70" t="s">
        <v>3402</v>
      </c>
      <c r="N1103" s="97" t="s">
        <v>356</v>
      </c>
      <c r="O1103" s="58" t="s">
        <v>156</v>
      </c>
      <c r="P1103" s="58" t="s">
        <v>19</v>
      </c>
      <c r="Q1103" s="58" t="s">
        <v>43</v>
      </c>
      <c r="R1103" s="58" t="s">
        <v>265</v>
      </c>
    </row>
    <row r="1104" spans="1:18" ht="69" customHeight="1">
      <c r="A1104" s="168"/>
      <c r="B1104" s="178">
        <v>2560</v>
      </c>
      <c r="C1104" s="178" t="s">
        <v>1445</v>
      </c>
      <c r="D1104" s="575" t="s">
        <v>3210</v>
      </c>
      <c r="E1104" s="178" t="s">
        <v>979</v>
      </c>
      <c r="F1104" s="210" t="s">
        <v>3445</v>
      </c>
      <c r="G1104" s="58" t="s">
        <v>352</v>
      </c>
      <c r="H1104" s="546">
        <v>35770.870000000003</v>
      </c>
      <c r="I1104" s="66">
        <v>44533</v>
      </c>
      <c r="J1104" s="411" t="s">
        <v>3446</v>
      </c>
      <c r="K1104" s="58"/>
      <c r="L1104" s="99"/>
      <c r="M1104" s="70" t="s">
        <v>3402</v>
      </c>
      <c r="N1104" s="97" t="s">
        <v>356</v>
      </c>
      <c r="O1104" s="58" t="s">
        <v>156</v>
      </c>
      <c r="P1104" s="58" t="s">
        <v>19</v>
      </c>
      <c r="Q1104" s="58" t="s">
        <v>43</v>
      </c>
      <c r="R1104" s="58" t="s">
        <v>265</v>
      </c>
    </row>
    <row r="1105" spans="1:18" ht="69" customHeight="1">
      <c r="A1105" s="168"/>
      <c r="B1105" s="178">
        <v>2625</v>
      </c>
      <c r="C1105" s="178" t="s">
        <v>309</v>
      </c>
      <c r="D1105" s="575" t="s">
        <v>3447</v>
      </c>
      <c r="E1105" s="178" t="s">
        <v>979</v>
      </c>
      <c r="F1105" s="210" t="s">
        <v>3448</v>
      </c>
      <c r="G1105" s="58" t="s">
        <v>352</v>
      </c>
      <c r="H1105" s="546">
        <v>49050</v>
      </c>
      <c r="I1105" s="66">
        <v>44553</v>
      </c>
      <c r="J1105" s="411" t="s">
        <v>3449</v>
      </c>
      <c r="K1105" s="58"/>
      <c r="L1105" s="99"/>
      <c r="M1105" s="70" t="s">
        <v>3402</v>
      </c>
      <c r="N1105" s="97" t="s">
        <v>356</v>
      </c>
      <c r="O1105" s="58" t="s">
        <v>156</v>
      </c>
      <c r="P1105" s="58" t="s">
        <v>19</v>
      </c>
      <c r="Q1105" s="58" t="s">
        <v>43</v>
      </c>
      <c r="R1105" s="58" t="s">
        <v>265</v>
      </c>
    </row>
    <row r="1106" spans="1:18" ht="69" customHeight="1">
      <c r="A1106" s="168"/>
      <c r="B1106" s="178">
        <v>2677</v>
      </c>
      <c r="C1106" s="178" t="s">
        <v>309</v>
      </c>
      <c r="D1106" s="575" t="s">
        <v>3450</v>
      </c>
      <c r="E1106" s="178" t="s">
        <v>979</v>
      </c>
      <c r="F1106" s="210" t="s">
        <v>3451</v>
      </c>
      <c r="G1106" s="58" t="s">
        <v>352</v>
      </c>
      <c r="H1106" s="546">
        <v>5510</v>
      </c>
      <c r="I1106" s="66">
        <v>44560</v>
      </c>
      <c r="J1106" s="411" t="s">
        <v>3452</v>
      </c>
      <c r="K1106" s="58"/>
      <c r="L1106" s="99"/>
      <c r="M1106" s="70" t="s">
        <v>3402</v>
      </c>
      <c r="N1106" s="97" t="s">
        <v>356</v>
      </c>
      <c r="O1106" s="58" t="s">
        <v>156</v>
      </c>
      <c r="P1106" s="58" t="s">
        <v>19</v>
      </c>
      <c r="Q1106" s="58" t="s">
        <v>43</v>
      </c>
      <c r="R1106" s="58" t="s">
        <v>265</v>
      </c>
    </row>
    <row r="1107" spans="1:18" ht="69" customHeight="1">
      <c r="A1107" s="168"/>
      <c r="B1107" s="178">
        <v>2769</v>
      </c>
      <c r="C1107" s="178" t="s">
        <v>309</v>
      </c>
      <c r="D1107" s="575" t="s">
        <v>3453</v>
      </c>
      <c r="E1107" s="178" t="s">
        <v>921</v>
      </c>
      <c r="F1107" s="210" t="s">
        <v>3454</v>
      </c>
      <c r="G1107" s="58" t="s">
        <v>3455</v>
      </c>
      <c r="H1107" s="546">
        <v>210000</v>
      </c>
      <c r="I1107" s="66">
        <v>44566</v>
      </c>
      <c r="J1107" s="411" t="s">
        <v>3456</v>
      </c>
      <c r="K1107" s="58"/>
      <c r="L1107" s="99"/>
      <c r="M1107" s="70" t="s">
        <v>3407</v>
      </c>
      <c r="N1107" s="97" t="s">
        <v>356</v>
      </c>
      <c r="O1107" s="58" t="s">
        <v>156</v>
      </c>
      <c r="P1107" s="58" t="s">
        <v>19</v>
      </c>
      <c r="Q1107" s="58" t="s">
        <v>43</v>
      </c>
      <c r="R1107" s="58" t="s">
        <v>272</v>
      </c>
    </row>
    <row r="1108" spans="1:18" ht="69" customHeight="1">
      <c r="A1108" s="168"/>
      <c r="B1108" s="178">
        <v>2799</v>
      </c>
      <c r="C1108" s="178" t="s">
        <v>309</v>
      </c>
      <c r="D1108" s="575" t="s">
        <v>3457</v>
      </c>
      <c r="E1108" s="178" t="s">
        <v>979</v>
      </c>
      <c r="F1108" s="210" t="s">
        <v>3458</v>
      </c>
      <c r="G1108" s="58" t="s">
        <v>352</v>
      </c>
      <c r="H1108" s="546">
        <v>584</v>
      </c>
      <c r="I1108" s="66">
        <v>44203</v>
      </c>
      <c r="J1108" s="411" t="s">
        <v>3459</v>
      </c>
      <c r="K1108" s="58"/>
      <c r="L1108" s="99"/>
      <c r="M1108" s="70" t="s">
        <v>3402</v>
      </c>
      <c r="N1108" s="97" t="s">
        <v>356</v>
      </c>
      <c r="O1108" s="58" t="s">
        <v>156</v>
      </c>
      <c r="P1108" s="58" t="s">
        <v>19</v>
      </c>
      <c r="Q1108" s="58" t="s">
        <v>43</v>
      </c>
      <c r="R1108" s="58" t="s">
        <v>265</v>
      </c>
    </row>
    <row r="1109" spans="1:18" ht="69" customHeight="1">
      <c r="A1109" s="168"/>
      <c r="B1109" s="178">
        <v>2800</v>
      </c>
      <c r="C1109" s="178" t="s">
        <v>309</v>
      </c>
      <c r="D1109" s="575" t="s">
        <v>3460</v>
      </c>
      <c r="E1109" s="178" t="s">
        <v>979</v>
      </c>
      <c r="F1109" s="210" t="s">
        <v>3461</v>
      </c>
      <c r="G1109" s="58" t="s">
        <v>352</v>
      </c>
      <c r="H1109" s="546">
        <v>1504.8</v>
      </c>
      <c r="I1109" s="66">
        <v>44203</v>
      </c>
      <c r="J1109" s="411" t="s">
        <v>3462</v>
      </c>
      <c r="K1109" s="58"/>
      <c r="L1109" s="99"/>
      <c r="M1109" s="70" t="s">
        <v>3402</v>
      </c>
      <c r="N1109" s="97" t="s">
        <v>356</v>
      </c>
      <c r="O1109" s="58" t="s">
        <v>156</v>
      </c>
      <c r="P1109" s="58" t="s">
        <v>19</v>
      </c>
      <c r="Q1109" s="58" t="s">
        <v>43</v>
      </c>
      <c r="R1109" s="58" t="s">
        <v>265</v>
      </c>
    </row>
    <row r="1110" spans="1:18" ht="69" customHeight="1">
      <c r="A1110" s="168"/>
      <c r="B1110" s="178">
        <v>2801</v>
      </c>
      <c r="C1110" s="178" t="s">
        <v>309</v>
      </c>
      <c r="D1110" s="575" t="s">
        <v>3463</v>
      </c>
      <c r="E1110" s="178" t="s">
        <v>979</v>
      </c>
      <c r="F1110" s="210" t="s">
        <v>3464</v>
      </c>
      <c r="G1110" s="58" t="s">
        <v>352</v>
      </c>
      <c r="H1110" s="546">
        <v>7451.2</v>
      </c>
      <c r="I1110" s="66">
        <v>44203</v>
      </c>
      <c r="J1110" s="411" t="s">
        <v>3465</v>
      </c>
      <c r="K1110" s="58"/>
      <c r="L1110" s="99"/>
      <c r="M1110" s="70" t="s">
        <v>3402</v>
      </c>
      <c r="N1110" s="97" t="s">
        <v>356</v>
      </c>
      <c r="O1110" s="58" t="s">
        <v>156</v>
      </c>
      <c r="P1110" s="58" t="s">
        <v>19</v>
      </c>
      <c r="Q1110" s="58" t="s">
        <v>43</v>
      </c>
      <c r="R1110" s="58" t="s">
        <v>265</v>
      </c>
    </row>
    <row r="1111" spans="1:18" ht="69" customHeight="1">
      <c r="A1111" s="168"/>
      <c r="B1111" s="178">
        <v>2802</v>
      </c>
      <c r="C1111" s="178" t="s">
        <v>309</v>
      </c>
      <c r="D1111" s="575" t="s">
        <v>3466</v>
      </c>
      <c r="E1111" s="178" t="s">
        <v>979</v>
      </c>
      <c r="F1111" s="210" t="s">
        <v>3467</v>
      </c>
      <c r="G1111" s="58" t="s">
        <v>352</v>
      </c>
      <c r="H1111" s="546">
        <v>43793.64</v>
      </c>
      <c r="I1111" s="66">
        <v>44203</v>
      </c>
      <c r="J1111" s="411" t="s">
        <v>3468</v>
      </c>
      <c r="K1111" s="58"/>
      <c r="L1111" s="99"/>
      <c r="M1111" s="70" t="s">
        <v>3402</v>
      </c>
      <c r="N1111" s="97" t="s">
        <v>356</v>
      </c>
      <c r="O1111" s="58" t="s">
        <v>156</v>
      </c>
      <c r="P1111" s="58" t="s">
        <v>19</v>
      </c>
      <c r="Q1111" s="58" t="s">
        <v>43</v>
      </c>
      <c r="R1111" s="58" t="s">
        <v>265</v>
      </c>
    </row>
    <row r="1112" spans="1:18" ht="69" customHeight="1">
      <c r="A1112" s="168"/>
      <c r="B1112" s="178">
        <v>2803</v>
      </c>
      <c r="C1112" s="178" t="s">
        <v>309</v>
      </c>
      <c r="D1112" s="575" t="s">
        <v>3469</v>
      </c>
      <c r="E1112" s="178" t="s">
        <v>979</v>
      </c>
      <c r="F1112" s="210" t="s">
        <v>3470</v>
      </c>
      <c r="G1112" s="58" t="s">
        <v>352</v>
      </c>
      <c r="H1112" s="546">
        <v>220393.38</v>
      </c>
      <c r="I1112" s="66">
        <v>44203</v>
      </c>
      <c r="J1112" s="411" t="s">
        <v>3471</v>
      </c>
      <c r="K1112" s="58"/>
      <c r="L1112" s="99"/>
      <c r="M1112" s="70" t="s">
        <v>3402</v>
      </c>
      <c r="N1112" s="97" t="s">
        <v>356</v>
      </c>
      <c r="O1112" s="58" t="s">
        <v>156</v>
      </c>
      <c r="P1112" s="58" t="s">
        <v>19</v>
      </c>
      <c r="Q1112" s="58" t="s">
        <v>43</v>
      </c>
      <c r="R1112" s="58" t="s">
        <v>265</v>
      </c>
    </row>
    <row r="1113" spans="1:18" ht="69" customHeight="1">
      <c r="A1113" s="168"/>
      <c r="B1113" s="178">
        <v>2804</v>
      </c>
      <c r="C1113" s="178" t="s">
        <v>309</v>
      </c>
      <c r="D1113" s="575" t="s">
        <v>3472</v>
      </c>
      <c r="E1113" s="178" t="s">
        <v>979</v>
      </c>
      <c r="F1113" s="210" t="s">
        <v>3473</v>
      </c>
      <c r="G1113" s="58" t="s">
        <v>352</v>
      </c>
      <c r="H1113" s="546">
        <v>476653.5</v>
      </c>
      <c r="I1113" s="66">
        <v>44203</v>
      </c>
      <c r="J1113" s="411" t="s">
        <v>3474</v>
      </c>
      <c r="K1113" s="58"/>
      <c r="L1113" s="99"/>
      <c r="M1113" s="70" t="s">
        <v>3402</v>
      </c>
      <c r="N1113" s="97" t="s">
        <v>356</v>
      </c>
      <c r="O1113" s="58" t="s">
        <v>156</v>
      </c>
      <c r="P1113" s="58" t="s">
        <v>19</v>
      </c>
      <c r="Q1113" s="58" t="s">
        <v>43</v>
      </c>
      <c r="R1113" s="58" t="s">
        <v>265</v>
      </c>
    </row>
    <row r="1114" spans="1:18" ht="69" customHeight="1">
      <c r="A1114" s="168"/>
      <c r="B1114" s="178">
        <v>2915</v>
      </c>
      <c r="C1114" s="178" t="s">
        <v>309</v>
      </c>
      <c r="D1114" s="575" t="s">
        <v>3341</v>
      </c>
      <c r="E1114" s="178" t="s">
        <v>921</v>
      </c>
      <c r="F1114" s="210" t="s">
        <v>3475</v>
      </c>
      <c r="G1114" s="58" t="s">
        <v>3455</v>
      </c>
      <c r="H1114" s="546">
        <v>210000</v>
      </c>
      <c r="I1114" s="66">
        <v>44594</v>
      </c>
      <c r="J1114" s="411" t="s">
        <v>3476</v>
      </c>
      <c r="K1114" s="58"/>
      <c r="L1114" s="99"/>
      <c r="M1114" s="70" t="s">
        <v>3407</v>
      </c>
      <c r="N1114" s="97" t="s">
        <v>356</v>
      </c>
      <c r="O1114" s="58" t="s">
        <v>156</v>
      </c>
      <c r="P1114" s="58" t="s">
        <v>19</v>
      </c>
      <c r="Q1114" s="58" t="s">
        <v>43</v>
      </c>
      <c r="R1114" s="58" t="s">
        <v>272</v>
      </c>
    </row>
    <row r="1115" spans="1:18" ht="69" customHeight="1">
      <c r="A1115" s="168"/>
      <c r="B1115" s="178">
        <v>3985</v>
      </c>
      <c r="C1115" s="178" t="s">
        <v>309</v>
      </c>
      <c r="D1115" s="575" t="s">
        <v>3477</v>
      </c>
      <c r="E1115" s="178" t="s">
        <v>921</v>
      </c>
      <c r="F1115" s="210" t="s">
        <v>3478</v>
      </c>
      <c r="G1115" s="58" t="s">
        <v>3455</v>
      </c>
      <c r="H1115" s="546">
        <v>110000</v>
      </c>
      <c r="I1115" s="66">
        <v>44622</v>
      </c>
      <c r="J1115" s="411" t="s">
        <v>3479</v>
      </c>
      <c r="K1115" s="58"/>
      <c r="L1115" s="99"/>
      <c r="M1115" s="70" t="s">
        <v>3407</v>
      </c>
      <c r="N1115" s="97" t="s">
        <v>356</v>
      </c>
      <c r="O1115" s="58" t="s">
        <v>156</v>
      </c>
      <c r="P1115" s="58" t="s">
        <v>19</v>
      </c>
      <c r="Q1115" s="58" t="s">
        <v>43</v>
      </c>
      <c r="R1115" s="58" t="s">
        <v>272</v>
      </c>
    </row>
    <row r="1116" spans="1:18" ht="69" customHeight="1">
      <c r="A1116" s="168"/>
      <c r="B1116" s="178">
        <v>4165</v>
      </c>
      <c r="C1116" s="178" t="s">
        <v>309</v>
      </c>
      <c r="D1116" s="575" t="s">
        <v>3480</v>
      </c>
      <c r="E1116" s="178" t="s">
        <v>979</v>
      </c>
      <c r="F1116" s="210" t="s">
        <v>3481</v>
      </c>
      <c r="G1116" s="58" t="s">
        <v>352</v>
      </c>
      <c r="H1116" s="546">
        <v>1911.61</v>
      </c>
      <c r="I1116" s="66">
        <v>44648</v>
      </c>
      <c r="J1116" s="411" t="s">
        <v>3482</v>
      </c>
      <c r="K1116" s="58"/>
      <c r="L1116" s="99"/>
      <c r="M1116" s="70" t="s">
        <v>3402</v>
      </c>
      <c r="N1116" s="97" t="s">
        <v>356</v>
      </c>
      <c r="O1116" s="58" t="s">
        <v>156</v>
      </c>
      <c r="P1116" s="58" t="s">
        <v>19</v>
      </c>
      <c r="Q1116" s="58" t="s">
        <v>43</v>
      </c>
      <c r="R1116" s="58" t="s">
        <v>265</v>
      </c>
    </row>
    <row r="1117" spans="1:18" ht="69" customHeight="1">
      <c r="A1117" s="168"/>
      <c r="B1117" s="178">
        <v>4166</v>
      </c>
      <c r="C1117" s="178" t="s">
        <v>309</v>
      </c>
      <c r="D1117" s="575" t="s">
        <v>3483</v>
      </c>
      <c r="E1117" s="178" t="s">
        <v>979</v>
      </c>
      <c r="F1117" s="210" t="s">
        <v>3481</v>
      </c>
      <c r="G1117" s="58" t="s">
        <v>352</v>
      </c>
      <c r="H1117" s="546">
        <v>4401.83</v>
      </c>
      <c r="I1117" s="66">
        <v>44648</v>
      </c>
      <c r="J1117" s="411" t="s">
        <v>3484</v>
      </c>
      <c r="K1117" s="58"/>
      <c r="L1117" s="99"/>
      <c r="M1117" s="70" t="s">
        <v>3402</v>
      </c>
      <c r="N1117" s="97" t="s">
        <v>356</v>
      </c>
      <c r="O1117" s="58" t="s">
        <v>156</v>
      </c>
      <c r="P1117" s="58" t="s">
        <v>19</v>
      </c>
      <c r="Q1117" s="58" t="s">
        <v>43</v>
      </c>
      <c r="R1117" s="58" t="s">
        <v>265</v>
      </c>
    </row>
    <row r="1118" spans="1:18" ht="69" customHeight="1">
      <c r="A1118" s="168"/>
      <c r="B1118" s="178">
        <v>4167</v>
      </c>
      <c r="C1118" s="178" t="s">
        <v>309</v>
      </c>
      <c r="D1118" s="575" t="s">
        <v>3485</v>
      </c>
      <c r="E1118" s="178" t="s">
        <v>979</v>
      </c>
      <c r="F1118" s="210" t="s">
        <v>3481</v>
      </c>
      <c r="G1118" s="58" t="s">
        <v>352</v>
      </c>
      <c r="H1118" s="546">
        <v>3619.46</v>
      </c>
      <c r="I1118" s="66">
        <v>44648</v>
      </c>
      <c r="J1118" s="411" t="s">
        <v>3486</v>
      </c>
      <c r="K1118" s="58"/>
      <c r="L1118" s="99"/>
      <c r="M1118" s="70" t="s">
        <v>3402</v>
      </c>
      <c r="N1118" s="97" t="s">
        <v>356</v>
      </c>
      <c r="O1118" s="58" t="s">
        <v>156</v>
      </c>
      <c r="P1118" s="58" t="s">
        <v>19</v>
      </c>
      <c r="Q1118" s="58" t="s">
        <v>43</v>
      </c>
      <c r="R1118" s="58" t="s">
        <v>265</v>
      </c>
    </row>
    <row r="1119" spans="1:18" ht="69" customHeight="1">
      <c r="A1119" s="168"/>
      <c r="B1119" s="178">
        <v>4089</v>
      </c>
      <c r="C1119" s="178" t="s">
        <v>309</v>
      </c>
      <c r="D1119" s="575" t="s">
        <v>3487</v>
      </c>
      <c r="E1119" s="178" t="s">
        <v>921</v>
      </c>
      <c r="F1119" s="210" t="s">
        <v>3488</v>
      </c>
      <c r="G1119" s="58" t="s">
        <v>3455</v>
      </c>
      <c r="H1119" s="546">
        <v>100000</v>
      </c>
      <c r="I1119" s="66">
        <v>44655</v>
      </c>
      <c r="J1119" s="411" t="s">
        <v>3489</v>
      </c>
      <c r="K1119" s="58"/>
      <c r="L1119" s="99"/>
      <c r="M1119" s="70" t="s">
        <v>3407</v>
      </c>
      <c r="N1119" s="97" t="s">
        <v>356</v>
      </c>
      <c r="O1119" s="58" t="s">
        <v>156</v>
      </c>
      <c r="P1119" s="58" t="s">
        <v>19</v>
      </c>
      <c r="Q1119" s="58" t="s">
        <v>43</v>
      </c>
      <c r="R1119" s="58" t="s">
        <v>272</v>
      </c>
    </row>
    <row r="1120" spans="1:18" ht="69" customHeight="1">
      <c r="A1120" s="168"/>
      <c r="B1120" s="178">
        <v>4090</v>
      </c>
      <c r="C1120" s="178" t="s">
        <v>259</v>
      </c>
      <c r="D1120" s="575" t="s">
        <v>3490</v>
      </c>
      <c r="E1120" s="178" t="s">
        <v>979</v>
      </c>
      <c r="F1120" s="210" t="s">
        <v>3491</v>
      </c>
      <c r="G1120" s="58" t="s">
        <v>3492</v>
      </c>
      <c r="H1120" s="546">
        <v>40743.019999999997</v>
      </c>
      <c r="I1120" s="66">
        <v>44635</v>
      </c>
      <c r="J1120" s="411" t="s">
        <v>3493</v>
      </c>
      <c r="K1120" s="58"/>
      <c r="L1120" s="99"/>
      <c r="M1120" s="70" t="s">
        <v>3402</v>
      </c>
      <c r="N1120" s="97" t="s">
        <v>356</v>
      </c>
      <c r="O1120" s="58" t="s">
        <v>156</v>
      </c>
      <c r="P1120" s="58" t="s">
        <v>19</v>
      </c>
      <c r="Q1120" s="58" t="s">
        <v>43</v>
      </c>
      <c r="R1120" s="58" t="s">
        <v>265</v>
      </c>
    </row>
    <row r="1121" spans="1:18" ht="69" customHeight="1">
      <c r="A1121" s="168"/>
      <c r="B1121" s="178">
        <v>4091</v>
      </c>
      <c r="C1121" s="178" t="s">
        <v>259</v>
      </c>
      <c r="D1121" s="575" t="s">
        <v>3494</v>
      </c>
      <c r="E1121" s="178" t="s">
        <v>979</v>
      </c>
      <c r="F1121" s="210" t="s">
        <v>3495</v>
      </c>
      <c r="G1121" s="58" t="s">
        <v>3492</v>
      </c>
      <c r="H1121" s="546">
        <v>93.81</v>
      </c>
      <c r="I1121" s="66">
        <v>44635</v>
      </c>
      <c r="J1121" s="411" t="s">
        <v>3496</v>
      </c>
      <c r="K1121" s="58"/>
      <c r="L1121" s="99"/>
      <c r="M1121" s="70" t="s">
        <v>3402</v>
      </c>
      <c r="N1121" s="97" t="s">
        <v>356</v>
      </c>
      <c r="O1121" s="58" t="s">
        <v>156</v>
      </c>
      <c r="P1121" s="58" t="s">
        <v>19</v>
      </c>
      <c r="Q1121" s="58" t="s">
        <v>43</v>
      </c>
      <c r="R1121" s="58" t="s">
        <v>265</v>
      </c>
    </row>
    <row r="1122" spans="1:18" ht="69" customHeight="1">
      <c r="A1122" s="168"/>
      <c r="B1122" s="178">
        <v>4092</v>
      </c>
      <c r="C1122" s="178" t="s">
        <v>259</v>
      </c>
      <c r="D1122" s="575" t="s">
        <v>3497</v>
      </c>
      <c r="E1122" s="178" t="s">
        <v>979</v>
      </c>
      <c r="F1122" s="210" t="s">
        <v>3498</v>
      </c>
      <c r="G1122" s="58" t="s">
        <v>3492</v>
      </c>
      <c r="H1122" s="546">
        <v>115.2</v>
      </c>
      <c r="I1122" s="66">
        <v>44635</v>
      </c>
      <c r="J1122" s="411" t="s">
        <v>3499</v>
      </c>
      <c r="K1122" s="58"/>
      <c r="L1122" s="99"/>
      <c r="M1122" s="70" t="s">
        <v>3402</v>
      </c>
      <c r="N1122" s="97" t="s">
        <v>356</v>
      </c>
      <c r="O1122" s="58" t="s">
        <v>156</v>
      </c>
      <c r="P1122" s="58" t="s">
        <v>19</v>
      </c>
      <c r="Q1122" s="58" t="s">
        <v>43</v>
      </c>
      <c r="R1122" s="58" t="s">
        <v>265</v>
      </c>
    </row>
    <row r="1123" spans="1:18" ht="69" customHeight="1">
      <c r="A1123" s="168"/>
      <c r="B1123" s="178">
        <v>4623</v>
      </c>
      <c r="C1123" s="178" t="s">
        <v>309</v>
      </c>
      <c r="D1123" s="575" t="s">
        <v>3500</v>
      </c>
      <c r="E1123" s="178" t="s">
        <v>921</v>
      </c>
      <c r="F1123" s="210" t="s">
        <v>3501</v>
      </c>
      <c r="G1123" s="58" t="s">
        <v>3455</v>
      </c>
      <c r="H1123" s="546">
        <v>132000</v>
      </c>
      <c r="I1123" s="66">
        <v>44683</v>
      </c>
      <c r="J1123" s="411" t="s">
        <v>3502</v>
      </c>
      <c r="K1123" s="58"/>
      <c r="L1123" s="99"/>
      <c r="M1123" s="70" t="s">
        <v>3407</v>
      </c>
      <c r="N1123" s="97" t="s">
        <v>356</v>
      </c>
      <c r="O1123" s="58" t="s">
        <v>156</v>
      </c>
      <c r="P1123" s="58" t="s">
        <v>19</v>
      </c>
      <c r="Q1123" s="58" t="s">
        <v>43</v>
      </c>
      <c r="R1123" s="58" t="s">
        <v>272</v>
      </c>
    </row>
    <row r="1124" spans="1:18" ht="69" customHeight="1">
      <c r="A1124" s="168"/>
      <c r="B1124" s="178">
        <v>4309</v>
      </c>
      <c r="C1124" s="178" t="s">
        <v>309</v>
      </c>
      <c r="D1124" s="575" t="s">
        <v>3503</v>
      </c>
      <c r="E1124" s="178" t="s">
        <v>921</v>
      </c>
      <c r="F1124" s="210" t="s">
        <v>3504</v>
      </c>
      <c r="G1124" s="58" t="s">
        <v>3455</v>
      </c>
      <c r="H1124" s="546">
        <v>180000</v>
      </c>
      <c r="I1124" s="66">
        <v>44711</v>
      </c>
      <c r="J1124" s="411" t="s">
        <v>3505</v>
      </c>
      <c r="K1124" s="58"/>
      <c r="L1124" s="99"/>
      <c r="M1124" s="70" t="s">
        <v>3407</v>
      </c>
      <c r="N1124" s="97" t="s">
        <v>356</v>
      </c>
      <c r="O1124" s="58" t="s">
        <v>156</v>
      </c>
      <c r="P1124" s="58" t="s">
        <v>19</v>
      </c>
      <c r="Q1124" s="58" t="s">
        <v>43</v>
      </c>
      <c r="R1124" s="58" t="s">
        <v>272</v>
      </c>
    </row>
    <row r="1125" spans="1:18" ht="69" customHeight="1">
      <c r="A1125" s="168"/>
      <c r="B1125" s="178">
        <v>6686</v>
      </c>
      <c r="C1125" s="178" t="s">
        <v>3368</v>
      </c>
      <c r="D1125" s="575" t="s">
        <v>3506</v>
      </c>
      <c r="E1125" s="178" t="s">
        <v>755</v>
      </c>
      <c r="F1125" s="210" t="s">
        <v>3507</v>
      </c>
      <c r="G1125" s="58" t="s">
        <v>1596</v>
      </c>
      <c r="H1125" s="546">
        <v>587675.53</v>
      </c>
      <c r="I1125" s="66">
        <v>44823</v>
      </c>
      <c r="J1125" s="411" t="s">
        <v>3508</v>
      </c>
      <c r="K1125" s="58" t="s">
        <v>3509</v>
      </c>
      <c r="L1125" s="99"/>
      <c r="M1125" s="70" t="s">
        <v>3358</v>
      </c>
      <c r="N1125" s="97" t="s">
        <v>716</v>
      </c>
      <c r="O1125" s="58"/>
      <c r="P1125" s="58" t="s">
        <v>28</v>
      </c>
      <c r="Q1125" s="58" t="s">
        <v>43</v>
      </c>
      <c r="R1125" s="58" t="s">
        <v>272</v>
      </c>
    </row>
    <row r="1126" spans="1:18" ht="69" customHeight="1">
      <c r="A1126" s="168"/>
      <c r="B1126" s="178">
        <v>8467</v>
      </c>
      <c r="C1126" s="178" t="s">
        <v>3510</v>
      </c>
      <c r="D1126" s="575" t="s">
        <v>3511</v>
      </c>
      <c r="E1126" s="178" t="s">
        <v>755</v>
      </c>
      <c r="F1126" s="210" t="s">
        <v>3512</v>
      </c>
      <c r="G1126" s="58" t="s">
        <v>827</v>
      </c>
      <c r="H1126" s="546">
        <v>587675.53</v>
      </c>
      <c r="I1126" s="66">
        <v>44935</v>
      </c>
      <c r="J1126" s="411" t="s">
        <v>3513</v>
      </c>
      <c r="K1126" s="58" t="s">
        <v>3514</v>
      </c>
      <c r="L1126" s="99"/>
      <c r="M1126" s="70" t="s">
        <v>3358</v>
      </c>
      <c r="N1126" s="97" t="s">
        <v>716</v>
      </c>
      <c r="O1126" s="58"/>
      <c r="P1126" s="58" t="s">
        <v>28</v>
      </c>
      <c r="Q1126" s="58" t="s">
        <v>43</v>
      </c>
      <c r="R1126" s="58" t="s">
        <v>272</v>
      </c>
    </row>
    <row r="1127" spans="1:18" ht="69" customHeight="1">
      <c r="A1127" s="168"/>
      <c r="B1127" s="256">
        <v>8579</v>
      </c>
      <c r="C1127" s="256" t="s">
        <v>3510</v>
      </c>
      <c r="D1127" s="299" t="s">
        <v>3515</v>
      </c>
      <c r="E1127" s="256" t="s">
        <v>755</v>
      </c>
      <c r="F1127" s="263" t="s">
        <v>3516</v>
      </c>
      <c r="G1127" s="118" t="s">
        <v>827</v>
      </c>
      <c r="H1127" s="300">
        <v>0</v>
      </c>
      <c r="I1127" s="262">
        <v>44936</v>
      </c>
      <c r="J1127" s="409" t="s">
        <v>3517</v>
      </c>
      <c r="K1127" s="118" t="s">
        <v>727</v>
      </c>
      <c r="M1127" s="380" t="s">
        <v>3358</v>
      </c>
      <c r="N1127" s="82" t="s">
        <v>716</v>
      </c>
      <c r="O1127" s="118"/>
      <c r="P1127" s="118" t="s">
        <v>67</v>
      </c>
      <c r="Q1127" s="118" t="s">
        <v>43</v>
      </c>
      <c r="R1127" s="118" t="s">
        <v>272</v>
      </c>
    </row>
    <row r="1128" spans="1:18" ht="69" customHeight="1">
      <c r="A1128" s="168"/>
      <c r="B1128" s="178">
        <v>8653</v>
      </c>
      <c r="C1128" s="178" t="s">
        <v>3368</v>
      </c>
      <c r="D1128" s="575" t="s">
        <v>3518</v>
      </c>
      <c r="E1128" s="178" t="s">
        <v>809</v>
      </c>
      <c r="F1128" s="210" t="s">
        <v>3519</v>
      </c>
      <c r="G1128" s="58" t="s">
        <v>823</v>
      </c>
      <c r="H1128" s="546">
        <v>19000.099999999999</v>
      </c>
      <c r="I1128" s="66">
        <v>44949</v>
      </c>
      <c r="J1128" s="411" t="s">
        <v>824</v>
      </c>
      <c r="K1128" s="58"/>
      <c r="L1128" s="99"/>
      <c r="M1128" s="70" t="s">
        <v>3371</v>
      </c>
      <c r="N1128" s="97" t="s">
        <v>814</v>
      </c>
      <c r="O1128" s="58"/>
      <c r="P1128" s="58" t="s">
        <v>36</v>
      </c>
      <c r="Q1128" s="58" t="s">
        <v>43</v>
      </c>
      <c r="R1128" s="58" t="s">
        <v>272</v>
      </c>
    </row>
    <row r="1129" spans="1:18" ht="69" customHeight="1">
      <c r="A1129" s="168"/>
      <c r="B1129" s="178">
        <v>8734</v>
      </c>
      <c r="C1129" s="178" t="s">
        <v>3510</v>
      </c>
      <c r="D1129" s="575" t="s">
        <v>3520</v>
      </c>
      <c r="E1129" s="178" t="s">
        <v>755</v>
      </c>
      <c r="F1129" s="210" t="s">
        <v>3521</v>
      </c>
      <c r="G1129" s="58" t="s">
        <v>3522</v>
      </c>
      <c r="H1129" s="546">
        <v>587675.53</v>
      </c>
      <c r="I1129" s="66">
        <v>44967</v>
      </c>
      <c r="J1129" s="411" t="s">
        <v>3523</v>
      </c>
      <c r="K1129" s="58" t="s">
        <v>3524</v>
      </c>
      <c r="L1129" s="99"/>
      <c r="M1129" s="70" t="s">
        <v>3358</v>
      </c>
      <c r="N1129" s="97" t="s">
        <v>716</v>
      </c>
      <c r="O1129" s="58"/>
      <c r="P1129" s="58" t="s">
        <v>28</v>
      </c>
      <c r="Q1129" s="58" t="s">
        <v>43</v>
      </c>
      <c r="R1129" s="58" t="s">
        <v>272</v>
      </c>
    </row>
    <row r="1130" spans="1:18" ht="69" customHeight="1">
      <c r="A1130" s="168"/>
      <c r="B1130" s="178">
        <v>8870</v>
      </c>
      <c r="C1130" s="178" t="s">
        <v>3368</v>
      </c>
      <c r="D1130" s="575" t="s">
        <v>3525</v>
      </c>
      <c r="E1130" s="178" t="s">
        <v>755</v>
      </c>
      <c r="F1130" s="210" t="s">
        <v>3526</v>
      </c>
      <c r="G1130" s="58" t="s">
        <v>3527</v>
      </c>
      <c r="H1130" s="546">
        <v>124599.33</v>
      </c>
      <c r="I1130" s="66">
        <v>44981</v>
      </c>
      <c r="J1130" s="411" t="s">
        <v>3528</v>
      </c>
      <c r="K1130" s="58"/>
      <c r="L1130" s="99"/>
      <c r="M1130" s="70" t="s">
        <v>3358</v>
      </c>
      <c r="N1130" s="97" t="s">
        <v>716</v>
      </c>
      <c r="O1130" s="58"/>
      <c r="P1130" s="58" t="s">
        <v>28</v>
      </c>
      <c r="Q1130" s="58" t="s">
        <v>43</v>
      </c>
      <c r="R1130" s="58" t="s">
        <v>272</v>
      </c>
    </row>
    <row r="1131" spans="1:18" ht="69" customHeight="1">
      <c r="A1131" s="168"/>
      <c r="B1131" s="178">
        <v>8933</v>
      </c>
      <c r="C1131" s="178" t="s">
        <v>3368</v>
      </c>
      <c r="D1131" s="575" t="s">
        <v>3529</v>
      </c>
      <c r="E1131" s="178" t="s">
        <v>755</v>
      </c>
      <c r="F1131" s="210" t="s">
        <v>3530</v>
      </c>
      <c r="G1131" s="58" t="s">
        <v>3531</v>
      </c>
      <c r="H1131" s="546">
        <v>169238.44</v>
      </c>
      <c r="I1131" s="66">
        <v>44988</v>
      </c>
      <c r="J1131" s="411" t="s">
        <v>3532</v>
      </c>
      <c r="K1131" s="58"/>
      <c r="L1131" s="99"/>
      <c r="M1131" s="70" t="s">
        <v>3358</v>
      </c>
      <c r="N1131" s="97" t="s">
        <v>716</v>
      </c>
      <c r="O1131" s="58"/>
      <c r="P1131" s="58" t="s">
        <v>28</v>
      </c>
      <c r="Q1131" s="58" t="s">
        <v>43</v>
      </c>
      <c r="R1131" s="58" t="s">
        <v>272</v>
      </c>
    </row>
    <row r="1132" spans="1:18" ht="69" customHeight="1">
      <c r="A1132" s="168"/>
      <c r="B1132" s="178">
        <v>8835</v>
      </c>
      <c r="C1132" s="178" t="s">
        <v>3368</v>
      </c>
      <c r="D1132" s="575" t="s">
        <v>3533</v>
      </c>
      <c r="E1132" s="178" t="s">
        <v>809</v>
      </c>
      <c r="F1132" s="210" t="s">
        <v>3534</v>
      </c>
      <c r="G1132" s="58" t="s">
        <v>845</v>
      </c>
      <c r="H1132" s="546">
        <v>15999.9</v>
      </c>
      <c r="I1132" s="66">
        <v>44948</v>
      </c>
      <c r="J1132" s="411" t="s">
        <v>846</v>
      </c>
      <c r="K1132" s="58"/>
      <c r="L1132" s="99"/>
      <c r="M1132" s="70" t="s">
        <v>3371</v>
      </c>
      <c r="N1132" s="97" t="s">
        <v>814</v>
      </c>
      <c r="O1132" s="58"/>
      <c r="P1132" s="58" t="s">
        <v>36</v>
      </c>
      <c r="Q1132" s="58" t="s">
        <v>43</v>
      </c>
      <c r="R1132" s="58" t="s">
        <v>272</v>
      </c>
    </row>
    <row r="1133" spans="1:18" ht="69" customHeight="1">
      <c r="A1133" s="168"/>
      <c r="B1133" s="178">
        <v>9092</v>
      </c>
      <c r="C1133" s="178" t="s">
        <v>3368</v>
      </c>
      <c r="D1133" s="575" t="s">
        <v>3535</v>
      </c>
      <c r="E1133" s="178" t="s">
        <v>1372</v>
      </c>
      <c r="F1133" s="210" t="s">
        <v>3536</v>
      </c>
      <c r="G1133" s="58" t="s">
        <v>3537</v>
      </c>
      <c r="H1133" s="546">
        <v>153193.29</v>
      </c>
      <c r="I1133" s="66" t="s">
        <v>96</v>
      </c>
      <c r="J1133" s="411" t="s">
        <v>3538</v>
      </c>
      <c r="K1133" s="58"/>
      <c r="L1133" s="99"/>
      <c r="M1133" s="70" t="s">
        <v>3539</v>
      </c>
      <c r="N1133" s="97" t="s">
        <v>1372</v>
      </c>
      <c r="O1133" s="58"/>
      <c r="P1133" s="58" t="s">
        <v>57</v>
      </c>
      <c r="Q1133" s="58" t="s">
        <v>43</v>
      </c>
      <c r="R1133" s="58" t="s">
        <v>272</v>
      </c>
    </row>
    <row r="1134" spans="1:18" ht="69" customHeight="1">
      <c r="A1134" s="168"/>
      <c r="B1134" s="178">
        <v>9002</v>
      </c>
      <c r="C1134" s="178" t="s">
        <v>3368</v>
      </c>
      <c r="D1134" s="575" t="s">
        <v>3540</v>
      </c>
      <c r="E1134" s="178" t="s">
        <v>809</v>
      </c>
      <c r="F1134" s="210" t="s">
        <v>3541</v>
      </c>
      <c r="G1134" s="58" t="s">
        <v>863</v>
      </c>
      <c r="H1134" s="546">
        <v>19000.099999999999</v>
      </c>
      <c r="I1134" s="66" t="s">
        <v>96</v>
      </c>
      <c r="J1134" s="411" t="s">
        <v>864</v>
      </c>
      <c r="K1134" s="58"/>
      <c r="L1134" s="99"/>
      <c r="M1134" s="70" t="s">
        <v>3371</v>
      </c>
      <c r="N1134" s="97" t="s">
        <v>814</v>
      </c>
      <c r="O1134" s="58"/>
      <c r="P1134" s="58" t="s">
        <v>36</v>
      </c>
      <c r="Q1134" s="58" t="s">
        <v>43</v>
      </c>
      <c r="R1134" s="58" t="s">
        <v>272</v>
      </c>
    </row>
    <row r="1135" spans="1:18" ht="69" customHeight="1">
      <c r="A1135" s="168"/>
      <c r="B1135" s="178">
        <v>9703</v>
      </c>
      <c r="C1135" s="178" t="s">
        <v>3368</v>
      </c>
      <c r="D1135" s="575" t="s">
        <v>3542</v>
      </c>
      <c r="E1135" s="178" t="s">
        <v>809</v>
      </c>
      <c r="F1135" s="210" t="s">
        <v>3541</v>
      </c>
      <c r="G1135" s="58" t="s">
        <v>874</v>
      </c>
      <c r="H1135" s="546">
        <v>3000.2</v>
      </c>
      <c r="I1135" s="66" t="s">
        <v>96</v>
      </c>
      <c r="J1135" s="411" t="s">
        <v>875</v>
      </c>
      <c r="K1135" s="58"/>
      <c r="L1135" s="99"/>
      <c r="M1135" s="70" t="s">
        <v>3371</v>
      </c>
      <c r="N1135" s="97" t="s">
        <v>814</v>
      </c>
      <c r="O1135" s="58"/>
      <c r="P1135" s="58" t="s">
        <v>36</v>
      </c>
      <c r="Q1135" s="58" t="s">
        <v>43</v>
      </c>
      <c r="R1135" s="58" t="s">
        <v>272</v>
      </c>
    </row>
    <row r="1136" spans="1:18" ht="69" customHeight="1">
      <c r="A1136" s="168"/>
      <c r="B1136" s="178">
        <v>9796</v>
      </c>
      <c r="C1136" s="178" t="s">
        <v>3368</v>
      </c>
      <c r="D1136" s="575" t="s">
        <v>3543</v>
      </c>
      <c r="E1136" s="178" t="s">
        <v>755</v>
      </c>
      <c r="F1136" s="210" t="s">
        <v>3544</v>
      </c>
      <c r="G1136" s="58" t="s">
        <v>3545</v>
      </c>
      <c r="H1136" s="546">
        <v>293837.77</v>
      </c>
      <c r="I1136" s="66">
        <v>45035</v>
      </c>
      <c r="J1136" s="411" t="s">
        <v>3546</v>
      </c>
      <c r="K1136" s="58"/>
      <c r="L1136" s="99"/>
      <c r="M1136" s="70" t="s">
        <v>3358</v>
      </c>
      <c r="N1136" s="97" t="s">
        <v>716</v>
      </c>
      <c r="O1136" s="58"/>
      <c r="P1136" s="58" t="s">
        <v>28</v>
      </c>
      <c r="Q1136" s="58" t="s">
        <v>43</v>
      </c>
      <c r="R1136" s="58" t="s">
        <v>272</v>
      </c>
    </row>
    <row r="1137" spans="1:18" ht="69" customHeight="1">
      <c r="A1137" s="168"/>
      <c r="B1137" s="178">
        <v>9809</v>
      </c>
      <c r="C1137" s="178" t="s">
        <v>309</v>
      </c>
      <c r="D1137" s="575" t="s">
        <v>3547</v>
      </c>
      <c r="E1137" s="178" t="s">
        <v>382</v>
      </c>
      <c r="F1137" s="210" t="s">
        <v>3548</v>
      </c>
      <c r="G1137" s="58" t="s">
        <v>597</v>
      </c>
      <c r="H1137" s="546">
        <v>2892.13</v>
      </c>
      <c r="I1137" s="66">
        <v>45041</v>
      </c>
      <c r="J1137" s="411" t="s">
        <v>3549</v>
      </c>
      <c r="K1137" s="58"/>
      <c r="L1137" s="99"/>
      <c r="M1137" s="70" t="s">
        <v>3550</v>
      </c>
      <c r="N1137" s="97" t="s">
        <v>387</v>
      </c>
      <c r="O1137" s="58" t="s">
        <v>3551</v>
      </c>
      <c r="P1137" s="58" t="s">
        <v>51</v>
      </c>
      <c r="Q1137" s="58" t="s">
        <v>43</v>
      </c>
      <c r="R1137" s="58" t="s">
        <v>272</v>
      </c>
    </row>
    <row r="1138" spans="1:18" ht="69" customHeight="1">
      <c r="A1138" s="168"/>
      <c r="B1138" s="191">
        <v>9949</v>
      </c>
      <c r="C1138" s="191" t="s">
        <v>3368</v>
      </c>
      <c r="D1138" s="533" t="s">
        <v>3552</v>
      </c>
      <c r="E1138" s="191" t="s">
        <v>877</v>
      </c>
      <c r="F1138" s="211" t="s">
        <v>3553</v>
      </c>
      <c r="G1138" s="46" t="s">
        <v>879</v>
      </c>
      <c r="H1138" s="534">
        <v>22112.22</v>
      </c>
      <c r="I1138" s="56">
        <v>45049</v>
      </c>
      <c r="J1138" s="412" t="s">
        <v>880</v>
      </c>
      <c r="K1138" s="46" t="s">
        <v>167</v>
      </c>
      <c r="L1138" s="99"/>
      <c r="M1138" s="379"/>
      <c r="N1138" s="76" t="s">
        <v>716</v>
      </c>
      <c r="O1138" s="46"/>
      <c r="P1138" s="46" t="s">
        <v>71</v>
      </c>
      <c r="Q1138" s="46" t="s">
        <v>43</v>
      </c>
      <c r="R1138" s="46" t="s">
        <v>272</v>
      </c>
    </row>
    <row r="1139" spans="1:18" ht="69" customHeight="1">
      <c r="A1139" s="168"/>
      <c r="B1139" s="191">
        <v>9952</v>
      </c>
      <c r="C1139" s="191" t="s">
        <v>3368</v>
      </c>
      <c r="D1139" s="533" t="s">
        <v>3554</v>
      </c>
      <c r="E1139" s="191" t="s">
        <v>877</v>
      </c>
      <c r="F1139" s="211" t="s">
        <v>3555</v>
      </c>
      <c r="G1139" s="46" t="s">
        <v>879</v>
      </c>
      <c r="H1139" s="534">
        <v>21654.19</v>
      </c>
      <c r="I1139" s="56">
        <v>45049</v>
      </c>
      <c r="J1139" s="412" t="s">
        <v>880</v>
      </c>
      <c r="K1139" s="46" t="s">
        <v>167</v>
      </c>
      <c r="L1139" s="99"/>
      <c r="M1139" s="379"/>
      <c r="N1139" s="76" t="s">
        <v>716</v>
      </c>
      <c r="O1139" s="46"/>
      <c r="P1139" s="46" t="s">
        <v>71</v>
      </c>
      <c r="Q1139" s="46" t="s">
        <v>43</v>
      </c>
      <c r="R1139" s="46" t="s">
        <v>272</v>
      </c>
    </row>
    <row r="1140" spans="1:18" ht="69" customHeight="1">
      <c r="A1140" s="168"/>
      <c r="B1140" s="178">
        <v>9837</v>
      </c>
      <c r="C1140" s="178" t="s">
        <v>309</v>
      </c>
      <c r="D1140" s="575" t="s">
        <v>3556</v>
      </c>
      <c r="E1140" s="178" t="s">
        <v>382</v>
      </c>
      <c r="F1140" s="210" t="s">
        <v>3557</v>
      </c>
      <c r="G1140" s="58" t="s">
        <v>884</v>
      </c>
      <c r="H1140" s="546">
        <v>23180</v>
      </c>
      <c r="I1140" s="66">
        <v>45040</v>
      </c>
      <c r="J1140" s="411" t="s">
        <v>885</v>
      </c>
      <c r="K1140" s="58"/>
      <c r="L1140" s="99"/>
      <c r="M1140" s="70" t="s">
        <v>3550</v>
      </c>
      <c r="N1140" s="97" t="s">
        <v>387</v>
      </c>
      <c r="O1140" s="58" t="s">
        <v>3551</v>
      </c>
      <c r="P1140" s="58" t="s">
        <v>51</v>
      </c>
      <c r="Q1140" s="58" t="s">
        <v>43</v>
      </c>
      <c r="R1140" s="58" t="s">
        <v>272</v>
      </c>
    </row>
    <row r="1141" spans="1:18" ht="69" customHeight="1">
      <c r="A1141" s="168"/>
      <c r="B1141" s="178">
        <v>9876</v>
      </c>
      <c r="C1141" s="178" t="s">
        <v>3368</v>
      </c>
      <c r="D1141" s="575" t="s">
        <v>3558</v>
      </c>
      <c r="E1141" s="178" t="s">
        <v>382</v>
      </c>
      <c r="F1141" s="210" t="s">
        <v>3559</v>
      </c>
      <c r="G1141" s="58" t="s">
        <v>3560</v>
      </c>
      <c r="H1141" s="546">
        <v>5821.02</v>
      </c>
      <c r="I1141" s="66">
        <v>45051</v>
      </c>
      <c r="J1141" s="411" t="s">
        <v>3561</v>
      </c>
      <c r="K1141" s="58"/>
      <c r="L1141" s="99"/>
      <c r="M1141" s="70" t="s">
        <v>3550</v>
      </c>
      <c r="N1141" s="97" t="s">
        <v>387</v>
      </c>
      <c r="O1141" s="58" t="s">
        <v>3551</v>
      </c>
      <c r="P1141" s="58" t="s">
        <v>51</v>
      </c>
      <c r="Q1141" s="58" t="s">
        <v>43</v>
      </c>
      <c r="R1141" s="58" t="s">
        <v>272</v>
      </c>
    </row>
    <row r="1142" spans="1:18" ht="69" customHeight="1">
      <c r="A1142" s="168"/>
      <c r="B1142" s="178">
        <v>6644</v>
      </c>
      <c r="C1142" s="178" t="s">
        <v>259</v>
      </c>
      <c r="D1142" s="575" t="s">
        <v>3562</v>
      </c>
      <c r="E1142" s="178" t="s">
        <v>266</v>
      </c>
      <c r="F1142" s="210" t="s">
        <v>3563</v>
      </c>
      <c r="G1142" s="58" t="s">
        <v>392</v>
      </c>
      <c r="H1142" s="546">
        <v>916.37</v>
      </c>
      <c r="I1142" s="66">
        <v>44818</v>
      </c>
      <c r="J1142" s="411" t="s">
        <v>3564</v>
      </c>
      <c r="K1142" s="58"/>
      <c r="L1142" s="99"/>
      <c r="M1142" s="70" t="s">
        <v>3565</v>
      </c>
      <c r="N1142" s="97" t="s">
        <v>270</v>
      </c>
      <c r="O1142" s="58"/>
      <c r="P1142" s="58" t="s">
        <v>44</v>
      </c>
      <c r="Q1142" s="58" t="s">
        <v>45</v>
      </c>
      <c r="R1142" s="58" t="s">
        <v>272</v>
      </c>
    </row>
    <row r="1143" spans="1:18" ht="69" customHeight="1">
      <c r="A1143" s="168"/>
      <c r="B1143" s="178">
        <v>7481</v>
      </c>
      <c r="C1143" s="178" t="s">
        <v>309</v>
      </c>
      <c r="D1143" s="575" t="s">
        <v>3350</v>
      </c>
      <c r="E1143" s="178" t="s">
        <v>266</v>
      </c>
      <c r="F1143" s="210" t="s">
        <v>3351</v>
      </c>
      <c r="G1143" s="58" t="s">
        <v>444</v>
      </c>
      <c r="H1143" s="546">
        <v>5334.67</v>
      </c>
      <c r="I1143" s="66">
        <v>44879</v>
      </c>
      <c r="J1143" s="411" t="s">
        <v>445</v>
      </c>
      <c r="K1143" s="58"/>
      <c r="L1143" s="99"/>
      <c r="M1143" s="70" t="s">
        <v>3565</v>
      </c>
      <c r="N1143" s="97" t="s">
        <v>270</v>
      </c>
      <c r="O1143" s="58"/>
      <c r="P1143" s="58" t="s">
        <v>44</v>
      </c>
      <c r="Q1143" s="58" t="s">
        <v>45</v>
      </c>
      <c r="R1143" s="58" t="s">
        <v>272</v>
      </c>
    </row>
    <row r="1144" spans="1:18" ht="69" customHeight="1">
      <c r="A1144" s="168"/>
      <c r="B1144" s="178">
        <v>7083</v>
      </c>
      <c r="C1144" s="178" t="s">
        <v>309</v>
      </c>
      <c r="D1144" s="575" t="s">
        <v>3566</v>
      </c>
      <c r="E1144" s="178" t="s">
        <v>266</v>
      </c>
      <c r="F1144" s="210" t="s">
        <v>3567</v>
      </c>
      <c r="G1144" s="58" t="s">
        <v>392</v>
      </c>
      <c r="H1144" s="546">
        <v>57.24</v>
      </c>
      <c r="I1144" s="66">
        <v>44853</v>
      </c>
      <c r="J1144" s="411" t="s">
        <v>3568</v>
      </c>
      <c r="K1144" s="58"/>
      <c r="L1144" s="99"/>
      <c r="M1144" s="70" t="s">
        <v>3565</v>
      </c>
      <c r="N1144" s="97" t="s">
        <v>270</v>
      </c>
      <c r="O1144" s="58"/>
      <c r="P1144" s="58" t="s">
        <v>44</v>
      </c>
      <c r="Q1144" s="58" t="s">
        <v>45</v>
      </c>
      <c r="R1144" s="58" t="s">
        <v>272</v>
      </c>
    </row>
    <row r="1145" spans="1:18" ht="69" customHeight="1">
      <c r="A1145" s="168"/>
      <c r="B1145" s="178">
        <v>7126</v>
      </c>
      <c r="C1145" s="178" t="s">
        <v>259</v>
      </c>
      <c r="D1145" s="575" t="s">
        <v>3569</v>
      </c>
      <c r="E1145" s="178" t="s">
        <v>266</v>
      </c>
      <c r="F1145" s="210" t="s">
        <v>3570</v>
      </c>
      <c r="G1145" s="58" t="s">
        <v>392</v>
      </c>
      <c r="H1145" s="546">
        <v>1813.73</v>
      </c>
      <c r="I1145" s="66">
        <v>44855</v>
      </c>
      <c r="J1145" s="411" t="s">
        <v>3571</v>
      </c>
      <c r="K1145" s="58"/>
      <c r="L1145" s="99"/>
      <c r="M1145" s="70" t="s">
        <v>3565</v>
      </c>
      <c r="N1145" s="97" t="s">
        <v>270</v>
      </c>
      <c r="O1145" s="58"/>
      <c r="P1145" s="58" t="s">
        <v>44</v>
      </c>
      <c r="Q1145" s="58" t="s">
        <v>45</v>
      </c>
      <c r="R1145" s="58" t="s">
        <v>272</v>
      </c>
    </row>
    <row r="1146" spans="1:18" ht="69" customHeight="1">
      <c r="A1146" s="168"/>
      <c r="B1146" s="178">
        <v>7481</v>
      </c>
      <c r="C1146" s="178" t="s">
        <v>309</v>
      </c>
      <c r="D1146" s="575" t="s">
        <v>3350</v>
      </c>
      <c r="E1146" s="178" t="s">
        <v>266</v>
      </c>
      <c r="F1146" s="210" t="s">
        <v>3351</v>
      </c>
      <c r="G1146" s="58" t="s">
        <v>444</v>
      </c>
      <c r="H1146" s="546">
        <v>5334.67</v>
      </c>
      <c r="I1146" s="66">
        <v>44879</v>
      </c>
      <c r="J1146" s="411" t="s">
        <v>445</v>
      </c>
      <c r="K1146" s="58"/>
      <c r="L1146" s="99"/>
      <c r="M1146" s="70" t="s">
        <v>3565</v>
      </c>
      <c r="N1146" s="97" t="s">
        <v>270</v>
      </c>
      <c r="O1146" s="58"/>
      <c r="P1146" s="58" t="s">
        <v>44</v>
      </c>
      <c r="Q1146" s="58" t="s">
        <v>45</v>
      </c>
      <c r="R1146" s="58" t="s">
        <v>272</v>
      </c>
    </row>
    <row r="1147" spans="1:18" ht="69" customHeight="1">
      <c r="A1147" s="168"/>
      <c r="B1147" s="178">
        <v>8181</v>
      </c>
      <c r="C1147" s="178" t="s">
        <v>309</v>
      </c>
      <c r="D1147" s="575" t="s">
        <v>3572</v>
      </c>
      <c r="E1147" s="178" t="s">
        <v>3573</v>
      </c>
      <c r="F1147" s="210" t="s">
        <v>3574</v>
      </c>
      <c r="G1147" s="58" t="s">
        <v>1803</v>
      </c>
      <c r="H1147" s="546">
        <v>93074.03</v>
      </c>
      <c r="I1147" s="66">
        <v>44922</v>
      </c>
      <c r="J1147" s="411" t="s">
        <v>3575</v>
      </c>
      <c r="K1147" s="58"/>
      <c r="L1147" s="99"/>
      <c r="M1147" s="70" t="s">
        <v>3576</v>
      </c>
      <c r="N1147" s="97" t="s">
        <v>356</v>
      </c>
      <c r="O1147" s="58" t="s">
        <v>156</v>
      </c>
      <c r="P1147" s="58" t="s">
        <v>19</v>
      </c>
      <c r="Q1147" s="58" t="s">
        <v>45</v>
      </c>
      <c r="R1147" s="58" t="s">
        <v>265</v>
      </c>
    </row>
    <row r="1148" spans="1:18" ht="69" customHeight="1">
      <c r="A1148" s="168"/>
      <c r="B1148" s="178">
        <v>7566</v>
      </c>
      <c r="C1148" s="178" t="s">
        <v>309</v>
      </c>
      <c r="D1148" s="575" t="s">
        <v>3577</v>
      </c>
      <c r="E1148" s="178" t="s">
        <v>552</v>
      </c>
      <c r="F1148" s="210" t="s">
        <v>3578</v>
      </c>
      <c r="G1148" s="58" t="s">
        <v>1107</v>
      </c>
      <c r="H1148" s="546">
        <v>6500</v>
      </c>
      <c r="I1148" s="66">
        <v>44893</v>
      </c>
      <c r="J1148" s="411" t="s">
        <v>1831</v>
      </c>
      <c r="K1148" s="58"/>
      <c r="L1148" s="99"/>
      <c r="M1148" s="70" t="s">
        <v>3579</v>
      </c>
      <c r="N1148" s="97" t="s">
        <v>552</v>
      </c>
      <c r="O1148" s="58" t="s">
        <v>971</v>
      </c>
      <c r="P1148" s="58" t="s">
        <v>38</v>
      </c>
      <c r="Q1148" s="58" t="s">
        <v>45</v>
      </c>
      <c r="R1148" s="58" t="s">
        <v>272</v>
      </c>
    </row>
    <row r="1149" spans="1:18" ht="69" customHeight="1">
      <c r="A1149" s="168"/>
      <c r="B1149" s="178">
        <v>7567</v>
      </c>
      <c r="C1149" s="178" t="s">
        <v>309</v>
      </c>
      <c r="D1149" s="575" t="s">
        <v>3580</v>
      </c>
      <c r="E1149" s="178" t="s">
        <v>552</v>
      </c>
      <c r="F1149" s="210" t="s">
        <v>3581</v>
      </c>
      <c r="G1149" s="58" t="s">
        <v>1107</v>
      </c>
      <c r="H1149" s="546">
        <v>6500</v>
      </c>
      <c r="I1149" s="66">
        <v>44893</v>
      </c>
      <c r="J1149" s="411" t="s">
        <v>1831</v>
      </c>
      <c r="K1149" s="58"/>
      <c r="L1149" s="99"/>
      <c r="M1149" s="70" t="s">
        <v>3579</v>
      </c>
      <c r="N1149" s="97" t="s">
        <v>552</v>
      </c>
      <c r="O1149" s="58" t="s">
        <v>971</v>
      </c>
      <c r="P1149" s="58" t="s">
        <v>38</v>
      </c>
      <c r="Q1149" s="58" t="s">
        <v>45</v>
      </c>
      <c r="R1149" s="58" t="s">
        <v>272</v>
      </c>
    </row>
    <row r="1150" spans="1:18" ht="69" customHeight="1">
      <c r="A1150" s="168"/>
      <c r="B1150" s="178">
        <v>7568</v>
      </c>
      <c r="C1150" s="178" t="s">
        <v>309</v>
      </c>
      <c r="D1150" s="575" t="s">
        <v>3582</v>
      </c>
      <c r="E1150" s="178" t="s">
        <v>552</v>
      </c>
      <c r="F1150" s="210" t="s">
        <v>3583</v>
      </c>
      <c r="G1150" s="58" t="s">
        <v>1107</v>
      </c>
      <c r="H1150" s="546">
        <v>6500</v>
      </c>
      <c r="I1150" s="66">
        <v>44893</v>
      </c>
      <c r="J1150" s="411" t="s">
        <v>1831</v>
      </c>
      <c r="K1150" s="58"/>
      <c r="L1150" s="99"/>
      <c r="M1150" s="70" t="s">
        <v>3579</v>
      </c>
      <c r="N1150" s="97" t="s">
        <v>552</v>
      </c>
      <c r="O1150" s="58" t="s">
        <v>971</v>
      </c>
      <c r="P1150" s="58" t="s">
        <v>38</v>
      </c>
      <c r="Q1150" s="58" t="s">
        <v>45</v>
      </c>
      <c r="R1150" s="58" t="s">
        <v>272</v>
      </c>
    </row>
    <row r="1151" spans="1:18" ht="69" customHeight="1">
      <c r="A1151" s="168"/>
      <c r="B1151" s="178">
        <v>2471</v>
      </c>
      <c r="C1151" s="178" t="s">
        <v>309</v>
      </c>
      <c r="D1151" s="575" t="s">
        <v>3584</v>
      </c>
      <c r="E1151" s="178" t="s">
        <v>921</v>
      </c>
      <c r="F1151" s="210" t="s">
        <v>3585</v>
      </c>
      <c r="G1151" s="58" t="s">
        <v>3586</v>
      </c>
      <c r="H1151" s="546">
        <v>45216.83</v>
      </c>
      <c r="I1151" s="66">
        <v>44531</v>
      </c>
      <c r="J1151" s="411" t="s">
        <v>3587</v>
      </c>
      <c r="K1151" s="58"/>
      <c r="L1151" s="99"/>
      <c r="M1151" s="70" t="s">
        <v>3588</v>
      </c>
      <c r="N1151" s="97" t="s">
        <v>356</v>
      </c>
      <c r="O1151" s="58" t="s">
        <v>156</v>
      </c>
      <c r="P1151" s="58" t="s">
        <v>19</v>
      </c>
      <c r="Q1151" s="58" t="s">
        <v>45</v>
      </c>
      <c r="R1151" s="58" t="s">
        <v>272</v>
      </c>
    </row>
    <row r="1152" spans="1:18" ht="69" customHeight="1">
      <c r="A1152" s="168"/>
      <c r="B1152" s="178">
        <v>8345</v>
      </c>
      <c r="C1152" s="178" t="s">
        <v>309</v>
      </c>
      <c r="D1152" s="575" t="s">
        <v>3589</v>
      </c>
      <c r="E1152" s="178" t="s">
        <v>3573</v>
      </c>
      <c r="F1152" s="210" t="s">
        <v>3590</v>
      </c>
      <c r="G1152" s="58" t="s">
        <v>1838</v>
      </c>
      <c r="H1152" s="546">
        <v>94460.12</v>
      </c>
      <c r="I1152" s="66">
        <v>44938</v>
      </c>
      <c r="J1152" s="411" t="s">
        <v>3591</v>
      </c>
      <c r="K1152" s="58"/>
      <c r="L1152" s="99"/>
      <c r="M1152" s="70" t="s">
        <v>3576</v>
      </c>
      <c r="N1152" s="97" t="s">
        <v>356</v>
      </c>
      <c r="O1152" s="58" t="s">
        <v>156</v>
      </c>
      <c r="P1152" s="58" t="s">
        <v>19</v>
      </c>
      <c r="Q1152" s="58" t="s">
        <v>45</v>
      </c>
      <c r="R1152" s="58" t="s">
        <v>265</v>
      </c>
    </row>
    <row r="1153" spans="1:18" ht="69" customHeight="1">
      <c r="A1153" s="168"/>
      <c r="B1153" s="178">
        <v>8346</v>
      </c>
      <c r="C1153" s="178" t="s">
        <v>309</v>
      </c>
      <c r="D1153" s="575" t="s">
        <v>3592</v>
      </c>
      <c r="E1153" s="178" t="s">
        <v>3573</v>
      </c>
      <c r="F1153" s="210" t="s">
        <v>3593</v>
      </c>
      <c r="G1153" s="58" t="s">
        <v>1838</v>
      </c>
      <c r="H1153" s="546">
        <v>6343.03</v>
      </c>
      <c r="I1153" s="66">
        <v>44938</v>
      </c>
      <c r="J1153" s="411" t="s">
        <v>3591</v>
      </c>
      <c r="K1153" s="58"/>
      <c r="L1153" s="99"/>
      <c r="M1153" s="70" t="s">
        <v>3576</v>
      </c>
      <c r="N1153" s="97" t="s">
        <v>356</v>
      </c>
      <c r="O1153" s="58" t="s">
        <v>156</v>
      </c>
      <c r="P1153" s="58" t="s">
        <v>19</v>
      </c>
      <c r="Q1153" s="58" t="s">
        <v>45</v>
      </c>
      <c r="R1153" s="58" t="s">
        <v>265</v>
      </c>
    </row>
    <row r="1154" spans="1:18" ht="69" customHeight="1">
      <c r="A1154" s="168"/>
      <c r="B1154" s="178">
        <v>7569</v>
      </c>
      <c r="C1154" s="178" t="s">
        <v>309</v>
      </c>
      <c r="D1154" s="575" t="s">
        <v>3594</v>
      </c>
      <c r="E1154" s="178" t="s">
        <v>552</v>
      </c>
      <c r="F1154" s="210" t="s">
        <v>3595</v>
      </c>
      <c r="G1154" s="58" t="s">
        <v>1107</v>
      </c>
      <c r="H1154" s="546">
        <v>850</v>
      </c>
      <c r="I1154" s="66">
        <v>44893</v>
      </c>
      <c r="J1154" s="411" t="s">
        <v>1831</v>
      </c>
      <c r="K1154" s="58"/>
      <c r="L1154" s="99"/>
      <c r="M1154" s="70" t="s">
        <v>3579</v>
      </c>
      <c r="N1154" s="97" t="s">
        <v>552</v>
      </c>
      <c r="O1154" s="58" t="s">
        <v>971</v>
      </c>
      <c r="P1154" s="58" t="s">
        <v>38</v>
      </c>
      <c r="Q1154" s="58" t="s">
        <v>45</v>
      </c>
      <c r="R1154" s="58" t="s">
        <v>272</v>
      </c>
    </row>
    <row r="1155" spans="1:18" ht="69" customHeight="1">
      <c r="A1155" s="168"/>
      <c r="B1155" s="178">
        <v>4551</v>
      </c>
      <c r="C1155" s="178" t="s">
        <v>309</v>
      </c>
      <c r="D1155" s="575" t="s">
        <v>3596</v>
      </c>
      <c r="E1155" s="178" t="s">
        <v>3573</v>
      </c>
      <c r="F1155" s="210" t="s">
        <v>3597</v>
      </c>
      <c r="G1155" s="58" t="s">
        <v>352</v>
      </c>
      <c r="H1155" s="546">
        <v>269202</v>
      </c>
      <c r="I1155" s="66">
        <v>44673</v>
      </c>
      <c r="J1155" s="411" t="s">
        <v>3598</v>
      </c>
      <c r="K1155" s="58"/>
      <c r="L1155" s="99"/>
      <c r="M1155" s="70" t="s">
        <v>3576</v>
      </c>
      <c r="N1155" s="97" t="s">
        <v>356</v>
      </c>
      <c r="O1155" s="58" t="s">
        <v>156</v>
      </c>
      <c r="P1155" s="58" t="s">
        <v>19</v>
      </c>
      <c r="Q1155" s="58" t="s">
        <v>45</v>
      </c>
      <c r="R1155" s="58" t="s">
        <v>265</v>
      </c>
    </row>
    <row r="1156" spans="1:18" ht="69" customHeight="1">
      <c r="A1156" s="168"/>
      <c r="B1156" s="178">
        <v>4501</v>
      </c>
      <c r="C1156" s="178" t="s">
        <v>309</v>
      </c>
      <c r="D1156" s="575" t="s">
        <v>3599</v>
      </c>
      <c r="E1156" s="178" t="s">
        <v>3573</v>
      </c>
      <c r="F1156" s="210" t="s">
        <v>3600</v>
      </c>
      <c r="G1156" s="58" t="s">
        <v>352</v>
      </c>
      <c r="H1156" s="546">
        <v>100500</v>
      </c>
      <c r="I1156" s="66">
        <v>44673</v>
      </c>
      <c r="J1156" s="411" t="s">
        <v>3601</v>
      </c>
      <c r="K1156" s="58"/>
      <c r="L1156" s="99"/>
      <c r="M1156" s="70" t="s">
        <v>3576</v>
      </c>
      <c r="N1156" s="97" t="s">
        <v>356</v>
      </c>
      <c r="O1156" s="58" t="s">
        <v>156</v>
      </c>
      <c r="P1156" s="58" t="s">
        <v>19</v>
      </c>
      <c r="Q1156" s="58" t="s">
        <v>45</v>
      </c>
      <c r="R1156" s="58" t="s">
        <v>265</v>
      </c>
    </row>
    <row r="1157" spans="1:18" ht="69" customHeight="1">
      <c r="A1157" s="168"/>
      <c r="B1157" s="178">
        <v>6956</v>
      </c>
      <c r="C1157" s="178" t="s">
        <v>309</v>
      </c>
      <c r="D1157" s="575" t="s">
        <v>1869</v>
      </c>
      <c r="E1157" s="178" t="s">
        <v>3573</v>
      </c>
      <c r="F1157" s="210" t="s">
        <v>1870</v>
      </c>
      <c r="G1157" s="58" t="s">
        <v>805</v>
      </c>
      <c r="H1157" s="546">
        <v>59430</v>
      </c>
      <c r="I1157" s="66">
        <v>44851</v>
      </c>
      <c r="J1157" s="411" t="s">
        <v>1871</v>
      </c>
      <c r="K1157" s="58"/>
      <c r="L1157" s="99"/>
      <c r="M1157" s="70" t="s">
        <v>3576</v>
      </c>
      <c r="N1157" s="97" t="s">
        <v>356</v>
      </c>
      <c r="O1157" s="58" t="s">
        <v>156</v>
      </c>
      <c r="P1157" s="58" t="s">
        <v>19</v>
      </c>
      <c r="Q1157" s="58" t="s">
        <v>45</v>
      </c>
      <c r="R1157" s="58" t="s">
        <v>265</v>
      </c>
    </row>
    <row r="1158" spans="1:18" ht="69" customHeight="1">
      <c r="A1158" s="168"/>
      <c r="B1158" s="178">
        <v>8716</v>
      </c>
      <c r="C1158" s="178" t="s">
        <v>309</v>
      </c>
      <c r="D1158" s="575" t="s">
        <v>3602</v>
      </c>
      <c r="E1158" s="178" t="s">
        <v>921</v>
      </c>
      <c r="F1158" s="210" t="s">
        <v>3603</v>
      </c>
      <c r="G1158" s="58" t="s">
        <v>1894</v>
      </c>
      <c r="H1158" s="546">
        <v>150000</v>
      </c>
      <c r="I1158" s="66">
        <v>44958</v>
      </c>
      <c r="J1158" s="411" t="s">
        <v>1185</v>
      </c>
      <c r="K1158" s="58"/>
      <c r="L1158" s="99"/>
      <c r="M1158" s="70" t="s">
        <v>3588</v>
      </c>
      <c r="N1158" s="97" t="s">
        <v>356</v>
      </c>
      <c r="O1158" s="58" t="s">
        <v>156</v>
      </c>
      <c r="P1158" s="58" t="s">
        <v>19</v>
      </c>
      <c r="Q1158" s="58" t="s">
        <v>45</v>
      </c>
      <c r="R1158" s="58" t="s">
        <v>272</v>
      </c>
    </row>
    <row r="1159" spans="1:18" ht="69" customHeight="1">
      <c r="A1159" s="168"/>
      <c r="B1159" s="178">
        <v>6341</v>
      </c>
      <c r="C1159" s="178" t="s">
        <v>309</v>
      </c>
      <c r="D1159" s="575" t="s">
        <v>3604</v>
      </c>
      <c r="E1159" s="178" t="s">
        <v>409</v>
      </c>
      <c r="F1159" s="210" t="s">
        <v>3605</v>
      </c>
      <c r="G1159" s="58" t="s">
        <v>1761</v>
      </c>
      <c r="H1159" s="546">
        <v>175110</v>
      </c>
      <c r="I1159" s="66">
        <v>44790</v>
      </c>
      <c r="J1159" s="411" t="s">
        <v>3606</v>
      </c>
      <c r="K1159" s="58"/>
      <c r="L1159" s="99"/>
      <c r="M1159" s="70" t="s">
        <v>3607</v>
      </c>
      <c r="N1159" s="97" t="s">
        <v>414</v>
      </c>
      <c r="O1159" s="58"/>
      <c r="P1159" s="58" t="s">
        <v>24</v>
      </c>
      <c r="Q1159" s="58" t="s">
        <v>45</v>
      </c>
      <c r="R1159" s="58" t="s">
        <v>272</v>
      </c>
    </row>
    <row r="1160" spans="1:18" ht="69" customHeight="1">
      <c r="A1160" s="168"/>
      <c r="B1160" s="178">
        <v>9070</v>
      </c>
      <c r="C1160" s="178" t="s">
        <v>309</v>
      </c>
      <c r="D1160" s="575"/>
      <c r="E1160" s="178" t="s">
        <v>266</v>
      </c>
      <c r="F1160" s="210" t="s">
        <v>3608</v>
      </c>
      <c r="G1160" s="58" t="s">
        <v>3609</v>
      </c>
      <c r="H1160" s="546">
        <v>3000</v>
      </c>
      <c r="I1160" s="66">
        <v>45000</v>
      </c>
      <c r="J1160" s="411" t="s">
        <v>3610</v>
      </c>
      <c r="K1160" s="58"/>
      <c r="L1160" s="99"/>
      <c r="M1160" s="70" t="s">
        <v>3565</v>
      </c>
      <c r="N1160" s="97" t="s">
        <v>270</v>
      </c>
      <c r="O1160" s="58"/>
      <c r="P1160" s="58" t="s">
        <v>44</v>
      </c>
      <c r="Q1160" s="58" t="s">
        <v>45</v>
      </c>
      <c r="R1160" s="58" t="s">
        <v>272</v>
      </c>
    </row>
    <row r="1161" spans="1:18" ht="69" customHeight="1">
      <c r="A1161" s="168"/>
      <c r="B1161" s="191">
        <v>9106</v>
      </c>
      <c r="C1161" s="191" t="s">
        <v>309</v>
      </c>
      <c r="D1161" s="533" t="s">
        <v>3611</v>
      </c>
      <c r="E1161" s="191" t="s">
        <v>1234</v>
      </c>
      <c r="F1161" s="211" t="s">
        <v>3612</v>
      </c>
      <c r="G1161" s="46" t="s">
        <v>3613</v>
      </c>
      <c r="H1161" s="534">
        <v>8000</v>
      </c>
      <c r="I1161" s="56">
        <v>45002</v>
      </c>
      <c r="J1161" s="412" t="s">
        <v>3614</v>
      </c>
      <c r="K1161" s="46" t="s">
        <v>167</v>
      </c>
      <c r="L1161" s="99"/>
      <c r="M1161" s="379"/>
      <c r="N1161" s="76" t="s">
        <v>414</v>
      </c>
      <c r="O1161" s="46"/>
      <c r="P1161" s="46" t="s">
        <v>65</v>
      </c>
      <c r="Q1161" s="46" t="s">
        <v>45</v>
      </c>
      <c r="R1161" s="46" t="s">
        <v>272</v>
      </c>
    </row>
    <row r="1162" spans="1:18" ht="69" customHeight="1">
      <c r="A1162" s="168"/>
      <c r="B1162" s="191">
        <v>9107</v>
      </c>
      <c r="C1162" s="191" t="s">
        <v>309</v>
      </c>
      <c r="D1162" s="533" t="s">
        <v>3615</v>
      </c>
      <c r="E1162" s="191" t="s">
        <v>1234</v>
      </c>
      <c r="F1162" s="211" t="s">
        <v>3616</v>
      </c>
      <c r="G1162" s="46" t="s">
        <v>3617</v>
      </c>
      <c r="H1162" s="534">
        <v>14000</v>
      </c>
      <c r="I1162" s="56">
        <v>45002</v>
      </c>
      <c r="J1162" s="412" t="s">
        <v>3614</v>
      </c>
      <c r="K1162" s="46" t="s">
        <v>167</v>
      </c>
      <c r="L1162" s="99"/>
      <c r="M1162" s="379"/>
      <c r="N1162" s="76" t="s">
        <v>414</v>
      </c>
      <c r="O1162" s="46"/>
      <c r="P1162" s="46" t="s">
        <v>65</v>
      </c>
      <c r="Q1162" s="46" t="s">
        <v>45</v>
      </c>
      <c r="R1162" s="46" t="s">
        <v>272</v>
      </c>
    </row>
    <row r="1163" spans="1:18" ht="69" customHeight="1">
      <c r="A1163" s="168"/>
      <c r="B1163" s="178">
        <v>9443</v>
      </c>
      <c r="C1163" s="178" t="s">
        <v>309</v>
      </c>
      <c r="D1163" s="575" t="s">
        <v>3618</v>
      </c>
      <c r="E1163" s="178" t="s">
        <v>1046</v>
      </c>
      <c r="F1163" s="210" t="s">
        <v>3619</v>
      </c>
      <c r="G1163" s="58" t="s">
        <v>1241</v>
      </c>
      <c r="H1163" s="546">
        <v>18330.34</v>
      </c>
      <c r="I1163" s="66">
        <v>45012</v>
      </c>
      <c r="J1163" s="411" t="s">
        <v>1245</v>
      </c>
      <c r="K1163" s="58"/>
      <c r="L1163" s="99"/>
      <c r="M1163" s="70" t="s">
        <v>3620</v>
      </c>
      <c r="N1163" s="97" t="s">
        <v>414</v>
      </c>
      <c r="O1163" s="58"/>
      <c r="P1163" s="58" t="s">
        <v>24</v>
      </c>
      <c r="Q1163" s="58" t="s">
        <v>45</v>
      </c>
      <c r="R1163" s="58" t="s">
        <v>265</v>
      </c>
    </row>
    <row r="1164" spans="1:18" ht="69" customHeight="1">
      <c r="A1164" s="168"/>
      <c r="B1164" s="191">
        <v>9675</v>
      </c>
      <c r="C1164" s="191" t="s">
        <v>309</v>
      </c>
      <c r="D1164" s="533" t="s">
        <v>3621</v>
      </c>
      <c r="E1164" s="191" t="s">
        <v>1198</v>
      </c>
      <c r="F1164" s="211" t="s">
        <v>3622</v>
      </c>
      <c r="G1164" s="46" t="s">
        <v>3623</v>
      </c>
      <c r="H1164" s="534">
        <v>12239.02</v>
      </c>
      <c r="I1164" s="56">
        <v>45016</v>
      </c>
      <c r="J1164" s="412" t="s">
        <v>3624</v>
      </c>
      <c r="K1164" s="46" t="s">
        <v>167</v>
      </c>
      <c r="L1164" s="99"/>
      <c r="M1164" s="379"/>
      <c r="N1164" s="76" t="s">
        <v>414</v>
      </c>
      <c r="O1164" s="46"/>
      <c r="P1164" s="46" t="s">
        <v>71</v>
      </c>
      <c r="Q1164" s="46" t="s">
        <v>45</v>
      </c>
      <c r="R1164" s="46" t="s">
        <v>272</v>
      </c>
    </row>
    <row r="1165" spans="1:18" ht="69" customHeight="1">
      <c r="A1165" s="168"/>
      <c r="B1165" s="178">
        <v>9770</v>
      </c>
      <c r="C1165" s="178" t="s">
        <v>309</v>
      </c>
      <c r="D1165" s="575" t="s">
        <v>3625</v>
      </c>
      <c r="E1165" s="178" t="s">
        <v>921</v>
      </c>
      <c r="F1165" s="210" t="s">
        <v>3626</v>
      </c>
      <c r="G1165" s="58" t="s">
        <v>3627</v>
      </c>
      <c r="H1165" s="546">
        <v>250000</v>
      </c>
      <c r="I1165" s="66">
        <v>45041</v>
      </c>
      <c r="J1165" s="411" t="s">
        <v>2408</v>
      </c>
      <c r="K1165" s="58"/>
      <c r="L1165" s="99"/>
      <c r="M1165" s="70" t="s">
        <v>3588</v>
      </c>
      <c r="N1165" s="97" t="s">
        <v>356</v>
      </c>
      <c r="O1165" s="58" t="s">
        <v>156</v>
      </c>
      <c r="P1165" s="58" t="s">
        <v>19</v>
      </c>
      <c r="Q1165" s="58" t="s">
        <v>45</v>
      </c>
      <c r="R1165" s="58" t="s">
        <v>272</v>
      </c>
    </row>
    <row r="1166" spans="1:18" ht="69" customHeight="1">
      <c r="A1166" s="168"/>
      <c r="B1166" s="191">
        <v>9895</v>
      </c>
      <c r="C1166" s="191" t="s">
        <v>309</v>
      </c>
      <c r="D1166" s="533" t="s">
        <v>3628</v>
      </c>
      <c r="E1166" s="191" t="s">
        <v>1046</v>
      </c>
      <c r="F1166" s="211" t="s">
        <v>3629</v>
      </c>
      <c r="G1166" s="46" t="s">
        <v>3630</v>
      </c>
      <c r="H1166" s="534">
        <v>1500</v>
      </c>
      <c r="I1166" s="56">
        <v>45044</v>
      </c>
      <c r="J1166" s="412" t="s">
        <v>3631</v>
      </c>
      <c r="K1166" s="46" t="s">
        <v>167</v>
      </c>
      <c r="L1166" s="99"/>
      <c r="M1166" s="379"/>
      <c r="N1166" s="76" t="s">
        <v>414</v>
      </c>
      <c r="O1166" s="46"/>
      <c r="P1166" s="46" t="s">
        <v>65</v>
      </c>
      <c r="Q1166" s="46" t="s">
        <v>45</v>
      </c>
      <c r="R1166" s="46" t="s">
        <v>272</v>
      </c>
    </row>
    <row r="1167" spans="1:18" ht="69" customHeight="1">
      <c r="A1167" s="168"/>
      <c r="B1167" s="191">
        <v>9901</v>
      </c>
      <c r="C1167" s="191" t="s">
        <v>309</v>
      </c>
      <c r="D1167" s="533" t="s">
        <v>3632</v>
      </c>
      <c r="E1167" s="191" t="s">
        <v>1046</v>
      </c>
      <c r="F1167" s="211" t="s">
        <v>3633</v>
      </c>
      <c r="G1167" s="46" t="s">
        <v>3634</v>
      </c>
      <c r="H1167" s="534">
        <v>12239.02</v>
      </c>
      <c r="I1167" s="56">
        <v>45044</v>
      </c>
      <c r="J1167" s="412" t="s">
        <v>2173</v>
      </c>
      <c r="K1167" s="46" t="s">
        <v>167</v>
      </c>
      <c r="L1167" s="99"/>
      <c r="M1167" s="379"/>
      <c r="N1167" s="76" t="s">
        <v>414</v>
      </c>
      <c r="O1167" s="46"/>
      <c r="P1167" s="46" t="s">
        <v>71</v>
      </c>
      <c r="Q1167" s="46" t="s">
        <v>45</v>
      </c>
      <c r="R1167" s="46" t="s">
        <v>272</v>
      </c>
    </row>
    <row r="1168" spans="1:18" ht="69" customHeight="1">
      <c r="A1168" s="168"/>
      <c r="B1168" s="191">
        <v>9946</v>
      </c>
      <c r="C1168" s="191" t="s">
        <v>309</v>
      </c>
      <c r="D1168" s="533" t="s">
        <v>3635</v>
      </c>
      <c r="E1168" s="191" t="s">
        <v>1046</v>
      </c>
      <c r="F1168" s="211" t="s">
        <v>3636</v>
      </c>
      <c r="G1168" s="46" t="s">
        <v>3637</v>
      </c>
      <c r="H1168" s="534">
        <v>1600</v>
      </c>
      <c r="I1168" s="56">
        <v>45061</v>
      </c>
      <c r="J1168" s="412" t="s">
        <v>3638</v>
      </c>
      <c r="K1168" s="46" t="s">
        <v>167</v>
      </c>
      <c r="L1168" s="99"/>
      <c r="M1168" s="379"/>
      <c r="N1168" s="76" t="s">
        <v>414</v>
      </c>
      <c r="O1168" s="46"/>
      <c r="P1168" s="46" t="s">
        <v>65</v>
      </c>
      <c r="Q1168" s="46" t="s">
        <v>45</v>
      </c>
      <c r="R1168" s="46" t="s">
        <v>272</v>
      </c>
    </row>
    <row r="1169" spans="1:18" ht="69" customHeight="1">
      <c r="A1169" s="168"/>
      <c r="B1169" s="178">
        <v>9834</v>
      </c>
      <c r="C1169" s="178" t="s">
        <v>309</v>
      </c>
      <c r="D1169" s="575" t="s">
        <v>3639</v>
      </c>
      <c r="E1169" s="178" t="s">
        <v>3573</v>
      </c>
      <c r="F1169" s="210" t="s">
        <v>3640</v>
      </c>
      <c r="G1169" s="58" t="s">
        <v>3641</v>
      </c>
      <c r="H1169" s="546">
        <v>6115.4</v>
      </c>
      <c r="I1169" s="66">
        <v>45051</v>
      </c>
      <c r="J1169" s="411" t="s">
        <v>3642</v>
      </c>
      <c r="K1169" s="58"/>
      <c r="L1169" s="99"/>
      <c r="M1169" s="70" t="s">
        <v>3576</v>
      </c>
      <c r="N1169" s="97" t="s">
        <v>356</v>
      </c>
      <c r="O1169" s="58" t="s">
        <v>156</v>
      </c>
      <c r="P1169" s="58" t="s">
        <v>19</v>
      </c>
      <c r="Q1169" s="58" t="s">
        <v>45</v>
      </c>
      <c r="R1169" s="58" t="s">
        <v>265</v>
      </c>
    </row>
    <row r="1170" spans="1:18" ht="69" customHeight="1">
      <c r="A1170" s="168"/>
      <c r="B1170" s="191">
        <v>2975</v>
      </c>
      <c r="C1170" s="191" t="s">
        <v>3643</v>
      </c>
      <c r="D1170" s="533" t="s">
        <v>3644</v>
      </c>
      <c r="E1170" s="191" t="s">
        <v>331</v>
      </c>
      <c r="F1170" s="211" t="s">
        <v>3645</v>
      </c>
      <c r="G1170" s="46" t="s">
        <v>3646</v>
      </c>
      <c r="H1170" s="534">
        <v>0</v>
      </c>
      <c r="I1170" s="56" t="s">
        <v>96</v>
      </c>
      <c r="J1170" s="412" t="s">
        <v>334</v>
      </c>
      <c r="K1170" s="46"/>
      <c r="L1170" s="99"/>
      <c r="M1170" s="379" t="s">
        <v>47</v>
      </c>
      <c r="N1170" s="76" t="s">
        <v>69</v>
      </c>
      <c r="O1170" s="46"/>
      <c r="P1170" s="46" t="s">
        <v>69</v>
      </c>
      <c r="Q1170" s="46" t="s">
        <v>47</v>
      </c>
      <c r="R1170" s="46" t="s">
        <v>272</v>
      </c>
    </row>
    <row r="1171" spans="1:18" ht="69" customHeight="1">
      <c r="A1171" s="168"/>
      <c r="B1171" s="191">
        <v>3202</v>
      </c>
      <c r="C1171" s="191" t="s">
        <v>3647</v>
      </c>
      <c r="D1171" s="533" t="s">
        <v>330</v>
      </c>
      <c r="E1171" s="191" t="s">
        <v>331</v>
      </c>
      <c r="F1171" s="211" t="s">
        <v>3645</v>
      </c>
      <c r="G1171" s="46" t="s">
        <v>3646</v>
      </c>
      <c r="H1171" s="534">
        <v>0</v>
      </c>
      <c r="I1171" s="56" t="s">
        <v>96</v>
      </c>
      <c r="J1171" s="412" t="s">
        <v>334</v>
      </c>
      <c r="K1171" s="46"/>
      <c r="L1171" s="99"/>
      <c r="M1171" s="379" t="s">
        <v>47</v>
      </c>
      <c r="N1171" s="76" t="s">
        <v>69</v>
      </c>
      <c r="O1171" s="46"/>
      <c r="P1171" s="46" t="s">
        <v>69</v>
      </c>
      <c r="Q1171" s="46" t="s">
        <v>47</v>
      </c>
      <c r="R1171" s="46" t="s">
        <v>272</v>
      </c>
    </row>
    <row r="1172" spans="1:18" ht="69" customHeight="1">
      <c r="A1172" s="168"/>
      <c r="B1172" s="178">
        <v>4086</v>
      </c>
      <c r="C1172" s="178" t="s">
        <v>259</v>
      </c>
      <c r="D1172" s="575" t="s">
        <v>1268</v>
      </c>
      <c r="E1172" s="178" t="s">
        <v>266</v>
      </c>
      <c r="F1172" s="210" t="s">
        <v>3648</v>
      </c>
      <c r="G1172" s="58" t="s">
        <v>392</v>
      </c>
      <c r="H1172" s="546">
        <v>166.96</v>
      </c>
      <c r="I1172" s="66">
        <v>44631</v>
      </c>
      <c r="J1172" s="411" t="s">
        <v>3649</v>
      </c>
      <c r="K1172" s="58"/>
      <c r="L1172" s="99"/>
      <c r="M1172" s="70" t="s">
        <v>3650</v>
      </c>
      <c r="N1172" s="97" t="s">
        <v>270</v>
      </c>
      <c r="O1172" s="58"/>
      <c r="P1172" s="58" t="s">
        <v>44</v>
      </c>
      <c r="Q1172" s="58" t="s">
        <v>47</v>
      </c>
      <c r="R1172" s="58" t="s">
        <v>272</v>
      </c>
    </row>
    <row r="1173" spans="1:18" ht="69" customHeight="1">
      <c r="A1173" s="168"/>
      <c r="B1173" s="178">
        <v>4087</v>
      </c>
      <c r="C1173" s="178" t="s">
        <v>259</v>
      </c>
      <c r="D1173" s="575" t="s">
        <v>3651</v>
      </c>
      <c r="E1173" s="178" t="s">
        <v>266</v>
      </c>
      <c r="F1173" s="210" t="s">
        <v>3652</v>
      </c>
      <c r="G1173" s="58" t="s">
        <v>392</v>
      </c>
      <c r="H1173" s="546">
        <v>166.96</v>
      </c>
      <c r="I1173" s="66">
        <v>44631</v>
      </c>
      <c r="J1173" s="411" t="s">
        <v>3653</v>
      </c>
      <c r="K1173" s="58"/>
      <c r="L1173" s="99"/>
      <c r="M1173" s="70" t="s">
        <v>3650</v>
      </c>
      <c r="N1173" s="97" t="s">
        <v>270</v>
      </c>
      <c r="O1173" s="58"/>
      <c r="P1173" s="58" t="s">
        <v>44</v>
      </c>
      <c r="Q1173" s="58" t="s">
        <v>47</v>
      </c>
      <c r="R1173" s="58" t="s">
        <v>272</v>
      </c>
    </row>
    <row r="1174" spans="1:18" ht="69" customHeight="1">
      <c r="A1174" s="168"/>
      <c r="B1174" s="178">
        <v>4093</v>
      </c>
      <c r="C1174" s="178" t="s">
        <v>259</v>
      </c>
      <c r="D1174" s="575" t="s">
        <v>3654</v>
      </c>
      <c r="E1174" s="178" t="s">
        <v>266</v>
      </c>
      <c r="F1174" s="210" t="s">
        <v>3655</v>
      </c>
      <c r="G1174" s="58" t="s">
        <v>392</v>
      </c>
      <c r="H1174" s="546">
        <v>2809.86</v>
      </c>
      <c r="I1174" s="66">
        <v>44631</v>
      </c>
      <c r="J1174" s="411" t="s">
        <v>3656</v>
      </c>
      <c r="K1174" s="58"/>
      <c r="L1174" s="99"/>
      <c r="M1174" s="70" t="s">
        <v>3650</v>
      </c>
      <c r="N1174" s="97" t="s">
        <v>270</v>
      </c>
      <c r="O1174" s="58"/>
      <c r="P1174" s="58" t="s">
        <v>44</v>
      </c>
      <c r="Q1174" s="58" t="s">
        <v>47</v>
      </c>
      <c r="R1174" s="58" t="s">
        <v>272</v>
      </c>
    </row>
    <row r="1175" spans="1:18" ht="69" customHeight="1">
      <c r="A1175" s="168"/>
      <c r="B1175" s="178">
        <v>4094</v>
      </c>
      <c r="C1175" s="178" t="s">
        <v>259</v>
      </c>
      <c r="D1175" s="575" t="s">
        <v>3657</v>
      </c>
      <c r="E1175" s="178" t="s">
        <v>266</v>
      </c>
      <c r="F1175" s="210" t="s">
        <v>3658</v>
      </c>
      <c r="G1175" s="58" t="s">
        <v>392</v>
      </c>
      <c r="H1175" s="546">
        <v>4907.33</v>
      </c>
      <c r="I1175" s="66">
        <v>44631</v>
      </c>
      <c r="J1175" s="411" t="s">
        <v>3659</v>
      </c>
      <c r="K1175" s="58"/>
      <c r="L1175" s="99"/>
      <c r="M1175" s="70" t="s">
        <v>3650</v>
      </c>
      <c r="N1175" s="97" t="s">
        <v>270</v>
      </c>
      <c r="O1175" s="58"/>
      <c r="P1175" s="58" t="s">
        <v>44</v>
      </c>
      <c r="Q1175" s="58" t="s">
        <v>47</v>
      </c>
      <c r="R1175" s="58" t="s">
        <v>272</v>
      </c>
    </row>
    <row r="1176" spans="1:18" ht="69" customHeight="1">
      <c r="A1176" s="168"/>
      <c r="B1176" s="178">
        <v>4004</v>
      </c>
      <c r="C1176" s="178" t="s">
        <v>3647</v>
      </c>
      <c r="D1176" s="575" t="s">
        <v>1970</v>
      </c>
      <c r="E1176" s="178" t="s">
        <v>266</v>
      </c>
      <c r="F1176" s="210" t="s">
        <v>3660</v>
      </c>
      <c r="G1176" s="58" t="s">
        <v>1107</v>
      </c>
      <c r="H1176" s="546">
        <v>7293.34</v>
      </c>
      <c r="I1176" s="66">
        <v>44643</v>
      </c>
      <c r="J1176" s="411" t="s">
        <v>3661</v>
      </c>
      <c r="K1176" s="58"/>
      <c r="L1176" s="99"/>
      <c r="M1176" s="70" t="s">
        <v>3662</v>
      </c>
      <c r="N1176" s="97" t="s">
        <v>970</v>
      </c>
      <c r="O1176" s="58" t="s">
        <v>971</v>
      </c>
      <c r="P1176" s="58" t="s">
        <v>38</v>
      </c>
      <c r="Q1176" s="58" t="s">
        <v>47</v>
      </c>
      <c r="R1176" s="58" t="s">
        <v>272</v>
      </c>
    </row>
    <row r="1177" spans="1:18" ht="69" customHeight="1">
      <c r="A1177" s="168"/>
      <c r="B1177" s="178">
        <v>4297</v>
      </c>
      <c r="C1177" s="178" t="s">
        <v>3647</v>
      </c>
      <c r="D1177" s="575" t="s">
        <v>2708</v>
      </c>
      <c r="E1177" s="178" t="s">
        <v>266</v>
      </c>
      <c r="F1177" s="210" t="s">
        <v>3663</v>
      </c>
      <c r="G1177" s="58" t="s">
        <v>392</v>
      </c>
      <c r="H1177" s="546">
        <v>36254.28</v>
      </c>
      <c r="I1177" s="66">
        <v>44657</v>
      </c>
      <c r="J1177" s="411" t="s">
        <v>3664</v>
      </c>
      <c r="K1177" s="58"/>
      <c r="L1177" s="99"/>
      <c r="M1177" s="70" t="s">
        <v>3650</v>
      </c>
      <c r="N1177" s="97" t="s">
        <v>270</v>
      </c>
      <c r="O1177" s="58"/>
      <c r="P1177" s="58" t="s">
        <v>44</v>
      </c>
      <c r="Q1177" s="58" t="s">
        <v>47</v>
      </c>
      <c r="R1177" s="58" t="s">
        <v>272</v>
      </c>
    </row>
    <row r="1178" spans="1:18" ht="69" customHeight="1">
      <c r="A1178" s="168"/>
      <c r="B1178" s="178">
        <v>4298</v>
      </c>
      <c r="C1178" s="178" t="s">
        <v>3647</v>
      </c>
      <c r="D1178" s="575" t="s">
        <v>931</v>
      </c>
      <c r="E1178" s="178" t="s">
        <v>266</v>
      </c>
      <c r="F1178" s="210" t="s">
        <v>3665</v>
      </c>
      <c r="G1178" s="58" t="s">
        <v>392</v>
      </c>
      <c r="H1178" s="546">
        <v>4293.2700000000004</v>
      </c>
      <c r="I1178" s="66">
        <v>44657</v>
      </c>
      <c r="J1178" s="411" t="s">
        <v>3666</v>
      </c>
      <c r="K1178" s="58"/>
      <c r="L1178" s="99"/>
      <c r="M1178" s="70" t="s">
        <v>3650</v>
      </c>
      <c r="N1178" s="97" t="s">
        <v>270</v>
      </c>
      <c r="O1178" s="58"/>
      <c r="P1178" s="58" t="s">
        <v>44</v>
      </c>
      <c r="Q1178" s="58" t="s">
        <v>47</v>
      </c>
      <c r="R1178" s="58" t="s">
        <v>272</v>
      </c>
    </row>
    <row r="1179" spans="1:18" ht="69" customHeight="1">
      <c r="A1179" s="168"/>
      <c r="B1179" s="178">
        <v>4302</v>
      </c>
      <c r="C1179" s="59" t="s">
        <v>3667</v>
      </c>
      <c r="D1179" s="575" t="s">
        <v>934</v>
      </c>
      <c r="E1179" s="178" t="s">
        <v>266</v>
      </c>
      <c r="F1179" s="210" t="s">
        <v>3668</v>
      </c>
      <c r="G1179" s="58" t="s">
        <v>307</v>
      </c>
      <c r="H1179" s="546">
        <v>12000</v>
      </c>
      <c r="I1179" s="66">
        <v>44659</v>
      </c>
      <c r="J1179" s="411" t="s">
        <v>3669</v>
      </c>
      <c r="K1179" s="58"/>
      <c r="L1179" s="99"/>
      <c r="M1179" s="70" t="s">
        <v>3650</v>
      </c>
      <c r="N1179" s="97" t="s">
        <v>270</v>
      </c>
      <c r="O1179" s="58"/>
      <c r="P1179" s="58" t="s">
        <v>44</v>
      </c>
      <c r="Q1179" s="58" t="s">
        <v>47</v>
      </c>
      <c r="R1179" s="58" t="s">
        <v>272</v>
      </c>
    </row>
    <row r="1180" spans="1:18" ht="69" customHeight="1">
      <c r="A1180" s="168"/>
      <c r="B1180" s="178">
        <v>4740</v>
      </c>
      <c r="C1180" s="178" t="s">
        <v>3647</v>
      </c>
      <c r="D1180" s="575" t="s">
        <v>2215</v>
      </c>
      <c r="E1180" s="178" t="s">
        <v>331</v>
      </c>
      <c r="F1180" s="210" t="s">
        <v>3670</v>
      </c>
      <c r="G1180" s="58"/>
      <c r="H1180" s="546">
        <v>3389.12</v>
      </c>
      <c r="I1180" s="66">
        <v>44678</v>
      </c>
      <c r="J1180" s="411" t="s">
        <v>3671</v>
      </c>
      <c r="K1180" s="58"/>
      <c r="L1180" s="99"/>
      <c r="M1180" s="70" t="s">
        <v>3650</v>
      </c>
      <c r="N1180" s="97" t="s">
        <v>270</v>
      </c>
      <c r="O1180" s="58"/>
      <c r="P1180" s="58" t="s">
        <v>44</v>
      </c>
      <c r="Q1180" s="58" t="s">
        <v>47</v>
      </c>
      <c r="R1180" s="58" t="s">
        <v>272</v>
      </c>
    </row>
    <row r="1181" spans="1:18" ht="69" customHeight="1">
      <c r="A1181" s="168"/>
      <c r="B1181" s="178">
        <v>4096</v>
      </c>
      <c r="C1181" s="178" t="s">
        <v>3647</v>
      </c>
      <c r="D1181" s="575" t="s">
        <v>3672</v>
      </c>
      <c r="E1181" s="178" t="s">
        <v>266</v>
      </c>
      <c r="F1181" s="210" t="s">
        <v>3673</v>
      </c>
      <c r="G1181" s="58" t="s">
        <v>3674</v>
      </c>
      <c r="H1181" s="546">
        <v>10690</v>
      </c>
      <c r="I1181" s="66">
        <v>44676</v>
      </c>
      <c r="J1181" s="411" t="s">
        <v>3675</v>
      </c>
      <c r="K1181" s="58"/>
      <c r="L1181" s="99"/>
      <c r="M1181" s="70" t="s">
        <v>3650</v>
      </c>
      <c r="N1181" s="97" t="s">
        <v>270</v>
      </c>
      <c r="O1181" s="58"/>
      <c r="P1181" s="58" t="s">
        <v>44</v>
      </c>
      <c r="Q1181" s="58" t="s">
        <v>47</v>
      </c>
      <c r="R1181" s="58" t="s">
        <v>272</v>
      </c>
    </row>
    <row r="1182" spans="1:18" ht="69" customHeight="1">
      <c r="A1182" s="168"/>
      <c r="B1182" s="178">
        <v>4789</v>
      </c>
      <c r="C1182" s="178" t="s">
        <v>3647</v>
      </c>
      <c r="D1182" s="575" t="s">
        <v>515</v>
      </c>
      <c r="E1182" s="178" t="s">
        <v>266</v>
      </c>
      <c r="F1182" s="210" t="s">
        <v>3676</v>
      </c>
      <c r="G1182" s="58" t="s">
        <v>3677</v>
      </c>
      <c r="H1182" s="546">
        <v>36360</v>
      </c>
      <c r="I1182" s="66">
        <v>44697</v>
      </c>
      <c r="J1182" s="411" t="s">
        <v>3678</v>
      </c>
      <c r="K1182" s="58"/>
      <c r="L1182" s="99"/>
      <c r="M1182" s="70" t="s">
        <v>3650</v>
      </c>
      <c r="N1182" s="97" t="s">
        <v>270</v>
      </c>
      <c r="O1182" s="58"/>
      <c r="P1182" s="58" t="s">
        <v>44</v>
      </c>
      <c r="Q1182" s="58" t="s">
        <v>47</v>
      </c>
      <c r="R1182" s="58" t="s">
        <v>272</v>
      </c>
    </row>
    <row r="1183" spans="1:18" ht="69" customHeight="1">
      <c r="A1183" s="168"/>
      <c r="B1183" s="178">
        <v>4794</v>
      </c>
      <c r="C1183" s="59" t="s">
        <v>3667</v>
      </c>
      <c r="D1183" s="575" t="s">
        <v>3679</v>
      </c>
      <c r="E1183" s="178" t="s">
        <v>266</v>
      </c>
      <c r="F1183" s="210" t="s">
        <v>3680</v>
      </c>
      <c r="G1183" s="58" t="s">
        <v>3681</v>
      </c>
      <c r="H1183" s="546">
        <v>2500</v>
      </c>
      <c r="I1183" s="66">
        <v>44701</v>
      </c>
      <c r="J1183" s="411" t="s">
        <v>3682</v>
      </c>
      <c r="K1183" s="58"/>
      <c r="L1183" s="99"/>
      <c r="M1183" s="70" t="s">
        <v>3650</v>
      </c>
      <c r="N1183" s="97" t="s">
        <v>270</v>
      </c>
      <c r="O1183" s="58"/>
      <c r="P1183" s="58" t="s">
        <v>44</v>
      </c>
      <c r="Q1183" s="58" t="s">
        <v>47</v>
      </c>
      <c r="R1183" s="58" t="s">
        <v>272</v>
      </c>
    </row>
    <row r="1184" spans="1:18" ht="69" customHeight="1">
      <c r="A1184" s="168"/>
      <c r="B1184" s="178">
        <v>4860</v>
      </c>
      <c r="C1184" s="178" t="s">
        <v>3647</v>
      </c>
      <c r="D1184" s="575" t="s">
        <v>3683</v>
      </c>
      <c r="E1184" s="178" t="s">
        <v>266</v>
      </c>
      <c r="F1184" s="210" t="s">
        <v>3684</v>
      </c>
      <c r="G1184" s="58" t="s">
        <v>680</v>
      </c>
      <c r="H1184" s="546">
        <v>7000</v>
      </c>
      <c r="I1184" s="66">
        <v>44706</v>
      </c>
      <c r="J1184" s="411" t="s">
        <v>3685</v>
      </c>
      <c r="K1184" s="58"/>
      <c r="L1184" s="99"/>
      <c r="M1184" s="70" t="s">
        <v>3686</v>
      </c>
      <c r="N1184" s="97" t="s">
        <v>683</v>
      </c>
      <c r="O1184" s="58" t="s">
        <v>684</v>
      </c>
      <c r="P1184" s="58" t="s">
        <v>46</v>
      </c>
      <c r="Q1184" s="58" t="s">
        <v>47</v>
      </c>
      <c r="R1184" s="58" t="s">
        <v>272</v>
      </c>
    </row>
    <row r="1185" spans="1:18" ht="69" customHeight="1">
      <c r="A1185" s="168"/>
      <c r="B1185" s="178">
        <v>4740</v>
      </c>
      <c r="C1185" s="178" t="s">
        <v>3647</v>
      </c>
      <c r="D1185" s="575" t="s">
        <v>3477</v>
      </c>
      <c r="E1185" s="178" t="s">
        <v>331</v>
      </c>
      <c r="F1185" s="210" t="s">
        <v>3687</v>
      </c>
      <c r="G1185" s="58" t="s">
        <v>372</v>
      </c>
      <c r="H1185" s="546">
        <v>30502.1</v>
      </c>
      <c r="I1185" s="66">
        <v>44701</v>
      </c>
      <c r="J1185" s="411" t="s">
        <v>3688</v>
      </c>
      <c r="K1185" s="58"/>
      <c r="L1185" s="99"/>
      <c r="M1185" s="70" t="s">
        <v>3650</v>
      </c>
      <c r="N1185" s="97" t="s">
        <v>270</v>
      </c>
      <c r="O1185" s="58"/>
      <c r="P1185" s="58" t="s">
        <v>44</v>
      </c>
      <c r="Q1185" s="58" t="s">
        <v>47</v>
      </c>
      <c r="R1185" s="58" t="s">
        <v>272</v>
      </c>
    </row>
    <row r="1186" spans="1:18" ht="69" customHeight="1">
      <c r="A1186" s="168"/>
      <c r="B1186" s="178">
        <v>4004</v>
      </c>
      <c r="C1186" s="178" t="s">
        <v>3647</v>
      </c>
      <c r="D1186" s="575" t="s">
        <v>1293</v>
      </c>
      <c r="E1186" s="178" t="s">
        <v>266</v>
      </c>
      <c r="F1186" s="210" t="s">
        <v>3689</v>
      </c>
      <c r="G1186" s="58" t="s">
        <v>1107</v>
      </c>
      <c r="H1186" s="546">
        <v>7293.34</v>
      </c>
      <c r="I1186" s="66">
        <v>44725</v>
      </c>
      <c r="J1186" s="411" t="s">
        <v>3690</v>
      </c>
      <c r="K1186" s="58"/>
      <c r="L1186" s="99"/>
      <c r="M1186" s="70" t="s">
        <v>3662</v>
      </c>
      <c r="N1186" s="97" t="s">
        <v>970</v>
      </c>
      <c r="O1186" s="58" t="s">
        <v>971</v>
      </c>
      <c r="P1186" s="58" t="s">
        <v>38</v>
      </c>
      <c r="Q1186" s="58" t="s">
        <v>47</v>
      </c>
      <c r="R1186" s="58" t="s">
        <v>272</v>
      </c>
    </row>
    <row r="1187" spans="1:18" ht="69" customHeight="1">
      <c r="A1187" s="168"/>
      <c r="B1187" s="178">
        <v>5020</v>
      </c>
      <c r="C1187" s="178" t="s">
        <v>3647</v>
      </c>
      <c r="D1187" s="575" t="s">
        <v>2968</v>
      </c>
      <c r="E1187" s="178" t="s">
        <v>266</v>
      </c>
      <c r="F1187" s="210" t="s">
        <v>3691</v>
      </c>
      <c r="G1187" s="58" t="s">
        <v>1753</v>
      </c>
      <c r="H1187" s="546">
        <v>5390</v>
      </c>
      <c r="I1187" s="66">
        <v>44727</v>
      </c>
      <c r="J1187" s="411" t="s">
        <v>3692</v>
      </c>
      <c r="K1187" s="58"/>
      <c r="L1187" s="99"/>
      <c r="M1187" s="70" t="s">
        <v>3650</v>
      </c>
      <c r="N1187" s="97" t="s">
        <v>270</v>
      </c>
      <c r="O1187" s="58"/>
      <c r="P1187" s="58" t="s">
        <v>44</v>
      </c>
      <c r="Q1187" s="58" t="s">
        <v>47</v>
      </c>
      <c r="R1187" s="58" t="s">
        <v>272</v>
      </c>
    </row>
    <row r="1188" spans="1:18" ht="69" customHeight="1">
      <c r="A1188" s="168"/>
      <c r="B1188" s="178">
        <v>4756</v>
      </c>
      <c r="C1188" s="178" t="s">
        <v>3647</v>
      </c>
      <c r="D1188" s="575" t="s">
        <v>2021</v>
      </c>
      <c r="E1188" s="178" t="s">
        <v>266</v>
      </c>
      <c r="F1188" s="210" t="s">
        <v>3693</v>
      </c>
      <c r="G1188" s="58" t="s">
        <v>325</v>
      </c>
      <c r="H1188" s="546">
        <v>2800</v>
      </c>
      <c r="I1188" s="66" t="s">
        <v>96</v>
      </c>
      <c r="J1188" s="411" t="s">
        <v>3694</v>
      </c>
      <c r="K1188" s="58"/>
      <c r="L1188" s="99"/>
      <c r="M1188" s="70" t="s">
        <v>3650</v>
      </c>
      <c r="N1188" s="97" t="s">
        <v>270</v>
      </c>
      <c r="O1188" s="58"/>
      <c r="P1188" s="58" t="s">
        <v>44</v>
      </c>
      <c r="Q1188" s="58" t="s">
        <v>47</v>
      </c>
      <c r="R1188" s="58" t="s">
        <v>272</v>
      </c>
    </row>
    <row r="1189" spans="1:18" ht="69" customHeight="1">
      <c r="A1189" s="168"/>
      <c r="B1189" s="178">
        <v>6230</v>
      </c>
      <c r="C1189" s="59" t="s">
        <v>3667</v>
      </c>
      <c r="D1189" s="575" t="s">
        <v>2253</v>
      </c>
      <c r="E1189" s="178" t="s">
        <v>382</v>
      </c>
      <c r="F1189" s="210" t="s">
        <v>3695</v>
      </c>
      <c r="G1189" s="58" t="s">
        <v>384</v>
      </c>
      <c r="H1189" s="546">
        <v>27761.33</v>
      </c>
      <c r="I1189" s="66">
        <v>44739</v>
      </c>
      <c r="J1189" s="411" t="s">
        <v>3696</v>
      </c>
      <c r="K1189" s="58"/>
      <c r="L1189" s="99"/>
      <c r="M1189" s="70" t="s">
        <v>3697</v>
      </c>
      <c r="N1189" s="97" t="s">
        <v>387</v>
      </c>
      <c r="O1189" s="58" t="s">
        <v>150</v>
      </c>
      <c r="P1189" s="58" t="s">
        <v>51</v>
      </c>
      <c r="Q1189" s="58" t="s">
        <v>47</v>
      </c>
      <c r="R1189" s="58" t="s">
        <v>272</v>
      </c>
    </row>
    <row r="1190" spans="1:18" ht="69" customHeight="1">
      <c r="A1190" s="168"/>
      <c r="B1190" s="178">
        <v>6231</v>
      </c>
      <c r="C1190" s="59" t="s">
        <v>3667</v>
      </c>
      <c r="D1190" s="575" t="s">
        <v>2983</v>
      </c>
      <c r="E1190" s="178" t="s">
        <v>382</v>
      </c>
      <c r="F1190" s="210" t="s">
        <v>3698</v>
      </c>
      <c r="G1190" s="58" t="s">
        <v>384</v>
      </c>
      <c r="H1190" s="546">
        <v>39819.519999999997</v>
      </c>
      <c r="I1190" s="66">
        <v>44739</v>
      </c>
      <c r="J1190" s="411" t="s">
        <v>3699</v>
      </c>
      <c r="K1190" s="58"/>
      <c r="L1190" s="99"/>
      <c r="M1190" s="70" t="s">
        <v>3697</v>
      </c>
      <c r="N1190" s="97" t="s">
        <v>387</v>
      </c>
      <c r="O1190" s="58" t="s">
        <v>150</v>
      </c>
      <c r="P1190" s="58" t="s">
        <v>51</v>
      </c>
      <c r="Q1190" s="58" t="s">
        <v>47</v>
      </c>
      <c r="R1190" s="58" t="s">
        <v>272</v>
      </c>
    </row>
    <row r="1191" spans="1:18" ht="69" customHeight="1">
      <c r="A1191" s="168"/>
      <c r="B1191" s="178">
        <v>6047</v>
      </c>
      <c r="C1191" s="178" t="s">
        <v>3647</v>
      </c>
      <c r="D1191" s="575" t="s">
        <v>1017</v>
      </c>
      <c r="E1191" s="178" t="s">
        <v>266</v>
      </c>
      <c r="F1191" s="210" t="s">
        <v>3700</v>
      </c>
      <c r="G1191" s="58" t="s">
        <v>1107</v>
      </c>
      <c r="H1191" s="546">
        <v>7293.34</v>
      </c>
      <c r="I1191" s="66" t="s">
        <v>96</v>
      </c>
      <c r="J1191" s="411" t="s">
        <v>3701</v>
      </c>
      <c r="K1191" s="58"/>
      <c r="L1191" s="99"/>
      <c r="M1191" s="70" t="s">
        <v>3662</v>
      </c>
      <c r="N1191" s="97" t="s">
        <v>970</v>
      </c>
      <c r="O1191" s="58" t="s">
        <v>971</v>
      </c>
      <c r="P1191" s="58" t="s">
        <v>38</v>
      </c>
      <c r="Q1191" s="58" t="s">
        <v>47</v>
      </c>
      <c r="R1191" s="58" t="s">
        <v>272</v>
      </c>
    </row>
    <row r="1192" spans="1:18" ht="69" customHeight="1">
      <c r="A1192" s="168"/>
      <c r="B1192" s="589">
        <v>6083</v>
      </c>
      <c r="C1192" s="589" t="s">
        <v>3647</v>
      </c>
      <c r="D1192" s="590" t="s">
        <v>2276</v>
      </c>
      <c r="E1192" s="589" t="s">
        <v>409</v>
      </c>
      <c r="F1192" s="591" t="s">
        <v>3702</v>
      </c>
      <c r="G1192" s="102" t="s">
        <v>411</v>
      </c>
      <c r="H1192" s="546">
        <v>0</v>
      </c>
      <c r="I1192" s="66" t="s">
        <v>96</v>
      </c>
      <c r="J1192" s="592" t="s">
        <v>3703</v>
      </c>
      <c r="K1192" s="102"/>
      <c r="L1192" s="99"/>
      <c r="M1192" s="382" t="s">
        <v>3704</v>
      </c>
      <c r="N1192" s="101" t="s">
        <v>414</v>
      </c>
      <c r="O1192" s="102"/>
      <c r="P1192" s="102" t="s">
        <v>22</v>
      </c>
      <c r="Q1192" s="102" t="s">
        <v>47</v>
      </c>
      <c r="R1192" s="58" t="s">
        <v>272</v>
      </c>
    </row>
    <row r="1193" spans="1:18" ht="69" customHeight="1">
      <c r="A1193" s="168"/>
      <c r="B1193" s="178">
        <v>6068</v>
      </c>
      <c r="C1193" s="178" t="s">
        <v>3647</v>
      </c>
      <c r="D1193" s="575" t="s">
        <v>381</v>
      </c>
      <c r="E1193" s="178" t="s">
        <v>266</v>
      </c>
      <c r="F1193" s="210" t="s">
        <v>3705</v>
      </c>
      <c r="G1193" s="58" t="s">
        <v>3677</v>
      </c>
      <c r="H1193" s="546">
        <v>24240</v>
      </c>
      <c r="I1193" s="66">
        <v>44769</v>
      </c>
      <c r="J1193" s="411" t="s">
        <v>3706</v>
      </c>
      <c r="K1193" s="58"/>
      <c r="L1193" s="99"/>
      <c r="M1193" s="70" t="s">
        <v>3650</v>
      </c>
      <c r="N1193" s="97" t="s">
        <v>270</v>
      </c>
      <c r="O1193" s="58"/>
      <c r="P1193" s="58" t="s">
        <v>44</v>
      </c>
      <c r="Q1193" s="58" t="s">
        <v>47</v>
      </c>
      <c r="R1193" s="58" t="s">
        <v>272</v>
      </c>
    </row>
    <row r="1194" spans="1:18" ht="69" customHeight="1">
      <c r="A1194" s="168"/>
      <c r="B1194" s="178">
        <v>6083</v>
      </c>
      <c r="C1194" s="178" t="s">
        <v>3647</v>
      </c>
      <c r="D1194" s="575" t="s">
        <v>388</v>
      </c>
      <c r="E1194" s="178" t="s">
        <v>409</v>
      </c>
      <c r="F1194" s="210" t="s">
        <v>3707</v>
      </c>
      <c r="G1194" s="58" t="s">
        <v>411</v>
      </c>
      <c r="H1194" s="546">
        <v>403650</v>
      </c>
      <c r="I1194" s="66">
        <v>44769</v>
      </c>
      <c r="J1194" s="411" t="s">
        <v>3703</v>
      </c>
      <c r="K1194" s="58"/>
      <c r="L1194" s="99"/>
      <c r="M1194" s="70" t="s">
        <v>3704</v>
      </c>
      <c r="N1194" s="97" t="s">
        <v>414</v>
      </c>
      <c r="O1194" s="58"/>
      <c r="P1194" s="58" t="s">
        <v>22</v>
      </c>
      <c r="Q1194" s="58" t="s">
        <v>47</v>
      </c>
      <c r="R1194" s="58" t="s">
        <v>272</v>
      </c>
    </row>
    <row r="1195" spans="1:18" ht="69" customHeight="1">
      <c r="A1195" s="168"/>
      <c r="B1195" s="178">
        <v>6377</v>
      </c>
      <c r="C1195" s="178" t="s">
        <v>3647</v>
      </c>
      <c r="D1195" s="575" t="s">
        <v>3708</v>
      </c>
      <c r="E1195" s="178" t="s">
        <v>270</v>
      </c>
      <c r="F1195" s="210" t="s">
        <v>3709</v>
      </c>
      <c r="G1195" s="58" t="s">
        <v>2775</v>
      </c>
      <c r="H1195" s="546">
        <v>5810</v>
      </c>
      <c r="I1195" s="66">
        <v>44799</v>
      </c>
      <c r="J1195" s="411" t="s">
        <v>3710</v>
      </c>
      <c r="K1195" s="58"/>
      <c r="L1195" s="99"/>
      <c r="M1195" s="70" t="s">
        <v>3650</v>
      </c>
      <c r="N1195" s="97" t="s">
        <v>270</v>
      </c>
      <c r="O1195" s="58"/>
      <c r="P1195" s="58" t="s">
        <v>44</v>
      </c>
      <c r="Q1195" s="58" t="s">
        <v>47</v>
      </c>
      <c r="R1195" s="58" t="s">
        <v>272</v>
      </c>
    </row>
    <row r="1196" spans="1:18" ht="69" customHeight="1">
      <c r="A1196" s="168"/>
      <c r="B1196" s="178">
        <v>6386</v>
      </c>
      <c r="C1196" s="178" t="s">
        <v>3647</v>
      </c>
      <c r="D1196" s="575" t="s">
        <v>1575</v>
      </c>
      <c r="E1196" s="178" t="s">
        <v>266</v>
      </c>
      <c r="F1196" s="210" t="s">
        <v>3711</v>
      </c>
      <c r="G1196" s="58" t="s">
        <v>1107</v>
      </c>
      <c r="H1196" s="546">
        <v>7293.34</v>
      </c>
      <c r="I1196" s="66">
        <v>44799</v>
      </c>
      <c r="J1196" s="411" t="s">
        <v>3712</v>
      </c>
      <c r="K1196" s="58"/>
      <c r="L1196" s="99"/>
      <c r="M1196" s="70" t="s">
        <v>3662</v>
      </c>
      <c r="N1196" s="97" t="s">
        <v>970</v>
      </c>
      <c r="O1196" s="58" t="s">
        <v>971</v>
      </c>
      <c r="P1196" s="58" t="s">
        <v>38</v>
      </c>
      <c r="Q1196" s="58" t="s">
        <v>47</v>
      </c>
      <c r="R1196" s="58" t="s">
        <v>272</v>
      </c>
    </row>
    <row r="1197" spans="1:18" ht="69" customHeight="1">
      <c r="A1197" s="168"/>
      <c r="B1197" s="178">
        <v>6400</v>
      </c>
      <c r="C1197" s="178" t="s">
        <v>3647</v>
      </c>
      <c r="D1197" s="575" t="s">
        <v>3713</v>
      </c>
      <c r="E1197" s="178" t="s">
        <v>432</v>
      </c>
      <c r="F1197" s="210" t="s">
        <v>3714</v>
      </c>
      <c r="G1197" s="58" t="s">
        <v>429</v>
      </c>
      <c r="H1197" s="546">
        <v>13959.486000000001</v>
      </c>
      <c r="I1197" s="66">
        <v>44802</v>
      </c>
      <c r="J1197" s="411" t="s">
        <v>3715</v>
      </c>
      <c r="K1197" s="58"/>
      <c r="L1197" s="99"/>
      <c r="M1197" s="70" t="s">
        <v>3716</v>
      </c>
      <c r="N1197" s="97" t="s">
        <v>432</v>
      </c>
      <c r="O1197" s="58"/>
      <c r="P1197" s="58" t="s">
        <v>53</v>
      </c>
      <c r="Q1197" s="58" t="s">
        <v>47</v>
      </c>
      <c r="R1197" s="58" t="s">
        <v>272</v>
      </c>
    </row>
    <row r="1198" spans="1:18" ht="69" customHeight="1">
      <c r="A1198" s="168"/>
      <c r="B1198" s="178">
        <v>6458</v>
      </c>
      <c r="C1198" s="178" t="s">
        <v>3647</v>
      </c>
      <c r="D1198" s="575" t="s">
        <v>3717</v>
      </c>
      <c r="E1198" s="178" t="s">
        <v>266</v>
      </c>
      <c r="F1198" s="210" t="s">
        <v>3718</v>
      </c>
      <c r="G1198" s="58" t="s">
        <v>3719</v>
      </c>
      <c r="H1198" s="546">
        <v>60600</v>
      </c>
      <c r="I1198" s="66">
        <v>44804</v>
      </c>
      <c r="J1198" s="411" t="s">
        <v>3720</v>
      </c>
      <c r="K1198" s="58"/>
      <c r="L1198" s="99"/>
      <c r="M1198" s="70" t="s">
        <v>3650</v>
      </c>
      <c r="N1198" s="97" t="s">
        <v>270</v>
      </c>
      <c r="O1198" s="58"/>
      <c r="P1198" s="58" t="s">
        <v>44</v>
      </c>
      <c r="Q1198" s="58" t="s">
        <v>47</v>
      </c>
      <c r="R1198" s="58" t="s">
        <v>272</v>
      </c>
    </row>
    <row r="1199" spans="1:18" ht="69" customHeight="1">
      <c r="A1199" s="168"/>
      <c r="B1199" s="191">
        <v>6464</v>
      </c>
      <c r="C1199" s="191" t="s">
        <v>3647</v>
      </c>
      <c r="D1199" s="533" t="s">
        <v>1758</v>
      </c>
      <c r="E1199" s="191" t="s">
        <v>3721</v>
      </c>
      <c r="F1199" s="211" t="s">
        <v>3722</v>
      </c>
      <c r="G1199" s="46" t="s">
        <v>3723</v>
      </c>
      <c r="H1199" s="534">
        <v>7674</v>
      </c>
      <c r="I1199" s="56">
        <v>44804</v>
      </c>
      <c r="J1199" s="412" t="s">
        <v>3724</v>
      </c>
      <c r="K1199" s="46" t="s">
        <v>167</v>
      </c>
      <c r="L1199" s="99"/>
      <c r="M1199" s="379"/>
      <c r="N1199" s="76" t="s">
        <v>414</v>
      </c>
      <c r="O1199" s="46"/>
      <c r="P1199" s="46" t="s">
        <v>65</v>
      </c>
      <c r="Q1199" s="46" t="s">
        <v>47</v>
      </c>
      <c r="R1199" s="46" t="s">
        <v>272</v>
      </c>
    </row>
    <row r="1200" spans="1:18" ht="69" customHeight="1">
      <c r="A1200" s="168"/>
      <c r="B1200" s="178">
        <v>6465</v>
      </c>
      <c r="C1200" s="178" t="s">
        <v>3647</v>
      </c>
      <c r="D1200" s="575" t="s">
        <v>3725</v>
      </c>
      <c r="E1200" s="178" t="s">
        <v>3721</v>
      </c>
      <c r="F1200" s="210" t="s">
        <v>3726</v>
      </c>
      <c r="G1200" s="58" t="s">
        <v>3723</v>
      </c>
      <c r="H1200" s="546">
        <v>11447</v>
      </c>
      <c r="I1200" s="66">
        <v>44804</v>
      </c>
      <c r="J1200" s="411" t="s">
        <v>3724</v>
      </c>
      <c r="K1200" s="58"/>
      <c r="L1200" s="99"/>
      <c r="M1200" s="70" t="s">
        <v>3727</v>
      </c>
      <c r="N1200" s="97" t="s">
        <v>414</v>
      </c>
      <c r="O1200" s="58"/>
      <c r="P1200" s="58" t="s">
        <v>22</v>
      </c>
      <c r="Q1200" s="58" t="s">
        <v>47</v>
      </c>
      <c r="R1200" s="58" t="s">
        <v>265</v>
      </c>
    </row>
    <row r="1201" spans="1:18" ht="69" customHeight="1">
      <c r="A1201" s="168"/>
      <c r="B1201" s="178">
        <v>6466</v>
      </c>
      <c r="C1201" s="178" t="s">
        <v>3647</v>
      </c>
      <c r="D1201" s="575" t="s">
        <v>2070</v>
      </c>
      <c r="E1201" s="178" t="s">
        <v>3721</v>
      </c>
      <c r="F1201" s="210" t="s">
        <v>3728</v>
      </c>
      <c r="G1201" s="58" t="s">
        <v>3723</v>
      </c>
      <c r="H1201" s="546">
        <v>135783.09</v>
      </c>
      <c r="I1201" s="66">
        <v>44804</v>
      </c>
      <c r="J1201" s="411" t="s">
        <v>3724</v>
      </c>
      <c r="K1201" s="58"/>
      <c r="L1201" s="99"/>
      <c r="M1201" s="70" t="s">
        <v>3727</v>
      </c>
      <c r="N1201" s="97" t="s">
        <v>414</v>
      </c>
      <c r="O1201" s="58"/>
      <c r="P1201" s="58" t="s">
        <v>22</v>
      </c>
      <c r="Q1201" s="58" t="s">
        <v>47</v>
      </c>
      <c r="R1201" s="58" t="s">
        <v>265</v>
      </c>
    </row>
    <row r="1202" spans="1:18" ht="69" customHeight="1">
      <c r="A1202" s="168"/>
      <c r="B1202" s="178">
        <v>6467</v>
      </c>
      <c r="C1202" s="178" t="s">
        <v>3647</v>
      </c>
      <c r="D1202" s="575" t="s">
        <v>2290</v>
      </c>
      <c r="E1202" s="178" t="s">
        <v>3721</v>
      </c>
      <c r="F1202" s="210" t="s">
        <v>3729</v>
      </c>
      <c r="G1202" s="58" t="s">
        <v>3723</v>
      </c>
      <c r="H1202" s="546">
        <v>7603</v>
      </c>
      <c r="I1202" s="66">
        <v>44804</v>
      </c>
      <c r="J1202" s="411" t="s">
        <v>3724</v>
      </c>
      <c r="K1202" s="58"/>
      <c r="L1202" s="99"/>
      <c r="M1202" s="70" t="s">
        <v>3727</v>
      </c>
      <c r="N1202" s="97" t="s">
        <v>414</v>
      </c>
      <c r="O1202" s="58"/>
      <c r="P1202" s="58" t="s">
        <v>22</v>
      </c>
      <c r="Q1202" s="58" t="s">
        <v>47</v>
      </c>
      <c r="R1202" s="58" t="s">
        <v>265</v>
      </c>
    </row>
    <row r="1203" spans="1:18" ht="69" customHeight="1">
      <c r="A1203" s="168"/>
      <c r="B1203" s="178">
        <v>6468</v>
      </c>
      <c r="C1203" s="178" t="s">
        <v>3647</v>
      </c>
      <c r="D1203" s="575" t="s">
        <v>3011</v>
      </c>
      <c r="E1203" s="178" t="s">
        <v>3721</v>
      </c>
      <c r="F1203" s="210" t="s">
        <v>3730</v>
      </c>
      <c r="G1203" s="58" t="s">
        <v>3723</v>
      </c>
      <c r="H1203" s="546">
        <v>27792.14</v>
      </c>
      <c r="I1203" s="66">
        <v>44804</v>
      </c>
      <c r="J1203" s="411" t="s">
        <v>3724</v>
      </c>
      <c r="K1203" s="58"/>
      <c r="L1203" s="99"/>
      <c r="M1203" s="70" t="s">
        <v>3727</v>
      </c>
      <c r="N1203" s="97" t="s">
        <v>414</v>
      </c>
      <c r="O1203" s="58"/>
      <c r="P1203" s="58" t="s">
        <v>22</v>
      </c>
      <c r="Q1203" s="58" t="s">
        <v>47</v>
      </c>
      <c r="R1203" s="58" t="s">
        <v>265</v>
      </c>
    </row>
    <row r="1204" spans="1:18" ht="69" customHeight="1">
      <c r="A1204" s="168"/>
      <c r="B1204" s="178">
        <v>6371</v>
      </c>
      <c r="C1204" s="178" t="s">
        <v>3647</v>
      </c>
      <c r="D1204" s="575" t="s">
        <v>1588</v>
      </c>
      <c r="E1204" s="178" t="s">
        <v>3721</v>
      </c>
      <c r="F1204" s="210" t="s">
        <v>3731</v>
      </c>
      <c r="G1204" s="58" t="s">
        <v>2828</v>
      </c>
      <c r="H1204" s="546">
        <v>23497.9</v>
      </c>
      <c r="I1204" s="66">
        <v>44804</v>
      </c>
      <c r="J1204" s="411" t="s">
        <v>3724</v>
      </c>
      <c r="K1204" s="58"/>
      <c r="L1204" s="99"/>
      <c r="M1204" s="70" t="s">
        <v>3727</v>
      </c>
      <c r="N1204" s="97" t="s">
        <v>414</v>
      </c>
      <c r="O1204" s="58"/>
      <c r="P1204" s="58" t="s">
        <v>22</v>
      </c>
      <c r="Q1204" s="58" t="s">
        <v>47</v>
      </c>
      <c r="R1204" s="58" t="s">
        <v>265</v>
      </c>
    </row>
    <row r="1205" spans="1:18" ht="69" customHeight="1">
      <c r="A1205" s="168"/>
      <c r="B1205" s="178">
        <v>6529</v>
      </c>
      <c r="C1205" s="178" t="s">
        <v>3647</v>
      </c>
      <c r="D1205" s="575" t="s">
        <v>3732</v>
      </c>
      <c r="E1205" s="178" t="s">
        <v>3721</v>
      </c>
      <c r="F1205" s="210" t="s">
        <v>3733</v>
      </c>
      <c r="G1205" s="58" t="s">
        <v>3723</v>
      </c>
      <c r="H1205" s="546">
        <v>53600</v>
      </c>
      <c r="I1205" s="66">
        <v>44804</v>
      </c>
      <c r="J1205" s="411" t="s">
        <v>3734</v>
      </c>
      <c r="K1205" s="58"/>
      <c r="L1205" s="99"/>
      <c r="M1205" s="70" t="s">
        <v>3727</v>
      </c>
      <c r="N1205" s="97" t="s">
        <v>414</v>
      </c>
      <c r="O1205" s="58"/>
      <c r="P1205" s="58" t="s">
        <v>22</v>
      </c>
      <c r="Q1205" s="58" t="s">
        <v>47</v>
      </c>
      <c r="R1205" s="58" t="s">
        <v>265</v>
      </c>
    </row>
    <row r="1206" spans="1:18" ht="69" customHeight="1">
      <c r="A1206" s="168"/>
      <c r="B1206" s="178">
        <v>6530</v>
      </c>
      <c r="C1206" s="178" t="s">
        <v>3647</v>
      </c>
      <c r="D1206" s="575" t="s">
        <v>3735</v>
      </c>
      <c r="E1206" s="178" t="s">
        <v>3721</v>
      </c>
      <c r="F1206" s="210" t="s">
        <v>3736</v>
      </c>
      <c r="G1206" s="58" t="s">
        <v>3723</v>
      </c>
      <c r="H1206" s="546">
        <v>15574.86</v>
      </c>
      <c r="I1206" s="66">
        <v>44804</v>
      </c>
      <c r="J1206" s="411" t="s">
        <v>3734</v>
      </c>
      <c r="K1206" s="58"/>
      <c r="L1206" s="99"/>
      <c r="M1206" s="70" t="s">
        <v>3727</v>
      </c>
      <c r="N1206" s="97" t="s">
        <v>414</v>
      </c>
      <c r="O1206" s="58"/>
      <c r="P1206" s="58" t="s">
        <v>22</v>
      </c>
      <c r="Q1206" s="58" t="s">
        <v>47</v>
      </c>
      <c r="R1206" s="58" t="s">
        <v>265</v>
      </c>
    </row>
    <row r="1207" spans="1:18" ht="69" customHeight="1">
      <c r="A1207" s="168"/>
      <c r="B1207" s="191">
        <v>6531</v>
      </c>
      <c r="C1207" s="191" t="s">
        <v>3647</v>
      </c>
      <c r="D1207" s="533" t="s">
        <v>3737</v>
      </c>
      <c r="E1207" s="191" t="s">
        <v>3721</v>
      </c>
      <c r="F1207" s="211" t="s">
        <v>3738</v>
      </c>
      <c r="G1207" s="46" t="s">
        <v>3723</v>
      </c>
      <c r="H1207" s="534">
        <v>17697.62</v>
      </c>
      <c r="I1207" s="56">
        <v>44804</v>
      </c>
      <c r="J1207" s="412" t="s">
        <v>3734</v>
      </c>
      <c r="K1207" s="46" t="s">
        <v>167</v>
      </c>
      <c r="L1207" s="99"/>
      <c r="M1207" s="379"/>
      <c r="N1207" s="76" t="s">
        <v>414</v>
      </c>
      <c r="O1207" s="46"/>
      <c r="P1207" s="46" t="s">
        <v>65</v>
      </c>
      <c r="Q1207" s="46" t="s">
        <v>47</v>
      </c>
      <c r="R1207" s="46" t="s">
        <v>272</v>
      </c>
    </row>
    <row r="1208" spans="1:18" ht="69" customHeight="1">
      <c r="A1208" s="168"/>
      <c r="B1208" s="178">
        <v>6655</v>
      </c>
      <c r="C1208" s="178" t="s">
        <v>3647</v>
      </c>
      <c r="D1208" s="575" t="s">
        <v>3739</v>
      </c>
      <c r="E1208" s="178" t="s">
        <v>266</v>
      </c>
      <c r="F1208" s="210" t="s">
        <v>3740</v>
      </c>
      <c r="G1208" s="58" t="s">
        <v>1107</v>
      </c>
      <c r="H1208" s="546">
        <v>7293.34</v>
      </c>
      <c r="I1208" s="66">
        <v>44820</v>
      </c>
      <c r="J1208" s="411" t="s">
        <v>3741</v>
      </c>
      <c r="K1208" s="58"/>
      <c r="L1208" s="99"/>
      <c r="M1208" s="70" t="s">
        <v>3662</v>
      </c>
      <c r="N1208" s="97" t="s">
        <v>970</v>
      </c>
      <c r="O1208" s="58" t="s">
        <v>971</v>
      </c>
      <c r="P1208" s="58" t="s">
        <v>38</v>
      </c>
      <c r="Q1208" s="58" t="s">
        <v>47</v>
      </c>
      <c r="R1208" s="58" t="s">
        <v>272</v>
      </c>
    </row>
    <row r="1209" spans="1:18" ht="69" customHeight="1">
      <c r="A1209" s="168"/>
      <c r="B1209" s="178">
        <v>6120</v>
      </c>
      <c r="C1209" s="178" t="s">
        <v>3647</v>
      </c>
      <c r="D1209" s="575" t="s">
        <v>3742</v>
      </c>
      <c r="E1209" s="178" t="s">
        <v>3721</v>
      </c>
      <c r="F1209" s="210" t="s">
        <v>3743</v>
      </c>
      <c r="G1209" s="58" t="s">
        <v>3744</v>
      </c>
      <c r="H1209" s="546">
        <v>17000</v>
      </c>
      <c r="I1209" s="66">
        <v>44825</v>
      </c>
      <c r="J1209" s="411" t="s">
        <v>3745</v>
      </c>
      <c r="K1209" s="58"/>
      <c r="L1209" s="99"/>
      <c r="M1209" s="70" t="s">
        <v>3727</v>
      </c>
      <c r="N1209" s="97" t="s">
        <v>414</v>
      </c>
      <c r="O1209" s="58"/>
      <c r="P1209" s="58" t="s">
        <v>22</v>
      </c>
      <c r="Q1209" s="58" t="s">
        <v>47</v>
      </c>
      <c r="R1209" s="58" t="s">
        <v>265</v>
      </c>
    </row>
    <row r="1210" spans="1:18" ht="69" customHeight="1">
      <c r="A1210" s="168"/>
      <c r="B1210" s="178">
        <v>6730</v>
      </c>
      <c r="C1210" s="178" t="s">
        <v>3647</v>
      </c>
      <c r="D1210" s="575" t="s">
        <v>2564</v>
      </c>
      <c r="E1210" s="178" t="s">
        <v>741</v>
      </c>
      <c r="F1210" s="210" t="s">
        <v>3746</v>
      </c>
      <c r="G1210" s="58" t="s">
        <v>3747</v>
      </c>
      <c r="H1210" s="546">
        <v>4250</v>
      </c>
      <c r="I1210" s="66">
        <v>44827</v>
      </c>
      <c r="J1210" s="411" t="s">
        <v>3748</v>
      </c>
      <c r="K1210" s="58"/>
      <c r="L1210" s="99"/>
      <c r="M1210" s="70" t="s">
        <v>3749</v>
      </c>
      <c r="N1210" s="97" t="s">
        <v>741</v>
      </c>
      <c r="O1210" s="58"/>
      <c r="P1210" s="58" t="s">
        <v>44</v>
      </c>
      <c r="Q1210" s="58" t="s">
        <v>47</v>
      </c>
      <c r="R1210" s="58" t="s">
        <v>272</v>
      </c>
    </row>
    <row r="1211" spans="1:18" ht="69" customHeight="1">
      <c r="A1211" s="168"/>
      <c r="B1211" s="178">
        <v>6735</v>
      </c>
      <c r="C1211" s="178" t="s">
        <v>3647</v>
      </c>
      <c r="D1211" s="575" t="s">
        <v>1055</v>
      </c>
      <c r="E1211" s="178" t="s">
        <v>3721</v>
      </c>
      <c r="F1211" s="210" t="s">
        <v>3750</v>
      </c>
      <c r="G1211" s="58" t="s">
        <v>1048</v>
      </c>
      <c r="H1211" s="546">
        <v>38149.599999999999</v>
      </c>
      <c r="I1211" s="66">
        <v>44827</v>
      </c>
      <c r="J1211" s="411" t="s">
        <v>3751</v>
      </c>
      <c r="K1211" s="58"/>
      <c r="L1211" s="99"/>
      <c r="M1211" s="70" t="s">
        <v>3727</v>
      </c>
      <c r="N1211" s="97" t="s">
        <v>414</v>
      </c>
      <c r="O1211" s="58"/>
      <c r="P1211" s="58" t="s">
        <v>22</v>
      </c>
      <c r="Q1211" s="58" t="s">
        <v>47</v>
      </c>
      <c r="R1211" s="58" t="s">
        <v>265</v>
      </c>
    </row>
    <row r="1212" spans="1:18" ht="69" customHeight="1">
      <c r="A1212" s="168"/>
      <c r="B1212" s="178">
        <v>6774</v>
      </c>
      <c r="C1212" s="178" t="s">
        <v>3647</v>
      </c>
      <c r="D1212" s="575" t="s">
        <v>3752</v>
      </c>
      <c r="E1212" s="178" t="s">
        <v>3721</v>
      </c>
      <c r="F1212" s="210" t="s">
        <v>3753</v>
      </c>
      <c r="G1212" s="58" t="s">
        <v>1048</v>
      </c>
      <c r="H1212" s="546">
        <v>21000</v>
      </c>
      <c r="I1212" s="66">
        <v>44834</v>
      </c>
      <c r="J1212" s="411" t="s">
        <v>3754</v>
      </c>
      <c r="K1212" s="58"/>
      <c r="L1212" s="99"/>
      <c r="M1212" s="70" t="s">
        <v>3727</v>
      </c>
      <c r="N1212" s="97" t="s">
        <v>414</v>
      </c>
      <c r="O1212" s="58"/>
      <c r="P1212" s="58" t="s">
        <v>22</v>
      </c>
      <c r="Q1212" s="58" t="s">
        <v>47</v>
      </c>
      <c r="R1212" s="58" t="s">
        <v>265</v>
      </c>
    </row>
    <row r="1213" spans="1:18" ht="69" customHeight="1">
      <c r="A1213" s="168"/>
      <c r="B1213" s="178">
        <v>6775</v>
      </c>
      <c r="C1213" s="178" t="s">
        <v>3647</v>
      </c>
      <c r="D1213" s="575" t="s">
        <v>3755</v>
      </c>
      <c r="E1213" s="178" t="s">
        <v>3721</v>
      </c>
      <c r="F1213" s="210" t="s">
        <v>3756</v>
      </c>
      <c r="G1213" s="58" t="s">
        <v>1048</v>
      </c>
      <c r="H1213" s="546">
        <v>3822.06</v>
      </c>
      <c r="I1213" s="66">
        <v>44840</v>
      </c>
      <c r="J1213" s="411" t="s">
        <v>3757</v>
      </c>
      <c r="K1213" s="58"/>
      <c r="L1213" s="99"/>
      <c r="M1213" s="70" t="s">
        <v>3727</v>
      </c>
      <c r="N1213" s="97" t="s">
        <v>414</v>
      </c>
      <c r="O1213" s="58"/>
      <c r="P1213" s="58" t="s">
        <v>22</v>
      </c>
      <c r="Q1213" s="58" t="s">
        <v>47</v>
      </c>
      <c r="R1213" s="58" t="s">
        <v>265</v>
      </c>
    </row>
    <row r="1214" spans="1:18" ht="69" customHeight="1">
      <c r="A1214" s="168"/>
      <c r="B1214" s="178">
        <v>6776</v>
      </c>
      <c r="C1214" s="178" t="s">
        <v>3647</v>
      </c>
      <c r="D1214" s="575" t="s">
        <v>3758</v>
      </c>
      <c r="E1214" s="178" t="s">
        <v>3721</v>
      </c>
      <c r="F1214" s="210" t="s">
        <v>3759</v>
      </c>
      <c r="G1214" s="58" t="s">
        <v>1048</v>
      </c>
      <c r="H1214" s="546">
        <v>17000</v>
      </c>
      <c r="I1214" s="66">
        <v>44834</v>
      </c>
      <c r="J1214" s="411" t="s">
        <v>3760</v>
      </c>
      <c r="K1214" s="58"/>
      <c r="L1214" s="99"/>
      <c r="M1214" s="70" t="s">
        <v>3727</v>
      </c>
      <c r="N1214" s="97" t="s">
        <v>414</v>
      </c>
      <c r="O1214" s="58"/>
      <c r="P1214" s="58" t="s">
        <v>22</v>
      </c>
      <c r="Q1214" s="58" t="s">
        <v>47</v>
      </c>
      <c r="R1214" s="58" t="s">
        <v>265</v>
      </c>
    </row>
    <row r="1215" spans="1:18" ht="69" customHeight="1">
      <c r="A1215" s="168"/>
      <c r="B1215" s="178">
        <v>6971</v>
      </c>
      <c r="C1215" s="178" t="s">
        <v>3647</v>
      </c>
      <c r="D1215" s="575" t="s">
        <v>1097</v>
      </c>
      <c r="E1215" s="178" t="s">
        <v>3721</v>
      </c>
      <c r="F1215" s="210" t="s">
        <v>3761</v>
      </c>
      <c r="G1215" s="58" t="s">
        <v>3762</v>
      </c>
      <c r="H1215" s="546">
        <v>5100</v>
      </c>
      <c r="I1215" s="66">
        <v>44846</v>
      </c>
      <c r="J1215" s="411" t="s">
        <v>3763</v>
      </c>
      <c r="K1215" s="58"/>
      <c r="L1215" s="99"/>
      <c r="M1215" s="70" t="s">
        <v>3727</v>
      </c>
      <c r="N1215" s="97" t="s">
        <v>414</v>
      </c>
      <c r="O1215" s="58"/>
      <c r="P1215" s="58" t="s">
        <v>22</v>
      </c>
      <c r="Q1215" s="58" t="s">
        <v>47</v>
      </c>
      <c r="R1215" s="58" t="s">
        <v>265</v>
      </c>
    </row>
    <row r="1216" spans="1:18" ht="69" customHeight="1">
      <c r="A1216" s="168"/>
      <c r="B1216" s="178">
        <v>6973</v>
      </c>
      <c r="C1216" s="178" t="s">
        <v>3647</v>
      </c>
      <c r="D1216" s="575" t="s">
        <v>3764</v>
      </c>
      <c r="E1216" s="178" t="s">
        <v>3721</v>
      </c>
      <c r="F1216" s="210" t="s">
        <v>3765</v>
      </c>
      <c r="G1216" s="58" t="s">
        <v>3762</v>
      </c>
      <c r="H1216" s="546">
        <v>9250</v>
      </c>
      <c r="I1216" s="66">
        <v>44868</v>
      </c>
      <c r="J1216" s="411" t="s">
        <v>3766</v>
      </c>
      <c r="K1216" s="58"/>
      <c r="L1216" s="99"/>
      <c r="M1216" s="70" t="s">
        <v>3727</v>
      </c>
      <c r="N1216" s="97" t="s">
        <v>414</v>
      </c>
      <c r="O1216" s="58"/>
      <c r="P1216" s="58" t="s">
        <v>22</v>
      </c>
      <c r="Q1216" s="58" t="s">
        <v>47</v>
      </c>
      <c r="R1216" s="58" t="s">
        <v>265</v>
      </c>
    </row>
    <row r="1217" spans="1:18" ht="69" customHeight="1">
      <c r="A1217" s="168"/>
      <c r="B1217" s="178">
        <v>6993</v>
      </c>
      <c r="C1217" s="178" t="s">
        <v>3647</v>
      </c>
      <c r="D1217" s="575" t="s">
        <v>3767</v>
      </c>
      <c r="E1217" s="178" t="s">
        <v>3721</v>
      </c>
      <c r="F1217" s="210" t="s">
        <v>3768</v>
      </c>
      <c r="G1217" s="58" t="s">
        <v>3769</v>
      </c>
      <c r="H1217" s="546">
        <v>12000</v>
      </c>
      <c r="I1217" s="66">
        <v>44860</v>
      </c>
      <c r="J1217" s="411" t="s">
        <v>3770</v>
      </c>
      <c r="K1217" s="58"/>
      <c r="L1217" s="99"/>
      <c r="M1217" s="70" t="s">
        <v>3727</v>
      </c>
      <c r="N1217" s="97" t="s">
        <v>414</v>
      </c>
      <c r="O1217" s="58"/>
      <c r="P1217" s="58" t="s">
        <v>22</v>
      </c>
      <c r="Q1217" s="58" t="s">
        <v>47</v>
      </c>
      <c r="R1217" s="58" t="s">
        <v>265</v>
      </c>
    </row>
    <row r="1218" spans="1:18" ht="69" customHeight="1">
      <c r="A1218" s="168"/>
      <c r="B1218" s="178">
        <v>7270</v>
      </c>
      <c r="C1218" s="178" t="s">
        <v>3647</v>
      </c>
      <c r="D1218" s="575" t="s">
        <v>2552</v>
      </c>
      <c r="E1218" s="178" t="s">
        <v>3721</v>
      </c>
      <c r="F1218" s="210" t="s">
        <v>3771</v>
      </c>
      <c r="G1218" s="58" t="s">
        <v>3772</v>
      </c>
      <c r="H1218" s="546">
        <v>12000</v>
      </c>
      <c r="I1218" s="66">
        <v>44862</v>
      </c>
      <c r="J1218" s="411" t="s">
        <v>3773</v>
      </c>
      <c r="K1218" s="58"/>
      <c r="L1218" s="99"/>
      <c r="M1218" s="70" t="s">
        <v>3727</v>
      </c>
      <c r="N1218" s="97" t="s">
        <v>414</v>
      </c>
      <c r="O1218" s="58"/>
      <c r="P1218" s="58" t="s">
        <v>22</v>
      </c>
      <c r="Q1218" s="58" t="s">
        <v>47</v>
      </c>
      <c r="R1218" s="58" t="s">
        <v>265</v>
      </c>
    </row>
    <row r="1219" spans="1:18" ht="69" customHeight="1">
      <c r="A1219" s="168"/>
      <c r="B1219" s="178">
        <v>6877</v>
      </c>
      <c r="C1219" s="178" t="s">
        <v>3647</v>
      </c>
      <c r="D1219" s="575" t="s">
        <v>1599</v>
      </c>
      <c r="E1219" s="178" t="s">
        <v>3721</v>
      </c>
      <c r="F1219" s="210" t="s">
        <v>3774</v>
      </c>
      <c r="G1219" s="58" t="s">
        <v>1048</v>
      </c>
      <c r="H1219" s="546">
        <v>43360</v>
      </c>
      <c r="I1219" s="66">
        <v>44834</v>
      </c>
      <c r="J1219" s="411" t="s">
        <v>3775</v>
      </c>
      <c r="K1219" s="58"/>
      <c r="L1219" s="99"/>
      <c r="M1219" s="70" t="s">
        <v>3727</v>
      </c>
      <c r="N1219" s="97" t="s">
        <v>414</v>
      </c>
      <c r="O1219" s="58"/>
      <c r="P1219" s="58" t="s">
        <v>22</v>
      </c>
      <c r="Q1219" s="58" t="s">
        <v>47</v>
      </c>
      <c r="R1219" s="58" t="s">
        <v>265</v>
      </c>
    </row>
    <row r="1220" spans="1:18" ht="69" customHeight="1">
      <c r="A1220" s="168"/>
      <c r="B1220" s="178">
        <v>6879</v>
      </c>
      <c r="C1220" s="178" t="s">
        <v>3647</v>
      </c>
      <c r="D1220" s="575" t="s">
        <v>3776</v>
      </c>
      <c r="E1220" s="178" t="s">
        <v>3721</v>
      </c>
      <c r="F1220" s="210" t="s">
        <v>3777</v>
      </c>
      <c r="G1220" s="58" t="s">
        <v>1048</v>
      </c>
      <c r="H1220" s="546">
        <v>49772.1</v>
      </c>
      <c r="I1220" s="66">
        <v>44834</v>
      </c>
      <c r="J1220" s="411" t="s">
        <v>3775</v>
      </c>
      <c r="K1220" s="58"/>
      <c r="L1220" s="99"/>
      <c r="M1220" s="70" t="s">
        <v>3727</v>
      </c>
      <c r="N1220" s="97" t="s">
        <v>414</v>
      </c>
      <c r="O1220" s="58"/>
      <c r="P1220" s="58" t="s">
        <v>22</v>
      </c>
      <c r="Q1220" s="58" t="s">
        <v>47</v>
      </c>
      <c r="R1220" s="58" t="s">
        <v>265</v>
      </c>
    </row>
    <row r="1221" spans="1:18" ht="69" customHeight="1">
      <c r="A1221" s="168"/>
      <c r="B1221" s="178">
        <v>6880</v>
      </c>
      <c r="C1221" s="178" t="s">
        <v>3647</v>
      </c>
      <c r="D1221" s="575" t="s">
        <v>3778</v>
      </c>
      <c r="E1221" s="178" t="s">
        <v>3721</v>
      </c>
      <c r="F1221" s="210" t="s">
        <v>3779</v>
      </c>
      <c r="G1221" s="58" t="s">
        <v>3780</v>
      </c>
      <c r="H1221" s="546">
        <v>22400</v>
      </c>
      <c r="I1221" s="66">
        <v>44838</v>
      </c>
      <c r="J1221" s="411" t="s">
        <v>3781</v>
      </c>
      <c r="K1221" s="58"/>
      <c r="L1221" s="99"/>
      <c r="M1221" s="70" t="s">
        <v>3727</v>
      </c>
      <c r="N1221" s="97" t="s">
        <v>414</v>
      </c>
      <c r="O1221" s="58"/>
      <c r="P1221" s="58" t="s">
        <v>22</v>
      </c>
      <c r="Q1221" s="58" t="s">
        <v>47</v>
      </c>
      <c r="R1221" s="58" t="s">
        <v>265</v>
      </c>
    </row>
    <row r="1222" spans="1:18" ht="69" customHeight="1">
      <c r="A1222" s="168"/>
      <c r="B1222" s="178">
        <v>6881</v>
      </c>
      <c r="C1222" s="178" t="s">
        <v>3647</v>
      </c>
      <c r="D1222" s="575" t="s">
        <v>3782</v>
      </c>
      <c r="E1222" s="178" t="s">
        <v>3721</v>
      </c>
      <c r="F1222" s="210" t="s">
        <v>3783</v>
      </c>
      <c r="G1222" s="58" t="s">
        <v>1048</v>
      </c>
      <c r="H1222" s="546">
        <v>22438.48</v>
      </c>
      <c r="I1222" s="66">
        <v>44844</v>
      </c>
      <c r="J1222" s="411" t="s">
        <v>3781</v>
      </c>
      <c r="K1222" s="58"/>
      <c r="L1222" s="99"/>
      <c r="M1222" s="70" t="s">
        <v>3727</v>
      </c>
      <c r="N1222" s="97" t="s">
        <v>414</v>
      </c>
      <c r="O1222" s="58"/>
      <c r="P1222" s="58" t="s">
        <v>22</v>
      </c>
      <c r="Q1222" s="58" t="s">
        <v>47</v>
      </c>
      <c r="R1222" s="58" t="s">
        <v>265</v>
      </c>
    </row>
    <row r="1223" spans="1:18" ht="69" customHeight="1">
      <c r="A1223" s="168"/>
      <c r="B1223" s="178">
        <v>6882</v>
      </c>
      <c r="C1223" s="178" t="s">
        <v>3647</v>
      </c>
      <c r="D1223" s="575" t="s">
        <v>3784</v>
      </c>
      <c r="E1223" s="178" t="s">
        <v>3721</v>
      </c>
      <c r="F1223" s="210" t="s">
        <v>3785</v>
      </c>
      <c r="G1223" s="58" t="s">
        <v>3780</v>
      </c>
      <c r="H1223" s="546">
        <v>5365.25</v>
      </c>
      <c r="I1223" s="66">
        <v>44838</v>
      </c>
      <c r="J1223" s="411" t="s">
        <v>3781</v>
      </c>
      <c r="K1223" s="58"/>
      <c r="L1223" s="99"/>
      <c r="M1223" s="70" t="s">
        <v>3727</v>
      </c>
      <c r="N1223" s="97" t="s">
        <v>414</v>
      </c>
      <c r="O1223" s="58"/>
      <c r="P1223" s="58" t="s">
        <v>22</v>
      </c>
      <c r="Q1223" s="58" t="s">
        <v>47</v>
      </c>
      <c r="R1223" s="58" t="s">
        <v>265</v>
      </c>
    </row>
    <row r="1224" spans="1:18" ht="69" customHeight="1">
      <c r="A1224" s="168"/>
      <c r="B1224" s="178">
        <v>6990</v>
      </c>
      <c r="C1224" s="178" t="s">
        <v>458</v>
      </c>
      <c r="D1224" s="575" t="s">
        <v>788</v>
      </c>
      <c r="E1224" s="178" t="s">
        <v>350</v>
      </c>
      <c r="F1224" s="210" t="s">
        <v>3786</v>
      </c>
      <c r="G1224" s="58" t="s">
        <v>3787</v>
      </c>
      <c r="H1224" s="546">
        <v>11220</v>
      </c>
      <c r="I1224" s="66">
        <v>44846</v>
      </c>
      <c r="J1224" s="411" t="s">
        <v>3788</v>
      </c>
      <c r="K1224" s="58"/>
      <c r="L1224" s="99"/>
      <c r="M1224" s="70" t="s">
        <v>3789</v>
      </c>
      <c r="N1224" s="97" t="s">
        <v>356</v>
      </c>
      <c r="O1224" s="58" t="s">
        <v>141</v>
      </c>
      <c r="P1224" s="58" t="s">
        <v>19</v>
      </c>
      <c r="Q1224" s="58" t="s">
        <v>114</v>
      </c>
      <c r="R1224" s="58" t="s">
        <v>265</v>
      </c>
    </row>
    <row r="1225" spans="1:18" ht="69" customHeight="1">
      <c r="A1225" s="168"/>
      <c r="B1225" s="178">
        <v>7005</v>
      </c>
      <c r="C1225" s="178" t="s">
        <v>3647</v>
      </c>
      <c r="D1225" s="575" t="s">
        <v>2547</v>
      </c>
      <c r="E1225" s="178" t="s">
        <v>3721</v>
      </c>
      <c r="F1225" s="210" t="s">
        <v>3790</v>
      </c>
      <c r="G1225" s="58" t="s">
        <v>1048</v>
      </c>
      <c r="H1225" s="546">
        <v>20000</v>
      </c>
      <c r="I1225" s="66">
        <v>44853</v>
      </c>
      <c r="J1225" s="411" t="s">
        <v>3770</v>
      </c>
      <c r="K1225" s="58"/>
      <c r="L1225" s="99"/>
      <c r="M1225" s="70" t="s">
        <v>3727</v>
      </c>
      <c r="N1225" s="97" t="s">
        <v>414</v>
      </c>
      <c r="O1225" s="58"/>
      <c r="P1225" s="58" t="s">
        <v>22</v>
      </c>
      <c r="Q1225" s="58" t="s">
        <v>47</v>
      </c>
      <c r="R1225" s="58" t="s">
        <v>265</v>
      </c>
    </row>
    <row r="1226" spans="1:18" ht="69" customHeight="1">
      <c r="A1226" s="168"/>
      <c r="B1226" s="178">
        <v>7096</v>
      </c>
      <c r="C1226" s="178" t="s">
        <v>3647</v>
      </c>
      <c r="D1226" s="575" t="s">
        <v>3791</v>
      </c>
      <c r="E1226" s="178" t="s">
        <v>3721</v>
      </c>
      <c r="F1226" s="210" t="s">
        <v>3792</v>
      </c>
      <c r="G1226" s="58" t="s">
        <v>1180</v>
      </c>
      <c r="H1226" s="546">
        <v>20000</v>
      </c>
      <c r="I1226" s="66">
        <v>44855</v>
      </c>
      <c r="J1226" s="411" t="s">
        <v>3793</v>
      </c>
      <c r="K1226" s="58"/>
      <c r="L1226" s="99"/>
      <c r="M1226" s="70" t="s">
        <v>3727</v>
      </c>
      <c r="N1226" s="97" t="s">
        <v>414</v>
      </c>
      <c r="O1226" s="58"/>
      <c r="P1226" s="58" t="s">
        <v>22</v>
      </c>
      <c r="Q1226" s="58" t="s">
        <v>47</v>
      </c>
      <c r="R1226" s="58" t="s">
        <v>265</v>
      </c>
    </row>
    <row r="1227" spans="1:18" ht="69" customHeight="1">
      <c r="A1227" s="168"/>
      <c r="B1227" s="178">
        <v>7368</v>
      </c>
      <c r="C1227" s="178" t="s">
        <v>3647</v>
      </c>
      <c r="D1227" s="575" t="s">
        <v>3267</v>
      </c>
      <c r="E1227" s="178" t="s">
        <v>3721</v>
      </c>
      <c r="F1227" s="210" t="s">
        <v>3794</v>
      </c>
      <c r="G1227" s="58" t="s">
        <v>2320</v>
      </c>
      <c r="H1227" s="546">
        <v>20000</v>
      </c>
      <c r="I1227" s="66">
        <v>44874</v>
      </c>
      <c r="J1227" s="411" t="s">
        <v>3795</v>
      </c>
      <c r="K1227" s="58"/>
      <c r="L1227" s="99"/>
      <c r="M1227" s="70" t="s">
        <v>3727</v>
      </c>
      <c r="N1227" s="97" t="s">
        <v>414</v>
      </c>
      <c r="O1227" s="58"/>
      <c r="P1227" s="58" t="s">
        <v>22</v>
      </c>
      <c r="Q1227" s="58" t="s">
        <v>47</v>
      </c>
      <c r="R1227" s="58" t="s">
        <v>265</v>
      </c>
    </row>
    <row r="1228" spans="1:18" ht="69" customHeight="1">
      <c r="A1228" s="168"/>
      <c r="B1228" s="178">
        <v>7097</v>
      </c>
      <c r="C1228" s="178" t="s">
        <v>3647</v>
      </c>
      <c r="D1228" s="575" t="s">
        <v>3796</v>
      </c>
      <c r="E1228" s="178" t="s">
        <v>3721</v>
      </c>
      <c r="F1228" s="210" t="s">
        <v>3797</v>
      </c>
      <c r="G1228" s="58" t="s">
        <v>3798</v>
      </c>
      <c r="H1228" s="546">
        <v>11128</v>
      </c>
      <c r="I1228" s="66">
        <v>44860</v>
      </c>
      <c r="J1228" s="411" t="s">
        <v>3793</v>
      </c>
      <c r="K1228" s="58"/>
      <c r="L1228" s="99"/>
      <c r="M1228" s="70" t="s">
        <v>3727</v>
      </c>
      <c r="N1228" s="97" t="s">
        <v>414</v>
      </c>
      <c r="O1228" s="58"/>
      <c r="P1228" s="58" t="s">
        <v>22</v>
      </c>
      <c r="Q1228" s="58" t="s">
        <v>47</v>
      </c>
      <c r="R1228" s="58" t="s">
        <v>265</v>
      </c>
    </row>
    <row r="1229" spans="1:18" ht="69" customHeight="1">
      <c r="A1229" s="168"/>
      <c r="B1229" s="178">
        <v>7152</v>
      </c>
      <c r="C1229" s="178" t="s">
        <v>3647</v>
      </c>
      <c r="D1229" s="575" t="s">
        <v>3799</v>
      </c>
      <c r="E1229" s="178" t="s">
        <v>3721</v>
      </c>
      <c r="F1229" s="210" t="s">
        <v>3800</v>
      </c>
      <c r="G1229" s="58" t="s">
        <v>3801</v>
      </c>
      <c r="H1229" s="546">
        <v>5315</v>
      </c>
      <c r="I1229" s="66">
        <v>44858</v>
      </c>
      <c r="J1229" s="411" t="s">
        <v>3802</v>
      </c>
      <c r="K1229" s="58"/>
      <c r="L1229" s="99"/>
      <c r="M1229" s="70" t="s">
        <v>3727</v>
      </c>
      <c r="N1229" s="97" t="s">
        <v>414</v>
      </c>
      <c r="O1229" s="58"/>
      <c r="P1229" s="58" t="s">
        <v>22</v>
      </c>
      <c r="Q1229" s="58" t="s">
        <v>47</v>
      </c>
      <c r="R1229" s="58" t="s">
        <v>265</v>
      </c>
    </row>
    <row r="1230" spans="1:18" ht="69" customHeight="1">
      <c r="A1230" s="168"/>
      <c r="B1230" s="178">
        <v>7150</v>
      </c>
      <c r="C1230" s="178" t="s">
        <v>3647</v>
      </c>
      <c r="D1230" s="575" t="s">
        <v>3803</v>
      </c>
      <c r="E1230" s="178" t="s">
        <v>3721</v>
      </c>
      <c r="F1230" s="210" t="s">
        <v>3804</v>
      </c>
      <c r="G1230" s="58" t="s">
        <v>3801</v>
      </c>
      <c r="H1230" s="546">
        <v>17000</v>
      </c>
      <c r="I1230" s="66">
        <v>44858</v>
      </c>
      <c r="J1230" s="411" t="s">
        <v>3802</v>
      </c>
      <c r="K1230" s="58"/>
      <c r="L1230" s="99"/>
      <c r="M1230" s="70" t="s">
        <v>3727</v>
      </c>
      <c r="N1230" s="97" t="s">
        <v>414</v>
      </c>
      <c r="O1230" s="58"/>
      <c r="P1230" s="58" t="s">
        <v>22</v>
      </c>
      <c r="Q1230" s="58" t="s">
        <v>47</v>
      </c>
      <c r="R1230" s="58" t="s">
        <v>265</v>
      </c>
    </row>
    <row r="1231" spans="1:18" ht="69" customHeight="1">
      <c r="A1231" s="168"/>
      <c r="B1231" s="178">
        <v>7539</v>
      </c>
      <c r="C1231" s="178" t="s">
        <v>3647</v>
      </c>
      <c r="D1231" s="575" t="s">
        <v>1143</v>
      </c>
      <c r="E1231" s="178" t="s">
        <v>3721</v>
      </c>
      <c r="F1231" s="210" t="s">
        <v>3805</v>
      </c>
      <c r="G1231" s="58" t="s">
        <v>3806</v>
      </c>
      <c r="H1231" s="546">
        <v>17000</v>
      </c>
      <c r="I1231" s="66">
        <v>44886</v>
      </c>
      <c r="J1231" s="411" t="s">
        <v>3807</v>
      </c>
      <c r="K1231" s="58"/>
      <c r="L1231" s="99"/>
      <c r="M1231" s="70" t="s">
        <v>3727</v>
      </c>
      <c r="N1231" s="97" t="s">
        <v>414</v>
      </c>
      <c r="O1231" s="58"/>
      <c r="P1231" s="58" t="s">
        <v>22</v>
      </c>
      <c r="Q1231" s="58" t="s">
        <v>47</v>
      </c>
      <c r="R1231" s="58" t="s">
        <v>265</v>
      </c>
    </row>
    <row r="1232" spans="1:18" ht="69" customHeight="1">
      <c r="A1232" s="168"/>
      <c r="B1232" s="178">
        <v>7211</v>
      </c>
      <c r="C1232" s="178" t="s">
        <v>3647</v>
      </c>
      <c r="D1232" s="575" t="s">
        <v>3580</v>
      </c>
      <c r="E1232" s="178" t="s">
        <v>3721</v>
      </c>
      <c r="F1232" s="210" t="s">
        <v>3808</v>
      </c>
      <c r="G1232" s="58" t="s">
        <v>1048</v>
      </c>
      <c r="H1232" s="546">
        <v>14880</v>
      </c>
      <c r="I1232" s="66">
        <v>44862</v>
      </c>
      <c r="J1232" s="411" t="s">
        <v>3809</v>
      </c>
      <c r="K1232" s="58"/>
      <c r="L1232" s="99"/>
      <c r="M1232" s="70" t="s">
        <v>3727</v>
      </c>
      <c r="N1232" s="97" t="s">
        <v>414</v>
      </c>
      <c r="O1232" s="58"/>
      <c r="P1232" s="58" t="s">
        <v>22</v>
      </c>
      <c r="Q1232" s="58" t="s">
        <v>47</v>
      </c>
      <c r="R1232" s="58" t="s">
        <v>265</v>
      </c>
    </row>
    <row r="1233" spans="1:18" ht="69" customHeight="1">
      <c r="A1233" s="168"/>
      <c r="B1233" s="178">
        <v>7212</v>
      </c>
      <c r="C1233" s="178" t="s">
        <v>3647</v>
      </c>
      <c r="D1233" s="575" t="s">
        <v>3810</v>
      </c>
      <c r="E1233" s="178" t="s">
        <v>3721</v>
      </c>
      <c r="F1233" s="210" t="s">
        <v>3811</v>
      </c>
      <c r="G1233" s="58" t="s">
        <v>1048</v>
      </c>
      <c r="H1233" s="546">
        <v>14911</v>
      </c>
      <c r="I1233" s="66">
        <v>44860</v>
      </c>
      <c r="J1233" s="411" t="s">
        <v>3809</v>
      </c>
      <c r="K1233" s="58"/>
      <c r="L1233" s="99"/>
      <c r="M1233" s="70" t="s">
        <v>3727</v>
      </c>
      <c r="N1233" s="97" t="s">
        <v>414</v>
      </c>
      <c r="O1233" s="58"/>
      <c r="P1233" s="58" t="s">
        <v>22</v>
      </c>
      <c r="Q1233" s="58" t="s">
        <v>47</v>
      </c>
      <c r="R1233" s="58" t="s">
        <v>265</v>
      </c>
    </row>
    <row r="1234" spans="1:18" ht="69" customHeight="1">
      <c r="A1234" s="168"/>
      <c r="B1234" s="178">
        <v>7269</v>
      </c>
      <c r="C1234" s="178" t="s">
        <v>3647</v>
      </c>
      <c r="D1234" s="575" t="s">
        <v>1808</v>
      </c>
      <c r="E1234" s="178" t="s">
        <v>3721</v>
      </c>
      <c r="F1234" s="210" t="s">
        <v>3812</v>
      </c>
      <c r="G1234" s="58" t="s">
        <v>3813</v>
      </c>
      <c r="H1234" s="546">
        <v>13000</v>
      </c>
      <c r="I1234" s="66">
        <v>44870</v>
      </c>
      <c r="J1234" s="411" t="s">
        <v>3773</v>
      </c>
      <c r="K1234" s="58"/>
      <c r="L1234" s="99"/>
      <c r="M1234" s="70" t="s">
        <v>3727</v>
      </c>
      <c r="N1234" s="97" t="s">
        <v>414</v>
      </c>
      <c r="O1234" s="58"/>
      <c r="P1234" s="58" t="s">
        <v>22</v>
      </c>
      <c r="Q1234" s="58" t="s">
        <v>47</v>
      </c>
      <c r="R1234" s="58" t="s">
        <v>265</v>
      </c>
    </row>
    <row r="1235" spans="1:18" ht="69" customHeight="1">
      <c r="A1235" s="168"/>
      <c r="B1235" s="178">
        <v>7272</v>
      </c>
      <c r="C1235" s="178" t="s">
        <v>3647</v>
      </c>
      <c r="D1235" s="575" t="s">
        <v>3025</v>
      </c>
      <c r="E1235" s="178" t="s">
        <v>3721</v>
      </c>
      <c r="F1235" s="210" t="s">
        <v>3814</v>
      </c>
      <c r="G1235" s="58" t="s">
        <v>1048</v>
      </c>
      <c r="H1235" s="546">
        <v>3900</v>
      </c>
      <c r="I1235" s="66">
        <v>44862</v>
      </c>
      <c r="J1235" s="411" t="s">
        <v>3773</v>
      </c>
      <c r="K1235" s="58"/>
      <c r="L1235" s="99"/>
      <c r="M1235" s="70" t="s">
        <v>3727</v>
      </c>
      <c r="N1235" s="97" t="s">
        <v>414</v>
      </c>
      <c r="O1235" s="58"/>
      <c r="P1235" s="58" t="s">
        <v>22</v>
      </c>
      <c r="Q1235" s="58" t="s">
        <v>47</v>
      </c>
      <c r="R1235" s="58" t="s">
        <v>265</v>
      </c>
    </row>
    <row r="1236" spans="1:18" ht="69" customHeight="1">
      <c r="A1236" s="168"/>
      <c r="B1236" s="178">
        <v>7369</v>
      </c>
      <c r="C1236" s="178" t="s">
        <v>3647</v>
      </c>
      <c r="D1236" s="575" t="s">
        <v>1371</v>
      </c>
      <c r="E1236" s="178" t="s">
        <v>3721</v>
      </c>
      <c r="F1236" s="210" t="s">
        <v>3815</v>
      </c>
      <c r="G1236" s="58" t="s">
        <v>1048</v>
      </c>
      <c r="H1236" s="546">
        <v>10000.629999999999</v>
      </c>
      <c r="I1236" s="66">
        <v>44874</v>
      </c>
      <c r="J1236" s="411" t="s">
        <v>3795</v>
      </c>
      <c r="K1236" s="58"/>
      <c r="L1236" s="99"/>
      <c r="M1236" s="70" t="s">
        <v>3727</v>
      </c>
      <c r="N1236" s="97" t="s">
        <v>414</v>
      </c>
      <c r="O1236" s="58"/>
      <c r="P1236" s="58" t="s">
        <v>22</v>
      </c>
      <c r="Q1236" s="58" t="s">
        <v>47</v>
      </c>
      <c r="R1236" s="58" t="s">
        <v>265</v>
      </c>
    </row>
    <row r="1237" spans="1:18" ht="69" customHeight="1">
      <c r="A1237" s="168"/>
      <c r="B1237" s="178">
        <v>7500</v>
      </c>
      <c r="C1237" s="178" t="s">
        <v>3647</v>
      </c>
      <c r="D1237" s="575" t="s">
        <v>3816</v>
      </c>
      <c r="E1237" s="178" t="s">
        <v>3721</v>
      </c>
      <c r="F1237" s="210" t="s">
        <v>3817</v>
      </c>
      <c r="G1237" s="58" t="s">
        <v>1048</v>
      </c>
      <c r="H1237" s="546">
        <v>5675</v>
      </c>
      <c r="I1237" s="66">
        <v>44888</v>
      </c>
      <c r="J1237" s="411" t="s">
        <v>3818</v>
      </c>
      <c r="K1237" s="58"/>
      <c r="L1237" s="99"/>
      <c r="M1237" s="70" t="s">
        <v>3727</v>
      </c>
      <c r="N1237" s="97" t="s">
        <v>414</v>
      </c>
      <c r="O1237" s="58"/>
      <c r="P1237" s="58" t="s">
        <v>22</v>
      </c>
      <c r="Q1237" s="58" t="s">
        <v>47</v>
      </c>
      <c r="R1237" s="58" t="s">
        <v>265</v>
      </c>
    </row>
    <row r="1238" spans="1:18" ht="69" customHeight="1">
      <c r="A1238" s="168"/>
      <c r="B1238" s="191">
        <v>7501</v>
      </c>
      <c r="C1238" s="191" t="s">
        <v>3647</v>
      </c>
      <c r="D1238" s="533" t="s">
        <v>3819</v>
      </c>
      <c r="E1238" s="191" t="s">
        <v>3721</v>
      </c>
      <c r="F1238" s="211" t="s">
        <v>3820</v>
      </c>
      <c r="G1238" s="46" t="s">
        <v>3821</v>
      </c>
      <c r="H1238" s="534">
        <v>48000</v>
      </c>
      <c r="I1238" s="56">
        <v>44888</v>
      </c>
      <c r="J1238" s="412" t="s">
        <v>3818</v>
      </c>
      <c r="K1238" s="46" t="s">
        <v>167</v>
      </c>
      <c r="L1238" s="99"/>
      <c r="M1238" s="379"/>
      <c r="N1238" s="76" t="s">
        <v>414</v>
      </c>
      <c r="O1238" s="46"/>
      <c r="P1238" s="46" t="s">
        <v>65</v>
      </c>
      <c r="Q1238" s="46" t="s">
        <v>47</v>
      </c>
      <c r="R1238" s="46" t="s">
        <v>272</v>
      </c>
    </row>
    <row r="1239" spans="1:18" ht="69" customHeight="1">
      <c r="A1239" s="168"/>
      <c r="B1239" s="178"/>
      <c r="C1239" s="178" t="s">
        <v>3647</v>
      </c>
      <c r="D1239" s="575"/>
      <c r="E1239" s="178" t="s">
        <v>3721</v>
      </c>
      <c r="F1239" s="210" t="s">
        <v>3822</v>
      </c>
      <c r="G1239" s="58" t="s">
        <v>3823</v>
      </c>
      <c r="H1239" s="546">
        <v>39301.5</v>
      </c>
      <c r="I1239" s="66">
        <v>44854</v>
      </c>
      <c r="J1239" s="411"/>
      <c r="K1239" s="58"/>
      <c r="L1239" s="99"/>
      <c r="M1239" s="70" t="s">
        <v>3727</v>
      </c>
      <c r="N1239" s="97" t="s">
        <v>414</v>
      </c>
      <c r="O1239" s="58"/>
      <c r="P1239" s="58" t="s">
        <v>22</v>
      </c>
      <c r="Q1239" s="58" t="s">
        <v>47</v>
      </c>
      <c r="R1239" s="58" t="s">
        <v>265</v>
      </c>
    </row>
    <row r="1240" spans="1:18" ht="69" customHeight="1">
      <c r="A1240" s="168"/>
      <c r="B1240" s="178">
        <v>7389</v>
      </c>
      <c r="C1240" s="178" t="s">
        <v>3647</v>
      </c>
      <c r="D1240" s="575" t="s">
        <v>3275</v>
      </c>
      <c r="E1240" s="178" t="s">
        <v>432</v>
      </c>
      <c r="F1240" s="210" t="s">
        <v>3824</v>
      </c>
      <c r="G1240" s="58" t="s">
        <v>1121</v>
      </c>
      <c r="H1240" s="546">
        <v>34317.03</v>
      </c>
      <c r="I1240" s="66">
        <v>44876</v>
      </c>
      <c r="J1240" s="411" t="s">
        <v>1122</v>
      </c>
      <c r="K1240" s="58"/>
      <c r="L1240" s="99"/>
      <c r="M1240" s="70" t="s">
        <v>3716</v>
      </c>
      <c r="N1240" s="97" t="s">
        <v>432</v>
      </c>
      <c r="O1240" s="58"/>
      <c r="P1240" s="58" t="s">
        <v>53</v>
      </c>
      <c r="Q1240" s="58" t="s">
        <v>47</v>
      </c>
      <c r="R1240" s="58" t="s">
        <v>272</v>
      </c>
    </row>
    <row r="1241" spans="1:18" ht="69" customHeight="1">
      <c r="A1241" s="168"/>
      <c r="B1241" s="178">
        <v>8486</v>
      </c>
      <c r="C1241" s="178" t="s">
        <v>3647</v>
      </c>
      <c r="D1241" s="575" t="s">
        <v>592</v>
      </c>
      <c r="E1241" s="178" t="s">
        <v>3825</v>
      </c>
      <c r="F1241" s="210" t="s">
        <v>3826</v>
      </c>
      <c r="G1241" s="58" t="s">
        <v>3827</v>
      </c>
      <c r="H1241" s="546">
        <v>569953.80000000005</v>
      </c>
      <c r="I1241" s="66">
        <v>44937</v>
      </c>
      <c r="J1241" s="411" t="s">
        <v>3828</v>
      </c>
      <c r="K1241" s="58"/>
      <c r="L1241" s="99"/>
      <c r="M1241" s="70" t="s">
        <v>3704</v>
      </c>
      <c r="N1241" s="97" t="s">
        <v>414</v>
      </c>
      <c r="O1241" s="58"/>
      <c r="P1241" s="58" t="s">
        <v>22</v>
      </c>
      <c r="Q1241" s="58" t="s">
        <v>47</v>
      </c>
      <c r="R1241" s="58" t="s">
        <v>272</v>
      </c>
    </row>
    <row r="1242" spans="1:18" ht="69" customHeight="1">
      <c r="A1242" s="168"/>
      <c r="B1242" s="178">
        <v>7534</v>
      </c>
      <c r="C1242" s="178" t="s">
        <v>3647</v>
      </c>
      <c r="D1242" s="575" t="s">
        <v>3829</v>
      </c>
      <c r="E1242" s="178" t="s">
        <v>3825</v>
      </c>
      <c r="F1242" s="210" t="s">
        <v>3830</v>
      </c>
      <c r="G1242" s="58" t="s">
        <v>3831</v>
      </c>
      <c r="H1242" s="546">
        <v>37674</v>
      </c>
      <c r="I1242" s="66">
        <v>44886</v>
      </c>
      <c r="J1242" s="411" t="s">
        <v>3832</v>
      </c>
      <c r="K1242" s="58"/>
      <c r="L1242" s="99"/>
      <c r="M1242" s="70" t="s">
        <v>3704</v>
      </c>
      <c r="N1242" s="97" t="s">
        <v>414</v>
      </c>
      <c r="O1242" s="58"/>
      <c r="P1242" s="58" t="s">
        <v>22</v>
      </c>
      <c r="Q1242" s="58" t="s">
        <v>47</v>
      </c>
      <c r="R1242" s="58" t="s">
        <v>272</v>
      </c>
    </row>
    <row r="1243" spans="1:18" ht="69" customHeight="1">
      <c r="A1243" s="168"/>
      <c r="B1243" s="178">
        <v>7729</v>
      </c>
      <c r="C1243" s="178" t="s">
        <v>3647</v>
      </c>
      <c r="D1243" s="575" t="s">
        <v>2813</v>
      </c>
      <c r="E1243" s="178" t="s">
        <v>3833</v>
      </c>
      <c r="F1243" s="210" t="s">
        <v>3834</v>
      </c>
      <c r="G1243" s="58" t="s">
        <v>1838</v>
      </c>
      <c r="H1243" s="546">
        <v>188826.73</v>
      </c>
      <c r="I1243" s="66">
        <v>44907</v>
      </c>
      <c r="J1243" s="411" t="s">
        <v>3835</v>
      </c>
      <c r="K1243" s="58"/>
      <c r="L1243" s="99"/>
      <c r="M1243" s="70" t="s">
        <v>3836</v>
      </c>
      <c r="N1243" s="97" t="s">
        <v>356</v>
      </c>
      <c r="O1243" s="45" t="s">
        <v>195</v>
      </c>
      <c r="P1243" s="58" t="s">
        <v>19</v>
      </c>
      <c r="Q1243" s="58" t="s">
        <v>47</v>
      </c>
      <c r="R1243" s="58" t="s">
        <v>265</v>
      </c>
    </row>
    <row r="1244" spans="1:18" ht="69" customHeight="1">
      <c r="A1244" s="168"/>
      <c r="B1244" s="191">
        <v>7562</v>
      </c>
      <c r="C1244" s="191" t="s">
        <v>3647</v>
      </c>
      <c r="D1244" s="533" t="s">
        <v>3592</v>
      </c>
      <c r="E1244" s="191" t="s">
        <v>3833</v>
      </c>
      <c r="F1244" s="211" t="s">
        <v>3837</v>
      </c>
      <c r="G1244" s="46" t="s">
        <v>1838</v>
      </c>
      <c r="H1244" s="534">
        <v>180000</v>
      </c>
      <c r="I1244" s="56">
        <v>44900</v>
      </c>
      <c r="J1244" s="412" t="s">
        <v>3838</v>
      </c>
      <c r="K1244" s="46" t="s">
        <v>3839</v>
      </c>
      <c r="L1244" s="120"/>
      <c r="M1244" s="70" t="s">
        <v>3836</v>
      </c>
      <c r="N1244" s="97" t="s">
        <v>356</v>
      </c>
      <c r="O1244" s="46"/>
      <c r="P1244" s="46" t="s">
        <v>65</v>
      </c>
      <c r="Q1244" s="46" t="s">
        <v>47</v>
      </c>
      <c r="R1244" s="46" t="s">
        <v>265</v>
      </c>
    </row>
    <row r="1245" spans="1:18" ht="69" customHeight="1">
      <c r="A1245" s="168"/>
      <c r="B1245" s="178">
        <v>7759</v>
      </c>
      <c r="C1245" s="178" t="s">
        <v>3647</v>
      </c>
      <c r="D1245" s="575" t="s">
        <v>1627</v>
      </c>
      <c r="E1245" s="178" t="s">
        <v>3833</v>
      </c>
      <c r="F1245" s="210" t="s">
        <v>3840</v>
      </c>
      <c r="G1245" s="58" t="s">
        <v>1838</v>
      </c>
      <c r="H1245" s="546">
        <v>354258</v>
      </c>
      <c r="I1245" s="66" t="s">
        <v>96</v>
      </c>
      <c r="J1245" s="411" t="s">
        <v>3841</v>
      </c>
      <c r="K1245" s="58"/>
      <c r="L1245" s="99"/>
      <c r="M1245" s="70" t="s">
        <v>3836</v>
      </c>
      <c r="N1245" s="97" t="s">
        <v>356</v>
      </c>
      <c r="O1245" s="45" t="s">
        <v>195</v>
      </c>
      <c r="P1245" s="58" t="s">
        <v>19</v>
      </c>
      <c r="Q1245" s="58" t="s">
        <v>47</v>
      </c>
      <c r="R1245" s="58" t="s">
        <v>265</v>
      </c>
    </row>
    <row r="1246" spans="1:18" ht="69" customHeight="1">
      <c r="A1246" s="168"/>
      <c r="B1246" s="178">
        <v>7761</v>
      </c>
      <c r="C1246" s="178" t="s">
        <v>3647</v>
      </c>
      <c r="D1246" s="575" t="s">
        <v>1883</v>
      </c>
      <c r="E1246" s="178" t="s">
        <v>3833</v>
      </c>
      <c r="F1246" s="210" t="s">
        <v>3842</v>
      </c>
      <c r="G1246" s="58" t="s">
        <v>1838</v>
      </c>
      <c r="H1246" s="546">
        <v>192317.2</v>
      </c>
      <c r="I1246" s="66">
        <v>44911</v>
      </c>
      <c r="J1246" s="411" t="s">
        <v>3843</v>
      </c>
      <c r="K1246" s="58"/>
      <c r="L1246" s="99"/>
      <c r="M1246" s="70" t="s">
        <v>3836</v>
      </c>
      <c r="N1246" s="97" t="s">
        <v>356</v>
      </c>
      <c r="O1246" s="45" t="s">
        <v>195</v>
      </c>
      <c r="P1246" s="58" t="s">
        <v>19</v>
      </c>
      <c r="Q1246" s="58" t="s">
        <v>47</v>
      </c>
      <c r="R1246" s="58" t="s">
        <v>265</v>
      </c>
    </row>
    <row r="1247" spans="1:18" ht="69" customHeight="1">
      <c r="A1247" s="168"/>
      <c r="B1247" s="178">
        <v>7763</v>
      </c>
      <c r="C1247" s="178" t="s">
        <v>3647</v>
      </c>
      <c r="D1247" s="575" t="s">
        <v>1391</v>
      </c>
      <c r="E1247" s="178" t="s">
        <v>3833</v>
      </c>
      <c r="F1247" s="210" t="s">
        <v>3844</v>
      </c>
      <c r="G1247" s="58" t="s">
        <v>1838</v>
      </c>
      <c r="H1247" s="546">
        <v>210000</v>
      </c>
      <c r="I1247" s="66">
        <v>44928</v>
      </c>
      <c r="J1247" s="411" t="s">
        <v>3845</v>
      </c>
      <c r="K1247" s="58"/>
      <c r="L1247" s="99"/>
      <c r="M1247" s="70" t="s">
        <v>3836</v>
      </c>
      <c r="N1247" s="97" t="s">
        <v>356</v>
      </c>
      <c r="O1247" s="45" t="s">
        <v>195</v>
      </c>
      <c r="P1247" s="58" t="s">
        <v>19</v>
      </c>
      <c r="Q1247" s="58" t="s">
        <v>47</v>
      </c>
      <c r="R1247" s="58" t="s">
        <v>265</v>
      </c>
    </row>
    <row r="1248" spans="1:18" ht="69" customHeight="1">
      <c r="A1248" s="168"/>
      <c r="B1248" s="178">
        <v>7579</v>
      </c>
      <c r="C1248" s="178" t="s">
        <v>3647</v>
      </c>
      <c r="D1248" s="575" t="s">
        <v>3059</v>
      </c>
      <c r="E1248" s="178" t="s">
        <v>1044</v>
      </c>
      <c r="F1248" s="210" t="s">
        <v>3846</v>
      </c>
      <c r="G1248" s="58" t="s">
        <v>1041</v>
      </c>
      <c r="H1248" s="546">
        <v>10610</v>
      </c>
      <c r="I1248" s="66">
        <v>44904</v>
      </c>
      <c r="J1248" s="411" t="s">
        <v>1080</v>
      </c>
      <c r="K1248" s="58"/>
      <c r="L1248" s="99"/>
      <c r="M1248" s="70" t="s">
        <v>3847</v>
      </c>
      <c r="N1248" s="97" t="s">
        <v>1044</v>
      </c>
      <c r="O1248" s="58"/>
      <c r="P1248" s="58" t="s">
        <v>26</v>
      </c>
      <c r="Q1248" s="58" t="s">
        <v>47</v>
      </c>
      <c r="R1248" s="58" t="s">
        <v>272</v>
      </c>
    </row>
    <row r="1249" spans="1:18" ht="69" customHeight="1">
      <c r="A1249" s="168"/>
      <c r="B1249" s="178">
        <v>7753</v>
      </c>
      <c r="C1249" s="178" t="s">
        <v>3647</v>
      </c>
      <c r="D1249" s="575" t="s">
        <v>1186</v>
      </c>
      <c r="E1249" s="178" t="s">
        <v>3721</v>
      </c>
      <c r="F1249" s="210" t="s">
        <v>3848</v>
      </c>
      <c r="G1249" s="58" t="s">
        <v>3849</v>
      </c>
      <c r="H1249" s="546">
        <v>15000</v>
      </c>
      <c r="I1249" s="66">
        <v>44907</v>
      </c>
      <c r="J1249" s="411" t="s">
        <v>3850</v>
      </c>
      <c r="K1249" s="58"/>
      <c r="L1249" s="99"/>
      <c r="M1249" s="70" t="s">
        <v>3727</v>
      </c>
      <c r="N1249" s="97" t="s">
        <v>414</v>
      </c>
      <c r="O1249" s="58"/>
      <c r="P1249" s="58" t="s">
        <v>22</v>
      </c>
      <c r="Q1249" s="58" t="s">
        <v>47</v>
      </c>
      <c r="R1249" s="58" t="s">
        <v>265</v>
      </c>
    </row>
    <row r="1250" spans="1:18" ht="69" customHeight="1">
      <c r="A1250" s="168"/>
      <c r="B1250" s="178">
        <v>7754</v>
      </c>
      <c r="C1250" s="178" t="s">
        <v>3647</v>
      </c>
      <c r="D1250" s="575" t="s">
        <v>3851</v>
      </c>
      <c r="E1250" s="178" t="s">
        <v>3721</v>
      </c>
      <c r="F1250" s="210" t="s">
        <v>3852</v>
      </c>
      <c r="G1250" s="58" t="s">
        <v>1149</v>
      </c>
      <c r="H1250" s="546">
        <v>31196.55</v>
      </c>
      <c r="I1250" s="66">
        <v>44909</v>
      </c>
      <c r="J1250" s="411" t="s">
        <v>3850</v>
      </c>
      <c r="K1250" s="58"/>
      <c r="L1250" s="99"/>
      <c r="M1250" s="70" t="s">
        <v>3727</v>
      </c>
      <c r="N1250" s="97" t="s">
        <v>414</v>
      </c>
      <c r="O1250" s="58"/>
      <c r="P1250" s="58" t="s">
        <v>22</v>
      </c>
      <c r="Q1250" s="58" t="s">
        <v>47</v>
      </c>
      <c r="R1250" s="58" t="s">
        <v>265</v>
      </c>
    </row>
    <row r="1251" spans="1:18" ht="69" customHeight="1">
      <c r="A1251" s="168"/>
      <c r="B1251" s="178">
        <v>8029</v>
      </c>
      <c r="C1251" s="178" t="s">
        <v>3647</v>
      </c>
      <c r="D1251" s="575" t="s">
        <v>3518</v>
      </c>
      <c r="E1251" s="178" t="s">
        <v>3721</v>
      </c>
      <c r="F1251" s="210" t="s">
        <v>3853</v>
      </c>
      <c r="G1251" s="58" t="s">
        <v>3854</v>
      </c>
      <c r="H1251" s="546">
        <v>30000</v>
      </c>
      <c r="I1251" s="66">
        <v>44909</v>
      </c>
      <c r="J1251" s="411" t="s">
        <v>3855</v>
      </c>
      <c r="K1251" s="58"/>
      <c r="L1251" s="99"/>
      <c r="M1251" s="70" t="s">
        <v>3727</v>
      </c>
      <c r="N1251" s="97" t="s">
        <v>414</v>
      </c>
      <c r="O1251" s="58" t="s">
        <v>3856</v>
      </c>
      <c r="P1251" s="58" t="s">
        <v>22</v>
      </c>
      <c r="Q1251" s="58" t="s">
        <v>47</v>
      </c>
      <c r="R1251" s="58" t="s">
        <v>265</v>
      </c>
    </row>
    <row r="1252" spans="1:18" ht="69" customHeight="1">
      <c r="A1252" s="168"/>
      <c r="B1252" s="178">
        <v>7466</v>
      </c>
      <c r="C1252" s="178" t="s">
        <v>3647</v>
      </c>
      <c r="D1252" s="575" t="s">
        <v>2348</v>
      </c>
      <c r="E1252" s="178" t="s">
        <v>1044</v>
      </c>
      <c r="F1252" s="210" t="s">
        <v>3857</v>
      </c>
      <c r="G1252" s="58" t="s">
        <v>1041</v>
      </c>
      <c r="H1252" s="546">
        <v>179846.39</v>
      </c>
      <c r="I1252" s="66">
        <v>44883</v>
      </c>
      <c r="J1252" s="411" t="s">
        <v>1042</v>
      </c>
      <c r="K1252" s="58"/>
      <c r="L1252" s="99"/>
      <c r="M1252" s="70" t="s">
        <v>3847</v>
      </c>
      <c r="N1252" s="97" t="s">
        <v>1044</v>
      </c>
      <c r="O1252" s="58"/>
      <c r="P1252" s="58" t="s">
        <v>26</v>
      </c>
      <c r="Q1252" s="58" t="s">
        <v>47</v>
      </c>
      <c r="R1252" s="58" t="s">
        <v>272</v>
      </c>
    </row>
    <row r="1253" spans="1:18" ht="69" customHeight="1">
      <c r="A1253" s="168"/>
      <c r="B1253" s="178">
        <v>8258</v>
      </c>
      <c r="C1253" s="178" t="s">
        <v>3647</v>
      </c>
      <c r="D1253" s="575" t="s">
        <v>3858</v>
      </c>
      <c r="E1253" s="178" t="s">
        <v>3721</v>
      </c>
      <c r="F1253" s="210" t="s">
        <v>3859</v>
      </c>
      <c r="G1253" s="58" t="s">
        <v>3860</v>
      </c>
      <c r="H1253" s="546">
        <v>17000</v>
      </c>
      <c r="I1253" s="66">
        <v>44921</v>
      </c>
      <c r="J1253" s="411" t="s">
        <v>3861</v>
      </c>
      <c r="K1253" s="58"/>
      <c r="L1253" s="99"/>
      <c r="M1253" s="70" t="s">
        <v>3727</v>
      </c>
      <c r="N1253" s="97" t="s">
        <v>414</v>
      </c>
      <c r="O1253" s="58"/>
      <c r="P1253" s="58" t="s">
        <v>22</v>
      </c>
      <c r="Q1253" s="58" t="s">
        <v>47</v>
      </c>
      <c r="R1253" s="58" t="s">
        <v>265</v>
      </c>
    </row>
    <row r="1254" spans="1:18" ht="69" customHeight="1">
      <c r="A1254" s="168"/>
      <c r="B1254" s="178">
        <v>8260</v>
      </c>
      <c r="C1254" s="178" t="s">
        <v>3647</v>
      </c>
      <c r="D1254" s="575" t="s">
        <v>3862</v>
      </c>
      <c r="E1254" s="178" t="s">
        <v>3721</v>
      </c>
      <c r="F1254" s="210" t="s">
        <v>3863</v>
      </c>
      <c r="G1254" s="58" t="s">
        <v>3864</v>
      </c>
      <c r="H1254" s="546">
        <v>14000.14</v>
      </c>
      <c r="I1254" s="66">
        <v>44921</v>
      </c>
      <c r="J1254" s="411" t="s">
        <v>3861</v>
      </c>
      <c r="K1254" s="58"/>
      <c r="L1254" s="99"/>
      <c r="M1254" s="70" t="s">
        <v>3727</v>
      </c>
      <c r="N1254" s="97" t="s">
        <v>414</v>
      </c>
      <c r="O1254" s="58"/>
      <c r="P1254" s="58" t="s">
        <v>22</v>
      </c>
      <c r="Q1254" s="58" t="s">
        <v>47</v>
      </c>
      <c r="R1254" s="58" t="s">
        <v>265</v>
      </c>
    </row>
    <row r="1255" spans="1:18" ht="69" customHeight="1">
      <c r="A1255" s="168"/>
      <c r="B1255" s="178">
        <v>8385</v>
      </c>
      <c r="C1255" s="178" t="s">
        <v>3647</v>
      </c>
      <c r="D1255" s="575" t="s">
        <v>1229</v>
      </c>
      <c r="E1255" s="178" t="s">
        <v>3721</v>
      </c>
      <c r="F1255" s="210" t="s">
        <v>3865</v>
      </c>
      <c r="G1255" s="58" t="s">
        <v>3866</v>
      </c>
      <c r="H1255" s="546">
        <v>30000</v>
      </c>
      <c r="I1255" s="66">
        <v>44923</v>
      </c>
      <c r="J1255" s="411" t="s">
        <v>3867</v>
      </c>
      <c r="K1255" s="58"/>
      <c r="L1255" s="99"/>
      <c r="M1255" s="70" t="s">
        <v>3727</v>
      </c>
      <c r="N1255" s="97" t="s">
        <v>414</v>
      </c>
      <c r="O1255" s="58"/>
      <c r="P1255" s="58" t="s">
        <v>22</v>
      </c>
      <c r="Q1255" s="58" t="s">
        <v>47</v>
      </c>
      <c r="R1255" s="58" t="s">
        <v>265</v>
      </c>
    </row>
    <row r="1256" spans="1:18" ht="69" customHeight="1">
      <c r="A1256" s="168"/>
      <c r="B1256" s="178">
        <v>7309</v>
      </c>
      <c r="C1256" s="178" t="s">
        <v>3647</v>
      </c>
      <c r="D1256" s="575" t="s">
        <v>3359</v>
      </c>
      <c r="E1256" s="178" t="s">
        <v>1044</v>
      </c>
      <c r="F1256" s="210" t="s">
        <v>3868</v>
      </c>
      <c r="G1256" s="58" t="s">
        <v>1041</v>
      </c>
      <c r="H1256" s="546">
        <v>35090</v>
      </c>
      <c r="I1256" s="66">
        <v>44869</v>
      </c>
      <c r="J1256" s="411" t="s">
        <v>1113</v>
      </c>
      <c r="K1256" s="58"/>
      <c r="L1256" s="99"/>
      <c r="M1256" s="70" t="s">
        <v>3847</v>
      </c>
      <c r="N1256" s="97" t="s">
        <v>1044</v>
      </c>
      <c r="O1256" s="58"/>
      <c r="P1256" s="58" t="s">
        <v>26</v>
      </c>
      <c r="Q1256" s="58" t="s">
        <v>47</v>
      </c>
      <c r="R1256" s="58" t="s">
        <v>272</v>
      </c>
    </row>
    <row r="1257" spans="1:18" ht="69" customHeight="1">
      <c r="A1257" s="168"/>
      <c r="B1257" s="178">
        <v>8386</v>
      </c>
      <c r="C1257" s="178" t="s">
        <v>3647</v>
      </c>
      <c r="D1257" s="575" t="s">
        <v>3869</v>
      </c>
      <c r="E1257" s="178" t="s">
        <v>3721</v>
      </c>
      <c r="F1257" s="210" t="s">
        <v>3870</v>
      </c>
      <c r="G1257" s="58" t="s">
        <v>3866</v>
      </c>
      <c r="H1257" s="546">
        <v>29928.27</v>
      </c>
      <c r="I1257" s="66">
        <v>44923</v>
      </c>
      <c r="J1257" s="411" t="s">
        <v>3867</v>
      </c>
      <c r="K1257" s="58"/>
      <c r="L1257" s="99"/>
      <c r="M1257" s="70" t="s">
        <v>3727</v>
      </c>
      <c r="N1257" s="97" t="s">
        <v>414</v>
      </c>
      <c r="O1257" s="58"/>
      <c r="P1257" s="58" t="s">
        <v>22</v>
      </c>
      <c r="Q1257" s="58" t="s">
        <v>47</v>
      </c>
      <c r="R1257" s="58" t="s">
        <v>265</v>
      </c>
    </row>
    <row r="1258" spans="1:18" ht="69" customHeight="1">
      <c r="A1258" s="168"/>
      <c r="B1258" s="178">
        <v>8556</v>
      </c>
      <c r="C1258" s="178" t="s">
        <v>3647</v>
      </c>
      <c r="D1258" s="575" t="s">
        <v>3871</v>
      </c>
      <c r="E1258" s="178" t="s">
        <v>1044</v>
      </c>
      <c r="F1258" s="210" t="s">
        <v>3872</v>
      </c>
      <c r="G1258" s="58" t="s">
        <v>1877</v>
      </c>
      <c r="H1258" s="546">
        <v>27885.9</v>
      </c>
      <c r="I1258" s="66">
        <v>44946</v>
      </c>
      <c r="J1258" s="411" t="s">
        <v>1878</v>
      </c>
      <c r="K1258" s="58"/>
      <c r="L1258" s="99"/>
      <c r="M1258" s="70" t="s">
        <v>3847</v>
      </c>
      <c r="N1258" s="97" t="s">
        <v>1044</v>
      </c>
      <c r="O1258" s="58"/>
      <c r="P1258" s="58" t="s">
        <v>26</v>
      </c>
      <c r="Q1258" s="58" t="s">
        <v>47</v>
      </c>
      <c r="R1258" s="58" t="s">
        <v>272</v>
      </c>
    </row>
    <row r="1259" spans="1:18" ht="69" customHeight="1">
      <c r="A1259" s="168"/>
      <c r="B1259" s="178">
        <v>8525</v>
      </c>
      <c r="C1259" s="178" t="s">
        <v>3647</v>
      </c>
      <c r="D1259" s="575" t="s">
        <v>2885</v>
      </c>
      <c r="E1259" s="178" t="s">
        <v>3721</v>
      </c>
      <c r="F1259" s="210" t="s">
        <v>3873</v>
      </c>
      <c r="G1259" s="58" t="s">
        <v>3874</v>
      </c>
      <c r="H1259" s="546">
        <v>15000</v>
      </c>
      <c r="I1259" s="66">
        <v>44939</v>
      </c>
      <c r="J1259" s="411" t="s">
        <v>3875</v>
      </c>
      <c r="K1259" s="58"/>
      <c r="L1259" s="99"/>
      <c r="M1259" s="70" t="s">
        <v>3727</v>
      </c>
      <c r="N1259" s="97" t="s">
        <v>414</v>
      </c>
      <c r="O1259" s="58"/>
      <c r="P1259" s="58" t="s">
        <v>22</v>
      </c>
      <c r="Q1259" s="58" t="s">
        <v>47</v>
      </c>
      <c r="R1259" s="58" t="s">
        <v>265</v>
      </c>
    </row>
    <row r="1260" spans="1:18" ht="69" customHeight="1">
      <c r="A1260" s="168"/>
      <c r="B1260" s="178">
        <v>8034</v>
      </c>
      <c r="C1260" s="178" t="s">
        <v>3647</v>
      </c>
      <c r="D1260" s="575" t="s">
        <v>1246</v>
      </c>
      <c r="E1260" s="178" t="s">
        <v>3721</v>
      </c>
      <c r="F1260" s="210" t="s">
        <v>3876</v>
      </c>
      <c r="G1260" s="58" t="s">
        <v>3877</v>
      </c>
      <c r="H1260" s="546">
        <v>23800.799999999999</v>
      </c>
      <c r="I1260" s="66">
        <v>44939</v>
      </c>
      <c r="J1260" s="411" t="s">
        <v>3878</v>
      </c>
      <c r="K1260" s="58"/>
      <c r="L1260" s="99"/>
      <c r="M1260" s="70" t="s">
        <v>3727</v>
      </c>
      <c r="N1260" s="97" t="s">
        <v>414</v>
      </c>
      <c r="O1260" s="58"/>
      <c r="P1260" s="58" t="s">
        <v>22</v>
      </c>
      <c r="Q1260" s="58" t="s">
        <v>47</v>
      </c>
      <c r="R1260" s="58" t="s">
        <v>265</v>
      </c>
    </row>
    <row r="1261" spans="1:18" ht="69" customHeight="1">
      <c r="A1261" s="168"/>
      <c r="B1261" s="178">
        <v>8038</v>
      </c>
      <c r="C1261" s="178" t="s">
        <v>3647</v>
      </c>
      <c r="D1261" s="575" t="s">
        <v>3137</v>
      </c>
      <c r="E1261" s="178" t="s">
        <v>3721</v>
      </c>
      <c r="F1261" s="210" t="s">
        <v>3879</v>
      </c>
      <c r="G1261" s="58" t="s">
        <v>3880</v>
      </c>
      <c r="H1261" s="546">
        <v>4410</v>
      </c>
      <c r="I1261" s="66">
        <v>44939</v>
      </c>
      <c r="J1261" s="411" t="s">
        <v>3881</v>
      </c>
      <c r="K1261" s="58"/>
      <c r="L1261" s="99"/>
      <c r="M1261" s="70" t="s">
        <v>3727</v>
      </c>
      <c r="N1261" s="97" t="s">
        <v>414</v>
      </c>
      <c r="O1261" s="58"/>
      <c r="P1261" s="58" t="s">
        <v>22</v>
      </c>
      <c r="Q1261" s="58" t="s">
        <v>47</v>
      </c>
      <c r="R1261" s="58" t="s">
        <v>265</v>
      </c>
    </row>
    <row r="1262" spans="1:18" ht="69" customHeight="1">
      <c r="A1262" s="168"/>
      <c r="B1262" s="178">
        <v>5144</v>
      </c>
      <c r="C1262" s="178" t="s">
        <v>458</v>
      </c>
      <c r="D1262" s="575" t="s">
        <v>2721</v>
      </c>
      <c r="E1262" s="178" t="s">
        <v>350</v>
      </c>
      <c r="F1262" s="210" t="s">
        <v>3882</v>
      </c>
      <c r="G1262" s="58" t="s">
        <v>352</v>
      </c>
      <c r="H1262" s="546">
        <v>191607.25</v>
      </c>
      <c r="I1262" s="66">
        <v>44742</v>
      </c>
      <c r="J1262" s="411" t="s">
        <v>3883</v>
      </c>
      <c r="K1262" s="58"/>
      <c r="L1262" s="99"/>
      <c r="M1262" s="70" t="s">
        <v>3789</v>
      </c>
      <c r="N1262" s="97" t="s">
        <v>356</v>
      </c>
      <c r="O1262" s="58" t="s">
        <v>141</v>
      </c>
      <c r="P1262" s="58" t="s">
        <v>19</v>
      </c>
      <c r="Q1262" s="58" t="s">
        <v>114</v>
      </c>
      <c r="R1262" s="58" t="s">
        <v>265</v>
      </c>
    </row>
    <row r="1263" spans="1:18" ht="69" customHeight="1">
      <c r="A1263" s="168"/>
      <c r="B1263" s="178">
        <v>8625</v>
      </c>
      <c r="C1263" s="178" t="s">
        <v>3647</v>
      </c>
      <c r="D1263" s="575" t="s">
        <v>3639</v>
      </c>
      <c r="E1263" s="178" t="s">
        <v>3721</v>
      </c>
      <c r="F1263" s="210" t="s">
        <v>3884</v>
      </c>
      <c r="G1263" s="58" t="s">
        <v>3885</v>
      </c>
      <c r="H1263" s="546">
        <v>50000</v>
      </c>
      <c r="I1263" s="66">
        <v>44946</v>
      </c>
      <c r="J1263" s="411" t="s">
        <v>3886</v>
      </c>
      <c r="K1263" s="58"/>
      <c r="L1263" s="99"/>
      <c r="M1263" s="70" t="s">
        <v>3727</v>
      </c>
      <c r="N1263" s="97" t="s">
        <v>414</v>
      </c>
      <c r="O1263" s="58"/>
      <c r="P1263" s="58" t="s">
        <v>22</v>
      </c>
      <c r="Q1263" s="58" t="s">
        <v>47</v>
      </c>
      <c r="R1263" s="58" t="s">
        <v>265</v>
      </c>
    </row>
    <row r="1264" spans="1:18" ht="69" customHeight="1">
      <c r="A1264" s="168"/>
      <c r="B1264" s="178">
        <v>8626</v>
      </c>
      <c r="C1264" s="178" t="s">
        <v>3647</v>
      </c>
      <c r="D1264" s="575" t="s">
        <v>3543</v>
      </c>
      <c r="E1264" s="178" t="s">
        <v>3721</v>
      </c>
      <c r="F1264" s="210" t="s">
        <v>3887</v>
      </c>
      <c r="G1264" s="58" t="s">
        <v>3888</v>
      </c>
      <c r="H1264" s="546">
        <v>12000</v>
      </c>
      <c r="I1264" s="66">
        <v>44946</v>
      </c>
      <c r="J1264" s="411" t="s">
        <v>3886</v>
      </c>
      <c r="K1264" s="58"/>
      <c r="L1264" s="99"/>
      <c r="M1264" s="70" t="s">
        <v>3727</v>
      </c>
      <c r="N1264" s="97" t="s">
        <v>414</v>
      </c>
      <c r="O1264" s="58"/>
      <c r="P1264" s="58" t="s">
        <v>22</v>
      </c>
      <c r="Q1264" s="58" t="s">
        <v>47</v>
      </c>
      <c r="R1264" s="58" t="s">
        <v>265</v>
      </c>
    </row>
    <row r="1265" spans="1:18" ht="69" customHeight="1">
      <c r="A1265" s="168"/>
      <c r="B1265" s="178">
        <v>8648</v>
      </c>
      <c r="C1265" s="178" t="s">
        <v>3647</v>
      </c>
      <c r="D1265" s="575" t="s">
        <v>3889</v>
      </c>
      <c r="E1265" s="178" t="s">
        <v>3721</v>
      </c>
      <c r="F1265" s="210" t="s">
        <v>3890</v>
      </c>
      <c r="G1265" s="58" t="s">
        <v>3891</v>
      </c>
      <c r="H1265" s="546">
        <v>17000</v>
      </c>
      <c r="I1265" s="66">
        <v>44946</v>
      </c>
      <c r="J1265" s="411" t="s">
        <v>3892</v>
      </c>
      <c r="K1265" s="58"/>
      <c r="L1265" s="99"/>
      <c r="M1265" s="70" t="s">
        <v>3727</v>
      </c>
      <c r="N1265" s="97" t="s">
        <v>414</v>
      </c>
      <c r="O1265" s="58"/>
      <c r="P1265" s="58" t="s">
        <v>22</v>
      </c>
      <c r="Q1265" s="58" t="s">
        <v>47</v>
      </c>
      <c r="R1265" s="58" t="s">
        <v>265</v>
      </c>
    </row>
    <row r="1266" spans="1:18" ht="69" customHeight="1">
      <c r="A1266" s="168"/>
      <c r="B1266" s="178">
        <v>8666</v>
      </c>
      <c r="C1266" s="178" t="s">
        <v>3647</v>
      </c>
      <c r="D1266" s="575" t="s">
        <v>3558</v>
      </c>
      <c r="E1266" s="178" t="s">
        <v>3721</v>
      </c>
      <c r="F1266" s="210" t="s">
        <v>3893</v>
      </c>
      <c r="G1266" s="58" t="s">
        <v>3894</v>
      </c>
      <c r="H1266" s="546">
        <v>12000</v>
      </c>
      <c r="I1266" s="66">
        <v>44946</v>
      </c>
      <c r="J1266" s="411" t="s">
        <v>3895</v>
      </c>
      <c r="K1266" s="58"/>
      <c r="L1266" s="99"/>
      <c r="M1266" s="70" t="s">
        <v>3727</v>
      </c>
      <c r="N1266" s="97" t="s">
        <v>414</v>
      </c>
      <c r="O1266" s="58"/>
      <c r="P1266" s="58" t="s">
        <v>22</v>
      </c>
      <c r="Q1266" s="58" t="s">
        <v>47</v>
      </c>
      <c r="R1266" s="58" t="s">
        <v>265</v>
      </c>
    </row>
    <row r="1267" spans="1:18" ht="69" customHeight="1">
      <c r="A1267" s="168"/>
      <c r="B1267" s="178">
        <v>8710</v>
      </c>
      <c r="C1267" s="178" t="s">
        <v>3647</v>
      </c>
      <c r="D1267" s="575" t="s">
        <v>3896</v>
      </c>
      <c r="E1267" s="178" t="s">
        <v>3721</v>
      </c>
      <c r="F1267" s="210" t="s">
        <v>3897</v>
      </c>
      <c r="G1267" s="58" t="s">
        <v>3898</v>
      </c>
      <c r="H1267" s="546">
        <v>7000</v>
      </c>
      <c r="I1267" s="66">
        <v>44951</v>
      </c>
      <c r="J1267" s="411" t="s">
        <v>3899</v>
      </c>
      <c r="K1267" s="58"/>
      <c r="L1267" s="99"/>
      <c r="M1267" s="70" t="s">
        <v>3727</v>
      </c>
      <c r="N1267" s="97" t="s">
        <v>414</v>
      </c>
      <c r="O1267" s="58"/>
      <c r="P1267" s="58" t="s">
        <v>22</v>
      </c>
      <c r="Q1267" s="58" t="s">
        <v>47</v>
      </c>
      <c r="R1267" s="58" t="s">
        <v>265</v>
      </c>
    </row>
    <row r="1268" spans="1:18" ht="69" customHeight="1">
      <c r="A1268" s="168"/>
      <c r="B1268" s="178">
        <v>8711</v>
      </c>
      <c r="C1268" s="178" t="s">
        <v>3647</v>
      </c>
      <c r="D1268" s="575" t="s">
        <v>3900</v>
      </c>
      <c r="E1268" s="178" t="s">
        <v>3721</v>
      </c>
      <c r="F1268" s="210" t="s">
        <v>3901</v>
      </c>
      <c r="G1268" s="58" t="s">
        <v>3902</v>
      </c>
      <c r="H1268" s="546">
        <v>9000</v>
      </c>
      <c r="I1268" s="66">
        <v>44953</v>
      </c>
      <c r="J1268" s="411" t="s">
        <v>3899</v>
      </c>
      <c r="K1268" s="58"/>
      <c r="L1268" s="99"/>
      <c r="M1268" s="70" t="s">
        <v>3727</v>
      </c>
      <c r="N1268" s="97" t="s">
        <v>414</v>
      </c>
      <c r="O1268" s="58"/>
      <c r="P1268" s="58" t="s">
        <v>22</v>
      </c>
      <c r="Q1268" s="58" t="s">
        <v>47</v>
      </c>
      <c r="R1268" s="58" t="s">
        <v>265</v>
      </c>
    </row>
    <row r="1269" spans="1:18" ht="69" customHeight="1">
      <c r="A1269" s="168"/>
      <c r="B1269" s="178">
        <v>8712</v>
      </c>
      <c r="C1269" s="178" t="s">
        <v>3647</v>
      </c>
      <c r="D1269" s="575" t="s">
        <v>3903</v>
      </c>
      <c r="E1269" s="178" t="s">
        <v>3721</v>
      </c>
      <c r="F1269" s="210" t="s">
        <v>3904</v>
      </c>
      <c r="G1269" s="58" t="s">
        <v>3905</v>
      </c>
      <c r="H1269" s="546">
        <v>55812.5</v>
      </c>
      <c r="I1269" s="66">
        <v>44951</v>
      </c>
      <c r="J1269" s="411" t="s">
        <v>3899</v>
      </c>
      <c r="K1269" s="58"/>
      <c r="L1269" s="99"/>
      <c r="M1269" s="70" t="s">
        <v>3727</v>
      </c>
      <c r="N1269" s="97" t="s">
        <v>414</v>
      </c>
      <c r="O1269" s="58"/>
      <c r="P1269" s="58" t="s">
        <v>22</v>
      </c>
      <c r="Q1269" s="58" t="s">
        <v>47</v>
      </c>
      <c r="R1269" s="58" t="s">
        <v>265</v>
      </c>
    </row>
    <row r="1270" spans="1:18" ht="69" customHeight="1">
      <c r="A1270" s="168"/>
      <c r="B1270" s="178">
        <v>6349</v>
      </c>
      <c r="C1270" s="178" t="s">
        <v>3906</v>
      </c>
      <c r="D1270" s="575" t="s">
        <v>3907</v>
      </c>
      <c r="E1270" s="178" t="s">
        <v>979</v>
      </c>
      <c r="F1270" s="210" t="s">
        <v>3908</v>
      </c>
      <c r="G1270" s="58" t="s">
        <v>352</v>
      </c>
      <c r="H1270" s="546">
        <v>11540</v>
      </c>
      <c r="I1270" s="66">
        <v>44813</v>
      </c>
      <c r="J1270" s="411" t="s">
        <v>3909</v>
      </c>
      <c r="K1270" s="58"/>
      <c r="L1270" s="99"/>
      <c r="M1270" s="70" t="s">
        <v>3910</v>
      </c>
      <c r="N1270" s="97" t="s">
        <v>356</v>
      </c>
      <c r="O1270" s="58" t="s">
        <v>156</v>
      </c>
      <c r="P1270" s="58" t="s">
        <v>19</v>
      </c>
      <c r="Q1270" s="58" t="s">
        <v>70</v>
      </c>
      <c r="R1270" s="58" t="s">
        <v>265</v>
      </c>
    </row>
    <row r="1271" spans="1:18" ht="69" customHeight="1">
      <c r="A1271" s="168"/>
      <c r="B1271" s="178">
        <v>8714</v>
      </c>
      <c r="C1271" s="178" t="s">
        <v>3647</v>
      </c>
      <c r="D1271" s="575" t="s">
        <v>3911</v>
      </c>
      <c r="E1271" s="178" t="s">
        <v>3721</v>
      </c>
      <c r="F1271" s="210" t="s">
        <v>3912</v>
      </c>
      <c r="G1271" s="58" t="s">
        <v>3902</v>
      </c>
      <c r="H1271" s="546">
        <v>13000</v>
      </c>
      <c r="I1271" s="66">
        <v>44951</v>
      </c>
      <c r="J1271" s="411" t="s">
        <v>3899</v>
      </c>
      <c r="K1271" s="58"/>
      <c r="L1271" s="99"/>
      <c r="M1271" s="70" t="s">
        <v>3727</v>
      </c>
      <c r="N1271" s="97" t="s">
        <v>414</v>
      </c>
      <c r="O1271" s="58"/>
      <c r="P1271" s="58" t="s">
        <v>22</v>
      </c>
      <c r="Q1271" s="58" t="s">
        <v>47</v>
      </c>
      <c r="R1271" s="58" t="s">
        <v>265</v>
      </c>
    </row>
    <row r="1272" spans="1:18" ht="69" customHeight="1">
      <c r="A1272" s="168"/>
      <c r="B1272" s="178">
        <v>8719</v>
      </c>
      <c r="C1272" s="178" t="s">
        <v>3647</v>
      </c>
      <c r="D1272" s="575" t="s">
        <v>3913</v>
      </c>
      <c r="E1272" s="178" t="s">
        <v>3721</v>
      </c>
      <c r="F1272" s="210" t="s">
        <v>3914</v>
      </c>
      <c r="G1272" s="58" t="s">
        <v>3915</v>
      </c>
      <c r="H1272" s="546">
        <v>3500</v>
      </c>
      <c r="I1272" s="66">
        <v>44968</v>
      </c>
      <c r="J1272" s="411" t="s">
        <v>3916</v>
      </c>
      <c r="K1272" s="58"/>
      <c r="L1272" s="99"/>
      <c r="M1272" s="70" t="s">
        <v>3727</v>
      </c>
      <c r="N1272" s="97" t="s">
        <v>414</v>
      </c>
      <c r="O1272" s="58"/>
      <c r="P1272" s="58" t="s">
        <v>22</v>
      </c>
      <c r="Q1272" s="58" t="s">
        <v>47</v>
      </c>
      <c r="R1272" s="58" t="s">
        <v>265</v>
      </c>
    </row>
    <row r="1273" spans="1:18" ht="69" customHeight="1">
      <c r="A1273" s="168"/>
      <c r="B1273" s="178">
        <v>8736</v>
      </c>
      <c r="C1273" s="178" t="s">
        <v>3647</v>
      </c>
      <c r="D1273" s="575" t="s">
        <v>3917</v>
      </c>
      <c r="E1273" s="178" t="s">
        <v>3721</v>
      </c>
      <c r="F1273" s="210" t="s">
        <v>3918</v>
      </c>
      <c r="G1273" s="58" t="s">
        <v>3919</v>
      </c>
      <c r="H1273" s="546">
        <v>9163</v>
      </c>
      <c r="I1273" s="66">
        <v>44971</v>
      </c>
      <c r="J1273" s="411" t="s">
        <v>3920</v>
      </c>
      <c r="K1273" s="58"/>
      <c r="L1273" s="99"/>
      <c r="M1273" s="70" t="s">
        <v>3727</v>
      </c>
      <c r="N1273" s="97" t="s">
        <v>414</v>
      </c>
      <c r="O1273" s="58"/>
      <c r="P1273" s="58" t="s">
        <v>22</v>
      </c>
      <c r="Q1273" s="58" t="s">
        <v>47</v>
      </c>
      <c r="R1273" s="58" t="s">
        <v>265</v>
      </c>
    </row>
    <row r="1274" spans="1:18" ht="69" customHeight="1">
      <c r="A1274" s="168"/>
      <c r="B1274" s="178">
        <v>8737</v>
      </c>
      <c r="C1274" s="178" t="s">
        <v>3647</v>
      </c>
      <c r="D1274" s="575" t="s">
        <v>3921</v>
      </c>
      <c r="E1274" s="178" t="s">
        <v>3721</v>
      </c>
      <c r="F1274" s="210" t="s">
        <v>3922</v>
      </c>
      <c r="G1274" s="58" t="s">
        <v>3923</v>
      </c>
      <c r="H1274" s="546">
        <v>93337.5</v>
      </c>
      <c r="I1274" s="66">
        <v>44951</v>
      </c>
      <c r="J1274" s="411" t="s">
        <v>3920</v>
      </c>
      <c r="K1274" s="58"/>
      <c r="L1274" s="99"/>
      <c r="M1274" s="70" t="s">
        <v>3727</v>
      </c>
      <c r="N1274" s="97" t="s">
        <v>414</v>
      </c>
      <c r="O1274" s="58"/>
      <c r="P1274" s="58" t="s">
        <v>22</v>
      </c>
      <c r="Q1274" s="58" t="s">
        <v>47</v>
      </c>
      <c r="R1274" s="58" t="s">
        <v>265</v>
      </c>
    </row>
    <row r="1275" spans="1:18" ht="69" customHeight="1">
      <c r="A1275" s="168"/>
      <c r="B1275" s="178">
        <v>8738</v>
      </c>
      <c r="C1275" s="178" t="s">
        <v>3647</v>
      </c>
      <c r="D1275" s="575" t="s">
        <v>3924</v>
      </c>
      <c r="E1275" s="178" t="s">
        <v>3721</v>
      </c>
      <c r="F1275" s="210" t="s">
        <v>3925</v>
      </c>
      <c r="G1275" s="58" t="s">
        <v>3926</v>
      </c>
      <c r="H1275" s="546">
        <v>4825</v>
      </c>
      <c r="I1275" s="66">
        <v>44951</v>
      </c>
      <c r="J1275" s="411" t="s">
        <v>3920</v>
      </c>
      <c r="K1275" s="58"/>
      <c r="L1275" s="99"/>
      <c r="M1275" s="70" t="s">
        <v>3727</v>
      </c>
      <c r="N1275" s="97" t="s">
        <v>414</v>
      </c>
      <c r="O1275" s="58"/>
      <c r="P1275" s="58" t="s">
        <v>22</v>
      </c>
      <c r="Q1275" s="58" t="s">
        <v>47</v>
      </c>
      <c r="R1275" s="58" t="s">
        <v>265</v>
      </c>
    </row>
    <row r="1276" spans="1:18" ht="69" customHeight="1">
      <c r="A1276" s="168"/>
      <c r="B1276" s="178">
        <v>8739</v>
      </c>
      <c r="C1276" s="178" t="s">
        <v>3647</v>
      </c>
      <c r="D1276" s="575" t="s">
        <v>3927</v>
      </c>
      <c r="E1276" s="178" t="s">
        <v>3721</v>
      </c>
      <c r="F1276" s="210" t="s">
        <v>3928</v>
      </c>
      <c r="G1276" s="58" t="s">
        <v>3919</v>
      </c>
      <c r="H1276" s="546">
        <v>20000</v>
      </c>
      <c r="I1276" s="66">
        <v>44951</v>
      </c>
      <c r="J1276" s="411" t="s">
        <v>3920</v>
      </c>
      <c r="K1276" s="58"/>
      <c r="L1276" s="99"/>
      <c r="M1276" s="70" t="s">
        <v>3727</v>
      </c>
      <c r="N1276" s="97" t="s">
        <v>414</v>
      </c>
      <c r="O1276" s="58"/>
      <c r="P1276" s="58" t="s">
        <v>22</v>
      </c>
      <c r="Q1276" s="58" t="s">
        <v>47</v>
      </c>
      <c r="R1276" s="58" t="s">
        <v>265</v>
      </c>
    </row>
    <row r="1277" spans="1:18" ht="69" customHeight="1">
      <c r="A1277" s="168"/>
      <c r="B1277" s="178">
        <v>8759</v>
      </c>
      <c r="C1277" s="178" t="s">
        <v>3647</v>
      </c>
      <c r="D1277" s="575" t="s">
        <v>3929</v>
      </c>
      <c r="E1277" s="178" t="s">
        <v>3721</v>
      </c>
      <c r="F1277" s="210" t="s">
        <v>3930</v>
      </c>
      <c r="G1277" s="58" t="s">
        <v>3931</v>
      </c>
      <c r="H1277" s="546">
        <v>41778.5</v>
      </c>
      <c r="I1277" s="66">
        <v>44953</v>
      </c>
      <c r="J1277" s="411" t="s">
        <v>3932</v>
      </c>
      <c r="K1277" s="58"/>
      <c r="L1277" s="99"/>
      <c r="M1277" s="70" t="s">
        <v>3727</v>
      </c>
      <c r="N1277" s="97" t="s">
        <v>414</v>
      </c>
      <c r="O1277" s="58"/>
      <c r="P1277" s="58" t="s">
        <v>22</v>
      </c>
      <c r="Q1277" s="58" t="s">
        <v>47</v>
      </c>
      <c r="R1277" s="58" t="s">
        <v>265</v>
      </c>
    </row>
    <row r="1278" spans="1:18" ht="69" customHeight="1">
      <c r="A1278" s="168"/>
      <c r="B1278" s="178">
        <v>8246</v>
      </c>
      <c r="C1278" s="178" t="s">
        <v>3933</v>
      </c>
      <c r="D1278" s="575" t="s">
        <v>3934</v>
      </c>
      <c r="E1278" s="178" t="s">
        <v>266</v>
      </c>
      <c r="F1278" s="210" t="s">
        <v>3935</v>
      </c>
      <c r="G1278" s="58" t="s">
        <v>392</v>
      </c>
      <c r="H1278" s="546">
        <v>60.44</v>
      </c>
      <c r="I1278" s="66">
        <v>44965</v>
      </c>
      <c r="J1278" s="411" t="s">
        <v>3936</v>
      </c>
      <c r="K1278" s="58"/>
      <c r="L1278" s="99"/>
      <c r="M1278" s="70" t="s">
        <v>3650</v>
      </c>
      <c r="N1278" s="97" t="s">
        <v>270</v>
      </c>
      <c r="O1278" s="58"/>
      <c r="P1278" s="58" t="s">
        <v>44</v>
      </c>
      <c r="Q1278" s="58" t="s">
        <v>47</v>
      </c>
      <c r="R1278" s="58" t="s">
        <v>272</v>
      </c>
    </row>
    <row r="1279" spans="1:18" ht="69" customHeight="1">
      <c r="A1279" s="168"/>
      <c r="B1279" s="178">
        <v>8265</v>
      </c>
      <c r="C1279" s="178" t="s">
        <v>3647</v>
      </c>
      <c r="D1279" s="575" t="s">
        <v>3937</v>
      </c>
      <c r="E1279" s="178" t="s">
        <v>3721</v>
      </c>
      <c r="F1279" s="210" t="s">
        <v>3938</v>
      </c>
      <c r="G1279" s="58" t="s">
        <v>3939</v>
      </c>
      <c r="H1279" s="546">
        <v>6549.4</v>
      </c>
      <c r="I1279" s="66">
        <v>44971</v>
      </c>
      <c r="J1279" s="411" t="s">
        <v>3940</v>
      </c>
      <c r="K1279" s="58"/>
      <c r="L1279" s="99"/>
      <c r="M1279" s="70" t="s">
        <v>3727</v>
      </c>
      <c r="N1279" s="97" t="s">
        <v>414</v>
      </c>
      <c r="O1279" s="58"/>
      <c r="P1279" s="58" t="s">
        <v>22</v>
      </c>
      <c r="Q1279" s="58" t="s">
        <v>47</v>
      </c>
      <c r="R1279" s="58" t="s">
        <v>265</v>
      </c>
    </row>
    <row r="1280" spans="1:18" ht="69" customHeight="1">
      <c r="A1280" s="168"/>
      <c r="B1280" s="178">
        <v>8266</v>
      </c>
      <c r="C1280" s="178" t="s">
        <v>3647</v>
      </c>
      <c r="D1280" s="575" t="s">
        <v>3941</v>
      </c>
      <c r="E1280" s="178" t="s">
        <v>3721</v>
      </c>
      <c r="F1280" s="210" t="s">
        <v>3942</v>
      </c>
      <c r="G1280" s="58" t="s">
        <v>3939</v>
      </c>
      <c r="H1280" s="546">
        <v>7372</v>
      </c>
      <c r="I1280" s="66">
        <v>44965</v>
      </c>
      <c r="J1280" s="411" t="s">
        <v>3940</v>
      </c>
      <c r="K1280" s="58"/>
      <c r="L1280" s="99"/>
      <c r="M1280" s="70" t="s">
        <v>3727</v>
      </c>
      <c r="N1280" s="97" t="s">
        <v>414</v>
      </c>
      <c r="O1280" s="58"/>
      <c r="P1280" s="58" t="s">
        <v>22</v>
      </c>
      <c r="Q1280" s="58" t="s">
        <v>47</v>
      </c>
      <c r="R1280" s="58" t="s">
        <v>265</v>
      </c>
    </row>
    <row r="1281" spans="1:18" ht="69" customHeight="1">
      <c r="A1281" s="168"/>
      <c r="B1281" s="178">
        <v>8267</v>
      </c>
      <c r="C1281" s="178" t="s">
        <v>3647</v>
      </c>
      <c r="D1281" s="575" t="s">
        <v>3943</v>
      </c>
      <c r="E1281" s="178" t="s">
        <v>3721</v>
      </c>
      <c r="F1281" s="210" t="s">
        <v>3944</v>
      </c>
      <c r="G1281" s="58" t="s">
        <v>3945</v>
      </c>
      <c r="H1281" s="546">
        <v>4693.83</v>
      </c>
      <c r="I1281" s="66">
        <v>44972</v>
      </c>
      <c r="J1281" s="411" t="s">
        <v>3940</v>
      </c>
      <c r="K1281" s="58"/>
      <c r="L1281" s="99"/>
      <c r="M1281" s="70" t="s">
        <v>3727</v>
      </c>
      <c r="N1281" s="97" t="s">
        <v>414</v>
      </c>
      <c r="O1281" s="58"/>
      <c r="P1281" s="58" t="s">
        <v>22</v>
      </c>
      <c r="Q1281" s="58" t="s">
        <v>47</v>
      </c>
      <c r="R1281" s="58" t="s">
        <v>265</v>
      </c>
    </row>
    <row r="1282" spans="1:18" ht="69" customHeight="1">
      <c r="A1282" s="168"/>
      <c r="B1282" s="178">
        <v>8274</v>
      </c>
      <c r="C1282" s="178" t="s">
        <v>3647</v>
      </c>
      <c r="D1282" s="575" t="s">
        <v>3946</v>
      </c>
      <c r="E1282" s="178" t="s">
        <v>3721</v>
      </c>
      <c r="F1282" s="210" t="s">
        <v>3947</v>
      </c>
      <c r="G1282" s="58" t="s">
        <v>3939</v>
      </c>
      <c r="H1282" s="546">
        <v>5800</v>
      </c>
      <c r="I1282" s="66">
        <v>44974</v>
      </c>
      <c r="J1282" s="411" t="s">
        <v>3948</v>
      </c>
      <c r="K1282" s="58"/>
      <c r="L1282" s="99"/>
      <c r="M1282" s="70" t="s">
        <v>3727</v>
      </c>
      <c r="N1282" s="97" t="s">
        <v>414</v>
      </c>
      <c r="O1282" s="58"/>
      <c r="P1282" s="58" t="s">
        <v>22</v>
      </c>
      <c r="Q1282" s="58" t="s">
        <v>47</v>
      </c>
      <c r="R1282" s="58" t="s">
        <v>265</v>
      </c>
    </row>
    <row r="1283" spans="1:18" ht="69" customHeight="1">
      <c r="A1283" s="168"/>
      <c r="B1283" s="178">
        <v>9037</v>
      </c>
      <c r="C1283" s="178" t="s">
        <v>3647</v>
      </c>
      <c r="D1283" s="575" t="s">
        <v>3949</v>
      </c>
      <c r="E1283" s="178" t="s">
        <v>3721</v>
      </c>
      <c r="F1283" s="210" t="s">
        <v>3950</v>
      </c>
      <c r="G1283" s="58" t="s">
        <v>3951</v>
      </c>
      <c r="H1283" s="546">
        <v>10467.58</v>
      </c>
      <c r="I1283" s="66">
        <v>44973</v>
      </c>
      <c r="J1283" s="411" t="s">
        <v>3952</v>
      </c>
      <c r="K1283" s="58"/>
      <c r="L1283" s="99"/>
      <c r="M1283" s="70" t="s">
        <v>3727</v>
      </c>
      <c r="N1283" s="97" t="s">
        <v>414</v>
      </c>
      <c r="O1283" s="58"/>
      <c r="P1283" s="58" t="s">
        <v>22</v>
      </c>
      <c r="Q1283" s="58" t="s">
        <v>47</v>
      </c>
      <c r="R1283" s="58" t="s">
        <v>265</v>
      </c>
    </row>
    <row r="1284" spans="1:18" ht="69" customHeight="1">
      <c r="A1284" s="168"/>
      <c r="B1284" s="178">
        <v>8677</v>
      </c>
      <c r="C1284" s="178" t="s">
        <v>3647</v>
      </c>
      <c r="D1284" s="575" t="s">
        <v>3953</v>
      </c>
      <c r="E1284" s="178" t="s">
        <v>3721</v>
      </c>
      <c r="F1284" s="210" t="s">
        <v>3954</v>
      </c>
      <c r="G1284" s="58" t="s">
        <v>3939</v>
      </c>
      <c r="H1284" s="546">
        <v>3448.26</v>
      </c>
      <c r="I1284" s="66">
        <v>44974</v>
      </c>
      <c r="J1284" s="411" t="s">
        <v>3948</v>
      </c>
      <c r="K1284" s="58"/>
      <c r="L1284" s="99"/>
      <c r="M1284" s="70" t="s">
        <v>3727</v>
      </c>
      <c r="N1284" s="97" t="s">
        <v>414</v>
      </c>
      <c r="O1284" s="58"/>
      <c r="P1284" s="58" t="s">
        <v>22</v>
      </c>
      <c r="Q1284" s="58" t="s">
        <v>47</v>
      </c>
      <c r="R1284" s="58" t="s">
        <v>265</v>
      </c>
    </row>
    <row r="1285" spans="1:18" ht="69" customHeight="1">
      <c r="A1285" s="168"/>
      <c r="B1285" s="178">
        <v>8689</v>
      </c>
      <c r="C1285" s="178" t="s">
        <v>3647</v>
      </c>
      <c r="D1285" s="575" t="s">
        <v>3955</v>
      </c>
      <c r="E1285" s="178" t="s">
        <v>3721</v>
      </c>
      <c r="F1285" s="210" t="s">
        <v>3956</v>
      </c>
      <c r="G1285" s="58" t="s">
        <v>3957</v>
      </c>
      <c r="H1285" s="546">
        <v>14000</v>
      </c>
      <c r="I1285" s="66">
        <v>44967</v>
      </c>
      <c r="J1285" s="411" t="s">
        <v>3958</v>
      </c>
      <c r="K1285" s="58"/>
      <c r="L1285" s="99"/>
      <c r="M1285" s="70" t="s">
        <v>3727</v>
      </c>
      <c r="N1285" s="97" t="s">
        <v>414</v>
      </c>
      <c r="O1285" s="58"/>
      <c r="P1285" s="58" t="s">
        <v>22</v>
      </c>
      <c r="Q1285" s="58" t="s">
        <v>47</v>
      </c>
      <c r="R1285" s="58" t="s">
        <v>265</v>
      </c>
    </row>
    <row r="1286" spans="1:18" ht="69" customHeight="1">
      <c r="A1286" s="168"/>
      <c r="B1286" s="178">
        <v>8690</v>
      </c>
      <c r="C1286" s="178" t="s">
        <v>3647</v>
      </c>
      <c r="D1286" s="575" t="s">
        <v>3959</v>
      </c>
      <c r="E1286" s="178" t="s">
        <v>3721</v>
      </c>
      <c r="F1286" s="210" t="s">
        <v>3960</v>
      </c>
      <c r="G1286" s="58" t="s">
        <v>3957</v>
      </c>
      <c r="H1286" s="546">
        <v>3000</v>
      </c>
      <c r="I1286" s="66">
        <v>44967</v>
      </c>
      <c r="J1286" s="411" t="s">
        <v>3958</v>
      </c>
      <c r="K1286" s="58"/>
      <c r="L1286" s="99"/>
      <c r="M1286" s="70" t="s">
        <v>3727</v>
      </c>
      <c r="N1286" s="97" t="s">
        <v>414</v>
      </c>
      <c r="O1286" s="58"/>
      <c r="P1286" s="58" t="s">
        <v>22</v>
      </c>
      <c r="Q1286" s="58" t="s">
        <v>47</v>
      </c>
      <c r="R1286" s="58" t="s">
        <v>265</v>
      </c>
    </row>
    <row r="1287" spans="1:18" ht="69" customHeight="1">
      <c r="A1287" s="168"/>
      <c r="B1287" s="178">
        <v>8722</v>
      </c>
      <c r="C1287" s="178" t="s">
        <v>3647</v>
      </c>
      <c r="D1287" s="575" t="s">
        <v>3961</v>
      </c>
      <c r="E1287" s="178" t="s">
        <v>3721</v>
      </c>
      <c r="F1287" s="210" t="s">
        <v>3962</v>
      </c>
      <c r="G1287" s="58" t="s">
        <v>3963</v>
      </c>
      <c r="H1287" s="546">
        <v>200000</v>
      </c>
      <c r="I1287" s="66">
        <v>44970</v>
      </c>
      <c r="J1287" s="411" t="s">
        <v>3964</v>
      </c>
      <c r="K1287" s="58"/>
      <c r="L1287" s="99"/>
      <c r="M1287" s="70" t="s">
        <v>3727</v>
      </c>
      <c r="N1287" s="97" t="s">
        <v>414</v>
      </c>
      <c r="O1287" s="58"/>
      <c r="P1287" s="58" t="s">
        <v>22</v>
      </c>
      <c r="Q1287" s="58" t="s">
        <v>47</v>
      </c>
      <c r="R1287" s="58" t="s">
        <v>265</v>
      </c>
    </row>
    <row r="1288" spans="1:18" ht="69" customHeight="1">
      <c r="A1288" s="168"/>
      <c r="B1288" s="178">
        <v>8724</v>
      </c>
      <c r="C1288" s="178" t="s">
        <v>3647</v>
      </c>
      <c r="D1288" s="575" t="s">
        <v>3965</v>
      </c>
      <c r="E1288" s="178" t="s">
        <v>3721</v>
      </c>
      <c r="F1288" s="210" t="s">
        <v>3966</v>
      </c>
      <c r="G1288" s="58" t="s">
        <v>3967</v>
      </c>
      <c r="H1288" s="546">
        <v>13165</v>
      </c>
      <c r="I1288" s="66">
        <v>44979</v>
      </c>
      <c r="J1288" s="411" t="s">
        <v>3964</v>
      </c>
      <c r="K1288" s="58"/>
      <c r="L1288" s="99"/>
      <c r="M1288" s="70" t="s">
        <v>3727</v>
      </c>
      <c r="N1288" s="97" t="s">
        <v>414</v>
      </c>
      <c r="O1288" s="58"/>
      <c r="P1288" s="58" t="s">
        <v>22</v>
      </c>
      <c r="Q1288" s="58" t="s">
        <v>47</v>
      </c>
      <c r="R1288" s="58" t="s">
        <v>265</v>
      </c>
    </row>
    <row r="1289" spans="1:18" ht="69" customHeight="1">
      <c r="A1289" s="168"/>
      <c r="B1289" s="178">
        <v>8730</v>
      </c>
      <c r="C1289" s="178" t="s">
        <v>3647</v>
      </c>
      <c r="D1289" s="575" t="s">
        <v>3968</v>
      </c>
      <c r="E1289" s="178" t="s">
        <v>3721</v>
      </c>
      <c r="F1289" s="210" t="s">
        <v>3969</v>
      </c>
      <c r="G1289" s="58" t="s">
        <v>3967</v>
      </c>
      <c r="H1289" s="546">
        <v>10000</v>
      </c>
      <c r="I1289" s="66">
        <v>44970</v>
      </c>
      <c r="J1289" s="411" t="s">
        <v>3970</v>
      </c>
      <c r="K1289" s="58"/>
      <c r="L1289" s="99"/>
      <c r="M1289" s="70" t="s">
        <v>3727</v>
      </c>
      <c r="N1289" s="97" t="s">
        <v>414</v>
      </c>
      <c r="O1289" s="58"/>
      <c r="P1289" s="58" t="s">
        <v>22</v>
      </c>
      <c r="Q1289" s="58" t="s">
        <v>47</v>
      </c>
      <c r="R1289" s="58" t="s">
        <v>265</v>
      </c>
    </row>
    <row r="1290" spans="1:18" ht="69" customHeight="1">
      <c r="A1290" s="168"/>
      <c r="B1290" s="178">
        <v>8733</v>
      </c>
      <c r="C1290" s="178" t="s">
        <v>3647</v>
      </c>
      <c r="D1290" s="575" t="s">
        <v>3971</v>
      </c>
      <c r="E1290" s="178" t="s">
        <v>3721</v>
      </c>
      <c r="F1290" s="210" t="s">
        <v>3972</v>
      </c>
      <c r="G1290" s="58" t="s">
        <v>3973</v>
      </c>
      <c r="H1290" s="546">
        <v>15540</v>
      </c>
      <c r="I1290" s="66">
        <v>44970</v>
      </c>
      <c r="J1290" s="411" t="s">
        <v>3970</v>
      </c>
      <c r="K1290" s="58"/>
      <c r="L1290" s="99"/>
      <c r="M1290" s="70" t="s">
        <v>3727</v>
      </c>
      <c r="N1290" s="97" t="s">
        <v>414</v>
      </c>
      <c r="O1290" s="58"/>
      <c r="P1290" s="58" t="s">
        <v>22</v>
      </c>
      <c r="Q1290" s="58" t="s">
        <v>47</v>
      </c>
      <c r="R1290" s="58" t="s">
        <v>265</v>
      </c>
    </row>
    <row r="1291" spans="1:18" ht="69" customHeight="1">
      <c r="A1291" s="168"/>
      <c r="B1291" s="178">
        <v>8749</v>
      </c>
      <c r="C1291" s="178" t="s">
        <v>3647</v>
      </c>
      <c r="D1291" s="575" t="s">
        <v>3974</v>
      </c>
      <c r="E1291" s="178" t="s">
        <v>3721</v>
      </c>
      <c r="F1291" s="210" t="s">
        <v>3975</v>
      </c>
      <c r="G1291" s="58" t="s">
        <v>3976</v>
      </c>
      <c r="H1291" s="546">
        <v>5124.8500000000004</v>
      </c>
      <c r="I1291" s="66">
        <v>44986</v>
      </c>
      <c r="J1291" s="411" t="s">
        <v>3977</v>
      </c>
      <c r="K1291" s="58"/>
      <c r="L1291" s="99"/>
      <c r="M1291" s="70" t="s">
        <v>3727</v>
      </c>
      <c r="N1291" s="97" t="s">
        <v>414</v>
      </c>
      <c r="O1291" s="58"/>
      <c r="P1291" s="58" t="s">
        <v>22</v>
      </c>
      <c r="Q1291" s="58" t="s">
        <v>47</v>
      </c>
      <c r="R1291" s="58" t="s">
        <v>265</v>
      </c>
    </row>
    <row r="1292" spans="1:18" ht="69" customHeight="1">
      <c r="A1292" s="168"/>
      <c r="B1292" s="178">
        <v>8750</v>
      </c>
      <c r="C1292" s="178" t="s">
        <v>3647</v>
      </c>
      <c r="D1292" s="575" t="s">
        <v>3978</v>
      </c>
      <c r="E1292" s="178" t="s">
        <v>3721</v>
      </c>
      <c r="F1292" s="210" t="s">
        <v>3979</v>
      </c>
      <c r="G1292" s="58" t="s">
        <v>3976</v>
      </c>
      <c r="H1292" s="546">
        <v>11647.83</v>
      </c>
      <c r="I1292" s="66">
        <v>44986</v>
      </c>
      <c r="J1292" s="411" t="s">
        <v>3977</v>
      </c>
      <c r="K1292" s="58"/>
      <c r="L1292" s="99"/>
      <c r="M1292" s="70" t="s">
        <v>3727</v>
      </c>
      <c r="N1292" s="97" t="s">
        <v>414</v>
      </c>
      <c r="O1292" s="58"/>
      <c r="P1292" s="58" t="s">
        <v>22</v>
      </c>
      <c r="Q1292" s="58" t="s">
        <v>47</v>
      </c>
      <c r="R1292" s="58" t="s">
        <v>265</v>
      </c>
    </row>
    <row r="1293" spans="1:18" ht="69" customHeight="1">
      <c r="A1293" s="168"/>
      <c r="B1293" s="178">
        <v>8752</v>
      </c>
      <c r="C1293" s="178" t="s">
        <v>3647</v>
      </c>
      <c r="D1293" s="575" t="s">
        <v>3980</v>
      </c>
      <c r="E1293" s="178" t="s">
        <v>3721</v>
      </c>
      <c r="F1293" s="210" t="s">
        <v>3981</v>
      </c>
      <c r="G1293" s="58" t="s">
        <v>3982</v>
      </c>
      <c r="H1293" s="546">
        <v>5600</v>
      </c>
      <c r="I1293" s="66">
        <v>44972</v>
      </c>
      <c r="J1293" s="411" t="s">
        <v>3977</v>
      </c>
      <c r="K1293" s="58"/>
      <c r="L1293" s="99"/>
      <c r="M1293" s="70" t="s">
        <v>3727</v>
      </c>
      <c r="N1293" s="97" t="s">
        <v>414</v>
      </c>
      <c r="O1293" s="58"/>
      <c r="P1293" s="58" t="s">
        <v>22</v>
      </c>
      <c r="Q1293" s="58" t="s">
        <v>47</v>
      </c>
      <c r="R1293" s="58" t="s">
        <v>265</v>
      </c>
    </row>
    <row r="1294" spans="1:18" ht="69" customHeight="1">
      <c r="A1294" s="168"/>
      <c r="B1294" s="178">
        <v>8774</v>
      </c>
      <c r="C1294" s="178" t="s">
        <v>3647</v>
      </c>
      <c r="D1294" s="575" t="s">
        <v>3983</v>
      </c>
      <c r="E1294" s="178" t="s">
        <v>3721</v>
      </c>
      <c r="F1294" s="210" t="s">
        <v>3984</v>
      </c>
      <c r="G1294" s="58" t="s">
        <v>3985</v>
      </c>
      <c r="H1294" s="546">
        <v>4250</v>
      </c>
      <c r="I1294" s="66">
        <v>44979</v>
      </c>
      <c r="J1294" s="411" t="s">
        <v>3986</v>
      </c>
      <c r="K1294" s="58"/>
      <c r="L1294" s="99"/>
      <c r="M1294" s="70" t="s">
        <v>3727</v>
      </c>
      <c r="N1294" s="97" t="s">
        <v>414</v>
      </c>
      <c r="O1294" s="58"/>
      <c r="P1294" s="58" t="s">
        <v>22</v>
      </c>
      <c r="Q1294" s="58" t="s">
        <v>47</v>
      </c>
      <c r="R1294" s="58" t="s">
        <v>265</v>
      </c>
    </row>
    <row r="1295" spans="1:18" ht="69" customHeight="1">
      <c r="A1295" s="168"/>
      <c r="B1295" s="178">
        <v>8775</v>
      </c>
      <c r="C1295" s="178" t="s">
        <v>3647</v>
      </c>
      <c r="D1295" s="575" t="s">
        <v>3987</v>
      </c>
      <c r="E1295" s="178" t="s">
        <v>3721</v>
      </c>
      <c r="F1295" s="210" t="s">
        <v>3988</v>
      </c>
      <c r="G1295" s="58" t="s">
        <v>3989</v>
      </c>
      <c r="H1295" s="546">
        <v>7200</v>
      </c>
      <c r="I1295" s="66">
        <v>44972</v>
      </c>
      <c r="J1295" s="411" t="s">
        <v>3986</v>
      </c>
      <c r="K1295" s="58"/>
      <c r="L1295" s="99"/>
      <c r="M1295" s="70" t="s">
        <v>3727</v>
      </c>
      <c r="N1295" s="97" t="s">
        <v>414</v>
      </c>
      <c r="O1295" s="58"/>
      <c r="P1295" s="58" t="s">
        <v>22</v>
      </c>
      <c r="Q1295" s="58" t="s">
        <v>47</v>
      </c>
      <c r="R1295" s="58" t="s">
        <v>265</v>
      </c>
    </row>
    <row r="1296" spans="1:18" ht="69" customHeight="1">
      <c r="A1296" s="168"/>
      <c r="B1296" s="178">
        <v>8779</v>
      </c>
      <c r="C1296" s="178" t="s">
        <v>3647</v>
      </c>
      <c r="D1296" s="575" t="s">
        <v>3990</v>
      </c>
      <c r="E1296" s="178" t="s">
        <v>3721</v>
      </c>
      <c r="F1296" s="210" t="s">
        <v>3991</v>
      </c>
      <c r="G1296" s="58" t="s">
        <v>3992</v>
      </c>
      <c r="H1296" s="546">
        <v>9500</v>
      </c>
      <c r="I1296" s="66">
        <v>44974</v>
      </c>
      <c r="J1296" s="411" t="s">
        <v>3993</v>
      </c>
      <c r="K1296" s="58"/>
      <c r="L1296" s="99"/>
      <c r="M1296" s="70" t="s">
        <v>3727</v>
      </c>
      <c r="N1296" s="97" t="s">
        <v>414</v>
      </c>
      <c r="O1296" s="58"/>
      <c r="P1296" s="58" t="s">
        <v>22</v>
      </c>
      <c r="Q1296" s="58" t="s">
        <v>47</v>
      </c>
      <c r="R1296" s="58" t="s">
        <v>265</v>
      </c>
    </row>
    <row r="1297" spans="1:18" ht="69" customHeight="1">
      <c r="A1297" s="168"/>
      <c r="B1297" s="178">
        <v>8780</v>
      </c>
      <c r="C1297" s="178" t="s">
        <v>3647</v>
      </c>
      <c r="D1297" s="575" t="s">
        <v>3994</v>
      </c>
      <c r="E1297" s="178" t="s">
        <v>3721</v>
      </c>
      <c r="F1297" s="210" t="s">
        <v>3995</v>
      </c>
      <c r="G1297" s="58" t="s">
        <v>3985</v>
      </c>
      <c r="H1297" s="546">
        <v>5285</v>
      </c>
      <c r="I1297" s="66">
        <v>44980</v>
      </c>
      <c r="J1297" s="411" t="s">
        <v>3993</v>
      </c>
      <c r="K1297" s="58"/>
      <c r="L1297" s="99"/>
      <c r="M1297" s="70" t="s">
        <v>3727</v>
      </c>
      <c r="N1297" s="97" t="s">
        <v>414</v>
      </c>
      <c r="O1297" s="58"/>
      <c r="P1297" s="58" t="s">
        <v>22</v>
      </c>
      <c r="Q1297" s="58" t="s">
        <v>47</v>
      </c>
      <c r="R1297" s="58" t="s">
        <v>265</v>
      </c>
    </row>
    <row r="1298" spans="1:18" ht="69" customHeight="1">
      <c r="A1298" s="168"/>
      <c r="B1298" s="178">
        <v>8792</v>
      </c>
      <c r="C1298" s="178" t="s">
        <v>3647</v>
      </c>
      <c r="D1298" s="575" t="s">
        <v>3996</v>
      </c>
      <c r="E1298" s="178" t="s">
        <v>3721</v>
      </c>
      <c r="F1298" s="210" t="s">
        <v>3997</v>
      </c>
      <c r="G1298" s="58" t="s">
        <v>3998</v>
      </c>
      <c r="H1298" s="546">
        <v>3548</v>
      </c>
      <c r="I1298" s="66">
        <v>44978</v>
      </c>
      <c r="J1298" s="411" t="s">
        <v>3999</v>
      </c>
      <c r="K1298" s="58"/>
      <c r="L1298" s="99"/>
      <c r="M1298" s="70" t="s">
        <v>3727</v>
      </c>
      <c r="N1298" s="97" t="s">
        <v>414</v>
      </c>
      <c r="O1298" s="58"/>
      <c r="P1298" s="58" t="s">
        <v>22</v>
      </c>
      <c r="Q1298" s="58" t="s">
        <v>47</v>
      </c>
      <c r="R1298" s="58" t="s">
        <v>265</v>
      </c>
    </row>
    <row r="1299" spans="1:18" ht="69" customHeight="1">
      <c r="A1299" s="168"/>
      <c r="B1299" s="178">
        <v>8795</v>
      </c>
      <c r="C1299" s="178" t="s">
        <v>3647</v>
      </c>
      <c r="D1299" s="575" t="s">
        <v>4000</v>
      </c>
      <c r="E1299" s="178" t="s">
        <v>3721</v>
      </c>
      <c r="F1299" s="210" t="s">
        <v>4001</v>
      </c>
      <c r="G1299" s="58" t="s">
        <v>3985</v>
      </c>
      <c r="H1299" s="546">
        <v>23385.19</v>
      </c>
      <c r="I1299" s="66">
        <v>44980</v>
      </c>
      <c r="J1299" s="411" t="s">
        <v>4002</v>
      </c>
      <c r="K1299" s="58"/>
      <c r="L1299" s="99"/>
      <c r="M1299" s="70" t="s">
        <v>3727</v>
      </c>
      <c r="N1299" s="97" t="s">
        <v>414</v>
      </c>
      <c r="O1299" s="58"/>
      <c r="P1299" s="58" t="s">
        <v>22</v>
      </c>
      <c r="Q1299" s="58" t="s">
        <v>47</v>
      </c>
      <c r="R1299" s="58" t="s">
        <v>265</v>
      </c>
    </row>
    <row r="1300" spans="1:18" ht="69" customHeight="1">
      <c r="A1300" s="168"/>
      <c r="B1300" s="191">
        <v>8797</v>
      </c>
      <c r="C1300" s="191" t="s">
        <v>3647</v>
      </c>
      <c r="D1300" s="533" t="s">
        <v>4003</v>
      </c>
      <c r="E1300" s="191" t="s">
        <v>3721</v>
      </c>
      <c r="F1300" s="211" t="s">
        <v>4004</v>
      </c>
      <c r="G1300" s="46" t="s">
        <v>4005</v>
      </c>
      <c r="H1300" s="534">
        <v>5500</v>
      </c>
      <c r="I1300" s="56">
        <v>44991</v>
      </c>
      <c r="J1300" s="412" t="s">
        <v>4006</v>
      </c>
      <c r="K1300" s="534" t="s">
        <v>167</v>
      </c>
      <c r="L1300" s="99"/>
      <c r="M1300" s="379"/>
      <c r="N1300" s="76" t="s">
        <v>414</v>
      </c>
      <c r="O1300" s="46"/>
      <c r="P1300" s="46" t="s">
        <v>65</v>
      </c>
      <c r="Q1300" s="46" t="s">
        <v>47</v>
      </c>
      <c r="R1300" s="46" t="s">
        <v>272</v>
      </c>
    </row>
    <row r="1301" spans="1:18" ht="69" customHeight="1">
      <c r="A1301" s="168"/>
      <c r="B1301" s="178">
        <v>8801</v>
      </c>
      <c r="C1301" s="178" t="s">
        <v>3647</v>
      </c>
      <c r="D1301" s="575" t="s">
        <v>4007</v>
      </c>
      <c r="E1301" s="178" t="s">
        <v>3721</v>
      </c>
      <c r="F1301" s="210" t="s">
        <v>4008</v>
      </c>
      <c r="G1301" s="58" t="s">
        <v>4009</v>
      </c>
      <c r="H1301" s="546">
        <v>9000</v>
      </c>
      <c r="I1301" s="66">
        <v>44974</v>
      </c>
      <c r="J1301" s="411" t="s">
        <v>4010</v>
      </c>
      <c r="K1301" s="58"/>
      <c r="L1301" s="99"/>
      <c r="M1301" s="70" t="s">
        <v>4011</v>
      </c>
      <c r="N1301" s="97" t="s">
        <v>414</v>
      </c>
      <c r="O1301" s="58"/>
      <c r="P1301" s="58" t="s">
        <v>22</v>
      </c>
      <c r="Q1301" s="58" t="s">
        <v>52</v>
      </c>
      <c r="R1301" s="58" t="s">
        <v>265</v>
      </c>
    </row>
    <row r="1302" spans="1:18" ht="69" customHeight="1">
      <c r="A1302" s="168"/>
      <c r="B1302" s="178">
        <v>8895</v>
      </c>
      <c r="C1302" s="178" t="s">
        <v>3647</v>
      </c>
      <c r="D1302" s="575" t="s">
        <v>4012</v>
      </c>
      <c r="E1302" s="178" t="s">
        <v>3721</v>
      </c>
      <c r="F1302" s="210" t="s">
        <v>4013</v>
      </c>
      <c r="G1302" s="58" t="s">
        <v>4014</v>
      </c>
      <c r="H1302" s="546">
        <v>15500</v>
      </c>
      <c r="I1302" s="66">
        <v>44986</v>
      </c>
      <c r="J1302" s="411" t="s">
        <v>4015</v>
      </c>
      <c r="K1302" s="58"/>
      <c r="L1302" s="99"/>
      <c r="M1302" s="70" t="s">
        <v>3727</v>
      </c>
      <c r="N1302" s="97" t="s">
        <v>414</v>
      </c>
      <c r="O1302" s="58"/>
      <c r="P1302" s="58" t="s">
        <v>22</v>
      </c>
      <c r="Q1302" s="58" t="s">
        <v>47</v>
      </c>
      <c r="R1302" s="58" t="s">
        <v>265</v>
      </c>
    </row>
    <row r="1303" spans="1:18" ht="69" customHeight="1">
      <c r="A1303" s="168"/>
      <c r="B1303" s="178">
        <v>8896</v>
      </c>
      <c r="C1303" s="178" t="s">
        <v>3647</v>
      </c>
      <c r="D1303" s="575" t="s">
        <v>4016</v>
      </c>
      <c r="E1303" s="178" t="s">
        <v>3721</v>
      </c>
      <c r="F1303" s="210" t="s">
        <v>4017</v>
      </c>
      <c r="G1303" s="58" t="s">
        <v>3939</v>
      </c>
      <c r="H1303" s="546">
        <v>3200</v>
      </c>
      <c r="I1303" s="66">
        <v>44986</v>
      </c>
      <c r="J1303" s="411" t="s">
        <v>4015</v>
      </c>
      <c r="K1303" s="58"/>
      <c r="L1303" s="99"/>
      <c r="M1303" s="70" t="s">
        <v>3727</v>
      </c>
      <c r="N1303" s="97" t="s">
        <v>414</v>
      </c>
      <c r="O1303" s="58"/>
      <c r="P1303" s="58" t="s">
        <v>22</v>
      </c>
      <c r="Q1303" s="58" t="s">
        <v>47</v>
      </c>
      <c r="R1303" s="58" t="s">
        <v>265</v>
      </c>
    </row>
    <row r="1304" spans="1:18" ht="69" customHeight="1">
      <c r="A1304" s="168"/>
      <c r="B1304" s="178">
        <v>9038</v>
      </c>
      <c r="C1304" s="178" t="s">
        <v>3647</v>
      </c>
      <c r="D1304" s="575" t="s">
        <v>4018</v>
      </c>
      <c r="E1304" s="178" t="s">
        <v>3721</v>
      </c>
      <c r="F1304" s="210" t="s">
        <v>4019</v>
      </c>
      <c r="G1304" s="58" t="s">
        <v>4020</v>
      </c>
      <c r="H1304" s="546">
        <v>14000</v>
      </c>
      <c r="I1304" s="66">
        <v>45001</v>
      </c>
      <c r="J1304" s="411" t="s">
        <v>3952</v>
      </c>
      <c r="K1304" s="58"/>
      <c r="L1304" s="99"/>
      <c r="M1304" s="70" t="s">
        <v>3727</v>
      </c>
      <c r="N1304" s="97" t="s">
        <v>414</v>
      </c>
      <c r="O1304" s="58"/>
      <c r="P1304" s="58" t="s">
        <v>22</v>
      </c>
      <c r="Q1304" s="58" t="s">
        <v>47</v>
      </c>
      <c r="R1304" s="58" t="s">
        <v>265</v>
      </c>
    </row>
    <row r="1305" spans="1:18" ht="69" customHeight="1">
      <c r="A1305" s="168"/>
      <c r="B1305" s="178">
        <v>9051</v>
      </c>
      <c r="C1305" s="178" t="s">
        <v>3647</v>
      </c>
      <c r="D1305" s="575"/>
      <c r="E1305" s="178" t="s">
        <v>3721</v>
      </c>
      <c r="F1305" s="210" t="s">
        <v>4021</v>
      </c>
      <c r="G1305" s="58" t="s">
        <v>3951</v>
      </c>
      <c r="H1305" s="546">
        <v>5880</v>
      </c>
      <c r="I1305" s="66">
        <v>45001</v>
      </c>
      <c r="J1305" s="411" t="s">
        <v>4022</v>
      </c>
      <c r="K1305" s="58"/>
      <c r="L1305" s="99"/>
      <c r="M1305" s="70" t="s">
        <v>3727</v>
      </c>
      <c r="N1305" s="97" t="s">
        <v>414</v>
      </c>
      <c r="O1305" s="58"/>
      <c r="P1305" s="58" t="s">
        <v>22</v>
      </c>
      <c r="Q1305" s="58" t="s">
        <v>47</v>
      </c>
      <c r="R1305" s="58" t="s">
        <v>265</v>
      </c>
    </row>
    <row r="1306" spans="1:18" ht="69" customHeight="1">
      <c r="A1306" s="168"/>
      <c r="B1306" s="178">
        <v>8899</v>
      </c>
      <c r="C1306" s="178" t="s">
        <v>3647</v>
      </c>
      <c r="D1306" s="575" t="s">
        <v>4023</v>
      </c>
      <c r="E1306" s="178" t="s">
        <v>3721</v>
      </c>
      <c r="F1306" s="210" t="s">
        <v>4024</v>
      </c>
      <c r="G1306" s="58" t="s">
        <v>4025</v>
      </c>
      <c r="H1306" s="546">
        <v>17000</v>
      </c>
      <c r="I1306" s="66">
        <v>44986</v>
      </c>
      <c r="J1306" s="411" t="s">
        <v>4015</v>
      </c>
      <c r="K1306" s="58"/>
      <c r="L1306" s="99"/>
      <c r="M1306" s="70" t="s">
        <v>3727</v>
      </c>
      <c r="N1306" s="97" t="s">
        <v>414</v>
      </c>
      <c r="O1306" s="58"/>
      <c r="P1306" s="58" t="s">
        <v>22</v>
      </c>
      <c r="Q1306" s="58" t="s">
        <v>47</v>
      </c>
      <c r="R1306" s="58" t="s">
        <v>265</v>
      </c>
    </row>
    <row r="1307" spans="1:18" ht="69" customHeight="1">
      <c r="A1307" s="168"/>
      <c r="B1307" s="178">
        <v>8914</v>
      </c>
      <c r="C1307" s="178" t="s">
        <v>3647</v>
      </c>
      <c r="D1307" s="575" t="s">
        <v>4026</v>
      </c>
      <c r="E1307" s="178" t="s">
        <v>3721</v>
      </c>
      <c r="F1307" s="210" t="s">
        <v>4027</v>
      </c>
      <c r="G1307" s="58" t="s">
        <v>3939</v>
      </c>
      <c r="H1307" s="546">
        <v>3680</v>
      </c>
      <c r="I1307" s="66">
        <v>44988</v>
      </c>
      <c r="J1307" s="411" t="s">
        <v>4028</v>
      </c>
      <c r="K1307" s="58"/>
      <c r="L1307" s="99"/>
      <c r="M1307" s="70" t="s">
        <v>3727</v>
      </c>
      <c r="N1307" s="97" t="s">
        <v>414</v>
      </c>
      <c r="O1307" s="58"/>
      <c r="P1307" s="58" t="s">
        <v>22</v>
      </c>
      <c r="Q1307" s="58" t="s">
        <v>47</v>
      </c>
      <c r="R1307" s="58" t="s">
        <v>265</v>
      </c>
    </row>
    <row r="1308" spans="1:18" ht="69" customHeight="1">
      <c r="A1308" s="168"/>
      <c r="B1308" s="178">
        <v>8915</v>
      </c>
      <c r="C1308" s="178" t="s">
        <v>3647</v>
      </c>
      <c r="D1308" s="575" t="s">
        <v>4029</v>
      </c>
      <c r="E1308" s="178" t="s">
        <v>3721</v>
      </c>
      <c r="F1308" s="210" t="s">
        <v>4030</v>
      </c>
      <c r="G1308" s="58" t="s">
        <v>4031</v>
      </c>
      <c r="H1308" s="546">
        <v>9000</v>
      </c>
      <c r="I1308" s="66">
        <v>44619</v>
      </c>
      <c r="J1308" s="411" t="s">
        <v>4028</v>
      </c>
      <c r="K1308" s="58"/>
      <c r="L1308" s="99"/>
      <c r="M1308" s="70" t="s">
        <v>3727</v>
      </c>
      <c r="N1308" s="97" t="s">
        <v>414</v>
      </c>
      <c r="O1308" s="58"/>
      <c r="P1308" s="58" t="s">
        <v>22</v>
      </c>
      <c r="Q1308" s="58" t="s">
        <v>47</v>
      </c>
      <c r="R1308" s="58" t="s">
        <v>265</v>
      </c>
    </row>
    <row r="1309" spans="1:18" ht="69" customHeight="1">
      <c r="A1309" s="168"/>
      <c r="B1309" s="178">
        <v>9069</v>
      </c>
      <c r="C1309" s="178" t="s">
        <v>3647</v>
      </c>
      <c r="D1309" s="575" t="s">
        <v>4032</v>
      </c>
      <c r="E1309" s="178" t="s">
        <v>4033</v>
      </c>
      <c r="F1309" s="210" t="s">
        <v>4034</v>
      </c>
      <c r="G1309" s="58" t="s">
        <v>4035</v>
      </c>
      <c r="H1309" s="546">
        <v>400000</v>
      </c>
      <c r="I1309" s="66">
        <v>44998</v>
      </c>
      <c r="J1309" s="411" t="s">
        <v>4036</v>
      </c>
      <c r="K1309" s="58"/>
      <c r="L1309" s="99"/>
      <c r="M1309" s="70" t="s">
        <v>3704</v>
      </c>
      <c r="N1309" s="97" t="s">
        <v>414</v>
      </c>
      <c r="O1309" s="58"/>
      <c r="P1309" s="58" t="s">
        <v>22</v>
      </c>
      <c r="Q1309" s="58" t="s">
        <v>47</v>
      </c>
      <c r="R1309" s="58" t="s">
        <v>272</v>
      </c>
    </row>
    <row r="1310" spans="1:18" ht="69" customHeight="1">
      <c r="A1310" s="168"/>
      <c r="B1310" s="178">
        <v>9068</v>
      </c>
      <c r="C1310" s="178" t="s">
        <v>3647</v>
      </c>
      <c r="D1310" s="575" t="s">
        <v>4037</v>
      </c>
      <c r="E1310" s="178" t="s">
        <v>3721</v>
      </c>
      <c r="F1310" s="210" t="s">
        <v>4038</v>
      </c>
      <c r="G1310" s="58" t="s">
        <v>4039</v>
      </c>
      <c r="H1310" s="546">
        <v>26729.3</v>
      </c>
      <c r="I1310" s="66">
        <v>45002</v>
      </c>
      <c r="J1310" s="411" t="s">
        <v>4040</v>
      </c>
      <c r="K1310" s="58"/>
      <c r="L1310" s="99"/>
      <c r="M1310" s="70" t="s">
        <v>3727</v>
      </c>
      <c r="N1310" s="97" t="s">
        <v>414</v>
      </c>
      <c r="O1310" s="58"/>
      <c r="P1310" s="58" t="s">
        <v>22</v>
      </c>
      <c r="Q1310" s="58" t="s">
        <v>47</v>
      </c>
      <c r="R1310" s="58" t="s">
        <v>265</v>
      </c>
    </row>
    <row r="1311" spans="1:18" ht="69" customHeight="1">
      <c r="A1311" s="168"/>
      <c r="B1311" s="178">
        <v>9071</v>
      </c>
      <c r="C1311" s="178" t="s">
        <v>3647</v>
      </c>
      <c r="D1311" s="575" t="s">
        <v>4041</v>
      </c>
      <c r="E1311" s="178" t="s">
        <v>3721</v>
      </c>
      <c r="F1311" s="210" t="s">
        <v>4042</v>
      </c>
      <c r="G1311" s="58" t="s">
        <v>4043</v>
      </c>
      <c r="H1311" s="546">
        <v>12000</v>
      </c>
      <c r="I1311" s="66">
        <v>45000</v>
      </c>
      <c r="J1311" s="411" t="s">
        <v>4044</v>
      </c>
      <c r="K1311" s="58"/>
      <c r="L1311" s="99"/>
      <c r="M1311" s="70" t="s">
        <v>3727</v>
      </c>
      <c r="N1311" s="97" t="s">
        <v>414</v>
      </c>
      <c r="O1311" s="58"/>
      <c r="P1311" s="58" t="s">
        <v>22</v>
      </c>
      <c r="Q1311" s="58" t="s">
        <v>47</v>
      </c>
      <c r="R1311" s="58" t="s">
        <v>265</v>
      </c>
    </row>
    <row r="1312" spans="1:18" ht="69" customHeight="1">
      <c r="A1312" s="168"/>
      <c r="B1312" s="178">
        <v>9072</v>
      </c>
      <c r="C1312" s="178" t="s">
        <v>3647</v>
      </c>
      <c r="D1312" s="575" t="s">
        <v>4045</v>
      </c>
      <c r="E1312" s="178" t="s">
        <v>3721</v>
      </c>
      <c r="F1312" s="210" t="s">
        <v>4046</v>
      </c>
      <c r="G1312" s="58" t="s">
        <v>4047</v>
      </c>
      <c r="H1312" s="546">
        <v>7224</v>
      </c>
      <c r="I1312" s="66">
        <v>45000</v>
      </c>
      <c r="J1312" s="411" t="s">
        <v>4044</v>
      </c>
      <c r="K1312" s="58"/>
      <c r="L1312" s="99"/>
      <c r="M1312" s="70" t="s">
        <v>3727</v>
      </c>
      <c r="N1312" s="97" t="s">
        <v>414</v>
      </c>
      <c r="O1312" s="58"/>
      <c r="P1312" s="58" t="s">
        <v>22</v>
      </c>
      <c r="Q1312" s="58" t="s">
        <v>47</v>
      </c>
      <c r="R1312" s="58" t="s">
        <v>265</v>
      </c>
    </row>
    <row r="1313" spans="1:18" ht="69" customHeight="1">
      <c r="A1313" s="168"/>
      <c r="B1313" s="178">
        <v>9074</v>
      </c>
      <c r="C1313" s="178" t="s">
        <v>3647</v>
      </c>
      <c r="D1313" s="575" t="s">
        <v>4048</v>
      </c>
      <c r="E1313" s="178" t="s">
        <v>3721</v>
      </c>
      <c r="F1313" s="210" t="s">
        <v>4049</v>
      </c>
      <c r="G1313" s="58" t="s">
        <v>4050</v>
      </c>
      <c r="H1313" s="546">
        <v>3000</v>
      </c>
      <c r="I1313" s="66">
        <v>45000</v>
      </c>
      <c r="J1313" s="411" t="s">
        <v>4044</v>
      </c>
      <c r="K1313" s="58"/>
      <c r="L1313" s="99"/>
      <c r="M1313" s="70" t="s">
        <v>3727</v>
      </c>
      <c r="N1313" s="97" t="s">
        <v>414</v>
      </c>
      <c r="O1313" s="58"/>
      <c r="P1313" s="58" t="s">
        <v>22</v>
      </c>
      <c r="Q1313" s="58" t="s">
        <v>47</v>
      </c>
      <c r="R1313" s="58" t="s">
        <v>265</v>
      </c>
    </row>
    <row r="1314" spans="1:18" ht="69" customHeight="1">
      <c r="A1314" s="168"/>
      <c r="B1314" s="178">
        <v>9078</v>
      </c>
      <c r="C1314" s="178" t="s">
        <v>3647</v>
      </c>
      <c r="D1314" s="575" t="s">
        <v>4051</v>
      </c>
      <c r="E1314" s="178" t="s">
        <v>3721</v>
      </c>
      <c r="F1314" s="210" t="s">
        <v>4052</v>
      </c>
      <c r="G1314" s="58" t="s">
        <v>4039</v>
      </c>
      <c r="H1314" s="546">
        <v>5683.5</v>
      </c>
      <c r="I1314" s="66">
        <v>45005</v>
      </c>
      <c r="J1314" s="411" t="s">
        <v>4053</v>
      </c>
      <c r="K1314" s="58"/>
      <c r="L1314" s="99"/>
      <c r="M1314" s="70" t="s">
        <v>3727</v>
      </c>
      <c r="N1314" s="97" t="s">
        <v>414</v>
      </c>
      <c r="O1314" s="58"/>
      <c r="P1314" s="58" t="s">
        <v>22</v>
      </c>
      <c r="Q1314" s="58" t="s">
        <v>47</v>
      </c>
      <c r="R1314" s="58" t="s">
        <v>265</v>
      </c>
    </row>
    <row r="1315" spans="1:18" ht="69" customHeight="1">
      <c r="A1315" s="168"/>
      <c r="B1315" s="191">
        <v>9731</v>
      </c>
      <c r="C1315" s="191" t="s">
        <v>3647</v>
      </c>
      <c r="D1315" s="533" t="s">
        <v>4054</v>
      </c>
      <c r="E1315" s="191" t="s">
        <v>4055</v>
      </c>
      <c r="F1315" s="211" t="s">
        <v>4056</v>
      </c>
      <c r="G1315" s="46" t="s">
        <v>4057</v>
      </c>
      <c r="H1315" s="534">
        <v>34000</v>
      </c>
      <c r="I1315" s="56">
        <v>45041</v>
      </c>
      <c r="J1315" s="412" t="s">
        <v>4058</v>
      </c>
      <c r="K1315" s="46" t="s">
        <v>167</v>
      </c>
      <c r="L1315" s="99"/>
      <c r="M1315" s="379"/>
      <c r="N1315" s="76" t="s">
        <v>414</v>
      </c>
      <c r="O1315" s="46"/>
      <c r="P1315" s="46" t="s">
        <v>65</v>
      </c>
      <c r="Q1315" s="46" t="s">
        <v>47</v>
      </c>
      <c r="R1315" s="46" t="s">
        <v>272</v>
      </c>
    </row>
    <row r="1316" spans="1:18" ht="69" customHeight="1">
      <c r="A1316" s="168"/>
      <c r="B1316" s="178">
        <v>9789</v>
      </c>
      <c r="C1316" s="178" t="s">
        <v>3647</v>
      </c>
      <c r="D1316" s="575" t="s">
        <v>4059</v>
      </c>
      <c r="E1316" s="178" t="s">
        <v>3721</v>
      </c>
      <c r="F1316" s="210" t="s">
        <v>4060</v>
      </c>
      <c r="G1316" s="58" t="s">
        <v>4061</v>
      </c>
      <c r="H1316" s="546">
        <v>3583.01</v>
      </c>
      <c r="I1316" s="66">
        <v>45040</v>
      </c>
      <c r="J1316" s="411" t="s">
        <v>4062</v>
      </c>
      <c r="K1316" s="58"/>
      <c r="L1316" s="99"/>
      <c r="M1316" s="70" t="s">
        <v>3727</v>
      </c>
      <c r="N1316" s="97" t="s">
        <v>414</v>
      </c>
      <c r="O1316" s="58"/>
      <c r="P1316" s="58" t="s">
        <v>22</v>
      </c>
      <c r="Q1316" s="58" t="s">
        <v>47</v>
      </c>
      <c r="R1316" s="58" t="s">
        <v>265</v>
      </c>
    </row>
    <row r="1317" spans="1:18" ht="69" customHeight="1">
      <c r="A1317" s="168"/>
      <c r="B1317" s="178">
        <v>9089</v>
      </c>
      <c r="C1317" s="178" t="s">
        <v>3647</v>
      </c>
      <c r="D1317" s="575" t="s">
        <v>4063</v>
      </c>
      <c r="E1317" s="178" t="s">
        <v>3721</v>
      </c>
      <c r="F1317" s="210" t="s">
        <v>4064</v>
      </c>
      <c r="G1317" s="58" t="s">
        <v>4065</v>
      </c>
      <c r="H1317" s="546">
        <v>7680</v>
      </c>
      <c r="I1317" s="66">
        <v>45000</v>
      </c>
      <c r="J1317" s="411" t="s">
        <v>4066</v>
      </c>
      <c r="K1317" s="58"/>
      <c r="L1317" s="99"/>
      <c r="M1317" s="70" t="s">
        <v>3727</v>
      </c>
      <c r="N1317" s="97" t="s">
        <v>414</v>
      </c>
      <c r="O1317" s="58"/>
      <c r="P1317" s="58" t="s">
        <v>22</v>
      </c>
      <c r="Q1317" s="58" t="s">
        <v>47</v>
      </c>
      <c r="R1317" s="58" t="s">
        <v>265</v>
      </c>
    </row>
    <row r="1318" spans="1:18" ht="69" customHeight="1">
      <c r="A1318" s="168"/>
      <c r="B1318" s="178">
        <v>9090</v>
      </c>
      <c r="C1318" s="178" t="s">
        <v>3647</v>
      </c>
      <c r="D1318" s="575" t="s">
        <v>4067</v>
      </c>
      <c r="E1318" s="178" t="s">
        <v>3721</v>
      </c>
      <c r="F1318" s="210" t="s">
        <v>4068</v>
      </c>
      <c r="G1318" s="58" t="s">
        <v>4069</v>
      </c>
      <c r="H1318" s="546">
        <v>10940</v>
      </c>
      <c r="I1318" s="66">
        <v>45000</v>
      </c>
      <c r="J1318" s="411" t="s">
        <v>4066</v>
      </c>
      <c r="K1318" s="58"/>
      <c r="L1318" s="99"/>
      <c r="M1318" s="70" t="s">
        <v>3727</v>
      </c>
      <c r="N1318" s="97" t="s">
        <v>414</v>
      </c>
      <c r="O1318" s="58"/>
      <c r="P1318" s="58" t="s">
        <v>22</v>
      </c>
      <c r="Q1318" s="58" t="s">
        <v>47</v>
      </c>
      <c r="R1318" s="58" t="s">
        <v>265</v>
      </c>
    </row>
    <row r="1319" spans="1:18" ht="69" customHeight="1">
      <c r="A1319" s="168"/>
      <c r="B1319" s="178">
        <v>9091</v>
      </c>
      <c r="C1319" s="178" t="s">
        <v>3647</v>
      </c>
      <c r="D1319" s="575" t="s">
        <v>4070</v>
      </c>
      <c r="E1319" s="178" t="s">
        <v>3721</v>
      </c>
      <c r="F1319" s="210" t="s">
        <v>4071</v>
      </c>
      <c r="G1319" s="58" t="s">
        <v>4072</v>
      </c>
      <c r="H1319" s="546">
        <v>12000</v>
      </c>
      <c r="I1319" s="66">
        <v>45000</v>
      </c>
      <c r="J1319" s="411" t="s">
        <v>4066</v>
      </c>
      <c r="K1319" s="58"/>
      <c r="L1319" s="99"/>
      <c r="M1319" s="70" t="s">
        <v>3727</v>
      </c>
      <c r="N1319" s="97" t="s">
        <v>414</v>
      </c>
      <c r="O1319" s="58"/>
      <c r="P1319" s="58" t="s">
        <v>22</v>
      </c>
      <c r="Q1319" s="58" t="s">
        <v>47</v>
      </c>
      <c r="R1319" s="58" t="s">
        <v>265</v>
      </c>
    </row>
    <row r="1320" spans="1:18" ht="69" customHeight="1">
      <c r="A1320" s="168"/>
      <c r="B1320" s="191">
        <v>9094</v>
      </c>
      <c r="C1320" s="191" t="s">
        <v>3647</v>
      </c>
      <c r="D1320" s="533" t="s">
        <v>4073</v>
      </c>
      <c r="E1320" s="191" t="s">
        <v>4055</v>
      </c>
      <c r="F1320" s="211" t="s">
        <v>4074</v>
      </c>
      <c r="G1320" s="46" t="s">
        <v>4075</v>
      </c>
      <c r="H1320" s="534">
        <v>34000</v>
      </c>
      <c r="I1320" s="56" t="s">
        <v>96</v>
      </c>
      <c r="J1320" s="412" t="s">
        <v>4058</v>
      </c>
      <c r="K1320" s="46" t="s">
        <v>167</v>
      </c>
      <c r="L1320" s="99"/>
      <c r="M1320" s="379"/>
      <c r="N1320" s="76" t="s">
        <v>414</v>
      </c>
      <c r="O1320" s="46"/>
      <c r="P1320" s="46" t="s">
        <v>65</v>
      </c>
      <c r="Q1320" s="46" t="s">
        <v>47</v>
      </c>
      <c r="R1320" s="46" t="s">
        <v>272</v>
      </c>
    </row>
    <row r="1321" spans="1:18" ht="69" customHeight="1">
      <c r="A1321" s="168"/>
      <c r="B1321" s="178">
        <v>9113</v>
      </c>
      <c r="C1321" s="178" t="s">
        <v>3647</v>
      </c>
      <c r="D1321" s="575" t="s">
        <v>4076</v>
      </c>
      <c r="E1321" s="178" t="s">
        <v>3721</v>
      </c>
      <c r="F1321" s="210" t="s">
        <v>4077</v>
      </c>
      <c r="G1321" s="58" t="s">
        <v>4078</v>
      </c>
      <c r="H1321" s="546">
        <v>5000</v>
      </c>
      <c r="I1321" s="66">
        <v>45002</v>
      </c>
      <c r="J1321" s="411" t="s">
        <v>4079</v>
      </c>
      <c r="K1321" s="58"/>
      <c r="L1321" s="99"/>
      <c r="M1321" s="70" t="s">
        <v>3727</v>
      </c>
      <c r="N1321" s="97" t="s">
        <v>414</v>
      </c>
      <c r="O1321" s="58"/>
      <c r="P1321" s="58" t="s">
        <v>22</v>
      </c>
      <c r="Q1321" s="58" t="s">
        <v>47</v>
      </c>
      <c r="R1321" s="58" t="s">
        <v>265</v>
      </c>
    </row>
    <row r="1322" spans="1:18" ht="69" customHeight="1">
      <c r="A1322" s="168"/>
      <c r="B1322" s="178">
        <v>9340</v>
      </c>
      <c r="C1322" s="178" t="s">
        <v>3647</v>
      </c>
      <c r="D1322" s="575" t="s">
        <v>4080</v>
      </c>
      <c r="E1322" s="178" t="s">
        <v>3721</v>
      </c>
      <c r="F1322" s="210" t="s">
        <v>4081</v>
      </c>
      <c r="G1322" s="58" t="s">
        <v>4082</v>
      </c>
      <c r="H1322" s="546">
        <v>27900.85</v>
      </c>
      <c r="I1322" s="66">
        <v>45007</v>
      </c>
      <c r="J1322" s="411" t="s">
        <v>4083</v>
      </c>
      <c r="K1322" s="58"/>
      <c r="L1322" s="99"/>
      <c r="M1322" s="70" t="s">
        <v>3727</v>
      </c>
      <c r="N1322" s="97" t="s">
        <v>414</v>
      </c>
      <c r="O1322" s="58"/>
      <c r="P1322" s="58" t="s">
        <v>22</v>
      </c>
      <c r="Q1322" s="58" t="s">
        <v>47</v>
      </c>
      <c r="R1322" s="58" t="s">
        <v>265</v>
      </c>
    </row>
    <row r="1323" spans="1:18" ht="69" customHeight="1">
      <c r="A1323" s="168"/>
      <c r="B1323" s="191">
        <v>9341</v>
      </c>
      <c r="C1323" s="191" t="s">
        <v>3647</v>
      </c>
      <c r="D1323" s="533" t="s">
        <v>4084</v>
      </c>
      <c r="E1323" s="191" t="s">
        <v>3721</v>
      </c>
      <c r="F1323" s="211" t="s">
        <v>4085</v>
      </c>
      <c r="G1323" s="46" t="s">
        <v>4082</v>
      </c>
      <c r="H1323" s="534">
        <v>4052.91</v>
      </c>
      <c r="I1323" s="56">
        <v>45007</v>
      </c>
      <c r="J1323" s="412" t="s">
        <v>4086</v>
      </c>
      <c r="K1323" s="46" t="s">
        <v>167</v>
      </c>
      <c r="L1323" s="99"/>
      <c r="M1323" s="379"/>
      <c r="N1323" s="76" t="s">
        <v>414</v>
      </c>
      <c r="O1323" s="46"/>
      <c r="P1323" s="46" t="s">
        <v>65</v>
      </c>
      <c r="Q1323" s="46" t="s">
        <v>47</v>
      </c>
      <c r="R1323" s="46" t="s">
        <v>272</v>
      </c>
    </row>
    <row r="1324" spans="1:18" ht="69" customHeight="1">
      <c r="A1324" s="168"/>
      <c r="B1324" s="178">
        <v>9383</v>
      </c>
      <c r="C1324" s="178" t="s">
        <v>3647</v>
      </c>
      <c r="D1324" s="575" t="s">
        <v>4087</v>
      </c>
      <c r="E1324" s="178" t="s">
        <v>3721</v>
      </c>
      <c r="F1324" s="210" t="s">
        <v>4088</v>
      </c>
      <c r="G1324" s="58" t="s">
        <v>4089</v>
      </c>
      <c r="H1324" s="546">
        <v>17000</v>
      </c>
      <c r="I1324" s="66">
        <v>45009</v>
      </c>
      <c r="J1324" s="411" t="s">
        <v>4090</v>
      </c>
      <c r="K1324" s="58"/>
      <c r="L1324" s="99"/>
      <c r="M1324" s="70" t="s">
        <v>3727</v>
      </c>
      <c r="N1324" s="97" t="s">
        <v>414</v>
      </c>
      <c r="O1324" s="58"/>
      <c r="P1324" s="58" t="s">
        <v>22</v>
      </c>
      <c r="Q1324" s="58" t="s">
        <v>47</v>
      </c>
      <c r="R1324" s="58" t="s">
        <v>265</v>
      </c>
    </row>
    <row r="1325" spans="1:18" ht="69" customHeight="1">
      <c r="A1325" s="168"/>
      <c r="B1325" s="178">
        <v>9386</v>
      </c>
      <c r="C1325" s="178" t="s">
        <v>3647</v>
      </c>
      <c r="D1325" s="575" t="s">
        <v>4091</v>
      </c>
      <c r="E1325" s="178" t="s">
        <v>3721</v>
      </c>
      <c r="F1325" s="210" t="s">
        <v>4092</v>
      </c>
      <c r="G1325" s="58" t="s">
        <v>4093</v>
      </c>
      <c r="H1325" s="546">
        <v>3000</v>
      </c>
      <c r="I1325" s="66">
        <v>45043</v>
      </c>
      <c r="J1325" s="411" t="s">
        <v>4094</v>
      </c>
      <c r="K1325" s="58"/>
      <c r="L1325" s="99"/>
      <c r="M1325" s="70" t="s">
        <v>3727</v>
      </c>
      <c r="N1325" s="97" t="s">
        <v>414</v>
      </c>
      <c r="O1325" s="58"/>
      <c r="P1325" s="58" t="s">
        <v>22</v>
      </c>
      <c r="Q1325" s="58" t="s">
        <v>47</v>
      </c>
      <c r="R1325" s="58" t="s">
        <v>265</v>
      </c>
    </row>
    <row r="1326" spans="1:18" ht="69" customHeight="1">
      <c r="A1326" s="168"/>
      <c r="B1326" s="178">
        <v>9400</v>
      </c>
      <c r="C1326" s="178" t="s">
        <v>3647</v>
      </c>
      <c r="D1326" s="575" t="s">
        <v>4095</v>
      </c>
      <c r="E1326" s="178" t="s">
        <v>3721</v>
      </c>
      <c r="F1326" s="210" t="s">
        <v>4096</v>
      </c>
      <c r="G1326" s="58" t="s">
        <v>4097</v>
      </c>
      <c r="H1326" s="546">
        <v>4200</v>
      </c>
      <c r="I1326" s="66">
        <v>45031</v>
      </c>
      <c r="J1326" s="411" t="s">
        <v>4098</v>
      </c>
      <c r="K1326" s="58"/>
      <c r="L1326" s="99"/>
      <c r="M1326" s="70" t="s">
        <v>3727</v>
      </c>
      <c r="N1326" s="97" t="s">
        <v>414</v>
      </c>
      <c r="O1326" s="58"/>
      <c r="P1326" s="58" t="s">
        <v>22</v>
      </c>
      <c r="Q1326" s="58" t="s">
        <v>47</v>
      </c>
      <c r="R1326" s="58" t="s">
        <v>265</v>
      </c>
    </row>
    <row r="1327" spans="1:18" ht="69" customHeight="1">
      <c r="A1327" s="168"/>
      <c r="B1327" s="178">
        <v>9367</v>
      </c>
      <c r="C1327" s="178" t="s">
        <v>3647</v>
      </c>
      <c r="D1327" s="575" t="s">
        <v>4099</v>
      </c>
      <c r="E1327" s="178" t="s">
        <v>266</v>
      </c>
      <c r="F1327" s="210" t="s">
        <v>4100</v>
      </c>
      <c r="G1327" s="58" t="s">
        <v>4101</v>
      </c>
      <c r="H1327" s="546">
        <v>60.44</v>
      </c>
      <c r="I1327" s="66">
        <v>45009</v>
      </c>
      <c r="J1327" s="411" t="s">
        <v>4102</v>
      </c>
      <c r="K1327" s="58"/>
      <c r="L1327" s="99"/>
      <c r="M1327" s="70" t="s">
        <v>3650</v>
      </c>
      <c r="N1327" s="97" t="s">
        <v>270</v>
      </c>
      <c r="O1327" s="58"/>
      <c r="P1327" s="58" t="s">
        <v>44</v>
      </c>
      <c r="Q1327" s="58" t="s">
        <v>47</v>
      </c>
      <c r="R1327" s="58" t="s">
        <v>272</v>
      </c>
    </row>
    <row r="1328" spans="1:18" ht="69" customHeight="1">
      <c r="A1328" s="168"/>
      <c r="B1328" s="178">
        <v>9816</v>
      </c>
      <c r="C1328" s="59" t="s">
        <v>3667</v>
      </c>
      <c r="D1328" s="575" t="s">
        <v>4103</v>
      </c>
      <c r="E1328" s="178" t="s">
        <v>266</v>
      </c>
      <c r="F1328" s="210" t="s">
        <v>4104</v>
      </c>
      <c r="G1328" s="58" t="s">
        <v>590</v>
      </c>
      <c r="H1328" s="546">
        <v>1150</v>
      </c>
      <c r="I1328" s="66">
        <v>45041</v>
      </c>
      <c r="J1328" s="411" t="s">
        <v>4105</v>
      </c>
      <c r="K1328" s="58"/>
      <c r="L1328" s="99"/>
      <c r="M1328" s="70" t="s">
        <v>3650</v>
      </c>
      <c r="N1328" s="97" t="s">
        <v>270</v>
      </c>
      <c r="O1328" s="58"/>
      <c r="P1328" s="58" t="s">
        <v>44</v>
      </c>
      <c r="Q1328" s="58" t="s">
        <v>47</v>
      </c>
      <c r="R1328" s="58" t="s">
        <v>272</v>
      </c>
    </row>
    <row r="1329" spans="1:18" ht="69" customHeight="1">
      <c r="A1329" s="168"/>
      <c r="B1329" s="178">
        <v>9840</v>
      </c>
      <c r="C1329" s="178" t="s">
        <v>3647</v>
      </c>
      <c r="D1329" s="575" t="s">
        <v>4106</v>
      </c>
      <c r="E1329" s="178" t="s">
        <v>3721</v>
      </c>
      <c r="F1329" s="210" t="s">
        <v>4107</v>
      </c>
      <c r="G1329" s="58" t="s">
        <v>4108</v>
      </c>
      <c r="H1329" s="546">
        <v>3000</v>
      </c>
      <c r="I1329" s="66">
        <v>45041</v>
      </c>
      <c r="J1329" s="411" t="s">
        <v>4109</v>
      </c>
      <c r="K1329" s="58"/>
      <c r="L1329" s="99"/>
      <c r="M1329" s="70" t="s">
        <v>3727</v>
      </c>
      <c r="N1329" s="97" t="s">
        <v>414</v>
      </c>
      <c r="O1329" s="58"/>
      <c r="P1329" s="58" t="s">
        <v>22</v>
      </c>
      <c r="Q1329" s="58" t="s">
        <v>47</v>
      </c>
      <c r="R1329" s="58" t="s">
        <v>265</v>
      </c>
    </row>
    <row r="1330" spans="1:18" ht="69" customHeight="1">
      <c r="A1330" s="168"/>
      <c r="B1330" s="178">
        <v>9841</v>
      </c>
      <c r="C1330" s="178" t="s">
        <v>3647</v>
      </c>
      <c r="D1330" s="575" t="s">
        <v>4110</v>
      </c>
      <c r="E1330" s="178" t="s">
        <v>3721</v>
      </c>
      <c r="F1330" s="210" t="s">
        <v>4111</v>
      </c>
      <c r="G1330" s="58" t="s">
        <v>4112</v>
      </c>
      <c r="H1330" s="546">
        <v>12000</v>
      </c>
      <c r="I1330" s="66">
        <v>45041</v>
      </c>
      <c r="J1330" s="411" t="s">
        <v>4109</v>
      </c>
      <c r="K1330" s="58"/>
      <c r="L1330" s="99"/>
      <c r="M1330" s="70" t="s">
        <v>3727</v>
      </c>
      <c r="N1330" s="97" t="s">
        <v>414</v>
      </c>
      <c r="O1330" s="58"/>
      <c r="P1330" s="58" t="s">
        <v>22</v>
      </c>
      <c r="Q1330" s="58" t="s">
        <v>47</v>
      </c>
      <c r="R1330" s="58" t="s">
        <v>265</v>
      </c>
    </row>
    <row r="1331" spans="1:18" ht="69" customHeight="1">
      <c r="A1331" s="168"/>
      <c r="B1331" s="178">
        <v>9842</v>
      </c>
      <c r="C1331" s="178" t="s">
        <v>3647</v>
      </c>
      <c r="D1331" s="575" t="s">
        <v>4113</v>
      </c>
      <c r="E1331" s="178" t="s">
        <v>3721</v>
      </c>
      <c r="F1331" s="210" t="s">
        <v>4114</v>
      </c>
      <c r="G1331" s="58" t="s">
        <v>4115</v>
      </c>
      <c r="H1331" s="546">
        <v>17000</v>
      </c>
      <c r="I1331" s="66">
        <v>45041</v>
      </c>
      <c r="J1331" s="411" t="s">
        <v>4109</v>
      </c>
      <c r="K1331" s="58"/>
      <c r="L1331" s="99"/>
      <c r="M1331" s="70" t="s">
        <v>3727</v>
      </c>
      <c r="N1331" s="97" t="s">
        <v>414</v>
      </c>
      <c r="O1331" s="58" t="s">
        <v>4116</v>
      </c>
      <c r="P1331" s="58" t="s">
        <v>22</v>
      </c>
      <c r="Q1331" s="58" t="s">
        <v>47</v>
      </c>
      <c r="R1331" s="58" t="s">
        <v>265</v>
      </c>
    </row>
    <row r="1332" spans="1:18" ht="69" customHeight="1">
      <c r="A1332" s="168"/>
      <c r="B1332" s="178">
        <v>9844</v>
      </c>
      <c r="C1332" s="178" t="s">
        <v>3647</v>
      </c>
      <c r="D1332" s="575" t="s">
        <v>4117</v>
      </c>
      <c r="E1332" s="178" t="s">
        <v>3721</v>
      </c>
      <c r="F1332" s="210" t="s">
        <v>4118</v>
      </c>
      <c r="G1332" s="58" t="s">
        <v>4119</v>
      </c>
      <c r="H1332" s="546">
        <v>9941.75</v>
      </c>
      <c r="I1332" s="66">
        <v>45041</v>
      </c>
      <c r="J1332" s="411" t="s">
        <v>4109</v>
      </c>
      <c r="K1332" s="58"/>
      <c r="L1332" s="99"/>
      <c r="M1332" s="70" t="s">
        <v>3727</v>
      </c>
      <c r="N1332" s="97" t="s">
        <v>414</v>
      </c>
      <c r="O1332" s="58"/>
      <c r="P1332" s="58" t="s">
        <v>22</v>
      </c>
      <c r="Q1332" s="58" t="s">
        <v>47</v>
      </c>
      <c r="R1332" s="58" t="s">
        <v>265</v>
      </c>
    </row>
    <row r="1333" spans="1:18" ht="69" customHeight="1">
      <c r="A1333" s="168"/>
      <c r="B1333" s="178">
        <v>9955</v>
      </c>
      <c r="C1333" s="178" t="s">
        <v>3647</v>
      </c>
      <c r="D1333" s="575" t="s">
        <v>4120</v>
      </c>
      <c r="E1333" s="178" t="s">
        <v>3721</v>
      </c>
      <c r="F1333" s="210" t="s">
        <v>4121</v>
      </c>
      <c r="G1333" s="58" t="s">
        <v>4122</v>
      </c>
      <c r="H1333" s="546">
        <v>110000</v>
      </c>
      <c r="I1333" s="66">
        <v>45061</v>
      </c>
      <c r="J1333" s="411" t="s">
        <v>4123</v>
      </c>
      <c r="K1333" s="58"/>
      <c r="L1333" s="99"/>
      <c r="M1333" s="70" t="s">
        <v>3727</v>
      </c>
      <c r="N1333" s="97" t="s">
        <v>414</v>
      </c>
      <c r="O1333" s="58"/>
      <c r="P1333" s="58" t="s">
        <v>22</v>
      </c>
      <c r="Q1333" s="58" t="s">
        <v>47</v>
      </c>
      <c r="R1333" s="58" t="s">
        <v>265</v>
      </c>
    </row>
    <row r="1334" spans="1:18" ht="69" customHeight="1">
      <c r="A1334" s="168"/>
      <c r="B1334" s="207">
        <v>9846</v>
      </c>
      <c r="C1334" s="207" t="s">
        <v>3647</v>
      </c>
      <c r="D1334" s="301" t="s">
        <v>4124</v>
      </c>
      <c r="E1334" s="207" t="s">
        <v>3833</v>
      </c>
      <c r="F1334" s="208" t="s">
        <v>4125</v>
      </c>
      <c r="G1334" s="160" t="s">
        <v>4126</v>
      </c>
      <c r="H1334" s="300">
        <v>0</v>
      </c>
      <c r="I1334" s="209">
        <v>45051</v>
      </c>
      <c r="J1334" s="322" t="s">
        <v>4127</v>
      </c>
      <c r="K1334" s="160" t="s">
        <v>4128</v>
      </c>
      <c r="M1334" s="379" t="s">
        <v>3836</v>
      </c>
      <c r="N1334" s="76" t="s">
        <v>356</v>
      </c>
      <c r="O1334" s="160"/>
      <c r="P1334" s="160" t="s">
        <v>67</v>
      </c>
      <c r="Q1334" s="160" t="s">
        <v>47</v>
      </c>
      <c r="R1334" s="160" t="s">
        <v>265</v>
      </c>
    </row>
    <row r="1335" spans="1:18" ht="69" customHeight="1">
      <c r="A1335" s="168"/>
      <c r="B1335" s="191">
        <v>2976</v>
      </c>
      <c r="C1335" s="191" t="s">
        <v>3643</v>
      </c>
      <c r="D1335" s="533" t="s">
        <v>4129</v>
      </c>
      <c r="E1335" s="191" t="s">
        <v>331</v>
      </c>
      <c r="F1335" s="211" t="s">
        <v>4130</v>
      </c>
      <c r="G1335" s="46" t="s">
        <v>3646</v>
      </c>
      <c r="H1335" s="534">
        <v>0</v>
      </c>
      <c r="I1335" s="56" t="s">
        <v>96</v>
      </c>
      <c r="J1335" s="412" t="s">
        <v>334</v>
      </c>
      <c r="K1335" s="46"/>
      <c r="L1335" s="99"/>
      <c r="M1335" s="379" t="s">
        <v>52</v>
      </c>
      <c r="N1335" s="76" t="s">
        <v>69</v>
      </c>
      <c r="O1335" s="46"/>
      <c r="P1335" s="46" t="s">
        <v>69</v>
      </c>
      <c r="Q1335" s="46" t="s">
        <v>52</v>
      </c>
      <c r="R1335" s="46" t="s">
        <v>272</v>
      </c>
    </row>
    <row r="1336" spans="1:18" ht="69" customHeight="1">
      <c r="A1336" s="168"/>
      <c r="B1336" s="191">
        <v>3203</v>
      </c>
      <c r="C1336" s="191" t="s">
        <v>3647</v>
      </c>
      <c r="D1336" s="533" t="s">
        <v>518</v>
      </c>
      <c r="E1336" s="191" t="s">
        <v>331</v>
      </c>
      <c r="F1336" s="211" t="s">
        <v>4130</v>
      </c>
      <c r="G1336" s="46" t="s">
        <v>3646</v>
      </c>
      <c r="H1336" s="534">
        <v>0</v>
      </c>
      <c r="I1336" s="56" t="s">
        <v>96</v>
      </c>
      <c r="J1336" s="412" t="s">
        <v>334</v>
      </c>
      <c r="K1336" s="46"/>
      <c r="L1336" s="99"/>
      <c r="M1336" s="379" t="s">
        <v>52</v>
      </c>
      <c r="N1336" s="76" t="s">
        <v>69</v>
      </c>
      <c r="O1336" s="46"/>
      <c r="P1336" s="46" t="s">
        <v>69</v>
      </c>
      <c r="Q1336" s="46" t="s">
        <v>52</v>
      </c>
      <c r="R1336" s="46" t="s">
        <v>272</v>
      </c>
    </row>
    <row r="1337" spans="1:18" ht="69" customHeight="1">
      <c r="A1337" s="168"/>
      <c r="B1337" s="178">
        <v>4005</v>
      </c>
      <c r="C1337" s="178" t="s">
        <v>3647</v>
      </c>
      <c r="D1337" s="575" t="s">
        <v>2430</v>
      </c>
      <c r="E1337" s="178" t="s">
        <v>266</v>
      </c>
      <c r="F1337" s="210" t="s">
        <v>4131</v>
      </c>
      <c r="G1337" s="58" t="s">
        <v>1107</v>
      </c>
      <c r="H1337" s="546">
        <v>7293.34</v>
      </c>
      <c r="I1337" s="66">
        <v>44643</v>
      </c>
      <c r="J1337" s="411" t="s">
        <v>4132</v>
      </c>
      <c r="K1337" s="58"/>
      <c r="L1337" s="99"/>
      <c r="M1337" s="70" t="s">
        <v>4133</v>
      </c>
      <c r="N1337" s="97" t="s">
        <v>970</v>
      </c>
      <c r="O1337" s="58" t="s">
        <v>971</v>
      </c>
      <c r="P1337" s="58" t="s">
        <v>38</v>
      </c>
      <c r="Q1337" s="58" t="s">
        <v>52</v>
      </c>
      <c r="R1337" s="58" t="s">
        <v>272</v>
      </c>
    </row>
    <row r="1338" spans="1:18" ht="69" customHeight="1">
      <c r="A1338" s="168"/>
      <c r="B1338" s="178">
        <v>4304</v>
      </c>
      <c r="C1338" s="59" t="s">
        <v>3667</v>
      </c>
      <c r="D1338" s="575" t="s">
        <v>3408</v>
      </c>
      <c r="E1338" s="178" t="s">
        <v>266</v>
      </c>
      <c r="F1338" s="210" t="s">
        <v>4134</v>
      </c>
      <c r="G1338" s="58" t="s">
        <v>307</v>
      </c>
      <c r="H1338" s="546">
        <v>12000</v>
      </c>
      <c r="I1338" s="66">
        <v>44659</v>
      </c>
      <c r="J1338" s="411" t="s">
        <v>4135</v>
      </c>
      <c r="K1338" s="58"/>
      <c r="L1338" s="99"/>
      <c r="M1338" s="70" t="s">
        <v>4136</v>
      </c>
      <c r="N1338" s="97" t="s">
        <v>270</v>
      </c>
      <c r="O1338" s="58"/>
      <c r="P1338" s="58" t="s">
        <v>44</v>
      </c>
      <c r="Q1338" s="58" t="s">
        <v>52</v>
      </c>
      <c r="R1338" s="58" t="s">
        <v>272</v>
      </c>
    </row>
    <row r="1339" spans="1:18" ht="69" customHeight="1">
      <c r="A1339" s="168"/>
      <c r="B1339" s="178">
        <v>4741</v>
      </c>
      <c r="C1339" s="178" t="s">
        <v>3647</v>
      </c>
      <c r="D1339" s="575" t="s">
        <v>2218</v>
      </c>
      <c r="E1339" s="178" t="s">
        <v>331</v>
      </c>
      <c r="F1339" s="210" t="s">
        <v>4137</v>
      </c>
      <c r="G1339" s="58"/>
      <c r="H1339" s="546">
        <v>3389.12</v>
      </c>
      <c r="I1339" s="66">
        <v>44678</v>
      </c>
      <c r="J1339" s="411" t="s">
        <v>4138</v>
      </c>
      <c r="K1339" s="58"/>
      <c r="L1339" s="99"/>
      <c r="M1339" s="70" t="s">
        <v>4136</v>
      </c>
      <c r="N1339" s="97" t="s">
        <v>270</v>
      </c>
      <c r="O1339" s="58"/>
      <c r="P1339" s="58" t="s">
        <v>44</v>
      </c>
      <c r="Q1339" s="58" t="s">
        <v>52</v>
      </c>
      <c r="R1339" s="58" t="s">
        <v>272</v>
      </c>
    </row>
    <row r="1340" spans="1:18" ht="69" customHeight="1">
      <c r="A1340" s="168"/>
      <c r="B1340" s="178">
        <v>4097</v>
      </c>
      <c r="C1340" s="178" t="s">
        <v>3647</v>
      </c>
      <c r="D1340" s="575" t="s">
        <v>1457</v>
      </c>
      <c r="E1340" s="178" t="s">
        <v>266</v>
      </c>
      <c r="F1340" s="210" t="s">
        <v>4139</v>
      </c>
      <c r="G1340" s="58" t="s">
        <v>3674</v>
      </c>
      <c r="H1340" s="546">
        <v>10690</v>
      </c>
      <c r="I1340" s="66">
        <v>44676</v>
      </c>
      <c r="J1340" s="411" t="s">
        <v>4140</v>
      </c>
      <c r="K1340" s="58"/>
      <c r="L1340" s="99"/>
      <c r="M1340" s="70" t="s">
        <v>4136</v>
      </c>
      <c r="N1340" s="97" t="s">
        <v>270</v>
      </c>
      <c r="O1340" s="58"/>
      <c r="P1340" s="58" t="s">
        <v>44</v>
      </c>
      <c r="Q1340" s="58" t="s">
        <v>52</v>
      </c>
      <c r="R1340" s="58" t="s">
        <v>272</v>
      </c>
    </row>
    <row r="1341" spans="1:18" ht="69" customHeight="1">
      <c r="A1341" s="168"/>
      <c r="B1341" s="178">
        <v>4790</v>
      </c>
      <c r="C1341" s="178" t="s">
        <v>3647</v>
      </c>
      <c r="D1341" s="575" t="s">
        <v>647</v>
      </c>
      <c r="E1341" s="178" t="s">
        <v>266</v>
      </c>
      <c r="F1341" s="210" t="s">
        <v>4141</v>
      </c>
      <c r="G1341" s="58" t="s">
        <v>3677</v>
      </c>
      <c r="H1341" s="546">
        <v>34260</v>
      </c>
      <c r="I1341" s="66">
        <v>44697</v>
      </c>
      <c r="J1341" s="411" t="s">
        <v>4142</v>
      </c>
      <c r="K1341" s="58"/>
      <c r="L1341" s="99"/>
      <c r="M1341" s="70" t="s">
        <v>4136</v>
      </c>
      <c r="N1341" s="97" t="s">
        <v>270</v>
      </c>
      <c r="O1341" s="58"/>
      <c r="P1341" s="58" t="s">
        <v>44</v>
      </c>
      <c r="Q1341" s="58" t="s">
        <v>52</v>
      </c>
      <c r="R1341" s="58" t="s">
        <v>272</v>
      </c>
    </row>
    <row r="1342" spans="1:18" ht="69" customHeight="1">
      <c r="A1342" s="168"/>
      <c r="B1342" s="178">
        <v>4861</v>
      </c>
      <c r="C1342" s="178" t="s">
        <v>3647</v>
      </c>
      <c r="D1342" s="575" t="s">
        <v>4143</v>
      </c>
      <c r="E1342" s="178" t="s">
        <v>266</v>
      </c>
      <c r="F1342" s="210" t="s">
        <v>4144</v>
      </c>
      <c r="G1342" s="58" t="s">
        <v>680</v>
      </c>
      <c r="H1342" s="546">
        <v>7000</v>
      </c>
      <c r="I1342" s="66">
        <v>44706</v>
      </c>
      <c r="J1342" s="411" t="s">
        <v>4145</v>
      </c>
      <c r="K1342" s="58"/>
      <c r="L1342" s="99"/>
      <c r="M1342" s="70" t="s">
        <v>4146</v>
      </c>
      <c r="N1342" s="97" t="s">
        <v>683</v>
      </c>
      <c r="O1342" s="58" t="s">
        <v>684</v>
      </c>
      <c r="P1342" s="58" t="s">
        <v>46</v>
      </c>
      <c r="Q1342" s="58" t="s">
        <v>52</v>
      </c>
      <c r="R1342" s="58" t="s">
        <v>272</v>
      </c>
    </row>
    <row r="1343" spans="1:18" ht="69" customHeight="1">
      <c r="A1343" s="168"/>
      <c r="B1343" s="178">
        <v>4741</v>
      </c>
      <c r="C1343" s="178" t="s">
        <v>3647</v>
      </c>
      <c r="D1343" s="575" t="s">
        <v>2954</v>
      </c>
      <c r="E1343" s="178" t="s">
        <v>331</v>
      </c>
      <c r="F1343" s="210" t="s">
        <v>4147</v>
      </c>
      <c r="G1343" s="58" t="s">
        <v>372</v>
      </c>
      <c r="H1343" s="546">
        <v>30502.1</v>
      </c>
      <c r="I1343" s="66">
        <v>44701</v>
      </c>
      <c r="J1343" s="411" t="s">
        <v>4148</v>
      </c>
      <c r="K1343" s="58"/>
      <c r="L1343" s="99"/>
      <c r="M1343" s="70" t="s">
        <v>4136</v>
      </c>
      <c r="N1343" s="97" t="s">
        <v>270</v>
      </c>
      <c r="O1343" s="58"/>
      <c r="P1343" s="58" t="s">
        <v>44</v>
      </c>
      <c r="Q1343" s="58" t="s">
        <v>52</v>
      </c>
      <c r="R1343" s="58" t="s">
        <v>272</v>
      </c>
    </row>
    <row r="1344" spans="1:18" ht="69" customHeight="1">
      <c r="A1344" s="168"/>
      <c r="B1344" s="178">
        <v>4005</v>
      </c>
      <c r="C1344" s="178" t="s">
        <v>3647</v>
      </c>
      <c r="D1344" s="575" t="s">
        <v>1514</v>
      </c>
      <c r="E1344" s="178" t="s">
        <v>266</v>
      </c>
      <c r="F1344" s="210" t="s">
        <v>4149</v>
      </c>
      <c r="G1344" s="58" t="s">
        <v>1107</v>
      </c>
      <c r="H1344" s="546">
        <v>7293.34</v>
      </c>
      <c r="I1344" s="66">
        <v>44725</v>
      </c>
      <c r="J1344" s="411" t="s">
        <v>4150</v>
      </c>
      <c r="K1344" s="58"/>
      <c r="L1344" s="99"/>
      <c r="M1344" s="70" t="s">
        <v>4133</v>
      </c>
      <c r="N1344" s="97" t="s">
        <v>970</v>
      </c>
      <c r="O1344" s="58" t="s">
        <v>971</v>
      </c>
      <c r="P1344" s="58" t="s">
        <v>38</v>
      </c>
      <c r="Q1344" s="58" t="s">
        <v>52</v>
      </c>
      <c r="R1344" s="58" t="s">
        <v>272</v>
      </c>
    </row>
    <row r="1345" spans="1:18" ht="69" customHeight="1">
      <c r="A1345" s="168"/>
      <c r="B1345" s="178">
        <v>4006</v>
      </c>
      <c r="C1345" s="59" t="s">
        <v>3667</v>
      </c>
      <c r="D1345" s="575" t="s">
        <v>951</v>
      </c>
      <c r="E1345" s="178" t="s">
        <v>382</v>
      </c>
      <c r="F1345" s="210" t="s">
        <v>4151</v>
      </c>
      <c r="G1345" s="58" t="s">
        <v>384</v>
      </c>
      <c r="H1345" s="546">
        <v>27761.33</v>
      </c>
      <c r="I1345" s="66">
        <v>44739</v>
      </c>
      <c r="J1345" s="411" t="s">
        <v>4152</v>
      </c>
      <c r="K1345" s="58"/>
      <c r="L1345" s="99"/>
      <c r="M1345" s="70" t="s">
        <v>4153</v>
      </c>
      <c r="N1345" s="97" t="s">
        <v>387</v>
      </c>
      <c r="O1345" s="58" t="s">
        <v>150</v>
      </c>
      <c r="P1345" s="58" t="s">
        <v>51</v>
      </c>
      <c r="Q1345" s="58" t="s">
        <v>52</v>
      </c>
      <c r="R1345" s="58" t="s">
        <v>272</v>
      </c>
    </row>
    <row r="1346" spans="1:18" ht="69" customHeight="1">
      <c r="A1346" s="168"/>
      <c r="B1346" s="178">
        <v>4007</v>
      </c>
      <c r="C1346" s="59" t="s">
        <v>3667</v>
      </c>
      <c r="D1346" s="575" t="s">
        <v>3190</v>
      </c>
      <c r="E1346" s="178" t="s">
        <v>382</v>
      </c>
      <c r="F1346" s="210" t="s">
        <v>4154</v>
      </c>
      <c r="G1346" s="58" t="s">
        <v>384</v>
      </c>
      <c r="H1346" s="546">
        <v>39819.519999999997</v>
      </c>
      <c r="I1346" s="66">
        <v>44739</v>
      </c>
      <c r="J1346" s="411" t="s">
        <v>4155</v>
      </c>
      <c r="K1346" s="58"/>
      <c r="L1346" s="99"/>
      <c r="M1346" s="70" t="s">
        <v>4153</v>
      </c>
      <c r="N1346" s="97" t="s">
        <v>387</v>
      </c>
      <c r="O1346" s="58" t="s">
        <v>150</v>
      </c>
      <c r="P1346" s="58" t="s">
        <v>51</v>
      </c>
      <c r="Q1346" s="58" t="s">
        <v>52</v>
      </c>
      <c r="R1346" s="58" t="s">
        <v>272</v>
      </c>
    </row>
    <row r="1347" spans="1:18" ht="69" customHeight="1">
      <c r="A1347" s="168"/>
      <c r="B1347" s="178">
        <v>5021</v>
      </c>
      <c r="C1347" s="178" t="s">
        <v>3647</v>
      </c>
      <c r="D1347" s="575" t="s">
        <v>1738</v>
      </c>
      <c r="E1347" s="178" t="s">
        <v>266</v>
      </c>
      <c r="F1347" s="210" t="s">
        <v>4156</v>
      </c>
      <c r="G1347" s="58" t="s">
        <v>1753</v>
      </c>
      <c r="H1347" s="546">
        <v>5390</v>
      </c>
      <c r="I1347" s="66">
        <v>44762</v>
      </c>
      <c r="J1347" s="411" t="s">
        <v>4157</v>
      </c>
      <c r="K1347" s="58" t="s">
        <v>705</v>
      </c>
      <c r="L1347" s="99"/>
      <c r="M1347" s="70" t="s">
        <v>4136</v>
      </c>
      <c r="N1347" s="97" t="s">
        <v>270</v>
      </c>
      <c r="O1347" s="58"/>
      <c r="P1347" s="58" t="s">
        <v>44</v>
      </c>
      <c r="Q1347" s="58" t="s">
        <v>52</v>
      </c>
      <c r="R1347" s="58" t="s">
        <v>272</v>
      </c>
    </row>
    <row r="1348" spans="1:18" ht="69" customHeight="1">
      <c r="A1348" s="168"/>
      <c r="B1348" s="178">
        <v>6048</v>
      </c>
      <c r="C1348" s="178" t="s">
        <v>3647</v>
      </c>
      <c r="D1348" s="575" t="s">
        <v>4158</v>
      </c>
      <c r="E1348" s="178" t="s">
        <v>266</v>
      </c>
      <c r="F1348" s="210" t="s">
        <v>4159</v>
      </c>
      <c r="G1348" s="58" t="s">
        <v>1107</v>
      </c>
      <c r="H1348" s="546">
        <v>7293.34</v>
      </c>
      <c r="I1348" s="66" t="s">
        <v>96</v>
      </c>
      <c r="J1348" s="411" t="s">
        <v>4160</v>
      </c>
      <c r="K1348" s="58"/>
      <c r="L1348" s="99"/>
      <c r="M1348" s="70" t="s">
        <v>4133</v>
      </c>
      <c r="N1348" s="97" t="s">
        <v>970</v>
      </c>
      <c r="O1348" s="58" t="s">
        <v>971</v>
      </c>
      <c r="P1348" s="58" t="s">
        <v>38</v>
      </c>
      <c r="Q1348" s="58" t="s">
        <v>52</v>
      </c>
      <c r="R1348" s="58" t="s">
        <v>272</v>
      </c>
    </row>
    <row r="1349" spans="1:18" ht="69" customHeight="1">
      <c r="A1349" s="168"/>
      <c r="B1349" s="178">
        <v>6069</v>
      </c>
      <c r="C1349" s="178" t="s">
        <v>3647</v>
      </c>
      <c r="D1349" s="575" t="s">
        <v>541</v>
      </c>
      <c r="E1349" s="178" t="s">
        <v>266</v>
      </c>
      <c r="F1349" s="210" t="s">
        <v>4161</v>
      </c>
      <c r="G1349" s="58" t="s">
        <v>3677</v>
      </c>
      <c r="H1349" s="546">
        <v>22840</v>
      </c>
      <c r="I1349" s="66">
        <v>44769</v>
      </c>
      <c r="J1349" s="411" t="s">
        <v>4162</v>
      </c>
      <c r="K1349" s="58"/>
      <c r="L1349" s="99"/>
      <c r="M1349" s="70" t="s">
        <v>4136</v>
      </c>
      <c r="N1349" s="97" t="s">
        <v>270</v>
      </c>
      <c r="O1349" s="58"/>
      <c r="P1349" s="58" t="s">
        <v>44</v>
      </c>
      <c r="Q1349" s="58" t="s">
        <v>52</v>
      </c>
      <c r="R1349" s="58" t="s">
        <v>272</v>
      </c>
    </row>
    <row r="1350" spans="1:18" ht="69" customHeight="1">
      <c r="A1350" s="168"/>
      <c r="B1350" s="178">
        <v>6084</v>
      </c>
      <c r="C1350" s="178" t="s">
        <v>3647</v>
      </c>
      <c r="D1350" s="575" t="s">
        <v>1748</v>
      </c>
      <c r="E1350" s="178" t="s">
        <v>409</v>
      </c>
      <c r="F1350" s="210" t="s">
        <v>4163</v>
      </c>
      <c r="G1350" s="58" t="s">
        <v>411</v>
      </c>
      <c r="H1350" s="546">
        <v>403650</v>
      </c>
      <c r="I1350" s="66">
        <v>44769</v>
      </c>
      <c r="J1350" s="411" t="s">
        <v>4164</v>
      </c>
      <c r="K1350" s="58"/>
      <c r="L1350" s="99"/>
      <c r="M1350" s="70" t="s">
        <v>4165</v>
      </c>
      <c r="N1350" s="97" t="s">
        <v>414</v>
      </c>
      <c r="O1350" s="58"/>
      <c r="P1350" s="58" t="s">
        <v>22</v>
      </c>
      <c r="Q1350" s="58" t="s">
        <v>52</v>
      </c>
      <c r="R1350" s="58" t="s">
        <v>272</v>
      </c>
    </row>
    <row r="1351" spans="1:18" ht="69" customHeight="1">
      <c r="A1351" s="168"/>
      <c r="B1351" s="178">
        <v>6378</v>
      </c>
      <c r="C1351" s="178" t="s">
        <v>3647</v>
      </c>
      <c r="D1351" s="575" t="s">
        <v>732</v>
      </c>
      <c r="E1351" s="178" t="s">
        <v>266</v>
      </c>
      <c r="F1351" s="210" t="s">
        <v>4166</v>
      </c>
      <c r="G1351" s="58" t="s">
        <v>2775</v>
      </c>
      <c r="H1351" s="546">
        <v>5810</v>
      </c>
      <c r="I1351" s="66">
        <v>44799</v>
      </c>
      <c r="J1351" s="411" t="s">
        <v>4167</v>
      </c>
      <c r="K1351" s="58"/>
      <c r="L1351" s="99"/>
      <c r="M1351" s="70" t="s">
        <v>4136</v>
      </c>
      <c r="N1351" s="97" t="s">
        <v>270</v>
      </c>
      <c r="O1351" s="58"/>
      <c r="P1351" s="58" t="s">
        <v>44</v>
      </c>
      <c r="Q1351" s="58" t="s">
        <v>52</v>
      </c>
      <c r="R1351" s="58" t="s">
        <v>272</v>
      </c>
    </row>
    <row r="1352" spans="1:18" ht="69" customHeight="1">
      <c r="A1352" s="168"/>
      <c r="B1352" s="178">
        <v>6401</v>
      </c>
      <c r="C1352" s="178" t="s">
        <v>3647</v>
      </c>
      <c r="D1352" s="575" t="s">
        <v>4168</v>
      </c>
      <c r="E1352" s="178" t="s">
        <v>432</v>
      </c>
      <c r="F1352" s="210" t="s">
        <v>4169</v>
      </c>
      <c r="G1352" s="58" t="s">
        <v>429</v>
      </c>
      <c r="H1352" s="546">
        <v>13959.486000000001</v>
      </c>
      <c r="I1352" s="66">
        <v>44802</v>
      </c>
      <c r="J1352" s="411" t="s">
        <v>4170</v>
      </c>
      <c r="K1352" s="58"/>
      <c r="L1352" s="99"/>
      <c r="M1352" s="70" t="s">
        <v>4171</v>
      </c>
      <c r="N1352" s="97" t="s">
        <v>432</v>
      </c>
      <c r="O1352" s="58"/>
      <c r="P1352" s="58" t="s">
        <v>53</v>
      </c>
      <c r="Q1352" s="58" t="s">
        <v>52</v>
      </c>
      <c r="R1352" s="58" t="s">
        <v>272</v>
      </c>
    </row>
    <row r="1353" spans="1:18" ht="69" customHeight="1">
      <c r="A1353" s="168"/>
      <c r="B1353" s="178">
        <v>6459</v>
      </c>
      <c r="C1353" s="178" t="s">
        <v>3647</v>
      </c>
      <c r="D1353" s="575" t="s">
        <v>736</v>
      </c>
      <c r="E1353" s="178" t="s">
        <v>266</v>
      </c>
      <c r="F1353" s="210" t="s">
        <v>4172</v>
      </c>
      <c r="G1353" s="58" t="s">
        <v>3719</v>
      </c>
      <c r="H1353" s="546">
        <v>57100</v>
      </c>
      <c r="I1353" s="66">
        <v>44804</v>
      </c>
      <c r="J1353" s="411" t="s">
        <v>3720</v>
      </c>
      <c r="K1353" s="58"/>
      <c r="L1353" s="99"/>
      <c r="M1353" s="70" t="s">
        <v>4136</v>
      </c>
      <c r="N1353" s="97" t="s">
        <v>270</v>
      </c>
      <c r="O1353" s="58"/>
      <c r="P1353" s="58" t="s">
        <v>44</v>
      </c>
      <c r="Q1353" s="58" t="s">
        <v>52</v>
      </c>
      <c r="R1353" s="58" t="s">
        <v>272</v>
      </c>
    </row>
    <row r="1354" spans="1:18" ht="69" customHeight="1">
      <c r="A1354" s="168"/>
      <c r="B1354" s="178">
        <v>6469</v>
      </c>
      <c r="C1354" s="178" t="s">
        <v>3647</v>
      </c>
      <c r="D1354" s="575" t="s">
        <v>2521</v>
      </c>
      <c r="E1354" s="178" t="s">
        <v>4173</v>
      </c>
      <c r="F1354" s="210" t="s">
        <v>4174</v>
      </c>
      <c r="G1354" s="58" t="s">
        <v>3723</v>
      </c>
      <c r="H1354" s="546">
        <v>127092.41</v>
      </c>
      <c r="I1354" s="66">
        <v>44804</v>
      </c>
      <c r="J1354" s="411" t="s">
        <v>4175</v>
      </c>
      <c r="K1354" s="58"/>
      <c r="L1354" s="99"/>
      <c r="M1354" s="70" t="s">
        <v>4011</v>
      </c>
      <c r="N1354" s="97" t="s">
        <v>414</v>
      </c>
      <c r="O1354" s="58"/>
      <c r="P1354" s="58" t="s">
        <v>22</v>
      </c>
      <c r="Q1354" s="58" t="s">
        <v>52</v>
      </c>
      <c r="R1354" s="58" t="s">
        <v>265</v>
      </c>
    </row>
    <row r="1355" spans="1:18" ht="69" customHeight="1">
      <c r="A1355" s="168"/>
      <c r="B1355" s="178">
        <v>6470</v>
      </c>
      <c r="C1355" s="178" t="s">
        <v>3647</v>
      </c>
      <c r="D1355" s="575" t="s">
        <v>2769</v>
      </c>
      <c r="E1355" s="178" t="s">
        <v>4173</v>
      </c>
      <c r="F1355" s="210" t="s">
        <v>4176</v>
      </c>
      <c r="G1355" s="58" t="s">
        <v>3723</v>
      </c>
      <c r="H1355" s="546">
        <v>7603</v>
      </c>
      <c r="I1355" s="66">
        <v>44804</v>
      </c>
      <c r="J1355" s="411" t="s">
        <v>4175</v>
      </c>
      <c r="K1355" s="58"/>
      <c r="L1355" s="99"/>
      <c r="M1355" s="70" t="s">
        <v>4011</v>
      </c>
      <c r="N1355" s="97" t="s">
        <v>414</v>
      </c>
      <c r="O1355" s="58"/>
      <c r="P1355" s="58" t="s">
        <v>22</v>
      </c>
      <c r="Q1355" s="58" t="s">
        <v>52</v>
      </c>
      <c r="R1355" s="58" t="s">
        <v>265</v>
      </c>
    </row>
    <row r="1356" spans="1:18" ht="69" customHeight="1">
      <c r="A1356" s="168"/>
      <c r="B1356" s="178">
        <v>6471</v>
      </c>
      <c r="C1356" s="178" t="s">
        <v>3647</v>
      </c>
      <c r="D1356" s="575" t="s">
        <v>3213</v>
      </c>
      <c r="E1356" s="178" t="s">
        <v>4173</v>
      </c>
      <c r="F1356" s="210" t="s">
        <v>4177</v>
      </c>
      <c r="G1356" s="58" t="s">
        <v>3723</v>
      </c>
      <c r="H1356" s="546">
        <v>29459.360000000001</v>
      </c>
      <c r="I1356" s="66">
        <v>44804</v>
      </c>
      <c r="J1356" s="411" t="s">
        <v>4175</v>
      </c>
      <c r="K1356" s="58"/>
      <c r="L1356" s="99"/>
      <c r="M1356" s="70" t="s">
        <v>4011</v>
      </c>
      <c r="N1356" s="97" t="s">
        <v>414</v>
      </c>
      <c r="O1356" s="58"/>
      <c r="P1356" s="58" t="s">
        <v>22</v>
      </c>
      <c r="Q1356" s="58" t="s">
        <v>52</v>
      </c>
      <c r="R1356" s="58" t="s">
        <v>265</v>
      </c>
    </row>
    <row r="1357" spans="1:18" ht="69" customHeight="1">
      <c r="A1357" s="168"/>
      <c r="B1357" s="178">
        <v>6478</v>
      </c>
      <c r="C1357" s="178" t="s">
        <v>3647</v>
      </c>
      <c r="D1357" s="575" t="s">
        <v>423</v>
      </c>
      <c r="E1357" s="178" t="s">
        <v>4173</v>
      </c>
      <c r="F1357" s="210" t="s">
        <v>4178</v>
      </c>
      <c r="G1357" s="58" t="s">
        <v>2828</v>
      </c>
      <c r="H1357" s="546">
        <v>22419.5</v>
      </c>
      <c r="I1357" s="66">
        <v>44804</v>
      </c>
      <c r="J1357" s="411" t="s">
        <v>4175</v>
      </c>
      <c r="K1357" s="58"/>
      <c r="L1357" s="99"/>
      <c r="M1357" s="70" t="s">
        <v>4011</v>
      </c>
      <c r="N1357" s="97" t="s">
        <v>414</v>
      </c>
      <c r="O1357" s="58"/>
      <c r="P1357" s="58" t="s">
        <v>22</v>
      </c>
      <c r="Q1357" s="58" t="s">
        <v>52</v>
      </c>
      <c r="R1357" s="58" t="s">
        <v>265</v>
      </c>
    </row>
    <row r="1358" spans="1:18" ht="69" customHeight="1">
      <c r="A1358" s="168"/>
      <c r="B1358" s="178">
        <v>6532</v>
      </c>
      <c r="C1358" s="178" t="s">
        <v>3647</v>
      </c>
      <c r="D1358" s="575" t="s">
        <v>4179</v>
      </c>
      <c r="E1358" s="178" t="s">
        <v>4173</v>
      </c>
      <c r="F1358" s="210" t="s">
        <v>4180</v>
      </c>
      <c r="G1358" s="58" t="s">
        <v>3723</v>
      </c>
      <c r="H1358" s="546">
        <v>49200</v>
      </c>
      <c r="I1358" s="66">
        <v>44804</v>
      </c>
      <c r="J1358" s="411" t="s">
        <v>4181</v>
      </c>
      <c r="K1358" s="58"/>
      <c r="L1358" s="99"/>
      <c r="M1358" s="70" t="s">
        <v>4011</v>
      </c>
      <c r="N1358" s="97" t="s">
        <v>414</v>
      </c>
      <c r="O1358" s="58"/>
      <c r="P1358" s="58" t="s">
        <v>22</v>
      </c>
      <c r="Q1358" s="58" t="s">
        <v>52</v>
      </c>
      <c r="R1358" s="58" t="s">
        <v>265</v>
      </c>
    </row>
    <row r="1359" spans="1:18" ht="69" customHeight="1">
      <c r="A1359" s="168"/>
      <c r="B1359" s="178">
        <v>6533</v>
      </c>
      <c r="C1359" s="178" t="s">
        <v>3647</v>
      </c>
      <c r="D1359" s="575" t="s">
        <v>4182</v>
      </c>
      <c r="E1359" s="178" t="s">
        <v>4173</v>
      </c>
      <c r="F1359" s="210" t="s">
        <v>4183</v>
      </c>
      <c r="G1359" s="58" t="s">
        <v>3723</v>
      </c>
      <c r="H1359" s="546">
        <v>16456.2</v>
      </c>
      <c r="I1359" s="66">
        <v>44804</v>
      </c>
      <c r="J1359" s="411" t="s">
        <v>4181</v>
      </c>
      <c r="K1359" s="58"/>
      <c r="L1359" s="99"/>
      <c r="M1359" s="70" t="s">
        <v>4011</v>
      </c>
      <c r="N1359" s="97" t="s">
        <v>414</v>
      </c>
      <c r="O1359" s="58"/>
      <c r="P1359" s="58" t="s">
        <v>22</v>
      </c>
      <c r="Q1359" s="58" t="s">
        <v>52</v>
      </c>
      <c r="R1359" s="58" t="s">
        <v>265</v>
      </c>
    </row>
    <row r="1360" spans="1:18" ht="69" customHeight="1">
      <c r="A1360" s="168"/>
      <c r="B1360" s="178">
        <v>6534</v>
      </c>
      <c r="C1360" s="178" t="s">
        <v>3647</v>
      </c>
      <c r="D1360" s="575" t="s">
        <v>4184</v>
      </c>
      <c r="E1360" s="178" t="s">
        <v>4173</v>
      </c>
      <c r="F1360" s="210" t="s">
        <v>4185</v>
      </c>
      <c r="G1360" s="58" t="s">
        <v>3723</v>
      </c>
      <c r="H1360" s="546">
        <v>3185</v>
      </c>
      <c r="I1360" s="66">
        <v>44804</v>
      </c>
      <c r="J1360" s="411" t="s">
        <v>4181</v>
      </c>
      <c r="K1360" s="58"/>
      <c r="L1360" s="99"/>
      <c r="M1360" s="70" t="s">
        <v>4011</v>
      </c>
      <c r="N1360" s="97" t="s">
        <v>414</v>
      </c>
      <c r="O1360" s="58"/>
      <c r="P1360" s="58" t="s">
        <v>22</v>
      </c>
      <c r="Q1360" s="58" t="s">
        <v>52</v>
      </c>
      <c r="R1360" s="58" t="s">
        <v>265</v>
      </c>
    </row>
    <row r="1361" spans="1:18" ht="69" customHeight="1">
      <c r="A1361" s="168"/>
      <c r="B1361" s="191">
        <v>6538</v>
      </c>
      <c r="C1361" s="191" t="s">
        <v>3647</v>
      </c>
      <c r="D1361" s="533" t="s">
        <v>4186</v>
      </c>
      <c r="E1361" s="191" t="s">
        <v>4173</v>
      </c>
      <c r="F1361" s="211" t="s">
        <v>4187</v>
      </c>
      <c r="G1361" s="46" t="s">
        <v>3723</v>
      </c>
      <c r="H1361" s="534">
        <v>15729.49</v>
      </c>
      <c r="I1361" s="56">
        <v>44804</v>
      </c>
      <c r="J1361" s="412" t="s">
        <v>4181</v>
      </c>
      <c r="K1361" s="46" t="s">
        <v>167</v>
      </c>
      <c r="L1361" s="99"/>
      <c r="M1361" s="379"/>
      <c r="N1361" s="76" t="s">
        <v>414</v>
      </c>
      <c r="O1361" s="46"/>
      <c r="P1361" s="46" t="s">
        <v>65</v>
      </c>
      <c r="Q1361" s="46" t="s">
        <v>52</v>
      </c>
      <c r="R1361" s="46" t="s">
        <v>272</v>
      </c>
    </row>
    <row r="1362" spans="1:18" ht="69" customHeight="1">
      <c r="A1362" s="168"/>
      <c r="B1362" s="178">
        <v>6718</v>
      </c>
      <c r="C1362" s="178" t="s">
        <v>3647</v>
      </c>
      <c r="D1362" s="575" t="s">
        <v>3296</v>
      </c>
      <c r="E1362" s="178" t="s">
        <v>4173</v>
      </c>
      <c r="F1362" s="210" t="s">
        <v>4188</v>
      </c>
      <c r="G1362" s="58" t="s">
        <v>3744</v>
      </c>
      <c r="H1362" s="546">
        <v>17000</v>
      </c>
      <c r="I1362" s="66">
        <v>44825</v>
      </c>
      <c r="J1362" s="411" t="s">
        <v>4189</v>
      </c>
      <c r="K1362" s="58"/>
      <c r="L1362" s="99"/>
      <c r="M1362" s="70" t="s">
        <v>4011</v>
      </c>
      <c r="N1362" s="97" t="s">
        <v>414</v>
      </c>
      <c r="O1362" s="58"/>
      <c r="P1362" s="58" t="s">
        <v>22</v>
      </c>
      <c r="Q1362" s="58" t="s">
        <v>52</v>
      </c>
      <c r="R1362" s="58" t="s">
        <v>265</v>
      </c>
    </row>
    <row r="1363" spans="1:18" ht="69" customHeight="1">
      <c r="A1363" s="168"/>
      <c r="B1363" s="178">
        <v>6731</v>
      </c>
      <c r="C1363" s="178" t="s">
        <v>3647</v>
      </c>
      <c r="D1363" s="575" t="s">
        <v>1051</v>
      </c>
      <c r="E1363" s="178" t="s">
        <v>266</v>
      </c>
      <c r="F1363" s="210" t="s">
        <v>4190</v>
      </c>
      <c r="G1363" s="58" t="s">
        <v>3747</v>
      </c>
      <c r="H1363" s="546">
        <v>4250</v>
      </c>
      <c r="I1363" s="66">
        <v>44827</v>
      </c>
      <c r="J1363" s="411" t="s">
        <v>3748</v>
      </c>
      <c r="K1363" s="58"/>
      <c r="L1363" s="99"/>
      <c r="M1363" s="70" t="s">
        <v>4136</v>
      </c>
      <c r="N1363" s="97" t="s">
        <v>270</v>
      </c>
      <c r="O1363" s="58"/>
      <c r="P1363" s="58" t="s">
        <v>44</v>
      </c>
      <c r="Q1363" s="58" t="s">
        <v>52</v>
      </c>
      <c r="R1363" s="58" t="s">
        <v>272</v>
      </c>
    </row>
    <row r="1364" spans="1:18" ht="69" customHeight="1">
      <c r="A1364" s="168"/>
      <c r="B1364" s="178">
        <v>6736</v>
      </c>
      <c r="C1364" s="178" t="s">
        <v>3647</v>
      </c>
      <c r="D1364" s="575" t="s">
        <v>1087</v>
      </c>
      <c r="E1364" s="178" t="s">
        <v>4173</v>
      </c>
      <c r="F1364" s="210" t="s">
        <v>4191</v>
      </c>
      <c r="G1364" s="58" t="s">
        <v>1048</v>
      </c>
      <c r="H1364" s="546">
        <v>38149.599999999999</v>
      </c>
      <c r="I1364" s="66">
        <v>44827</v>
      </c>
      <c r="J1364" s="411" t="s">
        <v>4192</v>
      </c>
      <c r="K1364" s="58"/>
      <c r="L1364" s="99"/>
      <c r="M1364" s="70" t="s">
        <v>4011</v>
      </c>
      <c r="N1364" s="97" t="s">
        <v>414</v>
      </c>
      <c r="O1364" s="58"/>
      <c r="P1364" s="58" t="s">
        <v>22</v>
      </c>
      <c r="Q1364" s="58" t="s">
        <v>52</v>
      </c>
      <c r="R1364" s="58" t="s">
        <v>265</v>
      </c>
    </row>
    <row r="1365" spans="1:18" ht="69" customHeight="1">
      <c r="A1365" s="168"/>
      <c r="B1365" s="178">
        <v>6628</v>
      </c>
      <c r="C1365" s="178" t="s">
        <v>3647</v>
      </c>
      <c r="D1365" s="575" t="s">
        <v>4193</v>
      </c>
      <c r="E1365" s="178" t="s">
        <v>4173</v>
      </c>
      <c r="F1365" s="210" t="s">
        <v>4194</v>
      </c>
      <c r="G1365" s="58" t="s">
        <v>3723</v>
      </c>
      <c r="H1365" s="546">
        <v>7409</v>
      </c>
      <c r="I1365" s="66">
        <v>44824</v>
      </c>
      <c r="J1365" s="411" t="s">
        <v>4195</v>
      </c>
      <c r="K1365" s="58"/>
      <c r="L1365" s="99"/>
      <c r="M1365" s="70" t="s">
        <v>4011</v>
      </c>
      <c r="N1365" s="97" t="s">
        <v>414</v>
      </c>
      <c r="O1365" s="58"/>
      <c r="P1365" s="58" t="s">
        <v>22</v>
      </c>
      <c r="Q1365" s="58" t="s">
        <v>52</v>
      </c>
      <c r="R1365" s="58" t="s">
        <v>265</v>
      </c>
    </row>
    <row r="1366" spans="1:18" ht="69" customHeight="1">
      <c r="A1366" s="168"/>
      <c r="B1366" s="178">
        <v>6662</v>
      </c>
      <c r="C1366" s="178" t="s">
        <v>3647</v>
      </c>
      <c r="D1366" s="575" t="s">
        <v>2780</v>
      </c>
      <c r="E1366" s="178" t="s">
        <v>4173</v>
      </c>
      <c r="F1366" s="210" t="s">
        <v>4196</v>
      </c>
      <c r="G1366" s="58" t="s">
        <v>4197</v>
      </c>
      <c r="H1366" s="546">
        <v>10043.69</v>
      </c>
      <c r="I1366" s="66">
        <v>44820</v>
      </c>
      <c r="J1366" s="411" t="s">
        <v>4198</v>
      </c>
      <c r="K1366" s="58"/>
      <c r="L1366" s="99"/>
      <c r="M1366" s="70" t="s">
        <v>4011</v>
      </c>
      <c r="N1366" s="97" t="s">
        <v>414</v>
      </c>
      <c r="O1366" s="58"/>
      <c r="P1366" s="58" t="s">
        <v>22</v>
      </c>
      <c r="Q1366" s="58" t="s">
        <v>52</v>
      </c>
      <c r="R1366" s="58" t="s">
        <v>265</v>
      </c>
    </row>
    <row r="1367" spans="1:18" ht="69" customHeight="1">
      <c r="A1367" s="168"/>
      <c r="B1367" s="178">
        <v>6778</v>
      </c>
      <c r="C1367" s="178" t="s">
        <v>3647</v>
      </c>
      <c r="D1367" s="575" t="s">
        <v>2300</v>
      </c>
      <c r="E1367" s="178" t="s">
        <v>4173</v>
      </c>
      <c r="F1367" s="210" t="s">
        <v>4199</v>
      </c>
      <c r="G1367" s="58" t="s">
        <v>1048</v>
      </c>
      <c r="H1367" s="546">
        <v>21000</v>
      </c>
      <c r="I1367" s="66">
        <v>44834</v>
      </c>
      <c r="J1367" s="411" t="s">
        <v>4200</v>
      </c>
      <c r="K1367" s="58"/>
      <c r="L1367" s="99"/>
      <c r="M1367" s="70" t="s">
        <v>4011</v>
      </c>
      <c r="N1367" s="97" t="s">
        <v>414</v>
      </c>
      <c r="O1367" s="58"/>
      <c r="P1367" s="58" t="s">
        <v>22</v>
      </c>
      <c r="Q1367" s="58" t="s">
        <v>52</v>
      </c>
      <c r="R1367" s="58" t="s">
        <v>265</v>
      </c>
    </row>
    <row r="1368" spans="1:18" ht="69" customHeight="1">
      <c r="A1368" s="168"/>
      <c r="B1368" s="178">
        <v>6779</v>
      </c>
      <c r="C1368" s="178" t="s">
        <v>3647</v>
      </c>
      <c r="D1368" s="575" t="s">
        <v>4201</v>
      </c>
      <c r="E1368" s="178" t="s">
        <v>4173</v>
      </c>
      <c r="F1368" s="210" t="s">
        <v>4202</v>
      </c>
      <c r="G1368" s="58" t="s">
        <v>1048</v>
      </c>
      <c r="H1368" s="546">
        <v>3822.06</v>
      </c>
      <c r="I1368" s="66">
        <v>44830</v>
      </c>
      <c r="J1368" s="411" t="s">
        <v>4203</v>
      </c>
      <c r="K1368" s="58"/>
      <c r="L1368" s="99"/>
      <c r="M1368" s="70" t="s">
        <v>4011</v>
      </c>
      <c r="N1368" s="97" t="s">
        <v>414</v>
      </c>
      <c r="O1368" s="58"/>
      <c r="P1368" s="58" t="s">
        <v>22</v>
      </c>
      <c r="Q1368" s="58" t="s">
        <v>52</v>
      </c>
      <c r="R1368" s="58" t="s">
        <v>265</v>
      </c>
    </row>
    <row r="1369" spans="1:18" ht="69" customHeight="1">
      <c r="A1369" s="168"/>
      <c r="B1369" s="178">
        <v>6793</v>
      </c>
      <c r="C1369" s="178" t="s">
        <v>3647</v>
      </c>
      <c r="D1369" s="575" t="s">
        <v>4204</v>
      </c>
      <c r="E1369" s="178" t="s">
        <v>266</v>
      </c>
      <c r="F1369" s="210" t="s">
        <v>4205</v>
      </c>
      <c r="G1369" s="58" t="s">
        <v>1107</v>
      </c>
      <c r="H1369" s="546">
        <v>7293.34</v>
      </c>
      <c r="I1369" s="66">
        <v>44832</v>
      </c>
      <c r="J1369" s="411" t="s">
        <v>4206</v>
      </c>
      <c r="K1369" s="58"/>
      <c r="L1369" s="99"/>
      <c r="M1369" s="70" t="s">
        <v>4133</v>
      </c>
      <c r="N1369" s="97" t="s">
        <v>970</v>
      </c>
      <c r="O1369" s="58" t="s">
        <v>971</v>
      </c>
      <c r="P1369" s="58" t="s">
        <v>38</v>
      </c>
      <c r="Q1369" s="58" t="s">
        <v>52</v>
      </c>
      <c r="R1369" s="58" t="s">
        <v>272</v>
      </c>
    </row>
    <row r="1370" spans="1:18" ht="69" customHeight="1">
      <c r="A1370" s="168"/>
      <c r="B1370" s="178">
        <v>6876</v>
      </c>
      <c r="C1370" s="178" t="s">
        <v>3647</v>
      </c>
      <c r="D1370" s="575" t="s">
        <v>4207</v>
      </c>
      <c r="E1370" s="178" t="s">
        <v>4173</v>
      </c>
      <c r="F1370" s="210" t="s">
        <v>4208</v>
      </c>
      <c r="G1370" s="58" t="s">
        <v>1048</v>
      </c>
      <c r="H1370" s="546">
        <v>39720</v>
      </c>
      <c r="I1370" s="66">
        <v>44834</v>
      </c>
      <c r="J1370" s="411" t="s">
        <v>3775</v>
      </c>
      <c r="K1370" s="58"/>
      <c r="L1370" s="99"/>
      <c r="M1370" s="70" t="s">
        <v>4011</v>
      </c>
      <c r="N1370" s="97" t="s">
        <v>414</v>
      </c>
      <c r="O1370" s="58"/>
      <c r="P1370" s="58" t="s">
        <v>22</v>
      </c>
      <c r="Q1370" s="58" t="s">
        <v>52</v>
      </c>
      <c r="R1370" s="58" t="s">
        <v>265</v>
      </c>
    </row>
    <row r="1371" spans="1:18" ht="69" customHeight="1">
      <c r="A1371" s="168"/>
      <c r="B1371" s="178">
        <v>6878</v>
      </c>
      <c r="C1371" s="178" t="s">
        <v>3647</v>
      </c>
      <c r="D1371" s="575" t="s">
        <v>4209</v>
      </c>
      <c r="E1371" s="178" t="s">
        <v>4173</v>
      </c>
      <c r="F1371" s="210" t="s">
        <v>4210</v>
      </c>
      <c r="G1371" s="58" t="s">
        <v>1048</v>
      </c>
      <c r="H1371" s="546">
        <v>49772.1</v>
      </c>
      <c r="I1371" s="66">
        <v>44834</v>
      </c>
      <c r="J1371" s="411" t="s">
        <v>3775</v>
      </c>
      <c r="K1371" s="58"/>
      <c r="L1371" s="99"/>
      <c r="M1371" s="70" t="s">
        <v>4011</v>
      </c>
      <c r="N1371" s="97" t="s">
        <v>414</v>
      </c>
      <c r="O1371" s="58"/>
      <c r="P1371" s="58" t="s">
        <v>22</v>
      </c>
      <c r="Q1371" s="58" t="s">
        <v>52</v>
      </c>
      <c r="R1371" s="58" t="s">
        <v>265</v>
      </c>
    </row>
    <row r="1372" spans="1:18" ht="69" customHeight="1">
      <c r="A1372" s="168"/>
      <c r="B1372" s="178">
        <v>6972</v>
      </c>
      <c r="C1372" s="178" t="s">
        <v>3647</v>
      </c>
      <c r="D1372" s="575" t="s">
        <v>4211</v>
      </c>
      <c r="E1372" s="178" t="s">
        <v>4173</v>
      </c>
      <c r="F1372" s="210" t="s">
        <v>4212</v>
      </c>
      <c r="G1372" s="58" t="s">
        <v>3762</v>
      </c>
      <c r="H1372" s="546">
        <v>5100</v>
      </c>
      <c r="I1372" s="66">
        <v>44846</v>
      </c>
      <c r="J1372" s="411" t="s">
        <v>3763</v>
      </c>
      <c r="K1372" s="58"/>
      <c r="L1372" s="99"/>
      <c r="M1372" s="70" t="s">
        <v>4011</v>
      </c>
      <c r="N1372" s="97" t="s">
        <v>414</v>
      </c>
      <c r="O1372" s="58"/>
      <c r="P1372" s="58" t="s">
        <v>22</v>
      </c>
      <c r="Q1372" s="58" t="s">
        <v>52</v>
      </c>
      <c r="R1372" s="58" t="s">
        <v>265</v>
      </c>
    </row>
    <row r="1373" spans="1:18" ht="69" customHeight="1">
      <c r="A1373" s="168"/>
      <c r="B1373" s="178">
        <v>7153</v>
      </c>
      <c r="C1373" s="178" t="s">
        <v>3647</v>
      </c>
      <c r="D1373" s="575" t="s">
        <v>4213</v>
      </c>
      <c r="E1373" s="178" t="s">
        <v>4173</v>
      </c>
      <c r="F1373" s="210" t="s">
        <v>4214</v>
      </c>
      <c r="G1373" s="58" t="s">
        <v>3801</v>
      </c>
      <c r="H1373" s="546">
        <v>17000</v>
      </c>
      <c r="I1373" s="66">
        <v>44858</v>
      </c>
      <c r="J1373" s="411" t="s">
        <v>3802</v>
      </c>
      <c r="K1373" s="58"/>
      <c r="L1373" s="99"/>
      <c r="M1373" s="70" t="s">
        <v>4011</v>
      </c>
      <c r="N1373" s="97" t="s">
        <v>414</v>
      </c>
      <c r="O1373" s="58"/>
      <c r="P1373" s="58" t="s">
        <v>22</v>
      </c>
      <c r="Q1373" s="58" t="s">
        <v>52</v>
      </c>
      <c r="R1373" s="58" t="s">
        <v>265</v>
      </c>
    </row>
    <row r="1374" spans="1:18" ht="69" customHeight="1">
      <c r="A1374" s="168"/>
      <c r="B1374" s="178">
        <v>7213</v>
      </c>
      <c r="C1374" s="178" t="s">
        <v>3647</v>
      </c>
      <c r="D1374" s="575">
        <v>1002</v>
      </c>
      <c r="E1374" s="178" t="s">
        <v>4173</v>
      </c>
      <c r="F1374" s="210" t="s">
        <v>4215</v>
      </c>
      <c r="G1374" s="58" t="s">
        <v>1048</v>
      </c>
      <c r="H1374" s="546">
        <v>11025.65</v>
      </c>
      <c r="I1374" s="66">
        <v>44860</v>
      </c>
      <c r="J1374" s="411" t="s">
        <v>3809</v>
      </c>
      <c r="K1374" s="58" t="s">
        <v>4216</v>
      </c>
      <c r="L1374" s="99"/>
      <c r="M1374" s="70" t="s">
        <v>4011</v>
      </c>
      <c r="N1374" s="97" t="s">
        <v>414</v>
      </c>
      <c r="O1374" s="58"/>
      <c r="P1374" s="58" t="s">
        <v>22</v>
      </c>
      <c r="Q1374" s="58" t="s">
        <v>52</v>
      </c>
      <c r="R1374" s="58" t="s">
        <v>265</v>
      </c>
    </row>
    <row r="1375" spans="1:18" ht="69" customHeight="1">
      <c r="A1375" s="168"/>
      <c r="B1375" s="178">
        <v>7214</v>
      </c>
      <c r="C1375" s="178" t="s">
        <v>3647</v>
      </c>
      <c r="D1375" s="575">
        <v>1003</v>
      </c>
      <c r="E1375" s="178" t="s">
        <v>4173</v>
      </c>
      <c r="F1375" s="210" t="s">
        <v>4217</v>
      </c>
      <c r="G1375" s="58" t="s">
        <v>1048</v>
      </c>
      <c r="H1375" s="546">
        <v>14848</v>
      </c>
      <c r="I1375" s="66">
        <v>44860</v>
      </c>
      <c r="J1375" s="411" t="s">
        <v>3809</v>
      </c>
      <c r="K1375" s="58" t="s">
        <v>4218</v>
      </c>
      <c r="L1375" s="99"/>
      <c r="M1375" s="70" t="s">
        <v>4011</v>
      </c>
      <c r="N1375" s="97" t="s">
        <v>414</v>
      </c>
      <c r="O1375" s="58"/>
      <c r="P1375" s="58" t="s">
        <v>22</v>
      </c>
      <c r="Q1375" s="58" t="s">
        <v>52</v>
      </c>
      <c r="R1375" s="58" t="s">
        <v>265</v>
      </c>
    </row>
    <row r="1376" spans="1:18" ht="69" customHeight="1">
      <c r="A1376" s="168"/>
      <c r="B1376" s="178">
        <v>7273</v>
      </c>
      <c r="C1376" s="178" t="s">
        <v>3647</v>
      </c>
      <c r="D1376" s="575">
        <v>1074</v>
      </c>
      <c r="E1376" s="178" t="s">
        <v>4173</v>
      </c>
      <c r="F1376" s="210" t="s">
        <v>4219</v>
      </c>
      <c r="G1376" s="58" t="s">
        <v>3772</v>
      </c>
      <c r="H1376" s="546">
        <v>11017.3</v>
      </c>
      <c r="I1376" s="66">
        <v>44865</v>
      </c>
      <c r="J1376" s="411" t="s">
        <v>3773</v>
      </c>
      <c r="K1376" s="58" t="s">
        <v>4220</v>
      </c>
      <c r="L1376" s="99"/>
      <c r="M1376" s="70" t="s">
        <v>4011</v>
      </c>
      <c r="N1376" s="97" t="s">
        <v>414</v>
      </c>
      <c r="O1376" s="58"/>
      <c r="P1376" s="58" t="s">
        <v>22</v>
      </c>
      <c r="Q1376" s="58" t="s">
        <v>52</v>
      </c>
      <c r="R1376" s="58" t="s">
        <v>265</v>
      </c>
    </row>
    <row r="1377" spans="1:18" ht="69" customHeight="1">
      <c r="A1377" s="168"/>
      <c r="B1377" s="178">
        <v>7450</v>
      </c>
      <c r="C1377" s="178" t="s">
        <v>3647</v>
      </c>
      <c r="D1377" s="575" t="s">
        <v>1814</v>
      </c>
      <c r="E1377" s="178" t="s">
        <v>4173</v>
      </c>
      <c r="F1377" s="210" t="s">
        <v>4221</v>
      </c>
      <c r="G1377" s="58" t="s">
        <v>1048</v>
      </c>
      <c r="H1377" s="546">
        <v>30006</v>
      </c>
      <c r="I1377" s="66">
        <v>44879</v>
      </c>
      <c r="J1377" s="411" t="s">
        <v>4222</v>
      </c>
      <c r="K1377" s="58" t="s">
        <v>4223</v>
      </c>
      <c r="L1377" s="99"/>
      <c r="M1377" s="70" t="s">
        <v>4011</v>
      </c>
      <c r="N1377" s="97" t="s">
        <v>414</v>
      </c>
      <c r="O1377" s="58"/>
      <c r="P1377" s="58" t="s">
        <v>22</v>
      </c>
      <c r="Q1377" s="58" t="s">
        <v>52</v>
      </c>
      <c r="R1377" s="58" t="s">
        <v>265</v>
      </c>
    </row>
    <row r="1378" spans="1:18" ht="69" customHeight="1">
      <c r="A1378" s="168"/>
      <c r="B1378" s="178">
        <v>7537</v>
      </c>
      <c r="C1378" s="178" t="s">
        <v>3647</v>
      </c>
      <c r="D1378" s="575" t="s">
        <v>3277</v>
      </c>
      <c r="E1378" s="178" t="s">
        <v>4173</v>
      </c>
      <c r="F1378" s="210" t="s">
        <v>4224</v>
      </c>
      <c r="G1378" s="58" t="s">
        <v>3806</v>
      </c>
      <c r="H1378" s="546">
        <v>17000</v>
      </c>
      <c r="I1378" s="66">
        <v>44886</v>
      </c>
      <c r="J1378" s="411" t="s">
        <v>3807</v>
      </c>
      <c r="K1378" s="58"/>
      <c r="L1378" s="99"/>
      <c r="M1378" s="70" t="s">
        <v>4011</v>
      </c>
      <c r="N1378" s="97" t="s">
        <v>414</v>
      </c>
      <c r="O1378" s="58"/>
      <c r="P1378" s="58" t="s">
        <v>22</v>
      </c>
      <c r="Q1378" s="58" t="s">
        <v>52</v>
      </c>
      <c r="R1378" s="58" t="s">
        <v>265</v>
      </c>
    </row>
    <row r="1379" spans="1:18" ht="69" customHeight="1">
      <c r="A1379" s="168"/>
      <c r="B1379" s="178">
        <v>7542</v>
      </c>
      <c r="C1379" s="178" t="s">
        <v>3647</v>
      </c>
      <c r="D1379" s="575" t="s">
        <v>1147</v>
      </c>
      <c r="E1379" s="178" t="s">
        <v>4173</v>
      </c>
      <c r="F1379" s="210" t="s">
        <v>4225</v>
      </c>
      <c r="G1379" s="58" t="s">
        <v>3888</v>
      </c>
      <c r="H1379" s="546">
        <v>13000</v>
      </c>
      <c r="I1379" s="66">
        <v>44900</v>
      </c>
      <c r="J1379" s="411" t="s">
        <v>3807</v>
      </c>
      <c r="K1379" s="58"/>
      <c r="L1379" s="99"/>
      <c r="M1379" s="70" t="s">
        <v>4011</v>
      </c>
      <c r="N1379" s="97" t="s">
        <v>414</v>
      </c>
      <c r="O1379" s="58"/>
      <c r="P1379" s="58" t="s">
        <v>22</v>
      </c>
      <c r="Q1379" s="58" t="s">
        <v>52</v>
      </c>
      <c r="R1379" s="58" t="s">
        <v>265</v>
      </c>
    </row>
    <row r="1380" spans="1:18" ht="69" customHeight="1">
      <c r="A1380" s="168"/>
      <c r="B1380" s="178">
        <v>7039</v>
      </c>
      <c r="C1380" s="178" t="s">
        <v>3647</v>
      </c>
      <c r="D1380" s="575" t="s">
        <v>4226</v>
      </c>
      <c r="E1380" s="178" t="s">
        <v>266</v>
      </c>
      <c r="F1380" s="210" t="s">
        <v>4227</v>
      </c>
      <c r="G1380" s="58" t="s">
        <v>1107</v>
      </c>
      <c r="H1380" s="546">
        <v>7293.34</v>
      </c>
      <c r="I1380" s="66">
        <v>44848</v>
      </c>
      <c r="J1380" s="411" t="s">
        <v>4228</v>
      </c>
      <c r="K1380" s="58"/>
      <c r="L1380" s="99"/>
      <c r="M1380" s="70" t="s">
        <v>4133</v>
      </c>
      <c r="N1380" s="97" t="s">
        <v>970</v>
      </c>
      <c r="O1380" s="58" t="s">
        <v>971</v>
      </c>
      <c r="P1380" s="58" t="s">
        <v>38</v>
      </c>
      <c r="Q1380" s="58" t="s">
        <v>52</v>
      </c>
      <c r="R1380" s="58" t="s">
        <v>272</v>
      </c>
    </row>
    <row r="1381" spans="1:18" ht="69" customHeight="1">
      <c r="A1381" s="168"/>
      <c r="B1381" s="178">
        <v>7367</v>
      </c>
      <c r="C1381" s="178" t="s">
        <v>3647</v>
      </c>
      <c r="D1381" s="575" t="s">
        <v>1140</v>
      </c>
      <c r="E1381" s="178" t="s">
        <v>4173</v>
      </c>
      <c r="F1381" s="210" t="s">
        <v>4229</v>
      </c>
      <c r="G1381" s="58" t="s">
        <v>1048</v>
      </c>
      <c r="H1381" s="546">
        <v>6800</v>
      </c>
      <c r="I1381" s="66">
        <v>44879</v>
      </c>
      <c r="J1381" s="411" t="s">
        <v>3795</v>
      </c>
      <c r="K1381" s="58"/>
      <c r="L1381" s="99"/>
      <c r="M1381" s="70" t="s">
        <v>4011</v>
      </c>
      <c r="N1381" s="97" t="s">
        <v>414</v>
      </c>
      <c r="O1381" s="58"/>
      <c r="P1381" s="58" t="s">
        <v>22</v>
      </c>
      <c r="Q1381" s="58" t="s">
        <v>52</v>
      </c>
      <c r="R1381" s="58" t="s">
        <v>265</v>
      </c>
    </row>
    <row r="1382" spans="1:18" ht="69" customHeight="1">
      <c r="A1382" s="168"/>
      <c r="B1382" s="178">
        <v>7390</v>
      </c>
      <c r="C1382" s="178" t="s">
        <v>3647</v>
      </c>
      <c r="D1382" s="575" t="s">
        <v>2797</v>
      </c>
      <c r="E1382" s="178" t="s">
        <v>432</v>
      </c>
      <c r="F1382" s="210" t="s">
        <v>4230</v>
      </c>
      <c r="G1382" s="58" t="s">
        <v>1121</v>
      </c>
      <c r="H1382" s="546">
        <v>34317.03</v>
      </c>
      <c r="I1382" s="66">
        <v>44876</v>
      </c>
      <c r="J1382" s="411" t="s">
        <v>1122</v>
      </c>
      <c r="K1382" s="58"/>
      <c r="L1382" s="99"/>
      <c r="M1382" s="70" t="s">
        <v>4171</v>
      </c>
      <c r="N1382" s="97" t="s">
        <v>432</v>
      </c>
      <c r="O1382" s="58"/>
      <c r="P1382" s="58" t="s">
        <v>53</v>
      </c>
      <c r="Q1382" s="58" t="s">
        <v>52</v>
      </c>
      <c r="R1382" s="58" t="s">
        <v>272</v>
      </c>
    </row>
    <row r="1383" spans="1:18" ht="69" customHeight="1">
      <c r="A1383" s="168"/>
      <c r="B1383" s="178">
        <v>7533</v>
      </c>
      <c r="C1383" s="178" t="s">
        <v>3647</v>
      </c>
      <c r="D1383" s="575" t="s">
        <v>4231</v>
      </c>
      <c r="E1383" s="178" t="s">
        <v>3825</v>
      </c>
      <c r="F1383" s="210" t="s">
        <v>4232</v>
      </c>
      <c r="G1383" s="58" t="s">
        <v>3831</v>
      </c>
      <c r="H1383" s="546">
        <v>607627.80000000005</v>
      </c>
      <c r="I1383" s="66">
        <v>44886</v>
      </c>
      <c r="J1383" s="411" t="s">
        <v>3832</v>
      </c>
      <c r="K1383" s="58"/>
      <c r="L1383" s="99"/>
      <c r="M1383" s="70" t="s">
        <v>4165</v>
      </c>
      <c r="N1383" s="97" t="s">
        <v>414</v>
      </c>
      <c r="O1383" s="58"/>
      <c r="P1383" s="58" t="s">
        <v>22</v>
      </c>
      <c r="Q1383" s="58" t="s">
        <v>52</v>
      </c>
      <c r="R1383" s="58" t="s">
        <v>272</v>
      </c>
    </row>
    <row r="1384" spans="1:18" ht="69" customHeight="1">
      <c r="A1384" s="168"/>
      <c r="B1384" s="178">
        <v>7536</v>
      </c>
      <c r="C1384" s="178" t="s">
        <v>3647</v>
      </c>
      <c r="D1384" s="575" t="s">
        <v>489</v>
      </c>
      <c r="E1384" s="178" t="s">
        <v>4173</v>
      </c>
      <c r="F1384" s="210" t="s">
        <v>4233</v>
      </c>
      <c r="G1384" s="58" t="s">
        <v>4234</v>
      </c>
      <c r="H1384" s="546">
        <v>7000</v>
      </c>
      <c r="I1384" s="66">
        <v>44886</v>
      </c>
      <c r="J1384" s="411" t="s">
        <v>3807</v>
      </c>
      <c r="K1384" s="58"/>
      <c r="L1384" s="99"/>
      <c r="M1384" s="70" t="s">
        <v>4011</v>
      </c>
      <c r="N1384" s="97" t="s">
        <v>414</v>
      </c>
      <c r="O1384" s="58"/>
      <c r="P1384" s="58" t="s">
        <v>22</v>
      </c>
      <c r="Q1384" s="58" t="s">
        <v>52</v>
      </c>
      <c r="R1384" s="58" t="s">
        <v>265</v>
      </c>
    </row>
    <row r="1385" spans="1:18" ht="69" customHeight="1">
      <c r="A1385" s="168"/>
      <c r="B1385" s="178">
        <v>7538</v>
      </c>
      <c r="C1385" s="178" t="s">
        <v>3647</v>
      </c>
      <c r="D1385" s="575" t="s">
        <v>4235</v>
      </c>
      <c r="E1385" s="178" t="s">
        <v>4173</v>
      </c>
      <c r="F1385" s="210" t="s">
        <v>4236</v>
      </c>
      <c r="G1385" s="58" t="s">
        <v>3806</v>
      </c>
      <c r="H1385" s="546">
        <v>12000</v>
      </c>
      <c r="I1385" s="66">
        <v>44886</v>
      </c>
      <c r="J1385" s="411" t="s">
        <v>3807</v>
      </c>
      <c r="K1385" s="58"/>
      <c r="L1385" s="99"/>
      <c r="M1385" s="70" t="s">
        <v>4011</v>
      </c>
      <c r="N1385" s="97" t="s">
        <v>414</v>
      </c>
      <c r="O1385" s="58"/>
      <c r="P1385" s="58" t="s">
        <v>22</v>
      </c>
      <c r="Q1385" s="58" t="s">
        <v>52</v>
      </c>
      <c r="R1385" s="58" t="s">
        <v>265</v>
      </c>
    </row>
    <row r="1386" spans="1:18" ht="69" customHeight="1">
      <c r="A1386" s="168"/>
      <c r="B1386" s="178">
        <v>7540</v>
      </c>
      <c r="C1386" s="178" t="s">
        <v>3647</v>
      </c>
      <c r="D1386" s="575" t="s">
        <v>3042</v>
      </c>
      <c r="E1386" s="178" t="s">
        <v>4173</v>
      </c>
      <c r="F1386" s="210" t="s">
        <v>4237</v>
      </c>
      <c r="G1386" s="58" t="s">
        <v>1048</v>
      </c>
      <c r="H1386" s="546">
        <v>15396.72</v>
      </c>
      <c r="I1386" s="66">
        <v>44886</v>
      </c>
      <c r="J1386" s="411" t="s">
        <v>3807</v>
      </c>
      <c r="K1386" s="58"/>
      <c r="L1386" s="99"/>
      <c r="M1386" s="70" t="s">
        <v>4011</v>
      </c>
      <c r="N1386" s="97" t="s">
        <v>414</v>
      </c>
      <c r="O1386" s="58"/>
      <c r="P1386" s="58" t="s">
        <v>22</v>
      </c>
      <c r="Q1386" s="58" t="s">
        <v>52</v>
      </c>
      <c r="R1386" s="58" t="s">
        <v>265</v>
      </c>
    </row>
    <row r="1387" spans="1:18" ht="69" customHeight="1">
      <c r="A1387" s="168"/>
      <c r="B1387" s="178">
        <v>7541</v>
      </c>
      <c r="C1387" s="178" t="s">
        <v>3647</v>
      </c>
      <c r="D1387" s="575" t="s">
        <v>1824</v>
      </c>
      <c r="E1387" s="178" t="s">
        <v>4173</v>
      </c>
      <c r="F1387" s="210" t="s">
        <v>4238</v>
      </c>
      <c r="G1387" s="58" t="s">
        <v>3888</v>
      </c>
      <c r="H1387" s="546">
        <v>22050</v>
      </c>
      <c r="I1387" s="66">
        <v>44886</v>
      </c>
      <c r="J1387" s="411" t="s">
        <v>3807</v>
      </c>
      <c r="K1387" s="58"/>
      <c r="L1387" s="99"/>
      <c r="M1387" s="70" t="s">
        <v>4011</v>
      </c>
      <c r="N1387" s="97" t="s">
        <v>414</v>
      </c>
      <c r="O1387" s="58"/>
      <c r="P1387" s="58" t="s">
        <v>22</v>
      </c>
      <c r="Q1387" s="58" t="s">
        <v>52</v>
      </c>
      <c r="R1387" s="58" t="s">
        <v>265</v>
      </c>
    </row>
    <row r="1388" spans="1:18" ht="69" customHeight="1">
      <c r="A1388" s="168"/>
      <c r="B1388" s="178">
        <v>7760</v>
      </c>
      <c r="C1388" s="178" t="s">
        <v>3933</v>
      </c>
      <c r="D1388" s="575" t="s">
        <v>3099</v>
      </c>
      <c r="E1388" s="178" t="s">
        <v>3833</v>
      </c>
      <c r="F1388" s="210" t="s">
        <v>4239</v>
      </c>
      <c r="G1388" s="58" t="s">
        <v>1838</v>
      </c>
      <c r="H1388" s="546">
        <v>308780</v>
      </c>
      <c r="I1388" s="66">
        <v>44909</v>
      </c>
      <c r="J1388" s="411" t="s">
        <v>3841</v>
      </c>
      <c r="K1388" s="58"/>
      <c r="L1388" s="99"/>
      <c r="M1388" s="70" t="s">
        <v>4240</v>
      </c>
      <c r="N1388" s="97" t="s">
        <v>356</v>
      </c>
      <c r="O1388" s="45" t="s">
        <v>195</v>
      </c>
      <c r="P1388" s="58" t="s">
        <v>19</v>
      </c>
      <c r="Q1388" s="58" t="s">
        <v>52</v>
      </c>
      <c r="R1388" s="58" t="s">
        <v>265</v>
      </c>
    </row>
    <row r="1389" spans="1:18" ht="69" customHeight="1">
      <c r="A1389" s="168"/>
      <c r="B1389" s="178">
        <v>7762</v>
      </c>
      <c r="C1389" s="178" t="s">
        <v>3933</v>
      </c>
      <c r="D1389" s="575" t="s">
        <v>2361</v>
      </c>
      <c r="E1389" s="178" t="s">
        <v>3833</v>
      </c>
      <c r="F1389" s="210" t="s">
        <v>4241</v>
      </c>
      <c r="G1389" s="58" t="s">
        <v>1838</v>
      </c>
      <c r="H1389" s="546">
        <v>184612.35</v>
      </c>
      <c r="I1389" s="66">
        <v>44911</v>
      </c>
      <c r="J1389" s="411" t="s">
        <v>3843</v>
      </c>
      <c r="K1389" s="58"/>
      <c r="L1389" s="99"/>
      <c r="M1389" s="70" t="s">
        <v>4240</v>
      </c>
      <c r="N1389" s="97" t="s">
        <v>356</v>
      </c>
      <c r="O1389" s="45" t="s">
        <v>195</v>
      </c>
      <c r="P1389" s="58" t="s">
        <v>19</v>
      </c>
      <c r="Q1389" s="58" t="s">
        <v>52</v>
      </c>
      <c r="R1389" s="58" t="s">
        <v>265</v>
      </c>
    </row>
    <row r="1390" spans="1:18" ht="69" customHeight="1">
      <c r="A1390" s="168"/>
      <c r="B1390" s="178">
        <v>7764</v>
      </c>
      <c r="C1390" s="178" t="s">
        <v>3647</v>
      </c>
      <c r="D1390" s="575" t="s">
        <v>1193</v>
      </c>
      <c r="E1390" s="178" t="s">
        <v>3833</v>
      </c>
      <c r="F1390" s="210" t="s">
        <v>4242</v>
      </c>
      <c r="G1390" s="58" t="s">
        <v>1838</v>
      </c>
      <c r="H1390" s="546">
        <v>57000</v>
      </c>
      <c r="I1390" s="66">
        <v>44928</v>
      </c>
      <c r="J1390" s="411" t="s">
        <v>3845</v>
      </c>
      <c r="K1390" s="58"/>
      <c r="L1390" s="99"/>
      <c r="M1390" s="70" t="s">
        <v>4240</v>
      </c>
      <c r="N1390" s="97" t="s">
        <v>356</v>
      </c>
      <c r="O1390" s="45" t="s">
        <v>195</v>
      </c>
      <c r="P1390" s="58" t="s">
        <v>19</v>
      </c>
      <c r="Q1390" s="58" t="s">
        <v>52</v>
      </c>
      <c r="R1390" s="58" t="s">
        <v>265</v>
      </c>
    </row>
    <row r="1391" spans="1:18" ht="69" customHeight="1">
      <c r="A1391" s="168"/>
      <c r="B1391" s="178">
        <v>6719</v>
      </c>
      <c r="C1391" s="178" t="s">
        <v>3647</v>
      </c>
      <c r="D1391" s="575" t="s">
        <v>4243</v>
      </c>
      <c r="E1391" s="178" t="s">
        <v>4173</v>
      </c>
      <c r="F1391" s="210" t="s">
        <v>4244</v>
      </c>
      <c r="G1391" s="58" t="s">
        <v>3744</v>
      </c>
      <c r="H1391" s="546">
        <v>9486</v>
      </c>
      <c r="I1391" s="66">
        <v>44825</v>
      </c>
      <c r="J1391" s="411" t="s">
        <v>4189</v>
      </c>
      <c r="K1391" s="58"/>
      <c r="L1391" s="99"/>
      <c r="M1391" s="70" t="s">
        <v>4011</v>
      </c>
      <c r="N1391" s="97" t="s">
        <v>414</v>
      </c>
      <c r="O1391" s="58"/>
      <c r="P1391" s="58" t="s">
        <v>22</v>
      </c>
      <c r="Q1391" s="58" t="s">
        <v>52</v>
      </c>
      <c r="R1391" s="58" t="s">
        <v>265</v>
      </c>
    </row>
    <row r="1392" spans="1:18" ht="69" customHeight="1">
      <c r="A1392" s="168"/>
      <c r="B1392" s="178">
        <v>7561</v>
      </c>
      <c r="C1392" s="178" t="s">
        <v>3933</v>
      </c>
      <c r="D1392" s="575" t="s">
        <v>2581</v>
      </c>
      <c r="E1392" s="178" t="s">
        <v>3833</v>
      </c>
      <c r="F1392" s="210" t="s">
        <v>4245</v>
      </c>
      <c r="G1392" s="58" t="s">
        <v>1838</v>
      </c>
      <c r="H1392" s="546">
        <v>180000</v>
      </c>
      <c r="I1392" s="66">
        <v>44900</v>
      </c>
      <c r="J1392" s="411" t="s">
        <v>3838</v>
      </c>
      <c r="K1392" s="58"/>
      <c r="L1392" s="99"/>
      <c r="M1392" s="70" t="s">
        <v>4240</v>
      </c>
      <c r="N1392" s="97" t="s">
        <v>356</v>
      </c>
      <c r="O1392" s="45" t="s">
        <v>195</v>
      </c>
      <c r="P1392" s="58" t="s">
        <v>19</v>
      </c>
      <c r="Q1392" s="58" t="s">
        <v>52</v>
      </c>
      <c r="R1392" s="58" t="s">
        <v>265</v>
      </c>
    </row>
    <row r="1393" spans="1:18" ht="69" customHeight="1">
      <c r="A1393" s="168"/>
      <c r="B1393" s="178">
        <v>7730</v>
      </c>
      <c r="C1393" s="178" t="s">
        <v>3933</v>
      </c>
      <c r="D1393" s="575" t="s">
        <v>2359</v>
      </c>
      <c r="E1393" s="178" t="s">
        <v>3833</v>
      </c>
      <c r="F1393" s="210" t="s">
        <v>4246</v>
      </c>
      <c r="G1393" s="58" t="s">
        <v>1838</v>
      </c>
      <c r="H1393" s="546">
        <v>223673.27</v>
      </c>
      <c r="I1393" s="66">
        <v>44907</v>
      </c>
      <c r="J1393" s="411" t="s">
        <v>3835</v>
      </c>
      <c r="K1393" s="58"/>
      <c r="L1393" s="99"/>
      <c r="M1393" s="70" t="s">
        <v>4240</v>
      </c>
      <c r="N1393" s="97" t="s">
        <v>356</v>
      </c>
      <c r="O1393" s="45" t="s">
        <v>195</v>
      </c>
      <c r="P1393" s="58" t="s">
        <v>19</v>
      </c>
      <c r="Q1393" s="58" t="s">
        <v>52</v>
      </c>
      <c r="R1393" s="58" t="s">
        <v>265</v>
      </c>
    </row>
    <row r="1394" spans="1:18" ht="69" customHeight="1">
      <c r="A1394" s="168"/>
      <c r="B1394" s="178">
        <v>7580</v>
      </c>
      <c r="C1394" s="178" t="s">
        <v>3933</v>
      </c>
      <c r="D1394" s="575" t="s">
        <v>3304</v>
      </c>
      <c r="E1394" s="178" t="s">
        <v>2075</v>
      </c>
      <c r="F1394" s="210" t="s">
        <v>4247</v>
      </c>
      <c r="G1394" s="58" t="s">
        <v>1041</v>
      </c>
      <c r="H1394" s="546">
        <v>10610</v>
      </c>
      <c r="I1394" s="66">
        <v>44904</v>
      </c>
      <c r="J1394" s="411" t="s">
        <v>1080</v>
      </c>
      <c r="K1394" s="58"/>
      <c r="L1394" s="99"/>
      <c r="M1394" s="70" t="s">
        <v>4248</v>
      </c>
      <c r="N1394" s="97" t="s">
        <v>1044</v>
      </c>
      <c r="O1394" s="58"/>
      <c r="P1394" s="58" t="s">
        <v>26</v>
      </c>
      <c r="Q1394" s="58" t="s">
        <v>52</v>
      </c>
      <c r="R1394" s="58" t="s">
        <v>272</v>
      </c>
    </row>
    <row r="1395" spans="1:18" ht="69" customHeight="1">
      <c r="A1395" s="168"/>
      <c r="B1395" s="178">
        <v>7751</v>
      </c>
      <c r="C1395" s="178" t="s">
        <v>3647</v>
      </c>
      <c r="D1395" s="575" t="s">
        <v>3093</v>
      </c>
      <c r="E1395" s="178" t="s">
        <v>4173</v>
      </c>
      <c r="F1395" s="210" t="s">
        <v>4249</v>
      </c>
      <c r="G1395" s="58" t="s">
        <v>4250</v>
      </c>
      <c r="H1395" s="546">
        <v>84550</v>
      </c>
      <c r="I1395" s="66">
        <v>44907</v>
      </c>
      <c r="J1395" s="411" t="s">
        <v>3850</v>
      </c>
      <c r="K1395" s="58"/>
      <c r="L1395" s="99"/>
      <c r="M1395" s="70" t="s">
        <v>4011</v>
      </c>
      <c r="N1395" s="97" t="s">
        <v>414</v>
      </c>
      <c r="O1395" s="58"/>
      <c r="P1395" s="58" t="s">
        <v>22</v>
      </c>
      <c r="Q1395" s="58" t="s">
        <v>52</v>
      </c>
      <c r="R1395" s="58" t="s">
        <v>265</v>
      </c>
    </row>
    <row r="1396" spans="1:18" ht="69" customHeight="1">
      <c r="A1396" s="168"/>
      <c r="B1396" s="178">
        <v>7752</v>
      </c>
      <c r="C1396" s="178" t="s">
        <v>3647</v>
      </c>
      <c r="D1396" s="575" t="s">
        <v>3095</v>
      </c>
      <c r="E1396" s="178" t="s">
        <v>4173</v>
      </c>
      <c r="F1396" s="210" t="s">
        <v>4251</v>
      </c>
      <c r="G1396" s="58" t="s">
        <v>3849</v>
      </c>
      <c r="H1396" s="546">
        <v>15000</v>
      </c>
      <c r="I1396" s="66">
        <v>44907</v>
      </c>
      <c r="J1396" s="411" t="s">
        <v>3850</v>
      </c>
      <c r="K1396" s="58"/>
      <c r="L1396" s="99"/>
      <c r="M1396" s="70" t="s">
        <v>4011</v>
      </c>
      <c r="N1396" s="97" t="s">
        <v>414</v>
      </c>
      <c r="O1396" s="58"/>
      <c r="P1396" s="58" t="s">
        <v>22</v>
      </c>
      <c r="Q1396" s="58" t="s">
        <v>52</v>
      </c>
      <c r="R1396" s="58" t="s">
        <v>265</v>
      </c>
    </row>
    <row r="1397" spans="1:18" ht="69" customHeight="1">
      <c r="A1397" s="168"/>
      <c r="B1397" s="178">
        <v>7310</v>
      </c>
      <c r="C1397" s="178" t="s">
        <v>3933</v>
      </c>
      <c r="D1397" s="575" t="s">
        <v>4252</v>
      </c>
      <c r="E1397" s="178" t="s">
        <v>2075</v>
      </c>
      <c r="F1397" s="210" t="s">
        <v>4253</v>
      </c>
      <c r="G1397" s="58" t="s">
        <v>1041</v>
      </c>
      <c r="H1397" s="546">
        <v>41200</v>
      </c>
      <c r="I1397" s="66">
        <v>44869</v>
      </c>
      <c r="J1397" s="411" t="s">
        <v>1113</v>
      </c>
      <c r="K1397" s="58"/>
      <c r="L1397" s="99"/>
      <c r="M1397" s="70" t="s">
        <v>4248</v>
      </c>
      <c r="N1397" s="97" t="s">
        <v>1044</v>
      </c>
      <c r="O1397" s="58"/>
      <c r="P1397" s="58" t="s">
        <v>26</v>
      </c>
      <c r="Q1397" s="58" t="s">
        <v>52</v>
      </c>
      <c r="R1397" s="58" t="s">
        <v>272</v>
      </c>
    </row>
    <row r="1398" spans="1:18" ht="69" customHeight="1">
      <c r="A1398" s="168"/>
      <c r="B1398" s="178">
        <v>7465</v>
      </c>
      <c r="C1398" s="178" t="s">
        <v>3933</v>
      </c>
      <c r="D1398" s="575" t="s">
        <v>3289</v>
      </c>
      <c r="E1398" s="178" t="s">
        <v>2075</v>
      </c>
      <c r="F1398" s="210" t="s">
        <v>4254</v>
      </c>
      <c r="G1398" s="58" t="s">
        <v>1041</v>
      </c>
      <c r="H1398" s="546">
        <v>188726.34</v>
      </c>
      <c r="I1398" s="66">
        <v>44883</v>
      </c>
      <c r="J1398" s="411" t="s">
        <v>1042</v>
      </c>
      <c r="K1398" s="58"/>
      <c r="L1398" s="99"/>
      <c r="M1398" s="70" t="s">
        <v>4248</v>
      </c>
      <c r="N1398" s="97" t="s">
        <v>1044</v>
      </c>
      <c r="O1398" s="58"/>
      <c r="P1398" s="58" t="s">
        <v>26</v>
      </c>
      <c r="Q1398" s="58" t="s">
        <v>52</v>
      </c>
      <c r="R1398" s="58" t="s">
        <v>272</v>
      </c>
    </row>
    <row r="1399" spans="1:18" ht="69" customHeight="1">
      <c r="A1399" s="168"/>
      <c r="B1399" s="178">
        <v>8259</v>
      </c>
      <c r="C1399" s="178" t="s">
        <v>3647</v>
      </c>
      <c r="D1399" s="575" t="s">
        <v>2843</v>
      </c>
      <c r="E1399" s="178" t="s">
        <v>4173</v>
      </c>
      <c r="F1399" s="210" t="s">
        <v>4255</v>
      </c>
      <c r="G1399" s="58" t="s">
        <v>3860</v>
      </c>
      <c r="H1399" s="546">
        <v>17000</v>
      </c>
      <c r="I1399" s="66">
        <v>44921</v>
      </c>
      <c r="J1399" s="411" t="s">
        <v>3861</v>
      </c>
      <c r="K1399" s="58"/>
      <c r="L1399" s="99"/>
      <c r="M1399" s="70" t="s">
        <v>4011</v>
      </c>
      <c r="N1399" s="97" t="s">
        <v>414</v>
      </c>
      <c r="O1399" s="58"/>
      <c r="P1399" s="58" t="s">
        <v>22</v>
      </c>
      <c r="Q1399" s="58" t="s">
        <v>52</v>
      </c>
      <c r="R1399" s="58" t="s">
        <v>265</v>
      </c>
    </row>
    <row r="1400" spans="1:18" ht="69" customHeight="1">
      <c r="A1400" s="168"/>
      <c r="B1400" s="178">
        <v>8555</v>
      </c>
      <c r="C1400" s="178" t="s">
        <v>3933</v>
      </c>
      <c r="D1400" s="575" t="s">
        <v>3328</v>
      </c>
      <c r="E1400" s="178" t="s">
        <v>3235</v>
      </c>
      <c r="F1400" s="210" t="s">
        <v>4256</v>
      </c>
      <c r="G1400" s="58" t="s">
        <v>1877</v>
      </c>
      <c r="H1400" s="546">
        <v>55668.9</v>
      </c>
      <c r="I1400" s="66">
        <v>44946</v>
      </c>
      <c r="J1400" s="411" t="s">
        <v>1878</v>
      </c>
      <c r="K1400" s="58"/>
      <c r="L1400" s="99"/>
      <c r="M1400" s="70" t="s">
        <v>4248</v>
      </c>
      <c r="N1400" s="97" t="s">
        <v>1044</v>
      </c>
      <c r="O1400" s="58"/>
      <c r="P1400" s="58" t="s">
        <v>26</v>
      </c>
      <c r="Q1400" s="58" t="s">
        <v>52</v>
      </c>
      <c r="R1400" s="58" t="s">
        <v>272</v>
      </c>
    </row>
    <row r="1401" spans="1:18" ht="69" customHeight="1">
      <c r="A1401" s="168"/>
      <c r="B1401" s="178">
        <v>8495</v>
      </c>
      <c r="C1401" s="178" t="s">
        <v>3647</v>
      </c>
      <c r="D1401" s="575" t="s">
        <v>2650</v>
      </c>
      <c r="E1401" s="178" t="s">
        <v>4173</v>
      </c>
      <c r="F1401" s="210" t="s">
        <v>4257</v>
      </c>
      <c r="G1401" s="58" t="s">
        <v>3888</v>
      </c>
      <c r="H1401" s="546">
        <v>13000</v>
      </c>
      <c r="I1401" s="66">
        <v>44938</v>
      </c>
      <c r="J1401" s="411" t="s">
        <v>4258</v>
      </c>
      <c r="K1401" s="58"/>
      <c r="L1401" s="99"/>
      <c r="M1401" s="70" t="s">
        <v>4011</v>
      </c>
      <c r="N1401" s="97" t="s">
        <v>414</v>
      </c>
      <c r="O1401" s="58"/>
      <c r="P1401" s="58" t="s">
        <v>22</v>
      </c>
      <c r="Q1401" s="58" t="s">
        <v>52</v>
      </c>
      <c r="R1401" s="58" t="s">
        <v>265</v>
      </c>
    </row>
    <row r="1402" spans="1:18" ht="69" customHeight="1">
      <c r="A1402" s="168"/>
      <c r="B1402" s="178">
        <v>8501</v>
      </c>
      <c r="C1402" s="178" t="s">
        <v>3647</v>
      </c>
      <c r="D1402" s="575" t="s">
        <v>4259</v>
      </c>
      <c r="E1402" s="178" t="s">
        <v>3825</v>
      </c>
      <c r="F1402" s="210" t="s">
        <v>4260</v>
      </c>
      <c r="G1402" s="58" t="s">
        <v>4261</v>
      </c>
      <c r="H1402" s="546">
        <v>0</v>
      </c>
      <c r="I1402" s="66">
        <v>44937</v>
      </c>
      <c r="J1402" s="411" t="s">
        <v>4262</v>
      </c>
      <c r="K1402" s="58">
        <v>19822.650000000001</v>
      </c>
      <c r="L1402" s="99"/>
      <c r="M1402" s="70" t="s">
        <v>4165</v>
      </c>
      <c r="N1402" s="97" t="s">
        <v>414</v>
      </c>
      <c r="O1402" s="58"/>
      <c r="P1402" s="58" t="s">
        <v>22</v>
      </c>
      <c r="Q1402" s="58" t="s">
        <v>52</v>
      </c>
      <c r="R1402" s="58" t="s">
        <v>272</v>
      </c>
    </row>
    <row r="1403" spans="1:18" ht="69" customHeight="1">
      <c r="A1403" s="168"/>
      <c r="B1403" s="178">
        <v>8524</v>
      </c>
      <c r="C1403" s="178" t="s">
        <v>3647</v>
      </c>
      <c r="D1403" s="575" t="s">
        <v>2883</v>
      </c>
      <c r="E1403" s="178" t="s">
        <v>4173</v>
      </c>
      <c r="F1403" s="210" t="s">
        <v>4263</v>
      </c>
      <c r="G1403" s="58" t="s">
        <v>3874</v>
      </c>
      <c r="H1403" s="546">
        <v>15000</v>
      </c>
      <c r="I1403" s="66">
        <v>44939</v>
      </c>
      <c r="J1403" s="411" t="s">
        <v>3875</v>
      </c>
      <c r="K1403" s="58"/>
      <c r="L1403" s="99"/>
      <c r="M1403" s="70" t="s">
        <v>4011</v>
      </c>
      <c r="N1403" s="97" t="s">
        <v>414</v>
      </c>
      <c r="O1403" s="58"/>
      <c r="P1403" s="58" t="s">
        <v>22</v>
      </c>
      <c r="Q1403" s="58" t="s">
        <v>52</v>
      </c>
      <c r="R1403" s="58" t="s">
        <v>265</v>
      </c>
    </row>
    <row r="1404" spans="1:18" ht="69" customHeight="1">
      <c r="A1404" s="168"/>
      <c r="B1404" s="178">
        <v>8033</v>
      </c>
      <c r="C1404" s="178" t="s">
        <v>3647</v>
      </c>
      <c r="D1404" s="575" t="s">
        <v>1932</v>
      </c>
      <c r="E1404" s="178" t="s">
        <v>4173</v>
      </c>
      <c r="F1404" s="210" t="s">
        <v>4264</v>
      </c>
      <c r="G1404" s="58" t="s">
        <v>3877</v>
      </c>
      <c r="H1404" s="546">
        <v>13392</v>
      </c>
      <c r="I1404" s="66">
        <v>44939</v>
      </c>
      <c r="J1404" s="411" t="s">
        <v>3878</v>
      </c>
      <c r="K1404" s="58"/>
      <c r="L1404" s="99"/>
      <c r="M1404" s="70" t="s">
        <v>4011</v>
      </c>
      <c r="N1404" s="97" t="s">
        <v>414</v>
      </c>
      <c r="O1404" s="58"/>
      <c r="P1404" s="58" t="s">
        <v>22</v>
      </c>
      <c r="Q1404" s="58" t="s">
        <v>52</v>
      </c>
      <c r="R1404" s="58" t="s">
        <v>265</v>
      </c>
    </row>
    <row r="1405" spans="1:18" ht="69" customHeight="1">
      <c r="A1405" s="168"/>
      <c r="B1405" s="178">
        <v>8645</v>
      </c>
      <c r="C1405" s="178" t="s">
        <v>3647</v>
      </c>
      <c r="D1405" s="575" t="s">
        <v>1951</v>
      </c>
      <c r="E1405" s="178" t="s">
        <v>4173</v>
      </c>
      <c r="F1405" s="210" t="s">
        <v>4265</v>
      </c>
      <c r="G1405" s="58" t="s">
        <v>4266</v>
      </c>
      <c r="H1405" s="546">
        <v>12000</v>
      </c>
      <c r="I1405" s="66">
        <v>44946</v>
      </c>
      <c r="J1405" s="411" t="s">
        <v>3892</v>
      </c>
      <c r="K1405" s="58"/>
      <c r="L1405" s="99"/>
      <c r="M1405" s="70" t="s">
        <v>4011</v>
      </c>
      <c r="N1405" s="97" t="s">
        <v>414</v>
      </c>
      <c r="O1405" s="58"/>
      <c r="P1405" s="58" t="s">
        <v>22</v>
      </c>
      <c r="Q1405" s="58" t="s">
        <v>52</v>
      </c>
      <c r="R1405" s="58" t="s">
        <v>265</v>
      </c>
    </row>
    <row r="1406" spans="1:18" ht="69" customHeight="1">
      <c r="A1406" s="168"/>
      <c r="B1406" s="178">
        <v>8646</v>
      </c>
      <c r="C1406" s="178" t="s">
        <v>3647</v>
      </c>
      <c r="D1406" s="575" t="s">
        <v>4267</v>
      </c>
      <c r="E1406" s="178" t="s">
        <v>4173</v>
      </c>
      <c r="F1406" s="210" t="s">
        <v>4268</v>
      </c>
      <c r="G1406" s="58" t="s">
        <v>3891</v>
      </c>
      <c r="H1406" s="546">
        <v>17000</v>
      </c>
      <c r="I1406" s="66">
        <v>44946</v>
      </c>
      <c r="J1406" s="411" t="s">
        <v>3892</v>
      </c>
      <c r="K1406" s="58"/>
      <c r="L1406" s="99"/>
      <c r="M1406" s="70" t="s">
        <v>4011</v>
      </c>
      <c r="N1406" s="97" t="s">
        <v>414</v>
      </c>
      <c r="O1406" s="58"/>
      <c r="P1406" s="58" t="s">
        <v>22</v>
      </c>
      <c r="Q1406" s="58" t="s">
        <v>52</v>
      </c>
      <c r="R1406" s="58" t="s">
        <v>265</v>
      </c>
    </row>
    <row r="1407" spans="1:18" ht="69" customHeight="1">
      <c r="A1407" s="168"/>
      <c r="B1407" s="178">
        <v>8647</v>
      </c>
      <c r="C1407" s="178" t="s">
        <v>3647</v>
      </c>
      <c r="D1407" s="575" t="s">
        <v>2661</v>
      </c>
      <c r="E1407" s="178" t="s">
        <v>4173</v>
      </c>
      <c r="F1407" s="210" t="s">
        <v>4269</v>
      </c>
      <c r="G1407" s="58" t="s">
        <v>4270</v>
      </c>
      <c r="H1407" s="546">
        <v>20000</v>
      </c>
      <c r="I1407" s="66">
        <v>44946</v>
      </c>
      <c r="J1407" s="411" t="s">
        <v>3892</v>
      </c>
      <c r="K1407" s="58"/>
      <c r="L1407" s="99"/>
      <c r="M1407" s="70" t="s">
        <v>4011</v>
      </c>
      <c r="N1407" s="97" t="s">
        <v>414</v>
      </c>
      <c r="O1407" s="58"/>
      <c r="P1407" s="58" t="s">
        <v>22</v>
      </c>
      <c r="Q1407" s="58" t="s">
        <v>52</v>
      </c>
      <c r="R1407" s="58" t="s">
        <v>265</v>
      </c>
    </row>
    <row r="1408" spans="1:18" ht="69" customHeight="1">
      <c r="A1408" s="168"/>
      <c r="B1408" s="178">
        <v>8708</v>
      </c>
      <c r="C1408" s="178" t="s">
        <v>3647</v>
      </c>
      <c r="D1408" s="575" t="s">
        <v>4271</v>
      </c>
      <c r="E1408" s="178" t="s">
        <v>4173</v>
      </c>
      <c r="F1408" s="210" t="s">
        <v>4272</v>
      </c>
      <c r="G1408" s="58" t="s">
        <v>4270</v>
      </c>
      <c r="H1408" s="546">
        <v>15053.3</v>
      </c>
      <c r="I1408" s="66">
        <v>44951</v>
      </c>
      <c r="J1408" s="411" t="s">
        <v>3899</v>
      </c>
      <c r="K1408" s="58"/>
      <c r="L1408" s="99"/>
      <c r="M1408" s="70" t="s">
        <v>4011</v>
      </c>
      <c r="N1408" s="97" t="s">
        <v>414</v>
      </c>
      <c r="O1408" s="58"/>
      <c r="P1408" s="58" t="s">
        <v>22</v>
      </c>
      <c r="Q1408" s="58" t="s">
        <v>52</v>
      </c>
      <c r="R1408" s="58" t="s">
        <v>265</v>
      </c>
    </row>
    <row r="1409" spans="1:18" ht="69" customHeight="1">
      <c r="A1409" s="168"/>
      <c r="B1409" s="178">
        <v>8709</v>
      </c>
      <c r="C1409" s="178" t="s">
        <v>3647</v>
      </c>
      <c r="D1409" s="575" t="s">
        <v>4273</v>
      </c>
      <c r="E1409" s="178" t="s">
        <v>4173</v>
      </c>
      <c r="F1409" s="210" t="s">
        <v>4274</v>
      </c>
      <c r="G1409" s="58" t="s">
        <v>3898</v>
      </c>
      <c r="H1409" s="546">
        <v>15012</v>
      </c>
      <c r="I1409" s="66">
        <v>44951</v>
      </c>
      <c r="J1409" s="411" t="s">
        <v>3899</v>
      </c>
      <c r="K1409" s="58"/>
      <c r="L1409" s="99"/>
      <c r="M1409" s="70" t="s">
        <v>4011</v>
      </c>
      <c r="N1409" s="97" t="s">
        <v>414</v>
      </c>
      <c r="O1409" s="58"/>
      <c r="P1409" s="58" t="s">
        <v>22</v>
      </c>
      <c r="Q1409" s="58" t="s">
        <v>52</v>
      </c>
      <c r="R1409" s="58" t="s">
        <v>265</v>
      </c>
    </row>
    <row r="1410" spans="1:18" ht="69" customHeight="1">
      <c r="A1410" s="168"/>
      <c r="B1410" s="178">
        <v>8740</v>
      </c>
      <c r="C1410" s="178" t="s">
        <v>3647</v>
      </c>
      <c r="D1410" s="575" t="s">
        <v>4275</v>
      </c>
      <c r="E1410" s="178" t="s">
        <v>4173</v>
      </c>
      <c r="F1410" s="210" t="s">
        <v>4276</v>
      </c>
      <c r="G1410" s="58" t="s">
        <v>3919</v>
      </c>
      <c r="H1410" s="546">
        <v>9163</v>
      </c>
      <c r="I1410" s="66">
        <v>44971</v>
      </c>
      <c r="J1410" s="411" t="s">
        <v>3920</v>
      </c>
      <c r="K1410" s="58"/>
      <c r="L1410" s="99"/>
      <c r="M1410" s="70" t="s">
        <v>4011</v>
      </c>
      <c r="N1410" s="97" t="s">
        <v>414</v>
      </c>
      <c r="O1410" s="58"/>
      <c r="P1410" s="58" t="s">
        <v>22</v>
      </c>
      <c r="Q1410" s="58" t="s">
        <v>52</v>
      </c>
      <c r="R1410" s="58" t="s">
        <v>265</v>
      </c>
    </row>
    <row r="1411" spans="1:18" ht="69" customHeight="1">
      <c r="A1411" s="168"/>
      <c r="B1411" s="178">
        <v>8748</v>
      </c>
      <c r="C1411" s="178" t="s">
        <v>4277</v>
      </c>
      <c r="D1411" s="575">
        <v>1687</v>
      </c>
      <c r="E1411" s="178" t="s">
        <v>4173</v>
      </c>
      <c r="F1411" s="210" t="s">
        <v>4278</v>
      </c>
      <c r="G1411" s="58" t="s">
        <v>4279</v>
      </c>
      <c r="H1411" s="546">
        <v>4672.5</v>
      </c>
      <c r="I1411" s="66">
        <v>44951</v>
      </c>
      <c r="J1411" s="411" t="s">
        <v>4280</v>
      </c>
      <c r="K1411" s="58"/>
      <c r="L1411" s="99"/>
      <c r="M1411" s="70" t="s">
        <v>4011</v>
      </c>
      <c r="N1411" s="97" t="s">
        <v>414</v>
      </c>
      <c r="O1411" s="58"/>
      <c r="P1411" s="58" t="s">
        <v>22</v>
      </c>
      <c r="Q1411" s="58" t="s">
        <v>52</v>
      </c>
      <c r="R1411" s="58" t="s">
        <v>265</v>
      </c>
    </row>
    <row r="1412" spans="1:18" ht="69" customHeight="1">
      <c r="A1412" s="168"/>
      <c r="B1412" s="178">
        <v>8773</v>
      </c>
      <c r="C1412" s="178" t="s">
        <v>3647</v>
      </c>
      <c r="D1412" s="575" t="s">
        <v>3896</v>
      </c>
      <c r="E1412" s="178" t="s">
        <v>4173</v>
      </c>
      <c r="F1412" s="210" t="s">
        <v>4281</v>
      </c>
      <c r="G1412" s="58" t="s">
        <v>4282</v>
      </c>
      <c r="H1412" s="546">
        <v>100000</v>
      </c>
      <c r="I1412" s="66">
        <v>44953</v>
      </c>
      <c r="J1412" s="411" t="s">
        <v>4283</v>
      </c>
      <c r="K1412" s="58"/>
      <c r="L1412" s="99"/>
      <c r="M1412" s="70" t="s">
        <v>4011</v>
      </c>
      <c r="N1412" s="97" t="s">
        <v>414</v>
      </c>
      <c r="O1412" s="58"/>
      <c r="P1412" s="58" t="s">
        <v>22</v>
      </c>
      <c r="Q1412" s="58" t="s">
        <v>52</v>
      </c>
      <c r="R1412" s="58" t="s">
        <v>265</v>
      </c>
    </row>
    <row r="1413" spans="1:18" ht="69" customHeight="1">
      <c r="A1413" s="168"/>
      <c r="B1413" s="178">
        <v>8039</v>
      </c>
      <c r="C1413" s="178" t="s">
        <v>3647</v>
      </c>
      <c r="D1413" s="575">
        <v>1547</v>
      </c>
      <c r="E1413" s="178" t="s">
        <v>4173</v>
      </c>
      <c r="F1413" s="210" t="s">
        <v>4284</v>
      </c>
      <c r="G1413" s="58" t="s">
        <v>3880</v>
      </c>
      <c r="H1413" s="546">
        <v>23814</v>
      </c>
      <c r="I1413" s="66">
        <v>44939</v>
      </c>
      <c r="J1413" s="411" t="s">
        <v>3881</v>
      </c>
      <c r="K1413" s="58"/>
      <c r="L1413" s="99"/>
      <c r="M1413" s="70" t="s">
        <v>4011</v>
      </c>
      <c r="N1413" s="97" t="s">
        <v>414</v>
      </c>
      <c r="O1413" s="58"/>
      <c r="P1413" s="58" t="s">
        <v>22</v>
      </c>
      <c r="Q1413" s="58" t="s">
        <v>52</v>
      </c>
      <c r="R1413" s="58" t="s">
        <v>265</v>
      </c>
    </row>
    <row r="1414" spans="1:18" ht="69" customHeight="1">
      <c r="A1414" s="168"/>
      <c r="B1414" s="178">
        <v>8713</v>
      </c>
      <c r="C1414" s="178" t="s">
        <v>3647</v>
      </c>
      <c r="D1414" s="575">
        <v>1673</v>
      </c>
      <c r="E1414" s="178" t="s">
        <v>4173</v>
      </c>
      <c r="F1414" s="210" t="s">
        <v>4285</v>
      </c>
      <c r="G1414" s="58" t="s">
        <v>3902</v>
      </c>
      <c r="H1414" s="546">
        <v>9000</v>
      </c>
      <c r="I1414" s="66">
        <v>44953</v>
      </c>
      <c r="J1414" s="411" t="s">
        <v>3899</v>
      </c>
      <c r="K1414" s="58" t="s">
        <v>4286</v>
      </c>
      <c r="L1414" s="99"/>
      <c r="M1414" s="70" t="s">
        <v>4011</v>
      </c>
      <c r="N1414" s="97" t="s">
        <v>414</v>
      </c>
      <c r="O1414" s="58"/>
      <c r="P1414" s="58" t="s">
        <v>22</v>
      </c>
      <c r="Q1414" s="58" t="s">
        <v>52</v>
      </c>
      <c r="R1414" s="58" t="s">
        <v>265</v>
      </c>
    </row>
    <row r="1415" spans="1:18" ht="69" customHeight="1">
      <c r="A1415" s="168"/>
      <c r="B1415" s="178">
        <v>8250</v>
      </c>
      <c r="C1415" s="178" t="s">
        <v>3647</v>
      </c>
      <c r="D1415" s="575" t="s">
        <v>4287</v>
      </c>
      <c r="E1415" s="178" t="s">
        <v>3825</v>
      </c>
      <c r="F1415" s="210" t="s">
        <v>4288</v>
      </c>
      <c r="G1415" s="58" t="s">
        <v>4035</v>
      </c>
      <c r="H1415" s="546">
        <v>213655.91</v>
      </c>
      <c r="I1415" s="66">
        <v>44972</v>
      </c>
      <c r="J1415" s="411" t="s">
        <v>4289</v>
      </c>
      <c r="K1415" s="58"/>
      <c r="L1415" s="99"/>
      <c r="M1415" s="70" t="s">
        <v>4165</v>
      </c>
      <c r="N1415" s="97" t="s">
        <v>414</v>
      </c>
      <c r="O1415" s="58"/>
      <c r="P1415" s="58" t="s">
        <v>22</v>
      </c>
      <c r="Q1415" s="58" t="s">
        <v>52</v>
      </c>
      <c r="R1415" s="58" t="s">
        <v>272</v>
      </c>
    </row>
    <row r="1416" spans="1:18" ht="69" customHeight="1">
      <c r="A1416" s="168"/>
      <c r="B1416" s="178">
        <v>8889</v>
      </c>
      <c r="C1416" s="59" t="s">
        <v>3667</v>
      </c>
      <c r="D1416" s="575" t="s">
        <v>4290</v>
      </c>
      <c r="E1416" s="178" t="s">
        <v>270</v>
      </c>
      <c r="F1416" s="210" t="s">
        <v>4291</v>
      </c>
      <c r="G1416" s="58" t="s">
        <v>392</v>
      </c>
      <c r="H1416" s="546">
        <v>1150</v>
      </c>
      <c r="I1416" s="66">
        <v>44985</v>
      </c>
      <c r="J1416" s="411" t="s">
        <v>4292</v>
      </c>
      <c r="K1416" s="58"/>
      <c r="L1416" s="99"/>
      <c r="M1416" s="70" t="s">
        <v>4136</v>
      </c>
      <c r="N1416" s="97" t="s">
        <v>270</v>
      </c>
      <c r="O1416" s="58"/>
      <c r="P1416" s="58" t="s">
        <v>44</v>
      </c>
      <c r="Q1416" s="58" t="s">
        <v>52</v>
      </c>
      <c r="R1416" s="58" t="s">
        <v>272</v>
      </c>
    </row>
    <row r="1417" spans="1:18" ht="69" customHeight="1">
      <c r="A1417" s="168"/>
      <c r="B1417" s="178">
        <v>8262</v>
      </c>
      <c r="C1417" s="178" t="s">
        <v>3647</v>
      </c>
      <c r="D1417" s="575" t="s">
        <v>4293</v>
      </c>
      <c r="E1417" s="178" t="s">
        <v>4173</v>
      </c>
      <c r="F1417" s="210" t="s">
        <v>4294</v>
      </c>
      <c r="G1417" s="58" t="s">
        <v>3939</v>
      </c>
      <c r="H1417" s="546">
        <v>4693.83</v>
      </c>
      <c r="I1417" s="66">
        <v>44971</v>
      </c>
      <c r="J1417" s="411" t="s">
        <v>3940</v>
      </c>
      <c r="K1417" s="58"/>
      <c r="L1417" s="99"/>
      <c r="M1417" s="70" t="s">
        <v>4011</v>
      </c>
      <c r="N1417" s="97" t="s">
        <v>414</v>
      </c>
      <c r="O1417" s="58"/>
      <c r="P1417" s="58" t="s">
        <v>22</v>
      </c>
      <c r="Q1417" s="58" t="s">
        <v>52</v>
      </c>
      <c r="R1417" s="58" t="s">
        <v>265</v>
      </c>
    </row>
    <row r="1418" spans="1:18" ht="69" customHeight="1">
      <c r="A1418" s="168"/>
      <c r="B1418" s="178">
        <v>8263</v>
      </c>
      <c r="C1418" s="178" t="s">
        <v>3647</v>
      </c>
      <c r="D1418" s="575" t="s">
        <v>4295</v>
      </c>
      <c r="E1418" s="178" t="s">
        <v>4173</v>
      </c>
      <c r="F1418" s="210" t="s">
        <v>4296</v>
      </c>
      <c r="G1418" s="58" t="s">
        <v>3939</v>
      </c>
      <c r="H1418" s="546">
        <v>6549.4</v>
      </c>
      <c r="I1418" s="66">
        <v>44971</v>
      </c>
      <c r="J1418" s="411" t="s">
        <v>3940</v>
      </c>
      <c r="K1418" s="58"/>
      <c r="L1418" s="99"/>
      <c r="M1418" s="70" t="s">
        <v>4011</v>
      </c>
      <c r="N1418" s="97" t="s">
        <v>414</v>
      </c>
      <c r="O1418" s="58"/>
      <c r="P1418" s="58" t="s">
        <v>22</v>
      </c>
      <c r="Q1418" s="58" t="s">
        <v>52</v>
      </c>
      <c r="R1418" s="58" t="s">
        <v>265</v>
      </c>
    </row>
    <row r="1419" spans="1:18" ht="69" customHeight="1">
      <c r="A1419" s="168"/>
      <c r="B1419" s="178">
        <v>8264</v>
      </c>
      <c r="C1419" s="178" t="s">
        <v>3647</v>
      </c>
      <c r="D1419" s="575" t="s">
        <v>4297</v>
      </c>
      <c r="E1419" s="178" t="s">
        <v>4173</v>
      </c>
      <c r="F1419" s="210" t="s">
        <v>4298</v>
      </c>
      <c r="G1419" s="58" t="s">
        <v>3939</v>
      </c>
      <c r="H1419" s="546">
        <v>4000</v>
      </c>
      <c r="I1419" s="66">
        <v>44965</v>
      </c>
      <c r="J1419" s="411" t="s">
        <v>3940</v>
      </c>
      <c r="K1419" s="58"/>
      <c r="L1419" s="99"/>
      <c r="M1419" s="70" t="s">
        <v>4011</v>
      </c>
      <c r="N1419" s="97" t="s">
        <v>414</v>
      </c>
      <c r="O1419" s="58"/>
      <c r="P1419" s="58" t="s">
        <v>22</v>
      </c>
      <c r="Q1419" s="58" t="s">
        <v>52</v>
      </c>
      <c r="R1419" s="58" t="s">
        <v>265</v>
      </c>
    </row>
    <row r="1420" spans="1:18" ht="69" customHeight="1">
      <c r="A1420" s="168"/>
      <c r="B1420" s="178">
        <v>8275</v>
      </c>
      <c r="C1420" s="178" t="s">
        <v>3647</v>
      </c>
      <c r="D1420" s="575" t="s">
        <v>4299</v>
      </c>
      <c r="E1420" s="178" t="s">
        <v>4173</v>
      </c>
      <c r="F1420" s="210" t="s">
        <v>4300</v>
      </c>
      <c r="G1420" s="58" t="s">
        <v>3939</v>
      </c>
      <c r="H1420" s="546">
        <v>5600</v>
      </c>
      <c r="I1420" s="66">
        <v>44974</v>
      </c>
      <c r="J1420" s="411" t="s">
        <v>3948</v>
      </c>
      <c r="K1420" s="58"/>
      <c r="L1420" s="99"/>
      <c r="M1420" s="70" t="s">
        <v>4011</v>
      </c>
      <c r="N1420" s="97" t="s">
        <v>414</v>
      </c>
      <c r="O1420" s="58"/>
      <c r="P1420" s="58" t="s">
        <v>22</v>
      </c>
      <c r="Q1420" s="58" t="s">
        <v>52</v>
      </c>
      <c r="R1420" s="58" t="s">
        <v>265</v>
      </c>
    </row>
    <row r="1421" spans="1:18" ht="69" customHeight="1">
      <c r="A1421" s="168"/>
      <c r="B1421" s="178">
        <v>8723</v>
      </c>
      <c r="C1421" s="178" t="s">
        <v>3647</v>
      </c>
      <c r="D1421" s="575" t="s">
        <v>4301</v>
      </c>
      <c r="E1421" s="178" t="s">
        <v>4173</v>
      </c>
      <c r="F1421" s="210" t="s">
        <v>4302</v>
      </c>
      <c r="G1421" s="58" t="s">
        <v>4303</v>
      </c>
      <c r="H1421" s="546">
        <v>15000</v>
      </c>
      <c r="I1421" s="66">
        <v>44970</v>
      </c>
      <c r="J1421" s="411" t="s">
        <v>3964</v>
      </c>
      <c r="K1421" s="58"/>
      <c r="L1421" s="99"/>
      <c r="M1421" s="70" t="s">
        <v>4011</v>
      </c>
      <c r="N1421" s="97" t="s">
        <v>414</v>
      </c>
      <c r="O1421" s="58"/>
      <c r="P1421" s="58" t="s">
        <v>22</v>
      </c>
      <c r="Q1421" s="58" t="s">
        <v>52</v>
      </c>
      <c r="R1421" s="58" t="s">
        <v>265</v>
      </c>
    </row>
    <row r="1422" spans="1:18" ht="69" customHeight="1">
      <c r="A1422" s="168"/>
      <c r="B1422" s="178">
        <v>8725</v>
      </c>
      <c r="C1422" s="178" t="s">
        <v>3647</v>
      </c>
      <c r="D1422" s="575" t="s">
        <v>4304</v>
      </c>
      <c r="E1422" s="178" t="s">
        <v>4173</v>
      </c>
      <c r="F1422" s="210" t="s">
        <v>4305</v>
      </c>
      <c r="G1422" s="58" t="s">
        <v>3967</v>
      </c>
      <c r="H1422" s="546">
        <v>17194.12</v>
      </c>
      <c r="I1422" s="66">
        <v>44970</v>
      </c>
      <c r="J1422" s="411" t="s">
        <v>3964</v>
      </c>
      <c r="K1422" s="58"/>
      <c r="L1422" s="99"/>
      <c r="M1422" s="70" t="s">
        <v>4011</v>
      </c>
      <c r="N1422" s="97" t="s">
        <v>414</v>
      </c>
      <c r="O1422" s="58"/>
      <c r="P1422" s="58" t="s">
        <v>22</v>
      </c>
      <c r="Q1422" s="58" t="s">
        <v>52</v>
      </c>
      <c r="R1422" s="58" t="s">
        <v>265</v>
      </c>
    </row>
    <row r="1423" spans="1:18" ht="69" customHeight="1">
      <c r="A1423" s="168"/>
      <c r="B1423" s="178">
        <v>8729</v>
      </c>
      <c r="C1423" s="178" t="s">
        <v>3647</v>
      </c>
      <c r="D1423" s="575" t="s">
        <v>4306</v>
      </c>
      <c r="E1423" s="178" t="s">
        <v>4173</v>
      </c>
      <c r="F1423" s="210" t="s">
        <v>4307</v>
      </c>
      <c r="G1423" s="58" t="s">
        <v>3967</v>
      </c>
      <c r="H1423" s="546">
        <v>13165</v>
      </c>
      <c r="I1423" s="66">
        <v>44979</v>
      </c>
      <c r="J1423" s="411" t="s">
        <v>3970</v>
      </c>
      <c r="K1423" s="58"/>
      <c r="L1423" s="99"/>
      <c r="M1423" s="70" t="s">
        <v>4011</v>
      </c>
      <c r="N1423" s="97" t="s">
        <v>414</v>
      </c>
      <c r="O1423" s="58"/>
      <c r="P1423" s="58" t="s">
        <v>22</v>
      </c>
      <c r="Q1423" s="58" t="s">
        <v>52</v>
      </c>
      <c r="R1423" s="58" t="s">
        <v>265</v>
      </c>
    </row>
    <row r="1424" spans="1:18" ht="69" customHeight="1">
      <c r="A1424" s="168"/>
      <c r="B1424" s="178">
        <v>8731</v>
      </c>
      <c r="C1424" s="178" t="s">
        <v>3647</v>
      </c>
      <c r="D1424" s="575" t="s">
        <v>4308</v>
      </c>
      <c r="E1424" s="178" t="s">
        <v>4173</v>
      </c>
      <c r="F1424" s="210" t="s">
        <v>4309</v>
      </c>
      <c r="G1424" s="58" t="s">
        <v>3967</v>
      </c>
      <c r="H1424" s="546">
        <v>15000</v>
      </c>
      <c r="I1424" s="66">
        <v>44970</v>
      </c>
      <c r="J1424" s="411" t="s">
        <v>3970</v>
      </c>
      <c r="K1424" s="58"/>
      <c r="L1424" s="99"/>
      <c r="M1424" s="70" t="s">
        <v>4011</v>
      </c>
      <c r="N1424" s="97" t="s">
        <v>414</v>
      </c>
      <c r="O1424" s="58"/>
      <c r="P1424" s="58" t="s">
        <v>22</v>
      </c>
      <c r="Q1424" s="58" t="s">
        <v>52</v>
      </c>
      <c r="R1424" s="58" t="s">
        <v>265</v>
      </c>
    </row>
    <row r="1425" spans="1:18" ht="69" customHeight="1">
      <c r="A1425" s="168"/>
      <c r="B1425" s="178">
        <v>8732</v>
      </c>
      <c r="C1425" s="178" t="s">
        <v>3647</v>
      </c>
      <c r="D1425" s="575" t="s">
        <v>4310</v>
      </c>
      <c r="E1425" s="178" t="s">
        <v>4173</v>
      </c>
      <c r="F1425" s="210" t="s">
        <v>4311</v>
      </c>
      <c r="G1425" s="58" t="s">
        <v>3982</v>
      </c>
      <c r="H1425" s="546">
        <v>12000</v>
      </c>
      <c r="I1425" s="66">
        <v>44970</v>
      </c>
      <c r="J1425" s="411" t="s">
        <v>3970</v>
      </c>
      <c r="K1425" s="58"/>
      <c r="L1425" s="99"/>
      <c r="M1425" s="70" t="s">
        <v>4011</v>
      </c>
      <c r="N1425" s="97" t="s">
        <v>414</v>
      </c>
      <c r="O1425" s="58"/>
      <c r="P1425" s="58" t="s">
        <v>22</v>
      </c>
      <c r="Q1425" s="58" t="s">
        <v>52</v>
      </c>
      <c r="R1425" s="58" t="s">
        <v>265</v>
      </c>
    </row>
    <row r="1426" spans="1:18" ht="69" customHeight="1">
      <c r="A1426" s="168"/>
      <c r="B1426" s="178">
        <v>8748</v>
      </c>
      <c r="C1426" s="178" t="s">
        <v>3647</v>
      </c>
      <c r="D1426" s="575" t="s">
        <v>4312</v>
      </c>
      <c r="E1426" s="178" t="s">
        <v>4173</v>
      </c>
      <c r="F1426" s="210" t="s">
        <v>4313</v>
      </c>
      <c r="G1426" s="58" t="s">
        <v>3976</v>
      </c>
      <c r="H1426" s="546">
        <v>5124.05</v>
      </c>
      <c r="I1426" s="66">
        <v>44986</v>
      </c>
      <c r="J1426" s="411" t="s">
        <v>3977</v>
      </c>
      <c r="K1426" s="58"/>
      <c r="L1426" s="99"/>
      <c r="M1426" s="70" t="s">
        <v>4011</v>
      </c>
      <c r="N1426" s="97" t="s">
        <v>414</v>
      </c>
      <c r="O1426" s="58"/>
      <c r="P1426" s="58" t="s">
        <v>22</v>
      </c>
      <c r="Q1426" s="58" t="s">
        <v>52</v>
      </c>
      <c r="R1426" s="58" t="s">
        <v>265</v>
      </c>
    </row>
    <row r="1427" spans="1:18" ht="69" customHeight="1">
      <c r="A1427" s="168"/>
      <c r="B1427" s="178">
        <v>8751</v>
      </c>
      <c r="C1427" s="178" t="s">
        <v>3647</v>
      </c>
      <c r="D1427" s="575" t="s">
        <v>4314</v>
      </c>
      <c r="E1427" s="178" t="s">
        <v>4173</v>
      </c>
      <c r="F1427" s="210" t="s">
        <v>4315</v>
      </c>
      <c r="G1427" s="58" t="s">
        <v>3976</v>
      </c>
      <c r="H1427" s="546">
        <v>11648.15</v>
      </c>
      <c r="I1427" s="66">
        <v>44986</v>
      </c>
      <c r="J1427" s="411" t="s">
        <v>3977</v>
      </c>
      <c r="K1427" s="58"/>
      <c r="L1427" s="99"/>
      <c r="M1427" s="70" t="s">
        <v>4011</v>
      </c>
      <c r="N1427" s="97" t="s">
        <v>414</v>
      </c>
      <c r="O1427" s="58"/>
      <c r="P1427" s="58" t="s">
        <v>22</v>
      </c>
      <c r="Q1427" s="58" t="s">
        <v>52</v>
      </c>
      <c r="R1427" s="58" t="s">
        <v>265</v>
      </c>
    </row>
    <row r="1428" spans="1:18" ht="69" customHeight="1">
      <c r="A1428" s="168"/>
      <c r="B1428" s="178">
        <v>8753</v>
      </c>
      <c r="C1428" s="178" t="s">
        <v>3647</v>
      </c>
      <c r="D1428" s="575" t="s">
        <v>4316</v>
      </c>
      <c r="E1428" s="178" t="s">
        <v>4173</v>
      </c>
      <c r="F1428" s="210" t="s">
        <v>4317</v>
      </c>
      <c r="G1428" s="58" t="s">
        <v>4318</v>
      </c>
      <c r="H1428" s="546">
        <v>8460</v>
      </c>
      <c r="I1428" s="66">
        <v>44970</v>
      </c>
      <c r="J1428" s="411" t="s">
        <v>4319</v>
      </c>
      <c r="K1428" s="58"/>
      <c r="L1428" s="99"/>
      <c r="M1428" s="70" t="s">
        <v>4011</v>
      </c>
      <c r="N1428" s="97" t="s">
        <v>414</v>
      </c>
      <c r="O1428" s="58"/>
      <c r="P1428" s="58" t="s">
        <v>22</v>
      </c>
      <c r="Q1428" s="58" t="s">
        <v>52</v>
      </c>
      <c r="R1428" s="58" t="s">
        <v>265</v>
      </c>
    </row>
    <row r="1429" spans="1:18" ht="69" customHeight="1">
      <c r="A1429" s="168"/>
      <c r="B1429" s="178">
        <v>8754</v>
      </c>
      <c r="C1429" s="178" t="s">
        <v>3647</v>
      </c>
      <c r="D1429" s="575" t="s">
        <v>4320</v>
      </c>
      <c r="E1429" s="178" t="s">
        <v>4173</v>
      </c>
      <c r="F1429" s="210" t="s">
        <v>4321</v>
      </c>
      <c r="G1429" s="58" t="s">
        <v>4322</v>
      </c>
      <c r="H1429" s="546">
        <v>16606</v>
      </c>
      <c r="I1429" s="66">
        <v>44972</v>
      </c>
      <c r="J1429" s="411" t="s">
        <v>4319</v>
      </c>
      <c r="K1429" s="58"/>
      <c r="L1429" s="99"/>
      <c r="M1429" s="70" t="s">
        <v>4011</v>
      </c>
      <c r="N1429" s="97" t="s">
        <v>414</v>
      </c>
      <c r="O1429" s="58"/>
      <c r="P1429" s="58" t="s">
        <v>22</v>
      </c>
      <c r="Q1429" s="58" t="s">
        <v>52</v>
      </c>
      <c r="R1429" s="58" t="s">
        <v>265</v>
      </c>
    </row>
    <row r="1430" spans="1:18" ht="69" customHeight="1">
      <c r="A1430" s="168"/>
      <c r="B1430" s="178">
        <v>8897</v>
      </c>
      <c r="C1430" s="178" t="s">
        <v>3647</v>
      </c>
      <c r="D1430" s="575" t="s">
        <v>4323</v>
      </c>
      <c r="E1430" s="178" t="s">
        <v>4173</v>
      </c>
      <c r="F1430" s="210" t="s">
        <v>4324</v>
      </c>
      <c r="G1430" s="58" t="s">
        <v>4031</v>
      </c>
      <c r="H1430" s="546">
        <v>6840</v>
      </c>
      <c r="I1430" s="66">
        <v>44986</v>
      </c>
      <c r="J1430" s="411" t="s">
        <v>4015</v>
      </c>
      <c r="K1430" s="58"/>
      <c r="L1430" s="99"/>
      <c r="M1430" s="70" t="s">
        <v>4011</v>
      </c>
      <c r="N1430" s="97" t="s">
        <v>414</v>
      </c>
      <c r="O1430" s="58"/>
      <c r="P1430" s="58" t="s">
        <v>22</v>
      </c>
      <c r="Q1430" s="58" t="s">
        <v>52</v>
      </c>
      <c r="R1430" s="58" t="s">
        <v>265</v>
      </c>
    </row>
    <row r="1431" spans="1:18" ht="69" customHeight="1">
      <c r="A1431" s="168"/>
      <c r="B1431" s="178">
        <v>8916</v>
      </c>
      <c r="C1431" s="178" t="s">
        <v>3647</v>
      </c>
      <c r="D1431" s="575" t="s">
        <v>4325</v>
      </c>
      <c r="E1431" s="178" t="s">
        <v>4173</v>
      </c>
      <c r="F1431" s="210" t="s">
        <v>4326</v>
      </c>
      <c r="G1431" s="58" t="s">
        <v>4014</v>
      </c>
      <c r="H1431" s="546">
        <v>195000</v>
      </c>
      <c r="I1431" s="66">
        <v>44984</v>
      </c>
      <c r="J1431" s="411" t="s">
        <v>4327</v>
      </c>
      <c r="K1431" s="58" t="s">
        <v>4328</v>
      </c>
      <c r="L1431" s="99"/>
      <c r="M1431" s="70" t="s">
        <v>4011</v>
      </c>
      <c r="N1431" s="97" t="s">
        <v>414</v>
      </c>
      <c r="O1431" s="58"/>
      <c r="P1431" s="58" t="s">
        <v>22</v>
      </c>
      <c r="Q1431" s="58" t="s">
        <v>52</v>
      </c>
      <c r="R1431" s="58" t="s">
        <v>265</v>
      </c>
    </row>
    <row r="1432" spans="1:18" ht="69" customHeight="1">
      <c r="A1432" s="168"/>
      <c r="B1432" s="178">
        <v>8898</v>
      </c>
      <c r="C1432" s="178" t="s">
        <v>3647</v>
      </c>
      <c r="D1432" s="575" t="s">
        <v>4329</v>
      </c>
      <c r="E1432" s="178" t="s">
        <v>4173</v>
      </c>
      <c r="F1432" s="210" t="s">
        <v>4330</v>
      </c>
      <c r="G1432" s="58" t="s">
        <v>4025</v>
      </c>
      <c r="H1432" s="546">
        <v>17000</v>
      </c>
      <c r="I1432" s="66">
        <v>44986</v>
      </c>
      <c r="J1432" s="411" t="s">
        <v>4015</v>
      </c>
      <c r="K1432" s="58"/>
      <c r="L1432" s="99"/>
      <c r="M1432" s="70" t="s">
        <v>4011</v>
      </c>
      <c r="N1432" s="97" t="s">
        <v>414</v>
      </c>
      <c r="O1432" s="58"/>
      <c r="P1432" s="58" t="s">
        <v>22</v>
      </c>
      <c r="Q1432" s="58" t="s">
        <v>52</v>
      </c>
      <c r="R1432" s="58" t="s">
        <v>265</v>
      </c>
    </row>
    <row r="1433" spans="1:18" ht="69" customHeight="1">
      <c r="A1433" s="168"/>
      <c r="B1433" s="178">
        <v>8676</v>
      </c>
      <c r="C1433" s="178" t="s">
        <v>3647</v>
      </c>
      <c r="D1433" s="575" t="s">
        <v>4331</v>
      </c>
      <c r="E1433" s="178" t="s">
        <v>4173</v>
      </c>
      <c r="F1433" s="210" t="s">
        <v>4332</v>
      </c>
      <c r="G1433" s="58" t="s">
        <v>3939</v>
      </c>
      <c r="H1433" s="546">
        <v>3805.16</v>
      </c>
      <c r="I1433" s="66">
        <v>44974</v>
      </c>
      <c r="J1433" s="411" t="s">
        <v>3948</v>
      </c>
      <c r="K1433" s="58"/>
      <c r="L1433" s="99"/>
      <c r="M1433" s="70" t="s">
        <v>4011</v>
      </c>
      <c r="N1433" s="97" t="s">
        <v>414</v>
      </c>
      <c r="O1433" s="58"/>
      <c r="P1433" s="58" t="s">
        <v>22</v>
      </c>
      <c r="Q1433" s="58" t="s">
        <v>52</v>
      </c>
      <c r="R1433" s="58" t="s">
        <v>265</v>
      </c>
    </row>
    <row r="1434" spans="1:18" ht="69" customHeight="1">
      <c r="A1434" s="168"/>
      <c r="B1434" s="178">
        <v>9039</v>
      </c>
      <c r="C1434" s="178" t="s">
        <v>3647</v>
      </c>
      <c r="D1434" s="575" t="s">
        <v>4333</v>
      </c>
      <c r="E1434" s="178" t="s">
        <v>4173</v>
      </c>
      <c r="F1434" s="210" t="s">
        <v>4334</v>
      </c>
      <c r="G1434" s="58" t="s">
        <v>4335</v>
      </c>
      <c r="H1434" s="546">
        <v>12000</v>
      </c>
      <c r="I1434" s="66">
        <v>45001</v>
      </c>
      <c r="J1434" s="411" t="s">
        <v>3952</v>
      </c>
      <c r="K1434" s="58"/>
      <c r="L1434" s="99"/>
      <c r="M1434" s="70" t="s">
        <v>4011</v>
      </c>
      <c r="N1434" s="97" t="s">
        <v>414</v>
      </c>
      <c r="O1434" s="58"/>
      <c r="P1434" s="58" t="s">
        <v>22</v>
      </c>
      <c r="Q1434" s="58" t="s">
        <v>52</v>
      </c>
      <c r="R1434" s="58" t="s">
        <v>265</v>
      </c>
    </row>
    <row r="1435" spans="1:18" ht="69" customHeight="1">
      <c r="A1435" s="168"/>
      <c r="B1435" s="178">
        <v>9040</v>
      </c>
      <c r="C1435" s="178" t="s">
        <v>3647</v>
      </c>
      <c r="D1435" s="575" t="s">
        <v>4336</v>
      </c>
      <c r="E1435" s="178" t="s">
        <v>4173</v>
      </c>
      <c r="F1435" s="210" t="s">
        <v>4337</v>
      </c>
      <c r="G1435" s="58" t="s">
        <v>4020</v>
      </c>
      <c r="H1435" s="546">
        <v>15000</v>
      </c>
      <c r="I1435" s="66">
        <v>45001</v>
      </c>
      <c r="J1435" s="411" t="s">
        <v>3952</v>
      </c>
      <c r="K1435" s="58"/>
      <c r="L1435" s="99"/>
      <c r="M1435" s="70" t="s">
        <v>4011</v>
      </c>
      <c r="N1435" s="97" t="s">
        <v>414</v>
      </c>
      <c r="O1435" s="58"/>
      <c r="P1435" s="58" t="s">
        <v>22</v>
      </c>
      <c r="Q1435" s="58" t="s">
        <v>52</v>
      </c>
      <c r="R1435" s="58" t="s">
        <v>265</v>
      </c>
    </row>
    <row r="1436" spans="1:18" ht="69" customHeight="1">
      <c r="A1436" s="168"/>
      <c r="B1436" s="178">
        <v>9075</v>
      </c>
      <c r="C1436" s="178" t="s">
        <v>3647</v>
      </c>
      <c r="D1436" s="575" t="s">
        <v>4338</v>
      </c>
      <c r="E1436" s="178" t="s">
        <v>4033</v>
      </c>
      <c r="F1436" s="210" t="s">
        <v>4339</v>
      </c>
      <c r="G1436" s="58" t="s">
        <v>4035</v>
      </c>
      <c r="H1436" s="546">
        <v>400000</v>
      </c>
      <c r="I1436" s="66">
        <v>44998</v>
      </c>
      <c r="J1436" s="411" t="s">
        <v>4340</v>
      </c>
      <c r="K1436" s="58"/>
      <c r="L1436" s="99"/>
      <c r="M1436" s="70" t="s">
        <v>4165</v>
      </c>
      <c r="N1436" s="97" t="s">
        <v>414</v>
      </c>
      <c r="O1436" s="58"/>
      <c r="P1436" s="58" t="s">
        <v>22</v>
      </c>
      <c r="Q1436" s="58" t="s">
        <v>52</v>
      </c>
      <c r="R1436" s="58" t="s">
        <v>272</v>
      </c>
    </row>
    <row r="1437" spans="1:18" ht="69" customHeight="1">
      <c r="A1437" s="168"/>
      <c r="B1437" s="178">
        <v>9067</v>
      </c>
      <c r="C1437" s="178" t="s">
        <v>3647</v>
      </c>
      <c r="D1437" s="575" t="s">
        <v>4341</v>
      </c>
      <c r="E1437" s="178" t="s">
        <v>4173</v>
      </c>
      <c r="F1437" s="210" t="s">
        <v>4342</v>
      </c>
      <c r="G1437" s="58" t="s">
        <v>4069</v>
      </c>
      <c r="H1437" s="546">
        <v>5616</v>
      </c>
      <c r="I1437" s="66">
        <v>45000</v>
      </c>
      <c r="J1437" s="411" t="s">
        <v>4343</v>
      </c>
      <c r="K1437" s="58"/>
      <c r="L1437" s="99"/>
      <c r="M1437" s="70" t="s">
        <v>4011</v>
      </c>
      <c r="N1437" s="97" t="s">
        <v>414</v>
      </c>
      <c r="O1437" s="58"/>
      <c r="P1437" s="58" t="s">
        <v>22</v>
      </c>
      <c r="Q1437" s="58" t="s">
        <v>52</v>
      </c>
      <c r="R1437" s="58" t="s">
        <v>265</v>
      </c>
    </row>
    <row r="1438" spans="1:18" ht="69" customHeight="1">
      <c r="A1438" s="168"/>
      <c r="B1438" s="178">
        <v>9112</v>
      </c>
      <c r="C1438" s="178" t="s">
        <v>3647</v>
      </c>
      <c r="D1438" s="575" t="s">
        <v>4344</v>
      </c>
      <c r="E1438" s="178" t="s">
        <v>4173</v>
      </c>
      <c r="F1438" s="210" t="s">
        <v>4345</v>
      </c>
      <c r="G1438" s="58" t="s">
        <v>4346</v>
      </c>
      <c r="H1438" s="546">
        <v>9000</v>
      </c>
      <c r="I1438" s="66">
        <v>45002</v>
      </c>
      <c r="J1438" s="411" t="s">
        <v>4079</v>
      </c>
      <c r="K1438" s="58"/>
      <c r="L1438" s="99"/>
      <c r="M1438" s="70" t="s">
        <v>4011</v>
      </c>
      <c r="N1438" s="97" t="s">
        <v>414</v>
      </c>
      <c r="O1438" s="58"/>
      <c r="P1438" s="58" t="s">
        <v>22</v>
      </c>
      <c r="Q1438" s="58" t="s">
        <v>52</v>
      </c>
      <c r="R1438" s="58" t="s">
        <v>265</v>
      </c>
    </row>
    <row r="1439" spans="1:18" ht="69" customHeight="1">
      <c r="A1439" s="168"/>
      <c r="B1439" s="178">
        <v>9114</v>
      </c>
      <c r="C1439" s="178" t="s">
        <v>3647</v>
      </c>
      <c r="D1439" s="575" t="s">
        <v>4347</v>
      </c>
      <c r="E1439" s="178" t="s">
        <v>4173</v>
      </c>
      <c r="F1439" s="210" t="s">
        <v>4348</v>
      </c>
      <c r="G1439" s="58" t="s">
        <v>4349</v>
      </c>
      <c r="H1439" s="546">
        <v>10000</v>
      </c>
      <c r="I1439" s="66">
        <v>45002</v>
      </c>
      <c r="J1439" s="411" t="s">
        <v>4079</v>
      </c>
      <c r="K1439" s="58"/>
      <c r="L1439" s="99"/>
      <c r="M1439" s="70" t="s">
        <v>4011</v>
      </c>
      <c r="N1439" s="97" t="s">
        <v>414</v>
      </c>
      <c r="O1439" s="58"/>
      <c r="P1439" s="58" t="s">
        <v>22</v>
      </c>
      <c r="Q1439" s="58" t="s">
        <v>52</v>
      </c>
      <c r="R1439" s="58" t="s">
        <v>265</v>
      </c>
    </row>
    <row r="1440" spans="1:18" ht="69" customHeight="1">
      <c r="A1440" s="168"/>
      <c r="B1440" s="178">
        <v>9115</v>
      </c>
      <c r="C1440" s="178" t="s">
        <v>3647</v>
      </c>
      <c r="D1440" s="575" t="s">
        <v>4350</v>
      </c>
      <c r="E1440" s="178" t="s">
        <v>4173</v>
      </c>
      <c r="F1440" s="210" t="s">
        <v>4351</v>
      </c>
      <c r="G1440" s="58" t="s">
        <v>4352</v>
      </c>
      <c r="H1440" s="546">
        <v>15000</v>
      </c>
      <c r="I1440" s="66">
        <v>45002</v>
      </c>
      <c r="J1440" s="411" t="s">
        <v>4353</v>
      </c>
      <c r="K1440" s="58"/>
      <c r="L1440" s="99"/>
      <c r="M1440" s="70" t="s">
        <v>4011</v>
      </c>
      <c r="N1440" s="97" t="s">
        <v>414</v>
      </c>
      <c r="O1440" s="58"/>
      <c r="P1440" s="58" t="s">
        <v>22</v>
      </c>
      <c r="Q1440" s="58" t="s">
        <v>52</v>
      </c>
      <c r="R1440" s="58" t="s">
        <v>265</v>
      </c>
    </row>
    <row r="1441" spans="1:18" ht="69" customHeight="1">
      <c r="A1441" s="168"/>
      <c r="B1441" s="178">
        <v>9339</v>
      </c>
      <c r="C1441" s="178" t="s">
        <v>3647</v>
      </c>
      <c r="D1441" s="575" t="s">
        <v>4354</v>
      </c>
      <c r="E1441" s="178" t="s">
        <v>4173</v>
      </c>
      <c r="F1441" s="210" t="s">
        <v>4355</v>
      </c>
      <c r="G1441" s="58" t="s">
        <v>4082</v>
      </c>
      <c r="H1441" s="546">
        <v>28581.25</v>
      </c>
      <c r="I1441" s="66">
        <v>45007</v>
      </c>
      <c r="J1441" s="411" t="s">
        <v>4083</v>
      </c>
      <c r="K1441" s="58"/>
      <c r="L1441" s="99"/>
      <c r="M1441" s="70" t="s">
        <v>4011</v>
      </c>
      <c r="N1441" s="97" t="s">
        <v>414</v>
      </c>
      <c r="O1441" s="58"/>
      <c r="P1441" s="58" t="s">
        <v>22</v>
      </c>
      <c r="Q1441" s="58" t="s">
        <v>52</v>
      </c>
      <c r="R1441" s="58" t="s">
        <v>265</v>
      </c>
    </row>
    <row r="1442" spans="1:18" ht="69" customHeight="1">
      <c r="A1442" s="168"/>
      <c r="B1442" s="178">
        <v>9384</v>
      </c>
      <c r="C1442" s="178" t="s">
        <v>3647</v>
      </c>
      <c r="D1442" s="575" t="s">
        <v>4356</v>
      </c>
      <c r="E1442" s="178" t="s">
        <v>4173</v>
      </c>
      <c r="F1442" s="210" t="s">
        <v>4357</v>
      </c>
      <c r="G1442" s="58" t="s">
        <v>4358</v>
      </c>
      <c r="H1442" s="546">
        <v>6000</v>
      </c>
      <c r="I1442" s="66">
        <v>45009</v>
      </c>
      <c r="J1442" s="411" t="s">
        <v>4090</v>
      </c>
      <c r="K1442" s="58"/>
      <c r="L1442" s="99"/>
      <c r="M1442" s="70" t="s">
        <v>4011</v>
      </c>
      <c r="N1442" s="97" t="s">
        <v>414</v>
      </c>
      <c r="O1442" s="58"/>
      <c r="P1442" s="58" t="s">
        <v>22</v>
      </c>
      <c r="Q1442" s="58" t="s">
        <v>52</v>
      </c>
      <c r="R1442" s="58" t="s">
        <v>265</v>
      </c>
    </row>
    <row r="1443" spans="1:18" ht="69" customHeight="1">
      <c r="A1443" s="168"/>
      <c r="B1443" s="178">
        <v>9385</v>
      </c>
      <c r="C1443" s="178" t="s">
        <v>3647</v>
      </c>
      <c r="D1443" s="575" t="s">
        <v>4359</v>
      </c>
      <c r="E1443" s="178" t="s">
        <v>4173</v>
      </c>
      <c r="F1443" s="210" t="s">
        <v>4360</v>
      </c>
      <c r="G1443" s="58" t="s">
        <v>4361</v>
      </c>
      <c r="H1443" s="546">
        <v>4015.2</v>
      </c>
      <c r="I1443" s="66">
        <v>45026</v>
      </c>
      <c r="J1443" s="411" t="s">
        <v>4094</v>
      </c>
      <c r="K1443" s="58"/>
      <c r="L1443" s="99"/>
      <c r="M1443" s="70" t="s">
        <v>4011</v>
      </c>
      <c r="N1443" s="97" t="s">
        <v>414</v>
      </c>
      <c r="O1443" s="58"/>
      <c r="P1443" s="58" t="s">
        <v>22</v>
      </c>
      <c r="Q1443" s="58" t="s">
        <v>52</v>
      </c>
      <c r="R1443" s="58" t="s">
        <v>265</v>
      </c>
    </row>
    <row r="1444" spans="1:18" ht="69" customHeight="1">
      <c r="A1444" s="168"/>
      <c r="B1444" s="178">
        <v>9387</v>
      </c>
      <c r="C1444" s="178" t="s">
        <v>3647</v>
      </c>
      <c r="D1444" s="575" t="s">
        <v>4362</v>
      </c>
      <c r="E1444" s="178" t="s">
        <v>4173</v>
      </c>
      <c r="F1444" s="210" t="s">
        <v>4363</v>
      </c>
      <c r="G1444" s="58" t="s">
        <v>4089</v>
      </c>
      <c r="H1444" s="546">
        <v>17000</v>
      </c>
      <c r="I1444" s="66">
        <v>45009</v>
      </c>
      <c r="J1444" s="411" t="s">
        <v>4094</v>
      </c>
      <c r="K1444" s="58"/>
      <c r="L1444" s="99"/>
      <c r="M1444" s="70" t="s">
        <v>4011</v>
      </c>
      <c r="N1444" s="97" t="s">
        <v>414</v>
      </c>
      <c r="O1444" s="58"/>
      <c r="P1444" s="58" t="s">
        <v>22</v>
      </c>
      <c r="Q1444" s="58" t="s">
        <v>52</v>
      </c>
      <c r="R1444" s="58" t="s">
        <v>265</v>
      </c>
    </row>
    <row r="1445" spans="1:18" ht="69" customHeight="1">
      <c r="A1445" s="168"/>
      <c r="B1445" s="178">
        <v>9390</v>
      </c>
      <c r="C1445" s="178" t="s">
        <v>3647</v>
      </c>
      <c r="D1445" s="575" t="s">
        <v>4364</v>
      </c>
      <c r="E1445" s="178" t="s">
        <v>4173</v>
      </c>
      <c r="F1445" s="210" t="s">
        <v>4365</v>
      </c>
      <c r="G1445" s="58" t="s">
        <v>4366</v>
      </c>
      <c r="H1445" s="546">
        <v>4500</v>
      </c>
      <c r="I1445" s="66">
        <v>45009</v>
      </c>
      <c r="J1445" s="411" t="s">
        <v>4367</v>
      </c>
      <c r="K1445" s="58"/>
      <c r="L1445" s="99"/>
      <c r="M1445" s="70" t="s">
        <v>4011</v>
      </c>
      <c r="N1445" s="97" t="s">
        <v>414</v>
      </c>
      <c r="O1445" s="58"/>
      <c r="P1445" s="58" t="s">
        <v>22</v>
      </c>
      <c r="Q1445" s="58" t="s">
        <v>52</v>
      </c>
      <c r="R1445" s="58" t="s">
        <v>265</v>
      </c>
    </row>
    <row r="1446" spans="1:18" ht="69" customHeight="1">
      <c r="A1446" s="168"/>
      <c r="B1446" s="178">
        <v>9391</v>
      </c>
      <c r="C1446" s="178" t="s">
        <v>3647</v>
      </c>
      <c r="D1446" s="575" t="s">
        <v>4368</v>
      </c>
      <c r="E1446" s="178" t="s">
        <v>4173</v>
      </c>
      <c r="F1446" s="210" t="s">
        <v>4369</v>
      </c>
      <c r="G1446" s="58" t="s">
        <v>4370</v>
      </c>
      <c r="H1446" s="546">
        <v>7704</v>
      </c>
      <c r="I1446" s="66">
        <v>45009</v>
      </c>
      <c r="J1446" s="411" t="s">
        <v>4367</v>
      </c>
      <c r="K1446" s="58"/>
      <c r="L1446" s="99"/>
      <c r="M1446" s="70" t="s">
        <v>4011</v>
      </c>
      <c r="N1446" s="97" t="s">
        <v>414</v>
      </c>
      <c r="O1446" s="58"/>
      <c r="P1446" s="58" t="s">
        <v>22</v>
      </c>
      <c r="Q1446" s="58" t="s">
        <v>52</v>
      </c>
      <c r="R1446" s="58" t="s">
        <v>265</v>
      </c>
    </row>
    <row r="1447" spans="1:18" ht="69" customHeight="1">
      <c r="A1447" s="168"/>
      <c r="B1447" s="178">
        <v>9392</v>
      </c>
      <c r="C1447" s="178" t="s">
        <v>3647</v>
      </c>
      <c r="D1447" s="575" t="s">
        <v>4371</v>
      </c>
      <c r="E1447" s="178" t="s">
        <v>4173</v>
      </c>
      <c r="F1447" s="210" t="s">
        <v>4372</v>
      </c>
      <c r="G1447" s="58" t="s">
        <v>4373</v>
      </c>
      <c r="H1447" s="546">
        <v>7500</v>
      </c>
      <c r="I1447" s="66">
        <v>45009</v>
      </c>
      <c r="J1447" s="411" t="s">
        <v>4367</v>
      </c>
      <c r="K1447" s="58"/>
      <c r="L1447" s="99"/>
      <c r="M1447" s="70" t="s">
        <v>4011</v>
      </c>
      <c r="N1447" s="97" t="s">
        <v>414</v>
      </c>
      <c r="O1447" s="58" t="s">
        <v>4374</v>
      </c>
      <c r="P1447" s="58" t="s">
        <v>22</v>
      </c>
      <c r="Q1447" s="58" t="s">
        <v>52</v>
      </c>
      <c r="R1447" s="58" t="s">
        <v>265</v>
      </c>
    </row>
    <row r="1448" spans="1:18" ht="69" customHeight="1">
      <c r="A1448" s="168"/>
      <c r="B1448" s="178">
        <v>9401</v>
      </c>
      <c r="C1448" s="178" t="s">
        <v>3647</v>
      </c>
      <c r="D1448" s="575" t="s">
        <v>4375</v>
      </c>
      <c r="E1448" s="178" t="s">
        <v>4173</v>
      </c>
      <c r="F1448" s="210" t="s">
        <v>4376</v>
      </c>
      <c r="G1448" s="58" t="s">
        <v>4377</v>
      </c>
      <c r="H1448" s="546">
        <v>250000</v>
      </c>
      <c r="I1448" s="66">
        <v>45043</v>
      </c>
      <c r="J1448" s="411" t="s">
        <v>4098</v>
      </c>
      <c r="K1448" s="58"/>
      <c r="L1448" s="99"/>
      <c r="M1448" s="70" t="s">
        <v>4011</v>
      </c>
      <c r="N1448" s="97" t="s">
        <v>414</v>
      </c>
      <c r="O1448" s="58"/>
      <c r="P1448" s="58" t="s">
        <v>22</v>
      </c>
      <c r="Q1448" s="58" t="s">
        <v>52</v>
      </c>
      <c r="R1448" s="58" t="s">
        <v>265</v>
      </c>
    </row>
    <row r="1449" spans="1:18" ht="69" customHeight="1">
      <c r="A1449" s="168"/>
      <c r="B1449" s="178">
        <v>9402</v>
      </c>
      <c r="C1449" s="178" t="s">
        <v>3647</v>
      </c>
      <c r="D1449" s="575" t="s">
        <v>4378</v>
      </c>
      <c r="E1449" s="178" t="s">
        <v>4173</v>
      </c>
      <c r="F1449" s="210" t="s">
        <v>4379</v>
      </c>
      <c r="G1449" s="58" t="s">
        <v>4380</v>
      </c>
      <c r="H1449" s="546">
        <v>15060</v>
      </c>
      <c r="I1449" s="66">
        <v>45043</v>
      </c>
      <c r="J1449" s="411" t="s">
        <v>4098</v>
      </c>
      <c r="K1449" s="58"/>
      <c r="L1449" s="99"/>
      <c r="M1449" s="70" t="s">
        <v>4011</v>
      </c>
      <c r="N1449" s="97" t="s">
        <v>414</v>
      </c>
      <c r="O1449" s="58"/>
      <c r="P1449" s="58" t="s">
        <v>22</v>
      </c>
      <c r="Q1449" s="58" t="s">
        <v>52</v>
      </c>
      <c r="R1449" s="58" t="s">
        <v>265</v>
      </c>
    </row>
    <row r="1450" spans="1:18" ht="69" customHeight="1">
      <c r="A1450" s="168"/>
      <c r="B1450" s="178">
        <v>9403</v>
      </c>
      <c r="C1450" s="178" t="s">
        <v>3647</v>
      </c>
      <c r="D1450" s="575" t="s">
        <v>4381</v>
      </c>
      <c r="E1450" s="178" t="s">
        <v>4173</v>
      </c>
      <c r="F1450" s="210" t="s">
        <v>4382</v>
      </c>
      <c r="G1450" s="58" t="s">
        <v>4097</v>
      </c>
      <c r="H1450" s="546">
        <v>7000</v>
      </c>
      <c r="I1450" s="66">
        <v>45043</v>
      </c>
      <c r="J1450" s="411" t="s">
        <v>4098</v>
      </c>
      <c r="K1450" s="58"/>
      <c r="L1450" s="99"/>
      <c r="M1450" s="70" t="s">
        <v>4011</v>
      </c>
      <c r="N1450" s="97" t="s">
        <v>414</v>
      </c>
      <c r="O1450" s="58"/>
      <c r="P1450" s="58" t="s">
        <v>22</v>
      </c>
      <c r="Q1450" s="58" t="s">
        <v>52</v>
      </c>
      <c r="R1450" s="58" t="s">
        <v>265</v>
      </c>
    </row>
    <row r="1451" spans="1:18" ht="69" customHeight="1">
      <c r="A1451" s="168"/>
      <c r="B1451" s="178">
        <v>9404</v>
      </c>
      <c r="C1451" s="178" t="s">
        <v>3647</v>
      </c>
      <c r="D1451" s="575" t="s">
        <v>4383</v>
      </c>
      <c r="E1451" s="178" t="s">
        <v>4173</v>
      </c>
      <c r="F1451" s="210" t="s">
        <v>4384</v>
      </c>
      <c r="G1451" s="58" t="s">
        <v>4377</v>
      </c>
      <c r="H1451" s="546">
        <v>200000</v>
      </c>
      <c r="I1451" s="66">
        <v>45043</v>
      </c>
      <c r="J1451" s="411" t="s">
        <v>4098</v>
      </c>
      <c r="K1451" s="58"/>
      <c r="L1451" s="99"/>
      <c r="M1451" s="70" t="s">
        <v>4011</v>
      </c>
      <c r="N1451" s="97" t="s">
        <v>414</v>
      </c>
      <c r="O1451" s="58"/>
      <c r="P1451" s="58" t="s">
        <v>22</v>
      </c>
      <c r="Q1451" s="58" t="s">
        <v>52</v>
      </c>
      <c r="R1451" s="58" t="s">
        <v>265</v>
      </c>
    </row>
    <row r="1452" spans="1:18" ht="69" customHeight="1">
      <c r="A1452" s="168"/>
      <c r="B1452" s="178">
        <v>9462</v>
      </c>
      <c r="C1452" s="178" t="s">
        <v>3647</v>
      </c>
      <c r="D1452" s="575" t="s">
        <v>4385</v>
      </c>
      <c r="E1452" s="178" t="s">
        <v>4173</v>
      </c>
      <c r="F1452" s="210" t="s">
        <v>4386</v>
      </c>
      <c r="G1452" s="58" t="s">
        <v>4387</v>
      </c>
      <c r="H1452" s="546">
        <v>3300</v>
      </c>
      <c r="I1452" s="66">
        <v>45014</v>
      </c>
      <c r="J1452" s="411" t="s">
        <v>4388</v>
      </c>
      <c r="K1452" s="58"/>
      <c r="L1452" s="99"/>
      <c r="M1452" s="70" t="s">
        <v>4011</v>
      </c>
      <c r="N1452" s="97" t="s">
        <v>414</v>
      </c>
      <c r="O1452" s="58"/>
      <c r="P1452" s="58" t="s">
        <v>22</v>
      </c>
      <c r="Q1452" s="58" t="s">
        <v>52</v>
      </c>
      <c r="R1452" s="58" t="s">
        <v>265</v>
      </c>
    </row>
    <row r="1453" spans="1:18" ht="69" customHeight="1">
      <c r="A1453" s="168"/>
      <c r="B1453" s="178">
        <v>9866</v>
      </c>
      <c r="C1453" s="178" t="s">
        <v>3647</v>
      </c>
      <c r="D1453" s="575" t="s">
        <v>4389</v>
      </c>
      <c r="E1453" s="178" t="s">
        <v>4173</v>
      </c>
      <c r="F1453" s="210" t="s">
        <v>4390</v>
      </c>
      <c r="G1453" s="58" t="s">
        <v>4391</v>
      </c>
      <c r="H1453" s="546">
        <v>20545</v>
      </c>
      <c r="I1453" s="66">
        <v>45041</v>
      </c>
      <c r="J1453" s="411" t="s">
        <v>4392</v>
      </c>
      <c r="K1453" s="58"/>
      <c r="L1453" s="99"/>
      <c r="M1453" s="70" t="s">
        <v>4011</v>
      </c>
      <c r="N1453" s="97" t="s">
        <v>414</v>
      </c>
      <c r="O1453" s="58"/>
      <c r="P1453" s="58" t="s">
        <v>22</v>
      </c>
      <c r="Q1453" s="58" t="s">
        <v>52</v>
      </c>
      <c r="R1453" s="58" t="s">
        <v>265</v>
      </c>
    </row>
    <row r="1454" spans="1:18" ht="69" customHeight="1">
      <c r="A1454" s="168"/>
      <c r="B1454" s="178">
        <v>9867</v>
      </c>
      <c r="C1454" s="178" t="s">
        <v>3647</v>
      </c>
      <c r="D1454" s="575" t="s">
        <v>4393</v>
      </c>
      <c r="E1454" s="178" t="s">
        <v>4173</v>
      </c>
      <c r="F1454" s="210" t="s">
        <v>4394</v>
      </c>
      <c r="G1454" s="58" t="s">
        <v>4395</v>
      </c>
      <c r="H1454" s="546">
        <v>3006</v>
      </c>
      <c r="I1454" s="66">
        <v>45041</v>
      </c>
      <c r="J1454" s="411" t="s">
        <v>4392</v>
      </c>
      <c r="K1454" s="58"/>
      <c r="L1454" s="99"/>
      <c r="M1454" s="70" t="s">
        <v>4011</v>
      </c>
      <c r="N1454" s="97" t="s">
        <v>414</v>
      </c>
      <c r="O1454" s="58"/>
      <c r="P1454" s="58" t="s">
        <v>22</v>
      </c>
      <c r="Q1454" s="58" t="s">
        <v>52</v>
      </c>
      <c r="R1454" s="58" t="s">
        <v>265</v>
      </c>
    </row>
    <row r="1455" spans="1:18" ht="69" customHeight="1">
      <c r="A1455" s="168"/>
      <c r="B1455" s="178">
        <v>9768</v>
      </c>
      <c r="C1455" s="178" t="s">
        <v>3647</v>
      </c>
      <c r="D1455" s="575" t="s">
        <v>4396</v>
      </c>
      <c r="E1455" s="178" t="s">
        <v>4173</v>
      </c>
      <c r="F1455" s="210" t="s">
        <v>4397</v>
      </c>
      <c r="G1455" s="58" t="s">
        <v>4398</v>
      </c>
      <c r="H1455" s="546">
        <v>4500</v>
      </c>
      <c r="I1455" s="66">
        <v>45041</v>
      </c>
      <c r="J1455" s="411" t="s">
        <v>4392</v>
      </c>
      <c r="K1455" s="58"/>
      <c r="L1455" s="99"/>
      <c r="M1455" s="70" t="s">
        <v>4011</v>
      </c>
      <c r="N1455" s="97" t="s">
        <v>414</v>
      </c>
      <c r="O1455" s="58"/>
      <c r="P1455" s="58" t="s">
        <v>22</v>
      </c>
      <c r="Q1455" s="58" t="s">
        <v>52</v>
      </c>
      <c r="R1455" s="58" t="s">
        <v>265</v>
      </c>
    </row>
    <row r="1456" spans="1:18" ht="69" customHeight="1">
      <c r="A1456" s="168"/>
      <c r="B1456" s="178">
        <v>9788</v>
      </c>
      <c r="C1456" s="178" t="s">
        <v>3647</v>
      </c>
      <c r="D1456" s="575" t="s">
        <v>4399</v>
      </c>
      <c r="E1456" s="178" t="s">
        <v>4173</v>
      </c>
      <c r="F1456" s="210" t="s">
        <v>4400</v>
      </c>
      <c r="G1456" s="58" t="s">
        <v>4401</v>
      </c>
      <c r="H1456" s="546">
        <v>5208</v>
      </c>
      <c r="I1456" s="66">
        <v>45051</v>
      </c>
      <c r="J1456" s="411" t="s">
        <v>4062</v>
      </c>
      <c r="K1456" s="58"/>
      <c r="L1456" s="99"/>
      <c r="M1456" s="70" t="s">
        <v>4011</v>
      </c>
      <c r="N1456" s="97" t="s">
        <v>414</v>
      </c>
      <c r="O1456" s="58"/>
      <c r="P1456" s="58" t="s">
        <v>22</v>
      </c>
      <c r="Q1456" s="58" t="s">
        <v>52</v>
      </c>
      <c r="R1456" s="58" t="s">
        <v>265</v>
      </c>
    </row>
    <row r="1457" spans="1:18" ht="69" customHeight="1">
      <c r="A1457" s="168"/>
      <c r="B1457" s="178">
        <v>9843</v>
      </c>
      <c r="C1457" s="178" t="s">
        <v>3647</v>
      </c>
      <c r="D1457" s="575" t="s">
        <v>4402</v>
      </c>
      <c r="E1457" s="178" t="s">
        <v>4173</v>
      </c>
      <c r="F1457" s="210" t="s">
        <v>4403</v>
      </c>
      <c r="G1457" s="58" t="s">
        <v>4115</v>
      </c>
      <c r="H1457" s="546">
        <v>17000</v>
      </c>
      <c r="I1457" s="66">
        <v>45041</v>
      </c>
      <c r="J1457" s="411" t="s">
        <v>4109</v>
      </c>
      <c r="K1457" s="58"/>
      <c r="L1457" s="99"/>
      <c r="M1457" s="70" t="s">
        <v>4011</v>
      </c>
      <c r="N1457" s="97" t="s">
        <v>414</v>
      </c>
      <c r="O1457" s="58" t="s">
        <v>4116</v>
      </c>
      <c r="P1457" s="58" t="s">
        <v>22</v>
      </c>
      <c r="Q1457" s="58" t="s">
        <v>52</v>
      </c>
      <c r="R1457" s="58" t="s">
        <v>265</v>
      </c>
    </row>
    <row r="1458" spans="1:18" ht="69" customHeight="1">
      <c r="A1458" s="168"/>
      <c r="B1458" s="178">
        <v>9833</v>
      </c>
      <c r="C1458" s="178" t="s">
        <v>3647</v>
      </c>
      <c r="D1458" s="575" t="s">
        <v>4404</v>
      </c>
      <c r="E1458" s="178" t="s">
        <v>4173</v>
      </c>
      <c r="F1458" s="210" t="s">
        <v>4405</v>
      </c>
      <c r="G1458" s="58" t="s">
        <v>4406</v>
      </c>
      <c r="H1458" s="546">
        <v>90000</v>
      </c>
      <c r="I1458" s="66">
        <v>45051</v>
      </c>
      <c r="J1458" s="411" t="s">
        <v>4407</v>
      </c>
      <c r="K1458" s="58"/>
      <c r="L1458" s="99"/>
      <c r="M1458" s="70" t="s">
        <v>4011</v>
      </c>
      <c r="N1458" s="97" t="s">
        <v>414</v>
      </c>
      <c r="O1458" s="58"/>
      <c r="P1458" s="58" t="s">
        <v>22</v>
      </c>
      <c r="Q1458" s="58" t="s">
        <v>52</v>
      </c>
      <c r="R1458" s="58" t="s">
        <v>265</v>
      </c>
    </row>
    <row r="1459" spans="1:18" ht="69" customHeight="1">
      <c r="A1459" s="168"/>
      <c r="B1459" s="178">
        <v>9847</v>
      </c>
      <c r="C1459" s="178" t="s">
        <v>3647</v>
      </c>
      <c r="D1459" s="575" t="s">
        <v>4408</v>
      </c>
      <c r="E1459" s="178" t="s">
        <v>3833</v>
      </c>
      <c r="F1459" s="210" t="s">
        <v>4409</v>
      </c>
      <c r="G1459" s="58" t="s">
        <v>4126</v>
      </c>
      <c r="H1459" s="546">
        <v>0</v>
      </c>
      <c r="I1459" s="66">
        <v>45051</v>
      </c>
      <c r="J1459" s="411" t="s">
        <v>4127</v>
      </c>
      <c r="K1459" s="58" t="s">
        <v>4410</v>
      </c>
      <c r="L1459" s="99"/>
      <c r="M1459" s="70" t="s">
        <v>4240</v>
      </c>
      <c r="N1459" s="97" t="s">
        <v>356</v>
      </c>
      <c r="O1459" s="45" t="s">
        <v>195</v>
      </c>
      <c r="P1459" s="58" t="s">
        <v>19</v>
      </c>
      <c r="Q1459" s="58" t="s">
        <v>52</v>
      </c>
      <c r="R1459" s="58" t="s">
        <v>265</v>
      </c>
    </row>
    <row r="1460" spans="1:18" ht="69" customHeight="1">
      <c r="A1460" s="168"/>
      <c r="B1460" s="178">
        <v>6282</v>
      </c>
      <c r="C1460" s="178" t="s">
        <v>4411</v>
      </c>
      <c r="D1460" s="575" t="s">
        <v>710</v>
      </c>
      <c r="E1460" s="178" t="s">
        <v>266</v>
      </c>
      <c r="F1460" s="210" t="s">
        <v>4412</v>
      </c>
      <c r="G1460" s="58" t="s">
        <v>790</v>
      </c>
      <c r="H1460" s="546">
        <v>2281.25</v>
      </c>
      <c r="I1460" s="66">
        <v>44834</v>
      </c>
      <c r="J1460" s="411" t="s">
        <v>4413</v>
      </c>
      <c r="K1460" s="58"/>
      <c r="L1460" s="99"/>
      <c r="M1460" s="70" t="s">
        <v>4414</v>
      </c>
      <c r="N1460" s="97" t="s">
        <v>683</v>
      </c>
      <c r="O1460" s="58" t="s">
        <v>684</v>
      </c>
      <c r="P1460" s="58" t="s">
        <v>46</v>
      </c>
      <c r="Q1460" s="58" t="s">
        <v>54</v>
      </c>
      <c r="R1460" s="58" t="s">
        <v>272</v>
      </c>
    </row>
    <row r="1461" spans="1:18" ht="69" customHeight="1">
      <c r="A1461" s="168"/>
      <c r="B1461" s="191">
        <v>3204</v>
      </c>
      <c r="C1461" s="191" t="s">
        <v>4411</v>
      </c>
      <c r="D1461" s="533" t="s">
        <v>330</v>
      </c>
      <c r="E1461" s="191" t="s">
        <v>331</v>
      </c>
      <c r="F1461" s="211" t="s">
        <v>4415</v>
      </c>
      <c r="G1461" s="46" t="s">
        <v>4416</v>
      </c>
      <c r="H1461" s="534">
        <v>0</v>
      </c>
      <c r="I1461" s="56" t="s">
        <v>96</v>
      </c>
      <c r="J1461" s="412" t="s">
        <v>334</v>
      </c>
      <c r="K1461" s="46"/>
      <c r="L1461" s="99"/>
      <c r="M1461" s="379" t="s">
        <v>4417</v>
      </c>
      <c r="N1461" s="76" t="s">
        <v>69</v>
      </c>
      <c r="O1461" s="46"/>
      <c r="P1461" s="46" t="s">
        <v>69</v>
      </c>
      <c r="Q1461" s="46" t="s">
        <v>54</v>
      </c>
      <c r="R1461" s="46" t="s">
        <v>272</v>
      </c>
    </row>
    <row r="1462" spans="1:18" ht="69" customHeight="1">
      <c r="A1462" s="168"/>
      <c r="B1462" s="178">
        <v>2959</v>
      </c>
      <c r="C1462" s="178" t="s">
        <v>4411</v>
      </c>
      <c r="D1462" s="575" t="s">
        <v>4418</v>
      </c>
      <c r="E1462" s="178" t="s">
        <v>266</v>
      </c>
      <c r="F1462" s="210" t="s">
        <v>4419</v>
      </c>
      <c r="G1462" s="58" t="s">
        <v>680</v>
      </c>
      <c r="H1462" s="546">
        <v>7000</v>
      </c>
      <c r="I1462" s="66">
        <v>44601</v>
      </c>
      <c r="J1462" s="411" t="s">
        <v>4420</v>
      </c>
      <c r="K1462" s="58"/>
      <c r="L1462" s="99"/>
      <c r="M1462" s="70" t="s">
        <v>4414</v>
      </c>
      <c r="N1462" s="97" t="s">
        <v>683</v>
      </c>
      <c r="O1462" s="58" t="s">
        <v>684</v>
      </c>
      <c r="P1462" s="58" t="s">
        <v>46</v>
      </c>
      <c r="Q1462" s="58" t="s">
        <v>54</v>
      </c>
      <c r="R1462" s="58" t="s">
        <v>272</v>
      </c>
    </row>
    <row r="1463" spans="1:18" ht="69" customHeight="1">
      <c r="A1463" s="168"/>
      <c r="B1463" s="178">
        <v>4153</v>
      </c>
      <c r="C1463" s="178" t="s">
        <v>4411</v>
      </c>
      <c r="D1463" s="575" t="s">
        <v>2911</v>
      </c>
      <c r="E1463" s="178" t="s">
        <v>266</v>
      </c>
      <c r="F1463" s="210" t="s">
        <v>4421</v>
      </c>
      <c r="G1463" s="58" t="s">
        <v>392</v>
      </c>
      <c r="H1463" s="546">
        <v>2385.15</v>
      </c>
      <c r="I1463" s="66">
        <v>44636</v>
      </c>
      <c r="J1463" s="411" t="s">
        <v>4422</v>
      </c>
      <c r="K1463" s="58"/>
      <c r="L1463" s="99"/>
      <c r="M1463" s="70" t="s">
        <v>4423</v>
      </c>
      <c r="N1463" s="97" t="s">
        <v>270</v>
      </c>
      <c r="O1463" s="58"/>
      <c r="P1463" s="58" t="s">
        <v>44</v>
      </c>
      <c r="Q1463" s="58" t="s">
        <v>54</v>
      </c>
      <c r="R1463" s="58" t="s">
        <v>272</v>
      </c>
    </row>
    <row r="1464" spans="1:18" ht="69" customHeight="1">
      <c r="A1464" s="168"/>
      <c r="B1464" s="178">
        <v>4154</v>
      </c>
      <c r="C1464" s="178" t="s">
        <v>4411</v>
      </c>
      <c r="D1464" s="575" t="s">
        <v>310</v>
      </c>
      <c r="E1464" s="178" t="s">
        <v>266</v>
      </c>
      <c r="F1464" s="210" t="s">
        <v>4424</v>
      </c>
      <c r="G1464" s="58" t="s">
        <v>392</v>
      </c>
      <c r="H1464" s="546">
        <v>2235.4699999999998</v>
      </c>
      <c r="I1464" s="66">
        <v>44636</v>
      </c>
      <c r="J1464" s="411" t="s">
        <v>4425</v>
      </c>
      <c r="K1464" s="58"/>
      <c r="L1464" s="99"/>
      <c r="M1464" s="70" t="s">
        <v>4423</v>
      </c>
      <c r="N1464" s="97" t="s">
        <v>270</v>
      </c>
      <c r="O1464" s="58"/>
      <c r="P1464" s="58" t="s">
        <v>44</v>
      </c>
      <c r="Q1464" s="58" t="s">
        <v>54</v>
      </c>
      <c r="R1464" s="58" t="s">
        <v>272</v>
      </c>
    </row>
    <row r="1465" spans="1:18" ht="69" customHeight="1">
      <c r="A1465" s="168"/>
      <c r="B1465" s="178">
        <v>4905</v>
      </c>
      <c r="C1465" s="178" t="s">
        <v>4411</v>
      </c>
      <c r="D1465" s="575" t="s">
        <v>4426</v>
      </c>
      <c r="E1465" s="178" t="s">
        <v>350</v>
      </c>
      <c r="F1465" s="210" t="s">
        <v>4427</v>
      </c>
      <c r="G1465" s="58" t="s">
        <v>352</v>
      </c>
      <c r="H1465" s="546">
        <v>3200</v>
      </c>
      <c r="I1465" s="66">
        <v>44698</v>
      </c>
      <c r="J1465" s="411" t="s">
        <v>4428</v>
      </c>
      <c r="K1465" s="58" t="s">
        <v>4429</v>
      </c>
      <c r="L1465" s="99"/>
      <c r="M1465" s="70" t="s">
        <v>4430</v>
      </c>
      <c r="N1465" s="97" t="s">
        <v>356</v>
      </c>
      <c r="O1465" s="58" t="s">
        <v>141</v>
      </c>
      <c r="P1465" s="58" t="s">
        <v>19</v>
      </c>
      <c r="Q1465" s="58" t="s">
        <v>54</v>
      </c>
      <c r="R1465" s="58" t="s">
        <v>265</v>
      </c>
    </row>
    <row r="1466" spans="1:18" ht="69" customHeight="1">
      <c r="A1466" s="168"/>
      <c r="B1466" s="178">
        <v>4844</v>
      </c>
      <c r="C1466" s="178" t="s">
        <v>4411</v>
      </c>
      <c r="D1466" s="575" t="s">
        <v>4431</v>
      </c>
      <c r="E1466" s="178" t="s">
        <v>350</v>
      </c>
      <c r="F1466" s="210" t="s">
        <v>4432</v>
      </c>
      <c r="G1466" s="58" t="s">
        <v>352</v>
      </c>
      <c r="H1466" s="546">
        <v>16373.92</v>
      </c>
      <c r="I1466" s="66">
        <v>44698</v>
      </c>
      <c r="J1466" s="411" t="s">
        <v>4433</v>
      </c>
      <c r="K1466" s="58" t="s">
        <v>4429</v>
      </c>
      <c r="L1466" s="99"/>
      <c r="M1466" s="70" t="s">
        <v>4430</v>
      </c>
      <c r="N1466" s="97" t="s">
        <v>356</v>
      </c>
      <c r="O1466" s="58" t="s">
        <v>141</v>
      </c>
      <c r="P1466" s="58" t="s">
        <v>19</v>
      </c>
      <c r="Q1466" s="58" t="s">
        <v>54</v>
      </c>
      <c r="R1466" s="58" t="s">
        <v>265</v>
      </c>
    </row>
    <row r="1467" spans="1:18" ht="69" customHeight="1">
      <c r="A1467" s="168"/>
      <c r="B1467" s="178">
        <v>5103</v>
      </c>
      <c r="C1467" s="178" t="s">
        <v>4411</v>
      </c>
      <c r="D1467" s="575" t="s">
        <v>966</v>
      </c>
      <c r="E1467" s="178" t="s">
        <v>350</v>
      </c>
      <c r="F1467" s="210" t="s">
        <v>4434</v>
      </c>
      <c r="G1467" s="58" t="s">
        <v>352</v>
      </c>
      <c r="H1467" s="546">
        <v>50000</v>
      </c>
      <c r="I1467" s="66" t="s">
        <v>96</v>
      </c>
      <c r="J1467" s="411" t="s">
        <v>4435</v>
      </c>
      <c r="K1467" s="58" t="s">
        <v>4429</v>
      </c>
      <c r="L1467" s="99"/>
      <c r="M1467" s="70" t="s">
        <v>4430</v>
      </c>
      <c r="N1467" s="97" t="s">
        <v>356</v>
      </c>
      <c r="O1467" s="58" t="s">
        <v>141</v>
      </c>
      <c r="P1467" s="58" t="s">
        <v>19</v>
      </c>
      <c r="Q1467" s="58" t="s">
        <v>54</v>
      </c>
      <c r="R1467" s="58" t="s">
        <v>265</v>
      </c>
    </row>
    <row r="1468" spans="1:18" ht="69" customHeight="1">
      <c r="A1468" s="168"/>
      <c r="B1468" s="178">
        <v>5356</v>
      </c>
      <c r="C1468" s="178" t="s">
        <v>4411</v>
      </c>
      <c r="D1468" s="575" t="s">
        <v>1005</v>
      </c>
      <c r="E1468" s="178" t="s">
        <v>409</v>
      </c>
      <c r="F1468" s="210" t="s">
        <v>4436</v>
      </c>
      <c r="G1468" s="58" t="s">
        <v>712</v>
      </c>
      <c r="H1468" s="546">
        <v>3661670.62</v>
      </c>
      <c r="I1468" s="66">
        <v>44757</v>
      </c>
      <c r="J1468" s="411" t="s">
        <v>4437</v>
      </c>
      <c r="K1468" s="58" t="s">
        <v>3385</v>
      </c>
      <c r="L1468" s="99"/>
      <c r="M1468" s="70" t="s">
        <v>4438</v>
      </c>
      <c r="N1468" s="97" t="s">
        <v>716</v>
      </c>
      <c r="O1468" s="58"/>
      <c r="P1468" s="58" t="s">
        <v>28</v>
      </c>
      <c r="Q1468" s="58" t="s">
        <v>54</v>
      </c>
      <c r="R1468" s="58" t="s">
        <v>272</v>
      </c>
    </row>
    <row r="1469" spans="1:18" ht="69" customHeight="1">
      <c r="A1469" s="168"/>
      <c r="B1469" s="207">
        <v>5372</v>
      </c>
      <c r="C1469" s="207" t="s">
        <v>4411</v>
      </c>
      <c r="D1469" s="301" t="s">
        <v>4439</v>
      </c>
      <c r="E1469" s="207" t="s">
        <v>409</v>
      </c>
      <c r="F1469" s="208" t="s">
        <v>4440</v>
      </c>
      <c r="G1469" s="160" t="s">
        <v>725</v>
      </c>
      <c r="H1469" s="300">
        <v>0</v>
      </c>
      <c r="I1469" s="209">
        <v>44760</v>
      </c>
      <c r="J1469" s="322" t="s">
        <v>4441</v>
      </c>
      <c r="K1469" s="160" t="s">
        <v>727</v>
      </c>
      <c r="M1469" s="379" t="s">
        <v>4417</v>
      </c>
      <c r="N1469" s="76"/>
      <c r="O1469" s="160"/>
      <c r="P1469" s="160" t="s">
        <v>67</v>
      </c>
      <c r="Q1469" s="160" t="s">
        <v>54</v>
      </c>
      <c r="R1469" s="160" t="s">
        <v>272</v>
      </c>
    </row>
    <row r="1470" spans="1:18" ht="69" customHeight="1">
      <c r="A1470" s="168"/>
      <c r="B1470" s="178">
        <v>6174</v>
      </c>
      <c r="C1470" s="178" t="s">
        <v>4411</v>
      </c>
      <c r="D1470" s="575" t="s">
        <v>545</v>
      </c>
      <c r="E1470" s="178" t="s">
        <v>305</v>
      </c>
      <c r="F1470" s="210" t="s">
        <v>4442</v>
      </c>
      <c r="G1470" s="58" t="s">
        <v>730</v>
      </c>
      <c r="H1470" s="546">
        <v>88.78</v>
      </c>
      <c r="I1470" s="66">
        <v>44769</v>
      </c>
      <c r="J1470" s="411" t="s">
        <v>4443</v>
      </c>
      <c r="K1470" s="58"/>
      <c r="L1470" s="99"/>
      <c r="M1470" s="70" t="s">
        <v>4423</v>
      </c>
      <c r="N1470" s="97" t="s">
        <v>270</v>
      </c>
      <c r="O1470" s="58"/>
      <c r="P1470" s="58" t="s">
        <v>44</v>
      </c>
      <c r="Q1470" s="58" t="s">
        <v>54</v>
      </c>
      <c r="R1470" s="58" t="s">
        <v>272</v>
      </c>
    </row>
    <row r="1471" spans="1:18" ht="69" customHeight="1">
      <c r="A1471" s="168"/>
      <c r="B1471" s="178">
        <v>6118</v>
      </c>
      <c r="C1471" s="178" t="s">
        <v>4411</v>
      </c>
      <c r="D1471" s="575" t="s">
        <v>3001</v>
      </c>
      <c r="E1471" s="178" t="s">
        <v>350</v>
      </c>
      <c r="F1471" s="210" t="s">
        <v>4444</v>
      </c>
      <c r="G1471" s="58" t="s">
        <v>4445</v>
      </c>
      <c r="H1471" s="546">
        <v>118860</v>
      </c>
      <c r="I1471" s="66">
        <v>44772</v>
      </c>
      <c r="J1471" s="411" t="s">
        <v>4446</v>
      </c>
      <c r="K1471" s="58"/>
      <c r="L1471" s="99"/>
      <c r="M1471" s="70" t="s">
        <v>4430</v>
      </c>
      <c r="N1471" s="97" t="s">
        <v>356</v>
      </c>
      <c r="O1471" s="58" t="s">
        <v>141</v>
      </c>
      <c r="P1471" s="58" t="s">
        <v>19</v>
      </c>
      <c r="Q1471" s="58" t="s">
        <v>54</v>
      </c>
      <c r="R1471" s="58" t="s">
        <v>265</v>
      </c>
    </row>
    <row r="1472" spans="1:18" ht="69" customHeight="1">
      <c r="A1472" s="168"/>
      <c r="B1472" s="191">
        <v>6321</v>
      </c>
      <c r="C1472" s="191" t="s">
        <v>4411</v>
      </c>
      <c r="D1472" s="533" t="s">
        <v>418</v>
      </c>
      <c r="E1472" s="191" t="s">
        <v>260</v>
      </c>
      <c r="F1472" s="211" t="s">
        <v>4447</v>
      </c>
      <c r="G1472" s="46" t="s">
        <v>2942</v>
      </c>
      <c r="H1472" s="534">
        <v>18900</v>
      </c>
      <c r="I1472" s="56">
        <v>44790</v>
      </c>
      <c r="J1472" s="412" t="s">
        <v>4448</v>
      </c>
      <c r="K1472" s="46" t="s">
        <v>167</v>
      </c>
      <c r="L1472" s="99"/>
      <c r="M1472" s="379"/>
      <c r="N1472" s="76" t="s">
        <v>264</v>
      </c>
      <c r="O1472" s="46" t="s">
        <v>141</v>
      </c>
      <c r="P1472" s="46" t="s">
        <v>65</v>
      </c>
      <c r="Q1472" s="46" t="s">
        <v>54</v>
      </c>
      <c r="R1472" s="46" t="s">
        <v>272</v>
      </c>
    </row>
    <row r="1473" spans="1:18" ht="69" customHeight="1">
      <c r="A1473" s="168"/>
      <c r="B1473" s="191">
        <v>6322</v>
      </c>
      <c r="C1473" s="191" t="s">
        <v>4411</v>
      </c>
      <c r="D1473" s="533" t="s">
        <v>418</v>
      </c>
      <c r="E1473" s="191" t="s">
        <v>260</v>
      </c>
      <c r="F1473" s="211" t="s">
        <v>4449</v>
      </c>
      <c r="G1473" s="46" t="s">
        <v>2942</v>
      </c>
      <c r="H1473" s="534">
        <v>22920</v>
      </c>
      <c r="I1473" s="56">
        <v>44790</v>
      </c>
      <c r="J1473" s="412" t="s">
        <v>4448</v>
      </c>
      <c r="K1473" s="46" t="s">
        <v>167</v>
      </c>
      <c r="L1473" s="99"/>
      <c r="M1473" s="379"/>
      <c r="N1473" s="76" t="s">
        <v>264</v>
      </c>
      <c r="O1473" s="46" t="s">
        <v>141</v>
      </c>
      <c r="P1473" s="46" t="s">
        <v>65</v>
      </c>
      <c r="Q1473" s="46" t="s">
        <v>54</v>
      </c>
      <c r="R1473" s="46" t="s">
        <v>272</v>
      </c>
    </row>
    <row r="1474" spans="1:18" ht="69" customHeight="1">
      <c r="A1474" s="168"/>
      <c r="B1474" s="178">
        <v>6500</v>
      </c>
      <c r="C1474" s="178" t="s">
        <v>4411</v>
      </c>
      <c r="D1474" s="575" t="s">
        <v>4450</v>
      </c>
      <c r="E1474" s="178" t="s">
        <v>266</v>
      </c>
      <c r="F1474" s="210" t="s">
        <v>4451</v>
      </c>
      <c r="G1474" s="58" t="s">
        <v>392</v>
      </c>
      <c r="H1474" s="546">
        <v>166.96</v>
      </c>
      <c r="I1474" s="66">
        <v>44804</v>
      </c>
      <c r="J1474" s="411" t="s">
        <v>4452</v>
      </c>
      <c r="K1474" s="58"/>
      <c r="L1474" s="99"/>
      <c r="M1474" s="70" t="s">
        <v>4423</v>
      </c>
      <c r="N1474" s="97" t="s">
        <v>270</v>
      </c>
      <c r="O1474" s="58"/>
      <c r="P1474" s="58" t="s">
        <v>44</v>
      </c>
      <c r="Q1474" s="58" t="s">
        <v>54</v>
      </c>
      <c r="R1474" s="58" t="s">
        <v>272</v>
      </c>
    </row>
    <row r="1475" spans="1:18" ht="69" customHeight="1">
      <c r="A1475" s="168"/>
      <c r="B1475" s="178">
        <v>6501</v>
      </c>
      <c r="C1475" s="178" t="s">
        <v>4411</v>
      </c>
      <c r="D1475" s="575" t="s">
        <v>4450</v>
      </c>
      <c r="E1475" s="178" t="s">
        <v>266</v>
      </c>
      <c r="F1475" s="210" t="s">
        <v>4453</v>
      </c>
      <c r="G1475" s="58" t="s">
        <v>392</v>
      </c>
      <c r="H1475" s="546">
        <v>166.96</v>
      </c>
      <c r="I1475" s="66">
        <v>44804</v>
      </c>
      <c r="J1475" s="411" t="s">
        <v>4452</v>
      </c>
      <c r="K1475" s="58"/>
      <c r="L1475" s="99"/>
      <c r="M1475" s="70" t="s">
        <v>4423</v>
      </c>
      <c r="N1475" s="97" t="s">
        <v>270</v>
      </c>
      <c r="O1475" s="58"/>
      <c r="P1475" s="58" t="s">
        <v>44</v>
      </c>
      <c r="Q1475" s="58" t="s">
        <v>54</v>
      </c>
      <c r="R1475" s="58" t="s">
        <v>272</v>
      </c>
    </row>
    <row r="1476" spans="1:18" ht="69" customHeight="1">
      <c r="A1476" s="168"/>
      <c r="B1476" s="178">
        <v>6500</v>
      </c>
      <c r="C1476" s="178" t="s">
        <v>4411</v>
      </c>
      <c r="D1476" s="575" t="s">
        <v>4450</v>
      </c>
      <c r="E1476" s="178" t="s">
        <v>266</v>
      </c>
      <c r="F1476" s="210" t="s">
        <v>4451</v>
      </c>
      <c r="G1476" s="58" t="s">
        <v>392</v>
      </c>
      <c r="H1476" s="546">
        <v>166.96</v>
      </c>
      <c r="I1476" s="66">
        <v>44804</v>
      </c>
      <c r="J1476" s="411" t="s">
        <v>4452</v>
      </c>
      <c r="K1476" s="58"/>
      <c r="L1476" s="99"/>
      <c r="M1476" s="70" t="s">
        <v>4423</v>
      </c>
      <c r="N1476" s="97" t="s">
        <v>270</v>
      </c>
      <c r="O1476" s="58"/>
      <c r="P1476" s="58" t="s">
        <v>44</v>
      </c>
      <c r="Q1476" s="58" t="s">
        <v>54</v>
      </c>
      <c r="R1476" s="58" t="s">
        <v>272</v>
      </c>
    </row>
    <row r="1477" spans="1:18" ht="69" customHeight="1">
      <c r="A1477" s="168"/>
      <c r="B1477" s="178">
        <v>6501</v>
      </c>
      <c r="C1477" s="178" t="s">
        <v>4411</v>
      </c>
      <c r="D1477" s="575" t="s">
        <v>4450</v>
      </c>
      <c r="E1477" s="178" t="s">
        <v>266</v>
      </c>
      <c r="F1477" s="210" t="s">
        <v>4453</v>
      </c>
      <c r="G1477" s="58" t="s">
        <v>392</v>
      </c>
      <c r="H1477" s="546">
        <v>166.96</v>
      </c>
      <c r="I1477" s="66">
        <v>44804</v>
      </c>
      <c r="J1477" s="411" t="s">
        <v>4452</v>
      </c>
      <c r="K1477" s="58"/>
      <c r="L1477" s="99"/>
      <c r="M1477" s="70" t="s">
        <v>4423</v>
      </c>
      <c r="N1477" s="97" t="s">
        <v>270</v>
      </c>
      <c r="O1477" s="58"/>
      <c r="P1477" s="58" t="s">
        <v>44</v>
      </c>
      <c r="Q1477" s="58" t="s">
        <v>54</v>
      </c>
      <c r="R1477" s="58" t="s">
        <v>272</v>
      </c>
    </row>
    <row r="1478" spans="1:18" ht="69" customHeight="1">
      <c r="A1478" s="168"/>
      <c r="B1478" s="178">
        <v>6500</v>
      </c>
      <c r="C1478" s="178" t="s">
        <v>4411</v>
      </c>
      <c r="D1478" s="575" t="s">
        <v>4450</v>
      </c>
      <c r="E1478" s="178" t="s">
        <v>266</v>
      </c>
      <c r="F1478" s="210" t="s">
        <v>4451</v>
      </c>
      <c r="G1478" s="58" t="s">
        <v>392</v>
      </c>
      <c r="H1478" s="546">
        <v>166.96</v>
      </c>
      <c r="I1478" s="66">
        <v>44804</v>
      </c>
      <c r="J1478" s="411" t="s">
        <v>4452</v>
      </c>
      <c r="K1478" s="58"/>
      <c r="L1478" s="99"/>
      <c r="M1478" s="70" t="s">
        <v>4423</v>
      </c>
      <c r="N1478" s="97" t="s">
        <v>270</v>
      </c>
      <c r="O1478" s="58"/>
      <c r="P1478" s="58" t="s">
        <v>44</v>
      </c>
      <c r="Q1478" s="58" t="s">
        <v>54</v>
      </c>
      <c r="R1478" s="58" t="s">
        <v>272</v>
      </c>
    </row>
    <row r="1479" spans="1:18" ht="69" customHeight="1">
      <c r="A1479" s="168"/>
      <c r="B1479" s="178">
        <v>6501</v>
      </c>
      <c r="C1479" s="178" t="s">
        <v>4411</v>
      </c>
      <c r="D1479" s="575" t="s">
        <v>4450</v>
      </c>
      <c r="E1479" s="178" t="s">
        <v>266</v>
      </c>
      <c r="F1479" s="210" t="s">
        <v>4453</v>
      </c>
      <c r="G1479" s="58" t="s">
        <v>392</v>
      </c>
      <c r="H1479" s="546">
        <v>166.96</v>
      </c>
      <c r="I1479" s="66">
        <v>44804</v>
      </c>
      <c r="J1479" s="411" t="s">
        <v>4452</v>
      </c>
      <c r="K1479" s="58"/>
      <c r="L1479" s="99"/>
      <c r="M1479" s="70" t="s">
        <v>4423</v>
      </c>
      <c r="N1479" s="97" t="s">
        <v>270</v>
      </c>
      <c r="O1479" s="58"/>
      <c r="P1479" s="58" t="s">
        <v>44</v>
      </c>
      <c r="Q1479" s="58" t="s">
        <v>54</v>
      </c>
      <c r="R1479" s="58" t="s">
        <v>272</v>
      </c>
    </row>
    <row r="1480" spans="1:18" ht="69" customHeight="1">
      <c r="A1480" s="168"/>
      <c r="B1480" s="178">
        <v>5372</v>
      </c>
      <c r="C1480" s="178" t="s">
        <v>4411</v>
      </c>
      <c r="D1480" s="575" t="s">
        <v>2512</v>
      </c>
      <c r="E1480" s="178" t="s">
        <v>755</v>
      </c>
      <c r="F1480" s="210" t="s">
        <v>4454</v>
      </c>
      <c r="G1480" s="58" t="s">
        <v>725</v>
      </c>
      <c r="H1480" s="546">
        <v>1025267.77</v>
      </c>
      <c r="I1480" s="66">
        <v>44776</v>
      </c>
      <c r="J1480" s="411" t="s">
        <v>4441</v>
      </c>
      <c r="K1480" s="58" t="s">
        <v>4455</v>
      </c>
      <c r="L1480" s="99"/>
      <c r="M1480" s="70" t="s">
        <v>4438</v>
      </c>
      <c r="N1480" s="97" t="s">
        <v>716</v>
      </c>
      <c r="O1480" s="58"/>
      <c r="P1480" s="58" t="s">
        <v>28</v>
      </c>
      <c r="Q1480" s="58" t="s">
        <v>54</v>
      </c>
      <c r="R1480" s="58" t="s">
        <v>272</v>
      </c>
    </row>
    <row r="1481" spans="1:18" ht="69" customHeight="1">
      <c r="A1481" s="168"/>
      <c r="B1481" s="178">
        <v>6247</v>
      </c>
      <c r="C1481" s="178" t="s">
        <v>4411</v>
      </c>
      <c r="D1481" s="575" t="s">
        <v>4456</v>
      </c>
      <c r="E1481" s="178" t="s">
        <v>755</v>
      </c>
      <c r="F1481" s="210" t="s">
        <v>4457</v>
      </c>
      <c r="G1481" s="58" t="s">
        <v>4458</v>
      </c>
      <c r="H1481" s="546">
        <v>439400.47</v>
      </c>
      <c r="I1481" s="66">
        <v>44788</v>
      </c>
      <c r="J1481" s="411" t="s">
        <v>4441</v>
      </c>
      <c r="K1481" s="58"/>
      <c r="L1481" s="99"/>
      <c r="M1481" s="70" t="s">
        <v>4438</v>
      </c>
      <c r="N1481" s="97" t="s">
        <v>716</v>
      </c>
      <c r="O1481" s="58"/>
      <c r="P1481" s="58" t="s">
        <v>28</v>
      </c>
      <c r="Q1481" s="58" t="s">
        <v>54</v>
      </c>
      <c r="R1481" s="58" t="s">
        <v>272</v>
      </c>
    </row>
    <row r="1482" spans="1:18" ht="69" customHeight="1">
      <c r="A1482" s="168"/>
      <c r="B1482" s="178">
        <v>6500</v>
      </c>
      <c r="C1482" s="178" t="s">
        <v>4411</v>
      </c>
      <c r="D1482" s="575" t="s">
        <v>4450</v>
      </c>
      <c r="E1482" s="178" t="s">
        <v>266</v>
      </c>
      <c r="F1482" s="210" t="s">
        <v>4451</v>
      </c>
      <c r="G1482" s="58" t="s">
        <v>392</v>
      </c>
      <c r="H1482" s="546">
        <v>166.96</v>
      </c>
      <c r="I1482" s="66">
        <v>44804</v>
      </c>
      <c r="J1482" s="411" t="s">
        <v>4452</v>
      </c>
      <c r="K1482" s="58"/>
      <c r="L1482" s="99"/>
      <c r="M1482" s="70" t="s">
        <v>4423</v>
      </c>
      <c r="N1482" s="97" t="s">
        <v>270</v>
      </c>
      <c r="O1482" s="58"/>
      <c r="P1482" s="58" t="s">
        <v>44</v>
      </c>
      <c r="Q1482" s="58" t="s">
        <v>54</v>
      </c>
      <c r="R1482" s="58" t="s">
        <v>272</v>
      </c>
    </row>
    <row r="1483" spans="1:18" ht="69" customHeight="1">
      <c r="A1483" s="168"/>
      <c r="B1483" s="178">
        <v>6598</v>
      </c>
      <c r="C1483" s="59" t="s">
        <v>3667</v>
      </c>
      <c r="D1483" s="575" t="s">
        <v>4459</v>
      </c>
      <c r="E1483" s="178" t="s">
        <v>741</v>
      </c>
      <c r="F1483" s="210" t="s">
        <v>4460</v>
      </c>
      <c r="G1483" s="58" t="s">
        <v>738</v>
      </c>
      <c r="H1483" s="546">
        <v>99021.75</v>
      </c>
      <c r="I1483" s="66">
        <v>44813</v>
      </c>
      <c r="J1483" s="411" t="s">
        <v>4461</v>
      </c>
      <c r="K1483" s="58"/>
      <c r="L1483" s="99"/>
      <c r="M1483" s="70" t="s">
        <v>4462</v>
      </c>
      <c r="N1483" s="97" t="s">
        <v>741</v>
      </c>
      <c r="O1483" s="58" t="s">
        <v>154</v>
      </c>
      <c r="P1483" s="58" t="s">
        <v>59</v>
      </c>
      <c r="Q1483" s="58" t="s">
        <v>54</v>
      </c>
      <c r="R1483" s="58" t="s">
        <v>272</v>
      </c>
    </row>
    <row r="1484" spans="1:18" ht="69" customHeight="1">
      <c r="A1484" s="168"/>
      <c r="B1484" s="178">
        <v>6501</v>
      </c>
      <c r="C1484" s="178" t="s">
        <v>4411</v>
      </c>
      <c r="D1484" s="575" t="s">
        <v>4450</v>
      </c>
      <c r="E1484" s="178" t="s">
        <v>266</v>
      </c>
      <c r="F1484" s="210" t="s">
        <v>4453</v>
      </c>
      <c r="G1484" s="58" t="s">
        <v>392</v>
      </c>
      <c r="H1484" s="546">
        <v>166.96</v>
      </c>
      <c r="I1484" s="66">
        <v>44804</v>
      </c>
      <c r="J1484" s="411" t="s">
        <v>4452</v>
      </c>
      <c r="K1484" s="58"/>
      <c r="L1484" s="99"/>
      <c r="M1484" s="70" t="s">
        <v>4423</v>
      </c>
      <c r="N1484" s="97" t="s">
        <v>270</v>
      </c>
      <c r="O1484" s="58"/>
      <c r="P1484" s="58" t="s">
        <v>44</v>
      </c>
      <c r="Q1484" s="58" t="s">
        <v>54</v>
      </c>
      <c r="R1484" s="58" t="s">
        <v>272</v>
      </c>
    </row>
    <row r="1485" spans="1:18" ht="69" customHeight="1">
      <c r="A1485" s="168"/>
      <c r="B1485" s="178">
        <v>6685</v>
      </c>
      <c r="C1485" s="178" t="s">
        <v>4411</v>
      </c>
      <c r="D1485" s="575" t="s">
        <v>1594</v>
      </c>
      <c r="E1485" s="178" t="s">
        <v>755</v>
      </c>
      <c r="F1485" s="210" t="s">
        <v>4463</v>
      </c>
      <c r="G1485" s="58" t="s">
        <v>1596</v>
      </c>
      <c r="H1485" s="546">
        <v>1464668.25</v>
      </c>
      <c r="I1485" s="66">
        <v>44823</v>
      </c>
      <c r="J1485" s="411" t="s">
        <v>4464</v>
      </c>
      <c r="K1485" s="58" t="s">
        <v>4465</v>
      </c>
      <c r="L1485" s="99"/>
      <c r="M1485" s="70" t="s">
        <v>4438</v>
      </c>
      <c r="N1485" s="97" t="s">
        <v>716</v>
      </c>
      <c r="O1485" s="58"/>
      <c r="P1485" s="58" t="s">
        <v>28</v>
      </c>
      <c r="Q1485" s="58" t="s">
        <v>54</v>
      </c>
      <c r="R1485" s="58" t="s">
        <v>272</v>
      </c>
    </row>
    <row r="1486" spans="1:18" ht="69" customHeight="1">
      <c r="A1486" s="168"/>
      <c r="B1486" s="178">
        <v>7418</v>
      </c>
      <c r="C1486" s="178" t="s">
        <v>4411</v>
      </c>
      <c r="D1486" s="575" t="s">
        <v>4466</v>
      </c>
      <c r="E1486" s="178" t="s">
        <v>809</v>
      </c>
      <c r="F1486" s="210" t="s">
        <v>4467</v>
      </c>
      <c r="G1486" s="58" t="s">
        <v>811</v>
      </c>
      <c r="H1486" s="546">
        <v>9828.94</v>
      </c>
      <c r="I1486" s="66">
        <v>44879</v>
      </c>
      <c r="J1486" s="411" t="s">
        <v>812</v>
      </c>
      <c r="K1486" s="58"/>
      <c r="L1486" s="99"/>
      <c r="M1486" s="70" t="s">
        <v>4468</v>
      </c>
      <c r="N1486" s="97" t="s">
        <v>814</v>
      </c>
      <c r="O1486" s="58"/>
      <c r="P1486" s="58" t="s">
        <v>36</v>
      </c>
      <c r="Q1486" s="58" t="s">
        <v>54</v>
      </c>
      <c r="R1486" s="58" t="s">
        <v>272</v>
      </c>
    </row>
    <row r="1487" spans="1:18" ht="69" customHeight="1">
      <c r="A1487" s="168"/>
      <c r="B1487" s="178">
        <v>7162</v>
      </c>
      <c r="C1487" s="178" t="s">
        <v>4411</v>
      </c>
      <c r="D1487" s="575" t="s">
        <v>1783</v>
      </c>
      <c r="E1487" s="178" t="s">
        <v>755</v>
      </c>
      <c r="F1487" s="210" t="s">
        <v>4469</v>
      </c>
      <c r="G1487" s="58" t="s">
        <v>4470</v>
      </c>
      <c r="H1487" s="546">
        <v>1183071.52</v>
      </c>
      <c r="I1487" s="66">
        <v>44860</v>
      </c>
      <c r="J1487" s="411" t="s">
        <v>4471</v>
      </c>
      <c r="K1487" s="58" t="s">
        <v>4472</v>
      </c>
      <c r="L1487" s="99"/>
      <c r="M1487" s="70" t="s">
        <v>4438</v>
      </c>
      <c r="N1487" s="97" t="s">
        <v>716</v>
      </c>
      <c r="O1487" s="58"/>
      <c r="P1487" s="58" t="s">
        <v>28</v>
      </c>
      <c r="Q1487" s="58" t="s">
        <v>54</v>
      </c>
      <c r="R1487" s="58" t="s">
        <v>272</v>
      </c>
    </row>
    <row r="1488" spans="1:18" ht="69" customHeight="1">
      <c r="A1488" s="168"/>
      <c r="B1488" s="178">
        <v>4156</v>
      </c>
      <c r="C1488" s="59" t="s">
        <v>3667</v>
      </c>
      <c r="D1488" s="575" t="s">
        <v>2209</v>
      </c>
      <c r="E1488" s="178" t="s">
        <v>260</v>
      </c>
      <c r="F1488" s="210" t="s">
        <v>4473</v>
      </c>
      <c r="G1488" s="58" t="s">
        <v>352</v>
      </c>
      <c r="H1488" s="546">
        <v>2000</v>
      </c>
      <c r="I1488" s="66">
        <v>44648</v>
      </c>
      <c r="J1488" s="411" t="s">
        <v>4474</v>
      </c>
      <c r="K1488" s="58"/>
      <c r="L1488" s="99"/>
      <c r="M1488" s="70" t="s">
        <v>4475</v>
      </c>
      <c r="N1488" s="97" t="s">
        <v>264</v>
      </c>
      <c r="O1488" s="58" t="s">
        <v>141</v>
      </c>
      <c r="P1488" s="58" t="s">
        <v>17</v>
      </c>
      <c r="Q1488" s="58" t="s">
        <v>54</v>
      </c>
      <c r="R1488" s="58" t="s">
        <v>265</v>
      </c>
    </row>
    <row r="1489" spans="1:18" ht="69" customHeight="1">
      <c r="A1489" s="168"/>
      <c r="B1489" s="178">
        <v>4171</v>
      </c>
      <c r="C1489" s="59" t="s">
        <v>3667</v>
      </c>
      <c r="D1489" s="575" t="s">
        <v>1687</v>
      </c>
      <c r="E1489" s="178" t="s">
        <v>350</v>
      </c>
      <c r="F1489" s="210" t="s">
        <v>4473</v>
      </c>
      <c r="G1489" s="58" t="s">
        <v>352</v>
      </c>
      <c r="H1489" s="546">
        <v>2000</v>
      </c>
      <c r="I1489" s="66">
        <v>44643</v>
      </c>
      <c r="J1489" s="411" t="s">
        <v>4476</v>
      </c>
      <c r="K1489" s="58"/>
      <c r="L1489" s="99"/>
      <c r="M1489" s="70" t="s">
        <v>4430</v>
      </c>
      <c r="N1489" s="97" t="s">
        <v>356</v>
      </c>
      <c r="O1489" s="58" t="s">
        <v>141</v>
      </c>
      <c r="P1489" s="58" t="s">
        <v>19</v>
      </c>
      <c r="Q1489" s="58" t="s">
        <v>54</v>
      </c>
      <c r="R1489" s="58" t="s">
        <v>265</v>
      </c>
    </row>
    <row r="1490" spans="1:18" ht="69" customHeight="1">
      <c r="A1490" s="168"/>
      <c r="B1490" s="178">
        <v>4139</v>
      </c>
      <c r="C1490" s="59" t="s">
        <v>3667</v>
      </c>
      <c r="D1490" s="575" t="s">
        <v>3569</v>
      </c>
      <c r="E1490" s="178" t="s">
        <v>260</v>
      </c>
      <c r="F1490" s="210" t="s">
        <v>4473</v>
      </c>
      <c r="G1490" s="58" t="s">
        <v>2913</v>
      </c>
      <c r="H1490" s="546">
        <v>2000</v>
      </c>
      <c r="I1490" s="66">
        <v>44643</v>
      </c>
      <c r="J1490" s="411" t="s">
        <v>4477</v>
      </c>
      <c r="K1490" s="58"/>
      <c r="L1490" s="99"/>
      <c r="M1490" s="70" t="s">
        <v>4475</v>
      </c>
      <c r="N1490" s="97" t="s">
        <v>264</v>
      </c>
      <c r="O1490" s="58" t="s">
        <v>141</v>
      </c>
      <c r="P1490" s="58" t="s">
        <v>17</v>
      </c>
      <c r="Q1490" s="58" t="s">
        <v>54</v>
      </c>
      <c r="R1490" s="58" t="s">
        <v>265</v>
      </c>
    </row>
    <row r="1491" spans="1:18" ht="69" customHeight="1">
      <c r="A1491" s="168"/>
      <c r="B1491" s="178">
        <v>4683</v>
      </c>
      <c r="C1491" s="59" t="s">
        <v>3667</v>
      </c>
      <c r="D1491" s="575" t="s">
        <v>4478</v>
      </c>
      <c r="E1491" s="178" t="s">
        <v>283</v>
      </c>
      <c r="F1491" s="210" t="s">
        <v>4479</v>
      </c>
      <c r="G1491" s="58" t="s">
        <v>365</v>
      </c>
      <c r="H1491" s="546">
        <v>190000</v>
      </c>
      <c r="I1491" s="66">
        <v>44676</v>
      </c>
      <c r="J1491" s="411" t="s">
        <v>4480</v>
      </c>
      <c r="K1491" s="58"/>
      <c r="L1491" s="99"/>
      <c r="M1491" s="70" t="s">
        <v>4481</v>
      </c>
      <c r="N1491" s="97" t="s">
        <v>264</v>
      </c>
      <c r="O1491" s="58" t="s">
        <v>141</v>
      </c>
      <c r="P1491" s="58" t="s">
        <v>17</v>
      </c>
      <c r="Q1491" s="58" t="s">
        <v>54</v>
      </c>
      <c r="R1491" s="58" t="s">
        <v>272</v>
      </c>
    </row>
    <row r="1492" spans="1:18" ht="69" customHeight="1">
      <c r="A1492" s="168"/>
      <c r="B1492" s="178">
        <v>4685</v>
      </c>
      <c r="C1492" s="59" t="s">
        <v>3667</v>
      </c>
      <c r="D1492" s="575" t="s">
        <v>3453</v>
      </c>
      <c r="E1492" s="178" t="s">
        <v>358</v>
      </c>
      <c r="F1492" s="210" t="s">
        <v>4479</v>
      </c>
      <c r="G1492" s="58" t="s">
        <v>529</v>
      </c>
      <c r="H1492" s="546">
        <v>69000</v>
      </c>
      <c r="I1492" s="66">
        <v>44676</v>
      </c>
      <c r="J1492" s="411" t="s">
        <v>4482</v>
      </c>
      <c r="K1492" s="58"/>
      <c r="L1492" s="99"/>
      <c r="M1492" s="70" t="s">
        <v>4483</v>
      </c>
      <c r="N1492" s="97" t="s">
        <v>356</v>
      </c>
      <c r="O1492" s="58" t="s">
        <v>141</v>
      </c>
      <c r="P1492" s="58" t="s">
        <v>19</v>
      </c>
      <c r="Q1492" s="58" t="s">
        <v>54</v>
      </c>
      <c r="R1492" s="58" t="s">
        <v>272</v>
      </c>
    </row>
    <row r="1493" spans="1:18" ht="69" customHeight="1">
      <c r="A1493" s="168"/>
      <c r="B1493" s="178"/>
      <c r="C1493" s="178" t="s">
        <v>4411</v>
      </c>
      <c r="D1493" s="575"/>
      <c r="E1493" s="178" t="s">
        <v>350</v>
      </c>
      <c r="F1493" s="210" t="s">
        <v>4484</v>
      </c>
      <c r="G1493" s="58" t="s">
        <v>352</v>
      </c>
      <c r="H1493" s="546">
        <v>59430</v>
      </c>
      <c r="I1493" s="66">
        <v>44544</v>
      </c>
      <c r="J1493" s="411"/>
      <c r="K1493" s="58"/>
      <c r="L1493" s="99"/>
      <c r="M1493" s="70" t="s">
        <v>4430</v>
      </c>
      <c r="N1493" s="97" t="s">
        <v>356</v>
      </c>
      <c r="O1493" s="58" t="s">
        <v>141</v>
      </c>
      <c r="P1493" s="58" t="s">
        <v>19</v>
      </c>
      <c r="Q1493" s="58" t="s">
        <v>54</v>
      </c>
      <c r="R1493" s="58" t="s">
        <v>265</v>
      </c>
    </row>
    <row r="1494" spans="1:18" ht="69" customHeight="1">
      <c r="A1494" s="168"/>
      <c r="B1494" s="178">
        <v>8654</v>
      </c>
      <c r="C1494" s="178" t="s">
        <v>4411</v>
      </c>
      <c r="D1494" s="575" t="s">
        <v>3628</v>
      </c>
      <c r="E1494" s="178" t="s">
        <v>809</v>
      </c>
      <c r="F1494" s="210" t="s">
        <v>4485</v>
      </c>
      <c r="G1494" s="58" t="s">
        <v>823</v>
      </c>
      <c r="H1494" s="546">
        <v>13514.04</v>
      </c>
      <c r="I1494" s="66">
        <v>44949</v>
      </c>
      <c r="J1494" s="411" t="s">
        <v>824</v>
      </c>
      <c r="K1494" s="58"/>
      <c r="L1494" s="99"/>
      <c r="M1494" s="70" t="s">
        <v>4468</v>
      </c>
      <c r="N1494" s="97" t="s">
        <v>814</v>
      </c>
      <c r="O1494" s="58"/>
      <c r="P1494" s="58" t="s">
        <v>36</v>
      </c>
      <c r="Q1494" s="58" t="s">
        <v>54</v>
      </c>
      <c r="R1494" s="58" t="s">
        <v>272</v>
      </c>
    </row>
    <row r="1495" spans="1:18" ht="69" customHeight="1">
      <c r="A1495" s="168"/>
      <c r="B1495" s="178">
        <v>5123</v>
      </c>
      <c r="C1495" s="59" t="s">
        <v>3667</v>
      </c>
      <c r="D1495" s="575" t="s">
        <v>2731</v>
      </c>
      <c r="E1495" s="178" t="s">
        <v>283</v>
      </c>
      <c r="F1495" s="210" t="s">
        <v>4486</v>
      </c>
      <c r="G1495" s="58" t="s">
        <v>718</v>
      </c>
      <c r="H1495" s="546">
        <v>61786.41</v>
      </c>
      <c r="I1495" s="66">
        <v>44732</v>
      </c>
      <c r="J1495" s="411" t="s">
        <v>4487</v>
      </c>
      <c r="K1495" s="58"/>
      <c r="L1495" s="99"/>
      <c r="M1495" s="70" t="s">
        <v>4481</v>
      </c>
      <c r="N1495" s="97" t="s">
        <v>264</v>
      </c>
      <c r="O1495" s="58" t="s">
        <v>141</v>
      </c>
      <c r="P1495" s="58" t="s">
        <v>17</v>
      </c>
      <c r="Q1495" s="58" t="s">
        <v>54</v>
      </c>
      <c r="R1495" s="58" t="s">
        <v>272</v>
      </c>
    </row>
    <row r="1496" spans="1:18" ht="69" customHeight="1">
      <c r="A1496" s="168"/>
      <c r="B1496" s="178">
        <v>7163</v>
      </c>
      <c r="C1496" s="178" t="s">
        <v>4411</v>
      </c>
      <c r="D1496" s="575" t="s">
        <v>4488</v>
      </c>
      <c r="E1496" s="178" t="s">
        <v>755</v>
      </c>
      <c r="F1496" s="210" t="s">
        <v>4489</v>
      </c>
      <c r="G1496" s="58" t="s">
        <v>4490</v>
      </c>
      <c r="H1496" s="546">
        <v>281596.73</v>
      </c>
      <c r="I1496" s="66">
        <v>44860</v>
      </c>
      <c r="J1496" s="411" t="s">
        <v>4471</v>
      </c>
      <c r="K1496" s="58"/>
      <c r="L1496" s="99"/>
      <c r="M1496" s="70" t="s">
        <v>4438</v>
      </c>
      <c r="N1496" s="97" t="s">
        <v>716</v>
      </c>
      <c r="O1496" s="58"/>
      <c r="P1496" s="58" t="s">
        <v>28</v>
      </c>
      <c r="Q1496" s="58" t="s">
        <v>54</v>
      </c>
      <c r="R1496" s="58" t="s">
        <v>272</v>
      </c>
    </row>
    <row r="1497" spans="1:18" ht="69" customHeight="1">
      <c r="A1497" s="168"/>
      <c r="B1497" s="178">
        <v>8524</v>
      </c>
      <c r="C1497" s="178" t="s">
        <v>4411</v>
      </c>
      <c r="D1497" s="575" t="s">
        <v>4491</v>
      </c>
      <c r="E1497" s="178" t="s">
        <v>755</v>
      </c>
      <c r="F1497" s="210" t="s">
        <v>4492</v>
      </c>
      <c r="G1497" s="58" t="s">
        <v>1415</v>
      </c>
      <c r="H1497" s="546">
        <v>1464668.25</v>
      </c>
      <c r="I1497" s="66">
        <v>44965</v>
      </c>
      <c r="J1497" s="411" t="s">
        <v>4493</v>
      </c>
      <c r="K1497" s="58"/>
      <c r="L1497" s="99"/>
      <c r="M1497" s="70" t="s">
        <v>4438</v>
      </c>
      <c r="N1497" s="97" t="s">
        <v>716</v>
      </c>
      <c r="O1497" s="58"/>
      <c r="P1497" s="58" t="s">
        <v>28</v>
      </c>
      <c r="Q1497" s="58" t="s">
        <v>54</v>
      </c>
      <c r="R1497" s="58" t="s">
        <v>272</v>
      </c>
    </row>
    <row r="1498" spans="1:18" ht="69" customHeight="1">
      <c r="A1498" s="168"/>
      <c r="B1498" s="178">
        <v>2388</v>
      </c>
      <c r="C1498" s="178" t="s">
        <v>4494</v>
      </c>
      <c r="D1498" s="575"/>
      <c r="E1498" s="178" t="s">
        <v>283</v>
      </c>
      <c r="F1498" s="210" t="s">
        <v>4495</v>
      </c>
      <c r="G1498" s="58" t="s">
        <v>4496</v>
      </c>
      <c r="H1498" s="546">
        <v>23000</v>
      </c>
      <c r="I1498" s="66">
        <v>44434</v>
      </c>
      <c r="J1498" s="411" t="s">
        <v>4497</v>
      </c>
      <c r="K1498" s="58"/>
      <c r="L1498" s="99"/>
      <c r="M1498" s="70" t="s">
        <v>4481</v>
      </c>
      <c r="N1498" s="97" t="s">
        <v>264</v>
      </c>
      <c r="O1498" s="58" t="s">
        <v>141</v>
      </c>
      <c r="P1498" s="58" t="s">
        <v>17</v>
      </c>
      <c r="Q1498" s="58" t="s">
        <v>54</v>
      </c>
      <c r="R1498" s="58" t="s">
        <v>272</v>
      </c>
    </row>
    <row r="1499" spans="1:18" ht="69" customHeight="1">
      <c r="A1499" s="168"/>
      <c r="B1499" s="178">
        <v>2389</v>
      </c>
      <c r="C1499" s="178" t="s">
        <v>4494</v>
      </c>
      <c r="D1499" s="575"/>
      <c r="E1499" s="178" t="s">
        <v>283</v>
      </c>
      <c r="F1499" s="210" t="s">
        <v>4495</v>
      </c>
      <c r="G1499" s="58" t="s">
        <v>4496</v>
      </c>
      <c r="H1499" s="546">
        <v>23000</v>
      </c>
      <c r="I1499" s="66">
        <v>44487</v>
      </c>
      <c r="J1499" s="411" t="s">
        <v>4497</v>
      </c>
      <c r="K1499" s="58"/>
      <c r="L1499" s="99"/>
      <c r="M1499" s="70" t="s">
        <v>4481</v>
      </c>
      <c r="N1499" s="97" t="s">
        <v>264</v>
      </c>
      <c r="O1499" s="58" t="s">
        <v>141</v>
      </c>
      <c r="P1499" s="58" t="s">
        <v>17</v>
      </c>
      <c r="Q1499" s="58" t="s">
        <v>54</v>
      </c>
      <c r="R1499" s="58" t="s">
        <v>272</v>
      </c>
    </row>
    <row r="1500" spans="1:18" ht="69" customHeight="1">
      <c r="A1500" s="168"/>
      <c r="B1500" s="178"/>
      <c r="C1500" s="178" t="s">
        <v>4494</v>
      </c>
      <c r="D1500" s="575"/>
      <c r="E1500" s="178" t="s">
        <v>260</v>
      </c>
      <c r="F1500" s="210"/>
      <c r="G1500" s="58" t="s">
        <v>4498</v>
      </c>
      <c r="H1500" s="546">
        <v>52169.99</v>
      </c>
      <c r="I1500" s="66">
        <v>44518</v>
      </c>
      <c r="J1500" s="411"/>
      <c r="K1500" s="58"/>
      <c r="L1500" s="99"/>
      <c r="M1500" s="70" t="s">
        <v>4475</v>
      </c>
      <c r="N1500" s="97" t="s">
        <v>264</v>
      </c>
      <c r="O1500" s="58" t="s">
        <v>141</v>
      </c>
      <c r="P1500" s="58" t="s">
        <v>17</v>
      </c>
      <c r="Q1500" s="58" t="s">
        <v>54</v>
      </c>
      <c r="R1500" s="58" t="s">
        <v>265</v>
      </c>
    </row>
    <row r="1501" spans="1:18" ht="69" customHeight="1">
      <c r="A1501" s="168"/>
      <c r="B1501" s="178"/>
      <c r="C1501" s="178" t="s">
        <v>4494</v>
      </c>
      <c r="D1501" s="575"/>
      <c r="E1501" s="178" t="s">
        <v>260</v>
      </c>
      <c r="F1501" s="210"/>
      <c r="G1501" s="58" t="s">
        <v>4499</v>
      </c>
      <c r="H1501" s="546">
        <v>26043.599999999999</v>
      </c>
      <c r="I1501" s="66">
        <v>44529</v>
      </c>
      <c r="J1501" s="411"/>
      <c r="K1501" s="58"/>
      <c r="L1501" s="99"/>
      <c r="M1501" s="70" t="s">
        <v>4475</v>
      </c>
      <c r="N1501" s="97" t="s">
        <v>264</v>
      </c>
      <c r="O1501" s="58" t="s">
        <v>141</v>
      </c>
      <c r="P1501" s="58" t="s">
        <v>17</v>
      </c>
      <c r="Q1501" s="58" t="s">
        <v>54</v>
      </c>
      <c r="R1501" s="58" t="s">
        <v>265</v>
      </c>
    </row>
    <row r="1502" spans="1:18" ht="69" customHeight="1">
      <c r="A1502" s="168"/>
      <c r="B1502" s="178">
        <v>8525</v>
      </c>
      <c r="C1502" s="178" t="s">
        <v>4411</v>
      </c>
      <c r="D1502" s="575" t="s">
        <v>4500</v>
      </c>
      <c r="E1502" s="178" t="s">
        <v>755</v>
      </c>
      <c r="F1502" s="210" t="s">
        <v>4501</v>
      </c>
      <c r="G1502" s="58" t="s">
        <v>4502</v>
      </c>
      <c r="H1502" s="546">
        <v>1016740.35</v>
      </c>
      <c r="I1502" s="66">
        <v>44965</v>
      </c>
      <c r="J1502" s="411" t="s">
        <v>4503</v>
      </c>
      <c r="K1502" s="58"/>
      <c r="L1502" s="99"/>
      <c r="M1502" s="70" t="s">
        <v>4438</v>
      </c>
      <c r="N1502" s="97" t="s">
        <v>716</v>
      </c>
      <c r="O1502" s="58"/>
      <c r="P1502" s="58" t="s">
        <v>28</v>
      </c>
      <c r="Q1502" s="58" t="s">
        <v>54</v>
      </c>
      <c r="R1502" s="58" t="s">
        <v>272</v>
      </c>
    </row>
    <row r="1503" spans="1:18" ht="69" customHeight="1">
      <c r="A1503" s="168"/>
      <c r="B1503" s="178">
        <v>8692</v>
      </c>
      <c r="C1503" s="178" t="s">
        <v>4411</v>
      </c>
      <c r="D1503" s="575" t="s">
        <v>4504</v>
      </c>
      <c r="E1503" s="178" t="s">
        <v>755</v>
      </c>
      <c r="F1503" s="210" t="s">
        <v>4505</v>
      </c>
      <c r="G1503" s="58" t="s">
        <v>4506</v>
      </c>
      <c r="H1503" s="546">
        <v>447927.9</v>
      </c>
      <c r="I1503" s="66">
        <v>44967</v>
      </c>
      <c r="J1503" s="411" t="s">
        <v>4507</v>
      </c>
      <c r="K1503" s="58"/>
      <c r="L1503" s="99"/>
      <c r="M1503" s="70" t="s">
        <v>4438</v>
      </c>
      <c r="N1503" s="97" t="s">
        <v>716</v>
      </c>
      <c r="O1503" s="58"/>
      <c r="P1503" s="58" t="s">
        <v>28</v>
      </c>
      <c r="Q1503" s="58" t="s">
        <v>54</v>
      </c>
      <c r="R1503" s="58" t="s">
        <v>272</v>
      </c>
    </row>
    <row r="1504" spans="1:18" ht="69" customHeight="1">
      <c r="A1504" s="168"/>
      <c r="B1504" s="178">
        <v>8700</v>
      </c>
      <c r="C1504" s="178" t="s">
        <v>4411</v>
      </c>
      <c r="D1504" s="575" t="s">
        <v>4508</v>
      </c>
      <c r="E1504" s="178" t="s">
        <v>358</v>
      </c>
      <c r="F1504" s="210" t="s">
        <v>4509</v>
      </c>
      <c r="G1504" s="58" t="s">
        <v>594</v>
      </c>
      <c r="H1504" s="546">
        <v>120000</v>
      </c>
      <c r="I1504" s="66">
        <v>44967</v>
      </c>
      <c r="J1504" s="411" t="s">
        <v>4510</v>
      </c>
      <c r="K1504" s="58"/>
      <c r="L1504" s="99"/>
      <c r="M1504" s="70" t="s">
        <v>4483</v>
      </c>
      <c r="N1504" s="97" t="s">
        <v>356</v>
      </c>
      <c r="O1504" s="58" t="s">
        <v>141</v>
      </c>
      <c r="P1504" s="58" t="s">
        <v>19</v>
      </c>
      <c r="Q1504" s="58" t="s">
        <v>54</v>
      </c>
      <c r="R1504" s="58" t="s">
        <v>272</v>
      </c>
    </row>
    <row r="1505" spans="1:18" ht="69" customHeight="1">
      <c r="A1505" s="168"/>
      <c r="B1505" s="178">
        <v>8874</v>
      </c>
      <c r="C1505" s="178" t="s">
        <v>4411</v>
      </c>
      <c r="D1505" s="575" t="s">
        <v>4511</v>
      </c>
      <c r="E1505" s="178" t="s">
        <v>358</v>
      </c>
      <c r="F1505" s="210" t="s">
        <v>4512</v>
      </c>
      <c r="G1505" s="58" t="s">
        <v>4513</v>
      </c>
      <c r="H1505" s="546">
        <v>224136.08</v>
      </c>
      <c r="I1505" s="66">
        <v>44979</v>
      </c>
      <c r="J1505" s="411" t="s">
        <v>4514</v>
      </c>
      <c r="K1505" s="58"/>
      <c r="L1505" s="99"/>
      <c r="M1505" s="70" t="s">
        <v>4483</v>
      </c>
      <c r="N1505" s="97" t="s">
        <v>356</v>
      </c>
      <c r="O1505" s="58" t="s">
        <v>141</v>
      </c>
      <c r="P1505" s="58" t="s">
        <v>19</v>
      </c>
      <c r="Q1505" s="58" t="s">
        <v>54</v>
      </c>
      <c r="R1505" s="58" t="s">
        <v>272</v>
      </c>
    </row>
    <row r="1506" spans="1:18" ht="69" customHeight="1">
      <c r="A1506" s="168"/>
      <c r="B1506" s="178">
        <v>8836</v>
      </c>
      <c r="C1506" s="178" t="s">
        <v>4411</v>
      </c>
      <c r="D1506" s="575" t="s">
        <v>4515</v>
      </c>
      <c r="E1506" s="178" t="s">
        <v>809</v>
      </c>
      <c r="F1506" s="210" t="s">
        <v>4516</v>
      </c>
      <c r="G1506" s="58" t="s">
        <v>845</v>
      </c>
      <c r="H1506" s="546">
        <v>15971.06</v>
      </c>
      <c r="I1506" s="66">
        <v>44948</v>
      </c>
      <c r="J1506" s="411" t="s">
        <v>846</v>
      </c>
      <c r="K1506" s="58"/>
      <c r="L1506" s="99"/>
      <c r="M1506" s="70" t="s">
        <v>4468</v>
      </c>
      <c r="N1506" s="97" t="s">
        <v>814</v>
      </c>
      <c r="O1506" s="58"/>
      <c r="P1506" s="58" t="s">
        <v>36</v>
      </c>
      <c r="Q1506" s="58" t="s">
        <v>54</v>
      </c>
      <c r="R1506" s="58" t="s">
        <v>272</v>
      </c>
    </row>
    <row r="1507" spans="1:18" ht="69" customHeight="1">
      <c r="A1507" s="168"/>
      <c r="B1507" s="178">
        <v>9003</v>
      </c>
      <c r="C1507" s="178" t="s">
        <v>4411</v>
      </c>
      <c r="D1507" s="575" t="s">
        <v>4517</v>
      </c>
      <c r="E1507" s="178" t="s">
        <v>809</v>
      </c>
      <c r="F1507" s="210" t="s">
        <v>4518</v>
      </c>
      <c r="G1507" s="58" t="s">
        <v>863</v>
      </c>
      <c r="H1507" s="546">
        <v>12285.96</v>
      </c>
      <c r="I1507" s="66" t="s">
        <v>96</v>
      </c>
      <c r="J1507" s="411" t="s">
        <v>864</v>
      </c>
      <c r="K1507" s="58"/>
      <c r="L1507" s="99"/>
      <c r="M1507" s="70" t="s">
        <v>4468</v>
      </c>
      <c r="N1507" s="97" t="s">
        <v>814</v>
      </c>
      <c r="O1507" s="58"/>
      <c r="P1507" s="58" t="s">
        <v>36</v>
      </c>
      <c r="Q1507" s="58" t="s">
        <v>54</v>
      </c>
      <c r="R1507" s="58" t="s">
        <v>272</v>
      </c>
    </row>
    <row r="1508" spans="1:18" ht="69" customHeight="1">
      <c r="A1508" s="168"/>
      <c r="B1508" s="178">
        <v>9228</v>
      </c>
      <c r="C1508" s="178" t="s">
        <v>4411</v>
      </c>
      <c r="D1508" s="575" t="s">
        <v>4519</v>
      </c>
      <c r="E1508" s="178" t="s">
        <v>755</v>
      </c>
      <c r="F1508" s="210" t="s">
        <v>4520</v>
      </c>
      <c r="G1508" s="58" t="s">
        <v>4521</v>
      </c>
      <c r="H1508" s="546">
        <v>1091395</v>
      </c>
      <c r="I1508" s="66">
        <v>45005</v>
      </c>
      <c r="J1508" s="411" t="s">
        <v>4522</v>
      </c>
      <c r="K1508" s="58"/>
      <c r="L1508" s="99"/>
      <c r="M1508" s="70" t="s">
        <v>4438</v>
      </c>
      <c r="N1508" s="97" t="s">
        <v>716</v>
      </c>
      <c r="O1508" s="58"/>
      <c r="P1508" s="58" t="s">
        <v>28</v>
      </c>
      <c r="Q1508" s="58" t="s">
        <v>54</v>
      </c>
      <c r="R1508" s="58" t="s">
        <v>272</v>
      </c>
    </row>
    <row r="1509" spans="1:18" ht="69" customHeight="1">
      <c r="A1509" s="168"/>
      <c r="B1509" s="178">
        <v>9377</v>
      </c>
      <c r="C1509" s="178" t="s">
        <v>4411</v>
      </c>
      <c r="D1509" s="575" t="s">
        <v>4523</v>
      </c>
      <c r="E1509" s="178" t="s">
        <v>266</v>
      </c>
      <c r="F1509" s="210" t="s">
        <v>4524</v>
      </c>
      <c r="G1509" s="58" t="s">
        <v>4101</v>
      </c>
      <c r="H1509" s="546">
        <v>60.44</v>
      </c>
      <c r="I1509" s="66">
        <v>45009</v>
      </c>
      <c r="J1509" s="411" t="s">
        <v>4102</v>
      </c>
      <c r="K1509" s="58"/>
      <c r="L1509" s="99"/>
      <c r="M1509" s="70" t="s">
        <v>4423</v>
      </c>
      <c r="N1509" s="97" t="s">
        <v>270</v>
      </c>
      <c r="O1509" s="58"/>
      <c r="P1509" s="58" t="s">
        <v>44</v>
      </c>
      <c r="Q1509" s="58" t="s">
        <v>54</v>
      </c>
      <c r="R1509" s="58" t="s">
        <v>272</v>
      </c>
    </row>
    <row r="1510" spans="1:18" ht="69" customHeight="1">
      <c r="A1510" s="168"/>
      <c r="B1510" s="178">
        <v>9460</v>
      </c>
      <c r="C1510" s="178" t="s">
        <v>4411</v>
      </c>
      <c r="D1510" s="575" t="s">
        <v>4525</v>
      </c>
      <c r="E1510" s="178" t="s">
        <v>266</v>
      </c>
      <c r="F1510" s="210" t="s">
        <v>4526</v>
      </c>
      <c r="G1510" s="58" t="s">
        <v>4527</v>
      </c>
      <c r="H1510" s="546">
        <v>12000</v>
      </c>
      <c r="I1510" s="66">
        <v>45014</v>
      </c>
      <c r="J1510" s="411" t="s">
        <v>4528</v>
      </c>
      <c r="K1510" s="58"/>
      <c r="L1510" s="99"/>
      <c r="M1510" s="70" t="s">
        <v>4423</v>
      </c>
      <c r="N1510" s="97" t="s">
        <v>270</v>
      </c>
      <c r="O1510" s="58"/>
      <c r="P1510" s="58" t="s">
        <v>44</v>
      </c>
      <c r="Q1510" s="58" t="s">
        <v>54</v>
      </c>
      <c r="R1510" s="58" t="s">
        <v>272</v>
      </c>
    </row>
    <row r="1511" spans="1:18" ht="69" customHeight="1">
      <c r="A1511" s="168"/>
      <c r="B1511" s="178">
        <v>9704</v>
      </c>
      <c r="C1511" s="178" t="s">
        <v>4411</v>
      </c>
      <c r="D1511" s="575" t="s">
        <v>4529</v>
      </c>
      <c r="E1511" s="178" t="s">
        <v>809</v>
      </c>
      <c r="F1511" s="210" t="s">
        <v>4518</v>
      </c>
      <c r="G1511" s="58" t="s">
        <v>874</v>
      </c>
      <c r="H1511" s="546">
        <v>19657.02</v>
      </c>
      <c r="I1511" s="66" t="s">
        <v>96</v>
      </c>
      <c r="J1511" s="411" t="s">
        <v>875</v>
      </c>
      <c r="K1511" s="58"/>
      <c r="L1511" s="99"/>
      <c r="M1511" s="70" t="s">
        <v>4468</v>
      </c>
      <c r="N1511" s="97" t="s">
        <v>814</v>
      </c>
      <c r="O1511" s="58"/>
      <c r="P1511" s="58" t="s">
        <v>36</v>
      </c>
      <c r="Q1511" s="58" t="s">
        <v>54</v>
      </c>
      <c r="R1511" s="58" t="s">
        <v>272</v>
      </c>
    </row>
    <row r="1512" spans="1:18" ht="69" customHeight="1">
      <c r="A1512" s="168"/>
      <c r="B1512" s="178">
        <v>9810</v>
      </c>
      <c r="C1512" s="59" t="s">
        <v>3667</v>
      </c>
      <c r="D1512" s="575" t="s">
        <v>4530</v>
      </c>
      <c r="E1512" s="178" t="s">
        <v>382</v>
      </c>
      <c r="F1512" s="210" t="s">
        <v>4531</v>
      </c>
      <c r="G1512" s="58" t="s">
        <v>597</v>
      </c>
      <c r="H1512" s="546">
        <v>2892.13</v>
      </c>
      <c r="I1512" s="66">
        <v>45041</v>
      </c>
      <c r="J1512" s="411" t="s">
        <v>3549</v>
      </c>
      <c r="K1512" s="58"/>
      <c r="L1512" s="99"/>
      <c r="M1512" s="70" t="s">
        <v>4532</v>
      </c>
      <c r="N1512" s="97" t="s">
        <v>387</v>
      </c>
      <c r="O1512" s="58" t="s">
        <v>150</v>
      </c>
      <c r="P1512" s="58" t="s">
        <v>51</v>
      </c>
      <c r="Q1512" s="58" t="s">
        <v>54</v>
      </c>
      <c r="R1512" s="58" t="s">
        <v>272</v>
      </c>
    </row>
    <row r="1513" spans="1:18" ht="69" customHeight="1">
      <c r="A1513" s="168"/>
      <c r="B1513" s="178">
        <v>9825</v>
      </c>
      <c r="C1513" s="59" t="s">
        <v>3667</v>
      </c>
      <c r="D1513" s="575" t="s">
        <v>4533</v>
      </c>
      <c r="E1513" s="178" t="s">
        <v>266</v>
      </c>
      <c r="F1513" s="210" t="s">
        <v>4534</v>
      </c>
      <c r="G1513" s="58" t="s">
        <v>590</v>
      </c>
      <c r="H1513" s="546">
        <v>1150</v>
      </c>
      <c r="I1513" s="66">
        <v>45041</v>
      </c>
      <c r="J1513" s="411" t="s">
        <v>4105</v>
      </c>
      <c r="K1513" s="58"/>
      <c r="L1513" s="99"/>
      <c r="M1513" s="70" t="s">
        <v>4423</v>
      </c>
      <c r="N1513" s="97" t="s">
        <v>270</v>
      </c>
      <c r="O1513" s="58"/>
      <c r="P1513" s="58" t="s">
        <v>44</v>
      </c>
      <c r="Q1513" s="58" t="s">
        <v>54</v>
      </c>
      <c r="R1513" s="58" t="s">
        <v>272</v>
      </c>
    </row>
    <row r="1514" spans="1:18" ht="69" customHeight="1">
      <c r="A1514" s="168"/>
      <c r="B1514" s="178">
        <v>9905</v>
      </c>
      <c r="C1514" s="178" t="s">
        <v>4411</v>
      </c>
      <c r="D1514" s="575" t="s">
        <v>4535</v>
      </c>
      <c r="E1514" s="178" t="s">
        <v>755</v>
      </c>
      <c r="F1514" s="210" t="s">
        <v>4536</v>
      </c>
      <c r="G1514" s="58" t="s">
        <v>4537</v>
      </c>
      <c r="H1514" s="546">
        <v>163143.18</v>
      </c>
      <c r="I1514" s="66">
        <v>45048</v>
      </c>
      <c r="J1514" s="411" t="s">
        <v>4538</v>
      </c>
      <c r="K1514" s="58"/>
      <c r="L1514" s="99"/>
      <c r="M1514" s="70" t="s">
        <v>4438</v>
      </c>
      <c r="N1514" s="97" t="s">
        <v>716</v>
      </c>
      <c r="O1514" s="58"/>
      <c r="P1514" s="58" t="s">
        <v>57</v>
      </c>
      <c r="Q1514" s="58" t="s">
        <v>54</v>
      </c>
      <c r="R1514" s="58" t="s">
        <v>272</v>
      </c>
    </row>
    <row r="1515" spans="1:18" ht="69" customHeight="1">
      <c r="A1515" s="168"/>
      <c r="B1515" s="191">
        <v>9948</v>
      </c>
      <c r="C1515" s="191" t="s">
        <v>4411</v>
      </c>
      <c r="D1515" s="533" t="s">
        <v>4539</v>
      </c>
      <c r="E1515" s="191" t="s">
        <v>877</v>
      </c>
      <c r="F1515" s="211" t="s">
        <v>4540</v>
      </c>
      <c r="G1515" s="46" t="s">
        <v>879</v>
      </c>
      <c r="H1515" s="534">
        <v>38235.089999999997</v>
      </c>
      <c r="I1515" s="56">
        <v>45049</v>
      </c>
      <c r="J1515" s="412" t="s">
        <v>880</v>
      </c>
      <c r="K1515" s="46" t="s">
        <v>167</v>
      </c>
      <c r="L1515" s="99"/>
      <c r="M1515" s="379"/>
      <c r="N1515" s="76" t="s">
        <v>716</v>
      </c>
      <c r="O1515" s="46"/>
      <c r="P1515" s="46" t="s">
        <v>71</v>
      </c>
      <c r="Q1515" s="46" t="s">
        <v>54</v>
      </c>
      <c r="R1515" s="46" t="s">
        <v>272</v>
      </c>
    </row>
    <row r="1516" spans="1:18" ht="69" customHeight="1">
      <c r="A1516" s="168"/>
      <c r="B1516" s="191">
        <v>9951</v>
      </c>
      <c r="C1516" s="191" t="s">
        <v>4411</v>
      </c>
      <c r="D1516" s="533" t="s">
        <v>4541</v>
      </c>
      <c r="E1516" s="191" t="s">
        <v>877</v>
      </c>
      <c r="F1516" s="211" t="s">
        <v>4542</v>
      </c>
      <c r="G1516" s="46" t="s">
        <v>879</v>
      </c>
      <c r="H1516" s="534">
        <v>21654.19</v>
      </c>
      <c r="I1516" s="56">
        <v>45049</v>
      </c>
      <c r="J1516" s="412" t="s">
        <v>880</v>
      </c>
      <c r="K1516" s="46" t="s">
        <v>167</v>
      </c>
      <c r="L1516" s="99"/>
      <c r="M1516" s="379"/>
      <c r="N1516" s="76" t="s">
        <v>716</v>
      </c>
      <c r="O1516" s="46"/>
      <c r="P1516" s="46" t="s">
        <v>71</v>
      </c>
      <c r="Q1516" s="46" t="s">
        <v>54</v>
      </c>
      <c r="R1516" s="46" t="s">
        <v>272</v>
      </c>
    </row>
    <row r="1517" spans="1:18" ht="69" customHeight="1">
      <c r="A1517" s="168"/>
      <c r="B1517" s="178">
        <v>9838</v>
      </c>
      <c r="C1517" s="59" t="s">
        <v>3667</v>
      </c>
      <c r="D1517" s="575" t="s">
        <v>4543</v>
      </c>
      <c r="E1517" s="178" t="s">
        <v>382</v>
      </c>
      <c r="F1517" s="210" t="s">
        <v>4544</v>
      </c>
      <c r="G1517" s="58" t="s">
        <v>884</v>
      </c>
      <c r="H1517" s="546">
        <v>29180</v>
      </c>
      <c r="I1517" s="66">
        <v>45040</v>
      </c>
      <c r="J1517" s="411" t="s">
        <v>885</v>
      </c>
      <c r="K1517" s="58"/>
      <c r="L1517" s="99"/>
      <c r="M1517" s="70" t="s">
        <v>4532</v>
      </c>
      <c r="N1517" s="97" t="s">
        <v>387</v>
      </c>
      <c r="O1517" s="58" t="s">
        <v>150</v>
      </c>
      <c r="P1517" s="58" t="s">
        <v>51</v>
      </c>
      <c r="Q1517" s="58" t="s">
        <v>54</v>
      </c>
      <c r="R1517" s="58" t="s">
        <v>272</v>
      </c>
    </row>
    <row r="1518" spans="1:18" ht="69" customHeight="1">
      <c r="A1518" s="168"/>
      <c r="B1518" s="178">
        <v>9877</v>
      </c>
      <c r="C1518" s="178" t="s">
        <v>4411</v>
      </c>
      <c r="D1518" s="575" t="s">
        <v>4545</v>
      </c>
      <c r="E1518" s="178" t="s">
        <v>382</v>
      </c>
      <c r="F1518" s="210" t="s">
        <v>4546</v>
      </c>
      <c r="G1518" s="58" t="s">
        <v>4547</v>
      </c>
      <c r="H1518" s="546">
        <v>5821.02</v>
      </c>
      <c r="I1518" s="66">
        <v>45051</v>
      </c>
      <c r="J1518" s="411" t="s">
        <v>3561</v>
      </c>
      <c r="K1518" s="58"/>
      <c r="L1518" s="99"/>
      <c r="M1518" s="70" t="s">
        <v>4532</v>
      </c>
      <c r="N1518" s="97" t="s">
        <v>387</v>
      </c>
      <c r="O1518" s="58" t="s">
        <v>150</v>
      </c>
      <c r="P1518" s="58" t="s">
        <v>51</v>
      </c>
      <c r="Q1518" s="58" t="s">
        <v>54</v>
      </c>
      <c r="R1518" s="58" t="s">
        <v>272</v>
      </c>
    </row>
    <row r="1519" spans="1:18" ht="69" customHeight="1">
      <c r="A1519" s="168"/>
      <c r="B1519" s="191">
        <v>2978</v>
      </c>
      <c r="C1519" s="191" t="s">
        <v>3643</v>
      </c>
      <c r="D1519" s="533" t="s">
        <v>4548</v>
      </c>
      <c r="E1519" s="191" t="s">
        <v>331</v>
      </c>
      <c r="F1519" s="211" t="s">
        <v>4549</v>
      </c>
      <c r="G1519" s="46" t="s">
        <v>3646</v>
      </c>
      <c r="H1519" s="534">
        <v>0</v>
      </c>
      <c r="I1519" s="56" t="s">
        <v>96</v>
      </c>
      <c r="J1519" s="412" t="s">
        <v>334</v>
      </c>
      <c r="K1519" s="46"/>
      <c r="L1519" s="99"/>
      <c r="M1519" s="379" t="s">
        <v>56</v>
      </c>
      <c r="N1519" s="76" t="s">
        <v>69</v>
      </c>
      <c r="O1519" s="46"/>
      <c r="P1519" s="46" t="s">
        <v>69</v>
      </c>
      <c r="Q1519" s="46" t="s">
        <v>56</v>
      </c>
      <c r="R1519" s="46" t="s">
        <v>272</v>
      </c>
    </row>
    <row r="1520" spans="1:18" ht="69" customHeight="1">
      <c r="A1520" s="168"/>
      <c r="B1520" s="191">
        <v>3205</v>
      </c>
      <c r="C1520" s="191" t="s">
        <v>4277</v>
      </c>
      <c r="D1520" s="533" t="s">
        <v>330</v>
      </c>
      <c r="E1520" s="191" t="s">
        <v>331</v>
      </c>
      <c r="F1520" s="211" t="s">
        <v>4549</v>
      </c>
      <c r="G1520" s="46" t="s">
        <v>3646</v>
      </c>
      <c r="H1520" s="534">
        <v>0</v>
      </c>
      <c r="I1520" s="56" t="s">
        <v>96</v>
      </c>
      <c r="J1520" s="412" t="s">
        <v>334</v>
      </c>
      <c r="K1520" s="46"/>
      <c r="L1520" s="99"/>
      <c r="M1520" s="379" t="s">
        <v>56</v>
      </c>
      <c r="N1520" s="76" t="s">
        <v>69</v>
      </c>
      <c r="O1520" s="46"/>
      <c r="P1520" s="46" t="s">
        <v>69</v>
      </c>
      <c r="Q1520" s="46" t="s">
        <v>56</v>
      </c>
      <c r="R1520" s="46" t="s">
        <v>272</v>
      </c>
    </row>
    <row r="1521" spans="1:18" ht="69" customHeight="1">
      <c r="A1521" s="168"/>
      <c r="B1521" s="178">
        <v>7600</v>
      </c>
      <c r="C1521" s="178" t="s">
        <v>4277</v>
      </c>
      <c r="D1521" s="575" t="s">
        <v>2570</v>
      </c>
      <c r="E1521" s="178" t="s">
        <v>4550</v>
      </c>
      <c r="F1521" s="210" t="s">
        <v>4551</v>
      </c>
      <c r="G1521" s="58" t="s">
        <v>4552</v>
      </c>
      <c r="H1521" s="546">
        <v>377000</v>
      </c>
      <c r="I1521" s="66">
        <v>44890</v>
      </c>
      <c r="J1521" s="411" t="s">
        <v>795</v>
      </c>
      <c r="K1521" s="58"/>
      <c r="L1521" s="99"/>
      <c r="M1521" s="70" t="s">
        <v>4553</v>
      </c>
      <c r="N1521" s="97" t="s">
        <v>356</v>
      </c>
      <c r="O1521" s="58" t="s">
        <v>141</v>
      </c>
      <c r="P1521" s="58" t="s">
        <v>19</v>
      </c>
      <c r="Q1521" s="58" t="s">
        <v>56</v>
      </c>
      <c r="R1521" s="58" t="s">
        <v>272</v>
      </c>
    </row>
    <row r="1522" spans="1:18" ht="69" customHeight="1">
      <c r="A1522" s="168"/>
      <c r="B1522" s="178">
        <v>4238</v>
      </c>
      <c r="C1522" s="178" t="s">
        <v>4277</v>
      </c>
      <c r="D1522" s="575" t="s">
        <v>4554</v>
      </c>
      <c r="E1522" s="178" t="s">
        <v>266</v>
      </c>
      <c r="F1522" s="210" t="s">
        <v>4555</v>
      </c>
      <c r="G1522" s="58" t="s">
        <v>3677</v>
      </c>
      <c r="H1522" s="546">
        <v>45060</v>
      </c>
      <c r="I1522" s="66">
        <v>44662</v>
      </c>
      <c r="J1522" s="411" t="s">
        <v>4556</v>
      </c>
      <c r="K1522" s="58"/>
      <c r="L1522" s="99"/>
      <c r="M1522" s="70" t="s">
        <v>4557</v>
      </c>
      <c r="N1522" s="97" t="s">
        <v>270</v>
      </c>
      <c r="O1522" s="58"/>
      <c r="P1522" s="58" t="s">
        <v>44</v>
      </c>
      <c r="Q1522" s="58" t="s">
        <v>56</v>
      </c>
      <c r="R1522" s="58" t="s">
        <v>272</v>
      </c>
    </row>
    <row r="1523" spans="1:18" ht="69" customHeight="1">
      <c r="A1523" s="168"/>
      <c r="B1523" s="178">
        <v>4736</v>
      </c>
      <c r="C1523" s="178" t="s">
        <v>4277</v>
      </c>
      <c r="D1523" s="575" t="s">
        <v>4558</v>
      </c>
      <c r="E1523" s="178" t="s">
        <v>331</v>
      </c>
      <c r="F1523" s="210" t="s">
        <v>4559</v>
      </c>
      <c r="G1523" s="58"/>
      <c r="H1523" s="546">
        <v>3389.12</v>
      </c>
      <c r="I1523" s="66">
        <v>44678</v>
      </c>
      <c r="J1523" s="411" t="s">
        <v>4560</v>
      </c>
      <c r="K1523" s="58"/>
      <c r="L1523" s="99"/>
      <c r="M1523" s="70" t="s">
        <v>4557</v>
      </c>
      <c r="N1523" s="97" t="s">
        <v>270</v>
      </c>
      <c r="O1523" s="58"/>
      <c r="P1523" s="58" t="s">
        <v>44</v>
      </c>
      <c r="Q1523" s="58" t="s">
        <v>56</v>
      </c>
      <c r="R1523" s="58" t="s">
        <v>272</v>
      </c>
    </row>
    <row r="1524" spans="1:18" ht="69" customHeight="1">
      <c r="A1524" s="168"/>
      <c r="B1524" s="178">
        <v>4098</v>
      </c>
      <c r="C1524" s="178" t="s">
        <v>4277</v>
      </c>
      <c r="D1524" s="575" t="s">
        <v>4561</v>
      </c>
      <c r="E1524" s="178" t="s">
        <v>266</v>
      </c>
      <c r="F1524" s="210" t="s">
        <v>4562</v>
      </c>
      <c r="G1524" s="58" t="s">
        <v>3674</v>
      </c>
      <c r="H1524" s="546">
        <v>10690</v>
      </c>
      <c r="I1524" s="66">
        <v>44676</v>
      </c>
      <c r="J1524" s="411" t="s">
        <v>4563</v>
      </c>
      <c r="K1524" s="58"/>
      <c r="L1524" s="99"/>
      <c r="M1524" s="70" t="s">
        <v>4557</v>
      </c>
      <c r="N1524" s="97" t="s">
        <v>270</v>
      </c>
      <c r="O1524" s="58"/>
      <c r="P1524" s="58" t="s">
        <v>44</v>
      </c>
      <c r="Q1524" s="58" t="s">
        <v>56</v>
      </c>
      <c r="R1524" s="58" t="s">
        <v>272</v>
      </c>
    </row>
    <row r="1525" spans="1:18" ht="69" customHeight="1">
      <c r="A1525" s="168"/>
      <c r="B1525" s="178">
        <v>4751</v>
      </c>
      <c r="C1525" s="178" t="s">
        <v>4277</v>
      </c>
      <c r="D1525" s="575" t="s">
        <v>3466</v>
      </c>
      <c r="E1525" s="178" t="s">
        <v>266</v>
      </c>
      <c r="F1525" s="210" t="s">
        <v>4564</v>
      </c>
      <c r="G1525" s="58" t="s">
        <v>3677</v>
      </c>
      <c r="H1525" s="546">
        <v>45060</v>
      </c>
      <c r="I1525" s="66">
        <v>44680</v>
      </c>
      <c r="J1525" s="411" t="s">
        <v>4565</v>
      </c>
      <c r="K1525" s="58"/>
      <c r="L1525" s="99"/>
      <c r="M1525" s="70" t="s">
        <v>4557</v>
      </c>
      <c r="N1525" s="97" t="s">
        <v>270</v>
      </c>
      <c r="O1525" s="58"/>
      <c r="P1525" s="58" t="s">
        <v>44</v>
      </c>
      <c r="Q1525" s="58" t="s">
        <v>56</v>
      </c>
      <c r="R1525" s="58" t="s">
        <v>272</v>
      </c>
    </row>
    <row r="1526" spans="1:18" ht="69" customHeight="1">
      <c r="A1526" s="168"/>
      <c r="B1526" s="178">
        <v>4902</v>
      </c>
      <c r="C1526" s="178" t="s">
        <v>4277</v>
      </c>
      <c r="D1526" s="575" t="s">
        <v>4566</v>
      </c>
      <c r="E1526" s="178" t="s">
        <v>266</v>
      </c>
      <c r="F1526" s="210" t="s">
        <v>4567</v>
      </c>
      <c r="G1526" s="58" t="s">
        <v>4568</v>
      </c>
      <c r="H1526" s="546">
        <v>10496.25</v>
      </c>
      <c r="I1526" s="66">
        <v>44698</v>
      </c>
      <c r="J1526" s="411" t="s">
        <v>4569</v>
      </c>
      <c r="K1526" s="58"/>
      <c r="L1526" s="99"/>
      <c r="M1526" s="70" t="s">
        <v>4557</v>
      </c>
      <c r="N1526" s="97" t="s">
        <v>270</v>
      </c>
      <c r="O1526" s="58"/>
      <c r="P1526" s="58" t="s">
        <v>44</v>
      </c>
      <c r="Q1526" s="58" t="s">
        <v>56</v>
      </c>
      <c r="R1526" s="58" t="s">
        <v>272</v>
      </c>
    </row>
    <row r="1527" spans="1:18" ht="69" customHeight="1">
      <c r="A1527" s="168"/>
      <c r="B1527" s="178">
        <v>4881</v>
      </c>
      <c r="C1527" s="178" t="s">
        <v>4277</v>
      </c>
      <c r="D1527" s="575" t="s">
        <v>4570</v>
      </c>
      <c r="E1527" s="178" t="s">
        <v>266</v>
      </c>
      <c r="F1527" s="210" t="s">
        <v>4571</v>
      </c>
      <c r="G1527" s="58" t="s">
        <v>315</v>
      </c>
      <c r="H1527" s="546">
        <v>8937</v>
      </c>
      <c r="I1527" s="66">
        <v>44699</v>
      </c>
      <c r="J1527" s="411" t="s">
        <v>4572</v>
      </c>
      <c r="K1527" s="58"/>
      <c r="L1527" s="99"/>
      <c r="M1527" s="70" t="s">
        <v>4557</v>
      </c>
      <c r="N1527" s="97" t="s">
        <v>270</v>
      </c>
      <c r="O1527" s="58"/>
      <c r="P1527" s="58" t="s">
        <v>44</v>
      </c>
      <c r="Q1527" s="58" t="s">
        <v>56</v>
      </c>
      <c r="R1527" s="58" t="s">
        <v>272</v>
      </c>
    </row>
    <row r="1528" spans="1:18" ht="69" customHeight="1">
      <c r="A1528" s="168"/>
      <c r="B1528" s="178">
        <v>4908</v>
      </c>
      <c r="C1528" s="178" t="s">
        <v>4277</v>
      </c>
      <c r="D1528" s="575" t="s">
        <v>337</v>
      </c>
      <c r="E1528" s="178" t="s">
        <v>266</v>
      </c>
      <c r="F1528" s="210" t="s">
        <v>4573</v>
      </c>
      <c r="G1528" s="58" t="s">
        <v>4574</v>
      </c>
      <c r="H1528" s="546">
        <v>605.83000000000004</v>
      </c>
      <c r="I1528" s="66">
        <v>44699</v>
      </c>
      <c r="J1528" s="411" t="s">
        <v>4575</v>
      </c>
      <c r="K1528" s="58"/>
      <c r="L1528" s="99"/>
      <c r="M1528" s="70" t="s">
        <v>4557</v>
      </c>
      <c r="N1528" s="97" t="s">
        <v>270</v>
      </c>
      <c r="O1528" s="58"/>
      <c r="P1528" s="58" t="s">
        <v>44</v>
      </c>
      <c r="Q1528" s="58" t="s">
        <v>56</v>
      </c>
      <c r="R1528" s="58" t="s">
        <v>272</v>
      </c>
    </row>
    <row r="1529" spans="1:18" ht="69" customHeight="1">
      <c r="A1529" s="168"/>
      <c r="B1529" s="178">
        <v>4909</v>
      </c>
      <c r="C1529" s="178" t="s">
        <v>4277</v>
      </c>
      <c r="D1529" s="575" t="s">
        <v>2937</v>
      </c>
      <c r="E1529" s="178" t="s">
        <v>266</v>
      </c>
      <c r="F1529" s="210" t="s">
        <v>4576</v>
      </c>
      <c r="G1529" s="58" t="s">
        <v>4574</v>
      </c>
      <c r="H1529" s="546">
        <v>1470.94</v>
      </c>
      <c r="I1529" s="66">
        <v>44699</v>
      </c>
      <c r="J1529" s="411" t="s">
        <v>4577</v>
      </c>
      <c r="K1529" s="58"/>
      <c r="L1529" s="99"/>
      <c r="M1529" s="70" t="s">
        <v>4557</v>
      </c>
      <c r="N1529" s="97" t="s">
        <v>270</v>
      </c>
      <c r="O1529" s="58"/>
      <c r="P1529" s="58" t="s">
        <v>44</v>
      </c>
      <c r="Q1529" s="58" t="s">
        <v>56</v>
      </c>
      <c r="R1529" s="58" t="s">
        <v>272</v>
      </c>
    </row>
    <row r="1530" spans="1:18" ht="69" customHeight="1">
      <c r="A1530" s="168"/>
      <c r="B1530" s="178">
        <v>4910</v>
      </c>
      <c r="C1530" s="178" t="s">
        <v>4277</v>
      </c>
      <c r="D1530" s="575" t="s">
        <v>2250</v>
      </c>
      <c r="E1530" s="178" t="s">
        <v>266</v>
      </c>
      <c r="F1530" s="210" t="s">
        <v>4578</v>
      </c>
      <c r="G1530" s="58" t="s">
        <v>4574</v>
      </c>
      <c r="H1530" s="546">
        <v>700.85</v>
      </c>
      <c r="I1530" s="66">
        <v>44699</v>
      </c>
      <c r="J1530" s="411" t="s">
        <v>4579</v>
      </c>
      <c r="K1530" s="58"/>
      <c r="L1530" s="99"/>
      <c r="M1530" s="70" t="s">
        <v>4557</v>
      </c>
      <c r="N1530" s="97" t="s">
        <v>270</v>
      </c>
      <c r="O1530" s="58"/>
      <c r="P1530" s="58" t="s">
        <v>44</v>
      </c>
      <c r="Q1530" s="58" t="s">
        <v>56</v>
      </c>
      <c r="R1530" s="58" t="s">
        <v>272</v>
      </c>
    </row>
    <row r="1531" spans="1:18" ht="69" customHeight="1">
      <c r="A1531" s="168"/>
      <c r="B1531" s="178">
        <v>4911</v>
      </c>
      <c r="C1531" s="178" t="s">
        <v>4277</v>
      </c>
      <c r="D1531" s="575" t="s">
        <v>653</v>
      </c>
      <c r="E1531" s="178" t="s">
        <v>266</v>
      </c>
      <c r="F1531" s="210" t="s">
        <v>4580</v>
      </c>
      <c r="G1531" s="58" t="s">
        <v>4574</v>
      </c>
      <c r="H1531" s="546">
        <v>3152.02</v>
      </c>
      <c r="I1531" s="66">
        <v>44699</v>
      </c>
      <c r="J1531" s="411" t="s">
        <v>4581</v>
      </c>
      <c r="K1531" s="58"/>
      <c r="L1531" s="99"/>
      <c r="M1531" s="70" t="s">
        <v>4557</v>
      </c>
      <c r="N1531" s="97" t="s">
        <v>270</v>
      </c>
      <c r="O1531" s="58"/>
      <c r="P1531" s="58" t="s">
        <v>44</v>
      </c>
      <c r="Q1531" s="58" t="s">
        <v>56</v>
      </c>
      <c r="R1531" s="58" t="s">
        <v>272</v>
      </c>
    </row>
    <row r="1532" spans="1:18" ht="69" customHeight="1">
      <c r="A1532" s="168"/>
      <c r="B1532" s="178">
        <v>4912</v>
      </c>
      <c r="C1532" s="178" t="s">
        <v>4277</v>
      </c>
      <c r="D1532" s="575" t="s">
        <v>948</v>
      </c>
      <c r="E1532" s="178" t="s">
        <v>266</v>
      </c>
      <c r="F1532" s="210" t="s">
        <v>4582</v>
      </c>
      <c r="G1532" s="58" t="s">
        <v>4574</v>
      </c>
      <c r="H1532" s="546">
        <v>224.87</v>
      </c>
      <c r="I1532" s="66">
        <v>44699</v>
      </c>
      <c r="J1532" s="411" t="s">
        <v>4583</v>
      </c>
      <c r="K1532" s="58"/>
      <c r="L1532" s="99"/>
      <c r="M1532" s="70" t="s">
        <v>4557</v>
      </c>
      <c r="N1532" s="97" t="s">
        <v>270</v>
      </c>
      <c r="O1532" s="58"/>
      <c r="P1532" s="58" t="s">
        <v>44</v>
      </c>
      <c r="Q1532" s="58" t="s">
        <v>56</v>
      </c>
      <c r="R1532" s="58" t="s">
        <v>272</v>
      </c>
    </row>
    <row r="1533" spans="1:18" ht="69" customHeight="1">
      <c r="A1533" s="168"/>
      <c r="B1533" s="178">
        <v>4736</v>
      </c>
      <c r="C1533" s="178" t="s">
        <v>4277</v>
      </c>
      <c r="D1533" s="575" t="s">
        <v>1503</v>
      </c>
      <c r="E1533" s="178" t="s">
        <v>331</v>
      </c>
      <c r="F1533" s="210" t="s">
        <v>4584</v>
      </c>
      <c r="G1533" s="58" t="s">
        <v>372</v>
      </c>
      <c r="H1533" s="546">
        <v>30502.1</v>
      </c>
      <c r="I1533" s="66">
        <v>44701</v>
      </c>
      <c r="J1533" s="411" t="s">
        <v>4585</v>
      </c>
      <c r="K1533" s="58"/>
      <c r="L1533" s="99"/>
      <c r="M1533" s="70" t="s">
        <v>4557</v>
      </c>
      <c r="N1533" s="97" t="s">
        <v>270</v>
      </c>
      <c r="O1533" s="58"/>
      <c r="P1533" s="58" t="s">
        <v>44</v>
      </c>
      <c r="Q1533" s="58" t="s">
        <v>56</v>
      </c>
      <c r="R1533" s="58" t="s">
        <v>272</v>
      </c>
    </row>
    <row r="1534" spans="1:18" ht="69" customHeight="1">
      <c r="A1534" s="168"/>
      <c r="B1534" s="178">
        <v>5141</v>
      </c>
      <c r="C1534" s="59" t="s">
        <v>3667</v>
      </c>
      <c r="D1534" s="575" t="s">
        <v>963</v>
      </c>
      <c r="E1534" s="178" t="s">
        <v>382</v>
      </c>
      <c r="F1534" s="210" t="s">
        <v>4586</v>
      </c>
      <c r="G1534" s="58" t="s">
        <v>384</v>
      </c>
      <c r="H1534" s="546">
        <v>27761.33</v>
      </c>
      <c r="I1534" s="66">
        <v>44739</v>
      </c>
      <c r="J1534" s="411" t="s">
        <v>4587</v>
      </c>
      <c r="K1534" s="58"/>
      <c r="L1534" s="99"/>
      <c r="M1534" s="70" t="s">
        <v>4588</v>
      </c>
      <c r="N1534" s="97" t="s">
        <v>387</v>
      </c>
      <c r="O1534" s="58" t="s">
        <v>150</v>
      </c>
      <c r="P1534" s="58" t="s">
        <v>51</v>
      </c>
      <c r="Q1534" s="58" t="s">
        <v>56</v>
      </c>
      <c r="R1534" s="58" t="s">
        <v>272</v>
      </c>
    </row>
    <row r="1535" spans="1:18" ht="69" customHeight="1">
      <c r="A1535" s="168"/>
      <c r="B1535" s="178">
        <v>5158</v>
      </c>
      <c r="C1535" s="59" t="s">
        <v>3667</v>
      </c>
      <c r="D1535" s="575" t="s">
        <v>1299</v>
      </c>
      <c r="E1535" s="178" t="s">
        <v>382</v>
      </c>
      <c r="F1535" s="210" t="s">
        <v>4589</v>
      </c>
      <c r="G1535" s="58" t="s">
        <v>384</v>
      </c>
      <c r="H1535" s="546">
        <v>39819.519999999997</v>
      </c>
      <c r="I1535" s="66">
        <v>44739</v>
      </c>
      <c r="J1535" s="411" t="s">
        <v>4590</v>
      </c>
      <c r="K1535" s="58"/>
      <c r="L1535" s="99"/>
      <c r="M1535" s="70" t="s">
        <v>4588</v>
      </c>
      <c r="N1535" s="97" t="s">
        <v>387</v>
      </c>
      <c r="O1535" s="58" t="s">
        <v>150</v>
      </c>
      <c r="P1535" s="58" t="s">
        <v>51</v>
      </c>
      <c r="Q1535" s="58" t="s">
        <v>56</v>
      </c>
      <c r="R1535" s="58" t="s">
        <v>272</v>
      </c>
    </row>
    <row r="1536" spans="1:18" ht="69" customHeight="1">
      <c r="A1536" s="168"/>
      <c r="B1536" s="178">
        <v>5357</v>
      </c>
      <c r="C1536" s="178" t="s">
        <v>4277</v>
      </c>
      <c r="D1536" s="575" t="s">
        <v>1539</v>
      </c>
      <c r="E1536" s="178" t="s">
        <v>409</v>
      </c>
      <c r="F1536" s="210" t="s">
        <v>4591</v>
      </c>
      <c r="G1536" s="58" t="s">
        <v>712</v>
      </c>
      <c r="H1536" s="546">
        <v>3661670.62</v>
      </c>
      <c r="I1536" s="66">
        <v>44757</v>
      </c>
      <c r="J1536" s="411" t="s">
        <v>4592</v>
      </c>
      <c r="K1536" s="58" t="s">
        <v>714</v>
      </c>
      <c r="L1536" s="99"/>
      <c r="M1536" s="70" t="s">
        <v>4593</v>
      </c>
      <c r="N1536" s="97" t="s">
        <v>716</v>
      </c>
      <c r="O1536" s="58" t="s">
        <v>1566</v>
      </c>
      <c r="P1536" s="58" t="s">
        <v>28</v>
      </c>
      <c r="Q1536" s="58" t="s">
        <v>56</v>
      </c>
      <c r="R1536" s="58" t="s">
        <v>272</v>
      </c>
    </row>
    <row r="1537" spans="1:18" ht="69" customHeight="1">
      <c r="A1537" s="168"/>
      <c r="B1537" s="171">
        <v>5373</v>
      </c>
      <c r="C1537" s="171" t="s">
        <v>4277</v>
      </c>
      <c r="D1537" s="593" t="s">
        <v>4594</v>
      </c>
      <c r="E1537" s="171" t="s">
        <v>409</v>
      </c>
      <c r="F1537" s="594" t="s">
        <v>4595</v>
      </c>
      <c r="G1537" s="100" t="s">
        <v>725</v>
      </c>
      <c r="H1537" s="534">
        <v>0</v>
      </c>
      <c r="I1537" s="96">
        <v>44760</v>
      </c>
      <c r="J1537" s="595" t="s">
        <v>4596</v>
      </c>
      <c r="K1537" s="100"/>
      <c r="L1537" s="99"/>
      <c r="M1537" s="70" t="s">
        <v>4593</v>
      </c>
      <c r="N1537" s="97" t="s">
        <v>716</v>
      </c>
      <c r="O1537" s="46" t="s">
        <v>1566</v>
      </c>
      <c r="P1537" s="100" t="s">
        <v>28</v>
      </c>
      <c r="Q1537" s="100" t="s">
        <v>56</v>
      </c>
      <c r="R1537" s="100" t="s">
        <v>272</v>
      </c>
    </row>
    <row r="1538" spans="1:18" ht="69" customHeight="1">
      <c r="A1538" s="168"/>
      <c r="B1538" s="178">
        <v>6251</v>
      </c>
      <c r="C1538" s="178" t="s">
        <v>4277</v>
      </c>
      <c r="D1538" s="575" t="s">
        <v>4597</v>
      </c>
      <c r="E1538" s="178" t="s">
        <v>266</v>
      </c>
      <c r="F1538" s="210" t="s">
        <v>4598</v>
      </c>
      <c r="G1538" s="58" t="s">
        <v>3677</v>
      </c>
      <c r="H1538" s="546">
        <v>40080</v>
      </c>
      <c r="I1538" s="66">
        <v>44792</v>
      </c>
      <c r="J1538" s="411" t="s">
        <v>4599</v>
      </c>
      <c r="K1538" s="58"/>
      <c r="L1538" s="99"/>
      <c r="M1538" s="70" t="s">
        <v>4557</v>
      </c>
      <c r="N1538" s="97" t="s">
        <v>270</v>
      </c>
      <c r="O1538" s="58"/>
      <c r="P1538" s="58" t="s">
        <v>44</v>
      </c>
      <c r="Q1538" s="58" t="s">
        <v>56</v>
      </c>
      <c r="R1538" s="58" t="s">
        <v>272</v>
      </c>
    </row>
    <row r="1539" spans="1:18" ht="69" customHeight="1">
      <c r="A1539" s="168"/>
      <c r="B1539" s="178">
        <v>6317</v>
      </c>
      <c r="C1539" s="59" t="s">
        <v>3667</v>
      </c>
      <c r="D1539" s="575" t="s">
        <v>4600</v>
      </c>
      <c r="E1539" s="178" t="s">
        <v>409</v>
      </c>
      <c r="F1539" s="210" t="s">
        <v>4601</v>
      </c>
      <c r="G1539" s="58" t="s">
        <v>738</v>
      </c>
      <c r="H1539" s="546">
        <v>55874.815499999997</v>
      </c>
      <c r="I1539" s="66">
        <v>44790</v>
      </c>
      <c r="J1539" s="411" t="s">
        <v>4602</v>
      </c>
      <c r="K1539" s="58">
        <v>194053.08</v>
      </c>
      <c r="L1539" s="99"/>
      <c r="M1539" s="70" t="s">
        <v>4603</v>
      </c>
      <c r="N1539" s="97" t="s">
        <v>741</v>
      </c>
      <c r="O1539" s="45" t="s">
        <v>154</v>
      </c>
      <c r="P1539" s="58" t="s">
        <v>59</v>
      </c>
      <c r="Q1539" s="58" t="s">
        <v>56</v>
      </c>
      <c r="R1539" s="58" t="s">
        <v>272</v>
      </c>
    </row>
    <row r="1540" spans="1:18" ht="69" customHeight="1">
      <c r="A1540" s="168"/>
      <c r="B1540" s="178">
        <v>7442</v>
      </c>
      <c r="C1540" s="59" t="s">
        <v>3667</v>
      </c>
      <c r="D1540" s="575" t="s">
        <v>1821</v>
      </c>
      <c r="E1540" s="178" t="s">
        <v>741</v>
      </c>
      <c r="F1540" s="210" t="s">
        <v>4604</v>
      </c>
      <c r="G1540" s="58" t="s">
        <v>4605</v>
      </c>
      <c r="H1540" s="546">
        <v>130374.57</v>
      </c>
      <c r="I1540" s="66">
        <v>44879</v>
      </c>
      <c r="J1540" s="411" t="s">
        <v>1606</v>
      </c>
      <c r="K1540" s="58"/>
      <c r="L1540" s="99"/>
      <c r="M1540" s="70" t="s">
        <v>4603</v>
      </c>
      <c r="N1540" s="97" t="s">
        <v>741</v>
      </c>
      <c r="O1540" s="45" t="s">
        <v>154</v>
      </c>
      <c r="P1540" s="58" t="s">
        <v>59</v>
      </c>
      <c r="Q1540" s="58" t="s">
        <v>56</v>
      </c>
      <c r="R1540" s="58" t="s">
        <v>272</v>
      </c>
    </row>
    <row r="1541" spans="1:18" ht="69" customHeight="1">
      <c r="A1541" s="168"/>
      <c r="B1541" s="178">
        <v>6511</v>
      </c>
      <c r="C1541" s="178" t="s">
        <v>4277</v>
      </c>
      <c r="D1541" s="575" t="s">
        <v>4606</v>
      </c>
      <c r="E1541" s="178" t="s">
        <v>266</v>
      </c>
      <c r="F1541" s="210" t="s">
        <v>4607</v>
      </c>
      <c r="G1541" s="58" t="s">
        <v>392</v>
      </c>
      <c r="H1541" s="546">
        <v>166.96</v>
      </c>
      <c r="I1541" s="66">
        <v>44813</v>
      </c>
      <c r="J1541" s="411" t="s">
        <v>4608</v>
      </c>
      <c r="K1541" s="58"/>
      <c r="L1541" s="99"/>
      <c r="M1541" s="70" t="s">
        <v>4557</v>
      </c>
      <c r="N1541" s="97" t="s">
        <v>270</v>
      </c>
      <c r="O1541" s="58"/>
      <c r="P1541" s="58" t="s">
        <v>44</v>
      </c>
      <c r="Q1541" s="58" t="s">
        <v>56</v>
      </c>
      <c r="R1541" s="58" t="s">
        <v>272</v>
      </c>
    </row>
    <row r="1542" spans="1:18" ht="69" customHeight="1">
      <c r="A1542" s="168"/>
      <c r="B1542" s="178">
        <v>6512</v>
      </c>
      <c r="C1542" s="178" t="s">
        <v>4277</v>
      </c>
      <c r="D1542" s="575" t="s">
        <v>3354</v>
      </c>
      <c r="E1542" s="178" t="s">
        <v>266</v>
      </c>
      <c r="F1542" s="210" t="s">
        <v>4609</v>
      </c>
      <c r="G1542" s="58" t="s">
        <v>392</v>
      </c>
      <c r="H1542" s="546">
        <v>166.96</v>
      </c>
      <c r="I1542" s="66">
        <v>44813</v>
      </c>
      <c r="J1542" s="411" t="s">
        <v>4608</v>
      </c>
      <c r="K1542" s="58"/>
      <c r="L1542" s="99"/>
      <c r="M1542" s="70" t="s">
        <v>4557</v>
      </c>
      <c r="N1542" s="97" t="s">
        <v>270</v>
      </c>
      <c r="O1542" s="58"/>
      <c r="P1542" s="58" t="s">
        <v>44</v>
      </c>
      <c r="Q1542" s="58" t="s">
        <v>56</v>
      </c>
      <c r="R1542" s="58" t="s">
        <v>272</v>
      </c>
    </row>
    <row r="1543" spans="1:18" ht="69" customHeight="1">
      <c r="A1543" s="168"/>
      <c r="B1543" s="178">
        <v>6511</v>
      </c>
      <c r="C1543" s="178" t="s">
        <v>4277</v>
      </c>
      <c r="D1543" s="575" t="s">
        <v>4606</v>
      </c>
      <c r="E1543" s="178" t="s">
        <v>266</v>
      </c>
      <c r="F1543" s="210" t="s">
        <v>4607</v>
      </c>
      <c r="G1543" s="58" t="s">
        <v>392</v>
      </c>
      <c r="H1543" s="546">
        <v>166.96</v>
      </c>
      <c r="I1543" s="66">
        <v>44813</v>
      </c>
      <c r="J1543" s="411" t="s">
        <v>4608</v>
      </c>
      <c r="K1543" s="58"/>
      <c r="L1543" s="99"/>
      <c r="M1543" s="70" t="s">
        <v>4557</v>
      </c>
      <c r="N1543" s="97" t="s">
        <v>270</v>
      </c>
      <c r="O1543" s="58"/>
      <c r="P1543" s="58" t="s">
        <v>44</v>
      </c>
      <c r="Q1543" s="58" t="s">
        <v>56</v>
      </c>
      <c r="R1543" s="58" t="s">
        <v>272</v>
      </c>
    </row>
    <row r="1544" spans="1:18" ht="69" customHeight="1">
      <c r="A1544" s="168"/>
      <c r="B1544" s="178">
        <v>6512</v>
      </c>
      <c r="C1544" s="178" t="s">
        <v>4277</v>
      </c>
      <c r="D1544" s="575" t="s">
        <v>3354</v>
      </c>
      <c r="E1544" s="178" t="s">
        <v>266</v>
      </c>
      <c r="F1544" s="210" t="s">
        <v>4609</v>
      </c>
      <c r="G1544" s="58" t="s">
        <v>392</v>
      </c>
      <c r="H1544" s="546">
        <v>166.96</v>
      </c>
      <c r="I1544" s="66">
        <v>44813</v>
      </c>
      <c r="J1544" s="411" t="s">
        <v>4608</v>
      </c>
      <c r="K1544" s="58"/>
      <c r="L1544" s="99"/>
      <c r="M1544" s="70" t="s">
        <v>4557</v>
      </c>
      <c r="N1544" s="97" t="s">
        <v>270</v>
      </c>
      <c r="O1544" s="58"/>
      <c r="P1544" s="58" t="s">
        <v>44</v>
      </c>
      <c r="Q1544" s="58" t="s">
        <v>56</v>
      </c>
      <c r="R1544" s="58" t="s">
        <v>272</v>
      </c>
    </row>
    <row r="1545" spans="1:18" ht="69" customHeight="1">
      <c r="A1545" s="168"/>
      <c r="B1545" s="178">
        <v>6511</v>
      </c>
      <c r="C1545" s="178" t="s">
        <v>4277</v>
      </c>
      <c r="D1545" s="575" t="s">
        <v>4606</v>
      </c>
      <c r="E1545" s="178" t="s">
        <v>266</v>
      </c>
      <c r="F1545" s="210" t="s">
        <v>4607</v>
      </c>
      <c r="G1545" s="58" t="s">
        <v>392</v>
      </c>
      <c r="H1545" s="546">
        <v>166.96</v>
      </c>
      <c r="I1545" s="66">
        <v>44813</v>
      </c>
      <c r="J1545" s="411" t="s">
        <v>4608</v>
      </c>
      <c r="K1545" s="58"/>
      <c r="L1545" s="99"/>
      <c r="M1545" s="70" t="s">
        <v>4557</v>
      </c>
      <c r="N1545" s="97" t="s">
        <v>270</v>
      </c>
      <c r="O1545" s="58"/>
      <c r="P1545" s="58" t="s">
        <v>44</v>
      </c>
      <c r="Q1545" s="58" t="s">
        <v>56</v>
      </c>
      <c r="R1545" s="58" t="s">
        <v>272</v>
      </c>
    </row>
    <row r="1546" spans="1:18" ht="69" customHeight="1">
      <c r="A1546" s="168"/>
      <c r="B1546" s="178">
        <v>6512</v>
      </c>
      <c r="C1546" s="178" t="s">
        <v>4277</v>
      </c>
      <c r="D1546" s="575" t="s">
        <v>3354</v>
      </c>
      <c r="E1546" s="178" t="s">
        <v>266</v>
      </c>
      <c r="F1546" s="210" t="s">
        <v>4609</v>
      </c>
      <c r="G1546" s="58" t="s">
        <v>392</v>
      </c>
      <c r="H1546" s="546">
        <v>166.96</v>
      </c>
      <c r="I1546" s="66">
        <v>44813</v>
      </c>
      <c r="J1546" s="411" t="s">
        <v>4608</v>
      </c>
      <c r="K1546" s="58"/>
      <c r="L1546" s="99"/>
      <c r="M1546" s="70" t="s">
        <v>4557</v>
      </c>
      <c r="N1546" s="97" t="s">
        <v>270</v>
      </c>
      <c r="O1546" s="58"/>
      <c r="P1546" s="58" t="s">
        <v>44</v>
      </c>
      <c r="Q1546" s="58" t="s">
        <v>56</v>
      </c>
      <c r="R1546" s="58" t="s">
        <v>272</v>
      </c>
    </row>
    <row r="1547" spans="1:18" ht="69" customHeight="1">
      <c r="A1547" s="168"/>
      <c r="B1547" s="178">
        <v>6599</v>
      </c>
      <c r="C1547" s="59" t="s">
        <v>3667</v>
      </c>
      <c r="D1547" s="575" t="s">
        <v>4610</v>
      </c>
      <c r="E1547" s="178" t="s">
        <v>409</v>
      </c>
      <c r="F1547" s="210" t="s">
        <v>4611</v>
      </c>
      <c r="G1547" s="58" t="s">
        <v>738</v>
      </c>
      <c r="H1547" s="546">
        <v>55874.82</v>
      </c>
      <c r="I1547" s="66">
        <v>44813</v>
      </c>
      <c r="J1547" s="411" t="s">
        <v>4612</v>
      </c>
      <c r="K1547" s="58">
        <v>111749.63</v>
      </c>
      <c r="L1547" s="99"/>
      <c r="M1547" s="70" t="s">
        <v>4603</v>
      </c>
      <c r="N1547" s="97" t="s">
        <v>741</v>
      </c>
      <c r="O1547" s="45" t="s">
        <v>154</v>
      </c>
      <c r="P1547" s="58" t="s">
        <v>59</v>
      </c>
      <c r="Q1547" s="58" t="s">
        <v>56</v>
      </c>
      <c r="R1547" s="58" t="s">
        <v>272</v>
      </c>
    </row>
    <row r="1548" spans="1:18" ht="69" customHeight="1">
      <c r="A1548" s="168"/>
      <c r="B1548" s="178">
        <v>6485</v>
      </c>
      <c r="C1548" s="59" t="s">
        <v>3667</v>
      </c>
      <c r="D1548" s="575" t="s">
        <v>4613</v>
      </c>
      <c r="E1548" s="178" t="s">
        <v>755</v>
      </c>
      <c r="F1548" s="210" t="s">
        <v>4614</v>
      </c>
      <c r="G1548" s="58" t="s">
        <v>4615</v>
      </c>
      <c r="H1548" s="546">
        <v>439400.47</v>
      </c>
      <c r="I1548" s="66">
        <v>44802</v>
      </c>
      <c r="J1548" s="411" t="s">
        <v>4616</v>
      </c>
      <c r="K1548" s="58"/>
      <c r="L1548" s="99"/>
      <c r="M1548" s="70" t="s">
        <v>4593</v>
      </c>
      <c r="N1548" s="97" t="s">
        <v>716</v>
      </c>
      <c r="O1548" s="58" t="s">
        <v>1566</v>
      </c>
      <c r="P1548" s="58" t="s">
        <v>28</v>
      </c>
      <c r="Q1548" s="58" t="s">
        <v>56</v>
      </c>
      <c r="R1548" s="58" t="s">
        <v>272</v>
      </c>
    </row>
    <row r="1549" spans="1:18" ht="69" customHeight="1">
      <c r="A1549" s="168"/>
      <c r="B1549" s="178">
        <v>6511</v>
      </c>
      <c r="C1549" s="178" t="s">
        <v>4277</v>
      </c>
      <c r="D1549" s="575" t="s">
        <v>4606</v>
      </c>
      <c r="E1549" s="178" t="s">
        <v>266</v>
      </c>
      <c r="F1549" s="210" t="s">
        <v>4607</v>
      </c>
      <c r="G1549" s="58" t="s">
        <v>392</v>
      </c>
      <c r="H1549" s="546">
        <v>166.96</v>
      </c>
      <c r="I1549" s="66">
        <v>44813</v>
      </c>
      <c r="J1549" s="411" t="s">
        <v>4608</v>
      </c>
      <c r="K1549" s="58"/>
      <c r="L1549" s="99"/>
      <c r="M1549" s="70" t="s">
        <v>4557</v>
      </c>
      <c r="N1549" s="97" t="s">
        <v>270</v>
      </c>
      <c r="O1549" s="58"/>
      <c r="P1549" s="58" t="s">
        <v>44</v>
      </c>
      <c r="Q1549" s="58" t="s">
        <v>56</v>
      </c>
      <c r="R1549" s="58" t="s">
        <v>272</v>
      </c>
    </row>
    <row r="1550" spans="1:18" ht="69" customHeight="1">
      <c r="A1550" s="168"/>
      <c r="B1550" s="178">
        <v>6512</v>
      </c>
      <c r="C1550" s="178" t="s">
        <v>4277</v>
      </c>
      <c r="D1550" s="575" t="s">
        <v>3354</v>
      </c>
      <c r="E1550" s="178" t="s">
        <v>266</v>
      </c>
      <c r="F1550" s="210" t="s">
        <v>4609</v>
      </c>
      <c r="G1550" s="58" t="s">
        <v>392</v>
      </c>
      <c r="H1550" s="546">
        <v>166.96</v>
      </c>
      <c r="I1550" s="66">
        <v>44813</v>
      </c>
      <c r="J1550" s="411" t="s">
        <v>4608</v>
      </c>
      <c r="K1550" s="58"/>
      <c r="L1550" s="99"/>
      <c r="M1550" s="70" t="s">
        <v>4557</v>
      </c>
      <c r="N1550" s="97" t="s">
        <v>270</v>
      </c>
      <c r="O1550" s="58"/>
      <c r="P1550" s="58" t="s">
        <v>44</v>
      </c>
      <c r="Q1550" s="58" t="s">
        <v>56</v>
      </c>
      <c r="R1550" s="58" t="s">
        <v>272</v>
      </c>
    </row>
    <row r="1551" spans="1:18" ht="69" customHeight="1">
      <c r="A1551" s="168"/>
      <c r="B1551" s="178">
        <v>6251</v>
      </c>
      <c r="C1551" s="178" t="s">
        <v>4277</v>
      </c>
      <c r="D1551" s="575" t="s">
        <v>4597</v>
      </c>
      <c r="E1551" s="178" t="s">
        <v>266</v>
      </c>
      <c r="F1551" s="210" t="s">
        <v>4598</v>
      </c>
      <c r="G1551" s="58" t="s">
        <v>3677</v>
      </c>
      <c r="H1551" s="546">
        <v>40080</v>
      </c>
      <c r="I1551" s="66">
        <v>44792</v>
      </c>
      <c r="J1551" s="411" t="s">
        <v>4599</v>
      </c>
      <c r="K1551" s="58"/>
      <c r="L1551" s="99"/>
      <c r="M1551" s="70" t="s">
        <v>4557</v>
      </c>
      <c r="N1551" s="97" t="s">
        <v>270</v>
      </c>
      <c r="O1551" s="58"/>
      <c r="P1551" s="58" t="s">
        <v>44</v>
      </c>
      <c r="Q1551" s="58" t="s">
        <v>56</v>
      </c>
      <c r="R1551" s="58" t="s">
        <v>272</v>
      </c>
    </row>
    <row r="1552" spans="1:18" ht="69" customHeight="1">
      <c r="A1552" s="168"/>
      <c r="B1552" s="178">
        <v>6558</v>
      </c>
      <c r="C1552" s="178" t="s">
        <v>4277</v>
      </c>
      <c r="D1552" s="575" t="s">
        <v>4617</v>
      </c>
      <c r="E1552" s="178" t="s">
        <v>1367</v>
      </c>
      <c r="F1552" s="210" t="s">
        <v>4618</v>
      </c>
      <c r="G1552" s="58" t="s">
        <v>4619</v>
      </c>
      <c r="H1552" s="546">
        <v>4000</v>
      </c>
      <c r="I1552" s="66">
        <v>44816</v>
      </c>
      <c r="J1552" s="411" t="s">
        <v>4620</v>
      </c>
      <c r="K1552" s="58"/>
      <c r="L1552" s="99"/>
      <c r="M1552" s="70" t="s">
        <v>4557</v>
      </c>
      <c r="N1552" s="97" t="s">
        <v>270</v>
      </c>
      <c r="O1552" s="58"/>
      <c r="P1552" s="58" t="s">
        <v>44</v>
      </c>
      <c r="Q1552" s="58" t="s">
        <v>56</v>
      </c>
      <c r="R1552" s="58" t="s">
        <v>272</v>
      </c>
    </row>
    <row r="1553" spans="1:18" ht="69" customHeight="1">
      <c r="A1553" s="168"/>
      <c r="B1553" s="178">
        <v>8655</v>
      </c>
      <c r="C1553" s="178" t="s">
        <v>4277</v>
      </c>
      <c r="D1553" s="575" t="s">
        <v>3632</v>
      </c>
      <c r="E1553" s="178" t="s">
        <v>809</v>
      </c>
      <c r="F1553" s="210" t="s">
        <v>4621</v>
      </c>
      <c r="G1553" s="58" t="s">
        <v>823</v>
      </c>
      <c r="H1553" s="546">
        <v>17000.2</v>
      </c>
      <c r="I1553" s="66">
        <v>44949</v>
      </c>
      <c r="J1553" s="411" t="s">
        <v>824</v>
      </c>
      <c r="K1553" s="58"/>
      <c r="L1553" s="99"/>
      <c r="M1553" s="70" t="s">
        <v>4622</v>
      </c>
      <c r="N1553" s="97" t="s">
        <v>814</v>
      </c>
      <c r="O1553" s="58"/>
      <c r="P1553" s="58" t="s">
        <v>36</v>
      </c>
      <c r="Q1553" s="58" t="s">
        <v>56</v>
      </c>
      <c r="R1553" s="58" t="s">
        <v>272</v>
      </c>
    </row>
    <row r="1554" spans="1:18" ht="69" customHeight="1">
      <c r="A1554" s="168"/>
      <c r="B1554" s="178">
        <v>7051</v>
      </c>
      <c r="C1554" s="178" t="s">
        <v>4277</v>
      </c>
      <c r="D1554" s="575" t="s">
        <v>599</v>
      </c>
      <c r="E1554" s="178" t="s">
        <v>755</v>
      </c>
      <c r="F1554" s="210" t="s">
        <v>4623</v>
      </c>
      <c r="G1554" s="58" t="s">
        <v>772</v>
      </c>
      <c r="H1554" s="546">
        <v>1434055.13</v>
      </c>
      <c r="I1554" s="66">
        <v>44853</v>
      </c>
      <c r="J1554" s="411" t="s">
        <v>4624</v>
      </c>
      <c r="K1554" s="58"/>
      <c r="L1554" s="99"/>
      <c r="M1554" s="70" t="s">
        <v>4593</v>
      </c>
      <c r="N1554" s="97" t="s">
        <v>716</v>
      </c>
      <c r="O1554" s="58" t="s">
        <v>1566</v>
      </c>
      <c r="P1554" s="58" t="s">
        <v>28</v>
      </c>
      <c r="Q1554" s="58" t="s">
        <v>56</v>
      </c>
      <c r="R1554" s="58" t="s">
        <v>272</v>
      </c>
    </row>
    <row r="1555" spans="1:18" ht="69" customHeight="1">
      <c r="A1555" s="168"/>
      <c r="B1555" s="178">
        <v>7052</v>
      </c>
      <c r="C1555" s="178" t="s">
        <v>4277</v>
      </c>
      <c r="D1555" s="575" t="s">
        <v>1254</v>
      </c>
      <c r="E1555" s="178" t="s">
        <v>755</v>
      </c>
      <c r="F1555" s="210" t="s">
        <v>4625</v>
      </c>
      <c r="G1555" s="58" t="s">
        <v>772</v>
      </c>
      <c r="H1555" s="546">
        <v>30613.119999999999</v>
      </c>
      <c r="I1555" s="66">
        <v>44874</v>
      </c>
      <c r="J1555" s="411" t="s">
        <v>4624</v>
      </c>
      <c r="K1555" s="58"/>
      <c r="L1555" s="99"/>
      <c r="M1555" s="70" t="s">
        <v>4593</v>
      </c>
      <c r="N1555" s="97" t="s">
        <v>716</v>
      </c>
      <c r="O1555" s="58" t="s">
        <v>1566</v>
      </c>
      <c r="P1555" s="58" t="s">
        <v>28</v>
      </c>
      <c r="Q1555" s="58" t="s">
        <v>56</v>
      </c>
      <c r="R1555" s="58" t="s">
        <v>272</v>
      </c>
    </row>
    <row r="1556" spans="1:18" ht="69" customHeight="1">
      <c r="A1556" s="168"/>
      <c r="B1556" s="178">
        <v>7366</v>
      </c>
      <c r="C1556" s="178" t="s">
        <v>4277</v>
      </c>
      <c r="D1556" s="575" t="s">
        <v>1083</v>
      </c>
      <c r="E1556" s="178" t="s">
        <v>755</v>
      </c>
      <c r="F1556" s="210" t="s">
        <v>4626</v>
      </c>
      <c r="G1556" s="58" t="s">
        <v>1631</v>
      </c>
      <c r="H1556" s="546">
        <v>602196.53</v>
      </c>
      <c r="I1556" s="66">
        <v>44874</v>
      </c>
      <c r="J1556" s="411" t="s">
        <v>4627</v>
      </c>
      <c r="K1556" s="58"/>
      <c r="L1556" s="99"/>
      <c r="M1556" s="70" t="s">
        <v>4593</v>
      </c>
      <c r="N1556" s="97" t="s">
        <v>716</v>
      </c>
      <c r="O1556" s="58" t="s">
        <v>1566</v>
      </c>
      <c r="P1556" s="58" t="s">
        <v>28</v>
      </c>
      <c r="Q1556" s="58" t="s">
        <v>56</v>
      </c>
      <c r="R1556" s="58" t="s">
        <v>272</v>
      </c>
    </row>
    <row r="1557" spans="1:18" ht="69" customHeight="1">
      <c r="A1557" s="168"/>
      <c r="B1557" s="178">
        <v>6287</v>
      </c>
      <c r="C1557" s="178" t="s">
        <v>4277</v>
      </c>
      <c r="D1557" s="575" t="s">
        <v>1343</v>
      </c>
      <c r="E1557" s="178" t="s">
        <v>266</v>
      </c>
      <c r="F1557" s="210" t="s">
        <v>4628</v>
      </c>
      <c r="G1557" s="58" t="s">
        <v>790</v>
      </c>
      <c r="H1557" s="546">
        <v>2281.25</v>
      </c>
      <c r="I1557" s="66">
        <v>44834</v>
      </c>
      <c r="J1557" s="411" t="s">
        <v>4629</v>
      </c>
      <c r="K1557" s="58"/>
      <c r="L1557" s="99"/>
      <c r="M1557" s="70" t="s">
        <v>4630</v>
      </c>
      <c r="N1557" s="97" t="s">
        <v>683</v>
      </c>
      <c r="O1557" s="58" t="s">
        <v>684</v>
      </c>
      <c r="P1557" s="58" t="s">
        <v>46</v>
      </c>
      <c r="Q1557" s="58" t="s">
        <v>56</v>
      </c>
      <c r="R1557" s="58" t="s">
        <v>272</v>
      </c>
    </row>
    <row r="1558" spans="1:18" ht="69" customHeight="1">
      <c r="A1558" s="168"/>
      <c r="B1558" s="178">
        <v>6787</v>
      </c>
      <c r="C1558" s="59" t="s">
        <v>3667</v>
      </c>
      <c r="D1558" s="575" t="s">
        <v>4631</v>
      </c>
      <c r="E1558" s="178" t="s">
        <v>755</v>
      </c>
      <c r="F1558" s="210" t="s">
        <v>4632</v>
      </c>
      <c r="G1558" s="58" t="s">
        <v>1596</v>
      </c>
      <c r="H1558" s="546">
        <v>1464668.25</v>
      </c>
      <c r="I1558" s="66">
        <v>44832</v>
      </c>
      <c r="J1558" s="411" t="s">
        <v>4633</v>
      </c>
      <c r="K1558" s="58"/>
      <c r="L1558" s="99"/>
      <c r="M1558" s="70" t="s">
        <v>4593</v>
      </c>
      <c r="N1558" s="97" t="s">
        <v>716</v>
      </c>
      <c r="O1558" s="58" t="s">
        <v>1566</v>
      </c>
      <c r="P1558" s="58" t="s">
        <v>28</v>
      </c>
      <c r="Q1558" s="58" t="s">
        <v>56</v>
      </c>
      <c r="R1558" s="58" t="s">
        <v>272</v>
      </c>
    </row>
    <row r="1559" spans="1:18" ht="69" customHeight="1">
      <c r="A1559" s="168"/>
      <c r="B1559" s="178">
        <v>5373</v>
      </c>
      <c r="C1559" s="178" t="s">
        <v>4277</v>
      </c>
      <c r="D1559" s="575" t="s">
        <v>4634</v>
      </c>
      <c r="E1559" s="178" t="s">
        <v>755</v>
      </c>
      <c r="F1559" s="210" t="s">
        <v>4635</v>
      </c>
      <c r="G1559" s="58" t="s">
        <v>725</v>
      </c>
      <c r="H1559" s="546">
        <v>1025267.77</v>
      </c>
      <c r="I1559" s="66">
        <v>44781</v>
      </c>
      <c r="J1559" s="411" t="s">
        <v>4596</v>
      </c>
      <c r="K1559" s="58"/>
      <c r="L1559" s="99"/>
      <c r="M1559" s="70" t="s">
        <v>4593</v>
      </c>
      <c r="N1559" s="97" t="s">
        <v>716</v>
      </c>
      <c r="O1559" s="58" t="s">
        <v>1566</v>
      </c>
      <c r="P1559" s="58" t="s">
        <v>28</v>
      </c>
      <c r="Q1559" s="58" t="s">
        <v>56</v>
      </c>
      <c r="R1559" s="58" t="s">
        <v>272</v>
      </c>
    </row>
    <row r="1560" spans="1:18" ht="69" customHeight="1">
      <c r="A1560" s="168"/>
      <c r="B1560" s="178">
        <v>6943</v>
      </c>
      <c r="C1560" s="59" t="s">
        <v>3667</v>
      </c>
      <c r="D1560" s="575" t="s">
        <v>4636</v>
      </c>
      <c r="E1560" s="178" t="s">
        <v>409</v>
      </c>
      <c r="F1560" s="210" t="s">
        <v>4637</v>
      </c>
      <c r="G1560" s="58" t="s">
        <v>4638</v>
      </c>
      <c r="H1560" s="546">
        <v>130374.57</v>
      </c>
      <c r="I1560" s="66">
        <v>44844</v>
      </c>
      <c r="J1560" s="411" t="s">
        <v>3367</v>
      </c>
      <c r="K1560" s="58"/>
      <c r="L1560" s="99"/>
      <c r="M1560" s="70" t="s">
        <v>4603</v>
      </c>
      <c r="N1560" s="97" t="s">
        <v>741</v>
      </c>
      <c r="O1560" s="45" t="s">
        <v>154</v>
      </c>
      <c r="P1560" s="58" t="s">
        <v>59</v>
      </c>
      <c r="Q1560" s="58" t="s">
        <v>56</v>
      </c>
      <c r="R1560" s="58" t="s">
        <v>272</v>
      </c>
    </row>
    <row r="1561" spans="1:18" ht="69" customHeight="1">
      <c r="A1561" s="168"/>
      <c r="B1561" s="178">
        <v>6949</v>
      </c>
      <c r="C1561" s="178" t="s">
        <v>4277</v>
      </c>
      <c r="D1561" s="575" t="s">
        <v>4639</v>
      </c>
      <c r="E1561" s="178" t="s">
        <v>266</v>
      </c>
      <c r="F1561" s="210" t="s">
        <v>4640</v>
      </c>
      <c r="G1561" s="58" t="s">
        <v>392</v>
      </c>
      <c r="H1561" s="546">
        <v>2099.25</v>
      </c>
      <c r="I1561" s="66">
        <v>44852</v>
      </c>
      <c r="J1561" s="411" t="s">
        <v>4641</v>
      </c>
      <c r="K1561" s="58"/>
      <c r="L1561" s="99"/>
      <c r="M1561" s="70" t="s">
        <v>4557</v>
      </c>
      <c r="N1561" s="97" t="s">
        <v>270</v>
      </c>
      <c r="O1561" s="58"/>
      <c r="P1561" s="58" t="s">
        <v>44</v>
      </c>
      <c r="Q1561" s="58" t="s">
        <v>56</v>
      </c>
      <c r="R1561" s="58" t="s">
        <v>272</v>
      </c>
    </row>
    <row r="1562" spans="1:18" ht="69" customHeight="1">
      <c r="A1562" s="168"/>
      <c r="B1562" s="178">
        <v>7419</v>
      </c>
      <c r="C1562" s="178" t="s">
        <v>4277</v>
      </c>
      <c r="D1562" s="575" t="s">
        <v>815</v>
      </c>
      <c r="E1562" s="178" t="s">
        <v>809</v>
      </c>
      <c r="F1562" s="210" t="s">
        <v>4642</v>
      </c>
      <c r="G1562" s="58" t="s">
        <v>811</v>
      </c>
      <c r="H1562" s="546">
        <v>12999.7</v>
      </c>
      <c r="I1562" s="66">
        <v>44879</v>
      </c>
      <c r="J1562" s="411" t="s">
        <v>812</v>
      </c>
      <c r="K1562" s="58"/>
      <c r="L1562" s="99"/>
      <c r="M1562" s="70" t="s">
        <v>4622</v>
      </c>
      <c r="N1562" s="97" t="s">
        <v>814</v>
      </c>
      <c r="O1562" s="58"/>
      <c r="P1562" s="58" t="s">
        <v>36</v>
      </c>
      <c r="Q1562" s="58" t="s">
        <v>56</v>
      </c>
      <c r="R1562" s="58" t="s">
        <v>272</v>
      </c>
    </row>
    <row r="1563" spans="1:18" ht="69" customHeight="1">
      <c r="A1563" s="168"/>
      <c r="B1563" s="178">
        <v>7655</v>
      </c>
      <c r="C1563" s="178" t="s">
        <v>4277</v>
      </c>
      <c r="D1563" s="575" t="s">
        <v>4643</v>
      </c>
      <c r="E1563" s="178" t="s">
        <v>266</v>
      </c>
      <c r="F1563" s="210" t="s">
        <v>4644</v>
      </c>
      <c r="G1563" s="58" t="s">
        <v>4645</v>
      </c>
      <c r="H1563" s="546">
        <v>7000</v>
      </c>
      <c r="I1563" s="66">
        <v>44904</v>
      </c>
      <c r="J1563" s="411" t="s">
        <v>1155</v>
      </c>
      <c r="K1563" s="58"/>
      <c r="L1563" s="99"/>
      <c r="M1563" s="70" t="s">
        <v>4630</v>
      </c>
      <c r="N1563" s="97" t="s">
        <v>683</v>
      </c>
      <c r="O1563" s="58" t="s">
        <v>684</v>
      </c>
      <c r="P1563" s="58" t="s">
        <v>46</v>
      </c>
      <c r="Q1563" s="58" t="s">
        <v>56</v>
      </c>
      <c r="R1563" s="58" t="s">
        <v>272</v>
      </c>
    </row>
    <row r="1564" spans="1:18" ht="69" customHeight="1">
      <c r="A1564" s="168"/>
      <c r="B1564" s="178">
        <v>7770</v>
      </c>
      <c r="C1564" s="178" t="s">
        <v>4277</v>
      </c>
      <c r="D1564" s="575" t="s">
        <v>2836</v>
      </c>
      <c r="E1564" s="178" t="s">
        <v>809</v>
      </c>
      <c r="F1564" s="210" t="s">
        <v>4646</v>
      </c>
      <c r="G1564" s="58" t="s">
        <v>811</v>
      </c>
      <c r="H1564" s="546">
        <v>15000.3</v>
      </c>
      <c r="I1564" s="66">
        <v>44909</v>
      </c>
      <c r="J1564" s="411" t="s">
        <v>817</v>
      </c>
      <c r="K1564" s="58"/>
      <c r="L1564" s="99"/>
      <c r="M1564" s="70" t="s">
        <v>4622</v>
      </c>
      <c r="N1564" s="97" t="s">
        <v>814</v>
      </c>
      <c r="O1564" s="58"/>
      <c r="P1564" s="58" t="s">
        <v>36</v>
      </c>
      <c r="Q1564" s="58" t="s">
        <v>56</v>
      </c>
      <c r="R1564" s="58" t="s">
        <v>272</v>
      </c>
    </row>
    <row r="1565" spans="1:18" ht="69" customHeight="1">
      <c r="A1565" s="168"/>
      <c r="B1565" s="178">
        <v>8103</v>
      </c>
      <c r="C1565" s="178" t="s">
        <v>4277</v>
      </c>
      <c r="D1565" s="575" t="s">
        <v>4647</v>
      </c>
      <c r="E1565" s="178" t="s">
        <v>266</v>
      </c>
      <c r="F1565" s="210" t="s">
        <v>4648</v>
      </c>
      <c r="G1565" s="58" t="s">
        <v>453</v>
      </c>
      <c r="H1565" s="546">
        <v>1000</v>
      </c>
      <c r="I1565" s="66">
        <v>44911</v>
      </c>
      <c r="J1565" s="411" t="s">
        <v>4649</v>
      </c>
      <c r="K1565" s="58"/>
      <c r="L1565" s="99"/>
      <c r="M1565" s="70" t="s">
        <v>4557</v>
      </c>
      <c r="N1565" s="97" t="s">
        <v>270</v>
      </c>
      <c r="O1565" s="58"/>
      <c r="P1565" s="58" t="s">
        <v>44</v>
      </c>
      <c r="Q1565" s="58" t="s">
        <v>56</v>
      </c>
      <c r="R1565" s="58" t="s">
        <v>272</v>
      </c>
    </row>
    <row r="1566" spans="1:18" ht="69" customHeight="1">
      <c r="A1566" s="168"/>
      <c r="B1566" s="178">
        <v>8707</v>
      </c>
      <c r="C1566" s="178" t="s">
        <v>4277</v>
      </c>
      <c r="D1566" s="575" t="s">
        <v>4650</v>
      </c>
      <c r="E1566" s="178" t="s">
        <v>4651</v>
      </c>
      <c r="F1566" s="210" t="s">
        <v>4652</v>
      </c>
      <c r="G1566" s="58" t="s">
        <v>4653</v>
      </c>
      <c r="H1566" s="546">
        <v>288713.12</v>
      </c>
      <c r="I1566" s="66">
        <v>44951</v>
      </c>
      <c r="J1566" s="411" t="s">
        <v>4654</v>
      </c>
      <c r="K1566" s="58"/>
      <c r="L1566" s="99"/>
      <c r="M1566" s="70" t="s">
        <v>4655</v>
      </c>
      <c r="N1566" s="97" t="s">
        <v>356</v>
      </c>
      <c r="O1566" s="58" t="s">
        <v>141</v>
      </c>
      <c r="P1566" s="58" t="s">
        <v>19</v>
      </c>
      <c r="Q1566" s="58" t="s">
        <v>56</v>
      </c>
      <c r="R1566" s="58" t="s">
        <v>265</v>
      </c>
    </row>
    <row r="1567" spans="1:18" ht="69" customHeight="1">
      <c r="A1567" s="168"/>
      <c r="B1567" s="178">
        <v>8772</v>
      </c>
      <c r="C1567" s="178" t="s">
        <v>4277</v>
      </c>
      <c r="D1567" s="575" t="s">
        <v>4656</v>
      </c>
      <c r="E1567" s="178" t="s">
        <v>4651</v>
      </c>
      <c r="F1567" s="210" t="s">
        <v>4657</v>
      </c>
      <c r="G1567" s="58" t="s">
        <v>2153</v>
      </c>
      <c r="H1567" s="546">
        <v>118246.74</v>
      </c>
      <c r="I1567" s="66">
        <v>44973</v>
      </c>
      <c r="J1567" s="411" t="s">
        <v>4658</v>
      </c>
      <c r="K1567" s="58"/>
      <c r="L1567" s="99"/>
      <c r="M1567" s="70" t="s">
        <v>4655</v>
      </c>
      <c r="N1567" s="97" t="s">
        <v>356</v>
      </c>
      <c r="O1567" s="58" t="s">
        <v>141</v>
      </c>
      <c r="P1567" s="58" t="s">
        <v>19</v>
      </c>
      <c r="Q1567" s="58" t="s">
        <v>56</v>
      </c>
      <c r="R1567" s="58" t="s">
        <v>265</v>
      </c>
    </row>
    <row r="1568" spans="1:18" ht="69" customHeight="1">
      <c r="A1568" s="168"/>
      <c r="B1568" s="178">
        <v>8816</v>
      </c>
      <c r="C1568" s="178" t="s">
        <v>4277</v>
      </c>
      <c r="D1568" s="575" t="s">
        <v>4659</v>
      </c>
      <c r="E1568" s="178" t="s">
        <v>4651</v>
      </c>
      <c r="F1568" s="210" t="s">
        <v>4660</v>
      </c>
      <c r="G1568" s="58" t="s">
        <v>2153</v>
      </c>
      <c r="H1568" s="546">
        <v>139072</v>
      </c>
      <c r="I1568" s="66">
        <v>44956</v>
      </c>
      <c r="J1568" s="411" t="s">
        <v>4661</v>
      </c>
      <c r="K1568" s="58"/>
      <c r="L1568" s="99"/>
      <c r="M1568" s="70" t="s">
        <v>4655</v>
      </c>
      <c r="N1568" s="97" t="s">
        <v>356</v>
      </c>
      <c r="O1568" s="58" t="s">
        <v>141</v>
      </c>
      <c r="P1568" s="58" t="s">
        <v>19</v>
      </c>
      <c r="Q1568" s="58" t="s">
        <v>56</v>
      </c>
      <c r="R1568" s="58" t="s">
        <v>265</v>
      </c>
    </row>
    <row r="1569" spans="1:18" ht="69" customHeight="1">
      <c r="A1569" s="168"/>
      <c r="B1569" s="178">
        <v>8727</v>
      </c>
      <c r="C1569" s="178" t="s">
        <v>4277</v>
      </c>
      <c r="D1569" s="575" t="s">
        <v>4662</v>
      </c>
      <c r="E1569" s="178" t="s">
        <v>755</v>
      </c>
      <c r="F1569" s="210" t="s">
        <v>4663</v>
      </c>
      <c r="G1569" s="58" t="s">
        <v>4664</v>
      </c>
      <c r="H1569" s="546">
        <v>48000</v>
      </c>
      <c r="I1569" s="66">
        <v>44974</v>
      </c>
      <c r="J1569" s="411" t="s">
        <v>4665</v>
      </c>
      <c r="K1569" s="58"/>
      <c r="L1569" s="99"/>
      <c r="M1569" s="70" t="s">
        <v>4593</v>
      </c>
      <c r="N1569" s="97" t="s">
        <v>716</v>
      </c>
      <c r="O1569" s="58"/>
      <c r="P1569" s="58" t="s">
        <v>44</v>
      </c>
      <c r="Q1569" s="58" t="s">
        <v>56</v>
      </c>
      <c r="R1569" s="58" t="s">
        <v>272</v>
      </c>
    </row>
    <row r="1570" spans="1:18" ht="69" customHeight="1">
      <c r="A1570" s="168"/>
      <c r="B1570" s="178">
        <v>8830</v>
      </c>
      <c r="C1570" s="178" t="s">
        <v>4277</v>
      </c>
      <c r="D1570" s="575" t="s">
        <v>4666</v>
      </c>
      <c r="E1570" s="178" t="s">
        <v>755</v>
      </c>
      <c r="F1570" s="210" t="s">
        <v>4667</v>
      </c>
      <c r="G1570" s="58" t="s">
        <v>827</v>
      </c>
      <c r="H1570" s="546">
        <v>1004322.31</v>
      </c>
      <c r="I1570" s="66">
        <v>44948</v>
      </c>
      <c r="J1570" s="411" t="s">
        <v>4668</v>
      </c>
      <c r="K1570" s="58"/>
      <c r="L1570" s="99"/>
      <c r="M1570" s="70" t="s">
        <v>4593</v>
      </c>
      <c r="N1570" s="97" t="s">
        <v>716</v>
      </c>
      <c r="O1570" s="58" t="s">
        <v>1566</v>
      </c>
      <c r="P1570" s="58" t="s">
        <v>28</v>
      </c>
      <c r="Q1570" s="58" t="s">
        <v>56</v>
      </c>
      <c r="R1570" s="58" t="s">
        <v>272</v>
      </c>
    </row>
    <row r="1571" spans="1:18" ht="69" customHeight="1">
      <c r="A1571" s="168"/>
      <c r="B1571" s="178">
        <v>8875</v>
      </c>
      <c r="C1571" s="178" t="s">
        <v>4277</v>
      </c>
      <c r="D1571" s="575" t="s">
        <v>4669</v>
      </c>
      <c r="E1571" s="178" t="s">
        <v>755</v>
      </c>
      <c r="F1571" s="210" t="s">
        <v>4670</v>
      </c>
      <c r="G1571" s="58" t="s">
        <v>4671</v>
      </c>
      <c r="H1571" s="546">
        <v>460345.94</v>
      </c>
      <c r="I1571" s="66">
        <v>44979</v>
      </c>
      <c r="J1571" s="411" t="s">
        <v>4672</v>
      </c>
      <c r="K1571" s="58"/>
      <c r="L1571" s="99"/>
      <c r="M1571" s="70" t="s">
        <v>4593</v>
      </c>
      <c r="N1571" s="97" t="s">
        <v>716</v>
      </c>
      <c r="O1571" s="58" t="s">
        <v>1566</v>
      </c>
      <c r="P1571" s="58" t="s">
        <v>28</v>
      </c>
      <c r="Q1571" s="58" t="s">
        <v>56</v>
      </c>
      <c r="R1571" s="58" t="s">
        <v>272</v>
      </c>
    </row>
    <row r="1572" spans="1:18" ht="69" customHeight="1">
      <c r="A1572" s="168"/>
      <c r="B1572" s="178">
        <v>8878</v>
      </c>
      <c r="C1572" s="178" t="s">
        <v>4277</v>
      </c>
      <c r="D1572" s="575" t="s">
        <v>4673</v>
      </c>
      <c r="E1572" s="178" t="s">
        <v>755</v>
      </c>
      <c r="F1572" s="210" t="s">
        <v>4674</v>
      </c>
      <c r="G1572" s="58" t="s">
        <v>1636</v>
      </c>
      <c r="H1572" s="546">
        <v>862471.72</v>
      </c>
      <c r="I1572" s="66">
        <v>44981</v>
      </c>
      <c r="J1572" s="411" t="s">
        <v>4675</v>
      </c>
      <c r="K1572" s="58"/>
      <c r="L1572" s="99"/>
      <c r="M1572" s="70" t="s">
        <v>4593</v>
      </c>
      <c r="N1572" s="97" t="s">
        <v>716</v>
      </c>
      <c r="O1572" s="58" t="s">
        <v>1566</v>
      </c>
      <c r="P1572" s="58" t="s">
        <v>28</v>
      </c>
      <c r="Q1572" s="58" t="s">
        <v>56</v>
      </c>
      <c r="R1572" s="58" t="s">
        <v>272</v>
      </c>
    </row>
    <row r="1573" spans="1:18" ht="69" customHeight="1">
      <c r="A1573" s="168"/>
      <c r="B1573" s="178">
        <v>8944</v>
      </c>
      <c r="C1573" s="59" t="s">
        <v>3667</v>
      </c>
      <c r="D1573" s="575" t="s">
        <v>4676</v>
      </c>
      <c r="E1573" s="178" t="s">
        <v>741</v>
      </c>
      <c r="F1573" s="210" t="s">
        <v>4677</v>
      </c>
      <c r="G1573" s="58" t="s">
        <v>4678</v>
      </c>
      <c r="H1573" s="546">
        <v>264890.89</v>
      </c>
      <c r="I1573" s="66">
        <v>44988</v>
      </c>
      <c r="J1573" s="411" t="s">
        <v>4679</v>
      </c>
      <c r="K1573" s="58"/>
      <c r="L1573" s="99"/>
      <c r="M1573" s="70" t="s">
        <v>4603</v>
      </c>
      <c r="N1573" s="97" t="s">
        <v>741</v>
      </c>
      <c r="O1573" s="45" t="s">
        <v>154</v>
      </c>
      <c r="P1573" s="58" t="s">
        <v>59</v>
      </c>
      <c r="Q1573" s="58" t="s">
        <v>56</v>
      </c>
      <c r="R1573" s="58" t="s">
        <v>272</v>
      </c>
    </row>
    <row r="1574" spans="1:18" ht="69" customHeight="1">
      <c r="A1574" s="168"/>
      <c r="B1574" s="178">
        <v>8837</v>
      </c>
      <c r="C1574" s="178" t="s">
        <v>4277</v>
      </c>
      <c r="D1574" s="575" t="s">
        <v>4680</v>
      </c>
      <c r="E1574" s="178" t="s">
        <v>809</v>
      </c>
      <c r="F1574" s="210" t="s">
        <v>4681</v>
      </c>
      <c r="G1574" s="58" t="s">
        <v>845</v>
      </c>
      <c r="H1574" s="546">
        <v>14000</v>
      </c>
      <c r="I1574" s="66">
        <v>44948</v>
      </c>
      <c r="J1574" s="411" t="s">
        <v>846</v>
      </c>
      <c r="K1574" s="58"/>
      <c r="L1574" s="99"/>
      <c r="M1574" s="70" t="s">
        <v>4622</v>
      </c>
      <c r="N1574" s="97" t="s">
        <v>814</v>
      </c>
      <c r="O1574" s="58"/>
      <c r="P1574" s="58" t="s">
        <v>36</v>
      </c>
      <c r="Q1574" s="58" t="s">
        <v>56</v>
      </c>
      <c r="R1574" s="58" t="s">
        <v>272</v>
      </c>
    </row>
    <row r="1575" spans="1:18" ht="69" customHeight="1">
      <c r="A1575" s="168"/>
      <c r="B1575" s="178">
        <v>8990</v>
      </c>
      <c r="C1575" s="178" t="s">
        <v>4277</v>
      </c>
      <c r="D1575" s="575" t="s">
        <v>4682</v>
      </c>
      <c r="E1575" s="178" t="s">
        <v>4651</v>
      </c>
      <c r="F1575" s="210" t="s">
        <v>4683</v>
      </c>
      <c r="G1575" s="58" t="s">
        <v>4684</v>
      </c>
      <c r="H1575" s="546">
        <v>54000</v>
      </c>
      <c r="I1575" s="66">
        <v>45000</v>
      </c>
      <c r="J1575" s="411" t="s">
        <v>4685</v>
      </c>
      <c r="K1575" s="58"/>
      <c r="L1575" s="99"/>
      <c r="M1575" s="70" t="s">
        <v>4655</v>
      </c>
      <c r="N1575" s="97" t="s">
        <v>356</v>
      </c>
      <c r="O1575" s="58" t="s">
        <v>141</v>
      </c>
      <c r="P1575" s="58" t="s">
        <v>19</v>
      </c>
      <c r="Q1575" s="58" t="s">
        <v>56</v>
      </c>
      <c r="R1575" s="58" t="s">
        <v>265</v>
      </c>
    </row>
    <row r="1576" spans="1:18" ht="69" customHeight="1">
      <c r="A1576" s="168"/>
      <c r="B1576" s="178">
        <v>8992</v>
      </c>
      <c r="C1576" s="178" t="s">
        <v>4277</v>
      </c>
      <c r="D1576" s="575" t="s">
        <v>4686</v>
      </c>
      <c r="E1576" s="178" t="s">
        <v>358</v>
      </c>
      <c r="F1576" s="210" t="s">
        <v>4687</v>
      </c>
      <c r="G1576" s="58" t="s">
        <v>4688</v>
      </c>
      <c r="H1576" s="546">
        <v>527000</v>
      </c>
      <c r="I1576" s="66">
        <v>45001</v>
      </c>
      <c r="J1576" s="411" t="s">
        <v>4689</v>
      </c>
      <c r="K1576" s="58"/>
      <c r="L1576" s="99"/>
      <c r="M1576" s="70" t="s">
        <v>4553</v>
      </c>
      <c r="N1576" s="97" t="s">
        <v>356</v>
      </c>
      <c r="O1576" s="58" t="s">
        <v>141</v>
      </c>
      <c r="P1576" s="58" t="s">
        <v>19</v>
      </c>
      <c r="Q1576" s="58" t="s">
        <v>56</v>
      </c>
      <c r="R1576" s="58" t="s">
        <v>272</v>
      </c>
    </row>
    <row r="1577" spans="1:18" ht="69" customHeight="1">
      <c r="A1577" s="168"/>
      <c r="B1577" s="178">
        <v>9004</v>
      </c>
      <c r="C1577" s="178" t="s">
        <v>4277</v>
      </c>
      <c r="D1577" s="575" t="s">
        <v>4690</v>
      </c>
      <c r="E1577" s="178" t="s">
        <v>809</v>
      </c>
      <c r="F1577" s="210" t="s">
        <v>4691</v>
      </c>
      <c r="G1577" s="58" t="s">
        <v>863</v>
      </c>
      <c r="H1577" s="546">
        <v>14000</v>
      </c>
      <c r="I1577" s="66" t="s">
        <v>96</v>
      </c>
      <c r="J1577" s="411" t="s">
        <v>864</v>
      </c>
      <c r="K1577" s="58"/>
      <c r="L1577" s="99"/>
      <c r="M1577" s="70" t="s">
        <v>4622</v>
      </c>
      <c r="N1577" s="97" t="s">
        <v>814</v>
      </c>
      <c r="O1577" s="58"/>
      <c r="P1577" s="58" t="s">
        <v>36</v>
      </c>
      <c r="Q1577" s="58" t="s">
        <v>56</v>
      </c>
      <c r="R1577" s="58" t="s">
        <v>272</v>
      </c>
    </row>
    <row r="1578" spans="1:18" ht="69" customHeight="1">
      <c r="A1578" s="168"/>
      <c r="B1578" s="191">
        <v>9057</v>
      </c>
      <c r="C1578" s="191" t="s">
        <v>4277</v>
      </c>
      <c r="D1578" s="533" t="s">
        <v>4692</v>
      </c>
      <c r="E1578" s="191" t="s">
        <v>755</v>
      </c>
      <c r="F1578" s="211" t="s">
        <v>4693</v>
      </c>
      <c r="G1578" s="46" t="s">
        <v>4694</v>
      </c>
      <c r="H1578" s="534">
        <v>5000</v>
      </c>
      <c r="I1578" s="56">
        <v>45000</v>
      </c>
      <c r="J1578" s="412" t="s">
        <v>4695</v>
      </c>
      <c r="K1578" s="46" t="s">
        <v>167</v>
      </c>
      <c r="L1578" s="99"/>
      <c r="M1578" s="379"/>
      <c r="N1578" s="76" t="s">
        <v>716</v>
      </c>
      <c r="O1578" s="46"/>
      <c r="P1578" s="46" t="s">
        <v>65</v>
      </c>
      <c r="Q1578" s="46" t="s">
        <v>56</v>
      </c>
      <c r="R1578" s="46" t="s">
        <v>272</v>
      </c>
    </row>
    <row r="1579" spans="1:18" ht="69" customHeight="1">
      <c r="A1579" s="168"/>
      <c r="B1579" s="178">
        <v>9079</v>
      </c>
      <c r="C1579" s="178" t="s">
        <v>4277</v>
      </c>
      <c r="D1579" s="575" t="s">
        <v>4696</v>
      </c>
      <c r="E1579" s="178" t="s">
        <v>585</v>
      </c>
      <c r="F1579" s="210" t="s">
        <v>4697</v>
      </c>
      <c r="G1579" s="58" t="s">
        <v>4698</v>
      </c>
      <c r="H1579" s="546">
        <v>3000</v>
      </c>
      <c r="I1579" s="66">
        <v>45000</v>
      </c>
      <c r="J1579" s="411" t="s">
        <v>1914</v>
      </c>
      <c r="K1579" s="58"/>
      <c r="L1579" s="99"/>
      <c r="M1579" s="70" t="s">
        <v>4557</v>
      </c>
      <c r="N1579" s="97" t="s">
        <v>270</v>
      </c>
      <c r="O1579" s="58"/>
      <c r="P1579" s="58" t="s">
        <v>44</v>
      </c>
      <c r="Q1579" s="58" t="s">
        <v>56</v>
      </c>
      <c r="R1579" s="58" t="s">
        <v>272</v>
      </c>
    </row>
    <row r="1580" spans="1:18" ht="69" customHeight="1">
      <c r="A1580" s="168"/>
      <c r="B1580" s="178">
        <v>9100</v>
      </c>
      <c r="C1580" s="178" t="s">
        <v>4277</v>
      </c>
      <c r="D1580" s="575" t="s">
        <v>4699</v>
      </c>
      <c r="E1580" s="178" t="s">
        <v>4651</v>
      </c>
      <c r="F1580" s="210" t="s">
        <v>4700</v>
      </c>
      <c r="G1580" s="58" t="s">
        <v>4270</v>
      </c>
      <c r="H1580" s="546">
        <v>109162.91</v>
      </c>
      <c r="I1580" s="66">
        <v>45021</v>
      </c>
      <c r="J1580" s="411" t="s">
        <v>4701</v>
      </c>
      <c r="K1580" s="58"/>
      <c r="L1580" s="99"/>
      <c r="M1580" s="70" t="s">
        <v>4655</v>
      </c>
      <c r="N1580" s="97" t="s">
        <v>356</v>
      </c>
      <c r="O1580" s="58" t="s">
        <v>141</v>
      </c>
      <c r="P1580" s="58" t="s">
        <v>19</v>
      </c>
      <c r="Q1580" s="58" t="s">
        <v>56</v>
      </c>
      <c r="R1580" s="58" t="s">
        <v>265</v>
      </c>
    </row>
    <row r="1581" spans="1:18" ht="69" customHeight="1">
      <c r="A1581" s="168"/>
      <c r="B1581" s="178">
        <v>9369</v>
      </c>
      <c r="C1581" s="178" t="s">
        <v>4277</v>
      </c>
      <c r="D1581" s="575" t="s">
        <v>4702</v>
      </c>
      <c r="E1581" s="178" t="s">
        <v>266</v>
      </c>
      <c r="F1581" s="210" t="s">
        <v>4703</v>
      </c>
      <c r="G1581" s="58" t="s">
        <v>4101</v>
      </c>
      <c r="H1581" s="546">
        <v>60.44</v>
      </c>
      <c r="I1581" s="66">
        <v>45009</v>
      </c>
      <c r="J1581" s="411" t="s">
        <v>4102</v>
      </c>
      <c r="K1581" s="58"/>
      <c r="L1581" s="99"/>
      <c r="M1581" s="70" t="s">
        <v>4557</v>
      </c>
      <c r="N1581" s="97" t="s">
        <v>270</v>
      </c>
      <c r="O1581" s="58"/>
      <c r="P1581" s="58" t="s">
        <v>44</v>
      </c>
      <c r="Q1581" s="58" t="s">
        <v>56</v>
      </c>
      <c r="R1581" s="58" t="s">
        <v>272</v>
      </c>
    </row>
    <row r="1582" spans="1:18" ht="69" customHeight="1">
      <c r="A1582" s="168"/>
      <c r="B1582" s="178">
        <v>9726</v>
      </c>
      <c r="C1582" s="178" t="s">
        <v>4277</v>
      </c>
      <c r="D1582" s="575" t="s">
        <v>4704</v>
      </c>
      <c r="E1582" s="178" t="s">
        <v>1372</v>
      </c>
      <c r="F1582" s="210" t="s">
        <v>4705</v>
      </c>
      <c r="G1582" s="58" t="s">
        <v>4706</v>
      </c>
      <c r="H1582" s="546">
        <v>120507.21</v>
      </c>
      <c r="I1582" s="66">
        <v>45041</v>
      </c>
      <c r="J1582" s="411" t="s">
        <v>4707</v>
      </c>
      <c r="K1582" s="58"/>
      <c r="L1582" s="99"/>
      <c r="M1582" s="70" t="s">
        <v>4708</v>
      </c>
      <c r="N1582" s="97" t="s">
        <v>1372</v>
      </c>
      <c r="O1582" s="58"/>
      <c r="P1582" s="58" t="s">
        <v>57</v>
      </c>
      <c r="Q1582" s="58" t="s">
        <v>56</v>
      </c>
      <c r="R1582" s="58" t="s">
        <v>272</v>
      </c>
    </row>
    <row r="1583" spans="1:18" ht="69" customHeight="1">
      <c r="A1583" s="168"/>
      <c r="B1583" s="178">
        <v>9705</v>
      </c>
      <c r="C1583" s="178" t="s">
        <v>4277</v>
      </c>
      <c r="D1583" s="575" t="s">
        <v>4709</v>
      </c>
      <c r="E1583" s="178" t="s">
        <v>809</v>
      </c>
      <c r="F1583" s="210" t="s">
        <v>4691</v>
      </c>
      <c r="G1583" s="58" t="s">
        <v>874</v>
      </c>
      <c r="H1583" s="546">
        <v>12999.7</v>
      </c>
      <c r="I1583" s="66" t="s">
        <v>96</v>
      </c>
      <c r="J1583" s="411" t="s">
        <v>875</v>
      </c>
      <c r="K1583" s="58"/>
      <c r="L1583" s="99"/>
      <c r="M1583" s="70" t="s">
        <v>4622</v>
      </c>
      <c r="N1583" s="97" t="s">
        <v>814</v>
      </c>
      <c r="O1583" s="58"/>
      <c r="P1583" s="58" t="s">
        <v>36</v>
      </c>
      <c r="Q1583" s="58" t="s">
        <v>56</v>
      </c>
      <c r="R1583" s="58" t="s">
        <v>272</v>
      </c>
    </row>
    <row r="1584" spans="1:18" ht="69" customHeight="1">
      <c r="A1584" s="168"/>
      <c r="B1584" s="178">
        <v>9831</v>
      </c>
      <c r="C1584" s="178" t="s">
        <v>4277</v>
      </c>
      <c r="D1584" s="575" t="s">
        <v>4710</v>
      </c>
      <c r="E1584" s="178" t="s">
        <v>358</v>
      </c>
      <c r="F1584" s="210" t="s">
        <v>4711</v>
      </c>
      <c r="G1584" s="58" t="s">
        <v>4712</v>
      </c>
      <c r="H1584" s="546">
        <v>100000</v>
      </c>
      <c r="I1584" s="66">
        <v>45041</v>
      </c>
      <c r="J1584" s="411" t="s">
        <v>4713</v>
      </c>
      <c r="K1584" s="58"/>
      <c r="L1584" s="99"/>
      <c r="M1584" s="70" t="s">
        <v>4553</v>
      </c>
      <c r="N1584" s="97" t="s">
        <v>356</v>
      </c>
      <c r="O1584" s="58" t="s">
        <v>141</v>
      </c>
      <c r="P1584" s="58" t="s">
        <v>19</v>
      </c>
      <c r="Q1584" s="58" t="s">
        <v>56</v>
      </c>
      <c r="R1584" s="58" t="s">
        <v>272</v>
      </c>
    </row>
    <row r="1585" spans="1:18" ht="69" customHeight="1">
      <c r="A1585" s="168"/>
      <c r="B1585" s="178">
        <v>9819</v>
      </c>
      <c r="C1585" s="59" t="s">
        <v>3667</v>
      </c>
      <c r="D1585" s="575" t="s">
        <v>4714</v>
      </c>
      <c r="E1585" s="178" t="s">
        <v>266</v>
      </c>
      <c r="F1585" s="210" t="s">
        <v>4715</v>
      </c>
      <c r="G1585" s="58" t="s">
        <v>590</v>
      </c>
      <c r="H1585" s="546">
        <v>1150</v>
      </c>
      <c r="I1585" s="66">
        <v>45041</v>
      </c>
      <c r="J1585" s="411" t="s">
        <v>4105</v>
      </c>
      <c r="K1585" s="58"/>
      <c r="L1585" s="99"/>
      <c r="M1585" s="70" t="s">
        <v>4557</v>
      </c>
      <c r="N1585" s="97" t="s">
        <v>270</v>
      </c>
      <c r="O1585" s="58"/>
      <c r="P1585" s="58" t="s">
        <v>44</v>
      </c>
      <c r="Q1585" s="58" t="s">
        <v>56</v>
      </c>
      <c r="R1585" s="58" t="s">
        <v>272</v>
      </c>
    </row>
    <row r="1586" spans="1:18" ht="69" customHeight="1">
      <c r="A1586" s="168"/>
      <c r="B1586" s="178">
        <v>9934</v>
      </c>
      <c r="C1586" s="178" t="s">
        <v>4277</v>
      </c>
      <c r="D1586" s="575" t="s">
        <v>4716</v>
      </c>
      <c r="E1586" s="178" t="s">
        <v>755</v>
      </c>
      <c r="F1586" s="210" t="s">
        <v>4717</v>
      </c>
      <c r="G1586" s="58" t="s">
        <v>4718</v>
      </c>
      <c r="H1586" s="546">
        <v>129902.5</v>
      </c>
      <c r="I1586" s="66">
        <v>45049</v>
      </c>
      <c r="J1586" s="411" t="s">
        <v>4719</v>
      </c>
      <c r="K1586" s="58"/>
      <c r="L1586" s="99"/>
      <c r="M1586" s="70" t="s">
        <v>4593</v>
      </c>
      <c r="N1586" s="97" t="s">
        <v>716</v>
      </c>
      <c r="O1586" s="58"/>
      <c r="P1586" s="58" t="s">
        <v>57</v>
      </c>
      <c r="Q1586" s="58" t="s">
        <v>56</v>
      </c>
      <c r="R1586" s="58" t="s">
        <v>272</v>
      </c>
    </row>
    <row r="1587" spans="1:18" ht="69" customHeight="1">
      <c r="A1587" s="168"/>
      <c r="B1587" s="191">
        <v>9953</v>
      </c>
      <c r="C1587" s="191" t="s">
        <v>4277</v>
      </c>
      <c r="D1587" s="533" t="s">
        <v>4720</v>
      </c>
      <c r="E1587" s="191" t="s">
        <v>877</v>
      </c>
      <c r="F1587" s="211" t="s">
        <v>4721</v>
      </c>
      <c r="G1587" s="46" t="s">
        <v>879</v>
      </c>
      <c r="H1587" s="534">
        <v>29924.89</v>
      </c>
      <c r="I1587" s="56">
        <v>45049</v>
      </c>
      <c r="J1587" s="412" t="s">
        <v>880</v>
      </c>
      <c r="K1587" s="46" t="s">
        <v>167</v>
      </c>
      <c r="L1587" s="99"/>
      <c r="M1587" s="379"/>
      <c r="N1587" s="76" t="s">
        <v>716</v>
      </c>
      <c r="O1587" s="46"/>
      <c r="P1587" s="46" t="s">
        <v>71</v>
      </c>
      <c r="Q1587" s="46" t="s">
        <v>56</v>
      </c>
      <c r="R1587" s="46" t="s">
        <v>272</v>
      </c>
    </row>
    <row r="1588" spans="1:18" ht="69" customHeight="1">
      <c r="A1588" s="168"/>
      <c r="B1588" s="178">
        <v>9962</v>
      </c>
      <c r="C1588" s="178" t="s">
        <v>4277</v>
      </c>
      <c r="D1588" s="575" t="s">
        <v>4722</v>
      </c>
      <c r="E1588" s="178" t="s">
        <v>382</v>
      </c>
      <c r="F1588" s="210" t="s">
        <v>4723</v>
      </c>
      <c r="G1588" s="58" t="s">
        <v>4724</v>
      </c>
      <c r="H1588" s="546">
        <v>2892.13</v>
      </c>
      <c r="I1588" s="66">
        <v>45061</v>
      </c>
      <c r="J1588" s="411" t="s">
        <v>4725</v>
      </c>
      <c r="K1588" s="58"/>
      <c r="L1588" s="99"/>
      <c r="M1588" s="70" t="s">
        <v>4588</v>
      </c>
      <c r="N1588" s="97" t="s">
        <v>387</v>
      </c>
      <c r="O1588" s="58" t="s">
        <v>150</v>
      </c>
      <c r="P1588" s="58" t="s">
        <v>51</v>
      </c>
      <c r="Q1588" s="58" t="s">
        <v>56</v>
      </c>
      <c r="R1588" s="58" t="s">
        <v>272</v>
      </c>
    </row>
    <row r="1589" spans="1:18" ht="69" customHeight="1">
      <c r="A1589" s="168"/>
      <c r="B1589" s="191">
        <v>2979</v>
      </c>
      <c r="C1589" s="191" t="s">
        <v>3643</v>
      </c>
      <c r="D1589" s="533" t="s">
        <v>4726</v>
      </c>
      <c r="E1589" s="191" t="s">
        <v>331</v>
      </c>
      <c r="F1589" s="211" t="s">
        <v>4727</v>
      </c>
      <c r="G1589" s="46" t="s">
        <v>3646</v>
      </c>
      <c r="H1589" s="534">
        <v>0</v>
      </c>
      <c r="I1589" s="56" t="s">
        <v>96</v>
      </c>
      <c r="J1589" s="412" t="s">
        <v>334</v>
      </c>
      <c r="K1589" s="46"/>
      <c r="L1589" s="99"/>
      <c r="M1589" s="379" t="s">
        <v>58</v>
      </c>
      <c r="N1589" s="76" t="s">
        <v>69</v>
      </c>
      <c r="O1589" s="46"/>
      <c r="P1589" s="46" t="s">
        <v>69</v>
      </c>
      <c r="Q1589" s="46" t="s">
        <v>58</v>
      </c>
      <c r="R1589" s="46" t="s">
        <v>272</v>
      </c>
    </row>
    <row r="1590" spans="1:18" ht="69" customHeight="1">
      <c r="A1590" s="168"/>
      <c r="B1590" s="191">
        <v>3206</v>
      </c>
      <c r="C1590" s="191" t="s">
        <v>4277</v>
      </c>
      <c r="D1590" s="533" t="s">
        <v>518</v>
      </c>
      <c r="E1590" s="191" t="s">
        <v>331</v>
      </c>
      <c r="F1590" s="211" t="s">
        <v>4727</v>
      </c>
      <c r="G1590" s="46" t="s">
        <v>3646</v>
      </c>
      <c r="H1590" s="534">
        <v>0</v>
      </c>
      <c r="I1590" s="56" t="s">
        <v>96</v>
      </c>
      <c r="J1590" s="412" t="s">
        <v>334</v>
      </c>
      <c r="K1590" s="46"/>
      <c r="L1590" s="99"/>
      <c r="M1590" s="379" t="s">
        <v>58</v>
      </c>
      <c r="N1590" s="76" t="s">
        <v>69</v>
      </c>
      <c r="O1590" s="46"/>
      <c r="P1590" s="46" t="s">
        <v>69</v>
      </c>
      <c r="Q1590" s="46" t="s">
        <v>58</v>
      </c>
      <c r="R1590" s="46" t="s">
        <v>272</v>
      </c>
    </row>
    <row r="1591" spans="1:18" ht="69" customHeight="1">
      <c r="A1591" s="168"/>
      <c r="B1591" s="178">
        <v>7601</v>
      </c>
      <c r="C1591" s="178" t="s">
        <v>4728</v>
      </c>
      <c r="D1591" s="575" t="s">
        <v>4729</v>
      </c>
      <c r="E1591" s="178" t="s">
        <v>4550</v>
      </c>
      <c r="F1591" s="210" t="s">
        <v>4730</v>
      </c>
      <c r="G1591" s="58" t="s">
        <v>4552</v>
      </c>
      <c r="H1591" s="546">
        <v>73000</v>
      </c>
      <c r="I1591" s="66">
        <v>44895</v>
      </c>
      <c r="J1591" s="411" t="s">
        <v>795</v>
      </c>
      <c r="K1591" s="58"/>
      <c r="L1591" s="99"/>
      <c r="M1591" s="70" t="s">
        <v>4731</v>
      </c>
      <c r="N1591" s="97" t="s">
        <v>356</v>
      </c>
      <c r="O1591" s="58" t="s">
        <v>141</v>
      </c>
      <c r="P1591" s="58" t="s">
        <v>19</v>
      </c>
      <c r="Q1591" s="58" t="s">
        <v>58</v>
      </c>
      <c r="R1591" s="58" t="s">
        <v>272</v>
      </c>
    </row>
    <row r="1592" spans="1:18" ht="69" customHeight="1">
      <c r="A1592" s="168"/>
      <c r="B1592" s="178">
        <v>4239</v>
      </c>
      <c r="C1592" s="178" t="s">
        <v>4277</v>
      </c>
      <c r="D1592" s="575" t="s">
        <v>4732</v>
      </c>
      <c r="E1592" s="178" t="s">
        <v>266</v>
      </c>
      <c r="F1592" s="210" t="s">
        <v>4733</v>
      </c>
      <c r="G1592" s="58" t="s">
        <v>3677</v>
      </c>
      <c r="H1592" s="546">
        <v>55260</v>
      </c>
      <c r="I1592" s="66">
        <v>44662</v>
      </c>
      <c r="J1592" s="411" t="s">
        <v>4734</v>
      </c>
      <c r="K1592" s="58"/>
      <c r="L1592" s="99"/>
      <c r="M1592" s="70" t="s">
        <v>4735</v>
      </c>
      <c r="N1592" s="97" t="s">
        <v>270</v>
      </c>
      <c r="O1592" s="58"/>
      <c r="P1592" s="58" t="s">
        <v>44</v>
      </c>
      <c r="Q1592" s="58" t="s">
        <v>58</v>
      </c>
      <c r="R1592" s="58" t="s">
        <v>272</v>
      </c>
    </row>
    <row r="1593" spans="1:18" ht="69" customHeight="1">
      <c r="A1593" s="168"/>
      <c r="B1593" s="178">
        <v>4737</v>
      </c>
      <c r="C1593" s="178" t="s">
        <v>4277</v>
      </c>
      <c r="D1593" s="575" t="s">
        <v>1468</v>
      </c>
      <c r="E1593" s="178" t="s">
        <v>331</v>
      </c>
      <c r="F1593" s="210" t="s">
        <v>4736</v>
      </c>
      <c r="G1593" s="58"/>
      <c r="H1593" s="546">
        <v>3389.12</v>
      </c>
      <c r="I1593" s="66">
        <v>44678</v>
      </c>
      <c r="J1593" s="411" t="s">
        <v>4737</v>
      </c>
      <c r="K1593" s="58"/>
      <c r="L1593" s="99"/>
      <c r="M1593" s="70" t="s">
        <v>4735</v>
      </c>
      <c r="N1593" s="97" t="s">
        <v>270</v>
      </c>
      <c r="O1593" s="58"/>
      <c r="P1593" s="58" t="s">
        <v>44</v>
      </c>
      <c r="Q1593" s="58" t="s">
        <v>58</v>
      </c>
      <c r="R1593" s="58" t="s">
        <v>272</v>
      </c>
    </row>
    <row r="1594" spans="1:18" ht="69" customHeight="1">
      <c r="A1594" s="168"/>
      <c r="B1594" s="178">
        <v>4099</v>
      </c>
      <c r="C1594" s="178" t="s">
        <v>4277</v>
      </c>
      <c r="D1594" s="575" t="s">
        <v>4738</v>
      </c>
      <c r="E1594" s="178" t="s">
        <v>266</v>
      </c>
      <c r="F1594" s="210" t="s">
        <v>4739</v>
      </c>
      <c r="G1594" s="58" t="s">
        <v>3674</v>
      </c>
      <c r="H1594" s="546">
        <v>10690</v>
      </c>
      <c r="I1594" s="66">
        <v>44676</v>
      </c>
      <c r="J1594" s="411" t="s">
        <v>4740</v>
      </c>
      <c r="K1594" s="58"/>
      <c r="L1594" s="99"/>
      <c r="M1594" s="70" t="s">
        <v>4735</v>
      </c>
      <c r="N1594" s="97" t="s">
        <v>270</v>
      </c>
      <c r="O1594" s="58"/>
      <c r="P1594" s="58" t="s">
        <v>44</v>
      </c>
      <c r="Q1594" s="58" t="s">
        <v>58</v>
      </c>
      <c r="R1594" s="58" t="s">
        <v>272</v>
      </c>
    </row>
    <row r="1595" spans="1:18" ht="69" customHeight="1">
      <c r="A1595" s="168"/>
      <c r="B1595" s="178">
        <v>4737</v>
      </c>
      <c r="C1595" s="178" t="s">
        <v>4277</v>
      </c>
      <c r="D1595" s="575" t="s">
        <v>2944</v>
      </c>
      <c r="E1595" s="178" t="s">
        <v>331</v>
      </c>
      <c r="F1595" s="210" t="s">
        <v>4741</v>
      </c>
      <c r="G1595" s="58" t="s">
        <v>372</v>
      </c>
      <c r="H1595" s="546">
        <v>30502.1</v>
      </c>
      <c r="I1595" s="66">
        <v>44701</v>
      </c>
      <c r="J1595" s="411" t="s">
        <v>4742</v>
      </c>
      <c r="K1595" s="58"/>
      <c r="L1595" s="99"/>
      <c r="M1595" s="70" t="s">
        <v>4735</v>
      </c>
      <c r="N1595" s="97" t="s">
        <v>270</v>
      </c>
      <c r="O1595" s="58"/>
      <c r="P1595" s="58" t="s">
        <v>44</v>
      </c>
      <c r="Q1595" s="58" t="s">
        <v>58</v>
      </c>
      <c r="R1595" s="58" t="s">
        <v>272</v>
      </c>
    </row>
    <row r="1596" spans="1:18" ht="69" customHeight="1">
      <c r="A1596" s="168"/>
      <c r="B1596" s="178">
        <v>5103</v>
      </c>
      <c r="C1596" s="178" t="s">
        <v>4277</v>
      </c>
      <c r="D1596" s="575" t="s">
        <v>2018</v>
      </c>
      <c r="E1596" s="178" t="s">
        <v>266</v>
      </c>
      <c r="F1596" s="210" t="s">
        <v>4743</v>
      </c>
      <c r="G1596" s="58" t="s">
        <v>3677</v>
      </c>
      <c r="H1596" s="546">
        <v>55260</v>
      </c>
      <c r="I1596" s="66">
        <v>44727</v>
      </c>
      <c r="J1596" s="411" t="s">
        <v>4744</v>
      </c>
      <c r="K1596" s="58"/>
      <c r="L1596" s="99"/>
      <c r="M1596" s="70" t="s">
        <v>4735</v>
      </c>
      <c r="N1596" s="97" t="s">
        <v>270</v>
      </c>
      <c r="O1596" s="58"/>
      <c r="P1596" s="58" t="s">
        <v>44</v>
      </c>
      <c r="Q1596" s="58" t="s">
        <v>58</v>
      </c>
      <c r="R1596" s="58" t="s">
        <v>272</v>
      </c>
    </row>
    <row r="1597" spans="1:18" ht="69" customHeight="1">
      <c r="A1597" s="168"/>
      <c r="B1597" s="178">
        <v>5104</v>
      </c>
      <c r="C1597" s="59" t="s">
        <v>3667</v>
      </c>
      <c r="D1597" s="575" t="s">
        <v>954</v>
      </c>
      <c r="E1597" s="178" t="s">
        <v>382</v>
      </c>
      <c r="F1597" s="210" t="s">
        <v>4745</v>
      </c>
      <c r="G1597" s="58" t="s">
        <v>384</v>
      </c>
      <c r="H1597" s="546">
        <v>27761.33</v>
      </c>
      <c r="I1597" s="66">
        <v>44739</v>
      </c>
      <c r="J1597" s="411" t="s">
        <v>4746</v>
      </c>
      <c r="K1597" s="58"/>
      <c r="L1597" s="99"/>
      <c r="M1597" s="70" t="s">
        <v>4747</v>
      </c>
      <c r="N1597" s="97" t="s">
        <v>387</v>
      </c>
      <c r="O1597" s="58" t="s">
        <v>150</v>
      </c>
      <c r="P1597" s="58" t="s">
        <v>51</v>
      </c>
      <c r="Q1597" s="58" t="s">
        <v>58</v>
      </c>
      <c r="R1597" s="58" t="s">
        <v>272</v>
      </c>
    </row>
    <row r="1598" spans="1:18" ht="69" customHeight="1">
      <c r="A1598" s="168"/>
      <c r="B1598" s="178">
        <v>5105</v>
      </c>
      <c r="C1598" s="59" t="s">
        <v>3667</v>
      </c>
      <c r="D1598" s="575" t="s">
        <v>675</v>
      </c>
      <c r="E1598" s="178" t="s">
        <v>382</v>
      </c>
      <c r="F1598" s="210" t="s">
        <v>4748</v>
      </c>
      <c r="G1598" s="58" t="s">
        <v>384</v>
      </c>
      <c r="H1598" s="546">
        <v>39819.519999999997</v>
      </c>
      <c r="I1598" s="66">
        <v>44739</v>
      </c>
      <c r="J1598" s="411" t="s">
        <v>4749</v>
      </c>
      <c r="K1598" s="58"/>
      <c r="L1598" s="99"/>
      <c r="M1598" s="70" t="s">
        <v>4747</v>
      </c>
      <c r="N1598" s="97" t="s">
        <v>387</v>
      </c>
      <c r="O1598" s="58" t="s">
        <v>150</v>
      </c>
      <c r="P1598" s="58" t="s">
        <v>51</v>
      </c>
      <c r="Q1598" s="58" t="s">
        <v>58</v>
      </c>
      <c r="R1598" s="58" t="s">
        <v>272</v>
      </c>
    </row>
    <row r="1599" spans="1:18" ht="69" customHeight="1">
      <c r="A1599" s="168"/>
      <c r="B1599" s="178">
        <v>7022</v>
      </c>
      <c r="C1599" s="178" t="s">
        <v>458</v>
      </c>
      <c r="D1599" s="178">
        <v>574</v>
      </c>
      <c r="E1599" s="178" t="s">
        <v>350</v>
      </c>
      <c r="F1599" s="210" t="s">
        <v>4750</v>
      </c>
      <c r="G1599" s="58" t="s">
        <v>744</v>
      </c>
      <c r="H1599" s="546">
        <v>627451.11</v>
      </c>
      <c r="I1599" s="66">
        <v>44869</v>
      </c>
      <c r="J1599" s="411" t="s">
        <v>4751</v>
      </c>
      <c r="K1599" s="58"/>
      <c r="L1599" s="99"/>
      <c r="M1599" s="70" t="s">
        <v>4752</v>
      </c>
      <c r="N1599" s="97" t="s">
        <v>716</v>
      </c>
      <c r="O1599" s="58" t="s">
        <v>141</v>
      </c>
      <c r="P1599" s="58" t="s">
        <v>19</v>
      </c>
      <c r="Q1599" s="58" t="s">
        <v>113</v>
      </c>
      <c r="R1599" s="58" t="s">
        <v>272</v>
      </c>
    </row>
    <row r="1600" spans="1:18" ht="69" customHeight="1">
      <c r="A1600" s="168"/>
      <c r="B1600" s="178">
        <v>7446</v>
      </c>
      <c r="C1600" s="178" t="s">
        <v>4277</v>
      </c>
      <c r="D1600" s="575" t="s">
        <v>2556</v>
      </c>
      <c r="E1600" s="178" t="s">
        <v>755</v>
      </c>
      <c r="F1600" s="210" t="s">
        <v>4753</v>
      </c>
      <c r="G1600" s="58" t="s">
        <v>1631</v>
      </c>
      <c r="H1600" s="546">
        <v>602196.53</v>
      </c>
      <c r="I1600" s="66">
        <v>44879</v>
      </c>
      <c r="J1600" s="411" t="s">
        <v>4754</v>
      </c>
      <c r="K1600" s="58"/>
      <c r="L1600" s="99"/>
      <c r="M1600" s="70" t="s">
        <v>4752</v>
      </c>
      <c r="N1600" s="97" t="s">
        <v>716</v>
      </c>
      <c r="O1600" s="58"/>
      <c r="P1600" s="58" t="s">
        <v>28</v>
      </c>
      <c r="Q1600" s="58" t="s">
        <v>58</v>
      </c>
      <c r="R1600" s="58" t="s">
        <v>272</v>
      </c>
    </row>
    <row r="1601" spans="1:18" ht="69" customHeight="1">
      <c r="A1601" s="168"/>
      <c r="B1601" s="178">
        <v>7054</v>
      </c>
      <c r="C1601" s="178" t="s">
        <v>4277</v>
      </c>
      <c r="D1601" s="575" t="s">
        <v>4755</v>
      </c>
      <c r="E1601" s="178" t="s">
        <v>755</v>
      </c>
      <c r="F1601" s="210" t="s">
        <v>4756</v>
      </c>
      <c r="G1601" s="58" t="s">
        <v>772</v>
      </c>
      <c r="H1601" s="546">
        <v>30613.119999999999</v>
      </c>
      <c r="I1601" s="66">
        <v>44874</v>
      </c>
      <c r="J1601" s="411" t="s">
        <v>4757</v>
      </c>
      <c r="K1601" s="58"/>
      <c r="L1601" s="99"/>
      <c r="M1601" s="70" t="s">
        <v>4752</v>
      </c>
      <c r="N1601" s="97" t="s">
        <v>716</v>
      </c>
      <c r="O1601" s="58"/>
      <c r="P1601" s="58" t="s">
        <v>28</v>
      </c>
      <c r="Q1601" s="58" t="s">
        <v>58</v>
      </c>
      <c r="R1601" s="58" t="s">
        <v>272</v>
      </c>
    </row>
    <row r="1602" spans="1:18" ht="69" customHeight="1">
      <c r="A1602" s="168"/>
      <c r="B1602" s="178">
        <v>7053</v>
      </c>
      <c r="C1602" s="178" t="s">
        <v>4277</v>
      </c>
      <c r="D1602" s="575" t="s">
        <v>4758</v>
      </c>
      <c r="E1602" s="178" t="s">
        <v>755</v>
      </c>
      <c r="F1602" s="210" t="s">
        <v>4759</v>
      </c>
      <c r="G1602" s="58" t="s">
        <v>772</v>
      </c>
      <c r="H1602" s="546">
        <v>1434055.13</v>
      </c>
      <c r="I1602" s="66">
        <v>44853</v>
      </c>
      <c r="J1602" s="411" t="s">
        <v>4757</v>
      </c>
      <c r="K1602" s="58"/>
      <c r="L1602" s="99"/>
      <c r="M1602" s="70" t="s">
        <v>4752</v>
      </c>
      <c r="N1602" s="97" t="s">
        <v>716</v>
      </c>
      <c r="O1602" s="58"/>
      <c r="P1602" s="58" t="s">
        <v>28</v>
      </c>
      <c r="Q1602" s="58" t="s">
        <v>58</v>
      </c>
      <c r="R1602" s="58" t="s">
        <v>272</v>
      </c>
    </row>
    <row r="1603" spans="1:18" ht="69" customHeight="1">
      <c r="A1603" s="168"/>
      <c r="B1603" s="178">
        <v>5358</v>
      </c>
      <c r="C1603" s="178" t="s">
        <v>4277</v>
      </c>
      <c r="D1603" s="575" t="s">
        <v>1741</v>
      </c>
      <c r="E1603" s="178" t="s">
        <v>409</v>
      </c>
      <c r="F1603" s="210" t="s">
        <v>4760</v>
      </c>
      <c r="G1603" s="58" t="s">
        <v>712</v>
      </c>
      <c r="H1603" s="546">
        <v>3661670.62</v>
      </c>
      <c r="I1603" s="66">
        <v>44757</v>
      </c>
      <c r="J1603" s="411" t="s">
        <v>4761</v>
      </c>
      <c r="K1603" s="58"/>
      <c r="L1603" s="99"/>
      <c r="M1603" s="70" t="s">
        <v>4752</v>
      </c>
      <c r="N1603" s="97" t="s">
        <v>716</v>
      </c>
      <c r="O1603" s="58" t="s">
        <v>1566</v>
      </c>
      <c r="P1603" s="58" t="s">
        <v>28</v>
      </c>
      <c r="Q1603" s="58" t="s">
        <v>58</v>
      </c>
      <c r="R1603" s="58" t="s">
        <v>272</v>
      </c>
    </row>
    <row r="1604" spans="1:18" ht="69" customHeight="1">
      <c r="A1604" s="168"/>
      <c r="B1604" s="178"/>
      <c r="C1604" s="178" t="s">
        <v>4277</v>
      </c>
      <c r="D1604" s="575" t="s">
        <v>4762</v>
      </c>
      <c r="E1604" s="178" t="s">
        <v>755</v>
      </c>
      <c r="F1604" s="210" t="s">
        <v>4763</v>
      </c>
      <c r="G1604" s="58" t="s">
        <v>725</v>
      </c>
      <c r="H1604" s="546">
        <v>1025267.77</v>
      </c>
      <c r="I1604" s="66">
        <v>44760</v>
      </c>
      <c r="J1604" s="411"/>
      <c r="K1604" s="58"/>
      <c r="L1604" s="99"/>
      <c r="M1604" s="70" t="s">
        <v>4752</v>
      </c>
      <c r="N1604" s="97" t="s">
        <v>716</v>
      </c>
      <c r="O1604" s="58"/>
      <c r="P1604" s="58" t="s">
        <v>28</v>
      </c>
      <c r="Q1604" s="58" t="s">
        <v>58</v>
      </c>
      <c r="R1604" s="58" t="s">
        <v>272</v>
      </c>
    </row>
    <row r="1605" spans="1:18" ht="69" customHeight="1">
      <c r="A1605" s="168"/>
      <c r="B1605" s="178">
        <v>6252</v>
      </c>
      <c r="C1605" s="178" t="s">
        <v>4277</v>
      </c>
      <c r="D1605" s="575" t="s">
        <v>4764</v>
      </c>
      <c r="E1605" s="178" t="s">
        <v>266</v>
      </c>
      <c r="F1605" s="210" t="s">
        <v>4765</v>
      </c>
      <c r="G1605" s="58" t="s">
        <v>3677</v>
      </c>
      <c r="H1605" s="546">
        <v>53680</v>
      </c>
      <c r="I1605" s="66">
        <v>44792</v>
      </c>
      <c r="J1605" s="411" t="s">
        <v>4599</v>
      </c>
      <c r="K1605" s="58"/>
      <c r="L1605" s="99"/>
      <c r="M1605" s="70" t="s">
        <v>4735</v>
      </c>
      <c r="N1605" s="97" t="s">
        <v>270</v>
      </c>
      <c r="O1605" s="58"/>
      <c r="P1605" s="58" t="s">
        <v>44</v>
      </c>
      <c r="Q1605" s="58" t="s">
        <v>58</v>
      </c>
      <c r="R1605" s="58" t="s">
        <v>272</v>
      </c>
    </row>
    <row r="1606" spans="1:18" ht="69" customHeight="1">
      <c r="A1606" s="168"/>
      <c r="B1606" s="178">
        <v>6486</v>
      </c>
      <c r="C1606" s="59" t="s">
        <v>3667</v>
      </c>
      <c r="D1606" s="575" t="s">
        <v>4766</v>
      </c>
      <c r="E1606" s="178" t="s">
        <v>755</v>
      </c>
      <c r="F1606" s="210" t="s">
        <v>4767</v>
      </c>
      <c r="G1606" s="58" t="s">
        <v>4615</v>
      </c>
      <c r="H1606" s="546">
        <v>439400.47</v>
      </c>
      <c r="I1606" s="66">
        <v>44802</v>
      </c>
      <c r="J1606" s="411" t="s">
        <v>4768</v>
      </c>
      <c r="K1606" s="58"/>
      <c r="L1606" s="99"/>
      <c r="M1606" s="70" t="s">
        <v>4752</v>
      </c>
      <c r="N1606" s="97" t="s">
        <v>716</v>
      </c>
      <c r="O1606" s="58"/>
      <c r="P1606" s="58" t="s">
        <v>28</v>
      </c>
      <c r="Q1606" s="58" t="s">
        <v>58</v>
      </c>
      <c r="R1606" s="58" t="s">
        <v>272</v>
      </c>
    </row>
    <row r="1607" spans="1:18" ht="69" customHeight="1">
      <c r="A1607" s="168"/>
      <c r="B1607" s="178">
        <v>6288</v>
      </c>
      <c r="C1607" s="178" t="s">
        <v>4277</v>
      </c>
      <c r="D1607" s="575" t="s">
        <v>1561</v>
      </c>
      <c r="E1607" s="178" t="s">
        <v>266</v>
      </c>
      <c r="F1607" s="210" t="s">
        <v>4769</v>
      </c>
      <c r="G1607" s="58" t="s">
        <v>790</v>
      </c>
      <c r="H1607" s="546">
        <v>2281.25</v>
      </c>
      <c r="I1607" s="66">
        <v>44834</v>
      </c>
      <c r="J1607" s="411" t="s">
        <v>4770</v>
      </c>
      <c r="K1607" s="58"/>
      <c r="L1607" s="99"/>
      <c r="M1607" s="70" t="s">
        <v>4771</v>
      </c>
      <c r="N1607" s="97" t="s">
        <v>683</v>
      </c>
      <c r="O1607" s="58" t="s">
        <v>684</v>
      </c>
      <c r="P1607" s="58" t="s">
        <v>46</v>
      </c>
      <c r="Q1607" s="58" t="s">
        <v>58</v>
      </c>
      <c r="R1607" s="58" t="s">
        <v>272</v>
      </c>
    </row>
    <row r="1608" spans="1:18" ht="69" customHeight="1">
      <c r="A1608" s="168"/>
      <c r="B1608" s="178">
        <v>6803</v>
      </c>
      <c r="C1608" s="59" t="s">
        <v>3667</v>
      </c>
      <c r="D1608" s="575" t="s">
        <v>4772</v>
      </c>
      <c r="E1608" s="178" t="s">
        <v>741</v>
      </c>
      <c r="F1608" s="210" t="s">
        <v>4773</v>
      </c>
      <c r="G1608" s="58" t="s">
        <v>738</v>
      </c>
      <c r="H1608" s="546">
        <v>253100.73</v>
      </c>
      <c r="I1608" s="66">
        <v>44832</v>
      </c>
      <c r="J1608" s="411" t="s">
        <v>4774</v>
      </c>
      <c r="K1608" s="58"/>
      <c r="L1608" s="99"/>
      <c r="M1608" s="70" t="s">
        <v>4775</v>
      </c>
      <c r="N1608" s="97" t="s">
        <v>741</v>
      </c>
      <c r="O1608" s="45" t="s">
        <v>154</v>
      </c>
      <c r="P1608" s="58" t="s">
        <v>59</v>
      </c>
      <c r="Q1608" s="58" t="s">
        <v>58</v>
      </c>
      <c r="R1608" s="58" t="s">
        <v>272</v>
      </c>
    </row>
    <row r="1609" spans="1:18" ht="69" customHeight="1">
      <c r="A1609" s="168"/>
      <c r="B1609" s="178">
        <v>6625</v>
      </c>
      <c r="C1609" s="59" t="s">
        <v>3667</v>
      </c>
      <c r="D1609" s="575" t="s">
        <v>4776</v>
      </c>
      <c r="E1609" s="178" t="s">
        <v>741</v>
      </c>
      <c r="F1609" s="210" t="s">
        <v>4777</v>
      </c>
      <c r="G1609" s="58" t="s">
        <v>738</v>
      </c>
      <c r="H1609" s="546">
        <v>216943.48</v>
      </c>
      <c r="I1609" s="66">
        <v>44813</v>
      </c>
      <c r="J1609" s="411" t="s">
        <v>4195</v>
      </c>
      <c r="K1609" s="58"/>
      <c r="L1609" s="99"/>
      <c r="M1609" s="70" t="s">
        <v>4775</v>
      </c>
      <c r="N1609" s="97" t="s">
        <v>741</v>
      </c>
      <c r="O1609" s="45" t="s">
        <v>154</v>
      </c>
      <c r="P1609" s="58" t="s">
        <v>59</v>
      </c>
      <c r="Q1609" s="58" t="s">
        <v>58</v>
      </c>
      <c r="R1609" s="58" t="s">
        <v>272</v>
      </c>
    </row>
    <row r="1610" spans="1:18" ht="69" customHeight="1">
      <c r="A1610" s="168"/>
      <c r="B1610" s="178">
        <v>7420</v>
      </c>
      <c r="C1610" s="178" t="s">
        <v>4277</v>
      </c>
      <c r="D1610" s="575" t="s">
        <v>1380</v>
      </c>
      <c r="E1610" s="178" t="s">
        <v>809</v>
      </c>
      <c r="F1610" s="210" t="s">
        <v>4778</v>
      </c>
      <c r="G1610" s="58" t="s">
        <v>811</v>
      </c>
      <c r="H1610" s="546">
        <v>15000.3</v>
      </c>
      <c r="I1610" s="66">
        <v>44879</v>
      </c>
      <c r="J1610" s="411" t="s">
        <v>812</v>
      </c>
      <c r="K1610" s="58"/>
      <c r="L1610" s="99"/>
      <c r="M1610" s="70" t="s">
        <v>4779</v>
      </c>
      <c r="N1610" s="97" t="s">
        <v>814</v>
      </c>
      <c r="O1610" s="58"/>
      <c r="P1610" s="58" t="s">
        <v>36</v>
      </c>
      <c r="Q1610" s="58" t="s">
        <v>58</v>
      </c>
      <c r="R1610" s="58" t="s">
        <v>272</v>
      </c>
    </row>
    <row r="1611" spans="1:18" ht="69" customHeight="1">
      <c r="A1611" s="168"/>
      <c r="B1611" s="178">
        <v>7551</v>
      </c>
      <c r="C1611" s="59" t="s">
        <v>3667</v>
      </c>
      <c r="D1611" s="575" t="s">
        <v>1114</v>
      </c>
      <c r="E1611" s="178" t="s">
        <v>741</v>
      </c>
      <c r="F1611" s="210" t="s">
        <v>4780</v>
      </c>
      <c r="G1611" s="58" t="s">
        <v>4781</v>
      </c>
      <c r="H1611" s="546">
        <v>253100.73</v>
      </c>
      <c r="I1611" s="66">
        <v>44888</v>
      </c>
      <c r="J1611" s="411" t="s">
        <v>4782</v>
      </c>
      <c r="K1611" s="58"/>
      <c r="L1611" s="99"/>
      <c r="M1611" s="70" t="s">
        <v>4775</v>
      </c>
      <c r="N1611" s="97" t="s">
        <v>741</v>
      </c>
      <c r="O1611" s="45" t="s">
        <v>154</v>
      </c>
      <c r="P1611" s="58" t="s">
        <v>59</v>
      </c>
      <c r="Q1611" s="58" t="s">
        <v>58</v>
      </c>
      <c r="R1611" s="58" t="s">
        <v>272</v>
      </c>
    </row>
    <row r="1612" spans="1:18" ht="69" customHeight="1">
      <c r="A1612" s="168"/>
      <c r="B1612" s="178">
        <v>7333</v>
      </c>
      <c r="C1612" s="178" t="s">
        <v>4277</v>
      </c>
      <c r="D1612" s="575" t="s">
        <v>4783</v>
      </c>
      <c r="E1612" s="178" t="s">
        <v>755</v>
      </c>
      <c r="F1612" s="210" t="s">
        <v>4784</v>
      </c>
      <c r="G1612" s="58" t="s">
        <v>1340</v>
      </c>
      <c r="H1612" s="546">
        <v>1464668.25</v>
      </c>
      <c r="I1612" s="66">
        <v>44865</v>
      </c>
      <c r="J1612" s="411" t="s">
        <v>4785</v>
      </c>
      <c r="K1612" s="58"/>
      <c r="L1612" s="99"/>
      <c r="M1612" s="70" t="s">
        <v>4752</v>
      </c>
      <c r="N1612" s="97" t="s">
        <v>716</v>
      </c>
      <c r="O1612" s="58"/>
      <c r="P1612" s="58" t="s">
        <v>28</v>
      </c>
      <c r="Q1612" s="58" t="s">
        <v>58</v>
      </c>
      <c r="R1612" s="58" t="s">
        <v>272</v>
      </c>
    </row>
    <row r="1613" spans="1:18" ht="69" customHeight="1">
      <c r="A1613" s="168"/>
      <c r="B1613" s="178">
        <v>8771</v>
      </c>
      <c r="C1613" s="178" t="s">
        <v>4728</v>
      </c>
      <c r="D1613" s="575" t="s">
        <v>4786</v>
      </c>
      <c r="E1613" s="178" t="s">
        <v>4651</v>
      </c>
      <c r="F1613" s="210" t="s">
        <v>4787</v>
      </c>
      <c r="G1613" s="58" t="s">
        <v>2153</v>
      </c>
      <c r="H1613" s="546">
        <v>57255.16</v>
      </c>
      <c r="I1613" s="66">
        <v>44973</v>
      </c>
      <c r="J1613" s="411" t="s">
        <v>4658</v>
      </c>
      <c r="K1613" s="58"/>
      <c r="L1613" s="99"/>
      <c r="M1613" s="70" t="s">
        <v>4788</v>
      </c>
      <c r="N1613" s="97" t="s">
        <v>356</v>
      </c>
      <c r="O1613" s="58" t="s">
        <v>141</v>
      </c>
      <c r="P1613" s="58" t="s">
        <v>19</v>
      </c>
      <c r="Q1613" s="58" t="s">
        <v>58</v>
      </c>
      <c r="R1613" s="58" t="s">
        <v>265</v>
      </c>
    </row>
    <row r="1614" spans="1:18" ht="69" customHeight="1">
      <c r="A1614" s="168"/>
      <c r="B1614" s="178">
        <v>8656</v>
      </c>
      <c r="C1614" s="178" t="s">
        <v>4277</v>
      </c>
      <c r="D1614" s="575" t="s">
        <v>2409</v>
      </c>
      <c r="E1614" s="178" t="s">
        <v>809</v>
      </c>
      <c r="F1614" s="210" t="s">
        <v>4789</v>
      </c>
      <c r="G1614" s="58" t="s">
        <v>823</v>
      </c>
      <c r="H1614" s="546">
        <v>17999.8</v>
      </c>
      <c r="I1614" s="66">
        <v>44949</v>
      </c>
      <c r="J1614" s="411" t="s">
        <v>824</v>
      </c>
      <c r="K1614" s="58"/>
      <c r="L1614" s="99"/>
      <c r="M1614" s="70" t="s">
        <v>4779</v>
      </c>
      <c r="N1614" s="97" t="s">
        <v>814</v>
      </c>
      <c r="O1614" s="58"/>
      <c r="P1614" s="58" t="s">
        <v>36</v>
      </c>
      <c r="Q1614" s="58" t="s">
        <v>58</v>
      </c>
      <c r="R1614" s="58" t="s">
        <v>272</v>
      </c>
    </row>
    <row r="1615" spans="1:18" ht="69" customHeight="1">
      <c r="A1615" s="168"/>
      <c r="B1615" s="178">
        <v>8735</v>
      </c>
      <c r="C1615" s="178" t="s">
        <v>4277</v>
      </c>
      <c r="D1615" s="575" t="s">
        <v>4790</v>
      </c>
      <c r="E1615" s="178" t="s">
        <v>755</v>
      </c>
      <c r="F1615" s="210" t="s">
        <v>4791</v>
      </c>
      <c r="G1615" s="58" t="s">
        <v>4502</v>
      </c>
      <c r="H1615" s="546">
        <v>1004322.31</v>
      </c>
      <c r="I1615" s="66">
        <v>44967</v>
      </c>
      <c r="J1615" s="411" t="s">
        <v>4792</v>
      </c>
      <c r="K1615" s="58"/>
      <c r="L1615" s="99"/>
      <c r="M1615" s="70" t="s">
        <v>4752</v>
      </c>
      <c r="N1615" s="97" t="s">
        <v>716</v>
      </c>
      <c r="O1615" s="58"/>
      <c r="P1615" s="58" t="s">
        <v>28</v>
      </c>
      <c r="Q1615" s="58" t="s">
        <v>58</v>
      </c>
      <c r="R1615" s="58" t="s">
        <v>272</v>
      </c>
    </row>
    <row r="1616" spans="1:18" ht="69" customHeight="1">
      <c r="A1616" s="168"/>
      <c r="B1616" s="178">
        <v>8728</v>
      </c>
      <c r="C1616" s="178" t="s">
        <v>4728</v>
      </c>
      <c r="D1616" s="575" t="s">
        <v>4793</v>
      </c>
      <c r="E1616" s="178" t="s">
        <v>755</v>
      </c>
      <c r="F1616" s="210" t="s">
        <v>4794</v>
      </c>
      <c r="G1616" s="58" t="s">
        <v>4664</v>
      </c>
      <c r="H1616" s="546">
        <v>48000</v>
      </c>
      <c r="I1616" s="66">
        <v>44974</v>
      </c>
      <c r="J1616" s="411" t="s">
        <v>4665</v>
      </c>
      <c r="K1616" s="58"/>
      <c r="L1616" s="99"/>
      <c r="M1616" s="70" t="s">
        <v>4752</v>
      </c>
      <c r="N1616" s="97" t="s">
        <v>716</v>
      </c>
      <c r="O1616" s="58"/>
      <c r="P1616" s="58" t="s">
        <v>44</v>
      </c>
      <c r="Q1616" s="58" t="s">
        <v>58</v>
      </c>
      <c r="R1616" s="58" t="s">
        <v>272</v>
      </c>
    </row>
    <row r="1617" spans="1:18" ht="69" customHeight="1">
      <c r="A1617" s="168"/>
      <c r="B1617" s="178">
        <v>8771</v>
      </c>
      <c r="C1617" s="178" t="s">
        <v>4277</v>
      </c>
      <c r="D1617" s="575" t="s">
        <v>4795</v>
      </c>
      <c r="E1617" s="178" t="s">
        <v>755</v>
      </c>
      <c r="F1617" s="210" t="s">
        <v>4796</v>
      </c>
      <c r="G1617" s="58" t="s">
        <v>4797</v>
      </c>
      <c r="H1617" s="546">
        <v>460345.94</v>
      </c>
      <c r="I1617" s="66">
        <v>44974</v>
      </c>
      <c r="J1617" s="411" t="s">
        <v>4798</v>
      </c>
      <c r="K1617" s="58"/>
      <c r="L1617" s="99"/>
      <c r="M1617" s="70" t="s">
        <v>4752</v>
      </c>
      <c r="N1617" s="97" t="s">
        <v>716</v>
      </c>
      <c r="O1617" s="58"/>
      <c r="P1617" s="58" t="s">
        <v>28</v>
      </c>
      <c r="Q1617" s="58" t="s">
        <v>58</v>
      </c>
      <c r="R1617" s="58" t="s">
        <v>272</v>
      </c>
    </row>
    <row r="1618" spans="1:18" ht="69" customHeight="1">
      <c r="A1618" s="168"/>
      <c r="B1618" s="178">
        <v>8945</v>
      </c>
      <c r="C1618" s="59" t="s">
        <v>3667</v>
      </c>
      <c r="D1618" s="575" t="s">
        <v>4799</v>
      </c>
      <c r="E1618" s="178" t="s">
        <v>741</v>
      </c>
      <c r="F1618" s="210" t="s">
        <v>4800</v>
      </c>
      <c r="G1618" s="58" t="s">
        <v>4678</v>
      </c>
      <c r="H1618" s="546">
        <v>8622.44</v>
      </c>
      <c r="I1618" s="66">
        <v>44988</v>
      </c>
      <c r="J1618" s="411" t="s">
        <v>4679</v>
      </c>
      <c r="K1618" s="58"/>
      <c r="L1618" s="99"/>
      <c r="M1618" s="70" t="s">
        <v>4775</v>
      </c>
      <c r="N1618" s="97" t="s">
        <v>741</v>
      </c>
      <c r="O1618" s="45" t="s">
        <v>154</v>
      </c>
      <c r="P1618" s="58" t="s">
        <v>59</v>
      </c>
      <c r="Q1618" s="58" t="s">
        <v>58</v>
      </c>
      <c r="R1618" s="58" t="s">
        <v>272</v>
      </c>
    </row>
    <row r="1619" spans="1:18" ht="69" customHeight="1">
      <c r="A1619" s="168"/>
      <c r="B1619" s="178">
        <v>8838</v>
      </c>
      <c r="C1619" s="178" t="s">
        <v>4277</v>
      </c>
      <c r="D1619" s="575" t="s">
        <v>4801</v>
      </c>
      <c r="E1619" s="178" t="s">
        <v>809</v>
      </c>
      <c r="F1619" s="210" t="s">
        <v>4802</v>
      </c>
      <c r="G1619" s="58" t="s">
        <v>845</v>
      </c>
      <c r="H1619" s="546">
        <v>14000</v>
      </c>
      <c r="I1619" s="66">
        <v>44948</v>
      </c>
      <c r="J1619" s="411" t="s">
        <v>846</v>
      </c>
      <c r="K1619" s="58"/>
      <c r="L1619" s="99"/>
      <c r="M1619" s="70" t="s">
        <v>4779</v>
      </c>
      <c r="N1619" s="97" t="s">
        <v>814</v>
      </c>
      <c r="O1619" s="58"/>
      <c r="P1619" s="58" t="s">
        <v>36</v>
      </c>
      <c r="Q1619" s="58" t="s">
        <v>58</v>
      </c>
      <c r="R1619" s="58" t="s">
        <v>272</v>
      </c>
    </row>
    <row r="1620" spans="1:18" ht="69" customHeight="1">
      <c r="A1620" s="168"/>
      <c r="B1620" s="178">
        <v>8993</v>
      </c>
      <c r="C1620" s="178" t="s">
        <v>4277</v>
      </c>
      <c r="D1620" s="575" t="s">
        <v>4803</v>
      </c>
      <c r="E1620" s="178" t="s">
        <v>4550</v>
      </c>
      <c r="F1620" s="210" t="s">
        <v>4804</v>
      </c>
      <c r="G1620" s="58" t="s">
        <v>4805</v>
      </c>
      <c r="H1620" s="546">
        <v>93000</v>
      </c>
      <c r="I1620" s="66">
        <v>45001</v>
      </c>
      <c r="J1620" s="411" t="s">
        <v>4689</v>
      </c>
      <c r="K1620" s="58"/>
      <c r="L1620" s="99"/>
      <c r="M1620" s="70" t="s">
        <v>4731</v>
      </c>
      <c r="N1620" s="97" t="s">
        <v>356</v>
      </c>
      <c r="O1620" s="58" t="s">
        <v>141</v>
      </c>
      <c r="P1620" s="58" t="s">
        <v>19</v>
      </c>
      <c r="Q1620" s="58" t="s">
        <v>58</v>
      </c>
      <c r="R1620" s="58" t="s">
        <v>272</v>
      </c>
    </row>
    <row r="1621" spans="1:18" ht="69" customHeight="1">
      <c r="A1621" s="168"/>
      <c r="B1621" s="191">
        <v>9086</v>
      </c>
      <c r="C1621" s="191" t="s">
        <v>4277</v>
      </c>
      <c r="D1621" s="533" t="s">
        <v>4806</v>
      </c>
      <c r="E1621" s="191" t="s">
        <v>755</v>
      </c>
      <c r="F1621" s="211" t="s">
        <v>4807</v>
      </c>
      <c r="G1621" s="46" t="s">
        <v>4808</v>
      </c>
      <c r="H1621" s="534">
        <v>133549.51999999999</v>
      </c>
      <c r="I1621" s="56">
        <v>45000</v>
      </c>
      <c r="J1621" s="412" t="s">
        <v>4809</v>
      </c>
      <c r="K1621" s="46" t="s">
        <v>1170</v>
      </c>
      <c r="L1621" s="99"/>
      <c r="M1621" s="379" t="s">
        <v>4752</v>
      </c>
      <c r="N1621" s="76" t="s">
        <v>716</v>
      </c>
      <c r="O1621" s="46" t="s">
        <v>1170</v>
      </c>
      <c r="P1621" s="46" t="s">
        <v>65</v>
      </c>
      <c r="Q1621" s="46" t="s">
        <v>58</v>
      </c>
      <c r="R1621" s="46" t="s">
        <v>272</v>
      </c>
    </row>
    <row r="1622" spans="1:18" ht="69" customHeight="1">
      <c r="A1622" s="168"/>
      <c r="B1622" s="178">
        <v>9005</v>
      </c>
      <c r="C1622" s="178" t="s">
        <v>4277</v>
      </c>
      <c r="D1622" s="575" t="s">
        <v>4810</v>
      </c>
      <c r="E1622" s="178" t="s">
        <v>809</v>
      </c>
      <c r="F1622" s="210" t="s">
        <v>4811</v>
      </c>
      <c r="G1622" s="58" t="s">
        <v>863</v>
      </c>
      <c r="H1622" s="546">
        <v>5999.7</v>
      </c>
      <c r="I1622" s="66" t="s">
        <v>96</v>
      </c>
      <c r="J1622" s="411" t="s">
        <v>864</v>
      </c>
      <c r="K1622" s="58"/>
      <c r="L1622" s="99"/>
      <c r="M1622" s="70" t="s">
        <v>4779</v>
      </c>
      <c r="N1622" s="97" t="s">
        <v>814</v>
      </c>
      <c r="O1622" s="58"/>
      <c r="P1622" s="58" t="s">
        <v>36</v>
      </c>
      <c r="Q1622" s="58" t="s">
        <v>58</v>
      </c>
      <c r="R1622" s="58" t="s">
        <v>272</v>
      </c>
    </row>
    <row r="1623" spans="1:18" ht="69" customHeight="1">
      <c r="A1623" s="168"/>
      <c r="B1623" s="178">
        <v>9370</v>
      </c>
      <c r="C1623" s="178" t="s">
        <v>4728</v>
      </c>
      <c r="D1623" s="575" t="s">
        <v>4812</v>
      </c>
      <c r="E1623" s="178" t="s">
        <v>266</v>
      </c>
      <c r="F1623" s="210" t="s">
        <v>4813</v>
      </c>
      <c r="G1623" s="58" t="s">
        <v>4101</v>
      </c>
      <c r="H1623" s="546">
        <v>60.44</v>
      </c>
      <c r="I1623" s="66">
        <v>45009</v>
      </c>
      <c r="J1623" s="411" t="s">
        <v>4102</v>
      </c>
      <c r="K1623" s="58"/>
      <c r="L1623" s="99"/>
      <c r="M1623" s="70" t="s">
        <v>4735</v>
      </c>
      <c r="N1623" s="97" t="s">
        <v>270</v>
      </c>
      <c r="O1623" s="58"/>
      <c r="P1623" s="58" t="s">
        <v>44</v>
      </c>
      <c r="Q1623" s="58" t="s">
        <v>58</v>
      </c>
      <c r="R1623" s="58" t="s">
        <v>272</v>
      </c>
    </row>
    <row r="1624" spans="1:18" ht="69" customHeight="1">
      <c r="A1624" s="168"/>
      <c r="B1624" s="178">
        <v>9727</v>
      </c>
      <c r="C1624" s="178" t="s">
        <v>4277</v>
      </c>
      <c r="D1624" s="575" t="s">
        <v>4814</v>
      </c>
      <c r="E1624" s="178" t="s">
        <v>1372</v>
      </c>
      <c r="F1624" s="210" t="s">
        <v>4815</v>
      </c>
      <c r="G1624" s="58" t="s">
        <v>4816</v>
      </c>
      <c r="H1624" s="546">
        <v>124200</v>
      </c>
      <c r="I1624" s="66">
        <v>45041</v>
      </c>
      <c r="J1624" s="411" t="s">
        <v>4707</v>
      </c>
      <c r="K1624" s="58"/>
      <c r="L1624" s="99"/>
      <c r="M1624" s="70" t="s">
        <v>4817</v>
      </c>
      <c r="N1624" s="97" t="s">
        <v>1372</v>
      </c>
      <c r="O1624" s="58"/>
      <c r="P1624" s="58" t="s">
        <v>57</v>
      </c>
      <c r="Q1624" s="58" t="s">
        <v>58</v>
      </c>
      <c r="R1624" s="58" t="s">
        <v>272</v>
      </c>
    </row>
    <row r="1625" spans="1:18" ht="69" customHeight="1">
      <c r="A1625" s="168"/>
      <c r="B1625" s="178">
        <v>9706</v>
      </c>
      <c r="C1625" s="178" t="s">
        <v>4277</v>
      </c>
      <c r="D1625" s="575" t="s">
        <v>4818</v>
      </c>
      <c r="E1625" s="178" t="s">
        <v>809</v>
      </c>
      <c r="F1625" s="210" t="s">
        <v>4811</v>
      </c>
      <c r="G1625" s="58" t="s">
        <v>874</v>
      </c>
      <c r="H1625" s="546">
        <v>14000</v>
      </c>
      <c r="I1625" s="66" t="s">
        <v>96</v>
      </c>
      <c r="J1625" s="411" t="s">
        <v>875</v>
      </c>
      <c r="K1625" s="58"/>
      <c r="L1625" s="99"/>
      <c r="M1625" s="70" t="s">
        <v>4779</v>
      </c>
      <c r="N1625" s="97" t="s">
        <v>814</v>
      </c>
      <c r="O1625" s="58"/>
      <c r="P1625" s="58" t="s">
        <v>36</v>
      </c>
      <c r="Q1625" s="58" t="s">
        <v>58</v>
      </c>
      <c r="R1625" s="58" t="s">
        <v>272</v>
      </c>
    </row>
    <row r="1626" spans="1:18" ht="69" customHeight="1">
      <c r="A1626" s="168"/>
      <c r="B1626" s="178">
        <v>9817</v>
      </c>
      <c r="C1626" s="59" t="s">
        <v>3667</v>
      </c>
      <c r="D1626" s="575" t="s">
        <v>4819</v>
      </c>
      <c r="E1626" s="178" t="s">
        <v>266</v>
      </c>
      <c r="F1626" s="210" t="s">
        <v>4820</v>
      </c>
      <c r="G1626" s="58" t="s">
        <v>590</v>
      </c>
      <c r="H1626" s="546">
        <v>1150</v>
      </c>
      <c r="I1626" s="66">
        <v>45041</v>
      </c>
      <c r="J1626" s="411" t="s">
        <v>4105</v>
      </c>
      <c r="K1626" s="58"/>
      <c r="L1626" s="99"/>
      <c r="M1626" s="70" t="s">
        <v>4735</v>
      </c>
      <c r="N1626" s="97" t="s">
        <v>270</v>
      </c>
      <c r="O1626" s="58"/>
      <c r="P1626" s="58" t="s">
        <v>44</v>
      </c>
      <c r="Q1626" s="58" t="s">
        <v>58</v>
      </c>
      <c r="R1626" s="58" t="s">
        <v>272</v>
      </c>
    </row>
    <row r="1627" spans="1:18" ht="69" customHeight="1">
      <c r="A1627" s="168"/>
      <c r="B1627" s="178">
        <v>9935</v>
      </c>
      <c r="C1627" s="178" t="s">
        <v>4277</v>
      </c>
      <c r="D1627" s="575" t="s">
        <v>4821</v>
      </c>
      <c r="E1627" s="178" t="s">
        <v>1372</v>
      </c>
      <c r="F1627" s="210" t="s">
        <v>4822</v>
      </c>
      <c r="G1627" s="58" t="s">
        <v>4823</v>
      </c>
      <c r="H1627" s="546">
        <v>28705.86</v>
      </c>
      <c r="I1627" s="66">
        <v>45049</v>
      </c>
      <c r="J1627" s="411" t="s">
        <v>4719</v>
      </c>
      <c r="K1627" s="58"/>
      <c r="L1627" s="99"/>
      <c r="M1627" s="70" t="s">
        <v>4817</v>
      </c>
      <c r="N1627" s="97" t="s">
        <v>1372</v>
      </c>
      <c r="O1627" s="58"/>
      <c r="P1627" s="58" t="s">
        <v>57</v>
      </c>
      <c r="Q1627" s="58" t="s">
        <v>58</v>
      </c>
      <c r="R1627" s="58" t="s">
        <v>272</v>
      </c>
    </row>
    <row r="1628" spans="1:18" ht="69" customHeight="1">
      <c r="A1628" s="168"/>
      <c r="B1628" s="178">
        <v>9963</v>
      </c>
      <c r="C1628" s="178" t="s">
        <v>4277</v>
      </c>
      <c r="D1628" s="575" t="s">
        <v>4824</v>
      </c>
      <c r="E1628" s="178" t="s">
        <v>382</v>
      </c>
      <c r="F1628" s="210" t="s">
        <v>4825</v>
      </c>
      <c r="G1628" s="58" t="s">
        <v>4724</v>
      </c>
      <c r="H1628" s="546">
        <v>2892.13</v>
      </c>
      <c r="I1628" s="66">
        <v>45061</v>
      </c>
      <c r="J1628" s="411" t="s">
        <v>4725</v>
      </c>
      <c r="K1628" s="58"/>
      <c r="L1628" s="99"/>
      <c r="M1628" s="70" t="s">
        <v>4747</v>
      </c>
      <c r="N1628" s="97" t="s">
        <v>387</v>
      </c>
      <c r="O1628" s="58" t="s">
        <v>150</v>
      </c>
      <c r="P1628" s="58" t="s">
        <v>51</v>
      </c>
      <c r="Q1628" s="58" t="s">
        <v>58</v>
      </c>
      <c r="R1628" s="58" t="s">
        <v>272</v>
      </c>
    </row>
    <row r="1629" spans="1:18" ht="69" customHeight="1">
      <c r="A1629" s="168"/>
      <c r="B1629" s="191">
        <v>2980</v>
      </c>
      <c r="C1629" s="191" t="s">
        <v>3643</v>
      </c>
      <c r="D1629" s="533" t="s">
        <v>4826</v>
      </c>
      <c r="E1629" s="191" t="s">
        <v>331</v>
      </c>
      <c r="F1629" s="211" t="s">
        <v>4827</v>
      </c>
      <c r="G1629" s="46" t="s">
        <v>3646</v>
      </c>
      <c r="H1629" s="534">
        <v>0</v>
      </c>
      <c r="I1629" s="56" t="s">
        <v>96</v>
      </c>
      <c r="J1629" s="412" t="s">
        <v>334</v>
      </c>
      <c r="K1629" s="46"/>
      <c r="L1629" s="99"/>
      <c r="M1629" s="379" t="s">
        <v>60</v>
      </c>
      <c r="N1629" s="76" t="s">
        <v>69</v>
      </c>
      <c r="O1629" s="46"/>
      <c r="P1629" s="46" t="s">
        <v>69</v>
      </c>
      <c r="Q1629" s="46" t="s">
        <v>60</v>
      </c>
      <c r="R1629" s="46" t="s">
        <v>272</v>
      </c>
    </row>
    <row r="1630" spans="1:18" ht="69" customHeight="1">
      <c r="A1630" s="168"/>
      <c r="B1630" s="191">
        <v>3207</v>
      </c>
      <c r="C1630" s="191" t="s">
        <v>4277</v>
      </c>
      <c r="D1630" s="533" t="s">
        <v>650</v>
      </c>
      <c r="E1630" s="191" t="s">
        <v>331</v>
      </c>
      <c r="F1630" s="211" t="s">
        <v>4827</v>
      </c>
      <c r="G1630" s="46" t="s">
        <v>3646</v>
      </c>
      <c r="H1630" s="534">
        <v>0</v>
      </c>
      <c r="I1630" s="56" t="s">
        <v>96</v>
      </c>
      <c r="J1630" s="412" t="s">
        <v>334</v>
      </c>
      <c r="K1630" s="46"/>
      <c r="L1630" s="99"/>
      <c r="M1630" s="379" t="s">
        <v>60</v>
      </c>
      <c r="N1630" s="76" t="s">
        <v>69</v>
      </c>
      <c r="O1630" s="46"/>
      <c r="P1630" s="46" t="s">
        <v>69</v>
      </c>
      <c r="Q1630" s="46" t="s">
        <v>60</v>
      </c>
      <c r="R1630" s="46" t="s">
        <v>272</v>
      </c>
    </row>
    <row r="1631" spans="1:18" ht="69" customHeight="1">
      <c r="A1631" s="168"/>
      <c r="B1631" s="178">
        <v>4159</v>
      </c>
      <c r="C1631" s="178" t="s">
        <v>4277</v>
      </c>
      <c r="D1631" s="575" t="s">
        <v>3584</v>
      </c>
      <c r="E1631" s="178" t="s">
        <v>266</v>
      </c>
      <c r="F1631" s="210" t="s">
        <v>4828</v>
      </c>
      <c r="G1631" s="58" t="s">
        <v>4829</v>
      </c>
      <c r="H1631" s="546">
        <v>639.22</v>
      </c>
      <c r="I1631" s="66">
        <v>44636</v>
      </c>
      <c r="J1631" s="411" t="s">
        <v>4830</v>
      </c>
      <c r="K1631" s="58"/>
      <c r="L1631" s="99"/>
      <c r="M1631" s="70" t="s">
        <v>4831</v>
      </c>
      <c r="N1631" s="97" t="s">
        <v>270</v>
      </c>
      <c r="O1631" s="58"/>
      <c r="P1631" s="58" t="s">
        <v>44</v>
      </c>
      <c r="Q1631" s="58" t="s">
        <v>60</v>
      </c>
      <c r="R1631" s="58" t="s">
        <v>272</v>
      </c>
    </row>
    <row r="1632" spans="1:18" ht="69" customHeight="1">
      <c r="A1632" s="168"/>
      <c r="B1632" s="178">
        <v>4008</v>
      </c>
      <c r="C1632" s="178" t="s">
        <v>4277</v>
      </c>
      <c r="D1632" s="575" t="s">
        <v>4832</v>
      </c>
      <c r="E1632" s="178" t="s">
        <v>266</v>
      </c>
      <c r="F1632" s="210" t="s">
        <v>4833</v>
      </c>
      <c r="G1632" s="58" t="s">
        <v>1107</v>
      </c>
      <c r="H1632" s="546">
        <v>7293.34</v>
      </c>
      <c r="I1632" s="66">
        <v>44643</v>
      </c>
      <c r="J1632" s="411" t="s">
        <v>4834</v>
      </c>
      <c r="K1632" s="58"/>
      <c r="L1632" s="99"/>
      <c r="M1632" s="70" t="s">
        <v>4835</v>
      </c>
      <c r="N1632" s="97" t="s">
        <v>970</v>
      </c>
      <c r="O1632" s="58" t="s">
        <v>971</v>
      </c>
      <c r="P1632" s="58" t="s">
        <v>38</v>
      </c>
      <c r="Q1632" s="58" t="s">
        <v>60</v>
      </c>
      <c r="R1632" s="58" t="s">
        <v>272</v>
      </c>
    </row>
    <row r="1633" spans="1:18" ht="69" customHeight="1">
      <c r="A1633" s="168"/>
      <c r="B1633" s="178">
        <v>4299</v>
      </c>
      <c r="C1633" s="59" t="s">
        <v>3667</v>
      </c>
      <c r="D1633" s="575" t="s">
        <v>4836</v>
      </c>
      <c r="E1633" s="178" t="s">
        <v>266</v>
      </c>
      <c r="F1633" s="210" t="s">
        <v>4837</v>
      </c>
      <c r="G1633" s="58" t="s">
        <v>307</v>
      </c>
      <c r="H1633" s="546">
        <v>12000</v>
      </c>
      <c r="I1633" s="66">
        <v>44659</v>
      </c>
      <c r="J1633" s="411" t="s">
        <v>4838</v>
      </c>
      <c r="K1633" s="58"/>
      <c r="L1633" s="99"/>
      <c r="M1633" s="70" t="s">
        <v>4831</v>
      </c>
      <c r="N1633" s="97" t="s">
        <v>270</v>
      </c>
      <c r="O1633" s="58"/>
      <c r="P1633" s="58" t="s">
        <v>44</v>
      </c>
      <c r="Q1633" s="58" t="s">
        <v>60</v>
      </c>
      <c r="R1633" s="58" t="s">
        <v>272</v>
      </c>
    </row>
    <row r="1634" spans="1:18" ht="69" customHeight="1">
      <c r="A1634" s="168"/>
      <c r="B1634" s="178">
        <v>4738</v>
      </c>
      <c r="C1634" s="178" t="s">
        <v>4277</v>
      </c>
      <c r="D1634" s="575" t="s">
        <v>4839</v>
      </c>
      <c r="E1634" s="178" t="s">
        <v>331</v>
      </c>
      <c r="F1634" s="210" t="s">
        <v>4840</v>
      </c>
      <c r="G1634" s="58"/>
      <c r="H1634" s="546">
        <v>3389.12</v>
      </c>
      <c r="I1634" s="66">
        <v>44678</v>
      </c>
      <c r="J1634" s="411" t="s">
        <v>4841</v>
      </c>
      <c r="K1634" s="58"/>
      <c r="L1634" s="99"/>
      <c r="M1634" s="70" t="s">
        <v>4831</v>
      </c>
      <c r="N1634" s="97" t="s">
        <v>270</v>
      </c>
      <c r="O1634" s="58"/>
      <c r="P1634" s="58" t="s">
        <v>44</v>
      </c>
      <c r="Q1634" s="58" t="s">
        <v>60</v>
      </c>
      <c r="R1634" s="58" t="s">
        <v>272</v>
      </c>
    </row>
    <row r="1635" spans="1:18" ht="69" customHeight="1">
      <c r="A1635" s="168"/>
      <c r="B1635" s="178">
        <v>4100</v>
      </c>
      <c r="C1635" s="178" t="s">
        <v>4277</v>
      </c>
      <c r="D1635" s="575" t="s">
        <v>626</v>
      </c>
      <c r="E1635" s="178" t="s">
        <v>266</v>
      </c>
      <c r="F1635" s="210" t="s">
        <v>4842</v>
      </c>
      <c r="G1635" s="58" t="s">
        <v>3674</v>
      </c>
      <c r="H1635" s="546">
        <v>10690</v>
      </c>
      <c r="I1635" s="66">
        <v>44676</v>
      </c>
      <c r="J1635" s="411" t="s">
        <v>4843</v>
      </c>
      <c r="K1635" s="58"/>
      <c r="L1635" s="99"/>
      <c r="M1635" s="70" t="s">
        <v>4831</v>
      </c>
      <c r="N1635" s="97" t="s">
        <v>270</v>
      </c>
      <c r="O1635" s="58"/>
      <c r="P1635" s="58" t="s">
        <v>44</v>
      </c>
      <c r="Q1635" s="58" t="s">
        <v>60</v>
      </c>
      <c r="R1635" s="58" t="s">
        <v>272</v>
      </c>
    </row>
    <row r="1636" spans="1:18" ht="69" customHeight="1">
      <c r="A1636" s="168"/>
      <c r="B1636" s="178">
        <v>4782</v>
      </c>
      <c r="C1636" s="59" t="s">
        <v>3667</v>
      </c>
      <c r="D1636" s="575" t="s">
        <v>1271</v>
      </c>
      <c r="E1636" s="178" t="s">
        <v>266</v>
      </c>
      <c r="F1636" s="210" t="s">
        <v>4844</v>
      </c>
      <c r="G1636" s="58" t="s">
        <v>392</v>
      </c>
      <c r="H1636" s="546">
        <v>513.1</v>
      </c>
      <c r="I1636" s="66">
        <v>44683</v>
      </c>
      <c r="J1636" s="411" t="s">
        <v>4845</v>
      </c>
      <c r="K1636" s="58"/>
      <c r="L1636" s="99"/>
      <c r="M1636" s="70" t="s">
        <v>4831</v>
      </c>
      <c r="N1636" s="97" t="s">
        <v>270</v>
      </c>
      <c r="O1636" s="58"/>
      <c r="P1636" s="58" t="s">
        <v>44</v>
      </c>
      <c r="Q1636" s="58" t="s">
        <v>60</v>
      </c>
      <c r="R1636" s="58" t="s">
        <v>272</v>
      </c>
    </row>
    <row r="1637" spans="1:18" ht="69" customHeight="1">
      <c r="A1637" s="168"/>
      <c r="B1637" s="178">
        <v>4783</v>
      </c>
      <c r="C1637" s="59" t="s">
        <v>3667</v>
      </c>
      <c r="D1637" s="575" t="s">
        <v>1490</v>
      </c>
      <c r="E1637" s="178" t="s">
        <v>266</v>
      </c>
      <c r="F1637" s="210" t="s">
        <v>4846</v>
      </c>
      <c r="G1637" s="58" t="s">
        <v>392</v>
      </c>
      <c r="H1637" s="546">
        <v>319.81</v>
      </c>
      <c r="I1637" s="66">
        <v>44683</v>
      </c>
      <c r="J1637" s="411" t="s">
        <v>4847</v>
      </c>
      <c r="K1637" s="58"/>
      <c r="L1637" s="99"/>
      <c r="M1637" s="70" t="s">
        <v>4831</v>
      </c>
      <c r="N1637" s="97" t="s">
        <v>270</v>
      </c>
      <c r="O1637" s="58"/>
      <c r="P1637" s="58" t="s">
        <v>44</v>
      </c>
      <c r="Q1637" s="58" t="s">
        <v>60</v>
      </c>
      <c r="R1637" s="58" t="s">
        <v>272</v>
      </c>
    </row>
    <row r="1638" spans="1:18" ht="69" customHeight="1">
      <c r="A1638" s="168"/>
      <c r="B1638" s="178">
        <v>4791</v>
      </c>
      <c r="C1638" s="59" t="s">
        <v>3667</v>
      </c>
      <c r="D1638" s="575" t="s">
        <v>2702</v>
      </c>
      <c r="E1638" s="178" t="s">
        <v>266</v>
      </c>
      <c r="F1638" s="210" t="s">
        <v>4848</v>
      </c>
      <c r="G1638" s="58" t="s">
        <v>4574</v>
      </c>
      <c r="H1638" s="546">
        <v>1431.09</v>
      </c>
      <c r="I1638" s="66">
        <v>44687</v>
      </c>
      <c r="J1638" s="411" t="s">
        <v>4849</v>
      </c>
      <c r="K1638" s="58"/>
      <c r="L1638" s="99"/>
      <c r="M1638" s="70" t="s">
        <v>4831</v>
      </c>
      <c r="N1638" s="97" t="s">
        <v>270</v>
      </c>
      <c r="O1638" s="58"/>
      <c r="P1638" s="58" t="s">
        <v>44</v>
      </c>
      <c r="Q1638" s="58" t="s">
        <v>60</v>
      </c>
      <c r="R1638" s="58" t="s">
        <v>272</v>
      </c>
    </row>
    <row r="1639" spans="1:18" ht="69" customHeight="1">
      <c r="A1639" s="168"/>
      <c r="B1639" s="178">
        <v>4792</v>
      </c>
      <c r="C1639" s="59" t="s">
        <v>3667</v>
      </c>
      <c r="D1639" s="575" t="s">
        <v>4850</v>
      </c>
      <c r="E1639" s="178" t="s">
        <v>266</v>
      </c>
      <c r="F1639" s="210" t="s">
        <v>4851</v>
      </c>
      <c r="G1639" s="58" t="s">
        <v>4574</v>
      </c>
      <c r="H1639" s="546">
        <v>513.1</v>
      </c>
      <c r="I1639" s="66">
        <v>44687</v>
      </c>
      <c r="J1639" s="411" t="s">
        <v>4852</v>
      </c>
      <c r="K1639" s="58"/>
      <c r="L1639" s="99"/>
      <c r="M1639" s="70" t="s">
        <v>4831</v>
      </c>
      <c r="N1639" s="97" t="s">
        <v>270</v>
      </c>
      <c r="O1639" s="58"/>
      <c r="P1639" s="58" t="s">
        <v>44</v>
      </c>
      <c r="Q1639" s="58" t="s">
        <v>60</v>
      </c>
      <c r="R1639" s="58" t="s">
        <v>272</v>
      </c>
    </row>
    <row r="1640" spans="1:18" ht="69" customHeight="1">
      <c r="A1640" s="168"/>
      <c r="B1640" s="178">
        <v>4793</v>
      </c>
      <c r="C1640" s="59" t="s">
        <v>3667</v>
      </c>
      <c r="D1640" s="575" t="s">
        <v>2921</v>
      </c>
      <c r="E1640" s="178" t="s">
        <v>266</v>
      </c>
      <c r="F1640" s="210" t="s">
        <v>4853</v>
      </c>
      <c r="G1640" s="58" t="s">
        <v>4574</v>
      </c>
      <c r="H1640" s="546">
        <v>319.81</v>
      </c>
      <c r="I1640" s="66">
        <v>44687</v>
      </c>
      <c r="J1640" s="411" t="s">
        <v>4854</v>
      </c>
      <c r="K1640" s="58"/>
      <c r="L1640" s="99"/>
      <c r="M1640" s="70" t="s">
        <v>4831</v>
      </c>
      <c r="N1640" s="97" t="s">
        <v>270</v>
      </c>
      <c r="O1640" s="58"/>
      <c r="P1640" s="58" t="s">
        <v>44</v>
      </c>
      <c r="Q1640" s="58" t="s">
        <v>60</v>
      </c>
      <c r="R1640" s="58" t="s">
        <v>272</v>
      </c>
    </row>
    <row r="1641" spans="1:18" ht="69" customHeight="1">
      <c r="A1641" s="168"/>
      <c r="B1641" s="178">
        <v>4738</v>
      </c>
      <c r="C1641" s="178" t="s">
        <v>4277</v>
      </c>
      <c r="D1641" s="575" t="s">
        <v>2014</v>
      </c>
      <c r="E1641" s="178" t="s">
        <v>331</v>
      </c>
      <c r="F1641" s="210" t="s">
        <v>4855</v>
      </c>
      <c r="G1641" s="58" t="s">
        <v>372</v>
      </c>
      <c r="H1641" s="546">
        <v>30502.100000000002</v>
      </c>
      <c r="I1641" s="66">
        <v>44701</v>
      </c>
      <c r="J1641" s="411" t="s">
        <v>4856</v>
      </c>
      <c r="K1641" s="58"/>
      <c r="L1641" s="99"/>
      <c r="M1641" s="70" t="s">
        <v>4831</v>
      </c>
      <c r="N1641" s="97" t="s">
        <v>270</v>
      </c>
      <c r="O1641" s="58"/>
      <c r="P1641" s="58" t="s">
        <v>44</v>
      </c>
      <c r="Q1641" s="58" t="s">
        <v>60</v>
      </c>
      <c r="R1641" s="58" t="s">
        <v>272</v>
      </c>
    </row>
    <row r="1642" spans="1:18" ht="69" customHeight="1">
      <c r="A1642" s="168"/>
      <c r="B1642" s="178">
        <v>4008</v>
      </c>
      <c r="C1642" s="178" t="s">
        <v>4277</v>
      </c>
      <c r="D1642" s="575"/>
      <c r="E1642" s="178" t="s">
        <v>266</v>
      </c>
      <c r="F1642" s="210" t="s">
        <v>4857</v>
      </c>
      <c r="G1642" s="58" t="s">
        <v>1107</v>
      </c>
      <c r="H1642" s="552">
        <v>0</v>
      </c>
      <c r="I1642" s="66" t="s">
        <v>96</v>
      </c>
      <c r="J1642" s="411" t="s">
        <v>4858</v>
      </c>
      <c r="K1642" s="58"/>
      <c r="L1642" s="99"/>
      <c r="M1642" s="70" t="s">
        <v>4835</v>
      </c>
      <c r="N1642" s="97" t="s">
        <v>970</v>
      </c>
      <c r="O1642" s="58" t="s">
        <v>971</v>
      </c>
      <c r="P1642" s="58" t="s">
        <v>38</v>
      </c>
      <c r="Q1642" s="58" t="s">
        <v>60</v>
      </c>
      <c r="R1642" s="58" t="s">
        <v>272</v>
      </c>
    </row>
    <row r="1643" spans="1:18" ht="69" customHeight="1">
      <c r="A1643" s="168"/>
      <c r="B1643" s="178">
        <v>1</v>
      </c>
      <c r="C1643" s="59" t="s">
        <v>3667</v>
      </c>
      <c r="D1643" s="575" t="s">
        <v>957</v>
      </c>
      <c r="E1643" s="178" t="s">
        <v>382</v>
      </c>
      <c r="F1643" s="210" t="s">
        <v>4859</v>
      </c>
      <c r="G1643" s="58" t="s">
        <v>384</v>
      </c>
      <c r="H1643" s="546">
        <v>27761.33</v>
      </c>
      <c r="I1643" s="66">
        <v>44739</v>
      </c>
      <c r="J1643" s="411" t="s">
        <v>4860</v>
      </c>
      <c r="K1643" s="58"/>
      <c r="L1643" s="99"/>
      <c r="M1643" s="70" t="s">
        <v>4861</v>
      </c>
      <c r="N1643" s="97" t="s">
        <v>387</v>
      </c>
      <c r="O1643" s="58" t="s">
        <v>150</v>
      </c>
      <c r="P1643" s="58" t="s">
        <v>51</v>
      </c>
      <c r="Q1643" s="58" t="s">
        <v>60</v>
      </c>
      <c r="R1643" s="58" t="s">
        <v>272</v>
      </c>
    </row>
    <row r="1644" spans="1:18" ht="69" customHeight="1">
      <c r="A1644" s="168"/>
      <c r="B1644" s="178">
        <v>1</v>
      </c>
      <c r="C1644" s="59" t="s">
        <v>3667</v>
      </c>
      <c r="D1644" s="575" t="s">
        <v>1728</v>
      </c>
      <c r="E1644" s="178" t="s">
        <v>382</v>
      </c>
      <c r="F1644" s="210" t="s">
        <v>4862</v>
      </c>
      <c r="G1644" s="58" t="s">
        <v>384</v>
      </c>
      <c r="H1644" s="546">
        <v>39819.519999999997</v>
      </c>
      <c r="I1644" s="66">
        <v>44739</v>
      </c>
      <c r="J1644" s="411" t="s">
        <v>4863</v>
      </c>
      <c r="K1644" s="58"/>
      <c r="L1644" s="99"/>
      <c r="M1644" s="70" t="s">
        <v>4861</v>
      </c>
      <c r="N1644" s="97" t="s">
        <v>387</v>
      </c>
      <c r="O1644" s="58" t="s">
        <v>150</v>
      </c>
      <c r="P1644" s="58" t="s">
        <v>51</v>
      </c>
      <c r="Q1644" s="58" t="s">
        <v>60</v>
      </c>
      <c r="R1644" s="58" t="s">
        <v>272</v>
      </c>
    </row>
    <row r="1645" spans="1:18" ht="69" customHeight="1">
      <c r="A1645" s="168"/>
      <c r="B1645" s="178">
        <v>5018</v>
      </c>
      <c r="C1645" s="178" t="s">
        <v>4277</v>
      </c>
      <c r="D1645" s="575" t="s">
        <v>3198</v>
      </c>
      <c r="E1645" s="178" t="s">
        <v>266</v>
      </c>
      <c r="F1645" s="210" t="s">
        <v>4864</v>
      </c>
      <c r="G1645" s="58" t="s">
        <v>1753</v>
      </c>
      <c r="H1645" s="546">
        <v>5390</v>
      </c>
      <c r="I1645" s="66">
        <v>44762</v>
      </c>
      <c r="J1645" s="411" t="s">
        <v>4865</v>
      </c>
      <c r="K1645" s="58" t="s">
        <v>705</v>
      </c>
      <c r="L1645" s="99"/>
      <c r="M1645" s="70" t="s">
        <v>4831</v>
      </c>
      <c r="N1645" s="97" t="s">
        <v>270</v>
      </c>
      <c r="O1645" s="58"/>
      <c r="P1645" s="58" t="s">
        <v>44</v>
      </c>
      <c r="Q1645" s="58" t="s">
        <v>60</v>
      </c>
      <c r="R1645" s="58" t="s">
        <v>272</v>
      </c>
    </row>
    <row r="1646" spans="1:18" ht="69" customHeight="1">
      <c r="A1646" s="168"/>
      <c r="B1646" s="178">
        <v>6057</v>
      </c>
      <c r="C1646" s="178" t="s">
        <v>4277</v>
      </c>
      <c r="D1646" s="575" t="s">
        <v>2759</v>
      </c>
      <c r="E1646" s="178" t="s">
        <v>266</v>
      </c>
      <c r="F1646" s="210" t="s">
        <v>4866</v>
      </c>
      <c r="G1646" s="58" t="s">
        <v>680</v>
      </c>
      <c r="H1646" s="546">
        <v>7000</v>
      </c>
      <c r="I1646" s="66" t="s">
        <v>96</v>
      </c>
      <c r="J1646" s="411" t="s">
        <v>4867</v>
      </c>
      <c r="K1646" s="58"/>
      <c r="L1646" s="99"/>
      <c r="M1646" s="70" t="s">
        <v>4868</v>
      </c>
      <c r="N1646" s="97" t="s">
        <v>683</v>
      </c>
      <c r="O1646" s="58" t="s">
        <v>684</v>
      </c>
      <c r="P1646" s="58" t="s">
        <v>46</v>
      </c>
      <c r="Q1646" s="58" t="s">
        <v>60</v>
      </c>
      <c r="R1646" s="58" t="s">
        <v>272</v>
      </c>
    </row>
    <row r="1647" spans="1:18" ht="69" customHeight="1">
      <c r="A1647" s="168"/>
      <c r="B1647" s="178">
        <v>6085</v>
      </c>
      <c r="C1647" s="178" t="s">
        <v>4277</v>
      </c>
      <c r="D1647" s="575" t="s">
        <v>2280</v>
      </c>
      <c r="E1647" s="178" t="s">
        <v>409</v>
      </c>
      <c r="F1647" s="210" t="s">
        <v>4869</v>
      </c>
      <c r="G1647" s="58" t="s">
        <v>411</v>
      </c>
      <c r="H1647" s="546">
        <v>403650</v>
      </c>
      <c r="I1647" s="66">
        <v>44769</v>
      </c>
      <c r="J1647" s="411" t="s">
        <v>4870</v>
      </c>
      <c r="K1647" s="58"/>
      <c r="L1647" s="99"/>
      <c r="M1647" s="70" t="s">
        <v>4871</v>
      </c>
      <c r="N1647" s="97" t="s">
        <v>414</v>
      </c>
      <c r="O1647" s="58"/>
      <c r="P1647" s="58" t="s">
        <v>22</v>
      </c>
      <c r="Q1647" s="58" t="s">
        <v>60</v>
      </c>
      <c r="R1647" s="58" t="s">
        <v>272</v>
      </c>
    </row>
    <row r="1648" spans="1:18" ht="69" customHeight="1">
      <c r="A1648" s="168"/>
      <c r="B1648" s="178">
        <v>6325</v>
      </c>
      <c r="C1648" s="178" t="s">
        <v>4277</v>
      </c>
      <c r="D1648" s="575" t="s">
        <v>4872</v>
      </c>
      <c r="E1648" s="178" t="s">
        <v>741</v>
      </c>
      <c r="F1648" s="210" t="s">
        <v>4873</v>
      </c>
      <c r="G1648" s="58" t="s">
        <v>738</v>
      </c>
      <c r="H1648" s="546">
        <v>56000</v>
      </c>
      <c r="I1648" s="66">
        <v>44790</v>
      </c>
      <c r="J1648" s="411" t="s">
        <v>4874</v>
      </c>
      <c r="K1648" s="58"/>
      <c r="L1648" s="99"/>
      <c r="M1648" s="70" t="s">
        <v>4875</v>
      </c>
      <c r="N1648" s="97" t="s">
        <v>741</v>
      </c>
      <c r="O1648" s="58"/>
      <c r="P1648" s="58" t="s">
        <v>59</v>
      </c>
      <c r="Q1648" s="58" t="s">
        <v>60</v>
      </c>
      <c r="R1648" s="58" t="s">
        <v>272</v>
      </c>
    </row>
    <row r="1649" spans="1:18" ht="69" customHeight="1">
      <c r="A1649" s="168"/>
      <c r="B1649" s="178">
        <v>6387</v>
      </c>
      <c r="C1649" s="178" t="s">
        <v>4277</v>
      </c>
      <c r="D1649" s="575" t="s">
        <v>728</v>
      </c>
      <c r="E1649" s="178" t="s">
        <v>266</v>
      </c>
      <c r="F1649" s="210" t="s">
        <v>4876</v>
      </c>
      <c r="G1649" s="58" t="s">
        <v>1107</v>
      </c>
      <c r="H1649" s="546">
        <v>7293.34</v>
      </c>
      <c r="I1649" s="66">
        <v>44799</v>
      </c>
      <c r="J1649" s="411" t="s">
        <v>4877</v>
      </c>
      <c r="K1649" s="58"/>
      <c r="L1649" s="99"/>
      <c r="M1649" s="70" t="s">
        <v>4835</v>
      </c>
      <c r="N1649" s="97" t="s">
        <v>970</v>
      </c>
      <c r="O1649" s="58" t="s">
        <v>971</v>
      </c>
      <c r="P1649" s="58" t="s">
        <v>38</v>
      </c>
      <c r="Q1649" s="58" t="s">
        <v>60</v>
      </c>
      <c r="R1649" s="58" t="s">
        <v>272</v>
      </c>
    </row>
    <row r="1650" spans="1:18" ht="69" customHeight="1">
      <c r="A1650" s="168"/>
      <c r="B1650" s="178">
        <v>6410</v>
      </c>
      <c r="C1650" s="178" t="s">
        <v>4277</v>
      </c>
      <c r="D1650" s="575" t="s">
        <v>4878</v>
      </c>
      <c r="E1650" s="178" t="s">
        <v>432</v>
      </c>
      <c r="F1650" s="210" t="s">
        <v>4879</v>
      </c>
      <c r="G1650" s="58" t="s">
        <v>429</v>
      </c>
      <c r="H1650" s="546">
        <v>13959.486000000001</v>
      </c>
      <c r="I1650" s="66">
        <v>44802</v>
      </c>
      <c r="J1650" s="411" t="s">
        <v>4880</v>
      </c>
      <c r="K1650" s="58"/>
      <c r="L1650" s="99"/>
      <c r="M1650" s="70" t="s">
        <v>4881</v>
      </c>
      <c r="N1650" s="97" t="s">
        <v>432</v>
      </c>
      <c r="O1650" s="58"/>
      <c r="P1650" s="58" t="s">
        <v>53</v>
      </c>
      <c r="Q1650" s="58" t="s">
        <v>60</v>
      </c>
      <c r="R1650" s="58" t="s">
        <v>272</v>
      </c>
    </row>
    <row r="1651" spans="1:18" ht="69" customHeight="1">
      <c r="A1651" s="168"/>
      <c r="B1651" s="178">
        <v>6473</v>
      </c>
      <c r="C1651" s="178" t="s">
        <v>4277</v>
      </c>
      <c r="D1651" s="575" t="s">
        <v>1357</v>
      </c>
      <c r="E1651" s="178" t="s">
        <v>4173</v>
      </c>
      <c r="F1651" s="210" t="s">
        <v>4882</v>
      </c>
      <c r="G1651" s="58" t="s">
        <v>3723</v>
      </c>
      <c r="H1651" s="546">
        <v>137325.42000000001</v>
      </c>
      <c r="I1651" s="66">
        <v>44804</v>
      </c>
      <c r="J1651" s="411" t="s">
        <v>4883</v>
      </c>
      <c r="K1651" s="58"/>
      <c r="L1651" s="99"/>
      <c r="M1651" s="70" t="s">
        <v>4884</v>
      </c>
      <c r="N1651" s="97" t="s">
        <v>414</v>
      </c>
      <c r="O1651" s="58"/>
      <c r="P1651" s="58" t="s">
        <v>22</v>
      </c>
      <c r="Q1651" s="58" t="s">
        <v>60</v>
      </c>
      <c r="R1651" s="58" t="s">
        <v>265</v>
      </c>
    </row>
    <row r="1652" spans="1:18" ht="69" customHeight="1">
      <c r="A1652" s="168"/>
      <c r="B1652" s="178">
        <v>6474</v>
      </c>
      <c r="C1652" s="178" t="s">
        <v>4277</v>
      </c>
      <c r="D1652" s="575" t="s">
        <v>3362</v>
      </c>
      <c r="E1652" s="178" t="s">
        <v>4173</v>
      </c>
      <c r="F1652" s="210" t="s">
        <v>4885</v>
      </c>
      <c r="G1652" s="58" t="s">
        <v>3723</v>
      </c>
      <c r="H1652" s="546">
        <v>38571.22</v>
      </c>
      <c r="I1652" s="66">
        <v>44804</v>
      </c>
      <c r="J1652" s="411" t="s">
        <v>4883</v>
      </c>
      <c r="K1652" s="58"/>
      <c r="L1652" s="99"/>
      <c r="M1652" s="70" t="s">
        <v>4884</v>
      </c>
      <c r="N1652" s="97" t="s">
        <v>414</v>
      </c>
      <c r="O1652" s="58"/>
      <c r="P1652" s="58" t="s">
        <v>22</v>
      </c>
      <c r="Q1652" s="58" t="s">
        <v>60</v>
      </c>
      <c r="R1652" s="58" t="s">
        <v>265</v>
      </c>
    </row>
    <row r="1653" spans="1:18" ht="69" customHeight="1">
      <c r="A1653" s="168"/>
      <c r="B1653" s="178">
        <v>6479</v>
      </c>
      <c r="C1653" s="178" t="s">
        <v>4277</v>
      </c>
      <c r="D1653" s="575" t="s">
        <v>561</v>
      </c>
      <c r="E1653" s="178" t="s">
        <v>4173</v>
      </c>
      <c r="F1653" s="210" t="s">
        <v>4886</v>
      </c>
      <c r="G1653" s="58" t="s">
        <v>2828</v>
      </c>
      <c r="H1653" s="546">
        <v>23197.9</v>
      </c>
      <c r="I1653" s="66">
        <v>44804</v>
      </c>
      <c r="J1653" s="411" t="s">
        <v>4883</v>
      </c>
      <c r="K1653" s="58"/>
      <c r="L1653" s="99"/>
      <c r="M1653" s="70" t="s">
        <v>4884</v>
      </c>
      <c r="N1653" s="97" t="s">
        <v>414</v>
      </c>
      <c r="O1653" s="58"/>
      <c r="P1653" s="58" t="s">
        <v>22</v>
      </c>
      <c r="Q1653" s="58" t="s">
        <v>60</v>
      </c>
      <c r="R1653" s="58" t="s">
        <v>265</v>
      </c>
    </row>
    <row r="1654" spans="1:18" ht="69" customHeight="1">
      <c r="A1654" s="168"/>
      <c r="B1654" s="178">
        <v>6132</v>
      </c>
      <c r="C1654" s="178" t="s">
        <v>4277</v>
      </c>
      <c r="D1654" s="575" t="s">
        <v>4887</v>
      </c>
      <c r="E1654" s="178" t="s">
        <v>741</v>
      </c>
      <c r="F1654" s="210" t="s">
        <v>4888</v>
      </c>
      <c r="G1654" s="58" t="s">
        <v>738</v>
      </c>
      <c r="H1654" s="546">
        <v>42000</v>
      </c>
      <c r="I1654" s="66">
        <v>44783</v>
      </c>
      <c r="J1654" s="411" t="s">
        <v>4874</v>
      </c>
      <c r="K1654" s="58"/>
      <c r="L1654" s="99"/>
      <c r="M1654" s="70" t="s">
        <v>4875</v>
      </c>
      <c r="N1654" s="97" t="s">
        <v>741</v>
      </c>
      <c r="O1654" s="58"/>
      <c r="P1654" s="58" t="s">
        <v>59</v>
      </c>
      <c r="Q1654" s="58" t="s">
        <v>60</v>
      </c>
      <c r="R1654" s="58" t="s">
        <v>272</v>
      </c>
    </row>
    <row r="1655" spans="1:18" ht="69" customHeight="1">
      <c r="A1655" s="168"/>
      <c r="B1655" s="178">
        <v>6568</v>
      </c>
      <c r="C1655" s="178" t="s">
        <v>4277</v>
      </c>
      <c r="D1655" s="575" t="s">
        <v>4887</v>
      </c>
      <c r="E1655" s="178" t="s">
        <v>741</v>
      </c>
      <c r="F1655" s="210" t="s">
        <v>4889</v>
      </c>
      <c r="G1655" s="58" t="s">
        <v>4890</v>
      </c>
      <c r="H1655" s="546">
        <v>42000</v>
      </c>
      <c r="I1655" s="66">
        <v>44816</v>
      </c>
      <c r="J1655" s="411" t="s">
        <v>4874</v>
      </c>
      <c r="K1655" s="58"/>
      <c r="L1655" s="99"/>
      <c r="M1655" s="70" t="s">
        <v>4875</v>
      </c>
      <c r="N1655" s="97" t="s">
        <v>741</v>
      </c>
      <c r="O1655" s="58"/>
      <c r="P1655" s="58" t="s">
        <v>59</v>
      </c>
      <c r="Q1655" s="58" t="s">
        <v>60</v>
      </c>
      <c r="R1655" s="58" t="s">
        <v>272</v>
      </c>
    </row>
    <row r="1656" spans="1:18" ht="69" customHeight="1">
      <c r="A1656" s="168"/>
      <c r="B1656" s="178">
        <v>6696</v>
      </c>
      <c r="C1656" s="178" t="s">
        <v>4277</v>
      </c>
      <c r="D1656" s="575" t="s">
        <v>4891</v>
      </c>
      <c r="E1656" s="178" t="s">
        <v>4173</v>
      </c>
      <c r="F1656" s="210" t="s">
        <v>4892</v>
      </c>
      <c r="G1656" s="58" t="s">
        <v>4197</v>
      </c>
      <c r="H1656" s="546">
        <v>3401.31</v>
      </c>
      <c r="I1656" s="66">
        <v>44823</v>
      </c>
      <c r="J1656" s="411" t="s">
        <v>4893</v>
      </c>
      <c r="K1656" s="58"/>
      <c r="L1656" s="99"/>
      <c r="M1656" s="70" t="s">
        <v>4884</v>
      </c>
      <c r="N1656" s="97" t="s">
        <v>414</v>
      </c>
      <c r="O1656" s="58"/>
      <c r="P1656" s="58" t="s">
        <v>22</v>
      </c>
      <c r="Q1656" s="58" t="s">
        <v>60</v>
      </c>
      <c r="R1656" s="58" t="s">
        <v>265</v>
      </c>
    </row>
    <row r="1657" spans="1:18" ht="69" customHeight="1">
      <c r="A1657" s="168"/>
      <c r="B1657" s="178">
        <v>6697</v>
      </c>
      <c r="C1657" s="178" t="s">
        <v>4277</v>
      </c>
      <c r="D1657" s="575" t="s">
        <v>4894</v>
      </c>
      <c r="E1657" s="178" t="s">
        <v>4173</v>
      </c>
      <c r="F1657" s="210" t="s">
        <v>4895</v>
      </c>
      <c r="G1657" s="58" t="s">
        <v>4197</v>
      </c>
      <c r="H1657" s="546">
        <v>4960</v>
      </c>
      <c r="I1657" s="66">
        <v>44823</v>
      </c>
      <c r="J1657" s="411" t="s">
        <v>4893</v>
      </c>
      <c r="K1657" s="58"/>
      <c r="L1657" s="99"/>
      <c r="M1657" s="70" t="s">
        <v>4884</v>
      </c>
      <c r="N1657" s="97" t="s">
        <v>414</v>
      </c>
      <c r="O1657" s="58"/>
      <c r="P1657" s="58" t="s">
        <v>22</v>
      </c>
      <c r="Q1657" s="58" t="s">
        <v>60</v>
      </c>
      <c r="R1657" s="58" t="s">
        <v>265</v>
      </c>
    </row>
    <row r="1658" spans="1:18" ht="69" customHeight="1">
      <c r="A1658" s="168"/>
      <c r="B1658" s="178">
        <v>6698</v>
      </c>
      <c r="C1658" s="178" t="s">
        <v>4277</v>
      </c>
      <c r="D1658" s="575" t="s">
        <v>4896</v>
      </c>
      <c r="E1658" s="178" t="s">
        <v>4173</v>
      </c>
      <c r="F1658" s="210" t="s">
        <v>4897</v>
      </c>
      <c r="G1658" s="58" t="s">
        <v>3744</v>
      </c>
      <c r="H1658" s="546">
        <v>17200</v>
      </c>
      <c r="I1658" s="66">
        <v>44823</v>
      </c>
      <c r="J1658" s="411" t="s">
        <v>4893</v>
      </c>
      <c r="K1658" s="58"/>
      <c r="L1658" s="99"/>
      <c r="M1658" s="70" t="s">
        <v>4884</v>
      </c>
      <c r="N1658" s="97" t="s">
        <v>414</v>
      </c>
      <c r="O1658" s="58"/>
      <c r="P1658" s="58" t="s">
        <v>22</v>
      </c>
      <c r="Q1658" s="58" t="s">
        <v>60</v>
      </c>
      <c r="R1658" s="58" t="s">
        <v>265</v>
      </c>
    </row>
    <row r="1659" spans="1:18" ht="69" customHeight="1">
      <c r="A1659" s="168"/>
      <c r="B1659" s="178">
        <v>6732</v>
      </c>
      <c r="C1659" s="178" t="s">
        <v>4277</v>
      </c>
      <c r="D1659" s="575" t="s">
        <v>4898</v>
      </c>
      <c r="E1659" s="178" t="s">
        <v>266</v>
      </c>
      <c r="F1659" s="210" t="s">
        <v>4899</v>
      </c>
      <c r="G1659" s="58" t="s">
        <v>3747</v>
      </c>
      <c r="H1659" s="546">
        <v>4250</v>
      </c>
      <c r="I1659" s="66">
        <v>44827</v>
      </c>
      <c r="J1659" s="411" t="s">
        <v>4900</v>
      </c>
      <c r="K1659" s="58"/>
      <c r="L1659" s="99"/>
      <c r="M1659" s="70" t="s">
        <v>4831</v>
      </c>
      <c r="N1659" s="97" t="s">
        <v>270</v>
      </c>
      <c r="O1659" s="58"/>
      <c r="P1659" s="58" t="s">
        <v>44</v>
      </c>
      <c r="Q1659" s="58" t="s">
        <v>60</v>
      </c>
      <c r="R1659" s="58" t="s">
        <v>272</v>
      </c>
    </row>
    <row r="1660" spans="1:18" ht="69" customHeight="1">
      <c r="A1660" s="168"/>
      <c r="B1660" s="178">
        <v>6740</v>
      </c>
      <c r="C1660" s="178" t="s">
        <v>4277</v>
      </c>
      <c r="D1660" s="575" t="s">
        <v>4901</v>
      </c>
      <c r="E1660" s="178" t="s">
        <v>4173</v>
      </c>
      <c r="F1660" s="210" t="s">
        <v>4902</v>
      </c>
      <c r="G1660" s="58" t="s">
        <v>1048</v>
      </c>
      <c r="H1660" s="546">
        <v>40009.599999999999</v>
      </c>
      <c r="I1660" s="66">
        <v>44827</v>
      </c>
      <c r="J1660" s="411" t="s">
        <v>4903</v>
      </c>
      <c r="K1660" s="58"/>
      <c r="L1660" s="99"/>
      <c r="M1660" s="70" t="s">
        <v>4884</v>
      </c>
      <c r="N1660" s="97" t="s">
        <v>414</v>
      </c>
      <c r="O1660" s="58"/>
      <c r="P1660" s="58" t="s">
        <v>22</v>
      </c>
      <c r="Q1660" s="58" t="s">
        <v>60</v>
      </c>
      <c r="R1660" s="58" t="s">
        <v>265</v>
      </c>
    </row>
    <row r="1661" spans="1:18" ht="69" customHeight="1">
      <c r="A1661" s="168"/>
      <c r="B1661" s="178">
        <v>6769</v>
      </c>
      <c r="C1661" s="178" t="s">
        <v>4277</v>
      </c>
      <c r="D1661" s="575" t="s">
        <v>4904</v>
      </c>
      <c r="E1661" s="178" t="s">
        <v>4173</v>
      </c>
      <c r="F1661" s="210" t="s">
        <v>4905</v>
      </c>
      <c r="G1661" s="58" t="s">
        <v>1048</v>
      </c>
      <c r="H1661" s="546">
        <v>22000</v>
      </c>
      <c r="I1661" s="66">
        <v>44830</v>
      </c>
      <c r="J1661" s="411" t="s">
        <v>4906</v>
      </c>
      <c r="K1661" s="58"/>
      <c r="L1661" s="99"/>
      <c r="M1661" s="70" t="s">
        <v>4884</v>
      </c>
      <c r="N1661" s="97" t="s">
        <v>414</v>
      </c>
      <c r="O1661" s="58"/>
      <c r="P1661" s="58" t="s">
        <v>22</v>
      </c>
      <c r="Q1661" s="58" t="s">
        <v>60</v>
      </c>
      <c r="R1661" s="58" t="s">
        <v>265</v>
      </c>
    </row>
    <row r="1662" spans="1:18" ht="69" customHeight="1">
      <c r="A1662" s="168"/>
      <c r="B1662" s="178">
        <v>6771</v>
      </c>
      <c r="C1662" s="178" t="s">
        <v>4277</v>
      </c>
      <c r="D1662" s="575" t="s">
        <v>2306</v>
      </c>
      <c r="E1662" s="178" t="s">
        <v>4173</v>
      </c>
      <c r="F1662" s="210" t="s">
        <v>4907</v>
      </c>
      <c r="G1662" s="58" t="s">
        <v>1048</v>
      </c>
      <c r="H1662" s="546">
        <v>6699</v>
      </c>
      <c r="I1662" s="66">
        <v>44830</v>
      </c>
      <c r="J1662" s="411" t="s">
        <v>4908</v>
      </c>
      <c r="K1662" s="58"/>
      <c r="L1662" s="99"/>
      <c r="M1662" s="70" t="s">
        <v>4884</v>
      </c>
      <c r="N1662" s="97" t="s">
        <v>414</v>
      </c>
      <c r="O1662" s="58"/>
      <c r="P1662" s="58" t="s">
        <v>22</v>
      </c>
      <c r="Q1662" s="58" t="s">
        <v>60</v>
      </c>
      <c r="R1662" s="58" t="s">
        <v>265</v>
      </c>
    </row>
    <row r="1663" spans="1:18" ht="69" customHeight="1">
      <c r="A1663" s="168"/>
      <c r="B1663" s="178">
        <v>7274</v>
      </c>
      <c r="C1663" s="178" t="s">
        <v>4277</v>
      </c>
      <c r="D1663" s="575" t="s">
        <v>4909</v>
      </c>
      <c r="E1663" s="178" t="s">
        <v>4173</v>
      </c>
      <c r="F1663" s="210" t="s">
        <v>4910</v>
      </c>
      <c r="G1663" s="58" t="s">
        <v>4911</v>
      </c>
      <c r="H1663" s="546">
        <v>28230</v>
      </c>
      <c r="I1663" s="66">
        <v>44868</v>
      </c>
      <c r="J1663" s="411" t="s">
        <v>3773</v>
      </c>
      <c r="K1663" s="58"/>
      <c r="L1663" s="99"/>
      <c r="M1663" s="70" t="s">
        <v>4884</v>
      </c>
      <c r="N1663" s="97" t="s">
        <v>414</v>
      </c>
      <c r="O1663" s="58"/>
      <c r="P1663" s="58" t="s">
        <v>22</v>
      </c>
      <c r="Q1663" s="58" t="s">
        <v>60</v>
      </c>
      <c r="R1663" s="58" t="s">
        <v>265</v>
      </c>
    </row>
    <row r="1664" spans="1:18" ht="69" customHeight="1">
      <c r="A1664" s="168"/>
      <c r="B1664" s="178">
        <v>7266</v>
      </c>
      <c r="C1664" s="178" t="s">
        <v>4277</v>
      </c>
      <c r="D1664" s="575" t="s">
        <v>3582</v>
      </c>
      <c r="E1664" s="178" t="s">
        <v>4173</v>
      </c>
      <c r="F1664" s="210" t="s">
        <v>4912</v>
      </c>
      <c r="G1664" s="58" t="s">
        <v>1048</v>
      </c>
      <c r="H1664" s="546">
        <v>9120</v>
      </c>
      <c r="I1664" s="66">
        <v>44862</v>
      </c>
      <c r="J1664" s="411" t="s">
        <v>4913</v>
      </c>
      <c r="K1664" s="58"/>
      <c r="L1664" s="99"/>
      <c r="M1664" s="70" t="s">
        <v>4884</v>
      </c>
      <c r="N1664" s="97" t="s">
        <v>414</v>
      </c>
      <c r="O1664" s="58"/>
      <c r="P1664" s="58" t="s">
        <v>22</v>
      </c>
      <c r="Q1664" s="58" t="s">
        <v>60</v>
      </c>
      <c r="R1664" s="58" t="s">
        <v>265</v>
      </c>
    </row>
    <row r="1665" spans="1:18" ht="69" customHeight="1">
      <c r="A1665" s="168"/>
      <c r="B1665" s="178"/>
      <c r="C1665" s="178" t="s">
        <v>4277</v>
      </c>
      <c r="D1665" s="575"/>
      <c r="E1665" s="178" t="s">
        <v>4173</v>
      </c>
      <c r="F1665" s="210" t="s">
        <v>4914</v>
      </c>
      <c r="G1665" s="58" t="s">
        <v>3891</v>
      </c>
      <c r="H1665" s="546">
        <v>17200</v>
      </c>
      <c r="I1665" s="66" t="s">
        <v>96</v>
      </c>
      <c r="J1665" s="411"/>
      <c r="K1665" s="58" t="s">
        <v>4915</v>
      </c>
      <c r="L1665" s="99"/>
      <c r="M1665" s="70" t="s">
        <v>4884</v>
      </c>
      <c r="N1665" s="97" t="s">
        <v>414</v>
      </c>
      <c r="O1665" s="58"/>
      <c r="P1665" s="58" t="s">
        <v>22</v>
      </c>
      <c r="Q1665" s="58" t="s">
        <v>60</v>
      </c>
      <c r="R1665" s="58" t="s">
        <v>265</v>
      </c>
    </row>
    <row r="1666" spans="1:18" ht="69" customHeight="1">
      <c r="A1666" s="168"/>
      <c r="B1666" s="178">
        <v>6759</v>
      </c>
      <c r="C1666" s="178" t="s">
        <v>4277</v>
      </c>
      <c r="D1666" s="575" t="s">
        <v>4916</v>
      </c>
      <c r="E1666" s="178" t="s">
        <v>4173</v>
      </c>
      <c r="F1666" s="210" t="s">
        <v>4917</v>
      </c>
      <c r="G1666" s="58" t="s">
        <v>4197</v>
      </c>
      <c r="H1666" s="546">
        <v>3606.61</v>
      </c>
      <c r="I1666" s="66">
        <v>44834</v>
      </c>
      <c r="J1666" s="411" t="s">
        <v>4893</v>
      </c>
      <c r="K1666" s="58"/>
      <c r="L1666" s="99"/>
      <c r="M1666" s="70" t="s">
        <v>4884</v>
      </c>
      <c r="N1666" s="97" t="s">
        <v>414</v>
      </c>
      <c r="O1666" s="58"/>
      <c r="P1666" s="58" t="s">
        <v>22</v>
      </c>
      <c r="Q1666" s="58" t="s">
        <v>60</v>
      </c>
      <c r="R1666" s="58" t="s">
        <v>265</v>
      </c>
    </row>
    <row r="1667" spans="1:18" ht="69" customHeight="1">
      <c r="A1667" s="168"/>
      <c r="B1667" s="178">
        <v>6772</v>
      </c>
      <c r="C1667" s="178" t="s">
        <v>4277</v>
      </c>
      <c r="D1667" s="575" t="s">
        <v>4918</v>
      </c>
      <c r="E1667" s="178" t="s">
        <v>4173</v>
      </c>
      <c r="F1667" s="210" t="s">
        <v>4919</v>
      </c>
      <c r="G1667" s="58" t="s">
        <v>1048</v>
      </c>
      <c r="H1667" s="546">
        <v>15000</v>
      </c>
      <c r="I1667" s="66">
        <v>44834</v>
      </c>
      <c r="J1667" s="411" t="s">
        <v>4920</v>
      </c>
      <c r="K1667" s="58"/>
      <c r="L1667" s="99"/>
      <c r="M1667" s="70" t="s">
        <v>4884</v>
      </c>
      <c r="N1667" s="97" t="s">
        <v>414</v>
      </c>
      <c r="O1667" s="58"/>
      <c r="P1667" s="58" t="s">
        <v>22</v>
      </c>
      <c r="Q1667" s="58" t="s">
        <v>60</v>
      </c>
      <c r="R1667" s="58" t="s">
        <v>265</v>
      </c>
    </row>
    <row r="1668" spans="1:18" ht="69" customHeight="1">
      <c r="A1668" s="168"/>
      <c r="B1668" s="178">
        <v>6773</v>
      </c>
      <c r="C1668" s="178" t="s">
        <v>4277</v>
      </c>
      <c r="D1668" s="575" t="s">
        <v>4921</v>
      </c>
      <c r="E1668" s="178" t="s">
        <v>4173</v>
      </c>
      <c r="F1668" s="210" t="s">
        <v>4922</v>
      </c>
      <c r="G1668" s="58" t="s">
        <v>1048</v>
      </c>
      <c r="H1668" s="546">
        <v>13158</v>
      </c>
      <c r="I1668" s="66">
        <v>44834</v>
      </c>
      <c r="J1668" s="411" t="s">
        <v>4923</v>
      </c>
      <c r="K1668" s="58"/>
      <c r="L1668" s="99"/>
      <c r="M1668" s="70" t="s">
        <v>4884</v>
      </c>
      <c r="N1668" s="97" t="s">
        <v>414</v>
      </c>
      <c r="O1668" s="58"/>
      <c r="P1668" s="58" t="s">
        <v>22</v>
      </c>
      <c r="Q1668" s="58" t="s">
        <v>60</v>
      </c>
      <c r="R1668" s="58" t="s">
        <v>265</v>
      </c>
    </row>
    <row r="1669" spans="1:18" ht="69" customHeight="1">
      <c r="A1669" s="168"/>
      <c r="B1669" s="178">
        <v>7268</v>
      </c>
      <c r="C1669" s="178" t="s">
        <v>4277</v>
      </c>
      <c r="D1669" s="575" t="s">
        <v>1073</v>
      </c>
      <c r="E1669" s="178" t="s">
        <v>4173</v>
      </c>
      <c r="F1669" s="210" t="s">
        <v>4924</v>
      </c>
      <c r="G1669" s="58" t="s">
        <v>1048</v>
      </c>
      <c r="H1669" s="546">
        <v>3737.35</v>
      </c>
      <c r="I1669" s="66">
        <v>44863</v>
      </c>
      <c r="J1669" s="411" t="s">
        <v>4913</v>
      </c>
      <c r="K1669" s="58"/>
      <c r="L1669" s="99"/>
      <c r="M1669" s="70" t="s">
        <v>4884</v>
      </c>
      <c r="N1669" s="97" t="s">
        <v>414</v>
      </c>
      <c r="O1669" s="58"/>
      <c r="P1669" s="58" t="s">
        <v>22</v>
      </c>
      <c r="Q1669" s="58" t="s">
        <v>60</v>
      </c>
      <c r="R1669" s="58" t="s">
        <v>265</v>
      </c>
    </row>
    <row r="1670" spans="1:18" ht="69" customHeight="1">
      <c r="A1670" s="168"/>
      <c r="B1670" s="178">
        <v>7267</v>
      </c>
      <c r="C1670" s="178" t="s">
        <v>4277</v>
      </c>
      <c r="D1670" s="575" t="s">
        <v>3594</v>
      </c>
      <c r="E1670" s="178" t="s">
        <v>4173</v>
      </c>
      <c r="F1670" s="210" t="s">
        <v>4925</v>
      </c>
      <c r="G1670" s="58" t="s">
        <v>1048</v>
      </c>
      <c r="H1670" s="546">
        <v>10000</v>
      </c>
      <c r="I1670" s="66">
        <v>44862</v>
      </c>
      <c r="J1670" s="411" t="s">
        <v>4913</v>
      </c>
      <c r="K1670" s="58"/>
      <c r="L1670" s="99"/>
      <c r="M1670" s="70" t="s">
        <v>4884</v>
      </c>
      <c r="N1670" s="97" t="s">
        <v>414</v>
      </c>
      <c r="O1670" s="58"/>
      <c r="P1670" s="58" t="s">
        <v>22</v>
      </c>
      <c r="Q1670" s="58" t="s">
        <v>60</v>
      </c>
      <c r="R1670" s="58" t="s">
        <v>265</v>
      </c>
    </row>
    <row r="1671" spans="1:18" ht="69" customHeight="1">
      <c r="A1671" s="168"/>
      <c r="B1671" s="178">
        <v>6765</v>
      </c>
      <c r="C1671" s="178" t="s">
        <v>4277</v>
      </c>
      <c r="D1671" s="575" t="s">
        <v>4926</v>
      </c>
      <c r="E1671" s="178" t="s">
        <v>4173</v>
      </c>
      <c r="F1671" s="210" t="s">
        <v>4927</v>
      </c>
      <c r="G1671" s="58" t="s">
        <v>1048</v>
      </c>
      <c r="H1671" s="546">
        <v>3822.06</v>
      </c>
      <c r="I1671" s="66">
        <v>44840</v>
      </c>
      <c r="J1671" s="411" t="s">
        <v>4928</v>
      </c>
      <c r="K1671" s="58"/>
      <c r="L1671" s="99"/>
      <c r="M1671" s="70" t="s">
        <v>4884</v>
      </c>
      <c r="N1671" s="97" t="s">
        <v>414</v>
      </c>
      <c r="O1671" s="58"/>
      <c r="P1671" s="58" t="s">
        <v>22</v>
      </c>
      <c r="Q1671" s="58" t="s">
        <v>60</v>
      </c>
      <c r="R1671" s="58" t="s">
        <v>265</v>
      </c>
    </row>
    <row r="1672" spans="1:18" ht="69" customHeight="1">
      <c r="A1672" s="168"/>
      <c r="B1672" s="178">
        <v>7142</v>
      </c>
      <c r="C1672" s="178" t="s">
        <v>4277</v>
      </c>
      <c r="D1672" s="575" t="s">
        <v>4929</v>
      </c>
      <c r="E1672" s="178" t="s">
        <v>4173</v>
      </c>
      <c r="F1672" s="210" t="s">
        <v>4930</v>
      </c>
      <c r="G1672" s="58" t="s">
        <v>1048</v>
      </c>
      <c r="H1672" s="546">
        <v>11520</v>
      </c>
      <c r="I1672" s="66">
        <v>44867</v>
      </c>
      <c r="J1672" s="411" t="s">
        <v>4931</v>
      </c>
      <c r="K1672" s="58"/>
      <c r="L1672" s="99"/>
      <c r="M1672" s="70" t="s">
        <v>4884</v>
      </c>
      <c r="N1672" s="97" t="s">
        <v>414</v>
      </c>
      <c r="O1672" s="58"/>
      <c r="P1672" s="58" t="s">
        <v>22</v>
      </c>
      <c r="Q1672" s="58" t="s">
        <v>60</v>
      </c>
      <c r="R1672" s="58" t="s">
        <v>265</v>
      </c>
    </row>
    <row r="1673" spans="1:18" ht="69" customHeight="1">
      <c r="A1673" s="168"/>
      <c r="B1673" s="178">
        <v>7141</v>
      </c>
      <c r="C1673" s="178" t="s">
        <v>4277</v>
      </c>
      <c r="D1673" s="575" t="s">
        <v>3577</v>
      </c>
      <c r="E1673" s="178" t="s">
        <v>4173</v>
      </c>
      <c r="F1673" s="210" t="s">
        <v>4932</v>
      </c>
      <c r="G1673" s="58" t="s">
        <v>1048</v>
      </c>
      <c r="H1673" s="546">
        <v>17209.3</v>
      </c>
      <c r="I1673" s="66">
        <v>44862</v>
      </c>
      <c r="J1673" s="411" t="s">
        <v>4931</v>
      </c>
      <c r="K1673" s="58"/>
      <c r="L1673" s="99"/>
      <c r="M1673" s="70" t="s">
        <v>4884</v>
      </c>
      <c r="N1673" s="97" t="s">
        <v>414</v>
      </c>
      <c r="O1673" s="58"/>
      <c r="P1673" s="58" t="s">
        <v>22</v>
      </c>
      <c r="Q1673" s="58" t="s">
        <v>60</v>
      </c>
      <c r="R1673" s="58" t="s">
        <v>265</v>
      </c>
    </row>
    <row r="1674" spans="1:18" ht="69" customHeight="1">
      <c r="A1674" s="168"/>
      <c r="B1674" s="178">
        <v>7140</v>
      </c>
      <c r="C1674" s="178" t="s">
        <v>4277</v>
      </c>
      <c r="D1674" s="575" t="s">
        <v>4933</v>
      </c>
      <c r="E1674" s="178" t="s">
        <v>4173</v>
      </c>
      <c r="F1674" s="210" t="s">
        <v>4934</v>
      </c>
      <c r="G1674" s="58" t="s">
        <v>1048</v>
      </c>
      <c r="H1674" s="546">
        <v>12780.84</v>
      </c>
      <c r="I1674" s="66">
        <v>44876</v>
      </c>
      <c r="J1674" s="411" t="s">
        <v>4931</v>
      </c>
      <c r="K1674" s="58"/>
      <c r="L1674" s="99"/>
      <c r="M1674" s="70" t="s">
        <v>4884</v>
      </c>
      <c r="N1674" s="97" t="s">
        <v>414</v>
      </c>
      <c r="O1674" s="58"/>
      <c r="P1674" s="58" t="s">
        <v>22</v>
      </c>
      <c r="Q1674" s="58" t="s">
        <v>60</v>
      </c>
      <c r="R1674" s="58" t="s">
        <v>265</v>
      </c>
    </row>
    <row r="1675" spans="1:18" ht="69" customHeight="1">
      <c r="A1675" s="168"/>
      <c r="B1675" s="178">
        <v>7139</v>
      </c>
      <c r="C1675" s="178" t="s">
        <v>4277</v>
      </c>
      <c r="D1675" s="575" t="s">
        <v>2124</v>
      </c>
      <c r="E1675" s="178" t="s">
        <v>4173</v>
      </c>
      <c r="F1675" s="210" t="s">
        <v>4935</v>
      </c>
      <c r="G1675" s="58" t="s">
        <v>1048</v>
      </c>
      <c r="H1675" s="546">
        <v>3804</v>
      </c>
      <c r="I1675" s="66">
        <v>44862</v>
      </c>
      <c r="J1675" s="411" t="s">
        <v>4931</v>
      </c>
      <c r="K1675" s="58"/>
      <c r="L1675" s="99"/>
      <c r="M1675" s="70" t="s">
        <v>4884</v>
      </c>
      <c r="N1675" s="97" t="s">
        <v>414</v>
      </c>
      <c r="O1675" s="58"/>
      <c r="P1675" s="58" t="s">
        <v>22</v>
      </c>
      <c r="Q1675" s="58" t="s">
        <v>60</v>
      </c>
      <c r="R1675" s="58" t="s">
        <v>265</v>
      </c>
    </row>
    <row r="1676" spans="1:18" ht="69" customHeight="1">
      <c r="A1676" s="168"/>
      <c r="B1676" s="178">
        <v>7089</v>
      </c>
      <c r="C1676" s="178" t="s">
        <v>4277</v>
      </c>
      <c r="D1676" s="575" t="s">
        <v>1065</v>
      </c>
      <c r="E1676" s="178" t="s">
        <v>4173</v>
      </c>
      <c r="F1676" s="210" t="s">
        <v>4936</v>
      </c>
      <c r="G1676" s="58" t="s">
        <v>1048</v>
      </c>
      <c r="H1676" s="546">
        <v>12170.65</v>
      </c>
      <c r="I1676" s="66">
        <v>44860</v>
      </c>
      <c r="J1676" s="411" t="s">
        <v>4937</v>
      </c>
      <c r="K1676" s="58"/>
      <c r="L1676" s="99"/>
      <c r="M1676" s="70" t="s">
        <v>4884</v>
      </c>
      <c r="N1676" s="97" t="s">
        <v>414</v>
      </c>
      <c r="O1676" s="58"/>
      <c r="P1676" s="58" t="s">
        <v>22</v>
      </c>
      <c r="Q1676" s="58" t="s">
        <v>60</v>
      </c>
      <c r="R1676" s="58" t="s">
        <v>265</v>
      </c>
    </row>
    <row r="1677" spans="1:18" ht="69" customHeight="1">
      <c r="A1677" s="168"/>
      <c r="B1677" s="178">
        <v>7396</v>
      </c>
      <c r="C1677" s="178" t="s">
        <v>4277</v>
      </c>
      <c r="D1677" s="575" t="s">
        <v>4938</v>
      </c>
      <c r="E1677" s="178" t="s">
        <v>4173</v>
      </c>
      <c r="F1677" s="210" t="s">
        <v>4939</v>
      </c>
      <c r="G1677" s="58" t="s">
        <v>1048</v>
      </c>
      <c r="H1677" s="546">
        <v>10943.67</v>
      </c>
      <c r="I1677" s="66">
        <v>44874</v>
      </c>
      <c r="J1677" s="411" t="s">
        <v>4940</v>
      </c>
      <c r="K1677" s="58"/>
      <c r="L1677" s="99"/>
      <c r="M1677" s="70" t="s">
        <v>4884</v>
      </c>
      <c r="N1677" s="97" t="s">
        <v>414</v>
      </c>
      <c r="O1677" s="58"/>
      <c r="P1677" s="58" t="s">
        <v>22</v>
      </c>
      <c r="Q1677" s="58" t="s">
        <v>60</v>
      </c>
      <c r="R1677" s="58" t="s">
        <v>265</v>
      </c>
    </row>
    <row r="1678" spans="1:18" ht="69" customHeight="1">
      <c r="A1678" s="168"/>
      <c r="B1678" s="178">
        <v>6995</v>
      </c>
      <c r="C1678" s="178" t="s">
        <v>4277</v>
      </c>
      <c r="D1678" s="575" t="s">
        <v>4941</v>
      </c>
      <c r="E1678" s="178" t="s">
        <v>4173</v>
      </c>
      <c r="F1678" s="210" t="s">
        <v>4942</v>
      </c>
      <c r="G1678" s="58" t="s">
        <v>1048</v>
      </c>
      <c r="H1678" s="546">
        <v>12167.8</v>
      </c>
      <c r="I1678" s="66">
        <v>44869</v>
      </c>
      <c r="J1678" s="411" t="s">
        <v>4943</v>
      </c>
      <c r="K1678" s="58"/>
      <c r="L1678" s="99"/>
      <c r="M1678" s="70" t="s">
        <v>4884</v>
      </c>
      <c r="N1678" s="97" t="s">
        <v>414</v>
      </c>
      <c r="O1678" s="58"/>
      <c r="P1678" s="58" t="s">
        <v>22</v>
      </c>
      <c r="Q1678" s="58" t="s">
        <v>60</v>
      </c>
      <c r="R1678" s="58" t="s">
        <v>265</v>
      </c>
    </row>
    <row r="1679" spans="1:18" ht="69" customHeight="1">
      <c r="A1679" s="168"/>
      <c r="B1679" s="178">
        <v>6984</v>
      </c>
      <c r="C1679" s="178" t="s">
        <v>4277</v>
      </c>
      <c r="D1679" s="575" t="s">
        <v>4944</v>
      </c>
      <c r="E1679" s="178" t="s">
        <v>4173</v>
      </c>
      <c r="F1679" s="210" t="s">
        <v>4945</v>
      </c>
      <c r="G1679" s="58" t="s">
        <v>1048</v>
      </c>
      <c r="H1679" s="546">
        <v>16500</v>
      </c>
      <c r="I1679" s="66">
        <v>44860</v>
      </c>
      <c r="J1679" s="411" t="s">
        <v>4946</v>
      </c>
      <c r="K1679" s="58"/>
      <c r="L1679" s="99"/>
      <c r="M1679" s="70" t="s">
        <v>4884</v>
      </c>
      <c r="N1679" s="97" t="s">
        <v>414</v>
      </c>
      <c r="O1679" s="58"/>
      <c r="P1679" s="58" t="s">
        <v>22</v>
      </c>
      <c r="Q1679" s="58" t="s">
        <v>60</v>
      </c>
      <c r="R1679" s="58" t="s">
        <v>265</v>
      </c>
    </row>
    <row r="1680" spans="1:18" ht="69" customHeight="1">
      <c r="A1680" s="168"/>
      <c r="B1680" s="178"/>
      <c r="C1680" s="178" t="s">
        <v>4277</v>
      </c>
      <c r="D1680" s="575"/>
      <c r="E1680" s="178" t="s">
        <v>4173</v>
      </c>
      <c r="F1680" s="210" t="s">
        <v>4914</v>
      </c>
      <c r="G1680" s="58" t="s">
        <v>3891</v>
      </c>
      <c r="H1680" s="546">
        <v>17200</v>
      </c>
      <c r="I1680" s="66" t="s">
        <v>96</v>
      </c>
      <c r="J1680" s="411"/>
      <c r="K1680" s="58" t="s">
        <v>4915</v>
      </c>
      <c r="L1680" s="99"/>
      <c r="M1680" s="70" t="s">
        <v>4884</v>
      </c>
      <c r="N1680" s="97" t="s">
        <v>414</v>
      </c>
      <c r="O1680" s="58"/>
      <c r="P1680" s="58" t="s">
        <v>22</v>
      </c>
      <c r="Q1680" s="58" t="s">
        <v>60</v>
      </c>
      <c r="R1680" s="58" t="s">
        <v>265</v>
      </c>
    </row>
    <row r="1681" spans="1:18" ht="69" customHeight="1">
      <c r="A1681" s="168"/>
      <c r="B1681" s="178"/>
      <c r="C1681" s="178" t="s">
        <v>4277</v>
      </c>
      <c r="D1681" s="575"/>
      <c r="E1681" s="178" t="s">
        <v>4173</v>
      </c>
      <c r="F1681" s="210" t="s">
        <v>4947</v>
      </c>
      <c r="G1681" s="58" t="s">
        <v>4948</v>
      </c>
      <c r="H1681" s="546">
        <v>6732</v>
      </c>
      <c r="I1681" s="66" t="s">
        <v>96</v>
      </c>
      <c r="J1681" s="411"/>
      <c r="K1681" s="58"/>
      <c r="L1681" s="99"/>
      <c r="M1681" s="70" t="s">
        <v>4884</v>
      </c>
      <c r="N1681" s="97" t="s">
        <v>414</v>
      </c>
      <c r="O1681" s="58"/>
      <c r="P1681" s="58" t="s">
        <v>22</v>
      </c>
      <c r="Q1681" s="58" t="s">
        <v>60</v>
      </c>
      <c r="R1681" s="58" t="s">
        <v>265</v>
      </c>
    </row>
    <row r="1682" spans="1:18" ht="69" customHeight="1">
      <c r="A1682" s="168"/>
      <c r="B1682" s="178">
        <v>6853</v>
      </c>
      <c r="C1682" s="178" t="s">
        <v>4277</v>
      </c>
      <c r="D1682" s="575" t="s">
        <v>1178</v>
      </c>
      <c r="E1682" s="178" t="s">
        <v>4173</v>
      </c>
      <c r="F1682" s="210" t="s">
        <v>4949</v>
      </c>
      <c r="G1682" s="58" t="s">
        <v>4950</v>
      </c>
      <c r="H1682" s="546">
        <v>42600</v>
      </c>
      <c r="I1682" s="66">
        <v>44834</v>
      </c>
      <c r="J1682" s="411" t="s">
        <v>4951</v>
      </c>
      <c r="K1682" s="58"/>
      <c r="L1682" s="99"/>
      <c r="M1682" s="70" t="s">
        <v>4884</v>
      </c>
      <c r="N1682" s="97" t="s">
        <v>414</v>
      </c>
      <c r="O1682" s="58"/>
      <c r="P1682" s="58" t="s">
        <v>22</v>
      </c>
      <c r="Q1682" s="58" t="s">
        <v>60</v>
      </c>
      <c r="R1682" s="58" t="s">
        <v>265</v>
      </c>
    </row>
    <row r="1683" spans="1:18" ht="69" customHeight="1">
      <c r="A1683" s="168"/>
      <c r="B1683" s="178"/>
      <c r="C1683" s="178" t="s">
        <v>4277</v>
      </c>
      <c r="D1683" s="575"/>
      <c r="E1683" s="178" t="s">
        <v>4173</v>
      </c>
      <c r="F1683" s="210" t="s">
        <v>4947</v>
      </c>
      <c r="G1683" s="58" t="s">
        <v>4952</v>
      </c>
      <c r="H1683" s="546">
        <v>15060.81</v>
      </c>
      <c r="I1683" s="66">
        <v>44851</v>
      </c>
      <c r="J1683" s="411" t="s">
        <v>4953</v>
      </c>
      <c r="K1683" s="58"/>
      <c r="L1683" s="99"/>
      <c r="M1683" s="70" t="s">
        <v>4884</v>
      </c>
      <c r="N1683" s="97" t="s">
        <v>414</v>
      </c>
      <c r="O1683" s="58"/>
      <c r="P1683" s="58" t="s">
        <v>22</v>
      </c>
      <c r="Q1683" s="58" t="s">
        <v>60</v>
      </c>
      <c r="R1683" s="58" t="s">
        <v>265</v>
      </c>
    </row>
    <row r="1684" spans="1:18" ht="69" customHeight="1">
      <c r="A1684" s="168"/>
      <c r="B1684" s="178"/>
      <c r="C1684" s="178" t="s">
        <v>4277</v>
      </c>
      <c r="D1684" s="575"/>
      <c r="E1684" s="178" t="s">
        <v>4173</v>
      </c>
      <c r="F1684" s="210" t="s">
        <v>4947</v>
      </c>
      <c r="G1684" s="58" t="s">
        <v>4954</v>
      </c>
      <c r="H1684" s="546">
        <v>19694.400000000001</v>
      </c>
      <c r="I1684" s="66">
        <v>44851</v>
      </c>
      <c r="J1684" s="411" t="s">
        <v>4953</v>
      </c>
      <c r="K1684" s="58"/>
      <c r="L1684" s="99"/>
      <c r="M1684" s="70" t="s">
        <v>4884</v>
      </c>
      <c r="N1684" s="97" t="s">
        <v>414</v>
      </c>
      <c r="O1684" s="58"/>
      <c r="P1684" s="58" t="s">
        <v>22</v>
      </c>
      <c r="Q1684" s="58" t="s">
        <v>60</v>
      </c>
      <c r="R1684" s="58" t="s">
        <v>265</v>
      </c>
    </row>
    <row r="1685" spans="1:18" ht="69" customHeight="1">
      <c r="A1685" s="168"/>
      <c r="B1685" s="178"/>
      <c r="C1685" s="178" t="s">
        <v>4277</v>
      </c>
      <c r="D1685" s="575"/>
      <c r="E1685" s="178" t="s">
        <v>4173</v>
      </c>
      <c r="F1685" s="210" t="s">
        <v>4947</v>
      </c>
      <c r="G1685" s="58" t="s">
        <v>4955</v>
      </c>
      <c r="H1685" s="546">
        <v>9812</v>
      </c>
      <c r="I1685" s="66">
        <v>44851</v>
      </c>
      <c r="J1685" s="411" t="s">
        <v>4953</v>
      </c>
      <c r="K1685" s="58"/>
      <c r="L1685" s="99"/>
      <c r="M1685" s="70" t="s">
        <v>4884</v>
      </c>
      <c r="N1685" s="97" t="s">
        <v>414</v>
      </c>
      <c r="O1685" s="58"/>
      <c r="P1685" s="58" t="s">
        <v>22</v>
      </c>
      <c r="Q1685" s="58" t="s">
        <v>60</v>
      </c>
      <c r="R1685" s="58" t="s">
        <v>265</v>
      </c>
    </row>
    <row r="1686" spans="1:18" ht="69" customHeight="1">
      <c r="A1686" s="168"/>
      <c r="B1686" s="178"/>
      <c r="C1686" s="178" t="s">
        <v>4277</v>
      </c>
      <c r="D1686" s="575"/>
      <c r="E1686" s="178" t="s">
        <v>4173</v>
      </c>
      <c r="F1686" s="210" t="s">
        <v>4947</v>
      </c>
      <c r="G1686" s="58" t="s">
        <v>4956</v>
      </c>
      <c r="H1686" s="546">
        <v>52800</v>
      </c>
      <c r="I1686" s="66">
        <v>44851</v>
      </c>
      <c r="J1686" s="411" t="s">
        <v>4953</v>
      </c>
      <c r="K1686" s="58"/>
      <c r="L1686" s="99"/>
      <c r="M1686" s="70" t="s">
        <v>4884</v>
      </c>
      <c r="N1686" s="97" t="s">
        <v>414</v>
      </c>
      <c r="O1686" s="58"/>
      <c r="P1686" s="58" t="s">
        <v>22</v>
      </c>
      <c r="Q1686" s="58" t="s">
        <v>60</v>
      </c>
      <c r="R1686" s="58" t="s">
        <v>265</v>
      </c>
    </row>
    <row r="1687" spans="1:18" ht="69" customHeight="1">
      <c r="A1687" s="168"/>
      <c r="B1687" s="178">
        <v>6906</v>
      </c>
      <c r="C1687" s="178" t="s">
        <v>4277</v>
      </c>
      <c r="D1687" s="575" t="s">
        <v>2082</v>
      </c>
      <c r="E1687" s="178" t="s">
        <v>1367</v>
      </c>
      <c r="F1687" s="210" t="s">
        <v>4957</v>
      </c>
      <c r="G1687" s="58" t="s">
        <v>1369</v>
      </c>
      <c r="H1687" s="546">
        <v>2500</v>
      </c>
      <c r="I1687" s="66">
        <v>44841</v>
      </c>
      <c r="J1687" s="411" t="s">
        <v>4958</v>
      </c>
      <c r="K1687" s="58"/>
      <c r="L1687" s="99"/>
      <c r="M1687" s="70" t="s">
        <v>4831</v>
      </c>
      <c r="N1687" s="97" t="s">
        <v>270</v>
      </c>
      <c r="O1687" s="58"/>
      <c r="P1687" s="58" t="s">
        <v>44</v>
      </c>
      <c r="Q1687" s="58" t="s">
        <v>60</v>
      </c>
      <c r="R1687" s="58" t="s">
        <v>272</v>
      </c>
    </row>
    <row r="1688" spans="1:18" ht="69" customHeight="1">
      <c r="A1688" s="168"/>
      <c r="B1688" s="178">
        <v>6917</v>
      </c>
      <c r="C1688" s="178" t="s">
        <v>4277</v>
      </c>
      <c r="D1688" s="575" t="s">
        <v>3101</v>
      </c>
      <c r="E1688" s="178" t="s">
        <v>266</v>
      </c>
      <c r="F1688" s="210" t="s">
        <v>4959</v>
      </c>
      <c r="G1688" s="58" t="s">
        <v>1053</v>
      </c>
      <c r="H1688" s="546">
        <v>5810</v>
      </c>
      <c r="I1688" s="66">
        <v>44844</v>
      </c>
      <c r="J1688" s="411" t="s">
        <v>4960</v>
      </c>
      <c r="K1688" s="58"/>
      <c r="L1688" s="99"/>
      <c r="M1688" s="70" t="s">
        <v>4831</v>
      </c>
      <c r="N1688" s="97" t="s">
        <v>270</v>
      </c>
      <c r="O1688" s="58"/>
      <c r="P1688" s="58" t="s">
        <v>44</v>
      </c>
      <c r="Q1688" s="58" t="s">
        <v>60</v>
      </c>
      <c r="R1688" s="58" t="s">
        <v>272</v>
      </c>
    </row>
    <row r="1689" spans="1:18" ht="69" customHeight="1">
      <c r="A1689" s="168"/>
      <c r="B1689" s="191">
        <v>6959</v>
      </c>
      <c r="C1689" s="59" t="s">
        <v>3667</v>
      </c>
      <c r="D1689" s="533" t="s">
        <v>4961</v>
      </c>
      <c r="E1689" s="191" t="s">
        <v>1056</v>
      </c>
      <c r="F1689" s="211" t="s">
        <v>4962</v>
      </c>
      <c r="G1689" s="46" t="s">
        <v>1058</v>
      </c>
      <c r="H1689" s="546">
        <v>58368</v>
      </c>
      <c r="I1689" s="56">
        <v>44846</v>
      </c>
      <c r="J1689" s="412" t="s">
        <v>1059</v>
      </c>
      <c r="K1689" s="46"/>
      <c r="L1689" s="99"/>
      <c r="M1689" s="70" t="s">
        <v>4963</v>
      </c>
      <c r="N1689" s="97" t="s">
        <v>814</v>
      </c>
      <c r="O1689" s="46" t="s">
        <v>1061</v>
      </c>
      <c r="P1689" s="46" t="s">
        <v>36</v>
      </c>
      <c r="Q1689" s="46" t="s">
        <v>49</v>
      </c>
      <c r="R1689" s="46" t="s">
        <v>272</v>
      </c>
    </row>
    <row r="1690" spans="1:18" ht="69" customHeight="1">
      <c r="A1690" s="168"/>
      <c r="B1690" s="191">
        <v>6962</v>
      </c>
      <c r="C1690" s="59" t="s">
        <v>3667</v>
      </c>
      <c r="D1690" s="533" t="s">
        <v>4964</v>
      </c>
      <c r="E1690" s="191" t="s">
        <v>1056</v>
      </c>
      <c r="F1690" s="211" t="s">
        <v>4965</v>
      </c>
      <c r="G1690" s="46" t="s">
        <v>1058</v>
      </c>
      <c r="H1690" s="546">
        <v>42814.51</v>
      </c>
      <c r="I1690" s="56">
        <v>44846</v>
      </c>
      <c r="J1690" s="412" t="s">
        <v>1059</v>
      </c>
      <c r="K1690" s="46"/>
      <c r="L1690" s="99"/>
      <c r="M1690" s="70" t="s">
        <v>4963</v>
      </c>
      <c r="N1690" s="97" t="s">
        <v>814</v>
      </c>
      <c r="O1690" s="46" t="s">
        <v>1061</v>
      </c>
      <c r="P1690" s="46" t="s">
        <v>36</v>
      </c>
      <c r="Q1690" s="46" t="s">
        <v>49</v>
      </c>
      <c r="R1690" s="46" t="s">
        <v>272</v>
      </c>
    </row>
    <row r="1691" spans="1:18" ht="69" customHeight="1">
      <c r="A1691" s="168"/>
      <c r="B1691" s="178">
        <v>7078</v>
      </c>
      <c r="C1691" s="178" t="s">
        <v>4277</v>
      </c>
      <c r="D1691" s="575" t="s">
        <v>3081</v>
      </c>
      <c r="E1691" s="178" t="s">
        <v>4173</v>
      </c>
      <c r="F1691" s="210" t="s">
        <v>4966</v>
      </c>
      <c r="G1691" s="58" t="s">
        <v>1180</v>
      </c>
      <c r="H1691" s="546">
        <v>5599.98</v>
      </c>
      <c r="I1691" s="66">
        <v>44851</v>
      </c>
      <c r="J1691" s="411" t="s">
        <v>4967</v>
      </c>
      <c r="K1691" s="58" t="s">
        <v>4968</v>
      </c>
      <c r="L1691" s="99"/>
      <c r="M1691" s="70" t="s">
        <v>4884</v>
      </c>
      <c r="N1691" s="97" t="s">
        <v>414</v>
      </c>
      <c r="O1691" s="58"/>
      <c r="P1691" s="58" t="s">
        <v>22</v>
      </c>
      <c r="Q1691" s="58" t="s">
        <v>60</v>
      </c>
      <c r="R1691" s="58" t="s">
        <v>265</v>
      </c>
    </row>
    <row r="1692" spans="1:18" ht="69" customHeight="1">
      <c r="A1692" s="168"/>
      <c r="B1692" s="178">
        <v>7049</v>
      </c>
      <c r="C1692" s="178" t="s">
        <v>4277</v>
      </c>
      <c r="D1692" s="575" t="s">
        <v>4969</v>
      </c>
      <c r="E1692" s="178" t="s">
        <v>4173</v>
      </c>
      <c r="F1692" s="210" t="s">
        <v>4970</v>
      </c>
      <c r="G1692" s="58" t="s">
        <v>1048</v>
      </c>
      <c r="H1692" s="546">
        <v>15000</v>
      </c>
      <c r="I1692" s="66">
        <v>44851</v>
      </c>
      <c r="J1692" s="411" t="s">
        <v>4967</v>
      </c>
      <c r="K1692" s="58"/>
      <c r="L1692" s="99"/>
      <c r="M1692" s="70" t="s">
        <v>4884</v>
      </c>
      <c r="N1692" s="97" t="s">
        <v>414</v>
      </c>
      <c r="O1692" s="58"/>
      <c r="P1692" s="58" t="s">
        <v>22</v>
      </c>
      <c r="Q1692" s="58" t="s">
        <v>60</v>
      </c>
      <c r="R1692" s="58" t="s">
        <v>265</v>
      </c>
    </row>
    <row r="1693" spans="1:18" ht="69" customHeight="1">
      <c r="A1693" s="168"/>
      <c r="B1693" s="178">
        <v>4006</v>
      </c>
      <c r="C1693" s="178" t="s">
        <v>4277</v>
      </c>
      <c r="D1693" s="575" t="s">
        <v>2680</v>
      </c>
      <c r="E1693" s="178" t="s">
        <v>266</v>
      </c>
      <c r="F1693" s="210" t="s">
        <v>4971</v>
      </c>
      <c r="G1693" s="58" t="s">
        <v>1107</v>
      </c>
      <c r="H1693" s="546">
        <v>7293.34</v>
      </c>
      <c r="I1693" s="66">
        <v>44643</v>
      </c>
      <c r="J1693" s="411" t="s">
        <v>4972</v>
      </c>
      <c r="K1693" s="58"/>
      <c r="L1693" s="99"/>
      <c r="M1693" s="70" t="s">
        <v>4835</v>
      </c>
      <c r="N1693" s="97" t="s">
        <v>970</v>
      </c>
      <c r="O1693" s="58" t="s">
        <v>971</v>
      </c>
      <c r="P1693" s="58" t="s">
        <v>38</v>
      </c>
      <c r="Q1693" s="58" t="s">
        <v>60</v>
      </c>
      <c r="R1693" s="58" t="s">
        <v>272</v>
      </c>
    </row>
    <row r="1694" spans="1:18" ht="69" customHeight="1">
      <c r="A1694" s="168"/>
      <c r="B1694" s="178">
        <v>7464</v>
      </c>
      <c r="C1694" s="178" t="s">
        <v>4973</v>
      </c>
      <c r="D1694" s="575" t="s">
        <v>4974</v>
      </c>
      <c r="E1694" s="178" t="s">
        <v>1044</v>
      </c>
      <c r="F1694" s="210" t="s">
        <v>4975</v>
      </c>
      <c r="G1694" s="58" t="s">
        <v>1041</v>
      </c>
      <c r="H1694" s="546">
        <v>180471.43</v>
      </c>
      <c r="I1694" s="66">
        <v>44900</v>
      </c>
      <c r="J1694" s="411" t="s">
        <v>1042</v>
      </c>
      <c r="K1694" s="58"/>
      <c r="L1694" s="99"/>
      <c r="M1694" s="70" t="s">
        <v>4976</v>
      </c>
      <c r="N1694" s="97" t="s">
        <v>1044</v>
      </c>
      <c r="O1694" s="58"/>
      <c r="P1694" s="58" t="s">
        <v>26</v>
      </c>
      <c r="Q1694" s="58" t="s">
        <v>60</v>
      </c>
      <c r="R1694" s="58" t="s">
        <v>272</v>
      </c>
    </row>
    <row r="1695" spans="1:18" ht="69" customHeight="1">
      <c r="A1695" s="168"/>
      <c r="B1695" s="178">
        <v>7050</v>
      </c>
      <c r="C1695" s="178" t="s">
        <v>4277</v>
      </c>
      <c r="D1695" s="575" t="s">
        <v>3229</v>
      </c>
      <c r="E1695" s="178" t="s">
        <v>4173</v>
      </c>
      <c r="F1695" s="210" t="s">
        <v>4977</v>
      </c>
      <c r="G1695" s="58" t="s">
        <v>1048</v>
      </c>
      <c r="H1695" s="546">
        <v>7581.22</v>
      </c>
      <c r="I1695" s="66">
        <v>44851</v>
      </c>
      <c r="J1695" s="411" t="s">
        <v>4967</v>
      </c>
      <c r="K1695" s="58"/>
      <c r="L1695" s="99"/>
      <c r="M1695" s="70" t="s">
        <v>4884</v>
      </c>
      <c r="N1695" s="97" t="s">
        <v>414</v>
      </c>
      <c r="O1695" s="58"/>
      <c r="P1695" s="58" t="s">
        <v>22</v>
      </c>
      <c r="Q1695" s="58" t="s">
        <v>60</v>
      </c>
      <c r="R1695" s="58" t="s">
        <v>265</v>
      </c>
    </row>
    <row r="1696" spans="1:18" ht="69" customHeight="1">
      <c r="A1696" s="168"/>
      <c r="B1696" s="178">
        <v>7370</v>
      </c>
      <c r="C1696" s="178" t="s">
        <v>4277</v>
      </c>
      <c r="D1696" s="575" t="s">
        <v>4978</v>
      </c>
      <c r="E1696" s="178" t="s">
        <v>4173</v>
      </c>
      <c r="F1696" s="210" t="s">
        <v>4979</v>
      </c>
      <c r="G1696" s="58" t="s">
        <v>1048</v>
      </c>
      <c r="H1696" s="546">
        <v>18188.990000000002</v>
      </c>
      <c r="I1696" s="66">
        <v>44879</v>
      </c>
      <c r="J1696" s="411" t="s">
        <v>4980</v>
      </c>
      <c r="K1696" s="58"/>
      <c r="L1696" s="99"/>
      <c r="M1696" s="70" t="s">
        <v>4884</v>
      </c>
      <c r="N1696" s="97" t="s">
        <v>414</v>
      </c>
      <c r="O1696" s="58"/>
      <c r="P1696" s="58" t="s">
        <v>22</v>
      </c>
      <c r="Q1696" s="58" t="s">
        <v>60</v>
      </c>
      <c r="R1696" s="58" t="s">
        <v>265</v>
      </c>
    </row>
    <row r="1697" spans="1:18" ht="69" customHeight="1">
      <c r="A1697" s="168"/>
      <c r="B1697" s="178">
        <v>7371</v>
      </c>
      <c r="C1697" s="178" t="s">
        <v>4277</v>
      </c>
      <c r="D1697" s="575" t="s">
        <v>1338</v>
      </c>
      <c r="E1697" s="178" t="s">
        <v>4173</v>
      </c>
      <c r="F1697" s="210" t="s">
        <v>4981</v>
      </c>
      <c r="G1697" s="58" t="s">
        <v>2320</v>
      </c>
      <c r="H1697" s="546">
        <v>15000</v>
      </c>
      <c r="I1697" s="66">
        <v>44874</v>
      </c>
      <c r="J1697" s="411" t="s">
        <v>4980</v>
      </c>
      <c r="K1697" s="58"/>
      <c r="L1697" s="99"/>
      <c r="M1697" s="70" t="s">
        <v>4884</v>
      </c>
      <c r="N1697" s="97" t="s">
        <v>414</v>
      </c>
      <c r="O1697" s="58"/>
      <c r="P1697" s="58" t="s">
        <v>22</v>
      </c>
      <c r="Q1697" s="58" t="s">
        <v>60</v>
      </c>
      <c r="R1697" s="58" t="s">
        <v>265</v>
      </c>
    </row>
    <row r="1698" spans="1:18" ht="69" customHeight="1">
      <c r="A1698" s="168"/>
      <c r="B1698" s="178">
        <v>7372</v>
      </c>
      <c r="C1698" s="178" t="s">
        <v>4277</v>
      </c>
      <c r="D1698" s="575" t="s">
        <v>2193</v>
      </c>
      <c r="E1698" s="178" t="s">
        <v>4173</v>
      </c>
      <c r="F1698" s="210" t="s">
        <v>4982</v>
      </c>
      <c r="G1698" s="58" t="s">
        <v>4983</v>
      </c>
      <c r="H1698" s="546">
        <v>15000</v>
      </c>
      <c r="I1698" s="66">
        <v>44874</v>
      </c>
      <c r="J1698" s="411" t="s">
        <v>4980</v>
      </c>
      <c r="K1698" s="58"/>
      <c r="L1698" s="99"/>
      <c r="M1698" s="70" t="s">
        <v>4884</v>
      </c>
      <c r="N1698" s="97" t="s">
        <v>414</v>
      </c>
      <c r="O1698" s="58"/>
      <c r="P1698" s="58" t="s">
        <v>22</v>
      </c>
      <c r="Q1698" s="58" t="s">
        <v>60</v>
      </c>
      <c r="R1698" s="58" t="s">
        <v>265</v>
      </c>
    </row>
    <row r="1699" spans="1:18" ht="69" customHeight="1">
      <c r="A1699" s="168"/>
      <c r="B1699" s="178">
        <v>7373</v>
      </c>
      <c r="C1699" s="178" t="s">
        <v>4277</v>
      </c>
      <c r="D1699" s="575" t="s">
        <v>4984</v>
      </c>
      <c r="E1699" s="178" t="s">
        <v>4173</v>
      </c>
      <c r="F1699" s="210" t="s">
        <v>4985</v>
      </c>
      <c r="G1699" s="58" t="s">
        <v>1048</v>
      </c>
      <c r="H1699" s="546">
        <v>4111.9799999999996</v>
      </c>
      <c r="I1699" s="66">
        <v>44874</v>
      </c>
      <c r="J1699" s="411" t="s">
        <v>4980</v>
      </c>
      <c r="K1699" s="58"/>
      <c r="L1699" s="99"/>
      <c r="M1699" s="70" t="s">
        <v>4884</v>
      </c>
      <c r="N1699" s="97" t="s">
        <v>414</v>
      </c>
      <c r="O1699" s="58"/>
      <c r="P1699" s="58" t="s">
        <v>22</v>
      </c>
      <c r="Q1699" s="58" t="s">
        <v>60</v>
      </c>
      <c r="R1699" s="58" t="s">
        <v>265</v>
      </c>
    </row>
    <row r="1700" spans="1:18" ht="69" customHeight="1">
      <c r="A1700" s="168"/>
      <c r="B1700" s="178">
        <v>7391</v>
      </c>
      <c r="C1700" s="178" t="s">
        <v>4277</v>
      </c>
      <c r="D1700" s="575" t="s">
        <v>3259</v>
      </c>
      <c r="E1700" s="178" t="s">
        <v>432</v>
      </c>
      <c r="F1700" s="210" t="s">
        <v>4986</v>
      </c>
      <c r="G1700" s="58" t="s">
        <v>1121</v>
      </c>
      <c r="H1700" s="546">
        <v>34317.03</v>
      </c>
      <c r="I1700" s="66">
        <v>44876</v>
      </c>
      <c r="J1700" s="411" t="s">
        <v>1122</v>
      </c>
      <c r="K1700" s="58"/>
      <c r="L1700" s="99"/>
      <c r="M1700" s="70" t="s">
        <v>4881</v>
      </c>
      <c r="N1700" s="97" t="s">
        <v>432</v>
      </c>
      <c r="O1700" s="58"/>
      <c r="P1700" s="58" t="s">
        <v>53</v>
      </c>
      <c r="Q1700" s="58" t="s">
        <v>60</v>
      </c>
      <c r="R1700" s="58" t="s">
        <v>272</v>
      </c>
    </row>
    <row r="1701" spans="1:18" ht="69" customHeight="1">
      <c r="A1701" s="168"/>
      <c r="B1701" s="178">
        <v>7731</v>
      </c>
      <c r="C1701" s="178" t="s">
        <v>4277</v>
      </c>
      <c r="D1701" s="575" t="s">
        <v>2601</v>
      </c>
      <c r="E1701" s="178" t="s">
        <v>741</v>
      </c>
      <c r="F1701" s="210" t="s">
        <v>4987</v>
      </c>
      <c r="G1701" s="58" t="s">
        <v>4890</v>
      </c>
      <c r="H1701" s="546">
        <v>592500</v>
      </c>
      <c r="I1701" s="66">
        <v>44909</v>
      </c>
      <c r="J1701" s="411" t="s">
        <v>4988</v>
      </c>
      <c r="K1701" s="58"/>
      <c r="L1701" s="99"/>
      <c r="M1701" s="70" t="s">
        <v>4875</v>
      </c>
      <c r="N1701" s="97" t="s">
        <v>741</v>
      </c>
      <c r="O1701" s="58"/>
      <c r="P1701" s="58" t="s">
        <v>59</v>
      </c>
      <c r="Q1701" s="58" t="s">
        <v>60</v>
      </c>
      <c r="R1701" s="58" t="s">
        <v>272</v>
      </c>
    </row>
    <row r="1702" spans="1:18" ht="69" customHeight="1">
      <c r="A1702" s="168"/>
      <c r="B1702" s="178">
        <v>7397</v>
      </c>
      <c r="C1702" s="178" t="s">
        <v>4277</v>
      </c>
      <c r="D1702" s="575" t="s">
        <v>3269</v>
      </c>
      <c r="E1702" s="178" t="s">
        <v>4173</v>
      </c>
      <c r="F1702" s="210" t="s">
        <v>4989</v>
      </c>
      <c r="G1702" s="58" t="s">
        <v>1048</v>
      </c>
      <c r="H1702" s="546">
        <v>10061.76</v>
      </c>
      <c r="I1702" s="66">
        <v>44874</v>
      </c>
      <c r="J1702" s="411" t="s">
        <v>4940</v>
      </c>
      <c r="K1702" s="58" t="s">
        <v>4990</v>
      </c>
      <c r="L1702" s="99"/>
      <c r="M1702" s="70" t="s">
        <v>4884</v>
      </c>
      <c r="N1702" s="97" t="s">
        <v>414</v>
      </c>
      <c r="O1702" s="58"/>
      <c r="P1702" s="58" t="s">
        <v>22</v>
      </c>
      <c r="Q1702" s="58" t="s">
        <v>60</v>
      </c>
      <c r="R1702" s="58" t="s">
        <v>265</v>
      </c>
    </row>
    <row r="1703" spans="1:18" ht="69" customHeight="1">
      <c r="A1703" s="168"/>
      <c r="B1703" s="178">
        <v>7407</v>
      </c>
      <c r="C1703" s="178" t="s">
        <v>4277</v>
      </c>
      <c r="D1703" s="575" t="s">
        <v>4991</v>
      </c>
      <c r="E1703" s="178" t="s">
        <v>4173</v>
      </c>
      <c r="F1703" s="210" t="s">
        <v>4992</v>
      </c>
      <c r="G1703" s="58" t="s">
        <v>4993</v>
      </c>
      <c r="H1703" s="546">
        <v>13000</v>
      </c>
      <c r="I1703" s="66">
        <v>44879</v>
      </c>
      <c r="J1703" s="411" t="s">
        <v>4994</v>
      </c>
      <c r="K1703" s="58"/>
      <c r="L1703" s="99"/>
      <c r="M1703" s="70" t="s">
        <v>4884</v>
      </c>
      <c r="N1703" s="97" t="s">
        <v>414</v>
      </c>
      <c r="O1703" s="58"/>
      <c r="P1703" s="58" t="s">
        <v>22</v>
      </c>
      <c r="Q1703" s="58" t="s">
        <v>60</v>
      </c>
      <c r="R1703" s="58" t="s">
        <v>265</v>
      </c>
    </row>
    <row r="1704" spans="1:18" ht="69" customHeight="1">
      <c r="A1704" s="168"/>
      <c r="B1704" s="178">
        <v>7408</v>
      </c>
      <c r="C1704" s="178" t="s">
        <v>4277</v>
      </c>
      <c r="D1704" s="575" t="s">
        <v>4995</v>
      </c>
      <c r="E1704" s="178" t="s">
        <v>4173</v>
      </c>
      <c r="F1704" s="210" t="s">
        <v>4996</v>
      </c>
      <c r="G1704" s="58" t="s">
        <v>4983</v>
      </c>
      <c r="H1704" s="546">
        <v>28900</v>
      </c>
      <c r="I1704" s="66">
        <v>44884</v>
      </c>
      <c r="J1704" s="411" t="s">
        <v>4994</v>
      </c>
      <c r="K1704" s="58"/>
      <c r="L1704" s="99"/>
      <c r="M1704" s="70" t="s">
        <v>4884</v>
      </c>
      <c r="N1704" s="97" t="s">
        <v>414</v>
      </c>
      <c r="O1704" s="58"/>
      <c r="P1704" s="58" t="s">
        <v>22</v>
      </c>
      <c r="Q1704" s="58" t="s">
        <v>60</v>
      </c>
      <c r="R1704" s="58" t="s">
        <v>265</v>
      </c>
    </row>
    <row r="1705" spans="1:18" ht="69" customHeight="1">
      <c r="A1705" s="168"/>
      <c r="B1705" s="178">
        <v>6575</v>
      </c>
      <c r="C1705" s="178" t="s">
        <v>4277</v>
      </c>
      <c r="D1705" s="575" t="s">
        <v>3395</v>
      </c>
      <c r="E1705" s="178" t="s">
        <v>266</v>
      </c>
      <c r="F1705" s="210" t="s">
        <v>4997</v>
      </c>
      <c r="G1705" s="58" t="s">
        <v>1107</v>
      </c>
      <c r="H1705" s="546">
        <v>7293.34</v>
      </c>
      <c r="I1705" s="66">
        <v>44879</v>
      </c>
      <c r="J1705" s="411" t="s">
        <v>1108</v>
      </c>
      <c r="K1705" s="58"/>
      <c r="L1705" s="99"/>
      <c r="M1705" s="70" t="s">
        <v>4835</v>
      </c>
      <c r="N1705" s="97" t="s">
        <v>970</v>
      </c>
      <c r="O1705" s="58" t="s">
        <v>971</v>
      </c>
      <c r="P1705" s="58" t="s">
        <v>38</v>
      </c>
      <c r="Q1705" s="58" t="s">
        <v>60</v>
      </c>
      <c r="R1705" s="58" t="s">
        <v>272</v>
      </c>
    </row>
    <row r="1706" spans="1:18" ht="69" customHeight="1">
      <c r="A1706" s="168"/>
      <c r="B1706" s="178">
        <v>6576</v>
      </c>
      <c r="C1706" s="178" t="s">
        <v>4277</v>
      </c>
      <c r="D1706" s="575" t="s">
        <v>4998</v>
      </c>
      <c r="E1706" s="178" t="s">
        <v>266</v>
      </c>
      <c r="F1706" s="210" t="s">
        <v>4999</v>
      </c>
      <c r="G1706" s="58" t="s">
        <v>1107</v>
      </c>
      <c r="H1706" s="546">
        <v>7293.34</v>
      </c>
      <c r="I1706" s="66">
        <v>44879</v>
      </c>
      <c r="J1706" s="411" t="s">
        <v>1108</v>
      </c>
      <c r="K1706" s="58"/>
      <c r="L1706" s="99"/>
      <c r="M1706" s="70" t="s">
        <v>4835</v>
      </c>
      <c r="N1706" s="97" t="s">
        <v>970</v>
      </c>
      <c r="O1706" s="58" t="s">
        <v>971</v>
      </c>
      <c r="P1706" s="58" t="s">
        <v>38</v>
      </c>
      <c r="Q1706" s="58" t="s">
        <v>60</v>
      </c>
      <c r="R1706" s="58" t="s">
        <v>272</v>
      </c>
    </row>
    <row r="1707" spans="1:18" ht="69" customHeight="1">
      <c r="A1707" s="168"/>
      <c r="B1707" s="178">
        <v>7523</v>
      </c>
      <c r="C1707" s="178" t="s">
        <v>4277</v>
      </c>
      <c r="D1707" s="575" t="s">
        <v>5000</v>
      </c>
      <c r="E1707" s="178" t="s">
        <v>4173</v>
      </c>
      <c r="F1707" s="210" t="s">
        <v>5001</v>
      </c>
      <c r="G1707" s="58" t="s">
        <v>1048</v>
      </c>
      <c r="H1707" s="546">
        <v>3051</v>
      </c>
      <c r="I1707" s="66">
        <v>44883</v>
      </c>
      <c r="J1707" s="411" t="s">
        <v>5002</v>
      </c>
      <c r="K1707" s="58"/>
      <c r="L1707" s="99"/>
      <c r="M1707" s="70" t="s">
        <v>4884</v>
      </c>
      <c r="N1707" s="97" t="s">
        <v>414</v>
      </c>
      <c r="O1707" s="58"/>
      <c r="P1707" s="58" t="s">
        <v>22</v>
      </c>
      <c r="Q1707" s="58" t="s">
        <v>60</v>
      </c>
      <c r="R1707" s="58" t="s">
        <v>265</v>
      </c>
    </row>
    <row r="1708" spans="1:18" ht="69" customHeight="1">
      <c r="A1708" s="168"/>
      <c r="B1708" s="191">
        <v>7543</v>
      </c>
      <c r="C1708" s="191" t="s">
        <v>4277</v>
      </c>
      <c r="D1708" s="533" t="s">
        <v>3378</v>
      </c>
      <c r="E1708" s="191" t="s">
        <v>4173</v>
      </c>
      <c r="F1708" s="211" t="s">
        <v>5003</v>
      </c>
      <c r="G1708" s="46" t="s">
        <v>3806</v>
      </c>
      <c r="H1708" s="534">
        <v>9500</v>
      </c>
      <c r="I1708" s="56">
        <v>44886</v>
      </c>
      <c r="J1708" s="412" t="s">
        <v>5004</v>
      </c>
      <c r="K1708" s="46" t="s">
        <v>167</v>
      </c>
      <c r="L1708" s="99"/>
      <c r="M1708" s="379"/>
      <c r="N1708" s="76" t="s">
        <v>414</v>
      </c>
      <c r="O1708" s="46"/>
      <c r="P1708" s="46" t="s">
        <v>71</v>
      </c>
      <c r="Q1708" s="46" t="s">
        <v>60</v>
      </c>
      <c r="R1708" s="46" t="s">
        <v>272</v>
      </c>
    </row>
    <row r="1709" spans="1:18" ht="69" customHeight="1">
      <c r="A1709" s="168"/>
      <c r="B1709" s="178">
        <v>7544</v>
      </c>
      <c r="C1709" s="178" t="s">
        <v>4277</v>
      </c>
      <c r="D1709" s="575" t="s">
        <v>754</v>
      </c>
      <c r="E1709" s="178" t="s">
        <v>4173</v>
      </c>
      <c r="F1709" s="210" t="s">
        <v>5005</v>
      </c>
      <c r="G1709" s="58" t="s">
        <v>3806</v>
      </c>
      <c r="H1709" s="546">
        <v>17200</v>
      </c>
      <c r="I1709" s="66">
        <v>44886</v>
      </c>
      <c r="J1709" s="411" t="s">
        <v>5004</v>
      </c>
      <c r="K1709" s="58"/>
      <c r="L1709" s="99"/>
      <c r="M1709" s="70" t="s">
        <v>4884</v>
      </c>
      <c r="N1709" s="97" t="s">
        <v>414</v>
      </c>
      <c r="O1709" s="58"/>
      <c r="P1709" s="58" t="s">
        <v>22</v>
      </c>
      <c r="Q1709" s="58" t="s">
        <v>60</v>
      </c>
      <c r="R1709" s="58" t="s">
        <v>265</v>
      </c>
    </row>
    <row r="1710" spans="1:18" ht="69" customHeight="1">
      <c r="A1710" s="168"/>
      <c r="B1710" s="178">
        <v>7545</v>
      </c>
      <c r="C1710" s="178" t="s">
        <v>4277</v>
      </c>
      <c r="D1710" s="575" t="s">
        <v>3373</v>
      </c>
      <c r="E1710" s="178" t="s">
        <v>4173</v>
      </c>
      <c r="F1710" s="210" t="s">
        <v>5006</v>
      </c>
      <c r="G1710" s="58" t="s">
        <v>3888</v>
      </c>
      <c r="H1710" s="546">
        <v>4200</v>
      </c>
      <c r="I1710" s="66">
        <v>44886</v>
      </c>
      <c r="J1710" s="411" t="s">
        <v>5004</v>
      </c>
      <c r="K1710" s="58"/>
      <c r="L1710" s="99"/>
      <c r="M1710" s="70" t="s">
        <v>4884</v>
      </c>
      <c r="N1710" s="97" t="s">
        <v>414</v>
      </c>
      <c r="O1710" s="58"/>
      <c r="P1710" s="58" t="s">
        <v>22</v>
      </c>
      <c r="Q1710" s="58" t="s">
        <v>60</v>
      </c>
      <c r="R1710" s="58" t="s">
        <v>265</v>
      </c>
    </row>
    <row r="1711" spans="1:18" ht="69" customHeight="1">
      <c r="A1711" s="168"/>
      <c r="B1711" s="178">
        <v>7502</v>
      </c>
      <c r="C1711" s="178" t="s">
        <v>4277</v>
      </c>
      <c r="D1711" s="575" t="s">
        <v>5007</v>
      </c>
      <c r="E1711" s="178" t="s">
        <v>4173</v>
      </c>
      <c r="F1711" s="210" t="s">
        <v>5008</v>
      </c>
      <c r="G1711" s="58" t="s">
        <v>1048</v>
      </c>
      <c r="H1711" s="546">
        <v>17460</v>
      </c>
      <c r="I1711" s="66">
        <v>44883</v>
      </c>
      <c r="J1711" s="411" t="s">
        <v>3818</v>
      </c>
      <c r="K1711" s="58"/>
      <c r="L1711" s="99"/>
      <c r="M1711" s="70" t="s">
        <v>4884</v>
      </c>
      <c r="N1711" s="97" t="s">
        <v>414</v>
      </c>
      <c r="O1711" s="58"/>
      <c r="P1711" s="58" t="s">
        <v>22</v>
      </c>
      <c r="Q1711" s="58" t="s">
        <v>60</v>
      </c>
      <c r="R1711" s="58" t="s">
        <v>265</v>
      </c>
    </row>
    <row r="1712" spans="1:18" ht="69" customHeight="1">
      <c r="A1712" s="168"/>
      <c r="B1712" s="178">
        <v>7503</v>
      </c>
      <c r="C1712" s="178" t="s">
        <v>4277</v>
      </c>
      <c r="D1712" s="575" t="s">
        <v>5009</v>
      </c>
      <c r="E1712" s="178" t="s">
        <v>4173</v>
      </c>
      <c r="F1712" s="210" t="s">
        <v>5010</v>
      </c>
      <c r="G1712" s="58" t="s">
        <v>1048</v>
      </c>
      <c r="H1712" s="546">
        <v>5675</v>
      </c>
      <c r="I1712" s="66">
        <v>44888</v>
      </c>
      <c r="J1712" s="411" t="s">
        <v>3818</v>
      </c>
      <c r="K1712" s="58"/>
      <c r="L1712" s="99"/>
      <c r="M1712" s="70" t="s">
        <v>4884</v>
      </c>
      <c r="N1712" s="97" t="s">
        <v>414</v>
      </c>
      <c r="O1712" s="58"/>
      <c r="P1712" s="58" t="s">
        <v>22</v>
      </c>
      <c r="Q1712" s="58" t="s">
        <v>60</v>
      </c>
      <c r="R1712" s="58" t="s">
        <v>265</v>
      </c>
    </row>
    <row r="1713" spans="1:18" ht="69" customHeight="1">
      <c r="A1713" s="168"/>
      <c r="B1713" s="178">
        <v>6348</v>
      </c>
      <c r="C1713" s="178" t="s">
        <v>3906</v>
      </c>
      <c r="D1713" s="575" t="s">
        <v>5011</v>
      </c>
      <c r="E1713" s="178" t="s">
        <v>979</v>
      </c>
      <c r="F1713" s="210" t="s">
        <v>5012</v>
      </c>
      <c r="G1713" s="58" t="s">
        <v>352</v>
      </c>
      <c r="H1713" s="546">
        <v>10971.58</v>
      </c>
      <c r="I1713" s="66">
        <v>44813</v>
      </c>
      <c r="J1713" s="411" t="s">
        <v>3909</v>
      </c>
      <c r="K1713" s="58"/>
      <c r="L1713" s="99"/>
      <c r="M1713" s="70" t="s">
        <v>5013</v>
      </c>
      <c r="N1713" s="97" t="s">
        <v>356</v>
      </c>
      <c r="O1713" s="58" t="s">
        <v>156</v>
      </c>
      <c r="P1713" s="58" t="s">
        <v>19</v>
      </c>
      <c r="Q1713" s="58" t="s">
        <v>68</v>
      </c>
      <c r="R1713" s="58" t="s">
        <v>265</v>
      </c>
    </row>
    <row r="1714" spans="1:18" ht="69" customHeight="1">
      <c r="A1714" s="168"/>
      <c r="B1714" s="178">
        <v>7449</v>
      </c>
      <c r="C1714" s="178" t="s">
        <v>4277</v>
      </c>
      <c r="D1714" s="575" t="s">
        <v>1386</v>
      </c>
      <c r="E1714" s="178" t="s">
        <v>4173</v>
      </c>
      <c r="F1714" s="210" t="s">
        <v>5014</v>
      </c>
      <c r="G1714" s="58" t="s">
        <v>1048</v>
      </c>
      <c r="H1714" s="546">
        <v>10308.450000000001</v>
      </c>
      <c r="I1714" s="66">
        <v>44893</v>
      </c>
      <c r="J1714" s="411" t="s">
        <v>5015</v>
      </c>
      <c r="K1714" s="58"/>
      <c r="L1714" s="99"/>
      <c r="M1714" s="70" t="s">
        <v>4884</v>
      </c>
      <c r="N1714" s="97" t="s">
        <v>414</v>
      </c>
      <c r="O1714" s="58"/>
      <c r="P1714" s="58" t="s">
        <v>22</v>
      </c>
      <c r="Q1714" s="58" t="s">
        <v>60</v>
      </c>
      <c r="R1714" s="58" t="s">
        <v>265</v>
      </c>
    </row>
    <row r="1715" spans="1:18" ht="69" customHeight="1">
      <c r="A1715" s="168"/>
      <c r="B1715" s="178">
        <v>7582</v>
      </c>
      <c r="C1715" s="178" t="s">
        <v>4973</v>
      </c>
      <c r="D1715" s="575" t="s">
        <v>1984</v>
      </c>
      <c r="E1715" s="178" t="s">
        <v>1044</v>
      </c>
      <c r="F1715" s="210" t="s">
        <v>5016</v>
      </c>
      <c r="G1715" s="58" t="s">
        <v>1041</v>
      </c>
      <c r="H1715" s="546">
        <v>10610</v>
      </c>
      <c r="I1715" s="66">
        <v>44904</v>
      </c>
      <c r="J1715" s="411" t="s">
        <v>1080</v>
      </c>
      <c r="K1715" s="58"/>
      <c r="L1715" s="99"/>
      <c r="M1715" s="70" t="s">
        <v>4976</v>
      </c>
      <c r="N1715" s="97" t="s">
        <v>1044</v>
      </c>
      <c r="O1715" s="58"/>
      <c r="P1715" s="58" t="s">
        <v>26</v>
      </c>
      <c r="Q1715" s="58" t="s">
        <v>60</v>
      </c>
      <c r="R1715" s="58" t="s">
        <v>272</v>
      </c>
    </row>
    <row r="1716" spans="1:18" ht="69" customHeight="1">
      <c r="A1716" s="168"/>
      <c r="B1716" s="178">
        <v>7311</v>
      </c>
      <c r="C1716" s="178" t="s">
        <v>4973</v>
      </c>
      <c r="D1716" s="575" t="s">
        <v>5017</v>
      </c>
      <c r="E1716" s="178" t="s">
        <v>2075</v>
      </c>
      <c r="F1716" s="210" t="s">
        <v>5018</v>
      </c>
      <c r="G1716" s="58" t="s">
        <v>1041</v>
      </c>
      <c r="H1716" s="546">
        <v>30140</v>
      </c>
      <c r="I1716" s="66">
        <v>44869</v>
      </c>
      <c r="J1716" s="411" t="s">
        <v>1113</v>
      </c>
      <c r="K1716" s="58" t="s">
        <v>5019</v>
      </c>
      <c r="L1716" s="99"/>
      <c r="M1716" s="70" t="s">
        <v>4976</v>
      </c>
      <c r="N1716" s="97" t="s">
        <v>1044</v>
      </c>
      <c r="O1716" s="58"/>
      <c r="P1716" s="58" t="s">
        <v>26</v>
      </c>
      <c r="Q1716" s="58" t="s">
        <v>60</v>
      </c>
      <c r="R1716" s="58" t="s">
        <v>272</v>
      </c>
    </row>
    <row r="1717" spans="1:18" ht="69" customHeight="1">
      <c r="A1717" s="168"/>
      <c r="B1717" s="178">
        <v>7450</v>
      </c>
      <c r="C1717" s="178" t="s">
        <v>4277</v>
      </c>
      <c r="D1717" s="575" t="s">
        <v>1156</v>
      </c>
      <c r="E1717" s="178" t="s">
        <v>4173</v>
      </c>
      <c r="F1717" s="210" t="s">
        <v>5020</v>
      </c>
      <c r="G1717" s="58" t="s">
        <v>1048</v>
      </c>
      <c r="H1717" s="546">
        <v>7406.2</v>
      </c>
      <c r="I1717" s="66">
        <v>44909</v>
      </c>
      <c r="J1717" s="411" t="s">
        <v>5015</v>
      </c>
      <c r="K1717" s="58" t="s">
        <v>5021</v>
      </c>
      <c r="L1717" s="99"/>
      <c r="M1717" s="70" t="s">
        <v>4884</v>
      </c>
      <c r="N1717" s="97" t="s">
        <v>414</v>
      </c>
      <c r="O1717" s="58"/>
      <c r="P1717" s="45" t="s">
        <v>22</v>
      </c>
      <c r="Q1717" s="58" t="s">
        <v>60</v>
      </c>
      <c r="R1717" s="58" t="s">
        <v>265</v>
      </c>
    </row>
    <row r="1718" spans="1:18" ht="69" customHeight="1">
      <c r="A1718" s="168"/>
      <c r="B1718" s="178">
        <v>7746</v>
      </c>
      <c r="C1718" s="178" t="s">
        <v>4277</v>
      </c>
      <c r="D1718" s="575" t="s">
        <v>1875</v>
      </c>
      <c r="E1718" s="178" t="s">
        <v>4173</v>
      </c>
      <c r="F1718" s="210" t="s">
        <v>5022</v>
      </c>
      <c r="G1718" s="58" t="s">
        <v>1149</v>
      </c>
      <c r="H1718" s="546">
        <v>10000</v>
      </c>
      <c r="I1718" s="66">
        <v>44907</v>
      </c>
      <c r="J1718" s="411" t="s">
        <v>5023</v>
      </c>
      <c r="K1718" s="58"/>
      <c r="L1718" s="99"/>
      <c r="M1718" s="70" t="s">
        <v>4884</v>
      </c>
      <c r="N1718" s="97" t="s">
        <v>414</v>
      </c>
      <c r="O1718" s="58"/>
      <c r="P1718" s="58" t="s">
        <v>22</v>
      </c>
      <c r="Q1718" s="58" t="s">
        <v>60</v>
      </c>
      <c r="R1718" s="58" t="s">
        <v>265</v>
      </c>
    </row>
    <row r="1719" spans="1:18" ht="69" customHeight="1">
      <c r="A1719" s="168"/>
      <c r="B1719" s="178">
        <v>7747</v>
      </c>
      <c r="C1719" s="178" t="s">
        <v>4277</v>
      </c>
      <c r="D1719" s="575" t="s">
        <v>5024</v>
      </c>
      <c r="E1719" s="178" t="s">
        <v>4173</v>
      </c>
      <c r="F1719" s="210" t="s">
        <v>5025</v>
      </c>
      <c r="G1719" s="58" t="s">
        <v>5026</v>
      </c>
      <c r="H1719" s="546">
        <v>100000</v>
      </c>
      <c r="I1719" s="66">
        <v>44907</v>
      </c>
      <c r="J1719" s="411" t="s">
        <v>5023</v>
      </c>
      <c r="K1719" s="58"/>
      <c r="L1719" s="99"/>
      <c r="M1719" s="70" t="s">
        <v>4884</v>
      </c>
      <c r="N1719" s="97" t="s">
        <v>414</v>
      </c>
      <c r="O1719" s="58"/>
      <c r="P1719" s="58" t="s">
        <v>22</v>
      </c>
      <c r="Q1719" s="58" t="s">
        <v>60</v>
      </c>
      <c r="R1719" s="58" t="s">
        <v>265</v>
      </c>
    </row>
    <row r="1720" spans="1:18" ht="69" customHeight="1">
      <c r="A1720" s="168"/>
      <c r="B1720" s="178">
        <v>7748</v>
      </c>
      <c r="C1720" s="178" t="s">
        <v>4277</v>
      </c>
      <c r="D1720" s="575" t="s">
        <v>3515</v>
      </c>
      <c r="E1720" s="178" t="s">
        <v>4173</v>
      </c>
      <c r="F1720" s="210" t="s">
        <v>5027</v>
      </c>
      <c r="G1720" s="58" t="s">
        <v>3849</v>
      </c>
      <c r="H1720" s="546">
        <v>15000</v>
      </c>
      <c r="I1720" s="66">
        <v>44907</v>
      </c>
      <c r="J1720" s="411" t="s">
        <v>5023</v>
      </c>
      <c r="K1720" s="58"/>
      <c r="L1720" s="99"/>
      <c r="M1720" s="70" t="s">
        <v>4884</v>
      </c>
      <c r="N1720" s="97" t="s">
        <v>414</v>
      </c>
      <c r="O1720" s="58"/>
      <c r="P1720" s="58" t="s">
        <v>22</v>
      </c>
      <c r="Q1720" s="58" t="s">
        <v>60</v>
      </c>
      <c r="R1720" s="58" t="s">
        <v>265</v>
      </c>
    </row>
    <row r="1721" spans="1:18" ht="69" customHeight="1">
      <c r="A1721" s="168"/>
      <c r="B1721" s="178">
        <v>7750</v>
      </c>
      <c r="C1721" s="178" t="s">
        <v>4277</v>
      </c>
      <c r="D1721" s="575" t="s">
        <v>2605</v>
      </c>
      <c r="E1721" s="178" t="s">
        <v>4173</v>
      </c>
      <c r="F1721" s="210" t="s">
        <v>5028</v>
      </c>
      <c r="G1721" s="58" t="s">
        <v>3849</v>
      </c>
      <c r="H1721" s="546">
        <v>15000</v>
      </c>
      <c r="I1721" s="66">
        <v>44907</v>
      </c>
      <c r="J1721" s="411" t="s">
        <v>5023</v>
      </c>
      <c r="K1721" s="58"/>
      <c r="L1721" s="99"/>
      <c r="M1721" s="70" t="s">
        <v>4884</v>
      </c>
      <c r="N1721" s="97" t="s">
        <v>414</v>
      </c>
      <c r="O1721" s="58"/>
      <c r="P1721" s="58" t="s">
        <v>22</v>
      </c>
      <c r="Q1721" s="58" t="s">
        <v>60</v>
      </c>
      <c r="R1721" s="58" t="s">
        <v>265</v>
      </c>
    </row>
    <row r="1722" spans="1:18" ht="69" customHeight="1">
      <c r="A1722" s="168"/>
      <c r="B1722" s="178">
        <v>8015</v>
      </c>
      <c r="C1722" s="178" t="s">
        <v>4277</v>
      </c>
      <c r="D1722" s="575" t="s">
        <v>1885</v>
      </c>
      <c r="E1722" s="178" t="s">
        <v>4173</v>
      </c>
      <c r="F1722" s="210" t="s">
        <v>5029</v>
      </c>
      <c r="G1722" s="58" t="s">
        <v>1149</v>
      </c>
      <c r="H1722" s="546">
        <v>16900</v>
      </c>
      <c r="I1722" s="66">
        <v>44909</v>
      </c>
      <c r="J1722" s="411" t="s">
        <v>5030</v>
      </c>
      <c r="K1722" s="58"/>
      <c r="L1722" s="99"/>
      <c r="M1722" s="70" t="s">
        <v>4884</v>
      </c>
      <c r="N1722" s="97" t="s">
        <v>414</v>
      </c>
      <c r="O1722" s="58"/>
      <c r="P1722" s="58" t="s">
        <v>22</v>
      </c>
      <c r="Q1722" s="58" t="s">
        <v>60</v>
      </c>
      <c r="R1722" s="58" t="s">
        <v>265</v>
      </c>
    </row>
    <row r="1723" spans="1:18" ht="69" customHeight="1">
      <c r="A1723" s="168"/>
      <c r="B1723" s="178">
        <v>8016</v>
      </c>
      <c r="C1723" s="178" t="s">
        <v>4277</v>
      </c>
      <c r="D1723" s="575" t="s">
        <v>1888</v>
      </c>
      <c r="E1723" s="178" t="s">
        <v>4173</v>
      </c>
      <c r="F1723" s="210" t="s">
        <v>5031</v>
      </c>
      <c r="G1723" s="58" t="s">
        <v>5032</v>
      </c>
      <c r="H1723" s="546">
        <v>50000</v>
      </c>
      <c r="I1723" s="66">
        <v>44909</v>
      </c>
      <c r="J1723" s="411" t="s">
        <v>5030</v>
      </c>
      <c r="K1723" s="58"/>
      <c r="L1723" s="99"/>
      <c r="M1723" s="70" t="s">
        <v>4884</v>
      </c>
      <c r="N1723" s="97" t="s">
        <v>414</v>
      </c>
      <c r="O1723" s="58"/>
      <c r="P1723" s="58" t="s">
        <v>22</v>
      </c>
      <c r="Q1723" s="58" t="s">
        <v>60</v>
      </c>
      <c r="R1723" s="58" t="s">
        <v>265</v>
      </c>
    </row>
    <row r="1724" spans="1:18" ht="69" customHeight="1">
      <c r="A1724" s="168"/>
      <c r="B1724" s="178">
        <v>8017</v>
      </c>
      <c r="C1724" s="178" t="s">
        <v>4277</v>
      </c>
      <c r="D1724" s="575" t="s">
        <v>5033</v>
      </c>
      <c r="E1724" s="178" t="s">
        <v>4173</v>
      </c>
      <c r="F1724" s="210" t="s">
        <v>5034</v>
      </c>
      <c r="G1724" s="58" t="s">
        <v>1149</v>
      </c>
      <c r="H1724" s="546">
        <v>18048</v>
      </c>
      <c r="I1724" s="66">
        <v>44909</v>
      </c>
      <c r="J1724" s="411" t="s">
        <v>5030</v>
      </c>
      <c r="K1724" s="58"/>
      <c r="L1724" s="99"/>
      <c r="M1724" s="70" t="s">
        <v>4884</v>
      </c>
      <c r="N1724" s="97" t="s">
        <v>414</v>
      </c>
      <c r="O1724" s="58"/>
      <c r="P1724" s="58" t="s">
        <v>22</v>
      </c>
      <c r="Q1724" s="58" t="s">
        <v>60</v>
      </c>
      <c r="R1724" s="58" t="s">
        <v>265</v>
      </c>
    </row>
    <row r="1725" spans="1:18" ht="69" customHeight="1">
      <c r="A1725" s="168"/>
      <c r="B1725" s="178">
        <v>8018</v>
      </c>
      <c r="C1725" s="178" t="s">
        <v>4277</v>
      </c>
      <c r="D1725" s="575" t="s">
        <v>1396</v>
      </c>
      <c r="E1725" s="178" t="s">
        <v>4173</v>
      </c>
      <c r="F1725" s="210" t="s">
        <v>5035</v>
      </c>
      <c r="G1725" s="58" t="s">
        <v>1149</v>
      </c>
      <c r="H1725" s="546">
        <v>17304.5</v>
      </c>
      <c r="I1725" s="66">
        <v>44909</v>
      </c>
      <c r="J1725" s="411" t="s">
        <v>5030</v>
      </c>
      <c r="K1725" s="58"/>
      <c r="L1725" s="99"/>
      <c r="M1725" s="70" t="s">
        <v>4884</v>
      </c>
      <c r="N1725" s="97" t="s">
        <v>414</v>
      </c>
      <c r="O1725" s="58"/>
      <c r="P1725" s="58" t="s">
        <v>22</v>
      </c>
      <c r="Q1725" s="58" t="s">
        <v>60</v>
      </c>
      <c r="R1725" s="58" t="s">
        <v>265</v>
      </c>
    </row>
    <row r="1726" spans="1:18" ht="69" customHeight="1">
      <c r="A1726" s="168"/>
      <c r="B1726" s="178">
        <v>8019</v>
      </c>
      <c r="C1726" s="178" t="s">
        <v>4277</v>
      </c>
      <c r="D1726" s="575" t="s">
        <v>5036</v>
      </c>
      <c r="E1726" s="178" t="s">
        <v>4173</v>
      </c>
      <c r="F1726" s="210" t="s">
        <v>5037</v>
      </c>
      <c r="G1726" s="58" t="s">
        <v>5038</v>
      </c>
      <c r="H1726" s="546">
        <v>9000</v>
      </c>
      <c r="I1726" s="66">
        <v>44909</v>
      </c>
      <c r="J1726" s="411" t="s">
        <v>5030</v>
      </c>
      <c r="K1726" s="58"/>
      <c r="L1726" s="99"/>
      <c r="M1726" s="70" t="s">
        <v>4884</v>
      </c>
      <c r="N1726" s="97" t="s">
        <v>414</v>
      </c>
      <c r="O1726" s="58"/>
      <c r="P1726" s="58" t="s">
        <v>22</v>
      </c>
      <c r="Q1726" s="58" t="s">
        <v>60</v>
      </c>
      <c r="R1726" s="58" t="s">
        <v>265</v>
      </c>
    </row>
    <row r="1727" spans="1:18" ht="69" customHeight="1">
      <c r="A1727" s="168"/>
      <c r="B1727" s="178">
        <v>7528</v>
      </c>
      <c r="C1727" s="178" t="s">
        <v>4277</v>
      </c>
      <c r="D1727" s="575" t="s">
        <v>2335</v>
      </c>
      <c r="E1727" s="178" t="s">
        <v>3825</v>
      </c>
      <c r="F1727" s="210" t="s">
        <v>5039</v>
      </c>
      <c r="G1727" s="58" t="s">
        <v>3831</v>
      </c>
      <c r="H1727" s="546">
        <v>437341.32</v>
      </c>
      <c r="I1727" s="66">
        <v>44890</v>
      </c>
      <c r="J1727" s="411" t="s">
        <v>5040</v>
      </c>
      <c r="K1727" s="58"/>
      <c r="L1727" s="99"/>
      <c r="M1727" s="70" t="s">
        <v>4871</v>
      </c>
      <c r="N1727" s="97" t="s">
        <v>414</v>
      </c>
      <c r="O1727" s="58"/>
      <c r="P1727" s="58" t="s">
        <v>22</v>
      </c>
      <c r="Q1727" s="58" t="s">
        <v>60</v>
      </c>
      <c r="R1727" s="58" t="s">
        <v>272</v>
      </c>
    </row>
    <row r="1728" spans="1:18" ht="69" customHeight="1">
      <c r="A1728" s="168"/>
      <c r="B1728" s="178">
        <v>8235</v>
      </c>
      <c r="C1728" s="178" t="s">
        <v>4277</v>
      </c>
      <c r="D1728" s="575" t="s">
        <v>5041</v>
      </c>
      <c r="E1728" s="178" t="s">
        <v>4173</v>
      </c>
      <c r="F1728" s="210" t="s">
        <v>5042</v>
      </c>
      <c r="G1728" s="58" t="s">
        <v>1149</v>
      </c>
      <c r="H1728" s="546">
        <v>11195.25</v>
      </c>
      <c r="I1728" s="66">
        <v>44565</v>
      </c>
      <c r="J1728" s="411" t="s">
        <v>5043</v>
      </c>
      <c r="K1728" s="58"/>
      <c r="L1728" s="99"/>
      <c r="M1728" s="70" t="s">
        <v>4884</v>
      </c>
      <c r="N1728" s="97" t="s">
        <v>414</v>
      </c>
      <c r="O1728" s="58"/>
      <c r="P1728" s="58" t="s">
        <v>22</v>
      </c>
      <c r="Q1728" s="58" t="s">
        <v>60</v>
      </c>
      <c r="R1728" s="58" t="s">
        <v>265</v>
      </c>
    </row>
    <row r="1729" spans="1:18" ht="69" customHeight="1">
      <c r="A1729" s="168"/>
      <c r="B1729" s="178">
        <v>8236</v>
      </c>
      <c r="C1729" s="178" t="s">
        <v>4277</v>
      </c>
      <c r="D1729" s="575" t="s">
        <v>5044</v>
      </c>
      <c r="E1729" s="178" t="s">
        <v>4173</v>
      </c>
      <c r="F1729" s="210" t="s">
        <v>5045</v>
      </c>
      <c r="G1729" s="58" t="s">
        <v>1149</v>
      </c>
      <c r="H1729" s="546">
        <v>4850.92</v>
      </c>
      <c r="I1729" s="66">
        <v>44565</v>
      </c>
      <c r="J1729" s="411" t="s">
        <v>5043</v>
      </c>
      <c r="K1729" s="58"/>
      <c r="L1729" s="99"/>
      <c r="M1729" s="70" t="s">
        <v>4884</v>
      </c>
      <c r="N1729" s="97" t="s">
        <v>414</v>
      </c>
      <c r="O1729" s="58"/>
      <c r="P1729" s="58" t="s">
        <v>22</v>
      </c>
      <c r="Q1729" s="58" t="s">
        <v>60</v>
      </c>
      <c r="R1729" s="58" t="s">
        <v>265</v>
      </c>
    </row>
    <row r="1730" spans="1:18" ht="69" customHeight="1">
      <c r="A1730" s="168"/>
      <c r="B1730" s="178">
        <v>8302</v>
      </c>
      <c r="C1730" s="178" t="s">
        <v>4277</v>
      </c>
      <c r="D1730" s="575" t="s">
        <v>3113</v>
      </c>
      <c r="E1730" s="178" t="s">
        <v>4173</v>
      </c>
      <c r="F1730" s="210" t="s">
        <v>5046</v>
      </c>
      <c r="G1730" s="58" t="s">
        <v>3860</v>
      </c>
      <c r="H1730" s="546">
        <v>17200</v>
      </c>
      <c r="I1730" s="66">
        <v>44921</v>
      </c>
      <c r="J1730" s="411" t="s">
        <v>5047</v>
      </c>
      <c r="K1730" s="58"/>
      <c r="L1730" s="99"/>
      <c r="M1730" s="70" t="s">
        <v>4884</v>
      </c>
      <c r="N1730" s="97" t="s">
        <v>414</v>
      </c>
      <c r="O1730" s="58"/>
      <c r="P1730" s="58" t="s">
        <v>22</v>
      </c>
      <c r="Q1730" s="58" t="s">
        <v>60</v>
      </c>
      <c r="R1730" s="58" t="s">
        <v>265</v>
      </c>
    </row>
    <row r="1731" spans="1:18" ht="69" customHeight="1">
      <c r="A1731" s="168"/>
      <c r="B1731" s="191">
        <v>8304</v>
      </c>
      <c r="C1731" s="191" t="s">
        <v>4277</v>
      </c>
      <c r="D1731" s="533" t="s">
        <v>5048</v>
      </c>
      <c r="E1731" s="191" t="s">
        <v>4173</v>
      </c>
      <c r="F1731" s="211" t="s">
        <v>5049</v>
      </c>
      <c r="G1731" s="46" t="s">
        <v>3860</v>
      </c>
      <c r="H1731" s="534">
        <v>9500</v>
      </c>
      <c r="I1731" s="56">
        <v>44921</v>
      </c>
      <c r="J1731" s="412" t="s">
        <v>5047</v>
      </c>
      <c r="K1731" s="46" t="s">
        <v>167</v>
      </c>
      <c r="L1731" s="99"/>
      <c r="M1731" s="379"/>
      <c r="N1731" s="76" t="s">
        <v>414</v>
      </c>
      <c r="O1731" s="46"/>
      <c r="P1731" s="46" t="s">
        <v>71</v>
      </c>
      <c r="Q1731" s="46" t="s">
        <v>60</v>
      </c>
      <c r="R1731" s="46" t="s">
        <v>272</v>
      </c>
    </row>
    <row r="1732" spans="1:18" ht="69" customHeight="1">
      <c r="A1732" s="168"/>
      <c r="B1732" s="178">
        <v>8305</v>
      </c>
      <c r="C1732" s="178" t="s">
        <v>4277</v>
      </c>
      <c r="D1732" s="575" t="s">
        <v>5050</v>
      </c>
      <c r="E1732" s="178" t="s">
        <v>4173</v>
      </c>
      <c r="F1732" s="210" t="s">
        <v>5051</v>
      </c>
      <c r="G1732" s="58" t="s">
        <v>3860</v>
      </c>
      <c r="H1732" s="546">
        <v>4900</v>
      </c>
      <c r="I1732" s="66">
        <v>44921</v>
      </c>
      <c r="J1732" s="411" t="s">
        <v>5047</v>
      </c>
      <c r="K1732" s="58"/>
      <c r="L1732" s="99"/>
      <c r="M1732" s="70" t="s">
        <v>4884</v>
      </c>
      <c r="N1732" s="97" t="s">
        <v>414</v>
      </c>
      <c r="O1732" s="58"/>
      <c r="P1732" s="58" t="s">
        <v>22</v>
      </c>
      <c r="Q1732" s="58" t="s">
        <v>60</v>
      </c>
      <c r="R1732" s="58" t="s">
        <v>265</v>
      </c>
    </row>
    <row r="1733" spans="1:18" ht="69" customHeight="1">
      <c r="A1733" s="168"/>
      <c r="B1733" s="178">
        <v>8306</v>
      </c>
      <c r="C1733" s="178" t="s">
        <v>4277</v>
      </c>
      <c r="D1733" s="575" t="s">
        <v>5052</v>
      </c>
      <c r="E1733" s="178" t="s">
        <v>4173</v>
      </c>
      <c r="F1733" s="210" t="s">
        <v>5053</v>
      </c>
      <c r="G1733" s="58" t="s">
        <v>5054</v>
      </c>
      <c r="H1733" s="546">
        <v>9294.56</v>
      </c>
      <c r="I1733" s="66">
        <v>44921</v>
      </c>
      <c r="J1733" s="411" t="s">
        <v>5047</v>
      </c>
      <c r="K1733" s="58"/>
      <c r="L1733" s="99"/>
      <c r="M1733" s="70" t="s">
        <v>4884</v>
      </c>
      <c r="N1733" s="97" t="s">
        <v>414</v>
      </c>
      <c r="O1733" s="58"/>
      <c r="P1733" s="58" t="s">
        <v>22</v>
      </c>
      <c r="Q1733" s="58" t="s">
        <v>60</v>
      </c>
      <c r="R1733" s="58" t="s">
        <v>265</v>
      </c>
    </row>
    <row r="1734" spans="1:18" ht="69" customHeight="1">
      <c r="A1734" s="168"/>
      <c r="B1734" s="178">
        <v>8307</v>
      </c>
      <c r="C1734" s="178" t="s">
        <v>4277</v>
      </c>
      <c r="D1734" s="575" t="s">
        <v>5055</v>
      </c>
      <c r="E1734" s="178" t="s">
        <v>4173</v>
      </c>
      <c r="F1734" s="210" t="s">
        <v>5056</v>
      </c>
      <c r="G1734" s="58" t="s">
        <v>5057</v>
      </c>
      <c r="H1734" s="546">
        <v>9424</v>
      </c>
      <c r="I1734" s="66">
        <v>44921</v>
      </c>
      <c r="J1734" s="411" t="s">
        <v>5047</v>
      </c>
      <c r="K1734" s="58"/>
      <c r="L1734" s="99"/>
      <c r="M1734" s="70" t="s">
        <v>4884</v>
      </c>
      <c r="N1734" s="97" t="s">
        <v>414</v>
      </c>
      <c r="O1734" s="58"/>
      <c r="P1734" s="58" t="s">
        <v>22</v>
      </c>
      <c r="Q1734" s="58" t="s">
        <v>60</v>
      </c>
      <c r="R1734" s="58" t="s">
        <v>265</v>
      </c>
    </row>
    <row r="1735" spans="1:18" ht="69" customHeight="1">
      <c r="A1735" s="168"/>
      <c r="B1735" s="178">
        <v>8308</v>
      </c>
      <c r="C1735" s="178" t="s">
        <v>4277</v>
      </c>
      <c r="D1735" s="575" t="s">
        <v>3116</v>
      </c>
      <c r="E1735" s="178" t="s">
        <v>4173</v>
      </c>
      <c r="F1735" s="210" t="s">
        <v>5058</v>
      </c>
      <c r="G1735" s="58" t="s">
        <v>5059</v>
      </c>
      <c r="H1735" s="546">
        <v>12730</v>
      </c>
      <c r="I1735" s="66">
        <v>44921</v>
      </c>
      <c r="J1735" s="411" t="s">
        <v>5047</v>
      </c>
      <c r="K1735" s="58"/>
      <c r="L1735" s="99"/>
      <c r="M1735" s="70" t="s">
        <v>4884</v>
      </c>
      <c r="N1735" s="97" t="s">
        <v>414</v>
      </c>
      <c r="O1735" s="58"/>
      <c r="P1735" s="58" t="s">
        <v>22</v>
      </c>
      <c r="Q1735" s="58" t="s">
        <v>60</v>
      </c>
      <c r="R1735" s="58" t="s">
        <v>265</v>
      </c>
    </row>
    <row r="1736" spans="1:18" ht="69" customHeight="1">
      <c r="A1736" s="168"/>
      <c r="B1736" s="178">
        <v>8309</v>
      </c>
      <c r="C1736" s="178" t="s">
        <v>4277</v>
      </c>
      <c r="D1736" s="575" t="s">
        <v>5060</v>
      </c>
      <c r="E1736" s="178" t="s">
        <v>4173</v>
      </c>
      <c r="F1736" s="210" t="s">
        <v>5061</v>
      </c>
      <c r="G1736" s="58" t="s">
        <v>5054</v>
      </c>
      <c r="H1736" s="546">
        <v>7133.05</v>
      </c>
      <c r="I1736" s="66">
        <v>44921</v>
      </c>
      <c r="J1736" s="411" t="s">
        <v>5047</v>
      </c>
      <c r="K1736" s="58"/>
      <c r="L1736" s="99"/>
      <c r="M1736" s="70" t="s">
        <v>4884</v>
      </c>
      <c r="N1736" s="97" t="s">
        <v>414</v>
      </c>
      <c r="O1736" s="58"/>
      <c r="P1736" s="58" t="s">
        <v>22</v>
      </c>
      <c r="Q1736" s="58" t="s">
        <v>60</v>
      </c>
      <c r="R1736" s="58" t="s">
        <v>265</v>
      </c>
    </row>
    <row r="1737" spans="1:18" ht="69" customHeight="1">
      <c r="A1737" s="168"/>
      <c r="B1737" s="178">
        <v>8310</v>
      </c>
      <c r="C1737" s="178" t="s">
        <v>4277</v>
      </c>
      <c r="D1737" s="575" t="s">
        <v>2640</v>
      </c>
      <c r="E1737" s="178" t="s">
        <v>4173</v>
      </c>
      <c r="F1737" s="210" t="s">
        <v>5062</v>
      </c>
      <c r="G1737" s="58" t="s">
        <v>5054</v>
      </c>
      <c r="H1737" s="546">
        <v>6090</v>
      </c>
      <c r="I1737" s="66">
        <v>44923</v>
      </c>
      <c r="J1737" s="411" t="s">
        <v>5047</v>
      </c>
      <c r="K1737" s="58"/>
      <c r="L1737" s="99"/>
      <c r="M1737" s="70" t="s">
        <v>4884</v>
      </c>
      <c r="N1737" s="97" t="s">
        <v>414</v>
      </c>
      <c r="O1737" s="58"/>
      <c r="P1737" s="58" t="s">
        <v>22</v>
      </c>
      <c r="Q1737" s="58" t="s">
        <v>60</v>
      </c>
      <c r="R1737" s="58" t="s">
        <v>265</v>
      </c>
    </row>
    <row r="1738" spans="1:18" ht="69" customHeight="1">
      <c r="A1738" s="168"/>
      <c r="B1738" s="178">
        <v>8372</v>
      </c>
      <c r="C1738" s="178" t="s">
        <v>4277</v>
      </c>
      <c r="D1738" s="575" t="s">
        <v>5063</v>
      </c>
      <c r="E1738" s="178" t="s">
        <v>4173</v>
      </c>
      <c r="F1738" s="210" t="s">
        <v>5064</v>
      </c>
      <c r="G1738" s="58" t="s">
        <v>5065</v>
      </c>
      <c r="H1738" s="546">
        <v>28900</v>
      </c>
      <c r="I1738" s="66">
        <v>44924</v>
      </c>
      <c r="J1738" s="411" t="s">
        <v>5066</v>
      </c>
      <c r="K1738" s="58"/>
      <c r="L1738" s="99"/>
      <c r="M1738" s="70" t="s">
        <v>4884</v>
      </c>
      <c r="N1738" s="97" t="s">
        <v>414</v>
      </c>
      <c r="O1738" s="58"/>
      <c r="P1738" s="58" t="s">
        <v>22</v>
      </c>
      <c r="Q1738" s="58" t="s">
        <v>60</v>
      </c>
      <c r="R1738" s="58" t="s">
        <v>265</v>
      </c>
    </row>
    <row r="1739" spans="1:18" ht="69" customHeight="1">
      <c r="A1739" s="168"/>
      <c r="B1739" s="178">
        <v>8373</v>
      </c>
      <c r="C1739" s="178" t="s">
        <v>4277</v>
      </c>
      <c r="D1739" s="575"/>
      <c r="E1739" s="178" t="s">
        <v>4173</v>
      </c>
      <c r="F1739" s="210" t="s">
        <v>5067</v>
      </c>
      <c r="G1739" s="58" t="s">
        <v>3866</v>
      </c>
      <c r="H1739" s="546">
        <v>7094</v>
      </c>
      <c r="I1739" s="66">
        <v>44923</v>
      </c>
      <c r="J1739" s="411" t="s">
        <v>5066</v>
      </c>
      <c r="K1739" s="58"/>
      <c r="L1739" s="99"/>
      <c r="M1739" s="70" t="s">
        <v>4884</v>
      </c>
      <c r="N1739" s="97" t="s">
        <v>414</v>
      </c>
      <c r="O1739" s="58"/>
      <c r="P1739" s="58" t="s">
        <v>22</v>
      </c>
      <c r="Q1739" s="58" t="s">
        <v>60</v>
      </c>
      <c r="R1739" s="58" t="s">
        <v>265</v>
      </c>
    </row>
    <row r="1740" spans="1:18" ht="69" customHeight="1">
      <c r="A1740" s="168"/>
      <c r="B1740" s="178">
        <v>8374</v>
      </c>
      <c r="C1740" s="178" t="s">
        <v>4277</v>
      </c>
      <c r="D1740" s="575" t="s">
        <v>5068</v>
      </c>
      <c r="E1740" s="178" t="s">
        <v>4173</v>
      </c>
      <c r="F1740" s="210" t="s">
        <v>5069</v>
      </c>
      <c r="G1740" s="58" t="s">
        <v>3866</v>
      </c>
      <c r="H1740" s="546">
        <v>28297.95</v>
      </c>
      <c r="I1740" s="66">
        <v>44923</v>
      </c>
      <c r="J1740" s="411" t="s">
        <v>5066</v>
      </c>
      <c r="K1740" s="58"/>
      <c r="L1740" s="99"/>
      <c r="M1740" s="70" t="s">
        <v>4884</v>
      </c>
      <c r="N1740" s="97" t="s">
        <v>414</v>
      </c>
      <c r="O1740" s="58"/>
      <c r="P1740" s="58" t="s">
        <v>22</v>
      </c>
      <c r="Q1740" s="58" t="s">
        <v>60</v>
      </c>
      <c r="R1740" s="58" t="s">
        <v>265</v>
      </c>
    </row>
    <row r="1741" spans="1:18" ht="69" customHeight="1">
      <c r="A1741" s="168"/>
      <c r="B1741" s="178">
        <v>8375</v>
      </c>
      <c r="C1741" s="178" t="s">
        <v>4277</v>
      </c>
      <c r="D1741" s="575" t="s">
        <v>5070</v>
      </c>
      <c r="E1741" s="178" t="s">
        <v>4173</v>
      </c>
      <c r="F1741" s="210" t="s">
        <v>5071</v>
      </c>
      <c r="G1741" s="58" t="s">
        <v>3866</v>
      </c>
      <c r="H1741" s="546">
        <v>43236</v>
      </c>
      <c r="I1741" s="66">
        <v>44923</v>
      </c>
      <c r="J1741" s="411" t="s">
        <v>5066</v>
      </c>
      <c r="K1741" s="58"/>
      <c r="L1741" s="99"/>
      <c r="M1741" s="70" t="s">
        <v>4884</v>
      </c>
      <c r="N1741" s="97" t="s">
        <v>414</v>
      </c>
      <c r="O1741" s="58"/>
      <c r="P1741" s="58" t="s">
        <v>22</v>
      </c>
      <c r="Q1741" s="58" t="s">
        <v>60</v>
      </c>
      <c r="R1741" s="58" t="s">
        <v>265</v>
      </c>
    </row>
    <row r="1742" spans="1:18" ht="69" customHeight="1">
      <c r="A1742" s="168"/>
      <c r="B1742" s="178">
        <v>8376</v>
      </c>
      <c r="C1742" s="178" t="s">
        <v>4277</v>
      </c>
      <c r="D1742" s="575" t="s">
        <v>5072</v>
      </c>
      <c r="E1742" s="178" t="s">
        <v>4173</v>
      </c>
      <c r="F1742" s="210" t="s">
        <v>5073</v>
      </c>
      <c r="G1742" s="58" t="s">
        <v>5074</v>
      </c>
      <c r="H1742" s="546">
        <v>16940</v>
      </c>
      <c r="I1742" s="66">
        <v>44923</v>
      </c>
      <c r="J1742" s="411" t="s">
        <v>5066</v>
      </c>
      <c r="K1742" s="58"/>
      <c r="L1742" s="99"/>
      <c r="M1742" s="70" t="s">
        <v>4884</v>
      </c>
      <c r="N1742" s="97" t="s">
        <v>414</v>
      </c>
      <c r="O1742" s="58"/>
      <c r="P1742" s="58" t="s">
        <v>22</v>
      </c>
      <c r="Q1742" s="58" t="s">
        <v>60</v>
      </c>
      <c r="R1742" s="58" t="s">
        <v>265</v>
      </c>
    </row>
    <row r="1743" spans="1:18" ht="69" customHeight="1">
      <c r="A1743" s="168"/>
      <c r="B1743" s="178">
        <v>8378</v>
      </c>
      <c r="C1743" s="178" t="s">
        <v>4277</v>
      </c>
      <c r="D1743" s="575" t="s">
        <v>5075</v>
      </c>
      <c r="E1743" s="178" t="s">
        <v>4173</v>
      </c>
      <c r="F1743" s="210" t="s">
        <v>5076</v>
      </c>
      <c r="G1743" s="58" t="s">
        <v>5077</v>
      </c>
      <c r="H1743" s="546">
        <v>8195.4500000000007</v>
      </c>
      <c r="I1743" s="66">
        <v>44923</v>
      </c>
      <c r="J1743" s="411" t="s">
        <v>5066</v>
      </c>
      <c r="K1743" s="58" t="s">
        <v>5078</v>
      </c>
      <c r="L1743" s="99"/>
      <c r="M1743" s="70" t="s">
        <v>4884</v>
      </c>
      <c r="N1743" s="97" t="s">
        <v>414</v>
      </c>
      <c r="O1743" s="58"/>
      <c r="P1743" s="58" t="s">
        <v>22</v>
      </c>
      <c r="Q1743" s="58" t="s">
        <v>60</v>
      </c>
      <c r="R1743" s="58" t="s">
        <v>265</v>
      </c>
    </row>
    <row r="1744" spans="1:18" ht="69" customHeight="1">
      <c r="A1744" s="168"/>
      <c r="B1744" s="178">
        <v>8440</v>
      </c>
      <c r="C1744" s="178" t="s">
        <v>4277</v>
      </c>
      <c r="D1744" s="575" t="s">
        <v>2160</v>
      </c>
      <c r="E1744" s="178" t="s">
        <v>3825</v>
      </c>
      <c r="F1744" s="210" t="s">
        <v>5079</v>
      </c>
      <c r="G1744" s="58" t="s">
        <v>5080</v>
      </c>
      <c r="H1744" s="546">
        <v>261995.76</v>
      </c>
      <c r="I1744" s="66">
        <v>44932</v>
      </c>
      <c r="J1744" s="411" t="s">
        <v>5081</v>
      </c>
      <c r="K1744" s="58"/>
      <c r="L1744" s="99"/>
      <c r="M1744" s="70" t="s">
        <v>4871</v>
      </c>
      <c r="N1744" s="97" t="s">
        <v>414</v>
      </c>
      <c r="O1744" s="58"/>
      <c r="P1744" s="58" t="s">
        <v>22</v>
      </c>
      <c r="Q1744" s="58" t="s">
        <v>60</v>
      </c>
      <c r="R1744" s="58" t="s">
        <v>272</v>
      </c>
    </row>
    <row r="1745" spans="1:18" ht="69" customHeight="1">
      <c r="A1745" s="168"/>
      <c r="B1745" s="178">
        <v>8554</v>
      </c>
      <c r="C1745" s="178" t="s">
        <v>5082</v>
      </c>
      <c r="D1745" s="575" t="s">
        <v>3139</v>
      </c>
      <c r="E1745" s="178" t="s">
        <v>3235</v>
      </c>
      <c r="F1745" s="210" t="s">
        <v>5083</v>
      </c>
      <c r="G1745" s="58" t="s">
        <v>1877</v>
      </c>
      <c r="H1745" s="546">
        <v>12450.9</v>
      </c>
      <c r="I1745" s="66">
        <v>44946</v>
      </c>
      <c r="J1745" s="411" t="s">
        <v>1878</v>
      </c>
      <c r="K1745" s="58"/>
      <c r="L1745" s="99"/>
      <c r="M1745" s="70" t="s">
        <v>4976</v>
      </c>
      <c r="N1745" s="97" t="s">
        <v>1044</v>
      </c>
      <c r="O1745" s="58"/>
      <c r="P1745" s="58" t="s">
        <v>26</v>
      </c>
      <c r="Q1745" s="58" t="s">
        <v>60</v>
      </c>
      <c r="R1745" s="58" t="s">
        <v>272</v>
      </c>
    </row>
    <row r="1746" spans="1:18" ht="69" customHeight="1">
      <c r="A1746" s="168"/>
      <c r="B1746" s="191">
        <v>8460</v>
      </c>
      <c r="C1746" s="191" t="s">
        <v>4277</v>
      </c>
      <c r="D1746" s="533" t="s">
        <v>3126</v>
      </c>
      <c r="E1746" s="191" t="s">
        <v>5084</v>
      </c>
      <c r="F1746" s="211" t="s">
        <v>5085</v>
      </c>
      <c r="G1746" s="46" t="s">
        <v>4261</v>
      </c>
      <c r="H1746" s="534">
        <v>19822.650000000001</v>
      </c>
      <c r="I1746" s="56">
        <v>44932</v>
      </c>
      <c r="J1746" s="412" t="s">
        <v>5086</v>
      </c>
      <c r="K1746" s="46" t="s">
        <v>167</v>
      </c>
      <c r="L1746" s="99"/>
      <c r="M1746" s="379"/>
      <c r="N1746" s="76" t="s">
        <v>414</v>
      </c>
      <c r="O1746" s="46"/>
      <c r="P1746" s="46" t="s">
        <v>65</v>
      </c>
      <c r="Q1746" s="46" t="s">
        <v>60</v>
      </c>
      <c r="R1746" s="46" t="s">
        <v>272</v>
      </c>
    </row>
    <row r="1747" spans="1:18" ht="69" customHeight="1">
      <c r="A1747" s="168"/>
      <c r="B1747" s="178">
        <v>8527</v>
      </c>
      <c r="C1747" s="178" t="s">
        <v>4277</v>
      </c>
      <c r="D1747" s="575" t="s">
        <v>3324</v>
      </c>
      <c r="E1747" s="178" t="s">
        <v>4173</v>
      </c>
      <c r="F1747" s="210" t="s">
        <v>5087</v>
      </c>
      <c r="G1747" s="58" t="s">
        <v>3880</v>
      </c>
      <c r="H1747" s="546">
        <v>14700</v>
      </c>
      <c r="I1747" s="66">
        <v>44939</v>
      </c>
      <c r="J1747" s="411" t="s">
        <v>5088</v>
      </c>
      <c r="K1747" s="58"/>
      <c r="L1747" s="99"/>
      <c r="M1747" s="70" t="s">
        <v>4884</v>
      </c>
      <c r="N1747" s="97" t="s">
        <v>414</v>
      </c>
      <c r="O1747" s="58"/>
      <c r="P1747" s="58" t="s">
        <v>22</v>
      </c>
      <c r="Q1747" s="58" t="s">
        <v>60</v>
      </c>
      <c r="R1747" s="58" t="s">
        <v>265</v>
      </c>
    </row>
    <row r="1748" spans="1:18" ht="69" customHeight="1">
      <c r="A1748" s="168"/>
      <c r="B1748" s="178">
        <v>8529</v>
      </c>
      <c r="C1748" s="178" t="s">
        <v>4277</v>
      </c>
      <c r="D1748" s="575" t="s">
        <v>1248</v>
      </c>
      <c r="E1748" s="178" t="s">
        <v>4173</v>
      </c>
      <c r="F1748" s="210" t="s">
        <v>5089</v>
      </c>
      <c r="G1748" s="58" t="s">
        <v>5090</v>
      </c>
      <c r="H1748" s="546">
        <v>6000</v>
      </c>
      <c r="I1748" s="66">
        <v>44939</v>
      </c>
      <c r="J1748" s="411" t="s">
        <v>5088</v>
      </c>
      <c r="K1748" s="58"/>
      <c r="L1748" s="99"/>
      <c r="M1748" s="70" t="s">
        <v>4884</v>
      </c>
      <c r="N1748" s="97" t="s">
        <v>414</v>
      </c>
      <c r="O1748" s="58"/>
      <c r="P1748" s="58" t="s">
        <v>22</v>
      </c>
      <c r="Q1748" s="58" t="s">
        <v>60</v>
      </c>
      <c r="R1748" s="58" t="s">
        <v>265</v>
      </c>
    </row>
    <row r="1749" spans="1:18" ht="69" customHeight="1">
      <c r="A1749" s="168"/>
      <c r="B1749" s="178">
        <v>8036</v>
      </c>
      <c r="C1749" s="178" t="s">
        <v>4277</v>
      </c>
      <c r="D1749" s="575" t="s">
        <v>3135</v>
      </c>
      <c r="E1749" s="178" t="s">
        <v>4173</v>
      </c>
      <c r="F1749" s="210" t="s">
        <v>5091</v>
      </c>
      <c r="G1749" s="58" t="s">
        <v>5092</v>
      </c>
      <c r="H1749" s="546">
        <v>35000</v>
      </c>
      <c r="I1749" s="66">
        <v>44939</v>
      </c>
      <c r="J1749" s="411" t="s">
        <v>5093</v>
      </c>
      <c r="K1749" s="58"/>
      <c r="L1749" s="99"/>
      <c r="M1749" s="70" t="s">
        <v>4884</v>
      </c>
      <c r="N1749" s="97" t="s">
        <v>414</v>
      </c>
      <c r="O1749" s="58"/>
      <c r="P1749" s="58" t="s">
        <v>22</v>
      </c>
      <c r="Q1749" s="58" t="s">
        <v>60</v>
      </c>
      <c r="R1749" s="58" t="s">
        <v>265</v>
      </c>
    </row>
    <row r="1750" spans="1:18" ht="69" customHeight="1">
      <c r="A1750" s="168"/>
      <c r="B1750" s="178">
        <v>8037</v>
      </c>
      <c r="C1750" s="178" t="s">
        <v>4277</v>
      </c>
      <c r="D1750" s="575" t="s">
        <v>1243</v>
      </c>
      <c r="E1750" s="178" t="s">
        <v>4173</v>
      </c>
      <c r="F1750" s="210" t="s">
        <v>5094</v>
      </c>
      <c r="G1750" s="58" t="s">
        <v>5092</v>
      </c>
      <c r="H1750" s="546">
        <v>3920</v>
      </c>
      <c r="I1750" s="66">
        <v>44939</v>
      </c>
      <c r="J1750" s="411" t="s">
        <v>5093</v>
      </c>
      <c r="K1750" s="58"/>
      <c r="L1750" s="99"/>
      <c r="M1750" s="70" t="s">
        <v>4884</v>
      </c>
      <c r="N1750" s="97" t="s">
        <v>414</v>
      </c>
      <c r="O1750" s="58"/>
      <c r="P1750" s="58" t="s">
        <v>22</v>
      </c>
      <c r="Q1750" s="58" t="s">
        <v>60</v>
      </c>
      <c r="R1750" s="58" t="s">
        <v>265</v>
      </c>
    </row>
    <row r="1751" spans="1:18" ht="69" customHeight="1">
      <c r="A1751" s="168"/>
      <c r="B1751" s="178">
        <v>8584</v>
      </c>
      <c r="C1751" s="178" t="s">
        <v>4277</v>
      </c>
      <c r="D1751" s="575" t="s">
        <v>5095</v>
      </c>
      <c r="E1751" s="178" t="s">
        <v>4173</v>
      </c>
      <c r="F1751" s="210" t="s">
        <v>5096</v>
      </c>
      <c r="G1751" s="58" t="s">
        <v>5097</v>
      </c>
      <c r="H1751" s="546">
        <v>5352.98</v>
      </c>
      <c r="I1751" s="66">
        <v>44956</v>
      </c>
      <c r="J1751" s="411" t="s">
        <v>5098</v>
      </c>
      <c r="K1751" s="58"/>
      <c r="L1751" s="99"/>
      <c r="M1751" s="70" t="s">
        <v>4884</v>
      </c>
      <c r="N1751" s="97" t="s">
        <v>414</v>
      </c>
      <c r="O1751" s="58"/>
      <c r="P1751" s="58" t="s">
        <v>22</v>
      </c>
      <c r="Q1751" s="58" t="s">
        <v>60</v>
      </c>
      <c r="R1751" s="58" t="s">
        <v>265</v>
      </c>
    </row>
    <row r="1752" spans="1:18" ht="69" customHeight="1">
      <c r="A1752" s="168"/>
      <c r="B1752" s="191">
        <v>8587</v>
      </c>
      <c r="C1752" s="191" t="s">
        <v>4277</v>
      </c>
      <c r="D1752" s="533" t="s">
        <v>5099</v>
      </c>
      <c r="E1752" s="191" t="s">
        <v>4173</v>
      </c>
      <c r="F1752" s="211" t="s">
        <v>5100</v>
      </c>
      <c r="G1752" s="46" t="s">
        <v>5101</v>
      </c>
      <c r="H1752" s="534">
        <v>8152.5</v>
      </c>
      <c r="I1752" s="56">
        <v>44946</v>
      </c>
      <c r="J1752" s="412" t="s">
        <v>5102</v>
      </c>
      <c r="K1752" s="46" t="s">
        <v>5103</v>
      </c>
      <c r="L1752" s="99"/>
      <c r="M1752" s="379"/>
      <c r="N1752" s="76" t="s">
        <v>414</v>
      </c>
      <c r="O1752" s="46"/>
      <c r="P1752" s="46" t="s">
        <v>65</v>
      </c>
      <c r="Q1752" s="46" t="s">
        <v>60</v>
      </c>
      <c r="R1752" s="46" t="s">
        <v>272</v>
      </c>
    </row>
    <row r="1753" spans="1:18" ht="69" customHeight="1">
      <c r="A1753" s="168"/>
      <c r="B1753" s="178">
        <v>8632</v>
      </c>
      <c r="C1753" s="178" t="s">
        <v>4277</v>
      </c>
      <c r="D1753" s="575" t="s">
        <v>5104</v>
      </c>
      <c r="E1753" s="178" t="s">
        <v>4173</v>
      </c>
      <c r="F1753" s="210" t="s">
        <v>5105</v>
      </c>
      <c r="G1753" s="58" t="s">
        <v>4270</v>
      </c>
      <c r="H1753" s="546">
        <v>7118.5</v>
      </c>
      <c r="I1753" s="66">
        <v>44946</v>
      </c>
      <c r="J1753" s="411" t="s">
        <v>5106</v>
      </c>
      <c r="K1753" s="58"/>
      <c r="L1753" s="99"/>
      <c r="M1753" s="70" t="s">
        <v>4884</v>
      </c>
      <c r="N1753" s="97" t="s">
        <v>414</v>
      </c>
      <c r="O1753" s="58"/>
      <c r="P1753" s="58" t="s">
        <v>22</v>
      </c>
      <c r="Q1753" s="58" t="s">
        <v>60</v>
      </c>
      <c r="R1753" s="58" t="s">
        <v>265</v>
      </c>
    </row>
    <row r="1754" spans="1:18" ht="69" customHeight="1">
      <c r="A1754" s="168"/>
      <c r="B1754" s="178">
        <v>8643</v>
      </c>
      <c r="C1754" s="178" t="s">
        <v>4277</v>
      </c>
      <c r="D1754" s="575" t="s">
        <v>5107</v>
      </c>
      <c r="E1754" s="178" t="s">
        <v>4173</v>
      </c>
      <c r="F1754" s="210" t="s">
        <v>5108</v>
      </c>
      <c r="G1754" s="58" t="s">
        <v>3891</v>
      </c>
      <c r="H1754" s="546">
        <v>17200</v>
      </c>
      <c r="I1754" s="66">
        <v>44946</v>
      </c>
      <c r="J1754" s="411" t="s">
        <v>5109</v>
      </c>
      <c r="K1754" s="58"/>
      <c r="L1754" s="99"/>
      <c r="M1754" s="70" t="s">
        <v>4884</v>
      </c>
      <c r="N1754" s="97" t="s">
        <v>414</v>
      </c>
      <c r="O1754" s="58"/>
      <c r="P1754" s="58" t="s">
        <v>22</v>
      </c>
      <c r="Q1754" s="58" t="s">
        <v>60</v>
      </c>
      <c r="R1754" s="58" t="s">
        <v>265</v>
      </c>
    </row>
    <row r="1755" spans="1:18" ht="69" customHeight="1">
      <c r="A1755" s="168"/>
      <c r="B1755" s="191">
        <v>8644</v>
      </c>
      <c r="C1755" s="191" t="s">
        <v>4277</v>
      </c>
      <c r="D1755" s="533" t="s">
        <v>5110</v>
      </c>
      <c r="E1755" s="191" t="s">
        <v>4173</v>
      </c>
      <c r="F1755" s="211" t="s">
        <v>5111</v>
      </c>
      <c r="G1755" s="46" t="s">
        <v>5112</v>
      </c>
      <c r="H1755" s="534">
        <v>9500</v>
      </c>
      <c r="I1755" s="56">
        <v>44946</v>
      </c>
      <c r="J1755" s="412" t="s">
        <v>5109</v>
      </c>
      <c r="K1755" s="46" t="s">
        <v>881</v>
      </c>
      <c r="L1755" s="99"/>
      <c r="M1755" s="379"/>
      <c r="N1755" s="76" t="s">
        <v>414</v>
      </c>
      <c r="O1755" s="46"/>
      <c r="P1755" s="46" t="s">
        <v>71</v>
      </c>
      <c r="Q1755" s="46" t="s">
        <v>60</v>
      </c>
      <c r="R1755" s="46" t="s">
        <v>272</v>
      </c>
    </row>
    <row r="1756" spans="1:18" ht="69" customHeight="1">
      <c r="A1756" s="168"/>
      <c r="B1756" s="178">
        <v>8261</v>
      </c>
      <c r="C1756" s="178" t="s">
        <v>4277</v>
      </c>
      <c r="D1756" s="575" t="s">
        <v>5113</v>
      </c>
      <c r="E1756" s="178" t="s">
        <v>4173</v>
      </c>
      <c r="F1756" s="210" t="s">
        <v>5114</v>
      </c>
      <c r="G1756" s="58" t="s">
        <v>3939</v>
      </c>
      <c r="H1756" s="546">
        <v>4191.82</v>
      </c>
      <c r="I1756" s="66">
        <v>44974</v>
      </c>
      <c r="J1756" s="411" t="s">
        <v>5115</v>
      </c>
      <c r="K1756" s="58"/>
      <c r="L1756" s="99"/>
      <c r="M1756" s="70" t="s">
        <v>4884</v>
      </c>
      <c r="N1756" s="97" t="s">
        <v>414</v>
      </c>
      <c r="O1756" s="58"/>
      <c r="P1756" s="58" t="s">
        <v>22</v>
      </c>
      <c r="Q1756" s="58" t="s">
        <v>60</v>
      </c>
      <c r="R1756" s="58" t="s">
        <v>265</v>
      </c>
    </row>
    <row r="1757" spans="1:18" ht="69" customHeight="1">
      <c r="A1757" s="168"/>
      <c r="B1757" s="178">
        <v>8741</v>
      </c>
      <c r="C1757" s="178" t="s">
        <v>4277</v>
      </c>
      <c r="D1757" s="575" t="s">
        <v>5116</v>
      </c>
      <c r="E1757" s="178" t="s">
        <v>4173</v>
      </c>
      <c r="F1757" s="210" t="s">
        <v>5117</v>
      </c>
      <c r="G1757" s="58" t="s">
        <v>1212</v>
      </c>
      <c r="H1757" s="546">
        <v>6000</v>
      </c>
      <c r="I1757" s="66">
        <v>44970</v>
      </c>
      <c r="J1757" s="411" t="s">
        <v>5118</v>
      </c>
      <c r="K1757" s="58"/>
      <c r="L1757" s="99"/>
      <c r="M1757" s="70" t="s">
        <v>4884</v>
      </c>
      <c r="N1757" s="97" t="s">
        <v>414</v>
      </c>
      <c r="O1757" s="58"/>
      <c r="P1757" s="58" t="s">
        <v>22</v>
      </c>
      <c r="Q1757" s="58" t="s">
        <v>60</v>
      </c>
      <c r="R1757" s="58" t="s">
        <v>265</v>
      </c>
    </row>
    <row r="1758" spans="1:18" ht="69" customHeight="1">
      <c r="A1758" s="168"/>
      <c r="B1758" s="178">
        <v>8773</v>
      </c>
      <c r="C1758" s="178" t="s">
        <v>4277</v>
      </c>
      <c r="D1758" s="575" t="s">
        <v>5119</v>
      </c>
      <c r="E1758" s="178" t="s">
        <v>4173</v>
      </c>
      <c r="F1758" s="210" t="s">
        <v>5120</v>
      </c>
      <c r="G1758" s="58" t="s">
        <v>5121</v>
      </c>
      <c r="H1758" s="546">
        <v>6000</v>
      </c>
      <c r="I1758" s="66">
        <v>44972</v>
      </c>
      <c r="J1758" s="411" t="s">
        <v>5122</v>
      </c>
      <c r="K1758" s="58"/>
      <c r="L1758" s="99"/>
      <c r="M1758" s="70" t="s">
        <v>4884</v>
      </c>
      <c r="N1758" s="97" t="s">
        <v>414</v>
      </c>
      <c r="O1758" s="58"/>
      <c r="P1758" s="58" t="s">
        <v>22</v>
      </c>
      <c r="Q1758" s="58" t="s">
        <v>60</v>
      </c>
      <c r="R1758" s="58" t="s">
        <v>265</v>
      </c>
    </row>
    <row r="1759" spans="1:18" ht="69" customHeight="1">
      <c r="A1759" s="168"/>
      <c r="B1759" s="178">
        <v>8869</v>
      </c>
      <c r="C1759" s="178" t="s">
        <v>4277</v>
      </c>
      <c r="D1759" s="575" t="s">
        <v>5123</v>
      </c>
      <c r="E1759" s="178" t="s">
        <v>4173</v>
      </c>
      <c r="F1759" s="210" t="s">
        <v>5124</v>
      </c>
      <c r="G1759" s="58" t="s">
        <v>5125</v>
      </c>
      <c r="H1759" s="546">
        <v>4153.5</v>
      </c>
      <c r="I1759" s="66">
        <v>44981</v>
      </c>
      <c r="J1759" s="411" t="s">
        <v>5126</v>
      </c>
      <c r="K1759" s="58"/>
      <c r="L1759" s="99"/>
      <c r="M1759" s="70" t="s">
        <v>4884</v>
      </c>
      <c r="N1759" s="97" t="s">
        <v>414</v>
      </c>
      <c r="O1759" s="58"/>
      <c r="P1759" s="58" t="s">
        <v>22</v>
      </c>
      <c r="Q1759" s="58" t="s">
        <v>60</v>
      </c>
      <c r="R1759" s="58" t="s">
        <v>265</v>
      </c>
    </row>
    <row r="1760" spans="1:18" ht="69" customHeight="1">
      <c r="A1760" s="168"/>
      <c r="B1760" s="178">
        <v>8901</v>
      </c>
      <c r="C1760" s="178" t="s">
        <v>4277</v>
      </c>
      <c r="D1760" s="575" t="s">
        <v>5127</v>
      </c>
      <c r="E1760" s="178" t="s">
        <v>4173</v>
      </c>
      <c r="F1760" s="210" t="s">
        <v>5128</v>
      </c>
      <c r="G1760" s="58" t="s">
        <v>3939</v>
      </c>
      <c r="H1760" s="546">
        <v>3200</v>
      </c>
      <c r="I1760" s="66">
        <v>45001</v>
      </c>
      <c r="J1760" s="411" t="s">
        <v>5129</v>
      </c>
      <c r="K1760" s="58"/>
      <c r="L1760" s="99"/>
      <c r="M1760" s="70" t="s">
        <v>4884</v>
      </c>
      <c r="N1760" s="97" t="s">
        <v>414</v>
      </c>
      <c r="O1760" s="58"/>
      <c r="P1760" s="58" t="s">
        <v>22</v>
      </c>
      <c r="Q1760" s="58" t="s">
        <v>60</v>
      </c>
      <c r="R1760" s="58" t="s">
        <v>265</v>
      </c>
    </row>
    <row r="1761" spans="1:18" ht="69" customHeight="1">
      <c r="A1761" s="168"/>
      <c r="B1761" s="178">
        <v>8902</v>
      </c>
      <c r="C1761" s="178" t="s">
        <v>4277</v>
      </c>
      <c r="D1761" s="575" t="s">
        <v>5130</v>
      </c>
      <c r="E1761" s="178" t="s">
        <v>4173</v>
      </c>
      <c r="F1761" s="210" t="s">
        <v>5131</v>
      </c>
      <c r="G1761" s="58" t="s">
        <v>4031</v>
      </c>
      <c r="H1761" s="546">
        <v>21280</v>
      </c>
      <c r="I1761" s="66">
        <v>44984</v>
      </c>
      <c r="J1761" s="411" t="s">
        <v>5129</v>
      </c>
      <c r="K1761" s="58"/>
      <c r="L1761" s="99"/>
      <c r="M1761" s="70" t="s">
        <v>4884</v>
      </c>
      <c r="N1761" s="97" t="s">
        <v>414</v>
      </c>
      <c r="O1761" s="58"/>
      <c r="P1761" s="58" t="s">
        <v>22</v>
      </c>
      <c r="Q1761" s="58" t="s">
        <v>60</v>
      </c>
      <c r="R1761" s="58" t="s">
        <v>265</v>
      </c>
    </row>
    <row r="1762" spans="1:18" ht="69" customHeight="1">
      <c r="A1762" s="168"/>
      <c r="B1762" s="191">
        <v>8903</v>
      </c>
      <c r="C1762" s="191" t="s">
        <v>4277</v>
      </c>
      <c r="D1762" s="533" t="s">
        <v>5132</v>
      </c>
      <c r="E1762" s="191" t="s">
        <v>4173</v>
      </c>
      <c r="F1762" s="211" t="s">
        <v>5133</v>
      </c>
      <c r="G1762" s="46" t="s">
        <v>4025</v>
      </c>
      <c r="H1762" s="534">
        <v>9500</v>
      </c>
      <c r="I1762" s="56">
        <v>44984</v>
      </c>
      <c r="J1762" s="412" t="s">
        <v>5129</v>
      </c>
      <c r="K1762" s="46" t="s">
        <v>881</v>
      </c>
      <c r="L1762" s="99"/>
      <c r="M1762" s="379"/>
      <c r="N1762" s="76" t="s">
        <v>414</v>
      </c>
      <c r="O1762" s="46"/>
      <c r="P1762" s="46" t="s">
        <v>71</v>
      </c>
      <c r="Q1762" s="46" t="s">
        <v>60</v>
      </c>
      <c r="R1762" s="46" t="s">
        <v>272</v>
      </c>
    </row>
    <row r="1763" spans="1:18" ht="69" customHeight="1">
      <c r="A1763" s="168"/>
      <c r="B1763" s="178">
        <v>8904</v>
      </c>
      <c r="C1763" s="178" t="s">
        <v>4277</v>
      </c>
      <c r="D1763" s="575" t="s">
        <v>5134</v>
      </c>
      <c r="E1763" s="178" t="s">
        <v>4173</v>
      </c>
      <c r="F1763" s="210" t="s">
        <v>5135</v>
      </c>
      <c r="G1763" s="58" t="s">
        <v>3939</v>
      </c>
      <c r="H1763" s="546">
        <v>6310.1</v>
      </c>
      <c r="I1763" s="66">
        <v>44984</v>
      </c>
      <c r="J1763" s="411" t="s">
        <v>5129</v>
      </c>
      <c r="K1763" s="58"/>
      <c r="L1763" s="99"/>
      <c r="M1763" s="70" t="s">
        <v>4884</v>
      </c>
      <c r="N1763" s="97" t="s">
        <v>414</v>
      </c>
      <c r="O1763" s="58"/>
      <c r="P1763" s="58" t="s">
        <v>22</v>
      </c>
      <c r="Q1763" s="58" t="s">
        <v>60</v>
      </c>
      <c r="R1763" s="58" t="s">
        <v>265</v>
      </c>
    </row>
    <row r="1764" spans="1:18" ht="69" customHeight="1">
      <c r="A1764" s="168"/>
      <c r="B1764" s="178">
        <v>8949</v>
      </c>
      <c r="C1764" s="178" t="s">
        <v>4277</v>
      </c>
      <c r="D1764" s="575" t="s">
        <v>5136</v>
      </c>
      <c r="E1764" s="178" t="s">
        <v>1372</v>
      </c>
      <c r="F1764" s="210" t="s">
        <v>5137</v>
      </c>
      <c r="G1764" s="58" t="s">
        <v>5138</v>
      </c>
      <c r="H1764" s="546">
        <f>483907.13*0.15</f>
        <v>72586.069499999998</v>
      </c>
      <c r="I1764" s="66">
        <v>44988</v>
      </c>
      <c r="J1764" s="411" t="s">
        <v>5139</v>
      </c>
      <c r="K1764" s="58" t="s">
        <v>5140</v>
      </c>
      <c r="L1764" s="99"/>
      <c r="M1764" s="70" t="s">
        <v>5141</v>
      </c>
      <c r="N1764" s="97" t="s">
        <v>1372</v>
      </c>
      <c r="O1764" s="58"/>
      <c r="P1764" s="58" t="s">
        <v>57</v>
      </c>
      <c r="Q1764" s="58" t="s">
        <v>60</v>
      </c>
      <c r="R1764" s="58" t="s">
        <v>272</v>
      </c>
    </row>
    <row r="1765" spans="1:18" ht="69" customHeight="1">
      <c r="A1765" s="168"/>
      <c r="B1765" s="178">
        <v>9042</v>
      </c>
      <c r="C1765" s="178" t="s">
        <v>4277</v>
      </c>
      <c r="D1765" s="575" t="s">
        <v>5142</v>
      </c>
      <c r="E1765" s="178" t="s">
        <v>4173</v>
      </c>
      <c r="F1765" s="210" t="s">
        <v>5143</v>
      </c>
      <c r="G1765" s="58" t="s">
        <v>4020</v>
      </c>
      <c r="H1765" s="546">
        <v>15000</v>
      </c>
      <c r="I1765" s="66">
        <v>45001</v>
      </c>
      <c r="J1765" s="411" t="s">
        <v>5144</v>
      </c>
      <c r="K1765" s="58"/>
      <c r="L1765" s="99"/>
      <c r="M1765" s="70" t="s">
        <v>4884</v>
      </c>
      <c r="N1765" s="97" t="s">
        <v>414</v>
      </c>
      <c r="O1765" s="58"/>
      <c r="P1765" s="58" t="s">
        <v>22</v>
      </c>
      <c r="Q1765" s="58" t="s">
        <v>60</v>
      </c>
      <c r="R1765" s="58" t="s">
        <v>265</v>
      </c>
    </row>
    <row r="1766" spans="1:18" ht="69" customHeight="1">
      <c r="A1766" s="168"/>
      <c r="B1766" s="178">
        <v>9043</v>
      </c>
      <c r="C1766" s="178" t="s">
        <v>4277</v>
      </c>
      <c r="D1766" s="575" t="s">
        <v>5145</v>
      </c>
      <c r="E1766" s="178" t="s">
        <v>4173</v>
      </c>
      <c r="F1766" s="210" t="s">
        <v>5146</v>
      </c>
      <c r="G1766" s="58" t="s">
        <v>5147</v>
      </c>
      <c r="H1766" s="546">
        <v>6000</v>
      </c>
      <c r="I1766" s="66">
        <v>45001</v>
      </c>
      <c r="J1766" s="411" t="s">
        <v>5144</v>
      </c>
      <c r="K1766" s="58"/>
      <c r="L1766" s="99"/>
      <c r="M1766" s="70" t="s">
        <v>4884</v>
      </c>
      <c r="N1766" s="97" t="s">
        <v>414</v>
      </c>
      <c r="O1766" s="58"/>
      <c r="P1766" s="58" t="s">
        <v>22</v>
      </c>
      <c r="Q1766" s="58" t="s">
        <v>60</v>
      </c>
      <c r="R1766" s="58" t="s">
        <v>265</v>
      </c>
    </row>
    <row r="1767" spans="1:18" ht="69" customHeight="1">
      <c r="A1767" s="168"/>
      <c r="B1767" s="178">
        <v>9108</v>
      </c>
      <c r="C1767" s="178" t="s">
        <v>4277</v>
      </c>
      <c r="D1767" s="575" t="s">
        <v>5148</v>
      </c>
      <c r="E1767" s="178" t="s">
        <v>4173</v>
      </c>
      <c r="F1767" s="210" t="s">
        <v>5149</v>
      </c>
      <c r="G1767" s="58" t="s">
        <v>5150</v>
      </c>
      <c r="H1767" s="546">
        <v>7387.06</v>
      </c>
      <c r="I1767" s="66">
        <v>45002</v>
      </c>
      <c r="J1767" s="411" t="s">
        <v>5151</v>
      </c>
      <c r="K1767" s="58"/>
      <c r="L1767" s="99"/>
      <c r="M1767" s="70" t="s">
        <v>4884</v>
      </c>
      <c r="N1767" s="97" t="s">
        <v>414</v>
      </c>
      <c r="O1767" s="58"/>
      <c r="P1767" s="58" t="s">
        <v>22</v>
      </c>
      <c r="Q1767" s="58" t="s">
        <v>60</v>
      </c>
      <c r="R1767" s="58" t="s">
        <v>265</v>
      </c>
    </row>
    <row r="1768" spans="1:18" ht="69" customHeight="1">
      <c r="A1768" s="168"/>
      <c r="B1768" s="178">
        <v>9326</v>
      </c>
      <c r="C1768" s="178" t="s">
        <v>4277</v>
      </c>
      <c r="D1768" s="575" t="s">
        <v>5152</v>
      </c>
      <c r="E1768" s="178" t="s">
        <v>4173</v>
      </c>
      <c r="F1768" s="210" t="s">
        <v>5153</v>
      </c>
      <c r="G1768" s="58" t="s">
        <v>5154</v>
      </c>
      <c r="H1768" s="546">
        <v>8000</v>
      </c>
      <c r="I1768" s="66">
        <v>45007</v>
      </c>
      <c r="J1768" s="411" t="s">
        <v>5155</v>
      </c>
      <c r="K1768" s="58"/>
      <c r="L1768" s="99"/>
      <c r="M1768" s="70" t="s">
        <v>4884</v>
      </c>
      <c r="N1768" s="97" t="s">
        <v>414</v>
      </c>
      <c r="O1768" s="58"/>
      <c r="P1768" s="58" t="s">
        <v>22</v>
      </c>
      <c r="Q1768" s="58" t="s">
        <v>60</v>
      </c>
      <c r="R1768" s="58" t="s">
        <v>265</v>
      </c>
    </row>
    <row r="1769" spans="1:18" ht="69" customHeight="1">
      <c r="A1769" s="168"/>
      <c r="B1769" s="178">
        <v>9327</v>
      </c>
      <c r="C1769" s="178" t="s">
        <v>4277</v>
      </c>
      <c r="D1769" s="575" t="s">
        <v>5156</v>
      </c>
      <c r="E1769" s="178" t="s">
        <v>4173</v>
      </c>
      <c r="F1769" s="210" t="s">
        <v>5157</v>
      </c>
      <c r="G1769" s="58" t="s">
        <v>4082</v>
      </c>
      <c r="H1769" s="546">
        <v>26248.43</v>
      </c>
      <c r="I1769" s="66">
        <v>45007</v>
      </c>
      <c r="J1769" s="411" t="s">
        <v>5155</v>
      </c>
      <c r="K1769" s="58"/>
      <c r="L1769" s="99"/>
      <c r="M1769" s="70" t="s">
        <v>4884</v>
      </c>
      <c r="N1769" s="97" t="s">
        <v>414</v>
      </c>
      <c r="O1769" s="58"/>
      <c r="P1769" s="58" t="s">
        <v>22</v>
      </c>
      <c r="Q1769" s="58" t="s">
        <v>60</v>
      </c>
      <c r="R1769" s="58" t="s">
        <v>265</v>
      </c>
    </row>
    <row r="1770" spans="1:18" ht="69" customHeight="1">
      <c r="A1770" s="168"/>
      <c r="B1770" s="178">
        <v>9329</v>
      </c>
      <c r="C1770" s="178" t="s">
        <v>4277</v>
      </c>
      <c r="D1770" s="575" t="s">
        <v>5158</v>
      </c>
      <c r="E1770" s="178" t="s">
        <v>3825</v>
      </c>
      <c r="F1770" s="210" t="s">
        <v>5159</v>
      </c>
      <c r="G1770" s="58" t="s">
        <v>5160</v>
      </c>
      <c r="H1770" s="546">
        <v>349352.64</v>
      </c>
      <c r="I1770" s="66">
        <v>45007</v>
      </c>
      <c r="J1770" s="411" t="s">
        <v>5161</v>
      </c>
      <c r="K1770" s="58"/>
      <c r="L1770" s="99"/>
      <c r="M1770" s="70" t="s">
        <v>4871</v>
      </c>
      <c r="N1770" s="97" t="s">
        <v>414</v>
      </c>
      <c r="O1770" s="58"/>
      <c r="P1770" s="58" t="s">
        <v>22</v>
      </c>
      <c r="Q1770" s="58" t="s">
        <v>60</v>
      </c>
      <c r="R1770" s="58" t="s">
        <v>272</v>
      </c>
    </row>
    <row r="1771" spans="1:18" ht="69" customHeight="1">
      <c r="A1771" s="168"/>
      <c r="B1771" s="191">
        <v>9331</v>
      </c>
      <c r="C1771" s="191" t="s">
        <v>4277</v>
      </c>
      <c r="D1771" s="533"/>
      <c r="E1771" s="191" t="s">
        <v>4173</v>
      </c>
      <c r="F1771" s="211" t="s">
        <v>5162</v>
      </c>
      <c r="G1771" s="46" t="s">
        <v>4082</v>
      </c>
      <c r="H1771" s="534">
        <v>4054</v>
      </c>
      <c r="I1771" s="56">
        <v>45009</v>
      </c>
      <c r="J1771" s="412" t="s">
        <v>5163</v>
      </c>
      <c r="K1771" s="46" t="s">
        <v>881</v>
      </c>
      <c r="L1771" s="99"/>
      <c r="M1771" s="379"/>
      <c r="N1771" s="76" t="s">
        <v>414</v>
      </c>
      <c r="O1771" s="46"/>
      <c r="P1771" s="46" t="s">
        <v>65</v>
      </c>
      <c r="Q1771" s="46" t="s">
        <v>60</v>
      </c>
      <c r="R1771" s="46" t="s">
        <v>272</v>
      </c>
    </row>
    <row r="1772" spans="1:18" ht="69" customHeight="1">
      <c r="A1772" s="168"/>
      <c r="B1772" s="178">
        <v>9348</v>
      </c>
      <c r="C1772" s="178" t="s">
        <v>4277</v>
      </c>
      <c r="D1772" s="575" t="s">
        <v>5164</v>
      </c>
      <c r="E1772" s="178" t="s">
        <v>4173</v>
      </c>
      <c r="F1772" s="210" t="s">
        <v>5165</v>
      </c>
      <c r="G1772" s="58" t="s">
        <v>2648</v>
      </c>
      <c r="H1772" s="546">
        <v>14084.7</v>
      </c>
      <c r="I1772" s="66">
        <v>45009</v>
      </c>
      <c r="J1772" s="411" t="s">
        <v>5166</v>
      </c>
      <c r="K1772" s="58"/>
      <c r="L1772" s="99"/>
      <c r="M1772" s="70" t="s">
        <v>4884</v>
      </c>
      <c r="N1772" s="97" t="s">
        <v>414</v>
      </c>
      <c r="O1772" s="58"/>
      <c r="P1772" s="58" t="s">
        <v>22</v>
      </c>
      <c r="Q1772" s="58" t="s">
        <v>60</v>
      </c>
      <c r="R1772" s="58" t="s">
        <v>265</v>
      </c>
    </row>
    <row r="1773" spans="1:18" ht="69" customHeight="1">
      <c r="A1773" s="168"/>
      <c r="B1773" s="178">
        <v>9362</v>
      </c>
      <c r="C1773" s="178" t="s">
        <v>4277</v>
      </c>
      <c r="D1773" s="575" t="s">
        <v>5167</v>
      </c>
      <c r="E1773" s="178" t="s">
        <v>4173</v>
      </c>
      <c r="F1773" s="210" t="s">
        <v>5168</v>
      </c>
      <c r="G1773" s="58" t="s">
        <v>4361</v>
      </c>
      <c r="H1773" s="546">
        <v>9786</v>
      </c>
      <c r="I1773" s="66">
        <v>45009</v>
      </c>
      <c r="J1773" s="411" t="s">
        <v>5169</v>
      </c>
      <c r="K1773" s="58"/>
      <c r="L1773" s="99"/>
      <c r="M1773" s="70" t="s">
        <v>4884</v>
      </c>
      <c r="N1773" s="97" t="s">
        <v>414</v>
      </c>
      <c r="O1773" s="58"/>
      <c r="P1773" s="58" t="s">
        <v>22</v>
      </c>
      <c r="Q1773" s="58" t="s">
        <v>60</v>
      </c>
      <c r="R1773" s="58" t="s">
        <v>265</v>
      </c>
    </row>
    <row r="1774" spans="1:18" ht="69" customHeight="1">
      <c r="A1774" s="168"/>
      <c r="B1774" s="178">
        <v>9364</v>
      </c>
      <c r="C1774" s="178" t="s">
        <v>4277</v>
      </c>
      <c r="D1774" s="575" t="s">
        <v>5170</v>
      </c>
      <c r="E1774" s="178" t="s">
        <v>4173</v>
      </c>
      <c r="F1774" s="210" t="s">
        <v>5171</v>
      </c>
      <c r="G1774" s="58" t="s">
        <v>4089</v>
      </c>
      <c r="H1774" s="546">
        <v>17200</v>
      </c>
      <c r="I1774" s="66">
        <v>45009</v>
      </c>
      <c r="J1774" s="411" t="s">
        <v>5172</v>
      </c>
      <c r="K1774" s="58"/>
      <c r="L1774" s="99"/>
      <c r="M1774" s="70" t="s">
        <v>4884</v>
      </c>
      <c r="N1774" s="97" t="s">
        <v>414</v>
      </c>
      <c r="O1774" s="58"/>
      <c r="P1774" s="58" t="s">
        <v>22</v>
      </c>
      <c r="Q1774" s="58" t="s">
        <v>60</v>
      </c>
      <c r="R1774" s="58" t="s">
        <v>265</v>
      </c>
    </row>
    <row r="1775" spans="1:18" ht="69" customHeight="1">
      <c r="A1775" s="168"/>
      <c r="B1775" s="191">
        <v>9365</v>
      </c>
      <c r="C1775" s="191" t="s">
        <v>4277</v>
      </c>
      <c r="D1775" s="533" t="s">
        <v>5173</v>
      </c>
      <c r="E1775" s="191" t="s">
        <v>4173</v>
      </c>
      <c r="F1775" s="211" t="s">
        <v>5174</v>
      </c>
      <c r="G1775" s="46" t="s">
        <v>5175</v>
      </c>
      <c r="H1775" s="534">
        <v>9500</v>
      </c>
      <c r="I1775" s="56">
        <v>45009</v>
      </c>
      <c r="J1775" s="412" t="s">
        <v>5176</v>
      </c>
      <c r="K1775" s="46" t="s">
        <v>881</v>
      </c>
      <c r="L1775" s="99"/>
      <c r="M1775" s="379"/>
      <c r="N1775" s="76" t="s">
        <v>414</v>
      </c>
      <c r="O1775" s="46"/>
      <c r="P1775" s="46" t="s">
        <v>71</v>
      </c>
      <c r="Q1775" s="46" t="s">
        <v>60</v>
      </c>
      <c r="R1775" s="46" t="s">
        <v>272</v>
      </c>
    </row>
    <row r="1776" spans="1:18" ht="69" customHeight="1">
      <c r="A1776" s="168"/>
      <c r="B1776" s="178">
        <v>9366</v>
      </c>
      <c r="C1776" s="178" t="s">
        <v>4277</v>
      </c>
      <c r="D1776" s="575" t="s">
        <v>5177</v>
      </c>
      <c r="E1776" s="178" t="s">
        <v>4173</v>
      </c>
      <c r="F1776" s="210" t="s">
        <v>5178</v>
      </c>
      <c r="G1776" s="58" t="s">
        <v>5179</v>
      </c>
      <c r="H1776" s="546">
        <v>6183.3</v>
      </c>
      <c r="I1776" s="66">
        <v>45009</v>
      </c>
      <c r="J1776" s="411" t="s">
        <v>5180</v>
      </c>
      <c r="K1776" s="58"/>
      <c r="L1776" s="99"/>
      <c r="M1776" s="70" t="s">
        <v>4884</v>
      </c>
      <c r="N1776" s="97" t="s">
        <v>414</v>
      </c>
      <c r="O1776" s="58"/>
      <c r="P1776" s="58" t="s">
        <v>22</v>
      </c>
      <c r="Q1776" s="58" t="s">
        <v>60</v>
      </c>
      <c r="R1776" s="58" t="s">
        <v>265</v>
      </c>
    </row>
    <row r="1777" spans="1:18" ht="69" customHeight="1">
      <c r="A1777" s="168"/>
      <c r="B1777" s="178">
        <v>9381</v>
      </c>
      <c r="C1777" s="178" t="s">
        <v>4277</v>
      </c>
      <c r="D1777" s="575" t="s">
        <v>5181</v>
      </c>
      <c r="E1777" s="178" t="s">
        <v>4173</v>
      </c>
      <c r="F1777" s="210" t="s">
        <v>5182</v>
      </c>
      <c r="G1777" s="58" t="s">
        <v>5183</v>
      </c>
      <c r="H1777" s="546">
        <v>4200</v>
      </c>
      <c r="I1777" s="66">
        <v>45009</v>
      </c>
      <c r="J1777" s="411" t="s">
        <v>5184</v>
      </c>
      <c r="K1777" s="58"/>
      <c r="L1777" s="99"/>
      <c r="M1777" s="70" t="s">
        <v>4884</v>
      </c>
      <c r="N1777" s="97" t="s">
        <v>414</v>
      </c>
      <c r="O1777" s="58"/>
      <c r="P1777" s="58" t="s">
        <v>22</v>
      </c>
      <c r="Q1777" s="58" t="s">
        <v>60</v>
      </c>
      <c r="R1777" s="58" t="s">
        <v>265</v>
      </c>
    </row>
    <row r="1778" spans="1:18" ht="69" customHeight="1">
      <c r="A1778" s="168"/>
      <c r="B1778" s="178">
        <v>9394</v>
      </c>
      <c r="C1778" s="178" t="s">
        <v>4277</v>
      </c>
      <c r="D1778" s="575" t="s">
        <v>5185</v>
      </c>
      <c r="E1778" s="178" t="s">
        <v>4173</v>
      </c>
      <c r="F1778" s="210" t="s">
        <v>5186</v>
      </c>
      <c r="G1778" s="58" t="s">
        <v>5187</v>
      </c>
      <c r="H1778" s="546">
        <v>6000</v>
      </c>
      <c r="I1778" s="66">
        <v>45012</v>
      </c>
      <c r="J1778" s="411" t="s">
        <v>5188</v>
      </c>
      <c r="K1778" s="58"/>
      <c r="L1778" s="99"/>
      <c r="M1778" s="70" t="s">
        <v>4884</v>
      </c>
      <c r="N1778" s="97" t="s">
        <v>414</v>
      </c>
      <c r="O1778" s="58"/>
      <c r="P1778" s="58" t="s">
        <v>22</v>
      </c>
      <c r="Q1778" s="58" t="s">
        <v>60</v>
      </c>
      <c r="R1778" s="58" t="s">
        <v>265</v>
      </c>
    </row>
    <row r="1779" spans="1:18" ht="69" customHeight="1">
      <c r="A1779" s="168"/>
      <c r="B1779" s="178">
        <v>9371</v>
      </c>
      <c r="C1779" s="178" t="s">
        <v>5189</v>
      </c>
      <c r="D1779" s="575" t="s">
        <v>5190</v>
      </c>
      <c r="E1779" s="178" t="s">
        <v>266</v>
      </c>
      <c r="F1779" s="210" t="s">
        <v>5191</v>
      </c>
      <c r="G1779" s="58" t="s">
        <v>4101</v>
      </c>
      <c r="H1779" s="546">
        <v>60.44</v>
      </c>
      <c r="I1779" s="66">
        <v>45009</v>
      </c>
      <c r="J1779" s="411" t="s">
        <v>4102</v>
      </c>
      <c r="K1779" s="58"/>
      <c r="L1779" s="99"/>
      <c r="M1779" s="70" t="s">
        <v>4831</v>
      </c>
      <c r="N1779" s="97" t="s">
        <v>270</v>
      </c>
      <c r="O1779" s="58"/>
      <c r="P1779" s="58" t="s">
        <v>44</v>
      </c>
      <c r="Q1779" s="58" t="s">
        <v>60</v>
      </c>
      <c r="R1779" s="58" t="s">
        <v>272</v>
      </c>
    </row>
    <row r="1780" spans="1:18" ht="69" customHeight="1">
      <c r="A1780" s="168"/>
      <c r="B1780" s="178">
        <v>9084</v>
      </c>
      <c r="C1780" s="178" t="s">
        <v>4277</v>
      </c>
      <c r="D1780" s="575" t="s">
        <v>5192</v>
      </c>
      <c r="E1780" s="178" t="s">
        <v>4173</v>
      </c>
      <c r="F1780" s="210" t="s">
        <v>5193</v>
      </c>
      <c r="G1780" s="58" t="s">
        <v>4039</v>
      </c>
      <c r="H1780" s="546">
        <v>12675.1</v>
      </c>
      <c r="I1780" s="66">
        <v>45000</v>
      </c>
      <c r="J1780" s="411" t="s">
        <v>5194</v>
      </c>
      <c r="K1780" s="58"/>
      <c r="L1780" s="99"/>
      <c r="M1780" s="70" t="s">
        <v>4884</v>
      </c>
      <c r="N1780" s="97" t="s">
        <v>414</v>
      </c>
      <c r="O1780" s="58"/>
      <c r="P1780" s="58" t="s">
        <v>22</v>
      </c>
      <c r="Q1780" s="58" t="s">
        <v>60</v>
      </c>
      <c r="R1780" s="58" t="s">
        <v>265</v>
      </c>
    </row>
    <row r="1781" spans="1:18" ht="69" customHeight="1">
      <c r="A1781" s="168"/>
      <c r="B1781" s="178">
        <v>7624</v>
      </c>
      <c r="C1781" s="178" t="s">
        <v>4277</v>
      </c>
      <c r="D1781" s="575" t="s">
        <v>5195</v>
      </c>
      <c r="E1781" s="178" t="s">
        <v>4173</v>
      </c>
      <c r="F1781" s="210" t="s">
        <v>5196</v>
      </c>
      <c r="G1781" s="58" t="s">
        <v>1048</v>
      </c>
      <c r="H1781" s="546">
        <v>20182.29</v>
      </c>
      <c r="I1781" s="66">
        <v>44890</v>
      </c>
      <c r="J1781" s="411" t="s">
        <v>5197</v>
      </c>
      <c r="K1781" s="58"/>
      <c r="L1781" s="99"/>
      <c r="M1781" s="70" t="s">
        <v>4884</v>
      </c>
      <c r="N1781" s="97" t="s">
        <v>414</v>
      </c>
      <c r="O1781" s="58"/>
      <c r="P1781" s="58" t="s">
        <v>22</v>
      </c>
      <c r="Q1781" s="58" t="s">
        <v>60</v>
      </c>
      <c r="R1781" s="58" t="s">
        <v>265</v>
      </c>
    </row>
    <row r="1782" spans="1:18" ht="69" customHeight="1">
      <c r="A1782" s="168"/>
      <c r="B1782" s="178">
        <v>7625</v>
      </c>
      <c r="C1782" s="178" t="s">
        <v>4277</v>
      </c>
      <c r="D1782" s="575" t="s">
        <v>1856</v>
      </c>
      <c r="E1782" s="178" t="s">
        <v>4173</v>
      </c>
      <c r="F1782" s="210" t="s">
        <v>5198</v>
      </c>
      <c r="G1782" s="58" t="s">
        <v>1048</v>
      </c>
      <c r="H1782" s="546">
        <v>22960</v>
      </c>
      <c r="I1782" s="66">
        <v>44890</v>
      </c>
      <c r="J1782" s="411" t="s">
        <v>5197</v>
      </c>
      <c r="K1782" s="58"/>
      <c r="L1782" s="99"/>
      <c r="M1782" s="70" t="s">
        <v>4884</v>
      </c>
      <c r="N1782" s="97" t="s">
        <v>414</v>
      </c>
      <c r="O1782" s="58"/>
      <c r="P1782" s="58" t="s">
        <v>22</v>
      </c>
      <c r="Q1782" s="58" t="s">
        <v>60</v>
      </c>
      <c r="R1782" s="58" t="s">
        <v>265</v>
      </c>
    </row>
    <row r="1783" spans="1:18" ht="69" customHeight="1">
      <c r="A1783" s="168"/>
      <c r="B1783" s="178">
        <v>9779</v>
      </c>
      <c r="C1783" s="178" t="s">
        <v>4277</v>
      </c>
      <c r="D1783" s="575" t="s">
        <v>5199</v>
      </c>
      <c r="E1783" s="178" t="s">
        <v>1372</v>
      </c>
      <c r="F1783" s="210" t="s">
        <v>5200</v>
      </c>
      <c r="G1783" s="58" t="s">
        <v>5201</v>
      </c>
      <c r="H1783" s="546">
        <v>254916.26</v>
      </c>
      <c r="I1783" s="66">
        <v>45028</v>
      </c>
      <c r="J1783" s="411" t="s">
        <v>5202</v>
      </c>
      <c r="K1783" s="58"/>
      <c r="L1783" s="99"/>
      <c r="M1783" s="70" t="s">
        <v>5141</v>
      </c>
      <c r="N1783" s="97" t="s">
        <v>1372</v>
      </c>
      <c r="O1783" s="58"/>
      <c r="P1783" s="58" t="s">
        <v>57</v>
      </c>
      <c r="Q1783" s="58" t="s">
        <v>60</v>
      </c>
      <c r="R1783" s="58" t="s">
        <v>272</v>
      </c>
    </row>
    <row r="1784" spans="1:18" ht="69" customHeight="1">
      <c r="A1784" s="168"/>
      <c r="B1784" s="178">
        <v>9804</v>
      </c>
      <c r="C1784" s="178" t="s">
        <v>4277</v>
      </c>
      <c r="D1784" s="575" t="s">
        <v>5203</v>
      </c>
      <c r="E1784" s="178" t="s">
        <v>4173</v>
      </c>
      <c r="F1784" s="210" t="s">
        <v>5204</v>
      </c>
      <c r="G1784" s="58" t="s">
        <v>5205</v>
      </c>
      <c r="H1784" s="546">
        <v>17200</v>
      </c>
      <c r="I1784" s="66">
        <v>45041</v>
      </c>
      <c r="J1784" s="411" t="s">
        <v>5206</v>
      </c>
      <c r="K1784" s="58"/>
      <c r="L1784" s="99"/>
      <c r="M1784" s="70" t="s">
        <v>4884</v>
      </c>
      <c r="N1784" s="97" t="s">
        <v>414</v>
      </c>
      <c r="O1784" s="58"/>
      <c r="P1784" s="58" t="s">
        <v>22</v>
      </c>
      <c r="Q1784" s="58" t="s">
        <v>60</v>
      </c>
      <c r="R1784" s="58" t="s">
        <v>265</v>
      </c>
    </row>
    <row r="1785" spans="1:18" ht="69" customHeight="1">
      <c r="A1785" s="168"/>
      <c r="B1785" s="178">
        <v>9818</v>
      </c>
      <c r="C1785" s="59" t="s">
        <v>3667</v>
      </c>
      <c r="D1785" s="575" t="s">
        <v>5207</v>
      </c>
      <c r="E1785" s="178" t="s">
        <v>266</v>
      </c>
      <c r="F1785" s="210" t="s">
        <v>5208</v>
      </c>
      <c r="G1785" s="58" t="s">
        <v>590</v>
      </c>
      <c r="H1785" s="546">
        <v>1150</v>
      </c>
      <c r="I1785" s="66">
        <v>45041</v>
      </c>
      <c r="J1785" s="411" t="s">
        <v>4105</v>
      </c>
      <c r="K1785" s="58"/>
      <c r="L1785" s="99"/>
      <c r="M1785" s="70" t="s">
        <v>4831</v>
      </c>
      <c r="N1785" s="97" t="s">
        <v>270</v>
      </c>
      <c r="O1785" s="58"/>
      <c r="P1785" s="58" t="s">
        <v>44</v>
      </c>
      <c r="Q1785" s="58" t="s">
        <v>60</v>
      </c>
      <c r="R1785" s="58" t="s">
        <v>272</v>
      </c>
    </row>
    <row r="1786" spans="1:18" ht="69" customHeight="1">
      <c r="A1786" s="168"/>
      <c r="B1786" s="178">
        <v>9900</v>
      </c>
      <c r="C1786" s="178" t="s">
        <v>4277</v>
      </c>
      <c r="D1786" s="575" t="s">
        <v>5209</v>
      </c>
      <c r="E1786" s="178" t="s">
        <v>4173</v>
      </c>
      <c r="F1786" s="210" t="s">
        <v>5210</v>
      </c>
      <c r="G1786" s="58" t="s">
        <v>5211</v>
      </c>
      <c r="H1786" s="546">
        <v>6000</v>
      </c>
      <c r="I1786" s="66">
        <v>45051</v>
      </c>
      <c r="J1786" s="411" t="s">
        <v>5212</v>
      </c>
      <c r="K1786" s="58"/>
      <c r="L1786" s="99"/>
      <c r="M1786" s="70" t="s">
        <v>4884</v>
      </c>
      <c r="N1786" s="97" t="s">
        <v>414</v>
      </c>
      <c r="O1786" s="58"/>
      <c r="P1786" s="58" t="s">
        <v>22</v>
      </c>
      <c r="Q1786" s="58" t="s">
        <v>60</v>
      </c>
      <c r="R1786" s="58" t="s">
        <v>265</v>
      </c>
    </row>
    <row r="1787" spans="1:18" ht="69" customHeight="1">
      <c r="A1787" s="168"/>
      <c r="B1787" s="178">
        <v>9906</v>
      </c>
      <c r="C1787" s="178" t="s">
        <v>4277</v>
      </c>
      <c r="D1787" s="575" t="s">
        <v>5213</v>
      </c>
      <c r="E1787" s="178" t="s">
        <v>4173</v>
      </c>
      <c r="F1787" s="210" t="s">
        <v>5214</v>
      </c>
      <c r="G1787" s="58" t="s">
        <v>5215</v>
      </c>
      <c r="H1787" s="546">
        <v>7344</v>
      </c>
      <c r="I1787" s="66">
        <v>45061</v>
      </c>
      <c r="J1787" s="411" t="s">
        <v>5216</v>
      </c>
      <c r="K1787" s="58"/>
      <c r="L1787" s="99"/>
      <c r="M1787" s="70" t="s">
        <v>4884</v>
      </c>
      <c r="N1787" s="97" t="s">
        <v>414</v>
      </c>
      <c r="O1787" s="58"/>
      <c r="P1787" s="58" t="s">
        <v>22</v>
      </c>
      <c r="Q1787" s="58" t="s">
        <v>60</v>
      </c>
      <c r="R1787" s="58" t="s">
        <v>265</v>
      </c>
    </row>
    <row r="1788" spans="1:18" ht="69" customHeight="1">
      <c r="A1788" s="168"/>
      <c r="B1788" s="178">
        <v>9907</v>
      </c>
      <c r="C1788" s="178" t="s">
        <v>4277</v>
      </c>
      <c r="D1788" s="575" t="s">
        <v>5217</v>
      </c>
      <c r="E1788" s="178" t="s">
        <v>4173</v>
      </c>
      <c r="F1788" s="210" t="s">
        <v>5218</v>
      </c>
      <c r="G1788" s="58" t="s">
        <v>5219</v>
      </c>
      <c r="H1788" s="546">
        <v>4000</v>
      </c>
      <c r="I1788" s="66">
        <v>45061</v>
      </c>
      <c r="J1788" s="411" t="s">
        <v>5216</v>
      </c>
      <c r="K1788" s="58"/>
      <c r="L1788" s="99"/>
      <c r="M1788" s="70" t="s">
        <v>4884</v>
      </c>
      <c r="N1788" s="97" t="s">
        <v>414</v>
      </c>
      <c r="O1788" s="58"/>
      <c r="P1788" s="58" t="s">
        <v>22</v>
      </c>
      <c r="Q1788" s="58" t="s">
        <v>60</v>
      </c>
      <c r="R1788" s="58" t="s">
        <v>265</v>
      </c>
    </row>
    <row r="1789" spans="1:18" ht="69" customHeight="1">
      <c r="A1789" s="168"/>
      <c r="B1789" s="178">
        <v>9908</v>
      </c>
      <c r="C1789" s="178" t="s">
        <v>4277</v>
      </c>
      <c r="D1789" s="575" t="s">
        <v>5220</v>
      </c>
      <c r="E1789" s="178" t="s">
        <v>4173</v>
      </c>
      <c r="F1789" s="210" t="s">
        <v>5221</v>
      </c>
      <c r="G1789" s="58" t="s">
        <v>5222</v>
      </c>
      <c r="H1789" s="546">
        <v>7472.3</v>
      </c>
      <c r="I1789" s="66">
        <v>45061</v>
      </c>
      <c r="J1789" s="411" t="s">
        <v>5216</v>
      </c>
      <c r="K1789" s="58"/>
      <c r="L1789" s="99"/>
      <c r="M1789" s="70" t="s">
        <v>4884</v>
      </c>
      <c r="N1789" s="97" t="s">
        <v>414</v>
      </c>
      <c r="O1789" s="58"/>
      <c r="P1789" s="58" t="s">
        <v>22</v>
      </c>
      <c r="Q1789" s="58" t="s">
        <v>60</v>
      </c>
      <c r="R1789" s="58" t="s">
        <v>265</v>
      </c>
    </row>
    <row r="1790" spans="1:18" ht="69" customHeight="1">
      <c r="A1790" s="168"/>
      <c r="B1790" s="178">
        <v>9909</v>
      </c>
      <c r="C1790" s="178" t="s">
        <v>4277</v>
      </c>
      <c r="D1790" s="575" t="s">
        <v>5223</v>
      </c>
      <c r="E1790" s="178" t="s">
        <v>4173</v>
      </c>
      <c r="F1790" s="210" t="s">
        <v>5224</v>
      </c>
      <c r="G1790" s="58" t="s">
        <v>5225</v>
      </c>
      <c r="H1790" s="546">
        <v>5880</v>
      </c>
      <c r="I1790" s="66">
        <v>45061</v>
      </c>
      <c r="J1790" s="411" t="s">
        <v>5216</v>
      </c>
      <c r="K1790" s="58"/>
      <c r="L1790" s="99"/>
      <c r="M1790" s="70" t="s">
        <v>4884</v>
      </c>
      <c r="N1790" s="97" t="s">
        <v>414</v>
      </c>
      <c r="O1790" s="58"/>
      <c r="P1790" s="58" t="s">
        <v>22</v>
      </c>
      <c r="Q1790" s="58" t="s">
        <v>60</v>
      </c>
      <c r="R1790" s="58" t="s">
        <v>265</v>
      </c>
    </row>
    <row r="1791" spans="1:18" ht="69" customHeight="1">
      <c r="A1791" s="168"/>
      <c r="B1791" s="178">
        <v>9910</v>
      </c>
      <c r="C1791" s="178" t="s">
        <v>4277</v>
      </c>
      <c r="D1791" s="575" t="s">
        <v>5226</v>
      </c>
      <c r="E1791" s="178" t="s">
        <v>4173</v>
      </c>
      <c r="F1791" s="210" t="s">
        <v>5227</v>
      </c>
      <c r="G1791" s="58" t="s">
        <v>5225</v>
      </c>
      <c r="H1791" s="546">
        <v>8404.44</v>
      </c>
      <c r="I1791" s="66">
        <v>45061</v>
      </c>
      <c r="J1791" s="411" t="s">
        <v>5216</v>
      </c>
      <c r="K1791" s="58"/>
      <c r="L1791" s="99"/>
      <c r="M1791" s="70" t="s">
        <v>4884</v>
      </c>
      <c r="N1791" s="97" t="s">
        <v>414</v>
      </c>
      <c r="O1791" s="58"/>
      <c r="P1791" s="58" t="s">
        <v>22</v>
      </c>
      <c r="Q1791" s="58" t="s">
        <v>60</v>
      </c>
      <c r="R1791" s="58" t="s">
        <v>265</v>
      </c>
    </row>
    <row r="1792" spans="1:18" ht="69" customHeight="1">
      <c r="A1792" s="168"/>
      <c r="B1792" s="178">
        <v>9904</v>
      </c>
      <c r="C1792" s="178" t="s">
        <v>4277</v>
      </c>
      <c r="D1792" s="575" t="s">
        <v>5228</v>
      </c>
      <c r="E1792" s="178" t="s">
        <v>4173</v>
      </c>
      <c r="F1792" s="210" t="s">
        <v>5229</v>
      </c>
      <c r="G1792" s="58" t="s">
        <v>5230</v>
      </c>
      <c r="H1792" s="546">
        <v>6570</v>
      </c>
      <c r="I1792" s="66">
        <v>45061</v>
      </c>
      <c r="J1792" s="411" t="s">
        <v>5231</v>
      </c>
      <c r="K1792" s="58"/>
      <c r="L1792" s="99"/>
      <c r="M1792" s="70" t="s">
        <v>4884</v>
      </c>
      <c r="N1792" s="97" t="s">
        <v>414</v>
      </c>
      <c r="O1792" s="58"/>
      <c r="P1792" s="58" t="s">
        <v>22</v>
      </c>
      <c r="Q1792" s="58" t="s">
        <v>60</v>
      </c>
      <c r="R1792" s="58" t="s">
        <v>265</v>
      </c>
    </row>
    <row r="1793" spans="1:18" ht="69" customHeight="1">
      <c r="A1793" s="168"/>
      <c r="B1793" s="178">
        <v>9881</v>
      </c>
      <c r="C1793" s="178" t="s">
        <v>4277</v>
      </c>
      <c r="D1793" s="575" t="s">
        <v>5232</v>
      </c>
      <c r="E1793" s="178" t="s">
        <v>1372</v>
      </c>
      <c r="F1793" s="210" t="s">
        <v>5233</v>
      </c>
      <c r="G1793" s="58" t="s">
        <v>5234</v>
      </c>
      <c r="H1793" s="546">
        <v>51284.52</v>
      </c>
      <c r="I1793" s="66">
        <v>45044</v>
      </c>
      <c r="J1793" s="411" t="s">
        <v>5235</v>
      </c>
      <c r="K1793" s="58"/>
      <c r="L1793" s="99"/>
      <c r="M1793" s="70" t="s">
        <v>5141</v>
      </c>
      <c r="N1793" s="97" t="s">
        <v>1372</v>
      </c>
      <c r="O1793" s="58"/>
      <c r="P1793" s="58" t="s">
        <v>57</v>
      </c>
      <c r="Q1793" s="58" t="s">
        <v>60</v>
      </c>
      <c r="R1793" s="58" t="s">
        <v>272</v>
      </c>
    </row>
    <row r="1794" spans="1:18" ht="69" customHeight="1">
      <c r="A1794" s="168"/>
      <c r="B1794" s="191">
        <v>2981</v>
      </c>
      <c r="C1794" s="191" t="s">
        <v>3643</v>
      </c>
      <c r="D1794" s="533" t="s">
        <v>5236</v>
      </c>
      <c r="E1794" s="191" t="s">
        <v>331</v>
      </c>
      <c r="F1794" s="211" t="s">
        <v>5237</v>
      </c>
      <c r="G1794" s="46" t="s">
        <v>3646</v>
      </c>
      <c r="H1794" s="534">
        <v>0</v>
      </c>
      <c r="I1794" s="56" t="s">
        <v>96</v>
      </c>
      <c r="J1794" s="412" t="s">
        <v>334</v>
      </c>
      <c r="K1794" s="46"/>
      <c r="L1794" s="99"/>
      <c r="M1794" s="379" t="s">
        <v>62</v>
      </c>
      <c r="N1794" s="76" t="s">
        <v>69</v>
      </c>
      <c r="O1794" s="46"/>
      <c r="P1794" s="46" t="s">
        <v>69</v>
      </c>
      <c r="Q1794" s="46" t="s">
        <v>62</v>
      </c>
      <c r="R1794" s="46" t="s">
        <v>272</v>
      </c>
    </row>
    <row r="1795" spans="1:18" ht="69" customHeight="1">
      <c r="A1795" s="168"/>
      <c r="B1795" s="191">
        <v>3208</v>
      </c>
      <c r="C1795" s="191" t="s">
        <v>4277</v>
      </c>
      <c r="D1795" s="533" t="s">
        <v>946</v>
      </c>
      <c r="E1795" s="191" t="s">
        <v>331</v>
      </c>
      <c r="F1795" s="211" t="s">
        <v>5237</v>
      </c>
      <c r="G1795" s="46" t="s">
        <v>3646</v>
      </c>
      <c r="H1795" s="534">
        <v>0</v>
      </c>
      <c r="I1795" s="56" t="s">
        <v>96</v>
      </c>
      <c r="J1795" s="412" t="s">
        <v>334</v>
      </c>
      <c r="K1795" s="46"/>
      <c r="L1795" s="99"/>
      <c r="M1795" s="379" t="s">
        <v>62</v>
      </c>
      <c r="N1795" s="76" t="s">
        <v>69</v>
      </c>
      <c r="O1795" s="46"/>
      <c r="P1795" s="46" t="s">
        <v>69</v>
      </c>
      <c r="Q1795" s="46" t="s">
        <v>62</v>
      </c>
      <c r="R1795" s="46" t="s">
        <v>272</v>
      </c>
    </row>
    <row r="1796" spans="1:18" ht="69" customHeight="1">
      <c r="A1796" s="168"/>
      <c r="B1796" s="178">
        <v>4160</v>
      </c>
      <c r="C1796" s="178" t="s">
        <v>4277</v>
      </c>
      <c r="D1796" s="575" t="s">
        <v>920</v>
      </c>
      <c r="E1796" s="178" t="s">
        <v>266</v>
      </c>
      <c r="F1796" s="210" t="s">
        <v>5238</v>
      </c>
      <c r="G1796" s="58" t="s">
        <v>4829</v>
      </c>
      <c r="H1796" s="546">
        <v>639.22</v>
      </c>
      <c r="I1796" s="66">
        <v>44636</v>
      </c>
      <c r="J1796" s="411" t="s">
        <v>5239</v>
      </c>
      <c r="K1796" s="58"/>
      <c r="L1796" s="99"/>
      <c r="M1796" s="70" t="s">
        <v>5240</v>
      </c>
      <c r="N1796" s="97" t="s">
        <v>270</v>
      </c>
      <c r="O1796" s="58"/>
      <c r="P1796" s="58" t="s">
        <v>44</v>
      </c>
      <c r="Q1796" s="58" t="s">
        <v>62</v>
      </c>
      <c r="R1796" s="58" t="s">
        <v>272</v>
      </c>
    </row>
    <row r="1797" spans="1:18" ht="69" customHeight="1">
      <c r="A1797" s="168"/>
      <c r="B1797" s="178">
        <v>4009</v>
      </c>
      <c r="C1797" s="178" t="s">
        <v>4277</v>
      </c>
      <c r="D1797" s="575" t="s">
        <v>5241</v>
      </c>
      <c r="E1797" s="178" t="s">
        <v>266</v>
      </c>
      <c r="F1797" s="210" t="s">
        <v>5242</v>
      </c>
      <c r="G1797" s="58" t="s">
        <v>1107</v>
      </c>
      <c r="H1797" s="546">
        <v>7293.34</v>
      </c>
      <c r="I1797" s="66">
        <v>44643</v>
      </c>
      <c r="J1797" s="411" t="s">
        <v>5243</v>
      </c>
      <c r="K1797" s="58"/>
      <c r="L1797" s="99"/>
      <c r="M1797" s="70" t="s">
        <v>5244</v>
      </c>
      <c r="N1797" s="97" t="s">
        <v>970</v>
      </c>
      <c r="O1797" s="58" t="s">
        <v>971</v>
      </c>
      <c r="P1797" s="58" t="s">
        <v>38</v>
      </c>
      <c r="Q1797" s="58" t="s">
        <v>62</v>
      </c>
      <c r="R1797" s="58" t="s">
        <v>272</v>
      </c>
    </row>
    <row r="1798" spans="1:18" ht="69" customHeight="1">
      <c r="A1798" s="168"/>
      <c r="B1798" s="178">
        <v>4300</v>
      </c>
      <c r="C1798" s="59" t="s">
        <v>3667</v>
      </c>
      <c r="D1798" s="575" t="s">
        <v>5245</v>
      </c>
      <c r="E1798" s="178" t="s">
        <v>266</v>
      </c>
      <c r="F1798" s="210" t="s">
        <v>5246</v>
      </c>
      <c r="G1798" s="58" t="s">
        <v>307</v>
      </c>
      <c r="H1798" s="546">
        <v>12000</v>
      </c>
      <c r="I1798" s="66">
        <v>44659</v>
      </c>
      <c r="J1798" s="411" t="s">
        <v>5247</v>
      </c>
      <c r="K1798" s="58"/>
      <c r="L1798" s="99"/>
      <c r="M1798" s="70" t="s">
        <v>5240</v>
      </c>
      <c r="N1798" s="97" t="s">
        <v>270</v>
      </c>
      <c r="O1798" s="58"/>
      <c r="P1798" s="58" t="s">
        <v>44</v>
      </c>
      <c r="Q1798" s="58" t="s">
        <v>62</v>
      </c>
      <c r="R1798" s="58" t="s">
        <v>272</v>
      </c>
    </row>
    <row r="1799" spans="1:18" ht="69" customHeight="1">
      <c r="A1799" s="168"/>
      <c r="B1799" s="178">
        <v>4739</v>
      </c>
      <c r="C1799" s="178" t="s">
        <v>4277</v>
      </c>
      <c r="D1799" s="575" t="s">
        <v>940</v>
      </c>
      <c r="E1799" s="178" t="s">
        <v>331</v>
      </c>
      <c r="F1799" s="210" t="s">
        <v>5248</v>
      </c>
      <c r="G1799" s="58"/>
      <c r="H1799" s="546">
        <v>3389.12</v>
      </c>
      <c r="I1799" s="66">
        <v>44678</v>
      </c>
      <c r="J1799" s="411" t="s">
        <v>5249</v>
      </c>
      <c r="K1799" s="58"/>
      <c r="L1799" s="99"/>
      <c r="M1799" s="70" t="s">
        <v>5240</v>
      </c>
      <c r="N1799" s="97" t="s">
        <v>270</v>
      </c>
      <c r="O1799" s="58"/>
      <c r="P1799" s="58" t="s">
        <v>44</v>
      </c>
      <c r="Q1799" s="58" t="s">
        <v>62</v>
      </c>
      <c r="R1799" s="58" t="s">
        <v>272</v>
      </c>
    </row>
    <row r="1800" spans="1:18" ht="69" customHeight="1">
      <c r="A1800" s="168"/>
      <c r="B1800" s="178">
        <v>4101</v>
      </c>
      <c r="C1800" s="178" t="s">
        <v>4277</v>
      </c>
      <c r="D1800" s="575" t="s">
        <v>2904</v>
      </c>
      <c r="E1800" s="178" t="s">
        <v>266</v>
      </c>
      <c r="F1800" s="210" t="s">
        <v>5250</v>
      </c>
      <c r="G1800" s="58" t="s">
        <v>3674</v>
      </c>
      <c r="H1800" s="546">
        <v>10690</v>
      </c>
      <c r="I1800" s="66">
        <v>44676</v>
      </c>
      <c r="J1800" s="411" t="s">
        <v>5251</v>
      </c>
      <c r="K1800" s="58"/>
      <c r="L1800" s="99"/>
      <c r="M1800" s="70" t="s">
        <v>5240</v>
      </c>
      <c r="N1800" s="97" t="s">
        <v>270</v>
      </c>
      <c r="O1800" s="58"/>
      <c r="P1800" s="58" t="s">
        <v>44</v>
      </c>
      <c r="Q1800" s="58" t="s">
        <v>62</v>
      </c>
      <c r="R1800" s="58" t="s">
        <v>272</v>
      </c>
    </row>
    <row r="1801" spans="1:18" ht="69" customHeight="1">
      <c r="A1801" s="168"/>
      <c r="B1801" s="178">
        <v>4739</v>
      </c>
      <c r="C1801" s="178" t="s">
        <v>4277</v>
      </c>
      <c r="D1801" s="575" t="s">
        <v>2949</v>
      </c>
      <c r="E1801" s="178" t="s">
        <v>331</v>
      </c>
      <c r="F1801" s="210" t="s">
        <v>5252</v>
      </c>
      <c r="G1801" s="58" t="s">
        <v>372</v>
      </c>
      <c r="H1801" s="546">
        <v>30502.100000000002</v>
      </c>
      <c r="I1801" s="66">
        <v>44701</v>
      </c>
      <c r="J1801" s="411" t="s">
        <v>5253</v>
      </c>
      <c r="K1801" s="58"/>
      <c r="L1801" s="99"/>
      <c r="M1801" s="70" t="s">
        <v>5240</v>
      </c>
      <c r="N1801" s="97" t="s">
        <v>270</v>
      </c>
      <c r="O1801" s="58"/>
      <c r="P1801" s="58" t="s">
        <v>44</v>
      </c>
      <c r="Q1801" s="58" t="s">
        <v>62</v>
      </c>
      <c r="R1801" s="58" t="s">
        <v>272</v>
      </c>
    </row>
    <row r="1802" spans="1:18" ht="69" customHeight="1">
      <c r="A1802" s="168"/>
      <c r="B1802" s="178">
        <v>7463</v>
      </c>
      <c r="C1802" s="178" t="s">
        <v>5254</v>
      </c>
      <c r="D1802" s="575" t="s">
        <v>5255</v>
      </c>
      <c r="E1802" s="178" t="s">
        <v>2075</v>
      </c>
      <c r="F1802" s="210" t="s">
        <v>5256</v>
      </c>
      <c r="G1802" s="58" t="s">
        <v>1041</v>
      </c>
      <c r="H1802" s="546">
        <v>204292.69</v>
      </c>
      <c r="I1802" s="66">
        <v>44883</v>
      </c>
      <c r="J1802" s="411" t="s">
        <v>1042</v>
      </c>
      <c r="K1802" s="58"/>
      <c r="L1802" s="99"/>
      <c r="M1802" s="70" t="s">
        <v>5257</v>
      </c>
      <c r="N1802" s="97" t="s">
        <v>1044</v>
      </c>
      <c r="O1802" s="58"/>
      <c r="P1802" s="58" t="s">
        <v>26</v>
      </c>
      <c r="Q1802" s="58" t="s">
        <v>62</v>
      </c>
      <c r="R1802" s="58" t="s">
        <v>272</v>
      </c>
    </row>
    <row r="1803" spans="1:18" ht="69" customHeight="1">
      <c r="A1803" s="168"/>
      <c r="B1803" s="178">
        <v>5111</v>
      </c>
      <c r="C1803" s="178" t="s">
        <v>4277</v>
      </c>
      <c r="D1803" s="575" t="s">
        <v>2024</v>
      </c>
      <c r="E1803" s="178" t="s">
        <v>266</v>
      </c>
      <c r="F1803" s="210" t="s">
        <v>5258</v>
      </c>
      <c r="G1803" s="58" t="s">
        <v>4574</v>
      </c>
      <c r="H1803" s="546">
        <v>74.67</v>
      </c>
      <c r="I1803" s="66">
        <v>44725</v>
      </c>
      <c r="J1803" s="411" t="s">
        <v>5259</v>
      </c>
      <c r="K1803" s="58"/>
      <c r="L1803" s="99"/>
      <c r="M1803" s="70" t="s">
        <v>5240</v>
      </c>
      <c r="N1803" s="97" t="s">
        <v>270</v>
      </c>
      <c r="O1803" s="58"/>
      <c r="P1803" s="58" t="s">
        <v>44</v>
      </c>
      <c r="Q1803" s="58" t="s">
        <v>62</v>
      </c>
      <c r="R1803" s="58" t="s">
        <v>272</v>
      </c>
    </row>
    <row r="1804" spans="1:18" ht="69" customHeight="1">
      <c r="A1804" s="168"/>
      <c r="B1804" s="178">
        <v>5112</v>
      </c>
      <c r="C1804" s="178" t="s">
        <v>4277</v>
      </c>
      <c r="D1804" s="575" t="s">
        <v>2027</v>
      </c>
      <c r="E1804" s="178" t="s">
        <v>266</v>
      </c>
      <c r="F1804" s="210" t="s">
        <v>5260</v>
      </c>
      <c r="G1804" s="58" t="s">
        <v>4574</v>
      </c>
      <c r="H1804" s="546">
        <v>172.11</v>
      </c>
      <c r="I1804" s="66">
        <v>44725</v>
      </c>
      <c r="J1804" s="411" t="s">
        <v>5261</v>
      </c>
      <c r="K1804" s="58"/>
      <c r="L1804" s="99"/>
      <c r="M1804" s="70" t="s">
        <v>5240</v>
      </c>
      <c r="N1804" s="97" t="s">
        <v>270</v>
      </c>
      <c r="O1804" s="58"/>
      <c r="P1804" s="58" t="s">
        <v>44</v>
      </c>
      <c r="Q1804" s="58" t="s">
        <v>62</v>
      </c>
      <c r="R1804" s="58" t="s">
        <v>272</v>
      </c>
    </row>
    <row r="1805" spans="1:18" ht="69" customHeight="1">
      <c r="A1805" s="168"/>
      <c r="B1805" s="178">
        <v>1</v>
      </c>
      <c r="C1805" s="59" t="s">
        <v>3667</v>
      </c>
      <c r="D1805" s="575" t="s">
        <v>960</v>
      </c>
      <c r="E1805" s="178" t="s">
        <v>382</v>
      </c>
      <c r="F1805" s="210" t="s">
        <v>5262</v>
      </c>
      <c r="G1805" s="58" t="s">
        <v>384</v>
      </c>
      <c r="H1805" s="546">
        <v>27761.33</v>
      </c>
      <c r="I1805" s="66">
        <v>44739</v>
      </c>
      <c r="J1805" s="411" t="s">
        <v>5263</v>
      </c>
      <c r="K1805" s="58"/>
      <c r="L1805" s="99"/>
      <c r="M1805" s="70" t="s">
        <v>5264</v>
      </c>
      <c r="N1805" s="97" t="s">
        <v>387</v>
      </c>
      <c r="O1805" s="58" t="s">
        <v>150</v>
      </c>
      <c r="P1805" s="58" t="s">
        <v>51</v>
      </c>
      <c r="Q1805" s="58" t="s">
        <v>62</v>
      </c>
      <c r="R1805" s="58" t="s">
        <v>272</v>
      </c>
    </row>
    <row r="1806" spans="1:18" ht="69" customHeight="1">
      <c r="A1806" s="168"/>
      <c r="B1806" s="178">
        <v>1</v>
      </c>
      <c r="C1806" s="59" t="s">
        <v>3667</v>
      </c>
      <c r="D1806" s="575" t="s">
        <v>2033</v>
      </c>
      <c r="E1806" s="178" t="s">
        <v>382</v>
      </c>
      <c r="F1806" s="210" t="s">
        <v>5265</v>
      </c>
      <c r="G1806" s="58" t="s">
        <v>384</v>
      </c>
      <c r="H1806" s="546">
        <v>39819.519999999997</v>
      </c>
      <c r="I1806" s="66">
        <v>44739</v>
      </c>
      <c r="J1806" s="411" t="s">
        <v>5266</v>
      </c>
      <c r="K1806" s="58"/>
      <c r="L1806" s="99"/>
      <c r="M1806" s="70" t="s">
        <v>5264</v>
      </c>
      <c r="N1806" s="97" t="s">
        <v>387</v>
      </c>
      <c r="O1806" s="58" t="s">
        <v>150</v>
      </c>
      <c r="P1806" s="58" t="s">
        <v>51</v>
      </c>
      <c r="Q1806" s="58" t="s">
        <v>62</v>
      </c>
      <c r="R1806" s="58" t="s">
        <v>272</v>
      </c>
    </row>
    <row r="1807" spans="1:18" ht="69" customHeight="1">
      <c r="A1807" s="168"/>
      <c r="B1807" s="178">
        <v>5019</v>
      </c>
      <c r="C1807" s="178" t="s">
        <v>4277</v>
      </c>
      <c r="D1807" s="575" t="s">
        <v>1002</v>
      </c>
      <c r="E1807" s="178" t="s">
        <v>266</v>
      </c>
      <c r="F1807" s="210" t="s">
        <v>5267</v>
      </c>
      <c r="G1807" s="58" t="s">
        <v>1753</v>
      </c>
      <c r="H1807" s="546">
        <v>5390</v>
      </c>
      <c r="I1807" s="66">
        <v>44762</v>
      </c>
      <c r="J1807" s="411" t="s">
        <v>5268</v>
      </c>
      <c r="K1807" s="58" t="s">
        <v>705</v>
      </c>
      <c r="L1807" s="99"/>
      <c r="M1807" s="70" t="s">
        <v>5240</v>
      </c>
      <c r="N1807" s="97" t="s">
        <v>270</v>
      </c>
      <c r="O1807" s="58"/>
      <c r="P1807" s="58" t="s">
        <v>44</v>
      </c>
      <c r="Q1807" s="58" t="s">
        <v>62</v>
      </c>
      <c r="R1807" s="58" t="s">
        <v>272</v>
      </c>
    </row>
    <row r="1808" spans="1:18" ht="69" customHeight="1">
      <c r="A1808" s="168"/>
      <c r="B1808" s="178"/>
      <c r="C1808" s="178" t="s">
        <v>4277</v>
      </c>
      <c r="D1808" s="575"/>
      <c r="E1808" s="178" t="s">
        <v>4173</v>
      </c>
      <c r="F1808" s="210" t="s">
        <v>5269</v>
      </c>
      <c r="G1808" s="58" t="s">
        <v>5270</v>
      </c>
      <c r="H1808" s="546">
        <v>13424.99</v>
      </c>
      <c r="I1808" s="66">
        <v>44792</v>
      </c>
      <c r="J1808" s="411"/>
      <c r="K1808" s="58"/>
      <c r="L1808" s="99"/>
      <c r="M1808" s="70" t="s">
        <v>5271</v>
      </c>
      <c r="N1808" s="97" t="s">
        <v>414</v>
      </c>
      <c r="O1808" s="58"/>
      <c r="P1808" s="58" t="s">
        <v>22</v>
      </c>
      <c r="Q1808" s="58" t="s">
        <v>62</v>
      </c>
      <c r="R1808" s="58" t="s">
        <v>265</v>
      </c>
    </row>
    <row r="1809" spans="1:18" ht="69" customHeight="1">
      <c r="A1809" s="168"/>
      <c r="B1809" s="178">
        <v>6086</v>
      </c>
      <c r="C1809" s="178" t="s">
        <v>4277</v>
      </c>
      <c r="D1809" s="575" t="s">
        <v>5272</v>
      </c>
      <c r="E1809" s="178" t="s">
        <v>409</v>
      </c>
      <c r="F1809" s="210" t="s">
        <v>5273</v>
      </c>
      <c r="G1809" s="58" t="s">
        <v>411</v>
      </c>
      <c r="H1809" s="546">
        <v>0</v>
      </c>
      <c r="I1809" s="66" t="s">
        <v>96</v>
      </c>
      <c r="J1809" s="411" t="s">
        <v>5274</v>
      </c>
      <c r="K1809" s="58"/>
      <c r="L1809" s="99"/>
      <c r="M1809" s="70" t="s">
        <v>5275</v>
      </c>
      <c r="N1809" s="97" t="s">
        <v>414</v>
      </c>
      <c r="O1809" s="58"/>
      <c r="P1809" s="58" t="s">
        <v>22</v>
      </c>
      <c r="Q1809" s="58" t="s">
        <v>62</v>
      </c>
      <c r="R1809" s="58" t="s">
        <v>272</v>
      </c>
    </row>
    <row r="1810" spans="1:18" ht="69" customHeight="1">
      <c r="A1810" s="168"/>
      <c r="B1810" s="178">
        <v>6058</v>
      </c>
      <c r="C1810" s="178" t="s">
        <v>4277</v>
      </c>
      <c r="D1810" s="575" t="s">
        <v>2997</v>
      </c>
      <c r="E1810" s="178" t="s">
        <v>266</v>
      </c>
      <c r="F1810" s="210" t="s">
        <v>5276</v>
      </c>
      <c r="G1810" s="58" t="s">
        <v>680</v>
      </c>
      <c r="H1810" s="546">
        <v>7000</v>
      </c>
      <c r="I1810" s="66" t="s">
        <v>96</v>
      </c>
      <c r="J1810" s="411" t="s">
        <v>5277</v>
      </c>
      <c r="K1810" s="58"/>
      <c r="L1810" s="99"/>
      <c r="M1810" s="70" t="s">
        <v>5278</v>
      </c>
      <c r="N1810" s="97" t="s">
        <v>683</v>
      </c>
      <c r="O1810" s="58" t="s">
        <v>684</v>
      </c>
      <c r="P1810" s="58" t="s">
        <v>46</v>
      </c>
      <c r="Q1810" s="58" t="s">
        <v>62</v>
      </c>
      <c r="R1810" s="58" t="s">
        <v>272</v>
      </c>
    </row>
    <row r="1811" spans="1:18" ht="69" customHeight="1">
      <c r="A1811" s="168"/>
      <c r="B1811" s="178">
        <v>6086</v>
      </c>
      <c r="C1811" s="178" t="s">
        <v>4277</v>
      </c>
      <c r="D1811" s="575" t="s">
        <v>2058</v>
      </c>
      <c r="E1811" s="178" t="s">
        <v>409</v>
      </c>
      <c r="F1811" s="210" t="s">
        <v>5279</v>
      </c>
      <c r="G1811" s="58" t="s">
        <v>411</v>
      </c>
      <c r="H1811" s="546">
        <v>403650</v>
      </c>
      <c r="I1811" s="66">
        <v>44769</v>
      </c>
      <c r="J1811" s="411" t="s">
        <v>5274</v>
      </c>
      <c r="K1811" s="58"/>
      <c r="L1811" s="99"/>
      <c r="M1811" s="70" t="s">
        <v>5275</v>
      </c>
      <c r="N1811" s="97" t="s">
        <v>414</v>
      </c>
      <c r="O1811" s="58"/>
      <c r="P1811" s="58" t="s">
        <v>22</v>
      </c>
      <c r="Q1811" s="58" t="s">
        <v>62</v>
      </c>
      <c r="R1811" s="58" t="s">
        <v>272</v>
      </c>
    </row>
    <row r="1812" spans="1:18" ht="69" customHeight="1">
      <c r="A1812" s="168"/>
      <c r="B1812" s="178">
        <v>6326</v>
      </c>
      <c r="C1812" s="178" t="s">
        <v>4277</v>
      </c>
      <c r="D1812" s="575" t="s">
        <v>1567</v>
      </c>
      <c r="E1812" s="178" t="s">
        <v>409</v>
      </c>
      <c r="F1812" s="210" t="s">
        <v>5280</v>
      </c>
      <c r="G1812" s="58" t="s">
        <v>738</v>
      </c>
      <c r="H1812" s="546">
        <v>48000</v>
      </c>
      <c r="I1812" s="66">
        <v>44790</v>
      </c>
      <c r="J1812" s="411" t="s">
        <v>4874</v>
      </c>
      <c r="K1812" s="58"/>
      <c r="L1812" s="99"/>
      <c r="M1812" s="70" t="s">
        <v>5281</v>
      </c>
      <c r="N1812" s="97" t="s">
        <v>741</v>
      </c>
      <c r="O1812" s="58"/>
      <c r="P1812" s="58" t="s">
        <v>59</v>
      </c>
      <c r="Q1812" s="58" t="s">
        <v>62</v>
      </c>
      <c r="R1812" s="58" t="s">
        <v>272</v>
      </c>
    </row>
    <row r="1813" spans="1:18" ht="69" customHeight="1">
      <c r="A1813" s="168"/>
      <c r="B1813" s="178">
        <v>6388</v>
      </c>
      <c r="C1813" s="178" t="s">
        <v>4277</v>
      </c>
      <c r="D1813" s="575" t="s">
        <v>1346</v>
      </c>
      <c r="E1813" s="178" t="s">
        <v>266</v>
      </c>
      <c r="F1813" s="210" t="s">
        <v>5282</v>
      </c>
      <c r="G1813" s="58" t="s">
        <v>1107</v>
      </c>
      <c r="H1813" s="546">
        <v>7293.34</v>
      </c>
      <c r="I1813" s="66">
        <v>44799</v>
      </c>
      <c r="J1813" s="411" t="s">
        <v>5283</v>
      </c>
      <c r="K1813" s="58"/>
      <c r="L1813" s="99"/>
      <c r="M1813" s="70" t="s">
        <v>5244</v>
      </c>
      <c r="N1813" s="97" t="s">
        <v>970</v>
      </c>
      <c r="O1813" s="58" t="s">
        <v>971</v>
      </c>
      <c r="P1813" s="58" t="s">
        <v>38</v>
      </c>
      <c r="Q1813" s="58" t="s">
        <v>62</v>
      </c>
      <c r="R1813" s="58" t="s">
        <v>272</v>
      </c>
    </row>
    <row r="1814" spans="1:18" ht="69" customHeight="1">
      <c r="A1814" s="168"/>
      <c r="B1814" s="178">
        <v>6411</v>
      </c>
      <c r="C1814" s="178" t="s">
        <v>4277</v>
      </c>
      <c r="D1814" s="575" t="s">
        <v>760</v>
      </c>
      <c r="E1814" s="178" t="s">
        <v>432</v>
      </c>
      <c r="F1814" s="210" t="s">
        <v>5284</v>
      </c>
      <c r="G1814" s="58" t="s">
        <v>429</v>
      </c>
      <c r="H1814" s="546">
        <v>13959.486000000001</v>
      </c>
      <c r="I1814" s="66">
        <v>44802</v>
      </c>
      <c r="J1814" s="411" t="s">
        <v>4880</v>
      </c>
      <c r="K1814" s="58"/>
      <c r="L1814" s="99"/>
      <c r="M1814" s="70" t="s">
        <v>5285</v>
      </c>
      <c r="N1814" s="97" t="s">
        <v>432</v>
      </c>
      <c r="O1814" s="58"/>
      <c r="P1814" s="58" t="s">
        <v>53</v>
      </c>
      <c r="Q1814" s="58" t="s">
        <v>62</v>
      </c>
      <c r="R1814" s="58" t="s">
        <v>272</v>
      </c>
    </row>
    <row r="1815" spans="1:18" ht="69" customHeight="1">
      <c r="A1815" s="168"/>
      <c r="B1815" s="178">
        <v>6475</v>
      </c>
      <c r="C1815" s="178" t="s">
        <v>4277</v>
      </c>
      <c r="D1815" s="575" t="s">
        <v>785</v>
      </c>
      <c r="E1815" s="178" t="s">
        <v>4173</v>
      </c>
      <c r="F1815" s="210" t="s">
        <v>5286</v>
      </c>
      <c r="G1815" s="58" t="s">
        <v>3723</v>
      </c>
      <c r="H1815" s="546">
        <v>133424.37</v>
      </c>
      <c r="I1815" s="66">
        <v>44804</v>
      </c>
      <c r="J1815" s="411" t="s">
        <v>4883</v>
      </c>
      <c r="K1815" s="58"/>
      <c r="L1815" s="99"/>
      <c r="M1815" s="70" t="s">
        <v>5271</v>
      </c>
      <c r="N1815" s="97" t="s">
        <v>414</v>
      </c>
      <c r="O1815" s="58"/>
      <c r="P1815" s="58" t="s">
        <v>22</v>
      </c>
      <c r="Q1815" s="58" t="s">
        <v>62</v>
      </c>
      <c r="R1815" s="58" t="s">
        <v>265</v>
      </c>
    </row>
    <row r="1816" spans="1:18" ht="69" customHeight="1">
      <c r="A1816" s="168"/>
      <c r="B1816" s="178">
        <v>6480</v>
      </c>
      <c r="C1816" s="178" t="s">
        <v>4277</v>
      </c>
      <c r="D1816" s="575" t="s">
        <v>746</v>
      </c>
      <c r="E1816" s="178" t="s">
        <v>4173</v>
      </c>
      <c r="F1816" s="210" t="s">
        <v>5287</v>
      </c>
      <c r="G1816" s="58" t="s">
        <v>2828</v>
      </c>
      <c r="H1816" s="546">
        <v>22819.5</v>
      </c>
      <c r="I1816" s="66">
        <v>44804</v>
      </c>
      <c r="J1816" s="411" t="s">
        <v>4883</v>
      </c>
      <c r="K1816" s="58"/>
      <c r="L1816" s="99"/>
      <c r="M1816" s="70" t="s">
        <v>5271</v>
      </c>
      <c r="N1816" s="97" t="s">
        <v>414</v>
      </c>
      <c r="O1816" s="58"/>
      <c r="P1816" s="58" t="s">
        <v>22</v>
      </c>
      <c r="Q1816" s="58" t="s">
        <v>62</v>
      </c>
      <c r="R1816" s="58" t="s">
        <v>265</v>
      </c>
    </row>
    <row r="1817" spans="1:18" ht="69" customHeight="1">
      <c r="A1817" s="168"/>
      <c r="B1817" s="178">
        <v>6215</v>
      </c>
      <c r="C1817" s="178" t="s">
        <v>4277</v>
      </c>
      <c r="D1817" s="575" t="s">
        <v>5288</v>
      </c>
      <c r="E1817" s="178" t="s">
        <v>409</v>
      </c>
      <c r="F1817" s="210" t="s">
        <v>5289</v>
      </c>
      <c r="G1817" s="58" t="s">
        <v>738</v>
      </c>
      <c r="H1817" s="546">
        <v>36000</v>
      </c>
      <c r="I1817" s="66">
        <v>44783</v>
      </c>
      <c r="J1817" s="411" t="s">
        <v>4874</v>
      </c>
      <c r="K1817" s="58"/>
      <c r="L1817" s="99"/>
      <c r="M1817" s="70" t="s">
        <v>5281</v>
      </c>
      <c r="N1817" s="97" t="s">
        <v>741</v>
      </c>
      <c r="O1817" s="58"/>
      <c r="P1817" s="58" t="s">
        <v>59</v>
      </c>
      <c r="Q1817" s="58" t="s">
        <v>62</v>
      </c>
      <c r="R1817" s="58" t="s">
        <v>272</v>
      </c>
    </row>
    <row r="1818" spans="1:18" ht="69" customHeight="1">
      <c r="A1818" s="168"/>
      <c r="B1818" s="178">
        <v>6569</v>
      </c>
      <c r="C1818" s="178" t="s">
        <v>4277</v>
      </c>
      <c r="D1818" s="575" t="s">
        <v>5288</v>
      </c>
      <c r="E1818" s="178" t="s">
        <v>409</v>
      </c>
      <c r="F1818" s="210" t="s">
        <v>5290</v>
      </c>
      <c r="G1818" s="58" t="s">
        <v>4890</v>
      </c>
      <c r="H1818" s="546">
        <v>36000</v>
      </c>
      <c r="I1818" s="66">
        <v>44816</v>
      </c>
      <c r="J1818" s="411" t="s">
        <v>4874</v>
      </c>
      <c r="K1818" s="58"/>
      <c r="L1818" s="99"/>
      <c r="M1818" s="70" t="s">
        <v>5281</v>
      </c>
      <c r="N1818" s="97" t="s">
        <v>741</v>
      </c>
      <c r="O1818" s="58"/>
      <c r="P1818" s="58" t="s">
        <v>59</v>
      </c>
      <c r="Q1818" s="58" t="s">
        <v>62</v>
      </c>
      <c r="R1818" s="58" t="s">
        <v>272</v>
      </c>
    </row>
    <row r="1819" spans="1:18" ht="69" customHeight="1">
      <c r="A1819" s="168"/>
      <c r="B1819" s="178">
        <v>6699</v>
      </c>
      <c r="C1819" s="178" t="s">
        <v>4277</v>
      </c>
      <c r="D1819" s="575" t="s">
        <v>5291</v>
      </c>
      <c r="E1819" s="178" t="s">
        <v>4173</v>
      </c>
      <c r="F1819" s="210" t="s">
        <v>5292</v>
      </c>
      <c r="G1819" s="58" t="s">
        <v>3744</v>
      </c>
      <c r="H1819" s="546">
        <v>17200</v>
      </c>
      <c r="I1819" s="66">
        <v>44823</v>
      </c>
      <c r="J1819" s="411" t="s">
        <v>5293</v>
      </c>
      <c r="K1819" s="58"/>
      <c r="L1819" s="99"/>
      <c r="M1819" s="70" t="s">
        <v>5271</v>
      </c>
      <c r="N1819" s="97" t="s">
        <v>414</v>
      </c>
      <c r="O1819" s="58"/>
      <c r="P1819" s="58" t="s">
        <v>22</v>
      </c>
      <c r="Q1819" s="58" t="s">
        <v>62</v>
      </c>
      <c r="R1819" s="58" t="s">
        <v>265</v>
      </c>
    </row>
    <row r="1820" spans="1:18" ht="69" customHeight="1">
      <c r="A1820" s="168"/>
      <c r="B1820" s="178">
        <v>6733</v>
      </c>
      <c r="C1820" s="178" t="s">
        <v>4277</v>
      </c>
      <c r="D1820" s="575" t="s">
        <v>5294</v>
      </c>
      <c r="E1820" s="178" t="s">
        <v>266</v>
      </c>
      <c r="F1820" s="210" t="s">
        <v>5295</v>
      </c>
      <c r="G1820" s="58" t="s">
        <v>3747</v>
      </c>
      <c r="H1820" s="546">
        <v>4250</v>
      </c>
      <c r="I1820" s="66">
        <v>44827</v>
      </c>
      <c r="J1820" s="411" t="s">
        <v>4900</v>
      </c>
      <c r="K1820" s="58"/>
      <c r="L1820" s="99"/>
      <c r="M1820" s="70" t="s">
        <v>5240</v>
      </c>
      <c r="N1820" s="97" t="s">
        <v>270</v>
      </c>
      <c r="O1820" s="58"/>
      <c r="P1820" s="58" t="s">
        <v>44</v>
      </c>
      <c r="Q1820" s="58" t="s">
        <v>62</v>
      </c>
      <c r="R1820" s="58" t="s">
        <v>272</v>
      </c>
    </row>
    <row r="1821" spans="1:18" ht="69" customHeight="1">
      <c r="A1821" s="168"/>
      <c r="B1821" s="178">
        <v>6739</v>
      </c>
      <c r="C1821" s="178" t="s">
        <v>4277</v>
      </c>
      <c r="D1821" s="575" t="s">
        <v>5296</v>
      </c>
      <c r="E1821" s="178" t="s">
        <v>4173</v>
      </c>
      <c r="F1821" s="210" t="s">
        <v>5297</v>
      </c>
      <c r="G1821" s="58" t="s">
        <v>1048</v>
      </c>
      <c r="H1821" s="546">
        <v>40009.599999999999</v>
      </c>
      <c r="I1821" s="66">
        <v>44827</v>
      </c>
      <c r="J1821" s="411" t="s">
        <v>5298</v>
      </c>
      <c r="K1821" s="58"/>
      <c r="L1821" s="99"/>
      <c r="M1821" s="70" t="s">
        <v>5271</v>
      </c>
      <c r="N1821" s="97" t="s">
        <v>414</v>
      </c>
      <c r="O1821" s="58"/>
      <c r="P1821" s="58" t="s">
        <v>22</v>
      </c>
      <c r="Q1821" s="58" t="s">
        <v>62</v>
      </c>
      <c r="R1821" s="58" t="s">
        <v>265</v>
      </c>
    </row>
    <row r="1822" spans="1:18" ht="69" customHeight="1">
      <c r="A1822" s="168"/>
      <c r="B1822" s="178">
        <v>6766</v>
      </c>
      <c r="C1822" s="178" t="s">
        <v>4277</v>
      </c>
      <c r="D1822" s="575" t="s">
        <v>5299</v>
      </c>
      <c r="E1822" s="178" t="s">
        <v>4173</v>
      </c>
      <c r="F1822" s="210" t="s">
        <v>5300</v>
      </c>
      <c r="G1822" s="58" t="s">
        <v>1048</v>
      </c>
      <c r="H1822" s="546">
        <v>3822.06</v>
      </c>
      <c r="I1822" s="66">
        <v>44830</v>
      </c>
      <c r="J1822" s="411" t="s">
        <v>5301</v>
      </c>
      <c r="K1822" s="58"/>
      <c r="L1822" s="99"/>
      <c r="M1822" s="70" t="s">
        <v>5271</v>
      </c>
      <c r="N1822" s="97" t="s">
        <v>414</v>
      </c>
      <c r="O1822" s="58"/>
      <c r="P1822" s="58" t="s">
        <v>22</v>
      </c>
      <c r="Q1822" s="58" t="s">
        <v>62</v>
      </c>
      <c r="R1822" s="58" t="s">
        <v>265</v>
      </c>
    </row>
    <row r="1823" spans="1:18" ht="69" customHeight="1">
      <c r="A1823" s="168"/>
      <c r="B1823" s="178">
        <v>6770</v>
      </c>
      <c r="C1823" s="178" t="s">
        <v>4277</v>
      </c>
      <c r="D1823" s="575" t="s">
        <v>2367</v>
      </c>
      <c r="E1823" s="178" t="s">
        <v>4173</v>
      </c>
      <c r="F1823" s="210" t="s">
        <v>5302</v>
      </c>
      <c r="G1823" s="58" t="s">
        <v>1048</v>
      </c>
      <c r="H1823" s="546">
        <v>22000</v>
      </c>
      <c r="I1823" s="66">
        <v>44830</v>
      </c>
      <c r="J1823" s="411" t="s">
        <v>5303</v>
      </c>
      <c r="K1823" s="58"/>
      <c r="L1823" s="99"/>
      <c r="M1823" s="70" t="s">
        <v>5271</v>
      </c>
      <c r="N1823" s="97" t="s">
        <v>414</v>
      </c>
      <c r="O1823" s="58"/>
      <c r="P1823" s="58" t="s">
        <v>22</v>
      </c>
      <c r="Q1823" s="58" t="s">
        <v>62</v>
      </c>
      <c r="R1823" s="58" t="s">
        <v>265</v>
      </c>
    </row>
    <row r="1824" spans="1:18" ht="69" customHeight="1">
      <c r="A1824" s="168"/>
      <c r="B1824" s="178"/>
      <c r="C1824" s="178" t="s">
        <v>4277</v>
      </c>
      <c r="D1824" s="575"/>
      <c r="E1824" s="178" t="s">
        <v>4173</v>
      </c>
      <c r="F1824" s="210" t="s">
        <v>5304</v>
      </c>
      <c r="G1824" s="58" t="s">
        <v>3860</v>
      </c>
      <c r="H1824" s="546">
        <v>17200</v>
      </c>
      <c r="I1824" s="66" t="s">
        <v>96</v>
      </c>
      <c r="J1824" s="411"/>
      <c r="K1824" s="58" t="s">
        <v>5305</v>
      </c>
      <c r="L1824" s="99"/>
      <c r="M1824" s="70" t="s">
        <v>5271</v>
      </c>
      <c r="N1824" s="97" t="s">
        <v>414</v>
      </c>
      <c r="O1824" s="58"/>
      <c r="P1824" s="58" t="s">
        <v>22</v>
      </c>
      <c r="Q1824" s="58" t="s">
        <v>62</v>
      </c>
      <c r="R1824" s="58" t="s">
        <v>265</v>
      </c>
    </row>
    <row r="1825" spans="1:18" ht="69" customHeight="1">
      <c r="A1825" s="168"/>
      <c r="B1825" s="178">
        <v>6792</v>
      </c>
      <c r="C1825" s="178" t="s">
        <v>4277</v>
      </c>
      <c r="D1825" s="575" t="s">
        <v>5306</v>
      </c>
      <c r="E1825" s="178" t="s">
        <v>266</v>
      </c>
      <c r="F1825" s="210" t="s">
        <v>5307</v>
      </c>
      <c r="G1825" s="58" t="s">
        <v>1107</v>
      </c>
      <c r="H1825" s="546">
        <v>7293.34</v>
      </c>
      <c r="I1825" s="66">
        <v>44832</v>
      </c>
      <c r="J1825" s="411" t="s">
        <v>5308</v>
      </c>
      <c r="K1825" s="58"/>
      <c r="L1825" s="99"/>
      <c r="M1825" s="70" t="s">
        <v>5244</v>
      </c>
      <c r="N1825" s="97" t="s">
        <v>970</v>
      </c>
      <c r="O1825" s="58" t="s">
        <v>971</v>
      </c>
      <c r="P1825" s="58" t="s">
        <v>38</v>
      </c>
      <c r="Q1825" s="58" t="s">
        <v>62</v>
      </c>
      <c r="R1825" s="58" t="s">
        <v>272</v>
      </c>
    </row>
    <row r="1826" spans="1:18" ht="69" customHeight="1">
      <c r="A1826" s="168"/>
      <c r="B1826" s="178"/>
      <c r="C1826" s="178" t="s">
        <v>5309</v>
      </c>
      <c r="D1826" s="575"/>
      <c r="E1826" s="178" t="s">
        <v>4173</v>
      </c>
      <c r="F1826" s="210" t="s">
        <v>5310</v>
      </c>
      <c r="G1826" s="58" t="s">
        <v>5311</v>
      </c>
      <c r="H1826" s="546">
        <v>42096.29</v>
      </c>
      <c r="I1826" s="66">
        <v>44790</v>
      </c>
      <c r="J1826" s="411"/>
      <c r="K1826" s="58"/>
      <c r="L1826" s="99"/>
      <c r="M1826" s="70" t="s">
        <v>5271</v>
      </c>
      <c r="N1826" s="97" t="s">
        <v>414</v>
      </c>
      <c r="O1826" s="58"/>
      <c r="P1826" s="58" t="s">
        <v>22</v>
      </c>
      <c r="Q1826" s="58" t="s">
        <v>62</v>
      </c>
      <c r="R1826" s="58" t="s">
        <v>265</v>
      </c>
    </row>
    <row r="1827" spans="1:18" ht="69" customHeight="1">
      <c r="A1827" s="168"/>
      <c r="B1827" s="178"/>
      <c r="C1827" s="178" t="s">
        <v>5309</v>
      </c>
      <c r="D1827" s="575"/>
      <c r="E1827" s="178" t="s">
        <v>4173</v>
      </c>
      <c r="F1827" s="210" t="s">
        <v>5310</v>
      </c>
      <c r="G1827" s="58" t="s">
        <v>5312</v>
      </c>
      <c r="H1827" s="546">
        <v>9812</v>
      </c>
      <c r="I1827" s="66">
        <v>44792</v>
      </c>
      <c r="J1827" s="411"/>
      <c r="K1827" s="58"/>
      <c r="L1827" s="99"/>
      <c r="M1827" s="70" t="s">
        <v>5271</v>
      </c>
      <c r="N1827" s="97" t="s">
        <v>414</v>
      </c>
      <c r="O1827" s="58"/>
      <c r="P1827" s="58" t="s">
        <v>22</v>
      </c>
      <c r="Q1827" s="58" t="s">
        <v>62</v>
      </c>
      <c r="R1827" s="58" t="s">
        <v>265</v>
      </c>
    </row>
    <row r="1828" spans="1:18" ht="69" customHeight="1">
      <c r="A1828" s="168"/>
      <c r="B1828" s="178"/>
      <c r="C1828" s="178" t="s">
        <v>5309</v>
      </c>
      <c r="D1828" s="575"/>
      <c r="E1828" s="178" t="s">
        <v>4173</v>
      </c>
      <c r="F1828" s="210" t="s">
        <v>5310</v>
      </c>
      <c r="G1828" s="58" t="s">
        <v>5313</v>
      </c>
      <c r="H1828" s="546">
        <v>59600</v>
      </c>
      <c r="I1828" s="66">
        <v>44792</v>
      </c>
      <c r="J1828" s="411"/>
      <c r="K1828" s="58"/>
      <c r="L1828" s="99"/>
      <c r="M1828" s="70" t="s">
        <v>5271</v>
      </c>
      <c r="N1828" s="97" t="s">
        <v>414</v>
      </c>
      <c r="O1828" s="58"/>
      <c r="P1828" s="58" t="s">
        <v>22</v>
      </c>
      <c r="Q1828" s="58" t="s">
        <v>62</v>
      </c>
      <c r="R1828" s="58" t="s">
        <v>265</v>
      </c>
    </row>
    <row r="1829" spans="1:18" ht="69" customHeight="1">
      <c r="A1829" s="168"/>
      <c r="B1829" s="178">
        <v>7529</v>
      </c>
      <c r="C1829" s="178" t="s">
        <v>4277</v>
      </c>
      <c r="D1829" s="575" t="s">
        <v>1625</v>
      </c>
      <c r="E1829" s="178" t="s">
        <v>3825</v>
      </c>
      <c r="F1829" s="210" t="s">
        <v>5314</v>
      </c>
      <c r="G1829" s="58" t="s">
        <v>3831</v>
      </c>
      <c r="H1829" s="546">
        <v>496112.76</v>
      </c>
      <c r="I1829" s="66">
        <v>44890</v>
      </c>
      <c r="J1829" s="411" t="s">
        <v>5040</v>
      </c>
      <c r="K1829" s="58"/>
      <c r="L1829" s="99"/>
      <c r="M1829" s="70" t="s">
        <v>5275</v>
      </c>
      <c r="N1829" s="97" t="s">
        <v>414</v>
      </c>
      <c r="O1829" s="58"/>
      <c r="P1829" s="58" t="s">
        <v>22</v>
      </c>
      <c r="Q1829" s="58" t="s">
        <v>62</v>
      </c>
      <c r="R1829" s="58" t="s">
        <v>272</v>
      </c>
    </row>
    <row r="1830" spans="1:18" ht="69" customHeight="1">
      <c r="A1830" s="168"/>
      <c r="B1830" s="178">
        <v>6907</v>
      </c>
      <c r="C1830" s="178" t="s">
        <v>4277</v>
      </c>
      <c r="D1830" s="575" t="s">
        <v>2084</v>
      </c>
      <c r="E1830" s="178" t="s">
        <v>1367</v>
      </c>
      <c r="F1830" s="210" t="s">
        <v>5315</v>
      </c>
      <c r="G1830" s="58" t="s">
        <v>1369</v>
      </c>
      <c r="H1830" s="546">
        <v>2500</v>
      </c>
      <c r="I1830" s="66">
        <v>44841</v>
      </c>
      <c r="J1830" s="411" t="s">
        <v>4958</v>
      </c>
      <c r="K1830" s="58"/>
      <c r="L1830" s="99"/>
      <c r="M1830" s="70" t="s">
        <v>5240</v>
      </c>
      <c r="N1830" s="97" t="s">
        <v>270</v>
      </c>
      <c r="O1830" s="58"/>
      <c r="P1830" s="58" t="s">
        <v>44</v>
      </c>
      <c r="Q1830" s="58" t="s">
        <v>62</v>
      </c>
      <c r="R1830" s="58" t="s">
        <v>272</v>
      </c>
    </row>
    <row r="1831" spans="1:18" ht="69" customHeight="1">
      <c r="A1831" s="168"/>
      <c r="B1831" s="178">
        <v>6918</v>
      </c>
      <c r="C1831" s="178" t="s">
        <v>4277</v>
      </c>
      <c r="D1831" s="575" t="s">
        <v>3238</v>
      </c>
      <c r="E1831" s="178" t="s">
        <v>266</v>
      </c>
      <c r="F1831" s="210" t="s">
        <v>5316</v>
      </c>
      <c r="G1831" s="58" t="s">
        <v>1053</v>
      </c>
      <c r="H1831" s="546">
        <v>5810</v>
      </c>
      <c r="I1831" s="66">
        <v>44844</v>
      </c>
      <c r="J1831" s="411" t="s">
        <v>4960</v>
      </c>
      <c r="K1831" s="58"/>
      <c r="L1831" s="99"/>
      <c r="M1831" s="70" t="s">
        <v>5240</v>
      </c>
      <c r="N1831" s="97" t="s">
        <v>270</v>
      </c>
      <c r="O1831" s="58"/>
      <c r="P1831" s="58" t="s">
        <v>44</v>
      </c>
      <c r="Q1831" s="58" t="s">
        <v>62</v>
      </c>
      <c r="R1831" s="58" t="s">
        <v>272</v>
      </c>
    </row>
    <row r="1832" spans="1:18" ht="69" customHeight="1">
      <c r="A1832" s="168"/>
      <c r="B1832" s="178">
        <v>70387</v>
      </c>
      <c r="C1832" s="178" t="s">
        <v>4277</v>
      </c>
      <c r="D1832" s="575" t="s">
        <v>1608</v>
      </c>
      <c r="E1832" s="178" t="s">
        <v>266</v>
      </c>
      <c r="F1832" s="210" t="s">
        <v>5317</v>
      </c>
      <c r="G1832" s="58" t="s">
        <v>1107</v>
      </c>
      <c r="H1832" s="546">
        <v>7293.34</v>
      </c>
      <c r="I1832" s="66">
        <v>44848</v>
      </c>
      <c r="J1832" s="411" t="s">
        <v>5318</v>
      </c>
      <c r="K1832" s="58"/>
      <c r="L1832" s="99"/>
      <c r="M1832" s="70" t="s">
        <v>5244</v>
      </c>
      <c r="N1832" s="97" t="s">
        <v>970</v>
      </c>
      <c r="O1832" s="58" t="s">
        <v>971</v>
      </c>
      <c r="P1832" s="58" t="s">
        <v>38</v>
      </c>
      <c r="Q1832" s="58" t="s">
        <v>62</v>
      </c>
      <c r="R1832" s="58" t="s">
        <v>272</v>
      </c>
    </row>
    <row r="1833" spans="1:18" ht="69" customHeight="1">
      <c r="A1833" s="168"/>
      <c r="B1833" s="178">
        <v>6854</v>
      </c>
      <c r="C1833" s="178" t="s">
        <v>4277</v>
      </c>
      <c r="D1833" s="575" t="s">
        <v>5319</v>
      </c>
      <c r="E1833" s="178" t="s">
        <v>4173</v>
      </c>
      <c r="F1833" s="210" t="s">
        <v>5320</v>
      </c>
      <c r="G1833" s="58" t="s">
        <v>1048</v>
      </c>
      <c r="H1833" s="546">
        <v>47980</v>
      </c>
      <c r="I1833" s="66">
        <v>44834</v>
      </c>
      <c r="J1833" s="411" t="s">
        <v>4951</v>
      </c>
      <c r="K1833" s="58"/>
      <c r="L1833" s="99"/>
      <c r="M1833" s="70" t="s">
        <v>5271</v>
      </c>
      <c r="N1833" s="97" t="s">
        <v>414</v>
      </c>
      <c r="O1833" s="58"/>
      <c r="P1833" s="58" t="s">
        <v>22</v>
      </c>
      <c r="Q1833" s="58" t="s">
        <v>62</v>
      </c>
      <c r="R1833" s="58" t="s">
        <v>265</v>
      </c>
    </row>
    <row r="1834" spans="1:18" ht="69" customHeight="1">
      <c r="A1834" s="168"/>
      <c r="B1834" s="178">
        <v>4007</v>
      </c>
      <c r="C1834" s="178" t="s">
        <v>4277</v>
      </c>
      <c r="D1834" s="575" t="s">
        <v>5321</v>
      </c>
      <c r="E1834" s="178" t="s">
        <v>266</v>
      </c>
      <c r="F1834" s="210" t="s">
        <v>5322</v>
      </c>
      <c r="G1834" s="58" t="s">
        <v>1107</v>
      </c>
      <c r="H1834" s="546">
        <v>7293.34</v>
      </c>
      <c r="I1834" s="66">
        <v>44643</v>
      </c>
      <c r="J1834" s="411" t="s">
        <v>5323</v>
      </c>
      <c r="K1834" s="58"/>
      <c r="L1834" s="99"/>
      <c r="M1834" s="70" t="s">
        <v>5244</v>
      </c>
      <c r="N1834" s="97" t="s">
        <v>970</v>
      </c>
      <c r="O1834" s="58" t="s">
        <v>971</v>
      </c>
      <c r="P1834" s="58" t="s">
        <v>38</v>
      </c>
      <c r="Q1834" s="58" t="s">
        <v>62</v>
      </c>
      <c r="R1834" s="58" t="s">
        <v>272</v>
      </c>
    </row>
    <row r="1835" spans="1:18" ht="69" customHeight="1">
      <c r="A1835" s="168"/>
      <c r="B1835" s="191">
        <v>7547</v>
      </c>
      <c r="C1835" s="191" t="s">
        <v>4277</v>
      </c>
      <c r="D1835" s="533" t="s">
        <v>5324</v>
      </c>
      <c r="E1835" s="191" t="s">
        <v>4173</v>
      </c>
      <c r="F1835" s="211" t="s">
        <v>5325</v>
      </c>
      <c r="G1835" s="46" t="s">
        <v>3806</v>
      </c>
      <c r="H1835" s="534">
        <v>9500</v>
      </c>
      <c r="I1835" s="56">
        <v>44886</v>
      </c>
      <c r="J1835" s="412" t="s">
        <v>5004</v>
      </c>
      <c r="K1835" s="46" t="s">
        <v>881</v>
      </c>
      <c r="L1835" s="99"/>
      <c r="M1835" s="379"/>
      <c r="N1835" s="76" t="s">
        <v>414</v>
      </c>
      <c r="O1835" s="46"/>
      <c r="P1835" s="46" t="s">
        <v>71</v>
      </c>
      <c r="Q1835" s="46" t="s">
        <v>62</v>
      </c>
      <c r="R1835" s="46" t="s">
        <v>272</v>
      </c>
    </row>
    <row r="1836" spans="1:18" ht="69" customHeight="1">
      <c r="A1836" s="168"/>
      <c r="B1836" s="178">
        <v>7546</v>
      </c>
      <c r="C1836" s="178" t="s">
        <v>4277</v>
      </c>
      <c r="D1836" s="575" t="s">
        <v>3572</v>
      </c>
      <c r="E1836" s="178" t="s">
        <v>4173</v>
      </c>
      <c r="F1836" s="210" t="s">
        <v>5326</v>
      </c>
      <c r="G1836" s="58" t="s">
        <v>3806</v>
      </c>
      <c r="H1836" s="546">
        <v>17200</v>
      </c>
      <c r="I1836" s="66">
        <v>44886</v>
      </c>
      <c r="J1836" s="411" t="s">
        <v>5004</v>
      </c>
      <c r="K1836" s="58"/>
      <c r="L1836" s="99"/>
      <c r="M1836" s="70" t="s">
        <v>5271</v>
      </c>
      <c r="N1836" s="97" t="s">
        <v>414</v>
      </c>
      <c r="O1836" s="58"/>
      <c r="P1836" s="58" t="s">
        <v>22</v>
      </c>
      <c r="Q1836" s="58" t="s">
        <v>62</v>
      </c>
      <c r="R1836" s="58" t="s">
        <v>265</v>
      </c>
    </row>
    <row r="1837" spans="1:18" ht="69" customHeight="1">
      <c r="A1837" s="168"/>
      <c r="B1837" s="178">
        <v>7392</v>
      </c>
      <c r="C1837" s="178" t="s">
        <v>4277</v>
      </c>
      <c r="D1837" s="575" t="s">
        <v>5327</v>
      </c>
      <c r="E1837" s="178" t="s">
        <v>432</v>
      </c>
      <c r="F1837" s="210" t="s">
        <v>5328</v>
      </c>
      <c r="G1837" s="58" t="s">
        <v>1121</v>
      </c>
      <c r="H1837" s="546">
        <v>34317.03</v>
      </c>
      <c r="I1837" s="66">
        <v>44876</v>
      </c>
      <c r="J1837" s="411" t="s">
        <v>1122</v>
      </c>
      <c r="K1837" s="58"/>
      <c r="L1837" s="99"/>
      <c r="M1837" s="70" t="s">
        <v>5285</v>
      </c>
      <c r="N1837" s="97" t="s">
        <v>432</v>
      </c>
      <c r="O1837" s="58"/>
      <c r="P1837" s="58" t="s">
        <v>53</v>
      </c>
      <c r="Q1837" s="58" t="s">
        <v>62</v>
      </c>
      <c r="R1837" s="58" t="s">
        <v>272</v>
      </c>
    </row>
    <row r="1838" spans="1:18" ht="69" customHeight="1">
      <c r="A1838" s="168"/>
      <c r="B1838" s="178">
        <v>7312</v>
      </c>
      <c r="C1838" s="178" t="s">
        <v>5254</v>
      </c>
      <c r="D1838" s="575" t="s">
        <v>5329</v>
      </c>
      <c r="E1838" s="178" t="s">
        <v>2075</v>
      </c>
      <c r="F1838" s="210" t="s">
        <v>5330</v>
      </c>
      <c r="G1838" s="58" t="s">
        <v>1041</v>
      </c>
      <c r="H1838" s="546">
        <v>36040</v>
      </c>
      <c r="I1838" s="66">
        <v>44869</v>
      </c>
      <c r="J1838" s="411" t="s">
        <v>1113</v>
      </c>
      <c r="K1838" s="58" t="s">
        <v>5019</v>
      </c>
      <c r="L1838" s="99"/>
      <c r="M1838" s="70" t="s">
        <v>5257</v>
      </c>
      <c r="N1838" s="97" t="s">
        <v>1044</v>
      </c>
      <c r="O1838" s="58"/>
      <c r="P1838" s="58" t="s">
        <v>26</v>
      </c>
      <c r="Q1838" s="58" t="s">
        <v>62</v>
      </c>
      <c r="R1838" s="58" t="s">
        <v>272</v>
      </c>
    </row>
    <row r="1839" spans="1:18" ht="69" customHeight="1">
      <c r="A1839" s="168"/>
      <c r="B1839" s="178">
        <v>75814</v>
      </c>
      <c r="C1839" s="178" t="s">
        <v>5254</v>
      </c>
      <c r="D1839" s="575" t="s">
        <v>2344</v>
      </c>
      <c r="E1839" s="178" t="s">
        <v>2075</v>
      </c>
      <c r="F1839" s="210" t="s">
        <v>5331</v>
      </c>
      <c r="G1839" s="58" t="s">
        <v>1041</v>
      </c>
      <c r="H1839" s="546">
        <v>10610</v>
      </c>
      <c r="I1839" s="66">
        <v>44904</v>
      </c>
      <c r="J1839" s="411" t="s">
        <v>1080</v>
      </c>
      <c r="K1839" s="58"/>
      <c r="L1839" s="99"/>
      <c r="M1839" s="70" t="s">
        <v>5257</v>
      </c>
      <c r="N1839" s="97" t="s">
        <v>1044</v>
      </c>
      <c r="O1839" s="58"/>
      <c r="P1839" s="58" t="s">
        <v>26</v>
      </c>
      <c r="Q1839" s="58" t="s">
        <v>62</v>
      </c>
      <c r="R1839" s="58" t="s">
        <v>272</v>
      </c>
    </row>
    <row r="1840" spans="1:18" ht="69" customHeight="1">
      <c r="A1840" s="168"/>
      <c r="B1840" s="178">
        <v>7749</v>
      </c>
      <c r="C1840" s="178" t="s">
        <v>4277</v>
      </c>
      <c r="D1840" s="575" t="s">
        <v>2830</v>
      </c>
      <c r="E1840" s="178" t="s">
        <v>4173</v>
      </c>
      <c r="F1840" s="210" t="s">
        <v>5332</v>
      </c>
      <c r="G1840" s="58" t="s">
        <v>5026</v>
      </c>
      <c r="H1840" s="546">
        <v>100000</v>
      </c>
      <c r="I1840" s="66">
        <v>44907</v>
      </c>
      <c r="J1840" s="411" t="s">
        <v>5023</v>
      </c>
      <c r="K1840" s="58"/>
      <c r="L1840" s="99"/>
      <c r="M1840" s="70" t="s">
        <v>5271</v>
      </c>
      <c r="N1840" s="97" t="s">
        <v>414</v>
      </c>
      <c r="O1840" s="58"/>
      <c r="P1840" s="58" t="s">
        <v>22</v>
      </c>
      <c r="Q1840" s="58" t="s">
        <v>62</v>
      </c>
      <c r="R1840" s="58" t="s">
        <v>265</v>
      </c>
    </row>
    <row r="1841" spans="1:18" ht="69" customHeight="1">
      <c r="A1841" s="168"/>
      <c r="B1841" s="178"/>
      <c r="C1841" s="178" t="s">
        <v>5309</v>
      </c>
      <c r="D1841" s="575"/>
      <c r="E1841" s="178" t="s">
        <v>4173</v>
      </c>
      <c r="F1841" s="210" t="s">
        <v>5320</v>
      </c>
      <c r="G1841" s="58" t="s">
        <v>5333</v>
      </c>
      <c r="H1841" s="546">
        <v>15553.5</v>
      </c>
      <c r="I1841" s="66">
        <v>44839</v>
      </c>
      <c r="J1841" s="411"/>
      <c r="K1841" s="58"/>
      <c r="L1841" s="99"/>
      <c r="M1841" s="70" t="s">
        <v>5271</v>
      </c>
      <c r="N1841" s="97" t="s">
        <v>414</v>
      </c>
      <c r="O1841" s="58"/>
      <c r="P1841" s="58" t="s">
        <v>22</v>
      </c>
      <c r="Q1841" s="58" t="s">
        <v>62</v>
      </c>
      <c r="R1841" s="58" t="s">
        <v>265</v>
      </c>
    </row>
    <row r="1842" spans="1:18" ht="69" customHeight="1">
      <c r="A1842" s="168"/>
      <c r="B1842" s="178">
        <v>8237</v>
      </c>
      <c r="C1842" s="178" t="s">
        <v>4277</v>
      </c>
      <c r="D1842" s="575" t="s">
        <v>5334</v>
      </c>
      <c r="E1842" s="178" t="s">
        <v>4173</v>
      </c>
      <c r="F1842" s="210" t="s">
        <v>5335</v>
      </c>
      <c r="G1842" s="58" t="s">
        <v>5336</v>
      </c>
      <c r="H1842" s="546">
        <v>5300</v>
      </c>
      <c r="I1842" s="66">
        <v>44921</v>
      </c>
      <c r="J1842" s="411" t="s">
        <v>5043</v>
      </c>
      <c r="K1842" s="58"/>
      <c r="L1842" s="99"/>
      <c r="M1842" s="70" t="s">
        <v>5271</v>
      </c>
      <c r="N1842" s="97" t="s">
        <v>414</v>
      </c>
      <c r="O1842" s="58"/>
      <c r="P1842" s="58" t="s">
        <v>22</v>
      </c>
      <c r="Q1842" s="58" t="s">
        <v>62</v>
      </c>
      <c r="R1842" s="58" t="s">
        <v>265</v>
      </c>
    </row>
    <row r="1843" spans="1:18" ht="69" customHeight="1">
      <c r="A1843" s="168"/>
      <c r="B1843" s="178">
        <v>8238</v>
      </c>
      <c r="C1843" s="178" t="s">
        <v>4277</v>
      </c>
      <c r="D1843" s="575" t="s">
        <v>5337</v>
      </c>
      <c r="E1843" s="178" t="s">
        <v>4173</v>
      </c>
      <c r="F1843" s="210" t="s">
        <v>5338</v>
      </c>
      <c r="G1843" s="58" t="s">
        <v>1149</v>
      </c>
      <c r="H1843" s="546">
        <v>11195.25</v>
      </c>
      <c r="I1843" s="66">
        <v>44565</v>
      </c>
      <c r="J1843" s="411" t="s">
        <v>5043</v>
      </c>
      <c r="K1843" s="58"/>
      <c r="L1843" s="99"/>
      <c r="M1843" s="70" t="s">
        <v>5271</v>
      </c>
      <c r="N1843" s="97" t="s">
        <v>414</v>
      </c>
      <c r="O1843" s="58"/>
      <c r="P1843" s="58" t="s">
        <v>22</v>
      </c>
      <c r="Q1843" s="58" t="s">
        <v>62</v>
      </c>
      <c r="R1843" s="58" t="s">
        <v>265</v>
      </c>
    </row>
    <row r="1844" spans="1:18" ht="69" customHeight="1">
      <c r="A1844" s="168"/>
      <c r="B1844" s="178">
        <v>8239</v>
      </c>
      <c r="C1844" s="178" t="s">
        <v>4277</v>
      </c>
      <c r="D1844" s="575" t="s">
        <v>5339</v>
      </c>
      <c r="E1844" s="178" t="s">
        <v>4173</v>
      </c>
      <c r="F1844" s="210" t="s">
        <v>5340</v>
      </c>
      <c r="G1844" s="58" t="s">
        <v>1149</v>
      </c>
      <c r="H1844" s="546">
        <v>4910.68</v>
      </c>
      <c r="I1844" s="66">
        <v>44565</v>
      </c>
      <c r="J1844" s="411" t="s">
        <v>5043</v>
      </c>
      <c r="K1844" s="58"/>
      <c r="L1844" s="99"/>
      <c r="M1844" s="70" t="s">
        <v>5271</v>
      </c>
      <c r="N1844" s="97" t="s">
        <v>414</v>
      </c>
      <c r="O1844" s="58"/>
      <c r="P1844" s="58" t="s">
        <v>22</v>
      </c>
      <c r="Q1844" s="58" t="s">
        <v>62</v>
      </c>
      <c r="R1844" s="58" t="s">
        <v>265</v>
      </c>
    </row>
    <row r="1845" spans="1:18" ht="69" customHeight="1">
      <c r="A1845" s="168"/>
      <c r="B1845" s="178">
        <v>8300</v>
      </c>
      <c r="C1845" s="178" t="s">
        <v>4277</v>
      </c>
      <c r="D1845" s="575" t="s">
        <v>2849</v>
      </c>
      <c r="E1845" s="178" t="s">
        <v>4173</v>
      </c>
      <c r="F1845" s="210" t="s">
        <v>5341</v>
      </c>
      <c r="G1845" s="58" t="s">
        <v>3860</v>
      </c>
      <c r="H1845" s="546">
        <v>17200</v>
      </c>
      <c r="I1845" s="66">
        <v>44921</v>
      </c>
      <c r="J1845" s="411" t="s">
        <v>5047</v>
      </c>
      <c r="K1845" s="58"/>
      <c r="L1845" s="99"/>
      <c r="M1845" s="70" t="s">
        <v>5271</v>
      </c>
      <c r="N1845" s="97" t="s">
        <v>414</v>
      </c>
      <c r="O1845" s="58"/>
      <c r="P1845" s="58" t="s">
        <v>22</v>
      </c>
      <c r="Q1845" s="58" t="s">
        <v>62</v>
      </c>
      <c r="R1845" s="58" t="s">
        <v>265</v>
      </c>
    </row>
    <row r="1846" spans="1:18" ht="69" customHeight="1">
      <c r="A1846" s="168"/>
      <c r="B1846" s="191">
        <v>8301</v>
      </c>
      <c r="C1846" s="191" t="s">
        <v>4277</v>
      </c>
      <c r="D1846" s="533" t="s">
        <v>2616</v>
      </c>
      <c r="E1846" s="191" t="s">
        <v>4173</v>
      </c>
      <c r="F1846" s="211" t="s">
        <v>5342</v>
      </c>
      <c r="G1846" s="46" t="s">
        <v>3860</v>
      </c>
      <c r="H1846" s="534">
        <v>9500</v>
      </c>
      <c r="I1846" s="56">
        <v>44826</v>
      </c>
      <c r="J1846" s="412" t="s">
        <v>5047</v>
      </c>
      <c r="K1846" s="46" t="s">
        <v>881</v>
      </c>
      <c r="L1846" s="99"/>
      <c r="M1846" s="379"/>
      <c r="N1846" s="76" t="s">
        <v>414</v>
      </c>
      <c r="O1846" s="46"/>
      <c r="P1846" s="46" t="s">
        <v>71</v>
      </c>
      <c r="Q1846" s="46" t="s">
        <v>62</v>
      </c>
      <c r="R1846" s="46" t="s">
        <v>272</v>
      </c>
    </row>
    <row r="1847" spans="1:18" ht="69" customHeight="1">
      <c r="A1847" s="168"/>
      <c r="B1847" s="178">
        <v>8377</v>
      </c>
      <c r="C1847" s="178" t="s">
        <v>4277</v>
      </c>
      <c r="D1847" s="575" t="s">
        <v>5343</v>
      </c>
      <c r="E1847" s="178" t="s">
        <v>4173</v>
      </c>
      <c r="F1847" s="210" t="s">
        <v>5344</v>
      </c>
      <c r="G1847" s="58" t="s">
        <v>3866</v>
      </c>
      <c r="H1847" s="546">
        <v>43236</v>
      </c>
      <c r="I1847" s="66">
        <v>44923</v>
      </c>
      <c r="J1847" s="411" t="s">
        <v>5066</v>
      </c>
      <c r="K1847" s="58"/>
      <c r="L1847" s="99"/>
      <c r="M1847" s="70" t="s">
        <v>5271</v>
      </c>
      <c r="N1847" s="97" t="s">
        <v>414</v>
      </c>
      <c r="O1847" s="58"/>
      <c r="P1847" s="58" t="s">
        <v>22</v>
      </c>
      <c r="Q1847" s="58" t="s">
        <v>62</v>
      </c>
      <c r="R1847" s="58" t="s">
        <v>265</v>
      </c>
    </row>
    <row r="1848" spans="1:18" ht="69" customHeight="1">
      <c r="A1848" s="168"/>
      <c r="B1848" s="178">
        <v>8441</v>
      </c>
      <c r="C1848" s="178" t="s">
        <v>4277</v>
      </c>
      <c r="D1848" s="575" t="s">
        <v>2386</v>
      </c>
      <c r="E1848" s="178" t="s">
        <v>3825</v>
      </c>
      <c r="F1848" s="210" t="s">
        <v>5345</v>
      </c>
      <c r="G1848" s="58" t="s">
        <v>5346</v>
      </c>
      <c r="H1848" s="546">
        <v>37674</v>
      </c>
      <c r="I1848" s="66">
        <v>44932</v>
      </c>
      <c r="J1848" s="411" t="s">
        <v>5081</v>
      </c>
      <c r="K1848" s="58"/>
      <c r="L1848" s="99"/>
      <c r="M1848" s="70" t="s">
        <v>5275</v>
      </c>
      <c r="N1848" s="97" t="s">
        <v>414</v>
      </c>
      <c r="O1848" s="58"/>
      <c r="P1848" s="58" t="s">
        <v>22</v>
      </c>
      <c r="Q1848" s="58" t="s">
        <v>62</v>
      </c>
      <c r="R1848" s="58" t="s">
        <v>272</v>
      </c>
    </row>
    <row r="1849" spans="1:18" ht="69" customHeight="1">
      <c r="A1849" s="168"/>
      <c r="B1849" s="178">
        <v>8553</v>
      </c>
      <c r="C1849" s="178" t="s">
        <v>5189</v>
      </c>
      <c r="D1849" s="575" t="s">
        <v>2887</v>
      </c>
      <c r="E1849" s="178" t="s">
        <v>1044</v>
      </c>
      <c r="F1849" s="210" t="s">
        <v>5347</v>
      </c>
      <c r="G1849" s="58" t="s">
        <v>1877</v>
      </c>
      <c r="H1849" s="546">
        <v>31487.4</v>
      </c>
      <c r="I1849" s="66">
        <v>44946</v>
      </c>
      <c r="J1849" s="411" t="s">
        <v>1878</v>
      </c>
      <c r="K1849" s="58"/>
      <c r="L1849" s="99"/>
      <c r="M1849" s="70" t="s">
        <v>5257</v>
      </c>
      <c r="N1849" s="97" t="s">
        <v>1044</v>
      </c>
      <c r="O1849" s="58"/>
      <c r="P1849" s="58" t="s">
        <v>26</v>
      </c>
      <c r="Q1849" s="58" t="s">
        <v>62</v>
      </c>
      <c r="R1849" s="58" t="s">
        <v>272</v>
      </c>
    </row>
    <row r="1850" spans="1:18" ht="69" customHeight="1">
      <c r="A1850" s="168"/>
      <c r="B1850" s="191">
        <v>8461</v>
      </c>
      <c r="C1850" s="191" t="s">
        <v>4277</v>
      </c>
      <c r="D1850" s="533" t="s">
        <v>3318</v>
      </c>
      <c r="E1850" s="191" t="s">
        <v>5084</v>
      </c>
      <c r="F1850" s="211" t="s">
        <v>5348</v>
      </c>
      <c r="G1850" s="46" t="s">
        <v>4261</v>
      </c>
      <c r="H1850" s="534">
        <v>19822.650000000001</v>
      </c>
      <c r="I1850" s="56">
        <v>44932</v>
      </c>
      <c r="J1850" s="412" t="s">
        <v>5086</v>
      </c>
      <c r="K1850" s="46" t="s">
        <v>881</v>
      </c>
      <c r="L1850" s="99"/>
      <c r="M1850" s="379"/>
      <c r="N1850" s="76" t="s">
        <v>414</v>
      </c>
      <c r="O1850" s="46"/>
      <c r="P1850" s="46" t="s">
        <v>65</v>
      </c>
      <c r="Q1850" s="46" t="s">
        <v>62</v>
      </c>
      <c r="R1850" s="46" t="s">
        <v>272</v>
      </c>
    </row>
    <row r="1851" spans="1:18" ht="69" customHeight="1">
      <c r="A1851" s="168"/>
      <c r="B1851" s="178">
        <v>8741</v>
      </c>
      <c r="C1851" s="178" t="s">
        <v>4277</v>
      </c>
      <c r="D1851" s="575" t="s">
        <v>5349</v>
      </c>
      <c r="E1851" s="178" t="s">
        <v>4173</v>
      </c>
      <c r="F1851" s="210" t="s">
        <v>5350</v>
      </c>
      <c r="G1851" s="58" t="s">
        <v>5351</v>
      </c>
      <c r="H1851" s="546">
        <v>4834</v>
      </c>
      <c r="I1851" s="66">
        <v>44951</v>
      </c>
      <c r="J1851" s="411" t="s">
        <v>5352</v>
      </c>
      <c r="K1851" s="58"/>
      <c r="L1851" s="99"/>
      <c r="M1851" s="70" t="s">
        <v>5271</v>
      </c>
      <c r="N1851" s="97" t="s">
        <v>414</v>
      </c>
      <c r="O1851" s="58"/>
      <c r="P1851" s="58" t="s">
        <v>22</v>
      </c>
      <c r="Q1851" s="58" t="s">
        <v>62</v>
      </c>
      <c r="R1851" s="58" t="s">
        <v>265</v>
      </c>
    </row>
    <row r="1852" spans="1:18" ht="69" customHeight="1">
      <c r="A1852" s="168"/>
      <c r="B1852" s="178">
        <v>8742</v>
      </c>
      <c r="C1852" s="178" t="s">
        <v>4277</v>
      </c>
      <c r="D1852" s="575" t="s">
        <v>5353</v>
      </c>
      <c r="E1852" s="178" t="s">
        <v>4173</v>
      </c>
      <c r="F1852" s="210" t="s">
        <v>5354</v>
      </c>
      <c r="G1852" s="58" t="s">
        <v>5351</v>
      </c>
      <c r="H1852" s="546">
        <v>8244.7000000000007</v>
      </c>
      <c r="I1852" s="66">
        <v>44951</v>
      </c>
      <c r="J1852" s="411" t="s">
        <v>4280</v>
      </c>
      <c r="K1852" s="58"/>
      <c r="L1852" s="99"/>
      <c r="M1852" s="70" t="s">
        <v>5271</v>
      </c>
      <c r="N1852" s="97" t="s">
        <v>414</v>
      </c>
      <c r="O1852" s="58"/>
      <c r="P1852" s="58" t="s">
        <v>22</v>
      </c>
      <c r="Q1852" s="58" t="s">
        <v>62</v>
      </c>
      <c r="R1852" s="58" t="s">
        <v>265</v>
      </c>
    </row>
    <row r="1853" spans="1:18" ht="69" customHeight="1">
      <c r="A1853" s="168"/>
      <c r="B1853" s="178">
        <v>8743</v>
      </c>
      <c r="C1853" s="178" t="s">
        <v>4277</v>
      </c>
      <c r="D1853" s="575" t="s">
        <v>5355</v>
      </c>
      <c r="E1853" s="178" t="s">
        <v>4173</v>
      </c>
      <c r="F1853" s="210" t="s">
        <v>5356</v>
      </c>
      <c r="G1853" s="58" t="s">
        <v>5357</v>
      </c>
      <c r="H1853" s="546">
        <v>6000</v>
      </c>
      <c r="I1853" s="66">
        <v>44951</v>
      </c>
      <c r="J1853" s="411" t="s">
        <v>4280</v>
      </c>
      <c r="K1853" s="58"/>
      <c r="L1853" s="99"/>
      <c r="M1853" s="70" t="s">
        <v>5271</v>
      </c>
      <c r="N1853" s="97" t="s">
        <v>414</v>
      </c>
      <c r="O1853" s="58"/>
      <c r="P1853" s="58" t="s">
        <v>22</v>
      </c>
      <c r="Q1853" s="58" t="s">
        <v>62</v>
      </c>
      <c r="R1853" s="58" t="s">
        <v>265</v>
      </c>
    </row>
    <row r="1854" spans="1:18" ht="69" customHeight="1">
      <c r="A1854" s="168"/>
      <c r="B1854" s="178">
        <v>8744</v>
      </c>
      <c r="C1854" s="178" t="s">
        <v>4277</v>
      </c>
      <c r="D1854" s="575" t="s">
        <v>5358</v>
      </c>
      <c r="E1854" s="178" t="s">
        <v>4173</v>
      </c>
      <c r="F1854" s="210" t="s">
        <v>5359</v>
      </c>
      <c r="G1854" s="58" t="s">
        <v>4279</v>
      </c>
      <c r="H1854" s="546">
        <v>14920</v>
      </c>
      <c r="I1854" s="66">
        <v>44951</v>
      </c>
      <c r="J1854" s="411" t="s">
        <v>4280</v>
      </c>
      <c r="K1854" s="58"/>
      <c r="L1854" s="99"/>
      <c r="M1854" s="70" t="s">
        <v>5271</v>
      </c>
      <c r="N1854" s="97" t="s">
        <v>414</v>
      </c>
      <c r="O1854" s="58"/>
      <c r="P1854" s="58" t="s">
        <v>22</v>
      </c>
      <c r="Q1854" s="58" t="s">
        <v>62</v>
      </c>
      <c r="R1854" s="58" t="s">
        <v>265</v>
      </c>
    </row>
    <row r="1855" spans="1:18" ht="69" customHeight="1">
      <c r="A1855" s="168"/>
      <c r="B1855" s="178">
        <v>8745</v>
      </c>
      <c r="C1855" s="178" t="s">
        <v>4277</v>
      </c>
      <c r="D1855" s="575" t="s">
        <v>5360</v>
      </c>
      <c r="E1855" s="178" t="s">
        <v>4173</v>
      </c>
      <c r="F1855" s="210" t="s">
        <v>5361</v>
      </c>
      <c r="G1855" s="58" t="s">
        <v>5351</v>
      </c>
      <c r="H1855" s="546">
        <v>3986.05</v>
      </c>
      <c r="I1855" s="66">
        <v>44951</v>
      </c>
      <c r="J1855" s="411" t="s">
        <v>4280</v>
      </c>
      <c r="K1855" s="58"/>
      <c r="L1855" s="99"/>
      <c r="M1855" s="70" t="s">
        <v>5271</v>
      </c>
      <c r="N1855" s="97" t="s">
        <v>414</v>
      </c>
      <c r="O1855" s="58"/>
      <c r="P1855" s="58" t="s">
        <v>22</v>
      </c>
      <c r="Q1855" s="58" t="s">
        <v>62</v>
      </c>
      <c r="R1855" s="58" t="s">
        <v>265</v>
      </c>
    </row>
    <row r="1856" spans="1:18" ht="69" customHeight="1">
      <c r="A1856" s="168"/>
      <c r="B1856" s="178">
        <v>8746</v>
      </c>
      <c r="C1856" s="178" t="s">
        <v>4277</v>
      </c>
      <c r="D1856" s="575" t="s">
        <v>5362</v>
      </c>
      <c r="E1856" s="178" t="s">
        <v>4173</v>
      </c>
      <c r="F1856" s="210" t="s">
        <v>5363</v>
      </c>
      <c r="G1856" s="58" t="s">
        <v>5351</v>
      </c>
      <c r="H1856" s="546">
        <v>14248</v>
      </c>
      <c r="I1856" s="66">
        <v>44971</v>
      </c>
      <c r="J1856" s="411" t="s">
        <v>4280</v>
      </c>
      <c r="K1856" s="58"/>
      <c r="L1856" s="99"/>
      <c r="M1856" s="70" t="s">
        <v>5271</v>
      </c>
      <c r="N1856" s="97" t="s">
        <v>414</v>
      </c>
      <c r="O1856" s="58"/>
      <c r="P1856" s="58" t="s">
        <v>22</v>
      </c>
      <c r="Q1856" s="58" t="s">
        <v>62</v>
      </c>
      <c r="R1856" s="58" t="s">
        <v>265</v>
      </c>
    </row>
    <row r="1857" spans="1:18" ht="69" customHeight="1">
      <c r="A1857" s="168"/>
      <c r="B1857" s="178">
        <v>8747</v>
      </c>
      <c r="C1857" s="178" t="s">
        <v>4277</v>
      </c>
      <c r="D1857" s="575" t="s">
        <v>5364</v>
      </c>
      <c r="E1857" s="178" t="s">
        <v>4173</v>
      </c>
      <c r="F1857" s="210" t="s">
        <v>5365</v>
      </c>
      <c r="G1857" s="58" t="s">
        <v>4279</v>
      </c>
      <c r="H1857" s="546">
        <v>14004</v>
      </c>
      <c r="I1857" s="66">
        <v>44951</v>
      </c>
      <c r="J1857" s="411" t="s">
        <v>4280</v>
      </c>
      <c r="K1857" s="58"/>
      <c r="L1857" s="99"/>
      <c r="M1857" s="70" t="s">
        <v>5271</v>
      </c>
      <c r="N1857" s="97" t="s">
        <v>414</v>
      </c>
      <c r="O1857" s="58"/>
      <c r="P1857" s="58" t="s">
        <v>22</v>
      </c>
      <c r="Q1857" s="58" t="s">
        <v>62</v>
      </c>
      <c r="R1857" s="58" t="s">
        <v>265</v>
      </c>
    </row>
    <row r="1858" spans="1:18" ht="69" customHeight="1">
      <c r="A1858" s="168"/>
      <c r="B1858" s="178">
        <v>8748</v>
      </c>
      <c r="C1858" s="178" t="s">
        <v>4277</v>
      </c>
      <c r="D1858" s="575"/>
      <c r="E1858" s="178" t="s">
        <v>4173</v>
      </c>
      <c r="F1858" s="210" t="s">
        <v>5366</v>
      </c>
      <c r="G1858" s="58" t="s">
        <v>4279</v>
      </c>
      <c r="H1858" s="546">
        <v>4672.5</v>
      </c>
      <c r="I1858" s="66">
        <v>44951</v>
      </c>
      <c r="J1858" s="411" t="s">
        <v>4280</v>
      </c>
      <c r="K1858" s="58"/>
      <c r="L1858" s="99"/>
      <c r="M1858" s="70" t="s">
        <v>5271</v>
      </c>
      <c r="N1858" s="97" t="s">
        <v>414</v>
      </c>
      <c r="O1858" s="58"/>
      <c r="P1858" s="58" t="s">
        <v>22</v>
      </c>
      <c r="Q1858" s="58" t="s">
        <v>62</v>
      </c>
      <c r="R1858" s="58" t="s">
        <v>265</v>
      </c>
    </row>
    <row r="1859" spans="1:18" ht="69" customHeight="1">
      <c r="A1859" s="168"/>
      <c r="B1859" s="178">
        <v>8756</v>
      </c>
      <c r="C1859" s="178" t="s">
        <v>4277</v>
      </c>
      <c r="D1859" s="575" t="s">
        <v>5367</v>
      </c>
      <c r="E1859" s="178" t="s">
        <v>4173</v>
      </c>
      <c r="F1859" s="210" t="s">
        <v>5368</v>
      </c>
      <c r="G1859" s="58" t="s">
        <v>3931</v>
      </c>
      <c r="H1859" s="546">
        <v>4891</v>
      </c>
      <c r="I1859" s="66">
        <v>44969</v>
      </c>
      <c r="J1859" s="411" t="s">
        <v>5369</v>
      </c>
      <c r="K1859" s="58"/>
      <c r="L1859" s="99"/>
      <c r="M1859" s="70" t="s">
        <v>5271</v>
      </c>
      <c r="N1859" s="97" t="s">
        <v>414</v>
      </c>
      <c r="O1859" s="58"/>
      <c r="P1859" s="58" t="s">
        <v>22</v>
      </c>
      <c r="Q1859" s="58" t="s">
        <v>62</v>
      </c>
      <c r="R1859" s="58" t="s">
        <v>265</v>
      </c>
    </row>
    <row r="1860" spans="1:18" ht="69" customHeight="1">
      <c r="A1860" s="168"/>
      <c r="B1860" s="178">
        <v>8757</v>
      </c>
      <c r="C1860" s="178" t="s">
        <v>4277</v>
      </c>
      <c r="D1860" s="575" t="s">
        <v>5370</v>
      </c>
      <c r="E1860" s="178" t="s">
        <v>4173</v>
      </c>
      <c r="F1860" s="210" t="s">
        <v>5371</v>
      </c>
      <c r="G1860" s="58" t="s">
        <v>3931</v>
      </c>
      <c r="H1860" s="546">
        <v>100000</v>
      </c>
      <c r="I1860" s="66">
        <v>44953</v>
      </c>
      <c r="J1860" s="411" t="s">
        <v>5369</v>
      </c>
      <c r="K1860" s="58"/>
      <c r="L1860" s="99"/>
      <c r="M1860" s="70" t="s">
        <v>5271</v>
      </c>
      <c r="N1860" s="97" t="s">
        <v>414</v>
      </c>
      <c r="O1860" s="58"/>
      <c r="P1860" s="58" t="s">
        <v>22</v>
      </c>
      <c r="Q1860" s="58" t="s">
        <v>62</v>
      </c>
      <c r="R1860" s="58" t="s">
        <v>265</v>
      </c>
    </row>
    <row r="1861" spans="1:18" ht="69" customHeight="1">
      <c r="A1861" s="168"/>
      <c r="B1861" s="178">
        <v>8758</v>
      </c>
      <c r="C1861" s="178" t="s">
        <v>4277</v>
      </c>
      <c r="D1861" s="575" t="s">
        <v>5372</v>
      </c>
      <c r="E1861" s="178" t="s">
        <v>4173</v>
      </c>
      <c r="F1861" s="210" t="s">
        <v>5373</v>
      </c>
      <c r="G1861" s="58" t="s">
        <v>5374</v>
      </c>
      <c r="H1861" s="546">
        <v>4900</v>
      </c>
      <c r="I1861" s="66">
        <v>44953</v>
      </c>
      <c r="J1861" s="411" t="s">
        <v>5369</v>
      </c>
      <c r="K1861" s="58"/>
      <c r="L1861" s="99"/>
      <c r="M1861" s="70" t="s">
        <v>5271</v>
      </c>
      <c r="N1861" s="97" t="s">
        <v>414</v>
      </c>
      <c r="O1861" s="58"/>
      <c r="P1861" s="58" t="s">
        <v>22</v>
      </c>
      <c r="Q1861" s="58" t="s">
        <v>62</v>
      </c>
      <c r="R1861" s="58" t="s">
        <v>265</v>
      </c>
    </row>
    <row r="1862" spans="1:18" ht="69" customHeight="1">
      <c r="A1862" s="168"/>
      <c r="B1862" s="178">
        <v>8760</v>
      </c>
      <c r="C1862" s="178" t="s">
        <v>4277</v>
      </c>
      <c r="D1862" s="575" t="s">
        <v>5375</v>
      </c>
      <c r="E1862" s="178" t="s">
        <v>4173</v>
      </c>
      <c r="F1862" s="210" t="s">
        <v>5376</v>
      </c>
      <c r="G1862" s="58" t="s">
        <v>5351</v>
      </c>
      <c r="H1862" s="546">
        <v>9163</v>
      </c>
      <c r="I1862" s="66">
        <v>44971</v>
      </c>
      <c r="J1862" s="411" t="s">
        <v>5377</v>
      </c>
      <c r="K1862" s="58"/>
      <c r="L1862" s="99"/>
      <c r="M1862" s="70" t="s">
        <v>5271</v>
      </c>
      <c r="N1862" s="97" t="s">
        <v>414</v>
      </c>
      <c r="O1862" s="58"/>
      <c r="P1862" s="58" t="s">
        <v>22</v>
      </c>
      <c r="Q1862" s="58" t="s">
        <v>62</v>
      </c>
      <c r="R1862" s="58" t="s">
        <v>265</v>
      </c>
    </row>
    <row r="1863" spans="1:18" ht="69" customHeight="1">
      <c r="A1863" s="168"/>
      <c r="B1863" s="178">
        <v>8761</v>
      </c>
      <c r="C1863" s="178" t="s">
        <v>4277</v>
      </c>
      <c r="D1863" s="575" t="s">
        <v>5378</v>
      </c>
      <c r="E1863" s="178" t="s">
        <v>4173</v>
      </c>
      <c r="F1863" s="210" t="s">
        <v>5379</v>
      </c>
      <c r="G1863" s="58" t="s">
        <v>5351</v>
      </c>
      <c r="H1863" s="546">
        <v>7163</v>
      </c>
      <c r="I1863" s="66">
        <v>44971</v>
      </c>
      <c r="J1863" s="411" t="s">
        <v>5377</v>
      </c>
      <c r="K1863" s="58"/>
      <c r="L1863" s="99"/>
      <c r="M1863" s="70" t="s">
        <v>5271</v>
      </c>
      <c r="N1863" s="97" t="s">
        <v>414</v>
      </c>
      <c r="O1863" s="58"/>
      <c r="P1863" s="58" t="s">
        <v>22</v>
      </c>
      <c r="Q1863" s="58" t="s">
        <v>62</v>
      </c>
      <c r="R1863" s="58" t="s">
        <v>265</v>
      </c>
    </row>
    <row r="1864" spans="1:18" ht="69" customHeight="1">
      <c r="A1864" s="168"/>
      <c r="B1864" s="178">
        <v>8762</v>
      </c>
      <c r="C1864" s="178" t="s">
        <v>4277</v>
      </c>
      <c r="D1864" s="575" t="s">
        <v>5380</v>
      </c>
      <c r="E1864" s="178" t="s">
        <v>4173</v>
      </c>
      <c r="F1864" s="210" t="s">
        <v>5381</v>
      </c>
      <c r="G1864" s="58" t="s">
        <v>5351</v>
      </c>
      <c r="H1864" s="546">
        <v>7057.46</v>
      </c>
      <c r="I1864" s="66">
        <v>44953</v>
      </c>
      <c r="J1864" s="411" t="s">
        <v>5377</v>
      </c>
      <c r="K1864" s="58"/>
      <c r="L1864" s="99"/>
      <c r="M1864" s="70" t="s">
        <v>5271</v>
      </c>
      <c r="N1864" s="97" t="s">
        <v>414</v>
      </c>
      <c r="O1864" s="58"/>
      <c r="P1864" s="58" t="s">
        <v>22</v>
      </c>
      <c r="Q1864" s="58" t="s">
        <v>62</v>
      </c>
      <c r="R1864" s="58" t="s">
        <v>265</v>
      </c>
    </row>
    <row r="1865" spans="1:18" ht="69" customHeight="1">
      <c r="A1865" s="168"/>
      <c r="B1865" s="178">
        <v>8770</v>
      </c>
      <c r="C1865" s="178" t="s">
        <v>4277</v>
      </c>
      <c r="D1865" s="575" t="s">
        <v>5382</v>
      </c>
      <c r="E1865" s="178" t="s">
        <v>4173</v>
      </c>
      <c r="F1865" s="210" t="s">
        <v>5383</v>
      </c>
      <c r="G1865" s="58" t="s">
        <v>5384</v>
      </c>
      <c r="H1865" s="546">
        <v>12700</v>
      </c>
      <c r="I1865" s="66">
        <v>44953</v>
      </c>
      <c r="J1865" s="411" t="s">
        <v>5385</v>
      </c>
      <c r="K1865" s="58"/>
      <c r="L1865" s="99"/>
      <c r="M1865" s="70" t="s">
        <v>5271</v>
      </c>
      <c r="N1865" s="97" t="s">
        <v>414</v>
      </c>
      <c r="O1865" s="58"/>
      <c r="P1865" s="58" t="s">
        <v>22</v>
      </c>
      <c r="Q1865" s="58" t="s">
        <v>62</v>
      </c>
      <c r="R1865" s="58" t="s">
        <v>265</v>
      </c>
    </row>
    <row r="1866" spans="1:18" ht="69" customHeight="1">
      <c r="A1866" s="168"/>
      <c r="B1866" s="178">
        <v>8706</v>
      </c>
      <c r="C1866" s="178" t="s">
        <v>4277</v>
      </c>
      <c r="D1866" s="575" t="s">
        <v>5386</v>
      </c>
      <c r="E1866" s="178" t="s">
        <v>4173</v>
      </c>
      <c r="F1866" s="210" t="s">
        <v>5387</v>
      </c>
      <c r="G1866" s="58" t="s">
        <v>5388</v>
      </c>
      <c r="H1866" s="546">
        <v>100000</v>
      </c>
      <c r="I1866" s="66">
        <v>44949</v>
      </c>
      <c r="J1866" s="411" t="s">
        <v>5389</v>
      </c>
      <c r="K1866" s="58"/>
      <c r="L1866" s="99"/>
      <c r="M1866" s="70" t="s">
        <v>5271</v>
      </c>
      <c r="N1866" s="97" t="s">
        <v>414</v>
      </c>
      <c r="O1866" s="58"/>
      <c r="P1866" s="58" t="s">
        <v>22</v>
      </c>
      <c r="Q1866" s="58" t="s">
        <v>62</v>
      </c>
      <c r="R1866" s="58" t="s">
        <v>265</v>
      </c>
    </row>
    <row r="1867" spans="1:18" ht="69" customHeight="1">
      <c r="A1867" s="168"/>
      <c r="B1867" s="178">
        <v>8526</v>
      </c>
      <c r="C1867" s="178" t="s">
        <v>4277</v>
      </c>
      <c r="D1867" s="575" t="s">
        <v>3322</v>
      </c>
      <c r="E1867" s="178" t="s">
        <v>4173</v>
      </c>
      <c r="F1867" s="210" t="s">
        <v>5390</v>
      </c>
      <c r="G1867" s="58" t="s">
        <v>3874</v>
      </c>
      <c r="H1867" s="546">
        <v>15000</v>
      </c>
      <c r="I1867" s="66">
        <v>44939</v>
      </c>
      <c r="J1867" s="411" t="s">
        <v>5088</v>
      </c>
      <c r="K1867" s="58"/>
      <c r="L1867" s="99"/>
      <c r="M1867" s="70" t="s">
        <v>4884</v>
      </c>
      <c r="N1867" s="97" t="s">
        <v>414</v>
      </c>
      <c r="O1867" s="58"/>
      <c r="P1867" s="58" t="s">
        <v>22</v>
      </c>
      <c r="Q1867" s="58" t="s">
        <v>60</v>
      </c>
      <c r="R1867" s="58" t="s">
        <v>265</v>
      </c>
    </row>
    <row r="1868" spans="1:18" ht="69" customHeight="1">
      <c r="A1868" s="168"/>
      <c r="B1868" s="178">
        <v>8528</v>
      </c>
      <c r="C1868" s="178" t="s">
        <v>4277</v>
      </c>
      <c r="D1868" s="575" t="s">
        <v>5391</v>
      </c>
      <c r="E1868" s="178" t="s">
        <v>4173</v>
      </c>
      <c r="F1868" s="210" t="s">
        <v>5392</v>
      </c>
      <c r="G1868" s="58" t="s">
        <v>3874</v>
      </c>
      <c r="H1868" s="546">
        <v>15000</v>
      </c>
      <c r="I1868" s="66">
        <v>44939</v>
      </c>
      <c r="J1868" s="411" t="s">
        <v>5088</v>
      </c>
      <c r="K1868" s="58"/>
      <c r="L1868" s="99"/>
      <c r="M1868" s="70" t="s">
        <v>5271</v>
      </c>
      <c r="N1868" s="97" t="s">
        <v>414</v>
      </c>
      <c r="O1868" s="58"/>
      <c r="P1868" s="58" t="s">
        <v>22</v>
      </c>
      <c r="Q1868" s="58" t="s">
        <v>62</v>
      </c>
      <c r="R1868" s="58" t="s">
        <v>265</v>
      </c>
    </row>
    <row r="1869" spans="1:18" ht="69" customHeight="1">
      <c r="A1869" s="168"/>
      <c r="B1869" s="178">
        <v>8035</v>
      </c>
      <c r="C1869" s="178" t="s">
        <v>4277</v>
      </c>
      <c r="D1869" s="575" t="s">
        <v>3133</v>
      </c>
      <c r="E1869" s="178" t="s">
        <v>4173</v>
      </c>
      <c r="F1869" s="210" t="s">
        <v>5393</v>
      </c>
      <c r="G1869" s="58" t="s">
        <v>5092</v>
      </c>
      <c r="H1869" s="546">
        <v>35000</v>
      </c>
      <c r="I1869" s="66">
        <v>44939</v>
      </c>
      <c r="J1869" s="411" t="s">
        <v>5093</v>
      </c>
      <c r="K1869" s="58"/>
      <c r="L1869" s="99"/>
      <c r="M1869" s="70" t="s">
        <v>5271</v>
      </c>
      <c r="N1869" s="97" t="s">
        <v>414</v>
      </c>
      <c r="O1869" s="58"/>
      <c r="P1869" s="58" t="s">
        <v>22</v>
      </c>
      <c r="Q1869" s="58" t="s">
        <v>62</v>
      </c>
      <c r="R1869" s="58" t="s">
        <v>265</v>
      </c>
    </row>
    <row r="1870" spans="1:18" ht="69" customHeight="1">
      <c r="A1870" s="168"/>
      <c r="B1870" s="178">
        <v>8258</v>
      </c>
      <c r="C1870" s="178" t="s">
        <v>4277</v>
      </c>
      <c r="D1870" s="575" t="s">
        <v>5394</v>
      </c>
      <c r="E1870" s="178" t="s">
        <v>4173</v>
      </c>
      <c r="F1870" s="210" t="s">
        <v>5395</v>
      </c>
      <c r="G1870" s="58" t="s">
        <v>3939</v>
      </c>
      <c r="H1870" s="546">
        <v>6549.4</v>
      </c>
      <c r="I1870" s="66">
        <v>44971</v>
      </c>
      <c r="J1870" s="411" t="s">
        <v>5396</v>
      </c>
      <c r="K1870" s="58"/>
      <c r="L1870" s="99"/>
      <c r="M1870" s="70" t="s">
        <v>5271</v>
      </c>
      <c r="N1870" s="97" t="s">
        <v>414</v>
      </c>
      <c r="O1870" s="58"/>
      <c r="P1870" s="58" t="s">
        <v>22</v>
      </c>
      <c r="Q1870" s="58" t="s">
        <v>62</v>
      </c>
      <c r="R1870" s="58" t="s">
        <v>265</v>
      </c>
    </row>
    <row r="1871" spans="1:18" ht="69" customHeight="1">
      <c r="A1871" s="168"/>
      <c r="B1871" s="178">
        <v>8583</v>
      </c>
      <c r="C1871" s="178" t="s">
        <v>4277</v>
      </c>
      <c r="D1871" s="575" t="s">
        <v>5397</v>
      </c>
      <c r="E1871" s="178" t="s">
        <v>4173</v>
      </c>
      <c r="F1871" s="210" t="s">
        <v>5398</v>
      </c>
      <c r="G1871" s="58" t="s">
        <v>5097</v>
      </c>
      <c r="H1871" s="546">
        <v>5352.98</v>
      </c>
      <c r="I1871" s="66">
        <v>44956</v>
      </c>
      <c r="J1871" s="411" t="s">
        <v>5098</v>
      </c>
      <c r="K1871" s="58"/>
      <c r="L1871" s="99"/>
      <c r="M1871" s="70" t="s">
        <v>5271</v>
      </c>
      <c r="N1871" s="97" t="s">
        <v>414</v>
      </c>
      <c r="O1871" s="58"/>
      <c r="P1871" s="58" t="s">
        <v>22</v>
      </c>
      <c r="Q1871" s="58" t="s">
        <v>62</v>
      </c>
      <c r="R1871" s="58" t="s">
        <v>265</v>
      </c>
    </row>
    <row r="1872" spans="1:18" ht="69" customHeight="1">
      <c r="A1872" s="168"/>
      <c r="B1872" s="178">
        <v>8585</v>
      </c>
      <c r="C1872" s="178" t="s">
        <v>4277</v>
      </c>
      <c r="D1872" s="575" t="s">
        <v>869</v>
      </c>
      <c r="E1872" s="178" t="s">
        <v>4173</v>
      </c>
      <c r="F1872" s="210" t="s">
        <v>5399</v>
      </c>
      <c r="G1872" s="58" t="s">
        <v>5400</v>
      </c>
      <c r="H1872" s="546">
        <v>4814.74</v>
      </c>
      <c r="I1872" s="66">
        <v>44949</v>
      </c>
      <c r="J1872" s="411" t="s">
        <v>5102</v>
      </c>
      <c r="K1872" s="58"/>
      <c r="L1872" s="99"/>
      <c r="M1872" s="70" t="s">
        <v>5271</v>
      </c>
      <c r="N1872" s="97" t="s">
        <v>414</v>
      </c>
      <c r="O1872" s="58"/>
      <c r="P1872" s="58" t="s">
        <v>22</v>
      </c>
      <c r="Q1872" s="58" t="s">
        <v>62</v>
      </c>
      <c r="R1872" s="58" t="s">
        <v>265</v>
      </c>
    </row>
    <row r="1873" spans="1:18" ht="69" customHeight="1">
      <c r="A1873" s="168"/>
      <c r="B1873" s="191">
        <v>8586</v>
      </c>
      <c r="C1873" s="191" t="s">
        <v>4277</v>
      </c>
      <c r="D1873" s="533" t="s">
        <v>1417</v>
      </c>
      <c r="E1873" s="191" t="s">
        <v>4173</v>
      </c>
      <c r="F1873" s="211" t="s">
        <v>5401</v>
      </c>
      <c r="G1873" s="46" t="s">
        <v>5101</v>
      </c>
      <c r="H1873" s="534">
        <v>8152.5</v>
      </c>
      <c r="I1873" s="56">
        <v>44946</v>
      </c>
      <c r="J1873" s="412" t="s">
        <v>5102</v>
      </c>
      <c r="K1873" s="46" t="s">
        <v>881</v>
      </c>
      <c r="L1873" s="99"/>
      <c r="M1873" s="379"/>
      <c r="N1873" s="76" t="s">
        <v>414</v>
      </c>
      <c r="O1873" s="46"/>
      <c r="P1873" s="46" t="s">
        <v>65</v>
      </c>
      <c r="Q1873" s="46" t="s">
        <v>62</v>
      </c>
      <c r="R1873" s="46" t="s">
        <v>272</v>
      </c>
    </row>
    <row r="1874" spans="1:18" ht="69" customHeight="1">
      <c r="A1874" s="168"/>
      <c r="B1874" s="178">
        <v>8615</v>
      </c>
      <c r="C1874" s="178" t="s">
        <v>4277</v>
      </c>
      <c r="D1874" s="575" t="s">
        <v>3336</v>
      </c>
      <c r="E1874" s="178" t="s">
        <v>4173</v>
      </c>
      <c r="F1874" s="210" t="s">
        <v>5402</v>
      </c>
      <c r="G1874" s="58" t="s">
        <v>3885</v>
      </c>
      <c r="H1874" s="546">
        <v>20000</v>
      </c>
      <c r="I1874" s="66">
        <v>44946</v>
      </c>
      <c r="J1874" s="411" t="s">
        <v>5403</v>
      </c>
      <c r="K1874" s="58"/>
      <c r="L1874" s="99"/>
      <c r="M1874" s="70" t="s">
        <v>5271</v>
      </c>
      <c r="N1874" s="97" t="s">
        <v>414</v>
      </c>
      <c r="O1874" s="58"/>
      <c r="P1874" s="58" t="s">
        <v>22</v>
      </c>
      <c r="Q1874" s="58" t="s">
        <v>62</v>
      </c>
      <c r="R1874" s="58" t="s">
        <v>265</v>
      </c>
    </row>
    <row r="1875" spans="1:18" ht="69" customHeight="1">
      <c r="A1875" s="168"/>
      <c r="B1875" s="178">
        <v>8616</v>
      </c>
      <c r="C1875" s="178" t="s">
        <v>4277</v>
      </c>
      <c r="D1875" s="575" t="s">
        <v>3338</v>
      </c>
      <c r="E1875" s="178" t="s">
        <v>4173</v>
      </c>
      <c r="F1875" s="210" t="s">
        <v>5404</v>
      </c>
      <c r="G1875" s="58" t="s">
        <v>5405</v>
      </c>
      <c r="H1875" s="546">
        <v>8000</v>
      </c>
      <c r="I1875" s="66">
        <v>44946</v>
      </c>
      <c r="J1875" s="411" t="s">
        <v>5403</v>
      </c>
      <c r="K1875" s="58"/>
      <c r="L1875" s="99"/>
      <c r="M1875" s="70" t="s">
        <v>5271</v>
      </c>
      <c r="N1875" s="97" t="s">
        <v>414</v>
      </c>
      <c r="O1875" s="58"/>
      <c r="P1875" s="58" t="s">
        <v>22</v>
      </c>
      <c r="Q1875" s="58" t="s">
        <v>62</v>
      </c>
      <c r="R1875" s="58" t="s">
        <v>265</v>
      </c>
    </row>
    <row r="1876" spans="1:18" ht="69" customHeight="1">
      <c r="A1876" s="168"/>
      <c r="B1876" s="178">
        <v>8617</v>
      </c>
      <c r="C1876" s="178" t="s">
        <v>4277</v>
      </c>
      <c r="D1876" s="575" t="s">
        <v>1947</v>
      </c>
      <c r="E1876" s="178" t="s">
        <v>4173</v>
      </c>
      <c r="F1876" s="210" t="s">
        <v>5406</v>
      </c>
      <c r="G1876" s="58" t="s">
        <v>3885</v>
      </c>
      <c r="H1876" s="546">
        <v>4876.5</v>
      </c>
      <c r="I1876" s="66">
        <v>44946</v>
      </c>
      <c r="J1876" s="411" t="s">
        <v>5403</v>
      </c>
      <c r="K1876" s="58"/>
      <c r="L1876" s="99"/>
      <c r="M1876" s="70" t="s">
        <v>5271</v>
      </c>
      <c r="N1876" s="97" t="s">
        <v>414</v>
      </c>
      <c r="O1876" s="58"/>
      <c r="P1876" s="58" t="s">
        <v>22</v>
      </c>
      <c r="Q1876" s="58" t="s">
        <v>62</v>
      </c>
      <c r="R1876" s="58" t="s">
        <v>265</v>
      </c>
    </row>
    <row r="1877" spans="1:18" ht="69" customHeight="1">
      <c r="A1877" s="168"/>
      <c r="B1877" s="178">
        <v>8618</v>
      </c>
      <c r="C1877" s="178" t="s">
        <v>4277</v>
      </c>
      <c r="D1877" s="575" t="s">
        <v>3547</v>
      </c>
      <c r="E1877" s="178" t="s">
        <v>4173</v>
      </c>
      <c r="F1877" s="210" t="s">
        <v>5407</v>
      </c>
      <c r="G1877" s="58" t="s">
        <v>3885</v>
      </c>
      <c r="H1877" s="546">
        <v>10340</v>
      </c>
      <c r="I1877" s="66">
        <v>44946</v>
      </c>
      <c r="J1877" s="411" t="s">
        <v>5403</v>
      </c>
      <c r="K1877" s="58"/>
      <c r="L1877" s="99"/>
      <c r="M1877" s="70" t="s">
        <v>5271</v>
      </c>
      <c r="N1877" s="97" t="s">
        <v>414</v>
      </c>
      <c r="O1877" s="58"/>
      <c r="P1877" s="58" t="s">
        <v>22</v>
      </c>
      <c r="Q1877" s="58" t="s">
        <v>62</v>
      </c>
      <c r="R1877" s="58" t="s">
        <v>265</v>
      </c>
    </row>
    <row r="1878" spans="1:18" ht="69" customHeight="1">
      <c r="A1878" s="168"/>
      <c r="B1878" s="178">
        <v>8641</v>
      </c>
      <c r="C1878" s="178" t="s">
        <v>4277</v>
      </c>
      <c r="D1878" s="575" t="s">
        <v>3556</v>
      </c>
      <c r="E1878" s="178" t="s">
        <v>4173</v>
      </c>
      <c r="F1878" s="210" t="s">
        <v>5408</v>
      </c>
      <c r="G1878" s="58" t="s">
        <v>3891</v>
      </c>
      <c r="H1878" s="546">
        <v>17200</v>
      </c>
      <c r="I1878" s="66">
        <v>44946</v>
      </c>
      <c r="J1878" s="411" t="s">
        <v>5109</v>
      </c>
      <c r="K1878" s="58"/>
      <c r="L1878" s="99"/>
      <c r="M1878" s="70" t="s">
        <v>5271</v>
      </c>
      <c r="N1878" s="97" t="s">
        <v>414</v>
      </c>
      <c r="O1878" s="58"/>
      <c r="P1878" s="58" t="s">
        <v>22</v>
      </c>
      <c r="Q1878" s="58" t="s">
        <v>62</v>
      </c>
      <c r="R1878" s="58" t="s">
        <v>265</v>
      </c>
    </row>
    <row r="1879" spans="1:18" ht="69" customHeight="1">
      <c r="A1879" s="168"/>
      <c r="B1879" s="191">
        <v>8642</v>
      </c>
      <c r="C1879" s="191" t="s">
        <v>4277</v>
      </c>
      <c r="D1879" s="533" t="s">
        <v>882</v>
      </c>
      <c r="E1879" s="191" t="s">
        <v>4173</v>
      </c>
      <c r="F1879" s="211" t="s">
        <v>5409</v>
      </c>
      <c r="G1879" s="46" t="s">
        <v>5112</v>
      </c>
      <c r="H1879" s="534">
        <v>9500</v>
      </c>
      <c r="I1879" s="56">
        <v>44946</v>
      </c>
      <c r="J1879" s="412" t="s">
        <v>5109</v>
      </c>
      <c r="K1879" s="46" t="s">
        <v>881</v>
      </c>
      <c r="L1879" s="99"/>
      <c r="M1879" s="379"/>
      <c r="N1879" s="76" t="s">
        <v>414</v>
      </c>
      <c r="O1879" s="46"/>
      <c r="P1879" s="46" t="s">
        <v>71</v>
      </c>
      <c r="Q1879" s="46" t="s">
        <v>62</v>
      </c>
      <c r="R1879" s="46" t="s">
        <v>272</v>
      </c>
    </row>
    <row r="1880" spans="1:18" ht="69" customHeight="1">
      <c r="A1880" s="168"/>
      <c r="B1880" s="178">
        <v>8687</v>
      </c>
      <c r="C1880" s="178" t="s">
        <v>4277</v>
      </c>
      <c r="D1880" s="575" t="s">
        <v>2174</v>
      </c>
      <c r="E1880" s="178" t="s">
        <v>4173</v>
      </c>
      <c r="F1880" s="210" t="s">
        <v>5410</v>
      </c>
      <c r="G1880" s="58" t="s">
        <v>5351</v>
      </c>
      <c r="H1880" s="546">
        <v>6731.46</v>
      </c>
      <c r="I1880" s="66">
        <v>44949</v>
      </c>
      <c r="J1880" s="411" t="s">
        <v>5411</v>
      </c>
      <c r="K1880" s="58"/>
      <c r="L1880" s="99"/>
      <c r="M1880" s="70" t="s">
        <v>5271</v>
      </c>
      <c r="N1880" s="97" t="s">
        <v>414</v>
      </c>
      <c r="O1880" s="58"/>
      <c r="P1880" s="58" t="s">
        <v>22</v>
      </c>
      <c r="Q1880" s="58" t="s">
        <v>62</v>
      </c>
      <c r="R1880" s="58" t="s">
        <v>265</v>
      </c>
    </row>
    <row r="1881" spans="1:18" ht="69" customHeight="1">
      <c r="A1881" s="168"/>
      <c r="B1881" s="178">
        <v>8688</v>
      </c>
      <c r="C1881" s="178" t="s">
        <v>4277</v>
      </c>
      <c r="D1881" s="575" t="s">
        <v>876</v>
      </c>
      <c r="E1881" s="178" t="s">
        <v>4173</v>
      </c>
      <c r="F1881" s="210" t="s">
        <v>5412</v>
      </c>
      <c r="G1881" s="58" t="s">
        <v>5351</v>
      </c>
      <c r="H1881" s="546">
        <v>20888.73</v>
      </c>
      <c r="I1881" s="66">
        <v>44949</v>
      </c>
      <c r="J1881" s="411" t="s">
        <v>5413</v>
      </c>
      <c r="K1881" s="58"/>
      <c r="L1881" s="99"/>
      <c r="M1881" s="70" t="s">
        <v>5271</v>
      </c>
      <c r="N1881" s="97" t="s">
        <v>414</v>
      </c>
      <c r="O1881" s="58"/>
      <c r="P1881" s="58" t="s">
        <v>22</v>
      </c>
      <c r="Q1881" s="58" t="s">
        <v>62</v>
      </c>
      <c r="R1881" s="58" t="s">
        <v>265</v>
      </c>
    </row>
    <row r="1882" spans="1:18" ht="69" customHeight="1">
      <c r="A1882" s="168"/>
      <c r="B1882" s="178">
        <v>8689</v>
      </c>
      <c r="C1882" s="178" t="s">
        <v>4277</v>
      </c>
      <c r="D1882" s="575" t="s">
        <v>3554</v>
      </c>
      <c r="E1882" s="178" t="s">
        <v>4173</v>
      </c>
      <c r="F1882" s="210" t="s">
        <v>5414</v>
      </c>
      <c r="G1882" s="58" t="s">
        <v>5351</v>
      </c>
      <c r="H1882" s="546">
        <v>20012.03</v>
      </c>
      <c r="I1882" s="66">
        <v>44949</v>
      </c>
      <c r="J1882" s="411" t="s">
        <v>5413</v>
      </c>
      <c r="K1882" s="58"/>
      <c r="L1882" s="99"/>
      <c r="M1882" s="70" t="s">
        <v>5271</v>
      </c>
      <c r="N1882" s="97" t="s">
        <v>414</v>
      </c>
      <c r="O1882" s="58"/>
      <c r="P1882" s="58" t="s">
        <v>22</v>
      </c>
      <c r="Q1882" s="58" t="s">
        <v>62</v>
      </c>
      <c r="R1882" s="58" t="s">
        <v>265</v>
      </c>
    </row>
    <row r="1883" spans="1:18" ht="69" customHeight="1">
      <c r="A1883" s="168"/>
      <c r="B1883" s="178">
        <v>8259</v>
      </c>
      <c r="C1883" s="178" t="s">
        <v>4277</v>
      </c>
      <c r="D1883" s="575" t="s">
        <v>5415</v>
      </c>
      <c r="E1883" s="178" t="s">
        <v>4173</v>
      </c>
      <c r="F1883" s="210" t="s">
        <v>5416</v>
      </c>
      <c r="G1883" s="58" t="s">
        <v>3939</v>
      </c>
      <c r="H1883" s="546">
        <v>6549.4</v>
      </c>
      <c r="I1883" s="66">
        <v>44971</v>
      </c>
      <c r="J1883" s="411" t="s">
        <v>5396</v>
      </c>
      <c r="K1883" s="58"/>
      <c r="L1883" s="99"/>
      <c r="M1883" s="70" t="s">
        <v>5271</v>
      </c>
      <c r="N1883" s="97" t="s">
        <v>414</v>
      </c>
      <c r="O1883" s="58"/>
      <c r="P1883" s="58" t="s">
        <v>22</v>
      </c>
      <c r="Q1883" s="58" t="s">
        <v>62</v>
      </c>
      <c r="R1883" s="58" t="s">
        <v>265</v>
      </c>
    </row>
    <row r="1884" spans="1:18" ht="69" customHeight="1">
      <c r="A1884" s="168"/>
      <c r="B1884" s="178">
        <v>8260</v>
      </c>
      <c r="C1884" s="178" t="s">
        <v>4277</v>
      </c>
      <c r="D1884" s="575" t="s">
        <v>5417</v>
      </c>
      <c r="E1884" s="178" t="s">
        <v>4173</v>
      </c>
      <c r="F1884" s="210" t="s">
        <v>5418</v>
      </c>
      <c r="G1884" s="58" t="s">
        <v>3939</v>
      </c>
      <c r="H1884" s="546">
        <v>4131.32</v>
      </c>
      <c r="I1884" s="66">
        <v>44974</v>
      </c>
      <c r="J1884" s="411" t="s">
        <v>5396</v>
      </c>
      <c r="K1884" s="58"/>
      <c r="L1884" s="99"/>
      <c r="M1884" s="70" t="s">
        <v>5271</v>
      </c>
      <c r="N1884" s="97" t="s">
        <v>414</v>
      </c>
      <c r="O1884" s="58"/>
      <c r="P1884" s="58" t="s">
        <v>22</v>
      </c>
      <c r="Q1884" s="58" t="s">
        <v>62</v>
      </c>
      <c r="R1884" s="58" t="s">
        <v>265</v>
      </c>
    </row>
    <row r="1885" spans="1:18" ht="69" customHeight="1">
      <c r="A1885" s="168"/>
      <c r="B1885" s="178">
        <v>8671</v>
      </c>
      <c r="C1885" s="178" t="s">
        <v>4277</v>
      </c>
      <c r="D1885" s="575" t="s">
        <v>5419</v>
      </c>
      <c r="E1885" s="178" t="s">
        <v>4173</v>
      </c>
      <c r="F1885" s="210" t="s">
        <v>5420</v>
      </c>
      <c r="G1885" s="58" t="s">
        <v>3939</v>
      </c>
      <c r="H1885" s="546">
        <v>4000</v>
      </c>
      <c r="I1885" s="66">
        <v>44967</v>
      </c>
      <c r="J1885" s="411" t="s">
        <v>5421</v>
      </c>
      <c r="K1885" s="58"/>
      <c r="L1885" s="99"/>
      <c r="M1885" s="70" t="s">
        <v>5271</v>
      </c>
      <c r="N1885" s="97" t="s">
        <v>414</v>
      </c>
      <c r="O1885" s="58"/>
      <c r="P1885" s="58" t="s">
        <v>22</v>
      </c>
      <c r="Q1885" s="58" t="s">
        <v>62</v>
      </c>
      <c r="R1885" s="58" t="s">
        <v>265</v>
      </c>
    </row>
    <row r="1886" spans="1:18" ht="69" customHeight="1">
      <c r="A1886" s="168"/>
      <c r="B1886" s="178">
        <v>8672</v>
      </c>
      <c r="C1886" s="178" t="s">
        <v>4277</v>
      </c>
      <c r="D1886" s="575" t="s">
        <v>5422</v>
      </c>
      <c r="E1886" s="178" t="s">
        <v>4173</v>
      </c>
      <c r="F1886" s="210" t="s">
        <v>5423</v>
      </c>
      <c r="G1886" s="58" t="s">
        <v>5424</v>
      </c>
      <c r="H1886" s="546">
        <v>6000</v>
      </c>
      <c r="I1886" s="66">
        <v>44967</v>
      </c>
      <c r="J1886" s="411" t="s">
        <v>5421</v>
      </c>
      <c r="K1886" s="58"/>
      <c r="L1886" s="99"/>
      <c r="M1886" s="70" t="s">
        <v>5271</v>
      </c>
      <c r="N1886" s="97" t="s">
        <v>414</v>
      </c>
      <c r="O1886" s="58"/>
      <c r="P1886" s="58" t="s">
        <v>22</v>
      </c>
      <c r="Q1886" s="58" t="s">
        <v>62</v>
      </c>
      <c r="R1886" s="58" t="s">
        <v>265</v>
      </c>
    </row>
    <row r="1887" spans="1:18" ht="69" customHeight="1">
      <c r="A1887" s="168"/>
      <c r="B1887" s="178">
        <v>8673</v>
      </c>
      <c r="C1887" s="178" t="s">
        <v>4277</v>
      </c>
      <c r="D1887" s="575" t="s">
        <v>5425</v>
      </c>
      <c r="E1887" s="178" t="s">
        <v>4173</v>
      </c>
      <c r="F1887" s="210" t="s">
        <v>5426</v>
      </c>
      <c r="G1887" s="58" t="s">
        <v>5424</v>
      </c>
      <c r="H1887" s="546">
        <v>8000</v>
      </c>
      <c r="I1887" s="66">
        <v>44967</v>
      </c>
      <c r="J1887" s="411" t="s">
        <v>5421</v>
      </c>
      <c r="K1887" s="58"/>
      <c r="L1887" s="99"/>
      <c r="M1887" s="70" t="s">
        <v>5271</v>
      </c>
      <c r="N1887" s="97" t="s">
        <v>414</v>
      </c>
      <c r="O1887" s="58"/>
      <c r="P1887" s="58" t="s">
        <v>22</v>
      </c>
      <c r="Q1887" s="58" t="s">
        <v>62</v>
      </c>
      <c r="R1887" s="58" t="s">
        <v>265</v>
      </c>
    </row>
    <row r="1888" spans="1:18" ht="69" customHeight="1">
      <c r="A1888" s="168"/>
      <c r="B1888" s="178">
        <v>8674</v>
      </c>
      <c r="C1888" s="178" t="s">
        <v>4277</v>
      </c>
      <c r="D1888" s="575" t="s">
        <v>5427</v>
      </c>
      <c r="E1888" s="178" t="s">
        <v>4173</v>
      </c>
      <c r="F1888" s="210" t="s">
        <v>5428</v>
      </c>
      <c r="G1888" s="58" t="s">
        <v>3939</v>
      </c>
      <c r="H1888" s="546">
        <v>20527.189999999999</v>
      </c>
      <c r="I1888" s="66">
        <v>44967</v>
      </c>
      <c r="J1888" s="411" t="s">
        <v>5421</v>
      </c>
      <c r="K1888" s="58"/>
      <c r="L1888" s="99"/>
      <c r="M1888" s="70" t="s">
        <v>5271</v>
      </c>
      <c r="N1888" s="97" t="s">
        <v>414</v>
      </c>
      <c r="O1888" s="58"/>
      <c r="P1888" s="58" t="s">
        <v>22</v>
      </c>
      <c r="Q1888" s="58" t="s">
        <v>62</v>
      </c>
      <c r="R1888" s="58" t="s">
        <v>265</v>
      </c>
    </row>
    <row r="1889" spans="1:18" ht="69" customHeight="1">
      <c r="A1889" s="168"/>
      <c r="B1889" s="178">
        <v>8675</v>
      </c>
      <c r="C1889" s="178" t="s">
        <v>4277</v>
      </c>
      <c r="D1889" s="575" t="s">
        <v>5429</v>
      </c>
      <c r="E1889" s="178" t="s">
        <v>4173</v>
      </c>
      <c r="F1889" s="210" t="s">
        <v>5430</v>
      </c>
      <c r="G1889" s="58" t="s">
        <v>3957</v>
      </c>
      <c r="H1889" s="546">
        <v>15000</v>
      </c>
      <c r="I1889" s="66">
        <v>44967</v>
      </c>
      <c r="J1889" s="411" t="s">
        <v>5421</v>
      </c>
      <c r="K1889" s="58"/>
      <c r="L1889" s="99"/>
      <c r="M1889" s="70" t="s">
        <v>5271</v>
      </c>
      <c r="N1889" s="97" t="s">
        <v>414</v>
      </c>
      <c r="O1889" s="58"/>
      <c r="P1889" s="58" t="s">
        <v>22</v>
      </c>
      <c r="Q1889" s="58" t="s">
        <v>62</v>
      </c>
      <c r="R1889" s="58" t="s">
        <v>265</v>
      </c>
    </row>
    <row r="1890" spans="1:18" ht="69" customHeight="1">
      <c r="A1890" s="168"/>
      <c r="B1890" s="178">
        <v>8676</v>
      </c>
      <c r="C1890" s="178" t="s">
        <v>4277</v>
      </c>
      <c r="D1890" s="575" t="s">
        <v>5431</v>
      </c>
      <c r="E1890" s="178" t="s">
        <v>4173</v>
      </c>
      <c r="F1890" s="210" t="s">
        <v>5432</v>
      </c>
      <c r="G1890" s="58" t="s">
        <v>3957</v>
      </c>
      <c r="H1890" s="546">
        <v>15000</v>
      </c>
      <c r="I1890" s="66">
        <v>44967</v>
      </c>
      <c r="J1890" s="411" t="s">
        <v>5421</v>
      </c>
      <c r="K1890" s="58"/>
      <c r="L1890" s="99"/>
      <c r="M1890" s="70" t="s">
        <v>5271</v>
      </c>
      <c r="N1890" s="97" t="s">
        <v>414</v>
      </c>
      <c r="O1890" s="58"/>
      <c r="P1890" s="58" t="s">
        <v>22</v>
      </c>
      <c r="Q1890" s="58" t="s">
        <v>62</v>
      </c>
      <c r="R1890" s="58" t="s">
        <v>265</v>
      </c>
    </row>
    <row r="1891" spans="1:18" ht="69" customHeight="1">
      <c r="A1891" s="168"/>
      <c r="B1891" s="178">
        <v>8718</v>
      </c>
      <c r="C1891" s="178" t="s">
        <v>4277</v>
      </c>
      <c r="D1891" s="575" t="s">
        <v>5433</v>
      </c>
      <c r="E1891" s="178" t="s">
        <v>4173</v>
      </c>
      <c r="F1891" s="210" t="s">
        <v>5434</v>
      </c>
      <c r="G1891" s="58" t="s">
        <v>3963</v>
      </c>
      <c r="H1891" s="546">
        <v>200000</v>
      </c>
      <c r="I1891" s="66">
        <v>44970</v>
      </c>
      <c r="J1891" s="411" t="s">
        <v>5435</v>
      </c>
      <c r="K1891" s="58"/>
      <c r="L1891" s="99"/>
      <c r="M1891" s="70" t="s">
        <v>5271</v>
      </c>
      <c r="N1891" s="97" t="s">
        <v>414</v>
      </c>
      <c r="O1891" s="58"/>
      <c r="P1891" s="58" t="s">
        <v>22</v>
      </c>
      <c r="Q1891" s="58" t="s">
        <v>62</v>
      </c>
      <c r="R1891" s="58" t="s">
        <v>265</v>
      </c>
    </row>
    <row r="1892" spans="1:18" ht="69" customHeight="1">
      <c r="A1892" s="168"/>
      <c r="B1892" s="178">
        <v>8719</v>
      </c>
      <c r="C1892" s="178" t="s">
        <v>4277</v>
      </c>
      <c r="D1892" s="575" t="s">
        <v>5436</v>
      </c>
      <c r="E1892" s="178" t="s">
        <v>4173</v>
      </c>
      <c r="F1892" s="210" t="s">
        <v>5437</v>
      </c>
      <c r="G1892" s="58" t="s">
        <v>3967</v>
      </c>
      <c r="H1892" s="546">
        <v>13165</v>
      </c>
      <c r="I1892" s="66">
        <v>44979</v>
      </c>
      <c r="J1892" s="411" t="s">
        <v>5435</v>
      </c>
      <c r="K1892" s="58"/>
      <c r="L1892" s="99"/>
      <c r="M1892" s="70" t="s">
        <v>5271</v>
      </c>
      <c r="N1892" s="97" t="s">
        <v>414</v>
      </c>
      <c r="O1892" s="58"/>
      <c r="P1892" s="58" t="s">
        <v>22</v>
      </c>
      <c r="Q1892" s="58" t="s">
        <v>62</v>
      </c>
      <c r="R1892" s="58" t="s">
        <v>265</v>
      </c>
    </row>
    <row r="1893" spans="1:18" ht="69" customHeight="1">
      <c r="A1893" s="168"/>
      <c r="B1893" s="178">
        <v>8720</v>
      </c>
      <c r="C1893" s="178" t="s">
        <v>4277</v>
      </c>
      <c r="D1893" s="575" t="s">
        <v>5438</v>
      </c>
      <c r="E1893" s="178" t="s">
        <v>4173</v>
      </c>
      <c r="F1893" s="210" t="s">
        <v>5439</v>
      </c>
      <c r="G1893" s="58" t="s">
        <v>3967</v>
      </c>
      <c r="H1893" s="546">
        <v>13165</v>
      </c>
      <c r="I1893" s="66">
        <v>44979</v>
      </c>
      <c r="J1893" s="411" t="s">
        <v>5435</v>
      </c>
      <c r="K1893" s="58"/>
      <c r="L1893" s="99"/>
      <c r="M1893" s="70" t="s">
        <v>5271</v>
      </c>
      <c r="N1893" s="97" t="s">
        <v>414</v>
      </c>
      <c r="O1893" s="58"/>
      <c r="P1893" s="58" t="s">
        <v>22</v>
      </c>
      <c r="Q1893" s="58" t="s">
        <v>62</v>
      </c>
      <c r="R1893" s="58" t="s">
        <v>265</v>
      </c>
    </row>
    <row r="1894" spans="1:18" ht="69" customHeight="1">
      <c r="A1894" s="168"/>
      <c r="B1894" s="178">
        <v>8738</v>
      </c>
      <c r="C1894" s="178" t="s">
        <v>4277</v>
      </c>
      <c r="D1894" s="575" t="s">
        <v>5440</v>
      </c>
      <c r="E1894" s="178" t="s">
        <v>4173</v>
      </c>
      <c r="F1894" s="210" t="s">
        <v>5441</v>
      </c>
      <c r="G1894" s="58" t="s">
        <v>3967</v>
      </c>
      <c r="H1894" s="546">
        <v>19018.25</v>
      </c>
      <c r="I1894" s="66">
        <v>44970</v>
      </c>
      <c r="J1894" s="411" t="s">
        <v>5118</v>
      </c>
      <c r="K1894" s="58"/>
      <c r="L1894" s="99"/>
      <c r="M1894" s="70" t="s">
        <v>5271</v>
      </c>
      <c r="N1894" s="97" t="s">
        <v>414</v>
      </c>
      <c r="O1894" s="58"/>
      <c r="P1894" s="58" t="s">
        <v>22</v>
      </c>
      <c r="Q1894" s="58" t="s">
        <v>62</v>
      </c>
      <c r="R1894" s="58" t="s">
        <v>265</v>
      </c>
    </row>
    <row r="1895" spans="1:18" ht="69" customHeight="1">
      <c r="A1895" s="168"/>
      <c r="B1895" s="178">
        <v>8739</v>
      </c>
      <c r="C1895" s="178" t="s">
        <v>4277</v>
      </c>
      <c r="D1895" s="575" t="s">
        <v>5442</v>
      </c>
      <c r="E1895" s="178" t="s">
        <v>4173</v>
      </c>
      <c r="F1895" s="210" t="s">
        <v>5443</v>
      </c>
      <c r="G1895" s="58" t="s">
        <v>3967</v>
      </c>
      <c r="H1895" s="546">
        <v>18480</v>
      </c>
      <c r="I1895" s="66">
        <v>44970</v>
      </c>
      <c r="J1895" s="411" t="s">
        <v>5118</v>
      </c>
      <c r="K1895" s="58"/>
      <c r="L1895" s="99"/>
      <c r="M1895" s="70" t="s">
        <v>5271</v>
      </c>
      <c r="N1895" s="97" t="s">
        <v>414</v>
      </c>
      <c r="O1895" s="58"/>
      <c r="P1895" s="58" t="s">
        <v>22</v>
      </c>
      <c r="Q1895" s="58" t="s">
        <v>62</v>
      </c>
      <c r="R1895" s="58" t="s">
        <v>265</v>
      </c>
    </row>
    <row r="1896" spans="1:18" ht="69" customHeight="1">
      <c r="A1896" s="168"/>
      <c r="B1896" s="178">
        <v>8740</v>
      </c>
      <c r="C1896" s="178" t="s">
        <v>4277</v>
      </c>
      <c r="D1896" s="575" t="s">
        <v>5444</v>
      </c>
      <c r="E1896" s="178" t="s">
        <v>4173</v>
      </c>
      <c r="F1896" s="210" t="s">
        <v>5445</v>
      </c>
      <c r="G1896" s="58" t="s">
        <v>1212</v>
      </c>
      <c r="H1896" s="546">
        <v>4900</v>
      </c>
      <c r="I1896" s="66">
        <v>44970</v>
      </c>
      <c r="J1896" s="411" t="s">
        <v>5118</v>
      </c>
      <c r="K1896" s="58"/>
      <c r="L1896" s="99"/>
      <c r="M1896" s="70" t="s">
        <v>5271</v>
      </c>
      <c r="N1896" s="97" t="s">
        <v>414</v>
      </c>
      <c r="O1896" s="58"/>
      <c r="P1896" s="58" t="s">
        <v>22</v>
      </c>
      <c r="Q1896" s="58" t="s">
        <v>62</v>
      </c>
      <c r="R1896" s="58" t="s">
        <v>265</v>
      </c>
    </row>
    <row r="1897" spans="1:18" ht="69" customHeight="1">
      <c r="A1897" s="168"/>
      <c r="B1897" s="178">
        <v>8742</v>
      </c>
      <c r="C1897" s="178" t="s">
        <v>4277</v>
      </c>
      <c r="D1897" s="575" t="s">
        <v>5446</v>
      </c>
      <c r="E1897" s="178" t="s">
        <v>4173</v>
      </c>
      <c r="F1897" s="210" t="s">
        <v>5447</v>
      </c>
      <c r="G1897" s="58" t="s">
        <v>1212</v>
      </c>
      <c r="H1897" s="546">
        <v>6000</v>
      </c>
      <c r="I1897" s="66">
        <v>44970</v>
      </c>
      <c r="J1897" s="411" t="s">
        <v>5118</v>
      </c>
      <c r="K1897" s="58"/>
      <c r="L1897" s="99"/>
      <c r="M1897" s="70" t="s">
        <v>5271</v>
      </c>
      <c r="N1897" s="97" t="s">
        <v>414</v>
      </c>
      <c r="O1897" s="58"/>
      <c r="P1897" s="58" t="s">
        <v>22</v>
      </c>
      <c r="Q1897" s="58" t="s">
        <v>62</v>
      </c>
      <c r="R1897" s="58" t="s">
        <v>265</v>
      </c>
    </row>
    <row r="1898" spans="1:18" ht="69" customHeight="1">
      <c r="A1898" s="168"/>
      <c r="B1898" s="178">
        <v>8743</v>
      </c>
      <c r="C1898" s="178" t="s">
        <v>4277</v>
      </c>
      <c r="D1898" s="575" t="s">
        <v>5448</v>
      </c>
      <c r="E1898" s="178" t="s">
        <v>4173</v>
      </c>
      <c r="F1898" s="210" t="s">
        <v>5449</v>
      </c>
      <c r="G1898" s="58" t="s">
        <v>3967</v>
      </c>
      <c r="H1898" s="546">
        <v>8303.5</v>
      </c>
      <c r="I1898" s="66">
        <v>44970</v>
      </c>
      <c r="J1898" s="411" t="s">
        <v>5118</v>
      </c>
      <c r="K1898" s="58"/>
      <c r="L1898" s="99"/>
      <c r="M1898" s="70" t="s">
        <v>5271</v>
      </c>
      <c r="N1898" s="97" t="s">
        <v>414</v>
      </c>
      <c r="O1898" s="58"/>
      <c r="P1898" s="58" t="s">
        <v>22</v>
      </c>
      <c r="Q1898" s="58" t="s">
        <v>62</v>
      </c>
      <c r="R1898" s="58" t="s">
        <v>265</v>
      </c>
    </row>
    <row r="1899" spans="1:18" ht="69" customHeight="1">
      <c r="A1899" s="168"/>
      <c r="B1899" s="178">
        <v>8772</v>
      </c>
      <c r="C1899" s="178" t="s">
        <v>4277</v>
      </c>
      <c r="D1899" s="575" t="s">
        <v>5450</v>
      </c>
      <c r="E1899" s="178" t="s">
        <v>4173</v>
      </c>
      <c r="F1899" s="210" t="s">
        <v>5451</v>
      </c>
      <c r="G1899" s="58" t="s">
        <v>3985</v>
      </c>
      <c r="H1899" s="546">
        <v>25984</v>
      </c>
      <c r="I1899" s="66">
        <v>44972</v>
      </c>
      <c r="J1899" s="411" t="s">
        <v>5122</v>
      </c>
      <c r="K1899" s="58"/>
      <c r="L1899" s="99"/>
      <c r="M1899" s="70" t="s">
        <v>5271</v>
      </c>
      <c r="N1899" s="97" t="s">
        <v>414</v>
      </c>
      <c r="O1899" s="58"/>
      <c r="P1899" s="58" t="s">
        <v>22</v>
      </c>
      <c r="Q1899" s="58" t="s">
        <v>62</v>
      </c>
      <c r="R1899" s="58" t="s">
        <v>265</v>
      </c>
    </row>
    <row r="1900" spans="1:18" ht="69" customHeight="1">
      <c r="A1900" s="168"/>
      <c r="B1900" s="191">
        <v>8796</v>
      </c>
      <c r="C1900" s="191" t="s">
        <v>4277</v>
      </c>
      <c r="D1900" s="533" t="s">
        <v>5452</v>
      </c>
      <c r="E1900" s="191" t="s">
        <v>4173</v>
      </c>
      <c r="F1900" s="211" t="s">
        <v>5453</v>
      </c>
      <c r="G1900" s="46" t="s">
        <v>4005</v>
      </c>
      <c r="H1900" s="534">
        <v>6000</v>
      </c>
      <c r="I1900" s="56">
        <v>44991</v>
      </c>
      <c r="J1900" s="412" t="s">
        <v>4006</v>
      </c>
      <c r="K1900" s="46" t="s">
        <v>881</v>
      </c>
      <c r="L1900" s="99"/>
      <c r="M1900" s="379"/>
      <c r="N1900" s="76" t="s">
        <v>414</v>
      </c>
      <c r="O1900" s="46"/>
      <c r="P1900" s="46" t="s">
        <v>65</v>
      </c>
      <c r="Q1900" s="46" t="s">
        <v>62</v>
      </c>
      <c r="R1900" s="46" t="s">
        <v>272</v>
      </c>
    </row>
    <row r="1901" spans="1:18" ht="69" customHeight="1">
      <c r="A1901" s="168"/>
      <c r="B1901" s="178">
        <v>8876</v>
      </c>
      <c r="C1901" s="178" t="s">
        <v>4277</v>
      </c>
      <c r="D1901" s="575" t="s">
        <v>5454</v>
      </c>
      <c r="E1901" s="178" t="s">
        <v>4173</v>
      </c>
      <c r="F1901" s="210" t="s">
        <v>5455</v>
      </c>
      <c r="G1901" s="58" t="s">
        <v>3939</v>
      </c>
      <c r="H1901" s="546">
        <v>18047.55</v>
      </c>
      <c r="I1901" s="66">
        <v>44979</v>
      </c>
      <c r="J1901" s="411" t="s">
        <v>5456</v>
      </c>
      <c r="K1901" s="58"/>
      <c r="L1901" s="99"/>
      <c r="M1901" s="70" t="s">
        <v>5271</v>
      </c>
      <c r="N1901" s="97" t="s">
        <v>414</v>
      </c>
      <c r="O1901" s="58"/>
      <c r="P1901" s="58" t="s">
        <v>22</v>
      </c>
      <c r="Q1901" s="58" t="s">
        <v>62</v>
      </c>
      <c r="R1901" s="58" t="s">
        <v>265</v>
      </c>
    </row>
    <row r="1902" spans="1:18" ht="69" customHeight="1">
      <c r="A1902" s="168"/>
      <c r="B1902" s="178">
        <v>88867</v>
      </c>
      <c r="C1902" s="178" t="s">
        <v>4277</v>
      </c>
      <c r="D1902" s="575" t="s">
        <v>5457</v>
      </c>
      <c r="E1902" s="178" t="s">
        <v>4173</v>
      </c>
      <c r="F1902" s="210" t="s">
        <v>5458</v>
      </c>
      <c r="G1902" s="58" t="s">
        <v>5459</v>
      </c>
      <c r="H1902" s="546">
        <v>15900</v>
      </c>
      <c r="I1902" s="66">
        <v>44981</v>
      </c>
      <c r="J1902" s="411" t="s">
        <v>5126</v>
      </c>
      <c r="K1902" s="58"/>
      <c r="L1902" s="99"/>
      <c r="M1902" s="70" t="s">
        <v>5271</v>
      </c>
      <c r="N1902" s="97" t="s">
        <v>414</v>
      </c>
      <c r="O1902" s="58"/>
      <c r="P1902" s="58" t="s">
        <v>22</v>
      </c>
      <c r="Q1902" s="58" t="s">
        <v>62</v>
      </c>
      <c r="R1902" s="58" t="s">
        <v>265</v>
      </c>
    </row>
    <row r="1903" spans="1:18" ht="69" customHeight="1">
      <c r="A1903" s="168"/>
      <c r="B1903" s="178">
        <v>8868</v>
      </c>
      <c r="C1903" s="178" t="s">
        <v>4277</v>
      </c>
      <c r="D1903" s="575" t="s">
        <v>5460</v>
      </c>
      <c r="E1903" s="178" t="s">
        <v>4173</v>
      </c>
      <c r="F1903" s="210" t="s">
        <v>5461</v>
      </c>
      <c r="G1903" s="58" t="s">
        <v>5125</v>
      </c>
      <c r="H1903" s="546">
        <v>9398</v>
      </c>
      <c r="I1903" s="66">
        <v>44981</v>
      </c>
      <c r="J1903" s="411" t="s">
        <v>5126</v>
      </c>
      <c r="K1903" s="58"/>
      <c r="L1903" s="99"/>
      <c r="M1903" s="70" t="s">
        <v>5271</v>
      </c>
      <c r="N1903" s="97" t="s">
        <v>414</v>
      </c>
      <c r="O1903" s="58"/>
      <c r="P1903" s="58" t="s">
        <v>22</v>
      </c>
      <c r="Q1903" s="58" t="s">
        <v>62</v>
      </c>
      <c r="R1903" s="58" t="s">
        <v>265</v>
      </c>
    </row>
    <row r="1904" spans="1:18" ht="69" customHeight="1">
      <c r="A1904" s="168"/>
      <c r="B1904" s="178">
        <v>8905</v>
      </c>
      <c r="C1904" s="178" t="s">
        <v>4277</v>
      </c>
      <c r="D1904" s="575" t="s">
        <v>5462</v>
      </c>
      <c r="E1904" s="178" t="s">
        <v>4173</v>
      </c>
      <c r="F1904" s="210" t="s">
        <v>5463</v>
      </c>
      <c r="G1904" s="58" t="s">
        <v>4025</v>
      </c>
      <c r="H1904" s="546">
        <v>17200</v>
      </c>
      <c r="I1904" s="66">
        <v>44984</v>
      </c>
      <c r="J1904" s="411" t="s">
        <v>5464</v>
      </c>
      <c r="K1904" s="58"/>
      <c r="L1904" s="99"/>
      <c r="M1904" s="70" t="s">
        <v>5271</v>
      </c>
      <c r="N1904" s="97" t="s">
        <v>414</v>
      </c>
      <c r="O1904" s="58"/>
      <c r="P1904" s="58" t="s">
        <v>22</v>
      </c>
      <c r="Q1904" s="58" t="s">
        <v>62</v>
      </c>
      <c r="R1904" s="58" t="s">
        <v>265</v>
      </c>
    </row>
    <row r="1905" spans="1:18" ht="69" customHeight="1">
      <c r="A1905" s="168"/>
      <c r="B1905" s="178">
        <v>8906</v>
      </c>
      <c r="C1905" s="178" t="s">
        <v>4277</v>
      </c>
      <c r="D1905" s="575" t="s">
        <v>5465</v>
      </c>
      <c r="E1905" s="178" t="s">
        <v>4173</v>
      </c>
      <c r="F1905" s="210" t="s">
        <v>5466</v>
      </c>
      <c r="G1905" s="58" t="s">
        <v>3939</v>
      </c>
      <c r="H1905" s="546">
        <v>3680</v>
      </c>
      <c r="I1905" s="66">
        <v>44988</v>
      </c>
      <c r="J1905" s="411" t="s">
        <v>5464</v>
      </c>
      <c r="K1905" s="58"/>
      <c r="L1905" s="99"/>
      <c r="M1905" s="70" t="s">
        <v>5271</v>
      </c>
      <c r="N1905" s="97" t="s">
        <v>414</v>
      </c>
      <c r="O1905" s="58"/>
      <c r="P1905" s="58" t="s">
        <v>22</v>
      </c>
      <c r="Q1905" s="58" t="s">
        <v>62</v>
      </c>
      <c r="R1905" s="58" t="s">
        <v>265</v>
      </c>
    </row>
    <row r="1906" spans="1:18" ht="69" customHeight="1">
      <c r="A1906" s="168"/>
      <c r="B1906" s="191">
        <v>8908</v>
      </c>
      <c r="C1906" s="191" t="s">
        <v>4277</v>
      </c>
      <c r="D1906" s="533" t="s">
        <v>5467</v>
      </c>
      <c r="E1906" s="191" t="s">
        <v>4173</v>
      </c>
      <c r="F1906" s="211" t="s">
        <v>5468</v>
      </c>
      <c r="G1906" s="46" t="s">
        <v>5469</v>
      </c>
      <c r="H1906" s="534">
        <v>9500</v>
      </c>
      <c r="I1906" s="56">
        <v>44984</v>
      </c>
      <c r="J1906" s="412" t="s">
        <v>5470</v>
      </c>
      <c r="K1906" s="46" t="s">
        <v>881</v>
      </c>
      <c r="L1906" s="99"/>
      <c r="M1906" s="379"/>
      <c r="N1906" s="76" t="s">
        <v>414</v>
      </c>
      <c r="O1906" s="46"/>
      <c r="P1906" s="46" t="s">
        <v>71</v>
      </c>
      <c r="Q1906" s="46" t="s">
        <v>62</v>
      </c>
      <c r="R1906" s="46" t="s">
        <v>272</v>
      </c>
    </row>
    <row r="1907" spans="1:18" ht="69" customHeight="1">
      <c r="A1907" s="168"/>
      <c r="B1907" s="178">
        <v>8949</v>
      </c>
      <c r="C1907" s="178" t="s">
        <v>4277</v>
      </c>
      <c r="D1907" s="575" t="s">
        <v>5136</v>
      </c>
      <c r="E1907" s="178" t="s">
        <v>1372</v>
      </c>
      <c r="F1907" s="210" t="s">
        <v>5137</v>
      </c>
      <c r="G1907" s="58" t="s">
        <v>5138</v>
      </c>
      <c r="H1907" s="546">
        <f>821310.2*0.15</f>
        <v>123196.52999999998</v>
      </c>
      <c r="I1907" s="66">
        <v>44988</v>
      </c>
      <c r="J1907" s="411" t="s">
        <v>5139</v>
      </c>
      <c r="K1907" s="58" t="s">
        <v>5140</v>
      </c>
      <c r="L1907" s="99"/>
      <c r="M1907" s="70" t="s">
        <v>5471</v>
      </c>
      <c r="N1907" s="97" t="s">
        <v>1372</v>
      </c>
      <c r="O1907" s="58"/>
      <c r="P1907" s="58" t="s">
        <v>57</v>
      </c>
      <c r="Q1907" s="58" t="s">
        <v>62</v>
      </c>
      <c r="R1907" s="58" t="s">
        <v>272</v>
      </c>
    </row>
    <row r="1908" spans="1:18" ht="69" customHeight="1">
      <c r="A1908" s="168"/>
      <c r="B1908" s="178">
        <v>8993</v>
      </c>
      <c r="C1908" s="178" t="s">
        <v>4277</v>
      </c>
      <c r="D1908" s="575" t="s">
        <v>5472</v>
      </c>
      <c r="E1908" s="178" t="s">
        <v>4173</v>
      </c>
      <c r="F1908" s="210" t="s">
        <v>5473</v>
      </c>
      <c r="G1908" s="58" t="s">
        <v>5474</v>
      </c>
      <c r="H1908" s="546">
        <v>200000</v>
      </c>
      <c r="I1908" s="66">
        <v>44991</v>
      </c>
      <c r="J1908" s="411" t="s">
        <v>5475</v>
      </c>
      <c r="K1908" s="58"/>
      <c r="L1908" s="99"/>
      <c r="M1908" s="70" t="s">
        <v>5271</v>
      </c>
      <c r="N1908" s="97" t="s">
        <v>414</v>
      </c>
      <c r="O1908" s="58"/>
      <c r="P1908" s="58" t="s">
        <v>22</v>
      </c>
      <c r="Q1908" s="58" t="s">
        <v>62</v>
      </c>
      <c r="R1908" s="58" t="s">
        <v>265</v>
      </c>
    </row>
    <row r="1909" spans="1:18" ht="69" customHeight="1">
      <c r="A1909" s="168"/>
      <c r="B1909" s="178">
        <v>9041</v>
      </c>
      <c r="C1909" s="178" t="s">
        <v>4277</v>
      </c>
      <c r="D1909" s="575" t="s">
        <v>5476</v>
      </c>
      <c r="E1909" s="178" t="s">
        <v>4173</v>
      </c>
      <c r="F1909" s="210" t="s">
        <v>5477</v>
      </c>
      <c r="G1909" s="58" t="s">
        <v>4020</v>
      </c>
      <c r="H1909" s="546">
        <v>15000</v>
      </c>
      <c r="I1909" s="66">
        <v>45001</v>
      </c>
      <c r="J1909" s="411" t="s">
        <v>5144</v>
      </c>
      <c r="K1909" s="58"/>
      <c r="L1909" s="99"/>
      <c r="M1909" s="70" t="s">
        <v>5271</v>
      </c>
      <c r="N1909" s="97" t="s">
        <v>414</v>
      </c>
      <c r="O1909" s="58"/>
      <c r="P1909" s="58" t="s">
        <v>22</v>
      </c>
      <c r="Q1909" s="58" t="s">
        <v>62</v>
      </c>
      <c r="R1909" s="58" t="s">
        <v>265</v>
      </c>
    </row>
    <row r="1910" spans="1:18" ht="69" customHeight="1">
      <c r="A1910" s="168"/>
      <c r="B1910" s="178">
        <v>9044</v>
      </c>
      <c r="C1910" s="178" t="s">
        <v>4277</v>
      </c>
      <c r="D1910" s="575" t="s">
        <v>5478</v>
      </c>
      <c r="E1910" s="178" t="s">
        <v>4173</v>
      </c>
      <c r="F1910" s="210" t="s">
        <v>5479</v>
      </c>
      <c r="G1910" s="58" t="s">
        <v>3951</v>
      </c>
      <c r="H1910" s="546">
        <v>3104</v>
      </c>
      <c r="I1910" s="66">
        <v>45001</v>
      </c>
      <c r="J1910" s="411" t="s">
        <v>5144</v>
      </c>
      <c r="K1910" s="58"/>
      <c r="L1910" s="99"/>
      <c r="M1910" s="70" t="s">
        <v>5271</v>
      </c>
      <c r="N1910" s="97" t="s">
        <v>414</v>
      </c>
      <c r="O1910" s="58"/>
      <c r="P1910" s="58" t="s">
        <v>22</v>
      </c>
      <c r="Q1910" s="58" t="s">
        <v>62</v>
      </c>
      <c r="R1910" s="58" t="s">
        <v>265</v>
      </c>
    </row>
    <row r="1911" spans="1:18" ht="69" customHeight="1">
      <c r="A1911" s="168"/>
      <c r="B1911" s="178">
        <v>9066</v>
      </c>
      <c r="C1911" s="178" t="s">
        <v>4277</v>
      </c>
      <c r="D1911" s="575" t="s">
        <v>5480</v>
      </c>
      <c r="E1911" s="178" t="s">
        <v>4173</v>
      </c>
      <c r="F1911" s="210" t="s">
        <v>5481</v>
      </c>
      <c r="G1911" s="58" t="s">
        <v>5482</v>
      </c>
      <c r="H1911" s="546">
        <v>14340</v>
      </c>
      <c r="I1911" s="66">
        <v>45000</v>
      </c>
      <c r="J1911" s="411" t="s">
        <v>5483</v>
      </c>
      <c r="K1911" s="58"/>
      <c r="L1911" s="99"/>
      <c r="M1911" s="70" t="s">
        <v>5271</v>
      </c>
      <c r="N1911" s="97" t="s">
        <v>414</v>
      </c>
      <c r="O1911" s="58"/>
      <c r="P1911" s="58" t="s">
        <v>22</v>
      </c>
      <c r="Q1911" s="58" t="s">
        <v>62</v>
      </c>
      <c r="R1911" s="58" t="s">
        <v>265</v>
      </c>
    </row>
    <row r="1912" spans="1:18" ht="69" customHeight="1">
      <c r="A1912" s="168"/>
      <c r="B1912" s="178">
        <v>9328</v>
      </c>
      <c r="C1912" s="178" t="s">
        <v>4277</v>
      </c>
      <c r="D1912" s="575" t="s">
        <v>5484</v>
      </c>
      <c r="E1912" s="178" t="s">
        <v>4173</v>
      </c>
      <c r="F1912" s="210" t="s">
        <v>5485</v>
      </c>
      <c r="G1912" s="58" t="s">
        <v>4082</v>
      </c>
      <c r="H1912" s="546">
        <v>27748.57</v>
      </c>
      <c r="I1912" s="66">
        <v>45007</v>
      </c>
      <c r="J1912" s="411" t="s">
        <v>5155</v>
      </c>
      <c r="K1912" s="58"/>
      <c r="L1912" s="99"/>
      <c r="M1912" s="70" t="s">
        <v>5271</v>
      </c>
      <c r="N1912" s="97" t="s">
        <v>414</v>
      </c>
      <c r="O1912" s="58"/>
      <c r="P1912" s="58" t="s">
        <v>22</v>
      </c>
      <c r="Q1912" s="58" t="s">
        <v>62</v>
      </c>
      <c r="R1912" s="58" t="s">
        <v>265</v>
      </c>
    </row>
    <row r="1913" spans="1:18" ht="69" customHeight="1">
      <c r="A1913" s="168"/>
      <c r="B1913" s="191">
        <v>9336</v>
      </c>
      <c r="C1913" s="191" t="s">
        <v>4277</v>
      </c>
      <c r="D1913" s="533" t="s">
        <v>5486</v>
      </c>
      <c r="E1913" s="191" t="s">
        <v>4173</v>
      </c>
      <c r="F1913" s="211" t="s">
        <v>5487</v>
      </c>
      <c r="G1913" s="46" t="s">
        <v>4082</v>
      </c>
      <c r="H1913" s="534">
        <v>0</v>
      </c>
      <c r="I1913" s="56">
        <v>45007</v>
      </c>
      <c r="J1913" s="412" t="s">
        <v>5488</v>
      </c>
      <c r="K1913" s="46" t="s">
        <v>881</v>
      </c>
      <c r="L1913" s="99"/>
      <c r="M1913" s="379"/>
      <c r="N1913" s="76" t="s">
        <v>414</v>
      </c>
      <c r="O1913" s="46"/>
      <c r="P1913" s="46" t="s">
        <v>65</v>
      </c>
      <c r="Q1913" s="46" t="s">
        <v>62</v>
      </c>
      <c r="R1913" s="46" t="s">
        <v>272</v>
      </c>
    </row>
    <row r="1914" spans="1:18" ht="69" customHeight="1">
      <c r="A1914" s="168"/>
      <c r="B1914" s="178">
        <v>9347</v>
      </c>
      <c r="C1914" s="178" t="s">
        <v>4277</v>
      </c>
      <c r="D1914" s="575" t="s">
        <v>5489</v>
      </c>
      <c r="E1914" s="178" t="s">
        <v>4173</v>
      </c>
      <c r="F1914" s="210" t="s">
        <v>5490</v>
      </c>
      <c r="G1914" s="58" t="s">
        <v>5491</v>
      </c>
      <c r="H1914" s="546">
        <v>6350</v>
      </c>
      <c r="I1914" s="66">
        <v>45009</v>
      </c>
      <c r="J1914" s="411" t="s">
        <v>5492</v>
      </c>
      <c r="K1914" s="58"/>
      <c r="L1914" s="99"/>
      <c r="M1914" s="70" t="s">
        <v>5271</v>
      </c>
      <c r="N1914" s="97" t="s">
        <v>414</v>
      </c>
      <c r="O1914" s="58"/>
      <c r="P1914" s="58" t="s">
        <v>22</v>
      </c>
      <c r="Q1914" s="58" t="s">
        <v>62</v>
      </c>
      <c r="R1914" s="58" t="s">
        <v>265</v>
      </c>
    </row>
    <row r="1915" spans="1:18" ht="69" customHeight="1">
      <c r="A1915" s="168"/>
      <c r="B1915" s="178">
        <v>9361</v>
      </c>
      <c r="C1915" s="178" t="s">
        <v>4277</v>
      </c>
      <c r="D1915" s="575" t="s">
        <v>5493</v>
      </c>
      <c r="E1915" s="178" t="s">
        <v>4173</v>
      </c>
      <c r="F1915" s="210" t="s">
        <v>5494</v>
      </c>
      <c r="G1915" s="58" t="s">
        <v>4361</v>
      </c>
      <c r="H1915" s="546">
        <v>5852.98</v>
      </c>
      <c r="I1915" s="66">
        <v>45026</v>
      </c>
      <c r="J1915" s="411" t="s">
        <v>5495</v>
      </c>
      <c r="K1915" s="58"/>
      <c r="L1915" s="99"/>
      <c r="M1915" s="70" t="s">
        <v>5271</v>
      </c>
      <c r="N1915" s="97" t="s">
        <v>414</v>
      </c>
      <c r="O1915" s="58"/>
      <c r="P1915" s="58" t="s">
        <v>22</v>
      </c>
      <c r="Q1915" s="58" t="s">
        <v>62</v>
      </c>
      <c r="R1915" s="58" t="s">
        <v>265</v>
      </c>
    </row>
    <row r="1916" spans="1:18" ht="69" customHeight="1">
      <c r="A1916" s="168"/>
      <c r="B1916" s="191">
        <v>9363</v>
      </c>
      <c r="C1916" s="191" t="s">
        <v>4277</v>
      </c>
      <c r="D1916" s="533" t="s">
        <v>5496</v>
      </c>
      <c r="E1916" s="191" t="s">
        <v>5084</v>
      </c>
      <c r="F1916" s="211" t="s">
        <v>5497</v>
      </c>
      <c r="G1916" s="46" t="s">
        <v>5175</v>
      </c>
      <c r="H1916" s="534">
        <v>9500</v>
      </c>
      <c r="I1916" s="56">
        <v>45009</v>
      </c>
      <c r="J1916" s="412" t="s">
        <v>5498</v>
      </c>
      <c r="K1916" s="46" t="s">
        <v>881</v>
      </c>
      <c r="L1916" s="99"/>
      <c r="M1916" s="379"/>
      <c r="N1916" s="76" t="s">
        <v>414</v>
      </c>
      <c r="O1916" s="46"/>
      <c r="P1916" s="46" t="s">
        <v>71</v>
      </c>
      <c r="Q1916" s="46" t="s">
        <v>62</v>
      </c>
      <c r="R1916" s="46" t="s">
        <v>272</v>
      </c>
    </row>
    <row r="1917" spans="1:18" ht="69" customHeight="1">
      <c r="A1917" s="168"/>
      <c r="B1917" s="178">
        <v>9380</v>
      </c>
      <c r="C1917" s="178" t="s">
        <v>4277</v>
      </c>
      <c r="D1917" s="575" t="s">
        <v>5499</v>
      </c>
      <c r="E1917" s="178" t="s">
        <v>4173</v>
      </c>
      <c r="F1917" s="210" t="s">
        <v>5500</v>
      </c>
      <c r="G1917" s="58" t="s">
        <v>4089</v>
      </c>
      <c r="H1917" s="546">
        <v>17200</v>
      </c>
      <c r="I1917" s="66">
        <v>45009</v>
      </c>
      <c r="J1917" s="411" t="s">
        <v>5184</v>
      </c>
      <c r="K1917" s="58"/>
      <c r="L1917" s="99"/>
      <c r="M1917" s="70" t="s">
        <v>5271</v>
      </c>
      <c r="N1917" s="97" t="s">
        <v>414</v>
      </c>
      <c r="O1917" s="58"/>
      <c r="P1917" s="58" t="s">
        <v>22</v>
      </c>
      <c r="Q1917" s="58" t="s">
        <v>62</v>
      </c>
      <c r="R1917" s="58" t="s">
        <v>265</v>
      </c>
    </row>
    <row r="1918" spans="1:18" ht="69" customHeight="1">
      <c r="A1918" s="168"/>
      <c r="B1918" s="178">
        <v>9382</v>
      </c>
      <c r="C1918" s="178" t="s">
        <v>4277</v>
      </c>
      <c r="D1918" s="575" t="s">
        <v>5501</v>
      </c>
      <c r="E1918" s="178" t="s">
        <v>4173</v>
      </c>
      <c r="F1918" s="210" t="s">
        <v>5502</v>
      </c>
      <c r="G1918" s="58" t="s">
        <v>5503</v>
      </c>
      <c r="H1918" s="546">
        <v>8433.33</v>
      </c>
      <c r="I1918" s="66">
        <v>45009</v>
      </c>
      <c r="J1918" s="411" t="s">
        <v>5184</v>
      </c>
      <c r="K1918" s="58"/>
      <c r="L1918" s="99"/>
      <c r="M1918" s="70" t="s">
        <v>5271</v>
      </c>
      <c r="N1918" s="97" t="s">
        <v>414</v>
      </c>
      <c r="O1918" s="58"/>
      <c r="P1918" s="58" t="s">
        <v>22</v>
      </c>
      <c r="Q1918" s="58" t="s">
        <v>62</v>
      </c>
      <c r="R1918" s="58" t="s">
        <v>265</v>
      </c>
    </row>
    <row r="1919" spans="1:18" ht="69" customHeight="1">
      <c r="A1919" s="168"/>
      <c r="B1919" s="178">
        <v>9393</v>
      </c>
      <c r="C1919" s="178" t="s">
        <v>4277</v>
      </c>
      <c r="D1919" s="575" t="s">
        <v>5504</v>
      </c>
      <c r="E1919" s="178" t="s">
        <v>4173</v>
      </c>
      <c r="F1919" s="210" t="s">
        <v>5505</v>
      </c>
      <c r="G1919" s="58" t="s">
        <v>5506</v>
      </c>
      <c r="H1919" s="546">
        <v>11160</v>
      </c>
      <c r="I1919" s="66">
        <v>45012</v>
      </c>
      <c r="J1919" s="411" t="s">
        <v>5188</v>
      </c>
      <c r="K1919" s="58"/>
      <c r="L1919" s="99"/>
      <c r="M1919" s="70" t="s">
        <v>5271</v>
      </c>
      <c r="N1919" s="97" t="s">
        <v>414</v>
      </c>
      <c r="O1919" s="58"/>
      <c r="P1919" s="58" t="s">
        <v>22</v>
      </c>
      <c r="Q1919" s="58" t="s">
        <v>62</v>
      </c>
      <c r="R1919" s="58" t="s">
        <v>265</v>
      </c>
    </row>
    <row r="1920" spans="1:18" ht="69" customHeight="1">
      <c r="A1920" s="168"/>
      <c r="B1920" s="178">
        <v>9395</v>
      </c>
      <c r="C1920" s="178" t="s">
        <v>4277</v>
      </c>
      <c r="D1920" s="575" t="s">
        <v>5507</v>
      </c>
      <c r="E1920" s="178" t="s">
        <v>4173</v>
      </c>
      <c r="F1920" s="210" t="s">
        <v>5508</v>
      </c>
      <c r="G1920" s="58" t="s">
        <v>4361</v>
      </c>
      <c r="H1920" s="546">
        <v>3492.25</v>
      </c>
      <c r="I1920" s="66">
        <v>45012</v>
      </c>
      <c r="J1920" s="411" t="s">
        <v>5188</v>
      </c>
      <c r="K1920" s="58"/>
      <c r="L1920" s="99"/>
      <c r="M1920" s="70" t="s">
        <v>5271</v>
      </c>
      <c r="N1920" s="97" t="s">
        <v>414</v>
      </c>
      <c r="O1920" s="58"/>
      <c r="P1920" s="58" t="s">
        <v>22</v>
      </c>
      <c r="Q1920" s="58" t="s">
        <v>62</v>
      </c>
      <c r="R1920" s="58" t="s">
        <v>265</v>
      </c>
    </row>
    <row r="1921" spans="1:18" ht="69" customHeight="1">
      <c r="A1921" s="168"/>
      <c r="B1921" s="178">
        <v>9396</v>
      </c>
      <c r="C1921" s="178" t="s">
        <v>4277</v>
      </c>
      <c r="D1921" s="575" t="s">
        <v>5509</v>
      </c>
      <c r="E1921" s="178" t="s">
        <v>4173</v>
      </c>
      <c r="F1921" s="210" t="s">
        <v>5510</v>
      </c>
      <c r="G1921" s="58" t="s">
        <v>5511</v>
      </c>
      <c r="H1921" s="546">
        <v>4010</v>
      </c>
      <c r="I1921" s="66">
        <v>45012</v>
      </c>
      <c r="J1921" s="411" t="s">
        <v>5512</v>
      </c>
      <c r="K1921" s="58"/>
      <c r="L1921" s="99">
        <f>3720.06+'Desenvolvimento diário'!H5651</f>
        <v>5723.17</v>
      </c>
      <c r="M1921" s="70" t="s">
        <v>5271</v>
      </c>
      <c r="N1921" s="97" t="s">
        <v>414</v>
      </c>
      <c r="O1921" s="58"/>
      <c r="P1921" s="58" t="s">
        <v>22</v>
      </c>
      <c r="Q1921" s="58" t="s">
        <v>62</v>
      </c>
      <c r="R1921" s="58" t="s">
        <v>265</v>
      </c>
    </row>
    <row r="1922" spans="1:18" ht="69" customHeight="1">
      <c r="A1922" s="168"/>
      <c r="B1922" s="178">
        <v>9372</v>
      </c>
      <c r="C1922" s="178" t="s">
        <v>5254</v>
      </c>
      <c r="D1922" s="575" t="s">
        <v>5513</v>
      </c>
      <c r="E1922" s="178" t="s">
        <v>266</v>
      </c>
      <c r="F1922" s="210" t="s">
        <v>5514</v>
      </c>
      <c r="G1922" s="58" t="s">
        <v>4101</v>
      </c>
      <c r="H1922" s="546">
        <v>60.44</v>
      </c>
      <c r="I1922" s="66">
        <v>45009</v>
      </c>
      <c r="J1922" s="411" t="s">
        <v>4102</v>
      </c>
      <c r="K1922" s="58"/>
      <c r="L1922" s="99"/>
      <c r="M1922" s="70" t="s">
        <v>5240</v>
      </c>
      <c r="N1922" s="97" t="s">
        <v>270</v>
      </c>
      <c r="O1922" s="58"/>
      <c r="P1922" s="58" t="s">
        <v>44</v>
      </c>
      <c r="Q1922" s="58" t="s">
        <v>62</v>
      </c>
      <c r="R1922" s="58" t="s">
        <v>272</v>
      </c>
    </row>
    <row r="1923" spans="1:18" ht="69" customHeight="1">
      <c r="A1923" s="168"/>
      <c r="B1923" s="178">
        <v>9461</v>
      </c>
      <c r="C1923" s="178" t="s">
        <v>4277</v>
      </c>
      <c r="D1923" s="575" t="s">
        <v>5515</v>
      </c>
      <c r="E1923" s="178" t="s">
        <v>4173</v>
      </c>
      <c r="F1923" s="210" t="s">
        <v>5516</v>
      </c>
      <c r="G1923" s="58" t="s">
        <v>5517</v>
      </c>
      <c r="H1923" s="546">
        <v>3298</v>
      </c>
      <c r="I1923" s="66">
        <v>45014</v>
      </c>
      <c r="J1923" s="411" t="s">
        <v>5518</v>
      </c>
      <c r="K1923" s="58"/>
      <c r="L1923" s="99"/>
      <c r="M1923" s="70" t="s">
        <v>5271</v>
      </c>
      <c r="N1923" s="97" t="s">
        <v>414</v>
      </c>
      <c r="O1923" s="58"/>
      <c r="P1923" s="58" t="s">
        <v>22</v>
      </c>
      <c r="Q1923" s="58" t="s">
        <v>62</v>
      </c>
      <c r="R1923" s="58" t="s">
        <v>265</v>
      </c>
    </row>
    <row r="1924" spans="1:18" ht="69" customHeight="1">
      <c r="A1924" s="168"/>
      <c r="B1924" s="178">
        <v>9083</v>
      </c>
      <c r="C1924" s="178" t="s">
        <v>4277</v>
      </c>
      <c r="D1924" s="575" t="s">
        <v>5519</v>
      </c>
      <c r="E1924" s="178" t="s">
        <v>4173</v>
      </c>
      <c r="F1924" s="210" t="s">
        <v>5520</v>
      </c>
      <c r="G1924" s="58" t="s">
        <v>4039</v>
      </c>
      <c r="H1924" s="546">
        <v>43060</v>
      </c>
      <c r="I1924" s="66">
        <v>45000</v>
      </c>
      <c r="J1924" s="411" t="s">
        <v>5194</v>
      </c>
      <c r="K1924" s="58"/>
      <c r="L1924" s="99"/>
      <c r="M1924" s="70" t="s">
        <v>5271</v>
      </c>
      <c r="N1924" s="97" t="s">
        <v>414</v>
      </c>
      <c r="O1924" s="58"/>
      <c r="P1924" s="58" t="s">
        <v>22</v>
      </c>
      <c r="Q1924" s="58" t="s">
        <v>62</v>
      </c>
      <c r="R1924" s="58" t="s">
        <v>265</v>
      </c>
    </row>
    <row r="1925" spans="1:18" ht="69" customHeight="1">
      <c r="A1925" s="168"/>
      <c r="B1925" s="178">
        <v>9769</v>
      </c>
      <c r="C1925" s="178" t="s">
        <v>4277</v>
      </c>
      <c r="D1925" s="575" t="s">
        <v>5521</v>
      </c>
      <c r="E1925" s="178" t="s">
        <v>3825</v>
      </c>
      <c r="F1925" s="210" t="s">
        <v>5522</v>
      </c>
      <c r="G1925" s="58" t="s">
        <v>5523</v>
      </c>
      <c r="H1925" s="546">
        <v>150000</v>
      </c>
      <c r="I1925" s="66">
        <v>45035</v>
      </c>
      <c r="J1925" s="411" t="s">
        <v>5524</v>
      </c>
      <c r="K1925" s="58"/>
      <c r="L1925" s="99"/>
      <c r="M1925" s="70" t="s">
        <v>5275</v>
      </c>
      <c r="N1925" s="97" t="s">
        <v>414</v>
      </c>
      <c r="O1925" s="58"/>
      <c r="P1925" s="58" t="s">
        <v>22</v>
      </c>
      <c r="Q1925" s="58" t="s">
        <v>62</v>
      </c>
      <c r="R1925" s="58" t="s">
        <v>272</v>
      </c>
    </row>
    <row r="1926" spans="1:18" ht="69" customHeight="1">
      <c r="A1926" s="168"/>
      <c r="B1926" s="178">
        <v>9771</v>
      </c>
      <c r="C1926" s="178" t="s">
        <v>4277</v>
      </c>
      <c r="D1926" s="575" t="s">
        <v>5525</v>
      </c>
      <c r="E1926" s="178" t="s">
        <v>4173</v>
      </c>
      <c r="F1926" s="210" t="s">
        <v>5526</v>
      </c>
      <c r="G1926" s="58" t="s">
        <v>5527</v>
      </c>
      <c r="H1926" s="546">
        <v>14040.13</v>
      </c>
      <c r="I1926" s="66">
        <v>45041</v>
      </c>
      <c r="J1926" s="411" t="s">
        <v>5528</v>
      </c>
      <c r="K1926" s="58"/>
      <c r="L1926" s="99"/>
      <c r="M1926" s="70" t="s">
        <v>5271</v>
      </c>
      <c r="N1926" s="97" t="s">
        <v>414</v>
      </c>
      <c r="O1926" s="58"/>
      <c r="P1926" s="58" t="s">
        <v>22</v>
      </c>
      <c r="Q1926" s="58" t="s">
        <v>62</v>
      </c>
      <c r="R1926" s="58" t="s">
        <v>265</v>
      </c>
    </row>
    <row r="1927" spans="1:18" ht="69" customHeight="1">
      <c r="A1927" s="168"/>
      <c r="B1927" s="178">
        <v>9773</v>
      </c>
      <c r="C1927" s="178" t="s">
        <v>4277</v>
      </c>
      <c r="D1927" s="575" t="s">
        <v>5529</v>
      </c>
      <c r="E1927" s="178" t="s">
        <v>4173</v>
      </c>
      <c r="F1927" s="210" t="s">
        <v>5530</v>
      </c>
      <c r="G1927" s="58" t="s">
        <v>4020</v>
      </c>
      <c r="H1927" s="546">
        <v>3500</v>
      </c>
      <c r="I1927" s="66">
        <v>45041</v>
      </c>
      <c r="J1927" s="411" t="s">
        <v>5528</v>
      </c>
      <c r="K1927" s="58"/>
      <c r="L1927" s="99"/>
      <c r="M1927" s="70" t="s">
        <v>5271</v>
      </c>
      <c r="N1927" s="97" t="s">
        <v>414</v>
      </c>
      <c r="O1927" s="58"/>
      <c r="P1927" s="58" t="s">
        <v>22</v>
      </c>
      <c r="Q1927" s="58" t="s">
        <v>62</v>
      </c>
      <c r="R1927" s="58" t="s">
        <v>265</v>
      </c>
    </row>
    <row r="1928" spans="1:18" ht="69" customHeight="1">
      <c r="A1928" s="168"/>
      <c r="B1928" s="178">
        <v>9774</v>
      </c>
      <c r="C1928" s="178" t="s">
        <v>4277</v>
      </c>
      <c r="D1928" s="575" t="s">
        <v>5531</v>
      </c>
      <c r="E1928" s="178" t="s">
        <v>4173</v>
      </c>
      <c r="F1928" s="210" t="s">
        <v>5532</v>
      </c>
      <c r="G1928" s="58" t="s">
        <v>4020</v>
      </c>
      <c r="H1928" s="546">
        <v>15000</v>
      </c>
      <c r="I1928" s="66">
        <v>45041</v>
      </c>
      <c r="J1928" s="411" t="s">
        <v>5528</v>
      </c>
      <c r="K1928" s="58"/>
      <c r="L1928" s="99"/>
      <c r="M1928" s="70" t="s">
        <v>5271</v>
      </c>
      <c r="N1928" s="97" t="s">
        <v>414</v>
      </c>
      <c r="O1928" s="58"/>
      <c r="P1928" s="58" t="s">
        <v>22</v>
      </c>
      <c r="Q1928" s="58" t="s">
        <v>62</v>
      </c>
      <c r="R1928" s="58" t="s">
        <v>265</v>
      </c>
    </row>
    <row r="1929" spans="1:18" ht="69" customHeight="1">
      <c r="A1929" s="168"/>
      <c r="B1929" s="178">
        <v>9775</v>
      </c>
      <c r="C1929" s="178" t="s">
        <v>4277</v>
      </c>
      <c r="D1929" s="575" t="s">
        <v>5533</v>
      </c>
      <c r="E1929" s="178" t="s">
        <v>4173</v>
      </c>
      <c r="F1929" s="210" t="s">
        <v>5534</v>
      </c>
      <c r="G1929" s="58" t="s">
        <v>4020</v>
      </c>
      <c r="H1929" s="546">
        <v>5000</v>
      </c>
      <c r="I1929" s="66">
        <v>45041</v>
      </c>
      <c r="J1929" s="411" t="s">
        <v>5528</v>
      </c>
      <c r="K1929" s="58"/>
      <c r="L1929" s="99"/>
      <c r="M1929" s="70" t="s">
        <v>5271</v>
      </c>
      <c r="N1929" s="97" t="s">
        <v>414</v>
      </c>
      <c r="O1929" s="58"/>
      <c r="P1929" s="58" t="s">
        <v>22</v>
      </c>
      <c r="Q1929" s="58" t="s">
        <v>62</v>
      </c>
      <c r="R1929" s="58" t="s">
        <v>265</v>
      </c>
    </row>
    <row r="1930" spans="1:18" ht="69" customHeight="1">
      <c r="A1930" s="168"/>
      <c r="B1930" s="178">
        <v>9770</v>
      </c>
      <c r="C1930" s="178" t="s">
        <v>4277</v>
      </c>
      <c r="D1930" s="575" t="s">
        <v>5535</v>
      </c>
      <c r="E1930" s="178" t="s">
        <v>4173</v>
      </c>
      <c r="F1930" s="210" t="s">
        <v>5536</v>
      </c>
      <c r="G1930" s="58" t="s">
        <v>4119</v>
      </c>
      <c r="H1930" s="546">
        <v>5044.75</v>
      </c>
      <c r="I1930" s="66">
        <v>45041</v>
      </c>
      <c r="J1930" s="411" t="s">
        <v>5528</v>
      </c>
      <c r="K1930" s="58"/>
      <c r="L1930" s="99"/>
      <c r="M1930" s="70" t="s">
        <v>5271</v>
      </c>
      <c r="N1930" s="97" t="s">
        <v>414</v>
      </c>
      <c r="O1930" s="58"/>
      <c r="P1930" s="58" t="s">
        <v>22</v>
      </c>
      <c r="Q1930" s="58" t="s">
        <v>62</v>
      </c>
      <c r="R1930" s="58" t="s">
        <v>265</v>
      </c>
    </row>
    <row r="1931" spans="1:18" ht="69" customHeight="1">
      <c r="A1931" s="168"/>
      <c r="B1931" s="178">
        <v>9772</v>
      </c>
      <c r="C1931" s="178" t="s">
        <v>4277</v>
      </c>
      <c r="D1931" s="575" t="s">
        <v>5537</v>
      </c>
      <c r="E1931" s="178" t="s">
        <v>4173</v>
      </c>
      <c r="F1931" s="210" t="s">
        <v>5538</v>
      </c>
      <c r="G1931" s="58" t="s">
        <v>4395</v>
      </c>
      <c r="H1931" s="546">
        <v>7080</v>
      </c>
      <c r="I1931" s="66">
        <v>45041</v>
      </c>
      <c r="J1931" s="411" t="s">
        <v>5528</v>
      </c>
      <c r="K1931" s="58"/>
      <c r="L1931" s="99"/>
      <c r="M1931" s="70" t="s">
        <v>5271</v>
      </c>
      <c r="N1931" s="97" t="s">
        <v>414</v>
      </c>
      <c r="O1931" s="58"/>
      <c r="P1931" s="58" t="s">
        <v>22</v>
      </c>
      <c r="Q1931" s="58" t="s">
        <v>62</v>
      </c>
      <c r="R1931" s="58" t="s">
        <v>265</v>
      </c>
    </row>
    <row r="1932" spans="1:18" ht="69" customHeight="1">
      <c r="A1932" s="168"/>
      <c r="B1932" s="178">
        <v>9782</v>
      </c>
      <c r="C1932" s="178" t="s">
        <v>4277</v>
      </c>
      <c r="D1932" s="575" t="s">
        <v>5539</v>
      </c>
      <c r="E1932" s="178" t="s">
        <v>4173</v>
      </c>
      <c r="F1932" s="210" t="s">
        <v>5540</v>
      </c>
      <c r="G1932" s="58" t="s">
        <v>5541</v>
      </c>
      <c r="H1932" s="546">
        <v>14000</v>
      </c>
      <c r="I1932" s="66">
        <v>45051</v>
      </c>
      <c r="J1932" s="411" t="s">
        <v>5542</v>
      </c>
      <c r="K1932" s="58"/>
      <c r="L1932" s="99"/>
      <c r="M1932" s="70" t="s">
        <v>4884</v>
      </c>
      <c r="N1932" s="97" t="s">
        <v>414</v>
      </c>
      <c r="O1932" s="58"/>
      <c r="P1932" s="58" t="s">
        <v>22</v>
      </c>
      <c r="Q1932" s="58" t="s">
        <v>60</v>
      </c>
      <c r="R1932" s="58" t="s">
        <v>265</v>
      </c>
    </row>
    <row r="1933" spans="1:18" ht="69" customHeight="1">
      <c r="A1933" s="168"/>
      <c r="B1933" s="207">
        <v>9783</v>
      </c>
      <c r="C1933" s="207" t="s">
        <v>4277</v>
      </c>
      <c r="D1933" s="301" t="s">
        <v>5543</v>
      </c>
      <c r="E1933" s="207" t="s">
        <v>4173</v>
      </c>
      <c r="F1933" s="208" t="s">
        <v>5544</v>
      </c>
      <c r="G1933" s="160" t="s">
        <v>5545</v>
      </c>
      <c r="H1933" s="300">
        <v>3140</v>
      </c>
      <c r="I1933" s="209">
        <v>45010</v>
      </c>
      <c r="J1933" s="322" t="s">
        <v>5542</v>
      </c>
      <c r="K1933" s="160" t="s">
        <v>727</v>
      </c>
      <c r="M1933" s="380"/>
      <c r="N1933" s="82" t="s">
        <v>414</v>
      </c>
      <c r="O1933" s="160"/>
      <c r="P1933" s="160" t="s">
        <v>67</v>
      </c>
      <c r="Q1933" s="160" t="s">
        <v>62</v>
      </c>
      <c r="R1933" s="160" t="s">
        <v>272</v>
      </c>
    </row>
    <row r="1934" spans="1:18" ht="69" customHeight="1">
      <c r="A1934" s="168"/>
      <c r="B1934" s="178">
        <v>9803</v>
      </c>
      <c r="C1934" s="178" t="s">
        <v>4277</v>
      </c>
      <c r="D1934" s="575" t="s">
        <v>5546</v>
      </c>
      <c r="E1934" s="178" t="s">
        <v>4173</v>
      </c>
      <c r="F1934" s="210" t="s">
        <v>5547</v>
      </c>
      <c r="G1934" s="58" t="s">
        <v>5548</v>
      </c>
      <c r="H1934" s="546">
        <v>8066.3</v>
      </c>
      <c r="I1934" s="66">
        <v>45041</v>
      </c>
      <c r="J1934" s="411" t="s">
        <v>5206</v>
      </c>
      <c r="K1934" s="58"/>
      <c r="L1934" s="99"/>
      <c r="M1934" s="70" t="s">
        <v>5271</v>
      </c>
      <c r="N1934" s="97" t="s">
        <v>414</v>
      </c>
      <c r="O1934" s="58"/>
      <c r="P1934" s="58" t="s">
        <v>22</v>
      </c>
      <c r="Q1934" s="58" t="s">
        <v>62</v>
      </c>
      <c r="R1934" s="58" t="s">
        <v>265</v>
      </c>
    </row>
    <row r="1935" spans="1:18" ht="69" customHeight="1">
      <c r="A1935" s="168"/>
      <c r="B1935" s="178">
        <v>9805</v>
      </c>
      <c r="C1935" s="178" t="s">
        <v>4277</v>
      </c>
      <c r="D1935" s="575" t="s">
        <v>5549</v>
      </c>
      <c r="E1935" s="178" t="s">
        <v>4173</v>
      </c>
      <c r="F1935" s="210" t="s">
        <v>5550</v>
      </c>
      <c r="G1935" s="58" t="s">
        <v>5205</v>
      </c>
      <c r="H1935" s="546">
        <v>17200</v>
      </c>
      <c r="I1935" s="66">
        <v>45041</v>
      </c>
      <c r="J1935" s="411" t="s">
        <v>5206</v>
      </c>
      <c r="K1935" s="58"/>
      <c r="L1935" s="99"/>
      <c r="M1935" s="70" t="s">
        <v>5271</v>
      </c>
      <c r="N1935" s="97" t="s">
        <v>414</v>
      </c>
      <c r="O1935" s="58" t="s">
        <v>4116</v>
      </c>
      <c r="P1935" s="58" t="s">
        <v>22</v>
      </c>
      <c r="Q1935" s="58" t="s">
        <v>62</v>
      </c>
      <c r="R1935" s="58" t="s">
        <v>265</v>
      </c>
    </row>
    <row r="1936" spans="1:18" ht="69" customHeight="1">
      <c r="A1936" s="168"/>
      <c r="B1936" s="178">
        <v>9821</v>
      </c>
      <c r="C1936" s="59" t="s">
        <v>3667</v>
      </c>
      <c r="D1936" s="575" t="s">
        <v>5551</v>
      </c>
      <c r="E1936" s="178" t="s">
        <v>266</v>
      </c>
      <c r="F1936" s="210" t="s">
        <v>5552</v>
      </c>
      <c r="G1936" s="58" t="s">
        <v>590</v>
      </c>
      <c r="H1936" s="546">
        <v>1150</v>
      </c>
      <c r="I1936" s="66">
        <v>45041</v>
      </c>
      <c r="J1936" s="411" t="s">
        <v>4105</v>
      </c>
      <c r="K1936" s="58"/>
      <c r="L1936" s="99"/>
      <c r="M1936" s="70" t="s">
        <v>5240</v>
      </c>
      <c r="N1936" s="97" t="s">
        <v>270</v>
      </c>
      <c r="O1936" s="58"/>
      <c r="P1936" s="58" t="s">
        <v>44</v>
      </c>
      <c r="Q1936" s="58" t="s">
        <v>62</v>
      </c>
      <c r="R1936" s="58" t="s">
        <v>272</v>
      </c>
    </row>
    <row r="1937" spans="1:18" ht="69" customHeight="1">
      <c r="A1937" s="168"/>
      <c r="B1937" s="178">
        <v>9880</v>
      </c>
      <c r="C1937" s="178" t="s">
        <v>4277</v>
      </c>
      <c r="D1937" s="575" t="s">
        <v>5553</v>
      </c>
      <c r="E1937" s="178" t="s">
        <v>1372</v>
      </c>
      <c r="F1937" s="210" t="s">
        <v>5554</v>
      </c>
      <c r="G1937" s="58" t="s">
        <v>5201</v>
      </c>
      <c r="H1937" s="546">
        <v>68898.5</v>
      </c>
      <c r="I1937" s="66">
        <v>45044</v>
      </c>
      <c r="J1937" s="411" t="s">
        <v>5555</v>
      </c>
      <c r="K1937" s="58"/>
      <c r="L1937" s="99"/>
      <c r="M1937" s="70" t="s">
        <v>5471</v>
      </c>
      <c r="N1937" s="97" t="s">
        <v>1372</v>
      </c>
      <c r="O1937" s="58"/>
      <c r="P1937" s="58" t="s">
        <v>57</v>
      </c>
      <c r="Q1937" s="58" t="s">
        <v>62</v>
      </c>
      <c r="R1937" s="58" t="s">
        <v>272</v>
      </c>
    </row>
    <row r="1938" spans="1:18" ht="69" customHeight="1">
      <c r="A1938" s="168"/>
      <c r="B1938" s="191">
        <v>2982</v>
      </c>
      <c r="C1938" s="191" t="s">
        <v>3643</v>
      </c>
      <c r="D1938" s="533" t="s">
        <v>2009</v>
      </c>
      <c r="E1938" s="191" t="s">
        <v>331</v>
      </c>
      <c r="F1938" s="211" t="s">
        <v>5556</v>
      </c>
      <c r="G1938" s="46" t="s">
        <v>4416</v>
      </c>
      <c r="H1938" s="534">
        <v>0</v>
      </c>
      <c r="I1938" s="56" t="s">
        <v>96</v>
      </c>
      <c r="J1938" s="412" t="s">
        <v>334</v>
      </c>
      <c r="K1938" s="46"/>
      <c r="L1938" s="99"/>
      <c r="M1938" s="379" t="s">
        <v>5557</v>
      </c>
      <c r="N1938" s="76" t="s">
        <v>69</v>
      </c>
      <c r="O1938" s="46"/>
      <c r="P1938" s="46" t="s">
        <v>69</v>
      </c>
      <c r="Q1938" s="46" t="s">
        <v>64</v>
      </c>
      <c r="R1938" s="46" t="s">
        <v>272</v>
      </c>
    </row>
    <row r="1939" spans="1:18" ht="69" customHeight="1">
      <c r="A1939" s="168"/>
      <c r="B1939" s="191">
        <v>3209</v>
      </c>
      <c r="C1939" s="191" t="s">
        <v>5558</v>
      </c>
      <c r="D1939" s="533" t="s">
        <v>330</v>
      </c>
      <c r="E1939" s="191" t="s">
        <v>331</v>
      </c>
      <c r="F1939" s="211" t="s">
        <v>5556</v>
      </c>
      <c r="G1939" s="46" t="s">
        <v>4416</v>
      </c>
      <c r="H1939" s="534">
        <v>0</v>
      </c>
      <c r="I1939" s="56" t="s">
        <v>96</v>
      </c>
      <c r="J1939" s="412" t="s">
        <v>334</v>
      </c>
      <c r="K1939" s="46"/>
      <c r="L1939" s="99"/>
      <c r="M1939" s="379" t="s">
        <v>5557</v>
      </c>
      <c r="N1939" s="76" t="s">
        <v>69</v>
      </c>
      <c r="O1939" s="46"/>
      <c r="P1939" s="46" t="s">
        <v>69</v>
      </c>
      <c r="Q1939" s="46" t="s">
        <v>64</v>
      </c>
      <c r="R1939" s="46" t="s">
        <v>272</v>
      </c>
    </row>
    <row r="1940" spans="1:18" ht="69" customHeight="1">
      <c r="A1940" s="168"/>
      <c r="B1940" s="178">
        <v>4106</v>
      </c>
      <c r="C1940" s="178" t="s">
        <v>5558</v>
      </c>
      <c r="D1940" s="575" t="s">
        <v>1678</v>
      </c>
      <c r="E1940" s="178" t="s">
        <v>266</v>
      </c>
      <c r="F1940" s="210" t="s">
        <v>5559</v>
      </c>
      <c r="G1940" s="58" t="s">
        <v>5560</v>
      </c>
      <c r="H1940" s="546">
        <v>7060</v>
      </c>
      <c r="I1940" s="66">
        <v>44645</v>
      </c>
      <c r="J1940" s="411" t="s">
        <v>5561</v>
      </c>
      <c r="K1940" s="58"/>
      <c r="L1940" s="99"/>
      <c r="M1940" s="70" t="s">
        <v>5562</v>
      </c>
      <c r="N1940" s="97" t="s">
        <v>270</v>
      </c>
      <c r="O1940" s="58"/>
      <c r="P1940" s="58" t="s">
        <v>44</v>
      </c>
      <c r="Q1940" s="58" t="s">
        <v>64</v>
      </c>
      <c r="R1940" s="58" t="s">
        <v>272</v>
      </c>
    </row>
    <row r="1941" spans="1:18" ht="69" customHeight="1">
      <c r="A1941" s="168"/>
      <c r="B1941" s="178">
        <v>4206</v>
      </c>
      <c r="C1941" s="59" t="s">
        <v>3667</v>
      </c>
      <c r="D1941" s="575" t="s">
        <v>5563</v>
      </c>
      <c r="E1941" s="178" t="s">
        <v>266</v>
      </c>
      <c r="F1941" s="210" t="s">
        <v>5564</v>
      </c>
      <c r="G1941" s="58" t="s">
        <v>640</v>
      </c>
      <c r="H1941" s="546">
        <v>11250</v>
      </c>
      <c r="I1941" s="66">
        <v>44664</v>
      </c>
      <c r="J1941" s="411" t="s">
        <v>5565</v>
      </c>
      <c r="K1941" s="58"/>
      <c r="L1941" s="99"/>
      <c r="M1941" s="70" t="s">
        <v>5562</v>
      </c>
      <c r="N1941" s="97" t="s">
        <v>270</v>
      </c>
      <c r="O1941" s="58"/>
      <c r="P1941" s="58" t="s">
        <v>44</v>
      </c>
      <c r="Q1941" s="58" t="s">
        <v>64</v>
      </c>
      <c r="R1941" s="58" t="s">
        <v>272</v>
      </c>
    </row>
    <row r="1942" spans="1:18" ht="69" customHeight="1">
      <c r="A1942" s="168"/>
      <c r="B1942" s="178">
        <v>4485</v>
      </c>
      <c r="C1942" s="59" t="s">
        <v>3667</v>
      </c>
      <c r="D1942" s="575" t="s">
        <v>5566</v>
      </c>
      <c r="E1942" s="178" t="s">
        <v>266</v>
      </c>
      <c r="F1942" s="210" t="s">
        <v>5567</v>
      </c>
      <c r="G1942" s="58" t="s">
        <v>315</v>
      </c>
      <c r="H1942" s="546">
        <v>9000</v>
      </c>
      <c r="I1942" s="66">
        <v>44670</v>
      </c>
      <c r="J1942" s="411" t="s">
        <v>5568</v>
      </c>
      <c r="K1942" s="58"/>
      <c r="L1942" s="99"/>
      <c r="M1942" s="70" t="s">
        <v>5562</v>
      </c>
      <c r="N1942" s="97" t="s">
        <v>270</v>
      </c>
      <c r="O1942" s="58"/>
      <c r="P1942" s="58" t="s">
        <v>44</v>
      </c>
      <c r="Q1942" s="58" t="s">
        <v>64</v>
      </c>
      <c r="R1942" s="58" t="s">
        <v>272</v>
      </c>
    </row>
    <row r="1943" spans="1:18" ht="69" customHeight="1">
      <c r="A1943" s="168"/>
      <c r="B1943" s="178">
        <v>4732</v>
      </c>
      <c r="C1943" s="178" t="s">
        <v>5558</v>
      </c>
      <c r="D1943" s="575" t="s">
        <v>645</v>
      </c>
      <c r="E1943" s="178" t="s">
        <v>331</v>
      </c>
      <c r="F1943" s="210" t="s">
        <v>5569</v>
      </c>
      <c r="G1943" s="58"/>
      <c r="H1943" s="546">
        <v>3389.12</v>
      </c>
      <c r="I1943" s="66">
        <v>44678</v>
      </c>
      <c r="J1943" s="411" t="s">
        <v>5570</v>
      </c>
      <c r="K1943" s="58"/>
      <c r="L1943" s="99"/>
      <c r="M1943" s="70" t="s">
        <v>5562</v>
      </c>
      <c r="N1943" s="97" t="s">
        <v>270</v>
      </c>
      <c r="O1943" s="58"/>
      <c r="P1943" s="58" t="s">
        <v>44</v>
      </c>
      <c r="Q1943" s="58" t="s">
        <v>64</v>
      </c>
      <c r="R1943" s="58" t="s">
        <v>272</v>
      </c>
    </row>
    <row r="1944" spans="1:18" ht="69" customHeight="1">
      <c r="A1944" s="168"/>
      <c r="B1944" s="178">
        <v>4616</v>
      </c>
      <c r="C1944" s="178" t="s">
        <v>5558</v>
      </c>
      <c r="D1944" s="575" t="s">
        <v>5571</v>
      </c>
      <c r="E1944" s="178" t="s">
        <v>305</v>
      </c>
      <c r="F1944" s="210" t="s">
        <v>5572</v>
      </c>
      <c r="G1944" s="58" t="s">
        <v>5573</v>
      </c>
      <c r="H1944" s="546">
        <v>88.78</v>
      </c>
      <c r="I1944" s="66">
        <v>44697</v>
      </c>
      <c r="J1944" s="411" t="s">
        <v>5574</v>
      </c>
      <c r="K1944" s="58"/>
      <c r="L1944" s="99"/>
      <c r="M1944" s="70" t="s">
        <v>5562</v>
      </c>
      <c r="N1944" s="97" t="s">
        <v>270</v>
      </c>
      <c r="O1944" s="58"/>
      <c r="P1944" s="58" t="s">
        <v>44</v>
      </c>
      <c r="Q1944" s="58" t="s">
        <v>64</v>
      </c>
      <c r="R1944" s="58" t="s">
        <v>272</v>
      </c>
    </row>
    <row r="1945" spans="1:18" ht="69" customHeight="1">
      <c r="A1945" s="168"/>
      <c r="B1945" s="178">
        <v>4913</v>
      </c>
      <c r="C1945" s="178" t="s">
        <v>5558</v>
      </c>
      <c r="D1945" s="575" t="s">
        <v>1506</v>
      </c>
      <c r="E1945" s="178" t="s">
        <v>266</v>
      </c>
      <c r="F1945" s="210" t="s">
        <v>5575</v>
      </c>
      <c r="G1945" s="58" t="s">
        <v>4574</v>
      </c>
      <c r="H1945" s="546">
        <v>605.83000000000004</v>
      </c>
      <c r="I1945" s="66">
        <v>44699</v>
      </c>
      <c r="J1945" s="411" t="s">
        <v>5576</v>
      </c>
      <c r="K1945" s="58"/>
      <c r="L1945" s="99"/>
      <c r="M1945" s="70" t="s">
        <v>5562</v>
      </c>
      <c r="N1945" s="97" t="s">
        <v>270</v>
      </c>
      <c r="O1945" s="58"/>
      <c r="P1945" s="58" t="s">
        <v>44</v>
      </c>
      <c r="Q1945" s="58" t="s">
        <v>64</v>
      </c>
      <c r="R1945" s="58" t="s">
        <v>272</v>
      </c>
    </row>
    <row r="1946" spans="1:18" ht="69" customHeight="1">
      <c r="A1946" s="168"/>
      <c r="B1946" s="178">
        <v>4914</v>
      </c>
      <c r="C1946" s="178" t="s">
        <v>5558</v>
      </c>
      <c r="D1946" s="575" t="s">
        <v>1712</v>
      </c>
      <c r="E1946" s="178" t="s">
        <v>266</v>
      </c>
      <c r="F1946" s="210" t="s">
        <v>5577</v>
      </c>
      <c r="G1946" s="58" t="s">
        <v>4574</v>
      </c>
      <c r="H1946" s="546">
        <v>596.29</v>
      </c>
      <c r="I1946" s="66">
        <v>44699</v>
      </c>
      <c r="J1946" s="411" t="s">
        <v>5578</v>
      </c>
      <c r="K1946" s="58"/>
      <c r="L1946" s="99"/>
      <c r="M1946" s="70" t="s">
        <v>5562</v>
      </c>
      <c r="N1946" s="97" t="s">
        <v>270</v>
      </c>
      <c r="O1946" s="58"/>
      <c r="P1946" s="58" t="s">
        <v>44</v>
      </c>
      <c r="Q1946" s="58" t="s">
        <v>64</v>
      </c>
      <c r="R1946" s="58" t="s">
        <v>272</v>
      </c>
    </row>
    <row r="1947" spans="1:18" ht="69" customHeight="1">
      <c r="A1947" s="168"/>
      <c r="B1947" s="178">
        <v>4915</v>
      </c>
      <c r="C1947" s="178" t="s">
        <v>5558</v>
      </c>
      <c r="D1947" s="575" t="s">
        <v>2011</v>
      </c>
      <c r="E1947" s="178" t="s">
        <v>266</v>
      </c>
      <c r="F1947" s="210" t="s">
        <v>5579</v>
      </c>
      <c r="G1947" s="58" t="s">
        <v>4574</v>
      </c>
      <c r="H1947" s="546">
        <v>316.81</v>
      </c>
      <c r="I1947" s="66">
        <v>44699</v>
      </c>
      <c r="J1947" s="411" t="s">
        <v>5580</v>
      </c>
      <c r="K1947" s="58"/>
      <c r="L1947" s="99"/>
      <c r="M1947" s="70" t="s">
        <v>5562</v>
      </c>
      <c r="N1947" s="97" t="s">
        <v>270</v>
      </c>
      <c r="O1947" s="58"/>
      <c r="P1947" s="58" t="s">
        <v>44</v>
      </c>
      <c r="Q1947" s="58" t="s">
        <v>64</v>
      </c>
      <c r="R1947" s="58" t="s">
        <v>272</v>
      </c>
    </row>
    <row r="1948" spans="1:18" ht="69" customHeight="1">
      <c r="A1948" s="168"/>
      <c r="B1948" s="178">
        <v>4916</v>
      </c>
      <c r="C1948" s="178" t="s">
        <v>5558</v>
      </c>
      <c r="D1948" s="575" t="s">
        <v>2483</v>
      </c>
      <c r="E1948" s="178" t="s">
        <v>266</v>
      </c>
      <c r="F1948" s="210" t="s">
        <v>5581</v>
      </c>
      <c r="G1948" s="58" t="s">
        <v>4574</v>
      </c>
      <c r="H1948" s="546">
        <v>559.04999999999995</v>
      </c>
      <c r="I1948" s="66">
        <v>44699</v>
      </c>
      <c r="J1948" s="411" t="s">
        <v>5582</v>
      </c>
      <c r="K1948" s="58"/>
      <c r="L1948" s="99"/>
      <c r="M1948" s="70" t="s">
        <v>5562</v>
      </c>
      <c r="N1948" s="97" t="s">
        <v>270</v>
      </c>
      <c r="O1948" s="58"/>
      <c r="P1948" s="58" t="s">
        <v>44</v>
      </c>
      <c r="Q1948" s="58" t="s">
        <v>64</v>
      </c>
      <c r="R1948" s="58" t="s">
        <v>272</v>
      </c>
    </row>
    <row r="1949" spans="1:18" ht="69" customHeight="1">
      <c r="A1949" s="168"/>
      <c r="B1949" s="178">
        <v>4732</v>
      </c>
      <c r="C1949" s="178" t="s">
        <v>5558</v>
      </c>
      <c r="D1949" s="575" t="s">
        <v>3490</v>
      </c>
      <c r="E1949" s="178" t="s">
        <v>331</v>
      </c>
      <c r="F1949" s="210" t="s">
        <v>5583</v>
      </c>
      <c r="G1949" s="58" t="s">
        <v>372</v>
      </c>
      <c r="H1949" s="546">
        <v>30502.1</v>
      </c>
      <c r="I1949" s="66">
        <v>44701</v>
      </c>
      <c r="J1949" s="411" t="s">
        <v>5584</v>
      </c>
      <c r="K1949" s="58"/>
      <c r="L1949" s="99"/>
      <c r="M1949" s="70" t="s">
        <v>5562</v>
      </c>
      <c r="N1949" s="97" t="s">
        <v>270</v>
      </c>
      <c r="O1949" s="58"/>
      <c r="P1949" s="58" t="s">
        <v>44</v>
      </c>
      <c r="Q1949" s="58" t="s">
        <v>64</v>
      </c>
      <c r="R1949" s="58" t="s">
        <v>272</v>
      </c>
    </row>
    <row r="1950" spans="1:18" ht="69" customHeight="1">
      <c r="A1950" s="168"/>
      <c r="B1950" s="178">
        <v>4939</v>
      </c>
      <c r="C1950" s="178" t="s">
        <v>5558</v>
      </c>
      <c r="D1950" s="575" t="s">
        <v>5585</v>
      </c>
      <c r="E1950" s="178" t="s">
        <v>266</v>
      </c>
      <c r="F1950" s="210" t="s">
        <v>5586</v>
      </c>
      <c r="G1950" s="58" t="s">
        <v>376</v>
      </c>
      <c r="H1950" s="546">
        <v>2465.06</v>
      </c>
      <c r="I1950" s="66">
        <v>44706</v>
      </c>
      <c r="J1950" s="411" t="s">
        <v>5587</v>
      </c>
      <c r="K1950" s="58"/>
      <c r="L1950" s="99"/>
      <c r="M1950" s="70" t="s">
        <v>5562</v>
      </c>
      <c r="N1950" s="97" t="s">
        <v>270</v>
      </c>
      <c r="O1950" s="58"/>
      <c r="P1950" s="58" t="s">
        <v>44</v>
      </c>
      <c r="Q1950" s="58" t="s">
        <v>64</v>
      </c>
      <c r="R1950" s="58" t="s">
        <v>272</v>
      </c>
    </row>
    <row r="1951" spans="1:18" ht="69" customHeight="1">
      <c r="A1951" s="168"/>
      <c r="B1951" s="178">
        <v>4957</v>
      </c>
      <c r="C1951" s="178" t="s">
        <v>5558</v>
      </c>
      <c r="D1951" s="575" t="s">
        <v>3480</v>
      </c>
      <c r="E1951" s="178" t="s">
        <v>266</v>
      </c>
      <c r="F1951" s="210" t="s">
        <v>5588</v>
      </c>
      <c r="G1951" s="58" t="s">
        <v>4568</v>
      </c>
      <c r="H1951" s="546">
        <v>4000</v>
      </c>
      <c r="I1951" s="66">
        <v>44712</v>
      </c>
      <c r="J1951" s="411" t="s">
        <v>5589</v>
      </c>
      <c r="K1951" s="58"/>
      <c r="L1951" s="99"/>
      <c r="M1951" s="70" t="s">
        <v>5562</v>
      </c>
      <c r="N1951" s="97" t="s">
        <v>270</v>
      </c>
      <c r="O1951" s="58"/>
      <c r="P1951" s="58" t="s">
        <v>44</v>
      </c>
      <c r="Q1951" s="58" t="s">
        <v>64</v>
      </c>
      <c r="R1951" s="58" t="s">
        <v>272</v>
      </c>
    </row>
    <row r="1952" spans="1:18" ht="69" customHeight="1">
      <c r="A1952" s="168"/>
      <c r="B1952" s="178">
        <v>5032</v>
      </c>
      <c r="C1952" s="178" t="s">
        <v>5558</v>
      </c>
      <c r="D1952" s="575" t="s">
        <v>5590</v>
      </c>
      <c r="E1952" s="178" t="s">
        <v>266</v>
      </c>
      <c r="F1952" s="210" t="s">
        <v>5591</v>
      </c>
      <c r="G1952" s="58" t="s">
        <v>5592</v>
      </c>
      <c r="H1952" s="546">
        <v>3200</v>
      </c>
      <c r="I1952" s="66">
        <v>44729</v>
      </c>
      <c r="J1952" s="411" t="s">
        <v>5593</v>
      </c>
      <c r="K1952" s="58"/>
      <c r="L1952" s="99"/>
      <c r="M1952" s="70" t="s">
        <v>5562</v>
      </c>
      <c r="N1952" s="97" t="s">
        <v>270</v>
      </c>
      <c r="O1952" s="58"/>
      <c r="P1952" s="58" t="s">
        <v>44</v>
      </c>
      <c r="Q1952" s="58" t="s">
        <v>64</v>
      </c>
      <c r="R1952" s="58" t="s">
        <v>272</v>
      </c>
    </row>
    <row r="1953" spans="1:18" ht="69" customHeight="1">
      <c r="A1953" s="168"/>
      <c r="B1953" s="178">
        <v>5104</v>
      </c>
      <c r="C1953" s="178" t="s">
        <v>5558</v>
      </c>
      <c r="D1953" s="575" t="s">
        <v>5594</v>
      </c>
      <c r="E1953" s="178" t="s">
        <v>266</v>
      </c>
      <c r="F1953" s="210" t="s">
        <v>5595</v>
      </c>
      <c r="G1953" s="58" t="s">
        <v>376</v>
      </c>
      <c r="H1953" s="546">
        <v>3697.58</v>
      </c>
      <c r="I1953" s="66">
        <v>44732</v>
      </c>
      <c r="J1953" s="411" t="s">
        <v>5596</v>
      </c>
      <c r="K1953" s="58"/>
      <c r="L1953" s="99"/>
      <c r="M1953" s="70" t="s">
        <v>5562</v>
      </c>
      <c r="N1953" s="97" t="s">
        <v>270</v>
      </c>
      <c r="O1953" s="58"/>
      <c r="P1953" s="58" t="s">
        <v>44</v>
      </c>
      <c r="Q1953" s="58" t="s">
        <v>64</v>
      </c>
      <c r="R1953" s="58" t="s">
        <v>272</v>
      </c>
    </row>
    <row r="1954" spans="1:18" ht="69" customHeight="1">
      <c r="A1954" s="168"/>
      <c r="B1954" s="178">
        <v>13</v>
      </c>
      <c r="C1954" s="59" t="s">
        <v>3667</v>
      </c>
      <c r="D1954" s="575" t="s">
        <v>2741</v>
      </c>
      <c r="E1954" s="178" t="s">
        <v>382</v>
      </c>
      <c r="F1954" s="210" t="s">
        <v>5597</v>
      </c>
      <c r="G1954" s="58" t="s">
        <v>384</v>
      </c>
      <c r="H1954" s="546">
        <v>27761.33</v>
      </c>
      <c r="I1954" s="66">
        <v>44739</v>
      </c>
      <c r="J1954" s="411" t="s">
        <v>5598</v>
      </c>
      <c r="K1954" s="58"/>
      <c r="L1954" s="99"/>
      <c r="M1954" s="70" t="s">
        <v>5599</v>
      </c>
      <c r="N1954" s="97" t="s">
        <v>387</v>
      </c>
      <c r="O1954" s="45" t="s">
        <v>150</v>
      </c>
      <c r="P1954" s="58" t="s">
        <v>51</v>
      </c>
      <c r="Q1954" s="58" t="s">
        <v>64</v>
      </c>
      <c r="R1954" s="58" t="s">
        <v>272</v>
      </c>
    </row>
    <row r="1955" spans="1:18" ht="69" customHeight="1">
      <c r="A1955" s="168"/>
      <c r="B1955" s="178">
        <v>13</v>
      </c>
      <c r="C1955" s="59" t="s">
        <v>3667</v>
      </c>
      <c r="D1955" s="575" t="s">
        <v>3500</v>
      </c>
      <c r="E1955" s="178" t="s">
        <v>382</v>
      </c>
      <c r="F1955" s="210" t="s">
        <v>5600</v>
      </c>
      <c r="G1955" s="58" t="s">
        <v>384</v>
      </c>
      <c r="H1955" s="546">
        <v>39819.519999999997</v>
      </c>
      <c r="I1955" s="66">
        <v>44739</v>
      </c>
      <c r="J1955" s="411" t="s">
        <v>5601</v>
      </c>
      <c r="K1955" s="58"/>
      <c r="L1955" s="99"/>
      <c r="M1955" s="70" t="s">
        <v>5599</v>
      </c>
      <c r="N1955" s="97" t="s">
        <v>387</v>
      </c>
      <c r="O1955" s="45" t="s">
        <v>150</v>
      </c>
      <c r="P1955" s="58" t="s">
        <v>51</v>
      </c>
      <c r="Q1955" s="58" t="s">
        <v>64</v>
      </c>
      <c r="R1955" s="58" t="s">
        <v>272</v>
      </c>
    </row>
    <row r="1956" spans="1:18" ht="69" customHeight="1">
      <c r="A1956" s="168"/>
      <c r="B1956" s="178">
        <v>6272</v>
      </c>
      <c r="C1956" s="178" t="s">
        <v>5558</v>
      </c>
      <c r="D1956" s="575" t="s">
        <v>1517</v>
      </c>
      <c r="E1956" s="178" t="s">
        <v>266</v>
      </c>
      <c r="F1956" s="210" t="s">
        <v>5602</v>
      </c>
      <c r="G1956" s="58" t="s">
        <v>2268</v>
      </c>
      <c r="H1956" s="546">
        <v>800</v>
      </c>
      <c r="I1956" s="66">
        <v>44741</v>
      </c>
      <c r="J1956" s="411" t="s">
        <v>5603</v>
      </c>
      <c r="K1956" s="58"/>
      <c r="L1956" s="99"/>
      <c r="M1956" s="70" t="s">
        <v>5562</v>
      </c>
      <c r="N1956" s="97" t="s">
        <v>270</v>
      </c>
      <c r="O1956" s="58"/>
      <c r="P1956" s="58" t="s">
        <v>44</v>
      </c>
      <c r="Q1956" s="58" t="s">
        <v>64</v>
      </c>
      <c r="R1956" s="58" t="s">
        <v>272</v>
      </c>
    </row>
    <row r="1957" spans="1:18" ht="69" customHeight="1">
      <c r="A1957" s="168"/>
      <c r="B1957" s="178">
        <v>5245</v>
      </c>
      <c r="C1957" s="178" t="s">
        <v>5558</v>
      </c>
      <c r="D1957" s="575" t="s">
        <v>5604</v>
      </c>
      <c r="E1957" s="178" t="s">
        <v>266</v>
      </c>
      <c r="F1957" s="210" t="s">
        <v>5605</v>
      </c>
      <c r="G1957" s="58" t="s">
        <v>396</v>
      </c>
      <c r="H1957" s="546">
        <v>3500</v>
      </c>
      <c r="I1957" s="66">
        <v>44753</v>
      </c>
      <c r="J1957" s="411" t="s">
        <v>5606</v>
      </c>
      <c r="K1957" s="58"/>
      <c r="L1957" s="99"/>
      <c r="M1957" s="70" t="s">
        <v>5607</v>
      </c>
      <c r="N1957" s="97" t="s">
        <v>399</v>
      </c>
      <c r="O1957" s="62" t="s">
        <v>147</v>
      </c>
      <c r="P1957" s="58" t="s">
        <v>42</v>
      </c>
      <c r="Q1957" s="58" t="s">
        <v>64</v>
      </c>
      <c r="R1957" s="58" t="s">
        <v>272</v>
      </c>
    </row>
    <row r="1958" spans="1:18" ht="69" customHeight="1">
      <c r="A1958" s="168"/>
      <c r="B1958" s="178">
        <v>5250</v>
      </c>
      <c r="C1958" s="178" t="s">
        <v>5558</v>
      </c>
      <c r="D1958" s="575" t="s">
        <v>2270</v>
      </c>
      <c r="E1958" s="178" t="s">
        <v>266</v>
      </c>
      <c r="F1958" s="210" t="s">
        <v>5608</v>
      </c>
      <c r="G1958" s="58" t="s">
        <v>396</v>
      </c>
      <c r="H1958" s="546">
        <v>5878.3</v>
      </c>
      <c r="I1958" s="66">
        <v>44753</v>
      </c>
      <c r="J1958" s="411" t="s">
        <v>5609</v>
      </c>
      <c r="K1958" s="58"/>
      <c r="L1958" s="99"/>
      <c r="M1958" s="70" t="s">
        <v>5607</v>
      </c>
      <c r="N1958" s="97" t="s">
        <v>399</v>
      </c>
      <c r="O1958" s="62" t="s">
        <v>147</v>
      </c>
      <c r="P1958" s="58" t="s">
        <v>42</v>
      </c>
      <c r="Q1958" s="58" t="s">
        <v>64</v>
      </c>
      <c r="R1958" s="58" t="s">
        <v>272</v>
      </c>
    </row>
    <row r="1959" spans="1:18" ht="69" customHeight="1">
      <c r="A1959" s="168"/>
      <c r="B1959" s="256">
        <v>6087</v>
      </c>
      <c r="C1959" s="256" t="s">
        <v>5558</v>
      </c>
      <c r="D1959" s="299" t="s">
        <v>5610</v>
      </c>
      <c r="E1959" s="256" t="s">
        <v>409</v>
      </c>
      <c r="F1959" s="263" t="s">
        <v>5611</v>
      </c>
      <c r="G1959" s="118" t="s">
        <v>411</v>
      </c>
      <c r="H1959" s="300">
        <v>0</v>
      </c>
      <c r="I1959" s="209" t="s">
        <v>96</v>
      </c>
      <c r="J1959" s="409" t="s">
        <v>5612</v>
      </c>
      <c r="K1959" s="118" t="s">
        <v>5611</v>
      </c>
      <c r="L1959" s="99"/>
      <c r="M1959" s="380" t="s">
        <v>5557</v>
      </c>
      <c r="N1959" s="82" t="s">
        <v>414</v>
      </c>
      <c r="O1959" s="100"/>
      <c r="P1959" s="118" t="s">
        <v>22</v>
      </c>
      <c r="Q1959" s="160" t="s">
        <v>64</v>
      </c>
      <c r="R1959" s="160" t="s">
        <v>272</v>
      </c>
    </row>
    <row r="1960" spans="1:18" ht="69" customHeight="1">
      <c r="A1960" s="168"/>
      <c r="B1960" s="178">
        <v>6087</v>
      </c>
      <c r="C1960" s="178" t="s">
        <v>5558</v>
      </c>
      <c r="D1960" s="575" t="s">
        <v>2054</v>
      </c>
      <c r="E1960" s="178" t="s">
        <v>409</v>
      </c>
      <c r="F1960" s="210" t="s">
        <v>5613</v>
      </c>
      <c r="G1960" s="58" t="s">
        <v>411</v>
      </c>
      <c r="H1960" s="546">
        <v>403650</v>
      </c>
      <c r="I1960" s="66">
        <v>44769</v>
      </c>
      <c r="J1960" s="411" t="s">
        <v>5612</v>
      </c>
      <c r="K1960" s="58"/>
      <c r="L1960" s="99"/>
      <c r="M1960" s="70" t="s">
        <v>5614</v>
      </c>
      <c r="N1960" s="97" t="s">
        <v>414</v>
      </c>
      <c r="O1960" s="58"/>
      <c r="P1960" s="58" t="s">
        <v>22</v>
      </c>
      <c r="Q1960" s="58" t="s">
        <v>64</v>
      </c>
      <c r="R1960" s="58" t="s">
        <v>272</v>
      </c>
    </row>
    <row r="1961" spans="1:18" ht="69" customHeight="1">
      <c r="A1961" s="168"/>
      <c r="B1961" s="178">
        <v>6416</v>
      </c>
      <c r="C1961" s="178" t="s">
        <v>5615</v>
      </c>
      <c r="D1961" s="575" t="s">
        <v>5616</v>
      </c>
      <c r="E1961" s="178" t="s">
        <v>432</v>
      </c>
      <c r="F1961" s="210" t="s">
        <v>5617</v>
      </c>
      <c r="G1961" s="58" t="s">
        <v>429</v>
      </c>
      <c r="H1961" s="546">
        <v>13959.486000000001</v>
      </c>
      <c r="I1961" s="66">
        <v>44802</v>
      </c>
      <c r="J1961" s="411" t="s">
        <v>5618</v>
      </c>
      <c r="K1961" s="58" t="s">
        <v>5619</v>
      </c>
      <c r="L1961" s="99"/>
      <c r="M1961" s="70"/>
      <c r="N1961" s="97" t="s">
        <v>53</v>
      </c>
      <c r="O1961" s="58"/>
      <c r="P1961" s="58" t="s">
        <v>53</v>
      </c>
      <c r="Q1961" s="58" t="s">
        <v>93</v>
      </c>
      <c r="R1961" s="58" t="s">
        <v>272</v>
      </c>
    </row>
    <row r="1962" spans="1:18" ht="69" customHeight="1">
      <c r="A1962" s="168"/>
      <c r="B1962" s="178">
        <v>6439</v>
      </c>
      <c r="C1962" s="178" t="s">
        <v>309</v>
      </c>
      <c r="D1962" s="575" t="s">
        <v>5620</v>
      </c>
      <c r="E1962" s="178" t="s">
        <v>432</v>
      </c>
      <c r="F1962" s="210" t="s">
        <v>5621</v>
      </c>
      <c r="G1962" s="58" t="s">
        <v>429</v>
      </c>
      <c r="H1962" s="546">
        <v>13959.486000000001</v>
      </c>
      <c r="I1962" s="66">
        <v>44802</v>
      </c>
      <c r="J1962" s="411" t="s">
        <v>5622</v>
      </c>
      <c r="K1962" s="58"/>
      <c r="L1962" s="99"/>
      <c r="M1962" s="70"/>
      <c r="N1962" s="97"/>
      <c r="O1962" s="58"/>
      <c r="P1962" s="58" t="s">
        <v>53</v>
      </c>
      <c r="Q1962" s="58" t="s">
        <v>45</v>
      </c>
      <c r="R1962" s="58" t="s">
        <v>272</v>
      </c>
    </row>
    <row r="1963" spans="1:18" ht="69" customHeight="1">
      <c r="A1963" s="168"/>
      <c r="B1963" s="178">
        <v>6412</v>
      </c>
      <c r="C1963" s="178" t="s">
        <v>5558</v>
      </c>
      <c r="D1963" s="575" t="s">
        <v>5623</v>
      </c>
      <c r="E1963" s="178" t="s">
        <v>432</v>
      </c>
      <c r="F1963" s="210" t="s">
        <v>5624</v>
      </c>
      <c r="G1963" s="58" t="s">
        <v>429</v>
      </c>
      <c r="H1963" s="546">
        <v>13959.486000000001</v>
      </c>
      <c r="I1963" s="66">
        <v>44802</v>
      </c>
      <c r="J1963" s="411" t="s">
        <v>5625</v>
      </c>
      <c r="K1963" s="58"/>
      <c r="L1963" s="99"/>
      <c r="M1963" s="70" t="s">
        <v>5626</v>
      </c>
      <c r="N1963" s="97" t="s">
        <v>432</v>
      </c>
      <c r="O1963" s="58"/>
      <c r="P1963" s="58" t="s">
        <v>53</v>
      </c>
      <c r="Q1963" s="58" t="s">
        <v>64</v>
      </c>
      <c r="R1963" s="58" t="s">
        <v>272</v>
      </c>
    </row>
    <row r="1964" spans="1:18" ht="69" customHeight="1">
      <c r="A1964" s="168"/>
      <c r="B1964" s="178">
        <v>6840</v>
      </c>
      <c r="C1964" s="178" t="s">
        <v>5558</v>
      </c>
      <c r="D1964" s="575" t="s">
        <v>3298</v>
      </c>
      <c r="E1964" s="178" t="s">
        <v>266</v>
      </c>
      <c r="F1964" s="210" t="s">
        <v>5627</v>
      </c>
      <c r="G1964" s="58" t="s">
        <v>448</v>
      </c>
      <c r="H1964" s="546">
        <v>17500</v>
      </c>
      <c r="I1964" s="66">
        <v>44832</v>
      </c>
      <c r="J1964" s="411" t="s">
        <v>5628</v>
      </c>
      <c r="K1964" s="58"/>
      <c r="L1964" s="99"/>
      <c r="M1964" s="70" t="s">
        <v>5629</v>
      </c>
      <c r="N1964" s="97" t="s">
        <v>552</v>
      </c>
      <c r="O1964" s="62" t="s">
        <v>147</v>
      </c>
      <c r="P1964" s="58" t="s">
        <v>42</v>
      </c>
      <c r="Q1964" s="58" t="s">
        <v>64</v>
      </c>
      <c r="R1964" s="58" t="s">
        <v>272</v>
      </c>
    </row>
    <row r="1965" spans="1:18" ht="69" customHeight="1">
      <c r="A1965" s="168"/>
      <c r="B1965" s="178">
        <v>6814</v>
      </c>
      <c r="C1965" s="59" t="s">
        <v>3667</v>
      </c>
      <c r="D1965" s="575" t="s">
        <v>5630</v>
      </c>
      <c r="E1965" s="178" t="s">
        <v>266</v>
      </c>
      <c r="F1965" s="210" t="s">
        <v>5631</v>
      </c>
      <c r="G1965" s="58" t="s">
        <v>392</v>
      </c>
      <c r="H1965" s="546">
        <v>2250</v>
      </c>
      <c r="I1965" s="66">
        <v>44839</v>
      </c>
      <c r="J1965" s="411" t="s">
        <v>5632</v>
      </c>
      <c r="K1965" s="58"/>
      <c r="L1965" s="99"/>
      <c r="M1965" s="70" t="s">
        <v>5562</v>
      </c>
      <c r="N1965" s="97" t="s">
        <v>270</v>
      </c>
      <c r="O1965" s="58"/>
      <c r="P1965" s="58" t="s">
        <v>44</v>
      </c>
      <c r="Q1965" s="58" t="s">
        <v>64</v>
      </c>
      <c r="R1965" s="58" t="s">
        <v>272</v>
      </c>
    </row>
    <row r="1966" spans="1:18" ht="69" customHeight="1">
      <c r="A1966" s="168"/>
      <c r="B1966" s="178">
        <v>7482</v>
      </c>
      <c r="C1966" s="59" t="s">
        <v>3667</v>
      </c>
      <c r="D1966" s="575" t="s">
        <v>3032</v>
      </c>
      <c r="E1966" s="178" t="s">
        <v>266</v>
      </c>
      <c r="F1966" s="210" t="s">
        <v>5633</v>
      </c>
      <c r="G1966" s="58" t="s">
        <v>444</v>
      </c>
      <c r="H1966" s="546">
        <v>5334.67</v>
      </c>
      <c r="I1966" s="66">
        <v>44879</v>
      </c>
      <c r="J1966" s="411" t="s">
        <v>445</v>
      </c>
      <c r="K1966" s="58"/>
      <c r="L1966" s="99"/>
      <c r="M1966" s="70" t="s">
        <v>5562</v>
      </c>
      <c r="N1966" s="97" t="s">
        <v>270</v>
      </c>
      <c r="O1966" s="58"/>
      <c r="P1966" s="58" t="s">
        <v>44</v>
      </c>
      <c r="Q1966" s="58" t="s">
        <v>64</v>
      </c>
      <c r="R1966" s="58" t="s">
        <v>272</v>
      </c>
    </row>
    <row r="1967" spans="1:18" ht="69" customHeight="1">
      <c r="A1967" s="168"/>
      <c r="B1967" s="178">
        <v>7017</v>
      </c>
      <c r="C1967" s="178" t="s">
        <v>5558</v>
      </c>
      <c r="D1967" s="575" t="s">
        <v>1798</v>
      </c>
      <c r="E1967" s="178" t="s">
        <v>979</v>
      </c>
      <c r="F1967" s="210" t="s">
        <v>5634</v>
      </c>
      <c r="G1967" s="58" t="s">
        <v>805</v>
      </c>
      <c r="H1967" s="546">
        <v>118860</v>
      </c>
      <c r="I1967" s="66">
        <v>44849</v>
      </c>
      <c r="J1967" s="411" t="s">
        <v>5635</v>
      </c>
      <c r="K1967" s="58"/>
      <c r="L1967" s="99"/>
      <c r="M1967" s="70" t="s">
        <v>5636</v>
      </c>
      <c r="N1967" s="97" t="s">
        <v>356</v>
      </c>
      <c r="O1967" s="58" t="s">
        <v>156</v>
      </c>
      <c r="P1967" s="58" t="s">
        <v>19</v>
      </c>
      <c r="Q1967" s="58" t="s">
        <v>64</v>
      </c>
      <c r="R1967" s="58" t="s">
        <v>265</v>
      </c>
    </row>
    <row r="1968" spans="1:18" ht="69" customHeight="1">
      <c r="A1968" s="168"/>
      <c r="B1968" s="178">
        <v>9376</v>
      </c>
      <c r="C1968" s="178" t="s">
        <v>5558</v>
      </c>
      <c r="D1968" s="575" t="s">
        <v>5637</v>
      </c>
      <c r="E1968" s="178" t="s">
        <v>266</v>
      </c>
      <c r="F1968" s="210" t="s">
        <v>5638</v>
      </c>
      <c r="G1968" s="58" t="s">
        <v>4101</v>
      </c>
      <c r="H1968" s="546">
        <v>60.44</v>
      </c>
      <c r="I1968" s="66">
        <v>45009</v>
      </c>
      <c r="J1968" s="411" t="s">
        <v>4102</v>
      </c>
      <c r="K1968" s="58"/>
      <c r="L1968" s="99"/>
      <c r="M1968" s="70" t="s">
        <v>5562</v>
      </c>
      <c r="N1968" s="97" t="s">
        <v>270</v>
      </c>
      <c r="O1968" s="58"/>
      <c r="P1968" s="58" t="s">
        <v>44</v>
      </c>
      <c r="Q1968" s="58" t="s">
        <v>64</v>
      </c>
      <c r="R1968" s="58" t="s">
        <v>272</v>
      </c>
    </row>
    <row r="1969" spans="1:18" ht="69" customHeight="1">
      <c r="A1969" s="168"/>
      <c r="B1969" s="178"/>
      <c r="C1969" s="178" t="s">
        <v>5558</v>
      </c>
      <c r="D1969" s="575"/>
      <c r="E1969" s="178" t="s">
        <v>5639</v>
      </c>
      <c r="F1969" s="210" t="s">
        <v>5640</v>
      </c>
      <c r="G1969" s="58" t="s">
        <v>9</v>
      </c>
      <c r="H1969" s="546">
        <v>50000</v>
      </c>
      <c r="I1969" s="66">
        <v>44482</v>
      </c>
      <c r="J1969" s="411"/>
      <c r="K1969" s="58"/>
      <c r="L1969" s="99"/>
      <c r="M1969" s="70" t="s">
        <v>5641</v>
      </c>
      <c r="N1969" s="97" t="s">
        <v>356</v>
      </c>
      <c r="O1969" s="58" t="s">
        <v>156</v>
      </c>
      <c r="P1969" s="58" t="s">
        <v>19</v>
      </c>
      <c r="Q1969" s="58" t="s">
        <v>64</v>
      </c>
      <c r="R1969" s="58" t="s">
        <v>272</v>
      </c>
    </row>
    <row r="1970" spans="1:18" ht="69" customHeight="1">
      <c r="A1970" s="168"/>
      <c r="B1970" s="178">
        <v>9826</v>
      </c>
      <c r="C1970" s="59" t="s">
        <v>3667</v>
      </c>
      <c r="D1970" s="575" t="s">
        <v>5642</v>
      </c>
      <c r="E1970" s="178" t="s">
        <v>266</v>
      </c>
      <c r="F1970" s="210" t="s">
        <v>5643</v>
      </c>
      <c r="G1970" s="58" t="s">
        <v>590</v>
      </c>
      <c r="H1970" s="546">
        <v>1150</v>
      </c>
      <c r="I1970" s="66">
        <v>45041</v>
      </c>
      <c r="J1970" s="411" t="s">
        <v>4105</v>
      </c>
      <c r="K1970" s="58"/>
      <c r="L1970" s="99"/>
      <c r="M1970" s="70" t="s">
        <v>5562</v>
      </c>
      <c r="N1970" s="97" t="s">
        <v>270</v>
      </c>
      <c r="O1970" s="58"/>
      <c r="P1970" s="58" t="s">
        <v>44</v>
      </c>
      <c r="Q1970" s="58" t="s">
        <v>64</v>
      </c>
      <c r="R1970" s="58" t="s">
        <v>272</v>
      </c>
    </row>
    <row r="1971" spans="1:18" ht="69" customHeight="1">
      <c r="A1971" s="168"/>
      <c r="B1971" s="178">
        <v>9827</v>
      </c>
      <c r="C1971" s="178" t="s">
        <v>5558</v>
      </c>
      <c r="D1971" s="575" t="s">
        <v>5644</v>
      </c>
      <c r="E1971" s="178" t="s">
        <v>266</v>
      </c>
      <c r="F1971" s="210" t="s">
        <v>5645</v>
      </c>
      <c r="G1971" s="58" t="s">
        <v>590</v>
      </c>
      <c r="H1971" s="546">
        <v>6000</v>
      </c>
      <c r="I1971" s="66">
        <v>45041</v>
      </c>
      <c r="J1971" s="411" t="s">
        <v>4105</v>
      </c>
      <c r="K1971" s="58"/>
      <c r="L1971" s="99"/>
      <c r="M1971" s="70" t="s">
        <v>5562</v>
      </c>
      <c r="N1971" s="97" t="s">
        <v>270</v>
      </c>
      <c r="O1971" s="58"/>
      <c r="P1971" s="58" t="s">
        <v>44</v>
      </c>
      <c r="Q1971" s="58" t="s">
        <v>64</v>
      </c>
      <c r="R1971" s="58" t="s">
        <v>272</v>
      </c>
    </row>
    <row r="1972" spans="1:18" ht="69" customHeight="1">
      <c r="A1972" s="168"/>
      <c r="B1972" s="178">
        <v>9828</v>
      </c>
      <c r="C1972" s="178" t="s">
        <v>5558</v>
      </c>
      <c r="D1972" s="575" t="s">
        <v>5646</v>
      </c>
      <c r="E1972" s="178" t="s">
        <v>266</v>
      </c>
      <c r="F1972" s="210" t="s">
        <v>5647</v>
      </c>
      <c r="G1972" s="58" t="s">
        <v>590</v>
      </c>
      <c r="H1972" s="546">
        <v>6875</v>
      </c>
      <c r="I1972" s="66">
        <v>45041</v>
      </c>
      <c r="J1972" s="411" t="s">
        <v>4105</v>
      </c>
      <c r="K1972" s="58"/>
      <c r="L1972" s="99"/>
      <c r="M1972" s="70" t="s">
        <v>5562</v>
      </c>
      <c r="N1972" s="97" t="s">
        <v>270</v>
      </c>
      <c r="O1972" s="58"/>
      <c r="P1972" s="58" t="s">
        <v>44</v>
      </c>
      <c r="Q1972" s="58" t="s">
        <v>64</v>
      </c>
      <c r="R1972" s="58" t="s">
        <v>272</v>
      </c>
    </row>
    <row r="1973" spans="1:18" ht="69" customHeight="1">
      <c r="A1973" s="168"/>
      <c r="B1973" s="178">
        <v>9842</v>
      </c>
      <c r="C1973" s="178" t="s">
        <v>5558</v>
      </c>
      <c r="D1973" s="575" t="s">
        <v>5648</v>
      </c>
      <c r="E1973" s="178" t="s">
        <v>585</v>
      </c>
      <c r="F1973" s="210" t="s">
        <v>5649</v>
      </c>
      <c r="G1973" s="58" t="s">
        <v>5650</v>
      </c>
      <c r="H1973" s="546">
        <v>6000</v>
      </c>
      <c r="I1973" s="66">
        <v>45061</v>
      </c>
      <c r="J1973" s="411" t="s">
        <v>5651</v>
      </c>
      <c r="K1973" s="58"/>
      <c r="L1973" s="99"/>
      <c r="M1973" s="70" t="s">
        <v>5562</v>
      </c>
      <c r="N1973" s="97" t="s">
        <v>270</v>
      </c>
      <c r="O1973" s="58"/>
      <c r="P1973" s="58" t="s">
        <v>44</v>
      </c>
      <c r="Q1973" s="58" t="s">
        <v>64</v>
      </c>
      <c r="R1973" s="58" t="s">
        <v>272</v>
      </c>
    </row>
    <row r="1974" spans="1:18" ht="69" customHeight="1">
      <c r="A1974" s="168"/>
      <c r="B1974" s="178">
        <v>9922</v>
      </c>
      <c r="C1974" s="178" t="s">
        <v>5558</v>
      </c>
      <c r="D1974" s="575" t="s">
        <v>5652</v>
      </c>
      <c r="E1974" s="178" t="s">
        <v>266</v>
      </c>
      <c r="F1974" s="210" t="s">
        <v>5653</v>
      </c>
      <c r="G1974" s="58" t="s">
        <v>5654</v>
      </c>
      <c r="H1974" s="546">
        <v>6000</v>
      </c>
      <c r="I1974" s="66">
        <v>45061</v>
      </c>
      <c r="J1974" s="411" t="s">
        <v>5655</v>
      </c>
      <c r="K1974" s="58"/>
      <c r="L1974" s="99"/>
      <c r="M1974" s="70" t="s">
        <v>5562</v>
      </c>
      <c r="N1974" s="97" t="s">
        <v>270</v>
      </c>
      <c r="O1974" s="58"/>
      <c r="P1974" s="58" t="s">
        <v>44</v>
      </c>
      <c r="Q1974" s="58" t="s">
        <v>64</v>
      </c>
      <c r="R1974" s="58" t="s">
        <v>272</v>
      </c>
    </row>
    <row r="1975" spans="1:18" ht="69" customHeight="1">
      <c r="A1975" s="168"/>
      <c r="B1975" s="178">
        <v>9923</v>
      </c>
      <c r="C1975" s="178" t="s">
        <v>5558</v>
      </c>
      <c r="D1975" s="575" t="s">
        <v>5656</v>
      </c>
      <c r="E1975" s="178" t="s">
        <v>266</v>
      </c>
      <c r="F1975" s="210" t="s">
        <v>5657</v>
      </c>
      <c r="G1975" s="58" t="s">
        <v>5654</v>
      </c>
      <c r="H1975" s="546">
        <v>6875</v>
      </c>
      <c r="I1975" s="66">
        <v>45061</v>
      </c>
      <c r="J1975" s="411" t="s">
        <v>5655</v>
      </c>
      <c r="K1975" s="58"/>
      <c r="L1975" s="99"/>
      <c r="M1975" s="70" t="s">
        <v>5562</v>
      </c>
      <c r="N1975" s="97" t="s">
        <v>270</v>
      </c>
      <c r="O1975" s="58"/>
      <c r="P1975" s="58" t="s">
        <v>44</v>
      </c>
      <c r="Q1975" s="58" t="s">
        <v>64</v>
      </c>
      <c r="R1975" s="58" t="s">
        <v>272</v>
      </c>
    </row>
    <row r="1976" spans="1:18" ht="69" customHeight="1">
      <c r="A1976" s="168"/>
      <c r="B1976" s="191">
        <v>3210</v>
      </c>
      <c r="C1976" s="191" t="s">
        <v>5658</v>
      </c>
      <c r="D1976" s="533" t="s">
        <v>330</v>
      </c>
      <c r="E1976" s="191" t="s">
        <v>331</v>
      </c>
      <c r="F1976" s="211" t="s">
        <v>5659</v>
      </c>
      <c r="G1976" s="46" t="s">
        <v>4416</v>
      </c>
      <c r="H1976" s="534">
        <v>0</v>
      </c>
      <c r="I1976" s="56" t="s">
        <v>96</v>
      </c>
      <c r="J1976" s="412" t="s">
        <v>334</v>
      </c>
      <c r="K1976" s="46"/>
      <c r="L1976" s="99"/>
      <c r="M1976" s="379" t="s">
        <v>66</v>
      </c>
      <c r="N1976" s="76" t="s">
        <v>69</v>
      </c>
      <c r="O1976" s="46"/>
      <c r="P1976" s="46" t="s">
        <v>69</v>
      </c>
      <c r="Q1976" s="46" t="s">
        <v>66</v>
      </c>
      <c r="R1976" s="46" t="s">
        <v>272</v>
      </c>
    </row>
    <row r="1977" spans="1:18" ht="69" customHeight="1">
      <c r="A1977" s="168"/>
      <c r="B1977" s="178">
        <v>3938</v>
      </c>
      <c r="C1977" s="59" t="s">
        <v>3667</v>
      </c>
      <c r="D1977" s="575" t="s">
        <v>5660</v>
      </c>
      <c r="E1977" s="178" t="s">
        <v>921</v>
      </c>
      <c r="F1977" s="210" t="s">
        <v>5661</v>
      </c>
      <c r="G1977" s="58" t="s">
        <v>5662</v>
      </c>
      <c r="H1977" s="546">
        <v>29487.5</v>
      </c>
      <c r="I1977" s="66">
        <v>44616</v>
      </c>
      <c r="J1977" s="411" t="s">
        <v>5663</v>
      </c>
      <c r="K1977" s="58" t="s">
        <v>5664</v>
      </c>
      <c r="L1977" s="99"/>
      <c r="M1977" s="70" t="s">
        <v>5665</v>
      </c>
      <c r="N1977" s="97" t="s">
        <v>356</v>
      </c>
      <c r="O1977" s="58" t="s">
        <v>156</v>
      </c>
      <c r="P1977" s="58" t="s">
        <v>19</v>
      </c>
      <c r="Q1977" s="58" t="s">
        <v>66</v>
      </c>
      <c r="R1977" s="58" t="s">
        <v>272</v>
      </c>
    </row>
    <row r="1978" spans="1:18" ht="69" customHeight="1">
      <c r="A1978" s="168"/>
      <c r="B1978" s="178">
        <v>3939</v>
      </c>
      <c r="C1978" s="59" t="s">
        <v>3667</v>
      </c>
      <c r="D1978" s="575" t="s">
        <v>405</v>
      </c>
      <c r="E1978" s="178" t="s">
        <v>921</v>
      </c>
      <c r="F1978" s="210" t="s">
        <v>5666</v>
      </c>
      <c r="G1978" s="58" t="s">
        <v>5662</v>
      </c>
      <c r="H1978" s="546">
        <v>7105.0000000000009</v>
      </c>
      <c r="I1978" s="66">
        <v>44616</v>
      </c>
      <c r="J1978" s="411" t="s">
        <v>5667</v>
      </c>
      <c r="K1978" s="58" t="s">
        <v>5664</v>
      </c>
      <c r="L1978" s="99"/>
      <c r="M1978" s="70" t="s">
        <v>5665</v>
      </c>
      <c r="N1978" s="97" t="s">
        <v>356</v>
      </c>
      <c r="O1978" s="58" t="s">
        <v>156</v>
      </c>
      <c r="P1978" s="58" t="s">
        <v>19</v>
      </c>
      <c r="Q1978" s="58" t="s">
        <v>66</v>
      </c>
      <c r="R1978" s="58" t="s">
        <v>272</v>
      </c>
    </row>
    <row r="1979" spans="1:18" ht="69" customHeight="1">
      <c r="A1979" s="168"/>
      <c r="B1979" s="178">
        <v>3940</v>
      </c>
      <c r="C1979" s="59" t="s">
        <v>3667</v>
      </c>
      <c r="D1979" s="575" t="s">
        <v>5668</v>
      </c>
      <c r="E1979" s="178" t="s">
        <v>921</v>
      </c>
      <c r="F1979" s="210" t="s">
        <v>5669</v>
      </c>
      <c r="G1979" s="58" t="s">
        <v>5662</v>
      </c>
      <c r="H1979" s="546">
        <v>7105.0000000000009</v>
      </c>
      <c r="I1979" s="66">
        <v>44616</v>
      </c>
      <c r="J1979" s="411" t="s">
        <v>5670</v>
      </c>
      <c r="K1979" s="58" t="s">
        <v>5664</v>
      </c>
      <c r="L1979" s="99"/>
      <c r="M1979" s="70" t="s">
        <v>5665</v>
      </c>
      <c r="N1979" s="97" t="s">
        <v>356</v>
      </c>
      <c r="O1979" s="58" t="s">
        <v>156</v>
      </c>
      <c r="P1979" s="58" t="s">
        <v>19</v>
      </c>
      <c r="Q1979" s="58" t="s">
        <v>66</v>
      </c>
      <c r="R1979" s="58" t="s">
        <v>272</v>
      </c>
    </row>
    <row r="1980" spans="1:18" ht="69" customHeight="1">
      <c r="A1980" s="168"/>
      <c r="B1980" s="178">
        <v>4136</v>
      </c>
      <c r="C1980" s="59" t="s">
        <v>3667</v>
      </c>
      <c r="D1980" s="575" t="s">
        <v>5671</v>
      </c>
      <c r="E1980" s="178" t="s">
        <v>266</v>
      </c>
      <c r="F1980" s="210" t="s">
        <v>5672</v>
      </c>
      <c r="G1980" s="58" t="s">
        <v>703</v>
      </c>
      <c r="H1980" s="546">
        <v>2137</v>
      </c>
      <c r="I1980" s="66">
        <v>44642</v>
      </c>
      <c r="J1980" s="411" t="s">
        <v>5673</v>
      </c>
      <c r="K1980" s="58"/>
      <c r="L1980" s="99"/>
      <c r="M1980" s="70" t="s">
        <v>5674</v>
      </c>
      <c r="N1980" s="97" t="s">
        <v>270</v>
      </c>
      <c r="O1980" s="58"/>
      <c r="P1980" s="58" t="s">
        <v>44</v>
      </c>
      <c r="Q1980" s="58" t="s">
        <v>66</v>
      </c>
      <c r="R1980" s="58" t="s">
        <v>272</v>
      </c>
    </row>
    <row r="1981" spans="1:18" ht="69" customHeight="1">
      <c r="A1981" s="168"/>
      <c r="B1981" s="178">
        <v>4620</v>
      </c>
      <c r="C1981" s="59" t="s">
        <v>3667</v>
      </c>
      <c r="D1981" s="575" t="s">
        <v>2223</v>
      </c>
      <c r="E1981" s="178" t="s">
        <v>266</v>
      </c>
      <c r="F1981" s="210" t="s">
        <v>5675</v>
      </c>
      <c r="G1981" s="58" t="s">
        <v>392</v>
      </c>
      <c r="H1981" s="546">
        <v>477.03</v>
      </c>
      <c r="I1981" s="66">
        <v>44671</v>
      </c>
      <c r="J1981" s="411" t="s">
        <v>5676</v>
      </c>
      <c r="K1981" s="58"/>
      <c r="L1981" s="99"/>
      <c r="M1981" s="70" t="s">
        <v>5674</v>
      </c>
      <c r="N1981" s="97" t="s">
        <v>270</v>
      </c>
      <c r="O1981" s="58"/>
      <c r="P1981" s="58" t="s">
        <v>44</v>
      </c>
      <c r="Q1981" s="58" t="s">
        <v>66</v>
      </c>
      <c r="R1981" s="58" t="s">
        <v>272</v>
      </c>
    </row>
    <row r="1982" spans="1:18" ht="69" customHeight="1">
      <c r="A1982" s="168"/>
      <c r="B1982" s="178">
        <v>4621</v>
      </c>
      <c r="C1982" s="59" t="s">
        <v>3667</v>
      </c>
      <c r="D1982" s="575" t="s">
        <v>5677</v>
      </c>
      <c r="E1982" s="178" t="s">
        <v>266</v>
      </c>
      <c r="F1982" s="210" t="s">
        <v>5678</v>
      </c>
      <c r="G1982" s="58" t="s">
        <v>392</v>
      </c>
      <c r="H1982" s="546">
        <v>477.03</v>
      </c>
      <c r="I1982" s="66">
        <v>44671</v>
      </c>
      <c r="J1982" s="411" t="s">
        <v>5679</v>
      </c>
      <c r="K1982" s="58"/>
      <c r="L1982" s="99"/>
      <c r="M1982" s="70" t="s">
        <v>5674</v>
      </c>
      <c r="N1982" s="97" t="s">
        <v>270</v>
      </c>
      <c r="O1982" s="58"/>
      <c r="P1982" s="58" t="s">
        <v>44</v>
      </c>
      <c r="Q1982" s="58" t="s">
        <v>66</v>
      </c>
      <c r="R1982" s="58" t="s">
        <v>272</v>
      </c>
    </row>
    <row r="1983" spans="1:18" ht="69" customHeight="1">
      <c r="A1983" s="168"/>
      <c r="B1983" s="178">
        <v>4022</v>
      </c>
      <c r="C1983" s="59" t="s">
        <v>3667</v>
      </c>
      <c r="D1983" s="575" t="s">
        <v>588</v>
      </c>
      <c r="E1983" s="178" t="s">
        <v>266</v>
      </c>
      <c r="F1983" s="210" t="s">
        <v>5680</v>
      </c>
      <c r="G1983" s="58" t="s">
        <v>392</v>
      </c>
      <c r="H1983" s="546">
        <v>2730.76</v>
      </c>
      <c r="I1983" s="66">
        <v>44671</v>
      </c>
      <c r="J1983" s="411" t="s">
        <v>5681</v>
      </c>
      <c r="K1983" s="58"/>
      <c r="L1983" s="99"/>
      <c r="M1983" s="70" t="s">
        <v>5674</v>
      </c>
      <c r="N1983" s="97" t="s">
        <v>270</v>
      </c>
      <c r="O1983" s="58"/>
      <c r="P1983" s="58" t="s">
        <v>44</v>
      </c>
      <c r="Q1983" s="58" t="s">
        <v>66</v>
      </c>
      <c r="R1983" s="58" t="s">
        <v>272</v>
      </c>
    </row>
    <row r="1984" spans="1:18" ht="69" customHeight="1">
      <c r="A1984" s="168"/>
      <c r="B1984" s="178">
        <v>4118</v>
      </c>
      <c r="C1984" s="178" t="s">
        <v>5658</v>
      </c>
      <c r="D1984" s="575" t="s">
        <v>2685</v>
      </c>
      <c r="E1984" s="178" t="s">
        <v>266</v>
      </c>
      <c r="F1984" s="210" t="s">
        <v>5682</v>
      </c>
      <c r="G1984" s="58" t="s">
        <v>376</v>
      </c>
      <c r="H1984" s="546">
        <v>6080</v>
      </c>
      <c r="I1984" s="66">
        <v>44676</v>
      </c>
      <c r="J1984" s="411" t="s">
        <v>5683</v>
      </c>
      <c r="K1984" s="58"/>
      <c r="L1984" s="99"/>
      <c r="M1984" s="70" t="s">
        <v>5674</v>
      </c>
      <c r="N1984" s="97" t="s">
        <v>270</v>
      </c>
      <c r="O1984" s="58"/>
      <c r="P1984" s="58" t="s">
        <v>44</v>
      </c>
      <c r="Q1984" s="58" t="s">
        <v>66</v>
      </c>
      <c r="R1984" s="58" t="s">
        <v>272</v>
      </c>
    </row>
    <row r="1985" spans="1:18" ht="69" customHeight="1">
      <c r="A1985" s="168"/>
      <c r="B1985" s="178">
        <v>4920</v>
      </c>
      <c r="C1985" s="178" t="s">
        <v>5658</v>
      </c>
      <c r="D1985" s="575" t="s">
        <v>357</v>
      </c>
      <c r="E1985" s="178" t="s">
        <v>266</v>
      </c>
      <c r="F1985" s="210" t="s">
        <v>5684</v>
      </c>
      <c r="G1985" s="58" t="s">
        <v>4574</v>
      </c>
      <c r="H1985" s="546">
        <v>607.26</v>
      </c>
      <c r="I1985" s="66">
        <v>44699</v>
      </c>
      <c r="J1985" s="411" t="s">
        <v>5685</v>
      </c>
      <c r="K1985" s="58"/>
      <c r="L1985" s="99"/>
      <c r="M1985" s="70" t="s">
        <v>5674</v>
      </c>
      <c r="N1985" s="97" t="s">
        <v>270</v>
      </c>
      <c r="O1985" s="58"/>
      <c r="P1985" s="58" t="s">
        <v>44</v>
      </c>
      <c r="Q1985" s="58" t="s">
        <v>66</v>
      </c>
      <c r="R1985" s="58" t="s">
        <v>272</v>
      </c>
    </row>
    <row r="1986" spans="1:18" ht="69" customHeight="1">
      <c r="A1986" s="168"/>
      <c r="B1986" s="178">
        <v>4230</v>
      </c>
      <c r="C1986" s="59" t="s">
        <v>3667</v>
      </c>
      <c r="D1986" s="575" t="s">
        <v>5686</v>
      </c>
      <c r="E1986" s="178" t="s">
        <v>305</v>
      </c>
      <c r="F1986" s="210" t="s">
        <v>5687</v>
      </c>
      <c r="G1986" s="58" t="s">
        <v>307</v>
      </c>
      <c r="H1986" s="546">
        <v>12000</v>
      </c>
      <c r="I1986" s="66">
        <v>44729</v>
      </c>
      <c r="J1986" s="411" t="s">
        <v>5688</v>
      </c>
      <c r="K1986" s="58"/>
      <c r="L1986" s="99"/>
      <c r="M1986" s="70" t="s">
        <v>5674</v>
      </c>
      <c r="N1986" s="97" t="s">
        <v>270</v>
      </c>
      <c r="O1986" s="58"/>
      <c r="P1986" s="58" t="s">
        <v>44</v>
      </c>
      <c r="Q1986" s="58" t="s">
        <v>66</v>
      </c>
      <c r="R1986" s="58" t="s">
        <v>272</v>
      </c>
    </row>
    <row r="1987" spans="1:18" ht="69" customHeight="1">
      <c r="A1987" s="168"/>
      <c r="B1987" s="178">
        <v>4231</v>
      </c>
      <c r="C1987" s="59" t="s">
        <v>3667</v>
      </c>
      <c r="D1987" s="575" t="s">
        <v>5689</v>
      </c>
      <c r="E1987" s="178" t="s">
        <v>382</v>
      </c>
      <c r="F1987" s="210" t="s">
        <v>5690</v>
      </c>
      <c r="G1987" s="58" t="s">
        <v>384</v>
      </c>
      <c r="H1987" s="546">
        <v>27761.33</v>
      </c>
      <c r="I1987" s="66">
        <v>44739</v>
      </c>
      <c r="J1987" s="411" t="s">
        <v>5691</v>
      </c>
      <c r="K1987" s="58"/>
      <c r="L1987" s="99"/>
      <c r="M1987" s="70" t="s">
        <v>5692</v>
      </c>
      <c r="N1987" s="97" t="s">
        <v>387</v>
      </c>
      <c r="O1987" s="45" t="s">
        <v>150</v>
      </c>
      <c r="P1987" s="58" t="s">
        <v>51</v>
      </c>
      <c r="Q1987" s="58" t="s">
        <v>66</v>
      </c>
      <c r="R1987" s="58" t="s">
        <v>272</v>
      </c>
    </row>
    <row r="1988" spans="1:18" ht="69" customHeight="1">
      <c r="A1988" s="168"/>
      <c r="B1988" s="178">
        <v>4232</v>
      </c>
      <c r="C1988" s="59" t="s">
        <v>3667</v>
      </c>
      <c r="D1988" s="575" t="s">
        <v>5693</v>
      </c>
      <c r="E1988" s="178" t="s">
        <v>382</v>
      </c>
      <c r="F1988" s="210" t="s">
        <v>5694</v>
      </c>
      <c r="G1988" s="58" t="s">
        <v>384</v>
      </c>
      <c r="H1988" s="546">
        <v>39819.519999999997</v>
      </c>
      <c r="I1988" s="66">
        <v>44739</v>
      </c>
      <c r="J1988" s="411" t="s">
        <v>5695</v>
      </c>
      <c r="K1988" s="58"/>
      <c r="L1988" s="99"/>
      <c r="M1988" s="70" t="s">
        <v>5692</v>
      </c>
      <c r="N1988" s="97" t="s">
        <v>387</v>
      </c>
      <c r="O1988" s="45" t="s">
        <v>150</v>
      </c>
      <c r="P1988" s="58" t="s">
        <v>51</v>
      </c>
      <c r="Q1988" s="58" t="s">
        <v>66</v>
      </c>
      <c r="R1988" s="58" t="s">
        <v>272</v>
      </c>
    </row>
    <row r="1989" spans="1:18" ht="69" customHeight="1">
      <c r="A1989" s="168"/>
      <c r="B1989" s="178">
        <v>5225</v>
      </c>
      <c r="C1989" s="178" t="s">
        <v>5658</v>
      </c>
      <c r="D1989" s="575" t="s">
        <v>5696</v>
      </c>
      <c r="E1989" s="178" t="s">
        <v>266</v>
      </c>
      <c r="F1989" s="210" t="s">
        <v>5697</v>
      </c>
      <c r="G1989" s="58" t="s">
        <v>396</v>
      </c>
      <c r="H1989" s="546">
        <v>3500</v>
      </c>
      <c r="I1989" s="66">
        <v>44753</v>
      </c>
      <c r="J1989" s="411" t="s">
        <v>5698</v>
      </c>
      <c r="K1989" s="58" t="s">
        <v>705</v>
      </c>
      <c r="L1989" s="99"/>
      <c r="M1989" s="70" t="s">
        <v>5699</v>
      </c>
      <c r="N1989" s="97" t="s">
        <v>552</v>
      </c>
      <c r="O1989" s="58" t="s">
        <v>147</v>
      </c>
      <c r="P1989" s="58" t="s">
        <v>40</v>
      </c>
      <c r="Q1989" s="58" t="s">
        <v>66</v>
      </c>
      <c r="R1989" s="58" t="s">
        <v>272</v>
      </c>
    </row>
    <row r="1990" spans="1:18" ht="69" customHeight="1">
      <c r="A1990" s="168"/>
      <c r="B1990" s="178">
        <v>6432</v>
      </c>
      <c r="C1990" s="59" t="s">
        <v>5658</v>
      </c>
      <c r="D1990" s="581" t="s">
        <v>5700</v>
      </c>
      <c r="E1990" s="59" t="s">
        <v>432</v>
      </c>
      <c r="F1990" s="569" t="s">
        <v>5701</v>
      </c>
      <c r="G1990" s="45" t="s">
        <v>429</v>
      </c>
      <c r="H1990" s="546">
        <v>13959.486000000001</v>
      </c>
      <c r="I1990" s="47">
        <v>44802</v>
      </c>
      <c r="J1990" s="410" t="s">
        <v>5702</v>
      </c>
      <c r="K1990" s="45"/>
      <c r="L1990" s="99"/>
      <c r="M1990" s="70" t="s">
        <v>5703</v>
      </c>
      <c r="N1990" s="97" t="s">
        <v>432</v>
      </c>
      <c r="O1990" s="58"/>
      <c r="P1990" s="58" t="s">
        <v>53</v>
      </c>
      <c r="Q1990" s="58" t="s">
        <v>66</v>
      </c>
      <c r="R1990" s="58" t="s">
        <v>272</v>
      </c>
    </row>
    <row r="1991" spans="1:18" ht="69" customHeight="1">
      <c r="A1991" s="168"/>
      <c r="B1991" s="178">
        <v>5329</v>
      </c>
      <c r="C1991" s="178" t="s">
        <v>5658</v>
      </c>
      <c r="D1991" s="575" t="s">
        <v>2045</v>
      </c>
      <c r="E1991" s="178" t="s">
        <v>266</v>
      </c>
      <c r="F1991" s="210" t="s">
        <v>5704</v>
      </c>
      <c r="G1991" s="58" t="s">
        <v>1107</v>
      </c>
      <c r="H1991" s="546">
        <v>6500</v>
      </c>
      <c r="I1991" s="66" t="s">
        <v>96</v>
      </c>
      <c r="J1991" s="411" t="s">
        <v>5705</v>
      </c>
      <c r="K1991" s="58"/>
      <c r="L1991" s="99"/>
      <c r="M1991" s="70" t="s">
        <v>5706</v>
      </c>
      <c r="N1991" s="97" t="s">
        <v>399</v>
      </c>
      <c r="O1991" s="58" t="s">
        <v>971</v>
      </c>
      <c r="P1991" s="58" t="s">
        <v>38</v>
      </c>
      <c r="Q1991" s="58" t="s">
        <v>66</v>
      </c>
      <c r="R1991" s="58" t="s">
        <v>272</v>
      </c>
    </row>
    <row r="1992" spans="1:18" ht="69" customHeight="1">
      <c r="A1992" s="168"/>
      <c r="B1992" s="600">
        <v>6602</v>
      </c>
      <c r="C1992" s="600" t="s">
        <v>3667</v>
      </c>
      <c r="D1992" s="601" t="s">
        <v>5707</v>
      </c>
      <c r="E1992" s="600" t="s">
        <v>5708</v>
      </c>
      <c r="F1992" s="602" t="s">
        <v>5709</v>
      </c>
      <c r="G1992" s="460" t="s">
        <v>5710</v>
      </c>
      <c r="H1992" s="605">
        <v>181135.5</v>
      </c>
      <c r="I1992" s="461">
        <v>44816</v>
      </c>
      <c r="J1992" s="603" t="s">
        <v>5711</v>
      </c>
      <c r="K1992" s="58"/>
      <c r="L1992" s="99"/>
      <c r="M1992" s="70" t="s">
        <v>5712</v>
      </c>
      <c r="N1992" s="97" t="s">
        <v>414</v>
      </c>
      <c r="O1992" s="58" t="s">
        <v>5713</v>
      </c>
      <c r="P1992" s="58" t="s">
        <v>24</v>
      </c>
      <c r="Q1992" s="58" t="s">
        <v>66</v>
      </c>
      <c r="R1992" s="58" t="s">
        <v>265</v>
      </c>
    </row>
    <row r="1993" spans="1:18" ht="69" customHeight="1">
      <c r="A1993" s="168"/>
      <c r="B1993" s="600">
        <v>6620</v>
      </c>
      <c r="C1993" s="600" t="s">
        <v>3667</v>
      </c>
      <c r="D1993" s="601" t="s">
        <v>5714</v>
      </c>
      <c r="E1993" s="600" t="s">
        <v>5708</v>
      </c>
      <c r="F1993" s="602" t="s">
        <v>5715</v>
      </c>
      <c r="G1993" s="460" t="s">
        <v>5710</v>
      </c>
      <c r="H1993" s="605">
        <v>344014.4</v>
      </c>
      <c r="I1993" s="461">
        <v>44820</v>
      </c>
      <c r="J1993" s="603" t="s">
        <v>5711</v>
      </c>
      <c r="K1993" s="58"/>
      <c r="L1993" s="99"/>
      <c r="M1993" s="70" t="s">
        <v>5712</v>
      </c>
      <c r="N1993" s="97" t="s">
        <v>414</v>
      </c>
      <c r="O1993" s="58" t="s">
        <v>5713</v>
      </c>
      <c r="P1993" s="58" t="s">
        <v>24</v>
      </c>
      <c r="Q1993" s="58" t="s">
        <v>66</v>
      </c>
      <c r="R1993" s="58" t="s">
        <v>265</v>
      </c>
    </row>
    <row r="1994" spans="1:18" ht="69" customHeight="1">
      <c r="A1994" s="168"/>
      <c r="B1994" s="178">
        <v>7018</v>
      </c>
      <c r="C1994" s="178" t="s">
        <v>5658</v>
      </c>
      <c r="D1994" s="575" t="s">
        <v>2322</v>
      </c>
      <c r="E1994" s="178" t="s">
        <v>979</v>
      </c>
      <c r="F1994" s="210" t="s">
        <v>5716</v>
      </c>
      <c r="G1994" s="58" t="s">
        <v>805</v>
      </c>
      <c r="H1994" s="546">
        <v>118860</v>
      </c>
      <c r="I1994" s="66">
        <v>44849</v>
      </c>
      <c r="J1994" s="411" t="s">
        <v>5717</v>
      </c>
      <c r="K1994" s="58"/>
      <c r="L1994" s="99"/>
      <c r="M1994" s="70" t="s">
        <v>5718</v>
      </c>
      <c r="N1994" s="97" t="s">
        <v>356</v>
      </c>
      <c r="O1994" s="58" t="s">
        <v>156</v>
      </c>
      <c r="P1994" s="58" t="s">
        <v>19</v>
      </c>
      <c r="Q1994" s="58" t="s">
        <v>66</v>
      </c>
      <c r="R1994" s="58" t="s">
        <v>265</v>
      </c>
    </row>
    <row r="1995" spans="1:18" ht="69" customHeight="1">
      <c r="A1995" s="168"/>
      <c r="B1995" s="178">
        <v>7019</v>
      </c>
      <c r="C1995" s="178" t="s">
        <v>5658</v>
      </c>
      <c r="D1995" s="575" t="s">
        <v>5719</v>
      </c>
      <c r="E1995" s="178" t="s">
        <v>979</v>
      </c>
      <c r="F1995" s="210" t="s">
        <v>5720</v>
      </c>
      <c r="G1995" s="58" t="s">
        <v>805</v>
      </c>
      <c r="H1995" s="546">
        <v>118860</v>
      </c>
      <c r="I1995" s="66">
        <v>44849</v>
      </c>
      <c r="J1995" s="411" t="s">
        <v>5717</v>
      </c>
      <c r="K1995" s="58"/>
      <c r="L1995" s="99"/>
      <c r="M1995" s="70" t="s">
        <v>5718</v>
      </c>
      <c r="N1995" s="97" t="s">
        <v>356</v>
      </c>
      <c r="O1995" s="58" t="s">
        <v>156</v>
      </c>
      <c r="P1995" s="58" t="s">
        <v>19</v>
      </c>
      <c r="Q1995" s="58" t="s">
        <v>66</v>
      </c>
      <c r="R1995" s="58" t="s">
        <v>265</v>
      </c>
    </row>
    <row r="1996" spans="1:18" ht="69" customHeight="1">
      <c r="A1996" s="168"/>
      <c r="B1996" s="178">
        <v>7020</v>
      </c>
      <c r="C1996" s="178" t="s">
        <v>5658</v>
      </c>
      <c r="D1996" s="575" t="s">
        <v>5721</v>
      </c>
      <c r="E1996" s="178" t="s">
        <v>979</v>
      </c>
      <c r="F1996" s="210" t="s">
        <v>5722</v>
      </c>
      <c r="G1996" s="58" t="s">
        <v>805</v>
      </c>
      <c r="H1996" s="546">
        <v>118860</v>
      </c>
      <c r="I1996" s="66">
        <v>44849</v>
      </c>
      <c r="J1996" s="411" t="s">
        <v>5717</v>
      </c>
      <c r="K1996" s="58"/>
      <c r="L1996" s="99"/>
      <c r="M1996" s="70" t="s">
        <v>5718</v>
      </c>
      <c r="N1996" s="97" t="s">
        <v>356</v>
      </c>
      <c r="O1996" s="58" t="s">
        <v>156</v>
      </c>
      <c r="P1996" s="58" t="s">
        <v>19</v>
      </c>
      <c r="Q1996" s="58" t="s">
        <v>66</v>
      </c>
      <c r="R1996" s="58" t="s">
        <v>265</v>
      </c>
    </row>
    <row r="1997" spans="1:18" ht="69" customHeight="1">
      <c r="A1997" s="168"/>
      <c r="B1997" s="178">
        <v>8636</v>
      </c>
      <c r="C1997" s="178" t="s">
        <v>5658</v>
      </c>
      <c r="D1997" s="575" t="s">
        <v>5723</v>
      </c>
      <c r="E1997" s="178" t="s">
        <v>409</v>
      </c>
      <c r="F1997" s="210" t="s">
        <v>5724</v>
      </c>
      <c r="G1997" s="58" t="s">
        <v>1107</v>
      </c>
      <c r="H1997" s="546">
        <v>6500</v>
      </c>
      <c r="I1997" s="66">
        <v>44953</v>
      </c>
      <c r="J1997" s="411" t="s">
        <v>5725</v>
      </c>
      <c r="K1997" s="58"/>
      <c r="L1997" s="99"/>
      <c r="M1997" s="70" t="s">
        <v>5699</v>
      </c>
      <c r="N1997" s="97" t="s">
        <v>552</v>
      </c>
      <c r="O1997" s="58" t="s">
        <v>971</v>
      </c>
      <c r="P1997" s="58" t="s">
        <v>38</v>
      </c>
      <c r="Q1997" s="58" t="s">
        <v>66</v>
      </c>
      <c r="R1997" s="58" t="s">
        <v>272</v>
      </c>
    </row>
    <row r="1998" spans="1:18" ht="69" customHeight="1">
      <c r="A1998" s="168"/>
      <c r="B1998" s="178">
        <v>8637</v>
      </c>
      <c r="C1998" s="178" t="s">
        <v>5658</v>
      </c>
      <c r="D1998" s="575" t="s">
        <v>5726</v>
      </c>
      <c r="E1998" s="178" t="s">
        <v>409</v>
      </c>
      <c r="F1998" s="210" t="s">
        <v>5727</v>
      </c>
      <c r="G1998" s="58" t="s">
        <v>1107</v>
      </c>
      <c r="H1998" s="546">
        <v>6500</v>
      </c>
      <c r="I1998" s="66">
        <v>44953</v>
      </c>
      <c r="J1998" s="411" t="s">
        <v>5725</v>
      </c>
      <c r="K1998" s="58"/>
      <c r="L1998" s="99"/>
      <c r="M1998" s="70" t="s">
        <v>5699</v>
      </c>
      <c r="N1998" s="97" t="s">
        <v>552</v>
      </c>
      <c r="O1998" s="58" t="s">
        <v>971</v>
      </c>
      <c r="P1998" s="58" t="s">
        <v>38</v>
      </c>
      <c r="Q1998" s="58" t="s">
        <v>66</v>
      </c>
      <c r="R1998" s="58" t="s">
        <v>272</v>
      </c>
    </row>
    <row r="1999" spans="1:18" ht="69" customHeight="1">
      <c r="A1999" s="168"/>
      <c r="B1999" s="178">
        <v>8638</v>
      </c>
      <c r="C1999" s="178" t="s">
        <v>5658</v>
      </c>
      <c r="D1999" s="575" t="s">
        <v>5728</v>
      </c>
      <c r="E1999" s="178" t="s">
        <v>409</v>
      </c>
      <c r="F1999" s="210" t="s">
        <v>5729</v>
      </c>
      <c r="G1999" s="58" t="s">
        <v>1107</v>
      </c>
      <c r="H1999" s="546">
        <v>6500</v>
      </c>
      <c r="I1999" s="66">
        <v>44953</v>
      </c>
      <c r="J1999" s="411" t="s">
        <v>5725</v>
      </c>
      <c r="K1999" s="58"/>
      <c r="L1999" s="99"/>
      <c r="M1999" s="70" t="s">
        <v>5699</v>
      </c>
      <c r="N1999" s="97" t="s">
        <v>552</v>
      </c>
      <c r="O1999" s="58" t="s">
        <v>971</v>
      </c>
      <c r="P1999" s="58" t="s">
        <v>38</v>
      </c>
      <c r="Q1999" s="58" t="s">
        <v>66</v>
      </c>
      <c r="R1999" s="58" t="s">
        <v>272</v>
      </c>
    </row>
    <row r="2000" spans="1:18" ht="69" customHeight="1">
      <c r="A2000" s="168"/>
      <c r="B2000" s="178">
        <v>8639</v>
      </c>
      <c r="C2000" s="178" t="s">
        <v>5658</v>
      </c>
      <c r="D2000" s="575"/>
      <c r="E2000" s="178" t="s">
        <v>409</v>
      </c>
      <c r="F2000" s="210" t="s">
        <v>5730</v>
      </c>
      <c r="G2000" s="58" t="s">
        <v>5731</v>
      </c>
      <c r="H2000" s="546">
        <v>850</v>
      </c>
      <c r="I2000" s="66" t="s">
        <v>96</v>
      </c>
      <c r="J2000" s="411" t="s">
        <v>5725</v>
      </c>
      <c r="K2000" s="58"/>
      <c r="L2000" s="99"/>
      <c r="M2000" s="70" t="s">
        <v>5699</v>
      </c>
      <c r="N2000" s="97" t="s">
        <v>552</v>
      </c>
      <c r="O2000" s="58" t="s">
        <v>971</v>
      </c>
      <c r="P2000" s="58" t="s">
        <v>38</v>
      </c>
      <c r="Q2000" s="58" t="s">
        <v>66</v>
      </c>
      <c r="R2000" s="58" t="s">
        <v>272</v>
      </c>
    </row>
    <row r="2001" spans="1:18" ht="69" customHeight="1">
      <c r="A2001" s="168"/>
      <c r="B2001" s="178">
        <v>9375</v>
      </c>
      <c r="C2001" s="178" t="s">
        <v>5658</v>
      </c>
      <c r="D2001" s="575" t="s">
        <v>5732</v>
      </c>
      <c r="E2001" s="178" t="s">
        <v>266</v>
      </c>
      <c r="F2001" s="210" t="s">
        <v>5733</v>
      </c>
      <c r="G2001" s="58" t="s">
        <v>4101</v>
      </c>
      <c r="H2001" s="546">
        <v>60.44</v>
      </c>
      <c r="I2001" s="66">
        <v>45009</v>
      </c>
      <c r="J2001" s="411" t="s">
        <v>4102</v>
      </c>
      <c r="K2001" s="58"/>
      <c r="L2001" s="99"/>
      <c r="M2001" s="70" t="s">
        <v>5674</v>
      </c>
      <c r="N2001" s="97" t="s">
        <v>270</v>
      </c>
      <c r="O2001" s="58"/>
      <c r="P2001" s="58" t="s">
        <v>44</v>
      </c>
      <c r="Q2001" s="58" t="s">
        <v>66</v>
      </c>
      <c r="R2001" s="58" t="s">
        <v>272</v>
      </c>
    </row>
    <row r="2002" spans="1:18" ht="69" customHeight="1">
      <c r="A2002" s="168"/>
      <c r="B2002" s="178">
        <v>9375</v>
      </c>
      <c r="C2002" s="178" t="s">
        <v>5658</v>
      </c>
      <c r="D2002" s="575" t="s">
        <v>5732</v>
      </c>
      <c r="E2002" s="178" t="s">
        <v>266</v>
      </c>
      <c r="F2002" s="210" t="s">
        <v>5733</v>
      </c>
      <c r="G2002" s="58" t="s">
        <v>4101</v>
      </c>
      <c r="H2002" s="546">
        <v>60.44</v>
      </c>
      <c r="I2002" s="66">
        <v>45009</v>
      </c>
      <c r="J2002" s="411" t="s">
        <v>4102</v>
      </c>
      <c r="K2002" s="58"/>
      <c r="L2002" s="99"/>
      <c r="M2002" s="70" t="s">
        <v>5674</v>
      </c>
      <c r="N2002" s="97" t="s">
        <v>270</v>
      </c>
      <c r="O2002" s="58"/>
      <c r="P2002" s="58" t="s">
        <v>44</v>
      </c>
      <c r="Q2002" s="58" t="s">
        <v>66</v>
      </c>
      <c r="R2002" s="58" t="s">
        <v>272</v>
      </c>
    </row>
    <row r="2003" spans="1:18" ht="69" customHeight="1">
      <c r="A2003" s="168"/>
      <c r="B2003" s="178">
        <v>9824</v>
      </c>
      <c r="C2003" s="59" t="s">
        <v>3667</v>
      </c>
      <c r="D2003" s="575" t="s">
        <v>5734</v>
      </c>
      <c r="E2003" s="178" t="s">
        <v>266</v>
      </c>
      <c r="F2003" s="210" t="s">
        <v>5735</v>
      </c>
      <c r="G2003" s="58" t="s">
        <v>590</v>
      </c>
      <c r="H2003" s="546">
        <v>1150</v>
      </c>
      <c r="I2003" s="66">
        <v>45041</v>
      </c>
      <c r="J2003" s="411" t="s">
        <v>4105</v>
      </c>
      <c r="K2003" s="58"/>
      <c r="L2003" s="99"/>
      <c r="M2003" s="70" t="s">
        <v>5674</v>
      </c>
      <c r="N2003" s="97" t="s">
        <v>270</v>
      </c>
      <c r="O2003" s="58"/>
      <c r="P2003" s="58" t="s">
        <v>44</v>
      </c>
      <c r="Q2003" s="58" t="s">
        <v>66</v>
      </c>
      <c r="R2003" s="58" t="s">
        <v>272</v>
      </c>
    </row>
    <row r="2004" spans="1:18" ht="69" customHeight="1">
      <c r="A2004" s="168"/>
      <c r="B2004" s="178">
        <v>9838</v>
      </c>
      <c r="C2004" s="178" t="s">
        <v>5658</v>
      </c>
      <c r="D2004" s="575" t="s">
        <v>5736</v>
      </c>
      <c r="E2004" s="178" t="s">
        <v>266</v>
      </c>
      <c r="F2004" s="210" t="s">
        <v>5737</v>
      </c>
      <c r="G2004" s="58" t="s">
        <v>590</v>
      </c>
      <c r="H2004" s="546">
        <v>6625.46</v>
      </c>
      <c r="I2004" s="66">
        <v>45041</v>
      </c>
      <c r="J2004" s="411" t="s">
        <v>4105</v>
      </c>
      <c r="K2004" s="58"/>
      <c r="L2004" s="99"/>
      <c r="M2004" s="70" t="s">
        <v>5674</v>
      </c>
      <c r="N2004" s="97" t="s">
        <v>270</v>
      </c>
      <c r="O2004" s="58"/>
      <c r="P2004" s="58" t="s">
        <v>44</v>
      </c>
      <c r="Q2004" s="58" t="s">
        <v>66</v>
      </c>
      <c r="R2004" s="58" t="s">
        <v>272</v>
      </c>
    </row>
    <row r="2005" spans="1:18" ht="69" customHeight="1">
      <c r="A2005" s="168"/>
      <c r="B2005" s="178">
        <v>7483</v>
      </c>
      <c r="C2005" s="59" t="s">
        <v>3667</v>
      </c>
      <c r="D2005" s="575" t="s">
        <v>3273</v>
      </c>
      <c r="E2005" s="178" t="s">
        <v>266</v>
      </c>
      <c r="F2005" s="210" t="s">
        <v>5738</v>
      </c>
      <c r="G2005" s="58" t="s">
        <v>444</v>
      </c>
      <c r="H2005" s="546">
        <v>5334.67</v>
      </c>
      <c r="I2005" s="66">
        <v>44879</v>
      </c>
      <c r="J2005" s="411" t="s">
        <v>445</v>
      </c>
      <c r="K2005" s="58"/>
      <c r="L2005" s="99"/>
      <c r="M2005" s="70" t="s">
        <v>5739</v>
      </c>
      <c r="N2005" s="97" t="s">
        <v>270</v>
      </c>
      <c r="O2005" s="58"/>
      <c r="P2005" s="58" t="s">
        <v>44</v>
      </c>
      <c r="Q2005" s="58" t="s">
        <v>68</v>
      </c>
      <c r="R2005" s="58" t="s">
        <v>272</v>
      </c>
    </row>
    <row r="2006" spans="1:18" ht="69" customHeight="1">
      <c r="A2006" s="168"/>
      <c r="B2006" s="178"/>
      <c r="C2006" s="178" t="s">
        <v>4494</v>
      </c>
      <c r="D2006" s="575"/>
      <c r="E2006" s="178" t="s">
        <v>266</v>
      </c>
      <c r="F2006" s="210" t="s">
        <v>5740</v>
      </c>
      <c r="G2006" s="58"/>
      <c r="H2006" s="546">
        <v>5553.33</v>
      </c>
      <c r="I2006" s="66">
        <v>44484</v>
      </c>
      <c r="J2006" s="411" t="s">
        <v>5741</v>
      </c>
      <c r="K2006" s="58" t="s">
        <v>5742</v>
      </c>
      <c r="L2006" s="99"/>
      <c r="M2006" s="70" t="s">
        <v>5739</v>
      </c>
      <c r="N2006" s="97" t="s">
        <v>270</v>
      </c>
      <c r="O2006" s="58"/>
      <c r="P2006" s="58" t="s">
        <v>44</v>
      </c>
      <c r="Q2006" s="58" t="s">
        <v>68</v>
      </c>
      <c r="R2006" s="58" t="s">
        <v>272</v>
      </c>
    </row>
    <row r="2007" spans="1:18" ht="69" customHeight="1">
      <c r="A2007" s="168"/>
      <c r="B2007" s="178"/>
      <c r="C2007" s="178" t="s">
        <v>4494</v>
      </c>
      <c r="D2007" s="575"/>
      <c r="E2007" s="178" t="s">
        <v>266</v>
      </c>
      <c r="F2007" s="210" t="s">
        <v>5743</v>
      </c>
      <c r="G2007" s="58"/>
      <c r="H2007" s="546">
        <v>1388.34</v>
      </c>
      <c r="I2007" s="66">
        <v>44456</v>
      </c>
      <c r="J2007" s="411" t="s">
        <v>5744</v>
      </c>
      <c r="K2007" s="58"/>
      <c r="L2007" s="99"/>
      <c r="M2007" s="70" t="s">
        <v>5739</v>
      </c>
      <c r="N2007" s="97" t="s">
        <v>270</v>
      </c>
      <c r="O2007" s="58"/>
      <c r="P2007" s="58" t="s">
        <v>44</v>
      </c>
      <c r="Q2007" s="58" t="s">
        <v>68</v>
      </c>
      <c r="R2007" s="58" t="s">
        <v>272</v>
      </c>
    </row>
    <row r="2008" spans="1:18" ht="69" customHeight="1">
      <c r="A2008" s="168"/>
      <c r="B2008" s="191">
        <v>2984</v>
      </c>
      <c r="C2008" s="191" t="s">
        <v>3643</v>
      </c>
      <c r="D2008" s="533" t="s">
        <v>2473</v>
      </c>
      <c r="E2008" s="191" t="s">
        <v>331</v>
      </c>
      <c r="F2008" s="211" t="s">
        <v>5745</v>
      </c>
      <c r="G2008" s="46" t="s">
        <v>4416</v>
      </c>
      <c r="H2008" s="534">
        <v>0</v>
      </c>
      <c r="I2008" s="56" t="s">
        <v>96</v>
      </c>
      <c r="J2008" s="412" t="s">
        <v>334</v>
      </c>
      <c r="K2008" s="46"/>
      <c r="L2008" s="99"/>
      <c r="M2008" s="379" t="s">
        <v>68</v>
      </c>
      <c r="N2008" s="76" t="s">
        <v>69</v>
      </c>
      <c r="O2008" s="46"/>
      <c r="P2008" s="46" t="s">
        <v>69</v>
      </c>
      <c r="Q2008" s="46" t="s">
        <v>68</v>
      </c>
      <c r="R2008" s="46" t="s">
        <v>272</v>
      </c>
    </row>
    <row r="2009" spans="1:18" ht="69" customHeight="1">
      <c r="A2009" s="168"/>
      <c r="B2009" s="191">
        <v>3211</v>
      </c>
      <c r="C2009" s="191" t="s">
        <v>3906</v>
      </c>
      <c r="D2009" s="533" t="s">
        <v>330</v>
      </c>
      <c r="E2009" s="191" t="s">
        <v>331</v>
      </c>
      <c r="F2009" s="211" t="s">
        <v>5745</v>
      </c>
      <c r="G2009" s="46" t="s">
        <v>4416</v>
      </c>
      <c r="H2009" s="534">
        <v>0</v>
      </c>
      <c r="I2009" s="56" t="s">
        <v>96</v>
      </c>
      <c r="J2009" s="412" t="s">
        <v>334</v>
      </c>
      <c r="K2009" s="46"/>
      <c r="L2009" s="99"/>
      <c r="M2009" s="379" t="s">
        <v>68</v>
      </c>
      <c r="N2009" s="76" t="s">
        <v>69</v>
      </c>
      <c r="O2009" s="46"/>
      <c r="P2009" s="46" t="s">
        <v>69</v>
      </c>
      <c r="Q2009" s="46" t="s">
        <v>68</v>
      </c>
      <c r="R2009" s="46" t="s">
        <v>272</v>
      </c>
    </row>
    <row r="2010" spans="1:18" ht="69" customHeight="1">
      <c r="A2010" s="168"/>
      <c r="B2010" s="178">
        <v>4016</v>
      </c>
      <c r="C2010" s="178" t="s">
        <v>259</v>
      </c>
      <c r="D2010" s="575"/>
      <c r="E2010" s="178" t="s">
        <v>266</v>
      </c>
      <c r="F2010" s="210" t="s">
        <v>5746</v>
      </c>
      <c r="G2010" s="58" t="s">
        <v>392</v>
      </c>
      <c r="H2010" s="546">
        <v>605.83000000000004</v>
      </c>
      <c r="I2010" s="66">
        <v>44615</v>
      </c>
      <c r="J2010" s="411" t="s">
        <v>5747</v>
      </c>
      <c r="K2010" s="58"/>
      <c r="L2010" s="99"/>
      <c r="M2010" s="70" t="s">
        <v>5739</v>
      </c>
      <c r="N2010" s="97" t="s">
        <v>270</v>
      </c>
      <c r="O2010" s="58"/>
      <c r="P2010" s="58" t="s">
        <v>44</v>
      </c>
      <c r="Q2010" s="58" t="s">
        <v>68</v>
      </c>
      <c r="R2010" s="58" t="s">
        <v>272</v>
      </c>
    </row>
    <row r="2011" spans="1:18" ht="69" customHeight="1">
      <c r="A2011" s="168"/>
      <c r="B2011" s="178">
        <v>4017</v>
      </c>
      <c r="C2011" s="178" t="s">
        <v>259</v>
      </c>
      <c r="D2011" s="575"/>
      <c r="E2011" s="178" t="s">
        <v>266</v>
      </c>
      <c r="F2011" s="210" t="s">
        <v>5748</v>
      </c>
      <c r="G2011" s="58" t="s">
        <v>392</v>
      </c>
      <c r="H2011" s="546">
        <v>1040.8499999999999</v>
      </c>
      <c r="I2011" s="66">
        <v>44615</v>
      </c>
      <c r="J2011" s="411" t="s">
        <v>5749</v>
      </c>
      <c r="K2011" s="58"/>
      <c r="L2011" s="99"/>
      <c r="M2011" s="70" t="s">
        <v>5739</v>
      </c>
      <c r="N2011" s="97" t="s">
        <v>270</v>
      </c>
      <c r="O2011" s="58"/>
      <c r="P2011" s="58" t="s">
        <v>44</v>
      </c>
      <c r="Q2011" s="58" t="s">
        <v>68</v>
      </c>
      <c r="R2011" s="58" t="s">
        <v>272</v>
      </c>
    </row>
    <row r="2012" spans="1:18" ht="69" customHeight="1">
      <c r="A2012" s="168"/>
      <c r="B2012" s="178">
        <v>4018</v>
      </c>
      <c r="C2012" s="178" t="s">
        <v>259</v>
      </c>
      <c r="D2012" s="575"/>
      <c r="E2012" s="178" t="s">
        <v>266</v>
      </c>
      <c r="F2012" s="210" t="s">
        <v>5750</v>
      </c>
      <c r="G2012" s="58" t="s">
        <v>392</v>
      </c>
      <c r="H2012" s="546">
        <v>2288.56</v>
      </c>
      <c r="I2012" s="66">
        <v>44615</v>
      </c>
      <c r="J2012" s="411" t="s">
        <v>5751</v>
      </c>
      <c r="K2012" s="58"/>
      <c r="L2012" s="99"/>
      <c r="M2012" s="70" t="s">
        <v>5739</v>
      </c>
      <c r="N2012" s="97" t="s">
        <v>270</v>
      </c>
      <c r="O2012" s="58"/>
      <c r="P2012" s="58" t="s">
        <v>44</v>
      </c>
      <c r="Q2012" s="58" t="s">
        <v>68</v>
      </c>
      <c r="R2012" s="58" t="s">
        <v>272</v>
      </c>
    </row>
    <row r="2013" spans="1:18" ht="69" customHeight="1">
      <c r="A2013" s="168"/>
      <c r="B2013" s="178">
        <v>4064</v>
      </c>
      <c r="C2013" s="59" t="s">
        <v>3667</v>
      </c>
      <c r="D2013" s="575" t="s">
        <v>3158</v>
      </c>
      <c r="E2013" s="178" t="s">
        <v>266</v>
      </c>
      <c r="F2013" s="210" t="s">
        <v>5752</v>
      </c>
      <c r="G2013" s="58" t="s">
        <v>640</v>
      </c>
      <c r="H2013" s="546">
        <v>11250</v>
      </c>
      <c r="I2013" s="66">
        <v>44636</v>
      </c>
      <c r="J2013" s="411" t="s">
        <v>5753</v>
      </c>
      <c r="K2013" s="58"/>
      <c r="L2013" s="99"/>
      <c r="M2013" s="70" t="s">
        <v>5739</v>
      </c>
      <c r="N2013" s="97" t="s">
        <v>270</v>
      </c>
      <c r="O2013" s="58"/>
      <c r="P2013" s="58" t="s">
        <v>44</v>
      </c>
      <c r="Q2013" s="58" t="s">
        <v>68</v>
      </c>
      <c r="R2013" s="58" t="s">
        <v>272</v>
      </c>
    </row>
    <row r="2014" spans="1:18" ht="69" customHeight="1">
      <c r="A2014" s="168"/>
      <c r="B2014" s="178">
        <v>4067</v>
      </c>
      <c r="C2014" s="59" t="s">
        <v>3667</v>
      </c>
      <c r="D2014" s="575" t="s">
        <v>433</v>
      </c>
      <c r="E2014" s="178" t="s">
        <v>266</v>
      </c>
      <c r="F2014" s="210" t="s">
        <v>5754</v>
      </c>
      <c r="G2014" s="58" t="s">
        <v>315</v>
      </c>
      <c r="H2014" s="546">
        <v>9000</v>
      </c>
      <c r="I2014" s="66">
        <v>44636</v>
      </c>
      <c r="J2014" s="411" t="s">
        <v>5755</v>
      </c>
      <c r="K2014" s="58"/>
      <c r="L2014" s="99"/>
      <c r="M2014" s="70" t="s">
        <v>5739</v>
      </c>
      <c r="N2014" s="97" t="s">
        <v>270</v>
      </c>
      <c r="O2014" s="58"/>
      <c r="P2014" s="58" t="s">
        <v>44</v>
      </c>
      <c r="Q2014" s="58" t="s">
        <v>68</v>
      </c>
      <c r="R2014" s="58" t="s">
        <v>272</v>
      </c>
    </row>
    <row r="2015" spans="1:18" ht="69" customHeight="1">
      <c r="A2015" s="168"/>
      <c r="B2015" s="178">
        <v>4207</v>
      </c>
      <c r="C2015" s="59" t="s">
        <v>3667</v>
      </c>
      <c r="D2015" s="575" t="s">
        <v>3411</v>
      </c>
      <c r="E2015" s="178" t="s">
        <v>266</v>
      </c>
      <c r="F2015" s="210" t="s">
        <v>5756</v>
      </c>
      <c r="G2015" s="58" t="s">
        <v>703</v>
      </c>
      <c r="H2015" s="546">
        <v>2250</v>
      </c>
      <c r="I2015" s="66">
        <v>44664</v>
      </c>
      <c r="J2015" s="411" t="s">
        <v>5757</v>
      </c>
      <c r="K2015" s="58"/>
      <c r="L2015" s="99"/>
      <c r="M2015" s="70" t="s">
        <v>5739</v>
      </c>
      <c r="N2015" s="97" t="s">
        <v>270</v>
      </c>
      <c r="O2015" s="58"/>
      <c r="P2015" s="58" t="s">
        <v>44</v>
      </c>
      <c r="Q2015" s="58" t="s">
        <v>68</v>
      </c>
      <c r="R2015" s="58" t="s">
        <v>272</v>
      </c>
    </row>
    <row r="2016" spans="1:18" ht="69" customHeight="1">
      <c r="A2016" s="168"/>
      <c r="B2016" s="178">
        <v>4552</v>
      </c>
      <c r="C2016" s="59" t="s">
        <v>3667</v>
      </c>
      <c r="D2016" s="575" t="s">
        <v>2221</v>
      </c>
      <c r="E2016" s="178" t="s">
        <v>979</v>
      </c>
      <c r="F2016" s="210" t="s">
        <v>5758</v>
      </c>
      <c r="G2016" s="58" t="s">
        <v>352</v>
      </c>
      <c r="H2016" s="546">
        <v>227378</v>
      </c>
      <c r="I2016" s="66">
        <v>44673</v>
      </c>
      <c r="J2016" s="411" t="s">
        <v>5759</v>
      </c>
      <c r="K2016" s="58" t="s">
        <v>5760</v>
      </c>
      <c r="L2016" s="99"/>
      <c r="M2016" s="70" t="s">
        <v>5013</v>
      </c>
      <c r="N2016" s="97" t="s">
        <v>356</v>
      </c>
      <c r="O2016" s="58" t="s">
        <v>156</v>
      </c>
      <c r="P2016" s="58" t="s">
        <v>19</v>
      </c>
      <c r="Q2016" s="58" t="s">
        <v>68</v>
      </c>
      <c r="R2016" s="58" t="s">
        <v>265</v>
      </c>
    </row>
    <row r="2017" spans="1:18" ht="69" customHeight="1">
      <c r="A2017" s="168"/>
      <c r="B2017" s="178">
        <v>4730</v>
      </c>
      <c r="C2017" s="178" t="s">
        <v>3906</v>
      </c>
      <c r="D2017" s="575" t="s">
        <v>5761</v>
      </c>
      <c r="E2017" s="178" t="s">
        <v>331</v>
      </c>
      <c r="F2017" s="210" t="s">
        <v>5762</v>
      </c>
      <c r="G2017" s="58"/>
      <c r="H2017" s="546">
        <v>3389.12</v>
      </c>
      <c r="I2017" s="66">
        <v>44678</v>
      </c>
      <c r="J2017" s="411" t="s">
        <v>5763</v>
      </c>
      <c r="K2017" s="58"/>
      <c r="L2017" s="99"/>
      <c r="M2017" s="70" t="s">
        <v>5739</v>
      </c>
      <c r="N2017" s="97" t="s">
        <v>270</v>
      </c>
      <c r="O2017" s="58"/>
      <c r="P2017" s="58" t="s">
        <v>44</v>
      </c>
      <c r="Q2017" s="58" t="s">
        <v>68</v>
      </c>
      <c r="R2017" s="58" t="s">
        <v>272</v>
      </c>
    </row>
    <row r="2018" spans="1:18" ht="69" customHeight="1">
      <c r="A2018" s="168"/>
      <c r="B2018" s="178">
        <v>4686</v>
      </c>
      <c r="C2018" s="59" t="s">
        <v>3667</v>
      </c>
      <c r="D2018" s="575" t="s">
        <v>3472</v>
      </c>
      <c r="E2018" s="178" t="s">
        <v>283</v>
      </c>
      <c r="F2018" s="210" t="s">
        <v>5764</v>
      </c>
      <c r="G2018" s="58" t="s">
        <v>365</v>
      </c>
      <c r="H2018" s="546">
        <v>35100</v>
      </c>
      <c r="I2018" s="66">
        <v>44676</v>
      </c>
      <c r="J2018" s="411" t="s">
        <v>5765</v>
      </c>
      <c r="K2018" s="58" t="s">
        <v>5766</v>
      </c>
      <c r="L2018" s="99"/>
      <c r="M2018" s="70" t="s">
        <v>5767</v>
      </c>
      <c r="N2018" s="97" t="s">
        <v>264</v>
      </c>
      <c r="O2018" s="58" t="s">
        <v>141</v>
      </c>
      <c r="P2018" s="58" t="s">
        <v>17</v>
      </c>
      <c r="Q2018" s="58" t="s">
        <v>68</v>
      </c>
      <c r="R2018" s="58" t="s">
        <v>272</v>
      </c>
    </row>
    <row r="2019" spans="1:18" ht="69" customHeight="1">
      <c r="A2019" s="168"/>
      <c r="B2019" s="178">
        <v>4753</v>
      </c>
      <c r="C2019" s="59" t="s">
        <v>3667</v>
      </c>
      <c r="D2019" s="575" t="s">
        <v>3457</v>
      </c>
      <c r="E2019" s="178" t="s">
        <v>266</v>
      </c>
      <c r="F2019" s="210" t="s">
        <v>5768</v>
      </c>
      <c r="G2019" s="58" t="s">
        <v>392</v>
      </c>
      <c r="H2019" s="546">
        <v>4902.32</v>
      </c>
      <c r="I2019" s="66">
        <v>44678</v>
      </c>
      <c r="J2019" s="411" t="s">
        <v>5769</v>
      </c>
      <c r="K2019" s="58"/>
      <c r="L2019" s="99"/>
      <c r="M2019" s="70" t="s">
        <v>5739</v>
      </c>
      <c r="N2019" s="97" t="s">
        <v>270</v>
      </c>
      <c r="O2019" s="58"/>
      <c r="P2019" s="58" t="s">
        <v>44</v>
      </c>
      <c r="Q2019" s="58" t="s">
        <v>68</v>
      </c>
      <c r="R2019" s="58" t="s">
        <v>272</v>
      </c>
    </row>
    <row r="2020" spans="1:18" ht="69" customHeight="1">
      <c r="A2020" s="168"/>
      <c r="B2020" s="178">
        <v>4772</v>
      </c>
      <c r="C2020" s="178" t="s">
        <v>3906</v>
      </c>
      <c r="D2020" s="575" t="s">
        <v>3460</v>
      </c>
      <c r="E2020" s="178" t="s">
        <v>979</v>
      </c>
      <c r="F2020" s="210" t="s">
        <v>5770</v>
      </c>
      <c r="G2020" s="58" t="s">
        <v>352</v>
      </c>
      <c r="H2020" s="546">
        <v>52514.1</v>
      </c>
      <c r="I2020" s="66">
        <v>44686</v>
      </c>
      <c r="J2020" s="411" t="s">
        <v>5771</v>
      </c>
      <c r="K2020" s="58" t="s">
        <v>5760</v>
      </c>
      <c r="L2020" s="99"/>
      <c r="M2020" s="70" t="s">
        <v>5013</v>
      </c>
      <c r="N2020" s="97" t="s">
        <v>356</v>
      </c>
      <c r="O2020" s="58" t="s">
        <v>156</v>
      </c>
      <c r="P2020" s="58" t="s">
        <v>19</v>
      </c>
      <c r="Q2020" s="58" t="s">
        <v>68</v>
      </c>
      <c r="R2020" s="58" t="s">
        <v>265</v>
      </c>
    </row>
    <row r="2021" spans="1:18" ht="69" customHeight="1">
      <c r="A2021" s="168"/>
      <c r="B2021" s="178">
        <v>4857</v>
      </c>
      <c r="C2021" s="59" t="s">
        <v>3667</v>
      </c>
      <c r="D2021" s="575" t="s">
        <v>2716</v>
      </c>
      <c r="E2021" s="178" t="s">
        <v>266</v>
      </c>
      <c r="F2021" s="210" t="s">
        <v>5772</v>
      </c>
      <c r="G2021" s="58" t="s">
        <v>4574</v>
      </c>
      <c r="H2021" s="546">
        <v>5247.33</v>
      </c>
      <c r="I2021" s="66">
        <v>44697</v>
      </c>
      <c r="J2021" s="411" t="s">
        <v>5773</v>
      </c>
      <c r="K2021" s="58"/>
      <c r="L2021" s="99"/>
      <c r="M2021" s="70" t="s">
        <v>5739</v>
      </c>
      <c r="N2021" s="97" t="s">
        <v>270</v>
      </c>
      <c r="O2021" s="58"/>
      <c r="P2021" s="58" t="s">
        <v>44</v>
      </c>
      <c r="Q2021" s="58" t="s">
        <v>68</v>
      </c>
      <c r="R2021" s="58" t="s">
        <v>272</v>
      </c>
    </row>
    <row r="2022" spans="1:18" ht="69" customHeight="1">
      <c r="A2022" s="168"/>
      <c r="B2022" s="178">
        <v>4614</v>
      </c>
      <c r="C2022" s="178" t="s">
        <v>3906</v>
      </c>
      <c r="D2022" s="575" t="s">
        <v>5774</v>
      </c>
      <c r="E2022" s="178" t="s">
        <v>305</v>
      </c>
      <c r="F2022" s="210" t="s">
        <v>5775</v>
      </c>
      <c r="G2022" s="58" t="s">
        <v>5573</v>
      </c>
      <c r="H2022" s="546">
        <v>88.78</v>
      </c>
      <c r="I2022" s="66">
        <v>44697</v>
      </c>
      <c r="J2022" s="411" t="s">
        <v>5776</v>
      </c>
      <c r="K2022" s="58"/>
      <c r="L2022" s="99"/>
      <c r="M2022" s="70" t="s">
        <v>5739</v>
      </c>
      <c r="N2022" s="97" t="s">
        <v>270</v>
      </c>
      <c r="O2022" s="58"/>
      <c r="P2022" s="58" t="s">
        <v>44</v>
      </c>
      <c r="Q2022" s="58" t="s">
        <v>68</v>
      </c>
      <c r="R2022" s="58" t="s">
        <v>272</v>
      </c>
    </row>
    <row r="2023" spans="1:18" ht="69" customHeight="1">
      <c r="A2023" s="168"/>
      <c r="B2023" s="178">
        <v>4730</v>
      </c>
      <c r="C2023" s="178" t="s">
        <v>3906</v>
      </c>
      <c r="D2023" s="575" t="s">
        <v>349</v>
      </c>
      <c r="E2023" s="178" t="s">
        <v>331</v>
      </c>
      <c r="F2023" s="210" t="s">
        <v>5777</v>
      </c>
      <c r="G2023" s="58" t="s">
        <v>372</v>
      </c>
      <c r="H2023" s="546">
        <v>30502.1</v>
      </c>
      <c r="I2023" s="66">
        <v>44701</v>
      </c>
      <c r="J2023" s="411" t="s">
        <v>5778</v>
      </c>
      <c r="K2023" s="58"/>
      <c r="L2023" s="99"/>
      <c r="M2023" s="70" t="s">
        <v>5739</v>
      </c>
      <c r="N2023" s="97" t="s">
        <v>270</v>
      </c>
      <c r="O2023" s="58"/>
      <c r="P2023" s="58" t="s">
        <v>44</v>
      </c>
      <c r="Q2023" s="58" t="s">
        <v>68</v>
      </c>
      <c r="R2023" s="58" t="s">
        <v>272</v>
      </c>
    </row>
    <row r="2024" spans="1:18" ht="69" customHeight="1">
      <c r="A2024" s="168"/>
      <c r="B2024" s="178">
        <v>1</v>
      </c>
      <c r="C2024" s="59" t="s">
        <v>3667</v>
      </c>
      <c r="D2024" s="575" t="s">
        <v>5779</v>
      </c>
      <c r="E2024" s="178" t="s">
        <v>382</v>
      </c>
      <c r="F2024" s="210" t="s">
        <v>5780</v>
      </c>
      <c r="G2024" s="58" t="s">
        <v>384</v>
      </c>
      <c r="H2024" s="546">
        <v>27761.33</v>
      </c>
      <c r="I2024" s="66">
        <v>44739</v>
      </c>
      <c r="J2024" s="411" t="s">
        <v>5781</v>
      </c>
      <c r="K2024" s="58"/>
      <c r="L2024" s="99"/>
      <c r="M2024" s="70" t="s">
        <v>5782</v>
      </c>
      <c r="N2024" s="97" t="s">
        <v>387</v>
      </c>
      <c r="O2024" s="45" t="s">
        <v>150</v>
      </c>
      <c r="P2024" s="58" t="s">
        <v>51</v>
      </c>
      <c r="Q2024" s="58" t="s">
        <v>68</v>
      </c>
      <c r="R2024" s="58" t="s">
        <v>272</v>
      </c>
    </row>
    <row r="2025" spans="1:18" ht="69" customHeight="1">
      <c r="A2025" s="168"/>
      <c r="B2025" s="178">
        <v>1</v>
      </c>
      <c r="C2025" s="59" t="s">
        <v>3667</v>
      </c>
      <c r="D2025" s="575" t="s">
        <v>2261</v>
      </c>
      <c r="E2025" s="178" t="s">
        <v>382</v>
      </c>
      <c r="F2025" s="210" t="s">
        <v>5783</v>
      </c>
      <c r="G2025" s="58" t="s">
        <v>384</v>
      </c>
      <c r="H2025" s="546">
        <v>39819.519999999997</v>
      </c>
      <c r="I2025" s="66">
        <v>44739</v>
      </c>
      <c r="J2025" s="411" t="s">
        <v>5784</v>
      </c>
      <c r="K2025" s="58"/>
      <c r="L2025" s="99"/>
      <c r="M2025" s="70" t="s">
        <v>5782</v>
      </c>
      <c r="N2025" s="97" t="s">
        <v>387</v>
      </c>
      <c r="O2025" s="45" t="s">
        <v>150</v>
      </c>
      <c r="P2025" s="58" t="s">
        <v>51</v>
      </c>
      <c r="Q2025" s="58" t="s">
        <v>68</v>
      </c>
      <c r="R2025" s="58" t="s">
        <v>272</v>
      </c>
    </row>
    <row r="2026" spans="1:18" ht="69" customHeight="1">
      <c r="A2026" s="168"/>
      <c r="B2026" s="178">
        <v>5235</v>
      </c>
      <c r="C2026" s="178" t="s">
        <v>3906</v>
      </c>
      <c r="D2026" s="575" t="s">
        <v>5785</v>
      </c>
      <c r="E2026" s="178" t="s">
        <v>266</v>
      </c>
      <c r="F2026" s="210" t="s">
        <v>5786</v>
      </c>
      <c r="G2026" s="58" t="s">
        <v>396</v>
      </c>
      <c r="H2026" s="546">
        <v>1150</v>
      </c>
      <c r="I2026" s="66">
        <v>44753</v>
      </c>
      <c r="J2026" s="411" t="s">
        <v>5787</v>
      </c>
      <c r="K2026" s="58" t="s">
        <v>705</v>
      </c>
      <c r="L2026" s="99"/>
      <c r="M2026" s="70" t="s">
        <v>5788</v>
      </c>
      <c r="N2026" s="97" t="s">
        <v>399</v>
      </c>
      <c r="O2026" s="58" t="s">
        <v>971</v>
      </c>
      <c r="P2026" s="58" t="s">
        <v>38</v>
      </c>
      <c r="Q2026" s="58" t="s">
        <v>68</v>
      </c>
      <c r="R2026" s="58" t="s">
        <v>272</v>
      </c>
    </row>
    <row r="2027" spans="1:18" ht="69" customHeight="1">
      <c r="A2027" s="168"/>
      <c r="B2027" s="178">
        <v>6055</v>
      </c>
      <c r="C2027" s="178" t="s">
        <v>3906</v>
      </c>
      <c r="D2027" s="575" t="s">
        <v>1542</v>
      </c>
      <c r="E2027" s="178" t="s">
        <v>266</v>
      </c>
      <c r="F2027" s="210" t="s">
        <v>5789</v>
      </c>
      <c r="G2027" s="58" t="s">
        <v>680</v>
      </c>
      <c r="H2027" s="546">
        <v>6206.9</v>
      </c>
      <c r="I2027" s="66" t="s">
        <v>96</v>
      </c>
      <c r="J2027" s="411" t="s">
        <v>5790</v>
      </c>
      <c r="K2027" s="58"/>
      <c r="L2027" s="99"/>
      <c r="M2027" s="70" t="s">
        <v>5791</v>
      </c>
      <c r="N2027" s="97" t="s">
        <v>683</v>
      </c>
      <c r="O2027" s="58" t="s">
        <v>684</v>
      </c>
      <c r="P2027" s="58" t="s">
        <v>46</v>
      </c>
      <c r="Q2027" s="58" t="s">
        <v>68</v>
      </c>
      <c r="R2027" s="58" t="s">
        <v>272</v>
      </c>
    </row>
    <row r="2028" spans="1:18" ht="69" customHeight="1">
      <c r="A2028" s="168"/>
      <c r="B2028" s="178">
        <v>6457</v>
      </c>
      <c r="C2028" s="178" t="s">
        <v>3906</v>
      </c>
      <c r="D2028" s="575" t="s">
        <v>5792</v>
      </c>
      <c r="E2028" s="178" t="s">
        <v>921</v>
      </c>
      <c r="F2028" s="210" t="s">
        <v>5793</v>
      </c>
      <c r="G2028" s="58" t="s">
        <v>5794</v>
      </c>
      <c r="H2028" s="546">
        <v>210000</v>
      </c>
      <c r="I2028" s="66">
        <v>44809</v>
      </c>
      <c r="J2028" s="411" t="s">
        <v>5795</v>
      </c>
      <c r="K2028" s="58"/>
      <c r="L2028" s="99"/>
      <c r="M2028" s="70" t="s">
        <v>5796</v>
      </c>
      <c r="N2028" s="97" t="s">
        <v>356</v>
      </c>
      <c r="O2028" s="58" t="s">
        <v>156</v>
      </c>
      <c r="P2028" s="58" t="s">
        <v>19</v>
      </c>
      <c r="Q2028" s="58" t="s">
        <v>68</v>
      </c>
      <c r="R2028" s="58" t="s">
        <v>272</v>
      </c>
    </row>
    <row r="2029" spans="1:18" ht="69" customHeight="1">
      <c r="A2029" s="168"/>
      <c r="B2029" s="178">
        <v>6406</v>
      </c>
      <c r="C2029" s="178" t="s">
        <v>3906</v>
      </c>
      <c r="D2029" s="575" t="s">
        <v>5797</v>
      </c>
      <c r="E2029" s="178" t="s">
        <v>432</v>
      </c>
      <c r="F2029" s="210" t="s">
        <v>5798</v>
      </c>
      <c r="G2029" s="58" t="s">
        <v>429</v>
      </c>
      <c r="H2029" s="546">
        <v>13959.486000000001</v>
      </c>
      <c r="I2029" s="66">
        <v>44802</v>
      </c>
      <c r="J2029" s="411" t="s">
        <v>5799</v>
      </c>
      <c r="K2029" s="58"/>
      <c r="L2029" s="99"/>
      <c r="M2029" s="70" t="s">
        <v>5800</v>
      </c>
      <c r="N2029" s="97" t="s">
        <v>432</v>
      </c>
      <c r="O2029" s="58"/>
      <c r="P2029" s="58" t="s">
        <v>53</v>
      </c>
      <c r="Q2029" s="58" t="s">
        <v>68</v>
      </c>
      <c r="R2029" s="58" t="s">
        <v>272</v>
      </c>
    </row>
    <row r="2030" spans="1:18" ht="69" customHeight="1">
      <c r="A2030" s="168"/>
      <c r="B2030" s="178">
        <v>5304</v>
      </c>
      <c r="C2030" s="178" t="s">
        <v>3906</v>
      </c>
      <c r="D2030" s="575" t="s">
        <v>1313</v>
      </c>
      <c r="E2030" s="178" t="s">
        <v>266</v>
      </c>
      <c r="F2030" s="210" t="s">
        <v>5801</v>
      </c>
      <c r="G2030" s="58" t="s">
        <v>1107</v>
      </c>
      <c r="H2030" s="546">
        <v>6500</v>
      </c>
      <c r="I2030" s="66" t="s">
        <v>96</v>
      </c>
      <c r="J2030" s="411" t="s">
        <v>5802</v>
      </c>
      <c r="K2030" s="58"/>
      <c r="L2030" s="99"/>
      <c r="M2030" s="70" t="s">
        <v>5803</v>
      </c>
      <c r="N2030" s="97" t="s">
        <v>552</v>
      </c>
      <c r="O2030" s="58" t="s">
        <v>971</v>
      </c>
      <c r="P2030" s="58" t="s">
        <v>38</v>
      </c>
      <c r="Q2030" s="58" t="s">
        <v>68</v>
      </c>
      <c r="R2030" s="58" t="s">
        <v>272</v>
      </c>
    </row>
    <row r="2031" spans="1:18" ht="69" customHeight="1">
      <c r="A2031" s="168"/>
      <c r="B2031" s="178">
        <v>6653</v>
      </c>
      <c r="C2031" s="178" t="s">
        <v>3906</v>
      </c>
      <c r="D2031" s="575" t="s">
        <v>2533</v>
      </c>
      <c r="E2031" s="178" t="s">
        <v>979</v>
      </c>
      <c r="F2031" s="210" t="s">
        <v>5804</v>
      </c>
      <c r="G2031" s="58" t="s">
        <v>5805</v>
      </c>
      <c r="H2031" s="546">
        <v>141682.79</v>
      </c>
      <c r="I2031" s="66">
        <v>44823</v>
      </c>
      <c r="J2031" s="411" t="s">
        <v>5806</v>
      </c>
      <c r="K2031" s="58"/>
      <c r="L2031" s="99"/>
      <c r="M2031" s="70" t="s">
        <v>5013</v>
      </c>
      <c r="N2031" s="97" t="s">
        <v>356</v>
      </c>
      <c r="O2031" s="58" t="s">
        <v>156</v>
      </c>
      <c r="P2031" s="58" t="s">
        <v>19</v>
      </c>
      <c r="Q2031" s="58" t="s">
        <v>68</v>
      </c>
      <c r="R2031" s="58" t="s">
        <v>265</v>
      </c>
    </row>
    <row r="2032" spans="1:18" ht="69" customHeight="1">
      <c r="A2032" s="168"/>
      <c r="B2032" s="178">
        <v>6711</v>
      </c>
      <c r="C2032" s="178" t="s">
        <v>3906</v>
      </c>
      <c r="D2032" s="575" t="s">
        <v>5807</v>
      </c>
      <c r="E2032" s="178" t="s">
        <v>409</v>
      </c>
      <c r="F2032" s="210" t="s">
        <v>5808</v>
      </c>
      <c r="G2032" s="58" t="s">
        <v>5809</v>
      </c>
      <c r="H2032" s="546">
        <v>274070.21999999997</v>
      </c>
      <c r="I2032" s="66">
        <v>44820</v>
      </c>
      <c r="J2032" s="411" t="s">
        <v>5810</v>
      </c>
      <c r="K2032" s="58"/>
      <c r="L2032" s="99"/>
      <c r="M2032" s="70" t="s">
        <v>5811</v>
      </c>
      <c r="N2032" s="97" t="s">
        <v>414</v>
      </c>
      <c r="O2032" s="58" t="s">
        <v>5713</v>
      </c>
      <c r="P2032" s="58" t="s">
        <v>24</v>
      </c>
      <c r="Q2032" s="58" t="s">
        <v>68</v>
      </c>
      <c r="R2032" s="58" t="s">
        <v>272</v>
      </c>
    </row>
    <row r="2033" spans="1:18" ht="69" customHeight="1">
      <c r="A2033" s="168"/>
      <c r="B2033" s="178">
        <v>6780</v>
      </c>
      <c r="C2033" s="178" t="s">
        <v>3906</v>
      </c>
      <c r="D2033" s="575" t="s">
        <v>5812</v>
      </c>
      <c r="E2033" s="178" t="s">
        <v>921</v>
      </c>
      <c r="F2033" s="210" t="s">
        <v>5813</v>
      </c>
      <c r="G2033" s="58" t="s">
        <v>5814</v>
      </c>
      <c r="H2033" s="546">
        <v>210000</v>
      </c>
      <c r="I2033" s="66">
        <v>44837</v>
      </c>
      <c r="J2033" s="411" t="s">
        <v>5815</v>
      </c>
      <c r="K2033" s="58"/>
      <c r="L2033" s="99"/>
      <c r="M2033" s="70" t="s">
        <v>5796</v>
      </c>
      <c r="N2033" s="97" t="s">
        <v>356</v>
      </c>
      <c r="O2033" s="58" t="s">
        <v>156</v>
      </c>
      <c r="P2033" s="58" t="s">
        <v>19</v>
      </c>
      <c r="Q2033" s="58" t="s">
        <v>68</v>
      </c>
      <c r="R2033" s="58" t="s">
        <v>272</v>
      </c>
    </row>
    <row r="2034" spans="1:18" ht="69" customHeight="1">
      <c r="A2034" s="168"/>
      <c r="B2034" s="178">
        <v>6822</v>
      </c>
      <c r="C2034" s="178" t="s">
        <v>3906</v>
      </c>
      <c r="D2034" s="575" t="s">
        <v>2815</v>
      </c>
      <c r="E2034" s="178" t="s">
        <v>266</v>
      </c>
      <c r="F2034" s="210" t="s">
        <v>5816</v>
      </c>
      <c r="G2034" s="58" t="s">
        <v>448</v>
      </c>
      <c r="H2034" s="546">
        <v>17500</v>
      </c>
      <c r="I2034" s="66">
        <v>44832</v>
      </c>
      <c r="J2034" s="411" t="s">
        <v>5817</v>
      </c>
      <c r="K2034" s="58"/>
      <c r="L2034" s="99"/>
      <c r="M2034" s="70" t="s">
        <v>5788</v>
      </c>
      <c r="N2034" s="97" t="s">
        <v>399</v>
      </c>
      <c r="O2034" s="58" t="s">
        <v>971</v>
      </c>
      <c r="P2034" s="58" t="s">
        <v>38</v>
      </c>
      <c r="Q2034" s="58" t="s">
        <v>68</v>
      </c>
      <c r="R2034" s="58" t="s">
        <v>272</v>
      </c>
    </row>
    <row r="2035" spans="1:18" ht="69" customHeight="1">
      <c r="A2035" s="168"/>
      <c r="B2035" s="178">
        <v>6241</v>
      </c>
      <c r="C2035" s="178" t="s">
        <v>3906</v>
      </c>
      <c r="D2035" s="575" t="s">
        <v>5818</v>
      </c>
      <c r="E2035" s="178" t="s">
        <v>921</v>
      </c>
      <c r="F2035" s="210" t="s">
        <v>5819</v>
      </c>
      <c r="G2035" s="58" t="s">
        <v>5820</v>
      </c>
      <c r="H2035" s="546">
        <v>134520</v>
      </c>
      <c r="I2035" s="66">
        <v>44791</v>
      </c>
      <c r="J2035" s="411" t="s">
        <v>5821</v>
      </c>
      <c r="K2035" s="58" t="s">
        <v>5822</v>
      </c>
      <c r="L2035" s="99"/>
      <c r="M2035" s="70" t="s">
        <v>5796</v>
      </c>
      <c r="N2035" s="97" t="s">
        <v>356</v>
      </c>
      <c r="O2035" s="58" t="s">
        <v>156</v>
      </c>
      <c r="P2035" s="58" t="s">
        <v>19</v>
      </c>
      <c r="Q2035" s="58" t="s">
        <v>68</v>
      </c>
      <c r="R2035" s="58" t="s">
        <v>272</v>
      </c>
    </row>
    <row r="2036" spans="1:18" ht="69" customHeight="1">
      <c r="A2036" s="168"/>
      <c r="B2036" s="178">
        <v>75647</v>
      </c>
      <c r="C2036" s="178" t="s">
        <v>3906</v>
      </c>
      <c r="D2036" s="575" t="s">
        <v>5823</v>
      </c>
      <c r="E2036" s="178" t="s">
        <v>552</v>
      </c>
      <c r="F2036" s="210" t="s">
        <v>5824</v>
      </c>
      <c r="G2036" s="58" t="s">
        <v>1107</v>
      </c>
      <c r="H2036" s="546">
        <v>850</v>
      </c>
      <c r="I2036" s="66">
        <v>44893</v>
      </c>
      <c r="J2036" s="411" t="s">
        <v>1831</v>
      </c>
      <c r="K2036" s="58"/>
      <c r="L2036" s="99"/>
      <c r="M2036" s="70" t="s">
        <v>5803</v>
      </c>
      <c r="N2036" s="97" t="s">
        <v>552</v>
      </c>
      <c r="O2036" s="58" t="s">
        <v>971</v>
      </c>
      <c r="P2036" s="58" t="s">
        <v>38</v>
      </c>
      <c r="Q2036" s="58" t="s">
        <v>68</v>
      </c>
      <c r="R2036" s="58" t="s">
        <v>272</v>
      </c>
    </row>
    <row r="2037" spans="1:18" ht="69" customHeight="1">
      <c r="A2037" s="168"/>
      <c r="B2037" s="207">
        <v>6254</v>
      </c>
      <c r="C2037" s="207" t="s">
        <v>3906</v>
      </c>
      <c r="D2037" s="301" t="s">
        <v>1551</v>
      </c>
      <c r="E2037" s="207" t="s">
        <v>979</v>
      </c>
      <c r="F2037" s="208" t="s">
        <v>5825</v>
      </c>
      <c r="G2037" s="160" t="s">
        <v>352</v>
      </c>
      <c r="H2037" s="300">
        <v>60757.32</v>
      </c>
      <c r="I2037" s="209">
        <v>44788</v>
      </c>
      <c r="J2037" s="322" t="s">
        <v>5826</v>
      </c>
      <c r="K2037" s="160" t="s">
        <v>727</v>
      </c>
      <c r="M2037" s="380"/>
      <c r="N2037" s="82" t="s">
        <v>356</v>
      </c>
      <c r="O2037" s="160"/>
      <c r="P2037" s="160" t="s">
        <v>67</v>
      </c>
      <c r="Q2037" s="160" t="s">
        <v>68</v>
      </c>
      <c r="R2037" s="160" t="s">
        <v>272</v>
      </c>
    </row>
    <row r="2038" spans="1:18" ht="69" customHeight="1">
      <c r="A2038" s="168"/>
      <c r="B2038" s="207">
        <v>6270</v>
      </c>
      <c r="C2038" s="207" t="s">
        <v>3906</v>
      </c>
      <c r="D2038" s="301" t="s">
        <v>5827</v>
      </c>
      <c r="E2038" s="207" t="s">
        <v>979</v>
      </c>
      <c r="F2038" s="208" t="s">
        <v>5828</v>
      </c>
      <c r="G2038" s="160" t="s">
        <v>5829</v>
      </c>
      <c r="H2038" s="300">
        <v>76766.080000000002</v>
      </c>
      <c r="I2038" s="209">
        <v>44806</v>
      </c>
      <c r="J2038" s="322" t="s">
        <v>3909</v>
      </c>
      <c r="K2038" s="160" t="s">
        <v>67</v>
      </c>
      <c r="M2038" s="380"/>
      <c r="N2038" s="82" t="s">
        <v>356</v>
      </c>
      <c r="O2038" s="160"/>
      <c r="P2038" s="160" t="s">
        <v>67</v>
      </c>
      <c r="Q2038" s="160" t="s">
        <v>68</v>
      </c>
      <c r="R2038" s="160" t="s">
        <v>272</v>
      </c>
    </row>
    <row r="2039" spans="1:18" ht="69" customHeight="1">
      <c r="A2039" s="168"/>
      <c r="B2039" s="207">
        <v>6271</v>
      </c>
      <c r="C2039" s="207" t="s">
        <v>3906</v>
      </c>
      <c r="D2039" s="301" t="s">
        <v>5830</v>
      </c>
      <c r="E2039" s="207" t="s">
        <v>979</v>
      </c>
      <c r="F2039" s="208" t="s">
        <v>5831</v>
      </c>
      <c r="G2039" s="160" t="s">
        <v>5829</v>
      </c>
      <c r="H2039" s="300">
        <v>342918.09</v>
      </c>
      <c r="I2039" s="209">
        <v>44806</v>
      </c>
      <c r="J2039" s="322" t="s">
        <v>3909</v>
      </c>
      <c r="K2039" s="160" t="s">
        <v>67</v>
      </c>
      <c r="M2039" s="380"/>
      <c r="N2039" s="82" t="s">
        <v>356</v>
      </c>
      <c r="O2039" s="160"/>
      <c r="P2039" s="160" t="s">
        <v>67</v>
      </c>
      <c r="Q2039" s="160" t="s">
        <v>68</v>
      </c>
      <c r="R2039" s="160" t="s">
        <v>272</v>
      </c>
    </row>
    <row r="2040" spans="1:18" ht="69" customHeight="1">
      <c r="A2040" s="168"/>
      <c r="B2040" s="178">
        <v>7011</v>
      </c>
      <c r="C2040" s="178" t="s">
        <v>5832</v>
      </c>
      <c r="D2040" s="575" t="s">
        <v>2100</v>
      </c>
      <c r="E2040" s="178" t="s">
        <v>979</v>
      </c>
      <c r="F2040" s="210" t="s">
        <v>5833</v>
      </c>
      <c r="G2040" s="58" t="s">
        <v>805</v>
      </c>
      <c r="H2040" s="546">
        <v>118860</v>
      </c>
      <c r="I2040" s="66">
        <v>44860</v>
      </c>
      <c r="J2040" s="411" t="s">
        <v>5834</v>
      </c>
      <c r="K2040" s="58"/>
      <c r="L2040" s="99"/>
      <c r="M2040" s="70" t="s">
        <v>5013</v>
      </c>
      <c r="N2040" s="97" t="s">
        <v>356</v>
      </c>
      <c r="O2040" s="58" t="s">
        <v>156</v>
      </c>
      <c r="P2040" s="58" t="s">
        <v>19</v>
      </c>
      <c r="Q2040" s="58" t="s">
        <v>68</v>
      </c>
      <c r="R2040" s="58" t="s">
        <v>265</v>
      </c>
    </row>
    <row r="2041" spans="1:18" ht="69" customHeight="1">
      <c r="A2041" s="168"/>
      <c r="B2041" s="178">
        <v>8469</v>
      </c>
      <c r="C2041" s="178" t="s">
        <v>3906</v>
      </c>
      <c r="D2041" s="575"/>
      <c r="E2041" s="178" t="s">
        <v>552</v>
      </c>
      <c r="F2041" s="210" t="s">
        <v>5835</v>
      </c>
      <c r="G2041" s="58" t="s">
        <v>1107</v>
      </c>
      <c r="H2041" s="546">
        <v>6500</v>
      </c>
      <c r="I2041" s="66">
        <v>44942</v>
      </c>
      <c r="J2041" s="411" t="s">
        <v>5836</v>
      </c>
      <c r="K2041" s="58"/>
      <c r="L2041" s="99"/>
      <c r="M2041" s="70" t="s">
        <v>5803</v>
      </c>
      <c r="N2041" s="97" t="s">
        <v>552</v>
      </c>
      <c r="O2041" s="58" t="s">
        <v>971</v>
      </c>
      <c r="P2041" s="58" t="s">
        <v>38</v>
      </c>
      <c r="Q2041" s="58" t="s">
        <v>68</v>
      </c>
      <c r="R2041" s="58" t="s">
        <v>272</v>
      </c>
    </row>
    <row r="2042" spans="1:18" ht="69" customHeight="1">
      <c r="A2042" s="168"/>
      <c r="B2042" s="178">
        <v>2651</v>
      </c>
      <c r="C2042" s="178" t="s">
        <v>458</v>
      </c>
      <c r="D2042" s="575" t="s">
        <v>96</v>
      </c>
      <c r="E2042" s="178" t="s">
        <v>283</v>
      </c>
      <c r="F2042" s="210" t="s">
        <v>5837</v>
      </c>
      <c r="G2042" s="58" t="s">
        <v>5838</v>
      </c>
      <c r="H2042" s="546">
        <v>15163.85</v>
      </c>
      <c r="I2042" s="66">
        <v>44554</v>
      </c>
      <c r="J2042" s="411" t="s">
        <v>5839</v>
      </c>
      <c r="K2042" s="58" t="s">
        <v>5840</v>
      </c>
      <c r="L2042" s="99"/>
      <c r="M2042" s="70" t="s">
        <v>103</v>
      </c>
      <c r="N2042" s="97" t="s">
        <v>17</v>
      </c>
      <c r="O2042" s="596" t="s">
        <v>141</v>
      </c>
      <c r="P2042" s="229" t="s">
        <v>17</v>
      </c>
      <c r="Q2042" s="58" t="s">
        <v>108</v>
      </c>
      <c r="R2042" s="58" t="s">
        <v>272</v>
      </c>
    </row>
    <row r="2043" spans="1:18" ht="69" customHeight="1">
      <c r="A2043" s="168"/>
      <c r="B2043" s="191">
        <v>8695</v>
      </c>
      <c r="C2043" s="191" t="s">
        <v>3667</v>
      </c>
      <c r="D2043" s="533" t="s">
        <v>5841</v>
      </c>
      <c r="E2043" s="191" t="s">
        <v>5842</v>
      </c>
      <c r="F2043" s="211" t="s">
        <v>5843</v>
      </c>
      <c r="G2043" s="46" t="s">
        <v>835</v>
      </c>
      <c r="H2043" s="534">
        <v>18900</v>
      </c>
      <c r="I2043" s="56">
        <v>44967</v>
      </c>
      <c r="J2043" s="412" t="s">
        <v>5844</v>
      </c>
      <c r="K2043" s="46" t="s">
        <v>881</v>
      </c>
      <c r="L2043" s="99"/>
      <c r="M2043" s="379"/>
      <c r="N2043" s="76" t="s">
        <v>264</v>
      </c>
      <c r="O2043" s="266" t="s">
        <v>141</v>
      </c>
      <c r="P2043" s="46" t="s">
        <v>65</v>
      </c>
      <c r="Q2043" s="46" t="s">
        <v>68</v>
      </c>
      <c r="R2043" s="46" t="s">
        <v>272</v>
      </c>
    </row>
    <row r="2044" spans="1:18" ht="69" customHeight="1">
      <c r="A2044" s="168"/>
      <c r="B2044" s="178">
        <v>8947</v>
      </c>
      <c r="C2044" s="59" t="s">
        <v>3667</v>
      </c>
      <c r="D2044" s="575" t="s">
        <v>5845</v>
      </c>
      <c r="E2044" s="178" t="s">
        <v>409</v>
      </c>
      <c r="F2044" s="210" t="s">
        <v>5846</v>
      </c>
      <c r="G2044" s="58" t="s">
        <v>5847</v>
      </c>
      <c r="H2044" s="546">
        <v>23000</v>
      </c>
      <c r="I2044" s="66">
        <v>44988</v>
      </c>
      <c r="J2044" s="411" t="s">
        <v>5848</v>
      </c>
      <c r="K2044" s="58"/>
      <c r="L2044" s="99"/>
      <c r="M2044" s="70" t="s">
        <v>5849</v>
      </c>
      <c r="N2044" s="97" t="s">
        <v>414</v>
      </c>
      <c r="O2044" s="58" t="s">
        <v>4116</v>
      </c>
      <c r="P2044" s="58" t="s">
        <v>24</v>
      </c>
      <c r="Q2044" s="58" t="s">
        <v>68</v>
      </c>
      <c r="R2044" s="58" t="s">
        <v>265</v>
      </c>
    </row>
    <row r="2045" spans="1:18" ht="69" customHeight="1">
      <c r="A2045" s="168"/>
      <c r="B2045" s="178">
        <v>8922</v>
      </c>
      <c r="C2045" s="178" t="s">
        <v>5832</v>
      </c>
      <c r="D2045" s="575" t="s">
        <v>5850</v>
      </c>
      <c r="E2045" s="178" t="s">
        <v>270</v>
      </c>
      <c r="F2045" s="210" t="s">
        <v>5851</v>
      </c>
      <c r="G2045" s="58" t="s">
        <v>5852</v>
      </c>
      <c r="H2045" s="546">
        <v>5000</v>
      </c>
      <c r="I2045" s="66">
        <v>44984</v>
      </c>
      <c r="J2045" s="411" t="s">
        <v>5853</v>
      </c>
      <c r="K2045" s="58"/>
      <c r="L2045" s="99"/>
      <c r="M2045" s="70" t="s">
        <v>5739</v>
      </c>
      <c r="N2045" s="97" t="s">
        <v>270</v>
      </c>
      <c r="O2045" s="58"/>
      <c r="P2045" s="58" t="s">
        <v>44</v>
      </c>
      <c r="Q2045" s="58" t="s">
        <v>68</v>
      </c>
      <c r="R2045" s="58" t="s">
        <v>272</v>
      </c>
    </row>
    <row r="2046" spans="1:18" ht="69" customHeight="1">
      <c r="A2046" s="168"/>
      <c r="B2046" s="178">
        <v>8887</v>
      </c>
      <c r="C2046" s="59" t="s">
        <v>3667</v>
      </c>
      <c r="D2046" s="575" t="s">
        <v>5854</v>
      </c>
      <c r="E2046" s="178" t="s">
        <v>270</v>
      </c>
      <c r="F2046" s="210" t="s">
        <v>5855</v>
      </c>
      <c r="G2046" s="58" t="s">
        <v>392</v>
      </c>
      <c r="H2046" s="546">
        <v>1150</v>
      </c>
      <c r="I2046" s="66">
        <v>44985</v>
      </c>
      <c r="J2046" s="411" t="s">
        <v>4292</v>
      </c>
      <c r="K2046" s="58"/>
      <c r="L2046" s="99"/>
      <c r="M2046" s="70" t="s">
        <v>5739</v>
      </c>
      <c r="N2046" s="97" t="s">
        <v>270</v>
      </c>
      <c r="O2046" s="58"/>
      <c r="P2046" s="58" t="s">
        <v>44</v>
      </c>
      <c r="Q2046" s="58" t="s">
        <v>68</v>
      </c>
      <c r="R2046" s="58" t="s">
        <v>272</v>
      </c>
    </row>
    <row r="2047" spans="1:18" ht="69" customHeight="1">
      <c r="A2047" s="168"/>
      <c r="B2047" s="178">
        <v>9023</v>
      </c>
      <c r="C2047" s="59" t="s">
        <v>3667</v>
      </c>
      <c r="D2047" s="575" t="s">
        <v>5856</v>
      </c>
      <c r="E2047" s="178" t="s">
        <v>741</v>
      </c>
      <c r="F2047" s="210" t="s">
        <v>5857</v>
      </c>
      <c r="G2047" s="58" t="s">
        <v>5858</v>
      </c>
      <c r="H2047" s="546">
        <v>225672</v>
      </c>
      <c r="I2047" s="66">
        <v>45001</v>
      </c>
      <c r="J2047" s="411" t="s">
        <v>5859</v>
      </c>
      <c r="K2047" s="58"/>
      <c r="L2047" s="99"/>
      <c r="M2047" s="70" t="s">
        <v>5860</v>
      </c>
      <c r="N2047" s="97" t="s">
        <v>741</v>
      </c>
      <c r="O2047" s="58"/>
      <c r="P2047" s="58" t="s">
        <v>59</v>
      </c>
      <c r="Q2047" s="58" t="s">
        <v>68</v>
      </c>
      <c r="R2047" s="58" t="s">
        <v>272</v>
      </c>
    </row>
    <row r="2048" spans="1:18" ht="69" customHeight="1">
      <c r="A2048" s="168"/>
      <c r="B2048" s="191">
        <v>9445</v>
      </c>
      <c r="C2048" s="191" t="s">
        <v>3667</v>
      </c>
      <c r="D2048" s="533" t="s">
        <v>5861</v>
      </c>
      <c r="E2048" s="191" t="s">
        <v>585</v>
      </c>
      <c r="F2048" s="211" t="s">
        <v>5862</v>
      </c>
      <c r="G2048" s="46" t="s">
        <v>5863</v>
      </c>
      <c r="H2048" s="534">
        <v>23000</v>
      </c>
      <c r="I2048" s="56">
        <v>45014</v>
      </c>
      <c r="J2048" s="412" t="s">
        <v>5864</v>
      </c>
      <c r="K2048" s="46" t="s">
        <v>881</v>
      </c>
      <c r="L2048" s="99"/>
      <c r="M2048" s="379"/>
      <c r="N2048" s="76" t="s">
        <v>414</v>
      </c>
      <c r="O2048" s="46"/>
      <c r="P2048" s="46" t="s">
        <v>71</v>
      </c>
      <c r="Q2048" s="46" t="s">
        <v>68</v>
      </c>
      <c r="R2048" s="46" t="s">
        <v>272</v>
      </c>
    </row>
    <row r="2049" spans="1:18" ht="69" customHeight="1">
      <c r="A2049" s="168"/>
      <c r="B2049" s="178"/>
      <c r="C2049" s="178" t="s">
        <v>3906</v>
      </c>
      <c r="D2049" s="575"/>
      <c r="E2049" s="178" t="s">
        <v>921</v>
      </c>
      <c r="F2049" s="210" t="s">
        <v>5865</v>
      </c>
      <c r="G2049" s="58" t="s">
        <v>5794</v>
      </c>
      <c r="H2049" s="546">
        <v>77000</v>
      </c>
      <c r="I2049" s="66">
        <v>44387</v>
      </c>
      <c r="J2049" s="411"/>
      <c r="K2049" s="58" t="s">
        <v>5866</v>
      </c>
      <c r="L2049" s="99"/>
      <c r="M2049" s="70" t="s">
        <v>5796</v>
      </c>
      <c r="N2049" s="97" t="s">
        <v>356</v>
      </c>
      <c r="O2049" s="58" t="s">
        <v>156</v>
      </c>
      <c r="P2049" s="58" t="s">
        <v>19</v>
      </c>
      <c r="Q2049" s="58" t="s">
        <v>68</v>
      </c>
      <c r="R2049" s="58" t="s">
        <v>272</v>
      </c>
    </row>
    <row r="2050" spans="1:18" ht="69" customHeight="1">
      <c r="A2050" s="168"/>
      <c r="B2050" s="178">
        <v>9920</v>
      </c>
      <c r="C2050" s="59" t="s">
        <v>3667</v>
      </c>
      <c r="D2050" s="575" t="s">
        <v>5867</v>
      </c>
      <c r="E2050" s="178" t="s">
        <v>741</v>
      </c>
      <c r="F2050" s="210" t="s">
        <v>5868</v>
      </c>
      <c r="G2050" s="58" t="s">
        <v>5869</v>
      </c>
      <c r="H2050" s="546">
        <v>331719.24</v>
      </c>
      <c r="I2050" s="66">
        <v>45044</v>
      </c>
      <c r="J2050" s="411" t="s">
        <v>5870</v>
      </c>
      <c r="K2050" s="58"/>
      <c r="L2050" s="99"/>
      <c r="M2050" s="70" t="s">
        <v>5860</v>
      </c>
      <c r="N2050" s="97" t="s">
        <v>741</v>
      </c>
      <c r="O2050" s="58"/>
      <c r="P2050" s="58" t="s">
        <v>59</v>
      </c>
      <c r="Q2050" s="58" t="s">
        <v>68</v>
      </c>
      <c r="R2050" s="58" t="s">
        <v>272</v>
      </c>
    </row>
    <row r="2051" spans="1:18" ht="69" customHeight="1">
      <c r="A2051" s="168"/>
      <c r="B2051" s="178"/>
      <c r="C2051" s="178" t="s">
        <v>4494</v>
      </c>
      <c r="D2051" s="575"/>
      <c r="E2051" s="178" t="s">
        <v>266</v>
      </c>
      <c r="F2051" s="210" t="s">
        <v>5871</v>
      </c>
      <c r="G2051" s="58"/>
      <c r="H2051" s="546">
        <v>5553.33</v>
      </c>
      <c r="I2051" s="66">
        <v>44484</v>
      </c>
      <c r="J2051" s="411" t="s">
        <v>5741</v>
      </c>
      <c r="K2051" s="58"/>
      <c r="L2051" s="99"/>
      <c r="M2051" s="70" t="s">
        <v>5872</v>
      </c>
      <c r="N2051" s="97" t="s">
        <v>270</v>
      </c>
      <c r="O2051" s="58" t="s">
        <v>4494</v>
      </c>
      <c r="P2051" s="58" t="s">
        <v>44</v>
      </c>
      <c r="Q2051" s="58" t="s">
        <v>70</v>
      </c>
      <c r="R2051" s="58" t="s">
        <v>272</v>
      </c>
    </row>
    <row r="2052" spans="1:18" ht="69" customHeight="1">
      <c r="A2052" s="168"/>
      <c r="B2052" s="178"/>
      <c r="C2052" s="178" t="s">
        <v>4494</v>
      </c>
      <c r="D2052" s="575"/>
      <c r="E2052" s="178" t="s">
        <v>266</v>
      </c>
      <c r="F2052" s="210" t="s">
        <v>5873</v>
      </c>
      <c r="G2052" s="58"/>
      <c r="H2052" s="546">
        <v>1388.34</v>
      </c>
      <c r="I2052" s="66">
        <v>44456</v>
      </c>
      <c r="J2052" s="411" t="s">
        <v>5744</v>
      </c>
      <c r="K2052" s="58"/>
      <c r="L2052" s="99"/>
      <c r="M2052" s="70" t="s">
        <v>5872</v>
      </c>
      <c r="N2052" s="97" t="s">
        <v>270</v>
      </c>
      <c r="O2052" s="58" t="s">
        <v>4494</v>
      </c>
      <c r="P2052" s="58" t="s">
        <v>44</v>
      </c>
      <c r="Q2052" s="58" t="s">
        <v>70</v>
      </c>
      <c r="R2052" s="58" t="s">
        <v>272</v>
      </c>
    </row>
    <row r="2053" spans="1:18" ht="69" customHeight="1">
      <c r="A2053" s="168"/>
      <c r="B2053" s="191">
        <v>2985</v>
      </c>
      <c r="C2053" s="191" t="s">
        <v>3643</v>
      </c>
      <c r="D2053" s="533" t="s">
        <v>2719</v>
      </c>
      <c r="E2053" s="191" t="s">
        <v>331</v>
      </c>
      <c r="F2053" s="211" t="s">
        <v>5874</v>
      </c>
      <c r="G2053" s="46" t="s">
        <v>4416</v>
      </c>
      <c r="H2053" s="534">
        <v>0</v>
      </c>
      <c r="I2053" s="56" t="s">
        <v>96</v>
      </c>
      <c r="J2053" s="412" t="s">
        <v>334</v>
      </c>
      <c r="K2053" s="46"/>
      <c r="L2053" s="99"/>
      <c r="M2053" s="379" t="s">
        <v>70</v>
      </c>
      <c r="N2053" s="76" t="s">
        <v>69</v>
      </c>
      <c r="O2053" s="46"/>
      <c r="P2053" s="46" t="s">
        <v>69</v>
      </c>
      <c r="Q2053" s="46" t="s">
        <v>70</v>
      </c>
      <c r="R2053" s="46" t="s">
        <v>272</v>
      </c>
    </row>
    <row r="2054" spans="1:18" ht="69" customHeight="1">
      <c r="A2054" s="168"/>
      <c r="B2054" s="191">
        <v>3212</v>
      </c>
      <c r="C2054" s="191" t="s">
        <v>3906</v>
      </c>
      <c r="D2054" s="533" t="s">
        <v>5875</v>
      </c>
      <c r="E2054" s="191" t="s">
        <v>331</v>
      </c>
      <c r="F2054" s="211" t="s">
        <v>5874</v>
      </c>
      <c r="G2054" s="46" t="s">
        <v>4416</v>
      </c>
      <c r="H2054" s="534">
        <v>0</v>
      </c>
      <c r="I2054" s="56" t="s">
        <v>96</v>
      </c>
      <c r="J2054" s="412" t="s">
        <v>334</v>
      </c>
      <c r="K2054" s="46"/>
      <c r="L2054" s="99"/>
      <c r="M2054" s="379" t="s">
        <v>70</v>
      </c>
      <c r="N2054" s="76" t="s">
        <v>69</v>
      </c>
      <c r="O2054" s="46"/>
      <c r="P2054" s="46" t="s">
        <v>69</v>
      </c>
      <c r="Q2054" s="46" t="s">
        <v>70</v>
      </c>
      <c r="R2054" s="46" t="s">
        <v>272</v>
      </c>
    </row>
    <row r="2055" spans="1:18" ht="69" customHeight="1">
      <c r="A2055" s="168"/>
      <c r="B2055" s="178">
        <v>4019</v>
      </c>
      <c r="C2055" s="178" t="s">
        <v>259</v>
      </c>
      <c r="D2055" s="575"/>
      <c r="E2055" s="178" t="s">
        <v>266</v>
      </c>
      <c r="F2055" s="210" t="s">
        <v>5876</v>
      </c>
      <c r="G2055" s="58" t="s">
        <v>392</v>
      </c>
      <c r="H2055" s="546">
        <v>610.6</v>
      </c>
      <c r="I2055" s="66">
        <v>44615</v>
      </c>
      <c r="J2055" s="411" t="s">
        <v>5877</v>
      </c>
      <c r="K2055" s="58"/>
      <c r="L2055" s="99"/>
      <c r="M2055" s="70" t="s">
        <v>5872</v>
      </c>
      <c r="N2055" s="97" t="s">
        <v>270</v>
      </c>
      <c r="O2055" s="58"/>
      <c r="P2055" s="58" t="s">
        <v>44</v>
      </c>
      <c r="Q2055" s="58" t="s">
        <v>70</v>
      </c>
      <c r="R2055" s="58" t="s">
        <v>272</v>
      </c>
    </row>
    <row r="2056" spans="1:18" ht="69" customHeight="1">
      <c r="A2056" s="168"/>
      <c r="B2056" s="178">
        <v>4020</v>
      </c>
      <c r="C2056" s="178" t="s">
        <v>259</v>
      </c>
      <c r="D2056" s="575"/>
      <c r="E2056" s="178" t="s">
        <v>266</v>
      </c>
      <c r="F2056" s="210" t="s">
        <v>5878</v>
      </c>
      <c r="G2056" s="58" t="s">
        <v>392</v>
      </c>
      <c r="H2056" s="546">
        <v>601.05999999999995</v>
      </c>
      <c r="I2056" s="66">
        <v>44615</v>
      </c>
      <c r="J2056" s="411" t="s">
        <v>5879</v>
      </c>
      <c r="K2056" s="58"/>
      <c r="L2056" s="99"/>
      <c r="M2056" s="70" t="s">
        <v>5872</v>
      </c>
      <c r="N2056" s="97" t="s">
        <v>270</v>
      </c>
      <c r="O2056" s="58"/>
      <c r="P2056" s="58" t="s">
        <v>44</v>
      </c>
      <c r="Q2056" s="58" t="s">
        <v>70</v>
      </c>
      <c r="R2056" s="58" t="s">
        <v>272</v>
      </c>
    </row>
    <row r="2057" spans="1:18" ht="69" customHeight="1">
      <c r="A2057" s="168"/>
      <c r="B2057" s="178">
        <v>4021</v>
      </c>
      <c r="C2057" s="178" t="s">
        <v>259</v>
      </c>
      <c r="D2057" s="575"/>
      <c r="E2057" s="178" t="s">
        <v>266</v>
      </c>
      <c r="F2057" s="210" t="s">
        <v>5880</v>
      </c>
      <c r="G2057" s="58" t="s">
        <v>392</v>
      </c>
      <c r="H2057" s="546">
        <v>705.88</v>
      </c>
      <c r="I2057" s="66">
        <v>44615</v>
      </c>
      <c r="J2057" s="411" t="s">
        <v>5881</v>
      </c>
      <c r="K2057" s="58"/>
      <c r="L2057" s="99"/>
      <c r="M2057" s="70" t="s">
        <v>5872</v>
      </c>
      <c r="N2057" s="97" t="s">
        <v>270</v>
      </c>
      <c r="O2057" s="58"/>
      <c r="P2057" s="58" t="s">
        <v>44</v>
      </c>
      <c r="Q2057" s="58" t="s">
        <v>70</v>
      </c>
      <c r="R2057" s="58" t="s">
        <v>272</v>
      </c>
    </row>
    <row r="2058" spans="1:18" ht="69" customHeight="1">
      <c r="A2058" s="168"/>
      <c r="B2058" s="178">
        <v>4022</v>
      </c>
      <c r="C2058" s="178" t="s">
        <v>259</v>
      </c>
      <c r="D2058" s="575"/>
      <c r="E2058" s="178" t="s">
        <v>266</v>
      </c>
      <c r="F2058" s="210" t="s">
        <v>5882</v>
      </c>
      <c r="G2058" s="58" t="s">
        <v>392</v>
      </c>
      <c r="H2058" s="546">
        <v>2030.63</v>
      </c>
      <c r="I2058" s="66">
        <v>44615</v>
      </c>
      <c r="J2058" s="411" t="s">
        <v>5883</v>
      </c>
      <c r="K2058" s="58"/>
      <c r="L2058" s="99"/>
      <c r="M2058" s="70" t="s">
        <v>5872</v>
      </c>
      <c r="N2058" s="97" t="s">
        <v>270</v>
      </c>
      <c r="O2058" s="58"/>
      <c r="P2058" s="58" t="s">
        <v>44</v>
      </c>
      <c r="Q2058" s="58" t="s">
        <v>70</v>
      </c>
      <c r="R2058" s="58" t="s">
        <v>272</v>
      </c>
    </row>
    <row r="2059" spans="1:18" ht="69" customHeight="1">
      <c r="A2059" s="168"/>
      <c r="B2059" s="178">
        <v>4065</v>
      </c>
      <c r="C2059" s="59" t="s">
        <v>3667</v>
      </c>
      <c r="D2059" s="575" t="s">
        <v>5884</v>
      </c>
      <c r="E2059" s="178" t="s">
        <v>266</v>
      </c>
      <c r="F2059" s="210" t="s">
        <v>5885</v>
      </c>
      <c r="G2059" s="58" t="s">
        <v>640</v>
      </c>
      <c r="H2059" s="546">
        <v>11259</v>
      </c>
      <c r="I2059" s="66">
        <v>44636</v>
      </c>
      <c r="J2059" s="411" t="s">
        <v>5886</v>
      </c>
      <c r="K2059" s="58"/>
      <c r="L2059" s="99"/>
      <c r="M2059" s="70" t="s">
        <v>5872</v>
      </c>
      <c r="N2059" s="97" t="s">
        <v>270</v>
      </c>
      <c r="O2059" s="58"/>
      <c r="P2059" s="58" t="s">
        <v>44</v>
      </c>
      <c r="Q2059" s="58" t="s">
        <v>70</v>
      </c>
      <c r="R2059" s="58" t="s">
        <v>272</v>
      </c>
    </row>
    <row r="2060" spans="1:18" ht="69" customHeight="1">
      <c r="A2060" s="168"/>
      <c r="B2060" s="178">
        <v>4068</v>
      </c>
      <c r="C2060" s="59" t="s">
        <v>3667</v>
      </c>
      <c r="D2060" s="575" t="s">
        <v>436</v>
      </c>
      <c r="E2060" s="178" t="s">
        <v>266</v>
      </c>
      <c r="F2060" s="210" t="s">
        <v>5887</v>
      </c>
      <c r="G2060" s="58" t="s">
        <v>315</v>
      </c>
      <c r="H2060" s="546">
        <v>9000</v>
      </c>
      <c r="I2060" s="66">
        <v>44636</v>
      </c>
      <c r="J2060" s="411" t="s">
        <v>5888</v>
      </c>
      <c r="K2060" s="58"/>
      <c r="L2060" s="99"/>
      <c r="M2060" s="70" t="s">
        <v>5872</v>
      </c>
      <c r="N2060" s="97" t="s">
        <v>270</v>
      </c>
      <c r="O2060" s="58"/>
      <c r="P2060" s="58" t="s">
        <v>44</v>
      </c>
      <c r="Q2060" s="58" t="s">
        <v>70</v>
      </c>
      <c r="R2060" s="58" t="s">
        <v>272</v>
      </c>
    </row>
    <row r="2061" spans="1:18" ht="69" customHeight="1">
      <c r="A2061" s="168"/>
      <c r="B2061" s="178">
        <v>4208</v>
      </c>
      <c r="C2061" s="59" t="s">
        <v>3667</v>
      </c>
      <c r="D2061" s="575" t="s">
        <v>5889</v>
      </c>
      <c r="E2061" s="178" t="s">
        <v>266</v>
      </c>
      <c r="F2061" s="210" t="s">
        <v>5890</v>
      </c>
      <c r="G2061" s="58" t="s">
        <v>703</v>
      </c>
      <c r="H2061" s="546">
        <v>2250</v>
      </c>
      <c r="I2061" s="66">
        <v>44664</v>
      </c>
      <c r="J2061" s="411" t="s">
        <v>5891</v>
      </c>
      <c r="K2061" s="58"/>
      <c r="L2061" s="99"/>
      <c r="M2061" s="70" t="s">
        <v>5872</v>
      </c>
      <c r="N2061" s="97" t="s">
        <v>270</v>
      </c>
      <c r="O2061" s="58"/>
      <c r="P2061" s="58" t="s">
        <v>44</v>
      </c>
      <c r="Q2061" s="58" t="s">
        <v>70</v>
      </c>
      <c r="R2061" s="58" t="s">
        <v>272</v>
      </c>
    </row>
    <row r="2062" spans="1:18" ht="69" customHeight="1">
      <c r="A2062" s="168"/>
      <c r="B2062" s="178">
        <v>4731</v>
      </c>
      <c r="C2062" s="178" t="s">
        <v>3906</v>
      </c>
      <c r="D2062" s="575" t="s">
        <v>5892</v>
      </c>
      <c r="E2062" s="178" t="s">
        <v>331</v>
      </c>
      <c r="F2062" s="210" t="s">
        <v>5893</v>
      </c>
      <c r="G2062" s="58"/>
      <c r="H2062" s="546">
        <v>3389.12</v>
      </c>
      <c r="I2062" s="66">
        <v>44678</v>
      </c>
      <c r="J2062" s="411" t="s">
        <v>5894</v>
      </c>
      <c r="K2062" s="58"/>
      <c r="L2062" s="99"/>
      <c r="M2062" s="70" t="s">
        <v>5872</v>
      </c>
      <c r="N2062" s="97" t="s">
        <v>270</v>
      </c>
      <c r="O2062" s="58"/>
      <c r="P2062" s="58" t="s">
        <v>44</v>
      </c>
      <c r="Q2062" s="58" t="s">
        <v>70</v>
      </c>
      <c r="R2062" s="58" t="s">
        <v>272</v>
      </c>
    </row>
    <row r="2063" spans="1:18" ht="69" customHeight="1">
      <c r="A2063" s="168"/>
      <c r="B2063" s="178">
        <v>4687</v>
      </c>
      <c r="C2063" s="59" t="s">
        <v>3667</v>
      </c>
      <c r="D2063" s="575" t="s">
        <v>3469</v>
      </c>
      <c r="E2063" s="178" t="s">
        <v>283</v>
      </c>
      <c r="F2063" s="210" t="s">
        <v>5895</v>
      </c>
      <c r="G2063" s="58" t="s">
        <v>365</v>
      </c>
      <c r="H2063" s="546">
        <v>75100</v>
      </c>
      <c r="I2063" s="66">
        <v>44676</v>
      </c>
      <c r="J2063" s="411" t="s">
        <v>5896</v>
      </c>
      <c r="K2063" s="58" t="s">
        <v>5897</v>
      </c>
      <c r="L2063" s="99"/>
      <c r="M2063" s="70" t="s">
        <v>5898</v>
      </c>
      <c r="N2063" s="97" t="s">
        <v>264</v>
      </c>
      <c r="O2063" s="58" t="s">
        <v>141</v>
      </c>
      <c r="P2063" s="58" t="s">
        <v>17</v>
      </c>
      <c r="Q2063" s="58" t="s">
        <v>68</v>
      </c>
      <c r="R2063" s="58" t="s">
        <v>272</v>
      </c>
    </row>
    <row r="2064" spans="1:18" ht="69" customHeight="1">
      <c r="A2064" s="168"/>
      <c r="B2064" s="171">
        <v>4774</v>
      </c>
      <c r="C2064" s="171" t="s">
        <v>3906</v>
      </c>
      <c r="D2064" s="593" t="s">
        <v>3463</v>
      </c>
      <c r="E2064" s="171" t="s">
        <v>979</v>
      </c>
      <c r="F2064" s="594" t="s">
        <v>5899</v>
      </c>
      <c r="G2064" s="100" t="s">
        <v>352</v>
      </c>
      <c r="H2064" s="534">
        <v>0</v>
      </c>
      <c r="I2064" s="96">
        <v>44686</v>
      </c>
      <c r="J2064" s="595" t="s">
        <v>5900</v>
      </c>
      <c r="K2064" s="100"/>
      <c r="L2064" s="99"/>
      <c r="M2064" s="380" t="s">
        <v>3910</v>
      </c>
      <c r="N2064" s="82" t="s">
        <v>356</v>
      </c>
      <c r="O2064" s="46" t="s">
        <v>156</v>
      </c>
      <c r="P2064" s="100" t="s">
        <v>19</v>
      </c>
      <c r="Q2064" s="100" t="s">
        <v>70</v>
      </c>
      <c r="R2064" s="46" t="s">
        <v>265</v>
      </c>
    </row>
    <row r="2065" spans="1:18" ht="69" customHeight="1">
      <c r="A2065" s="168"/>
      <c r="B2065" s="178">
        <v>4797</v>
      </c>
      <c r="C2065" s="59" t="s">
        <v>3667</v>
      </c>
      <c r="D2065" s="575" t="s">
        <v>3170</v>
      </c>
      <c r="E2065" s="178" t="s">
        <v>266</v>
      </c>
      <c r="F2065" s="210" t="s">
        <v>5901</v>
      </c>
      <c r="G2065" s="58" t="s">
        <v>392</v>
      </c>
      <c r="H2065" s="546">
        <v>4328.3</v>
      </c>
      <c r="I2065" s="66">
        <v>44687</v>
      </c>
      <c r="J2065" s="411" t="s">
        <v>5902</v>
      </c>
      <c r="K2065" s="58"/>
      <c r="L2065" s="99"/>
      <c r="M2065" s="70" t="s">
        <v>5872</v>
      </c>
      <c r="N2065" s="97" t="s">
        <v>270</v>
      </c>
      <c r="O2065" s="58"/>
      <c r="P2065" s="58" t="s">
        <v>44</v>
      </c>
      <c r="Q2065" s="58" t="s">
        <v>70</v>
      </c>
      <c r="R2065" s="58" t="s">
        <v>272</v>
      </c>
    </row>
    <row r="2066" spans="1:18" ht="69" customHeight="1">
      <c r="A2066" s="168"/>
      <c r="B2066" s="178">
        <v>4774</v>
      </c>
      <c r="C2066" s="178" t="s">
        <v>3906</v>
      </c>
      <c r="D2066" s="575" t="s">
        <v>5903</v>
      </c>
      <c r="E2066" s="178" t="s">
        <v>979</v>
      </c>
      <c r="F2066" s="210" t="s">
        <v>5904</v>
      </c>
      <c r="G2066" s="58" t="s">
        <v>352</v>
      </c>
      <c r="H2066" s="546">
        <v>562428.75</v>
      </c>
      <c r="I2066" s="66">
        <v>44686</v>
      </c>
      <c r="J2066" s="411" t="s">
        <v>5900</v>
      </c>
      <c r="K2066" s="58"/>
      <c r="L2066" s="99"/>
      <c r="M2066" s="70" t="s">
        <v>3910</v>
      </c>
      <c r="N2066" s="97" t="s">
        <v>356</v>
      </c>
      <c r="O2066" s="58" t="s">
        <v>156</v>
      </c>
      <c r="P2066" s="58" t="s">
        <v>19</v>
      </c>
      <c r="Q2066" s="58" t="s">
        <v>70</v>
      </c>
      <c r="R2066" s="58" t="s">
        <v>265</v>
      </c>
    </row>
    <row r="2067" spans="1:18" ht="69" customHeight="1">
      <c r="A2067" s="168"/>
      <c r="B2067" s="178">
        <v>1</v>
      </c>
      <c r="C2067" s="178" t="s">
        <v>3906</v>
      </c>
      <c r="D2067" s="575" t="s">
        <v>5905</v>
      </c>
      <c r="E2067" s="178" t="s">
        <v>305</v>
      </c>
      <c r="F2067" s="210" t="s">
        <v>5906</v>
      </c>
      <c r="G2067" s="58" t="s">
        <v>5573</v>
      </c>
      <c r="H2067" s="546">
        <v>88.78</v>
      </c>
      <c r="I2067" s="66">
        <v>44697</v>
      </c>
      <c r="J2067" s="411" t="s">
        <v>5907</v>
      </c>
      <c r="K2067" s="58"/>
      <c r="L2067" s="99"/>
      <c r="M2067" s="70" t="s">
        <v>5872</v>
      </c>
      <c r="N2067" s="97" t="s">
        <v>270</v>
      </c>
      <c r="O2067" s="58"/>
      <c r="P2067" s="58" t="s">
        <v>44</v>
      </c>
      <c r="Q2067" s="58" t="s">
        <v>70</v>
      </c>
      <c r="R2067" s="58" t="s">
        <v>272</v>
      </c>
    </row>
    <row r="2068" spans="1:18" ht="69" customHeight="1">
      <c r="A2068" s="168"/>
      <c r="B2068" s="178">
        <v>4906</v>
      </c>
      <c r="C2068" s="59" t="s">
        <v>3667</v>
      </c>
      <c r="D2068" s="575" t="s">
        <v>341</v>
      </c>
      <c r="E2068" s="178" t="s">
        <v>266</v>
      </c>
      <c r="F2068" s="210" t="s">
        <v>5908</v>
      </c>
      <c r="G2068" s="58" t="s">
        <v>4574</v>
      </c>
      <c r="H2068" s="546">
        <v>13833.87</v>
      </c>
      <c r="I2068" s="66">
        <v>44699</v>
      </c>
      <c r="J2068" s="411" t="s">
        <v>5909</v>
      </c>
      <c r="K2068" s="58"/>
      <c r="L2068" s="99"/>
      <c r="M2068" s="70" t="s">
        <v>5872</v>
      </c>
      <c r="N2068" s="97" t="s">
        <v>270</v>
      </c>
      <c r="O2068" s="58"/>
      <c r="P2068" s="58" t="s">
        <v>44</v>
      </c>
      <c r="Q2068" s="58" t="s">
        <v>70</v>
      </c>
      <c r="R2068" s="58" t="s">
        <v>272</v>
      </c>
    </row>
    <row r="2069" spans="1:18" ht="69" customHeight="1">
      <c r="A2069" s="168"/>
      <c r="B2069" s="178">
        <v>4907</v>
      </c>
      <c r="C2069" s="59" t="s">
        <v>3667</v>
      </c>
      <c r="D2069" s="575" t="s">
        <v>345</v>
      </c>
      <c r="E2069" s="178" t="s">
        <v>266</v>
      </c>
      <c r="F2069" s="210" t="s">
        <v>5910</v>
      </c>
      <c r="G2069" s="58" t="s">
        <v>4574</v>
      </c>
      <c r="H2069" s="546">
        <v>954.06</v>
      </c>
      <c r="I2069" s="66">
        <v>44699</v>
      </c>
      <c r="J2069" s="411" t="s">
        <v>5911</v>
      </c>
      <c r="K2069" s="58"/>
      <c r="L2069" s="99"/>
      <c r="M2069" s="70" t="s">
        <v>5872</v>
      </c>
      <c r="N2069" s="97" t="s">
        <v>270</v>
      </c>
      <c r="O2069" s="58"/>
      <c r="P2069" s="58" t="s">
        <v>44</v>
      </c>
      <c r="Q2069" s="58" t="s">
        <v>70</v>
      </c>
      <c r="R2069" s="58" t="s">
        <v>272</v>
      </c>
    </row>
    <row r="2070" spans="1:18" ht="69" customHeight="1">
      <c r="A2070" s="168"/>
      <c r="B2070" s="178">
        <v>4731</v>
      </c>
      <c r="C2070" s="178" t="s">
        <v>3906</v>
      </c>
      <c r="D2070" s="575" t="s">
        <v>522</v>
      </c>
      <c r="E2070" s="178" t="s">
        <v>331</v>
      </c>
      <c r="F2070" s="210" t="s">
        <v>5912</v>
      </c>
      <c r="G2070" s="58" t="s">
        <v>372</v>
      </c>
      <c r="H2070" s="546">
        <v>30502.1</v>
      </c>
      <c r="I2070" s="66">
        <v>44701</v>
      </c>
      <c r="J2070" s="411" t="s">
        <v>5913</v>
      </c>
      <c r="K2070" s="58"/>
      <c r="L2070" s="99"/>
      <c r="M2070" s="70" t="s">
        <v>5872</v>
      </c>
      <c r="N2070" s="97" t="s">
        <v>270</v>
      </c>
      <c r="O2070" s="58"/>
      <c r="P2070" s="58" t="s">
        <v>44</v>
      </c>
      <c r="Q2070" s="58" t="s">
        <v>70</v>
      </c>
      <c r="R2070" s="58" t="s">
        <v>272</v>
      </c>
    </row>
    <row r="2071" spans="1:18" ht="69" customHeight="1">
      <c r="A2071" s="168"/>
      <c r="B2071" s="178">
        <v>1</v>
      </c>
      <c r="C2071" s="59" t="s">
        <v>3667</v>
      </c>
      <c r="D2071" s="575" t="s">
        <v>2974</v>
      </c>
      <c r="E2071" s="178" t="s">
        <v>382</v>
      </c>
      <c r="F2071" s="210" t="s">
        <v>5914</v>
      </c>
      <c r="G2071" s="58" t="s">
        <v>384</v>
      </c>
      <c r="H2071" s="546">
        <v>27761.33</v>
      </c>
      <c r="I2071" s="66">
        <v>44739</v>
      </c>
      <c r="J2071" s="411" t="s">
        <v>5915</v>
      </c>
      <c r="K2071" s="58"/>
      <c r="L2071" s="99"/>
      <c r="M2071" s="70" t="s">
        <v>5916</v>
      </c>
      <c r="N2071" s="97" t="s">
        <v>387</v>
      </c>
      <c r="O2071" s="45" t="s">
        <v>150</v>
      </c>
      <c r="P2071" s="58" t="s">
        <v>51</v>
      </c>
      <c r="Q2071" s="58" t="s">
        <v>70</v>
      </c>
      <c r="R2071" s="58" t="s">
        <v>272</v>
      </c>
    </row>
    <row r="2072" spans="1:18" ht="69" customHeight="1">
      <c r="A2072" s="168"/>
      <c r="B2072" s="178">
        <v>1</v>
      </c>
      <c r="C2072" s="59" t="s">
        <v>3667</v>
      </c>
      <c r="D2072" s="575" t="s">
        <v>367</v>
      </c>
      <c r="E2072" s="178" t="s">
        <v>382</v>
      </c>
      <c r="F2072" s="210" t="s">
        <v>5917</v>
      </c>
      <c r="G2072" s="58" t="s">
        <v>384</v>
      </c>
      <c r="H2072" s="546">
        <v>39819.519999999997</v>
      </c>
      <c r="I2072" s="66">
        <v>44739</v>
      </c>
      <c r="J2072" s="411" t="s">
        <v>5918</v>
      </c>
      <c r="K2072" s="58"/>
      <c r="L2072" s="99"/>
      <c r="M2072" s="70" t="s">
        <v>5916</v>
      </c>
      <c r="N2072" s="97" t="s">
        <v>387</v>
      </c>
      <c r="O2072" s="45" t="s">
        <v>150</v>
      </c>
      <c r="P2072" s="58" t="s">
        <v>51</v>
      </c>
      <c r="Q2072" s="58" t="s">
        <v>70</v>
      </c>
      <c r="R2072" s="58" t="s">
        <v>272</v>
      </c>
    </row>
    <row r="2073" spans="1:18" ht="69" customHeight="1">
      <c r="A2073" s="168"/>
      <c r="B2073" s="178">
        <v>5240</v>
      </c>
      <c r="C2073" s="178" t="s">
        <v>3906</v>
      </c>
      <c r="D2073" s="575" t="s">
        <v>1534</v>
      </c>
      <c r="E2073" s="178" t="s">
        <v>266</v>
      </c>
      <c r="F2073" s="210" t="s">
        <v>5919</v>
      </c>
      <c r="G2073" s="58" t="s">
        <v>396</v>
      </c>
      <c r="H2073" s="546">
        <v>0</v>
      </c>
      <c r="I2073" s="66">
        <v>44753</v>
      </c>
      <c r="J2073" s="411" t="s">
        <v>5920</v>
      </c>
      <c r="K2073" s="58"/>
      <c r="L2073" s="99"/>
      <c r="M2073" s="70" t="s">
        <v>5921</v>
      </c>
      <c r="N2073" s="97" t="s">
        <v>399</v>
      </c>
      <c r="O2073" s="58"/>
      <c r="P2073" s="58" t="s">
        <v>40</v>
      </c>
      <c r="Q2073" s="58" t="s">
        <v>70</v>
      </c>
      <c r="R2073" s="58" t="s">
        <v>272</v>
      </c>
    </row>
    <row r="2074" spans="1:18" ht="69" customHeight="1">
      <c r="A2074" s="168"/>
      <c r="B2074" s="178">
        <v>6056</v>
      </c>
      <c r="C2074" s="178" t="s">
        <v>3906</v>
      </c>
      <c r="D2074" s="575" t="s">
        <v>3204</v>
      </c>
      <c r="E2074" s="178" t="s">
        <v>266</v>
      </c>
      <c r="F2074" s="210" t="s">
        <v>5922</v>
      </c>
      <c r="G2074" s="58" t="s">
        <v>680</v>
      </c>
      <c r="H2074" s="546">
        <v>6206.9</v>
      </c>
      <c r="I2074" s="66" t="s">
        <v>96</v>
      </c>
      <c r="J2074" s="411" t="s">
        <v>5923</v>
      </c>
      <c r="K2074" s="58"/>
      <c r="L2074" s="99"/>
      <c r="M2074" s="70" t="s">
        <v>5924</v>
      </c>
      <c r="N2074" s="97" t="s">
        <v>683</v>
      </c>
      <c r="O2074" s="58" t="s">
        <v>684</v>
      </c>
      <c r="P2074" s="58" t="s">
        <v>46</v>
      </c>
      <c r="Q2074" s="58" t="s">
        <v>70</v>
      </c>
      <c r="R2074" s="58" t="s">
        <v>272</v>
      </c>
    </row>
    <row r="2075" spans="1:18" ht="69" customHeight="1">
      <c r="A2075" s="168"/>
      <c r="B2075" s="178">
        <v>6089</v>
      </c>
      <c r="C2075" s="59" t="s">
        <v>3667</v>
      </c>
      <c r="D2075" s="575" t="s">
        <v>692</v>
      </c>
      <c r="E2075" s="178" t="s">
        <v>283</v>
      </c>
      <c r="F2075" s="210" t="s">
        <v>5925</v>
      </c>
      <c r="G2075" s="58" t="s">
        <v>718</v>
      </c>
      <c r="H2075" s="546">
        <v>150320</v>
      </c>
      <c r="I2075" s="66">
        <v>44769</v>
      </c>
      <c r="J2075" s="411" t="s">
        <v>5926</v>
      </c>
      <c r="K2075" s="58" t="s">
        <v>5897</v>
      </c>
      <c r="L2075" s="99"/>
      <c r="M2075" s="70" t="s">
        <v>5898</v>
      </c>
      <c r="N2075" s="97" t="s">
        <v>264</v>
      </c>
      <c r="O2075" s="58" t="s">
        <v>141</v>
      </c>
      <c r="P2075" s="58" t="s">
        <v>17</v>
      </c>
      <c r="Q2075" s="58" t="s">
        <v>68</v>
      </c>
      <c r="R2075" s="58" t="s">
        <v>272</v>
      </c>
    </row>
    <row r="2076" spans="1:18" ht="69" customHeight="1">
      <c r="A2076" s="168"/>
      <c r="B2076" s="178">
        <v>6455</v>
      </c>
      <c r="C2076" s="178" t="s">
        <v>3906</v>
      </c>
      <c r="D2076" s="575" t="s">
        <v>5927</v>
      </c>
      <c r="E2076" s="178" t="s">
        <v>921</v>
      </c>
      <c r="F2076" s="210" t="s">
        <v>5928</v>
      </c>
      <c r="G2076" s="58" t="s">
        <v>5794</v>
      </c>
      <c r="H2076" s="546">
        <v>60000</v>
      </c>
      <c r="I2076" s="66">
        <v>44809</v>
      </c>
      <c r="J2076" s="411" t="s">
        <v>5929</v>
      </c>
      <c r="K2076" s="58"/>
      <c r="L2076" s="99"/>
      <c r="M2076" s="70" t="s">
        <v>5930</v>
      </c>
      <c r="N2076" s="97" t="s">
        <v>356</v>
      </c>
      <c r="O2076" s="58" t="s">
        <v>156</v>
      </c>
      <c r="P2076" s="58" t="s">
        <v>19</v>
      </c>
      <c r="Q2076" s="58" t="s">
        <v>70</v>
      </c>
      <c r="R2076" s="58" t="s">
        <v>272</v>
      </c>
    </row>
    <row r="2077" spans="1:18" ht="69" customHeight="1">
      <c r="A2077" s="168"/>
      <c r="B2077" s="178">
        <v>6407</v>
      </c>
      <c r="C2077" s="178" t="s">
        <v>3906</v>
      </c>
      <c r="D2077" s="575" t="s">
        <v>5931</v>
      </c>
      <c r="E2077" s="178" t="s">
        <v>432</v>
      </c>
      <c r="F2077" s="210" t="s">
        <v>5932</v>
      </c>
      <c r="G2077" s="58" t="s">
        <v>429</v>
      </c>
      <c r="H2077" s="546">
        <v>13959.486000000001</v>
      </c>
      <c r="I2077" s="66">
        <v>44802</v>
      </c>
      <c r="J2077" s="411" t="s">
        <v>5799</v>
      </c>
      <c r="K2077" s="58"/>
      <c r="L2077" s="99"/>
      <c r="M2077" s="70" t="s">
        <v>5933</v>
      </c>
      <c r="N2077" s="97" t="s">
        <v>432</v>
      </c>
      <c r="O2077" s="58"/>
      <c r="P2077" s="58" t="s">
        <v>53</v>
      </c>
      <c r="Q2077" s="58" t="s">
        <v>70</v>
      </c>
      <c r="R2077" s="58" t="s">
        <v>272</v>
      </c>
    </row>
    <row r="2078" spans="1:18" ht="69" customHeight="1">
      <c r="A2078" s="168"/>
      <c r="B2078" s="178">
        <v>5309</v>
      </c>
      <c r="C2078" s="178" t="s">
        <v>3906</v>
      </c>
      <c r="D2078" s="575" t="s">
        <v>685</v>
      </c>
      <c r="E2078" s="178" t="s">
        <v>266</v>
      </c>
      <c r="F2078" s="210" t="s">
        <v>5934</v>
      </c>
      <c r="G2078" s="58" t="s">
        <v>1107</v>
      </c>
      <c r="H2078" s="546">
        <v>6500</v>
      </c>
      <c r="I2078" s="66" t="s">
        <v>96</v>
      </c>
      <c r="J2078" s="411" t="s">
        <v>5935</v>
      </c>
      <c r="K2078" s="58"/>
      <c r="L2078" s="99"/>
      <c r="M2078" s="70" t="s">
        <v>5936</v>
      </c>
      <c r="N2078" s="97" t="s">
        <v>552</v>
      </c>
      <c r="O2078" s="58" t="s">
        <v>971</v>
      </c>
      <c r="P2078" s="58" t="s">
        <v>38</v>
      </c>
      <c r="Q2078" s="58" t="s">
        <v>70</v>
      </c>
      <c r="R2078" s="58" t="s">
        <v>272</v>
      </c>
    </row>
    <row r="2079" spans="1:18" ht="69" customHeight="1">
      <c r="A2079" s="168"/>
      <c r="B2079" s="178">
        <v>6691</v>
      </c>
      <c r="C2079" s="178" t="s">
        <v>3906</v>
      </c>
      <c r="D2079" s="575" t="s">
        <v>5937</v>
      </c>
      <c r="E2079" s="178" t="s">
        <v>409</v>
      </c>
      <c r="F2079" s="210" t="s">
        <v>5938</v>
      </c>
      <c r="G2079" s="58" t="s">
        <v>5809</v>
      </c>
      <c r="H2079" s="546">
        <v>274070.21999999997</v>
      </c>
      <c r="I2079" s="66">
        <v>44820</v>
      </c>
      <c r="J2079" s="411" t="s">
        <v>5810</v>
      </c>
      <c r="K2079" s="58"/>
      <c r="L2079" s="99"/>
      <c r="M2079" s="70" t="s">
        <v>5939</v>
      </c>
      <c r="N2079" s="97" t="s">
        <v>414</v>
      </c>
      <c r="O2079" s="58" t="s">
        <v>5713</v>
      </c>
      <c r="P2079" s="58" t="s">
        <v>24</v>
      </c>
      <c r="Q2079" s="58" t="s">
        <v>70</v>
      </c>
      <c r="R2079" s="58" t="s">
        <v>272</v>
      </c>
    </row>
    <row r="2080" spans="1:18" ht="69" customHeight="1">
      <c r="A2080" s="168"/>
      <c r="B2080" s="178">
        <v>6781</v>
      </c>
      <c r="C2080" s="178" t="s">
        <v>3906</v>
      </c>
      <c r="D2080" s="575" t="s">
        <v>5940</v>
      </c>
      <c r="E2080" s="178" t="s">
        <v>921</v>
      </c>
      <c r="F2080" s="210" t="s">
        <v>5941</v>
      </c>
      <c r="G2080" s="58" t="s">
        <v>5814</v>
      </c>
      <c r="H2080" s="546">
        <v>60000</v>
      </c>
      <c r="I2080" s="66">
        <v>44837</v>
      </c>
      <c r="J2080" s="411" t="s">
        <v>5942</v>
      </c>
      <c r="K2080" s="58"/>
      <c r="L2080" s="99"/>
      <c r="M2080" s="70" t="s">
        <v>5930</v>
      </c>
      <c r="N2080" s="97" t="s">
        <v>356</v>
      </c>
      <c r="O2080" s="58" t="s">
        <v>156</v>
      </c>
      <c r="P2080" s="58" t="s">
        <v>19</v>
      </c>
      <c r="Q2080" s="58" t="s">
        <v>70</v>
      </c>
      <c r="R2080" s="58" t="s">
        <v>272</v>
      </c>
    </row>
    <row r="2081" spans="1:18" ht="69" customHeight="1">
      <c r="A2081" s="168"/>
      <c r="B2081" s="178">
        <v>6829</v>
      </c>
      <c r="C2081" s="178" t="s">
        <v>3906</v>
      </c>
      <c r="D2081" s="575" t="s">
        <v>1152</v>
      </c>
      <c r="E2081" s="178" t="s">
        <v>266</v>
      </c>
      <c r="F2081" s="210" t="s">
        <v>5943</v>
      </c>
      <c r="G2081" s="58" t="s">
        <v>448</v>
      </c>
      <c r="H2081" s="546">
        <v>17500</v>
      </c>
      <c r="I2081" s="66">
        <v>44832</v>
      </c>
      <c r="J2081" s="411" t="s">
        <v>5817</v>
      </c>
      <c r="K2081" s="58"/>
      <c r="L2081" s="99"/>
      <c r="M2081" s="70" t="s">
        <v>5921</v>
      </c>
      <c r="N2081" s="97" t="s">
        <v>399</v>
      </c>
      <c r="O2081" s="58"/>
      <c r="P2081" s="58" t="s">
        <v>40</v>
      </c>
      <c r="Q2081" s="58" t="s">
        <v>70</v>
      </c>
      <c r="R2081" s="58" t="s">
        <v>272</v>
      </c>
    </row>
    <row r="2082" spans="1:18" ht="69" customHeight="1">
      <c r="A2082" s="168"/>
      <c r="B2082" s="178">
        <v>6243</v>
      </c>
      <c r="C2082" s="178" t="s">
        <v>3906</v>
      </c>
      <c r="D2082" s="575" t="s">
        <v>5944</v>
      </c>
      <c r="E2082" s="178" t="s">
        <v>921</v>
      </c>
      <c r="F2082" s="210" t="s">
        <v>5945</v>
      </c>
      <c r="G2082" s="58" t="s">
        <v>5946</v>
      </c>
      <c r="H2082" s="546">
        <v>33081.01</v>
      </c>
      <c r="I2082" s="66">
        <v>44791</v>
      </c>
      <c r="J2082" s="411" t="s">
        <v>5821</v>
      </c>
      <c r="K2082" s="58"/>
      <c r="L2082" s="99"/>
      <c r="M2082" s="70" t="s">
        <v>5930</v>
      </c>
      <c r="N2082" s="97" t="s">
        <v>356</v>
      </c>
      <c r="O2082" s="58" t="s">
        <v>156</v>
      </c>
      <c r="P2082" s="58" t="s">
        <v>19</v>
      </c>
      <c r="Q2082" s="58" t="s">
        <v>70</v>
      </c>
      <c r="R2082" s="58" t="s">
        <v>272</v>
      </c>
    </row>
    <row r="2083" spans="1:18" ht="69" customHeight="1">
      <c r="A2083" s="168"/>
      <c r="B2083" s="178">
        <v>7484</v>
      </c>
      <c r="C2083" s="59" t="s">
        <v>3667</v>
      </c>
      <c r="D2083" s="575" t="s">
        <v>2598</v>
      </c>
      <c r="E2083" s="178" t="s">
        <v>266</v>
      </c>
      <c r="F2083" s="210" t="s">
        <v>5947</v>
      </c>
      <c r="G2083" s="58" t="s">
        <v>444</v>
      </c>
      <c r="H2083" s="546">
        <v>5334.67</v>
      </c>
      <c r="I2083" s="66">
        <v>44879</v>
      </c>
      <c r="J2083" s="411" t="s">
        <v>445</v>
      </c>
      <c r="K2083" s="58"/>
      <c r="L2083" s="99"/>
      <c r="M2083" s="70" t="s">
        <v>5872</v>
      </c>
      <c r="N2083" s="97" t="s">
        <v>270</v>
      </c>
      <c r="O2083" s="58"/>
      <c r="P2083" s="58" t="s">
        <v>44</v>
      </c>
      <c r="Q2083" s="58" t="s">
        <v>70</v>
      </c>
      <c r="R2083" s="58" t="s">
        <v>272</v>
      </c>
    </row>
    <row r="2084" spans="1:18" ht="69" customHeight="1">
      <c r="A2084" s="168"/>
      <c r="B2084" s="178">
        <v>7562</v>
      </c>
      <c r="C2084" s="178" t="s">
        <v>3906</v>
      </c>
      <c r="D2084" s="575" t="s">
        <v>5948</v>
      </c>
      <c r="E2084" s="178" t="s">
        <v>552</v>
      </c>
      <c r="F2084" s="210" t="s">
        <v>5949</v>
      </c>
      <c r="G2084" s="58" t="s">
        <v>1107</v>
      </c>
      <c r="H2084" s="546">
        <v>6500</v>
      </c>
      <c r="I2084" s="66">
        <v>44893</v>
      </c>
      <c r="J2084" s="411" t="s">
        <v>1831</v>
      </c>
      <c r="K2084" s="58"/>
      <c r="L2084" s="99"/>
      <c r="M2084" s="70" t="s">
        <v>5936</v>
      </c>
      <c r="N2084" s="97" t="s">
        <v>552</v>
      </c>
      <c r="O2084" s="58" t="s">
        <v>971</v>
      </c>
      <c r="P2084" s="58" t="s">
        <v>38</v>
      </c>
      <c r="Q2084" s="58" t="s">
        <v>70</v>
      </c>
      <c r="R2084" s="58" t="s">
        <v>272</v>
      </c>
    </row>
    <row r="2085" spans="1:18" ht="69" customHeight="1">
      <c r="A2085" s="168"/>
      <c r="B2085" s="178">
        <v>7563</v>
      </c>
      <c r="C2085" s="178" t="s">
        <v>3906</v>
      </c>
      <c r="D2085" s="575" t="s">
        <v>5950</v>
      </c>
      <c r="E2085" s="178" t="s">
        <v>552</v>
      </c>
      <c r="F2085" s="210" t="s">
        <v>5951</v>
      </c>
      <c r="G2085" s="58" t="s">
        <v>1107</v>
      </c>
      <c r="H2085" s="546">
        <v>6500</v>
      </c>
      <c r="I2085" s="66">
        <v>44893</v>
      </c>
      <c r="J2085" s="411" t="s">
        <v>1831</v>
      </c>
      <c r="K2085" s="58"/>
      <c r="L2085" s="99"/>
      <c r="M2085" s="70" t="s">
        <v>5936</v>
      </c>
      <c r="N2085" s="97" t="s">
        <v>552</v>
      </c>
      <c r="O2085" s="58" t="s">
        <v>971</v>
      </c>
      <c r="P2085" s="58" t="s">
        <v>38</v>
      </c>
      <c r="Q2085" s="58" t="s">
        <v>70</v>
      </c>
      <c r="R2085" s="58" t="s">
        <v>272</v>
      </c>
    </row>
    <row r="2086" spans="1:18" ht="69" customHeight="1">
      <c r="A2086" s="168"/>
      <c r="B2086" s="178">
        <v>7565</v>
      </c>
      <c r="C2086" s="178" t="s">
        <v>3906</v>
      </c>
      <c r="D2086" s="575" t="s">
        <v>5952</v>
      </c>
      <c r="E2086" s="178" t="s">
        <v>552</v>
      </c>
      <c r="F2086" s="210" t="s">
        <v>5953</v>
      </c>
      <c r="G2086" s="58" t="s">
        <v>1107</v>
      </c>
      <c r="H2086" s="546">
        <v>850</v>
      </c>
      <c r="I2086" s="66">
        <v>44893</v>
      </c>
      <c r="J2086" s="411" t="s">
        <v>1831</v>
      </c>
      <c r="K2086" s="58"/>
      <c r="L2086" s="99"/>
      <c r="M2086" s="70" t="s">
        <v>5936</v>
      </c>
      <c r="N2086" s="97" t="s">
        <v>552</v>
      </c>
      <c r="O2086" s="58" t="s">
        <v>971</v>
      </c>
      <c r="P2086" s="58" t="s">
        <v>38</v>
      </c>
      <c r="Q2086" s="58" t="s">
        <v>70</v>
      </c>
      <c r="R2086" s="58" t="s">
        <v>272</v>
      </c>
    </row>
    <row r="2087" spans="1:18" ht="69" customHeight="1">
      <c r="A2087" s="168"/>
      <c r="B2087" s="178">
        <v>6580</v>
      </c>
      <c r="C2087" s="178" t="s">
        <v>3906</v>
      </c>
      <c r="D2087" s="575" t="s">
        <v>5954</v>
      </c>
      <c r="E2087" s="178" t="s">
        <v>266</v>
      </c>
      <c r="F2087" s="210" t="s">
        <v>5955</v>
      </c>
      <c r="G2087" s="58" t="s">
        <v>1107</v>
      </c>
      <c r="H2087" s="546">
        <v>6500</v>
      </c>
      <c r="I2087" s="66">
        <v>44879</v>
      </c>
      <c r="J2087" s="411" t="s">
        <v>1108</v>
      </c>
      <c r="K2087" s="58"/>
      <c r="L2087" s="99"/>
      <c r="M2087" s="70" t="s">
        <v>5936</v>
      </c>
      <c r="N2087" s="97" t="s">
        <v>552</v>
      </c>
      <c r="O2087" s="58" t="s">
        <v>971</v>
      </c>
      <c r="P2087" s="58" t="s">
        <v>38</v>
      </c>
      <c r="Q2087" s="58" t="s">
        <v>70</v>
      </c>
      <c r="R2087" s="58" t="s">
        <v>272</v>
      </c>
    </row>
    <row r="2088" spans="1:18" ht="69" customHeight="1">
      <c r="A2088" s="168"/>
      <c r="B2088" s="178">
        <v>6269</v>
      </c>
      <c r="C2088" s="178" t="s">
        <v>3906</v>
      </c>
      <c r="D2088" s="575" t="s">
        <v>5956</v>
      </c>
      <c r="E2088" s="178" t="s">
        <v>979</v>
      </c>
      <c r="F2088" s="210" t="s">
        <v>5957</v>
      </c>
      <c r="G2088" s="58" t="s">
        <v>352</v>
      </c>
      <c r="H2088" s="546">
        <v>98970.84</v>
      </c>
      <c r="I2088" s="66">
        <v>44806</v>
      </c>
      <c r="J2088" s="411" t="s">
        <v>3909</v>
      </c>
      <c r="K2088" s="58"/>
      <c r="L2088" s="99"/>
      <c r="M2088" s="70" t="s">
        <v>3910</v>
      </c>
      <c r="N2088" s="97" t="s">
        <v>356</v>
      </c>
      <c r="O2088" s="58" t="s">
        <v>156</v>
      </c>
      <c r="P2088" s="58" t="s">
        <v>19</v>
      </c>
      <c r="Q2088" s="58" t="s">
        <v>70</v>
      </c>
      <c r="R2088" s="58" t="s">
        <v>265</v>
      </c>
    </row>
    <row r="2089" spans="1:18" ht="69" customHeight="1">
      <c r="A2089" s="168"/>
      <c r="B2089" s="178">
        <v>7012</v>
      </c>
      <c r="C2089" s="178" t="s">
        <v>3906</v>
      </c>
      <c r="D2089" s="575" t="s">
        <v>3240</v>
      </c>
      <c r="E2089" s="178" t="s">
        <v>979</v>
      </c>
      <c r="F2089" s="210" t="s">
        <v>5958</v>
      </c>
      <c r="G2089" s="58" t="s">
        <v>805</v>
      </c>
      <c r="H2089" s="546">
        <v>118860</v>
      </c>
      <c r="I2089" s="66">
        <v>44849</v>
      </c>
      <c r="J2089" s="411" t="s">
        <v>5834</v>
      </c>
      <c r="K2089" s="58"/>
      <c r="L2089" s="99"/>
      <c r="M2089" s="70" t="s">
        <v>3910</v>
      </c>
      <c r="N2089" s="97" t="s">
        <v>356</v>
      </c>
      <c r="O2089" s="58" t="s">
        <v>5959</v>
      </c>
      <c r="P2089" s="58" t="s">
        <v>19</v>
      </c>
      <c r="Q2089" s="58" t="s">
        <v>70</v>
      </c>
      <c r="R2089" s="58" t="s">
        <v>265</v>
      </c>
    </row>
    <row r="2090" spans="1:18" ht="69" customHeight="1">
      <c r="A2090" s="168"/>
      <c r="B2090" s="178">
        <v>8470</v>
      </c>
      <c r="C2090" s="178" t="s">
        <v>3906</v>
      </c>
      <c r="D2090" s="575"/>
      <c r="E2090" s="178" t="s">
        <v>409</v>
      </c>
      <c r="F2090" s="210" t="s">
        <v>5960</v>
      </c>
      <c r="G2090" s="58" t="s">
        <v>1107</v>
      </c>
      <c r="H2090" s="546">
        <v>6500</v>
      </c>
      <c r="I2090" s="66">
        <v>44942</v>
      </c>
      <c r="J2090" s="411" t="s">
        <v>5836</v>
      </c>
      <c r="K2090" s="58"/>
      <c r="L2090" s="99"/>
      <c r="M2090" s="70" t="s">
        <v>5936</v>
      </c>
      <c r="N2090" s="97" t="s">
        <v>552</v>
      </c>
      <c r="O2090" s="58" t="s">
        <v>5961</v>
      </c>
      <c r="P2090" s="58" t="s">
        <v>38</v>
      </c>
      <c r="Q2090" s="58" t="s">
        <v>70</v>
      </c>
      <c r="R2090" s="58" t="s">
        <v>272</v>
      </c>
    </row>
    <row r="2091" spans="1:18" ht="69" customHeight="1">
      <c r="A2091" s="168"/>
      <c r="B2091" s="178">
        <v>9093</v>
      </c>
      <c r="C2091" s="59" t="s">
        <v>3667</v>
      </c>
      <c r="D2091" s="575" t="s">
        <v>5962</v>
      </c>
      <c r="E2091" s="178" t="s">
        <v>741</v>
      </c>
      <c r="F2091" s="210" t="s">
        <v>5963</v>
      </c>
      <c r="G2091" s="58" t="s">
        <v>5858</v>
      </c>
      <c r="H2091" s="546">
        <v>227078.8</v>
      </c>
      <c r="I2091" s="66">
        <v>45000</v>
      </c>
      <c r="J2091" s="411" t="s">
        <v>5964</v>
      </c>
      <c r="K2091" s="58"/>
      <c r="L2091" s="99"/>
      <c r="M2091" s="70" t="s">
        <v>5965</v>
      </c>
      <c r="N2091" s="97" t="s">
        <v>741</v>
      </c>
      <c r="O2091" s="58" t="s">
        <v>5966</v>
      </c>
      <c r="P2091" s="58" t="s">
        <v>59</v>
      </c>
      <c r="Q2091" s="58" t="s">
        <v>70</v>
      </c>
      <c r="R2091" s="58" t="s">
        <v>272</v>
      </c>
    </row>
    <row r="2092" spans="1:18" ht="69" customHeight="1">
      <c r="A2092" s="168"/>
      <c r="B2092" s="178">
        <v>9368</v>
      </c>
      <c r="C2092" s="178" t="s">
        <v>3906</v>
      </c>
      <c r="D2092" s="575" t="s">
        <v>5967</v>
      </c>
      <c r="E2092" s="178" t="s">
        <v>266</v>
      </c>
      <c r="F2092" s="210" t="s">
        <v>5968</v>
      </c>
      <c r="G2092" s="58" t="s">
        <v>4101</v>
      </c>
      <c r="H2092" s="546">
        <v>60.44</v>
      </c>
      <c r="I2092" s="66">
        <v>45009</v>
      </c>
      <c r="J2092" s="411" t="s">
        <v>4102</v>
      </c>
      <c r="K2092" s="58"/>
      <c r="L2092" s="99"/>
      <c r="M2092" s="70" t="s">
        <v>5872</v>
      </c>
      <c r="N2092" s="97" t="s">
        <v>270</v>
      </c>
      <c r="O2092" s="58" t="s">
        <v>5969</v>
      </c>
      <c r="P2092" s="58" t="s">
        <v>44</v>
      </c>
      <c r="Q2092" s="58" t="s">
        <v>70</v>
      </c>
      <c r="R2092" s="58" t="s">
        <v>272</v>
      </c>
    </row>
    <row r="2093" spans="1:18" ht="69" customHeight="1">
      <c r="A2093" s="168"/>
      <c r="B2093" s="178"/>
      <c r="C2093" s="178" t="s">
        <v>3906</v>
      </c>
      <c r="D2093" s="575"/>
      <c r="E2093" s="178" t="s">
        <v>921</v>
      </c>
      <c r="F2093" s="210" t="s">
        <v>5970</v>
      </c>
      <c r="G2093" s="58" t="s">
        <v>5946</v>
      </c>
      <c r="H2093" s="546">
        <v>65000</v>
      </c>
      <c r="I2093" s="66">
        <v>44387</v>
      </c>
      <c r="J2093" s="411"/>
      <c r="K2093" s="58"/>
      <c r="L2093" s="99"/>
      <c r="M2093" s="70" t="s">
        <v>5930</v>
      </c>
      <c r="N2093" s="97" t="s">
        <v>356</v>
      </c>
      <c r="O2093" s="58" t="s">
        <v>156</v>
      </c>
      <c r="P2093" s="58" t="s">
        <v>19</v>
      </c>
      <c r="Q2093" s="58" t="s">
        <v>70</v>
      </c>
      <c r="R2093" s="58" t="s">
        <v>272</v>
      </c>
    </row>
    <row r="2094" spans="1:18" ht="69" customHeight="1">
      <c r="A2094" s="168"/>
      <c r="B2094" s="178">
        <v>9820</v>
      </c>
      <c r="C2094" s="59" t="s">
        <v>3667</v>
      </c>
      <c r="D2094" s="575" t="s">
        <v>5971</v>
      </c>
      <c r="E2094" s="178" t="s">
        <v>266</v>
      </c>
      <c r="F2094" s="210" t="s">
        <v>5972</v>
      </c>
      <c r="G2094" s="58" t="s">
        <v>590</v>
      </c>
      <c r="H2094" s="546">
        <v>1150</v>
      </c>
      <c r="I2094" s="66">
        <v>45041</v>
      </c>
      <c r="J2094" s="411" t="s">
        <v>4105</v>
      </c>
      <c r="K2094" s="58"/>
      <c r="L2094" s="99"/>
      <c r="M2094" s="70" t="s">
        <v>5872</v>
      </c>
      <c r="N2094" s="97" t="s">
        <v>270</v>
      </c>
      <c r="O2094" s="58" t="s">
        <v>467</v>
      </c>
      <c r="P2094" s="58" t="s">
        <v>44</v>
      </c>
      <c r="Q2094" s="58" t="s">
        <v>70</v>
      </c>
      <c r="R2094" s="58" t="s">
        <v>272</v>
      </c>
    </row>
    <row r="2095" spans="1:18" ht="69" customHeight="1">
      <c r="A2095" s="168"/>
      <c r="B2095" s="178">
        <v>4060</v>
      </c>
      <c r="C2095" s="178" t="s">
        <v>3643</v>
      </c>
      <c r="D2095" s="575" t="s">
        <v>405</v>
      </c>
      <c r="E2095" s="178" t="s">
        <v>266</v>
      </c>
      <c r="F2095" s="210" t="s">
        <v>5973</v>
      </c>
      <c r="G2095" s="58" t="s">
        <v>307</v>
      </c>
      <c r="H2095" s="546">
        <v>7000</v>
      </c>
      <c r="I2095" s="66">
        <v>44636</v>
      </c>
      <c r="J2095" s="411" t="s">
        <v>5974</v>
      </c>
      <c r="K2095" s="58"/>
      <c r="L2095" s="99"/>
      <c r="M2095" s="70" t="s">
        <v>5975</v>
      </c>
      <c r="N2095" s="97" t="s">
        <v>270</v>
      </c>
      <c r="O2095" s="58"/>
      <c r="P2095" s="58" t="s">
        <v>44</v>
      </c>
      <c r="Q2095" s="58" t="s">
        <v>72</v>
      </c>
      <c r="R2095" s="58" t="s">
        <v>272</v>
      </c>
    </row>
    <row r="2096" spans="1:18" ht="69" customHeight="1">
      <c r="A2096" s="168"/>
      <c r="B2096" s="178">
        <v>4305</v>
      </c>
      <c r="C2096" s="178" t="s">
        <v>3906</v>
      </c>
      <c r="D2096" s="575" t="s">
        <v>5976</v>
      </c>
      <c r="E2096" s="178" t="s">
        <v>266</v>
      </c>
      <c r="F2096" s="210" t="s">
        <v>5977</v>
      </c>
      <c r="G2096" s="58" t="s">
        <v>1107</v>
      </c>
      <c r="H2096" s="546">
        <v>7293.34</v>
      </c>
      <c r="I2096" s="66">
        <v>44664</v>
      </c>
      <c r="J2096" s="411" t="s">
        <v>5978</v>
      </c>
      <c r="K2096" s="58"/>
      <c r="L2096" s="99"/>
      <c r="M2096" s="70" t="s">
        <v>5979</v>
      </c>
      <c r="N2096" s="97" t="s">
        <v>970</v>
      </c>
      <c r="O2096" s="58" t="s">
        <v>5961</v>
      </c>
      <c r="P2096" s="58" t="s">
        <v>38</v>
      </c>
      <c r="Q2096" s="58" t="s">
        <v>72</v>
      </c>
      <c r="R2096" s="58" t="s">
        <v>272</v>
      </c>
    </row>
    <row r="2097" spans="1:18" ht="69" customHeight="1">
      <c r="A2097" s="168"/>
      <c r="B2097" s="178">
        <v>4201</v>
      </c>
      <c r="C2097" s="178" t="s">
        <v>3643</v>
      </c>
      <c r="D2097" s="575" t="s">
        <v>610</v>
      </c>
      <c r="E2097" s="178" t="s">
        <v>266</v>
      </c>
      <c r="F2097" s="210" t="s">
        <v>5980</v>
      </c>
      <c r="G2097" s="58" t="s">
        <v>640</v>
      </c>
      <c r="H2097" s="546">
        <v>11250</v>
      </c>
      <c r="I2097" s="66">
        <v>44664</v>
      </c>
      <c r="J2097" s="411" t="s">
        <v>5981</v>
      </c>
      <c r="K2097" s="58"/>
      <c r="L2097" s="99"/>
      <c r="M2097" s="70" t="s">
        <v>5975</v>
      </c>
      <c r="N2097" s="97" t="s">
        <v>270</v>
      </c>
      <c r="O2097" s="58"/>
      <c r="P2097" s="58" t="s">
        <v>44</v>
      </c>
      <c r="Q2097" s="58" t="s">
        <v>72</v>
      </c>
      <c r="R2097" s="58" t="s">
        <v>272</v>
      </c>
    </row>
    <row r="2098" spans="1:18" ht="69" customHeight="1">
      <c r="A2098" s="168"/>
      <c r="B2098" s="178">
        <v>4497</v>
      </c>
      <c r="C2098" s="178" t="s">
        <v>3906</v>
      </c>
      <c r="D2098" s="575" t="s">
        <v>937</v>
      </c>
      <c r="E2098" s="178" t="s">
        <v>266</v>
      </c>
      <c r="F2098" s="210" t="s">
        <v>5982</v>
      </c>
      <c r="G2098" s="58" t="s">
        <v>5983</v>
      </c>
      <c r="H2098" s="546">
        <v>10496.25</v>
      </c>
      <c r="I2098" s="66">
        <v>44672</v>
      </c>
      <c r="J2098" s="411" t="s">
        <v>5984</v>
      </c>
      <c r="K2098" s="58"/>
      <c r="L2098" s="99"/>
      <c r="M2098" s="70" t="s">
        <v>5975</v>
      </c>
      <c r="N2098" s="97" t="s">
        <v>270</v>
      </c>
      <c r="O2098" s="58"/>
      <c r="P2098" s="58" t="s">
        <v>44</v>
      </c>
      <c r="Q2098" s="58" t="s">
        <v>72</v>
      </c>
      <c r="R2098" s="58" t="s">
        <v>272</v>
      </c>
    </row>
    <row r="2099" spans="1:18" ht="69" customHeight="1">
      <c r="A2099" s="168"/>
      <c r="B2099" s="178">
        <v>4498</v>
      </c>
      <c r="C2099" s="178" t="s">
        <v>3906</v>
      </c>
      <c r="D2099" s="575" t="s">
        <v>3417</v>
      </c>
      <c r="E2099" s="178" t="s">
        <v>266</v>
      </c>
      <c r="F2099" s="210" t="s">
        <v>5985</v>
      </c>
      <c r="G2099" s="58" t="s">
        <v>5986</v>
      </c>
      <c r="H2099" s="546">
        <v>1750</v>
      </c>
      <c r="I2099" s="66">
        <v>44672</v>
      </c>
      <c r="J2099" s="411" t="s">
        <v>5987</v>
      </c>
      <c r="K2099" s="58"/>
      <c r="L2099" s="99"/>
      <c r="M2099" s="70" t="s">
        <v>5975</v>
      </c>
      <c r="N2099" s="97" t="s">
        <v>270</v>
      </c>
      <c r="O2099" s="58"/>
      <c r="P2099" s="58" t="s">
        <v>44</v>
      </c>
      <c r="Q2099" s="58" t="s">
        <v>72</v>
      </c>
      <c r="R2099" s="58" t="s">
        <v>272</v>
      </c>
    </row>
    <row r="2100" spans="1:18" ht="69" customHeight="1">
      <c r="A2100" s="168"/>
      <c r="B2100" s="178">
        <v>4554</v>
      </c>
      <c r="C2100" s="178" t="s">
        <v>3643</v>
      </c>
      <c r="D2100" s="575" t="s">
        <v>3154</v>
      </c>
      <c r="E2100" s="178" t="s">
        <v>266</v>
      </c>
      <c r="F2100" s="210" t="s">
        <v>5988</v>
      </c>
      <c r="G2100" s="58" t="s">
        <v>307</v>
      </c>
      <c r="H2100" s="546">
        <v>7000</v>
      </c>
      <c r="I2100" s="66">
        <v>44673</v>
      </c>
      <c r="J2100" s="411" t="s">
        <v>5989</v>
      </c>
      <c r="K2100" s="58"/>
      <c r="L2100" s="99"/>
      <c r="M2100" s="70" t="s">
        <v>5975</v>
      </c>
      <c r="N2100" s="97" t="s">
        <v>270</v>
      </c>
      <c r="O2100" s="58"/>
      <c r="P2100" s="58" t="s">
        <v>44</v>
      </c>
      <c r="Q2100" s="58" t="s">
        <v>72</v>
      </c>
      <c r="R2100" s="58" t="s">
        <v>272</v>
      </c>
    </row>
    <row r="2101" spans="1:18" ht="69" customHeight="1">
      <c r="A2101" s="168"/>
      <c r="B2101" s="178">
        <v>4623</v>
      </c>
      <c r="C2101" s="178" t="s">
        <v>3643</v>
      </c>
      <c r="D2101" s="575" t="s">
        <v>5990</v>
      </c>
      <c r="E2101" s="178" t="s">
        <v>266</v>
      </c>
      <c r="F2101" s="210" t="s">
        <v>5991</v>
      </c>
      <c r="G2101" s="58" t="s">
        <v>392</v>
      </c>
      <c r="H2101" s="546">
        <v>9000</v>
      </c>
      <c r="I2101" s="66">
        <v>44671</v>
      </c>
      <c r="J2101" s="411" t="s">
        <v>5992</v>
      </c>
      <c r="K2101" s="58"/>
      <c r="L2101" s="99"/>
      <c r="M2101" s="70" t="s">
        <v>5975</v>
      </c>
      <c r="N2101" s="97" t="s">
        <v>270</v>
      </c>
      <c r="O2101" s="58"/>
      <c r="P2101" s="58" t="s">
        <v>44</v>
      </c>
      <c r="Q2101" s="58" t="s">
        <v>72</v>
      </c>
      <c r="R2101" s="58" t="s">
        <v>272</v>
      </c>
    </row>
    <row r="2102" spans="1:18" ht="69" customHeight="1">
      <c r="A2102" s="168"/>
      <c r="B2102" s="178">
        <v>4742</v>
      </c>
      <c r="C2102" s="178" t="s">
        <v>3906</v>
      </c>
      <c r="D2102" s="575" t="s">
        <v>3450</v>
      </c>
      <c r="E2102" s="178" t="s">
        <v>331</v>
      </c>
      <c r="F2102" s="210" t="s">
        <v>5993</v>
      </c>
      <c r="G2102" s="58"/>
      <c r="H2102" s="546">
        <v>2635.98</v>
      </c>
      <c r="I2102" s="66">
        <v>44678</v>
      </c>
      <c r="J2102" s="411" t="s">
        <v>5994</v>
      </c>
      <c r="K2102" s="58"/>
      <c r="L2102" s="99"/>
      <c r="M2102" s="70" t="s">
        <v>5975</v>
      </c>
      <c r="N2102" s="97" t="s">
        <v>270</v>
      </c>
      <c r="O2102" s="58"/>
      <c r="P2102" s="58" t="s">
        <v>44</v>
      </c>
      <c r="Q2102" s="58" t="s">
        <v>72</v>
      </c>
      <c r="R2102" s="58" t="s">
        <v>272</v>
      </c>
    </row>
    <row r="2103" spans="1:18" ht="69" customHeight="1">
      <c r="A2103" s="168"/>
      <c r="B2103" s="178">
        <v>4684</v>
      </c>
      <c r="C2103" s="59" t="s">
        <v>3667</v>
      </c>
      <c r="D2103" s="575" t="s">
        <v>2940</v>
      </c>
      <c r="E2103" s="178" t="s">
        <v>283</v>
      </c>
      <c r="F2103" s="210" t="s">
        <v>5995</v>
      </c>
      <c r="G2103" s="58" t="s">
        <v>365</v>
      </c>
      <c r="H2103" s="546">
        <v>280000</v>
      </c>
      <c r="I2103" s="66">
        <v>44676</v>
      </c>
      <c r="J2103" s="411" t="s">
        <v>5996</v>
      </c>
      <c r="K2103" s="58" t="s">
        <v>5997</v>
      </c>
      <c r="L2103" s="99"/>
      <c r="M2103" s="70" t="s">
        <v>5998</v>
      </c>
      <c r="N2103" s="97" t="s">
        <v>264</v>
      </c>
      <c r="O2103" s="58" t="s">
        <v>141</v>
      </c>
      <c r="P2103" s="58" t="s">
        <v>17</v>
      </c>
      <c r="Q2103" s="58" t="s">
        <v>72</v>
      </c>
      <c r="R2103" s="58" t="s">
        <v>272</v>
      </c>
    </row>
    <row r="2104" spans="1:18" ht="69" customHeight="1">
      <c r="A2104" s="168"/>
      <c r="B2104" s="178">
        <v>4776</v>
      </c>
      <c r="C2104" s="178" t="s">
        <v>3906</v>
      </c>
      <c r="D2104" s="575" t="s">
        <v>5999</v>
      </c>
      <c r="E2104" s="178" t="s">
        <v>260</v>
      </c>
      <c r="F2104" s="210" t="s">
        <v>6000</v>
      </c>
      <c r="G2104" s="58" t="s">
        <v>2950</v>
      </c>
      <c r="H2104" s="546">
        <v>120000</v>
      </c>
      <c r="I2104" s="66">
        <v>44678</v>
      </c>
      <c r="J2104" s="411" t="s">
        <v>6001</v>
      </c>
      <c r="K2104" s="58" t="s">
        <v>5997</v>
      </c>
      <c r="L2104" s="99"/>
      <c r="M2104" s="70" t="s">
        <v>6002</v>
      </c>
      <c r="N2104" s="97" t="s">
        <v>264</v>
      </c>
      <c r="O2104" s="58" t="s">
        <v>141</v>
      </c>
      <c r="P2104" s="58" t="s">
        <v>17</v>
      </c>
      <c r="Q2104" s="58" t="s">
        <v>72</v>
      </c>
      <c r="R2104" s="58" t="s">
        <v>265</v>
      </c>
    </row>
    <row r="2105" spans="1:18" ht="69" customHeight="1">
      <c r="A2105" s="168"/>
      <c r="B2105" s="178">
        <v>4523</v>
      </c>
      <c r="C2105" s="178" t="s">
        <v>3643</v>
      </c>
      <c r="D2105" s="575" t="s">
        <v>2526</v>
      </c>
      <c r="E2105" s="178" t="s">
        <v>266</v>
      </c>
      <c r="F2105" s="210" t="s">
        <v>6003</v>
      </c>
      <c r="G2105" s="58" t="s">
        <v>6004</v>
      </c>
      <c r="H2105" s="546">
        <v>1750</v>
      </c>
      <c r="I2105" s="66">
        <v>44680</v>
      </c>
      <c r="J2105" s="411" t="s">
        <v>6005</v>
      </c>
      <c r="K2105" s="58"/>
      <c r="L2105" s="99"/>
      <c r="M2105" s="70" t="s">
        <v>5975</v>
      </c>
      <c r="N2105" s="97" t="s">
        <v>270</v>
      </c>
      <c r="O2105" s="58"/>
      <c r="P2105" s="58" t="s">
        <v>44</v>
      </c>
      <c r="Q2105" s="58" t="s">
        <v>72</v>
      </c>
      <c r="R2105" s="58" t="s">
        <v>272</v>
      </c>
    </row>
    <row r="2106" spans="1:18" ht="69" customHeight="1">
      <c r="A2106" s="168"/>
      <c r="B2106" s="178">
        <v>4523</v>
      </c>
      <c r="C2106" s="178" t="s">
        <v>3643</v>
      </c>
      <c r="D2106" s="575" t="s">
        <v>2529</v>
      </c>
      <c r="E2106" s="178" t="s">
        <v>266</v>
      </c>
      <c r="F2106" s="210" t="s">
        <v>6006</v>
      </c>
      <c r="G2106" s="58" t="s">
        <v>6004</v>
      </c>
      <c r="H2106" s="546">
        <v>1400</v>
      </c>
      <c r="I2106" s="66">
        <v>44680</v>
      </c>
      <c r="J2106" s="411" t="s">
        <v>6007</v>
      </c>
      <c r="K2106" s="58"/>
      <c r="L2106" s="99"/>
      <c r="M2106" s="70" t="s">
        <v>5975</v>
      </c>
      <c r="N2106" s="97" t="s">
        <v>270</v>
      </c>
      <c r="O2106" s="58"/>
      <c r="P2106" s="58" t="s">
        <v>44</v>
      </c>
      <c r="Q2106" s="58" t="s">
        <v>72</v>
      </c>
      <c r="R2106" s="58" t="s">
        <v>272</v>
      </c>
    </row>
    <row r="2107" spans="1:18" ht="69" customHeight="1">
      <c r="A2107" s="168"/>
      <c r="B2107" s="178">
        <v>4841</v>
      </c>
      <c r="C2107" s="178" t="s">
        <v>3906</v>
      </c>
      <c r="D2107" s="575" t="s">
        <v>2451</v>
      </c>
      <c r="E2107" s="178" t="s">
        <v>266</v>
      </c>
      <c r="F2107" s="210" t="s">
        <v>6008</v>
      </c>
      <c r="G2107" s="58" t="s">
        <v>376</v>
      </c>
      <c r="H2107" s="546">
        <v>4880</v>
      </c>
      <c r="I2107" s="66">
        <v>44697</v>
      </c>
      <c r="J2107" s="411" t="s">
        <v>6009</v>
      </c>
      <c r="K2107" s="58"/>
      <c r="L2107" s="99"/>
      <c r="M2107" s="70" t="s">
        <v>5975</v>
      </c>
      <c r="N2107" s="97" t="s">
        <v>270</v>
      </c>
      <c r="O2107" s="58"/>
      <c r="P2107" s="58" t="s">
        <v>44</v>
      </c>
      <c r="Q2107" s="58" t="s">
        <v>72</v>
      </c>
      <c r="R2107" s="58" t="s">
        <v>272</v>
      </c>
    </row>
    <row r="2108" spans="1:18" ht="69" customHeight="1">
      <c r="A2108" s="168"/>
      <c r="B2108" s="178">
        <v>4885</v>
      </c>
      <c r="C2108" s="178" t="s">
        <v>3906</v>
      </c>
      <c r="D2108" s="575" t="s">
        <v>6010</v>
      </c>
      <c r="E2108" s="178" t="s">
        <v>266</v>
      </c>
      <c r="F2108" s="210" t="s">
        <v>6011</v>
      </c>
      <c r="G2108" s="58" t="s">
        <v>6012</v>
      </c>
      <c r="H2108" s="546">
        <v>8397</v>
      </c>
      <c r="I2108" s="66">
        <v>44698</v>
      </c>
      <c r="J2108" s="411" t="s">
        <v>6013</v>
      </c>
      <c r="K2108" s="58"/>
      <c r="L2108" s="99"/>
      <c r="M2108" s="70" t="s">
        <v>5975</v>
      </c>
      <c r="N2108" s="97" t="s">
        <v>270</v>
      </c>
      <c r="O2108" s="58"/>
      <c r="P2108" s="58" t="s">
        <v>44</v>
      </c>
      <c r="Q2108" s="58" t="s">
        <v>72</v>
      </c>
      <c r="R2108" s="58" t="s">
        <v>272</v>
      </c>
    </row>
    <row r="2109" spans="1:18" ht="69" customHeight="1">
      <c r="A2109" s="168"/>
      <c r="B2109" s="178">
        <v>4855</v>
      </c>
      <c r="C2109" s="59" t="s">
        <v>3667</v>
      </c>
      <c r="D2109" s="575" t="s">
        <v>2713</v>
      </c>
      <c r="E2109" s="178" t="s">
        <v>266</v>
      </c>
      <c r="F2109" s="210" t="s">
        <v>6014</v>
      </c>
      <c r="G2109" s="58" t="s">
        <v>4574</v>
      </c>
      <c r="H2109" s="546">
        <v>440.21</v>
      </c>
      <c r="I2109" s="66">
        <v>44697</v>
      </c>
      <c r="J2109" s="411" t="s">
        <v>6015</v>
      </c>
      <c r="K2109" s="58"/>
      <c r="L2109" s="99"/>
      <c r="M2109" s="70" t="s">
        <v>5975</v>
      </c>
      <c r="N2109" s="97" t="s">
        <v>270</v>
      </c>
      <c r="O2109" s="58"/>
      <c r="P2109" s="58" t="s">
        <v>44</v>
      </c>
      <c r="Q2109" s="58" t="s">
        <v>72</v>
      </c>
      <c r="R2109" s="58" t="s">
        <v>272</v>
      </c>
    </row>
    <row r="2110" spans="1:18" ht="69" customHeight="1">
      <c r="A2110" s="168"/>
      <c r="B2110" s="178">
        <v>4886</v>
      </c>
      <c r="C2110" s="178" t="s">
        <v>3906</v>
      </c>
      <c r="D2110" s="575" t="s">
        <v>6016</v>
      </c>
      <c r="E2110" s="178" t="s">
        <v>266</v>
      </c>
      <c r="F2110" s="210" t="s">
        <v>6017</v>
      </c>
      <c r="G2110" s="58" t="s">
        <v>5986</v>
      </c>
      <c r="H2110" s="546">
        <v>1400</v>
      </c>
      <c r="I2110" s="66">
        <v>44698</v>
      </c>
      <c r="J2110" s="411" t="s">
        <v>6018</v>
      </c>
      <c r="K2110" s="58"/>
      <c r="L2110" s="99"/>
      <c r="M2110" s="70" t="s">
        <v>5975</v>
      </c>
      <c r="N2110" s="97" t="s">
        <v>270</v>
      </c>
      <c r="O2110" s="58"/>
      <c r="P2110" s="58" t="s">
        <v>44</v>
      </c>
      <c r="Q2110" s="58" t="s">
        <v>72</v>
      </c>
      <c r="R2110" s="58" t="s">
        <v>272</v>
      </c>
    </row>
    <row r="2111" spans="1:18" ht="69" customHeight="1">
      <c r="A2111" s="168"/>
      <c r="B2111" s="178">
        <v>4917</v>
      </c>
      <c r="C2111" s="178" t="s">
        <v>3906</v>
      </c>
      <c r="D2111" s="575" t="s">
        <v>2721</v>
      </c>
      <c r="E2111" s="178" t="s">
        <v>266</v>
      </c>
      <c r="F2111" s="210" t="s">
        <v>6019</v>
      </c>
      <c r="G2111" s="58" t="s">
        <v>4574</v>
      </c>
      <c r="H2111" s="546">
        <v>629.67999999999995</v>
      </c>
      <c r="I2111" s="66">
        <v>44699</v>
      </c>
      <c r="J2111" s="411" t="s">
        <v>6020</v>
      </c>
      <c r="K2111" s="58"/>
      <c r="L2111" s="99"/>
      <c r="M2111" s="70" t="s">
        <v>5975</v>
      </c>
      <c r="N2111" s="97" t="s">
        <v>270</v>
      </c>
      <c r="O2111" s="58"/>
      <c r="P2111" s="58" t="s">
        <v>44</v>
      </c>
      <c r="Q2111" s="58" t="s">
        <v>72</v>
      </c>
      <c r="R2111" s="58" t="s">
        <v>272</v>
      </c>
    </row>
    <row r="2112" spans="1:18" ht="69" customHeight="1">
      <c r="A2112" s="168"/>
      <c r="B2112" s="178">
        <v>4918</v>
      </c>
      <c r="C2112" s="178" t="s">
        <v>3906</v>
      </c>
      <c r="D2112" s="575" t="s">
        <v>6021</v>
      </c>
      <c r="E2112" s="178" t="s">
        <v>266</v>
      </c>
      <c r="F2112" s="210" t="s">
        <v>6022</v>
      </c>
      <c r="G2112" s="58" t="s">
        <v>4574</v>
      </c>
      <c r="H2112" s="546">
        <v>175.72</v>
      </c>
      <c r="I2112" s="66">
        <v>44699</v>
      </c>
      <c r="J2112" s="411" t="s">
        <v>6023</v>
      </c>
      <c r="K2112" s="58"/>
      <c r="L2112" s="99"/>
      <c r="M2112" s="70" t="s">
        <v>5975</v>
      </c>
      <c r="N2112" s="97" t="s">
        <v>270</v>
      </c>
      <c r="O2112" s="58"/>
      <c r="P2112" s="58" t="s">
        <v>44</v>
      </c>
      <c r="Q2112" s="58" t="s">
        <v>72</v>
      </c>
      <c r="R2112" s="58" t="s">
        <v>272</v>
      </c>
    </row>
    <row r="2113" spans="1:18" ht="69" customHeight="1">
      <c r="A2113" s="168"/>
      <c r="B2113" s="178">
        <v>4919</v>
      </c>
      <c r="C2113" s="178" t="s">
        <v>3906</v>
      </c>
      <c r="D2113" s="575" t="s">
        <v>6024</v>
      </c>
      <c r="E2113" s="178" t="s">
        <v>266</v>
      </c>
      <c r="F2113" s="210" t="s">
        <v>6025</v>
      </c>
      <c r="G2113" s="58" t="s">
        <v>4574</v>
      </c>
      <c r="H2113" s="546">
        <v>1192.3599999999999</v>
      </c>
      <c r="I2113" s="66">
        <v>44699</v>
      </c>
      <c r="J2113" s="411" t="s">
        <v>6026</v>
      </c>
      <c r="K2113" s="58"/>
      <c r="L2113" s="99"/>
      <c r="M2113" s="70" t="s">
        <v>5975</v>
      </c>
      <c r="N2113" s="97" t="s">
        <v>270</v>
      </c>
      <c r="O2113" s="58"/>
      <c r="P2113" s="58" t="s">
        <v>44</v>
      </c>
      <c r="Q2113" s="58" t="s">
        <v>72</v>
      </c>
      <c r="R2113" s="58" t="s">
        <v>272</v>
      </c>
    </row>
    <row r="2114" spans="1:18" ht="69" customHeight="1">
      <c r="A2114" s="168"/>
      <c r="B2114" s="178">
        <v>4742</v>
      </c>
      <c r="C2114" s="178" t="s">
        <v>3906</v>
      </c>
      <c r="D2114" s="575" t="s">
        <v>3179</v>
      </c>
      <c r="E2114" s="178" t="s">
        <v>331</v>
      </c>
      <c r="F2114" s="210" t="s">
        <v>6027</v>
      </c>
      <c r="G2114" s="58" t="s">
        <v>372</v>
      </c>
      <c r="H2114" s="546">
        <v>23723.85</v>
      </c>
      <c r="I2114" s="66">
        <v>44701</v>
      </c>
      <c r="J2114" s="411" t="s">
        <v>6028</v>
      </c>
      <c r="K2114" s="58"/>
      <c r="L2114" s="99"/>
      <c r="M2114" s="70" t="s">
        <v>5975</v>
      </c>
      <c r="N2114" s="97" t="s">
        <v>270</v>
      </c>
      <c r="O2114" s="58"/>
      <c r="P2114" s="58" t="s">
        <v>44</v>
      </c>
      <c r="Q2114" s="58" t="s">
        <v>72</v>
      </c>
      <c r="R2114" s="58" t="s">
        <v>272</v>
      </c>
    </row>
    <row r="2115" spans="1:18" ht="69" customHeight="1">
      <c r="A2115" s="168"/>
      <c r="B2115" s="178">
        <v>4305</v>
      </c>
      <c r="C2115" s="178" t="s">
        <v>3906</v>
      </c>
      <c r="D2115" s="575" t="s">
        <v>669</v>
      </c>
      <c r="E2115" s="178" t="s">
        <v>266</v>
      </c>
      <c r="F2115" s="210" t="s">
        <v>6029</v>
      </c>
      <c r="G2115" s="58" t="s">
        <v>1107</v>
      </c>
      <c r="H2115" s="546">
        <v>7293.34</v>
      </c>
      <c r="I2115" s="66">
        <v>44725</v>
      </c>
      <c r="J2115" s="411" t="s">
        <v>6030</v>
      </c>
      <c r="K2115" s="58"/>
      <c r="L2115" s="99"/>
      <c r="M2115" s="70" t="s">
        <v>5979</v>
      </c>
      <c r="N2115" s="97" t="s">
        <v>970</v>
      </c>
      <c r="O2115" s="58" t="s">
        <v>5961</v>
      </c>
      <c r="P2115" s="58" t="s">
        <v>38</v>
      </c>
      <c r="Q2115" s="58" t="s">
        <v>72</v>
      </c>
      <c r="R2115" s="58" t="s">
        <v>272</v>
      </c>
    </row>
    <row r="2116" spans="1:18" ht="69" customHeight="1">
      <c r="A2116" s="168"/>
      <c r="B2116" s="178">
        <v>5026</v>
      </c>
      <c r="C2116" s="178" t="s">
        <v>3906</v>
      </c>
      <c r="D2116" s="575" t="s">
        <v>6031</v>
      </c>
      <c r="E2116" s="178" t="s">
        <v>266</v>
      </c>
      <c r="F2116" s="210" t="s">
        <v>6032</v>
      </c>
      <c r="G2116" s="58" t="s">
        <v>5986</v>
      </c>
      <c r="H2116" s="546">
        <v>350</v>
      </c>
      <c r="I2116" s="66">
        <v>44728</v>
      </c>
      <c r="J2116" s="411" t="s">
        <v>6033</v>
      </c>
      <c r="K2116" s="58"/>
      <c r="L2116" s="99"/>
      <c r="M2116" s="70" t="s">
        <v>5975</v>
      </c>
      <c r="N2116" s="97" t="s">
        <v>270</v>
      </c>
      <c r="O2116" s="58"/>
      <c r="P2116" s="58" t="s">
        <v>44</v>
      </c>
      <c r="Q2116" s="58" t="s">
        <v>72</v>
      </c>
      <c r="R2116" s="58" t="s">
        <v>272</v>
      </c>
    </row>
    <row r="2117" spans="1:18" ht="69" customHeight="1">
      <c r="A2117" s="168"/>
      <c r="B2117" s="178">
        <v>5022</v>
      </c>
      <c r="C2117" s="178" t="s">
        <v>3906</v>
      </c>
      <c r="D2117" s="575" t="s">
        <v>2970</v>
      </c>
      <c r="E2117" s="178" t="s">
        <v>266</v>
      </c>
      <c r="F2117" s="210" t="s">
        <v>6034</v>
      </c>
      <c r="G2117" s="58" t="s">
        <v>1753</v>
      </c>
      <c r="H2117" s="546">
        <v>5390</v>
      </c>
      <c r="I2117" s="66">
        <v>44727</v>
      </c>
      <c r="J2117" s="411" t="s">
        <v>6035</v>
      </c>
      <c r="K2117" s="58"/>
      <c r="L2117" s="99"/>
      <c r="M2117" s="70" t="s">
        <v>5975</v>
      </c>
      <c r="N2117" s="97" t="s">
        <v>270</v>
      </c>
      <c r="O2117" s="58"/>
      <c r="P2117" s="58" t="s">
        <v>44</v>
      </c>
      <c r="Q2117" s="58" t="s">
        <v>72</v>
      </c>
      <c r="R2117" s="58" t="s">
        <v>272</v>
      </c>
    </row>
    <row r="2118" spans="1:18" ht="69" customHeight="1">
      <c r="A2118" s="168"/>
      <c r="B2118" s="178">
        <v>5023</v>
      </c>
      <c r="C2118" s="59" t="s">
        <v>3667</v>
      </c>
      <c r="D2118" s="575" t="s">
        <v>975</v>
      </c>
      <c r="E2118" s="178" t="s">
        <v>382</v>
      </c>
      <c r="F2118" s="210" t="s">
        <v>6036</v>
      </c>
      <c r="G2118" s="58" t="s">
        <v>384</v>
      </c>
      <c r="H2118" s="546">
        <v>22679.42</v>
      </c>
      <c r="I2118" s="66">
        <v>44739</v>
      </c>
      <c r="J2118" s="411" t="s">
        <v>6037</v>
      </c>
      <c r="K2118" s="58"/>
      <c r="L2118" s="99"/>
      <c r="M2118" s="70" t="s">
        <v>6038</v>
      </c>
      <c r="N2118" s="97" t="s">
        <v>387</v>
      </c>
      <c r="O2118" s="45" t="s">
        <v>150</v>
      </c>
      <c r="P2118" s="58" t="s">
        <v>51</v>
      </c>
      <c r="Q2118" s="58" t="s">
        <v>72</v>
      </c>
      <c r="R2118" s="58" t="s">
        <v>272</v>
      </c>
    </row>
    <row r="2119" spans="1:18" ht="69" customHeight="1">
      <c r="A2119" s="168"/>
      <c r="B2119" s="178">
        <v>5024</v>
      </c>
      <c r="C2119" s="59" t="s">
        <v>3667</v>
      </c>
      <c r="D2119" s="575" t="s">
        <v>533</v>
      </c>
      <c r="E2119" s="178" t="s">
        <v>382</v>
      </c>
      <c r="F2119" s="210" t="s">
        <v>6039</v>
      </c>
      <c r="G2119" s="58" t="s">
        <v>384</v>
      </c>
      <c r="H2119" s="546">
        <v>38303.97</v>
      </c>
      <c r="I2119" s="66">
        <v>44739</v>
      </c>
      <c r="J2119" s="411" t="s">
        <v>6040</v>
      </c>
      <c r="K2119" s="58"/>
      <c r="L2119" s="99"/>
      <c r="M2119" s="70" t="s">
        <v>6038</v>
      </c>
      <c r="N2119" s="97" t="s">
        <v>387</v>
      </c>
      <c r="O2119" s="45" t="s">
        <v>150</v>
      </c>
      <c r="P2119" s="58" t="s">
        <v>51</v>
      </c>
      <c r="Q2119" s="58" t="s">
        <v>72</v>
      </c>
      <c r="R2119" s="58" t="s">
        <v>272</v>
      </c>
    </row>
    <row r="2120" spans="1:18" ht="69" customHeight="1">
      <c r="A2120" s="168"/>
      <c r="B2120" s="178">
        <v>5141</v>
      </c>
      <c r="C2120" s="178" t="s">
        <v>3906</v>
      </c>
      <c r="D2120" s="575" t="s">
        <v>972</v>
      </c>
      <c r="E2120" s="178" t="s">
        <v>979</v>
      </c>
      <c r="F2120" s="210" t="s">
        <v>6041</v>
      </c>
      <c r="G2120" s="58" t="s">
        <v>352</v>
      </c>
      <c r="H2120" s="546">
        <v>406371.32</v>
      </c>
      <c r="I2120" s="66">
        <v>44741</v>
      </c>
      <c r="J2120" s="411" t="s">
        <v>6042</v>
      </c>
      <c r="K2120" s="58"/>
      <c r="L2120" s="99"/>
      <c r="M2120" s="70" t="s">
        <v>6043</v>
      </c>
      <c r="N2120" s="97" t="s">
        <v>356</v>
      </c>
      <c r="O2120" s="58" t="s">
        <v>156</v>
      </c>
      <c r="P2120" s="58" t="s">
        <v>19</v>
      </c>
      <c r="Q2120" s="58" t="s">
        <v>72</v>
      </c>
      <c r="R2120" s="58" t="s">
        <v>265</v>
      </c>
    </row>
    <row r="2121" spans="1:18" ht="69" customHeight="1">
      <c r="A2121" s="168"/>
      <c r="B2121" s="178">
        <v>5348</v>
      </c>
      <c r="C2121" s="178" t="s">
        <v>3906</v>
      </c>
      <c r="D2121" s="575" t="s">
        <v>6044</v>
      </c>
      <c r="E2121" s="178" t="s">
        <v>266</v>
      </c>
      <c r="F2121" s="210" t="s">
        <v>6045</v>
      </c>
      <c r="G2121" s="58" t="s">
        <v>708</v>
      </c>
      <c r="H2121" s="546">
        <v>2099.25</v>
      </c>
      <c r="I2121" s="66">
        <v>44761</v>
      </c>
      <c r="J2121" s="411" t="s">
        <v>6046</v>
      </c>
      <c r="K2121" s="58" t="s">
        <v>705</v>
      </c>
      <c r="L2121" s="99"/>
      <c r="M2121" s="70" t="s">
        <v>5975</v>
      </c>
      <c r="N2121" s="97" t="s">
        <v>270</v>
      </c>
      <c r="O2121" s="58"/>
      <c r="P2121" s="58" t="s">
        <v>44</v>
      </c>
      <c r="Q2121" s="58" t="s">
        <v>72</v>
      </c>
      <c r="R2121" s="58" t="s">
        <v>272</v>
      </c>
    </row>
    <row r="2122" spans="1:18" ht="69" customHeight="1">
      <c r="A2122" s="168"/>
      <c r="B2122" s="178">
        <v>6176</v>
      </c>
      <c r="C2122" s="178" t="s">
        <v>3906</v>
      </c>
      <c r="D2122" s="575" t="s">
        <v>2763</v>
      </c>
      <c r="E2122" s="178" t="s">
        <v>921</v>
      </c>
      <c r="F2122" s="210" t="s">
        <v>5995</v>
      </c>
      <c r="G2122" s="58" t="s">
        <v>6047</v>
      </c>
      <c r="H2122" s="546">
        <v>125000</v>
      </c>
      <c r="I2122" s="66">
        <v>44774</v>
      </c>
      <c r="J2122" s="411" t="s">
        <v>6048</v>
      </c>
      <c r="K2122" s="58"/>
      <c r="L2122" s="99"/>
      <c r="M2122" s="70" t="s">
        <v>6049</v>
      </c>
      <c r="N2122" s="97" t="s">
        <v>356</v>
      </c>
      <c r="O2122" s="58" t="s">
        <v>156</v>
      </c>
      <c r="P2122" s="58" t="s">
        <v>19</v>
      </c>
      <c r="Q2122" s="58" t="s">
        <v>72</v>
      </c>
      <c r="R2122" s="58" t="s">
        <v>272</v>
      </c>
    </row>
    <row r="2123" spans="1:18" ht="69" customHeight="1">
      <c r="A2123" s="168"/>
      <c r="B2123" s="178">
        <v>6177</v>
      </c>
      <c r="C2123" s="178" t="s">
        <v>3906</v>
      </c>
      <c r="D2123" s="575" t="s">
        <v>1551</v>
      </c>
      <c r="E2123" s="178" t="s">
        <v>979</v>
      </c>
      <c r="F2123" s="210" t="s">
        <v>6050</v>
      </c>
      <c r="G2123" s="58" t="s">
        <v>352</v>
      </c>
      <c r="H2123" s="546">
        <v>60757.32</v>
      </c>
      <c r="I2123" s="66">
        <v>44778</v>
      </c>
      <c r="J2123" s="411" t="s">
        <v>6051</v>
      </c>
      <c r="K2123" s="58" t="s">
        <v>6052</v>
      </c>
      <c r="L2123" s="99"/>
      <c r="M2123" s="70" t="s">
        <v>6043</v>
      </c>
      <c r="N2123" s="97" t="s">
        <v>356</v>
      </c>
      <c r="O2123" s="58" t="s">
        <v>156</v>
      </c>
      <c r="P2123" s="58" t="s">
        <v>19</v>
      </c>
      <c r="Q2123" s="58" t="s">
        <v>72</v>
      </c>
      <c r="R2123" s="58" t="s">
        <v>265</v>
      </c>
    </row>
    <row r="2124" spans="1:18" ht="69" customHeight="1">
      <c r="A2124" s="168"/>
      <c r="B2124" s="178">
        <v>6454</v>
      </c>
      <c r="C2124" s="178" t="s">
        <v>3906</v>
      </c>
      <c r="D2124" s="575" t="s">
        <v>6053</v>
      </c>
      <c r="E2124" s="178" t="s">
        <v>921</v>
      </c>
      <c r="F2124" s="210" t="s">
        <v>6054</v>
      </c>
      <c r="G2124" s="58" t="s">
        <v>5794</v>
      </c>
      <c r="H2124" s="546">
        <v>200000</v>
      </c>
      <c r="I2124" s="66">
        <v>44809</v>
      </c>
      <c r="J2124" s="411" t="s">
        <v>6055</v>
      </c>
      <c r="K2124" s="58"/>
      <c r="L2124" s="99"/>
      <c r="M2124" s="70" t="s">
        <v>6049</v>
      </c>
      <c r="N2124" s="97" t="s">
        <v>356</v>
      </c>
      <c r="O2124" s="58" t="s">
        <v>156</v>
      </c>
      <c r="P2124" s="58" t="s">
        <v>19</v>
      </c>
      <c r="Q2124" s="58" t="s">
        <v>72</v>
      </c>
      <c r="R2124" s="58" t="s">
        <v>272</v>
      </c>
    </row>
    <row r="2125" spans="1:18" ht="69" customHeight="1">
      <c r="A2125" s="168"/>
      <c r="B2125" s="178">
        <v>6408</v>
      </c>
      <c r="C2125" s="178" t="s">
        <v>3906</v>
      </c>
      <c r="D2125" s="575" t="s">
        <v>6056</v>
      </c>
      <c r="E2125" s="178" t="s">
        <v>432</v>
      </c>
      <c r="F2125" s="210" t="s">
        <v>6057</v>
      </c>
      <c r="G2125" s="58" t="s">
        <v>429</v>
      </c>
      <c r="H2125" s="546">
        <v>13959.486000000001</v>
      </c>
      <c r="I2125" s="66">
        <v>44802</v>
      </c>
      <c r="J2125" s="411" t="s">
        <v>5799</v>
      </c>
      <c r="K2125" s="58"/>
      <c r="L2125" s="99"/>
      <c r="M2125" s="70" t="s">
        <v>6058</v>
      </c>
      <c r="N2125" s="97" t="s">
        <v>432</v>
      </c>
      <c r="O2125" s="58"/>
      <c r="P2125" s="58" t="s">
        <v>53</v>
      </c>
      <c r="Q2125" s="58" t="s">
        <v>72</v>
      </c>
      <c r="R2125" s="58" t="s">
        <v>272</v>
      </c>
    </row>
    <row r="2126" spans="1:18" ht="69" customHeight="1">
      <c r="A2126" s="168"/>
      <c r="B2126" s="178">
        <v>6709</v>
      </c>
      <c r="C2126" s="178" t="s">
        <v>3906</v>
      </c>
      <c r="D2126" s="575" t="s">
        <v>6059</v>
      </c>
      <c r="E2126" s="178" t="s">
        <v>409</v>
      </c>
      <c r="F2126" s="210" t="s">
        <v>6060</v>
      </c>
      <c r="G2126" s="58" t="s">
        <v>5809</v>
      </c>
      <c r="H2126" s="546">
        <v>219691.44</v>
      </c>
      <c r="I2126" s="66">
        <v>44820</v>
      </c>
      <c r="J2126" s="411" t="s">
        <v>5810</v>
      </c>
      <c r="K2126" s="58"/>
      <c r="L2126" s="99"/>
      <c r="M2126" s="70" t="s">
        <v>6061</v>
      </c>
      <c r="N2126" s="97" t="s">
        <v>414</v>
      </c>
      <c r="O2126" s="58" t="s">
        <v>5713</v>
      </c>
      <c r="P2126" s="58" t="s">
        <v>24</v>
      </c>
      <c r="Q2126" s="58" t="s">
        <v>72</v>
      </c>
      <c r="R2126" s="58" t="s">
        <v>272</v>
      </c>
    </row>
    <row r="2127" spans="1:18" ht="69" customHeight="1">
      <c r="A2127" s="168"/>
      <c r="B2127" s="178">
        <v>7335</v>
      </c>
      <c r="C2127" s="178" t="s">
        <v>6062</v>
      </c>
      <c r="D2127" s="575" t="s">
        <v>6063</v>
      </c>
      <c r="E2127" s="178" t="s">
        <v>260</v>
      </c>
      <c r="F2127" s="210" t="s">
        <v>6064</v>
      </c>
      <c r="G2127" s="58" t="s">
        <v>6065</v>
      </c>
      <c r="H2127" s="546">
        <v>63839.5</v>
      </c>
      <c r="I2127" s="66">
        <v>44867</v>
      </c>
      <c r="J2127" s="411" t="s">
        <v>6066</v>
      </c>
      <c r="K2127" s="58"/>
      <c r="L2127" s="99"/>
      <c r="M2127" s="70" t="s">
        <v>6002</v>
      </c>
      <c r="N2127" s="97" t="s">
        <v>264</v>
      </c>
      <c r="O2127" s="58" t="s">
        <v>141</v>
      </c>
      <c r="P2127" s="58" t="s">
        <v>17</v>
      </c>
      <c r="Q2127" s="58" t="s">
        <v>72</v>
      </c>
      <c r="R2127" s="58" t="s">
        <v>265</v>
      </c>
    </row>
    <row r="2128" spans="1:18" ht="69" customHeight="1">
      <c r="A2128" s="168"/>
      <c r="B2128" s="178">
        <v>8174</v>
      </c>
      <c r="C2128" s="59" t="s">
        <v>3667</v>
      </c>
      <c r="D2128" s="575" t="s">
        <v>6067</v>
      </c>
      <c r="E2128" s="178" t="s">
        <v>5708</v>
      </c>
      <c r="F2128" s="210" t="s">
        <v>6068</v>
      </c>
      <c r="G2128" s="58" t="s">
        <v>1149</v>
      </c>
      <c r="H2128" s="546">
        <v>6000</v>
      </c>
      <c r="I2128" s="66">
        <v>44917</v>
      </c>
      <c r="J2128" s="411" t="s">
        <v>6069</v>
      </c>
      <c r="K2128" s="58"/>
      <c r="L2128" s="99"/>
      <c r="M2128" s="70" t="s">
        <v>6070</v>
      </c>
      <c r="N2128" s="97" t="s">
        <v>414</v>
      </c>
      <c r="O2128" s="58" t="s">
        <v>5713</v>
      </c>
      <c r="P2128" s="58" t="s">
        <v>24</v>
      </c>
      <c r="Q2128" s="58" t="s">
        <v>72</v>
      </c>
      <c r="R2128" s="58" t="s">
        <v>265</v>
      </c>
    </row>
    <row r="2129" spans="1:18" ht="69" customHeight="1">
      <c r="A2129" s="168"/>
      <c r="B2129" s="178">
        <v>7459</v>
      </c>
      <c r="C2129" s="178" t="s">
        <v>6062</v>
      </c>
      <c r="D2129" s="575" t="s">
        <v>6071</v>
      </c>
      <c r="E2129" s="178" t="s">
        <v>2075</v>
      </c>
      <c r="F2129" s="210" t="s">
        <v>6072</v>
      </c>
      <c r="G2129" s="58" t="s">
        <v>1041</v>
      </c>
      <c r="H2129" s="546">
        <v>99520.06</v>
      </c>
      <c r="I2129" s="66">
        <v>44883</v>
      </c>
      <c r="J2129" s="411" t="s">
        <v>1042</v>
      </c>
      <c r="K2129" s="58"/>
      <c r="L2129" s="99"/>
      <c r="M2129" s="70" t="s">
        <v>6073</v>
      </c>
      <c r="N2129" s="97" t="s">
        <v>1044</v>
      </c>
      <c r="O2129" s="58"/>
      <c r="P2129" s="58" t="s">
        <v>26</v>
      </c>
      <c r="Q2129" s="58" t="s">
        <v>72</v>
      </c>
      <c r="R2129" s="58" t="s">
        <v>272</v>
      </c>
    </row>
    <row r="2130" spans="1:18" ht="69" customHeight="1">
      <c r="A2130" s="168"/>
      <c r="B2130" s="178">
        <v>8326</v>
      </c>
      <c r="C2130" s="59" t="s">
        <v>3667</v>
      </c>
      <c r="D2130" s="575" t="s">
        <v>6074</v>
      </c>
      <c r="E2130" s="178" t="s">
        <v>5708</v>
      </c>
      <c r="F2130" s="210" t="s">
        <v>6075</v>
      </c>
      <c r="G2130" s="58" t="s">
        <v>2822</v>
      </c>
      <c r="H2130" s="546">
        <v>3100</v>
      </c>
      <c r="I2130" s="66">
        <v>44921</v>
      </c>
      <c r="J2130" s="411" t="s">
        <v>6076</v>
      </c>
      <c r="K2130" s="58"/>
      <c r="L2130" s="99"/>
      <c r="M2130" s="70" t="s">
        <v>6070</v>
      </c>
      <c r="N2130" s="97" t="s">
        <v>414</v>
      </c>
      <c r="O2130" s="58" t="s">
        <v>5713</v>
      </c>
      <c r="P2130" s="58" t="s">
        <v>24</v>
      </c>
      <c r="Q2130" s="58" t="s">
        <v>72</v>
      </c>
      <c r="R2130" s="58" t="s">
        <v>265</v>
      </c>
    </row>
    <row r="2131" spans="1:18" ht="69" customHeight="1">
      <c r="A2131" s="168"/>
      <c r="B2131" s="178">
        <v>8394</v>
      </c>
      <c r="C2131" s="59" t="s">
        <v>3667</v>
      </c>
      <c r="D2131" s="575" t="s">
        <v>6077</v>
      </c>
      <c r="E2131" s="178" t="s">
        <v>5708</v>
      </c>
      <c r="F2131" s="210" t="s">
        <v>6078</v>
      </c>
      <c r="G2131" s="58" t="s">
        <v>6079</v>
      </c>
      <c r="H2131" s="546">
        <v>0</v>
      </c>
      <c r="I2131" s="66">
        <v>44923</v>
      </c>
      <c r="J2131" s="411" t="s">
        <v>6080</v>
      </c>
      <c r="K2131" s="58"/>
      <c r="L2131" s="99"/>
      <c r="M2131" s="70" t="s">
        <v>6070</v>
      </c>
      <c r="N2131" s="97" t="s">
        <v>414</v>
      </c>
      <c r="O2131" s="58" t="s">
        <v>5713</v>
      </c>
      <c r="P2131" s="58" t="s">
        <v>24</v>
      </c>
      <c r="Q2131" s="58" t="s">
        <v>72</v>
      </c>
      <c r="R2131" s="58" t="s">
        <v>265</v>
      </c>
    </row>
    <row r="2132" spans="1:18" ht="69" customHeight="1">
      <c r="A2132" s="168"/>
      <c r="B2132" s="178">
        <v>6264</v>
      </c>
      <c r="C2132" s="178" t="s">
        <v>3906</v>
      </c>
      <c r="D2132" s="575" t="s">
        <v>6081</v>
      </c>
      <c r="E2132" s="178" t="s">
        <v>979</v>
      </c>
      <c r="F2132" s="210" t="s">
        <v>6082</v>
      </c>
      <c r="G2132" s="58" t="s">
        <v>352</v>
      </c>
      <c r="H2132" s="546">
        <v>41500</v>
      </c>
      <c r="I2132" s="66">
        <v>44792</v>
      </c>
      <c r="J2132" s="411" t="s">
        <v>5826</v>
      </c>
      <c r="K2132" s="58" t="s">
        <v>6083</v>
      </c>
      <c r="L2132" s="99"/>
      <c r="M2132" s="70" t="s">
        <v>6043</v>
      </c>
      <c r="N2132" s="97" t="s">
        <v>356</v>
      </c>
      <c r="O2132" s="58" t="s">
        <v>156</v>
      </c>
      <c r="P2132" s="58" t="s">
        <v>19</v>
      </c>
      <c r="Q2132" s="58" t="s">
        <v>72</v>
      </c>
      <c r="R2132" s="58" t="s">
        <v>265</v>
      </c>
    </row>
    <row r="2133" spans="1:18" ht="69" customHeight="1">
      <c r="A2133" s="168"/>
      <c r="B2133" s="178">
        <v>6646</v>
      </c>
      <c r="C2133" s="178" t="s">
        <v>3906</v>
      </c>
      <c r="D2133" s="575" t="s">
        <v>6084</v>
      </c>
      <c r="E2133" s="178" t="s">
        <v>260</v>
      </c>
      <c r="F2133" s="210" t="s">
        <v>6085</v>
      </c>
      <c r="G2133" s="58" t="s">
        <v>2950</v>
      </c>
      <c r="H2133" s="546">
        <v>29087.279999999999</v>
      </c>
      <c r="I2133" s="66">
        <v>44826</v>
      </c>
      <c r="J2133" s="411" t="s">
        <v>6086</v>
      </c>
      <c r="K2133" s="58" t="s">
        <v>6087</v>
      </c>
      <c r="L2133" s="99"/>
      <c r="M2133" s="70" t="s">
        <v>6002</v>
      </c>
      <c r="N2133" s="97" t="s">
        <v>264</v>
      </c>
      <c r="O2133" s="58" t="s">
        <v>141</v>
      </c>
      <c r="P2133" s="58" t="s">
        <v>17</v>
      </c>
      <c r="Q2133" s="58" t="s">
        <v>72</v>
      </c>
      <c r="R2133" s="58" t="s">
        <v>265</v>
      </c>
    </row>
    <row r="2134" spans="1:18" ht="69" customHeight="1">
      <c r="A2134" s="168"/>
      <c r="B2134" s="178">
        <v>7505</v>
      </c>
      <c r="C2134" s="178" t="s">
        <v>3906</v>
      </c>
      <c r="D2134" s="575" t="s">
        <v>2132</v>
      </c>
      <c r="E2134" s="178" t="s">
        <v>260</v>
      </c>
      <c r="F2134" s="210" t="s">
        <v>6088</v>
      </c>
      <c r="G2134" s="58" t="s">
        <v>6089</v>
      </c>
      <c r="H2134" s="546">
        <v>2100</v>
      </c>
      <c r="I2134" s="66">
        <v>44890</v>
      </c>
      <c r="J2134" s="411" t="s">
        <v>6090</v>
      </c>
      <c r="K2134" s="58"/>
      <c r="L2134" s="99"/>
      <c r="M2134" s="70" t="s">
        <v>6002</v>
      </c>
      <c r="N2134" s="97" t="s">
        <v>264</v>
      </c>
      <c r="O2134" s="58" t="s">
        <v>141</v>
      </c>
      <c r="P2134" s="58" t="s">
        <v>17</v>
      </c>
      <c r="Q2134" s="58" t="s">
        <v>72</v>
      </c>
      <c r="R2134" s="58" t="s">
        <v>265</v>
      </c>
    </row>
    <row r="2135" spans="1:18" ht="69" customHeight="1">
      <c r="A2135" s="168"/>
      <c r="B2135" s="178">
        <v>8487</v>
      </c>
      <c r="C2135" s="59" t="s">
        <v>3667</v>
      </c>
      <c r="D2135" s="575" t="s">
        <v>1923</v>
      </c>
      <c r="E2135" s="178" t="s">
        <v>5708</v>
      </c>
      <c r="F2135" s="210" t="s">
        <v>6091</v>
      </c>
      <c r="G2135" s="58" t="s">
        <v>6092</v>
      </c>
      <c r="H2135" s="546">
        <v>26000</v>
      </c>
      <c r="I2135" s="66">
        <v>44935</v>
      </c>
      <c r="J2135" s="411" t="s">
        <v>6093</v>
      </c>
      <c r="K2135" s="58"/>
      <c r="L2135" s="99"/>
      <c r="M2135" s="70" t="s">
        <v>6070</v>
      </c>
      <c r="N2135" s="97" t="s">
        <v>414</v>
      </c>
      <c r="O2135" s="58" t="s">
        <v>5713</v>
      </c>
      <c r="P2135" s="58" t="s">
        <v>24</v>
      </c>
      <c r="Q2135" s="58" t="s">
        <v>72</v>
      </c>
      <c r="R2135" s="58" t="s">
        <v>265</v>
      </c>
    </row>
    <row r="2136" spans="1:18" ht="69" customHeight="1">
      <c r="A2136" s="168"/>
      <c r="B2136" s="178">
        <v>7379</v>
      </c>
      <c r="C2136" s="178" t="s">
        <v>3906</v>
      </c>
      <c r="D2136" s="575" t="s">
        <v>6094</v>
      </c>
      <c r="E2136" s="178" t="s">
        <v>331</v>
      </c>
      <c r="F2136" s="210" t="s">
        <v>6095</v>
      </c>
      <c r="G2136" s="58" t="s">
        <v>1121</v>
      </c>
      <c r="H2136" s="546">
        <v>34317.03</v>
      </c>
      <c r="I2136" s="66">
        <v>44876</v>
      </c>
      <c r="J2136" s="411" t="s">
        <v>1122</v>
      </c>
      <c r="K2136" s="58"/>
      <c r="L2136" s="99"/>
      <c r="M2136" s="70" t="s">
        <v>5975</v>
      </c>
      <c r="N2136" s="97" t="s">
        <v>270</v>
      </c>
      <c r="O2136" s="58"/>
      <c r="P2136" s="58" t="s">
        <v>53</v>
      </c>
      <c r="Q2136" s="58" t="s">
        <v>72</v>
      </c>
      <c r="R2136" s="58" t="s">
        <v>272</v>
      </c>
    </row>
    <row r="2137" spans="1:18" ht="69" customHeight="1">
      <c r="A2137" s="168"/>
      <c r="B2137" s="178">
        <v>7297</v>
      </c>
      <c r="C2137" s="178" t="s">
        <v>6096</v>
      </c>
      <c r="D2137" s="575" t="s">
        <v>6097</v>
      </c>
      <c r="E2137" s="178" t="s">
        <v>2075</v>
      </c>
      <c r="F2137" s="210" t="s">
        <v>6098</v>
      </c>
      <c r="G2137" s="58" t="s">
        <v>1041</v>
      </c>
      <c r="H2137" s="546">
        <v>28777.040000000001</v>
      </c>
      <c r="I2137" s="66">
        <v>44869</v>
      </c>
      <c r="J2137" s="411" t="s">
        <v>6099</v>
      </c>
      <c r="K2137" s="58"/>
      <c r="L2137" s="99"/>
      <c r="M2137" s="70" t="s">
        <v>6073</v>
      </c>
      <c r="N2137" s="97" t="s">
        <v>1044</v>
      </c>
      <c r="O2137" s="58"/>
      <c r="P2137" s="58" t="s">
        <v>26</v>
      </c>
      <c r="Q2137" s="58" t="s">
        <v>72</v>
      </c>
      <c r="R2137" s="58" t="s">
        <v>272</v>
      </c>
    </row>
    <row r="2138" spans="1:18" ht="69" customHeight="1">
      <c r="A2138" s="168"/>
      <c r="B2138" s="178">
        <v>7586</v>
      </c>
      <c r="C2138" s="178" t="s">
        <v>6096</v>
      </c>
      <c r="D2138" s="575" t="s">
        <v>6100</v>
      </c>
      <c r="E2138" s="178" t="s">
        <v>2075</v>
      </c>
      <c r="F2138" s="210" t="s">
        <v>6101</v>
      </c>
      <c r="G2138" s="58" t="s">
        <v>1041</v>
      </c>
      <c r="H2138" s="546">
        <v>8680</v>
      </c>
      <c r="I2138" s="66">
        <v>44904</v>
      </c>
      <c r="J2138" s="411" t="s">
        <v>1080</v>
      </c>
      <c r="K2138" s="58"/>
      <c r="L2138" s="99"/>
      <c r="M2138" s="70" t="s">
        <v>6073</v>
      </c>
      <c r="N2138" s="97" t="s">
        <v>1044</v>
      </c>
      <c r="O2138" s="58"/>
      <c r="P2138" s="58" t="s">
        <v>26</v>
      </c>
      <c r="Q2138" s="58" t="s">
        <v>72</v>
      </c>
      <c r="R2138" s="58" t="s">
        <v>272</v>
      </c>
    </row>
    <row r="2139" spans="1:18" ht="69" customHeight="1">
      <c r="A2139" s="168"/>
      <c r="B2139" s="178">
        <v>6919</v>
      </c>
      <c r="C2139" s="178" t="s">
        <v>3906</v>
      </c>
      <c r="D2139" s="575" t="s">
        <v>2086</v>
      </c>
      <c r="E2139" s="178" t="s">
        <v>266</v>
      </c>
      <c r="F2139" s="210" t="s">
        <v>6102</v>
      </c>
      <c r="G2139" s="58" t="s">
        <v>1053</v>
      </c>
      <c r="H2139" s="546">
        <v>5810</v>
      </c>
      <c r="I2139" s="66">
        <v>44844</v>
      </c>
      <c r="J2139" s="411" t="s">
        <v>6103</v>
      </c>
      <c r="K2139" s="58"/>
      <c r="L2139" s="99"/>
      <c r="M2139" s="70" t="s">
        <v>5975</v>
      </c>
      <c r="N2139" s="97" t="s">
        <v>270</v>
      </c>
      <c r="O2139" s="58"/>
      <c r="P2139" s="58" t="s">
        <v>44</v>
      </c>
      <c r="Q2139" s="58" t="s">
        <v>72</v>
      </c>
      <c r="R2139" s="58" t="s">
        <v>272</v>
      </c>
    </row>
    <row r="2140" spans="1:18" ht="69" customHeight="1">
      <c r="A2140" s="168"/>
      <c r="B2140" s="178">
        <v>7658</v>
      </c>
      <c r="C2140" s="178" t="s">
        <v>3906</v>
      </c>
      <c r="D2140" s="575" t="s">
        <v>3091</v>
      </c>
      <c r="E2140" s="178" t="s">
        <v>266</v>
      </c>
      <c r="F2140" s="210" t="s">
        <v>6104</v>
      </c>
      <c r="G2140" s="58" t="s">
        <v>1154</v>
      </c>
      <c r="H2140" s="546">
        <v>6206.9</v>
      </c>
      <c r="I2140" s="66">
        <v>44904</v>
      </c>
      <c r="J2140" s="411" t="s">
        <v>1155</v>
      </c>
      <c r="K2140" s="58"/>
      <c r="L2140" s="99"/>
      <c r="M2140" s="70" t="s">
        <v>6105</v>
      </c>
      <c r="N2140" s="97" t="s">
        <v>683</v>
      </c>
      <c r="O2140" s="58" t="s">
        <v>684</v>
      </c>
      <c r="P2140" s="58" t="s">
        <v>46</v>
      </c>
      <c r="Q2140" s="58" t="s">
        <v>72</v>
      </c>
      <c r="R2140" s="58" t="s">
        <v>272</v>
      </c>
    </row>
    <row r="2141" spans="1:18" ht="69" customHeight="1">
      <c r="A2141" s="168"/>
      <c r="B2141" s="178">
        <v>8532</v>
      </c>
      <c r="C2141" s="59" t="s">
        <v>3667</v>
      </c>
      <c r="D2141" s="575" t="s">
        <v>1929</v>
      </c>
      <c r="E2141" s="178" t="s">
        <v>5708</v>
      </c>
      <c r="F2141" s="210" t="s">
        <v>6106</v>
      </c>
      <c r="G2141" s="58" t="s">
        <v>6107</v>
      </c>
      <c r="H2141" s="546">
        <v>10500</v>
      </c>
      <c r="I2141" s="66">
        <v>44939</v>
      </c>
      <c r="J2141" s="411" t="s">
        <v>6108</v>
      </c>
      <c r="K2141" s="58"/>
      <c r="L2141" s="99"/>
      <c r="M2141" s="70" t="s">
        <v>6070</v>
      </c>
      <c r="N2141" s="97" t="s">
        <v>414</v>
      </c>
      <c r="O2141" s="58" t="s">
        <v>5713</v>
      </c>
      <c r="P2141" s="58" t="s">
        <v>24</v>
      </c>
      <c r="Q2141" s="58" t="s">
        <v>72</v>
      </c>
      <c r="R2141" s="58" t="s">
        <v>265</v>
      </c>
    </row>
    <row r="2142" spans="1:18" ht="69" customHeight="1">
      <c r="A2142" s="168"/>
      <c r="B2142" s="191">
        <v>7691</v>
      </c>
      <c r="C2142" s="191" t="s">
        <v>3667</v>
      </c>
      <c r="D2142" s="533" t="s">
        <v>3511</v>
      </c>
      <c r="E2142" s="191" t="s">
        <v>585</v>
      </c>
      <c r="F2142" s="211" t="s">
        <v>6109</v>
      </c>
      <c r="G2142" s="46" t="s">
        <v>6110</v>
      </c>
      <c r="H2142" s="534" t="s">
        <v>96</v>
      </c>
      <c r="I2142" s="56">
        <v>44900</v>
      </c>
      <c r="J2142" s="412" t="s">
        <v>6111</v>
      </c>
      <c r="K2142" s="46" t="s">
        <v>167</v>
      </c>
      <c r="L2142" s="99"/>
      <c r="M2142" s="379"/>
      <c r="N2142" s="76" t="s">
        <v>414</v>
      </c>
      <c r="O2142" s="46"/>
      <c r="P2142" s="46" t="s">
        <v>65</v>
      </c>
      <c r="Q2142" s="46" t="s">
        <v>72</v>
      </c>
      <c r="R2142" s="46" t="s">
        <v>272</v>
      </c>
    </row>
    <row r="2143" spans="1:18" ht="69" customHeight="1">
      <c r="A2143" s="168"/>
      <c r="B2143" s="178">
        <v>8059</v>
      </c>
      <c r="C2143" s="178" t="s">
        <v>3906</v>
      </c>
      <c r="D2143" s="575" t="s">
        <v>2363</v>
      </c>
      <c r="E2143" s="178" t="s">
        <v>409</v>
      </c>
      <c r="F2143" s="210" t="s">
        <v>6112</v>
      </c>
      <c r="G2143" s="58" t="s">
        <v>1107</v>
      </c>
      <c r="H2143" s="546">
        <v>7293.34</v>
      </c>
      <c r="I2143" s="66">
        <v>44911</v>
      </c>
      <c r="J2143" s="411" t="s">
        <v>6113</v>
      </c>
      <c r="K2143" s="58"/>
      <c r="L2143" s="99"/>
      <c r="M2143" s="70" t="s">
        <v>5979</v>
      </c>
      <c r="N2143" s="97" t="s">
        <v>970</v>
      </c>
      <c r="O2143" s="58" t="s">
        <v>5961</v>
      </c>
      <c r="P2143" s="58" t="s">
        <v>38</v>
      </c>
      <c r="Q2143" s="58" t="s">
        <v>72</v>
      </c>
      <c r="R2143" s="58" t="s">
        <v>272</v>
      </c>
    </row>
    <row r="2144" spans="1:18" ht="69" customHeight="1">
      <c r="A2144" s="168"/>
      <c r="B2144" s="178">
        <v>8691</v>
      </c>
      <c r="C2144" s="59" t="s">
        <v>3667</v>
      </c>
      <c r="D2144" s="575" t="s">
        <v>3635</v>
      </c>
      <c r="E2144" s="178" t="s">
        <v>5708</v>
      </c>
      <c r="F2144" s="210" t="s">
        <v>6114</v>
      </c>
      <c r="G2144" s="58" t="s">
        <v>5351</v>
      </c>
      <c r="H2144" s="546">
        <v>9231.65</v>
      </c>
      <c r="I2144" s="66">
        <v>44970</v>
      </c>
      <c r="J2144" s="411" t="s">
        <v>6115</v>
      </c>
      <c r="K2144" s="58"/>
      <c r="L2144" s="99"/>
      <c r="M2144" s="70" t="s">
        <v>6070</v>
      </c>
      <c r="N2144" s="97" t="s">
        <v>414</v>
      </c>
      <c r="O2144" s="58" t="s">
        <v>5713</v>
      </c>
      <c r="P2144" s="58" t="s">
        <v>24</v>
      </c>
      <c r="Q2144" s="58" t="s">
        <v>72</v>
      </c>
      <c r="R2144" s="58" t="s">
        <v>265</v>
      </c>
    </row>
    <row r="2145" spans="1:18" ht="69" customHeight="1">
      <c r="A2145" s="168"/>
      <c r="B2145" s="600">
        <v>7406</v>
      </c>
      <c r="C2145" s="600" t="s">
        <v>3667</v>
      </c>
      <c r="D2145" s="601" t="s">
        <v>3040</v>
      </c>
      <c r="E2145" s="600" t="s">
        <v>5708</v>
      </c>
      <c r="F2145" s="602" t="s">
        <v>6116</v>
      </c>
      <c r="G2145" s="460" t="s">
        <v>1048</v>
      </c>
      <c r="H2145" s="605">
        <v>8402.5499999999993</v>
      </c>
      <c r="I2145" s="461">
        <v>44879</v>
      </c>
      <c r="J2145" s="603" t="s">
        <v>6117</v>
      </c>
      <c r="K2145" s="460"/>
      <c r="L2145" s="99"/>
      <c r="M2145" s="70" t="s">
        <v>6070</v>
      </c>
      <c r="N2145" s="97" t="s">
        <v>414</v>
      </c>
      <c r="O2145" s="58" t="s">
        <v>5713</v>
      </c>
      <c r="P2145" s="58" t="s">
        <v>24</v>
      </c>
      <c r="Q2145" s="58" t="s">
        <v>72</v>
      </c>
      <c r="R2145" s="58" t="s">
        <v>265</v>
      </c>
    </row>
    <row r="2146" spans="1:18" ht="69" customHeight="1">
      <c r="A2146" s="168"/>
      <c r="B2146" s="600">
        <v>7579</v>
      </c>
      <c r="C2146" s="600" t="s">
        <v>3667</v>
      </c>
      <c r="D2146" s="601" t="s">
        <v>6118</v>
      </c>
      <c r="E2146" s="600" t="s">
        <v>5708</v>
      </c>
      <c r="F2146" s="602" t="s">
        <v>6119</v>
      </c>
      <c r="G2146" s="460" t="s">
        <v>1048</v>
      </c>
      <c r="H2146" s="605">
        <v>5000</v>
      </c>
      <c r="I2146" s="461">
        <v>44890</v>
      </c>
      <c r="J2146" s="603" t="s">
        <v>6120</v>
      </c>
      <c r="K2146" s="460"/>
      <c r="L2146" s="99"/>
      <c r="M2146" s="70" t="s">
        <v>6070</v>
      </c>
      <c r="N2146" s="97" t="s">
        <v>414</v>
      </c>
      <c r="O2146" s="58" t="s">
        <v>5713</v>
      </c>
      <c r="P2146" s="58" t="s">
        <v>24</v>
      </c>
      <c r="Q2146" s="58" t="s">
        <v>72</v>
      </c>
      <c r="R2146" s="58" t="s">
        <v>265</v>
      </c>
    </row>
    <row r="2147" spans="1:18" ht="69" customHeight="1">
      <c r="A2147" s="168"/>
      <c r="B2147" s="600">
        <v>7585</v>
      </c>
      <c r="C2147" s="600" t="s">
        <v>3667</v>
      </c>
      <c r="D2147" s="601" t="s">
        <v>6121</v>
      </c>
      <c r="E2147" s="600" t="s">
        <v>5708</v>
      </c>
      <c r="F2147" s="602" t="s">
        <v>6122</v>
      </c>
      <c r="G2147" s="460" t="s">
        <v>1048</v>
      </c>
      <c r="H2147" s="605">
        <v>14301</v>
      </c>
      <c r="I2147" s="461">
        <v>44890</v>
      </c>
      <c r="J2147" s="603" t="s">
        <v>6123</v>
      </c>
      <c r="K2147" s="460"/>
      <c r="L2147" s="99"/>
      <c r="M2147" s="70" t="s">
        <v>6070</v>
      </c>
      <c r="N2147" s="97" t="s">
        <v>414</v>
      </c>
      <c r="O2147" s="58" t="s">
        <v>5713</v>
      </c>
      <c r="P2147" s="58" t="s">
        <v>24</v>
      </c>
      <c r="Q2147" s="58" t="s">
        <v>72</v>
      </c>
      <c r="R2147" s="58" t="s">
        <v>265</v>
      </c>
    </row>
    <row r="2148" spans="1:18" ht="69" customHeight="1">
      <c r="A2148" s="168"/>
      <c r="B2148" s="600">
        <v>6702</v>
      </c>
      <c r="C2148" s="600" t="s">
        <v>3667</v>
      </c>
      <c r="D2148" s="601" t="s">
        <v>1614</v>
      </c>
      <c r="E2148" s="600" t="s">
        <v>5708</v>
      </c>
      <c r="F2148" s="602" t="s">
        <v>6124</v>
      </c>
      <c r="G2148" s="460" t="s">
        <v>5710</v>
      </c>
      <c r="H2148" s="605">
        <v>16169.24</v>
      </c>
      <c r="I2148" s="461">
        <v>44834</v>
      </c>
      <c r="J2148" s="603" t="s">
        <v>6125</v>
      </c>
      <c r="K2148" s="460"/>
      <c r="L2148" s="99"/>
      <c r="M2148" s="70" t="s">
        <v>6070</v>
      </c>
      <c r="N2148" s="97" t="s">
        <v>414</v>
      </c>
      <c r="O2148" s="58" t="s">
        <v>5713</v>
      </c>
      <c r="P2148" s="58" t="s">
        <v>24</v>
      </c>
      <c r="Q2148" s="58" t="s">
        <v>72</v>
      </c>
      <c r="R2148" s="58" t="s">
        <v>265</v>
      </c>
    </row>
    <row r="2149" spans="1:18" ht="69" customHeight="1">
      <c r="A2149" s="168"/>
      <c r="B2149" s="600">
        <v>7684</v>
      </c>
      <c r="C2149" s="600" t="s">
        <v>3667</v>
      </c>
      <c r="D2149" s="601" t="s">
        <v>6126</v>
      </c>
      <c r="E2149" s="600" t="s">
        <v>5708</v>
      </c>
      <c r="F2149" s="602" t="s">
        <v>6127</v>
      </c>
      <c r="G2149" s="460" t="s">
        <v>1048</v>
      </c>
      <c r="H2149" s="605">
        <v>8927.2199999999993</v>
      </c>
      <c r="I2149" s="461">
        <v>44900</v>
      </c>
      <c r="J2149" s="603" t="s">
        <v>6128</v>
      </c>
      <c r="K2149" s="460"/>
      <c r="L2149" s="99"/>
      <c r="M2149" s="70" t="s">
        <v>6070</v>
      </c>
      <c r="N2149" s="97" t="s">
        <v>414</v>
      </c>
      <c r="O2149" s="58" t="s">
        <v>5713</v>
      </c>
      <c r="P2149" s="58" t="s">
        <v>24</v>
      </c>
      <c r="Q2149" s="58" t="s">
        <v>72</v>
      </c>
      <c r="R2149" s="58" t="s">
        <v>265</v>
      </c>
    </row>
    <row r="2150" spans="1:18" ht="69" customHeight="1">
      <c r="A2150" s="168"/>
      <c r="B2150" s="600">
        <v>8126</v>
      </c>
      <c r="C2150" s="600" t="s">
        <v>3667</v>
      </c>
      <c r="D2150" s="601" t="s">
        <v>1895</v>
      </c>
      <c r="E2150" s="600" t="s">
        <v>5708</v>
      </c>
      <c r="F2150" s="602" t="s">
        <v>6129</v>
      </c>
      <c r="G2150" s="460" t="s">
        <v>1149</v>
      </c>
      <c r="H2150" s="605">
        <v>26490.44</v>
      </c>
      <c r="I2150" s="461">
        <v>44914</v>
      </c>
      <c r="J2150" s="603" t="s">
        <v>6130</v>
      </c>
      <c r="K2150" s="460"/>
      <c r="L2150" s="99"/>
      <c r="M2150" s="70" t="s">
        <v>6070</v>
      </c>
      <c r="N2150" s="97" t="s">
        <v>414</v>
      </c>
      <c r="O2150" s="58" t="s">
        <v>5713</v>
      </c>
      <c r="P2150" s="58" t="s">
        <v>24</v>
      </c>
      <c r="Q2150" s="58" t="s">
        <v>72</v>
      </c>
      <c r="R2150" s="58" t="s">
        <v>265</v>
      </c>
    </row>
    <row r="2151" spans="1:18" ht="69" customHeight="1">
      <c r="A2151" s="168"/>
      <c r="B2151" s="600">
        <v>8134</v>
      </c>
      <c r="C2151" s="600" t="s">
        <v>3667</v>
      </c>
      <c r="D2151" s="601" t="s">
        <v>6131</v>
      </c>
      <c r="E2151" s="600" t="s">
        <v>5708</v>
      </c>
      <c r="F2151" s="602" t="s">
        <v>6132</v>
      </c>
      <c r="G2151" s="460" t="s">
        <v>1149</v>
      </c>
      <c r="H2151" s="605">
        <v>31918.75</v>
      </c>
      <c r="I2151" s="461">
        <v>44914</v>
      </c>
      <c r="J2151" s="603" t="s">
        <v>6133</v>
      </c>
      <c r="K2151" s="460"/>
      <c r="L2151" s="99"/>
      <c r="M2151" s="70" t="s">
        <v>6070</v>
      </c>
      <c r="N2151" s="97" t="s">
        <v>414</v>
      </c>
      <c r="O2151" s="58" t="s">
        <v>5713</v>
      </c>
      <c r="P2151" s="58" t="s">
        <v>24</v>
      </c>
      <c r="Q2151" s="58" t="s">
        <v>72</v>
      </c>
      <c r="R2151" s="58" t="s">
        <v>265</v>
      </c>
    </row>
    <row r="2152" spans="1:18" ht="69" customHeight="1">
      <c r="A2152" s="168"/>
      <c r="B2152" s="600">
        <v>8163</v>
      </c>
      <c r="C2152" s="600" t="s">
        <v>3667</v>
      </c>
      <c r="D2152" s="601" t="s">
        <v>6134</v>
      </c>
      <c r="E2152" s="600" t="s">
        <v>5708</v>
      </c>
      <c r="F2152" s="602" t="s">
        <v>6135</v>
      </c>
      <c r="G2152" s="460" t="s">
        <v>1149</v>
      </c>
      <c r="H2152" s="605">
        <v>9471.64</v>
      </c>
      <c r="I2152" s="461">
        <v>44886</v>
      </c>
      <c r="J2152" s="603" t="s">
        <v>6136</v>
      </c>
      <c r="K2152" s="460"/>
      <c r="L2152" s="99"/>
      <c r="M2152" s="70" t="s">
        <v>6070</v>
      </c>
      <c r="N2152" s="97" t="s">
        <v>414</v>
      </c>
      <c r="O2152" s="58" t="s">
        <v>5713</v>
      </c>
      <c r="P2152" s="58" t="s">
        <v>24</v>
      </c>
      <c r="Q2152" s="58" t="s">
        <v>72</v>
      </c>
      <c r="R2152" s="58" t="s">
        <v>265</v>
      </c>
    </row>
    <row r="2153" spans="1:18" ht="69" customHeight="1">
      <c r="A2153" s="168"/>
      <c r="B2153" s="600">
        <v>7639</v>
      </c>
      <c r="C2153" s="600" t="s">
        <v>3667</v>
      </c>
      <c r="D2153" s="601" t="s">
        <v>6137</v>
      </c>
      <c r="E2153" s="600" t="s">
        <v>5708</v>
      </c>
      <c r="F2153" s="602" t="s">
        <v>6138</v>
      </c>
      <c r="G2153" s="460" t="s">
        <v>1048</v>
      </c>
      <c r="H2153" s="605">
        <v>22470.91</v>
      </c>
      <c r="I2153" s="461">
        <v>44895</v>
      </c>
      <c r="J2153" s="603" t="s">
        <v>6139</v>
      </c>
      <c r="K2153" s="460"/>
      <c r="L2153" s="99"/>
      <c r="M2153" s="70" t="s">
        <v>6070</v>
      </c>
      <c r="N2153" s="97" t="s">
        <v>414</v>
      </c>
      <c r="O2153" s="58" t="s">
        <v>5713</v>
      </c>
      <c r="P2153" s="58" t="s">
        <v>24</v>
      </c>
      <c r="Q2153" s="58" t="s">
        <v>72</v>
      </c>
      <c r="R2153" s="58" t="s">
        <v>265</v>
      </c>
    </row>
    <row r="2154" spans="1:18" ht="69" customHeight="1">
      <c r="A2154" s="168"/>
      <c r="B2154" s="600">
        <v>7686</v>
      </c>
      <c r="C2154" s="600" t="s">
        <v>3667</v>
      </c>
      <c r="D2154" s="601" t="s">
        <v>6140</v>
      </c>
      <c r="E2154" s="600" t="s">
        <v>5708</v>
      </c>
      <c r="F2154" s="602" t="s">
        <v>6141</v>
      </c>
      <c r="G2154" s="460" t="s">
        <v>6142</v>
      </c>
      <c r="H2154" s="605">
        <v>5200</v>
      </c>
      <c r="I2154" s="461">
        <v>44900</v>
      </c>
      <c r="J2154" s="603" t="s">
        <v>6128</v>
      </c>
      <c r="K2154" s="460"/>
      <c r="L2154" s="99"/>
      <c r="M2154" s="70" t="s">
        <v>6070</v>
      </c>
      <c r="N2154" s="97" t="s">
        <v>414</v>
      </c>
      <c r="O2154" s="58" t="s">
        <v>5713</v>
      </c>
      <c r="P2154" s="58" t="s">
        <v>24</v>
      </c>
      <c r="Q2154" s="58" t="s">
        <v>72</v>
      </c>
      <c r="R2154" s="58" t="s">
        <v>265</v>
      </c>
    </row>
    <row r="2155" spans="1:18" ht="69" customHeight="1">
      <c r="A2155" s="168"/>
      <c r="B2155" s="600">
        <v>8081</v>
      </c>
      <c r="C2155" s="600" t="s">
        <v>3667</v>
      </c>
      <c r="D2155" s="601" t="s">
        <v>3602</v>
      </c>
      <c r="E2155" s="600" t="s">
        <v>5708</v>
      </c>
      <c r="F2155" s="602" t="s">
        <v>6143</v>
      </c>
      <c r="G2155" s="460" t="s">
        <v>1048</v>
      </c>
      <c r="H2155" s="605">
        <v>7124</v>
      </c>
      <c r="I2155" s="461">
        <v>44911</v>
      </c>
      <c r="J2155" s="603" t="s">
        <v>6144</v>
      </c>
      <c r="K2155" s="460"/>
      <c r="L2155" s="99"/>
      <c r="M2155" s="70" t="s">
        <v>6070</v>
      </c>
      <c r="N2155" s="97" t="s">
        <v>414</v>
      </c>
      <c r="O2155" s="58" t="s">
        <v>5713</v>
      </c>
      <c r="P2155" s="58" t="s">
        <v>24</v>
      </c>
      <c r="Q2155" s="58" t="s">
        <v>72</v>
      </c>
      <c r="R2155" s="58" t="s">
        <v>265</v>
      </c>
    </row>
    <row r="2156" spans="1:18" ht="69" customHeight="1">
      <c r="A2156" s="168"/>
      <c r="B2156" s="600">
        <v>8089</v>
      </c>
      <c r="C2156" s="600" t="s">
        <v>3667</v>
      </c>
      <c r="D2156" s="601" t="s">
        <v>2611</v>
      </c>
      <c r="E2156" s="600" t="s">
        <v>5708</v>
      </c>
      <c r="F2156" s="602" t="s">
        <v>6145</v>
      </c>
      <c r="G2156" s="460" t="s">
        <v>1048</v>
      </c>
      <c r="H2156" s="605">
        <v>4366</v>
      </c>
      <c r="I2156" s="461">
        <v>44911</v>
      </c>
      <c r="J2156" s="603" t="s">
        <v>6146</v>
      </c>
      <c r="K2156" s="460"/>
      <c r="L2156" s="99"/>
      <c r="M2156" s="70" t="s">
        <v>6070</v>
      </c>
      <c r="N2156" s="97" t="s">
        <v>414</v>
      </c>
      <c r="O2156" s="58" t="s">
        <v>5713</v>
      </c>
      <c r="P2156" s="58" t="s">
        <v>24</v>
      </c>
      <c r="Q2156" s="58" t="s">
        <v>72</v>
      </c>
      <c r="R2156" s="58" t="s">
        <v>265</v>
      </c>
    </row>
    <row r="2157" spans="1:18" ht="69" customHeight="1">
      <c r="A2157" s="168"/>
      <c r="B2157" s="600">
        <v>8176</v>
      </c>
      <c r="C2157" s="600" t="s">
        <v>3667</v>
      </c>
      <c r="D2157" s="601" t="s">
        <v>1210</v>
      </c>
      <c r="E2157" s="600" t="s">
        <v>5708</v>
      </c>
      <c r="F2157" s="602" t="s">
        <v>6147</v>
      </c>
      <c r="G2157" s="460" t="s">
        <v>1149</v>
      </c>
      <c r="H2157" s="605">
        <v>3604</v>
      </c>
      <c r="I2157" s="461">
        <v>44916</v>
      </c>
      <c r="J2157" s="603" t="s">
        <v>6069</v>
      </c>
      <c r="K2157" s="460"/>
      <c r="L2157" s="99"/>
      <c r="M2157" s="70" t="s">
        <v>6070</v>
      </c>
      <c r="N2157" s="97" t="s">
        <v>414</v>
      </c>
      <c r="O2157" s="58" t="s">
        <v>5713</v>
      </c>
      <c r="P2157" s="58" t="s">
        <v>24</v>
      </c>
      <c r="Q2157" s="58" t="s">
        <v>72</v>
      </c>
      <c r="R2157" s="58" t="s">
        <v>265</v>
      </c>
    </row>
    <row r="2158" spans="1:18" ht="69" customHeight="1">
      <c r="A2158" s="168"/>
      <c r="B2158" s="600">
        <v>8321</v>
      </c>
      <c r="C2158" s="600" t="s">
        <v>3667</v>
      </c>
      <c r="D2158" s="601" t="s">
        <v>6148</v>
      </c>
      <c r="E2158" s="600" t="s">
        <v>5708</v>
      </c>
      <c r="F2158" s="602" t="s">
        <v>6149</v>
      </c>
      <c r="G2158" s="460" t="s">
        <v>6150</v>
      </c>
      <c r="H2158" s="605">
        <v>3670</v>
      </c>
      <c r="I2158" s="461">
        <v>44921</v>
      </c>
      <c r="J2158" s="603" t="s">
        <v>6151</v>
      </c>
      <c r="K2158" s="460"/>
      <c r="L2158" s="99"/>
      <c r="M2158" s="70" t="s">
        <v>6070</v>
      </c>
      <c r="N2158" s="97" t="s">
        <v>414</v>
      </c>
      <c r="O2158" s="58" t="s">
        <v>5713</v>
      </c>
      <c r="P2158" s="58" t="s">
        <v>24</v>
      </c>
      <c r="Q2158" s="58" t="s">
        <v>72</v>
      </c>
      <c r="R2158" s="58" t="s">
        <v>265</v>
      </c>
    </row>
    <row r="2159" spans="1:18" ht="69" customHeight="1">
      <c r="A2159" s="168"/>
      <c r="B2159" s="600">
        <v>8398</v>
      </c>
      <c r="C2159" s="600" t="s">
        <v>3667</v>
      </c>
      <c r="D2159" s="601" t="s">
        <v>6152</v>
      </c>
      <c r="E2159" s="600" t="s">
        <v>5708</v>
      </c>
      <c r="F2159" s="602" t="s">
        <v>6153</v>
      </c>
      <c r="G2159" s="460" t="s">
        <v>6154</v>
      </c>
      <c r="H2159" s="605">
        <v>8000</v>
      </c>
      <c r="I2159" s="461">
        <v>44923</v>
      </c>
      <c r="J2159" s="603" t="s">
        <v>6080</v>
      </c>
      <c r="K2159" s="460"/>
      <c r="L2159" s="99"/>
      <c r="M2159" s="70" t="s">
        <v>6070</v>
      </c>
      <c r="N2159" s="97" t="s">
        <v>414</v>
      </c>
      <c r="O2159" s="58" t="s">
        <v>5713</v>
      </c>
      <c r="P2159" s="58" t="s">
        <v>24</v>
      </c>
      <c r="Q2159" s="58" t="s">
        <v>72</v>
      </c>
      <c r="R2159" s="58" t="s">
        <v>265</v>
      </c>
    </row>
    <row r="2160" spans="1:18" ht="69" customHeight="1">
      <c r="A2160" s="168"/>
      <c r="B2160" s="600">
        <v>8399</v>
      </c>
      <c r="C2160" s="600" t="s">
        <v>3667</v>
      </c>
      <c r="D2160" s="601" t="s">
        <v>6155</v>
      </c>
      <c r="E2160" s="600" t="s">
        <v>5708</v>
      </c>
      <c r="F2160" s="602" t="s">
        <v>6156</v>
      </c>
      <c r="G2160" s="460" t="s">
        <v>6154</v>
      </c>
      <c r="H2160" s="605">
        <v>10500</v>
      </c>
      <c r="I2160" s="461">
        <v>44923</v>
      </c>
      <c r="J2160" s="603" t="s">
        <v>6080</v>
      </c>
      <c r="K2160" s="460"/>
      <c r="L2160" s="99"/>
      <c r="M2160" s="70" t="s">
        <v>6070</v>
      </c>
      <c r="N2160" s="97" t="s">
        <v>414</v>
      </c>
      <c r="O2160" s="58" t="s">
        <v>5713</v>
      </c>
      <c r="P2160" s="58" t="s">
        <v>24</v>
      </c>
      <c r="Q2160" s="58" t="s">
        <v>72</v>
      </c>
      <c r="R2160" s="58" t="s">
        <v>265</v>
      </c>
    </row>
    <row r="2161" spans="1:18" ht="69" customHeight="1">
      <c r="A2161" s="168"/>
      <c r="B2161" s="178">
        <v>7013</v>
      </c>
      <c r="C2161" s="178" t="s">
        <v>6062</v>
      </c>
      <c r="D2161" s="575" t="s">
        <v>2107</v>
      </c>
      <c r="E2161" s="178" t="s">
        <v>979</v>
      </c>
      <c r="F2161" s="210" t="s">
        <v>6157</v>
      </c>
      <c r="G2161" s="58" t="s">
        <v>805</v>
      </c>
      <c r="H2161" s="546">
        <v>59430</v>
      </c>
      <c r="I2161" s="66">
        <v>44860</v>
      </c>
      <c r="J2161" s="411" t="s">
        <v>5834</v>
      </c>
      <c r="K2161" s="58"/>
      <c r="L2161" s="99"/>
      <c r="M2161" s="70" t="s">
        <v>6043</v>
      </c>
      <c r="N2161" s="97" t="s">
        <v>356</v>
      </c>
      <c r="O2161" s="58" t="s">
        <v>156</v>
      </c>
      <c r="P2161" s="58" t="s">
        <v>19</v>
      </c>
      <c r="Q2161" s="58" t="s">
        <v>72</v>
      </c>
      <c r="R2161" s="58" t="s">
        <v>265</v>
      </c>
    </row>
    <row r="2162" spans="1:18" ht="69" customHeight="1">
      <c r="A2162" s="168"/>
      <c r="B2162" s="178">
        <v>8567</v>
      </c>
      <c r="C2162" s="178" t="s">
        <v>6158</v>
      </c>
      <c r="D2162" s="575" t="s">
        <v>6159</v>
      </c>
      <c r="E2162" s="178" t="s">
        <v>3235</v>
      </c>
      <c r="F2162" s="210" t="s">
        <v>6160</v>
      </c>
      <c r="G2162" s="58" t="s">
        <v>1877</v>
      </c>
      <c r="H2162" s="546">
        <v>7643.85</v>
      </c>
      <c r="I2162" s="66">
        <v>44946</v>
      </c>
      <c r="J2162" s="411" t="s">
        <v>1878</v>
      </c>
      <c r="K2162" s="58"/>
      <c r="L2162" s="99"/>
      <c r="M2162" s="70" t="s">
        <v>6073</v>
      </c>
      <c r="N2162" s="97" t="s">
        <v>1044</v>
      </c>
      <c r="O2162" s="58"/>
      <c r="P2162" s="58" t="s">
        <v>26</v>
      </c>
      <c r="Q2162" s="58" t="s">
        <v>72</v>
      </c>
      <c r="R2162" s="58" t="s">
        <v>272</v>
      </c>
    </row>
    <row r="2163" spans="1:18" ht="69" customHeight="1">
      <c r="A2163" s="168"/>
      <c r="B2163" s="178">
        <v>8523</v>
      </c>
      <c r="C2163" s="178" t="s">
        <v>5832</v>
      </c>
      <c r="D2163" s="575" t="s">
        <v>3326</v>
      </c>
      <c r="E2163" s="178" t="s">
        <v>260</v>
      </c>
      <c r="F2163" s="210" t="s">
        <v>6161</v>
      </c>
      <c r="G2163" s="58" t="s">
        <v>6162</v>
      </c>
      <c r="H2163" s="546">
        <v>10571.47</v>
      </c>
      <c r="I2163" s="66">
        <v>44960</v>
      </c>
      <c r="J2163" s="411" t="s">
        <v>6163</v>
      </c>
      <c r="K2163" s="58"/>
      <c r="L2163" s="99"/>
      <c r="M2163" s="70" t="s">
        <v>6002</v>
      </c>
      <c r="N2163" s="97" t="s">
        <v>264</v>
      </c>
      <c r="O2163" s="58" t="s">
        <v>141</v>
      </c>
      <c r="P2163" s="58" t="s">
        <v>17</v>
      </c>
      <c r="Q2163" s="58" t="s">
        <v>72</v>
      </c>
      <c r="R2163" s="58" t="s">
        <v>265</v>
      </c>
    </row>
    <row r="2164" spans="1:18" ht="69" customHeight="1">
      <c r="A2164" s="168"/>
      <c r="B2164" s="207">
        <v>7504</v>
      </c>
      <c r="C2164" s="207" t="s">
        <v>3906</v>
      </c>
      <c r="D2164" s="301" t="s">
        <v>1854</v>
      </c>
      <c r="E2164" s="207" t="s">
        <v>260</v>
      </c>
      <c r="F2164" s="208" t="s">
        <v>6164</v>
      </c>
      <c r="G2164" s="160" t="s">
        <v>1048</v>
      </c>
      <c r="H2164" s="300">
        <v>0</v>
      </c>
      <c r="I2164" s="209">
        <v>44883</v>
      </c>
      <c r="J2164" s="322" t="s">
        <v>6090</v>
      </c>
      <c r="K2164" s="160" t="s">
        <v>727</v>
      </c>
      <c r="M2164" s="380" t="s">
        <v>6002</v>
      </c>
      <c r="N2164" s="82" t="s">
        <v>264</v>
      </c>
      <c r="O2164" s="160" t="s">
        <v>141</v>
      </c>
      <c r="P2164" s="160" t="s">
        <v>67</v>
      </c>
      <c r="Q2164" s="160" t="s">
        <v>72</v>
      </c>
      <c r="R2164" s="160" t="s">
        <v>265</v>
      </c>
    </row>
    <row r="2165" spans="1:18" ht="69" customHeight="1">
      <c r="A2165" s="168"/>
      <c r="B2165" s="178">
        <v>8800</v>
      </c>
      <c r="C2165" s="59" t="s">
        <v>3667</v>
      </c>
      <c r="D2165" s="575" t="s">
        <v>6165</v>
      </c>
      <c r="E2165" s="178" t="s">
        <v>283</v>
      </c>
      <c r="F2165" s="210" t="s">
        <v>6166</v>
      </c>
      <c r="G2165" s="58" t="s">
        <v>6167</v>
      </c>
      <c r="H2165" s="546">
        <v>200000</v>
      </c>
      <c r="I2165" s="66">
        <v>44974</v>
      </c>
      <c r="J2165" s="411" t="s">
        <v>6168</v>
      </c>
      <c r="K2165" s="58"/>
      <c r="L2165" s="99"/>
      <c r="M2165" s="70" t="s">
        <v>5998</v>
      </c>
      <c r="N2165" s="97" t="s">
        <v>264</v>
      </c>
      <c r="O2165" s="58" t="s">
        <v>141</v>
      </c>
      <c r="P2165" s="58" t="s">
        <v>17</v>
      </c>
      <c r="Q2165" s="58" t="s">
        <v>72</v>
      </c>
      <c r="R2165" s="58" t="s">
        <v>272</v>
      </c>
    </row>
    <row r="2166" spans="1:18" ht="69" customHeight="1">
      <c r="A2166" s="168"/>
      <c r="B2166" s="600">
        <v>6357</v>
      </c>
      <c r="C2166" s="600" t="s">
        <v>3667</v>
      </c>
      <c r="D2166" s="601" t="s">
        <v>6169</v>
      </c>
      <c r="E2166" s="600" t="s">
        <v>5708</v>
      </c>
      <c r="F2166" s="602" t="s">
        <v>6170</v>
      </c>
      <c r="G2166" s="460" t="s">
        <v>352</v>
      </c>
      <c r="H2166" s="605">
        <v>123451.01</v>
      </c>
      <c r="I2166" s="461">
        <v>44799</v>
      </c>
      <c r="J2166" s="603" t="s">
        <v>6171</v>
      </c>
      <c r="K2166" s="460" t="s">
        <v>6172</v>
      </c>
      <c r="L2166" s="99"/>
      <c r="M2166" s="70" t="s">
        <v>6070</v>
      </c>
      <c r="N2166" s="97" t="s">
        <v>414</v>
      </c>
      <c r="O2166" s="58" t="s">
        <v>5713</v>
      </c>
      <c r="P2166" s="58" t="s">
        <v>24</v>
      </c>
      <c r="Q2166" s="58" t="s">
        <v>72</v>
      </c>
      <c r="R2166" s="58" t="s">
        <v>265</v>
      </c>
    </row>
    <row r="2167" spans="1:18" ht="69" customHeight="1">
      <c r="A2167" s="168"/>
      <c r="B2167" s="600">
        <v>8175</v>
      </c>
      <c r="C2167" s="600" t="s">
        <v>3667</v>
      </c>
      <c r="D2167" s="601" t="s">
        <v>3520</v>
      </c>
      <c r="E2167" s="600" t="s">
        <v>5708</v>
      </c>
      <c r="F2167" s="602" t="s">
        <v>6173</v>
      </c>
      <c r="G2167" s="460" t="s">
        <v>1149</v>
      </c>
      <c r="H2167" s="605">
        <v>12955</v>
      </c>
      <c r="I2167" s="461">
        <v>44916</v>
      </c>
      <c r="J2167" s="603" t="s">
        <v>6069</v>
      </c>
      <c r="K2167" s="460"/>
      <c r="L2167" s="99"/>
      <c r="M2167" s="70" t="s">
        <v>6070</v>
      </c>
      <c r="N2167" s="97" t="s">
        <v>414</v>
      </c>
      <c r="O2167" s="58" t="s">
        <v>5713</v>
      </c>
      <c r="P2167" s="58" t="s">
        <v>24</v>
      </c>
      <c r="Q2167" s="58" t="s">
        <v>72</v>
      </c>
      <c r="R2167" s="58" t="s">
        <v>265</v>
      </c>
    </row>
    <row r="2168" spans="1:18" ht="69" customHeight="1">
      <c r="A2168" s="168"/>
      <c r="B2168" s="178">
        <v>8622</v>
      </c>
      <c r="C2168" s="59" t="s">
        <v>3667</v>
      </c>
      <c r="D2168" s="575" t="s">
        <v>1422</v>
      </c>
      <c r="E2168" s="178" t="s">
        <v>741</v>
      </c>
      <c r="F2168" s="210" t="s">
        <v>6174</v>
      </c>
      <c r="G2168" s="58" t="s">
        <v>6175</v>
      </c>
      <c r="H2168" s="546">
        <v>285682.78000000003</v>
      </c>
      <c r="I2168" s="66">
        <v>44946</v>
      </c>
      <c r="J2168" s="411" t="s">
        <v>6176</v>
      </c>
      <c r="K2168" s="58"/>
      <c r="L2168" s="99"/>
      <c r="M2168" s="70" t="s">
        <v>6177</v>
      </c>
      <c r="N2168" s="97" t="s">
        <v>741</v>
      </c>
      <c r="O2168" s="58"/>
      <c r="P2168" s="58" t="s">
        <v>59</v>
      </c>
      <c r="Q2168" s="58" t="s">
        <v>72</v>
      </c>
      <c r="R2168" s="58" t="s">
        <v>272</v>
      </c>
    </row>
    <row r="2169" spans="1:18" ht="69" customHeight="1">
      <c r="A2169" s="168"/>
      <c r="B2169" s="600">
        <v>8387</v>
      </c>
      <c r="C2169" s="600" t="s">
        <v>3667</v>
      </c>
      <c r="D2169" s="601" t="s">
        <v>2866</v>
      </c>
      <c r="E2169" s="600" t="s">
        <v>5708</v>
      </c>
      <c r="F2169" s="602" t="s">
        <v>6178</v>
      </c>
      <c r="G2169" s="460" t="s">
        <v>6179</v>
      </c>
      <c r="H2169" s="605">
        <v>10500</v>
      </c>
      <c r="I2169" s="461">
        <v>44923</v>
      </c>
      <c r="J2169" s="603" t="s">
        <v>6180</v>
      </c>
      <c r="K2169" s="460"/>
      <c r="L2169" s="99"/>
      <c r="M2169" s="70" t="s">
        <v>6070</v>
      </c>
      <c r="N2169" s="97" t="s">
        <v>414</v>
      </c>
      <c r="O2169" s="58" t="s">
        <v>5713</v>
      </c>
      <c r="P2169" s="58" t="s">
        <v>24</v>
      </c>
      <c r="Q2169" s="58" t="s">
        <v>72</v>
      </c>
      <c r="R2169" s="58" t="s">
        <v>265</v>
      </c>
    </row>
    <row r="2170" spans="1:18" ht="69" customHeight="1">
      <c r="A2170" s="168"/>
      <c r="B2170" s="178">
        <v>8691</v>
      </c>
      <c r="C2170" s="178" t="s">
        <v>6062</v>
      </c>
      <c r="D2170" s="575" t="s">
        <v>6181</v>
      </c>
      <c r="E2170" s="178" t="s">
        <v>270</v>
      </c>
      <c r="F2170" s="210" t="s">
        <v>6182</v>
      </c>
      <c r="G2170" s="58" t="s">
        <v>6183</v>
      </c>
      <c r="H2170" s="546">
        <v>11200</v>
      </c>
      <c r="I2170" s="66">
        <v>44949</v>
      </c>
      <c r="J2170" s="411" t="s">
        <v>6184</v>
      </c>
      <c r="K2170" s="58"/>
      <c r="L2170" s="99"/>
      <c r="M2170" s="70" t="s">
        <v>5975</v>
      </c>
      <c r="N2170" s="97" t="s">
        <v>270</v>
      </c>
      <c r="O2170" s="58"/>
      <c r="P2170" s="58" t="s">
        <v>44</v>
      </c>
      <c r="Q2170" s="58" t="s">
        <v>72</v>
      </c>
      <c r="R2170" s="58" t="s">
        <v>272</v>
      </c>
    </row>
    <row r="2171" spans="1:18" ht="69" customHeight="1">
      <c r="A2171" s="168"/>
      <c r="B2171" s="178">
        <v>7199</v>
      </c>
      <c r="C2171" s="178" t="s">
        <v>3906</v>
      </c>
      <c r="D2171" s="575" t="s">
        <v>886</v>
      </c>
      <c r="E2171" s="178" t="s">
        <v>979</v>
      </c>
      <c r="F2171" s="210" t="s">
        <v>6185</v>
      </c>
      <c r="G2171" s="58" t="s">
        <v>1048</v>
      </c>
      <c r="H2171" s="546">
        <v>25863.42</v>
      </c>
      <c r="I2171" s="66">
        <v>44867</v>
      </c>
      <c r="J2171" s="411" t="s">
        <v>6186</v>
      </c>
      <c r="K2171" s="58"/>
      <c r="L2171" s="99"/>
      <c r="M2171" s="70" t="s">
        <v>6043</v>
      </c>
      <c r="N2171" s="97" t="s">
        <v>356</v>
      </c>
      <c r="O2171" s="58" t="s">
        <v>156</v>
      </c>
      <c r="P2171" s="58" t="s">
        <v>19</v>
      </c>
      <c r="Q2171" s="58" t="s">
        <v>72</v>
      </c>
      <c r="R2171" s="58" t="s">
        <v>265</v>
      </c>
    </row>
    <row r="2172" spans="1:18" ht="69" customHeight="1">
      <c r="A2172" s="168"/>
      <c r="B2172" s="178">
        <v>8755</v>
      </c>
      <c r="C2172" s="178" t="s">
        <v>3906</v>
      </c>
      <c r="D2172" s="575" t="s">
        <v>6187</v>
      </c>
      <c r="E2172" s="178" t="s">
        <v>979</v>
      </c>
      <c r="F2172" s="210" t="s">
        <v>6188</v>
      </c>
      <c r="G2172" s="58" t="s">
        <v>6189</v>
      </c>
      <c r="H2172" s="546">
        <v>226878.4</v>
      </c>
      <c r="I2172" s="66">
        <v>44974</v>
      </c>
      <c r="J2172" s="411" t="s">
        <v>6190</v>
      </c>
      <c r="K2172" s="58"/>
      <c r="L2172" s="99"/>
      <c r="M2172" s="70" t="s">
        <v>6043</v>
      </c>
      <c r="N2172" s="97" t="s">
        <v>356</v>
      </c>
      <c r="O2172" s="58" t="s">
        <v>156</v>
      </c>
      <c r="P2172" s="58" t="s">
        <v>19</v>
      </c>
      <c r="Q2172" s="58" t="s">
        <v>72</v>
      </c>
      <c r="R2172" s="58" t="s">
        <v>265</v>
      </c>
    </row>
    <row r="2173" spans="1:18" ht="69" customHeight="1">
      <c r="A2173" s="168"/>
      <c r="B2173" s="178">
        <v>8813</v>
      </c>
      <c r="C2173" s="59" t="s">
        <v>3667</v>
      </c>
      <c r="D2173" s="581" t="s">
        <v>6191</v>
      </c>
      <c r="E2173" s="59" t="s">
        <v>6192</v>
      </c>
      <c r="F2173" s="569" t="s">
        <v>6193</v>
      </c>
      <c r="G2173" s="45" t="s">
        <v>6194</v>
      </c>
      <c r="H2173" s="198">
        <v>392676.75</v>
      </c>
      <c r="I2173" s="47" t="s">
        <v>96</v>
      </c>
      <c r="J2173" s="410" t="s">
        <v>6195</v>
      </c>
      <c r="K2173" s="45"/>
      <c r="L2173" s="99"/>
      <c r="M2173" s="70" t="s">
        <v>6196</v>
      </c>
      <c r="N2173" s="97" t="s">
        <v>6197</v>
      </c>
      <c r="O2173" s="58"/>
      <c r="P2173" s="58" t="s">
        <v>22</v>
      </c>
      <c r="Q2173" s="58" t="s">
        <v>72</v>
      </c>
      <c r="R2173" s="58" t="s">
        <v>272</v>
      </c>
    </row>
    <row r="2174" spans="1:18" ht="69" customHeight="1">
      <c r="A2174" s="168"/>
      <c r="B2174" s="178">
        <v>8805</v>
      </c>
      <c r="C2174" s="59" t="s">
        <v>3667</v>
      </c>
      <c r="D2174" s="575" t="s">
        <v>6198</v>
      </c>
      <c r="E2174" s="178" t="s">
        <v>741</v>
      </c>
      <c r="F2174" s="210" t="s">
        <v>6199</v>
      </c>
      <c r="G2174" s="58" t="s">
        <v>6200</v>
      </c>
      <c r="H2174" s="546">
        <v>93509.05</v>
      </c>
      <c r="I2174" s="66">
        <v>44974</v>
      </c>
      <c r="J2174" s="411" t="s">
        <v>6201</v>
      </c>
      <c r="K2174" s="58"/>
      <c r="L2174" s="99"/>
      <c r="M2174" s="70" t="s">
        <v>6177</v>
      </c>
      <c r="N2174" s="97" t="s">
        <v>741</v>
      </c>
      <c r="O2174" s="58"/>
      <c r="P2174" s="58" t="s">
        <v>59</v>
      </c>
      <c r="Q2174" s="58" t="s">
        <v>72</v>
      </c>
      <c r="R2174" s="58" t="s">
        <v>272</v>
      </c>
    </row>
    <row r="2175" spans="1:18" ht="69" customHeight="1">
      <c r="A2175" s="168"/>
      <c r="B2175" s="178">
        <v>8888</v>
      </c>
      <c r="C2175" s="59" t="s">
        <v>3667</v>
      </c>
      <c r="D2175" s="575" t="s">
        <v>6202</v>
      </c>
      <c r="E2175" s="178" t="s">
        <v>270</v>
      </c>
      <c r="F2175" s="210" t="s">
        <v>6203</v>
      </c>
      <c r="G2175" s="58" t="s">
        <v>392</v>
      </c>
      <c r="H2175" s="546">
        <v>1150</v>
      </c>
      <c r="I2175" s="66">
        <v>44985</v>
      </c>
      <c r="J2175" s="411" t="s">
        <v>4292</v>
      </c>
      <c r="K2175" s="58"/>
      <c r="L2175" s="99"/>
      <c r="M2175" s="70" t="s">
        <v>5975</v>
      </c>
      <c r="N2175" s="97" t="s">
        <v>270</v>
      </c>
      <c r="O2175" s="58"/>
      <c r="P2175" s="58" t="s">
        <v>44</v>
      </c>
      <c r="Q2175" s="58" t="s">
        <v>72</v>
      </c>
      <c r="R2175" s="58" t="s">
        <v>272</v>
      </c>
    </row>
    <row r="2176" spans="1:18" ht="69" customHeight="1">
      <c r="A2176" s="168"/>
      <c r="B2176" s="178">
        <v>9121</v>
      </c>
      <c r="C2176" s="59" t="s">
        <v>3667</v>
      </c>
      <c r="D2176" s="575" t="s">
        <v>6204</v>
      </c>
      <c r="E2176" s="178" t="s">
        <v>741</v>
      </c>
      <c r="F2176" s="210" t="s">
        <v>6205</v>
      </c>
      <c r="G2176" s="58" t="s">
        <v>6206</v>
      </c>
      <c r="H2176" s="546">
        <v>27139.61</v>
      </c>
      <c r="I2176" s="66">
        <v>45002</v>
      </c>
      <c r="J2176" s="411" t="s">
        <v>6207</v>
      </c>
      <c r="K2176" s="58"/>
      <c r="L2176" s="99"/>
      <c r="M2176" s="70" t="s">
        <v>6177</v>
      </c>
      <c r="N2176" s="97" t="s">
        <v>741</v>
      </c>
      <c r="O2176" s="58"/>
      <c r="P2176" s="58" t="s">
        <v>59</v>
      </c>
      <c r="Q2176" s="58" t="s">
        <v>72</v>
      </c>
      <c r="R2176" s="58" t="s">
        <v>272</v>
      </c>
    </row>
    <row r="2177" spans="1:18" ht="69" customHeight="1">
      <c r="A2177" s="168"/>
      <c r="B2177" s="178">
        <v>9337</v>
      </c>
      <c r="C2177" s="59" t="s">
        <v>3667</v>
      </c>
      <c r="D2177" s="575" t="s">
        <v>6208</v>
      </c>
      <c r="E2177" s="178" t="s">
        <v>283</v>
      </c>
      <c r="F2177" s="210" t="s">
        <v>6209</v>
      </c>
      <c r="G2177" s="58" t="s">
        <v>6210</v>
      </c>
      <c r="H2177" s="546">
        <v>144401.75</v>
      </c>
      <c r="I2177" s="66">
        <v>45007</v>
      </c>
      <c r="J2177" s="411" t="s">
        <v>6211</v>
      </c>
      <c r="K2177" s="58"/>
      <c r="L2177" s="99"/>
      <c r="M2177" s="70" t="s">
        <v>5998</v>
      </c>
      <c r="N2177" s="97" t="s">
        <v>264</v>
      </c>
      <c r="O2177" s="58" t="s">
        <v>141</v>
      </c>
      <c r="P2177" s="58" t="s">
        <v>17</v>
      </c>
      <c r="Q2177" s="58" t="s">
        <v>72</v>
      </c>
      <c r="R2177" s="58" t="s">
        <v>272</v>
      </c>
    </row>
    <row r="2178" spans="1:18" ht="69" customHeight="1">
      <c r="A2178" s="168"/>
      <c r="B2178" s="191">
        <v>9784</v>
      </c>
      <c r="C2178" s="191" t="s">
        <v>3667</v>
      </c>
      <c r="D2178" s="533" t="s">
        <v>6212</v>
      </c>
      <c r="E2178" s="191" t="s">
        <v>6213</v>
      </c>
      <c r="F2178" s="211" t="s">
        <v>6214</v>
      </c>
      <c r="G2178" s="46" t="s">
        <v>6215</v>
      </c>
      <c r="H2178" s="534">
        <v>10500</v>
      </c>
      <c r="I2178" s="56">
        <v>45028</v>
      </c>
      <c r="J2178" s="412" t="s">
        <v>6216</v>
      </c>
      <c r="K2178" s="46" t="s">
        <v>167</v>
      </c>
      <c r="L2178" s="99"/>
      <c r="M2178" s="379"/>
      <c r="N2178" s="76" t="s">
        <v>414</v>
      </c>
      <c r="O2178" s="46"/>
      <c r="P2178" s="46" t="s">
        <v>65</v>
      </c>
      <c r="Q2178" s="46" t="s">
        <v>72</v>
      </c>
      <c r="R2178" s="46" t="s">
        <v>272</v>
      </c>
    </row>
    <row r="2179" spans="1:18" ht="69" customHeight="1">
      <c r="A2179" s="168"/>
      <c r="B2179" s="178">
        <v>9879</v>
      </c>
      <c r="C2179" s="178" t="s">
        <v>6062</v>
      </c>
      <c r="D2179" s="575" t="s">
        <v>6217</v>
      </c>
      <c r="E2179" s="178" t="s">
        <v>921</v>
      </c>
      <c r="F2179" s="210" t="s">
        <v>6218</v>
      </c>
      <c r="G2179" s="58" t="s">
        <v>6219</v>
      </c>
      <c r="H2179" s="546">
        <v>103910.22</v>
      </c>
      <c r="I2179" s="66">
        <v>45061</v>
      </c>
      <c r="J2179" s="411" t="s">
        <v>6220</v>
      </c>
      <c r="K2179" s="58"/>
      <c r="L2179" s="99"/>
      <c r="M2179" s="70" t="s">
        <v>6049</v>
      </c>
      <c r="N2179" s="97" t="s">
        <v>356</v>
      </c>
      <c r="O2179" s="58" t="s">
        <v>156</v>
      </c>
      <c r="P2179" s="58" t="s">
        <v>19</v>
      </c>
      <c r="Q2179" s="58" t="s">
        <v>72</v>
      </c>
      <c r="R2179" s="58" t="s">
        <v>272</v>
      </c>
    </row>
    <row r="2180" spans="1:18" ht="69" customHeight="1">
      <c r="A2180" s="168"/>
      <c r="B2180" s="178">
        <v>9921</v>
      </c>
      <c r="C2180" s="59" t="s">
        <v>3667</v>
      </c>
      <c r="D2180" s="575" t="s">
        <v>6221</v>
      </c>
      <c r="E2180" s="178" t="s">
        <v>1372</v>
      </c>
      <c r="F2180" s="210" t="s">
        <v>6222</v>
      </c>
      <c r="G2180" s="58" t="s">
        <v>6223</v>
      </c>
      <c r="H2180" s="546">
        <v>92182.13</v>
      </c>
      <c r="I2180" s="66">
        <v>45044</v>
      </c>
      <c r="J2180" s="411" t="s">
        <v>5870</v>
      </c>
      <c r="K2180" s="58"/>
      <c r="L2180" s="99"/>
      <c r="M2180" s="70" t="s">
        <v>6224</v>
      </c>
      <c r="N2180" s="97" t="s">
        <v>1372</v>
      </c>
      <c r="O2180" s="58"/>
      <c r="P2180" s="58" t="s">
        <v>57</v>
      </c>
      <c r="Q2180" s="58" t="s">
        <v>72</v>
      </c>
      <c r="R2180" s="58" t="s">
        <v>272</v>
      </c>
    </row>
    <row r="2181" spans="1:18" ht="69" customHeight="1">
      <c r="A2181" s="168"/>
      <c r="B2181" s="191">
        <v>9806</v>
      </c>
      <c r="C2181" s="191" t="s">
        <v>3667</v>
      </c>
      <c r="D2181" s="533" t="s">
        <v>6225</v>
      </c>
      <c r="E2181" s="191" t="s">
        <v>6226</v>
      </c>
      <c r="F2181" s="211" t="s">
        <v>6227</v>
      </c>
      <c r="G2181" s="46" t="s">
        <v>6228</v>
      </c>
      <c r="H2181" s="534">
        <v>23000</v>
      </c>
      <c r="I2181" s="56">
        <v>45041</v>
      </c>
      <c r="J2181" s="412" t="s">
        <v>6229</v>
      </c>
      <c r="K2181" s="46" t="s">
        <v>881</v>
      </c>
      <c r="L2181" s="99"/>
      <c r="M2181" s="379"/>
      <c r="N2181" s="76" t="s">
        <v>414</v>
      </c>
      <c r="O2181" s="46" t="s">
        <v>4116</v>
      </c>
      <c r="P2181" s="46" t="s">
        <v>71</v>
      </c>
      <c r="Q2181" s="46" t="s">
        <v>72</v>
      </c>
      <c r="R2181" s="46" t="s">
        <v>272</v>
      </c>
    </row>
    <row r="2182" spans="1:18" ht="69" customHeight="1">
      <c r="A2182" s="168"/>
      <c r="B2182" s="178">
        <v>6242</v>
      </c>
      <c r="C2182" s="178" t="s">
        <v>3906</v>
      </c>
      <c r="D2182" s="575" t="s">
        <v>6230</v>
      </c>
      <c r="E2182" s="178" t="s">
        <v>921</v>
      </c>
      <c r="F2182" s="210" t="s">
        <v>6231</v>
      </c>
      <c r="G2182" s="58" t="s">
        <v>5946</v>
      </c>
      <c r="H2182" s="546">
        <v>135760</v>
      </c>
      <c r="I2182" s="66">
        <v>44791</v>
      </c>
      <c r="J2182" s="411" t="s">
        <v>5821</v>
      </c>
      <c r="K2182" s="58" t="s">
        <v>6232</v>
      </c>
      <c r="L2182" s="99"/>
      <c r="M2182" s="70" t="s">
        <v>6233</v>
      </c>
      <c r="N2182" s="97" t="s">
        <v>356</v>
      </c>
      <c r="O2182" s="58" t="s">
        <v>156</v>
      </c>
      <c r="P2182" s="58" t="s">
        <v>19</v>
      </c>
      <c r="Q2182" s="58" t="s">
        <v>6234</v>
      </c>
      <c r="R2182" s="58" t="s">
        <v>272</v>
      </c>
    </row>
    <row r="2183" spans="1:18" ht="69" customHeight="1">
      <c r="A2183" s="168"/>
      <c r="B2183" s="178">
        <v>6456</v>
      </c>
      <c r="C2183" s="178" t="s">
        <v>3906</v>
      </c>
      <c r="D2183" s="575" t="s">
        <v>6235</v>
      </c>
      <c r="E2183" s="178" t="s">
        <v>921</v>
      </c>
      <c r="F2183" s="210" t="s">
        <v>6236</v>
      </c>
      <c r="G2183" s="58" t="s">
        <v>5794</v>
      </c>
      <c r="H2183" s="546">
        <v>160000</v>
      </c>
      <c r="I2183" s="66">
        <v>44809</v>
      </c>
      <c r="J2183" s="411" t="s">
        <v>5795</v>
      </c>
      <c r="K2183" s="58"/>
      <c r="L2183" s="99"/>
      <c r="M2183" s="70" t="s">
        <v>6233</v>
      </c>
      <c r="N2183" s="97" t="s">
        <v>356</v>
      </c>
      <c r="O2183" s="58" t="s">
        <v>156</v>
      </c>
      <c r="P2183" s="58" t="s">
        <v>19</v>
      </c>
      <c r="Q2183" s="58" t="s">
        <v>6234</v>
      </c>
      <c r="R2183" s="58" t="s">
        <v>272</v>
      </c>
    </row>
    <row r="2184" spans="1:18" ht="69" customHeight="1">
      <c r="A2184" s="168"/>
      <c r="B2184" s="178">
        <v>9775</v>
      </c>
      <c r="C2184" s="178" t="s">
        <v>3906</v>
      </c>
      <c r="D2184" s="575" t="s">
        <v>6237</v>
      </c>
      <c r="E2184" s="178" t="s">
        <v>921</v>
      </c>
      <c r="F2184" s="210" t="s">
        <v>6238</v>
      </c>
      <c r="G2184" s="58" t="s">
        <v>6239</v>
      </c>
      <c r="H2184" s="546">
        <v>160000</v>
      </c>
      <c r="I2184" s="66">
        <v>45041</v>
      </c>
      <c r="J2184" s="411" t="s">
        <v>6240</v>
      </c>
      <c r="K2184" s="58"/>
      <c r="L2184" s="99"/>
      <c r="M2184" s="70" t="s">
        <v>6233</v>
      </c>
      <c r="N2184" s="97" t="s">
        <v>356</v>
      </c>
      <c r="O2184" s="58" t="s">
        <v>156</v>
      </c>
      <c r="P2184" s="58" t="s">
        <v>19</v>
      </c>
      <c r="Q2184" s="58" t="s">
        <v>6234</v>
      </c>
      <c r="R2184" s="58" t="s">
        <v>272</v>
      </c>
    </row>
    <row r="2185" spans="1:18" ht="69" customHeight="1">
      <c r="A2185" s="168"/>
      <c r="B2185" s="178">
        <v>6642</v>
      </c>
      <c r="C2185" s="178" t="s">
        <v>3906</v>
      </c>
      <c r="D2185" s="575" t="s">
        <v>6241</v>
      </c>
      <c r="E2185" s="178" t="s">
        <v>979</v>
      </c>
      <c r="F2185" s="210" t="s">
        <v>6242</v>
      </c>
      <c r="G2185" s="58" t="s">
        <v>6243</v>
      </c>
      <c r="H2185" s="546">
        <v>150000</v>
      </c>
      <c r="I2185" s="66">
        <v>44824</v>
      </c>
      <c r="J2185" s="411" t="s">
        <v>6244</v>
      </c>
      <c r="K2185" s="58"/>
      <c r="L2185" s="99"/>
      <c r="M2185" s="70" t="s">
        <v>6245</v>
      </c>
      <c r="N2185" s="97" t="s">
        <v>356</v>
      </c>
      <c r="O2185" s="58" t="s">
        <v>156</v>
      </c>
      <c r="P2185" s="58" t="s">
        <v>19</v>
      </c>
      <c r="Q2185" s="58" t="s">
        <v>6234</v>
      </c>
      <c r="R2185" s="58" t="s">
        <v>265</v>
      </c>
    </row>
    <row r="2186" spans="1:18" ht="69" customHeight="1">
      <c r="A2186" s="168"/>
      <c r="B2186" s="178">
        <v>6489</v>
      </c>
      <c r="C2186" s="178" t="s">
        <v>3906</v>
      </c>
      <c r="D2186" s="575" t="s">
        <v>788</v>
      </c>
      <c r="E2186" s="178" t="s">
        <v>979</v>
      </c>
      <c r="F2186" s="210" t="s">
        <v>6246</v>
      </c>
      <c r="G2186" s="58" t="s">
        <v>352</v>
      </c>
      <c r="H2186" s="546">
        <v>194462.3</v>
      </c>
      <c r="I2186" s="66">
        <v>44806</v>
      </c>
      <c r="J2186" s="411" t="s">
        <v>6247</v>
      </c>
      <c r="K2186" s="58" t="s">
        <v>6248</v>
      </c>
      <c r="L2186" s="99"/>
      <c r="M2186" s="70" t="s">
        <v>6245</v>
      </c>
      <c r="N2186" s="97" t="s">
        <v>356</v>
      </c>
      <c r="O2186" s="58" t="s">
        <v>156</v>
      </c>
      <c r="P2186" s="58" t="s">
        <v>19</v>
      </c>
      <c r="Q2186" s="58" t="s">
        <v>6234</v>
      </c>
      <c r="R2186" s="58" t="s">
        <v>265</v>
      </c>
    </row>
    <row r="2187" spans="1:18" ht="69" customHeight="1">
      <c r="A2187" s="168"/>
      <c r="B2187" s="178">
        <v>6460</v>
      </c>
      <c r="C2187" s="178" t="s">
        <v>3906</v>
      </c>
      <c r="D2187" s="575" t="s">
        <v>6249</v>
      </c>
      <c r="E2187" s="178" t="s">
        <v>979</v>
      </c>
      <c r="F2187" s="210" t="s">
        <v>6250</v>
      </c>
      <c r="G2187" s="58" t="s">
        <v>6251</v>
      </c>
      <c r="H2187" s="546">
        <v>131015.01</v>
      </c>
      <c r="I2187" s="66">
        <v>44804</v>
      </c>
      <c r="J2187" s="411" t="s">
        <v>6252</v>
      </c>
      <c r="K2187" s="58" t="s">
        <v>6253</v>
      </c>
      <c r="L2187" s="99"/>
      <c r="M2187" s="70" t="s">
        <v>6245</v>
      </c>
      <c r="N2187" s="97" t="s">
        <v>356</v>
      </c>
      <c r="O2187" s="58" t="s">
        <v>156</v>
      </c>
      <c r="P2187" s="58" t="s">
        <v>19</v>
      </c>
      <c r="Q2187" s="58" t="s">
        <v>6234</v>
      </c>
      <c r="R2187" s="58" t="s">
        <v>265</v>
      </c>
    </row>
    <row r="2188" spans="1:18" ht="69" customHeight="1">
      <c r="A2188" s="168"/>
      <c r="B2188" s="178">
        <v>6641</v>
      </c>
      <c r="C2188" s="178" t="s">
        <v>3906</v>
      </c>
      <c r="D2188" s="575" t="s">
        <v>6254</v>
      </c>
      <c r="E2188" s="178" t="s">
        <v>979</v>
      </c>
      <c r="F2188" s="210" t="s">
        <v>6255</v>
      </c>
      <c r="G2188" s="58" t="s">
        <v>6243</v>
      </c>
      <c r="H2188" s="546">
        <v>40965</v>
      </c>
      <c r="I2188" s="66">
        <v>44823</v>
      </c>
      <c r="J2188" s="411" t="s">
        <v>6256</v>
      </c>
      <c r="K2188" s="58"/>
      <c r="L2188" s="99"/>
      <c r="M2188" s="70" t="s">
        <v>6245</v>
      </c>
      <c r="N2188" s="97" t="s">
        <v>356</v>
      </c>
      <c r="O2188" s="58" t="s">
        <v>156</v>
      </c>
      <c r="P2188" s="58" t="s">
        <v>19</v>
      </c>
      <c r="Q2188" s="58" t="s">
        <v>6234</v>
      </c>
      <c r="R2188" s="58" t="s">
        <v>265</v>
      </c>
    </row>
    <row r="2189" spans="1:18" ht="69" customHeight="1">
      <c r="A2189" s="168"/>
      <c r="B2189" s="178">
        <v>8797</v>
      </c>
      <c r="C2189" s="178" t="s">
        <v>3906</v>
      </c>
      <c r="D2189" s="575" t="s">
        <v>6257</v>
      </c>
      <c r="E2189" s="178" t="s">
        <v>979</v>
      </c>
      <c r="F2189" s="210" t="s">
        <v>6258</v>
      </c>
      <c r="G2189" s="58" t="s">
        <v>6259</v>
      </c>
      <c r="H2189" s="546">
        <v>194332.5</v>
      </c>
      <c r="I2189" s="66">
        <v>44953</v>
      </c>
      <c r="J2189" s="411" t="s">
        <v>1209</v>
      </c>
      <c r="K2189" s="58" t="s">
        <v>6248</v>
      </c>
      <c r="L2189" s="99"/>
      <c r="M2189" s="70" t="s">
        <v>6245</v>
      </c>
      <c r="N2189" s="97" t="s">
        <v>356</v>
      </c>
      <c r="O2189" s="58" t="s">
        <v>156</v>
      </c>
      <c r="P2189" s="58" t="s">
        <v>19</v>
      </c>
      <c r="Q2189" s="58" t="s">
        <v>6234</v>
      </c>
      <c r="R2189" s="58" t="s">
        <v>265</v>
      </c>
    </row>
    <row r="2190" spans="1:18" ht="69" customHeight="1">
      <c r="A2190" s="168"/>
      <c r="B2190" s="191">
        <v>2986</v>
      </c>
      <c r="C2190" s="191" t="s">
        <v>3643</v>
      </c>
      <c r="D2190" s="533" t="s">
        <v>2930</v>
      </c>
      <c r="E2190" s="191" t="s">
        <v>331</v>
      </c>
      <c r="F2190" s="211" t="s">
        <v>6260</v>
      </c>
      <c r="G2190" s="46" t="s">
        <v>4416</v>
      </c>
      <c r="H2190" s="534">
        <v>0</v>
      </c>
      <c r="I2190" s="56" t="s">
        <v>96</v>
      </c>
      <c r="J2190" s="412" t="s">
        <v>334</v>
      </c>
      <c r="K2190" s="46"/>
      <c r="L2190" s="99"/>
      <c r="M2190" s="379" t="s">
        <v>74</v>
      </c>
      <c r="N2190" s="76" t="s">
        <v>69</v>
      </c>
      <c r="O2190" s="46"/>
      <c r="P2190" s="46" t="s">
        <v>69</v>
      </c>
      <c r="Q2190" s="46" t="s">
        <v>74</v>
      </c>
      <c r="R2190" s="46" t="s">
        <v>272</v>
      </c>
    </row>
    <row r="2191" spans="1:18" ht="69" customHeight="1">
      <c r="A2191" s="168"/>
      <c r="B2191" s="191">
        <v>3213</v>
      </c>
      <c r="C2191" s="191" t="s">
        <v>6261</v>
      </c>
      <c r="D2191" s="533" t="s">
        <v>330</v>
      </c>
      <c r="E2191" s="191" t="s">
        <v>331</v>
      </c>
      <c r="F2191" s="211" t="s">
        <v>6260</v>
      </c>
      <c r="G2191" s="46" t="s">
        <v>4416</v>
      </c>
      <c r="H2191" s="534">
        <v>0</v>
      </c>
      <c r="I2191" s="56" t="s">
        <v>96</v>
      </c>
      <c r="J2191" s="412" t="s">
        <v>334</v>
      </c>
      <c r="K2191" s="46"/>
      <c r="L2191" s="99"/>
      <c r="M2191" s="379" t="s">
        <v>74</v>
      </c>
      <c r="N2191" s="76" t="s">
        <v>69</v>
      </c>
      <c r="O2191" s="46"/>
      <c r="P2191" s="46" t="s">
        <v>69</v>
      </c>
      <c r="Q2191" s="46" t="s">
        <v>74</v>
      </c>
      <c r="R2191" s="46" t="s">
        <v>272</v>
      </c>
    </row>
    <row r="2192" spans="1:18" ht="69" customHeight="1">
      <c r="A2192" s="168"/>
      <c r="B2192" s="178">
        <v>2953</v>
      </c>
      <c r="C2192" s="178" t="s">
        <v>6261</v>
      </c>
      <c r="D2192" s="575" t="s">
        <v>6262</v>
      </c>
      <c r="E2192" s="178" t="s">
        <v>266</v>
      </c>
      <c r="F2192" s="210" t="s">
        <v>6263</v>
      </c>
      <c r="G2192" s="58" t="s">
        <v>680</v>
      </c>
      <c r="H2192" s="546">
        <v>7000</v>
      </c>
      <c r="I2192" s="66">
        <v>44601</v>
      </c>
      <c r="J2192" s="411" t="s">
        <v>6264</v>
      </c>
      <c r="K2192" s="58"/>
      <c r="L2192" s="99"/>
      <c r="M2192" s="70" t="s">
        <v>6265</v>
      </c>
      <c r="N2192" s="97" t="s">
        <v>683</v>
      </c>
      <c r="O2192" s="58" t="s">
        <v>684</v>
      </c>
      <c r="P2192" s="58" t="s">
        <v>46</v>
      </c>
      <c r="Q2192" s="58" t="s">
        <v>74</v>
      </c>
      <c r="R2192" s="58" t="s">
        <v>272</v>
      </c>
    </row>
    <row r="2193" spans="1:18" ht="69" customHeight="1">
      <c r="A2193" s="168"/>
      <c r="B2193" s="178">
        <v>4001</v>
      </c>
      <c r="C2193" s="178" t="s">
        <v>6261</v>
      </c>
      <c r="D2193" s="575" t="s">
        <v>907</v>
      </c>
      <c r="E2193" s="178" t="s">
        <v>266</v>
      </c>
      <c r="F2193" s="210" t="s">
        <v>6266</v>
      </c>
      <c r="G2193" s="58" t="s">
        <v>1107</v>
      </c>
      <c r="H2193" s="546">
        <v>7293.34</v>
      </c>
      <c r="I2193" s="66">
        <v>44643</v>
      </c>
      <c r="J2193" s="411" t="s">
        <v>6267</v>
      </c>
      <c r="K2193" s="58"/>
      <c r="L2193" s="99"/>
      <c r="M2193" s="70" t="s">
        <v>6268</v>
      </c>
      <c r="N2193" s="97" t="s">
        <v>970</v>
      </c>
      <c r="O2193" s="58" t="s">
        <v>5961</v>
      </c>
      <c r="P2193" s="58" t="s">
        <v>38</v>
      </c>
      <c r="Q2193" s="58" t="s">
        <v>74</v>
      </c>
      <c r="R2193" s="58" t="s">
        <v>272</v>
      </c>
    </row>
    <row r="2194" spans="1:18" ht="69" customHeight="1">
      <c r="A2194" s="168"/>
      <c r="B2194" s="178">
        <v>4935</v>
      </c>
      <c r="C2194" s="178" t="s">
        <v>6261</v>
      </c>
      <c r="D2194" s="575" t="s">
        <v>3494</v>
      </c>
      <c r="E2194" s="178" t="s">
        <v>305</v>
      </c>
      <c r="F2194" s="210" t="s">
        <v>6269</v>
      </c>
      <c r="G2194" s="58" t="s">
        <v>307</v>
      </c>
      <c r="H2194" s="546">
        <v>8500</v>
      </c>
      <c r="I2194" s="66">
        <v>44729</v>
      </c>
      <c r="J2194" s="411" t="s">
        <v>6270</v>
      </c>
      <c r="K2194" s="58"/>
      <c r="L2194" s="99"/>
      <c r="M2194" s="70" t="s">
        <v>6271</v>
      </c>
      <c r="N2194" s="97" t="s">
        <v>270</v>
      </c>
      <c r="O2194" s="58"/>
      <c r="P2194" s="58" t="s">
        <v>44</v>
      </c>
      <c r="Q2194" s="58" t="s">
        <v>74</v>
      </c>
      <c r="R2194" s="58" t="s">
        <v>272</v>
      </c>
    </row>
    <row r="2195" spans="1:18" ht="69" customHeight="1">
      <c r="A2195" s="168"/>
      <c r="B2195" s="178"/>
      <c r="C2195" s="59" t="s">
        <v>3667</v>
      </c>
      <c r="D2195" s="575" t="s">
        <v>6272</v>
      </c>
      <c r="E2195" s="178" t="s">
        <v>382</v>
      </c>
      <c r="F2195" s="210" t="s">
        <v>6273</v>
      </c>
      <c r="G2195" s="58" t="s">
        <v>384</v>
      </c>
      <c r="H2195" s="546">
        <v>27761.33</v>
      </c>
      <c r="I2195" s="66">
        <v>44739</v>
      </c>
      <c r="J2195" s="411" t="s">
        <v>6274</v>
      </c>
      <c r="K2195" s="58"/>
      <c r="L2195" s="99"/>
      <c r="M2195" s="70" t="s">
        <v>6275</v>
      </c>
      <c r="N2195" s="97" t="s">
        <v>387</v>
      </c>
      <c r="O2195" s="62" t="s">
        <v>150</v>
      </c>
      <c r="P2195" s="58" t="s">
        <v>51</v>
      </c>
      <c r="Q2195" s="58" t="s">
        <v>74</v>
      </c>
      <c r="R2195" s="58" t="s">
        <v>272</v>
      </c>
    </row>
    <row r="2196" spans="1:18" ht="69" customHeight="1">
      <c r="A2196" s="168"/>
      <c r="B2196" s="178"/>
      <c r="C2196" s="59" t="s">
        <v>3667</v>
      </c>
      <c r="D2196" s="575" t="s">
        <v>3599</v>
      </c>
      <c r="E2196" s="178" t="s">
        <v>382</v>
      </c>
      <c r="F2196" s="210" t="s">
        <v>6276</v>
      </c>
      <c r="G2196" s="58" t="s">
        <v>384</v>
      </c>
      <c r="H2196" s="546">
        <v>39819.519999999997</v>
      </c>
      <c r="I2196" s="66">
        <v>44739</v>
      </c>
      <c r="J2196" s="411" t="s">
        <v>6277</v>
      </c>
      <c r="K2196" s="58"/>
      <c r="L2196" s="99"/>
      <c r="M2196" s="70" t="s">
        <v>6275</v>
      </c>
      <c r="N2196" s="97" t="s">
        <v>387</v>
      </c>
      <c r="O2196" s="62" t="s">
        <v>150</v>
      </c>
      <c r="P2196" s="58" t="s">
        <v>51</v>
      </c>
      <c r="Q2196" s="58" t="s">
        <v>74</v>
      </c>
      <c r="R2196" s="58" t="s">
        <v>272</v>
      </c>
    </row>
    <row r="2197" spans="1:18" ht="69" customHeight="1">
      <c r="A2197" s="168"/>
      <c r="B2197" s="178">
        <v>6051</v>
      </c>
      <c r="C2197" s="178" t="s">
        <v>6261</v>
      </c>
      <c r="D2197" s="575" t="s">
        <v>1010</v>
      </c>
      <c r="E2197" s="178" t="s">
        <v>266</v>
      </c>
      <c r="F2197" s="210" t="s">
        <v>6278</v>
      </c>
      <c r="G2197" s="58" t="s">
        <v>1107</v>
      </c>
      <c r="H2197" s="546">
        <v>7293.34</v>
      </c>
      <c r="I2197" s="66" t="s">
        <v>96</v>
      </c>
      <c r="J2197" s="411" t="s">
        <v>6279</v>
      </c>
      <c r="K2197" s="58"/>
      <c r="L2197" s="99"/>
      <c r="M2197" s="70" t="s">
        <v>6268</v>
      </c>
      <c r="N2197" s="97" t="s">
        <v>970</v>
      </c>
      <c r="O2197" s="58" t="s">
        <v>5961</v>
      </c>
      <c r="P2197" s="58" t="s">
        <v>38</v>
      </c>
      <c r="Q2197" s="58" t="s">
        <v>74</v>
      </c>
      <c r="R2197" s="58" t="s">
        <v>272</v>
      </c>
    </row>
    <row r="2198" spans="1:18" ht="69" customHeight="1">
      <c r="A2198" s="168"/>
      <c r="B2198" s="178">
        <v>6354</v>
      </c>
      <c r="C2198" s="59" t="s">
        <v>3667</v>
      </c>
      <c r="D2198" s="575" t="s">
        <v>6280</v>
      </c>
      <c r="E2198" s="178" t="s">
        <v>5708</v>
      </c>
      <c r="F2198" s="210" t="s">
        <v>6281</v>
      </c>
      <c r="G2198" s="58" t="s">
        <v>352</v>
      </c>
      <c r="H2198" s="546">
        <v>110209.67</v>
      </c>
      <c r="I2198" s="66">
        <v>44799</v>
      </c>
      <c r="J2198" s="411" t="s">
        <v>6282</v>
      </c>
      <c r="K2198" s="58"/>
      <c r="L2198" s="99"/>
      <c r="M2198" s="70" t="s">
        <v>6283</v>
      </c>
      <c r="N2198" s="97" t="s">
        <v>414</v>
      </c>
      <c r="O2198" s="58" t="s">
        <v>5713</v>
      </c>
      <c r="P2198" s="58" t="s">
        <v>24</v>
      </c>
      <c r="Q2198" s="58" t="s">
        <v>74</v>
      </c>
      <c r="R2198" s="58" t="s">
        <v>265</v>
      </c>
    </row>
    <row r="2199" spans="1:18" ht="69" customHeight="1">
      <c r="A2199" s="168"/>
      <c r="B2199" s="178">
        <v>6428</v>
      </c>
      <c r="C2199" s="178" t="s">
        <v>6261</v>
      </c>
      <c r="D2199" s="575" t="s">
        <v>6284</v>
      </c>
      <c r="E2199" s="178" t="s">
        <v>432</v>
      </c>
      <c r="F2199" s="210" t="s">
        <v>6285</v>
      </c>
      <c r="G2199" s="58" t="s">
        <v>429</v>
      </c>
      <c r="H2199" s="546">
        <v>13959.486000000001</v>
      </c>
      <c r="I2199" s="66">
        <v>44802</v>
      </c>
      <c r="J2199" s="411" t="s">
        <v>6286</v>
      </c>
      <c r="K2199" s="58"/>
      <c r="L2199" s="99"/>
      <c r="M2199" s="70" t="s">
        <v>6287</v>
      </c>
      <c r="N2199" s="97" t="s">
        <v>432</v>
      </c>
      <c r="O2199" s="58"/>
      <c r="P2199" s="58" t="s">
        <v>53</v>
      </c>
      <c r="Q2199" s="58" t="s">
        <v>74</v>
      </c>
      <c r="R2199" s="58" t="s">
        <v>272</v>
      </c>
    </row>
    <row r="2200" spans="1:18" ht="69" customHeight="1">
      <c r="A2200" s="168"/>
      <c r="B2200" s="178">
        <v>6693</v>
      </c>
      <c r="C2200" s="178" t="s">
        <v>6261</v>
      </c>
      <c r="D2200" s="575" t="s">
        <v>6288</v>
      </c>
      <c r="E2200" s="178" t="s">
        <v>6289</v>
      </c>
      <c r="F2200" s="210" t="s">
        <v>6290</v>
      </c>
      <c r="G2200" s="58" t="s">
        <v>5809</v>
      </c>
      <c r="H2200" s="546">
        <v>274070.21999999997</v>
      </c>
      <c r="I2200" s="66">
        <v>44820</v>
      </c>
      <c r="J2200" s="411" t="s">
        <v>6291</v>
      </c>
      <c r="K2200" s="58"/>
      <c r="L2200" s="99"/>
      <c r="M2200" s="70" t="s">
        <v>6292</v>
      </c>
      <c r="N2200" s="97" t="s">
        <v>414</v>
      </c>
      <c r="O2200" s="58" t="s">
        <v>5713</v>
      </c>
      <c r="P2200" s="58" t="s">
        <v>24</v>
      </c>
      <c r="Q2200" s="58" t="s">
        <v>74</v>
      </c>
      <c r="R2200" s="58" t="s">
        <v>272</v>
      </c>
    </row>
    <row r="2201" spans="1:18" ht="69" customHeight="1">
      <c r="A2201" s="168"/>
      <c r="B2201" s="178">
        <v>7346</v>
      </c>
      <c r="C2201" s="59" t="s">
        <v>3667</v>
      </c>
      <c r="D2201" s="575" t="s">
        <v>3279</v>
      </c>
      <c r="E2201" s="178" t="s">
        <v>5708</v>
      </c>
      <c r="F2201" s="210" t="s">
        <v>6293</v>
      </c>
      <c r="G2201" s="58" t="s">
        <v>1048</v>
      </c>
      <c r="H2201" s="546">
        <v>4556.5200000000004</v>
      </c>
      <c r="I2201" s="66">
        <v>44869</v>
      </c>
      <c r="J2201" s="411" t="s">
        <v>6294</v>
      </c>
      <c r="K2201" s="58"/>
      <c r="L2201" s="99"/>
      <c r="M2201" s="70" t="s">
        <v>6283</v>
      </c>
      <c r="N2201" s="97" t="s">
        <v>414</v>
      </c>
      <c r="O2201" s="58" t="s">
        <v>5713</v>
      </c>
      <c r="P2201" s="58" t="s">
        <v>24</v>
      </c>
      <c r="Q2201" s="58" t="s">
        <v>74</v>
      </c>
      <c r="R2201" s="58" t="s">
        <v>265</v>
      </c>
    </row>
    <row r="2202" spans="1:18" ht="69" customHeight="1">
      <c r="A2202" s="168"/>
      <c r="B2202" s="178">
        <v>7359</v>
      </c>
      <c r="C2202" s="178" t="s">
        <v>6261</v>
      </c>
      <c r="D2202" s="575" t="s">
        <v>3388</v>
      </c>
      <c r="E2202" s="178" t="s">
        <v>266</v>
      </c>
      <c r="F2202" s="210" t="s">
        <v>6295</v>
      </c>
      <c r="G2202" s="58" t="s">
        <v>6296</v>
      </c>
      <c r="H2202" s="546">
        <v>3250</v>
      </c>
      <c r="I2202" s="66">
        <v>44879</v>
      </c>
      <c r="J2202" s="411" t="s">
        <v>6297</v>
      </c>
      <c r="K2202" s="58"/>
      <c r="L2202" s="99"/>
      <c r="M2202" s="70" t="s">
        <v>6271</v>
      </c>
      <c r="N2202" s="97" t="s">
        <v>270</v>
      </c>
      <c r="O2202" s="58"/>
      <c r="P2202" s="58" t="s">
        <v>44</v>
      </c>
      <c r="Q2202" s="58" t="s">
        <v>74</v>
      </c>
      <c r="R2202" s="58" t="s">
        <v>272</v>
      </c>
    </row>
    <row r="2203" spans="1:18" ht="69" customHeight="1">
      <c r="A2203" s="168"/>
      <c r="B2203" s="178">
        <v>7386</v>
      </c>
      <c r="C2203" s="178" t="s">
        <v>6261</v>
      </c>
      <c r="D2203" s="575" t="s">
        <v>803</v>
      </c>
      <c r="E2203" s="178" t="s">
        <v>432</v>
      </c>
      <c r="F2203" s="210" t="s">
        <v>6298</v>
      </c>
      <c r="G2203" s="58" t="s">
        <v>1121</v>
      </c>
      <c r="H2203" s="546">
        <v>34317.03</v>
      </c>
      <c r="I2203" s="66">
        <v>44876</v>
      </c>
      <c r="J2203" s="411" t="s">
        <v>1122</v>
      </c>
      <c r="K2203" s="58"/>
      <c r="L2203" s="99"/>
      <c r="M2203" s="70" t="s">
        <v>6287</v>
      </c>
      <c r="N2203" s="97" t="s">
        <v>432</v>
      </c>
      <c r="O2203" s="58"/>
      <c r="P2203" s="58" t="s">
        <v>53</v>
      </c>
      <c r="Q2203" s="58" t="s">
        <v>74</v>
      </c>
      <c r="R2203" s="58" t="s">
        <v>272</v>
      </c>
    </row>
    <row r="2204" spans="1:18" ht="69" customHeight="1">
      <c r="A2204" s="168"/>
      <c r="B2204" s="178">
        <v>7460</v>
      </c>
      <c r="C2204" s="178" t="s">
        <v>6261</v>
      </c>
      <c r="D2204" s="575" t="s">
        <v>825</v>
      </c>
      <c r="E2204" s="178" t="s">
        <v>2075</v>
      </c>
      <c r="F2204" s="210" t="s">
        <v>6299</v>
      </c>
      <c r="G2204" s="58" t="s">
        <v>1041</v>
      </c>
      <c r="H2204" s="546">
        <v>106147.01</v>
      </c>
      <c r="I2204" s="66">
        <v>44883</v>
      </c>
      <c r="J2204" s="411" t="s">
        <v>1042</v>
      </c>
      <c r="K2204" s="58"/>
      <c r="L2204" s="99"/>
      <c r="M2204" s="70" t="s">
        <v>6300</v>
      </c>
      <c r="N2204" s="97" t="s">
        <v>1044</v>
      </c>
      <c r="O2204" s="58"/>
      <c r="P2204" s="58" t="s">
        <v>26</v>
      </c>
      <c r="Q2204" s="58" t="s">
        <v>74</v>
      </c>
      <c r="R2204" s="58" t="s">
        <v>272</v>
      </c>
    </row>
    <row r="2205" spans="1:18" ht="69" customHeight="1">
      <c r="A2205" s="168"/>
      <c r="B2205" s="178">
        <v>7576</v>
      </c>
      <c r="C2205" s="59" t="s">
        <v>3667</v>
      </c>
      <c r="D2205" s="575" t="s">
        <v>6301</v>
      </c>
      <c r="E2205" s="178" t="s">
        <v>5708</v>
      </c>
      <c r="F2205" s="210" t="s">
        <v>6302</v>
      </c>
      <c r="G2205" s="58" t="s">
        <v>1048</v>
      </c>
      <c r="H2205" s="546">
        <v>5200</v>
      </c>
      <c r="I2205" s="66">
        <v>44890</v>
      </c>
      <c r="J2205" s="411" t="s">
        <v>6120</v>
      </c>
      <c r="K2205" s="58"/>
      <c r="L2205" s="99"/>
      <c r="M2205" s="70" t="s">
        <v>6283</v>
      </c>
      <c r="N2205" s="97" t="s">
        <v>414</v>
      </c>
      <c r="O2205" s="58" t="s">
        <v>5713</v>
      </c>
      <c r="P2205" s="58" t="s">
        <v>24</v>
      </c>
      <c r="Q2205" s="58" t="s">
        <v>74</v>
      </c>
      <c r="R2205" s="58" t="s">
        <v>265</v>
      </c>
    </row>
    <row r="2206" spans="1:18" ht="69" customHeight="1">
      <c r="A2206" s="168"/>
      <c r="B2206" s="178">
        <v>7584</v>
      </c>
      <c r="C2206" s="59" t="s">
        <v>3667</v>
      </c>
      <c r="D2206" s="575" t="s">
        <v>6303</v>
      </c>
      <c r="E2206" s="178" t="s">
        <v>5708</v>
      </c>
      <c r="F2206" s="210" t="s">
        <v>6304</v>
      </c>
      <c r="G2206" s="58" t="s">
        <v>1048</v>
      </c>
      <c r="H2206" s="546">
        <v>14301</v>
      </c>
      <c r="I2206" s="66">
        <v>44890</v>
      </c>
      <c r="J2206" s="411" t="s">
        <v>6123</v>
      </c>
      <c r="K2206" s="58"/>
      <c r="L2206" s="99"/>
      <c r="M2206" s="70" t="s">
        <v>6283</v>
      </c>
      <c r="N2206" s="97" t="s">
        <v>414</v>
      </c>
      <c r="O2206" s="58" t="s">
        <v>5713</v>
      </c>
      <c r="P2206" s="58" t="s">
        <v>24</v>
      </c>
      <c r="Q2206" s="58" t="s">
        <v>74</v>
      </c>
      <c r="R2206" s="58" t="s">
        <v>265</v>
      </c>
    </row>
    <row r="2207" spans="1:18" ht="69" customHeight="1">
      <c r="A2207" s="168"/>
      <c r="B2207" s="178">
        <v>7477</v>
      </c>
      <c r="C2207" s="59" t="s">
        <v>3667</v>
      </c>
      <c r="D2207" s="575" t="s">
        <v>2596</v>
      </c>
      <c r="E2207" s="178" t="s">
        <v>5708</v>
      </c>
      <c r="F2207" s="210" t="s">
        <v>6305</v>
      </c>
      <c r="G2207" s="58" t="s">
        <v>1048</v>
      </c>
      <c r="H2207" s="546">
        <v>21434.46</v>
      </c>
      <c r="I2207" s="66">
        <v>44879</v>
      </c>
      <c r="J2207" s="411" t="s">
        <v>6306</v>
      </c>
      <c r="K2207" s="58"/>
      <c r="L2207" s="99"/>
      <c r="M2207" s="70" t="s">
        <v>6283</v>
      </c>
      <c r="N2207" s="97" t="s">
        <v>414</v>
      </c>
      <c r="O2207" s="58" t="s">
        <v>5713</v>
      </c>
      <c r="P2207" s="58" t="s">
        <v>24</v>
      </c>
      <c r="Q2207" s="58" t="s">
        <v>74</v>
      </c>
      <c r="R2207" s="58" t="s">
        <v>265</v>
      </c>
    </row>
    <row r="2208" spans="1:18" ht="69" customHeight="1">
      <c r="A2208" s="168"/>
      <c r="B2208" s="178">
        <v>6721</v>
      </c>
      <c r="C2208" s="59" t="s">
        <v>3667</v>
      </c>
      <c r="D2208" s="575" t="s">
        <v>6307</v>
      </c>
      <c r="E2208" s="178" t="s">
        <v>5708</v>
      </c>
      <c r="F2208" s="210" t="s">
        <v>6308</v>
      </c>
      <c r="G2208" s="58" t="s">
        <v>5710</v>
      </c>
      <c r="H2208" s="546">
        <v>7259.6</v>
      </c>
      <c r="I2208" s="66">
        <v>44827</v>
      </c>
      <c r="J2208" s="411" t="s">
        <v>6309</v>
      </c>
      <c r="K2208" s="58"/>
      <c r="L2208" s="99"/>
      <c r="M2208" s="70" t="s">
        <v>6283</v>
      </c>
      <c r="N2208" s="97" t="s">
        <v>414</v>
      </c>
      <c r="O2208" s="58" t="s">
        <v>5713</v>
      </c>
      <c r="P2208" s="58" t="s">
        <v>24</v>
      </c>
      <c r="Q2208" s="58" t="s">
        <v>74</v>
      </c>
      <c r="R2208" s="58" t="s">
        <v>265</v>
      </c>
    </row>
    <row r="2209" spans="1:18" ht="69" customHeight="1">
      <c r="A2209" s="168"/>
      <c r="B2209" s="178">
        <v>7790</v>
      </c>
      <c r="C2209" s="178" t="s">
        <v>6261</v>
      </c>
      <c r="D2209" s="575" t="s">
        <v>6310</v>
      </c>
      <c r="E2209" s="178" t="s">
        <v>6289</v>
      </c>
      <c r="F2209" s="210" t="s">
        <v>6311</v>
      </c>
      <c r="G2209" s="58" t="s">
        <v>6312</v>
      </c>
      <c r="H2209" s="546">
        <v>411105.33</v>
      </c>
      <c r="I2209" s="66">
        <v>44907</v>
      </c>
      <c r="J2209" s="411" t="s">
        <v>6313</v>
      </c>
      <c r="K2209" s="58"/>
      <c r="L2209" s="99"/>
      <c r="M2209" s="70" t="s">
        <v>6292</v>
      </c>
      <c r="N2209" s="97" t="s">
        <v>414</v>
      </c>
      <c r="O2209" s="58" t="s">
        <v>5713</v>
      </c>
      <c r="P2209" s="58" t="s">
        <v>24</v>
      </c>
      <c r="Q2209" s="58" t="s">
        <v>74</v>
      </c>
      <c r="R2209" s="58" t="s">
        <v>272</v>
      </c>
    </row>
    <row r="2210" spans="1:18" ht="69" customHeight="1">
      <c r="A2210" s="168"/>
      <c r="B2210" s="178">
        <v>7584</v>
      </c>
      <c r="C2210" s="178" t="s">
        <v>6261</v>
      </c>
      <c r="D2210" s="575" t="s">
        <v>6314</v>
      </c>
      <c r="E2210" s="178" t="s">
        <v>2075</v>
      </c>
      <c r="F2210" s="210" t="s">
        <v>6315</v>
      </c>
      <c r="G2210" s="58" t="s">
        <v>1041</v>
      </c>
      <c r="H2210" s="546">
        <v>8680</v>
      </c>
      <c r="I2210" s="66">
        <v>44904</v>
      </c>
      <c r="J2210" s="411" t="s">
        <v>1080</v>
      </c>
      <c r="K2210" s="58"/>
      <c r="L2210" s="99"/>
      <c r="M2210" s="70" t="s">
        <v>6300</v>
      </c>
      <c r="N2210" s="97" t="s">
        <v>1044</v>
      </c>
      <c r="O2210" s="58"/>
      <c r="P2210" s="58" t="s">
        <v>26</v>
      </c>
      <c r="Q2210" s="58" t="s">
        <v>74</v>
      </c>
      <c r="R2210" s="58" t="s">
        <v>272</v>
      </c>
    </row>
    <row r="2211" spans="1:18" ht="69" customHeight="1">
      <c r="A2211" s="168"/>
      <c r="B2211" s="178">
        <v>7640</v>
      </c>
      <c r="C2211" s="59" t="s">
        <v>3667</v>
      </c>
      <c r="D2211" s="575" t="s">
        <v>6316</v>
      </c>
      <c r="E2211" s="178" t="s">
        <v>5708</v>
      </c>
      <c r="F2211" s="210" t="s">
        <v>6317</v>
      </c>
      <c r="G2211" s="58" t="s">
        <v>1048</v>
      </c>
      <c r="H2211" s="546">
        <v>20914.14</v>
      </c>
      <c r="I2211" s="66">
        <v>44895</v>
      </c>
      <c r="J2211" s="411" t="s">
        <v>6139</v>
      </c>
      <c r="K2211" s="58"/>
      <c r="L2211" s="99"/>
      <c r="M2211" s="70" t="s">
        <v>6283</v>
      </c>
      <c r="N2211" s="97" t="s">
        <v>414</v>
      </c>
      <c r="O2211" s="58" t="s">
        <v>5713</v>
      </c>
      <c r="P2211" s="58" t="s">
        <v>24</v>
      </c>
      <c r="Q2211" s="58" t="s">
        <v>74</v>
      </c>
      <c r="R2211" s="58" t="s">
        <v>265</v>
      </c>
    </row>
    <row r="2212" spans="1:18" ht="69" customHeight="1">
      <c r="A2212" s="168"/>
      <c r="B2212" s="178">
        <v>7646</v>
      </c>
      <c r="C2212" s="178" t="s">
        <v>6261</v>
      </c>
      <c r="D2212" s="575" t="s">
        <v>3056</v>
      </c>
      <c r="E2212" s="178" t="s">
        <v>5708</v>
      </c>
      <c r="F2212" s="210" t="s">
        <v>6318</v>
      </c>
      <c r="G2212" s="58" t="s">
        <v>6319</v>
      </c>
      <c r="H2212" s="546">
        <v>29958.11</v>
      </c>
      <c r="I2212" s="66">
        <v>44895</v>
      </c>
      <c r="J2212" s="411" t="s">
        <v>6320</v>
      </c>
      <c r="K2212" s="58"/>
      <c r="L2212" s="99"/>
      <c r="M2212" s="70" t="s">
        <v>6283</v>
      </c>
      <c r="N2212" s="97" t="s">
        <v>414</v>
      </c>
      <c r="O2212" s="58" t="s">
        <v>5713</v>
      </c>
      <c r="P2212" s="58" t="s">
        <v>24</v>
      </c>
      <c r="Q2212" s="58" t="s">
        <v>74</v>
      </c>
      <c r="R2212" s="58" t="s">
        <v>265</v>
      </c>
    </row>
    <row r="2213" spans="1:18" ht="69" customHeight="1">
      <c r="A2213" s="168"/>
      <c r="B2213" s="178">
        <v>7687</v>
      </c>
      <c r="C2213" s="59" t="s">
        <v>3667</v>
      </c>
      <c r="D2213" s="575" t="s">
        <v>6321</v>
      </c>
      <c r="E2213" s="178" t="s">
        <v>5708</v>
      </c>
      <c r="F2213" s="210" t="s">
        <v>6322</v>
      </c>
      <c r="G2213" s="58" t="s">
        <v>6142</v>
      </c>
      <c r="H2213" s="546">
        <v>19933.330000000002</v>
      </c>
      <c r="I2213" s="66">
        <v>44900</v>
      </c>
      <c r="J2213" s="411" t="s">
        <v>6128</v>
      </c>
      <c r="K2213" s="58"/>
      <c r="L2213" s="99"/>
      <c r="M2213" s="70" t="s">
        <v>6283</v>
      </c>
      <c r="N2213" s="97" t="s">
        <v>414</v>
      </c>
      <c r="O2213" s="58" t="s">
        <v>5713</v>
      </c>
      <c r="P2213" s="58" t="s">
        <v>24</v>
      </c>
      <c r="Q2213" s="58" t="s">
        <v>74</v>
      </c>
      <c r="R2213" s="58" t="s">
        <v>265</v>
      </c>
    </row>
    <row r="2214" spans="1:18" ht="69" customHeight="1">
      <c r="A2214" s="168"/>
      <c r="B2214" s="178">
        <v>8052</v>
      </c>
      <c r="C2214" s="59" t="s">
        <v>3667</v>
      </c>
      <c r="D2214" s="575" t="s">
        <v>2609</v>
      </c>
      <c r="E2214" s="178" t="s">
        <v>5708</v>
      </c>
      <c r="F2214" s="210" t="s">
        <v>6323</v>
      </c>
      <c r="G2214" s="58" t="s">
        <v>1048</v>
      </c>
      <c r="H2214" s="546">
        <v>6456</v>
      </c>
      <c r="I2214" s="66">
        <v>44881</v>
      </c>
      <c r="J2214" s="411" t="s">
        <v>6324</v>
      </c>
      <c r="K2214" s="58"/>
      <c r="L2214" s="99"/>
      <c r="M2214" s="70" t="s">
        <v>6283</v>
      </c>
      <c r="N2214" s="97" t="s">
        <v>414</v>
      </c>
      <c r="O2214" s="58" t="s">
        <v>5713</v>
      </c>
      <c r="P2214" s="58" t="s">
        <v>24</v>
      </c>
      <c r="Q2214" s="58" t="s">
        <v>74</v>
      </c>
      <c r="R2214" s="58" t="s">
        <v>265</v>
      </c>
    </row>
    <row r="2215" spans="1:18" ht="69" customHeight="1">
      <c r="A2215" s="168"/>
      <c r="B2215" s="178">
        <v>8054</v>
      </c>
      <c r="C2215" s="59" t="s">
        <v>3667</v>
      </c>
      <c r="D2215" s="575" t="s">
        <v>3107</v>
      </c>
      <c r="E2215" s="178" t="s">
        <v>5708</v>
      </c>
      <c r="F2215" s="210" t="s">
        <v>6325</v>
      </c>
      <c r="G2215" s="58" t="s">
        <v>6326</v>
      </c>
      <c r="H2215" s="546">
        <v>12500</v>
      </c>
      <c r="I2215" s="66">
        <v>44881</v>
      </c>
      <c r="J2215" s="411" t="s">
        <v>6327</v>
      </c>
      <c r="K2215" s="58"/>
      <c r="L2215" s="99"/>
      <c r="M2215" s="70" t="s">
        <v>6283</v>
      </c>
      <c r="N2215" s="97" t="s">
        <v>414</v>
      </c>
      <c r="O2215" s="58" t="s">
        <v>5713</v>
      </c>
      <c r="P2215" s="58" t="s">
        <v>24</v>
      </c>
      <c r="Q2215" s="58" t="s">
        <v>74</v>
      </c>
      <c r="R2215" s="58" t="s">
        <v>265</v>
      </c>
    </row>
    <row r="2216" spans="1:18" ht="69" customHeight="1">
      <c r="A2216" s="168"/>
      <c r="B2216" s="178">
        <v>8084</v>
      </c>
      <c r="C2216" s="59" t="s">
        <v>3667</v>
      </c>
      <c r="D2216" s="575" t="s">
        <v>1892</v>
      </c>
      <c r="E2216" s="178" t="s">
        <v>5708</v>
      </c>
      <c r="F2216" s="210" t="s">
        <v>6328</v>
      </c>
      <c r="G2216" s="58" t="s">
        <v>1048</v>
      </c>
      <c r="H2216" s="546">
        <v>3450</v>
      </c>
      <c r="I2216" s="66">
        <v>44911</v>
      </c>
      <c r="J2216" s="411" t="s">
        <v>6329</v>
      </c>
      <c r="K2216" s="58"/>
      <c r="L2216" s="99"/>
      <c r="M2216" s="70" t="s">
        <v>6283</v>
      </c>
      <c r="N2216" s="97" t="s">
        <v>414</v>
      </c>
      <c r="O2216" s="58" t="s">
        <v>5713</v>
      </c>
      <c r="P2216" s="58" t="s">
        <v>24</v>
      </c>
      <c r="Q2216" s="58" t="s">
        <v>74</v>
      </c>
      <c r="R2216" s="58" t="s">
        <v>265</v>
      </c>
    </row>
    <row r="2217" spans="1:18" ht="69" customHeight="1">
      <c r="A2217" s="168"/>
      <c r="B2217" s="178">
        <v>8087</v>
      </c>
      <c r="C2217" s="59" t="s">
        <v>3667</v>
      </c>
      <c r="D2217" s="575" t="s">
        <v>2840</v>
      </c>
      <c r="E2217" s="178" t="s">
        <v>5708</v>
      </c>
      <c r="F2217" s="210" t="s">
        <v>6330</v>
      </c>
      <c r="G2217" s="58" t="s">
        <v>1048</v>
      </c>
      <c r="H2217" s="546">
        <v>3470.5</v>
      </c>
      <c r="I2217" s="66">
        <v>44911</v>
      </c>
      <c r="J2217" s="411" t="s">
        <v>6146</v>
      </c>
      <c r="K2217" s="58"/>
      <c r="L2217" s="99"/>
      <c r="M2217" s="70" t="s">
        <v>6283</v>
      </c>
      <c r="N2217" s="97" t="s">
        <v>414</v>
      </c>
      <c r="O2217" s="58" t="s">
        <v>5713</v>
      </c>
      <c r="P2217" s="58" t="s">
        <v>24</v>
      </c>
      <c r="Q2217" s="58" t="s">
        <v>74</v>
      </c>
      <c r="R2217" s="58" t="s">
        <v>265</v>
      </c>
    </row>
    <row r="2218" spans="1:18" ht="69" customHeight="1">
      <c r="A2218" s="168"/>
      <c r="B2218" s="178">
        <v>8090</v>
      </c>
      <c r="C2218" s="59" t="s">
        <v>3667</v>
      </c>
      <c r="D2218" s="575" t="s">
        <v>6331</v>
      </c>
      <c r="E2218" s="178" t="s">
        <v>5708</v>
      </c>
      <c r="F2218" s="210" t="s">
        <v>6332</v>
      </c>
      <c r="G2218" s="58" t="s">
        <v>6333</v>
      </c>
      <c r="H2218" s="546">
        <v>23766.67</v>
      </c>
      <c r="I2218" s="66">
        <v>44916</v>
      </c>
      <c r="J2218" s="411" t="s">
        <v>6334</v>
      </c>
      <c r="K2218" s="58"/>
      <c r="L2218" s="99"/>
      <c r="M2218" s="70" t="s">
        <v>6283</v>
      </c>
      <c r="N2218" s="97" t="s">
        <v>414</v>
      </c>
      <c r="O2218" s="58" t="s">
        <v>5713</v>
      </c>
      <c r="P2218" s="58" t="s">
        <v>24</v>
      </c>
      <c r="Q2218" s="58" t="s">
        <v>74</v>
      </c>
      <c r="R2218" s="58" t="s">
        <v>265</v>
      </c>
    </row>
    <row r="2219" spans="1:18" ht="69" customHeight="1">
      <c r="A2219" s="168"/>
      <c r="B2219" s="178">
        <v>8125</v>
      </c>
      <c r="C2219" s="59" t="s">
        <v>3667</v>
      </c>
      <c r="D2219" s="575" t="s">
        <v>1206</v>
      </c>
      <c r="E2219" s="178" t="s">
        <v>5708</v>
      </c>
      <c r="F2219" s="210" t="s">
        <v>6335</v>
      </c>
      <c r="G2219" s="58" t="s">
        <v>1149</v>
      </c>
      <c r="H2219" s="546">
        <v>25440.06</v>
      </c>
      <c r="I2219" s="66">
        <v>44914</v>
      </c>
      <c r="J2219" s="411" t="s">
        <v>6130</v>
      </c>
      <c r="K2219" s="58"/>
      <c r="L2219" s="99"/>
      <c r="M2219" s="70" t="s">
        <v>6283</v>
      </c>
      <c r="N2219" s="97" t="s">
        <v>414</v>
      </c>
      <c r="O2219" s="58" t="s">
        <v>5713</v>
      </c>
      <c r="P2219" s="58" t="s">
        <v>24</v>
      </c>
      <c r="Q2219" s="58" t="s">
        <v>74</v>
      </c>
      <c r="R2219" s="58" t="s">
        <v>265</v>
      </c>
    </row>
    <row r="2220" spans="1:18" ht="69" customHeight="1">
      <c r="A2220" s="168"/>
      <c r="B2220" s="178">
        <v>8133</v>
      </c>
      <c r="C2220" s="59" t="s">
        <v>3667</v>
      </c>
      <c r="D2220" s="575" t="s">
        <v>6336</v>
      </c>
      <c r="E2220" s="178" t="s">
        <v>5708</v>
      </c>
      <c r="F2220" s="210" t="s">
        <v>6337</v>
      </c>
      <c r="G2220" s="58" t="s">
        <v>1149</v>
      </c>
      <c r="H2220" s="546">
        <v>7124</v>
      </c>
      <c r="I2220" s="66">
        <v>44914</v>
      </c>
      <c r="J2220" s="411" t="s">
        <v>6338</v>
      </c>
      <c r="K2220" s="58"/>
      <c r="L2220" s="99"/>
      <c r="M2220" s="70" t="s">
        <v>6283</v>
      </c>
      <c r="N2220" s="97" t="s">
        <v>414</v>
      </c>
      <c r="O2220" s="58" t="s">
        <v>5713</v>
      </c>
      <c r="P2220" s="58" t="s">
        <v>24</v>
      </c>
      <c r="Q2220" s="58" t="s">
        <v>74</v>
      </c>
      <c r="R2220" s="58" t="s">
        <v>265</v>
      </c>
    </row>
    <row r="2221" spans="1:18" ht="69" customHeight="1">
      <c r="A2221" s="168"/>
      <c r="B2221" s="178">
        <v>8136</v>
      </c>
      <c r="C2221" s="59" t="s">
        <v>3667</v>
      </c>
      <c r="D2221" s="575" t="s">
        <v>6339</v>
      </c>
      <c r="E2221" s="178" t="s">
        <v>5708</v>
      </c>
      <c r="F2221" s="210" t="s">
        <v>6340</v>
      </c>
      <c r="G2221" s="58" t="s">
        <v>1149</v>
      </c>
      <c r="H2221" s="546">
        <v>31853.279999999999</v>
      </c>
      <c r="I2221" s="66">
        <v>44914</v>
      </c>
      <c r="J2221" s="411" t="s">
        <v>6133</v>
      </c>
      <c r="K2221" s="58"/>
      <c r="L2221" s="99"/>
      <c r="M2221" s="70" t="s">
        <v>6283</v>
      </c>
      <c r="N2221" s="97" t="s">
        <v>414</v>
      </c>
      <c r="O2221" s="58" t="s">
        <v>5713</v>
      </c>
      <c r="P2221" s="58" t="s">
        <v>24</v>
      </c>
      <c r="Q2221" s="58" t="s">
        <v>74</v>
      </c>
      <c r="R2221" s="58" t="s">
        <v>265</v>
      </c>
    </row>
    <row r="2222" spans="1:18" ht="69" customHeight="1">
      <c r="A2222" s="168"/>
      <c r="B2222" s="178">
        <v>8165</v>
      </c>
      <c r="C2222" s="59" t="s">
        <v>3667</v>
      </c>
      <c r="D2222" s="575" t="s">
        <v>6341</v>
      </c>
      <c r="E2222" s="178" t="s">
        <v>5708</v>
      </c>
      <c r="F2222" s="210" t="s">
        <v>6342</v>
      </c>
      <c r="G2222" s="58" t="s">
        <v>1149</v>
      </c>
      <c r="H2222" s="546">
        <v>9471.64</v>
      </c>
      <c r="I2222" s="66">
        <v>44886</v>
      </c>
      <c r="J2222" s="411" t="s">
        <v>6136</v>
      </c>
      <c r="K2222" s="58"/>
      <c r="L2222" s="99"/>
      <c r="M2222" s="70" t="s">
        <v>6283</v>
      </c>
      <c r="N2222" s="97" t="s">
        <v>414</v>
      </c>
      <c r="O2222" s="58" t="s">
        <v>5713</v>
      </c>
      <c r="P2222" s="58" t="s">
        <v>24</v>
      </c>
      <c r="Q2222" s="58" t="s">
        <v>74</v>
      </c>
      <c r="R2222" s="58" t="s">
        <v>265</v>
      </c>
    </row>
    <row r="2223" spans="1:18" ht="69" customHeight="1">
      <c r="A2223" s="168"/>
      <c r="B2223" s="178">
        <v>8171</v>
      </c>
      <c r="C2223" s="59" t="s">
        <v>3667</v>
      </c>
      <c r="D2223" s="575" t="s">
        <v>6343</v>
      </c>
      <c r="E2223" s="178" t="s">
        <v>5708</v>
      </c>
      <c r="F2223" s="210" t="s">
        <v>6344</v>
      </c>
      <c r="G2223" s="58" t="s">
        <v>6345</v>
      </c>
      <c r="H2223" s="546">
        <v>18783</v>
      </c>
      <c r="I2223" s="66">
        <v>44914</v>
      </c>
      <c r="J2223" s="411" t="s">
        <v>6346</v>
      </c>
      <c r="K2223" s="58"/>
      <c r="L2223" s="99"/>
      <c r="M2223" s="70" t="s">
        <v>6283</v>
      </c>
      <c r="N2223" s="97" t="s">
        <v>414</v>
      </c>
      <c r="O2223" s="58" t="s">
        <v>5713</v>
      </c>
      <c r="P2223" s="58" t="s">
        <v>24</v>
      </c>
      <c r="Q2223" s="58" t="s">
        <v>74</v>
      </c>
      <c r="R2223" s="58" t="s">
        <v>265</v>
      </c>
    </row>
    <row r="2224" spans="1:18" ht="69" customHeight="1">
      <c r="A2224" s="168"/>
      <c r="B2224" s="178">
        <v>8179</v>
      </c>
      <c r="C2224" s="59" t="s">
        <v>3667</v>
      </c>
      <c r="D2224" s="575" t="s">
        <v>6347</v>
      </c>
      <c r="E2224" s="178" t="s">
        <v>5708</v>
      </c>
      <c r="F2224" s="210" t="s">
        <v>6348</v>
      </c>
      <c r="G2224" s="58" t="s">
        <v>1149</v>
      </c>
      <c r="H2224" s="546">
        <v>23655.72</v>
      </c>
      <c r="I2224" s="66">
        <v>44916</v>
      </c>
      <c r="J2224" s="411" t="s">
        <v>6069</v>
      </c>
      <c r="K2224" s="58"/>
      <c r="L2224" s="99"/>
      <c r="M2224" s="70" t="s">
        <v>6283</v>
      </c>
      <c r="N2224" s="97" t="s">
        <v>414</v>
      </c>
      <c r="O2224" s="58" t="s">
        <v>5713</v>
      </c>
      <c r="P2224" s="58" t="s">
        <v>24</v>
      </c>
      <c r="Q2224" s="58" t="s">
        <v>74</v>
      </c>
      <c r="R2224" s="58" t="s">
        <v>265</v>
      </c>
    </row>
    <row r="2225" spans="1:18" ht="69" customHeight="1">
      <c r="A2225" s="168"/>
      <c r="B2225" s="178">
        <v>8155</v>
      </c>
      <c r="C2225" s="59" t="s">
        <v>3667</v>
      </c>
      <c r="D2225" s="575" t="s">
        <v>6349</v>
      </c>
      <c r="E2225" s="178" t="s">
        <v>741</v>
      </c>
      <c r="F2225" s="210" t="s">
        <v>6350</v>
      </c>
      <c r="G2225" s="58" t="s">
        <v>6351</v>
      </c>
      <c r="H2225" s="546">
        <v>250190.07</v>
      </c>
      <c r="I2225" s="66">
        <v>44914</v>
      </c>
      <c r="J2225" s="411" t="s">
        <v>6352</v>
      </c>
      <c r="K2225" s="58"/>
      <c r="L2225" s="99"/>
      <c r="M2225" s="70" t="s">
        <v>6353</v>
      </c>
      <c r="N2225" s="97" t="s">
        <v>741</v>
      </c>
      <c r="O2225" s="58"/>
      <c r="P2225" s="58" t="s">
        <v>59</v>
      </c>
      <c r="Q2225" s="58" t="s">
        <v>74</v>
      </c>
      <c r="R2225" s="58" t="s">
        <v>272</v>
      </c>
    </row>
    <row r="2226" spans="1:18" ht="69" customHeight="1">
      <c r="A2226" s="168"/>
      <c r="B2226" s="178">
        <v>7293</v>
      </c>
      <c r="C2226" s="178" t="s">
        <v>6261</v>
      </c>
      <c r="D2226" s="575" t="s">
        <v>6354</v>
      </c>
      <c r="E2226" s="178" t="s">
        <v>2075</v>
      </c>
      <c r="F2226" s="210" t="s">
        <v>6355</v>
      </c>
      <c r="G2226" s="58" t="s">
        <v>1041</v>
      </c>
      <c r="H2226" s="546">
        <v>14000.44</v>
      </c>
      <c r="I2226" s="66">
        <v>44869</v>
      </c>
      <c r="J2226" s="411" t="s">
        <v>6099</v>
      </c>
      <c r="K2226" s="58"/>
      <c r="L2226" s="99"/>
      <c r="M2226" s="70" t="s">
        <v>6300</v>
      </c>
      <c r="N2226" s="97" t="s">
        <v>1044</v>
      </c>
      <c r="O2226" s="58"/>
      <c r="P2226" s="58" t="s">
        <v>26</v>
      </c>
      <c r="Q2226" s="58" t="s">
        <v>74</v>
      </c>
      <c r="R2226" s="58" t="s">
        <v>272</v>
      </c>
    </row>
    <row r="2227" spans="1:18" ht="69" customHeight="1">
      <c r="A2227" s="168"/>
      <c r="B2227" s="178">
        <v>8240</v>
      </c>
      <c r="C2227" s="59" t="s">
        <v>3667</v>
      </c>
      <c r="D2227" s="575" t="s">
        <v>6356</v>
      </c>
      <c r="E2227" s="178" t="s">
        <v>5708</v>
      </c>
      <c r="F2227" s="210" t="s">
        <v>6357</v>
      </c>
      <c r="G2227" s="58" t="s">
        <v>6358</v>
      </c>
      <c r="H2227" s="546">
        <v>16000</v>
      </c>
      <c r="I2227" s="66">
        <v>44923</v>
      </c>
      <c r="J2227" s="411" t="s">
        <v>6359</v>
      </c>
      <c r="K2227" s="58"/>
      <c r="L2227" s="99"/>
      <c r="M2227" s="70" t="s">
        <v>6283</v>
      </c>
      <c r="N2227" s="97" t="s">
        <v>414</v>
      </c>
      <c r="O2227" s="58" t="s">
        <v>5713</v>
      </c>
      <c r="P2227" s="58" t="s">
        <v>24</v>
      </c>
      <c r="Q2227" s="58" t="s">
        <v>74</v>
      </c>
      <c r="R2227" s="58" t="s">
        <v>265</v>
      </c>
    </row>
    <row r="2228" spans="1:18" ht="69" customHeight="1">
      <c r="A2228" s="168"/>
      <c r="B2228" s="178">
        <v>8311</v>
      </c>
      <c r="C2228" s="59" t="s">
        <v>3667</v>
      </c>
      <c r="D2228" s="575" t="s">
        <v>2369</v>
      </c>
      <c r="E2228" s="178" t="s">
        <v>5708</v>
      </c>
      <c r="F2228" s="210" t="s">
        <v>6360</v>
      </c>
      <c r="G2228" s="58" t="s">
        <v>6361</v>
      </c>
      <c r="H2228" s="546">
        <v>8096</v>
      </c>
      <c r="I2228" s="66">
        <v>44921</v>
      </c>
      <c r="J2228" s="411" t="s">
        <v>6362</v>
      </c>
      <c r="K2228" s="58"/>
      <c r="L2228" s="99"/>
      <c r="M2228" s="70" t="s">
        <v>6283</v>
      </c>
      <c r="N2228" s="97" t="s">
        <v>414</v>
      </c>
      <c r="O2228" s="58" t="s">
        <v>5713</v>
      </c>
      <c r="P2228" s="58" t="s">
        <v>24</v>
      </c>
      <c r="Q2228" s="58" t="s">
        <v>74</v>
      </c>
      <c r="R2228" s="58" t="s">
        <v>265</v>
      </c>
    </row>
    <row r="2229" spans="1:18" ht="69" customHeight="1">
      <c r="A2229" s="168"/>
      <c r="B2229" s="178">
        <v>8319</v>
      </c>
      <c r="C2229" s="59" t="s">
        <v>3667</v>
      </c>
      <c r="D2229" s="575" t="s">
        <v>6363</v>
      </c>
      <c r="E2229" s="178" t="s">
        <v>5708</v>
      </c>
      <c r="F2229" s="210" t="s">
        <v>6364</v>
      </c>
      <c r="G2229" s="58" t="s">
        <v>2822</v>
      </c>
      <c r="H2229" s="546">
        <v>3670</v>
      </c>
      <c r="I2229" s="66">
        <v>44921</v>
      </c>
      <c r="J2229" s="411" t="s">
        <v>6151</v>
      </c>
      <c r="K2229" s="58"/>
      <c r="L2229" s="99"/>
      <c r="M2229" s="70" t="s">
        <v>6283</v>
      </c>
      <c r="N2229" s="97" t="s">
        <v>414</v>
      </c>
      <c r="O2229" s="58" t="s">
        <v>5713</v>
      </c>
      <c r="P2229" s="58" t="s">
        <v>24</v>
      </c>
      <c r="Q2229" s="58" t="s">
        <v>74</v>
      </c>
      <c r="R2229" s="58" t="s">
        <v>265</v>
      </c>
    </row>
    <row r="2230" spans="1:18" ht="69" customHeight="1">
      <c r="A2230" s="168"/>
      <c r="B2230" s="178">
        <v>8327</v>
      </c>
      <c r="C2230" s="59" t="s">
        <v>3667</v>
      </c>
      <c r="D2230" s="575" t="s">
        <v>6365</v>
      </c>
      <c r="E2230" s="178" t="s">
        <v>5708</v>
      </c>
      <c r="F2230" s="210" t="s">
        <v>6366</v>
      </c>
      <c r="G2230" s="58" t="s">
        <v>2822</v>
      </c>
      <c r="H2230" s="546">
        <v>3100</v>
      </c>
      <c r="I2230" s="66">
        <v>44921</v>
      </c>
      <c r="J2230" s="411" t="s">
        <v>6076</v>
      </c>
      <c r="K2230" s="58"/>
      <c r="L2230" s="99"/>
      <c r="M2230" s="70" t="s">
        <v>6283</v>
      </c>
      <c r="N2230" s="97" t="s">
        <v>414</v>
      </c>
      <c r="O2230" s="58" t="s">
        <v>5713</v>
      </c>
      <c r="P2230" s="58" t="s">
        <v>24</v>
      </c>
      <c r="Q2230" s="58" t="s">
        <v>74</v>
      </c>
      <c r="R2230" s="58" t="s">
        <v>265</v>
      </c>
    </row>
    <row r="2231" spans="1:18" ht="69" customHeight="1">
      <c r="A2231" s="168"/>
      <c r="B2231" s="178">
        <v>8395</v>
      </c>
      <c r="C2231" s="59" t="s">
        <v>3667</v>
      </c>
      <c r="D2231" s="575" t="s">
        <v>6367</v>
      </c>
      <c r="E2231" s="178" t="s">
        <v>5708</v>
      </c>
      <c r="F2231" s="210" t="s">
        <v>6368</v>
      </c>
      <c r="G2231" s="58" t="s">
        <v>6079</v>
      </c>
      <c r="H2231" s="546">
        <v>5284</v>
      </c>
      <c r="I2231" s="66">
        <v>44923</v>
      </c>
      <c r="J2231" s="411" t="s">
        <v>6080</v>
      </c>
      <c r="K2231" s="58"/>
      <c r="L2231" s="99"/>
      <c r="M2231" s="70" t="s">
        <v>6283</v>
      </c>
      <c r="N2231" s="97" t="s">
        <v>414</v>
      </c>
      <c r="O2231" s="58" t="s">
        <v>5713</v>
      </c>
      <c r="P2231" s="58" t="s">
        <v>24</v>
      </c>
      <c r="Q2231" s="58" t="s">
        <v>74</v>
      </c>
      <c r="R2231" s="58" t="s">
        <v>265</v>
      </c>
    </row>
    <row r="2232" spans="1:18" ht="69" customHeight="1">
      <c r="A2232" s="168"/>
      <c r="B2232" s="178">
        <v>8396</v>
      </c>
      <c r="C2232" s="59" t="s">
        <v>3667</v>
      </c>
      <c r="D2232" s="575" t="s">
        <v>6369</v>
      </c>
      <c r="E2232" s="178" t="s">
        <v>5708</v>
      </c>
      <c r="F2232" s="210" t="s">
        <v>6370</v>
      </c>
      <c r="G2232" s="58" t="s">
        <v>6079</v>
      </c>
      <c r="H2232" s="546">
        <v>9966.06</v>
      </c>
      <c r="I2232" s="66">
        <v>44923</v>
      </c>
      <c r="J2232" s="411" t="s">
        <v>6080</v>
      </c>
      <c r="K2232" s="58"/>
      <c r="L2232" s="99"/>
      <c r="M2232" s="70" t="s">
        <v>6283</v>
      </c>
      <c r="N2232" s="97" t="s">
        <v>414</v>
      </c>
      <c r="O2232" s="58" t="s">
        <v>5713</v>
      </c>
      <c r="P2232" s="58" t="s">
        <v>24</v>
      </c>
      <c r="Q2232" s="58" t="s">
        <v>74</v>
      </c>
      <c r="R2232" s="58" t="s">
        <v>265</v>
      </c>
    </row>
    <row r="2233" spans="1:18" ht="69" customHeight="1">
      <c r="A2233" s="168"/>
      <c r="B2233" s="178">
        <v>8397</v>
      </c>
      <c r="C2233" s="59" t="s">
        <v>3667</v>
      </c>
      <c r="D2233" s="575" t="s">
        <v>6371</v>
      </c>
      <c r="E2233" s="178" t="s">
        <v>5708</v>
      </c>
      <c r="F2233" s="210" t="s">
        <v>6372</v>
      </c>
      <c r="G2233" s="58" t="s">
        <v>6373</v>
      </c>
      <c r="H2233" s="546">
        <v>14370</v>
      </c>
      <c r="I2233" s="66">
        <v>44923</v>
      </c>
      <c r="J2233" s="411" t="s">
        <v>6080</v>
      </c>
      <c r="K2233" s="58"/>
      <c r="L2233" s="99"/>
      <c r="M2233" s="70" t="s">
        <v>6283</v>
      </c>
      <c r="N2233" s="97" t="s">
        <v>414</v>
      </c>
      <c r="O2233" s="58" t="s">
        <v>5713</v>
      </c>
      <c r="P2233" s="58" t="s">
        <v>24</v>
      </c>
      <c r="Q2233" s="58" t="s">
        <v>74</v>
      </c>
      <c r="R2233" s="58" t="s">
        <v>265</v>
      </c>
    </row>
    <row r="2234" spans="1:18" ht="69" customHeight="1">
      <c r="A2234" s="168"/>
      <c r="B2234" s="178">
        <v>8560</v>
      </c>
      <c r="C2234" s="178" t="s">
        <v>6261</v>
      </c>
      <c r="D2234" s="575" t="s">
        <v>1413</v>
      </c>
      <c r="E2234" s="178" t="s">
        <v>3235</v>
      </c>
      <c r="F2234" s="210" t="s">
        <v>6374</v>
      </c>
      <c r="G2234" s="58" t="s">
        <v>1877</v>
      </c>
      <c r="H2234" s="546">
        <v>2338.35</v>
      </c>
      <c r="I2234" s="66">
        <v>44946</v>
      </c>
      <c r="J2234" s="411" t="s">
        <v>1878</v>
      </c>
      <c r="K2234" s="58"/>
      <c r="L2234" s="99"/>
      <c r="M2234" s="70" t="s">
        <v>6300</v>
      </c>
      <c r="N2234" s="97" t="s">
        <v>1044</v>
      </c>
      <c r="O2234" s="58"/>
      <c r="P2234" s="58" t="s">
        <v>26</v>
      </c>
      <c r="Q2234" s="58" t="s">
        <v>74</v>
      </c>
      <c r="R2234" s="58" t="s">
        <v>272</v>
      </c>
    </row>
    <row r="2235" spans="1:18" ht="69" customHeight="1">
      <c r="A2235" s="168"/>
      <c r="B2235" s="178">
        <v>8509</v>
      </c>
      <c r="C2235" s="178" t="s">
        <v>6261</v>
      </c>
      <c r="D2235" s="575" t="s">
        <v>2393</v>
      </c>
      <c r="E2235" s="178" t="s">
        <v>5708</v>
      </c>
      <c r="F2235" s="210" t="s">
        <v>6375</v>
      </c>
      <c r="G2235" s="58" t="s">
        <v>6376</v>
      </c>
      <c r="H2235" s="546">
        <v>3800</v>
      </c>
      <c r="I2235" s="66">
        <v>44937</v>
      </c>
      <c r="J2235" s="411" t="s">
        <v>6377</v>
      </c>
      <c r="K2235" s="58"/>
      <c r="L2235" s="99"/>
      <c r="M2235" s="70" t="s">
        <v>6283</v>
      </c>
      <c r="N2235" s="97" t="s">
        <v>414</v>
      </c>
      <c r="O2235" s="58" t="s">
        <v>5713</v>
      </c>
      <c r="P2235" s="58" t="s">
        <v>24</v>
      </c>
      <c r="Q2235" s="58" t="s">
        <v>74</v>
      </c>
      <c r="R2235" s="58" t="s">
        <v>265</v>
      </c>
    </row>
    <row r="2236" spans="1:18" ht="69" customHeight="1">
      <c r="A2236" s="168"/>
      <c r="B2236" s="178">
        <v>8510</v>
      </c>
      <c r="C2236" s="178" t="s">
        <v>6261</v>
      </c>
      <c r="D2236" s="575" t="s">
        <v>3131</v>
      </c>
      <c r="E2236" s="178" t="s">
        <v>5708</v>
      </c>
      <c r="F2236" s="210" t="s">
        <v>6378</v>
      </c>
      <c r="G2236" s="58" t="s">
        <v>6376</v>
      </c>
      <c r="H2236" s="546">
        <v>3800</v>
      </c>
      <c r="I2236" s="66">
        <v>44937</v>
      </c>
      <c r="J2236" s="411" t="s">
        <v>6377</v>
      </c>
      <c r="K2236" s="58"/>
      <c r="L2236" s="99"/>
      <c r="M2236" s="70" t="s">
        <v>6283</v>
      </c>
      <c r="N2236" s="97" t="s">
        <v>414</v>
      </c>
      <c r="O2236" s="58" t="s">
        <v>5713</v>
      </c>
      <c r="P2236" s="58" t="s">
        <v>24</v>
      </c>
      <c r="Q2236" s="58" t="s">
        <v>74</v>
      </c>
      <c r="R2236" s="58" t="s">
        <v>265</v>
      </c>
    </row>
    <row r="2237" spans="1:18" ht="69" customHeight="1">
      <c r="A2237" s="168"/>
      <c r="B2237" s="178">
        <v>8520</v>
      </c>
      <c r="C2237" s="59" t="s">
        <v>3667</v>
      </c>
      <c r="D2237" s="575" t="s">
        <v>2654</v>
      </c>
      <c r="E2237" s="178" t="s">
        <v>5708</v>
      </c>
      <c r="F2237" s="210" t="s">
        <v>6379</v>
      </c>
      <c r="G2237" s="58" t="s">
        <v>6380</v>
      </c>
      <c r="H2237" s="546">
        <v>10500</v>
      </c>
      <c r="I2237" s="66">
        <v>44945</v>
      </c>
      <c r="J2237" s="411" t="s">
        <v>6381</v>
      </c>
      <c r="K2237" s="58"/>
      <c r="L2237" s="99"/>
      <c r="M2237" s="70" t="s">
        <v>6283</v>
      </c>
      <c r="N2237" s="97" t="s">
        <v>414</v>
      </c>
      <c r="O2237" s="58" t="s">
        <v>5713</v>
      </c>
      <c r="P2237" s="58" t="s">
        <v>24</v>
      </c>
      <c r="Q2237" s="58" t="s">
        <v>74</v>
      </c>
      <c r="R2237" s="58" t="s">
        <v>265</v>
      </c>
    </row>
    <row r="2238" spans="1:18" ht="69" customHeight="1">
      <c r="A2238" s="168"/>
      <c r="B2238" s="178">
        <v>8041</v>
      </c>
      <c r="C2238" s="59" t="s">
        <v>3667</v>
      </c>
      <c r="D2238" s="575" t="s">
        <v>3618</v>
      </c>
      <c r="E2238" s="178" t="s">
        <v>5708</v>
      </c>
      <c r="F2238" s="210" t="s">
        <v>6382</v>
      </c>
      <c r="G2238" s="58" t="s">
        <v>6383</v>
      </c>
      <c r="H2238" s="546">
        <v>12555.55</v>
      </c>
      <c r="I2238" s="66">
        <v>44939</v>
      </c>
      <c r="J2238" s="411" t="s">
        <v>6384</v>
      </c>
      <c r="K2238" s="58"/>
      <c r="L2238" s="99"/>
      <c r="M2238" s="70" t="s">
        <v>6283</v>
      </c>
      <c r="N2238" s="97" t="s">
        <v>414</v>
      </c>
      <c r="O2238" s="58" t="s">
        <v>5713</v>
      </c>
      <c r="P2238" s="58" t="s">
        <v>24</v>
      </c>
      <c r="Q2238" s="58" t="s">
        <v>74</v>
      </c>
      <c r="R2238" s="58" t="s">
        <v>265</v>
      </c>
    </row>
    <row r="2239" spans="1:18" ht="69" customHeight="1">
      <c r="A2239" s="168"/>
      <c r="B2239" s="178">
        <v>8571</v>
      </c>
      <c r="C2239" s="59" t="s">
        <v>3667</v>
      </c>
      <c r="D2239" s="575" t="s">
        <v>3332</v>
      </c>
      <c r="E2239" s="178" t="s">
        <v>5708</v>
      </c>
      <c r="F2239" s="210" t="s">
        <v>6385</v>
      </c>
      <c r="G2239" s="58" t="s">
        <v>6386</v>
      </c>
      <c r="H2239" s="546">
        <v>6000</v>
      </c>
      <c r="I2239" s="66">
        <v>44944</v>
      </c>
      <c r="J2239" s="411" t="s">
        <v>6387</v>
      </c>
      <c r="K2239" s="58"/>
      <c r="L2239" s="99"/>
      <c r="M2239" s="70" t="s">
        <v>6283</v>
      </c>
      <c r="N2239" s="97" t="s">
        <v>414</v>
      </c>
      <c r="O2239" s="58" t="s">
        <v>5713</v>
      </c>
      <c r="P2239" s="58" t="s">
        <v>24</v>
      </c>
      <c r="Q2239" s="58" t="s">
        <v>74</v>
      </c>
      <c r="R2239" s="58" t="s">
        <v>265</v>
      </c>
    </row>
    <row r="2240" spans="1:18" ht="69" customHeight="1">
      <c r="A2240" s="168"/>
      <c r="B2240" s="178">
        <v>8574</v>
      </c>
      <c r="C2240" s="59" t="s">
        <v>3667</v>
      </c>
      <c r="D2240" s="575" t="s">
        <v>1421</v>
      </c>
      <c r="E2240" s="178" t="s">
        <v>5708</v>
      </c>
      <c r="F2240" s="210" t="s">
        <v>6388</v>
      </c>
      <c r="G2240" s="58" t="s">
        <v>6389</v>
      </c>
      <c r="H2240" s="546">
        <v>38995</v>
      </c>
      <c r="I2240" s="66">
        <v>44944</v>
      </c>
      <c r="J2240" s="411" t="s">
        <v>6387</v>
      </c>
      <c r="K2240" s="58"/>
      <c r="L2240" s="99"/>
      <c r="M2240" s="70" t="s">
        <v>6283</v>
      </c>
      <c r="N2240" s="97" t="s">
        <v>414</v>
      </c>
      <c r="O2240" s="58" t="s">
        <v>5713</v>
      </c>
      <c r="P2240" s="58" t="s">
        <v>24</v>
      </c>
      <c r="Q2240" s="58" t="s">
        <v>74</v>
      </c>
      <c r="R2240" s="58" t="s">
        <v>265</v>
      </c>
    </row>
    <row r="2241" spans="1:18" ht="69" customHeight="1">
      <c r="A2241" s="168"/>
      <c r="B2241" s="178">
        <v>8621</v>
      </c>
      <c r="C2241" s="59" t="s">
        <v>3667</v>
      </c>
      <c r="D2241" s="575" t="s">
        <v>6390</v>
      </c>
      <c r="E2241" s="178" t="s">
        <v>5708</v>
      </c>
      <c r="F2241" s="210" t="s">
        <v>6391</v>
      </c>
      <c r="G2241" s="58" t="s">
        <v>6392</v>
      </c>
      <c r="H2241" s="546">
        <v>12232</v>
      </c>
      <c r="I2241" s="66">
        <v>44944</v>
      </c>
      <c r="J2241" s="411" t="s">
        <v>6393</v>
      </c>
      <c r="K2241" s="58"/>
      <c r="L2241" s="99"/>
      <c r="M2241" s="70" t="s">
        <v>6283</v>
      </c>
      <c r="N2241" s="97" t="s">
        <v>414</v>
      </c>
      <c r="O2241" s="58" t="s">
        <v>5713</v>
      </c>
      <c r="P2241" s="58" t="s">
        <v>24</v>
      </c>
      <c r="Q2241" s="58" t="s">
        <v>74</v>
      </c>
      <c r="R2241" s="58" t="s">
        <v>265</v>
      </c>
    </row>
    <row r="2242" spans="1:18" ht="69" customHeight="1">
      <c r="A2242" s="168"/>
      <c r="B2242" s="178">
        <v>8752</v>
      </c>
      <c r="C2242" s="59" t="s">
        <v>3667</v>
      </c>
      <c r="D2242" s="575" t="s">
        <v>6394</v>
      </c>
      <c r="E2242" s="178" t="s">
        <v>5708</v>
      </c>
      <c r="F2242" s="210" t="s">
        <v>6395</v>
      </c>
      <c r="G2242" s="58" t="s">
        <v>6396</v>
      </c>
      <c r="H2242" s="546">
        <v>8370.3700000000008</v>
      </c>
      <c r="I2242" s="66">
        <v>44951</v>
      </c>
      <c r="J2242" s="411" t="s">
        <v>6397</v>
      </c>
      <c r="K2242" s="58"/>
      <c r="L2242" s="99"/>
      <c r="M2242" s="70" t="s">
        <v>6283</v>
      </c>
      <c r="N2242" s="97" t="s">
        <v>414</v>
      </c>
      <c r="O2242" s="58" t="s">
        <v>5713</v>
      </c>
      <c r="P2242" s="58" t="s">
        <v>24</v>
      </c>
      <c r="Q2242" s="58" t="s">
        <v>74</v>
      </c>
      <c r="R2242" s="58" t="s">
        <v>265</v>
      </c>
    </row>
    <row r="2243" spans="1:18" ht="69" customHeight="1">
      <c r="A2243" s="168"/>
      <c r="B2243" s="178">
        <v>8815</v>
      </c>
      <c r="C2243" s="59" t="s">
        <v>3667</v>
      </c>
      <c r="D2243" s="597" t="s">
        <v>6398</v>
      </c>
      <c r="E2243" s="511" t="s">
        <v>6192</v>
      </c>
      <c r="F2243" s="598" t="s">
        <v>6399</v>
      </c>
      <c r="G2243" s="455" t="s">
        <v>6194</v>
      </c>
      <c r="H2243" s="546">
        <v>501032.25</v>
      </c>
      <c r="I2243" s="66" t="s">
        <v>96</v>
      </c>
      <c r="J2243" s="599" t="s">
        <v>6195</v>
      </c>
      <c r="K2243" s="58"/>
      <c r="L2243" s="99"/>
      <c r="M2243" s="70" t="s">
        <v>6400</v>
      </c>
      <c r="N2243" s="97" t="s">
        <v>6197</v>
      </c>
      <c r="O2243" s="58"/>
      <c r="P2243" s="58" t="s">
        <v>22</v>
      </c>
      <c r="Q2243" s="58" t="s">
        <v>74</v>
      </c>
      <c r="R2243" s="58" t="s">
        <v>272</v>
      </c>
    </row>
    <row r="2244" spans="1:18" ht="69" customHeight="1">
      <c r="A2244" s="168"/>
      <c r="B2244" s="178">
        <v>9015</v>
      </c>
      <c r="C2244" s="59" t="s">
        <v>3667</v>
      </c>
      <c r="D2244" s="581" t="s">
        <v>6401</v>
      </c>
      <c r="E2244" s="59" t="s">
        <v>6192</v>
      </c>
      <c r="F2244" s="569" t="s">
        <v>6402</v>
      </c>
      <c r="G2244" s="45" t="s">
        <v>6403</v>
      </c>
      <c r="H2244" s="546">
        <v>211686.12</v>
      </c>
      <c r="I2244" s="47">
        <v>45001</v>
      </c>
      <c r="J2244" s="410" t="s">
        <v>6404</v>
      </c>
      <c r="K2244" s="58"/>
      <c r="L2244" s="99"/>
      <c r="M2244" s="70" t="s">
        <v>6400</v>
      </c>
      <c r="N2244" s="97" t="s">
        <v>6197</v>
      </c>
      <c r="O2244" s="58"/>
      <c r="P2244" s="58" t="s">
        <v>22</v>
      </c>
      <c r="Q2244" s="58" t="s">
        <v>74</v>
      </c>
      <c r="R2244" s="58" t="s">
        <v>272</v>
      </c>
    </row>
    <row r="2245" spans="1:18" ht="69" customHeight="1">
      <c r="A2245" s="168"/>
      <c r="B2245" s="178">
        <v>9016</v>
      </c>
      <c r="C2245" s="59" t="s">
        <v>3667</v>
      </c>
      <c r="D2245" s="581" t="s">
        <v>6405</v>
      </c>
      <c r="E2245" s="59" t="s">
        <v>6192</v>
      </c>
      <c r="F2245" s="569" t="s">
        <v>6406</v>
      </c>
      <c r="G2245" s="45" t="s">
        <v>6407</v>
      </c>
      <c r="H2245" s="546">
        <v>113984.84</v>
      </c>
      <c r="I2245" s="47">
        <v>45001</v>
      </c>
      <c r="J2245" s="410" t="s">
        <v>6404</v>
      </c>
      <c r="K2245" s="58"/>
      <c r="L2245" s="99"/>
      <c r="M2245" s="70" t="s">
        <v>6400</v>
      </c>
      <c r="N2245" s="97" t="s">
        <v>6197</v>
      </c>
      <c r="O2245" s="58"/>
      <c r="P2245" s="58" t="s">
        <v>22</v>
      </c>
      <c r="Q2245" s="58" t="s">
        <v>74</v>
      </c>
      <c r="R2245" s="58" t="s">
        <v>272</v>
      </c>
    </row>
    <row r="2246" spans="1:18" ht="69" customHeight="1">
      <c r="A2246" s="168"/>
      <c r="B2246" s="178">
        <v>9221</v>
      </c>
      <c r="C2246" s="59" t="s">
        <v>3667</v>
      </c>
      <c r="D2246" s="575" t="s">
        <v>6408</v>
      </c>
      <c r="E2246" s="178" t="s">
        <v>5708</v>
      </c>
      <c r="F2246" s="210" t="s">
        <v>6409</v>
      </c>
      <c r="G2246" s="58" t="s">
        <v>6410</v>
      </c>
      <c r="H2246" s="546">
        <v>16110</v>
      </c>
      <c r="I2246" s="66">
        <v>45005</v>
      </c>
      <c r="J2246" s="411" t="s">
        <v>6411</v>
      </c>
      <c r="K2246" s="58"/>
      <c r="L2246" s="99"/>
      <c r="M2246" s="70" t="s">
        <v>6283</v>
      </c>
      <c r="N2246" s="97" t="s">
        <v>414</v>
      </c>
      <c r="O2246" s="58" t="s">
        <v>5713</v>
      </c>
      <c r="P2246" s="58" t="s">
        <v>24</v>
      </c>
      <c r="Q2246" s="58" t="s">
        <v>74</v>
      </c>
      <c r="R2246" s="58" t="s">
        <v>265</v>
      </c>
    </row>
    <row r="2247" spans="1:18" ht="69" customHeight="1">
      <c r="A2247" s="168"/>
      <c r="B2247" s="178">
        <v>9222</v>
      </c>
      <c r="C2247" s="59" t="s">
        <v>3667</v>
      </c>
      <c r="D2247" s="575"/>
      <c r="E2247" s="178" t="s">
        <v>5708</v>
      </c>
      <c r="F2247" s="210" t="s">
        <v>6412</v>
      </c>
      <c r="G2247" s="58" t="s">
        <v>4082</v>
      </c>
      <c r="H2247" s="546">
        <v>942.5</v>
      </c>
      <c r="I2247" s="66" t="s">
        <v>96</v>
      </c>
      <c r="J2247" s="411" t="s">
        <v>6413</v>
      </c>
      <c r="K2247" s="58"/>
      <c r="L2247" s="99"/>
      <c r="M2247" s="70" t="s">
        <v>6283</v>
      </c>
      <c r="N2247" s="97" t="s">
        <v>414</v>
      </c>
      <c r="O2247" s="58" t="s">
        <v>5713</v>
      </c>
      <c r="P2247" s="58" t="s">
        <v>24</v>
      </c>
      <c r="Q2247" s="58" t="s">
        <v>74</v>
      </c>
      <c r="R2247" s="58" t="s">
        <v>265</v>
      </c>
    </row>
    <row r="2248" spans="1:18" ht="69" customHeight="1">
      <c r="A2248" s="168"/>
      <c r="B2248" s="178">
        <v>9223</v>
      </c>
      <c r="C2248" s="59" t="s">
        <v>3667</v>
      </c>
      <c r="D2248" s="575"/>
      <c r="E2248" s="178" t="s">
        <v>5708</v>
      </c>
      <c r="F2248" s="210" t="s">
        <v>6414</v>
      </c>
      <c r="G2248" s="58" t="s">
        <v>4082</v>
      </c>
      <c r="H2248" s="546">
        <v>1585.5</v>
      </c>
      <c r="I2248" s="66" t="s">
        <v>96</v>
      </c>
      <c r="J2248" s="411" t="s">
        <v>6413</v>
      </c>
      <c r="K2248" s="58"/>
      <c r="L2248" s="99"/>
      <c r="M2248" s="70" t="s">
        <v>6283</v>
      </c>
      <c r="N2248" s="97" t="s">
        <v>414</v>
      </c>
      <c r="O2248" s="58" t="s">
        <v>5713</v>
      </c>
      <c r="P2248" s="58" t="s">
        <v>24</v>
      </c>
      <c r="Q2248" s="58" t="s">
        <v>74</v>
      </c>
      <c r="R2248" s="58" t="s">
        <v>265</v>
      </c>
    </row>
    <row r="2249" spans="1:18" ht="69" customHeight="1">
      <c r="A2249" s="168"/>
      <c r="B2249" s="178">
        <v>9224</v>
      </c>
      <c r="C2249" s="59" t="s">
        <v>3667</v>
      </c>
      <c r="D2249" s="575"/>
      <c r="E2249" s="178" t="s">
        <v>5708</v>
      </c>
      <c r="F2249" s="210" t="s">
        <v>6415</v>
      </c>
      <c r="G2249" s="58" t="s">
        <v>4082</v>
      </c>
      <c r="H2249" s="546">
        <v>5025</v>
      </c>
      <c r="I2249" s="66" t="s">
        <v>96</v>
      </c>
      <c r="J2249" s="411" t="s">
        <v>6413</v>
      </c>
      <c r="K2249" s="58"/>
      <c r="L2249" s="99"/>
      <c r="M2249" s="70" t="s">
        <v>6283</v>
      </c>
      <c r="N2249" s="97" t="s">
        <v>414</v>
      </c>
      <c r="O2249" s="58" t="s">
        <v>5713</v>
      </c>
      <c r="P2249" s="58" t="s">
        <v>24</v>
      </c>
      <c r="Q2249" s="58" t="s">
        <v>74</v>
      </c>
      <c r="R2249" s="58" t="s">
        <v>265</v>
      </c>
    </row>
    <row r="2250" spans="1:18" ht="69" customHeight="1">
      <c r="A2250" s="168"/>
      <c r="B2250" s="178">
        <v>9225</v>
      </c>
      <c r="C2250" s="59" t="s">
        <v>3667</v>
      </c>
      <c r="D2250" s="575"/>
      <c r="E2250" s="178" t="s">
        <v>5708</v>
      </c>
      <c r="F2250" s="210" t="s">
        <v>6416</v>
      </c>
      <c r="G2250" s="58" t="s">
        <v>4082</v>
      </c>
      <c r="H2250" s="546">
        <v>9076.7999999999993</v>
      </c>
      <c r="I2250" s="66" t="s">
        <v>96</v>
      </c>
      <c r="J2250" s="411" t="s">
        <v>6413</v>
      </c>
      <c r="K2250" s="58"/>
      <c r="L2250" s="99"/>
      <c r="M2250" s="70" t="s">
        <v>6283</v>
      </c>
      <c r="N2250" s="97" t="s">
        <v>414</v>
      </c>
      <c r="O2250" s="58" t="s">
        <v>5713</v>
      </c>
      <c r="P2250" s="58" t="s">
        <v>24</v>
      </c>
      <c r="Q2250" s="58" t="s">
        <v>74</v>
      </c>
      <c r="R2250" s="58" t="s">
        <v>265</v>
      </c>
    </row>
    <row r="2251" spans="1:18" ht="69" customHeight="1">
      <c r="A2251" s="168"/>
      <c r="B2251" s="178">
        <v>9226</v>
      </c>
      <c r="C2251" s="59" t="s">
        <v>3667</v>
      </c>
      <c r="D2251" s="575"/>
      <c r="E2251" s="178" t="s">
        <v>5708</v>
      </c>
      <c r="F2251" s="210" t="s">
        <v>6417</v>
      </c>
      <c r="G2251" s="58" t="s">
        <v>4082</v>
      </c>
      <c r="H2251" s="546">
        <v>520</v>
      </c>
      <c r="I2251" s="66" t="s">
        <v>96</v>
      </c>
      <c r="J2251" s="411" t="s">
        <v>6413</v>
      </c>
      <c r="K2251" s="58"/>
      <c r="L2251" s="99"/>
      <c r="M2251" s="70" t="s">
        <v>6283</v>
      </c>
      <c r="N2251" s="97" t="s">
        <v>414</v>
      </c>
      <c r="O2251" s="58" t="s">
        <v>5713</v>
      </c>
      <c r="P2251" s="58" t="s">
        <v>24</v>
      </c>
      <c r="Q2251" s="58" t="s">
        <v>74</v>
      </c>
      <c r="R2251" s="58" t="s">
        <v>265</v>
      </c>
    </row>
    <row r="2252" spans="1:18" ht="69" customHeight="1">
      <c r="A2252" s="168"/>
      <c r="B2252" s="178">
        <v>9227</v>
      </c>
      <c r="C2252" s="59" t="s">
        <v>3667</v>
      </c>
      <c r="D2252" s="575"/>
      <c r="E2252" s="178" t="s">
        <v>5708</v>
      </c>
      <c r="F2252" s="210" t="s">
        <v>6418</v>
      </c>
      <c r="G2252" s="58" t="s">
        <v>4082</v>
      </c>
      <c r="H2252" s="546">
        <v>538.79999999999995</v>
      </c>
      <c r="I2252" s="66" t="s">
        <v>96</v>
      </c>
      <c r="J2252" s="411" t="s">
        <v>6413</v>
      </c>
      <c r="K2252" s="58"/>
      <c r="L2252" s="99"/>
      <c r="M2252" s="70" t="s">
        <v>6283</v>
      </c>
      <c r="N2252" s="97" t="s">
        <v>414</v>
      </c>
      <c r="O2252" s="58" t="s">
        <v>5713</v>
      </c>
      <c r="P2252" s="58" t="s">
        <v>24</v>
      </c>
      <c r="Q2252" s="58" t="s">
        <v>74</v>
      </c>
      <c r="R2252" s="58" t="s">
        <v>265</v>
      </c>
    </row>
    <row r="2253" spans="1:18" ht="69" customHeight="1">
      <c r="A2253" s="168"/>
      <c r="B2253" s="178">
        <v>9374</v>
      </c>
      <c r="C2253" s="178" t="s">
        <v>6261</v>
      </c>
      <c r="D2253" s="575" t="s">
        <v>6419</v>
      </c>
      <c r="E2253" s="178" t="s">
        <v>266</v>
      </c>
      <c r="F2253" s="210" t="s">
        <v>6420</v>
      </c>
      <c r="G2253" s="58" t="s">
        <v>4101</v>
      </c>
      <c r="H2253" s="546">
        <v>60.44</v>
      </c>
      <c r="I2253" s="66">
        <v>45009</v>
      </c>
      <c r="J2253" s="411" t="s">
        <v>4102</v>
      </c>
      <c r="K2253" s="58"/>
      <c r="L2253" s="99"/>
      <c r="M2253" s="70" t="s">
        <v>6271</v>
      </c>
      <c r="N2253" s="97" t="s">
        <v>270</v>
      </c>
      <c r="O2253" s="58"/>
      <c r="P2253" s="58" t="s">
        <v>44</v>
      </c>
      <c r="Q2253" s="58" t="s">
        <v>74</v>
      </c>
      <c r="R2253" s="58" t="s">
        <v>272</v>
      </c>
    </row>
    <row r="2254" spans="1:18" ht="69" customHeight="1">
      <c r="A2254" s="168"/>
      <c r="B2254" s="178">
        <v>9650</v>
      </c>
      <c r="C2254" s="59" t="s">
        <v>3667</v>
      </c>
      <c r="D2254" s="575" t="s">
        <v>6421</v>
      </c>
      <c r="E2254" s="178" t="s">
        <v>6192</v>
      </c>
      <c r="F2254" s="210" t="s">
        <v>6422</v>
      </c>
      <c r="G2254" s="58" t="s">
        <v>6423</v>
      </c>
      <c r="H2254" s="546">
        <v>59518.14</v>
      </c>
      <c r="I2254" s="66">
        <v>45014</v>
      </c>
      <c r="J2254" s="411" t="s">
        <v>6424</v>
      </c>
      <c r="K2254" s="58"/>
      <c r="L2254" s="99"/>
      <c r="M2254" s="70" t="s">
        <v>6400</v>
      </c>
      <c r="N2254" s="97" t="s">
        <v>6197</v>
      </c>
      <c r="O2254" s="58"/>
      <c r="P2254" s="58" t="s">
        <v>22</v>
      </c>
      <c r="Q2254" s="58" t="s">
        <v>74</v>
      </c>
      <c r="R2254" s="58" t="s">
        <v>272</v>
      </c>
    </row>
    <row r="2255" spans="1:18" ht="69" customHeight="1">
      <c r="A2255" s="168"/>
      <c r="B2255" s="178">
        <v>9651</v>
      </c>
      <c r="C2255" s="59" t="s">
        <v>3667</v>
      </c>
      <c r="D2255" s="575" t="s">
        <v>6425</v>
      </c>
      <c r="E2255" s="178" t="s">
        <v>6192</v>
      </c>
      <c r="F2255" s="210" t="s">
        <v>6426</v>
      </c>
      <c r="G2255" s="58" t="s">
        <v>6427</v>
      </c>
      <c r="H2255" s="546">
        <v>110533.68</v>
      </c>
      <c r="I2255" s="66">
        <v>45014</v>
      </c>
      <c r="J2255" s="411" t="s">
        <v>6424</v>
      </c>
      <c r="K2255" s="58"/>
      <c r="L2255" s="99"/>
      <c r="M2255" s="70" t="s">
        <v>6400</v>
      </c>
      <c r="N2255" s="97" t="s">
        <v>6197</v>
      </c>
      <c r="O2255" s="58"/>
      <c r="P2255" s="58" t="s">
        <v>22</v>
      </c>
      <c r="Q2255" s="58" t="s">
        <v>74</v>
      </c>
      <c r="R2255" s="58" t="s">
        <v>272</v>
      </c>
    </row>
    <row r="2256" spans="1:18" ht="69" customHeight="1">
      <c r="A2256" s="168"/>
      <c r="B2256" s="178">
        <v>9679</v>
      </c>
      <c r="C2256" s="59" t="s">
        <v>3667</v>
      </c>
      <c r="D2256" s="575" t="s">
        <v>6428</v>
      </c>
      <c r="E2256" s="178" t="s">
        <v>1372</v>
      </c>
      <c r="F2256" s="210" t="s">
        <v>6429</v>
      </c>
      <c r="G2256" s="58" t="s">
        <v>6430</v>
      </c>
      <c r="H2256" s="546">
        <v>166500</v>
      </c>
      <c r="I2256" s="66">
        <v>45016</v>
      </c>
      <c r="J2256" s="411" t="s">
        <v>6431</v>
      </c>
      <c r="K2256" s="58"/>
      <c r="L2256" s="99"/>
      <c r="M2256" s="70" t="s">
        <v>6432</v>
      </c>
      <c r="N2256" s="97" t="s">
        <v>1372</v>
      </c>
      <c r="O2256" s="58"/>
      <c r="P2256" s="58" t="s">
        <v>57</v>
      </c>
      <c r="Q2256" s="58" t="s">
        <v>74</v>
      </c>
      <c r="R2256" s="58" t="s">
        <v>272</v>
      </c>
    </row>
    <row r="2257" spans="1:18" s="120" customFormat="1" ht="69" customHeight="1">
      <c r="A2257" s="168"/>
      <c r="B2257" s="207">
        <v>9793</v>
      </c>
      <c r="C2257" s="207" t="s">
        <v>3667</v>
      </c>
      <c r="D2257" s="301" t="s">
        <v>6433</v>
      </c>
      <c r="E2257" s="207" t="s">
        <v>6434</v>
      </c>
      <c r="F2257" s="208" t="s">
        <v>6435</v>
      </c>
      <c r="G2257" s="160" t="s">
        <v>6436</v>
      </c>
      <c r="H2257" s="300">
        <v>25076.31</v>
      </c>
      <c r="I2257" s="209">
        <v>45041</v>
      </c>
      <c r="J2257" s="322" t="s">
        <v>6437</v>
      </c>
      <c r="K2257" s="160" t="s">
        <v>727</v>
      </c>
      <c r="L2257" s="98"/>
      <c r="M2257" s="380"/>
      <c r="N2257" s="222" t="s">
        <v>6197</v>
      </c>
      <c r="O2257" s="160"/>
      <c r="P2257" s="160" t="s">
        <v>67</v>
      </c>
      <c r="Q2257" s="160" t="s">
        <v>74</v>
      </c>
      <c r="R2257" s="160" t="s">
        <v>272</v>
      </c>
    </row>
    <row r="2258" spans="1:18" ht="69" customHeight="1">
      <c r="A2258" s="168"/>
      <c r="B2258" s="191">
        <v>9768</v>
      </c>
      <c r="C2258" s="191" t="s">
        <v>3667</v>
      </c>
      <c r="D2258" s="533" t="s">
        <v>6438</v>
      </c>
      <c r="E2258" s="191" t="s">
        <v>5708</v>
      </c>
      <c r="F2258" s="211" t="s">
        <v>6439</v>
      </c>
      <c r="G2258" s="46" t="s">
        <v>6440</v>
      </c>
      <c r="H2258" s="534">
        <v>9075</v>
      </c>
      <c r="I2258" s="56">
        <v>45028</v>
      </c>
      <c r="J2258" s="412" t="s">
        <v>6441</v>
      </c>
      <c r="K2258" s="46" t="s">
        <v>167</v>
      </c>
      <c r="L2258" s="99"/>
      <c r="M2258" s="379"/>
      <c r="N2258" s="76" t="s">
        <v>414</v>
      </c>
      <c r="O2258" s="46"/>
      <c r="P2258" s="46" t="s">
        <v>65</v>
      </c>
      <c r="Q2258" s="46" t="s">
        <v>74</v>
      </c>
      <c r="R2258" s="46" t="s">
        <v>272</v>
      </c>
    </row>
    <row r="2259" spans="1:18" ht="69" customHeight="1">
      <c r="A2259" s="168"/>
      <c r="B2259" s="191">
        <v>9769</v>
      </c>
      <c r="C2259" s="191" t="s">
        <v>3667</v>
      </c>
      <c r="D2259" s="533" t="s">
        <v>6442</v>
      </c>
      <c r="E2259" s="191" t="s">
        <v>5708</v>
      </c>
      <c r="F2259" s="211" t="s">
        <v>6443</v>
      </c>
      <c r="G2259" s="46" t="s">
        <v>6440</v>
      </c>
      <c r="H2259" s="534">
        <v>8935</v>
      </c>
      <c r="I2259" s="56">
        <v>45028</v>
      </c>
      <c r="J2259" s="412" t="s">
        <v>6441</v>
      </c>
      <c r="K2259" s="46" t="s">
        <v>167</v>
      </c>
      <c r="L2259" s="99"/>
      <c r="M2259" s="379"/>
      <c r="N2259" s="76" t="s">
        <v>414</v>
      </c>
      <c r="O2259" s="46"/>
      <c r="P2259" s="46" t="s">
        <v>65</v>
      </c>
      <c r="Q2259" s="46" t="s">
        <v>74</v>
      </c>
      <c r="R2259" s="46" t="s">
        <v>272</v>
      </c>
    </row>
    <row r="2260" spans="1:18" ht="69" customHeight="1">
      <c r="A2260" s="168"/>
      <c r="B2260" s="178">
        <v>9823</v>
      </c>
      <c r="C2260" s="59" t="s">
        <v>3667</v>
      </c>
      <c r="D2260" s="575" t="s">
        <v>6444</v>
      </c>
      <c r="E2260" s="178" t="s">
        <v>266</v>
      </c>
      <c r="F2260" s="210" t="s">
        <v>6445</v>
      </c>
      <c r="G2260" s="58" t="s">
        <v>590</v>
      </c>
      <c r="H2260" s="546">
        <v>1150</v>
      </c>
      <c r="I2260" s="66">
        <v>45041</v>
      </c>
      <c r="J2260" s="411" t="s">
        <v>4105</v>
      </c>
      <c r="K2260" s="58"/>
      <c r="L2260" s="99"/>
      <c r="M2260" s="70" t="s">
        <v>6271</v>
      </c>
      <c r="N2260" s="97" t="s">
        <v>270</v>
      </c>
      <c r="O2260" s="58"/>
      <c r="P2260" s="58" t="s">
        <v>44</v>
      </c>
      <c r="Q2260" s="58" t="s">
        <v>74</v>
      </c>
      <c r="R2260" s="58" t="s">
        <v>272</v>
      </c>
    </row>
    <row r="2261" spans="1:18" ht="69" customHeight="1">
      <c r="A2261" s="168"/>
      <c r="B2261" s="178">
        <v>9799</v>
      </c>
      <c r="C2261" s="59" t="s">
        <v>3667</v>
      </c>
      <c r="D2261" s="575" t="s">
        <v>6446</v>
      </c>
      <c r="E2261" s="178" t="s">
        <v>6192</v>
      </c>
      <c r="F2261" s="210" t="s">
        <v>6447</v>
      </c>
      <c r="G2261" s="58" t="s">
        <v>6448</v>
      </c>
      <c r="H2261" s="546">
        <v>252126.52</v>
      </c>
      <c r="I2261" s="66">
        <v>45035</v>
      </c>
      <c r="J2261" s="411" t="s">
        <v>6449</v>
      </c>
      <c r="K2261" s="58"/>
      <c r="L2261" s="99"/>
      <c r="M2261" s="70" t="s">
        <v>6400</v>
      </c>
      <c r="N2261" s="97" t="s">
        <v>6197</v>
      </c>
      <c r="O2261" s="58"/>
      <c r="P2261" s="58" t="s">
        <v>22</v>
      </c>
      <c r="Q2261" s="58" t="s">
        <v>74</v>
      </c>
      <c r="R2261" s="58" t="s">
        <v>272</v>
      </c>
    </row>
    <row r="2262" spans="1:18" ht="69" customHeight="1">
      <c r="A2262" s="168"/>
      <c r="B2262" s="178">
        <v>9800</v>
      </c>
      <c r="C2262" s="59" t="s">
        <v>3667</v>
      </c>
      <c r="D2262" s="575" t="s">
        <v>6450</v>
      </c>
      <c r="E2262" s="178" t="s">
        <v>6192</v>
      </c>
      <c r="F2262" s="210" t="s">
        <v>6451</v>
      </c>
      <c r="G2262" s="58" t="s">
        <v>6452</v>
      </c>
      <c r="H2262" s="546">
        <v>135760.43</v>
      </c>
      <c r="I2262" s="66">
        <v>45035</v>
      </c>
      <c r="J2262" s="411" t="s">
        <v>6449</v>
      </c>
      <c r="K2262" s="58"/>
      <c r="L2262" s="99"/>
      <c r="M2262" s="70" t="s">
        <v>6400</v>
      </c>
      <c r="N2262" s="97" t="s">
        <v>6197</v>
      </c>
      <c r="O2262" s="58"/>
      <c r="P2262" s="58" t="s">
        <v>22</v>
      </c>
      <c r="Q2262" s="58" t="s">
        <v>74</v>
      </c>
      <c r="R2262" s="58" t="s">
        <v>272</v>
      </c>
    </row>
    <row r="2263" spans="1:18" ht="69" customHeight="1">
      <c r="A2263" s="168"/>
      <c r="B2263" s="191">
        <v>9805</v>
      </c>
      <c r="C2263" s="191" t="s">
        <v>3667</v>
      </c>
      <c r="D2263" s="533" t="s">
        <v>6453</v>
      </c>
      <c r="E2263" s="191" t="s">
        <v>6226</v>
      </c>
      <c r="F2263" s="211" t="s">
        <v>6454</v>
      </c>
      <c r="G2263" s="46" t="s">
        <v>6455</v>
      </c>
      <c r="H2263" s="534">
        <v>12021.58</v>
      </c>
      <c r="I2263" s="56">
        <v>45041</v>
      </c>
      <c r="J2263" s="412" t="s">
        <v>6229</v>
      </c>
      <c r="K2263" s="46" t="s">
        <v>167</v>
      </c>
      <c r="L2263" s="99"/>
      <c r="M2263" s="379"/>
      <c r="N2263" s="76" t="s">
        <v>6197</v>
      </c>
      <c r="O2263" s="46" t="s">
        <v>4116</v>
      </c>
      <c r="P2263" s="46" t="s">
        <v>71</v>
      </c>
      <c r="Q2263" s="46" t="s">
        <v>74</v>
      </c>
      <c r="R2263" s="46" t="s">
        <v>272</v>
      </c>
    </row>
    <row r="2264" spans="1:18" ht="69" customHeight="1">
      <c r="A2264" s="168"/>
      <c r="B2264" s="178">
        <v>9859</v>
      </c>
      <c r="C2264" s="59" t="s">
        <v>3667</v>
      </c>
      <c r="D2264" s="575" t="s">
        <v>6456</v>
      </c>
      <c r="E2264" s="178" t="s">
        <v>6434</v>
      </c>
      <c r="F2264" s="210" t="s">
        <v>6457</v>
      </c>
      <c r="G2264" s="58" t="s">
        <v>5225</v>
      </c>
      <c r="H2264" s="546">
        <v>38560</v>
      </c>
      <c r="I2264" s="66">
        <v>45051</v>
      </c>
      <c r="J2264" s="411" t="s">
        <v>6458</v>
      </c>
      <c r="K2264" s="58"/>
      <c r="L2264" s="99"/>
      <c r="M2264" s="70" t="s">
        <v>6459</v>
      </c>
      <c r="N2264" s="97" t="s">
        <v>6197</v>
      </c>
      <c r="O2264" s="58"/>
      <c r="P2264" s="58" t="s">
        <v>22</v>
      </c>
      <c r="Q2264" s="58" t="s">
        <v>74</v>
      </c>
      <c r="R2264" s="58" t="s">
        <v>265</v>
      </c>
    </row>
    <row r="2265" spans="1:18" ht="69" customHeight="1">
      <c r="A2265" s="168"/>
      <c r="B2265" s="178">
        <v>9866</v>
      </c>
      <c r="C2265" s="59" t="s">
        <v>3667</v>
      </c>
      <c r="D2265" s="575" t="s">
        <v>6460</v>
      </c>
      <c r="E2265" s="178" t="s">
        <v>6434</v>
      </c>
      <c r="F2265" s="210" t="s">
        <v>6461</v>
      </c>
      <c r="G2265" s="58" t="s">
        <v>5225</v>
      </c>
      <c r="H2265" s="546">
        <v>25076.31</v>
      </c>
      <c r="I2265" s="66">
        <v>45051</v>
      </c>
      <c r="J2265" s="411" t="s">
        <v>6462</v>
      </c>
      <c r="K2265" s="58"/>
      <c r="L2265" s="99"/>
      <c r="M2265" s="70" t="s">
        <v>6459</v>
      </c>
      <c r="N2265" s="97" t="s">
        <v>6197</v>
      </c>
      <c r="O2265" s="58"/>
      <c r="P2265" s="58" t="s">
        <v>22</v>
      </c>
      <c r="Q2265" s="58" t="s">
        <v>78</v>
      </c>
      <c r="R2265" s="58" t="s">
        <v>265</v>
      </c>
    </row>
    <row r="2266" spans="1:18" ht="69" customHeight="1">
      <c r="A2266" s="168"/>
      <c r="B2266" s="191">
        <v>9933</v>
      </c>
      <c r="C2266" s="191" t="s">
        <v>3667</v>
      </c>
      <c r="D2266" s="533" t="s">
        <v>6463</v>
      </c>
      <c r="E2266" s="191" t="s">
        <v>266</v>
      </c>
      <c r="F2266" s="211" t="s">
        <v>6464</v>
      </c>
      <c r="G2266" s="46" t="s">
        <v>6465</v>
      </c>
      <c r="H2266" s="534">
        <v>38587.31</v>
      </c>
      <c r="I2266" s="56">
        <v>45061</v>
      </c>
      <c r="J2266" s="412" t="s">
        <v>6466</v>
      </c>
      <c r="K2266" s="46" t="s">
        <v>881</v>
      </c>
      <c r="L2266" s="99"/>
      <c r="M2266" s="383"/>
      <c r="N2266" s="54" t="s">
        <v>6197</v>
      </c>
      <c r="O2266" s="46"/>
      <c r="P2266" s="46" t="s">
        <v>65</v>
      </c>
      <c r="Q2266" s="46" t="s">
        <v>74</v>
      </c>
      <c r="R2266" s="46" t="s">
        <v>272</v>
      </c>
    </row>
    <row r="2267" spans="1:18" ht="69" customHeight="1">
      <c r="A2267" s="168"/>
      <c r="B2267" s="191">
        <v>2987</v>
      </c>
      <c r="C2267" s="191" t="s">
        <v>3643</v>
      </c>
      <c r="D2267" s="533" t="s">
        <v>3173</v>
      </c>
      <c r="E2267" s="191" t="s">
        <v>331</v>
      </c>
      <c r="F2267" s="211" t="s">
        <v>6467</v>
      </c>
      <c r="G2267" s="46" t="s">
        <v>4416</v>
      </c>
      <c r="H2267" s="534">
        <v>0</v>
      </c>
      <c r="I2267" s="56" t="s">
        <v>96</v>
      </c>
      <c r="J2267" s="412" t="s">
        <v>334</v>
      </c>
      <c r="K2267" s="46"/>
      <c r="L2267" s="99"/>
      <c r="M2267" s="379" t="s">
        <v>76</v>
      </c>
      <c r="N2267" s="76" t="s">
        <v>69</v>
      </c>
      <c r="O2267" s="46"/>
      <c r="P2267" s="46" t="s">
        <v>69</v>
      </c>
      <c r="Q2267" s="46" t="s">
        <v>76</v>
      </c>
      <c r="R2267" s="46" t="s">
        <v>272</v>
      </c>
    </row>
    <row r="2268" spans="1:18" ht="69" customHeight="1">
      <c r="A2268" s="168"/>
      <c r="B2268" s="191">
        <v>3214</v>
      </c>
      <c r="C2268" s="191" t="s">
        <v>6261</v>
      </c>
      <c r="D2268" s="533" t="s">
        <v>518</v>
      </c>
      <c r="E2268" s="191" t="s">
        <v>331</v>
      </c>
      <c r="F2268" s="211" t="s">
        <v>6467</v>
      </c>
      <c r="G2268" s="46" t="s">
        <v>4416</v>
      </c>
      <c r="H2268" s="534">
        <v>0</v>
      </c>
      <c r="I2268" s="56" t="s">
        <v>96</v>
      </c>
      <c r="J2268" s="412" t="s">
        <v>334</v>
      </c>
      <c r="K2268" s="46"/>
      <c r="L2268" s="99"/>
      <c r="M2268" s="379" t="s">
        <v>76</v>
      </c>
      <c r="N2268" s="76" t="s">
        <v>69</v>
      </c>
      <c r="O2268" s="46"/>
      <c r="P2268" s="46" t="s">
        <v>69</v>
      </c>
      <c r="Q2268" s="46" t="s">
        <v>76</v>
      </c>
      <c r="R2268" s="46" t="s">
        <v>272</v>
      </c>
    </row>
    <row r="2269" spans="1:18" ht="69" customHeight="1">
      <c r="A2269" s="168"/>
      <c r="B2269" s="178">
        <v>7462</v>
      </c>
      <c r="C2269" s="178" t="s">
        <v>6468</v>
      </c>
      <c r="D2269" s="575" t="s">
        <v>6469</v>
      </c>
      <c r="E2269" s="178" t="s">
        <v>2075</v>
      </c>
      <c r="F2269" s="210" t="s">
        <v>6470</v>
      </c>
      <c r="G2269" s="58" t="s">
        <v>1041</v>
      </c>
      <c r="H2269" s="546">
        <v>136027.88</v>
      </c>
      <c r="I2269" s="66">
        <v>44900</v>
      </c>
      <c r="J2269" s="411" t="s">
        <v>1042</v>
      </c>
      <c r="K2269" s="58"/>
      <c r="L2269" s="99"/>
      <c r="M2269" s="70" t="s">
        <v>6471</v>
      </c>
      <c r="N2269" s="97" t="s">
        <v>1044</v>
      </c>
      <c r="O2269" s="58"/>
      <c r="P2269" s="58" t="s">
        <v>26</v>
      </c>
      <c r="Q2269" s="58" t="s">
        <v>76</v>
      </c>
      <c r="R2269" s="58" t="s">
        <v>272</v>
      </c>
    </row>
    <row r="2270" spans="1:18" ht="69" customHeight="1">
      <c r="A2270" s="168"/>
      <c r="B2270" s="178">
        <v>2954</v>
      </c>
      <c r="C2270" s="178" t="s">
        <v>6261</v>
      </c>
      <c r="D2270" s="575" t="s">
        <v>706</v>
      </c>
      <c r="E2270" s="178" t="s">
        <v>266</v>
      </c>
      <c r="F2270" s="210" t="s">
        <v>6472</v>
      </c>
      <c r="G2270" s="58" t="s">
        <v>680</v>
      </c>
      <c r="H2270" s="546">
        <v>7000</v>
      </c>
      <c r="I2270" s="66">
        <v>44601</v>
      </c>
      <c r="J2270" s="411" t="s">
        <v>6473</v>
      </c>
      <c r="K2270" s="58"/>
      <c r="L2270" s="99"/>
      <c r="M2270" s="70" t="s">
        <v>6474</v>
      </c>
      <c r="N2270" s="97" t="s">
        <v>683</v>
      </c>
      <c r="O2270" s="58" t="s">
        <v>684</v>
      </c>
      <c r="P2270" s="58" t="s">
        <v>46</v>
      </c>
      <c r="Q2270" s="58" t="s">
        <v>76</v>
      </c>
      <c r="R2270" s="58" t="s">
        <v>272</v>
      </c>
    </row>
    <row r="2271" spans="1:18" ht="69" customHeight="1">
      <c r="A2271" s="168"/>
      <c r="B2271" s="178">
        <v>4002</v>
      </c>
      <c r="C2271" s="178" t="s">
        <v>6261</v>
      </c>
      <c r="D2271" s="575" t="s">
        <v>1973</v>
      </c>
      <c r="E2271" s="178" t="s">
        <v>266</v>
      </c>
      <c r="F2271" s="210" t="s">
        <v>6475</v>
      </c>
      <c r="G2271" s="58" t="s">
        <v>1107</v>
      </c>
      <c r="H2271" s="546">
        <v>7293.34</v>
      </c>
      <c r="I2271" s="66">
        <v>44643</v>
      </c>
      <c r="J2271" s="411" t="s">
        <v>6476</v>
      </c>
      <c r="K2271" s="58"/>
      <c r="L2271" s="99"/>
      <c r="M2271" s="70" t="s">
        <v>6477</v>
      </c>
      <c r="N2271" s="97" t="s">
        <v>970</v>
      </c>
      <c r="O2271" s="58" t="s">
        <v>5961</v>
      </c>
      <c r="P2271" s="58" t="s">
        <v>38</v>
      </c>
      <c r="Q2271" s="58" t="s">
        <v>76</v>
      </c>
      <c r="R2271" s="58" t="s">
        <v>272</v>
      </c>
    </row>
    <row r="2272" spans="1:18" ht="69" customHeight="1">
      <c r="A2272" s="168"/>
      <c r="B2272" s="178">
        <v>4003</v>
      </c>
      <c r="C2272" s="59" t="s">
        <v>3667</v>
      </c>
      <c r="D2272" s="575" t="s">
        <v>1520</v>
      </c>
      <c r="E2272" s="178" t="s">
        <v>382</v>
      </c>
      <c r="F2272" s="210" t="s">
        <v>6478</v>
      </c>
      <c r="G2272" s="58" t="s">
        <v>384</v>
      </c>
      <c r="H2272" s="546">
        <v>27761.33</v>
      </c>
      <c r="I2272" s="66">
        <v>44739</v>
      </c>
      <c r="J2272" s="411" t="s">
        <v>6479</v>
      </c>
      <c r="K2272" s="58"/>
      <c r="L2272" s="99"/>
      <c r="M2272" s="70" t="s">
        <v>6480</v>
      </c>
      <c r="N2272" s="97" t="s">
        <v>387</v>
      </c>
      <c r="O2272" s="45" t="s">
        <v>150</v>
      </c>
      <c r="P2272" s="58" t="s">
        <v>51</v>
      </c>
      <c r="Q2272" s="58" t="s">
        <v>76</v>
      </c>
      <c r="R2272" s="58" t="s">
        <v>272</v>
      </c>
    </row>
    <row r="2273" spans="1:18" ht="69" customHeight="1">
      <c r="A2273" s="168"/>
      <c r="B2273" s="178">
        <v>4004</v>
      </c>
      <c r="C2273" s="59" t="s">
        <v>3667</v>
      </c>
      <c r="D2273" s="575" t="s">
        <v>2737</v>
      </c>
      <c r="E2273" s="178" t="s">
        <v>382</v>
      </c>
      <c r="F2273" s="210" t="s">
        <v>6481</v>
      </c>
      <c r="G2273" s="58" t="s">
        <v>384</v>
      </c>
      <c r="H2273" s="546">
        <v>39819.519999999997</v>
      </c>
      <c r="I2273" s="66">
        <v>44739</v>
      </c>
      <c r="J2273" s="411" t="s">
        <v>6482</v>
      </c>
      <c r="K2273" s="58"/>
      <c r="L2273" s="99"/>
      <c r="M2273" s="70" t="s">
        <v>6480</v>
      </c>
      <c r="N2273" s="97" t="s">
        <v>387</v>
      </c>
      <c r="O2273" s="45" t="s">
        <v>150</v>
      </c>
      <c r="P2273" s="58" t="s">
        <v>51</v>
      </c>
      <c r="Q2273" s="58" t="s">
        <v>76</v>
      </c>
      <c r="R2273" s="58" t="s">
        <v>272</v>
      </c>
    </row>
    <row r="2274" spans="1:18" ht="69" customHeight="1">
      <c r="A2274" s="168"/>
      <c r="B2274" s="178">
        <v>6353</v>
      </c>
      <c r="C2274" s="59" t="s">
        <v>3667</v>
      </c>
      <c r="D2274" s="575" t="s">
        <v>6483</v>
      </c>
      <c r="E2274" s="178" t="s">
        <v>5708</v>
      </c>
      <c r="F2274" s="210" t="s">
        <v>6484</v>
      </c>
      <c r="G2274" s="58" t="s">
        <v>352</v>
      </c>
      <c r="H2274" s="546">
        <v>141129.12</v>
      </c>
      <c r="I2274" s="66">
        <v>44799</v>
      </c>
      <c r="J2274" s="411" t="s">
        <v>6485</v>
      </c>
      <c r="K2274" s="58"/>
      <c r="L2274" s="99"/>
      <c r="M2274" s="70" t="s">
        <v>6486</v>
      </c>
      <c r="N2274" s="97" t="s">
        <v>414</v>
      </c>
      <c r="O2274" s="58" t="s">
        <v>5713</v>
      </c>
      <c r="P2274" s="58" t="s">
        <v>24</v>
      </c>
      <c r="Q2274" s="58" t="s">
        <v>76</v>
      </c>
      <c r="R2274" s="58" t="s">
        <v>265</v>
      </c>
    </row>
    <row r="2275" spans="1:18" ht="69" customHeight="1">
      <c r="A2275" s="168"/>
      <c r="B2275" s="178">
        <v>6429</v>
      </c>
      <c r="C2275" s="178" t="s">
        <v>6261</v>
      </c>
      <c r="D2275" s="575" t="s">
        <v>6487</v>
      </c>
      <c r="E2275" s="178" t="s">
        <v>432</v>
      </c>
      <c r="F2275" s="210" t="s">
        <v>6488</v>
      </c>
      <c r="G2275" s="58" t="s">
        <v>429</v>
      </c>
      <c r="H2275" s="546">
        <v>13959.486000000001</v>
      </c>
      <c r="I2275" s="66">
        <v>44802</v>
      </c>
      <c r="J2275" s="411" t="s">
        <v>6286</v>
      </c>
      <c r="K2275" s="58"/>
      <c r="L2275" s="99"/>
      <c r="M2275" s="70" t="s">
        <v>6489</v>
      </c>
      <c r="N2275" s="97" t="s">
        <v>432</v>
      </c>
      <c r="O2275" s="58"/>
      <c r="P2275" s="58" t="s">
        <v>53</v>
      </c>
      <c r="Q2275" s="58" t="s">
        <v>76</v>
      </c>
      <c r="R2275" s="58" t="s">
        <v>272</v>
      </c>
    </row>
    <row r="2276" spans="1:18" ht="69" customHeight="1">
      <c r="A2276" s="168"/>
      <c r="B2276" s="178">
        <v>6694</v>
      </c>
      <c r="C2276" s="178" t="s">
        <v>6261</v>
      </c>
      <c r="D2276" s="575" t="s">
        <v>6490</v>
      </c>
      <c r="E2276" s="178" t="s">
        <v>6289</v>
      </c>
      <c r="F2276" s="210" t="s">
        <v>6491</v>
      </c>
      <c r="G2276" s="58" t="s">
        <v>5809</v>
      </c>
      <c r="H2276" s="546">
        <v>274070.21999999997</v>
      </c>
      <c r="I2276" s="66">
        <v>44820</v>
      </c>
      <c r="J2276" s="411" t="s">
        <v>6291</v>
      </c>
      <c r="K2276" s="58"/>
      <c r="L2276" s="99"/>
      <c r="M2276" s="70" t="s">
        <v>6492</v>
      </c>
      <c r="N2276" s="97" t="s">
        <v>414</v>
      </c>
      <c r="O2276" s="58" t="s">
        <v>5713</v>
      </c>
      <c r="P2276" s="58" t="s">
        <v>24</v>
      </c>
      <c r="Q2276" s="58" t="s">
        <v>76</v>
      </c>
      <c r="R2276" s="58" t="s">
        <v>272</v>
      </c>
    </row>
    <row r="2277" spans="1:18" ht="69" customHeight="1">
      <c r="A2277" s="168"/>
      <c r="B2277" s="178">
        <v>4936</v>
      </c>
      <c r="C2277" s="178" t="s">
        <v>6261</v>
      </c>
      <c r="D2277" s="575" t="s">
        <v>3497</v>
      </c>
      <c r="E2277" s="178" t="s">
        <v>305</v>
      </c>
      <c r="F2277" s="210" t="s">
        <v>6493</v>
      </c>
      <c r="G2277" s="58" t="s">
        <v>307</v>
      </c>
      <c r="H2277" s="546">
        <v>8500</v>
      </c>
      <c r="I2277" s="66">
        <v>44729</v>
      </c>
      <c r="J2277" s="411" t="s">
        <v>6494</v>
      </c>
      <c r="K2277" s="58"/>
      <c r="L2277" s="99"/>
      <c r="M2277" s="70" t="s">
        <v>6495</v>
      </c>
      <c r="N2277" s="97" t="s">
        <v>270</v>
      </c>
      <c r="O2277" s="58"/>
      <c r="P2277" s="58" t="s">
        <v>44</v>
      </c>
      <c r="Q2277" s="58" t="s">
        <v>76</v>
      </c>
      <c r="R2277" s="58" t="s">
        <v>272</v>
      </c>
    </row>
    <row r="2278" spans="1:18" ht="69" customHeight="1">
      <c r="A2278" s="168"/>
      <c r="B2278" s="178">
        <v>7347</v>
      </c>
      <c r="C2278" s="59" t="s">
        <v>3667</v>
      </c>
      <c r="D2278" s="575" t="s">
        <v>2333</v>
      </c>
      <c r="E2278" s="178" t="s">
        <v>5708</v>
      </c>
      <c r="F2278" s="210" t="s">
        <v>6496</v>
      </c>
      <c r="G2278" s="58" t="s">
        <v>1048</v>
      </c>
      <c r="H2278" s="546">
        <v>4556.5200000000004</v>
      </c>
      <c r="I2278" s="66">
        <v>44869</v>
      </c>
      <c r="J2278" s="411" t="s">
        <v>6294</v>
      </c>
      <c r="K2278" s="58"/>
      <c r="L2278" s="99"/>
      <c r="M2278" s="70" t="s">
        <v>6486</v>
      </c>
      <c r="N2278" s="97" t="s">
        <v>414</v>
      </c>
      <c r="O2278" s="58" t="s">
        <v>5713</v>
      </c>
      <c r="P2278" s="58" t="s">
        <v>24</v>
      </c>
      <c r="Q2278" s="58" t="s">
        <v>76</v>
      </c>
      <c r="R2278" s="58" t="s">
        <v>265</v>
      </c>
    </row>
    <row r="2279" spans="1:18" ht="69" customHeight="1">
      <c r="A2279" s="168"/>
      <c r="B2279" s="178">
        <v>7360</v>
      </c>
      <c r="C2279" s="178" t="s">
        <v>6468</v>
      </c>
      <c r="D2279" s="575" t="s">
        <v>6497</v>
      </c>
      <c r="E2279" s="178" t="s">
        <v>266</v>
      </c>
      <c r="F2279" s="210" t="s">
        <v>6498</v>
      </c>
      <c r="G2279" s="58" t="s">
        <v>6296</v>
      </c>
      <c r="H2279" s="546">
        <v>3250</v>
      </c>
      <c r="I2279" s="66">
        <v>44879</v>
      </c>
      <c r="J2279" s="411" t="s">
        <v>6297</v>
      </c>
      <c r="K2279" s="58"/>
      <c r="L2279" s="99"/>
      <c r="M2279" s="70" t="s">
        <v>6495</v>
      </c>
      <c r="N2279" s="97" t="s">
        <v>270</v>
      </c>
      <c r="O2279" s="58"/>
      <c r="P2279" s="58" t="s">
        <v>44</v>
      </c>
      <c r="Q2279" s="58" t="s">
        <v>76</v>
      </c>
      <c r="R2279" s="58" t="s">
        <v>272</v>
      </c>
    </row>
    <row r="2280" spans="1:18" ht="69" customHeight="1">
      <c r="A2280" s="168"/>
      <c r="B2280" s="178">
        <v>7387</v>
      </c>
      <c r="C2280" s="178" t="s">
        <v>6261</v>
      </c>
      <c r="D2280" s="575" t="s">
        <v>1611</v>
      </c>
      <c r="E2280" s="178" t="s">
        <v>432</v>
      </c>
      <c r="F2280" s="210" t="s">
        <v>6499</v>
      </c>
      <c r="G2280" s="58" t="s">
        <v>1121</v>
      </c>
      <c r="H2280" s="546">
        <v>34317.03</v>
      </c>
      <c r="I2280" s="66">
        <v>44876</v>
      </c>
      <c r="J2280" s="411" t="s">
        <v>1122</v>
      </c>
      <c r="K2280" s="58"/>
      <c r="L2280" s="99"/>
      <c r="M2280" s="70" t="s">
        <v>6489</v>
      </c>
      <c r="N2280" s="97" t="s">
        <v>432</v>
      </c>
      <c r="O2280" s="58"/>
      <c r="P2280" s="58" t="s">
        <v>53</v>
      </c>
      <c r="Q2280" s="58" t="s">
        <v>76</v>
      </c>
      <c r="R2280" s="58" t="s">
        <v>272</v>
      </c>
    </row>
    <row r="2281" spans="1:18" ht="69" customHeight="1">
      <c r="A2281" s="168"/>
      <c r="B2281" s="178">
        <v>7405</v>
      </c>
      <c r="C2281" s="59" t="s">
        <v>3667</v>
      </c>
      <c r="D2281" s="575" t="s">
        <v>3037</v>
      </c>
      <c r="E2281" s="178" t="s">
        <v>5708</v>
      </c>
      <c r="F2281" s="210" t="s">
        <v>6500</v>
      </c>
      <c r="G2281" s="58" t="s">
        <v>1048</v>
      </c>
      <c r="H2281" s="546">
        <v>14829.22</v>
      </c>
      <c r="I2281" s="66">
        <v>44879</v>
      </c>
      <c r="J2281" s="411" t="s">
        <v>6117</v>
      </c>
      <c r="K2281" s="58"/>
      <c r="L2281" s="99"/>
      <c r="M2281" s="70" t="s">
        <v>6486</v>
      </c>
      <c r="N2281" s="97" t="s">
        <v>414</v>
      </c>
      <c r="O2281" s="58" t="s">
        <v>5713</v>
      </c>
      <c r="P2281" s="58" t="s">
        <v>24</v>
      </c>
      <c r="Q2281" s="58" t="s">
        <v>76</v>
      </c>
      <c r="R2281" s="58" t="s">
        <v>265</v>
      </c>
    </row>
    <row r="2282" spans="1:18" ht="69" customHeight="1">
      <c r="A2282" s="168"/>
      <c r="B2282" s="178">
        <v>6577</v>
      </c>
      <c r="C2282" s="178" t="s">
        <v>6261</v>
      </c>
      <c r="D2282" s="575" t="s">
        <v>6501</v>
      </c>
      <c r="E2282" s="178" t="s">
        <v>266</v>
      </c>
      <c r="F2282" s="210" t="s">
        <v>6502</v>
      </c>
      <c r="G2282" s="58" t="s">
        <v>1107</v>
      </c>
      <c r="H2282" s="546">
        <v>7293.34</v>
      </c>
      <c r="I2282" s="66">
        <v>44879</v>
      </c>
      <c r="J2282" s="411" t="s">
        <v>1108</v>
      </c>
      <c r="K2282" s="58"/>
      <c r="L2282" s="99"/>
      <c r="M2282" s="70" t="s">
        <v>6477</v>
      </c>
      <c r="N2282" s="97" t="s">
        <v>970</v>
      </c>
      <c r="O2282" s="58" t="s">
        <v>5961</v>
      </c>
      <c r="P2282" s="58" t="s">
        <v>38</v>
      </c>
      <c r="Q2282" s="58" t="s">
        <v>76</v>
      </c>
      <c r="R2282" s="58" t="s">
        <v>272</v>
      </c>
    </row>
    <row r="2283" spans="1:18" ht="69" customHeight="1">
      <c r="A2283" s="168"/>
      <c r="B2283" s="178">
        <v>7577</v>
      </c>
      <c r="C2283" s="59" t="s">
        <v>3667</v>
      </c>
      <c r="D2283" s="575" t="s">
        <v>6503</v>
      </c>
      <c r="E2283" s="178" t="s">
        <v>5708</v>
      </c>
      <c r="F2283" s="210" t="s">
        <v>6504</v>
      </c>
      <c r="G2283" s="58" t="s">
        <v>1048</v>
      </c>
      <c r="H2283" s="546">
        <v>5200</v>
      </c>
      <c r="I2283" s="66">
        <v>44890</v>
      </c>
      <c r="J2283" s="411" t="s">
        <v>6120</v>
      </c>
      <c r="K2283" s="58"/>
      <c r="L2283" s="99"/>
      <c r="M2283" s="70" t="s">
        <v>6486</v>
      </c>
      <c r="N2283" s="97" t="s">
        <v>414</v>
      </c>
      <c r="O2283" s="58" t="s">
        <v>5713</v>
      </c>
      <c r="P2283" s="58" t="s">
        <v>24</v>
      </c>
      <c r="Q2283" s="58" t="s">
        <v>76</v>
      </c>
      <c r="R2283" s="58" t="s">
        <v>265</v>
      </c>
    </row>
    <row r="2284" spans="1:18" ht="69" customHeight="1">
      <c r="A2284" s="168"/>
      <c r="B2284" s="178">
        <v>7582</v>
      </c>
      <c r="C2284" s="59" t="s">
        <v>3667</v>
      </c>
      <c r="D2284" s="575" t="s">
        <v>6505</v>
      </c>
      <c r="E2284" s="178" t="s">
        <v>5708</v>
      </c>
      <c r="F2284" s="210" t="s">
        <v>6506</v>
      </c>
      <c r="G2284" s="58" t="s">
        <v>1048</v>
      </c>
      <c r="H2284" s="546">
        <v>14301</v>
      </c>
      <c r="I2284" s="66">
        <v>44890</v>
      </c>
      <c r="J2284" s="411" t="s">
        <v>6123</v>
      </c>
      <c r="K2284" s="58"/>
      <c r="L2284" s="99"/>
      <c r="M2284" s="70" t="s">
        <v>6486</v>
      </c>
      <c r="N2284" s="97" t="s">
        <v>414</v>
      </c>
      <c r="O2284" s="58" t="s">
        <v>5713</v>
      </c>
      <c r="P2284" s="58" t="s">
        <v>24</v>
      </c>
      <c r="Q2284" s="58" t="s">
        <v>76</v>
      </c>
      <c r="R2284" s="58" t="s">
        <v>265</v>
      </c>
    </row>
    <row r="2285" spans="1:18" ht="69" customHeight="1">
      <c r="A2285" s="168"/>
      <c r="B2285" s="178">
        <v>7789</v>
      </c>
      <c r="C2285" s="178" t="s">
        <v>6261</v>
      </c>
      <c r="D2285" s="575" t="s">
        <v>3111</v>
      </c>
      <c r="E2285" s="178" t="s">
        <v>6289</v>
      </c>
      <c r="F2285" s="210" t="s">
        <v>6507</v>
      </c>
      <c r="G2285" s="58" t="s">
        <v>6312</v>
      </c>
      <c r="H2285" s="546">
        <v>411105.33</v>
      </c>
      <c r="I2285" s="66">
        <v>44907</v>
      </c>
      <c r="J2285" s="411" t="s">
        <v>6313</v>
      </c>
      <c r="K2285" s="58"/>
      <c r="L2285" s="99"/>
      <c r="M2285" s="70" t="s">
        <v>6492</v>
      </c>
      <c r="N2285" s="97" t="s">
        <v>414</v>
      </c>
      <c r="O2285" s="58" t="s">
        <v>5713</v>
      </c>
      <c r="P2285" s="58" t="s">
        <v>24</v>
      </c>
      <c r="Q2285" s="58" t="s">
        <v>76</v>
      </c>
      <c r="R2285" s="58" t="s">
        <v>272</v>
      </c>
    </row>
    <row r="2286" spans="1:18" ht="69" customHeight="1">
      <c r="A2286" s="168"/>
      <c r="B2286" s="178">
        <v>7298</v>
      </c>
      <c r="C2286" s="178" t="s">
        <v>6468</v>
      </c>
      <c r="D2286" s="575" t="s">
        <v>6508</v>
      </c>
      <c r="E2286" s="178" t="s">
        <v>2075</v>
      </c>
      <c r="F2286" s="210" t="s">
        <v>6509</v>
      </c>
      <c r="G2286" s="58" t="s">
        <v>1041</v>
      </c>
      <c r="H2286" s="546">
        <v>32160.959999999999</v>
      </c>
      <c r="I2286" s="66">
        <v>44869</v>
      </c>
      <c r="J2286" s="411" t="s">
        <v>6099</v>
      </c>
      <c r="K2286" s="58"/>
      <c r="L2286" s="99"/>
      <c r="M2286" s="70" t="s">
        <v>6471</v>
      </c>
      <c r="N2286" s="97" t="s">
        <v>1044</v>
      </c>
      <c r="O2286" s="58"/>
      <c r="P2286" s="58" t="s">
        <v>26</v>
      </c>
      <c r="Q2286" s="58" t="s">
        <v>76</v>
      </c>
      <c r="R2286" s="58" t="s">
        <v>272</v>
      </c>
    </row>
    <row r="2287" spans="1:18" ht="69" customHeight="1">
      <c r="A2287" s="168"/>
      <c r="B2287" s="178">
        <v>7585</v>
      </c>
      <c r="C2287" s="178" t="s">
        <v>6468</v>
      </c>
      <c r="D2287" s="575" t="s">
        <v>6510</v>
      </c>
      <c r="E2287" s="178" t="s">
        <v>2075</v>
      </c>
      <c r="F2287" s="210" t="s">
        <v>6511</v>
      </c>
      <c r="G2287" s="58" t="s">
        <v>1041</v>
      </c>
      <c r="H2287" s="546">
        <v>8680</v>
      </c>
      <c r="I2287" s="66">
        <v>44904</v>
      </c>
      <c r="J2287" s="411" t="s">
        <v>1080</v>
      </c>
      <c r="K2287" s="58"/>
      <c r="L2287" s="99"/>
      <c r="M2287" s="70" t="s">
        <v>6471</v>
      </c>
      <c r="N2287" s="97" t="s">
        <v>1044</v>
      </c>
      <c r="O2287" s="58"/>
      <c r="P2287" s="58" t="s">
        <v>26</v>
      </c>
      <c r="Q2287" s="58" t="s">
        <v>76</v>
      </c>
      <c r="R2287" s="58" t="s">
        <v>272</v>
      </c>
    </row>
    <row r="2288" spans="1:18" ht="69" customHeight="1">
      <c r="A2288" s="168"/>
      <c r="B2288" s="178">
        <v>7638</v>
      </c>
      <c r="C2288" s="59" t="s">
        <v>3667</v>
      </c>
      <c r="D2288" s="575" t="s">
        <v>6512</v>
      </c>
      <c r="E2288" s="178" t="s">
        <v>5708</v>
      </c>
      <c r="F2288" s="210" t="s">
        <v>6513</v>
      </c>
      <c r="G2288" s="58" t="s">
        <v>1048</v>
      </c>
      <c r="H2288" s="546">
        <v>20927.18</v>
      </c>
      <c r="I2288" s="66">
        <v>44895</v>
      </c>
      <c r="J2288" s="411" t="s">
        <v>6139</v>
      </c>
      <c r="K2288" s="58"/>
      <c r="L2288" s="99"/>
      <c r="M2288" s="70" t="s">
        <v>6486</v>
      </c>
      <c r="N2288" s="97" t="s">
        <v>414</v>
      </c>
      <c r="O2288" s="58" t="s">
        <v>5713</v>
      </c>
      <c r="P2288" s="58" t="s">
        <v>24</v>
      </c>
      <c r="Q2288" s="58" t="s">
        <v>76</v>
      </c>
      <c r="R2288" s="58" t="s">
        <v>265</v>
      </c>
    </row>
    <row r="2289" spans="1:18" ht="69" customHeight="1">
      <c r="A2289" s="168"/>
      <c r="B2289" s="178">
        <v>7643</v>
      </c>
      <c r="C2289" s="59" t="s">
        <v>3667</v>
      </c>
      <c r="D2289" s="575" t="s">
        <v>3052</v>
      </c>
      <c r="E2289" s="178" t="s">
        <v>5708</v>
      </c>
      <c r="F2289" s="210" t="s">
        <v>6514</v>
      </c>
      <c r="G2289" s="58" t="s">
        <v>6345</v>
      </c>
      <c r="H2289" s="546">
        <v>8284</v>
      </c>
      <c r="I2289" s="66">
        <v>44895</v>
      </c>
      <c r="J2289" s="411" t="s">
        <v>6320</v>
      </c>
      <c r="K2289" s="58"/>
      <c r="L2289" s="99"/>
      <c r="M2289" s="70" t="s">
        <v>6486</v>
      </c>
      <c r="N2289" s="97" t="s">
        <v>414</v>
      </c>
      <c r="O2289" s="58" t="s">
        <v>5713</v>
      </c>
      <c r="P2289" s="58" t="s">
        <v>24</v>
      </c>
      <c r="Q2289" s="58" t="s">
        <v>76</v>
      </c>
      <c r="R2289" s="58" t="s">
        <v>265</v>
      </c>
    </row>
    <row r="2290" spans="1:18" ht="69" customHeight="1">
      <c r="A2290" s="168"/>
      <c r="B2290" s="178">
        <v>8051</v>
      </c>
      <c r="C2290" s="59" t="s">
        <v>3667</v>
      </c>
      <c r="D2290" s="575" t="s">
        <v>2838</v>
      </c>
      <c r="E2290" s="178" t="s">
        <v>5708</v>
      </c>
      <c r="F2290" s="210" t="s">
        <v>6515</v>
      </c>
      <c r="G2290" s="58" t="s">
        <v>1048</v>
      </c>
      <c r="H2290" s="546">
        <v>5274.85</v>
      </c>
      <c r="I2290" s="66">
        <v>44881</v>
      </c>
      <c r="J2290" s="411" t="s">
        <v>6324</v>
      </c>
      <c r="K2290" s="58"/>
      <c r="L2290" s="99"/>
      <c r="M2290" s="70" t="s">
        <v>6486</v>
      </c>
      <c r="N2290" s="97" t="s">
        <v>414</v>
      </c>
      <c r="O2290" s="58" t="s">
        <v>5713</v>
      </c>
      <c r="P2290" s="58" t="s">
        <v>24</v>
      </c>
      <c r="Q2290" s="58" t="s">
        <v>76</v>
      </c>
      <c r="R2290" s="58" t="s">
        <v>265</v>
      </c>
    </row>
    <row r="2291" spans="1:18" ht="69" customHeight="1">
      <c r="A2291" s="168"/>
      <c r="B2291" s="178">
        <v>8055</v>
      </c>
      <c r="C2291" s="59" t="s">
        <v>3667</v>
      </c>
      <c r="D2291" s="575" t="s">
        <v>6516</v>
      </c>
      <c r="E2291" s="178" t="s">
        <v>5708</v>
      </c>
      <c r="F2291" s="210" t="s">
        <v>6517</v>
      </c>
      <c r="G2291" s="58" t="s">
        <v>6326</v>
      </c>
      <c r="H2291" s="546">
        <v>14500</v>
      </c>
      <c r="I2291" s="66">
        <v>44881</v>
      </c>
      <c r="J2291" s="411" t="s">
        <v>6327</v>
      </c>
      <c r="K2291" s="58"/>
      <c r="L2291" s="99"/>
      <c r="M2291" s="70" t="s">
        <v>6486</v>
      </c>
      <c r="N2291" s="97" t="s">
        <v>414</v>
      </c>
      <c r="O2291" s="58" t="s">
        <v>5713</v>
      </c>
      <c r="P2291" s="58" t="s">
        <v>24</v>
      </c>
      <c r="Q2291" s="58" t="s">
        <v>76</v>
      </c>
      <c r="R2291" s="58" t="s">
        <v>265</v>
      </c>
    </row>
    <row r="2292" spans="1:18" ht="69" customHeight="1">
      <c r="A2292" s="168"/>
      <c r="B2292" s="178">
        <v>8080</v>
      </c>
      <c r="C2292" s="59" t="s">
        <v>3667</v>
      </c>
      <c r="D2292" s="575" t="s">
        <v>6518</v>
      </c>
      <c r="E2292" s="178" t="s">
        <v>5708</v>
      </c>
      <c r="F2292" s="210" t="s">
        <v>6519</v>
      </c>
      <c r="G2292" s="58" t="s">
        <v>1048</v>
      </c>
      <c r="H2292" s="546">
        <v>7124</v>
      </c>
      <c r="I2292" s="66">
        <v>44911</v>
      </c>
      <c r="J2292" s="411" t="s">
        <v>6144</v>
      </c>
      <c r="K2292" s="58"/>
      <c r="L2292" s="99"/>
      <c r="M2292" s="70" t="s">
        <v>6486</v>
      </c>
      <c r="N2292" s="97" t="s">
        <v>414</v>
      </c>
      <c r="O2292" s="58" t="s">
        <v>5713</v>
      </c>
      <c r="P2292" s="58" t="s">
        <v>24</v>
      </c>
      <c r="Q2292" s="58" t="s">
        <v>76</v>
      </c>
      <c r="R2292" s="58" t="s">
        <v>265</v>
      </c>
    </row>
    <row r="2293" spans="1:18" ht="69" customHeight="1">
      <c r="A2293" s="168"/>
      <c r="B2293" s="178">
        <v>8085</v>
      </c>
      <c r="C2293" s="59" t="s">
        <v>3667</v>
      </c>
      <c r="D2293" s="575" t="s">
        <v>2365</v>
      </c>
      <c r="E2293" s="178" t="s">
        <v>5708</v>
      </c>
      <c r="F2293" s="210" t="s">
        <v>6520</v>
      </c>
      <c r="G2293" s="58" t="s">
        <v>1048</v>
      </c>
      <c r="H2293" s="546">
        <v>3450</v>
      </c>
      <c r="I2293" s="66">
        <v>44911</v>
      </c>
      <c r="J2293" s="411" t="s">
        <v>6329</v>
      </c>
      <c r="K2293" s="58"/>
      <c r="L2293" s="99"/>
      <c r="M2293" s="70" t="s">
        <v>6486</v>
      </c>
      <c r="N2293" s="97" t="s">
        <v>414</v>
      </c>
      <c r="O2293" s="58" t="s">
        <v>5713</v>
      </c>
      <c r="P2293" s="58" t="s">
        <v>24</v>
      </c>
      <c r="Q2293" s="58" t="s">
        <v>76</v>
      </c>
      <c r="R2293" s="58" t="s">
        <v>265</v>
      </c>
    </row>
    <row r="2294" spans="1:18" ht="69" customHeight="1">
      <c r="A2294" s="168"/>
      <c r="B2294" s="178">
        <v>8086</v>
      </c>
      <c r="C2294" s="59" t="s">
        <v>3667</v>
      </c>
      <c r="D2294" s="575" t="s">
        <v>1182</v>
      </c>
      <c r="E2294" s="178" t="s">
        <v>5708</v>
      </c>
      <c r="F2294" s="210" t="s">
        <v>6521</v>
      </c>
      <c r="G2294" s="58" t="s">
        <v>1048</v>
      </c>
      <c r="H2294" s="546">
        <v>3616</v>
      </c>
      <c r="I2294" s="66">
        <v>44911</v>
      </c>
      <c r="J2294" s="411" t="s">
        <v>6146</v>
      </c>
      <c r="K2294" s="58"/>
      <c r="L2294" s="99"/>
      <c r="M2294" s="70" t="s">
        <v>6486</v>
      </c>
      <c r="N2294" s="97" t="s">
        <v>414</v>
      </c>
      <c r="O2294" s="58" t="s">
        <v>5713</v>
      </c>
      <c r="P2294" s="58" t="s">
        <v>24</v>
      </c>
      <c r="Q2294" s="58" t="s">
        <v>76</v>
      </c>
      <c r="R2294" s="58" t="s">
        <v>265</v>
      </c>
    </row>
    <row r="2295" spans="1:18" ht="69" customHeight="1">
      <c r="A2295" s="168"/>
      <c r="B2295" s="178">
        <v>8124</v>
      </c>
      <c r="C2295" s="59" t="s">
        <v>3667</v>
      </c>
      <c r="D2295" s="575" t="s">
        <v>6522</v>
      </c>
      <c r="E2295" s="178" t="s">
        <v>5708</v>
      </c>
      <c r="F2295" s="210" t="s">
        <v>6523</v>
      </c>
      <c r="G2295" s="58" t="s">
        <v>1149</v>
      </c>
      <c r="H2295" s="546">
        <v>27083.97</v>
      </c>
      <c r="I2295" s="66">
        <v>44914</v>
      </c>
      <c r="J2295" s="411" t="s">
        <v>6130</v>
      </c>
      <c r="K2295" s="58"/>
      <c r="L2295" s="99"/>
      <c r="M2295" s="70" t="s">
        <v>6486</v>
      </c>
      <c r="N2295" s="97" t="s">
        <v>414</v>
      </c>
      <c r="O2295" s="58" t="s">
        <v>5713</v>
      </c>
      <c r="P2295" s="58" t="s">
        <v>24</v>
      </c>
      <c r="Q2295" s="58" t="s">
        <v>76</v>
      </c>
      <c r="R2295" s="58" t="s">
        <v>265</v>
      </c>
    </row>
    <row r="2296" spans="1:18" ht="69" customHeight="1">
      <c r="A2296" s="168"/>
      <c r="B2296" s="178">
        <v>8135</v>
      </c>
      <c r="C2296" s="59" t="s">
        <v>3667</v>
      </c>
      <c r="D2296" s="575" t="s">
        <v>6524</v>
      </c>
      <c r="E2296" s="178" t="s">
        <v>5708</v>
      </c>
      <c r="F2296" s="210" t="s">
        <v>6525</v>
      </c>
      <c r="G2296" s="58" t="s">
        <v>1149</v>
      </c>
      <c r="H2296" s="546">
        <v>31918.75</v>
      </c>
      <c r="I2296" s="66">
        <v>44914</v>
      </c>
      <c r="J2296" s="411" t="s">
        <v>6133</v>
      </c>
      <c r="K2296" s="58"/>
      <c r="L2296" s="99"/>
      <c r="M2296" s="70" t="s">
        <v>6486</v>
      </c>
      <c r="N2296" s="97" t="s">
        <v>414</v>
      </c>
      <c r="O2296" s="58" t="s">
        <v>5713</v>
      </c>
      <c r="P2296" s="58" t="s">
        <v>24</v>
      </c>
      <c r="Q2296" s="58" t="s">
        <v>76</v>
      </c>
      <c r="R2296" s="58" t="s">
        <v>265</v>
      </c>
    </row>
    <row r="2297" spans="1:18" ht="69" customHeight="1">
      <c r="A2297" s="168"/>
      <c r="B2297" s="178">
        <v>8159</v>
      </c>
      <c r="C2297" s="59" t="s">
        <v>3667</v>
      </c>
      <c r="D2297" s="575" t="s">
        <v>6526</v>
      </c>
      <c r="E2297" s="178" t="s">
        <v>5708</v>
      </c>
      <c r="F2297" s="210" t="s">
        <v>6527</v>
      </c>
      <c r="G2297" s="58" t="s">
        <v>1149</v>
      </c>
      <c r="H2297" s="546">
        <v>9471.64</v>
      </c>
      <c r="I2297" s="66">
        <v>44886</v>
      </c>
      <c r="J2297" s="411" t="s">
        <v>6136</v>
      </c>
      <c r="K2297" s="58"/>
      <c r="L2297" s="99"/>
      <c r="M2297" s="70" t="s">
        <v>6486</v>
      </c>
      <c r="N2297" s="97" t="s">
        <v>414</v>
      </c>
      <c r="O2297" s="58" t="s">
        <v>5713</v>
      </c>
      <c r="P2297" s="58" t="s">
        <v>24</v>
      </c>
      <c r="Q2297" s="58" t="s">
        <v>76</v>
      </c>
      <c r="R2297" s="58" t="s">
        <v>265</v>
      </c>
    </row>
    <row r="2298" spans="1:18" ht="69" customHeight="1">
      <c r="A2298" s="168"/>
      <c r="B2298" s="178">
        <v>8177</v>
      </c>
      <c r="C2298" s="59" t="s">
        <v>3667</v>
      </c>
      <c r="D2298" s="575" t="s">
        <v>6528</v>
      </c>
      <c r="E2298" s="178" t="s">
        <v>5708</v>
      </c>
      <c r="F2298" s="210" t="s">
        <v>6529</v>
      </c>
      <c r="G2298" s="58" t="s">
        <v>1149</v>
      </c>
      <c r="H2298" s="546">
        <v>14935.78</v>
      </c>
      <c r="I2298" s="66">
        <v>44916</v>
      </c>
      <c r="J2298" s="411" t="s">
        <v>6069</v>
      </c>
      <c r="K2298" s="58"/>
      <c r="L2298" s="99"/>
      <c r="M2298" s="70" t="s">
        <v>6486</v>
      </c>
      <c r="N2298" s="97" t="s">
        <v>414</v>
      </c>
      <c r="O2298" s="58" t="s">
        <v>5713</v>
      </c>
      <c r="P2298" s="58" t="s">
        <v>24</v>
      </c>
      <c r="Q2298" s="58" t="s">
        <v>76</v>
      </c>
      <c r="R2298" s="58" t="s">
        <v>265</v>
      </c>
    </row>
    <row r="2299" spans="1:18" ht="69" customHeight="1">
      <c r="A2299" s="168"/>
      <c r="B2299" s="178">
        <v>8156</v>
      </c>
      <c r="C2299" s="59" t="s">
        <v>3667</v>
      </c>
      <c r="D2299" s="575" t="s">
        <v>6530</v>
      </c>
      <c r="E2299" s="178" t="s">
        <v>741</v>
      </c>
      <c r="F2299" s="210" t="s">
        <v>6531</v>
      </c>
      <c r="G2299" s="58" t="s">
        <v>6351</v>
      </c>
      <c r="H2299" s="546">
        <v>219290.35</v>
      </c>
      <c r="I2299" s="66">
        <v>44914</v>
      </c>
      <c r="J2299" s="411" t="s">
        <v>6352</v>
      </c>
      <c r="K2299" s="58"/>
      <c r="L2299" s="99"/>
      <c r="M2299" s="70" t="s">
        <v>6532</v>
      </c>
      <c r="N2299" s="97" t="s">
        <v>741</v>
      </c>
      <c r="O2299" s="58"/>
      <c r="P2299" s="58" t="s">
        <v>59</v>
      </c>
      <c r="Q2299" s="58" t="s">
        <v>76</v>
      </c>
      <c r="R2299" s="58" t="s">
        <v>272</v>
      </c>
    </row>
    <row r="2300" spans="1:18" ht="69" customHeight="1">
      <c r="A2300" s="168"/>
      <c r="B2300" s="178">
        <v>6720</v>
      </c>
      <c r="C2300" s="59" t="s">
        <v>3667</v>
      </c>
      <c r="D2300" s="575" t="s">
        <v>3068</v>
      </c>
      <c r="E2300" s="178" t="s">
        <v>5708</v>
      </c>
      <c r="F2300" s="210" t="s">
        <v>6533</v>
      </c>
      <c r="G2300" s="58" t="s">
        <v>5710</v>
      </c>
      <c r="H2300" s="546">
        <v>7259.6</v>
      </c>
      <c r="I2300" s="66">
        <v>44827</v>
      </c>
      <c r="J2300" s="411" t="s">
        <v>6309</v>
      </c>
      <c r="K2300" s="58"/>
      <c r="L2300" s="99"/>
      <c r="M2300" s="70" t="s">
        <v>6486</v>
      </c>
      <c r="N2300" s="97" t="s">
        <v>414</v>
      </c>
      <c r="O2300" s="58" t="s">
        <v>5713</v>
      </c>
      <c r="P2300" s="58" t="s">
        <v>24</v>
      </c>
      <c r="Q2300" s="58" t="s">
        <v>76</v>
      </c>
      <c r="R2300" s="58" t="s">
        <v>265</v>
      </c>
    </row>
    <row r="2301" spans="1:18" ht="69" customHeight="1">
      <c r="A2301" s="168"/>
      <c r="B2301" s="178">
        <v>8315</v>
      </c>
      <c r="C2301" s="59" t="s">
        <v>3667</v>
      </c>
      <c r="D2301" s="575" t="s">
        <v>2373</v>
      </c>
      <c r="E2301" s="178" t="s">
        <v>5708</v>
      </c>
      <c r="F2301" s="210" t="s">
        <v>6534</v>
      </c>
      <c r="G2301" s="58" t="s">
        <v>6361</v>
      </c>
      <c r="H2301" s="546">
        <v>7798</v>
      </c>
      <c r="I2301" s="66">
        <v>44921</v>
      </c>
      <c r="J2301" s="411" t="s">
        <v>6362</v>
      </c>
      <c r="K2301" s="58"/>
      <c r="L2301" s="99"/>
      <c r="M2301" s="70" t="s">
        <v>6486</v>
      </c>
      <c r="N2301" s="97" t="s">
        <v>414</v>
      </c>
      <c r="O2301" s="58" t="s">
        <v>5713</v>
      </c>
      <c r="P2301" s="58" t="s">
        <v>24</v>
      </c>
      <c r="Q2301" s="58" t="s">
        <v>76</v>
      </c>
      <c r="R2301" s="58" t="s">
        <v>265</v>
      </c>
    </row>
    <row r="2302" spans="1:18" ht="69" customHeight="1">
      <c r="A2302" s="168"/>
      <c r="B2302" s="178">
        <v>8320</v>
      </c>
      <c r="C2302" s="59" t="s">
        <v>3667</v>
      </c>
      <c r="D2302" s="575" t="s">
        <v>6535</v>
      </c>
      <c r="E2302" s="178" t="s">
        <v>5708</v>
      </c>
      <c r="F2302" s="210" t="s">
        <v>6150</v>
      </c>
      <c r="G2302" s="58" t="s">
        <v>6150</v>
      </c>
      <c r="H2302" s="546">
        <v>3670</v>
      </c>
      <c r="I2302" s="66">
        <v>44921</v>
      </c>
      <c r="J2302" s="411" t="s">
        <v>6151</v>
      </c>
      <c r="K2302" s="58"/>
      <c r="L2302" s="99"/>
      <c r="M2302" s="70" t="s">
        <v>6486</v>
      </c>
      <c r="N2302" s="97" t="s">
        <v>414</v>
      </c>
      <c r="O2302" s="58" t="s">
        <v>5713</v>
      </c>
      <c r="P2302" s="58" t="s">
        <v>24</v>
      </c>
      <c r="Q2302" s="58" t="s">
        <v>76</v>
      </c>
      <c r="R2302" s="58" t="s">
        <v>265</v>
      </c>
    </row>
    <row r="2303" spans="1:18" ht="69" customHeight="1">
      <c r="A2303" s="168"/>
      <c r="B2303" s="178">
        <v>8328</v>
      </c>
      <c r="C2303" s="59" t="s">
        <v>3667</v>
      </c>
      <c r="D2303" s="575" t="s">
        <v>6536</v>
      </c>
      <c r="E2303" s="178" t="s">
        <v>5708</v>
      </c>
      <c r="F2303" s="210" t="s">
        <v>6537</v>
      </c>
      <c r="G2303" s="58" t="s">
        <v>2822</v>
      </c>
      <c r="H2303" s="546">
        <v>3100</v>
      </c>
      <c r="I2303" s="66">
        <v>44921</v>
      </c>
      <c r="J2303" s="411" t="s">
        <v>6076</v>
      </c>
      <c r="K2303" s="58"/>
      <c r="L2303" s="99"/>
      <c r="M2303" s="70" t="s">
        <v>6486</v>
      </c>
      <c r="N2303" s="97" t="s">
        <v>414</v>
      </c>
      <c r="O2303" s="58" t="s">
        <v>5713</v>
      </c>
      <c r="P2303" s="58" t="s">
        <v>24</v>
      </c>
      <c r="Q2303" s="58" t="s">
        <v>76</v>
      </c>
      <c r="R2303" s="58" t="s">
        <v>265</v>
      </c>
    </row>
    <row r="2304" spans="1:18" ht="69" customHeight="1">
      <c r="A2304" s="168"/>
      <c r="B2304" s="178">
        <v>8393</v>
      </c>
      <c r="C2304" s="59" t="s">
        <v>3667</v>
      </c>
      <c r="D2304" s="575" t="s">
        <v>6538</v>
      </c>
      <c r="E2304" s="178" t="s">
        <v>5708</v>
      </c>
      <c r="F2304" s="210" t="s">
        <v>6539</v>
      </c>
      <c r="G2304" s="58" t="s">
        <v>6540</v>
      </c>
      <c r="H2304" s="546">
        <v>15150</v>
      </c>
      <c r="I2304" s="66">
        <v>44923</v>
      </c>
      <c r="J2304" s="411" t="s">
        <v>6080</v>
      </c>
      <c r="K2304" s="58"/>
      <c r="L2304" s="99"/>
      <c r="M2304" s="70" t="s">
        <v>6486</v>
      </c>
      <c r="N2304" s="97" t="s">
        <v>414</v>
      </c>
      <c r="O2304" s="58" t="s">
        <v>5713</v>
      </c>
      <c r="P2304" s="58" t="s">
        <v>24</v>
      </c>
      <c r="Q2304" s="58" t="s">
        <v>76</v>
      </c>
      <c r="R2304" s="58" t="s">
        <v>265</v>
      </c>
    </row>
    <row r="2305" spans="1:18" ht="69" customHeight="1">
      <c r="A2305" s="168"/>
      <c r="B2305" s="178">
        <v>8405</v>
      </c>
      <c r="C2305" s="59" t="s">
        <v>3667</v>
      </c>
      <c r="D2305" s="575" t="s">
        <v>1911</v>
      </c>
      <c r="E2305" s="178" t="s">
        <v>5708</v>
      </c>
      <c r="F2305" s="210" t="s">
        <v>6541</v>
      </c>
      <c r="G2305" s="58" t="s">
        <v>6542</v>
      </c>
      <c r="H2305" s="546">
        <v>15180</v>
      </c>
      <c r="I2305" s="66">
        <v>44923</v>
      </c>
      <c r="J2305" s="411" t="s">
        <v>6543</v>
      </c>
      <c r="K2305" s="58"/>
      <c r="L2305" s="99"/>
      <c r="M2305" s="70" t="s">
        <v>6486</v>
      </c>
      <c r="N2305" s="97" t="s">
        <v>414</v>
      </c>
      <c r="O2305" s="58" t="s">
        <v>5713</v>
      </c>
      <c r="P2305" s="58" t="s">
        <v>24</v>
      </c>
      <c r="Q2305" s="58" t="s">
        <v>76</v>
      </c>
      <c r="R2305" s="58" t="s">
        <v>265</v>
      </c>
    </row>
    <row r="2306" spans="1:18" ht="69" customHeight="1">
      <c r="A2306" s="168"/>
      <c r="B2306" s="178">
        <v>8406</v>
      </c>
      <c r="C2306" s="59" t="s">
        <v>3667</v>
      </c>
      <c r="D2306" s="575" t="s">
        <v>3535</v>
      </c>
      <c r="E2306" s="178" t="s">
        <v>5708</v>
      </c>
      <c r="F2306" s="210" t="s">
        <v>6544</v>
      </c>
      <c r="G2306" s="58" t="s">
        <v>6542</v>
      </c>
      <c r="H2306" s="546">
        <v>10370</v>
      </c>
      <c r="I2306" s="66">
        <v>44923</v>
      </c>
      <c r="J2306" s="411" t="s">
        <v>6543</v>
      </c>
      <c r="K2306" s="58"/>
      <c r="L2306" s="99"/>
      <c r="M2306" s="70" t="s">
        <v>6486</v>
      </c>
      <c r="N2306" s="97" t="s">
        <v>414</v>
      </c>
      <c r="O2306" s="58" t="s">
        <v>5713</v>
      </c>
      <c r="P2306" s="58" t="s">
        <v>24</v>
      </c>
      <c r="Q2306" s="58" t="s">
        <v>76</v>
      </c>
      <c r="R2306" s="58" t="s">
        <v>265</v>
      </c>
    </row>
    <row r="2307" spans="1:18" ht="69" customHeight="1">
      <c r="A2307" s="168"/>
      <c r="B2307" s="178">
        <v>8407</v>
      </c>
      <c r="C2307" s="59" t="s">
        <v>3667</v>
      </c>
      <c r="D2307" s="575" t="s">
        <v>2382</v>
      </c>
      <c r="E2307" s="178" t="s">
        <v>5708</v>
      </c>
      <c r="F2307" s="210" t="s">
        <v>6545</v>
      </c>
      <c r="G2307" s="58" t="s">
        <v>6542</v>
      </c>
      <c r="H2307" s="546">
        <v>22595</v>
      </c>
      <c r="I2307" s="66">
        <v>44923</v>
      </c>
      <c r="J2307" s="411" t="s">
        <v>6543</v>
      </c>
      <c r="K2307" s="58"/>
      <c r="L2307" s="99"/>
      <c r="M2307" s="70" t="s">
        <v>6486</v>
      </c>
      <c r="N2307" s="97" t="s">
        <v>414</v>
      </c>
      <c r="O2307" s="58" t="s">
        <v>5713</v>
      </c>
      <c r="P2307" s="58" t="s">
        <v>24</v>
      </c>
      <c r="Q2307" s="58" t="s">
        <v>76</v>
      </c>
      <c r="R2307" s="58" t="s">
        <v>265</v>
      </c>
    </row>
    <row r="2308" spans="1:18" ht="69" customHeight="1">
      <c r="A2308" s="168"/>
      <c r="B2308" s="178">
        <v>8559</v>
      </c>
      <c r="C2308" s="178" t="s">
        <v>6468</v>
      </c>
      <c r="D2308" s="575" t="s">
        <v>6546</v>
      </c>
      <c r="E2308" s="178" t="s">
        <v>3235</v>
      </c>
      <c r="F2308" s="210" t="s">
        <v>6547</v>
      </c>
      <c r="G2308" s="58" t="s">
        <v>1877</v>
      </c>
      <c r="H2308" s="546">
        <v>9667.7999999999993</v>
      </c>
      <c r="I2308" s="66">
        <v>44946</v>
      </c>
      <c r="J2308" s="411" t="s">
        <v>1878</v>
      </c>
      <c r="K2308" s="58"/>
      <c r="L2308" s="99"/>
      <c r="M2308" s="70" t="s">
        <v>6471</v>
      </c>
      <c r="N2308" s="97" t="s">
        <v>1044</v>
      </c>
      <c r="O2308" s="58"/>
      <c r="P2308" s="58" t="s">
        <v>26</v>
      </c>
      <c r="Q2308" s="58" t="s">
        <v>76</v>
      </c>
      <c r="R2308" s="58" t="s">
        <v>272</v>
      </c>
    </row>
    <row r="2309" spans="1:18" ht="69" customHeight="1">
      <c r="A2309" s="168"/>
      <c r="B2309" s="178">
        <v>8458</v>
      </c>
      <c r="C2309" s="59" t="s">
        <v>3667</v>
      </c>
      <c r="D2309" s="575" t="s">
        <v>6548</v>
      </c>
      <c r="E2309" s="178" t="s">
        <v>5708</v>
      </c>
      <c r="F2309" s="210" t="s">
        <v>6549</v>
      </c>
      <c r="G2309" s="58" t="s">
        <v>6550</v>
      </c>
      <c r="H2309" s="546">
        <v>20670</v>
      </c>
      <c r="I2309" s="66">
        <v>44932</v>
      </c>
      <c r="J2309" s="411" t="s">
        <v>6551</v>
      </c>
      <c r="K2309" s="58"/>
      <c r="L2309" s="99"/>
      <c r="M2309" s="70" t="s">
        <v>6486</v>
      </c>
      <c r="N2309" s="97" t="s">
        <v>414</v>
      </c>
      <c r="O2309" s="58" t="s">
        <v>5713</v>
      </c>
      <c r="P2309" s="58" t="s">
        <v>24</v>
      </c>
      <c r="Q2309" s="58" t="s">
        <v>76</v>
      </c>
      <c r="R2309" s="58" t="s">
        <v>265</v>
      </c>
    </row>
    <row r="2310" spans="1:18" ht="69" customHeight="1">
      <c r="A2310" s="168"/>
      <c r="B2310" s="178">
        <v>8489</v>
      </c>
      <c r="C2310" s="178" t="s">
        <v>6552</v>
      </c>
      <c r="D2310" s="575" t="s">
        <v>2391</v>
      </c>
      <c r="E2310" s="178" t="s">
        <v>5708</v>
      </c>
      <c r="F2310" s="210" t="s">
        <v>6553</v>
      </c>
      <c r="G2310" s="58" t="s">
        <v>6554</v>
      </c>
      <c r="H2310" s="546">
        <v>29958.11</v>
      </c>
      <c r="I2310" s="66">
        <v>44935</v>
      </c>
      <c r="J2310" s="411" t="s">
        <v>6093</v>
      </c>
      <c r="K2310" s="58"/>
      <c r="L2310" s="99"/>
      <c r="M2310" s="70" t="s">
        <v>6486</v>
      </c>
      <c r="N2310" s="97" t="s">
        <v>414</v>
      </c>
      <c r="O2310" s="58" t="s">
        <v>5713</v>
      </c>
      <c r="P2310" s="58" t="s">
        <v>24</v>
      </c>
      <c r="Q2310" s="58" t="s">
        <v>76</v>
      </c>
      <c r="R2310" s="58" t="s">
        <v>265</v>
      </c>
    </row>
    <row r="2311" spans="1:18" ht="69" customHeight="1">
      <c r="A2311" s="168"/>
      <c r="B2311" s="178">
        <v>8521</v>
      </c>
      <c r="C2311" s="59" t="s">
        <v>3667</v>
      </c>
      <c r="D2311" s="575" t="s">
        <v>2652</v>
      </c>
      <c r="E2311" s="178" t="s">
        <v>5708</v>
      </c>
      <c r="F2311" s="210" t="s">
        <v>6555</v>
      </c>
      <c r="G2311" s="58" t="s">
        <v>6380</v>
      </c>
      <c r="H2311" s="546">
        <v>12500</v>
      </c>
      <c r="I2311" s="66">
        <v>44945</v>
      </c>
      <c r="J2311" s="411" t="s">
        <v>6381</v>
      </c>
      <c r="K2311" s="58"/>
      <c r="L2311" s="99"/>
      <c r="M2311" s="70" t="s">
        <v>6486</v>
      </c>
      <c r="N2311" s="97" t="s">
        <v>414</v>
      </c>
      <c r="O2311" s="58" t="s">
        <v>5713</v>
      </c>
      <c r="P2311" s="58" t="s">
        <v>24</v>
      </c>
      <c r="Q2311" s="58" t="s">
        <v>76</v>
      </c>
      <c r="R2311" s="58" t="s">
        <v>265</v>
      </c>
    </row>
    <row r="2312" spans="1:18" ht="69" customHeight="1">
      <c r="A2312" s="168"/>
      <c r="B2312" s="178">
        <v>8042</v>
      </c>
      <c r="C2312" s="59" t="s">
        <v>3667</v>
      </c>
      <c r="D2312" s="575" t="s">
        <v>2162</v>
      </c>
      <c r="E2312" s="178" t="s">
        <v>5708</v>
      </c>
      <c r="F2312" s="210" t="s">
        <v>6556</v>
      </c>
      <c r="G2312" s="58" t="s">
        <v>6557</v>
      </c>
      <c r="H2312" s="546">
        <v>12555.55</v>
      </c>
      <c r="I2312" s="66">
        <v>44939</v>
      </c>
      <c r="J2312" s="411" t="s">
        <v>6384</v>
      </c>
      <c r="K2312" s="58"/>
      <c r="L2312" s="99"/>
      <c r="M2312" s="70" t="s">
        <v>6486</v>
      </c>
      <c r="N2312" s="97" t="s">
        <v>414</v>
      </c>
      <c r="O2312" s="58" t="s">
        <v>5713</v>
      </c>
      <c r="P2312" s="58" t="s">
        <v>24</v>
      </c>
      <c r="Q2312" s="58" t="s">
        <v>76</v>
      </c>
      <c r="R2312" s="58" t="s">
        <v>265</v>
      </c>
    </row>
    <row r="2313" spans="1:18" ht="69" customHeight="1">
      <c r="A2313" s="168"/>
      <c r="B2313" s="178">
        <v>8572</v>
      </c>
      <c r="C2313" s="59" t="s">
        <v>3667</v>
      </c>
      <c r="D2313" s="575" t="s">
        <v>873</v>
      </c>
      <c r="E2313" s="178" t="s">
        <v>5708</v>
      </c>
      <c r="F2313" s="210" t="s">
        <v>6558</v>
      </c>
      <c r="G2313" s="58" t="s">
        <v>6386</v>
      </c>
      <c r="H2313" s="546">
        <v>5400</v>
      </c>
      <c r="I2313" s="66">
        <v>44944</v>
      </c>
      <c r="J2313" s="411" t="s">
        <v>6387</v>
      </c>
      <c r="K2313" s="58"/>
      <c r="L2313" s="99"/>
      <c r="M2313" s="70" t="s">
        <v>6486</v>
      </c>
      <c r="N2313" s="97" t="s">
        <v>414</v>
      </c>
      <c r="O2313" s="58" t="s">
        <v>5713</v>
      </c>
      <c r="P2313" s="58" t="s">
        <v>24</v>
      </c>
      <c r="Q2313" s="58" t="s">
        <v>76</v>
      </c>
      <c r="R2313" s="58" t="s">
        <v>265</v>
      </c>
    </row>
    <row r="2314" spans="1:18" ht="69" customHeight="1">
      <c r="A2314" s="168"/>
      <c r="B2314" s="178">
        <v>8602</v>
      </c>
      <c r="C2314" s="59" t="s">
        <v>3667</v>
      </c>
      <c r="D2314" s="575" t="s">
        <v>3625</v>
      </c>
      <c r="E2314" s="178" t="s">
        <v>5708</v>
      </c>
      <c r="F2314" s="210" t="s">
        <v>6559</v>
      </c>
      <c r="G2314" s="58" t="s">
        <v>6560</v>
      </c>
      <c r="H2314" s="546">
        <v>4748.95</v>
      </c>
      <c r="I2314" s="66">
        <v>44947</v>
      </c>
      <c r="J2314" s="411" t="s">
        <v>6561</v>
      </c>
      <c r="K2314" s="58"/>
      <c r="L2314" s="99"/>
      <c r="M2314" s="70" t="s">
        <v>6486</v>
      </c>
      <c r="N2314" s="97" t="s">
        <v>414</v>
      </c>
      <c r="O2314" s="58" t="s">
        <v>5713</v>
      </c>
      <c r="P2314" s="58" t="s">
        <v>24</v>
      </c>
      <c r="Q2314" s="58" t="s">
        <v>76</v>
      </c>
      <c r="R2314" s="58" t="s">
        <v>265</v>
      </c>
    </row>
    <row r="2315" spans="1:18" ht="69" customHeight="1">
      <c r="A2315" s="168"/>
      <c r="B2315" s="178">
        <v>8620</v>
      </c>
      <c r="C2315" s="59" t="s">
        <v>3667</v>
      </c>
      <c r="D2315" s="575" t="s">
        <v>6562</v>
      </c>
      <c r="E2315" s="178" t="s">
        <v>5708</v>
      </c>
      <c r="F2315" s="210" t="s">
        <v>6563</v>
      </c>
      <c r="G2315" s="58" t="s">
        <v>6392</v>
      </c>
      <c r="H2315" s="546">
        <v>11013.27</v>
      </c>
      <c r="I2315" s="66">
        <v>44944</v>
      </c>
      <c r="J2315" s="411" t="s">
        <v>6393</v>
      </c>
      <c r="K2315" s="58"/>
      <c r="L2315" s="99"/>
      <c r="M2315" s="70" t="s">
        <v>6486</v>
      </c>
      <c r="N2315" s="97" t="s">
        <v>414</v>
      </c>
      <c r="O2315" s="58" t="s">
        <v>5713</v>
      </c>
      <c r="P2315" s="58" t="s">
        <v>24</v>
      </c>
      <c r="Q2315" s="58" t="s">
        <v>76</v>
      </c>
      <c r="R2315" s="58" t="s">
        <v>265</v>
      </c>
    </row>
    <row r="2316" spans="1:18" ht="69" customHeight="1">
      <c r="A2316" s="168"/>
      <c r="B2316" s="178">
        <v>8724</v>
      </c>
      <c r="C2316" s="59" t="s">
        <v>3667</v>
      </c>
      <c r="D2316" s="575" t="s">
        <v>6564</v>
      </c>
      <c r="E2316" s="178" t="s">
        <v>5708</v>
      </c>
      <c r="F2316" s="210" t="s">
        <v>6565</v>
      </c>
      <c r="G2316" s="58" t="s">
        <v>6566</v>
      </c>
      <c r="H2316" s="546">
        <v>18000</v>
      </c>
      <c r="I2316" s="66">
        <v>44951</v>
      </c>
      <c r="J2316" s="411" t="s">
        <v>6567</v>
      </c>
      <c r="K2316" s="58"/>
      <c r="L2316" s="99"/>
      <c r="M2316" s="70" t="s">
        <v>6486</v>
      </c>
      <c r="N2316" s="97" t="s">
        <v>414</v>
      </c>
      <c r="O2316" s="58" t="s">
        <v>5713</v>
      </c>
      <c r="P2316" s="58" t="s">
        <v>24</v>
      </c>
      <c r="Q2316" s="58" t="s">
        <v>76</v>
      </c>
      <c r="R2316" s="58" t="s">
        <v>265</v>
      </c>
    </row>
    <row r="2317" spans="1:18" ht="69" customHeight="1">
      <c r="A2317" s="168"/>
      <c r="B2317" s="178">
        <v>8725</v>
      </c>
      <c r="C2317" s="59" t="s">
        <v>3667</v>
      </c>
      <c r="D2317" s="575" t="s">
        <v>6568</v>
      </c>
      <c r="E2317" s="178" t="s">
        <v>5708</v>
      </c>
      <c r="F2317" s="210" t="s">
        <v>6569</v>
      </c>
      <c r="G2317" s="58" t="s">
        <v>6566</v>
      </c>
      <c r="H2317" s="546">
        <v>36000</v>
      </c>
      <c r="I2317" s="66">
        <v>44951</v>
      </c>
      <c r="J2317" s="411" t="s">
        <v>6567</v>
      </c>
      <c r="K2317" s="58"/>
      <c r="L2317" s="99"/>
      <c r="M2317" s="70" t="s">
        <v>6486</v>
      </c>
      <c r="N2317" s="97" t="s">
        <v>414</v>
      </c>
      <c r="O2317" s="58" t="s">
        <v>5713</v>
      </c>
      <c r="P2317" s="58" t="s">
        <v>24</v>
      </c>
      <c r="Q2317" s="58" t="s">
        <v>76</v>
      </c>
      <c r="R2317" s="58" t="s">
        <v>265</v>
      </c>
    </row>
    <row r="2318" spans="1:18" ht="69" customHeight="1">
      <c r="A2318" s="168"/>
      <c r="B2318" s="178">
        <v>8753</v>
      </c>
      <c r="C2318" s="59" t="s">
        <v>3667</v>
      </c>
      <c r="D2318" s="575" t="s">
        <v>6570</v>
      </c>
      <c r="E2318" s="178" t="s">
        <v>5708</v>
      </c>
      <c r="F2318" s="210" t="s">
        <v>6571</v>
      </c>
      <c r="G2318" s="58" t="s">
        <v>6396</v>
      </c>
      <c r="H2318" s="546">
        <v>8370.3700000000008</v>
      </c>
      <c r="I2318" s="66">
        <v>44951</v>
      </c>
      <c r="J2318" s="411" t="s">
        <v>6397</v>
      </c>
      <c r="K2318" s="58"/>
      <c r="L2318" s="99"/>
      <c r="M2318" s="70" t="s">
        <v>6486</v>
      </c>
      <c r="N2318" s="97" t="s">
        <v>414</v>
      </c>
      <c r="O2318" s="58" t="s">
        <v>5713</v>
      </c>
      <c r="P2318" s="58" t="s">
        <v>24</v>
      </c>
      <c r="Q2318" s="58" t="s">
        <v>76</v>
      </c>
      <c r="R2318" s="58" t="s">
        <v>265</v>
      </c>
    </row>
    <row r="2319" spans="1:18" ht="69" customHeight="1">
      <c r="A2319" s="168"/>
      <c r="B2319" s="178">
        <v>8816</v>
      </c>
      <c r="C2319" s="59" t="s">
        <v>3667</v>
      </c>
      <c r="D2319" s="597" t="s">
        <v>6572</v>
      </c>
      <c r="E2319" s="511" t="s">
        <v>6192</v>
      </c>
      <c r="F2319" s="598" t="s">
        <v>6573</v>
      </c>
      <c r="G2319" s="455" t="s">
        <v>6194</v>
      </c>
      <c r="H2319" s="546">
        <v>501032.25</v>
      </c>
      <c r="I2319" s="66" t="s">
        <v>96</v>
      </c>
      <c r="J2319" s="599" t="s">
        <v>6195</v>
      </c>
      <c r="K2319" s="58"/>
      <c r="L2319" s="99"/>
      <c r="M2319" s="70" t="s">
        <v>6574</v>
      </c>
      <c r="N2319" s="97" t="s">
        <v>6197</v>
      </c>
      <c r="O2319" s="58"/>
      <c r="P2319" s="58" t="s">
        <v>22</v>
      </c>
      <c r="Q2319" s="58" t="s">
        <v>76</v>
      </c>
      <c r="R2319" s="58" t="s">
        <v>272</v>
      </c>
    </row>
    <row r="2320" spans="1:18" ht="69" customHeight="1">
      <c r="A2320" s="168"/>
      <c r="B2320" s="178">
        <v>8885</v>
      </c>
      <c r="C2320" s="59" t="s">
        <v>3667</v>
      </c>
      <c r="D2320" s="575" t="s">
        <v>6575</v>
      </c>
      <c r="E2320" s="178" t="s">
        <v>270</v>
      </c>
      <c r="F2320" s="210" t="s">
        <v>6576</v>
      </c>
      <c r="G2320" s="58" t="s">
        <v>392</v>
      </c>
      <c r="H2320" s="546">
        <v>1150</v>
      </c>
      <c r="I2320" s="66">
        <v>44985</v>
      </c>
      <c r="J2320" s="411" t="s">
        <v>4292</v>
      </c>
      <c r="K2320" s="58"/>
      <c r="L2320" s="99"/>
      <c r="M2320" s="70" t="s">
        <v>6495</v>
      </c>
      <c r="N2320" s="97" t="s">
        <v>270</v>
      </c>
      <c r="O2320" s="58"/>
      <c r="P2320" s="58" t="s">
        <v>44</v>
      </c>
      <c r="Q2320" s="58" t="s">
        <v>76</v>
      </c>
      <c r="R2320" s="58" t="s">
        <v>272</v>
      </c>
    </row>
    <row r="2321" spans="1:18" ht="69" customHeight="1">
      <c r="A2321" s="168"/>
      <c r="B2321" s="178">
        <v>8967</v>
      </c>
      <c r="C2321" s="59" t="s">
        <v>3667</v>
      </c>
      <c r="D2321" s="575" t="s">
        <v>6577</v>
      </c>
      <c r="E2321" s="178" t="s">
        <v>6578</v>
      </c>
      <c r="F2321" s="210" t="s">
        <v>6579</v>
      </c>
      <c r="G2321" s="58" t="s">
        <v>6580</v>
      </c>
      <c r="H2321" s="546">
        <v>46471.26</v>
      </c>
      <c r="I2321" s="66">
        <v>44988</v>
      </c>
      <c r="J2321" s="411" t="s">
        <v>6581</v>
      </c>
      <c r="K2321" s="58"/>
      <c r="L2321" s="99"/>
      <c r="M2321" s="70" t="s">
        <v>6582</v>
      </c>
      <c r="N2321" s="97" t="s">
        <v>6197</v>
      </c>
      <c r="O2321" s="58" t="s">
        <v>4116</v>
      </c>
      <c r="P2321" s="58" t="s">
        <v>22</v>
      </c>
      <c r="Q2321" s="58" t="s">
        <v>74</v>
      </c>
      <c r="R2321" s="58" t="s">
        <v>265</v>
      </c>
    </row>
    <row r="2322" spans="1:18" ht="69" customHeight="1">
      <c r="A2322" s="168"/>
      <c r="B2322" s="191">
        <v>8974</v>
      </c>
      <c r="C2322" s="191" t="s">
        <v>3667</v>
      </c>
      <c r="D2322" s="533" t="s">
        <v>6583</v>
      </c>
      <c r="E2322" s="191" t="s">
        <v>6578</v>
      </c>
      <c r="F2322" s="211" t="s">
        <v>6584</v>
      </c>
      <c r="G2322" s="46" t="s">
        <v>6585</v>
      </c>
      <c r="H2322" s="534">
        <v>18803.84</v>
      </c>
      <c r="I2322" s="56">
        <v>44988</v>
      </c>
      <c r="J2322" s="412" t="s">
        <v>6586</v>
      </c>
      <c r="K2322" s="46" t="s">
        <v>65</v>
      </c>
      <c r="L2322" s="99"/>
      <c r="M2322" s="70" t="s">
        <v>6582</v>
      </c>
      <c r="N2322" s="97" t="s">
        <v>6197</v>
      </c>
      <c r="O2322" s="46"/>
      <c r="P2322" s="46" t="s">
        <v>71</v>
      </c>
      <c r="Q2322" s="46" t="s">
        <v>76</v>
      </c>
      <c r="R2322" s="46" t="s">
        <v>272</v>
      </c>
    </row>
    <row r="2323" spans="1:18" ht="69" customHeight="1">
      <c r="A2323" s="168"/>
      <c r="B2323" s="191">
        <v>8975</v>
      </c>
      <c r="C2323" s="191" t="s">
        <v>3667</v>
      </c>
      <c r="D2323" s="533" t="s">
        <v>6587</v>
      </c>
      <c r="E2323" s="191" t="s">
        <v>6578</v>
      </c>
      <c r="F2323" s="211" t="s">
        <v>6588</v>
      </c>
      <c r="G2323" s="46" t="s">
        <v>6589</v>
      </c>
      <c r="H2323" s="534">
        <v>12021.58</v>
      </c>
      <c r="I2323" s="56">
        <v>44988</v>
      </c>
      <c r="J2323" s="412" t="s">
        <v>6586</v>
      </c>
      <c r="K2323" s="46" t="s">
        <v>65</v>
      </c>
      <c r="L2323" s="99"/>
      <c r="M2323" s="70" t="s">
        <v>6582</v>
      </c>
      <c r="N2323" s="97" t="s">
        <v>6197</v>
      </c>
      <c r="O2323" s="46"/>
      <c r="P2323" s="46" t="s">
        <v>71</v>
      </c>
      <c r="Q2323" s="46" t="s">
        <v>76</v>
      </c>
      <c r="R2323" s="46" t="s">
        <v>272</v>
      </c>
    </row>
    <row r="2324" spans="1:18" ht="69" customHeight="1">
      <c r="A2324" s="168"/>
      <c r="B2324" s="178">
        <v>9017</v>
      </c>
      <c r="C2324" s="59" t="s">
        <v>3667</v>
      </c>
      <c r="D2324" s="581" t="s">
        <v>6590</v>
      </c>
      <c r="E2324" s="59" t="s">
        <v>6192</v>
      </c>
      <c r="F2324" s="569" t="s">
        <v>6591</v>
      </c>
      <c r="G2324" s="45" t="s">
        <v>6403</v>
      </c>
      <c r="H2324" s="546">
        <v>211686.12</v>
      </c>
      <c r="I2324" s="66">
        <v>45001</v>
      </c>
      <c r="J2324" s="411" t="s">
        <v>6404</v>
      </c>
      <c r="K2324" s="58" t="s">
        <v>6592</v>
      </c>
      <c r="L2324" s="99"/>
      <c r="M2324" s="70" t="s">
        <v>6574</v>
      </c>
      <c r="N2324" s="97" t="s">
        <v>6197</v>
      </c>
      <c r="O2324" s="58"/>
      <c r="P2324" s="58" t="s">
        <v>22</v>
      </c>
      <c r="Q2324" s="58" t="s">
        <v>76</v>
      </c>
      <c r="R2324" s="58" t="s">
        <v>272</v>
      </c>
    </row>
    <row r="2325" spans="1:18" ht="69" customHeight="1">
      <c r="A2325" s="168"/>
      <c r="B2325" s="178">
        <v>9018</v>
      </c>
      <c r="C2325" s="59" t="s">
        <v>3667</v>
      </c>
      <c r="D2325" s="581" t="s">
        <v>6593</v>
      </c>
      <c r="E2325" s="59" t="s">
        <v>6192</v>
      </c>
      <c r="F2325" s="569" t="s">
        <v>6594</v>
      </c>
      <c r="G2325" s="45" t="s">
        <v>6407</v>
      </c>
      <c r="H2325" s="546">
        <v>113984.84</v>
      </c>
      <c r="I2325" s="66">
        <v>45001</v>
      </c>
      <c r="J2325" s="411" t="s">
        <v>6404</v>
      </c>
      <c r="K2325" s="58" t="s">
        <v>6592</v>
      </c>
      <c r="L2325" s="99"/>
      <c r="M2325" s="70" t="s">
        <v>6574</v>
      </c>
      <c r="N2325" s="97" t="s">
        <v>6197</v>
      </c>
      <c r="O2325" s="58"/>
      <c r="P2325" s="58" t="s">
        <v>22</v>
      </c>
      <c r="Q2325" s="58" t="s">
        <v>76</v>
      </c>
      <c r="R2325" s="58" t="s">
        <v>272</v>
      </c>
    </row>
    <row r="2326" spans="1:18" ht="69" customHeight="1">
      <c r="A2326" s="168"/>
      <c r="B2326" s="191">
        <v>9447</v>
      </c>
      <c r="C2326" s="191" t="s">
        <v>3667</v>
      </c>
      <c r="D2326" s="533" t="s">
        <v>6595</v>
      </c>
      <c r="E2326" s="191" t="s">
        <v>585</v>
      </c>
      <c r="F2326" s="211" t="s">
        <v>6596</v>
      </c>
      <c r="G2326" s="46" t="s">
        <v>6597</v>
      </c>
      <c r="H2326" s="534">
        <v>12021.58</v>
      </c>
      <c r="I2326" s="56">
        <v>45014</v>
      </c>
      <c r="J2326" s="412" t="s">
        <v>5864</v>
      </c>
      <c r="K2326" s="46" t="s">
        <v>167</v>
      </c>
      <c r="L2326" s="99"/>
      <c r="M2326" s="379"/>
      <c r="N2326" s="76" t="s">
        <v>6197</v>
      </c>
      <c r="O2326" s="46"/>
      <c r="P2326" s="46" t="s">
        <v>71</v>
      </c>
      <c r="Q2326" s="46" t="s">
        <v>76</v>
      </c>
      <c r="R2326" s="46" t="s">
        <v>272</v>
      </c>
    </row>
    <row r="2327" spans="1:18" ht="69" customHeight="1">
      <c r="A2327" s="168"/>
      <c r="B2327" s="178">
        <v>9455</v>
      </c>
      <c r="C2327" s="59" t="s">
        <v>3667</v>
      </c>
      <c r="D2327" s="575" t="s">
        <v>6598</v>
      </c>
      <c r="E2327" s="178" t="s">
        <v>6578</v>
      </c>
      <c r="F2327" s="210" t="s">
        <v>6599</v>
      </c>
      <c r="G2327" s="58" t="s">
        <v>4380</v>
      </c>
      <c r="H2327" s="546">
        <v>30917</v>
      </c>
      <c r="I2327" s="66">
        <v>45014</v>
      </c>
      <c r="J2327" s="411" t="s">
        <v>6600</v>
      </c>
      <c r="K2327" s="58"/>
      <c r="L2327" s="99"/>
      <c r="M2327" s="70" t="s">
        <v>6582</v>
      </c>
      <c r="N2327" s="97" t="s">
        <v>6197</v>
      </c>
      <c r="O2327" s="58"/>
      <c r="P2327" s="58" t="s">
        <v>22</v>
      </c>
      <c r="Q2327" s="58" t="s">
        <v>76</v>
      </c>
      <c r="R2327" s="58" t="s">
        <v>265</v>
      </c>
    </row>
    <row r="2328" spans="1:18" ht="69" customHeight="1">
      <c r="A2328" s="168"/>
      <c r="B2328" s="178">
        <v>9654</v>
      </c>
      <c r="C2328" s="59" t="s">
        <v>3667</v>
      </c>
      <c r="D2328" s="575" t="s">
        <v>6601</v>
      </c>
      <c r="E2328" s="178" t="s">
        <v>6192</v>
      </c>
      <c r="F2328" s="210" t="s">
        <v>6602</v>
      </c>
      <c r="G2328" s="58" t="s">
        <v>6423</v>
      </c>
      <c r="H2328" s="546">
        <v>59518.14</v>
      </c>
      <c r="I2328" s="66">
        <v>45014</v>
      </c>
      <c r="J2328" s="411" t="s">
        <v>6603</v>
      </c>
      <c r="K2328" s="58" t="s">
        <v>6604</v>
      </c>
      <c r="L2328" s="99"/>
      <c r="M2328" s="70" t="s">
        <v>6574</v>
      </c>
      <c r="N2328" s="97" t="s">
        <v>6197</v>
      </c>
      <c r="O2328" s="58"/>
      <c r="P2328" s="58" t="s">
        <v>22</v>
      </c>
      <c r="Q2328" s="58" t="s">
        <v>76</v>
      </c>
      <c r="R2328" s="58" t="s">
        <v>272</v>
      </c>
    </row>
    <row r="2329" spans="1:18" ht="69" customHeight="1">
      <c r="A2329" s="168"/>
      <c r="B2329" s="178">
        <v>9655</v>
      </c>
      <c r="C2329" s="59" t="s">
        <v>3667</v>
      </c>
      <c r="D2329" s="575" t="s">
        <v>6605</v>
      </c>
      <c r="E2329" s="178" t="s">
        <v>6192</v>
      </c>
      <c r="F2329" s="210" t="s">
        <v>6606</v>
      </c>
      <c r="G2329" s="58" t="s">
        <v>6427</v>
      </c>
      <c r="H2329" s="546">
        <v>110533.68</v>
      </c>
      <c r="I2329" s="66">
        <v>45014</v>
      </c>
      <c r="J2329" s="411" t="s">
        <v>6603</v>
      </c>
      <c r="K2329" s="58" t="s">
        <v>6604</v>
      </c>
      <c r="L2329" s="99"/>
      <c r="M2329" s="70" t="s">
        <v>6574</v>
      </c>
      <c r="N2329" s="97" t="s">
        <v>6197</v>
      </c>
      <c r="O2329" s="58"/>
      <c r="P2329" s="58" t="s">
        <v>22</v>
      </c>
      <c r="Q2329" s="58" t="s">
        <v>76</v>
      </c>
      <c r="R2329" s="58" t="s">
        <v>272</v>
      </c>
    </row>
    <row r="2330" spans="1:18" ht="69" customHeight="1">
      <c r="A2330" s="168"/>
      <c r="B2330" s="208">
        <v>9792</v>
      </c>
      <c r="C2330" s="207" t="s">
        <v>3667</v>
      </c>
      <c r="D2330" s="208" t="s">
        <v>6607</v>
      </c>
      <c r="E2330" s="208" t="s">
        <v>6578</v>
      </c>
      <c r="F2330" s="208" t="s">
        <v>6608</v>
      </c>
      <c r="G2330" s="160" t="s">
        <v>6436</v>
      </c>
      <c r="H2330" s="300">
        <v>25076.31</v>
      </c>
      <c r="I2330" s="209">
        <v>45041</v>
      </c>
      <c r="J2330" s="322" t="s">
        <v>6437</v>
      </c>
      <c r="K2330" s="160" t="s">
        <v>727</v>
      </c>
      <c r="M2330" s="380"/>
      <c r="N2330" s="82" t="s">
        <v>6197</v>
      </c>
      <c r="O2330" s="160"/>
      <c r="P2330" s="160" t="s">
        <v>67</v>
      </c>
      <c r="Q2330" s="160" t="s">
        <v>76</v>
      </c>
      <c r="R2330" s="160" t="s">
        <v>272</v>
      </c>
    </row>
    <row r="2331" spans="1:18" ht="69" customHeight="1">
      <c r="A2331" s="168"/>
      <c r="B2331" s="191">
        <v>9772</v>
      </c>
      <c r="C2331" s="191" t="s">
        <v>3667</v>
      </c>
      <c r="D2331" s="533" t="s">
        <v>6609</v>
      </c>
      <c r="E2331" s="191" t="s">
        <v>5708</v>
      </c>
      <c r="F2331" s="211" t="s">
        <v>6610</v>
      </c>
      <c r="G2331" s="46" t="s">
        <v>6611</v>
      </c>
      <c r="H2331" s="534">
        <v>38537.31</v>
      </c>
      <c r="I2331" s="56">
        <v>45028</v>
      </c>
      <c r="J2331" s="412" t="s">
        <v>6612</v>
      </c>
      <c r="K2331" s="46" t="s">
        <v>167</v>
      </c>
      <c r="L2331" s="99"/>
      <c r="M2331" s="379"/>
      <c r="N2331" s="76" t="s">
        <v>414</v>
      </c>
      <c r="O2331" s="46"/>
      <c r="P2331" s="46" t="s">
        <v>65</v>
      </c>
      <c r="Q2331" s="46" t="s">
        <v>76</v>
      </c>
      <c r="R2331" s="46" t="s">
        <v>272</v>
      </c>
    </row>
    <row r="2332" spans="1:18" ht="69" customHeight="1">
      <c r="A2332" s="168"/>
      <c r="B2332" s="191">
        <v>9773</v>
      </c>
      <c r="C2332" s="191" t="s">
        <v>3667</v>
      </c>
      <c r="D2332" s="533" t="s">
        <v>6613</v>
      </c>
      <c r="E2332" s="191" t="s">
        <v>5708</v>
      </c>
      <c r="F2332" s="211" t="s">
        <v>6614</v>
      </c>
      <c r="G2332" s="46" t="s">
        <v>6611</v>
      </c>
      <c r="H2332" s="534">
        <v>4056.4</v>
      </c>
      <c r="I2332" s="56">
        <v>45028</v>
      </c>
      <c r="J2332" s="412" t="s">
        <v>6612</v>
      </c>
      <c r="K2332" s="46" t="s">
        <v>167</v>
      </c>
      <c r="L2332" s="99"/>
      <c r="M2332" s="379"/>
      <c r="N2332" s="76" t="s">
        <v>414</v>
      </c>
      <c r="O2332" s="46"/>
      <c r="P2332" s="46" t="s">
        <v>65</v>
      </c>
      <c r="Q2332" s="46" t="s">
        <v>76</v>
      </c>
      <c r="R2332" s="46" t="s">
        <v>272</v>
      </c>
    </row>
    <row r="2333" spans="1:18" ht="69" customHeight="1">
      <c r="A2333" s="168"/>
      <c r="B2333" s="178">
        <v>9795</v>
      </c>
      <c r="C2333" s="59" t="s">
        <v>3667</v>
      </c>
      <c r="D2333" s="575" t="s">
        <v>6615</v>
      </c>
      <c r="E2333" s="178" t="s">
        <v>6578</v>
      </c>
      <c r="F2333" s="210" t="s">
        <v>6616</v>
      </c>
      <c r="G2333" s="58" t="s">
        <v>6617</v>
      </c>
      <c r="H2333" s="546">
        <v>46470.400000000001</v>
      </c>
      <c r="I2333" s="66">
        <v>45041</v>
      </c>
      <c r="J2333" s="411" t="s">
        <v>6618</v>
      </c>
      <c r="K2333" s="58"/>
      <c r="L2333" s="99"/>
      <c r="M2333" s="70" t="s">
        <v>6582</v>
      </c>
      <c r="N2333" s="97" t="s">
        <v>6197</v>
      </c>
      <c r="O2333" s="58" t="s">
        <v>4116</v>
      </c>
      <c r="P2333" s="58" t="s">
        <v>22</v>
      </c>
      <c r="Q2333" s="58" t="s">
        <v>74</v>
      </c>
      <c r="R2333" s="58" t="s">
        <v>265</v>
      </c>
    </row>
    <row r="2334" spans="1:18" ht="69" customHeight="1">
      <c r="A2334" s="168"/>
      <c r="B2334" s="178">
        <v>9801</v>
      </c>
      <c r="C2334" s="59" t="s">
        <v>3667</v>
      </c>
      <c r="D2334" s="575" t="s">
        <v>6619</v>
      </c>
      <c r="E2334" s="178" t="s">
        <v>6192</v>
      </c>
      <c r="F2334" s="210" t="s">
        <v>6620</v>
      </c>
      <c r="G2334" s="58" t="s">
        <v>6448</v>
      </c>
      <c r="H2334" s="546">
        <v>303758.09999999998</v>
      </c>
      <c r="I2334" s="66">
        <v>45035</v>
      </c>
      <c r="J2334" s="411" t="s">
        <v>6449</v>
      </c>
      <c r="K2334" s="58" t="s">
        <v>6621</v>
      </c>
      <c r="L2334" s="99"/>
      <c r="M2334" s="70" t="s">
        <v>6574</v>
      </c>
      <c r="N2334" s="97" t="s">
        <v>6197</v>
      </c>
      <c r="O2334" s="58"/>
      <c r="P2334" s="58" t="s">
        <v>22</v>
      </c>
      <c r="Q2334" s="58" t="s">
        <v>76</v>
      </c>
      <c r="R2334" s="58" t="s">
        <v>272</v>
      </c>
    </row>
    <row r="2335" spans="1:18" ht="69" customHeight="1">
      <c r="A2335" s="168"/>
      <c r="B2335" s="178">
        <v>9802</v>
      </c>
      <c r="C2335" s="59" t="s">
        <v>3667</v>
      </c>
      <c r="D2335" s="575" t="s">
        <v>6622</v>
      </c>
      <c r="E2335" s="178" t="s">
        <v>6192</v>
      </c>
      <c r="F2335" s="210" t="s">
        <v>6623</v>
      </c>
      <c r="G2335" s="58" t="s">
        <v>6452</v>
      </c>
      <c r="H2335" s="546">
        <v>163562.06</v>
      </c>
      <c r="I2335" s="66">
        <v>45035</v>
      </c>
      <c r="J2335" s="411" t="s">
        <v>6449</v>
      </c>
      <c r="K2335" s="58" t="s">
        <v>6621</v>
      </c>
      <c r="L2335" s="99"/>
      <c r="M2335" s="70" t="s">
        <v>6574</v>
      </c>
      <c r="N2335" s="97" t="s">
        <v>6197</v>
      </c>
      <c r="O2335" s="58"/>
      <c r="P2335" s="58" t="s">
        <v>22</v>
      </c>
      <c r="Q2335" s="58" t="s">
        <v>76</v>
      </c>
      <c r="R2335" s="58" t="s">
        <v>272</v>
      </c>
    </row>
    <row r="2336" spans="1:18" ht="69" customHeight="1">
      <c r="A2336" s="168"/>
      <c r="B2336" s="178">
        <v>9851</v>
      </c>
      <c r="C2336" s="59" t="s">
        <v>3667</v>
      </c>
      <c r="D2336" s="575" t="s">
        <v>6624</v>
      </c>
      <c r="E2336" s="178" t="s">
        <v>585</v>
      </c>
      <c r="F2336" s="210" t="s">
        <v>6625</v>
      </c>
      <c r="G2336" s="58" t="s">
        <v>6223</v>
      </c>
      <c r="H2336" s="546">
        <v>136500</v>
      </c>
      <c r="I2336" s="66">
        <v>45040</v>
      </c>
      <c r="J2336" s="411" t="s">
        <v>6626</v>
      </c>
      <c r="K2336" s="58"/>
      <c r="L2336" s="99"/>
      <c r="M2336" s="70" t="s">
        <v>6627</v>
      </c>
      <c r="N2336" s="97" t="s">
        <v>1372</v>
      </c>
      <c r="O2336" s="58"/>
      <c r="P2336" s="58" t="s">
        <v>57</v>
      </c>
      <c r="Q2336" s="58" t="s">
        <v>76</v>
      </c>
      <c r="R2336" s="58" t="s">
        <v>272</v>
      </c>
    </row>
    <row r="2337" spans="1:18" ht="69" customHeight="1">
      <c r="A2337" s="168"/>
      <c r="B2337" s="178">
        <v>9860</v>
      </c>
      <c r="C2337" s="59" t="s">
        <v>3667</v>
      </c>
      <c r="D2337" s="575" t="s">
        <v>6628</v>
      </c>
      <c r="E2337" s="178" t="s">
        <v>6578</v>
      </c>
      <c r="F2337" s="210" t="s">
        <v>6629</v>
      </c>
      <c r="G2337" s="58" t="s">
        <v>5225</v>
      </c>
      <c r="H2337" s="546">
        <v>38560</v>
      </c>
      <c r="I2337" s="66">
        <v>45051</v>
      </c>
      <c r="J2337" s="411" t="s">
        <v>6458</v>
      </c>
      <c r="K2337" s="58"/>
      <c r="L2337" s="99"/>
      <c r="M2337" s="70" t="s">
        <v>6582</v>
      </c>
      <c r="N2337" s="97" t="s">
        <v>6197</v>
      </c>
      <c r="O2337" s="58"/>
      <c r="P2337" s="58" t="s">
        <v>22</v>
      </c>
      <c r="Q2337" s="58" t="s">
        <v>76</v>
      </c>
      <c r="R2337" s="58" t="s">
        <v>265</v>
      </c>
    </row>
    <row r="2338" spans="1:18" ht="69" customHeight="1">
      <c r="A2338" s="168"/>
      <c r="B2338" s="178">
        <v>9867</v>
      </c>
      <c r="C2338" s="59" t="s">
        <v>3667</v>
      </c>
      <c r="D2338" s="575" t="s">
        <v>6630</v>
      </c>
      <c r="E2338" s="178" t="s">
        <v>6578</v>
      </c>
      <c r="F2338" s="210" t="s">
        <v>6631</v>
      </c>
      <c r="G2338" s="58" t="s">
        <v>5225</v>
      </c>
      <c r="H2338" s="546">
        <v>25076.31</v>
      </c>
      <c r="I2338" s="66">
        <v>45051</v>
      </c>
      <c r="J2338" s="411" t="s">
        <v>6462</v>
      </c>
      <c r="K2338" s="58"/>
      <c r="L2338" s="99"/>
      <c r="M2338" s="70" t="s">
        <v>6582</v>
      </c>
      <c r="N2338" s="97" t="s">
        <v>6197</v>
      </c>
      <c r="O2338" s="58"/>
      <c r="P2338" s="58" t="s">
        <v>22</v>
      </c>
      <c r="Q2338" s="58" t="s">
        <v>76</v>
      </c>
      <c r="R2338" s="58" t="s">
        <v>265</v>
      </c>
    </row>
    <row r="2339" spans="1:18" ht="69" customHeight="1">
      <c r="A2339" s="168"/>
      <c r="B2339" s="191">
        <v>9932</v>
      </c>
      <c r="C2339" s="191" t="s">
        <v>3667</v>
      </c>
      <c r="D2339" s="533" t="s">
        <v>6632</v>
      </c>
      <c r="E2339" s="191" t="s">
        <v>585</v>
      </c>
      <c r="F2339" s="211" t="s">
        <v>6633</v>
      </c>
      <c r="G2339" s="46" t="s">
        <v>6465</v>
      </c>
      <c r="H2339" s="534">
        <v>38537.31</v>
      </c>
      <c r="I2339" s="56">
        <v>45061</v>
      </c>
      <c r="J2339" s="412" t="s">
        <v>6466</v>
      </c>
      <c r="K2339" s="46" t="s">
        <v>167</v>
      </c>
      <c r="L2339" s="99"/>
      <c r="M2339" s="379"/>
      <c r="N2339" s="76" t="s">
        <v>6197</v>
      </c>
      <c r="O2339" s="46"/>
      <c r="P2339" s="46" t="s">
        <v>65</v>
      </c>
      <c r="Q2339" s="46" t="s">
        <v>76</v>
      </c>
      <c r="R2339" s="46" t="s">
        <v>272</v>
      </c>
    </row>
    <row r="2340" spans="1:18" ht="69" customHeight="1">
      <c r="A2340" s="168"/>
      <c r="B2340" s="178">
        <v>9959</v>
      </c>
      <c r="C2340" s="59" t="s">
        <v>3667</v>
      </c>
      <c r="D2340" s="575" t="s">
        <v>6634</v>
      </c>
      <c r="E2340" s="178" t="s">
        <v>6192</v>
      </c>
      <c r="F2340" s="210" t="s">
        <v>6635</v>
      </c>
      <c r="G2340" s="58" t="s">
        <v>6636</v>
      </c>
      <c r="H2340" s="546">
        <v>80817.740000000005</v>
      </c>
      <c r="I2340" s="66">
        <v>45049</v>
      </c>
      <c r="J2340" s="411" t="s">
        <v>6637</v>
      </c>
      <c r="K2340" s="58" t="s">
        <v>6638</v>
      </c>
      <c r="L2340" s="99"/>
      <c r="M2340" s="70" t="s">
        <v>6574</v>
      </c>
      <c r="N2340" s="97" t="s">
        <v>6197</v>
      </c>
      <c r="O2340" s="58"/>
      <c r="P2340" s="58" t="s">
        <v>22</v>
      </c>
      <c r="Q2340" s="58" t="s">
        <v>76</v>
      </c>
      <c r="R2340" s="58" t="s">
        <v>272</v>
      </c>
    </row>
    <row r="2341" spans="1:18" ht="69" customHeight="1">
      <c r="A2341" s="168"/>
      <c r="B2341" s="178">
        <v>9960</v>
      </c>
      <c r="C2341" s="59" t="s">
        <v>3667</v>
      </c>
      <c r="D2341" s="575" t="s">
        <v>6639</v>
      </c>
      <c r="E2341" s="178" t="s">
        <v>6192</v>
      </c>
      <c r="F2341" s="210" t="s">
        <v>6640</v>
      </c>
      <c r="G2341" s="58" t="s">
        <v>6641</v>
      </c>
      <c r="H2341" s="546">
        <v>43517.25</v>
      </c>
      <c r="I2341" s="66">
        <v>45049</v>
      </c>
      <c r="J2341" s="411" t="s">
        <v>6637</v>
      </c>
      <c r="K2341" s="58" t="s">
        <v>6638</v>
      </c>
      <c r="L2341" s="99"/>
      <c r="M2341" s="70" t="s">
        <v>6574</v>
      </c>
      <c r="N2341" s="97" t="s">
        <v>6197</v>
      </c>
      <c r="O2341" s="58"/>
      <c r="P2341" s="58" t="s">
        <v>22</v>
      </c>
      <c r="Q2341" s="58" t="s">
        <v>76</v>
      </c>
      <c r="R2341" s="58" t="s">
        <v>272</v>
      </c>
    </row>
    <row r="2342" spans="1:18" ht="69" customHeight="1">
      <c r="A2342" s="168"/>
      <c r="B2342" s="191">
        <v>2988</v>
      </c>
      <c r="C2342" s="191" t="s">
        <v>3643</v>
      </c>
      <c r="D2342" s="533" t="s">
        <v>6642</v>
      </c>
      <c r="E2342" s="191" t="s">
        <v>331</v>
      </c>
      <c r="F2342" s="211" t="s">
        <v>6643</v>
      </c>
      <c r="G2342" s="46" t="s">
        <v>4416</v>
      </c>
      <c r="H2342" s="534">
        <v>0</v>
      </c>
      <c r="I2342" s="56" t="s">
        <v>96</v>
      </c>
      <c r="J2342" s="412" t="s">
        <v>334</v>
      </c>
      <c r="K2342" s="46"/>
      <c r="L2342" s="99"/>
      <c r="M2342" s="379" t="s">
        <v>78</v>
      </c>
      <c r="N2342" s="76" t="s">
        <v>69</v>
      </c>
      <c r="O2342" s="46"/>
      <c r="P2342" s="46" t="s">
        <v>69</v>
      </c>
      <c r="Q2342" s="46" t="s">
        <v>78</v>
      </c>
      <c r="R2342" s="46" t="s">
        <v>272</v>
      </c>
    </row>
    <row r="2343" spans="1:18" ht="69" customHeight="1">
      <c r="A2343" s="168"/>
      <c r="B2343" s="191">
        <v>3215</v>
      </c>
      <c r="C2343" s="191" t="s">
        <v>6261</v>
      </c>
      <c r="D2343" s="533" t="s">
        <v>650</v>
      </c>
      <c r="E2343" s="191" t="s">
        <v>331</v>
      </c>
      <c r="F2343" s="211" t="s">
        <v>6643</v>
      </c>
      <c r="G2343" s="46" t="s">
        <v>4416</v>
      </c>
      <c r="H2343" s="534">
        <v>0</v>
      </c>
      <c r="I2343" s="56" t="s">
        <v>96</v>
      </c>
      <c r="J2343" s="412" t="s">
        <v>334</v>
      </c>
      <c r="K2343" s="46"/>
      <c r="L2343" s="99"/>
      <c r="M2343" s="379" t="s">
        <v>78</v>
      </c>
      <c r="N2343" s="76" t="s">
        <v>69</v>
      </c>
      <c r="O2343" s="46"/>
      <c r="P2343" s="46" t="s">
        <v>69</v>
      </c>
      <c r="Q2343" s="46" t="s">
        <v>78</v>
      </c>
      <c r="R2343" s="46" t="s">
        <v>272</v>
      </c>
    </row>
    <row r="2344" spans="1:18" ht="69" customHeight="1">
      <c r="A2344" s="168"/>
      <c r="B2344" s="178">
        <v>3923</v>
      </c>
      <c r="C2344" s="178" t="s">
        <v>259</v>
      </c>
      <c r="D2344" s="575"/>
      <c r="E2344" s="178" t="s">
        <v>266</v>
      </c>
      <c r="F2344" s="210" t="s">
        <v>6644</v>
      </c>
      <c r="G2344" s="58" t="s">
        <v>392</v>
      </c>
      <c r="H2344" s="546">
        <v>601.05999999999995</v>
      </c>
      <c r="I2344" s="66">
        <v>44608</v>
      </c>
      <c r="J2344" s="411" t="s">
        <v>6645</v>
      </c>
      <c r="K2344" s="58"/>
      <c r="L2344" s="99"/>
      <c r="M2344" s="70" t="s">
        <v>6646</v>
      </c>
      <c r="N2344" s="97" t="s">
        <v>270</v>
      </c>
      <c r="O2344" s="58"/>
      <c r="P2344" s="58" t="s">
        <v>44</v>
      </c>
      <c r="Q2344" s="58" t="s">
        <v>78</v>
      </c>
      <c r="R2344" s="58" t="s">
        <v>272</v>
      </c>
    </row>
    <row r="2345" spans="1:18" ht="69" customHeight="1">
      <c r="A2345" s="168"/>
      <c r="B2345" s="178">
        <v>3924</v>
      </c>
      <c r="C2345" s="178" t="s">
        <v>259</v>
      </c>
      <c r="D2345" s="575"/>
      <c r="E2345" s="178" t="s">
        <v>266</v>
      </c>
      <c r="F2345" s="210" t="s">
        <v>6647</v>
      </c>
      <c r="G2345" s="58" t="s">
        <v>392</v>
      </c>
      <c r="H2345" s="546">
        <v>140.66999999999999</v>
      </c>
      <c r="I2345" s="66">
        <v>44608</v>
      </c>
      <c r="J2345" s="411" t="s">
        <v>6648</v>
      </c>
      <c r="K2345" s="58"/>
      <c r="L2345" s="99"/>
      <c r="M2345" s="70" t="s">
        <v>6646</v>
      </c>
      <c r="N2345" s="97" t="s">
        <v>270</v>
      </c>
      <c r="O2345" s="58"/>
      <c r="P2345" s="58" t="s">
        <v>44</v>
      </c>
      <c r="Q2345" s="58" t="s">
        <v>78</v>
      </c>
      <c r="R2345" s="58" t="s">
        <v>272</v>
      </c>
    </row>
    <row r="2346" spans="1:18" ht="69" customHeight="1">
      <c r="A2346" s="168"/>
      <c r="B2346" s="178">
        <v>3925</v>
      </c>
      <c r="C2346" s="178" t="s">
        <v>259</v>
      </c>
      <c r="D2346" s="575"/>
      <c r="E2346" s="178" t="s">
        <v>266</v>
      </c>
      <c r="F2346" s="210" t="s">
        <v>6649</v>
      </c>
      <c r="G2346" s="58" t="s">
        <v>392</v>
      </c>
      <c r="H2346" s="546">
        <v>296.5</v>
      </c>
      <c r="I2346" s="66">
        <v>44608</v>
      </c>
      <c r="J2346" s="411" t="s">
        <v>6650</v>
      </c>
      <c r="K2346" s="58"/>
      <c r="L2346" s="99"/>
      <c r="M2346" s="70" t="s">
        <v>6646</v>
      </c>
      <c r="N2346" s="97" t="s">
        <v>270</v>
      </c>
      <c r="O2346" s="58"/>
      <c r="P2346" s="58" t="s">
        <v>44</v>
      </c>
      <c r="Q2346" s="58" t="s">
        <v>78</v>
      </c>
      <c r="R2346" s="58" t="s">
        <v>272</v>
      </c>
    </row>
    <row r="2347" spans="1:18" ht="69" customHeight="1">
      <c r="A2347" s="168"/>
      <c r="B2347" s="178">
        <v>3929</v>
      </c>
      <c r="C2347" s="178" t="s">
        <v>259</v>
      </c>
      <c r="D2347" s="575"/>
      <c r="E2347" s="178" t="s">
        <v>266</v>
      </c>
      <c r="F2347" s="210" t="s">
        <v>6644</v>
      </c>
      <c r="G2347" s="58" t="s">
        <v>392</v>
      </c>
      <c r="H2347" s="546">
        <v>624.91</v>
      </c>
      <c r="I2347" s="66" t="s">
        <v>96</v>
      </c>
      <c r="J2347" s="411" t="s">
        <v>6651</v>
      </c>
      <c r="K2347" s="58"/>
      <c r="L2347" s="99"/>
      <c r="M2347" s="70" t="s">
        <v>6646</v>
      </c>
      <c r="N2347" s="97" t="s">
        <v>270</v>
      </c>
      <c r="O2347" s="58"/>
      <c r="P2347" s="58" t="s">
        <v>44</v>
      </c>
      <c r="Q2347" s="58" t="s">
        <v>78</v>
      </c>
      <c r="R2347" s="58" t="s">
        <v>272</v>
      </c>
    </row>
    <row r="2348" spans="1:18" ht="69" customHeight="1">
      <c r="A2348" s="168"/>
      <c r="B2348" s="178">
        <v>3930</v>
      </c>
      <c r="C2348" s="178" t="s">
        <v>259</v>
      </c>
      <c r="D2348" s="575"/>
      <c r="E2348" s="178" t="s">
        <v>266</v>
      </c>
      <c r="F2348" s="210" t="s">
        <v>6647</v>
      </c>
      <c r="G2348" s="58" t="s">
        <v>392</v>
      </c>
      <c r="H2348" s="546">
        <v>95.3</v>
      </c>
      <c r="I2348" s="66" t="s">
        <v>96</v>
      </c>
      <c r="J2348" s="411" t="s">
        <v>6652</v>
      </c>
      <c r="K2348" s="58"/>
      <c r="L2348" s="99"/>
      <c r="M2348" s="70" t="s">
        <v>6646</v>
      </c>
      <c r="N2348" s="97" t="s">
        <v>270</v>
      </c>
      <c r="O2348" s="58"/>
      <c r="P2348" s="58" t="s">
        <v>44</v>
      </c>
      <c r="Q2348" s="58" t="s">
        <v>78</v>
      </c>
      <c r="R2348" s="58" t="s">
        <v>272</v>
      </c>
    </row>
    <row r="2349" spans="1:18" ht="69" customHeight="1">
      <c r="A2349" s="168"/>
      <c r="B2349" s="178">
        <v>3931</v>
      </c>
      <c r="C2349" s="178" t="s">
        <v>259</v>
      </c>
      <c r="D2349" s="575"/>
      <c r="E2349" s="178" t="s">
        <v>266</v>
      </c>
      <c r="F2349" s="210" t="s">
        <v>6649</v>
      </c>
      <c r="G2349" s="58" t="s">
        <v>392</v>
      </c>
      <c r="H2349" s="546">
        <v>3618.98</v>
      </c>
      <c r="I2349" s="66" t="s">
        <v>96</v>
      </c>
      <c r="J2349" s="411" t="s">
        <v>6653</v>
      </c>
      <c r="K2349" s="58"/>
      <c r="L2349" s="99"/>
      <c r="M2349" s="70" t="s">
        <v>6646</v>
      </c>
      <c r="N2349" s="97" t="s">
        <v>270</v>
      </c>
      <c r="O2349" s="58"/>
      <c r="P2349" s="58" t="s">
        <v>44</v>
      </c>
      <c r="Q2349" s="58" t="s">
        <v>78</v>
      </c>
      <c r="R2349" s="58" t="s">
        <v>272</v>
      </c>
    </row>
    <row r="2350" spans="1:18" ht="69" customHeight="1">
      <c r="A2350" s="168"/>
      <c r="B2350" s="178">
        <v>4003</v>
      </c>
      <c r="C2350" s="178" t="s">
        <v>6261</v>
      </c>
      <c r="D2350" s="575" t="s">
        <v>926</v>
      </c>
      <c r="E2350" s="178" t="s">
        <v>266</v>
      </c>
      <c r="F2350" s="210" t="s">
        <v>6654</v>
      </c>
      <c r="G2350" s="58" t="s">
        <v>1107</v>
      </c>
      <c r="H2350" s="546">
        <v>7293.34</v>
      </c>
      <c r="I2350" s="66">
        <v>44643</v>
      </c>
      <c r="J2350" s="411" t="s">
        <v>6655</v>
      </c>
      <c r="K2350" s="58"/>
      <c r="L2350" s="99"/>
      <c r="M2350" s="70" t="s">
        <v>6656</v>
      </c>
      <c r="N2350" s="97" t="s">
        <v>970</v>
      </c>
      <c r="O2350" s="58" t="s">
        <v>971</v>
      </c>
      <c r="P2350" s="58" t="s">
        <v>38</v>
      </c>
      <c r="Q2350" s="58" t="s">
        <v>78</v>
      </c>
      <c r="R2350" s="58" t="s">
        <v>272</v>
      </c>
    </row>
    <row r="2351" spans="1:18" ht="69" customHeight="1">
      <c r="A2351" s="168"/>
      <c r="B2351" s="178">
        <v>4747</v>
      </c>
      <c r="C2351" s="178" t="s">
        <v>6657</v>
      </c>
      <c r="D2351" s="575" t="s">
        <v>1703</v>
      </c>
      <c r="E2351" s="178" t="s">
        <v>266</v>
      </c>
      <c r="F2351" s="210" t="s">
        <v>6658</v>
      </c>
      <c r="G2351" s="58" t="s">
        <v>4574</v>
      </c>
      <c r="H2351" s="546">
        <v>793.16</v>
      </c>
      <c r="I2351" s="66">
        <v>44678</v>
      </c>
      <c r="J2351" s="411" t="s">
        <v>6659</v>
      </c>
      <c r="K2351" s="58"/>
      <c r="L2351" s="99"/>
      <c r="M2351" s="70" t="s">
        <v>6646</v>
      </c>
      <c r="N2351" s="97" t="s">
        <v>270</v>
      </c>
      <c r="O2351" s="58"/>
      <c r="P2351" s="58" t="s">
        <v>44</v>
      </c>
      <c r="Q2351" s="58" t="s">
        <v>78</v>
      </c>
      <c r="R2351" s="58" t="s">
        <v>272</v>
      </c>
    </row>
    <row r="2352" spans="1:18" ht="69" customHeight="1">
      <c r="A2352" s="168"/>
      <c r="B2352" s="178">
        <v>4938</v>
      </c>
      <c r="C2352" s="59" t="s">
        <v>3667</v>
      </c>
      <c r="D2352" s="575" t="s">
        <v>6660</v>
      </c>
      <c r="E2352" s="178" t="s">
        <v>382</v>
      </c>
      <c r="F2352" s="210" t="s">
        <v>6661</v>
      </c>
      <c r="G2352" s="58" t="s">
        <v>384</v>
      </c>
      <c r="H2352" s="546">
        <v>27761.33</v>
      </c>
      <c r="I2352" s="66">
        <v>44739</v>
      </c>
      <c r="J2352" s="411" t="s">
        <v>6662</v>
      </c>
      <c r="K2352" s="58"/>
      <c r="L2352" s="99"/>
      <c r="M2352" s="70" t="s">
        <v>6663</v>
      </c>
      <c r="N2352" s="97" t="s">
        <v>387</v>
      </c>
      <c r="O2352" s="45" t="s">
        <v>150</v>
      </c>
      <c r="P2352" s="58" t="s">
        <v>51</v>
      </c>
      <c r="Q2352" s="58" t="s">
        <v>78</v>
      </c>
      <c r="R2352" s="58" t="s">
        <v>272</v>
      </c>
    </row>
    <row r="2353" spans="1:18" ht="69" customHeight="1">
      <c r="A2353" s="168"/>
      <c r="B2353" s="178">
        <v>4940</v>
      </c>
      <c r="C2353" s="59" t="s">
        <v>3667</v>
      </c>
      <c r="D2353" s="575" t="s">
        <v>2257</v>
      </c>
      <c r="E2353" s="178" t="s">
        <v>382</v>
      </c>
      <c r="F2353" s="210" t="s">
        <v>6664</v>
      </c>
      <c r="G2353" s="58" t="s">
        <v>384</v>
      </c>
      <c r="H2353" s="546">
        <v>39819.519999999997</v>
      </c>
      <c r="I2353" s="66">
        <v>44739</v>
      </c>
      <c r="J2353" s="411" t="s">
        <v>6665</v>
      </c>
      <c r="K2353" s="58"/>
      <c r="L2353" s="99"/>
      <c r="M2353" s="70" t="s">
        <v>6663</v>
      </c>
      <c r="N2353" s="97" t="s">
        <v>387</v>
      </c>
      <c r="O2353" s="45" t="s">
        <v>150</v>
      </c>
      <c r="P2353" s="58" t="s">
        <v>51</v>
      </c>
      <c r="Q2353" s="58" t="s">
        <v>78</v>
      </c>
      <c r="R2353" s="58" t="s">
        <v>272</v>
      </c>
    </row>
    <row r="2354" spans="1:18" ht="69" customHeight="1">
      <c r="A2354" s="168"/>
      <c r="B2354" s="178">
        <v>5338</v>
      </c>
      <c r="C2354" s="178" t="s">
        <v>6261</v>
      </c>
      <c r="D2354" s="575" t="s">
        <v>374</v>
      </c>
      <c r="E2354" s="178" t="s">
        <v>266</v>
      </c>
      <c r="F2354" s="210" t="s">
        <v>6666</v>
      </c>
      <c r="G2354" s="58" t="s">
        <v>307</v>
      </c>
      <c r="H2354" s="546">
        <v>17000</v>
      </c>
      <c r="I2354" s="66">
        <v>44754</v>
      </c>
      <c r="J2354" s="411" t="s">
        <v>6667</v>
      </c>
      <c r="K2354" s="58" t="s">
        <v>705</v>
      </c>
      <c r="L2354" s="99"/>
      <c r="M2354" s="70" t="s">
        <v>6646</v>
      </c>
      <c r="N2354" s="97" t="s">
        <v>270</v>
      </c>
      <c r="O2354" s="58"/>
      <c r="P2354" s="58" t="s">
        <v>44</v>
      </c>
      <c r="Q2354" s="58" t="s">
        <v>78</v>
      </c>
      <c r="R2354" s="58" t="s">
        <v>272</v>
      </c>
    </row>
    <row r="2355" spans="1:18" ht="69" customHeight="1">
      <c r="A2355" s="168"/>
      <c r="B2355" s="178">
        <v>6059</v>
      </c>
      <c r="C2355" s="178" t="s">
        <v>6261</v>
      </c>
      <c r="D2355" s="575" t="s">
        <v>1316</v>
      </c>
      <c r="E2355" s="178" t="s">
        <v>266</v>
      </c>
      <c r="F2355" s="210" t="s">
        <v>6668</v>
      </c>
      <c r="G2355" s="58" t="s">
        <v>680</v>
      </c>
      <c r="H2355" s="546">
        <v>7000</v>
      </c>
      <c r="I2355" s="66" t="s">
        <v>96</v>
      </c>
      <c r="J2355" s="411" t="s">
        <v>6669</v>
      </c>
      <c r="K2355" s="58"/>
      <c r="L2355" s="99"/>
      <c r="M2355" s="70" t="s">
        <v>6670</v>
      </c>
      <c r="N2355" s="97" t="s">
        <v>683</v>
      </c>
      <c r="O2355" s="58" t="s">
        <v>684</v>
      </c>
      <c r="P2355" s="58" t="s">
        <v>46</v>
      </c>
      <c r="Q2355" s="58" t="s">
        <v>78</v>
      </c>
      <c r="R2355" s="58" t="s">
        <v>272</v>
      </c>
    </row>
    <row r="2356" spans="1:18" ht="69" customHeight="1">
      <c r="A2356" s="168"/>
      <c r="B2356" s="178">
        <v>6355</v>
      </c>
      <c r="C2356" s="59" t="s">
        <v>3667</v>
      </c>
      <c r="D2356" s="575" t="s">
        <v>6671</v>
      </c>
      <c r="E2356" s="178" t="s">
        <v>5708</v>
      </c>
      <c r="F2356" s="210" t="s">
        <v>6672</v>
      </c>
      <c r="G2356" s="58" t="s">
        <v>352</v>
      </c>
      <c r="H2356" s="546">
        <v>131397.29999999999</v>
      </c>
      <c r="I2356" s="66">
        <v>44799</v>
      </c>
      <c r="J2356" s="411" t="s">
        <v>6673</v>
      </c>
      <c r="K2356" s="58"/>
      <c r="L2356" s="99"/>
      <c r="M2356" s="70" t="s">
        <v>6674</v>
      </c>
      <c r="N2356" s="97" t="s">
        <v>414</v>
      </c>
      <c r="O2356" s="58" t="s">
        <v>5713</v>
      </c>
      <c r="P2356" s="58" t="s">
        <v>24</v>
      </c>
      <c r="Q2356" s="58" t="s">
        <v>78</v>
      </c>
      <c r="R2356" s="58" t="s">
        <v>265</v>
      </c>
    </row>
    <row r="2357" spans="1:18" ht="69" customHeight="1">
      <c r="A2357" s="168"/>
      <c r="B2357" s="178">
        <v>6430</v>
      </c>
      <c r="C2357" s="178" t="s">
        <v>6261</v>
      </c>
      <c r="D2357" s="575" t="s">
        <v>6675</v>
      </c>
      <c r="E2357" s="178" t="s">
        <v>432</v>
      </c>
      <c r="F2357" s="210" t="s">
        <v>6676</v>
      </c>
      <c r="G2357" s="58" t="s">
        <v>429</v>
      </c>
      <c r="H2357" s="546">
        <v>13959.486000000001</v>
      </c>
      <c r="I2357" s="66">
        <v>44802</v>
      </c>
      <c r="J2357" s="411" t="s">
        <v>6286</v>
      </c>
      <c r="K2357" s="58"/>
      <c r="L2357" s="99"/>
      <c r="M2357" s="70" t="s">
        <v>6677</v>
      </c>
      <c r="N2357" s="97" t="s">
        <v>432</v>
      </c>
      <c r="O2357" s="58"/>
      <c r="P2357" s="58" t="s">
        <v>53</v>
      </c>
      <c r="Q2357" s="58" t="s">
        <v>78</v>
      </c>
      <c r="R2357" s="58" t="s">
        <v>272</v>
      </c>
    </row>
    <row r="2358" spans="1:18" ht="69" customHeight="1">
      <c r="A2358" s="168"/>
      <c r="B2358" s="178">
        <v>6631</v>
      </c>
      <c r="C2358" s="59" t="s">
        <v>3667</v>
      </c>
      <c r="D2358" s="575" t="s">
        <v>6678</v>
      </c>
      <c r="E2358" s="178" t="s">
        <v>6289</v>
      </c>
      <c r="F2358" s="210" t="s">
        <v>6679</v>
      </c>
      <c r="G2358" s="58" t="s">
        <v>1369</v>
      </c>
      <c r="H2358" s="546">
        <v>4833.34</v>
      </c>
      <c r="I2358" s="66">
        <v>44818</v>
      </c>
      <c r="J2358" s="411" t="s">
        <v>6680</v>
      </c>
      <c r="K2358" s="58" t="s">
        <v>6681</v>
      </c>
      <c r="L2358" s="99"/>
      <c r="M2358" s="70" t="s">
        <v>6682</v>
      </c>
      <c r="N2358" s="97" t="s">
        <v>414</v>
      </c>
      <c r="O2358" s="58" t="s">
        <v>5713</v>
      </c>
      <c r="P2358" s="58" t="s">
        <v>24</v>
      </c>
      <c r="Q2358" s="58" t="s">
        <v>78</v>
      </c>
      <c r="R2358" s="58" t="s">
        <v>265</v>
      </c>
    </row>
    <row r="2359" spans="1:18" ht="69" customHeight="1">
      <c r="A2359" s="168"/>
      <c r="B2359" s="178">
        <v>6695</v>
      </c>
      <c r="C2359" s="178" t="s">
        <v>6261</v>
      </c>
      <c r="D2359" s="575" t="s">
        <v>6683</v>
      </c>
      <c r="E2359" s="178" t="s">
        <v>6289</v>
      </c>
      <c r="F2359" s="210" t="s">
        <v>6684</v>
      </c>
      <c r="G2359" s="58" t="s">
        <v>5809</v>
      </c>
      <c r="H2359" s="546">
        <v>274070.21999999997</v>
      </c>
      <c r="I2359" s="66">
        <v>44820</v>
      </c>
      <c r="J2359" s="411" t="s">
        <v>6291</v>
      </c>
      <c r="K2359" s="58"/>
      <c r="L2359" s="99"/>
      <c r="M2359" s="70" t="s">
        <v>6682</v>
      </c>
      <c r="N2359" s="97" t="s">
        <v>414</v>
      </c>
      <c r="O2359" s="58" t="s">
        <v>5713</v>
      </c>
      <c r="P2359" s="58" t="s">
        <v>24</v>
      </c>
      <c r="Q2359" s="58" t="s">
        <v>78</v>
      </c>
      <c r="R2359" s="58" t="s">
        <v>272</v>
      </c>
    </row>
    <row r="2360" spans="1:18" ht="69" customHeight="1">
      <c r="A2360" s="168"/>
      <c r="B2360" s="178">
        <v>7578</v>
      </c>
      <c r="C2360" s="59" t="s">
        <v>3667</v>
      </c>
      <c r="D2360" s="575" t="s">
        <v>6685</v>
      </c>
      <c r="E2360" s="178" t="s">
        <v>5708</v>
      </c>
      <c r="F2360" s="210" t="s">
        <v>6686</v>
      </c>
      <c r="G2360" s="58" t="s">
        <v>1048</v>
      </c>
      <c r="H2360" s="546">
        <v>5200</v>
      </c>
      <c r="I2360" s="66">
        <v>44890</v>
      </c>
      <c r="J2360" s="411" t="s">
        <v>6120</v>
      </c>
      <c r="K2360" s="58"/>
      <c r="L2360" s="99"/>
      <c r="M2360" s="70" t="s">
        <v>6674</v>
      </c>
      <c r="N2360" s="97" t="s">
        <v>414</v>
      </c>
      <c r="O2360" s="58" t="s">
        <v>5713</v>
      </c>
      <c r="P2360" s="58" t="s">
        <v>24</v>
      </c>
      <c r="Q2360" s="58" t="s">
        <v>78</v>
      </c>
      <c r="R2360" s="58" t="s">
        <v>265</v>
      </c>
    </row>
    <row r="2361" spans="1:18" ht="69" customHeight="1">
      <c r="A2361" s="168"/>
      <c r="B2361" s="178">
        <v>7583</v>
      </c>
      <c r="C2361" s="59" t="s">
        <v>3667</v>
      </c>
      <c r="D2361" s="575" t="s">
        <v>6687</v>
      </c>
      <c r="E2361" s="178" t="s">
        <v>5708</v>
      </c>
      <c r="F2361" s="210" t="s">
        <v>6688</v>
      </c>
      <c r="G2361" s="58" t="s">
        <v>1048</v>
      </c>
      <c r="H2361" s="546">
        <v>14301</v>
      </c>
      <c r="I2361" s="66">
        <v>44890</v>
      </c>
      <c r="J2361" s="411" t="s">
        <v>6123</v>
      </c>
      <c r="K2361" s="58"/>
      <c r="L2361" s="99"/>
      <c r="M2361" s="70" t="s">
        <v>6674</v>
      </c>
      <c r="N2361" s="97" t="s">
        <v>414</v>
      </c>
      <c r="O2361" s="58" t="s">
        <v>5713</v>
      </c>
      <c r="P2361" s="58" t="s">
        <v>24</v>
      </c>
      <c r="Q2361" s="58" t="s">
        <v>78</v>
      </c>
      <c r="R2361" s="58" t="s">
        <v>265</v>
      </c>
    </row>
    <row r="2362" spans="1:18" ht="69" customHeight="1">
      <c r="A2362" s="168"/>
      <c r="B2362" s="178">
        <v>6703</v>
      </c>
      <c r="C2362" s="59" t="s">
        <v>3667</v>
      </c>
      <c r="D2362" s="575" t="s">
        <v>6689</v>
      </c>
      <c r="E2362" s="178" t="s">
        <v>5708</v>
      </c>
      <c r="F2362" s="210" t="s">
        <v>6690</v>
      </c>
      <c r="G2362" s="58" t="s">
        <v>5710</v>
      </c>
      <c r="H2362" s="546">
        <v>41784.31</v>
      </c>
      <c r="I2362" s="66">
        <v>44834</v>
      </c>
      <c r="J2362" s="411" t="s">
        <v>6691</v>
      </c>
      <c r="K2362" s="58"/>
      <c r="L2362" s="99"/>
      <c r="M2362" s="70" t="s">
        <v>6674</v>
      </c>
      <c r="N2362" s="97" t="s">
        <v>414</v>
      </c>
      <c r="O2362" s="58" t="s">
        <v>5713</v>
      </c>
      <c r="P2362" s="58" t="s">
        <v>24</v>
      </c>
      <c r="Q2362" s="58" t="s">
        <v>78</v>
      </c>
      <c r="R2362" s="58" t="s">
        <v>265</v>
      </c>
    </row>
    <row r="2363" spans="1:18" ht="69" customHeight="1">
      <c r="A2363" s="168"/>
      <c r="B2363" s="178">
        <v>7388</v>
      </c>
      <c r="C2363" s="178" t="s">
        <v>6261</v>
      </c>
      <c r="D2363" s="575" t="s">
        <v>3029</v>
      </c>
      <c r="E2363" s="178" t="s">
        <v>432</v>
      </c>
      <c r="F2363" s="210" t="s">
        <v>6692</v>
      </c>
      <c r="G2363" s="58" t="s">
        <v>1121</v>
      </c>
      <c r="H2363" s="546">
        <v>34317.03</v>
      </c>
      <c r="I2363" s="66">
        <v>44876</v>
      </c>
      <c r="J2363" s="411" t="s">
        <v>1122</v>
      </c>
      <c r="K2363" s="58"/>
      <c r="L2363" s="99"/>
      <c r="M2363" s="70" t="s">
        <v>6677</v>
      </c>
      <c r="N2363" s="97" t="s">
        <v>432</v>
      </c>
      <c r="O2363" s="58"/>
      <c r="P2363" s="58" t="s">
        <v>53</v>
      </c>
      <c r="Q2363" s="58" t="s">
        <v>78</v>
      </c>
      <c r="R2363" s="58" t="s">
        <v>272</v>
      </c>
    </row>
    <row r="2364" spans="1:18" ht="69" customHeight="1">
      <c r="A2364" s="168"/>
      <c r="B2364" s="178">
        <v>7583</v>
      </c>
      <c r="C2364" s="178" t="s">
        <v>6693</v>
      </c>
      <c r="D2364" s="575" t="s">
        <v>2126</v>
      </c>
      <c r="E2364" s="178" t="s">
        <v>2075</v>
      </c>
      <c r="F2364" s="210" t="s">
        <v>6694</v>
      </c>
      <c r="G2364" s="58" t="s">
        <v>1041</v>
      </c>
      <c r="H2364" s="546">
        <v>8680</v>
      </c>
      <c r="I2364" s="66">
        <v>44904</v>
      </c>
      <c r="J2364" s="411" t="s">
        <v>1080</v>
      </c>
      <c r="K2364" s="58"/>
      <c r="L2364" s="99"/>
      <c r="M2364" s="70" t="s">
        <v>6695</v>
      </c>
      <c r="N2364" s="97" t="s">
        <v>1044</v>
      </c>
      <c r="O2364" s="58"/>
      <c r="P2364" s="58" t="s">
        <v>26</v>
      </c>
      <c r="Q2364" s="58" t="s">
        <v>78</v>
      </c>
      <c r="R2364" s="58" t="s">
        <v>272</v>
      </c>
    </row>
    <row r="2365" spans="1:18" ht="69" customHeight="1">
      <c r="A2365" s="168"/>
      <c r="B2365" s="178">
        <v>8180</v>
      </c>
      <c r="C2365" s="178" t="s">
        <v>657</v>
      </c>
      <c r="D2365" s="575"/>
      <c r="E2365" s="178" t="s">
        <v>5708</v>
      </c>
      <c r="F2365" s="210" t="s">
        <v>6696</v>
      </c>
      <c r="G2365" s="58" t="s">
        <v>1149</v>
      </c>
      <c r="H2365" s="546">
        <v>3620</v>
      </c>
      <c r="I2365" s="66">
        <v>44916</v>
      </c>
      <c r="J2365" s="411" t="s">
        <v>6069</v>
      </c>
      <c r="K2365" s="58"/>
      <c r="L2365" s="99"/>
      <c r="M2365" s="70" t="s">
        <v>6674</v>
      </c>
      <c r="N2365" s="97" t="s">
        <v>414</v>
      </c>
      <c r="O2365" s="58" t="s">
        <v>5713</v>
      </c>
      <c r="P2365" s="58" t="s">
        <v>24</v>
      </c>
      <c r="Q2365" s="58" t="s">
        <v>78</v>
      </c>
      <c r="R2365" s="58" t="s">
        <v>265</v>
      </c>
    </row>
    <row r="2366" spans="1:18" ht="69" customHeight="1">
      <c r="A2366" s="168"/>
      <c r="B2366" s="178">
        <v>7637</v>
      </c>
      <c r="C2366" s="59" t="s">
        <v>3667</v>
      </c>
      <c r="D2366" s="575" t="s">
        <v>6697</v>
      </c>
      <c r="E2366" s="178" t="s">
        <v>5708</v>
      </c>
      <c r="F2366" s="210" t="s">
        <v>6698</v>
      </c>
      <c r="G2366" s="58" t="s">
        <v>1048</v>
      </c>
      <c r="H2366" s="546">
        <v>21667.42</v>
      </c>
      <c r="I2366" s="66">
        <v>44895</v>
      </c>
      <c r="J2366" s="411" t="s">
        <v>6139</v>
      </c>
      <c r="K2366" s="58"/>
      <c r="L2366" s="99"/>
      <c r="M2366" s="70" t="s">
        <v>6674</v>
      </c>
      <c r="N2366" s="97" t="s">
        <v>414</v>
      </c>
      <c r="O2366" s="58" t="s">
        <v>5713</v>
      </c>
      <c r="P2366" s="58" t="s">
        <v>24</v>
      </c>
      <c r="Q2366" s="58" t="s">
        <v>78</v>
      </c>
      <c r="R2366" s="58" t="s">
        <v>265</v>
      </c>
    </row>
    <row r="2367" spans="1:18" ht="69" customHeight="1">
      <c r="A2367" s="168"/>
      <c r="B2367" s="178">
        <v>8056</v>
      </c>
      <c r="C2367" s="59" t="s">
        <v>3667</v>
      </c>
      <c r="D2367" s="575" t="s">
        <v>6699</v>
      </c>
      <c r="E2367" s="178" t="s">
        <v>5708</v>
      </c>
      <c r="F2367" s="210" t="s">
        <v>6700</v>
      </c>
      <c r="G2367" s="58" t="s">
        <v>6326</v>
      </c>
      <c r="H2367" s="546">
        <v>14500</v>
      </c>
      <c r="I2367" s="66">
        <v>44881</v>
      </c>
      <c r="J2367" s="411" t="s">
        <v>6327</v>
      </c>
      <c r="K2367" s="58"/>
      <c r="L2367" s="99"/>
      <c r="M2367" s="70" t="s">
        <v>6674</v>
      </c>
      <c r="N2367" s="97" t="s">
        <v>414</v>
      </c>
      <c r="O2367" s="58" t="s">
        <v>5713</v>
      </c>
      <c r="P2367" s="58" t="s">
        <v>24</v>
      </c>
      <c r="Q2367" s="58" t="s">
        <v>78</v>
      </c>
      <c r="R2367" s="58" t="s">
        <v>265</v>
      </c>
    </row>
    <row r="2368" spans="1:18" ht="69" customHeight="1">
      <c r="A2368" s="168"/>
      <c r="B2368" s="178">
        <v>8127</v>
      </c>
      <c r="C2368" s="59" t="s">
        <v>3667</v>
      </c>
      <c r="D2368" s="575" t="s">
        <v>6701</v>
      </c>
      <c r="E2368" s="178" t="s">
        <v>5708</v>
      </c>
      <c r="F2368" s="210" t="s">
        <v>6702</v>
      </c>
      <c r="G2368" s="58" t="s">
        <v>1149</v>
      </c>
      <c r="H2368" s="546">
        <v>29335.21</v>
      </c>
      <c r="I2368" s="66">
        <v>44914</v>
      </c>
      <c r="J2368" s="411" t="s">
        <v>6130</v>
      </c>
      <c r="K2368" s="58"/>
      <c r="L2368" s="99"/>
      <c r="M2368" s="70" t="s">
        <v>6674</v>
      </c>
      <c r="N2368" s="97" t="s">
        <v>414</v>
      </c>
      <c r="O2368" s="58" t="s">
        <v>5713</v>
      </c>
      <c r="P2368" s="58" t="s">
        <v>24</v>
      </c>
      <c r="Q2368" s="58" t="s">
        <v>78</v>
      </c>
      <c r="R2368" s="58" t="s">
        <v>265</v>
      </c>
    </row>
    <row r="2369" spans="1:18" ht="69" customHeight="1">
      <c r="A2369" s="168"/>
      <c r="B2369" s="178">
        <v>8130</v>
      </c>
      <c r="C2369" s="59" t="s">
        <v>3667</v>
      </c>
      <c r="D2369" s="575" t="s">
        <v>6703</v>
      </c>
      <c r="E2369" s="178" t="s">
        <v>5708</v>
      </c>
      <c r="F2369" s="210" t="s">
        <v>6704</v>
      </c>
      <c r="G2369" s="58" t="s">
        <v>1149</v>
      </c>
      <c r="H2369" s="546">
        <v>3160</v>
      </c>
      <c r="I2369" s="66">
        <v>44914</v>
      </c>
      <c r="J2369" s="411" t="s">
        <v>6338</v>
      </c>
      <c r="K2369" s="58"/>
      <c r="L2369" s="99"/>
      <c r="M2369" s="70" t="s">
        <v>6674</v>
      </c>
      <c r="N2369" s="97" t="s">
        <v>414</v>
      </c>
      <c r="O2369" s="58" t="s">
        <v>5713</v>
      </c>
      <c r="P2369" s="58" t="s">
        <v>24</v>
      </c>
      <c r="Q2369" s="58" t="s">
        <v>78</v>
      </c>
      <c r="R2369" s="58" t="s">
        <v>265</v>
      </c>
    </row>
    <row r="2370" spans="1:18" ht="69" customHeight="1">
      <c r="A2370" s="168"/>
      <c r="B2370" s="178">
        <v>8164</v>
      </c>
      <c r="C2370" s="59" t="s">
        <v>3667</v>
      </c>
      <c r="D2370" s="575" t="s">
        <v>6705</v>
      </c>
      <c r="E2370" s="178" t="s">
        <v>5708</v>
      </c>
      <c r="F2370" s="210" t="s">
        <v>6706</v>
      </c>
      <c r="G2370" s="58" t="s">
        <v>1149</v>
      </c>
      <c r="H2370" s="546">
        <v>9471.64</v>
      </c>
      <c r="I2370" s="66">
        <v>44886</v>
      </c>
      <c r="J2370" s="411" t="s">
        <v>6136</v>
      </c>
      <c r="K2370" s="58"/>
      <c r="L2370" s="99"/>
      <c r="M2370" s="70" t="s">
        <v>6674</v>
      </c>
      <c r="N2370" s="97" t="s">
        <v>414</v>
      </c>
      <c r="O2370" s="58" t="s">
        <v>5713</v>
      </c>
      <c r="P2370" s="58" t="s">
        <v>24</v>
      </c>
      <c r="Q2370" s="58" t="s">
        <v>78</v>
      </c>
      <c r="R2370" s="58" t="s">
        <v>265</v>
      </c>
    </row>
    <row r="2371" spans="1:18" ht="69" customHeight="1">
      <c r="A2371" s="168"/>
      <c r="B2371" s="178">
        <v>8060</v>
      </c>
      <c r="C2371" s="178" t="s">
        <v>6261</v>
      </c>
      <c r="D2371" s="575" t="s">
        <v>6707</v>
      </c>
      <c r="E2371" s="178" t="s">
        <v>970</v>
      </c>
      <c r="F2371" s="210" t="s">
        <v>6708</v>
      </c>
      <c r="G2371" s="58" t="s">
        <v>1107</v>
      </c>
      <c r="H2371" s="546">
        <v>7293.34</v>
      </c>
      <c r="I2371" s="66">
        <v>44911</v>
      </c>
      <c r="J2371" s="411" t="s">
        <v>6113</v>
      </c>
      <c r="K2371" s="58"/>
      <c r="L2371" s="99"/>
      <c r="M2371" s="70" t="s">
        <v>6656</v>
      </c>
      <c r="N2371" s="97" t="s">
        <v>970</v>
      </c>
      <c r="O2371" s="58" t="s">
        <v>971</v>
      </c>
      <c r="P2371" s="58" t="s">
        <v>38</v>
      </c>
      <c r="Q2371" s="58" t="s">
        <v>78</v>
      </c>
      <c r="R2371" s="58" t="s">
        <v>272</v>
      </c>
    </row>
    <row r="2372" spans="1:18" ht="69" customHeight="1">
      <c r="A2372" s="168"/>
      <c r="B2372" s="178">
        <v>8061</v>
      </c>
      <c r="C2372" s="178" t="s">
        <v>6261</v>
      </c>
      <c r="D2372" s="575" t="s">
        <v>6709</v>
      </c>
      <c r="E2372" s="178" t="s">
        <v>970</v>
      </c>
      <c r="F2372" s="210" t="s">
        <v>6710</v>
      </c>
      <c r="G2372" s="58" t="s">
        <v>1107</v>
      </c>
      <c r="H2372" s="546">
        <v>7293.34</v>
      </c>
      <c r="I2372" s="66">
        <v>44911</v>
      </c>
      <c r="J2372" s="411" t="s">
        <v>6113</v>
      </c>
      <c r="K2372" s="58"/>
      <c r="L2372" s="99"/>
      <c r="M2372" s="70" t="s">
        <v>6656</v>
      </c>
      <c r="N2372" s="97" t="s">
        <v>970</v>
      </c>
      <c r="O2372" s="58" t="s">
        <v>971</v>
      </c>
      <c r="P2372" s="58" t="s">
        <v>38</v>
      </c>
      <c r="Q2372" s="58" t="s">
        <v>78</v>
      </c>
      <c r="R2372" s="58" t="s">
        <v>272</v>
      </c>
    </row>
    <row r="2373" spans="1:18" ht="69" customHeight="1">
      <c r="A2373" s="168"/>
      <c r="B2373" s="178">
        <v>7299</v>
      </c>
      <c r="C2373" s="178" t="s">
        <v>6693</v>
      </c>
      <c r="D2373" s="575" t="s">
        <v>6711</v>
      </c>
      <c r="E2373" s="178" t="s">
        <v>2075</v>
      </c>
      <c r="F2373" s="210" t="s">
        <v>6712</v>
      </c>
      <c r="G2373" s="58" t="s">
        <v>1041</v>
      </c>
      <c r="H2373" s="546">
        <v>35996.94</v>
      </c>
      <c r="I2373" s="66">
        <v>44869</v>
      </c>
      <c r="J2373" s="411" t="s">
        <v>6099</v>
      </c>
      <c r="K2373" s="58"/>
      <c r="L2373" s="99"/>
      <c r="M2373" s="70" t="s">
        <v>6695</v>
      </c>
      <c r="N2373" s="97" t="s">
        <v>1044</v>
      </c>
      <c r="O2373" s="58"/>
      <c r="P2373" s="58" t="s">
        <v>26</v>
      </c>
      <c r="Q2373" s="58" t="s">
        <v>78</v>
      </c>
      <c r="R2373" s="58" t="s">
        <v>272</v>
      </c>
    </row>
    <row r="2374" spans="1:18" ht="69" customHeight="1">
      <c r="A2374" s="168"/>
      <c r="B2374" s="178">
        <v>7461</v>
      </c>
      <c r="C2374" s="178" t="s">
        <v>6693</v>
      </c>
      <c r="D2374" s="575" t="s">
        <v>1166</v>
      </c>
      <c r="E2374" s="178" t="s">
        <v>2075</v>
      </c>
      <c r="F2374" s="210" t="s">
        <v>6713</v>
      </c>
      <c r="G2374" s="58" t="s">
        <v>1041</v>
      </c>
      <c r="H2374" s="546">
        <v>133643.54</v>
      </c>
      <c r="I2374" s="66">
        <v>44883</v>
      </c>
      <c r="J2374" s="411" t="s">
        <v>1042</v>
      </c>
      <c r="K2374" s="58"/>
      <c r="L2374" s="99"/>
      <c r="M2374" s="70" t="s">
        <v>6695</v>
      </c>
      <c r="N2374" s="97" t="s">
        <v>1044</v>
      </c>
      <c r="O2374" s="58"/>
      <c r="P2374" s="58" t="s">
        <v>26</v>
      </c>
      <c r="Q2374" s="58" t="s">
        <v>78</v>
      </c>
      <c r="R2374" s="58" t="s">
        <v>272</v>
      </c>
    </row>
    <row r="2375" spans="1:18" ht="69" customHeight="1">
      <c r="A2375" s="168"/>
      <c r="B2375" s="178">
        <v>8329</v>
      </c>
      <c r="C2375" s="59" t="s">
        <v>3667</v>
      </c>
      <c r="D2375" s="575" t="s">
        <v>6714</v>
      </c>
      <c r="E2375" s="178" t="s">
        <v>5708</v>
      </c>
      <c r="F2375" s="210" t="s">
        <v>6715</v>
      </c>
      <c r="G2375" s="58" t="s">
        <v>2822</v>
      </c>
      <c r="H2375" s="546">
        <v>3100</v>
      </c>
      <c r="I2375" s="66">
        <v>44921</v>
      </c>
      <c r="J2375" s="411" t="s">
        <v>6076</v>
      </c>
      <c r="K2375" s="58"/>
      <c r="L2375" s="99"/>
      <c r="M2375" s="70" t="s">
        <v>6674</v>
      </c>
      <c r="N2375" s="97" t="s">
        <v>414</v>
      </c>
      <c r="O2375" s="58" t="s">
        <v>5713</v>
      </c>
      <c r="P2375" s="58" t="s">
        <v>24</v>
      </c>
      <c r="Q2375" s="58" t="s">
        <v>78</v>
      </c>
      <c r="R2375" s="58" t="s">
        <v>265</v>
      </c>
    </row>
    <row r="2376" spans="1:18" ht="69" customHeight="1">
      <c r="A2376" s="168"/>
      <c r="B2376" s="846">
        <v>8382</v>
      </c>
      <c r="C2376" s="846" t="s">
        <v>6657</v>
      </c>
      <c r="D2376" s="847" t="s">
        <v>2864</v>
      </c>
      <c r="E2376" s="846" t="s">
        <v>6289</v>
      </c>
      <c r="F2376" s="848" t="s">
        <v>6716</v>
      </c>
      <c r="G2376" s="849" t="s">
        <v>6312</v>
      </c>
      <c r="H2376" s="850">
        <v>95924.58</v>
      </c>
      <c r="I2376" s="851">
        <v>44923</v>
      </c>
      <c r="J2376" s="852" t="s">
        <v>6717</v>
      </c>
      <c r="K2376" s="849" t="s">
        <v>6718</v>
      </c>
      <c r="L2376" s="853"/>
      <c r="M2376" s="70" t="s">
        <v>6682</v>
      </c>
      <c r="N2376" s="97" t="s">
        <v>414</v>
      </c>
      <c r="O2376" s="849" t="s">
        <v>96</v>
      </c>
      <c r="P2376" s="849" t="s">
        <v>67</v>
      </c>
      <c r="Q2376" s="849" t="s">
        <v>78</v>
      </c>
      <c r="R2376" s="849" t="s">
        <v>272</v>
      </c>
    </row>
    <row r="2377" spans="1:18" ht="69" customHeight="1">
      <c r="A2377" s="168"/>
      <c r="B2377" s="178">
        <v>8404</v>
      </c>
      <c r="C2377" s="178" t="s">
        <v>6693</v>
      </c>
      <c r="D2377" s="575" t="s">
        <v>3224</v>
      </c>
      <c r="E2377" s="178" t="s">
        <v>741</v>
      </c>
      <c r="F2377" s="210" t="s">
        <v>6719</v>
      </c>
      <c r="G2377" s="58" t="s">
        <v>6720</v>
      </c>
      <c r="H2377" s="546">
        <v>153000</v>
      </c>
      <c r="I2377" s="66">
        <v>44923</v>
      </c>
      <c r="J2377" s="411" t="s">
        <v>6721</v>
      </c>
      <c r="K2377" s="58"/>
      <c r="L2377" s="99"/>
      <c r="M2377" s="70" t="s">
        <v>6722</v>
      </c>
      <c r="N2377" s="97" t="s">
        <v>741</v>
      </c>
      <c r="O2377" s="58"/>
      <c r="P2377" s="58" t="s">
        <v>59</v>
      </c>
      <c r="Q2377" s="58" t="s">
        <v>78</v>
      </c>
      <c r="R2377" s="58" t="s">
        <v>272</v>
      </c>
    </row>
    <row r="2378" spans="1:18" ht="69" customHeight="1">
      <c r="A2378" s="168"/>
      <c r="B2378" s="178">
        <v>8558</v>
      </c>
      <c r="C2378" s="178" t="s">
        <v>6693</v>
      </c>
      <c r="D2378" s="575" t="s">
        <v>2165</v>
      </c>
      <c r="E2378" s="178" t="s">
        <v>3235</v>
      </c>
      <c r="F2378" s="210" t="s">
        <v>6723</v>
      </c>
      <c r="G2378" s="58" t="s">
        <v>1877</v>
      </c>
      <c r="H2378" s="546">
        <v>12025.8</v>
      </c>
      <c r="I2378" s="66">
        <v>44946</v>
      </c>
      <c r="J2378" s="411" t="s">
        <v>1878</v>
      </c>
      <c r="K2378" s="58"/>
      <c r="L2378" s="99"/>
      <c r="M2378" s="70" t="s">
        <v>6695</v>
      </c>
      <c r="N2378" s="97" t="s">
        <v>1044</v>
      </c>
      <c r="O2378" s="58"/>
      <c r="P2378" s="58" t="s">
        <v>26</v>
      </c>
      <c r="Q2378" s="58" t="s">
        <v>78</v>
      </c>
      <c r="R2378" s="58" t="s">
        <v>272</v>
      </c>
    </row>
    <row r="2379" spans="1:18" ht="69" customHeight="1">
      <c r="A2379" s="168"/>
      <c r="B2379" s="178">
        <v>8506</v>
      </c>
      <c r="C2379" s="178" t="s">
        <v>6261</v>
      </c>
      <c r="D2379" s="575" t="s">
        <v>1927</v>
      </c>
      <c r="E2379" s="178" t="s">
        <v>6289</v>
      </c>
      <c r="F2379" s="210" t="s">
        <v>6724</v>
      </c>
      <c r="G2379" s="58" t="s">
        <v>6312</v>
      </c>
      <c r="H2379" s="546">
        <v>95924.58</v>
      </c>
      <c r="I2379" s="66">
        <v>44937</v>
      </c>
      <c r="J2379" s="411" t="s">
        <v>6717</v>
      </c>
      <c r="K2379" s="58"/>
      <c r="L2379" s="99"/>
      <c r="M2379" s="70" t="s">
        <v>6682</v>
      </c>
      <c r="N2379" s="97" t="s">
        <v>414</v>
      </c>
      <c r="O2379" s="58" t="s">
        <v>5713</v>
      </c>
      <c r="P2379" s="58" t="s">
        <v>24</v>
      </c>
      <c r="Q2379" s="58" t="s">
        <v>78</v>
      </c>
      <c r="R2379" s="58" t="s">
        <v>272</v>
      </c>
    </row>
    <row r="2380" spans="1:18" ht="69" customHeight="1">
      <c r="A2380" s="168"/>
      <c r="B2380" s="178">
        <v>8521</v>
      </c>
      <c r="C2380" s="59" t="s">
        <v>3667</v>
      </c>
      <c r="D2380" s="575" t="s">
        <v>2656</v>
      </c>
      <c r="E2380" s="178" t="s">
        <v>5708</v>
      </c>
      <c r="F2380" s="210" t="s">
        <v>6725</v>
      </c>
      <c r="G2380" s="58" t="s">
        <v>6380</v>
      </c>
      <c r="H2380" s="546">
        <v>12500</v>
      </c>
      <c r="I2380" s="66">
        <v>44945</v>
      </c>
      <c r="J2380" s="411" t="s">
        <v>6381</v>
      </c>
      <c r="K2380" s="58"/>
      <c r="L2380" s="99"/>
      <c r="M2380" s="70" t="s">
        <v>6674</v>
      </c>
      <c r="N2380" s="97" t="s">
        <v>414</v>
      </c>
      <c r="O2380" s="58" t="s">
        <v>5713</v>
      </c>
      <c r="P2380" s="58" t="s">
        <v>24</v>
      </c>
      <c r="Q2380" s="58" t="s">
        <v>78</v>
      </c>
      <c r="R2380" s="58" t="s">
        <v>265</v>
      </c>
    </row>
    <row r="2381" spans="1:18" ht="69" customHeight="1">
      <c r="A2381" s="168"/>
      <c r="B2381" s="178">
        <v>8613</v>
      </c>
      <c r="C2381" s="59" t="s">
        <v>3667</v>
      </c>
      <c r="D2381" s="575" t="s">
        <v>3142</v>
      </c>
      <c r="E2381" s="178" t="s">
        <v>5708</v>
      </c>
      <c r="F2381" s="210" t="s">
        <v>6726</v>
      </c>
      <c r="G2381" s="58" t="s">
        <v>6727</v>
      </c>
      <c r="H2381" s="546">
        <v>4200</v>
      </c>
      <c r="I2381" s="66">
        <v>44944</v>
      </c>
      <c r="J2381" s="411" t="s">
        <v>6728</v>
      </c>
      <c r="K2381" s="58"/>
      <c r="L2381" s="99"/>
      <c r="M2381" s="70" t="s">
        <v>6674</v>
      </c>
      <c r="N2381" s="97" t="s">
        <v>414</v>
      </c>
      <c r="O2381" s="58" t="s">
        <v>5713</v>
      </c>
      <c r="P2381" s="58" t="s">
        <v>24</v>
      </c>
      <c r="Q2381" s="58" t="s">
        <v>78</v>
      </c>
      <c r="R2381" s="58" t="s">
        <v>265</v>
      </c>
    </row>
    <row r="2382" spans="1:18" ht="69" customHeight="1">
      <c r="A2382" s="168"/>
      <c r="B2382" s="178">
        <v>8720</v>
      </c>
      <c r="C2382" s="59" t="s">
        <v>3667</v>
      </c>
      <c r="D2382" s="575" t="s">
        <v>6729</v>
      </c>
      <c r="E2382" s="178" t="s">
        <v>5708</v>
      </c>
      <c r="F2382" s="210" t="s">
        <v>6730</v>
      </c>
      <c r="G2382" s="58" t="s">
        <v>5351</v>
      </c>
      <c r="H2382" s="546">
        <v>12659.89</v>
      </c>
      <c r="I2382" s="66">
        <v>44946</v>
      </c>
      <c r="J2382" s="411" t="s">
        <v>6731</v>
      </c>
      <c r="K2382" s="58"/>
      <c r="L2382" s="99"/>
      <c r="M2382" s="70" t="s">
        <v>6674</v>
      </c>
      <c r="N2382" s="97" t="s">
        <v>414</v>
      </c>
      <c r="O2382" s="58" t="s">
        <v>5713</v>
      </c>
      <c r="P2382" s="58" t="s">
        <v>24</v>
      </c>
      <c r="Q2382" s="58" t="s">
        <v>78</v>
      </c>
      <c r="R2382" s="58" t="s">
        <v>265</v>
      </c>
    </row>
    <row r="2383" spans="1:18" ht="69" customHeight="1">
      <c r="A2383" s="168"/>
      <c r="B2383" s="178">
        <v>8693</v>
      </c>
      <c r="C2383" s="178" t="s">
        <v>6693</v>
      </c>
      <c r="D2383" s="575" t="s">
        <v>6732</v>
      </c>
      <c r="E2383" s="178" t="s">
        <v>755</v>
      </c>
      <c r="F2383" s="210" t="s">
        <v>6733</v>
      </c>
      <c r="G2383" s="58" t="s">
        <v>6734</v>
      </c>
      <c r="H2383" s="546">
        <v>13750</v>
      </c>
      <c r="I2383" s="66">
        <v>44949</v>
      </c>
      <c r="J2383" s="411" t="s">
        <v>6184</v>
      </c>
      <c r="K2383" s="58"/>
      <c r="L2383" s="99"/>
      <c r="M2383" s="70" t="s">
        <v>6646</v>
      </c>
      <c r="N2383" s="97" t="s">
        <v>270</v>
      </c>
      <c r="O2383" s="58"/>
      <c r="P2383" s="58" t="s">
        <v>44</v>
      </c>
      <c r="Q2383" s="58" t="s">
        <v>78</v>
      </c>
      <c r="R2383" s="58" t="s">
        <v>272</v>
      </c>
    </row>
    <row r="2384" spans="1:18" ht="69" customHeight="1">
      <c r="A2384" s="168"/>
      <c r="B2384" s="178">
        <v>8817</v>
      </c>
      <c r="C2384" s="59" t="s">
        <v>3667</v>
      </c>
      <c r="D2384" s="597" t="s">
        <v>6735</v>
      </c>
      <c r="E2384" s="511" t="s">
        <v>6192</v>
      </c>
      <c r="F2384" s="598" t="s">
        <v>6736</v>
      </c>
      <c r="G2384" s="455" t="s">
        <v>6194</v>
      </c>
      <c r="H2384" s="546">
        <v>501032.25</v>
      </c>
      <c r="I2384" s="66" t="s">
        <v>96</v>
      </c>
      <c r="J2384" s="599" t="s">
        <v>6195</v>
      </c>
      <c r="K2384" s="58"/>
      <c r="L2384" s="99"/>
      <c r="M2384" s="70" t="s">
        <v>6737</v>
      </c>
      <c r="N2384" s="97" t="s">
        <v>6197</v>
      </c>
      <c r="O2384" s="58"/>
      <c r="P2384" s="58" t="s">
        <v>22</v>
      </c>
      <c r="Q2384" s="58" t="s">
        <v>78</v>
      </c>
      <c r="R2384" s="58" t="s">
        <v>272</v>
      </c>
    </row>
    <row r="2385" spans="1:18" ht="69" customHeight="1">
      <c r="A2385" s="168"/>
      <c r="B2385" s="178">
        <v>8886</v>
      </c>
      <c r="C2385" s="59" t="s">
        <v>3667</v>
      </c>
      <c r="D2385" s="575" t="s">
        <v>6738</v>
      </c>
      <c r="E2385" s="178" t="s">
        <v>270</v>
      </c>
      <c r="F2385" s="210" t="s">
        <v>6739</v>
      </c>
      <c r="G2385" s="58" t="s">
        <v>392</v>
      </c>
      <c r="H2385" s="546">
        <v>1150</v>
      </c>
      <c r="I2385" s="66">
        <v>44985</v>
      </c>
      <c r="J2385" s="411" t="s">
        <v>4292</v>
      </c>
      <c r="K2385" s="58"/>
      <c r="L2385" s="99"/>
      <c r="M2385" s="70" t="s">
        <v>6646</v>
      </c>
      <c r="N2385" s="97" t="s">
        <v>270</v>
      </c>
      <c r="O2385" s="58"/>
      <c r="P2385" s="58" t="s">
        <v>44</v>
      </c>
      <c r="Q2385" s="58" t="s">
        <v>78</v>
      </c>
      <c r="R2385" s="58" t="s">
        <v>272</v>
      </c>
    </row>
    <row r="2386" spans="1:18" ht="69" customHeight="1">
      <c r="A2386" s="168"/>
      <c r="B2386" s="191">
        <v>9445</v>
      </c>
      <c r="C2386" s="191" t="s">
        <v>6693</v>
      </c>
      <c r="D2386" s="533" t="s">
        <v>6740</v>
      </c>
      <c r="E2386" s="191" t="s">
        <v>6192</v>
      </c>
      <c r="F2386" s="211" t="s">
        <v>6741</v>
      </c>
      <c r="G2386" s="46" t="s">
        <v>6742</v>
      </c>
      <c r="H2386" s="534">
        <v>27000</v>
      </c>
      <c r="I2386" s="56">
        <v>45014</v>
      </c>
      <c r="J2386" s="412" t="s">
        <v>6743</v>
      </c>
      <c r="K2386" s="46"/>
      <c r="L2386" s="99"/>
      <c r="M2386" s="379"/>
      <c r="N2386" s="76" t="s">
        <v>6197</v>
      </c>
      <c r="O2386" s="46" t="s">
        <v>6744</v>
      </c>
      <c r="P2386" s="46" t="s">
        <v>59</v>
      </c>
      <c r="Q2386" s="46" t="s">
        <v>78</v>
      </c>
      <c r="R2386" s="46" t="s">
        <v>272</v>
      </c>
    </row>
    <row r="2387" spans="1:18" ht="69" customHeight="1">
      <c r="A2387" s="168"/>
      <c r="B2387" s="178">
        <v>7485</v>
      </c>
      <c r="C2387" s="59" t="s">
        <v>3667</v>
      </c>
      <c r="D2387" s="575" t="s">
        <v>6745</v>
      </c>
      <c r="E2387" s="178" t="s">
        <v>266</v>
      </c>
      <c r="F2387" s="210" t="s">
        <v>6746</v>
      </c>
      <c r="G2387" s="58" t="s">
        <v>444</v>
      </c>
      <c r="H2387" s="546">
        <v>5334.67</v>
      </c>
      <c r="I2387" s="66">
        <v>44879</v>
      </c>
      <c r="J2387" s="411" t="s">
        <v>445</v>
      </c>
      <c r="K2387" s="58"/>
      <c r="L2387" s="99"/>
      <c r="M2387" s="70" t="s">
        <v>6747</v>
      </c>
      <c r="N2387" s="97" t="s">
        <v>270</v>
      </c>
      <c r="O2387" s="58"/>
      <c r="P2387" s="58" t="s">
        <v>44</v>
      </c>
      <c r="Q2387" s="58" t="s">
        <v>80</v>
      </c>
      <c r="R2387" s="58" t="s">
        <v>272</v>
      </c>
    </row>
    <row r="2388" spans="1:18" ht="69" customHeight="1">
      <c r="A2388" s="168"/>
      <c r="B2388" s="191">
        <v>2989</v>
      </c>
      <c r="C2388" s="191" t="s">
        <v>3643</v>
      </c>
      <c r="D2388" s="533" t="s">
        <v>6748</v>
      </c>
      <c r="E2388" s="191" t="s">
        <v>331</v>
      </c>
      <c r="F2388" s="211" t="s">
        <v>6749</v>
      </c>
      <c r="G2388" s="46" t="s">
        <v>4416</v>
      </c>
      <c r="H2388" s="534">
        <v>0</v>
      </c>
      <c r="I2388" s="56" t="s">
        <v>96</v>
      </c>
      <c r="J2388" s="412" t="s">
        <v>334</v>
      </c>
      <c r="K2388" s="46"/>
      <c r="L2388" s="99"/>
      <c r="M2388" s="379" t="s">
        <v>80</v>
      </c>
      <c r="N2388" s="76" t="s">
        <v>69</v>
      </c>
      <c r="O2388" s="46"/>
      <c r="P2388" s="46" t="s">
        <v>69</v>
      </c>
      <c r="Q2388" s="46" t="s">
        <v>80</v>
      </c>
      <c r="R2388" s="46" t="s">
        <v>272</v>
      </c>
    </row>
    <row r="2389" spans="1:18" ht="69" customHeight="1">
      <c r="A2389" s="168"/>
      <c r="B2389" s="191">
        <v>3216</v>
      </c>
      <c r="C2389" s="191" t="s">
        <v>5615</v>
      </c>
      <c r="D2389" s="533" t="s">
        <v>330</v>
      </c>
      <c r="E2389" s="191" t="s">
        <v>331</v>
      </c>
      <c r="F2389" s="211" t="s">
        <v>6749</v>
      </c>
      <c r="G2389" s="46" t="s">
        <v>4416</v>
      </c>
      <c r="H2389" s="534">
        <v>0</v>
      </c>
      <c r="I2389" s="56" t="s">
        <v>96</v>
      </c>
      <c r="J2389" s="412" t="s">
        <v>334</v>
      </c>
      <c r="K2389" s="46"/>
      <c r="L2389" s="99"/>
      <c r="M2389" s="379" t="s">
        <v>80</v>
      </c>
      <c r="N2389" s="76" t="s">
        <v>69</v>
      </c>
      <c r="O2389" s="46"/>
      <c r="P2389" s="46" t="s">
        <v>69</v>
      </c>
      <c r="Q2389" s="46" t="s">
        <v>80</v>
      </c>
      <c r="R2389" s="46" t="s">
        <v>272</v>
      </c>
    </row>
    <row r="2390" spans="1:18" ht="69" customHeight="1">
      <c r="A2390" s="168"/>
      <c r="B2390" s="178">
        <v>3935</v>
      </c>
      <c r="C2390" s="59" t="s">
        <v>3667</v>
      </c>
      <c r="D2390" s="575" t="s">
        <v>6750</v>
      </c>
      <c r="E2390" s="178" t="s">
        <v>921</v>
      </c>
      <c r="F2390" s="210" t="s">
        <v>6751</v>
      </c>
      <c r="G2390" s="58" t="s">
        <v>5662</v>
      </c>
      <c r="H2390" s="546">
        <v>40792.5</v>
      </c>
      <c r="I2390" s="66">
        <v>44616</v>
      </c>
      <c r="J2390" s="411" t="s">
        <v>6752</v>
      </c>
      <c r="K2390" s="58" t="s">
        <v>6753</v>
      </c>
      <c r="L2390" s="99"/>
      <c r="M2390" s="70" t="s">
        <v>6754</v>
      </c>
      <c r="N2390" s="97" t="s">
        <v>356</v>
      </c>
      <c r="O2390" s="58" t="s">
        <v>156</v>
      </c>
      <c r="P2390" s="58" t="s">
        <v>19</v>
      </c>
      <c r="Q2390" s="58" t="s">
        <v>80</v>
      </c>
      <c r="R2390" s="58" t="s">
        <v>272</v>
      </c>
    </row>
    <row r="2391" spans="1:18" ht="69" customHeight="1">
      <c r="A2391" s="168"/>
      <c r="B2391" s="178">
        <v>4063</v>
      </c>
      <c r="C2391" s="59" t="s">
        <v>3667</v>
      </c>
      <c r="D2391" s="575" t="s">
        <v>6755</v>
      </c>
      <c r="E2391" s="178" t="s">
        <v>266</v>
      </c>
      <c r="F2391" s="210" t="s">
        <v>6756</v>
      </c>
      <c r="G2391" s="58" t="s">
        <v>640</v>
      </c>
      <c r="H2391" s="546">
        <v>8875</v>
      </c>
      <c r="I2391" s="66">
        <v>44636</v>
      </c>
      <c r="J2391" s="411" t="s">
        <v>6757</v>
      </c>
      <c r="K2391" s="58"/>
      <c r="L2391" s="99"/>
      <c r="M2391" s="70" t="s">
        <v>6747</v>
      </c>
      <c r="N2391" s="97" t="s">
        <v>270</v>
      </c>
      <c r="O2391" s="58"/>
      <c r="P2391" s="58" t="s">
        <v>44</v>
      </c>
      <c r="Q2391" s="58" t="s">
        <v>80</v>
      </c>
      <c r="R2391" s="58" t="s">
        <v>272</v>
      </c>
    </row>
    <row r="2392" spans="1:18" ht="69" customHeight="1">
      <c r="A2392" s="168"/>
      <c r="B2392" s="178">
        <v>4066</v>
      </c>
      <c r="C2392" s="59" t="s">
        <v>3667</v>
      </c>
      <c r="D2392" s="575" t="s">
        <v>300</v>
      </c>
      <c r="E2392" s="178" t="s">
        <v>266</v>
      </c>
      <c r="F2392" s="210" t="s">
        <v>6758</v>
      </c>
      <c r="G2392" s="58" t="s">
        <v>315</v>
      </c>
      <c r="H2392" s="546">
        <v>7100</v>
      </c>
      <c r="I2392" s="66">
        <v>44636</v>
      </c>
      <c r="J2392" s="411" t="s">
        <v>6759</v>
      </c>
      <c r="K2392" s="58"/>
      <c r="L2392" s="99"/>
      <c r="M2392" s="70" t="s">
        <v>6747</v>
      </c>
      <c r="N2392" s="97" t="s">
        <v>270</v>
      </c>
      <c r="O2392" s="58"/>
      <c r="P2392" s="58" t="s">
        <v>44</v>
      </c>
      <c r="Q2392" s="58" t="s">
        <v>80</v>
      </c>
      <c r="R2392" s="58" t="s">
        <v>272</v>
      </c>
    </row>
    <row r="2393" spans="1:18" ht="69" customHeight="1">
      <c r="A2393" s="168"/>
      <c r="B2393" s="178">
        <v>4240</v>
      </c>
      <c r="C2393" s="178" t="s">
        <v>5615</v>
      </c>
      <c r="D2393" s="575" t="s">
        <v>638</v>
      </c>
      <c r="E2393" s="178" t="s">
        <v>266</v>
      </c>
      <c r="F2393" s="210" t="s">
        <v>6760</v>
      </c>
      <c r="G2393" s="58" t="s">
        <v>392</v>
      </c>
      <c r="H2393" s="546">
        <v>61.32</v>
      </c>
      <c r="I2393" s="66">
        <v>44657</v>
      </c>
      <c r="J2393" s="411" t="s">
        <v>6761</v>
      </c>
      <c r="K2393" s="58"/>
      <c r="L2393" s="99"/>
      <c r="M2393" s="70" t="s">
        <v>6747</v>
      </c>
      <c r="N2393" s="97" t="s">
        <v>270</v>
      </c>
      <c r="O2393" s="58"/>
      <c r="P2393" s="58" t="s">
        <v>44</v>
      </c>
      <c r="Q2393" s="58" t="s">
        <v>80</v>
      </c>
      <c r="R2393" s="58" t="s">
        <v>272</v>
      </c>
    </row>
    <row r="2394" spans="1:18" ht="69" customHeight="1">
      <c r="A2394" s="168"/>
      <c r="B2394" s="178">
        <v>4231</v>
      </c>
      <c r="C2394" s="178" t="s">
        <v>5615</v>
      </c>
      <c r="D2394" s="575" t="s">
        <v>3397</v>
      </c>
      <c r="E2394" s="178" t="s">
        <v>266</v>
      </c>
      <c r="F2394" s="210" t="s">
        <v>6762</v>
      </c>
      <c r="G2394" s="58" t="s">
        <v>392</v>
      </c>
      <c r="H2394" s="546">
        <v>600.57000000000005</v>
      </c>
      <c r="I2394" s="66">
        <v>44657</v>
      </c>
      <c r="J2394" s="411" t="s">
        <v>6763</v>
      </c>
      <c r="K2394" s="58"/>
      <c r="L2394" s="99"/>
      <c r="M2394" s="70" t="s">
        <v>6747</v>
      </c>
      <c r="N2394" s="97" t="s">
        <v>270</v>
      </c>
      <c r="O2394" s="58"/>
      <c r="P2394" s="58" t="s">
        <v>44</v>
      </c>
      <c r="Q2394" s="58" t="s">
        <v>80</v>
      </c>
      <c r="R2394" s="58" t="s">
        <v>272</v>
      </c>
    </row>
    <row r="2395" spans="1:18" ht="69" customHeight="1">
      <c r="A2395" s="168"/>
      <c r="B2395" s="178">
        <v>4241</v>
      </c>
      <c r="C2395" s="178" t="s">
        <v>5615</v>
      </c>
      <c r="D2395" s="575" t="s">
        <v>1999</v>
      </c>
      <c r="E2395" s="178" t="s">
        <v>266</v>
      </c>
      <c r="F2395" s="210" t="s">
        <v>6764</v>
      </c>
      <c r="G2395" s="58" t="s">
        <v>392</v>
      </c>
      <c r="H2395" s="546">
        <v>283.92</v>
      </c>
      <c r="I2395" s="66">
        <v>44657</v>
      </c>
      <c r="J2395" s="411" t="s">
        <v>6765</v>
      </c>
      <c r="K2395" s="58"/>
      <c r="L2395" s="99"/>
      <c r="M2395" s="70" t="s">
        <v>6747</v>
      </c>
      <c r="N2395" s="97" t="s">
        <v>270</v>
      </c>
      <c r="O2395" s="58"/>
      <c r="P2395" s="58" t="s">
        <v>44</v>
      </c>
      <c r="Q2395" s="58" t="s">
        <v>80</v>
      </c>
      <c r="R2395" s="58" t="s">
        <v>272</v>
      </c>
    </row>
    <row r="2396" spans="1:18" ht="69" customHeight="1">
      <c r="A2396" s="168"/>
      <c r="B2396" s="178">
        <v>4242</v>
      </c>
      <c r="C2396" s="178" t="s">
        <v>5615</v>
      </c>
      <c r="D2396" s="575" t="s">
        <v>2462</v>
      </c>
      <c r="E2396" s="178" t="s">
        <v>266</v>
      </c>
      <c r="F2396" s="210" t="s">
        <v>6766</v>
      </c>
      <c r="G2396" s="58" t="s">
        <v>392</v>
      </c>
      <c r="H2396" s="546">
        <v>4754.12</v>
      </c>
      <c r="I2396" s="66">
        <v>44657</v>
      </c>
      <c r="J2396" s="411" t="s">
        <v>6767</v>
      </c>
      <c r="K2396" s="58"/>
      <c r="L2396" s="99"/>
      <c r="M2396" s="70" t="s">
        <v>6747</v>
      </c>
      <c r="N2396" s="97" t="s">
        <v>270</v>
      </c>
      <c r="O2396" s="58"/>
      <c r="P2396" s="58" t="s">
        <v>44</v>
      </c>
      <c r="Q2396" s="58" t="s">
        <v>80</v>
      </c>
      <c r="R2396" s="58" t="s">
        <v>272</v>
      </c>
    </row>
    <row r="2397" spans="1:18" ht="69" customHeight="1">
      <c r="A2397" s="168"/>
      <c r="B2397" s="178">
        <v>4107</v>
      </c>
      <c r="C2397" s="178" t="s">
        <v>5615</v>
      </c>
      <c r="D2397" s="575" t="s">
        <v>2438</v>
      </c>
      <c r="E2397" s="178" t="s">
        <v>266</v>
      </c>
      <c r="F2397" s="210" t="s">
        <v>6768</v>
      </c>
      <c r="G2397" s="58" t="s">
        <v>5560</v>
      </c>
      <c r="H2397" s="546">
        <v>7060</v>
      </c>
      <c r="I2397" s="66">
        <v>44664</v>
      </c>
      <c r="J2397" s="411" t="s">
        <v>6769</v>
      </c>
      <c r="K2397" s="58"/>
      <c r="L2397" s="99"/>
      <c r="M2397" s="70" t="s">
        <v>6747</v>
      </c>
      <c r="N2397" s="97" t="s">
        <v>270</v>
      </c>
      <c r="O2397" s="58"/>
      <c r="P2397" s="58" t="s">
        <v>44</v>
      </c>
      <c r="Q2397" s="58" t="s">
        <v>80</v>
      </c>
      <c r="R2397" s="58" t="s">
        <v>272</v>
      </c>
    </row>
    <row r="2398" spans="1:18" ht="69" customHeight="1">
      <c r="A2398" s="168"/>
      <c r="B2398" s="178">
        <v>4721</v>
      </c>
      <c r="C2398" s="178" t="s">
        <v>5615</v>
      </c>
      <c r="D2398" s="575" t="s">
        <v>3447</v>
      </c>
      <c r="E2398" s="178" t="s">
        <v>331</v>
      </c>
      <c r="F2398" s="210" t="s">
        <v>6770</v>
      </c>
      <c r="G2398" s="58"/>
      <c r="H2398" s="546">
        <v>3389.12</v>
      </c>
      <c r="I2398" s="66">
        <v>44678</v>
      </c>
      <c r="J2398" s="411" t="s">
        <v>6771</v>
      </c>
      <c r="K2398" s="58"/>
      <c r="L2398" s="99"/>
      <c r="M2398" s="70" t="s">
        <v>6747</v>
      </c>
      <c r="N2398" s="97" t="s">
        <v>270</v>
      </c>
      <c r="O2398" s="58"/>
      <c r="P2398" s="58" t="s">
        <v>44</v>
      </c>
      <c r="Q2398" s="58" t="s">
        <v>80</v>
      </c>
      <c r="R2398" s="58" t="s">
        <v>272</v>
      </c>
    </row>
    <row r="2399" spans="1:18" ht="69" customHeight="1">
      <c r="A2399" s="168"/>
      <c r="B2399" s="178">
        <v>4119</v>
      </c>
      <c r="C2399" s="178" t="s">
        <v>5615</v>
      </c>
      <c r="D2399" s="575" t="s">
        <v>2690</v>
      </c>
      <c r="E2399" s="178" t="s">
        <v>266</v>
      </c>
      <c r="F2399" s="210" t="s">
        <v>6772</v>
      </c>
      <c r="G2399" s="58" t="s">
        <v>376</v>
      </c>
      <c r="H2399" s="546">
        <v>6080</v>
      </c>
      <c r="I2399" s="66">
        <v>44676</v>
      </c>
      <c r="J2399" s="411" t="s">
        <v>6773</v>
      </c>
      <c r="K2399" s="58"/>
      <c r="L2399" s="99"/>
      <c r="M2399" s="70" t="s">
        <v>6747</v>
      </c>
      <c r="N2399" s="97" t="s">
        <v>270</v>
      </c>
      <c r="O2399" s="58"/>
      <c r="P2399" s="58" t="s">
        <v>44</v>
      </c>
      <c r="Q2399" s="58" t="s">
        <v>80</v>
      </c>
      <c r="R2399" s="58" t="s">
        <v>272</v>
      </c>
    </row>
    <row r="2400" spans="1:18" ht="69" customHeight="1">
      <c r="A2400" s="168"/>
      <c r="B2400" s="178">
        <v>4883</v>
      </c>
      <c r="C2400" s="59" t="s">
        <v>3667</v>
      </c>
      <c r="D2400" s="575" t="s">
        <v>6774</v>
      </c>
      <c r="E2400" s="178" t="s">
        <v>266</v>
      </c>
      <c r="F2400" s="210" t="s">
        <v>6775</v>
      </c>
      <c r="G2400" s="58" t="s">
        <v>2268</v>
      </c>
      <c r="H2400" s="546">
        <v>2137</v>
      </c>
      <c r="I2400" s="66">
        <v>44698</v>
      </c>
      <c r="J2400" s="411" t="s">
        <v>6776</v>
      </c>
      <c r="K2400" s="58"/>
      <c r="L2400" s="99"/>
      <c r="M2400" s="70" t="s">
        <v>6747</v>
      </c>
      <c r="N2400" s="97" t="s">
        <v>270</v>
      </c>
      <c r="O2400" s="58"/>
      <c r="P2400" s="58" t="s">
        <v>44</v>
      </c>
      <c r="Q2400" s="58" t="s">
        <v>80</v>
      </c>
      <c r="R2400" s="58" t="s">
        <v>272</v>
      </c>
    </row>
    <row r="2401" spans="1:18" ht="69" customHeight="1">
      <c r="A2401" s="168"/>
      <c r="B2401" s="178">
        <v>4721</v>
      </c>
      <c r="C2401" s="178" t="s">
        <v>5615</v>
      </c>
      <c r="D2401" s="575" t="s">
        <v>1509</v>
      </c>
      <c r="E2401" s="178" t="s">
        <v>331</v>
      </c>
      <c r="F2401" s="210" t="s">
        <v>6777</v>
      </c>
      <c r="G2401" s="58" t="s">
        <v>372</v>
      </c>
      <c r="H2401" s="546">
        <v>30502.09</v>
      </c>
      <c r="I2401" s="66">
        <v>44701</v>
      </c>
      <c r="J2401" s="411" t="s">
        <v>6778</v>
      </c>
      <c r="K2401" s="58"/>
      <c r="L2401" s="99"/>
      <c r="M2401" s="70" t="s">
        <v>6747</v>
      </c>
      <c r="N2401" s="97" t="s">
        <v>270</v>
      </c>
      <c r="O2401" s="58"/>
      <c r="P2401" s="58" t="s">
        <v>44</v>
      </c>
      <c r="Q2401" s="58" t="s">
        <v>80</v>
      </c>
      <c r="R2401" s="58" t="s">
        <v>272</v>
      </c>
    </row>
    <row r="2402" spans="1:18" ht="69" customHeight="1">
      <c r="A2402" s="168"/>
      <c r="B2402" s="178">
        <v>1</v>
      </c>
      <c r="C2402" s="59" t="s">
        <v>3667</v>
      </c>
      <c r="D2402" s="575" t="s">
        <v>2976</v>
      </c>
      <c r="E2402" s="178" t="s">
        <v>382</v>
      </c>
      <c r="F2402" s="210" t="s">
        <v>6779</v>
      </c>
      <c r="G2402" s="58" t="s">
        <v>384</v>
      </c>
      <c r="H2402" s="546">
        <v>27761.33</v>
      </c>
      <c r="I2402" s="66">
        <v>44739</v>
      </c>
      <c r="J2402" s="411" t="s">
        <v>6780</v>
      </c>
      <c r="K2402" s="58" t="s">
        <v>5619</v>
      </c>
      <c r="L2402" s="99"/>
      <c r="M2402" s="70" t="s">
        <v>6781</v>
      </c>
      <c r="N2402" s="97" t="s">
        <v>387</v>
      </c>
      <c r="O2402" s="45" t="s">
        <v>150</v>
      </c>
      <c r="P2402" s="58" t="s">
        <v>51</v>
      </c>
      <c r="Q2402" s="58" t="s">
        <v>93</v>
      </c>
      <c r="R2402" s="58" t="s">
        <v>272</v>
      </c>
    </row>
    <row r="2403" spans="1:18" ht="69" customHeight="1">
      <c r="A2403" s="168"/>
      <c r="B2403" s="178">
        <v>1</v>
      </c>
      <c r="C2403" s="59" t="s">
        <v>3667</v>
      </c>
      <c r="D2403" s="575" t="s">
        <v>535</v>
      </c>
      <c r="E2403" s="178" t="s">
        <v>382</v>
      </c>
      <c r="F2403" s="210" t="s">
        <v>6782</v>
      </c>
      <c r="G2403" s="58" t="s">
        <v>384</v>
      </c>
      <c r="H2403" s="546">
        <v>39819.519999999997</v>
      </c>
      <c r="I2403" s="66">
        <v>44739</v>
      </c>
      <c r="J2403" s="411" t="s">
        <v>6783</v>
      </c>
      <c r="K2403" s="58" t="s">
        <v>5619</v>
      </c>
      <c r="L2403" s="99"/>
      <c r="M2403" s="70" t="s">
        <v>6781</v>
      </c>
      <c r="N2403" s="97" t="s">
        <v>387</v>
      </c>
      <c r="O2403" s="45" t="s">
        <v>150</v>
      </c>
      <c r="P2403" s="58" t="s">
        <v>51</v>
      </c>
      <c r="Q2403" s="58" t="s">
        <v>93</v>
      </c>
      <c r="R2403" s="58" t="s">
        <v>272</v>
      </c>
    </row>
    <row r="2404" spans="1:18" ht="69" customHeight="1">
      <c r="A2404" s="168"/>
      <c r="B2404" s="178">
        <v>5133</v>
      </c>
      <c r="C2404" s="59" t="s">
        <v>3667</v>
      </c>
      <c r="D2404" s="575" t="s">
        <v>1306</v>
      </c>
      <c r="E2404" s="178" t="s">
        <v>305</v>
      </c>
      <c r="F2404" s="210" t="s">
        <v>6784</v>
      </c>
      <c r="G2404" s="58" t="s">
        <v>307</v>
      </c>
      <c r="H2404" s="546">
        <v>12000</v>
      </c>
      <c r="I2404" s="66" t="s">
        <v>96</v>
      </c>
      <c r="J2404" s="411" t="s">
        <v>6785</v>
      </c>
      <c r="K2404" s="58" t="s">
        <v>705</v>
      </c>
      <c r="L2404" s="99"/>
      <c r="M2404" s="70" t="s">
        <v>6747</v>
      </c>
      <c r="N2404" s="97" t="s">
        <v>270</v>
      </c>
      <c r="O2404" s="58"/>
      <c r="P2404" s="58" t="s">
        <v>44</v>
      </c>
      <c r="Q2404" s="58" t="s">
        <v>80</v>
      </c>
      <c r="R2404" s="58" t="s">
        <v>272</v>
      </c>
    </row>
    <row r="2405" spans="1:18" ht="69" customHeight="1">
      <c r="A2405" s="168"/>
      <c r="B2405" s="178">
        <v>5253</v>
      </c>
      <c r="C2405" s="178" t="s">
        <v>5615</v>
      </c>
      <c r="D2405" s="575" t="s">
        <v>6786</v>
      </c>
      <c r="E2405" s="178" t="s">
        <v>266</v>
      </c>
      <c r="F2405" s="210" t="s">
        <v>6787</v>
      </c>
      <c r="G2405" s="58" t="s">
        <v>396</v>
      </c>
      <c r="H2405" s="546">
        <v>3500</v>
      </c>
      <c r="I2405" s="66">
        <v>44753</v>
      </c>
      <c r="J2405" s="411" t="s">
        <v>6788</v>
      </c>
      <c r="K2405" s="58" t="s">
        <v>705</v>
      </c>
      <c r="L2405" s="99"/>
      <c r="M2405" s="70" t="s">
        <v>6789</v>
      </c>
      <c r="N2405" s="97" t="s">
        <v>399</v>
      </c>
      <c r="O2405" s="58"/>
      <c r="P2405" s="58" t="s">
        <v>40</v>
      </c>
      <c r="Q2405" s="58" t="s">
        <v>80</v>
      </c>
      <c r="R2405" s="58" t="s">
        <v>272</v>
      </c>
    </row>
    <row r="2406" spans="1:18" ht="69" customHeight="1">
      <c r="A2406" s="168"/>
      <c r="B2406" s="178">
        <v>5314</v>
      </c>
      <c r="C2406" s="178" t="s">
        <v>5615</v>
      </c>
      <c r="D2406" s="575" t="s">
        <v>370</v>
      </c>
      <c r="E2406" s="178" t="s">
        <v>266</v>
      </c>
      <c r="F2406" s="210" t="s">
        <v>6790</v>
      </c>
      <c r="G2406" s="58" t="s">
        <v>1107</v>
      </c>
      <c r="H2406" s="546">
        <v>6500</v>
      </c>
      <c r="I2406" s="66" t="s">
        <v>96</v>
      </c>
      <c r="J2406" s="411" t="s">
        <v>6791</v>
      </c>
      <c r="K2406" s="58" t="s">
        <v>752</v>
      </c>
      <c r="L2406" s="99"/>
      <c r="M2406" s="70" t="s">
        <v>6792</v>
      </c>
      <c r="N2406" s="97" t="s">
        <v>552</v>
      </c>
      <c r="O2406" s="62" t="s">
        <v>971</v>
      </c>
      <c r="P2406" s="58" t="s">
        <v>38</v>
      </c>
      <c r="Q2406" s="58" t="s">
        <v>80</v>
      </c>
      <c r="R2406" s="58" t="s">
        <v>272</v>
      </c>
    </row>
    <row r="2407" spans="1:18" ht="69" customHeight="1">
      <c r="A2407" s="168"/>
      <c r="B2407" s="600">
        <v>6603</v>
      </c>
      <c r="C2407" s="600" t="s">
        <v>3667</v>
      </c>
      <c r="D2407" s="601" t="s">
        <v>6793</v>
      </c>
      <c r="E2407" s="600" t="s">
        <v>5708</v>
      </c>
      <c r="F2407" s="602" t="s">
        <v>6794</v>
      </c>
      <c r="G2407" s="460" t="s">
        <v>5710</v>
      </c>
      <c r="H2407" s="605">
        <v>209964.3</v>
      </c>
      <c r="I2407" s="461">
        <v>44816</v>
      </c>
      <c r="J2407" s="603" t="s">
        <v>6795</v>
      </c>
      <c r="K2407" s="460"/>
      <c r="L2407" s="99"/>
      <c r="M2407" s="70" t="s">
        <v>6796</v>
      </c>
      <c r="N2407" s="97" t="s">
        <v>414</v>
      </c>
      <c r="O2407" s="58" t="s">
        <v>5713</v>
      </c>
      <c r="P2407" s="58" t="s">
        <v>24</v>
      </c>
      <c r="Q2407" s="58" t="s">
        <v>80</v>
      </c>
      <c r="R2407" s="58" t="s">
        <v>265</v>
      </c>
    </row>
    <row r="2408" spans="1:18" ht="69" customHeight="1">
      <c r="A2408" s="168"/>
      <c r="B2408" s="600">
        <v>6615</v>
      </c>
      <c r="C2408" s="600" t="s">
        <v>3667</v>
      </c>
      <c r="D2408" s="601" t="s">
        <v>6797</v>
      </c>
      <c r="E2408" s="600" t="s">
        <v>5708</v>
      </c>
      <c r="F2408" s="602" t="s">
        <v>6798</v>
      </c>
      <c r="G2408" s="460" t="s">
        <v>5710</v>
      </c>
      <c r="H2408" s="605">
        <v>369501.12</v>
      </c>
      <c r="I2408" s="461">
        <v>44820</v>
      </c>
      <c r="J2408" s="603" t="s">
        <v>6795</v>
      </c>
      <c r="K2408" s="460"/>
      <c r="L2408" s="99"/>
      <c r="M2408" s="70" t="s">
        <v>6796</v>
      </c>
      <c r="N2408" s="97" t="s">
        <v>414</v>
      </c>
      <c r="O2408" s="58" t="s">
        <v>5713</v>
      </c>
      <c r="P2408" s="58" t="s">
        <v>24</v>
      </c>
      <c r="Q2408" s="58" t="s">
        <v>80</v>
      </c>
      <c r="R2408" s="58" t="s">
        <v>265</v>
      </c>
    </row>
    <row r="2409" spans="1:18" ht="69" customHeight="1">
      <c r="A2409" s="168"/>
      <c r="B2409" s="600">
        <v>6616</v>
      </c>
      <c r="C2409" s="600" t="s">
        <v>3667</v>
      </c>
      <c r="D2409" s="601" t="s">
        <v>6799</v>
      </c>
      <c r="E2409" s="600" t="s">
        <v>5708</v>
      </c>
      <c r="F2409" s="602" t="s">
        <v>6800</v>
      </c>
      <c r="G2409" s="460" t="s">
        <v>5710</v>
      </c>
      <c r="H2409" s="605">
        <v>269000</v>
      </c>
      <c r="I2409" s="461">
        <v>44820</v>
      </c>
      <c r="J2409" s="603" t="s">
        <v>6801</v>
      </c>
      <c r="K2409" s="460"/>
      <c r="L2409" s="99"/>
      <c r="M2409" s="70" t="s">
        <v>6796</v>
      </c>
      <c r="N2409" s="97" t="s">
        <v>414</v>
      </c>
      <c r="O2409" s="58" t="s">
        <v>5713</v>
      </c>
      <c r="P2409" s="58" t="s">
        <v>24</v>
      </c>
      <c r="Q2409" s="58" t="s">
        <v>82</v>
      </c>
      <c r="R2409" s="58" t="s">
        <v>265</v>
      </c>
    </row>
    <row r="2410" spans="1:18" ht="69" customHeight="1">
      <c r="A2410" s="168"/>
      <c r="B2410" s="600">
        <v>6617</v>
      </c>
      <c r="C2410" s="600" t="s">
        <v>3667</v>
      </c>
      <c r="D2410" s="601" t="s">
        <v>6802</v>
      </c>
      <c r="E2410" s="600" t="s">
        <v>5708</v>
      </c>
      <c r="F2410" s="602" t="s">
        <v>6803</v>
      </c>
      <c r="G2410" s="460" t="s">
        <v>5710</v>
      </c>
      <c r="H2410" s="605">
        <v>179952.32</v>
      </c>
      <c r="I2410" s="461">
        <v>44820</v>
      </c>
      <c r="J2410" s="603" t="s">
        <v>6804</v>
      </c>
      <c r="K2410" s="460"/>
      <c r="L2410" s="99"/>
      <c r="M2410" s="70" t="s">
        <v>6796</v>
      </c>
      <c r="N2410" s="97" t="s">
        <v>414</v>
      </c>
      <c r="O2410" s="58" t="s">
        <v>5713</v>
      </c>
      <c r="P2410" s="58" t="s">
        <v>24</v>
      </c>
      <c r="Q2410" s="58" t="s">
        <v>84</v>
      </c>
      <c r="R2410" s="58" t="s">
        <v>265</v>
      </c>
    </row>
    <row r="2411" spans="1:18" ht="69" customHeight="1">
      <c r="A2411" s="168"/>
      <c r="B2411" s="178">
        <v>6707</v>
      </c>
      <c r="C2411" s="178" t="s">
        <v>6657</v>
      </c>
      <c r="D2411" s="575" t="s">
        <v>6805</v>
      </c>
      <c r="E2411" s="178" t="s">
        <v>409</v>
      </c>
      <c r="F2411" s="210" t="s">
        <v>6806</v>
      </c>
      <c r="G2411" s="58" t="s">
        <v>5809</v>
      </c>
      <c r="H2411" s="546">
        <v>274070.21999999997</v>
      </c>
      <c r="I2411" s="66">
        <v>44820</v>
      </c>
      <c r="J2411" s="411" t="s">
        <v>6807</v>
      </c>
      <c r="K2411" s="58"/>
      <c r="L2411" s="99"/>
      <c r="M2411" s="70" t="s">
        <v>6808</v>
      </c>
      <c r="N2411" s="97" t="s">
        <v>414</v>
      </c>
      <c r="O2411" s="58" t="s">
        <v>5713</v>
      </c>
      <c r="P2411" s="58" t="s">
        <v>24</v>
      </c>
      <c r="Q2411" s="58" t="s">
        <v>80</v>
      </c>
      <c r="R2411" s="58" t="s">
        <v>272</v>
      </c>
    </row>
    <row r="2412" spans="1:18" ht="69" customHeight="1">
      <c r="A2412" s="168"/>
      <c r="B2412" s="178">
        <v>6831</v>
      </c>
      <c r="C2412" s="178" t="s">
        <v>5615</v>
      </c>
      <c r="D2412" s="575" t="s">
        <v>6809</v>
      </c>
      <c r="E2412" s="178" t="s">
        <v>266</v>
      </c>
      <c r="F2412" s="210" t="s">
        <v>6810</v>
      </c>
      <c r="G2412" s="58" t="s">
        <v>448</v>
      </c>
      <c r="H2412" s="546">
        <v>17500</v>
      </c>
      <c r="I2412" s="66">
        <v>44832</v>
      </c>
      <c r="J2412" s="411" t="s">
        <v>6811</v>
      </c>
      <c r="K2412" s="58"/>
      <c r="L2412" s="99"/>
      <c r="M2412" s="70" t="s">
        <v>6789</v>
      </c>
      <c r="N2412" s="97" t="s">
        <v>399</v>
      </c>
      <c r="O2412" s="58"/>
      <c r="P2412" s="58" t="s">
        <v>40</v>
      </c>
      <c r="Q2412" s="58" t="s">
        <v>80</v>
      </c>
      <c r="R2412" s="58" t="s">
        <v>272</v>
      </c>
    </row>
    <row r="2413" spans="1:18" ht="69" customHeight="1">
      <c r="A2413" s="168"/>
      <c r="B2413" s="178">
        <v>7014</v>
      </c>
      <c r="C2413" s="178" t="s">
        <v>5615</v>
      </c>
      <c r="D2413" s="575" t="s">
        <v>2787</v>
      </c>
      <c r="E2413" s="178" t="s">
        <v>979</v>
      </c>
      <c r="F2413" s="210" t="s">
        <v>6812</v>
      </c>
      <c r="G2413" s="58" t="s">
        <v>805</v>
      </c>
      <c r="H2413" s="546">
        <v>118860</v>
      </c>
      <c r="I2413" s="66">
        <v>44849</v>
      </c>
      <c r="J2413" s="411" t="s">
        <v>6813</v>
      </c>
      <c r="K2413" s="58" t="s">
        <v>6814</v>
      </c>
      <c r="L2413" s="99"/>
      <c r="M2413" s="70" t="s">
        <v>6815</v>
      </c>
      <c r="N2413" s="97" t="s">
        <v>356</v>
      </c>
      <c r="O2413" s="58" t="s">
        <v>156</v>
      </c>
      <c r="P2413" s="58" t="s">
        <v>19</v>
      </c>
      <c r="Q2413" s="58" t="s">
        <v>80</v>
      </c>
      <c r="R2413" s="58" t="s">
        <v>265</v>
      </c>
    </row>
    <row r="2414" spans="1:18" ht="69" customHeight="1">
      <c r="A2414" s="168"/>
      <c r="B2414" s="178">
        <v>8472</v>
      </c>
      <c r="C2414" s="178" t="s">
        <v>5615</v>
      </c>
      <c r="D2414" s="575"/>
      <c r="E2414" s="178" t="s">
        <v>266</v>
      </c>
      <c r="F2414" s="210" t="s">
        <v>6816</v>
      </c>
      <c r="G2414" s="58" t="s">
        <v>1107</v>
      </c>
      <c r="H2414" s="546">
        <v>6500</v>
      </c>
      <c r="I2414" s="66">
        <v>44942</v>
      </c>
      <c r="J2414" s="411" t="s">
        <v>5836</v>
      </c>
      <c r="K2414" s="58"/>
      <c r="L2414" s="99"/>
      <c r="M2414" s="70" t="s">
        <v>6792</v>
      </c>
      <c r="N2414" s="97" t="s">
        <v>552</v>
      </c>
      <c r="O2414" s="62" t="s">
        <v>971</v>
      </c>
      <c r="P2414" s="58" t="s">
        <v>38</v>
      </c>
      <c r="Q2414" s="58" t="s">
        <v>80</v>
      </c>
      <c r="R2414" s="58" t="s">
        <v>272</v>
      </c>
    </row>
    <row r="2415" spans="1:18" ht="69" customHeight="1">
      <c r="A2415" s="168"/>
      <c r="B2415" s="178">
        <v>8475</v>
      </c>
      <c r="C2415" s="178" t="s">
        <v>5615</v>
      </c>
      <c r="D2415" s="575" t="s">
        <v>6817</v>
      </c>
      <c r="E2415" s="178" t="s">
        <v>552</v>
      </c>
      <c r="F2415" s="210" t="s">
        <v>6818</v>
      </c>
      <c r="G2415" s="58" t="s">
        <v>1107</v>
      </c>
      <c r="H2415" s="546">
        <v>6500</v>
      </c>
      <c r="I2415" s="66">
        <v>44967</v>
      </c>
      <c r="J2415" s="411" t="s">
        <v>6819</v>
      </c>
      <c r="K2415" s="58"/>
      <c r="L2415" s="99"/>
      <c r="M2415" s="70" t="s">
        <v>6792</v>
      </c>
      <c r="N2415" s="97" t="s">
        <v>552</v>
      </c>
      <c r="O2415" s="62" t="s">
        <v>971</v>
      </c>
      <c r="P2415" s="58" t="s">
        <v>38</v>
      </c>
      <c r="Q2415" s="58" t="s">
        <v>80</v>
      </c>
      <c r="R2415" s="58" t="s">
        <v>272</v>
      </c>
    </row>
    <row r="2416" spans="1:18" ht="69" customHeight="1">
      <c r="A2416" s="168"/>
      <c r="B2416" s="178">
        <v>9373</v>
      </c>
      <c r="C2416" s="178" t="s">
        <v>5615</v>
      </c>
      <c r="D2416" s="575" t="s">
        <v>6820</v>
      </c>
      <c r="E2416" s="178" t="s">
        <v>266</v>
      </c>
      <c r="F2416" s="210" t="s">
        <v>6821</v>
      </c>
      <c r="G2416" s="58" t="s">
        <v>4101</v>
      </c>
      <c r="H2416" s="546">
        <v>60.44</v>
      </c>
      <c r="I2416" s="66">
        <v>45009</v>
      </c>
      <c r="J2416" s="411" t="s">
        <v>4102</v>
      </c>
      <c r="K2416" s="58"/>
      <c r="L2416" s="99"/>
      <c r="M2416" s="70" t="s">
        <v>6747</v>
      </c>
      <c r="N2416" s="97" t="s">
        <v>270</v>
      </c>
      <c r="O2416" s="58"/>
      <c r="P2416" s="58" t="s">
        <v>44</v>
      </c>
      <c r="Q2416" s="58" t="s">
        <v>80</v>
      </c>
      <c r="R2416" s="58" t="s">
        <v>272</v>
      </c>
    </row>
    <row r="2417" spans="1:18" ht="69" customHeight="1">
      <c r="A2417" s="168"/>
      <c r="B2417" s="178">
        <v>9802</v>
      </c>
      <c r="C2417" s="178" t="s">
        <v>6822</v>
      </c>
      <c r="D2417" s="575" t="s">
        <v>6262</v>
      </c>
      <c r="E2417" s="178" t="s">
        <v>266</v>
      </c>
      <c r="F2417" s="210" t="s">
        <v>6823</v>
      </c>
      <c r="G2417" s="58" t="s">
        <v>6824</v>
      </c>
      <c r="H2417" s="546">
        <v>3747.24</v>
      </c>
      <c r="I2417" s="66">
        <v>45041</v>
      </c>
      <c r="J2417" s="411" t="s">
        <v>6825</v>
      </c>
      <c r="K2417" s="58"/>
      <c r="L2417" s="99"/>
      <c r="M2417" s="70" t="s">
        <v>6747</v>
      </c>
      <c r="N2417" s="97" t="s">
        <v>270</v>
      </c>
      <c r="O2417" s="58"/>
      <c r="P2417" s="58" t="s">
        <v>44</v>
      </c>
      <c r="Q2417" s="58" t="s">
        <v>80</v>
      </c>
      <c r="R2417" s="58" t="s">
        <v>272</v>
      </c>
    </row>
    <row r="2418" spans="1:18" ht="69" customHeight="1">
      <c r="A2418" s="168"/>
      <c r="B2418" s="178">
        <v>9802</v>
      </c>
      <c r="C2418" s="178" t="s">
        <v>6822</v>
      </c>
      <c r="D2418" s="575" t="s">
        <v>6262</v>
      </c>
      <c r="E2418" s="178" t="s">
        <v>266</v>
      </c>
      <c r="F2418" s="210" t="s">
        <v>6823</v>
      </c>
      <c r="G2418" s="58" t="s">
        <v>6824</v>
      </c>
      <c r="H2418" s="546">
        <v>3747.24</v>
      </c>
      <c r="I2418" s="66">
        <v>45041</v>
      </c>
      <c r="J2418" s="411" t="s">
        <v>6825</v>
      </c>
      <c r="K2418" s="58"/>
      <c r="L2418" s="99"/>
      <c r="M2418" s="70" t="s">
        <v>6747</v>
      </c>
      <c r="N2418" s="97" t="s">
        <v>270</v>
      </c>
      <c r="O2418" s="58"/>
      <c r="P2418" s="58" t="s">
        <v>44</v>
      </c>
      <c r="Q2418" s="58" t="s">
        <v>80</v>
      </c>
      <c r="R2418" s="58" t="s">
        <v>272</v>
      </c>
    </row>
    <row r="2419" spans="1:18" ht="69" customHeight="1">
      <c r="A2419" s="168"/>
      <c r="B2419" s="191">
        <v>2990</v>
      </c>
      <c r="C2419" s="191" t="s">
        <v>3643</v>
      </c>
      <c r="D2419" s="533" t="s">
        <v>6826</v>
      </c>
      <c r="E2419" s="191" t="s">
        <v>331</v>
      </c>
      <c r="F2419" s="211" t="s">
        <v>6827</v>
      </c>
      <c r="G2419" s="46" t="s">
        <v>4416</v>
      </c>
      <c r="H2419" s="534">
        <v>0</v>
      </c>
      <c r="I2419" s="56" t="s">
        <v>96</v>
      </c>
      <c r="J2419" s="412" t="s">
        <v>334</v>
      </c>
      <c r="K2419" s="46"/>
      <c r="L2419" s="99"/>
      <c r="M2419" s="379" t="s">
        <v>82</v>
      </c>
      <c r="N2419" s="76" t="s">
        <v>69</v>
      </c>
      <c r="O2419" s="46"/>
      <c r="P2419" s="46" t="s">
        <v>69</v>
      </c>
      <c r="Q2419" s="46" t="s">
        <v>82</v>
      </c>
      <c r="R2419" s="46" t="s">
        <v>272</v>
      </c>
    </row>
    <row r="2420" spans="1:18" ht="69" customHeight="1">
      <c r="A2420" s="168"/>
      <c r="B2420" s="191">
        <v>3217</v>
      </c>
      <c r="C2420" s="191" t="s">
        <v>5615</v>
      </c>
      <c r="D2420" s="533" t="s">
        <v>518</v>
      </c>
      <c r="E2420" s="191" t="s">
        <v>331</v>
      </c>
      <c r="F2420" s="211" t="s">
        <v>6827</v>
      </c>
      <c r="G2420" s="46" t="s">
        <v>4416</v>
      </c>
      <c r="H2420" s="534">
        <v>0</v>
      </c>
      <c r="I2420" s="56" t="s">
        <v>96</v>
      </c>
      <c r="J2420" s="412" t="s">
        <v>334</v>
      </c>
      <c r="K2420" s="46"/>
      <c r="L2420" s="99"/>
      <c r="M2420" s="379" t="s">
        <v>82</v>
      </c>
      <c r="N2420" s="76" t="s">
        <v>69</v>
      </c>
      <c r="O2420" s="46"/>
      <c r="P2420" s="46" t="s">
        <v>69</v>
      </c>
      <c r="Q2420" s="46" t="s">
        <v>82</v>
      </c>
      <c r="R2420" s="46" t="s">
        <v>272</v>
      </c>
    </row>
    <row r="2421" spans="1:18" ht="69" customHeight="1">
      <c r="A2421" s="168"/>
      <c r="B2421" s="178">
        <v>3936</v>
      </c>
      <c r="C2421" s="59" t="s">
        <v>3667</v>
      </c>
      <c r="D2421" s="575" t="s">
        <v>6828</v>
      </c>
      <c r="E2421" s="178" t="s">
        <v>921</v>
      </c>
      <c r="F2421" s="210" t="s">
        <v>6829</v>
      </c>
      <c r="G2421" s="58" t="s">
        <v>5662</v>
      </c>
      <c r="H2421" s="546">
        <v>39602.500000000007</v>
      </c>
      <c r="I2421" s="66">
        <v>44616</v>
      </c>
      <c r="J2421" s="411" t="s">
        <v>6830</v>
      </c>
      <c r="K2421" s="58" t="s">
        <v>6831</v>
      </c>
      <c r="L2421" s="99"/>
      <c r="M2421" s="70" t="s">
        <v>6832</v>
      </c>
      <c r="N2421" s="97" t="s">
        <v>356</v>
      </c>
      <c r="O2421" s="58" t="s">
        <v>156</v>
      </c>
      <c r="P2421" s="58" t="s">
        <v>19</v>
      </c>
      <c r="Q2421" s="58" t="s">
        <v>82</v>
      </c>
      <c r="R2421" s="58" t="s">
        <v>272</v>
      </c>
    </row>
    <row r="2422" spans="1:18" ht="69" customHeight="1">
      <c r="A2422" s="168"/>
      <c r="B2422" s="178">
        <v>4722</v>
      </c>
      <c r="C2422" s="178" t="s">
        <v>5615</v>
      </c>
      <c r="D2422" s="575" t="s">
        <v>6833</v>
      </c>
      <c r="E2422" s="178" t="s">
        <v>331</v>
      </c>
      <c r="F2422" s="210" t="s">
        <v>6834</v>
      </c>
      <c r="G2422" s="58"/>
      <c r="H2422" s="546">
        <v>3389.12</v>
      </c>
      <c r="I2422" s="66">
        <v>44678</v>
      </c>
      <c r="J2422" s="411" t="s">
        <v>6835</v>
      </c>
      <c r="K2422" s="58"/>
      <c r="L2422" s="99"/>
      <c r="M2422" s="70" t="s">
        <v>6836</v>
      </c>
      <c r="N2422" s="97" t="s">
        <v>270</v>
      </c>
      <c r="O2422" s="58"/>
      <c r="P2422" s="58" t="s">
        <v>44</v>
      </c>
      <c r="Q2422" s="58" t="s">
        <v>82</v>
      </c>
      <c r="R2422" s="58" t="s">
        <v>272</v>
      </c>
    </row>
    <row r="2423" spans="1:18" ht="69" customHeight="1">
      <c r="A2423" s="168"/>
      <c r="B2423" s="178">
        <v>4120</v>
      </c>
      <c r="C2423" s="178" t="s">
        <v>5615</v>
      </c>
      <c r="D2423" s="575" t="s">
        <v>3403</v>
      </c>
      <c r="E2423" s="178" t="s">
        <v>266</v>
      </c>
      <c r="F2423" s="210" t="s">
        <v>6837</v>
      </c>
      <c r="G2423" s="58" t="s">
        <v>376</v>
      </c>
      <c r="H2423" s="546">
        <v>6080</v>
      </c>
      <c r="I2423" s="66">
        <v>44676</v>
      </c>
      <c r="J2423" s="411" t="s">
        <v>6838</v>
      </c>
      <c r="K2423" s="58"/>
      <c r="L2423" s="99"/>
      <c r="M2423" s="70" t="s">
        <v>6836</v>
      </c>
      <c r="N2423" s="97" t="s">
        <v>270</v>
      </c>
      <c r="O2423" s="58"/>
      <c r="P2423" s="58" t="s">
        <v>44</v>
      </c>
      <c r="Q2423" s="58" t="s">
        <v>82</v>
      </c>
      <c r="R2423" s="58" t="s">
        <v>272</v>
      </c>
    </row>
    <row r="2424" spans="1:18" ht="69" customHeight="1">
      <c r="A2424" s="168"/>
      <c r="B2424" s="178">
        <v>4884</v>
      </c>
      <c r="C2424" s="59" t="s">
        <v>3667</v>
      </c>
      <c r="D2424" s="575" t="s">
        <v>6839</v>
      </c>
      <c r="E2424" s="178" t="s">
        <v>266</v>
      </c>
      <c r="F2424" s="210" t="s">
        <v>6840</v>
      </c>
      <c r="G2424" s="58" t="s">
        <v>2268</v>
      </c>
      <c r="H2424" s="546">
        <v>2137</v>
      </c>
      <c r="I2424" s="66">
        <v>44698</v>
      </c>
      <c r="J2424" s="411" t="s">
        <v>6841</v>
      </c>
      <c r="K2424" s="58"/>
      <c r="L2424" s="99"/>
      <c r="M2424" s="70" t="s">
        <v>6836</v>
      </c>
      <c r="N2424" s="97" t="s">
        <v>270</v>
      </c>
      <c r="O2424" s="58"/>
      <c r="P2424" s="58" t="s">
        <v>44</v>
      </c>
      <c r="Q2424" s="58" t="s">
        <v>82</v>
      </c>
      <c r="R2424" s="58" t="s">
        <v>272</v>
      </c>
    </row>
    <row r="2425" spans="1:18" ht="69" customHeight="1">
      <c r="A2425" s="168"/>
      <c r="B2425" s="178">
        <v>4722</v>
      </c>
      <c r="C2425" s="178" t="s">
        <v>5615</v>
      </c>
      <c r="D2425" s="575" t="s">
        <v>661</v>
      </c>
      <c r="E2425" s="178" t="s">
        <v>331</v>
      </c>
      <c r="F2425" s="210" t="s">
        <v>6842</v>
      </c>
      <c r="G2425" s="58" t="s">
        <v>372</v>
      </c>
      <c r="H2425" s="546">
        <v>30502.09</v>
      </c>
      <c r="I2425" s="66">
        <v>44701</v>
      </c>
      <c r="J2425" s="411" t="s">
        <v>6843</v>
      </c>
      <c r="K2425" s="58"/>
      <c r="L2425" s="99"/>
      <c r="M2425" s="70" t="s">
        <v>6836</v>
      </c>
      <c r="N2425" s="97" t="s">
        <v>270</v>
      </c>
      <c r="O2425" s="58"/>
      <c r="P2425" s="58" t="s">
        <v>44</v>
      </c>
      <c r="Q2425" s="58" t="s">
        <v>82</v>
      </c>
      <c r="R2425" s="58" t="s">
        <v>272</v>
      </c>
    </row>
    <row r="2426" spans="1:18" ht="69" customHeight="1">
      <c r="A2426" s="168"/>
      <c r="B2426" s="178">
        <v>1</v>
      </c>
      <c r="C2426" s="59" t="s">
        <v>3667</v>
      </c>
      <c r="D2426" s="575" t="s">
        <v>2030</v>
      </c>
      <c r="E2426" s="178" t="s">
        <v>382</v>
      </c>
      <c r="F2426" s="210" t="s">
        <v>6844</v>
      </c>
      <c r="G2426" s="58" t="s">
        <v>384</v>
      </c>
      <c r="H2426" s="546">
        <v>27761.33</v>
      </c>
      <c r="I2426" s="66">
        <v>44739</v>
      </c>
      <c r="J2426" s="411" t="s">
        <v>6845</v>
      </c>
      <c r="K2426" s="58" t="s">
        <v>6846</v>
      </c>
      <c r="L2426" s="99"/>
      <c r="M2426" s="70" t="s">
        <v>6847</v>
      </c>
      <c r="N2426" s="97" t="s">
        <v>387</v>
      </c>
      <c r="O2426" s="45" t="s">
        <v>150</v>
      </c>
      <c r="P2426" s="58" t="s">
        <v>51</v>
      </c>
      <c r="Q2426" s="58" t="s">
        <v>95</v>
      </c>
      <c r="R2426" s="58" t="s">
        <v>272</v>
      </c>
    </row>
    <row r="2427" spans="1:18" ht="69" customHeight="1">
      <c r="A2427" s="168"/>
      <c r="B2427" s="178">
        <v>1</v>
      </c>
      <c r="C2427" s="59" t="s">
        <v>3667</v>
      </c>
      <c r="D2427" s="575" t="s">
        <v>1721</v>
      </c>
      <c r="E2427" s="178" t="s">
        <v>382</v>
      </c>
      <c r="F2427" s="210" t="s">
        <v>6848</v>
      </c>
      <c r="G2427" s="58" t="s">
        <v>384</v>
      </c>
      <c r="H2427" s="546">
        <v>39819.519999999997</v>
      </c>
      <c r="I2427" s="66">
        <v>44739</v>
      </c>
      <c r="J2427" s="411" t="s">
        <v>6849</v>
      </c>
      <c r="K2427" s="58" t="s">
        <v>6846</v>
      </c>
      <c r="L2427" s="99"/>
      <c r="M2427" s="70" t="s">
        <v>6847</v>
      </c>
      <c r="N2427" s="97" t="s">
        <v>387</v>
      </c>
      <c r="O2427" s="45" t="s">
        <v>150</v>
      </c>
      <c r="P2427" s="58" t="s">
        <v>51</v>
      </c>
      <c r="Q2427" s="58" t="s">
        <v>95</v>
      </c>
      <c r="R2427" s="58" t="s">
        <v>272</v>
      </c>
    </row>
    <row r="2428" spans="1:18" ht="69" customHeight="1">
      <c r="A2428" s="168"/>
      <c r="B2428" s="178">
        <v>5134</v>
      </c>
      <c r="C2428" s="59" t="s">
        <v>3667</v>
      </c>
      <c r="D2428" s="575" t="s">
        <v>1527</v>
      </c>
      <c r="E2428" s="178" t="s">
        <v>305</v>
      </c>
      <c r="F2428" s="210" t="s">
        <v>6850</v>
      </c>
      <c r="G2428" s="58" t="s">
        <v>307</v>
      </c>
      <c r="H2428" s="546">
        <v>12000</v>
      </c>
      <c r="I2428" s="66" t="s">
        <v>96</v>
      </c>
      <c r="J2428" s="411" t="s">
        <v>6851</v>
      </c>
      <c r="K2428" s="58" t="s">
        <v>705</v>
      </c>
      <c r="L2428" s="99"/>
      <c r="M2428" s="70" t="s">
        <v>6836</v>
      </c>
      <c r="N2428" s="97" t="s">
        <v>270</v>
      </c>
      <c r="O2428" s="58"/>
      <c r="P2428" s="58" t="s">
        <v>44</v>
      </c>
      <c r="Q2428" s="58" t="s">
        <v>82</v>
      </c>
      <c r="R2428" s="58" t="s">
        <v>272</v>
      </c>
    </row>
    <row r="2429" spans="1:18" ht="69" customHeight="1">
      <c r="A2429" s="168"/>
      <c r="B2429" s="178">
        <v>5258</v>
      </c>
      <c r="C2429" s="178" t="s">
        <v>5615</v>
      </c>
      <c r="D2429" s="575" t="s">
        <v>2499</v>
      </c>
      <c r="E2429" s="178" t="s">
        <v>266</v>
      </c>
      <c r="F2429" s="210" t="s">
        <v>6852</v>
      </c>
      <c r="G2429" s="58" t="s">
        <v>396</v>
      </c>
      <c r="H2429" s="546">
        <v>3500</v>
      </c>
      <c r="I2429" s="66">
        <v>44753</v>
      </c>
      <c r="J2429" s="411" t="s">
        <v>6853</v>
      </c>
      <c r="K2429" s="58" t="s">
        <v>705</v>
      </c>
      <c r="L2429" s="99"/>
      <c r="M2429" s="70" t="s">
        <v>6854</v>
      </c>
      <c r="N2429" s="97" t="s">
        <v>552</v>
      </c>
      <c r="O2429" s="58"/>
      <c r="P2429" s="58" t="s">
        <v>40</v>
      </c>
      <c r="Q2429" s="58" t="s">
        <v>82</v>
      </c>
      <c r="R2429" s="58" t="s">
        <v>272</v>
      </c>
    </row>
    <row r="2430" spans="1:18" ht="69" customHeight="1">
      <c r="A2430" s="168"/>
      <c r="B2430" s="178">
        <v>6417</v>
      </c>
      <c r="C2430" s="178" t="s">
        <v>5615</v>
      </c>
      <c r="D2430" s="575" t="s">
        <v>6855</v>
      </c>
      <c r="E2430" s="178" t="s">
        <v>432</v>
      </c>
      <c r="F2430" s="210" t="s">
        <v>6856</v>
      </c>
      <c r="G2430" s="58" t="s">
        <v>429</v>
      </c>
      <c r="H2430" s="546">
        <v>13959.486000000001</v>
      </c>
      <c r="I2430" s="66">
        <v>44802</v>
      </c>
      <c r="J2430" s="411" t="s">
        <v>5618</v>
      </c>
      <c r="K2430" s="58" t="s">
        <v>6846</v>
      </c>
      <c r="L2430" s="99"/>
      <c r="M2430" s="70" t="s">
        <v>6857</v>
      </c>
      <c r="N2430" s="97" t="s">
        <v>432</v>
      </c>
      <c r="O2430" s="58"/>
      <c r="P2430" s="58" t="s">
        <v>53</v>
      </c>
      <c r="Q2430" s="58" t="s">
        <v>95</v>
      </c>
      <c r="R2430" s="58" t="s">
        <v>272</v>
      </c>
    </row>
    <row r="2431" spans="1:18" ht="69" customHeight="1">
      <c r="A2431" s="168"/>
      <c r="B2431" s="178">
        <v>5319</v>
      </c>
      <c r="C2431" s="178" t="s">
        <v>5615</v>
      </c>
      <c r="D2431" s="575" t="s">
        <v>538</v>
      </c>
      <c r="E2431" s="178" t="s">
        <v>266</v>
      </c>
      <c r="F2431" s="210" t="s">
        <v>6858</v>
      </c>
      <c r="G2431" s="58" t="s">
        <v>1107</v>
      </c>
      <c r="H2431" s="546">
        <v>6500</v>
      </c>
      <c r="I2431" s="66" t="s">
        <v>96</v>
      </c>
      <c r="J2431" s="411" t="s">
        <v>6859</v>
      </c>
      <c r="K2431" s="58"/>
      <c r="L2431" s="99"/>
      <c r="M2431" s="70" t="s">
        <v>6854</v>
      </c>
      <c r="N2431" s="97" t="s">
        <v>552</v>
      </c>
      <c r="O2431" s="58" t="s">
        <v>5961</v>
      </c>
      <c r="P2431" s="58" t="s">
        <v>38</v>
      </c>
      <c r="Q2431" s="58" t="s">
        <v>82</v>
      </c>
      <c r="R2431" s="58" t="s">
        <v>272</v>
      </c>
    </row>
    <row r="2432" spans="1:18" ht="69" customHeight="1">
      <c r="A2432" s="168"/>
      <c r="B2432" s="600">
        <v>6604</v>
      </c>
      <c r="C2432" s="600" t="s">
        <v>3667</v>
      </c>
      <c r="D2432" s="601" t="s">
        <v>6860</v>
      </c>
      <c r="E2432" s="600" t="s">
        <v>5708</v>
      </c>
      <c r="F2432" s="602" t="s">
        <v>6861</v>
      </c>
      <c r="G2432" s="460" t="s">
        <v>5710</v>
      </c>
      <c r="H2432" s="605">
        <v>165848.87</v>
      </c>
      <c r="I2432" s="461">
        <v>44816</v>
      </c>
      <c r="J2432" s="603" t="s">
        <v>6801</v>
      </c>
      <c r="K2432" s="460"/>
      <c r="L2432" s="99"/>
      <c r="M2432" s="70" t="s">
        <v>6862</v>
      </c>
      <c r="N2432" s="97" t="s">
        <v>414</v>
      </c>
      <c r="O2432" s="58" t="s">
        <v>5713</v>
      </c>
      <c r="P2432" s="58" t="s">
        <v>24</v>
      </c>
      <c r="Q2432" s="58" t="s">
        <v>82</v>
      </c>
      <c r="R2432" s="58" t="s">
        <v>265</v>
      </c>
    </row>
    <row r="2433" spans="1:18" ht="69" customHeight="1">
      <c r="A2433" s="168"/>
      <c r="B2433" s="178">
        <v>6708</v>
      </c>
      <c r="C2433" s="178" t="s">
        <v>6657</v>
      </c>
      <c r="D2433" s="575" t="s">
        <v>6863</v>
      </c>
      <c r="E2433" s="178" t="s">
        <v>409</v>
      </c>
      <c r="F2433" s="210" t="s">
        <v>6864</v>
      </c>
      <c r="G2433" s="58" t="s">
        <v>5809</v>
      </c>
      <c r="H2433" s="546">
        <v>274070.21999999997</v>
      </c>
      <c r="I2433" s="66">
        <v>44820</v>
      </c>
      <c r="J2433" s="411" t="s">
        <v>6807</v>
      </c>
      <c r="K2433" s="58"/>
      <c r="L2433" s="99"/>
      <c r="M2433" s="70" t="s">
        <v>6865</v>
      </c>
      <c r="N2433" s="97" t="s">
        <v>414</v>
      </c>
      <c r="O2433" s="58" t="s">
        <v>5713</v>
      </c>
      <c r="P2433" s="58" t="s">
        <v>24</v>
      </c>
      <c r="Q2433" s="58" t="s">
        <v>82</v>
      </c>
      <c r="R2433" s="58" t="s">
        <v>272</v>
      </c>
    </row>
    <row r="2434" spans="1:18" ht="69" customHeight="1">
      <c r="A2434" s="168"/>
      <c r="B2434" s="178">
        <v>6832</v>
      </c>
      <c r="C2434" s="178" t="s">
        <v>5615</v>
      </c>
      <c r="D2434" s="575" t="s">
        <v>6866</v>
      </c>
      <c r="E2434" s="178" t="s">
        <v>266</v>
      </c>
      <c r="F2434" s="210" t="s">
        <v>6867</v>
      </c>
      <c r="G2434" s="58" t="s">
        <v>448</v>
      </c>
      <c r="H2434" s="546">
        <v>17500</v>
      </c>
      <c r="I2434" s="66">
        <v>44832</v>
      </c>
      <c r="J2434" s="411" t="s">
        <v>6811</v>
      </c>
      <c r="K2434" s="58"/>
      <c r="L2434" s="99"/>
      <c r="M2434" s="70" t="s">
        <v>6868</v>
      </c>
      <c r="N2434" s="97" t="s">
        <v>399</v>
      </c>
      <c r="O2434" s="58"/>
      <c r="P2434" s="58" t="s">
        <v>40</v>
      </c>
      <c r="Q2434" s="58" t="s">
        <v>82</v>
      </c>
      <c r="R2434" s="58" t="s">
        <v>272</v>
      </c>
    </row>
    <row r="2435" spans="1:18" ht="69" customHeight="1">
      <c r="A2435" s="168"/>
      <c r="B2435" s="178">
        <v>7486</v>
      </c>
      <c r="C2435" s="59" t="s">
        <v>3667</v>
      </c>
      <c r="D2435" s="575" t="s">
        <v>6869</v>
      </c>
      <c r="E2435" s="178" t="s">
        <v>266</v>
      </c>
      <c r="F2435" s="210" t="s">
        <v>6870</v>
      </c>
      <c r="G2435" s="58" t="s">
        <v>444</v>
      </c>
      <c r="H2435" s="546">
        <v>5334.67</v>
      </c>
      <c r="I2435" s="66">
        <v>44879</v>
      </c>
      <c r="J2435" s="411" t="s">
        <v>445</v>
      </c>
      <c r="K2435" s="58"/>
      <c r="L2435" s="99"/>
      <c r="M2435" s="70" t="s">
        <v>6836</v>
      </c>
      <c r="N2435" s="97" t="s">
        <v>270</v>
      </c>
      <c r="O2435" s="58"/>
      <c r="P2435" s="58" t="s">
        <v>44</v>
      </c>
      <c r="Q2435" s="58" t="s">
        <v>82</v>
      </c>
      <c r="R2435" s="58" t="s">
        <v>272</v>
      </c>
    </row>
    <row r="2436" spans="1:18" ht="69" customHeight="1">
      <c r="A2436" s="168"/>
      <c r="B2436" s="178">
        <v>7015</v>
      </c>
      <c r="C2436" s="178" t="s">
        <v>6871</v>
      </c>
      <c r="D2436" s="575" t="s">
        <v>1078</v>
      </c>
      <c r="E2436" s="178" t="s">
        <v>979</v>
      </c>
      <c r="F2436" s="210" t="s">
        <v>6872</v>
      </c>
      <c r="G2436" s="58" t="s">
        <v>805</v>
      </c>
      <c r="H2436" s="546">
        <v>118860</v>
      </c>
      <c r="I2436" s="66">
        <v>44849</v>
      </c>
      <c r="J2436" s="411" t="s">
        <v>6813</v>
      </c>
      <c r="K2436" s="58" t="s">
        <v>6873</v>
      </c>
      <c r="L2436" s="99"/>
      <c r="M2436" s="70" t="s">
        <v>6874</v>
      </c>
      <c r="N2436" s="97" t="s">
        <v>356</v>
      </c>
      <c r="O2436" s="58" t="s">
        <v>156</v>
      </c>
      <c r="P2436" s="58" t="s">
        <v>19</v>
      </c>
      <c r="Q2436" s="58" t="s">
        <v>82</v>
      </c>
      <c r="R2436" s="58" t="s">
        <v>265</v>
      </c>
    </row>
    <row r="2437" spans="1:18" ht="69" customHeight="1">
      <c r="A2437" s="168"/>
      <c r="B2437" s="178">
        <v>8473</v>
      </c>
      <c r="C2437" s="178" t="s">
        <v>5615</v>
      </c>
      <c r="D2437" s="575" t="s">
        <v>6875</v>
      </c>
      <c r="E2437" s="178" t="s">
        <v>409</v>
      </c>
      <c r="F2437" s="210" t="s">
        <v>6876</v>
      </c>
      <c r="G2437" s="58" t="s">
        <v>1107</v>
      </c>
      <c r="H2437" s="546">
        <v>6500</v>
      </c>
      <c r="I2437" s="66">
        <v>44942</v>
      </c>
      <c r="J2437" s="411" t="s">
        <v>5836</v>
      </c>
      <c r="K2437" s="58"/>
      <c r="L2437" s="99"/>
      <c r="M2437" s="70" t="s">
        <v>6854</v>
      </c>
      <c r="N2437" s="97" t="s">
        <v>552</v>
      </c>
      <c r="O2437" s="58" t="s">
        <v>5961</v>
      </c>
      <c r="P2437" s="58" t="s">
        <v>38</v>
      </c>
      <c r="Q2437" s="58" t="s">
        <v>82</v>
      </c>
      <c r="R2437" s="58" t="s">
        <v>272</v>
      </c>
    </row>
    <row r="2438" spans="1:18" ht="69" customHeight="1">
      <c r="A2438" s="168"/>
      <c r="B2438" s="178">
        <v>8474</v>
      </c>
      <c r="C2438" s="178" t="s">
        <v>5615</v>
      </c>
      <c r="D2438" s="575" t="s">
        <v>6877</v>
      </c>
      <c r="E2438" s="178" t="s">
        <v>409</v>
      </c>
      <c r="F2438" s="210" t="s">
        <v>6878</v>
      </c>
      <c r="G2438" s="58" t="s">
        <v>1107</v>
      </c>
      <c r="H2438" s="546">
        <v>6500</v>
      </c>
      <c r="I2438" s="66">
        <v>44942</v>
      </c>
      <c r="J2438" s="411" t="s">
        <v>5836</v>
      </c>
      <c r="K2438" s="58"/>
      <c r="L2438" s="99"/>
      <c r="M2438" s="70" t="s">
        <v>6854</v>
      </c>
      <c r="N2438" s="97" t="s">
        <v>552</v>
      </c>
      <c r="O2438" s="58" t="s">
        <v>5961</v>
      </c>
      <c r="P2438" s="58" t="s">
        <v>38</v>
      </c>
      <c r="Q2438" s="58" t="s">
        <v>82</v>
      </c>
      <c r="R2438" s="58" t="s">
        <v>272</v>
      </c>
    </row>
    <row r="2439" spans="1:18" ht="69" customHeight="1">
      <c r="A2439" s="168"/>
      <c r="B2439" s="178">
        <v>8475</v>
      </c>
      <c r="C2439" s="178" t="s">
        <v>5615</v>
      </c>
      <c r="D2439" s="575"/>
      <c r="E2439" s="178" t="s">
        <v>409</v>
      </c>
      <c r="F2439" s="210" t="s">
        <v>6879</v>
      </c>
      <c r="G2439" s="58" t="s">
        <v>1107</v>
      </c>
      <c r="H2439" s="546">
        <v>6500</v>
      </c>
      <c r="I2439" s="66">
        <v>44942</v>
      </c>
      <c r="J2439" s="411" t="s">
        <v>5836</v>
      </c>
      <c r="K2439" s="58"/>
      <c r="L2439" s="99"/>
      <c r="M2439" s="70" t="s">
        <v>6854</v>
      </c>
      <c r="N2439" s="97" t="s">
        <v>552</v>
      </c>
      <c r="O2439" s="58" t="s">
        <v>5961</v>
      </c>
      <c r="P2439" s="58" t="s">
        <v>38</v>
      </c>
      <c r="Q2439" s="58" t="s">
        <v>82</v>
      </c>
      <c r="R2439" s="58" t="s">
        <v>272</v>
      </c>
    </row>
    <row r="2440" spans="1:18" ht="69" customHeight="1">
      <c r="A2440" s="168"/>
      <c r="B2440" s="178">
        <v>8475</v>
      </c>
      <c r="C2440" s="178" t="s">
        <v>5615</v>
      </c>
      <c r="D2440" s="575" t="s">
        <v>6880</v>
      </c>
      <c r="E2440" s="178" t="s">
        <v>552</v>
      </c>
      <c r="F2440" s="210" t="s">
        <v>6881</v>
      </c>
      <c r="G2440" s="58" t="s">
        <v>1107</v>
      </c>
      <c r="H2440" s="546">
        <v>6500</v>
      </c>
      <c r="I2440" s="66">
        <v>44967</v>
      </c>
      <c r="J2440" s="411" t="s">
        <v>6819</v>
      </c>
      <c r="K2440" s="58"/>
      <c r="L2440" s="99"/>
      <c r="M2440" s="70" t="s">
        <v>6854</v>
      </c>
      <c r="N2440" s="97" t="s">
        <v>552</v>
      </c>
      <c r="O2440" s="58" t="s">
        <v>5961</v>
      </c>
      <c r="P2440" s="58" t="s">
        <v>38</v>
      </c>
      <c r="Q2440" s="58" t="s">
        <v>82</v>
      </c>
      <c r="R2440" s="58" t="s">
        <v>272</v>
      </c>
    </row>
    <row r="2441" spans="1:18" ht="69" customHeight="1">
      <c r="A2441" s="168"/>
      <c r="B2441" s="178">
        <v>8247</v>
      </c>
      <c r="C2441" s="178" t="s">
        <v>6871</v>
      </c>
      <c r="D2441" s="575" t="s">
        <v>6882</v>
      </c>
      <c r="E2441" s="178" t="s">
        <v>266</v>
      </c>
      <c r="F2441" s="210" t="s">
        <v>6883</v>
      </c>
      <c r="G2441" s="58" t="s">
        <v>392</v>
      </c>
      <c r="H2441" s="546">
        <v>60.44</v>
      </c>
      <c r="I2441" s="66">
        <v>44965</v>
      </c>
      <c r="J2441" s="411" t="s">
        <v>3936</v>
      </c>
      <c r="K2441" s="58"/>
      <c r="L2441" s="99"/>
      <c r="M2441" s="70" t="s">
        <v>6836</v>
      </c>
      <c r="N2441" s="97" t="s">
        <v>270</v>
      </c>
      <c r="O2441" s="58"/>
      <c r="P2441" s="58" t="s">
        <v>44</v>
      </c>
      <c r="Q2441" s="58" t="s">
        <v>82</v>
      </c>
      <c r="R2441" s="58" t="s">
        <v>272</v>
      </c>
    </row>
    <row r="2442" spans="1:18" ht="69" customHeight="1">
      <c r="A2442" s="168"/>
      <c r="B2442" s="178">
        <v>8890</v>
      </c>
      <c r="C2442" s="59" t="s">
        <v>3667</v>
      </c>
      <c r="D2442" s="575" t="s">
        <v>6884</v>
      </c>
      <c r="E2442" s="178" t="s">
        <v>270</v>
      </c>
      <c r="F2442" s="210" t="s">
        <v>6885</v>
      </c>
      <c r="G2442" s="58" t="s">
        <v>392</v>
      </c>
      <c r="H2442" s="546">
        <v>1150</v>
      </c>
      <c r="I2442" s="66">
        <v>44985</v>
      </c>
      <c r="J2442" s="411" t="s">
        <v>4292</v>
      </c>
      <c r="K2442" s="58"/>
      <c r="L2442" s="99"/>
      <c r="M2442" s="70" t="s">
        <v>6836</v>
      </c>
      <c r="N2442" s="97" t="s">
        <v>270</v>
      </c>
      <c r="O2442" s="58"/>
      <c r="P2442" s="58" t="s">
        <v>44</v>
      </c>
      <c r="Q2442" s="58" t="s">
        <v>82</v>
      </c>
      <c r="R2442" s="58" t="s">
        <v>272</v>
      </c>
    </row>
    <row r="2443" spans="1:18" ht="69" customHeight="1">
      <c r="A2443" s="168"/>
      <c r="B2443" s="178">
        <v>9822</v>
      </c>
      <c r="C2443" s="59" t="s">
        <v>3667</v>
      </c>
      <c r="D2443" s="575" t="s">
        <v>6886</v>
      </c>
      <c r="E2443" s="178" t="s">
        <v>266</v>
      </c>
      <c r="F2443" s="210" t="s">
        <v>6887</v>
      </c>
      <c r="G2443" s="58" t="s">
        <v>590</v>
      </c>
      <c r="H2443" s="546">
        <v>1150</v>
      </c>
      <c r="I2443" s="66">
        <v>45041</v>
      </c>
      <c r="J2443" s="411" t="s">
        <v>4105</v>
      </c>
      <c r="K2443" s="58"/>
      <c r="L2443" s="99"/>
      <c r="M2443" s="70" t="s">
        <v>6836</v>
      </c>
      <c r="N2443" s="97" t="s">
        <v>270</v>
      </c>
      <c r="O2443" s="58"/>
      <c r="P2443" s="58" t="s">
        <v>44</v>
      </c>
      <c r="Q2443" s="58" t="s">
        <v>82</v>
      </c>
      <c r="R2443" s="58" t="s">
        <v>272</v>
      </c>
    </row>
    <row r="2444" spans="1:18" ht="69" customHeight="1">
      <c r="A2444" s="168"/>
      <c r="B2444" s="178">
        <v>9829</v>
      </c>
      <c r="C2444" s="178" t="s">
        <v>6888</v>
      </c>
      <c r="D2444" s="575" t="s">
        <v>6889</v>
      </c>
      <c r="E2444" s="178" t="s">
        <v>266</v>
      </c>
      <c r="F2444" s="210" t="s">
        <v>6890</v>
      </c>
      <c r="G2444" s="58" t="s">
        <v>590</v>
      </c>
      <c r="H2444" s="546">
        <v>3183.81</v>
      </c>
      <c r="I2444" s="66">
        <v>45041</v>
      </c>
      <c r="J2444" s="411" t="s">
        <v>4105</v>
      </c>
      <c r="K2444" s="58"/>
      <c r="L2444" s="99"/>
      <c r="M2444" s="70" t="s">
        <v>6836</v>
      </c>
      <c r="N2444" s="97" t="s">
        <v>270</v>
      </c>
      <c r="O2444" s="58"/>
      <c r="P2444" s="58" t="s">
        <v>44</v>
      </c>
      <c r="Q2444" s="58" t="s">
        <v>84</v>
      </c>
      <c r="R2444" s="58" t="s">
        <v>272</v>
      </c>
    </row>
    <row r="2445" spans="1:18" ht="69" customHeight="1">
      <c r="A2445" s="168"/>
      <c r="B2445" s="191">
        <v>2991</v>
      </c>
      <c r="C2445" s="191" t="s">
        <v>3643</v>
      </c>
      <c r="D2445" s="533" t="s">
        <v>6891</v>
      </c>
      <c r="E2445" s="191" t="s">
        <v>331</v>
      </c>
      <c r="F2445" s="211" t="s">
        <v>6892</v>
      </c>
      <c r="G2445" s="46" t="s">
        <v>4416</v>
      </c>
      <c r="H2445" s="534">
        <v>0</v>
      </c>
      <c r="I2445" s="56" t="s">
        <v>96</v>
      </c>
      <c r="J2445" s="412" t="s">
        <v>334</v>
      </c>
      <c r="K2445" s="46"/>
      <c r="L2445" s="99"/>
      <c r="M2445" s="379" t="s">
        <v>84</v>
      </c>
      <c r="N2445" s="76" t="s">
        <v>69</v>
      </c>
      <c r="O2445" s="46"/>
      <c r="P2445" s="46" t="s">
        <v>69</v>
      </c>
      <c r="Q2445" s="46" t="s">
        <v>84</v>
      </c>
      <c r="R2445" s="46" t="s">
        <v>272</v>
      </c>
    </row>
    <row r="2446" spans="1:18" ht="69" customHeight="1">
      <c r="A2446" s="168"/>
      <c r="B2446" s="191">
        <v>3218</v>
      </c>
      <c r="C2446" s="191" t="s">
        <v>5615</v>
      </c>
      <c r="D2446" s="533" t="s">
        <v>650</v>
      </c>
      <c r="E2446" s="191" t="s">
        <v>331</v>
      </c>
      <c r="F2446" s="211" t="s">
        <v>6892</v>
      </c>
      <c r="G2446" s="46" t="s">
        <v>4416</v>
      </c>
      <c r="H2446" s="534">
        <v>0</v>
      </c>
      <c r="I2446" s="56" t="s">
        <v>96</v>
      </c>
      <c r="J2446" s="412" t="s">
        <v>334</v>
      </c>
      <c r="K2446" s="46"/>
      <c r="L2446" s="99"/>
      <c r="M2446" s="379" t="s">
        <v>84</v>
      </c>
      <c r="N2446" s="76" t="s">
        <v>69</v>
      </c>
      <c r="O2446" s="46"/>
      <c r="P2446" s="46" t="s">
        <v>69</v>
      </c>
      <c r="Q2446" s="46" t="s">
        <v>84</v>
      </c>
      <c r="R2446" s="46" t="s">
        <v>272</v>
      </c>
    </row>
    <row r="2447" spans="1:18" ht="69" customHeight="1">
      <c r="A2447" s="168"/>
      <c r="B2447" s="178">
        <v>3937</v>
      </c>
      <c r="C2447" s="59" t="s">
        <v>3667</v>
      </c>
      <c r="D2447" s="575" t="s">
        <v>6893</v>
      </c>
      <c r="E2447" s="178" t="s">
        <v>921</v>
      </c>
      <c r="F2447" s="210" t="s">
        <v>6894</v>
      </c>
      <c r="G2447" s="58" t="s">
        <v>5662</v>
      </c>
      <c r="H2447" s="552">
        <v>31143</v>
      </c>
      <c r="I2447" s="66">
        <v>44616</v>
      </c>
      <c r="J2447" s="411" t="s">
        <v>6895</v>
      </c>
      <c r="K2447" s="58" t="s">
        <v>714</v>
      </c>
      <c r="L2447" s="99"/>
      <c r="M2447" s="70" t="s">
        <v>6896</v>
      </c>
      <c r="N2447" s="97" t="s">
        <v>356</v>
      </c>
      <c r="O2447" s="58" t="s">
        <v>156</v>
      </c>
      <c r="P2447" s="58" t="s">
        <v>19</v>
      </c>
      <c r="Q2447" s="58" t="s">
        <v>84</v>
      </c>
      <c r="R2447" s="58" t="s">
        <v>272</v>
      </c>
    </row>
    <row r="2448" spans="1:18" ht="69" customHeight="1">
      <c r="A2448" s="168"/>
      <c r="B2448" s="178">
        <v>4011</v>
      </c>
      <c r="C2448" s="178" t="s">
        <v>259</v>
      </c>
      <c r="D2448" s="575"/>
      <c r="E2448" s="178" t="s">
        <v>266</v>
      </c>
      <c r="F2448" s="210" t="s">
        <v>6897</v>
      </c>
      <c r="G2448" s="58" t="s">
        <v>392</v>
      </c>
      <c r="H2448" s="546">
        <v>624.91</v>
      </c>
      <c r="I2448" s="66">
        <v>44615</v>
      </c>
      <c r="J2448" s="411" t="s">
        <v>6898</v>
      </c>
      <c r="K2448" s="58"/>
      <c r="L2448" s="99"/>
      <c r="M2448" s="70" t="s">
        <v>6899</v>
      </c>
      <c r="N2448" s="97" t="s">
        <v>270</v>
      </c>
      <c r="O2448" s="58"/>
      <c r="P2448" s="58" t="s">
        <v>44</v>
      </c>
      <c r="Q2448" s="58" t="s">
        <v>84</v>
      </c>
      <c r="R2448" s="58" t="s">
        <v>272</v>
      </c>
    </row>
    <row r="2449" spans="1:18" ht="69" customHeight="1">
      <c r="A2449" s="168"/>
      <c r="B2449" s="178">
        <v>4012</v>
      </c>
      <c r="C2449" s="178" t="s">
        <v>259</v>
      </c>
      <c r="D2449" s="575"/>
      <c r="E2449" s="178" t="s">
        <v>266</v>
      </c>
      <c r="F2449" s="210" t="s">
        <v>6900</v>
      </c>
      <c r="G2449" s="58" t="s">
        <v>392</v>
      </c>
      <c r="H2449" s="546">
        <v>511.27</v>
      </c>
      <c r="I2449" s="66">
        <v>44615</v>
      </c>
      <c r="J2449" s="411" t="s">
        <v>6901</v>
      </c>
      <c r="K2449" s="58"/>
      <c r="L2449" s="99"/>
      <c r="M2449" s="70" t="s">
        <v>6899</v>
      </c>
      <c r="N2449" s="97" t="s">
        <v>270</v>
      </c>
      <c r="O2449" s="58"/>
      <c r="P2449" s="58" t="s">
        <v>44</v>
      </c>
      <c r="Q2449" s="58" t="s">
        <v>84</v>
      </c>
      <c r="R2449" s="58" t="s">
        <v>272</v>
      </c>
    </row>
    <row r="2450" spans="1:18" ht="69" customHeight="1">
      <c r="A2450" s="168"/>
      <c r="B2450" s="178">
        <v>4013</v>
      </c>
      <c r="C2450" s="178" t="s">
        <v>259</v>
      </c>
      <c r="D2450" s="575"/>
      <c r="E2450" s="178" t="s">
        <v>266</v>
      </c>
      <c r="F2450" s="210" t="s">
        <v>6902</v>
      </c>
      <c r="G2450" s="58" t="s">
        <v>392</v>
      </c>
      <c r="H2450" s="546">
        <v>2679.87</v>
      </c>
      <c r="I2450" s="66">
        <v>44615</v>
      </c>
      <c r="J2450" s="411" t="s">
        <v>6903</v>
      </c>
      <c r="K2450" s="58"/>
      <c r="L2450" s="99"/>
      <c r="M2450" s="70" t="s">
        <v>6899</v>
      </c>
      <c r="N2450" s="97" t="s">
        <v>270</v>
      </c>
      <c r="O2450" s="58"/>
      <c r="P2450" s="58" t="s">
        <v>44</v>
      </c>
      <c r="Q2450" s="58" t="s">
        <v>84</v>
      </c>
      <c r="R2450" s="58" t="s">
        <v>272</v>
      </c>
    </row>
    <row r="2451" spans="1:18" ht="69" customHeight="1">
      <c r="A2451" s="168"/>
      <c r="B2451" s="178">
        <v>4014</v>
      </c>
      <c r="C2451" s="178" t="s">
        <v>259</v>
      </c>
      <c r="D2451" s="575"/>
      <c r="E2451" s="178" t="s">
        <v>266</v>
      </c>
      <c r="F2451" s="210" t="s">
        <v>6904</v>
      </c>
      <c r="G2451" s="58" t="s">
        <v>392</v>
      </c>
      <c r="H2451" s="546">
        <v>2191.17</v>
      </c>
      <c r="I2451" s="66">
        <v>44615</v>
      </c>
      <c r="J2451" s="411" t="s">
        <v>6905</v>
      </c>
      <c r="K2451" s="58"/>
      <c r="L2451" s="99"/>
      <c r="M2451" s="70" t="s">
        <v>6899</v>
      </c>
      <c r="N2451" s="97" t="s">
        <v>270</v>
      </c>
      <c r="O2451" s="58"/>
      <c r="P2451" s="58" t="s">
        <v>44</v>
      </c>
      <c r="Q2451" s="58" t="s">
        <v>84</v>
      </c>
      <c r="R2451" s="58" t="s">
        <v>272</v>
      </c>
    </row>
    <row r="2452" spans="1:18" ht="69" customHeight="1">
      <c r="A2452" s="168"/>
      <c r="B2452" s="178">
        <v>4015</v>
      </c>
      <c r="C2452" s="178" t="s">
        <v>259</v>
      </c>
      <c r="D2452" s="575"/>
      <c r="E2452" s="178" t="s">
        <v>266</v>
      </c>
      <c r="F2452" s="210" t="s">
        <v>6906</v>
      </c>
      <c r="G2452" s="58" t="s">
        <v>392</v>
      </c>
      <c r="H2452" s="546">
        <v>1719.7</v>
      </c>
      <c r="I2452" s="66">
        <v>44615</v>
      </c>
      <c r="J2452" s="411" t="s">
        <v>6907</v>
      </c>
      <c r="K2452" s="58"/>
      <c r="L2452" s="99"/>
      <c r="M2452" s="70" t="s">
        <v>6899</v>
      </c>
      <c r="N2452" s="97" t="s">
        <v>270</v>
      </c>
      <c r="O2452" s="58"/>
      <c r="P2452" s="58" t="s">
        <v>44</v>
      </c>
      <c r="Q2452" s="58" t="s">
        <v>84</v>
      </c>
      <c r="R2452" s="58" t="s">
        <v>272</v>
      </c>
    </row>
    <row r="2453" spans="1:18" ht="69" customHeight="1">
      <c r="A2453" s="168"/>
      <c r="B2453" s="178">
        <v>4230</v>
      </c>
      <c r="C2453" s="59" t="s">
        <v>3667</v>
      </c>
      <c r="D2453" s="575" t="s">
        <v>3414</v>
      </c>
      <c r="E2453" s="178" t="s">
        <v>266</v>
      </c>
      <c r="F2453" s="210" t="s">
        <v>6908</v>
      </c>
      <c r="G2453" s="58" t="s">
        <v>2268</v>
      </c>
      <c r="H2453" s="546">
        <v>2137</v>
      </c>
      <c r="I2453" s="66">
        <v>44664</v>
      </c>
      <c r="J2453" s="411" t="s">
        <v>6909</v>
      </c>
      <c r="K2453" s="58"/>
      <c r="L2453" s="99"/>
      <c r="M2453" s="70" t="s">
        <v>6899</v>
      </c>
      <c r="N2453" s="97" t="s">
        <v>270</v>
      </c>
      <c r="O2453" s="58"/>
      <c r="P2453" s="58" t="s">
        <v>44</v>
      </c>
      <c r="Q2453" s="58" t="s">
        <v>84</v>
      </c>
      <c r="R2453" s="58" t="s">
        <v>272</v>
      </c>
    </row>
    <row r="2454" spans="1:18" ht="69" customHeight="1">
      <c r="A2454" s="168"/>
      <c r="B2454" s="178">
        <v>4121</v>
      </c>
      <c r="C2454" s="178" t="s">
        <v>5615</v>
      </c>
      <c r="D2454" s="575" t="s">
        <v>6910</v>
      </c>
      <c r="E2454" s="178" t="s">
        <v>266</v>
      </c>
      <c r="F2454" s="210" t="s">
        <v>6911</v>
      </c>
      <c r="G2454" s="58" t="s">
        <v>376</v>
      </c>
      <c r="H2454" s="546">
        <v>6080</v>
      </c>
      <c r="I2454" s="66">
        <v>44676</v>
      </c>
      <c r="J2454" s="411" t="s">
        <v>6912</v>
      </c>
      <c r="K2454" s="58"/>
      <c r="L2454" s="99"/>
      <c r="M2454" s="70" t="s">
        <v>6899</v>
      </c>
      <c r="N2454" s="97" t="s">
        <v>270</v>
      </c>
      <c r="O2454" s="58"/>
      <c r="P2454" s="58" t="s">
        <v>44</v>
      </c>
      <c r="Q2454" s="58" t="s">
        <v>84</v>
      </c>
      <c r="R2454" s="58" t="s">
        <v>272</v>
      </c>
    </row>
    <row r="2455" spans="1:18" ht="69" customHeight="1">
      <c r="A2455" s="168"/>
      <c r="B2455" s="178">
        <v>4955</v>
      </c>
      <c r="C2455" s="178" t="s">
        <v>5615</v>
      </c>
      <c r="D2455" s="575" t="s">
        <v>3485</v>
      </c>
      <c r="E2455" s="178" t="s">
        <v>266</v>
      </c>
      <c r="F2455" s="210" t="s">
        <v>6913</v>
      </c>
      <c r="G2455" s="58" t="s">
        <v>392</v>
      </c>
      <c r="H2455" s="546">
        <v>61.32</v>
      </c>
      <c r="I2455" s="66">
        <v>44708</v>
      </c>
      <c r="J2455" s="411" t="s">
        <v>6914</v>
      </c>
      <c r="K2455" s="58"/>
      <c r="L2455" s="99"/>
      <c r="M2455" s="70" t="s">
        <v>6899</v>
      </c>
      <c r="N2455" s="97" t="s">
        <v>270</v>
      </c>
      <c r="O2455" s="58"/>
      <c r="P2455" s="58" t="s">
        <v>44</v>
      </c>
      <c r="Q2455" s="58" t="s">
        <v>84</v>
      </c>
      <c r="R2455" s="58" t="s">
        <v>272</v>
      </c>
    </row>
    <row r="2456" spans="1:18" ht="69" customHeight="1">
      <c r="A2456" s="168"/>
      <c r="B2456" s="178">
        <v>4229</v>
      </c>
      <c r="C2456" s="59" t="s">
        <v>3667</v>
      </c>
      <c r="D2456" s="575" t="s">
        <v>6915</v>
      </c>
      <c r="E2456" s="178" t="s">
        <v>305</v>
      </c>
      <c r="F2456" s="210" t="s">
        <v>6916</v>
      </c>
      <c r="G2456" s="58" t="s">
        <v>307</v>
      </c>
      <c r="H2456" s="546">
        <v>12000</v>
      </c>
      <c r="I2456" s="66">
        <v>44729</v>
      </c>
      <c r="J2456" s="411" t="s">
        <v>6917</v>
      </c>
      <c r="K2456" s="58"/>
      <c r="L2456" s="99"/>
      <c r="M2456" s="70" t="s">
        <v>6899</v>
      </c>
      <c r="N2456" s="97" t="s">
        <v>270</v>
      </c>
      <c r="O2456" s="62" t="s">
        <v>6918</v>
      </c>
      <c r="P2456" s="58" t="s">
        <v>44</v>
      </c>
      <c r="Q2456" s="58" t="s">
        <v>84</v>
      </c>
      <c r="R2456" s="58" t="s">
        <v>272</v>
      </c>
    </row>
    <row r="2457" spans="1:18" ht="69" customHeight="1">
      <c r="A2457" s="168"/>
      <c r="B2457" s="178">
        <v>4230</v>
      </c>
      <c r="C2457" s="59" t="s">
        <v>3667</v>
      </c>
      <c r="D2457" s="575" t="s">
        <v>6919</v>
      </c>
      <c r="E2457" s="178" t="s">
        <v>382</v>
      </c>
      <c r="F2457" s="210" t="s">
        <v>6920</v>
      </c>
      <c r="G2457" s="58" t="s">
        <v>384</v>
      </c>
      <c r="H2457" s="546">
        <v>27761.33</v>
      </c>
      <c r="I2457" s="66">
        <v>44739</v>
      </c>
      <c r="J2457" s="411" t="s">
        <v>6921</v>
      </c>
      <c r="K2457" s="58"/>
      <c r="L2457" s="99"/>
      <c r="M2457" s="70" t="s">
        <v>6922</v>
      </c>
      <c r="N2457" s="97" t="s">
        <v>387</v>
      </c>
      <c r="O2457" s="45" t="s">
        <v>150</v>
      </c>
      <c r="P2457" s="58" t="s">
        <v>51</v>
      </c>
      <c r="Q2457" s="58" t="s">
        <v>84</v>
      </c>
      <c r="R2457" s="58" t="s">
        <v>272</v>
      </c>
    </row>
    <row r="2458" spans="1:18" ht="69" customHeight="1">
      <c r="A2458" s="168"/>
      <c r="B2458" s="178">
        <v>4231</v>
      </c>
      <c r="C2458" s="59" t="s">
        <v>3667</v>
      </c>
      <c r="D2458" s="575" t="s">
        <v>1725</v>
      </c>
      <c r="E2458" s="178" t="s">
        <v>382</v>
      </c>
      <c r="F2458" s="210" t="s">
        <v>6923</v>
      </c>
      <c r="G2458" s="58" t="s">
        <v>384</v>
      </c>
      <c r="H2458" s="546">
        <v>39819.519999999997</v>
      </c>
      <c r="I2458" s="66">
        <v>44739</v>
      </c>
      <c r="J2458" s="411" t="s">
        <v>6924</v>
      </c>
      <c r="K2458" s="58"/>
      <c r="L2458" s="99"/>
      <c r="M2458" s="70" t="s">
        <v>6922</v>
      </c>
      <c r="N2458" s="97" t="s">
        <v>387</v>
      </c>
      <c r="O2458" s="45" t="s">
        <v>150</v>
      </c>
      <c r="P2458" s="58" t="s">
        <v>51</v>
      </c>
      <c r="Q2458" s="58" t="s">
        <v>84</v>
      </c>
      <c r="R2458" s="58" t="s">
        <v>272</v>
      </c>
    </row>
    <row r="2459" spans="1:18" ht="69" customHeight="1">
      <c r="A2459" s="168"/>
      <c r="B2459" s="178">
        <v>5263</v>
      </c>
      <c r="C2459" s="178" t="s">
        <v>5615</v>
      </c>
      <c r="D2459" s="575" t="s">
        <v>2042</v>
      </c>
      <c r="E2459" s="178" t="s">
        <v>399</v>
      </c>
      <c r="F2459" s="210" t="s">
        <v>6925</v>
      </c>
      <c r="G2459" s="58" t="s">
        <v>396</v>
      </c>
      <c r="H2459" s="546">
        <v>3500</v>
      </c>
      <c r="I2459" s="66">
        <v>44753</v>
      </c>
      <c r="J2459" s="411" t="s">
        <v>6926</v>
      </c>
      <c r="K2459" s="58" t="s">
        <v>705</v>
      </c>
      <c r="L2459" s="99"/>
      <c r="M2459" s="70" t="s">
        <v>6927</v>
      </c>
      <c r="N2459" s="97" t="s">
        <v>399</v>
      </c>
      <c r="O2459" s="58"/>
      <c r="P2459" s="58" t="s">
        <v>40</v>
      </c>
      <c r="Q2459" s="58" t="s">
        <v>84</v>
      </c>
      <c r="R2459" s="58" t="s">
        <v>272</v>
      </c>
    </row>
    <row r="2460" spans="1:18" ht="69" customHeight="1">
      <c r="A2460" s="168"/>
      <c r="B2460" s="178">
        <v>6342</v>
      </c>
      <c r="C2460" s="178" t="s">
        <v>5615</v>
      </c>
      <c r="D2460" s="575" t="s">
        <v>6928</v>
      </c>
      <c r="E2460" s="178" t="s">
        <v>921</v>
      </c>
      <c r="F2460" s="210" t="s">
        <v>6929</v>
      </c>
      <c r="G2460" s="58" t="s">
        <v>6930</v>
      </c>
      <c r="H2460" s="552">
        <v>159557</v>
      </c>
      <c r="I2460" s="66">
        <v>44798</v>
      </c>
      <c r="J2460" s="411" t="s">
        <v>6931</v>
      </c>
      <c r="K2460" s="58"/>
      <c r="L2460" s="99"/>
      <c r="M2460" s="70" t="s">
        <v>6896</v>
      </c>
      <c r="N2460" s="97" t="s">
        <v>356</v>
      </c>
      <c r="O2460" s="58" t="s">
        <v>156</v>
      </c>
      <c r="P2460" s="58" t="s">
        <v>19</v>
      </c>
      <c r="Q2460" s="58" t="s">
        <v>84</v>
      </c>
      <c r="R2460" s="58" t="s">
        <v>272</v>
      </c>
    </row>
    <row r="2461" spans="1:18" ht="69" customHeight="1">
      <c r="A2461" s="168"/>
      <c r="B2461" s="178">
        <v>6974</v>
      </c>
      <c r="C2461" s="178" t="s">
        <v>5615</v>
      </c>
      <c r="D2461" s="575" t="s">
        <v>1099</v>
      </c>
      <c r="E2461" s="178" t="s">
        <v>979</v>
      </c>
      <c r="F2461" s="210" t="s">
        <v>6932</v>
      </c>
      <c r="G2461" s="58" t="s">
        <v>6933</v>
      </c>
      <c r="H2461" s="546">
        <v>35000</v>
      </c>
      <c r="I2461" s="66">
        <v>44853</v>
      </c>
      <c r="J2461" s="411" t="s">
        <v>6934</v>
      </c>
      <c r="K2461" s="58"/>
      <c r="L2461" s="99"/>
      <c r="M2461" s="70" t="s">
        <v>6935</v>
      </c>
      <c r="N2461" s="97" t="s">
        <v>356</v>
      </c>
      <c r="O2461" s="58" t="s">
        <v>156</v>
      </c>
      <c r="P2461" s="58" t="s">
        <v>19</v>
      </c>
      <c r="Q2461" s="58" t="s">
        <v>84</v>
      </c>
      <c r="R2461" s="58" t="s">
        <v>265</v>
      </c>
    </row>
    <row r="2462" spans="1:18" ht="69" customHeight="1">
      <c r="A2462" s="168"/>
      <c r="B2462" s="178">
        <v>7016</v>
      </c>
      <c r="C2462" s="178" t="s">
        <v>6888</v>
      </c>
      <c r="D2462" s="575" t="s">
        <v>2550</v>
      </c>
      <c r="E2462" s="178" t="s">
        <v>979</v>
      </c>
      <c r="F2462" s="210" t="s">
        <v>6936</v>
      </c>
      <c r="G2462" s="58" t="s">
        <v>805</v>
      </c>
      <c r="H2462" s="546">
        <v>118860</v>
      </c>
      <c r="I2462" s="66">
        <v>44860</v>
      </c>
      <c r="J2462" s="411" t="s">
        <v>6813</v>
      </c>
      <c r="K2462" s="58" t="s">
        <v>6937</v>
      </c>
      <c r="L2462" s="99"/>
      <c r="M2462" s="70" t="s">
        <v>6935</v>
      </c>
      <c r="N2462" s="97" t="s">
        <v>356</v>
      </c>
      <c r="O2462" s="58" t="s">
        <v>156</v>
      </c>
      <c r="P2462" s="58" t="s">
        <v>19</v>
      </c>
      <c r="Q2462" s="58" t="s">
        <v>84</v>
      </c>
      <c r="R2462" s="58" t="s">
        <v>265</v>
      </c>
    </row>
    <row r="2463" spans="1:18" ht="69" customHeight="1">
      <c r="A2463" s="168"/>
      <c r="B2463" s="178">
        <v>6418</v>
      </c>
      <c r="C2463" s="59" t="s">
        <v>5615</v>
      </c>
      <c r="D2463" s="581" t="s">
        <v>6938</v>
      </c>
      <c r="E2463" s="59" t="s">
        <v>432</v>
      </c>
      <c r="F2463" s="569" t="s">
        <v>6939</v>
      </c>
      <c r="G2463" s="45" t="s">
        <v>429</v>
      </c>
      <c r="H2463" s="546">
        <v>13959.486000000001</v>
      </c>
      <c r="I2463" s="47">
        <v>44802</v>
      </c>
      <c r="J2463" s="410" t="s">
        <v>5618</v>
      </c>
      <c r="K2463" s="45"/>
      <c r="L2463" s="99"/>
      <c r="M2463" s="70" t="s">
        <v>6940</v>
      </c>
      <c r="N2463" s="97" t="s">
        <v>432</v>
      </c>
      <c r="O2463" s="58"/>
      <c r="P2463" s="58" t="s">
        <v>53</v>
      </c>
      <c r="Q2463" s="58" t="s">
        <v>84</v>
      </c>
      <c r="R2463" s="58" t="s">
        <v>272</v>
      </c>
    </row>
    <row r="2464" spans="1:18" ht="69" customHeight="1">
      <c r="A2464" s="168"/>
      <c r="B2464" s="178">
        <v>5324</v>
      </c>
      <c r="C2464" s="178" t="s">
        <v>5615</v>
      </c>
      <c r="D2464" s="575" t="s">
        <v>3503</v>
      </c>
      <c r="E2464" s="178" t="s">
        <v>266</v>
      </c>
      <c r="F2464" s="210" t="s">
        <v>6941</v>
      </c>
      <c r="G2464" s="58" t="s">
        <v>1107</v>
      </c>
      <c r="H2464" s="546">
        <v>6500</v>
      </c>
      <c r="I2464" s="66" t="s">
        <v>96</v>
      </c>
      <c r="J2464" s="411" t="s">
        <v>6942</v>
      </c>
      <c r="K2464" s="58"/>
      <c r="L2464" s="99"/>
      <c r="M2464" s="70" t="s">
        <v>6899</v>
      </c>
      <c r="N2464" s="97" t="s">
        <v>270</v>
      </c>
      <c r="O2464" s="58"/>
      <c r="P2464" s="58" t="s">
        <v>44</v>
      </c>
      <c r="Q2464" s="58" t="s">
        <v>84</v>
      </c>
      <c r="R2464" s="58" t="s">
        <v>272</v>
      </c>
    </row>
    <row r="2465" spans="1:18" ht="69" customHeight="1">
      <c r="A2465" s="168"/>
      <c r="B2465" s="178">
        <v>6625</v>
      </c>
      <c r="C2465" s="178" t="s">
        <v>5615</v>
      </c>
      <c r="D2465" s="575" t="s">
        <v>3346</v>
      </c>
      <c r="E2465" s="178" t="s">
        <v>979</v>
      </c>
      <c r="F2465" s="210" t="s">
        <v>6943</v>
      </c>
      <c r="G2465" s="58" t="s">
        <v>352</v>
      </c>
      <c r="H2465" s="546">
        <v>186845.03</v>
      </c>
      <c r="I2465" s="66">
        <v>44809</v>
      </c>
      <c r="J2465" s="411" t="s">
        <v>6944</v>
      </c>
      <c r="K2465" s="58" t="s">
        <v>6253</v>
      </c>
      <c r="L2465" s="99"/>
      <c r="M2465" s="70" t="s">
        <v>6935</v>
      </c>
      <c r="N2465" s="97" t="s">
        <v>356</v>
      </c>
      <c r="O2465" s="58" t="s">
        <v>156</v>
      </c>
      <c r="P2465" s="58" t="s">
        <v>19</v>
      </c>
      <c r="Q2465" s="58" t="s">
        <v>84</v>
      </c>
      <c r="R2465" s="58" t="s">
        <v>265</v>
      </c>
    </row>
    <row r="2466" spans="1:18" ht="69" customHeight="1">
      <c r="A2466" s="168"/>
      <c r="B2466" s="600">
        <v>6605</v>
      </c>
      <c r="C2466" s="600" t="s">
        <v>3667</v>
      </c>
      <c r="D2466" s="601" t="s">
        <v>6945</v>
      </c>
      <c r="E2466" s="600" t="s">
        <v>5708</v>
      </c>
      <c r="F2466" s="602" t="s">
        <v>6946</v>
      </c>
      <c r="G2466" s="460" t="s">
        <v>5710</v>
      </c>
      <c r="H2466" s="605">
        <v>125036.96</v>
      </c>
      <c r="I2466" s="461">
        <v>44816</v>
      </c>
      <c r="J2466" s="603" t="s">
        <v>6804</v>
      </c>
      <c r="K2466" s="460"/>
      <c r="L2466" s="99"/>
      <c r="M2466" s="70" t="s">
        <v>6947</v>
      </c>
      <c r="N2466" s="97" t="s">
        <v>414</v>
      </c>
      <c r="O2466" s="58" t="s">
        <v>5713</v>
      </c>
      <c r="P2466" s="58" t="s">
        <v>24</v>
      </c>
      <c r="Q2466" s="58" t="s">
        <v>84</v>
      </c>
      <c r="R2466" s="58" t="s">
        <v>265</v>
      </c>
    </row>
    <row r="2467" spans="1:18" ht="69" customHeight="1">
      <c r="A2467" s="168"/>
      <c r="B2467" s="178">
        <v>6643</v>
      </c>
      <c r="C2467" s="178" t="s">
        <v>5615</v>
      </c>
      <c r="D2467" s="575" t="s">
        <v>6948</v>
      </c>
      <c r="E2467" s="178" t="s">
        <v>979</v>
      </c>
      <c r="F2467" s="210" t="s">
        <v>6949</v>
      </c>
      <c r="G2467" s="58" t="s">
        <v>5805</v>
      </c>
      <c r="H2467" s="546">
        <v>183236.95</v>
      </c>
      <c r="I2467" s="66">
        <v>44823</v>
      </c>
      <c r="J2467" s="411" t="s">
        <v>6950</v>
      </c>
      <c r="K2467" s="58" t="s">
        <v>6951</v>
      </c>
      <c r="L2467" s="99"/>
      <c r="M2467" s="70" t="s">
        <v>6935</v>
      </c>
      <c r="N2467" s="97" t="s">
        <v>356</v>
      </c>
      <c r="O2467" s="58" t="s">
        <v>156</v>
      </c>
      <c r="P2467" s="58" t="s">
        <v>19</v>
      </c>
      <c r="Q2467" s="58" t="s">
        <v>84</v>
      </c>
      <c r="R2467" s="58" t="s">
        <v>265</v>
      </c>
    </row>
    <row r="2468" spans="1:18" ht="69" customHeight="1">
      <c r="A2468" s="168"/>
      <c r="B2468" s="178">
        <v>6710</v>
      </c>
      <c r="C2468" s="178" t="s">
        <v>5615</v>
      </c>
      <c r="D2468" s="575" t="s">
        <v>6952</v>
      </c>
      <c r="E2468" s="178" t="s">
        <v>409</v>
      </c>
      <c r="F2468" s="210" t="s">
        <v>6953</v>
      </c>
      <c r="G2468" s="58" t="s">
        <v>5809</v>
      </c>
      <c r="H2468" s="546">
        <v>274070.21999999997</v>
      </c>
      <c r="I2468" s="66">
        <v>44820</v>
      </c>
      <c r="J2468" s="411" t="s">
        <v>6807</v>
      </c>
      <c r="K2468" s="58"/>
      <c r="L2468" s="99"/>
      <c r="M2468" s="70" t="s">
        <v>6954</v>
      </c>
      <c r="N2468" s="97" t="s">
        <v>414</v>
      </c>
      <c r="O2468" s="45" t="s">
        <v>5713</v>
      </c>
      <c r="P2468" s="58" t="s">
        <v>24</v>
      </c>
      <c r="Q2468" s="58" t="s">
        <v>84</v>
      </c>
      <c r="R2468" s="58" t="s">
        <v>272</v>
      </c>
    </row>
    <row r="2469" spans="1:18" ht="69" customHeight="1">
      <c r="A2469" s="168"/>
      <c r="B2469" s="178">
        <v>6752</v>
      </c>
      <c r="C2469" s="59" t="s">
        <v>3667</v>
      </c>
      <c r="D2469" s="575" t="s">
        <v>6955</v>
      </c>
      <c r="E2469" s="178" t="s">
        <v>266</v>
      </c>
      <c r="F2469" s="210" t="s">
        <v>6956</v>
      </c>
      <c r="G2469" s="58" t="s">
        <v>392</v>
      </c>
      <c r="H2469" s="546">
        <v>7027</v>
      </c>
      <c r="I2469" s="66">
        <v>44834</v>
      </c>
      <c r="J2469" s="411" t="s">
        <v>6957</v>
      </c>
      <c r="K2469" s="58"/>
      <c r="L2469" s="99"/>
      <c r="M2469" s="70" t="s">
        <v>6899</v>
      </c>
      <c r="N2469" s="97" t="s">
        <v>270</v>
      </c>
      <c r="O2469" s="58"/>
      <c r="P2469" s="58" t="s">
        <v>44</v>
      </c>
      <c r="Q2469" s="58" t="s">
        <v>84</v>
      </c>
      <c r="R2469" s="58" t="s">
        <v>272</v>
      </c>
    </row>
    <row r="2470" spans="1:18" ht="69" customHeight="1">
      <c r="A2470" s="168"/>
      <c r="B2470" s="178">
        <v>6830</v>
      </c>
      <c r="C2470" s="178" t="s">
        <v>5615</v>
      </c>
      <c r="D2470" s="575" t="s">
        <v>6958</v>
      </c>
      <c r="E2470" s="178" t="s">
        <v>399</v>
      </c>
      <c r="F2470" s="210" t="s">
        <v>6959</v>
      </c>
      <c r="G2470" s="58" t="s">
        <v>448</v>
      </c>
      <c r="H2470" s="546">
        <v>17500</v>
      </c>
      <c r="I2470" s="66">
        <v>44832</v>
      </c>
      <c r="J2470" s="411" t="s">
        <v>6811</v>
      </c>
      <c r="K2470" s="58"/>
      <c r="L2470" s="99"/>
      <c r="M2470" s="70" t="s">
        <v>6927</v>
      </c>
      <c r="N2470" s="97" t="s">
        <v>399</v>
      </c>
      <c r="O2470" s="58"/>
      <c r="P2470" s="58" t="s">
        <v>40</v>
      </c>
      <c r="Q2470" s="58" t="s">
        <v>84</v>
      </c>
      <c r="R2470" s="58" t="s">
        <v>272</v>
      </c>
    </row>
    <row r="2471" spans="1:18" ht="69" customHeight="1">
      <c r="A2471" s="168"/>
      <c r="B2471" s="178">
        <v>8891</v>
      </c>
      <c r="C2471" s="59" t="s">
        <v>3667</v>
      </c>
      <c r="D2471" s="575" t="s">
        <v>6960</v>
      </c>
      <c r="E2471" s="178" t="s">
        <v>270</v>
      </c>
      <c r="F2471" s="210" t="s">
        <v>6961</v>
      </c>
      <c r="G2471" s="58" t="s">
        <v>392</v>
      </c>
      <c r="H2471" s="546">
        <v>1150</v>
      </c>
      <c r="I2471" s="66">
        <v>44985</v>
      </c>
      <c r="J2471" s="411" t="s">
        <v>4292</v>
      </c>
      <c r="K2471" s="58"/>
      <c r="L2471" s="99"/>
      <c r="M2471" s="70" t="s">
        <v>6899</v>
      </c>
      <c r="N2471" s="97" t="s">
        <v>270</v>
      </c>
      <c r="O2471" s="58"/>
      <c r="P2471" s="58" t="s">
        <v>44</v>
      </c>
      <c r="Q2471" s="58" t="s">
        <v>84</v>
      </c>
      <c r="R2471" s="58" t="s">
        <v>272</v>
      </c>
    </row>
    <row r="2472" spans="1:18" ht="69" customHeight="1">
      <c r="A2472" s="168"/>
      <c r="B2472" s="178">
        <v>8063</v>
      </c>
      <c r="C2472" s="178" t="s">
        <v>5615</v>
      </c>
      <c r="D2472" s="575" t="s">
        <v>6962</v>
      </c>
      <c r="E2472" s="178" t="s">
        <v>552</v>
      </c>
      <c r="F2472" s="210" t="s">
        <v>6963</v>
      </c>
      <c r="G2472" s="58" t="s">
        <v>1107</v>
      </c>
      <c r="H2472" s="546">
        <v>6500</v>
      </c>
      <c r="I2472" s="66">
        <v>44911</v>
      </c>
      <c r="J2472" s="411" t="s">
        <v>6113</v>
      </c>
      <c r="K2472" s="58"/>
      <c r="L2472" s="99"/>
      <c r="M2472" s="70" t="s">
        <v>6964</v>
      </c>
      <c r="N2472" s="97" t="s">
        <v>552</v>
      </c>
      <c r="O2472" s="58" t="s">
        <v>5961</v>
      </c>
      <c r="P2472" s="58" t="s">
        <v>38</v>
      </c>
      <c r="Q2472" s="58" t="s">
        <v>84</v>
      </c>
      <c r="R2472" s="58" t="s">
        <v>272</v>
      </c>
    </row>
    <row r="2473" spans="1:18" ht="69" customHeight="1">
      <c r="A2473" s="168"/>
      <c r="B2473" s="178">
        <v>6581</v>
      </c>
      <c r="C2473" s="178" t="s">
        <v>5615</v>
      </c>
      <c r="D2473" s="575" t="s">
        <v>1817</v>
      </c>
      <c r="E2473" s="178" t="s">
        <v>266</v>
      </c>
      <c r="F2473" s="210" t="s">
        <v>6965</v>
      </c>
      <c r="G2473" s="58" t="s">
        <v>1107</v>
      </c>
      <c r="H2473" s="546">
        <v>6500</v>
      </c>
      <c r="I2473" s="66">
        <v>44879</v>
      </c>
      <c r="J2473" s="411" t="s">
        <v>1108</v>
      </c>
      <c r="K2473" s="58"/>
      <c r="L2473" s="99"/>
      <c r="M2473" s="70" t="s">
        <v>6964</v>
      </c>
      <c r="N2473" s="97" t="s">
        <v>552</v>
      </c>
      <c r="O2473" s="58" t="s">
        <v>5961</v>
      </c>
      <c r="P2473" s="58" t="s">
        <v>38</v>
      </c>
      <c r="Q2473" s="58" t="s">
        <v>84</v>
      </c>
      <c r="R2473" s="58" t="s">
        <v>272</v>
      </c>
    </row>
    <row r="2474" spans="1:18" ht="69" customHeight="1">
      <c r="A2474" s="168"/>
      <c r="B2474" s="178">
        <v>7561</v>
      </c>
      <c r="C2474" s="178" t="s">
        <v>5615</v>
      </c>
      <c r="D2474" s="575" t="s">
        <v>3103</v>
      </c>
      <c r="E2474" s="178" t="s">
        <v>921</v>
      </c>
      <c r="F2474" s="210" t="s">
        <v>6966</v>
      </c>
      <c r="G2474" s="58" t="s">
        <v>1838</v>
      </c>
      <c r="H2474" s="552">
        <v>250000</v>
      </c>
      <c r="I2474" s="66">
        <v>44895</v>
      </c>
      <c r="J2474" s="411" t="s">
        <v>2549</v>
      </c>
      <c r="K2474" s="58" t="s">
        <v>6967</v>
      </c>
      <c r="L2474" s="99"/>
      <c r="M2474" s="70" t="s">
        <v>6896</v>
      </c>
      <c r="N2474" s="97" t="s">
        <v>356</v>
      </c>
      <c r="O2474" s="58" t="s">
        <v>156</v>
      </c>
      <c r="P2474" s="58" t="s">
        <v>19</v>
      </c>
      <c r="Q2474" s="58" t="s">
        <v>84</v>
      </c>
      <c r="R2474" s="58" t="s">
        <v>265</v>
      </c>
    </row>
    <row r="2475" spans="1:18" ht="69" customHeight="1">
      <c r="A2475" s="168"/>
      <c r="B2475" s="178">
        <v>7570</v>
      </c>
      <c r="C2475" s="178" t="s">
        <v>5615</v>
      </c>
      <c r="D2475" s="575" t="s">
        <v>3589</v>
      </c>
      <c r="E2475" s="178" t="s">
        <v>552</v>
      </c>
      <c r="F2475" s="210" t="s">
        <v>6968</v>
      </c>
      <c r="G2475" s="58" t="s">
        <v>1107</v>
      </c>
      <c r="H2475" s="546">
        <v>6500</v>
      </c>
      <c r="I2475" s="66">
        <v>44893</v>
      </c>
      <c r="J2475" s="411" t="s">
        <v>1831</v>
      </c>
      <c r="K2475" s="58"/>
      <c r="L2475" s="99"/>
      <c r="M2475" s="70" t="s">
        <v>6964</v>
      </c>
      <c r="N2475" s="97" t="s">
        <v>552</v>
      </c>
      <c r="O2475" s="58" t="s">
        <v>5961</v>
      </c>
      <c r="P2475" s="58" t="s">
        <v>38</v>
      </c>
      <c r="Q2475" s="58" t="s">
        <v>84</v>
      </c>
      <c r="R2475" s="58" t="s">
        <v>272</v>
      </c>
    </row>
    <row r="2476" spans="1:18" ht="69" customHeight="1">
      <c r="A2476" s="168"/>
      <c r="B2476" s="178">
        <v>7571</v>
      </c>
      <c r="C2476" s="178" t="s">
        <v>5615</v>
      </c>
      <c r="D2476" s="575" t="s">
        <v>1843</v>
      </c>
      <c r="E2476" s="178" t="s">
        <v>552</v>
      </c>
      <c r="F2476" s="210" t="s">
        <v>6969</v>
      </c>
      <c r="G2476" s="58" t="s">
        <v>1107</v>
      </c>
      <c r="H2476" s="546">
        <v>850</v>
      </c>
      <c r="I2476" s="66">
        <v>44893</v>
      </c>
      <c r="J2476" s="411" t="s">
        <v>1831</v>
      </c>
      <c r="K2476" s="58"/>
      <c r="L2476" s="99"/>
      <c r="M2476" s="70" t="s">
        <v>6964</v>
      </c>
      <c r="N2476" s="97" t="s">
        <v>552</v>
      </c>
      <c r="O2476" s="58" t="s">
        <v>5961</v>
      </c>
      <c r="P2476" s="58" t="s">
        <v>38</v>
      </c>
      <c r="Q2476" s="58" t="s">
        <v>84</v>
      </c>
      <c r="R2476" s="58" t="s">
        <v>272</v>
      </c>
    </row>
    <row r="2477" spans="1:18" ht="69" customHeight="1">
      <c r="A2477" s="168"/>
      <c r="B2477" s="178">
        <v>6488</v>
      </c>
      <c r="C2477" s="178" t="s">
        <v>5615</v>
      </c>
      <c r="D2477" s="575" t="s">
        <v>438</v>
      </c>
      <c r="E2477" s="178" t="s">
        <v>979</v>
      </c>
      <c r="F2477" s="210" t="s">
        <v>6970</v>
      </c>
      <c r="G2477" s="58" t="s">
        <v>352</v>
      </c>
      <c r="H2477" s="546">
        <v>186733.3</v>
      </c>
      <c r="I2477" s="66">
        <v>44806</v>
      </c>
      <c r="J2477" s="411" t="s">
        <v>6971</v>
      </c>
      <c r="K2477" s="58"/>
      <c r="L2477" s="99"/>
      <c r="M2477" s="70" t="s">
        <v>6935</v>
      </c>
      <c r="N2477" s="97" t="s">
        <v>356</v>
      </c>
      <c r="O2477" s="58" t="s">
        <v>156</v>
      </c>
      <c r="P2477" s="58" t="s">
        <v>19</v>
      </c>
      <c r="Q2477" s="58" t="s">
        <v>84</v>
      </c>
      <c r="R2477" s="58" t="s">
        <v>265</v>
      </c>
    </row>
    <row r="2478" spans="1:18" ht="69" customHeight="1">
      <c r="A2478" s="168"/>
      <c r="B2478" s="178">
        <v>6493</v>
      </c>
      <c r="C2478" s="178" t="s">
        <v>5615</v>
      </c>
      <c r="D2478" s="575" t="s">
        <v>6972</v>
      </c>
      <c r="E2478" s="178" t="s">
        <v>283</v>
      </c>
      <c r="F2478" s="210" t="s">
        <v>6973</v>
      </c>
      <c r="G2478" s="58" t="s">
        <v>6974</v>
      </c>
      <c r="H2478" s="546">
        <v>150000</v>
      </c>
      <c r="I2478" s="66">
        <v>44802</v>
      </c>
      <c r="J2478" s="411" t="s">
        <v>6975</v>
      </c>
      <c r="K2478" s="58"/>
      <c r="L2478" s="99"/>
      <c r="M2478" s="70" t="s">
        <v>6976</v>
      </c>
      <c r="N2478" s="97" t="s">
        <v>264</v>
      </c>
      <c r="O2478" s="58" t="s">
        <v>141</v>
      </c>
      <c r="P2478" s="58" t="s">
        <v>17</v>
      </c>
      <c r="Q2478" s="58" t="s">
        <v>84</v>
      </c>
      <c r="R2478" s="58" t="s">
        <v>272</v>
      </c>
    </row>
    <row r="2479" spans="1:18" ht="69" customHeight="1">
      <c r="A2479" s="168"/>
      <c r="B2479" s="178">
        <v>8819</v>
      </c>
      <c r="C2479" s="178" t="s">
        <v>5615</v>
      </c>
      <c r="D2479" s="575" t="s">
        <v>6977</v>
      </c>
      <c r="E2479" s="178" t="s">
        <v>979</v>
      </c>
      <c r="F2479" s="210" t="s">
        <v>6978</v>
      </c>
      <c r="G2479" s="58" t="s">
        <v>2153</v>
      </c>
      <c r="H2479" s="546">
        <v>163896.18</v>
      </c>
      <c r="I2479" s="66">
        <v>44953</v>
      </c>
      <c r="J2479" s="411" t="s">
        <v>6979</v>
      </c>
      <c r="K2479" s="58"/>
      <c r="L2479" s="99"/>
      <c r="M2479" s="70" t="s">
        <v>6935</v>
      </c>
      <c r="N2479" s="97" t="s">
        <v>356</v>
      </c>
      <c r="O2479" s="58" t="s">
        <v>156</v>
      </c>
      <c r="P2479" s="58" t="s">
        <v>19</v>
      </c>
      <c r="Q2479" s="58" t="s">
        <v>84</v>
      </c>
      <c r="R2479" s="58" t="s">
        <v>265</v>
      </c>
    </row>
    <row r="2480" spans="1:18" ht="69" customHeight="1">
      <c r="A2480" s="168"/>
      <c r="B2480" s="178">
        <v>8248</v>
      </c>
      <c r="C2480" s="178" t="s">
        <v>6888</v>
      </c>
      <c r="D2480" s="575" t="s">
        <v>6980</v>
      </c>
      <c r="E2480" s="178" t="s">
        <v>266</v>
      </c>
      <c r="F2480" s="210" t="s">
        <v>6981</v>
      </c>
      <c r="G2480" s="58" t="s">
        <v>392</v>
      </c>
      <c r="H2480" s="546">
        <v>60.44</v>
      </c>
      <c r="I2480" s="66">
        <v>44965</v>
      </c>
      <c r="J2480" s="411" t="s">
        <v>3936</v>
      </c>
      <c r="K2480" s="58"/>
      <c r="L2480" s="99"/>
      <c r="M2480" s="70" t="s">
        <v>6899</v>
      </c>
      <c r="N2480" s="97" t="s">
        <v>270</v>
      </c>
      <c r="O2480" s="58"/>
      <c r="P2480" s="58" t="s">
        <v>44</v>
      </c>
      <c r="Q2480" s="58" t="s">
        <v>84</v>
      </c>
      <c r="R2480" s="58" t="s">
        <v>272</v>
      </c>
    </row>
    <row r="2481" spans="1:18" ht="69" customHeight="1">
      <c r="A2481" s="168"/>
      <c r="B2481" s="178">
        <v>8472</v>
      </c>
      <c r="C2481" s="178" t="s">
        <v>5615</v>
      </c>
      <c r="D2481" s="575" t="s">
        <v>6982</v>
      </c>
      <c r="E2481" s="178" t="s">
        <v>552</v>
      </c>
      <c r="F2481" s="210" t="s">
        <v>6983</v>
      </c>
      <c r="G2481" s="58" t="s">
        <v>1107</v>
      </c>
      <c r="H2481" s="546">
        <v>6500</v>
      </c>
      <c r="I2481" s="66">
        <v>44967</v>
      </c>
      <c r="J2481" s="411" t="s">
        <v>6819</v>
      </c>
      <c r="K2481" s="58"/>
      <c r="L2481" s="99"/>
      <c r="M2481" s="70" t="s">
        <v>6964</v>
      </c>
      <c r="N2481" s="97" t="s">
        <v>552</v>
      </c>
      <c r="O2481" s="58" t="s">
        <v>5961</v>
      </c>
      <c r="P2481" s="58" t="s">
        <v>38</v>
      </c>
      <c r="Q2481" s="58" t="s">
        <v>84</v>
      </c>
      <c r="R2481" s="58" t="s">
        <v>272</v>
      </c>
    </row>
    <row r="2482" spans="1:18" ht="69" customHeight="1">
      <c r="A2482" s="168"/>
      <c r="B2482" s="178">
        <v>6706</v>
      </c>
      <c r="C2482" s="178" t="s">
        <v>5658</v>
      </c>
      <c r="D2482" s="575" t="s">
        <v>6984</v>
      </c>
      <c r="E2482" s="178" t="s">
        <v>409</v>
      </c>
      <c r="F2482" s="210" t="s">
        <v>6985</v>
      </c>
      <c r="G2482" s="58" t="s">
        <v>5809</v>
      </c>
      <c r="H2482" s="546">
        <v>274070.21999999997</v>
      </c>
      <c r="I2482" s="66">
        <v>44820</v>
      </c>
      <c r="J2482" s="411" t="s">
        <v>6986</v>
      </c>
      <c r="K2482" s="58"/>
      <c r="L2482" s="99"/>
      <c r="M2482" s="70" t="s">
        <v>6987</v>
      </c>
      <c r="N2482" s="97" t="s">
        <v>414</v>
      </c>
      <c r="O2482" s="58" t="s">
        <v>5713</v>
      </c>
      <c r="P2482" s="58" t="s">
        <v>24</v>
      </c>
      <c r="Q2482" s="58" t="s">
        <v>86</v>
      </c>
      <c r="R2482" s="58" t="s">
        <v>272</v>
      </c>
    </row>
    <row r="2483" spans="1:18" ht="69" customHeight="1">
      <c r="A2483" s="168"/>
      <c r="B2483" s="178">
        <v>7535</v>
      </c>
      <c r="C2483" s="178" t="s">
        <v>5658</v>
      </c>
      <c r="D2483" s="575" t="s">
        <v>2562</v>
      </c>
      <c r="E2483" s="178" t="s">
        <v>266</v>
      </c>
      <c r="F2483" s="210" t="s">
        <v>6988</v>
      </c>
      <c r="G2483" s="58" t="s">
        <v>392</v>
      </c>
      <c r="H2483" s="546">
        <v>2099.25</v>
      </c>
      <c r="I2483" s="66">
        <v>44890</v>
      </c>
      <c r="J2483" s="411" t="s">
        <v>6989</v>
      </c>
      <c r="K2483" s="58"/>
      <c r="L2483" s="99"/>
      <c r="M2483" s="70" t="s">
        <v>6990</v>
      </c>
      <c r="N2483" s="97" t="s">
        <v>270</v>
      </c>
      <c r="O2483" s="58" t="s">
        <v>467</v>
      </c>
      <c r="P2483" s="58" t="s">
        <v>44</v>
      </c>
      <c r="Q2483" s="58" t="s">
        <v>86</v>
      </c>
      <c r="R2483" s="58" t="s">
        <v>272</v>
      </c>
    </row>
    <row r="2484" spans="1:18" ht="69" customHeight="1">
      <c r="A2484" s="168"/>
      <c r="B2484" s="178">
        <v>7487</v>
      </c>
      <c r="C2484" s="59" t="s">
        <v>3667</v>
      </c>
      <c r="D2484" s="575" t="s">
        <v>1136</v>
      </c>
      <c r="E2484" s="178" t="s">
        <v>266</v>
      </c>
      <c r="F2484" s="210" t="s">
        <v>6991</v>
      </c>
      <c r="G2484" s="58" t="s">
        <v>444</v>
      </c>
      <c r="H2484" s="546">
        <v>5334.67</v>
      </c>
      <c r="I2484" s="66">
        <v>44879</v>
      </c>
      <c r="J2484" s="411" t="s">
        <v>445</v>
      </c>
      <c r="K2484" s="58"/>
      <c r="L2484" s="99"/>
      <c r="M2484" s="70" t="s">
        <v>6990</v>
      </c>
      <c r="N2484" s="97" t="s">
        <v>270</v>
      </c>
      <c r="O2484" s="58"/>
      <c r="P2484" s="58" t="s">
        <v>44</v>
      </c>
      <c r="Q2484" s="58" t="s">
        <v>86</v>
      </c>
      <c r="R2484" s="58" t="s">
        <v>272</v>
      </c>
    </row>
    <row r="2485" spans="1:18" ht="69" customHeight="1">
      <c r="A2485" s="168"/>
      <c r="B2485" s="178">
        <v>8064</v>
      </c>
      <c r="C2485" s="178" t="s">
        <v>5658</v>
      </c>
      <c r="D2485" s="575" t="s">
        <v>6992</v>
      </c>
      <c r="E2485" s="178" t="s">
        <v>552</v>
      </c>
      <c r="F2485" s="210" t="s">
        <v>6993</v>
      </c>
      <c r="G2485" s="58" t="s">
        <v>1107</v>
      </c>
      <c r="H2485" s="546">
        <v>6500</v>
      </c>
      <c r="I2485" s="66">
        <v>44911</v>
      </c>
      <c r="J2485" s="411" t="s">
        <v>6113</v>
      </c>
      <c r="K2485" s="58"/>
      <c r="L2485" s="99"/>
      <c r="M2485" s="70" t="s">
        <v>6994</v>
      </c>
      <c r="N2485" s="97" t="s">
        <v>552</v>
      </c>
      <c r="O2485" s="58" t="s">
        <v>5961</v>
      </c>
      <c r="P2485" s="58" t="s">
        <v>38</v>
      </c>
      <c r="Q2485" s="58" t="s">
        <v>86</v>
      </c>
      <c r="R2485" s="58" t="s">
        <v>272</v>
      </c>
    </row>
    <row r="2486" spans="1:18" ht="69" customHeight="1">
      <c r="A2486" s="168"/>
      <c r="B2486" s="178">
        <v>8065</v>
      </c>
      <c r="C2486" s="178" t="s">
        <v>5658</v>
      </c>
      <c r="D2486" s="575" t="s">
        <v>6995</v>
      </c>
      <c r="E2486" s="178" t="s">
        <v>552</v>
      </c>
      <c r="F2486" s="210" t="s">
        <v>6996</v>
      </c>
      <c r="G2486" s="58" t="s">
        <v>1107</v>
      </c>
      <c r="H2486" s="546">
        <v>850</v>
      </c>
      <c r="I2486" s="66">
        <v>44911</v>
      </c>
      <c r="J2486" s="411" t="s">
        <v>6113</v>
      </c>
      <c r="K2486" s="58"/>
      <c r="L2486" s="99"/>
      <c r="M2486" s="70" t="s">
        <v>6994</v>
      </c>
      <c r="N2486" s="97" t="s">
        <v>552</v>
      </c>
      <c r="O2486" s="58" t="s">
        <v>5961</v>
      </c>
      <c r="P2486" s="58" t="s">
        <v>38</v>
      </c>
      <c r="Q2486" s="58" t="s">
        <v>86</v>
      </c>
      <c r="R2486" s="58" t="s">
        <v>272</v>
      </c>
    </row>
    <row r="2487" spans="1:18" ht="69" customHeight="1">
      <c r="A2487" s="168"/>
      <c r="B2487" s="178">
        <v>8094</v>
      </c>
      <c r="C2487" s="178" t="s">
        <v>5658</v>
      </c>
      <c r="D2487" s="575" t="s">
        <v>6997</v>
      </c>
      <c r="E2487" s="178" t="s">
        <v>552</v>
      </c>
      <c r="F2487" s="210" t="s">
        <v>6998</v>
      </c>
      <c r="G2487" s="58" t="s">
        <v>1107</v>
      </c>
      <c r="H2487" s="546">
        <v>6500</v>
      </c>
      <c r="I2487" s="66">
        <v>44911</v>
      </c>
      <c r="J2487" s="411" t="s">
        <v>6113</v>
      </c>
      <c r="K2487" s="58"/>
      <c r="L2487" s="99"/>
      <c r="M2487" s="70" t="s">
        <v>6994</v>
      </c>
      <c r="N2487" s="97" t="s">
        <v>552</v>
      </c>
      <c r="O2487" s="58" t="s">
        <v>5961</v>
      </c>
      <c r="P2487" s="58" t="s">
        <v>38</v>
      </c>
      <c r="Q2487" s="58" t="s">
        <v>86</v>
      </c>
      <c r="R2487" s="58" t="s">
        <v>272</v>
      </c>
    </row>
    <row r="2488" spans="1:18" ht="69" customHeight="1">
      <c r="A2488" s="168"/>
      <c r="B2488" s="178">
        <v>8471</v>
      </c>
      <c r="C2488" s="178" t="s">
        <v>5658</v>
      </c>
      <c r="D2488" s="575"/>
      <c r="E2488" s="178" t="s">
        <v>552</v>
      </c>
      <c r="F2488" s="210" t="s">
        <v>6999</v>
      </c>
      <c r="G2488" s="58" t="s">
        <v>1107</v>
      </c>
      <c r="H2488" s="546">
        <v>6500</v>
      </c>
      <c r="I2488" s="66">
        <v>44942</v>
      </c>
      <c r="J2488" s="411" t="s">
        <v>5836</v>
      </c>
      <c r="K2488" s="58"/>
      <c r="L2488" s="99"/>
      <c r="M2488" s="70" t="s">
        <v>6994</v>
      </c>
      <c r="N2488" s="97" t="s">
        <v>552</v>
      </c>
      <c r="O2488" s="58" t="s">
        <v>5961</v>
      </c>
      <c r="P2488" s="58" t="s">
        <v>38</v>
      </c>
      <c r="Q2488" s="58" t="s">
        <v>86</v>
      </c>
      <c r="R2488" s="58" t="s">
        <v>272</v>
      </c>
    </row>
    <row r="2489" spans="1:18" ht="69" customHeight="1">
      <c r="A2489" s="168"/>
      <c r="B2489" s="178">
        <v>8892</v>
      </c>
      <c r="C2489" s="59" t="s">
        <v>3667</v>
      </c>
      <c r="D2489" s="575" t="s">
        <v>7000</v>
      </c>
      <c r="E2489" s="178" t="s">
        <v>270</v>
      </c>
      <c r="F2489" s="210" t="s">
        <v>7001</v>
      </c>
      <c r="G2489" s="58" t="s">
        <v>392</v>
      </c>
      <c r="H2489" s="546">
        <v>1150</v>
      </c>
      <c r="I2489" s="66">
        <v>44985</v>
      </c>
      <c r="J2489" s="411" t="s">
        <v>4292</v>
      </c>
      <c r="K2489" s="58"/>
      <c r="L2489" s="99"/>
      <c r="M2489" s="70" t="s">
        <v>6990</v>
      </c>
      <c r="N2489" s="97" t="s">
        <v>270</v>
      </c>
      <c r="O2489" s="58"/>
      <c r="P2489" s="58" t="s">
        <v>44</v>
      </c>
      <c r="Q2489" s="58" t="s">
        <v>86</v>
      </c>
      <c r="R2489" s="58" t="s">
        <v>272</v>
      </c>
    </row>
    <row r="2490" spans="1:18" ht="69" customHeight="1">
      <c r="A2490" s="168"/>
      <c r="B2490" s="178">
        <v>9647</v>
      </c>
      <c r="C2490" s="59" t="s">
        <v>3667</v>
      </c>
      <c r="D2490" s="575"/>
      <c r="E2490" s="178" t="s">
        <v>741</v>
      </c>
      <c r="F2490" s="210" t="s">
        <v>7002</v>
      </c>
      <c r="G2490" s="58" t="s">
        <v>7003</v>
      </c>
      <c r="H2490" s="546">
        <v>88943.4</v>
      </c>
      <c r="I2490" s="66">
        <v>45014</v>
      </c>
      <c r="J2490" s="411" t="s">
        <v>7004</v>
      </c>
      <c r="K2490" s="58"/>
      <c r="L2490" s="99"/>
      <c r="M2490" s="70" t="s">
        <v>7005</v>
      </c>
      <c r="N2490" s="97" t="s">
        <v>741</v>
      </c>
      <c r="O2490" s="58"/>
      <c r="P2490" s="58" t="s">
        <v>59</v>
      </c>
      <c r="Q2490" s="58" t="s">
        <v>86</v>
      </c>
      <c r="R2490" s="58" t="s">
        <v>272</v>
      </c>
    </row>
    <row r="2491" spans="1:18" ht="69" customHeight="1">
      <c r="A2491" s="168"/>
      <c r="B2491" s="178">
        <v>6611</v>
      </c>
      <c r="C2491" s="59" t="s">
        <v>3667</v>
      </c>
      <c r="D2491" s="575" t="s">
        <v>7006</v>
      </c>
      <c r="E2491" s="178" t="s">
        <v>5708</v>
      </c>
      <c r="F2491" s="210" t="s">
        <v>7007</v>
      </c>
      <c r="G2491" s="58" t="s">
        <v>5710</v>
      </c>
      <c r="H2491" s="546">
        <v>212455.67999999999</v>
      </c>
      <c r="I2491" s="66">
        <v>44820</v>
      </c>
      <c r="J2491" s="411" t="s">
        <v>7008</v>
      </c>
      <c r="K2491" s="58"/>
      <c r="L2491" s="99"/>
      <c r="M2491" s="70" t="s">
        <v>6674</v>
      </c>
      <c r="N2491" s="97" t="s">
        <v>414</v>
      </c>
      <c r="O2491" s="58" t="s">
        <v>5713</v>
      </c>
      <c r="P2491" s="58" t="s">
        <v>24</v>
      </c>
      <c r="Q2491" s="58" t="s">
        <v>78</v>
      </c>
      <c r="R2491" s="58" t="s">
        <v>265</v>
      </c>
    </row>
    <row r="2492" spans="1:18" ht="69" customHeight="1">
      <c r="A2492" s="168"/>
      <c r="B2492" s="178">
        <v>9648</v>
      </c>
      <c r="C2492" s="59" t="s">
        <v>3667</v>
      </c>
      <c r="D2492" s="575"/>
      <c r="E2492" s="178" t="s">
        <v>741</v>
      </c>
      <c r="F2492" s="210" t="s">
        <v>7009</v>
      </c>
      <c r="G2492" s="58" t="s">
        <v>7010</v>
      </c>
      <c r="H2492" s="546">
        <v>157500</v>
      </c>
      <c r="I2492" s="66" t="s">
        <v>96</v>
      </c>
      <c r="J2492" s="411" t="s">
        <v>7004</v>
      </c>
      <c r="K2492" s="58"/>
      <c r="L2492" s="99"/>
      <c r="M2492" s="70" t="s">
        <v>7005</v>
      </c>
      <c r="N2492" s="97" t="s">
        <v>741</v>
      </c>
      <c r="O2492" s="58"/>
      <c r="P2492" s="58" t="s">
        <v>59</v>
      </c>
      <c r="Q2492" s="58" t="s">
        <v>86</v>
      </c>
      <c r="R2492" s="58" t="s">
        <v>272</v>
      </c>
    </row>
    <row r="2493" spans="1:18" ht="69" customHeight="1">
      <c r="A2493" s="168"/>
      <c r="B2493" s="178">
        <v>9779</v>
      </c>
      <c r="C2493" s="59" t="s">
        <v>3667</v>
      </c>
      <c r="D2493" s="575" t="s">
        <v>7011</v>
      </c>
      <c r="E2493" s="178" t="s">
        <v>741</v>
      </c>
      <c r="F2493" s="210" t="s">
        <v>7012</v>
      </c>
      <c r="G2493" s="58" t="s">
        <v>7013</v>
      </c>
      <c r="H2493" s="546">
        <v>37796.43</v>
      </c>
      <c r="I2493" s="66">
        <v>45030</v>
      </c>
      <c r="J2493" s="411" t="s">
        <v>7014</v>
      </c>
      <c r="K2493" s="58"/>
      <c r="L2493" s="99"/>
      <c r="M2493" s="70" t="s">
        <v>7005</v>
      </c>
      <c r="N2493" s="97" t="s">
        <v>741</v>
      </c>
      <c r="O2493" s="58"/>
      <c r="P2493" s="58" t="s">
        <v>59</v>
      </c>
      <c r="Q2493" s="58" t="s">
        <v>86</v>
      </c>
      <c r="R2493" s="58" t="s">
        <v>272</v>
      </c>
    </row>
    <row r="2494" spans="1:18" ht="69" customHeight="1">
      <c r="A2494" s="168"/>
      <c r="B2494" s="178">
        <v>9780</v>
      </c>
      <c r="C2494" s="59" t="s">
        <v>3667</v>
      </c>
      <c r="D2494" s="575" t="s">
        <v>7015</v>
      </c>
      <c r="E2494" s="178" t="s">
        <v>741</v>
      </c>
      <c r="F2494" s="210" t="s">
        <v>7016</v>
      </c>
      <c r="G2494" s="58" t="s">
        <v>7010</v>
      </c>
      <c r="H2494" s="546">
        <v>225404.46</v>
      </c>
      <c r="I2494" s="66">
        <v>45030</v>
      </c>
      <c r="J2494" s="411" t="s">
        <v>7014</v>
      </c>
      <c r="K2494" s="58"/>
      <c r="L2494" s="99"/>
      <c r="M2494" s="70" t="s">
        <v>7005</v>
      </c>
      <c r="N2494" s="97" t="s">
        <v>741</v>
      </c>
      <c r="O2494" s="58"/>
      <c r="P2494" s="58" t="s">
        <v>59</v>
      </c>
      <c r="Q2494" s="58" t="s">
        <v>86</v>
      </c>
      <c r="R2494" s="58" t="s">
        <v>272</v>
      </c>
    </row>
    <row r="2495" spans="1:18" ht="69" customHeight="1">
      <c r="A2495" s="168"/>
      <c r="B2495" s="178">
        <v>9781</v>
      </c>
      <c r="C2495" s="59" t="s">
        <v>3667</v>
      </c>
      <c r="D2495" s="575"/>
      <c r="E2495" s="178" t="s">
        <v>741</v>
      </c>
      <c r="F2495" s="210" t="s">
        <v>7017</v>
      </c>
      <c r="G2495" s="58" t="s">
        <v>7010</v>
      </c>
      <c r="H2495" s="546">
        <v>145500</v>
      </c>
      <c r="I2495" s="66">
        <v>45030</v>
      </c>
      <c r="J2495" s="411" t="s">
        <v>7014</v>
      </c>
      <c r="K2495" s="58"/>
      <c r="L2495" s="99"/>
      <c r="M2495" s="70" t="s">
        <v>7005</v>
      </c>
      <c r="N2495" s="97" t="s">
        <v>741</v>
      </c>
      <c r="O2495" s="58"/>
      <c r="P2495" s="58" t="s">
        <v>59</v>
      </c>
      <c r="Q2495" s="58" t="s">
        <v>86</v>
      </c>
      <c r="R2495" s="58" t="s">
        <v>272</v>
      </c>
    </row>
    <row r="2496" spans="1:18" ht="69" customHeight="1">
      <c r="A2496" s="168"/>
      <c r="B2496" s="256">
        <v>4371</v>
      </c>
      <c r="C2496" s="256" t="s">
        <v>458</v>
      </c>
      <c r="D2496" s="299"/>
      <c r="E2496" s="256" t="s">
        <v>350</v>
      </c>
      <c r="F2496" s="263" t="s">
        <v>7018</v>
      </c>
      <c r="G2496" s="118"/>
      <c r="H2496" s="280">
        <v>6983</v>
      </c>
      <c r="I2496" s="262">
        <v>44438</v>
      </c>
      <c r="J2496" s="409" t="s">
        <v>294</v>
      </c>
      <c r="K2496" s="118" t="s">
        <v>727</v>
      </c>
      <c r="M2496" s="379"/>
      <c r="N2496" s="76" t="s">
        <v>356</v>
      </c>
      <c r="O2496" s="118" t="s">
        <v>141</v>
      </c>
      <c r="P2496" s="118" t="s">
        <v>67</v>
      </c>
      <c r="Q2496" s="118" t="s">
        <v>88</v>
      </c>
      <c r="R2496" s="118" t="s">
        <v>272</v>
      </c>
    </row>
    <row r="2497" spans="1:18" ht="69" customHeight="1">
      <c r="A2497" s="168"/>
      <c r="B2497" s="191">
        <v>3016</v>
      </c>
      <c r="C2497" s="191" t="s">
        <v>458</v>
      </c>
      <c r="D2497" s="533" t="s">
        <v>6748</v>
      </c>
      <c r="E2497" s="191" t="s">
        <v>331</v>
      </c>
      <c r="F2497" s="211" t="s">
        <v>7019</v>
      </c>
      <c r="G2497" s="46" t="s">
        <v>4416</v>
      </c>
      <c r="H2497" s="534">
        <v>0</v>
      </c>
      <c r="I2497" s="56" t="s">
        <v>96</v>
      </c>
      <c r="J2497" s="412" t="s">
        <v>334</v>
      </c>
      <c r="K2497" s="46"/>
      <c r="L2497" s="99"/>
      <c r="M2497" s="379" t="s">
        <v>88</v>
      </c>
      <c r="N2497" s="76" t="s">
        <v>69</v>
      </c>
      <c r="O2497" s="46" t="s">
        <v>7020</v>
      </c>
      <c r="P2497" s="46" t="s">
        <v>69</v>
      </c>
      <c r="Q2497" s="46" t="s">
        <v>88</v>
      </c>
      <c r="R2497" s="46" t="s">
        <v>272</v>
      </c>
    </row>
    <row r="2498" spans="1:18" ht="69" customHeight="1">
      <c r="A2498" s="168"/>
      <c r="B2498" s="178">
        <v>4109</v>
      </c>
      <c r="C2498" s="178" t="s">
        <v>259</v>
      </c>
      <c r="D2498" s="575"/>
      <c r="E2498" s="178" t="s">
        <v>266</v>
      </c>
      <c r="F2498" s="210" t="s">
        <v>7021</v>
      </c>
      <c r="G2498" s="58" t="s">
        <v>5560</v>
      </c>
      <c r="H2498" s="546">
        <v>5362.8</v>
      </c>
      <c r="I2498" s="66" t="s">
        <v>96</v>
      </c>
      <c r="J2498" s="411" t="s">
        <v>7022</v>
      </c>
      <c r="K2498" s="58"/>
      <c r="L2498" s="99"/>
      <c r="M2498" s="70" t="s">
        <v>7023</v>
      </c>
      <c r="N2498" s="97" t="s">
        <v>270</v>
      </c>
      <c r="O2498" s="58"/>
      <c r="P2498" s="58" t="s">
        <v>44</v>
      </c>
      <c r="Q2498" s="58" t="s">
        <v>88</v>
      </c>
      <c r="R2498" s="58" t="s">
        <v>272</v>
      </c>
    </row>
    <row r="2499" spans="1:18" ht="69" customHeight="1">
      <c r="A2499" s="168"/>
      <c r="B2499" s="178">
        <v>4761</v>
      </c>
      <c r="C2499" s="178" t="s">
        <v>458</v>
      </c>
      <c r="D2499" s="575" t="s">
        <v>4732</v>
      </c>
      <c r="E2499" s="178" t="s">
        <v>283</v>
      </c>
      <c r="F2499" s="210" t="s">
        <v>7024</v>
      </c>
      <c r="G2499" s="58" t="s">
        <v>365</v>
      </c>
      <c r="H2499" s="546">
        <v>50871.43</v>
      </c>
      <c r="I2499" s="66">
        <v>44680</v>
      </c>
      <c r="J2499" s="411" t="s">
        <v>7025</v>
      </c>
      <c r="K2499" s="58"/>
      <c r="L2499" s="99"/>
      <c r="M2499" s="70" t="s">
        <v>7026</v>
      </c>
      <c r="N2499" s="97" t="s">
        <v>264</v>
      </c>
      <c r="O2499" s="58" t="s">
        <v>141</v>
      </c>
      <c r="P2499" s="58" t="s">
        <v>17</v>
      </c>
      <c r="Q2499" s="58" t="s">
        <v>88</v>
      </c>
      <c r="R2499" s="58" t="s">
        <v>272</v>
      </c>
    </row>
    <row r="2500" spans="1:18" ht="69" customHeight="1">
      <c r="A2500" s="168"/>
      <c r="B2500" s="191">
        <v>4409</v>
      </c>
      <c r="C2500" s="191" t="s">
        <v>458</v>
      </c>
      <c r="D2500" s="533" t="s">
        <v>96</v>
      </c>
      <c r="E2500" s="191" t="s">
        <v>358</v>
      </c>
      <c r="F2500" s="211" t="s">
        <v>7027</v>
      </c>
      <c r="G2500" s="46" t="s">
        <v>96</v>
      </c>
      <c r="H2500" s="534">
        <v>5362.8</v>
      </c>
      <c r="I2500" s="56">
        <v>44508</v>
      </c>
      <c r="J2500" s="412" t="s">
        <v>294</v>
      </c>
      <c r="K2500" s="46" t="s">
        <v>7028</v>
      </c>
      <c r="L2500" s="120"/>
      <c r="M2500" s="384" t="s">
        <v>7029</v>
      </c>
      <c r="N2500" s="106" t="s">
        <v>356</v>
      </c>
      <c r="O2500" s="46" t="s">
        <v>141</v>
      </c>
      <c r="P2500" s="46" t="s">
        <v>65</v>
      </c>
      <c r="Q2500" s="46" t="s">
        <v>88</v>
      </c>
      <c r="R2500" s="46" t="s">
        <v>272</v>
      </c>
    </row>
    <row r="2501" spans="1:18" ht="69" customHeight="1">
      <c r="A2501" s="168"/>
      <c r="B2501" s="178">
        <v>4704</v>
      </c>
      <c r="C2501" s="178" t="s">
        <v>458</v>
      </c>
      <c r="D2501" s="575" t="s">
        <v>7030</v>
      </c>
      <c r="E2501" s="178" t="s">
        <v>331</v>
      </c>
      <c r="F2501" s="210" t="s">
        <v>7031</v>
      </c>
      <c r="G2501" s="58"/>
      <c r="H2501" s="546">
        <v>3389.12</v>
      </c>
      <c r="I2501" s="66">
        <v>44678</v>
      </c>
      <c r="J2501" s="411" t="s">
        <v>7032</v>
      </c>
      <c r="K2501" s="58"/>
      <c r="L2501" s="99"/>
      <c r="M2501" s="70" t="s">
        <v>7023</v>
      </c>
      <c r="N2501" s="97" t="s">
        <v>270</v>
      </c>
      <c r="O2501" s="58"/>
      <c r="P2501" s="58" t="s">
        <v>44</v>
      </c>
      <c r="Q2501" s="58" t="s">
        <v>88</v>
      </c>
      <c r="R2501" s="58" t="s">
        <v>272</v>
      </c>
    </row>
    <row r="2502" spans="1:18" ht="69" customHeight="1">
      <c r="A2502" s="168"/>
      <c r="B2502" s="178">
        <v>6610</v>
      </c>
      <c r="C2502" s="59" t="s">
        <v>3667</v>
      </c>
      <c r="D2502" s="575" t="s">
        <v>7033</v>
      </c>
      <c r="E2502" s="178" t="s">
        <v>5708</v>
      </c>
      <c r="F2502" s="210" t="s">
        <v>7034</v>
      </c>
      <c r="G2502" s="58" t="s">
        <v>5710</v>
      </c>
      <c r="H2502" s="546">
        <v>207395.52</v>
      </c>
      <c r="I2502" s="66">
        <v>44820</v>
      </c>
      <c r="J2502" s="411" t="s">
        <v>7035</v>
      </c>
      <c r="K2502" s="58"/>
      <c r="L2502" s="99"/>
      <c r="M2502" s="70" t="s">
        <v>6486</v>
      </c>
      <c r="N2502" s="97" t="s">
        <v>414</v>
      </c>
      <c r="O2502" s="58" t="s">
        <v>5713</v>
      </c>
      <c r="P2502" s="58" t="s">
        <v>24</v>
      </c>
      <c r="Q2502" s="58" t="s">
        <v>76</v>
      </c>
      <c r="R2502" s="58" t="s">
        <v>265</v>
      </c>
    </row>
    <row r="2503" spans="1:18" ht="69" customHeight="1">
      <c r="A2503" s="168"/>
      <c r="B2503" s="178">
        <v>4704</v>
      </c>
      <c r="C2503" s="178" t="s">
        <v>458</v>
      </c>
      <c r="D2503" s="575" t="s">
        <v>1468</v>
      </c>
      <c r="E2503" s="178" t="s">
        <v>331</v>
      </c>
      <c r="F2503" s="210" t="s">
        <v>7036</v>
      </c>
      <c r="G2503" s="58" t="s">
        <v>372</v>
      </c>
      <c r="H2503" s="546">
        <v>30502.09</v>
      </c>
      <c r="I2503" s="66">
        <v>44701</v>
      </c>
      <c r="J2503" s="411" t="s">
        <v>7037</v>
      </c>
      <c r="K2503" s="58"/>
      <c r="L2503" s="99"/>
      <c r="M2503" s="70" t="s">
        <v>7023</v>
      </c>
      <c r="N2503" s="97" t="s">
        <v>270</v>
      </c>
      <c r="O2503" s="58"/>
      <c r="P2503" s="58" t="s">
        <v>44</v>
      </c>
      <c r="Q2503" s="58" t="s">
        <v>88</v>
      </c>
      <c r="R2503" s="58" t="s">
        <v>272</v>
      </c>
    </row>
    <row r="2504" spans="1:18" ht="69" customHeight="1">
      <c r="A2504" s="168"/>
      <c r="B2504" s="178">
        <v>4948</v>
      </c>
      <c r="C2504" s="178" t="s">
        <v>458</v>
      </c>
      <c r="D2504" s="575" t="s">
        <v>515</v>
      </c>
      <c r="E2504" s="178" t="s">
        <v>266</v>
      </c>
      <c r="F2504" s="210" t="s">
        <v>7038</v>
      </c>
      <c r="G2504" s="58" t="s">
        <v>376</v>
      </c>
      <c r="H2504" s="546">
        <v>3521.06</v>
      </c>
      <c r="I2504" s="66">
        <v>44706</v>
      </c>
      <c r="J2504" s="411" t="s">
        <v>7039</v>
      </c>
      <c r="K2504" s="58"/>
      <c r="L2504" s="99"/>
      <c r="M2504" s="70" t="s">
        <v>7023</v>
      </c>
      <c r="N2504" s="97" t="s">
        <v>270</v>
      </c>
      <c r="O2504" s="58"/>
      <c r="P2504" s="58" t="s">
        <v>44</v>
      </c>
      <c r="Q2504" s="58" t="s">
        <v>88</v>
      </c>
      <c r="R2504" s="58" t="s">
        <v>272</v>
      </c>
    </row>
    <row r="2505" spans="1:18" ht="69" customHeight="1">
      <c r="A2505" s="168"/>
      <c r="B2505" s="178"/>
      <c r="C2505" s="178" t="s">
        <v>458</v>
      </c>
      <c r="D2505" s="575" t="s">
        <v>6016</v>
      </c>
      <c r="E2505" s="178" t="s">
        <v>382</v>
      </c>
      <c r="F2505" s="210" t="s">
        <v>7040</v>
      </c>
      <c r="G2505" s="58" t="s">
        <v>384</v>
      </c>
      <c r="H2505" s="546">
        <v>27761.33</v>
      </c>
      <c r="I2505" s="66">
        <v>44736</v>
      </c>
      <c r="J2505" s="411" t="s">
        <v>7041</v>
      </c>
      <c r="K2505" s="58"/>
      <c r="L2505" s="99"/>
      <c r="M2505" s="70" t="s">
        <v>7042</v>
      </c>
      <c r="N2505" s="97" t="s">
        <v>387</v>
      </c>
      <c r="O2505" s="45" t="s">
        <v>150</v>
      </c>
      <c r="P2505" s="58" t="s">
        <v>51</v>
      </c>
      <c r="Q2505" s="58" t="s">
        <v>88</v>
      </c>
      <c r="R2505" s="58" t="s">
        <v>272</v>
      </c>
    </row>
    <row r="2506" spans="1:18" ht="69" customHeight="1">
      <c r="A2506" s="168"/>
      <c r="B2506" s="178"/>
      <c r="C2506" s="178" t="s">
        <v>458</v>
      </c>
      <c r="D2506" s="575" t="s">
        <v>5571</v>
      </c>
      <c r="E2506" s="178" t="s">
        <v>382</v>
      </c>
      <c r="F2506" s="210" t="s">
        <v>7043</v>
      </c>
      <c r="G2506" s="58" t="s">
        <v>384</v>
      </c>
      <c r="H2506" s="546">
        <v>39819.519999999997</v>
      </c>
      <c r="I2506" s="66">
        <v>44736</v>
      </c>
      <c r="J2506" s="411" t="s">
        <v>7044</v>
      </c>
      <c r="K2506" s="58"/>
      <c r="L2506" s="99"/>
      <c r="M2506" s="70" t="s">
        <v>7042</v>
      </c>
      <c r="N2506" s="97" t="s">
        <v>387</v>
      </c>
      <c r="O2506" s="45" t="s">
        <v>150</v>
      </c>
      <c r="P2506" s="58" t="s">
        <v>51</v>
      </c>
      <c r="Q2506" s="58" t="s">
        <v>88</v>
      </c>
      <c r="R2506" s="58" t="s">
        <v>272</v>
      </c>
    </row>
    <row r="2507" spans="1:18" ht="69" customHeight="1">
      <c r="A2507" s="168"/>
      <c r="B2507" s="178">
        <v>5140</v>
      </c>
      <c r="C2507" s="178" t="s">
        <v>458</v>
      </c>
      <c r="D2507" s="575" t="s">
        <v>349</v>
      </c>
      <c r="E2507" s="178" t="s">
        <v>266</v>
      </c>
      <c r="F2507" s="210" t="s">
        <v>7045</v>
      </c>
      <c r="G2507" s="58" t="s">
        <v>376</v>
      </c>
      <c r="H2507" s="546">
        <v>5281.58</v>
      </c>
      <c r="I2507" s="66">
        <v>44755</v>
      </c>
      <c r="J2507" s="411" t="s">
        <v>7046</v>
      </c>
      <c r="K2507" s="58"/>
      <c r="L2507" s="99"/>
      <c r="M2507" s="70" t="s">
        <v>7023</v>
      </c>
      <c r="N2507" s="97" t="s">
        <v>270</v>
      </c>
      <c r="O2507" s="58"/>
      <c r="P2507" s="58" t="s">
        <v>44</v>
      </c>
      <c r="Q2507" s="58" t="s">
        <v>88</v>
      </c>
      <c r="R2507" s="58" t="s">
        <v>272</v>
      </c>
    </row>
    <row r="2508" spans="1:18" ht="69" customHeight="1">
      <c r="A2508" s="168"/>
      <c r="B2508" s="178">
        <v>5180</v>
      </c>
      <c r="C2508" s="178" t="s">
        <v>458</v>
      </c>
      <c r="D2508" s="575" t="s">
        <v>2727</v>
      </c>
      <c r="E2508" s="178" t="s">
        <v>266</v>
      </c>
      <c r="F2508" s="210" t="s">
        <v>7047</v>
      </c>
      <c r="G2508" s="58" t="s">
        <v>396</v>
      </c>
      <c r="H2508" s="546">
        <v>3500</v>
      </c>
      <c r="I2508" s="66">
        <v>44753</v>
      </c>
      <c r="J2508" s="411" t="s">
        <v>7048</v>
      </c>
      <c r="K2508" s="58"/>
      <c r="L2508" s="99"/>
      <c r="M2508" s="70" t="s">
        <v>7049</v>
      </c>
      <c r="N2508" s="97" t="s">
        <v>399</v>
      </c>
      <c r="O2508" s="62" t="s">
        <v>147</v>
      </c>
      <c r="P2508" s="45" t="s">
        <v>42</v>
      </c>
      <c r="Q2508" s="58" t="s">
        <v>88</v>
      </c>
      <c r="R2508" s="58" t="s">
        <v>272</v>
      </c>
    </row>
    <row r="2509" spans="1:18" ht="69" customHeight="1">
      <c r="A2509" s="168"/>
      <c r="B2509" s="178">
        <v>5185</v>
      </c>
      <c r="C2509" s="178" t="s">
        <v>458</v>
      </c>
      <c r="D2509" s="575" t="s">
        <v>7050</v>
      </c>
      <c r="E2509" s="178" t="s">
        <v>266</v>
      </c>
      <c r="F2509" s="210" t="s">
        <v>7051</v>
      </c>
      <c r="G2509" s="58" t="s">
        <v>396</v>
      </c>
      <c r="H2509" s="546">
        <v>5878.3</v>
      </c>
      <c r="I2509" s="66">
        <v>44753</v>
      </c>
      <c r="J2509" s="411" t="s">
        <v>7052</v>
      </c>
      <c r="K2509" s="58"/>
      <c r="L2509" s="99"/>
      <c r="M2509" s="70" t="s">
        <v>7049</v>
      </c>
      <c r="N2509" s="97" t="s">
        <v>399</v>
      </c>
      <c r="O2509" s="62" t="s">
        <v>147</v>
      </c>
      <c r="P2509" s="45" t="s">
        <v>42</v>
      </c>
      <c r="Q2509" s="58" t="s">
        <v>88</v>
      </c>
      <c r="R2509" s="58" t="s">
        <v>272</v>
      </c>
    </row>
    <row r="2510" spans="1:18" ht="69" customHeight="1">
      <c r="A2510" s="168"/>
      <c r="B2510" s="600">
        <v>6090</v>
      </c>
      <c r="C2510" s="600" t="s">
        <v>458</v>
      </c>
      <c r="D2510" s="601" t="s">
        <v>2033</v>
      </c>
      <c r="E2510" s="600" t="s">
        <v>409</v>
      </c>
      <c r="F2510" s="602" t="s">
        <v>7053</v>
      </c>
      <c r="G2510" s="460" t="s">
        <v>7054</v>
      </c>
      <c r="H2510" s="546">
        <v>262253.63</v>
      </c>
      <c r="I2510" s="461">
        <v>44776</v>
      </c>
      <c r="J2510" s="603" t="s">
        <v>7055</v>
      </c>
      <c r="K2510" s="460">
        <v>258319.83</v>
      </c>
      <c r="L2510" s="99"/>
      <c r="M2510" s="70" t="s">
        <v>7056</v>
      </c>
      <c r="N2510" s="97" t="s">
        <v>414</v>
      </c>
      <c r="O2510" s="600" t="s">
        <v>147</v>
      </c>
      <c r="P2510" s="600" t="s">
        <v>22</v>
      </c>
      <c r="Q2510" s="600" t="s">
        <v>88</v>
      </c>
      <c r="R2510" s="600" t="s">
        <v>272</v>
      </c>
    </row>
    <row r="2511" spans="1:18" ht="69" customHeight="1">
      <c r="A2511" s="168"/>
      <c r="B2511" s="178">
        <v>6414</v>
      </c>
      <c r="C2511" s="178" t="s">
        <v>458</v>
      </c>
      <c r="D2511" s="575" t="s">
        <v>2747</v>
      </c>
      <c r="E2511" s="178" t="s">
        <v>432</v>
      </c>
      <c r="F2511" s="210" t="s">
        <v>7057</v>
      </c>
      <c r="G2511" s="58" t="s">
        <v>429</v>
      </c>
      <c r="H2511" s="546">
        <v>13959.486000000001</v>
      </c>
      <c r="I2511" s="66">
        <v>44802</v>
      </c>
      <c r="J2511" s="411" t="s">
        <v>7058</v>
      </c>
      <c r="K2511" s="58"/>
      <c r="L2511" s="99"/>
      <c r="M2511" s="70" t="s">
        <v>7059</v>
      </c>
      <c r="N2511" s="97" t="s">
        <v>432</v>
      </c>
      <c r="O2511" s="58"/>
      <c r="P2511" s="58" t="s">
        <v>53</v>
      </c>
      <c r="Q2511" s="58" t="s">
        <v>88</v>
      </c>
      <c r="R2511" s="58" t="s">
        <v>272</v>
      </c>
    </row>
    <row r="2512" spans="1:18" ht="69" customHeight="1">
      <c r="A2512" s="168"/>
      <c r="B2512" s="178">
        <v>6846</v>
      </c>
      <c r="C2512" s="178" t="s">
        <v>458</v>
      </c>
      <c r="D2512" s="575" t="s">
        <v>7060</v>
      </c>
      <c r="E2512" s="178" t="s">
        <v>266</v>
      </c>
      <c r="F2512" s="210" t="s">
        <v>7061</v>
      </c>
      <c r="G2512" s="58" t="s">
        <v>448</v>
      </c>
      <c r="H2512" s="546">
        <v>17500</v>
      </c>
      <c r="I2512" s="66">
        <v>44832</v>
      </c>
      <c r="J2512" s="411" t="s">
        <v>7062</v>
      </c>
      <c r="K2512" s="58"/>
      <c r="L2512" s="99"/>
      <c r="M2512" s="70" t="s">
        <v>7049</v>
      </c>
      <c r="N2512" s="97" t="s">
        <v>399</v>
      </c>
      <c r="O2512" s="62" t="s">
        <v>147</v>
      </c>
      <c r="P2512" s="45" t="s">
        <v>42</v>
      </c>
      <c r="Q2512" s="58" t="s">
        <v>88</v>
      </c>
      <c r="R2512" s="58" t="s">
        <v>272</v>
      </c>
    </row>
    <row r="2513" spans="1:18" ht="69" customHeight="1">
      <c r="A2513" s="168"/>
      <c r="B2513" s="178">
        <v>7492</v>
      </c>
      <c r="C2513" s="178" t="s">
        <v>458</v>
      </c>
      <c r="D2513" s="575" t="s">
        <v>5714</v>
      </c>
      <c r="E2513" s="178" t="s">
        <v>266</v>
      </c>
      <c r="F2513" s="210" t="s">
        <v>7063</v>
      </c>
      <c r="G2513" s="58" t="s">
        <v>444</v>
      </c>
      <c r="H2513" s="546">
        <v>5334.67</v>
      </c>
      <c r="I2513" s="66">
        <v>44879</v>
      </c>
      <c r="J2513" s="411" t="s">
        <v>445</v>
      </c>
      <c r="K2513" s="58"/>
      <c r="L2513" s="99"/>
      <c r="M2513" s="70" t="s">
        <v>7023</v>
      </c>
      <c r="N2513" s="97" t="s">
        <v>270</v>
      </c>
      <c r="O2513" s="58"/>
      <c r="P2513" s="58" t="s">
        <v>44</v>
      </c>
      <c r="Q2513" s="58" t="s">
        <v>88</v>
      </c>
      <c r="R2513" s="58" t="s">
        <v>272</v>
      </c>
    </row>
    <row r="2514" spans="1:18" s="120" customFormat="1" ht="69" customHeight="1">
      <c r="A2514" s="168"/>
      <c r="B2514" s="178">
        <v>9407</v>
      </c>
      <c r="C2514" s="178" t="s">
        <v>458</v>
      </c>
      <c r="D2514" s="575" t="s">
        <v>1947</v>
      </c>
      <c r="E2514" s="178" t="s">
        <v>358</v>
      </c>
      <c r="F2514" s="210" t="s">
        <v>7064</v>
      </c>
      <c r="G2514" s="58" t="s">
        <v>594</v>
      </c>
      <c r="H2514" s="546">
        <v>952000</v>
      </c>
      <c r="I2514" s="66">
        <v>45012</v>
      </c>
      <c r="J2514" s="411" t="s">
        <v>595</v>
      </c>
      <c r="K2514" s="58" t="s">
        <v>7065</v>
      </c>
      <c r="L2514" s="99"/>
      <c r="M2514" s="384" t="s">
        <v>7029</v>
      </c>
      <c r="N2514" s="106" t="s">
        <v>356</v>
      </c>
      <c r="O2514" s="58" t="s">
        <v>141</v>
      </c>
      <c r="P2514" s="58" t="s">
        <v>19</v>
      </c>
      <c r="Q2514" s="58" t="s">
        <v>88</v>
      </c>
      <c r="R2514" s="58" t="s">
        <v>272</v>
      </c>
    </row>
    <row r="2515" spans="1:18" ht="69" customHeight="1">
      <c r="A2515" s="168"/>
      <c r="B2515" s="191">
        <v>9685</v>
      </c>
      <c r="C2515" s="191" t="s">
        <v>458</v>
      </c>
      <c r="D2515" s="533" t="s">
        <v>2616</v>
      </c>
      <c r="E2515" s="191" t="s">
        <v>350</v>
      </c>
      <c r="F2515" s="211" t="s">
        <v>7066</v>
      </c>
      <c r="G2515" s="46" t="s">
        <v>7067</v>
      </c>
      <c r="H2515" s="534">
        <v>67950</v>
      </c>
      <c r="I2515" s="56">
        <v>45019</v>
      </c>
      <c r="J2515" s="412" t="s">
        <v>7068</v>
      </c>
      <c r="K2515" s="46" t="s">
        <v>7069</v>
      </c>
      <c r="L2515" s="120"/>
      <c r="M2515" s="384" t="s">
        <v>7070</v>
      </c>
      <c r="N2515" s="106" t="s">
        <v>356</v>
      </c>
      <c r="O2515" s="46" t="s">
        <v>141</v>
      </c>
      <c r="P2515" s="46" t="s">
        <v>19</v>
      </c>
      <c r="Q2515" s="46" t="s">
        <v>13</v>
      </c>
      <c r="R2515" s="46" t="s">
        <v>265</v>
      </c>
    </row>
    <row r="2516" spans="1:18" s="120" customFormat="1" ht="69" customHeight="1">
      <c r="A2516" s="168"/>
      <c r="B2516" s="178">
        <v>9778</v>
      </c>
      <c r="C2516" s="178" t="s">
        <v>458</v>
      </c>
      <c r="D2516" s="575"/>
      <c r="E2516" s="178" t="s">
        <v>350</v>
      </c>
      <c r="F2516" s="210" t="s">
        <v>7071</v>
      </c>
      <c r="G2516" s="58" t="s">
        <v>597</v>
      </c>
      <c r="H2516" s="546">
        <v>564004.1</v>
      </c>
      <c r="I2516" s="66">
        <v>45041</v>
      </c>
      <c r="J2516" s="411" t="s">
        <v>7072</v>
      </c>
      <c r="K2516" s="58" t="s">
        <v>7073</v>
      </c>
      <c r="L2516" s="99"/>
      <c r="M2516" s="384" t="s">
        <v>7070</v>
      </c>
      <c r="N2516" s="106" t="s">
        <v>356</v>
      </c>
      <c r="O2516" s="58" t="s">
        <v>141</v>
      </c>
      <c r="P2516" s="58" t="s">
        <v>73</v>
      </c>
      <c r="Q2516" s="58" t="s">
        <v>88</v>
      </c>
      <c r="R2516" s="58" t="s">
        <v>265</v>
      </c>
    </row>
    <row r="2517" spans="1:18" ht="69" customHeight="1">
      <c r="A2517" s="168"/>
      <c r="B2517" s="178">
        <v>9798</v>
      </c>
      <c r="C2517" s="178" t="s">
        <v>458</v>
      </c>
      <c r="D2517" s="575" t="s">
        <v>7074</v>
      </c>
      <c r="E2517" s="178" t="s">
        <v>350</v>
      </c>
      <c r="F2517" s="210" t="s">
        <v>7075</v>
      </c>
      <c r="G2517" s="58" t="s">
        <v>7076</v>
      </c>
      <c r="H2517" s="546">
        <v>2190.36</v>
      </c>
      <c r="I2517" s="66">
        <v>45050</v>
      </c>
      <c r="J2517" s="411" t="s">
        <v>7077</v>
      </c>
      <c r="K2517" s="58" t="s">
        <v>7073</v>
      </c>
      <c r="L2517" s="99"/>
      <c r="M2517" s="384" t="s">
        <v>7070</v>
      </c>
      <c r="N2517" s="106" t="s">
        <v>356</v>
      </c>
      <c r="O2517" s="58" t="s">
        <v>141</v>
      </c>
      <c r="P2517" s="58" t="s">
        <v>73</v>
      </c>
      <c r="Q2517" s="58" t="s">
        <v>88</v>
      </c>
      <c r="R2517" s="58" t="s">
        <v>265</v>
      </c>
    </row>
    <row r="2518" spans="1:18" ht="69" customHeight="1">
      <c r="A2518" s="168"/>
      <c r="B2518" s="178" t="s">
        <v>7078</v>
      </c>
      <c r="C2518" s="178" t="s">
        <v>657</v>
      </c>
      <c r="D2518" s="575"/>
      <c r="E2518" s="178" t="s">
        <v>350</v>
      </c>
      <c r="F2518" s="210" t="s">
        <v>7079</v>
      </c>
      <c r="G2518" s="58" t="s">
        <v>7080</v>
      </c>
      <c r="H2518" s="546">
        <v>5362.8</v>
      </c>
      <c r="I2518" s="66" t="s">
        <v>96</v>
      </c>
      <c r="J2518" s="411" t="s">
        <v>7081</v>
      </c>
      <c r="K2518" s="58" t="s">
        <v>7082</v>
      </c>
      <c r="L2518" s="99"/>
      <c r="M2518" s="70" t="s">
        <v>7083</v>
      </c>
      <c r="N2518" s="97" t="s">
        <v>356</v>
      </c>
      <c r="O2518" s="58" t="s">
        <v>141</v>
      </c>
      <c r="P2518" s="58" t="s">
        <v>19</v>
      </c>
      <c r="Q2518" s="58" t="s">
        <v>97</v>
      </c>
      <c r="R2518" s="58" t="s">
        <v>265</v>
      </c>
    </row>
    <row r="2519" spans="1:18" ht="69" customHeight="1">
      <c r="A2519" s="168"/>
      <c r="B2519" s="256" t="s">
        <v>7084</v>
      </c>
      <c r="C2519" s="256" t="s">
        <v>657</v>
      </c>
      <c r="D2519" s="299"/>
      <c r="E2519" s="256" t="s">
        <v>350</v>
      </c>
      <c r="F2519" s="263" t="s">
        <v>7085</v>
      </c>
      <c r="G2519" s="118" t="s">
        <v>7080</v>
      </c>
      <c r="H2519" s="300">
        <v>179920.18</v>
      </c>
      <c r="I2519" s="209" t="s">
        <v>96</v>
      </c>
      <c r="J2519" s="409" t="s">
        <v>7081</v>
      </c>
      <c r="K2519" s="160" t="s">
        <v>7086</v>
      </c>
      <c r="L2519" s="99"/>
      <c r="M2519" s="379" t="s">
        <v>7083</v>
      </c>
      <c r="N2519" s="76" t="s">
        <v>356</v>
      </c>
      <c r="O2519" s="160" t="s">
        <v>7087</v>
      </c>
      <c r="P2519" s="118" t="s">
        <v>67</v>
      </c>
      <c r="Q2519" s="160" t="s">
        <v>97</v>
      </c>
      <c r="R2519" s="160" t="s">
        <v>265</v>
      </c>
    </row>
    <row r="2520" spans="1:18" ht="69" customHeight="1">
      <c r="A2520" s="168"/>
      <c r="B2520" s="178" t="s">
        <v>7088</v>
      </c>
      <c r="C2520" s="178" t="s">
        <v>657</v>
      </c>
      <c r="D2520" s="575"/>
      <c r="E2520" s="178" t="s">
        <v>260</v>
      </c>
      <c r="F2520" s="210" t="s">
        <v>7089</v>
      </c>
      <c r="G2520" s="58" t="s">
        <v>7080</v>
      </c>
      <c r="H2520" s="546">
        <v>47822.63</v>
      </c>
      <c r="I2520" s="66" t="s">
        <v>96</v>
      </c>
      <c r="J2520" s="411" t="s">
        <v>7081</v>
      </c>
      <c r="K2520" s="58" t="s">
        <v>7090</v>
      </c>
      <c r="L2520" s="99"/>
      <c r="M2520" s="70" t="s">
        <v>7091</v>
      </c>
      <c r="N2520" s="97" t="s">
        <v>264</v>
      </c>
      <c r="O2520" s="58" t="s">
        <v>141</v>
      </c>
      <c r="P2520" s="58" t="s">
        <v>17</v>
      </c>
      <c r="Q2520" s="58" t="s">
        <v>102</v>
      </c>
      <c r="R2520" s="58" t="s">
        <v>265</v>
      </c>
    </row>
    <row r="2521" spans="1:18" ht="69" customHeight="1">
      <c r="A2521" s="168"/>
      <c r="B2521" s="178" t="s">
        <v>7092</v>
      </c>
      <c r="C2521" s="178" t="s">
        <v>657</v>
      </c>
      <c r="D2521" s="575"/>
      <c r="E2521" s="178" t="s">
        <v>260</v>
      </c>
      <c r="F2521" s="210" t="s">
        <v>7093</v>
      </c>
      <c r="G2521" s="58" t="s">
        <v>7080</v>
      </c>
      <c r="H2521" s="546">
        <v>400</v>
      </c>
      <c r="I2521" s="66" t="s">
        <v>96</v>
      </c>
      <c r="J2521" s="411" t="s">
        <v>7081</v>
      </c>
      <c r="K2521" s="58" t="s">
        <v>7094</v>
      </c>
      <c r="L2521" s="99"/>
      <c r="M2521" s="70" t="s">
        <v>7091</v>
      </c>
      <c r="N2521" s="97" t="s">
        <v>264</v>
      </c>
      <c r="O2521" s="58" t="s">
        <v>141</v>
      </c>
      <c r="P2521" s="58" t="s">
        <v>17</v>
      </c>
      <c r="Q2521" s="58" t="s">
        <v>97</v>
      </c>
      <c r="R2521" s="58" t="s">
        <v>265</v>
      </c>
    </row>
    <row r="2522" spans="1:18" ht="69" customHeight="1">
      <c r="A2522" s="168"/>
      <c r="B2522" s="178" t="s">
        <v>7095</v>
      </c>
      <c r="C2522" s="178" t="s">
        <v>657</v>
      </c>
      <c r="D2522" s="575"/>
      <c r="E2522" s="178" t="s">
        <v>260</v>
      </c>
      <c r="F2522" s="210" t="s">
        <v>7096</v>
      </c>
      <c r="G2522" s="58" t="s">
        <v>7080</v>
      </c>
      <c r="H2522" s="546">
        <v>19050.93</v>
      </c>
      <c r="I2522" s="66" t="s">
        <v>96</v>
      </c>
      <c r="J2522" s="411" t="s">
        <v>7081</v>
      </c>
      <c r="K2522" s="58" t="s">
        <v>7097</v>
      </c>
      <c r="L2522" s="99"/>
      <c r="M2522" s="70" t="s">
        <v>7091</v>
      </c>
      <c r="N2522" s="97" t="s">
        <v>264</v>
      </c>
      <c r="O2522" s="58" t="s">
        <v>141</v>
      </c>
      <c r="P2522" s="58" t="s">
        <v>17</v>
      </c>
      <c r="Q2522" s="58" t="s">
        <v>102</v>
      </c>
      <c r="R2522" s="58" t="s">
        <v>265</v>
      </c>
    </row>
    <row r="2523" spans="1:18" ht="69" customHeight="1">
      <c r="A2523" s="168"/>
      <c r="B2523" s="178">
        <v>2817</v>
      </c>
      <c r="C2523" s="178" t="s">
        <v>309</v>
      </c>
      <c r="D2523" s="575" t="s">
        <v>7098</v>
      </c>
      <c r="E2523" s="178" t="s">
        <v>266</v>
      </c>
      <c r="F2523" s="210" t="s">
        <v>7099</v>
      </c>
      <c r="G2523" s="58" t="s">
        <v>5560</v>
      </c>
      <c r="H2523" s="546">
        <v>7060</v>
      </c>
      <c r="I2523" s="66">
        <v>44582</v>
      </c>
      <c r="J2523" s="411" t="s">
        <v>7100</v>
      </c>
      <c r="K2523" s="58"/>
      <c r="L2523" s="99"/>
      <c r="M2523" s="70" t="s">
        <v>7101</v>
      </c>
      <c r="N2523" s="97" t="s">
        <v>270</v>
      </c>
      <c r="O2523" s="58"/>
      <c r="P2523" s="58" t="s">
        <v>44</v>
      </c>
      <c r="Q2523" s="58" t="s">
        <v>97</v>
      </c>
      <c r="R2523" s="58" t="s">
        <v>272</v>
      </c>
    </row>
    <row r="2524" spans="1:18" ht="69" customHeight="1">
      <c r="A2524" s="168"/>
      <c r="B2524" s="191">
        <v>2992</v>
      </c>
      <c r="C2524" s="191" t="s">
        <v>657</v>
      </c>
      <c r="D2524" s="533" t="s">
        <v>330</v>
      </c>
      <c r="E2524" s="191" t="s">
        <v>331</v>
      </c>
      <c r="F2524" s="211" t="s">
        <v>7102</v>
      </c>
      <c r="G2524" s="46" t="s">
        <v>4416</v>
      </c>
      <c r="H2524" s="534">
        <v>0</v>
      </c>
      <c r="I2524" s="56" t="s">
        <v>96</v>
      </c>
      <c r="J2524" s="412" t="s">
        <v>334</v>
      </c>
      <c r="K2524" s="46"/>
      <c r="L2524" s="99"/>
      <c r="M2524" s="379" t="s">
        <v>97</v>
      </c>
      <c r="N2524" s="76" t="s">
        <v>69</v>
      </c>
      <c r="O2524" s="46"/>
      <c r="P2524" s="46" t="s">
        <v>69</v>
      </c>
      <c r="Q2524" s="46" t="s">
        <v>97</v>
      </c>
      <c r="R2524" s="46" t="s">
        <v>272</v>
      </c>
    </row>
    <row r="2525" spans="1:18" ht="69" customHeight="1">
      <c r="A2525" s="168"/>
      <c r="B2525" s="178">
        <v>4706</v>
      </c>
      <c r="C2525" s="178" t="s">
        <v>657</v>
      </c>
      <c r="D2525" s="575" t="s">
        <v>5884</v>
      </c>
      <c r="E2525" s="178" t="s">
        <v>331</v>
      </c>
      <c r="F2525" s="210" t="s">
        <v>7103</v>
      </c>
      <c r="G2525" s="58"/>
      <c r="H2525" s="546">
        <v>3389.12</v>
      </c>
      <c r="I2525" s="66">
        <v>44678</v>
      </c>
      <c r="J2525" s="411" t="s">
        <v>7104</v>
      </c>
      <c r="K2525" s="58"/>
      <c r="L2525" s="99"/>
      <c r="M2525" s="70" t="s">
        <v>7101</v>
      </c>
      <c r="N2525" s="97" t="s">
        <v>270</v>
      </c>
      <c r="O2525" s="58"/>
      <c r="P2525" s="58" t="s">
        <v>44</v>
      </c>
      <c r="Q2525" s="58" t="s">
        <v>97</v>
      </c>
      <c r="R2525" s="58" t="s">
        <v>272</v>
      </c>
    </row>
    <row r="2526" spans="1:18" ht="69" customHeight="1">
      <c r="A2526" s="168"/>
      <c r="B2526" s="178">
        <v>4760</v>
      </c>
      <c r="C2526" s="178" t="s">
        <v>657</v>
      </c>
      <c r="D2526" s="575" t="s">
        <v>3584</v>
      </c>
      <c r="E2526" s="178" t="s">
        <v>283</v>
      </c>
      <c r="F2526" s="210" t="s">
        <v>7105</v>
      </c>
      <c r="G2526" s="58" t="s">
        <v>365</v>
      </c>
      <c r="H2526" s="546">
        <v>30000</v>
      </c>
      <c r="I2526" s="66">
        <v>44680</v>
      </c>
      <c r="J2526" s="411" t="s">
        <v>7106</v>
      </c>
      <c r="K2526" s="58" t="s">
        <v>7094</v>
      </c>
      <c r="L2526" s="99"/>
      <c r="M2526" s="70" t="s">
        <v>7107</v>
      </c>
      <c r="N2526" s="97" t="s">
        <v>264</v>
      </c>
      <c r="O2526" s="58" t="s">
        <v>141</v>
      </c>
      <c r="P2526" s="58" t="s">
        <v>17</v>
      </c>
      <c r="Q2526" s="58" t="s">
        <v>97</v>
      </c>
      <c r="R2526" s="58" t="s">
        <v>272</v>
      </c>
    </row>
    <row r="2527" spans="1:18" ht="69" customHeight="1">
      <c r="A2527" s="168"/>
      <c r="B2527" s="178">
        <v>4898</v>
      </c>
      <c r="C2527" s="178" t="s">
        <v>657</v>
      </c>
      <c r="D2527" s="575" t="s">
        <v>1999</v>
      </c>
      <c r="E2527" s="178" t="s">
        <v>266</v>
      </c>
      <c r="F2527" s="210" t="s">
        <v>7108</v>
      </c>
      <c r="G2527" s="58" t="s">
        <v>7109</v>
      </c>
      <c r="H2527" s="546">
        <v>1632.75</v>
      </c>
      <c r="I2527" s="66">
        <v>44698</v>
      </c>
      <c r="J2527" s="411" t="s">
        <v>7110</v>
      </c>
      <c r="K2527" s="58"/>
      <c r="L2527" s="99"/>
      <c r="M2527" s="70" t="s">
        <v>7101</v>
      </c>
      <c r="N2527" s="97" t="s">
        <v>270</v>
      </c>
      <c r="O2527" s="58"/>
      <c r="P2527" s="58" t="s">
        <v>44</v>
      </c>
      <c r="Q2527" s="58" t="s">
        <v>97</v>
      </c>
      <c r="R2527" s="58" t="s">
        <v>272</v>
      </c>
    </row>
    <row r="2528" spans="1:18" ht="69" customHeight="1">
      <c r="A2528" s="168"/>
      <c r="B2528" s="178">
        <v>4929</v>
      </c>
      <c r="C2528" s="178" t="s">
        <v>657</v>
      </c>
      <c r="D2528" s="575" t="s">
        <v>5245</v>
      </c>
      <c r="E2528" s="178" t="s">
        <v>266</v>
      </c>
      <c r="F2528" s="210" t="s">
        <v>7111</v>
      </c>
      <c r="G2528" s="58" t="s">
        <v>1994</v>
      </c>
      <c r="H2528" s="546">
        <v>5500</v>
      </c>
      <c r="I2528" s="66">
        <v>44706</v>
      </c>
      <c r="J2528" s="411" t="s">
        <v>7112</v>
      </c>
      <c r="K2528" s="58"/>
      <c r="L2528" s="99"/>
      <c r="M2528" s="70" t="s">
        <v>7101</v>
      </c>
      <c r="N2528" s="97" t="s">
        <v>270</v>
      </c>
      <c r="O2528" s="58"/>
      <c r="P2528" s="58" t="s">
        <v>44</v>
      </c>
      <c r="Q2528" s="58" t="s">
        <v>97</v>
      </c>
      <c r="R2528" s="58" t="s">
        <v>272</v>
      </c>
    </row>
    <row r="2529" spans="1:18" ht="69" customHeight="1">
      <c r="A2529" s="168"/>
      <c r="B2529" s="178">
        <v>4706</v>
      </c>
      <c r="C2529" s="178" t="s">
        <v>657</v>
      </c>
      <c r="D2529" s="575" t="s">
        <v>5976</v>
      </c>
      <c r="E2529" s="178" t="s">
        <v>331</v>
      </c>
      <c r="F2529" s="210" t="s">
        <v>7113</v>
      </c>
      <c r="G2529" s="58" t="s">
        <v>372</v>
      </c>
      <c r="H2529" s="546">
        <v>30502.09</v>
      </c>
      <c r="I2529" s="66">
        <v>44701</v>
      </c>
      <c r="J2529" s="411" t="s">
        <v>7114</v>
      </c>
      <c r="K2529" s="58"/>
      <c r="L2529" s="99"/>
      <c r="M2529" s="70" t="s">
        <v>7101</v>
      </c>
      <c r="N2529" s="97" t="s">
        <v>270</v>
      </c>
      <c r="O2529" s="58"/>
      <c r="P2529" s="58" t="s">
        <v>44</v>
      </c>
      <c r="Q2529" s="58" t="s">
        <v>97</v>
      </c>
      <c r="R2529" s="58" t="s">
        <v>272</v>
      </c>
    </row>
    <row r="2530" spans="1:18" ht="69" customHeight="1">
      <c r="A2530" s="168"/>
      <c r="B2530" s="178">
        <v>4953</v>
      </c>
      <c r="C2530" s="178" t="s">
        <v>657</v>
      </c>
      <c r="D2530" s="575" t="s">
        <v>2221</v>
      </c>
      <c r="E2530" s="178" t="s">
        <v>266</v>
      </c>
      <c r="F2530" s="210" t="s">
        <v>7115</v>
      </c>
      <c r="G2530" s="58" t="s">
        <v>376</v>
      </c>
      <c r="H2530" s="546">
        <v>2465.06</v>
      </c>
      <c r="I2530" s="66">
        <v>44706</v>
      </c>
      <c r="J2530" s="411" t="s">
        <v>7116</v>
      </c>
      <c r="K2530" s="58"/>
      <c r="L2530" s="99"/>
      <c r="M2530" s="70" t="s">
        <v>7101</v>
      </c>
      <c r="N2530" s="97" t="s">
        <v>270</v>
      </c>
      <c r="O2530" s="58"/>
      <c r="P2530" s="58" t="s">
        <v>44</v>
      </c>
      <c r="Q2530" s="58" t="s">
        <v>97</v>
      </c>
      <c r="R2530" s="58" t="s">
        <v>272</v>
      </c>
    </row>
    <row r="2531" spans="1:18" ht="69" customHeight="1">
      <c r="A2531" s="168"/>
      <c r="B2531" s="178">
        <v>5030</v>
      </c>
      <c r="C2531" s="178" t="s">
        <v>657</v>
      </c>
      <c r="D2531" s="575" t="s">
        <v>3469</v>
      </c>
      <c r="E2531" s="178" t="s">
        <v>266</v>
      </c>
      <c r="F2531" s="210" t="s">
        <v>7117</v>
      </c>
      <c r="G2531" s="58" t="s">
        <v>7109</v>
      </c>
      <c r="H2531" s="546">
        <v>1632.75</v>
      </c>
      <c r="I2531" s="66">
        <v>44728</v>
      </c>
      <c r="J2531" s="411" t="s">
        <v>7118</v>
      </c>
      <c r="K2531" s="58"/>
      <c r="L2531" s="99"/>
      <c r="M2531" s="70" t="s">
        <v>7101</v>
      </c>
      <c r="N2531" s="97" t="s">
        <v>270</v>
      </c>
      <c r="O2531" s="58"/>
      <c r="P2531" s="58" t="s">
        <v>44</v>
      </c>
      <c r="Q2531" s="58" t="s">
        <v>97</v>
      </c>
      <c r="R2531" s="58" t="s">
        <v>272</v>
      </c>
    </row>
    <row r="2532" spans="1:18" ht="69" customHeight="1">
      <c r="A2532" s="168"/>
      <c r="B2532" s="178"/>
      <c r="C2532" s="178" t="s">
        <v>657</v>
      </c>
      <c r="D2532" s="575" t="s">
        <v>515</v>
      </c>
      <c r="E2532" s="178" t="s">
        <v>382</v>
      </c>
      <c r="F2532" s="210" t="s">
        <v>7119</v>
      </c>
      <c r="G2532" s="58" t="s">
        <v>384</v>
      </c>
      <c r="H2532" s="546">
        <v>27761.33</v>
      </c>
      <c r="I2532" s="66">
        <v>44736</v>
      </c>
      <c r="J2532" s="411" t="s">
        <v>7120</v>
      </c>
      <c r="K2532" s="58"/>
      <c r="L2532" s="99"/>
      <c r="M2532" s="70" t="s">
        <v>7121</v>
      </c>
      <c r="N2532" s="97" t="s">
        <v>387</v>
      </c>
      <c r="O2532" s="45" t="s">
        <v>150</v>
      </c>
      <c r="P2532" s="58" t="s">
        <v>51</v>
      </c>
      <c r="Q2532" s="58" t="s">
        <v>97</v>
      </c>
      <c r="R2532" s="58" t="s">
        <v>272</v>
      </c>
    </row>
    <row r="2533" spans="1:18" ht="69" customHeight="1">
      <c r="A2533" s="168"/>
      <c r="B2533" s="178"/>
      <c r="C2533" s="178" t="s">
        <v>657</v>
      </c>
      <c r="D2533" s="575" t="s">
        <v>4850</v>
      </c>
      <c r="E2533" s="178" t="s">
        <v>382</v>
      </c>
      <c r="F2533" s="210" t="s">
        <v>7122</v>
      </c>
      <c r="G2533" s="58" t="s">
        <v>384</v>
      </c>
      <c r="H2533" s="546">
        <v>39819.519999999997</v>
      </c>
      <c r="I2533" s="66">
        <v>44736</v>
      </c>
      <c r="J2533" s="411" t="s">
        <v>7123</v>
      </c>
      <c r="K2533" s="58"/>
      <c r="L2533" s="99"/>
      <c r="M2533" s="70" t="s">
        <v>7121</v>
      </c>
      <c r="N2533" s="97" t="s">
        <v>387</v>
      </c>
      <c r="O2533" s="45" t="s">
        <v>150</v>
      </c>
      <c r="P2533" s="58" t="s">
        <v>51</v>
      </c>
      <c r="Q2533" s="58" t="s">
        <v>97</v>
      </c>
      <c r="R2533" s="58" t="s">
        <v>272</v>
      </c>
    </row>
    <row r="2534" spans="1:18" ht="69" customHeight="1">
      <c r="A2534" s="168"/>
      <c r="B2534" s="178">
        <v>6271</v>
      </c>
      <c r="C2534" s="178" t="s">
        <v>657</v>
      </c>
      <c r="D2534" s="575" t="s">
        <v>2003</v>
      </c>
      <c r="E2534" s="178" t="s">
        <v>266</v>
      </c>
      <c r="F2534" s="210" t="s">
        <v>7124</v>
      </c>
      <c r="G2534" s="58" t="s">
        <v>347</v>
      </c>
      <c r="H2534" s="546">
        <v>1065</v>
      </c>
      <c r="I2534" s="66">
        <v>44741</v>
      </c>
      <c r="J2534" s="411" t="s">
        <v>7125</v>
      </c>
      <c r="K2534" s="58"/>
      <c r="L2534" s="99"/>
      <c r="M2534" s="70" t="s">
        <v>7101</v>
      </c>
      <c r="N2534" s="97" t="s">
        <v>270</v>
      </c>
      <c r="O2534" s="58"/>
      <c r="P2534" s="58" t="s">
        <v>44</v>
      </c>
      <c r="Q2534" s="58" t="s">
        <v>97</v>
      </c>
      <c r="R2534" s="58" t="s">
        <v>272</v>
      </c>
    </row>
    <row r="2535" spans="1:18" ht="69" customHeight="1">
      <c r="A2535" s="168"/>
      <c r="B2535" s="178">
        <v>5144</v>
      </c>
      <c r="C2535" s="178" t="s">
        <v>657</v>
      </c>
      <c r="D2535" s="575" t="s">
        <v>2464</v>
      </c>
      <c r="E2535" s="178" t="s">
        <v>266</v>
      </c>
      <c r="F2535" s="210" t="s">
        <v>7126</v>
      </c>
      <c r="G2535" s="58" t="s">
        <v>376</v>
      </c>
      <c r="H2535" s="546">
        <v>3697.58</v>
      </c>
      <c r="I2535" s="66">
        <v>44755</v>
      </c>
      <c r="J2535" s="411" t="s">
        <v>7127</v>
      </c>
      <c r="K2535" s="58" t="s">
        <v>705</v>
      </c>
      <c r="L2535" s="99"/>
      <c r="M2535" s="70" t="s">
        <v>7101</v>
      </c>
      <c r="N2535" s="97" t="s">
        <v>270</v>
      </c>
      <c r="O2535" s="58"/>
      <c r="P2535" s="58" t="s">
        <v>44</v>
      </c>
      <c r="Q2535" s="58" t="s">
        <v>97</v>
      </c>
      <c r="R2535" s="58" t="s">
        <v>272</v>
      </c>
    </row>
    <row r="2536" spans="1:18" ht="69" customHeight="1">
      <c r="A2536" s="168"/>
      <c r="B2536" s="178">
        <v>5151</v>
      </c>
      <c r="C2536" s="178" t="s">
        <v>657</v>
      </c>
      <c r="D2536" s="575" t="s">
        <v>3341</v>
      </c>
      <c r="E2536" s="178" t="s">
        <v>266</v>
      </c>
      <c r="F2536" s="210" t="s">
        <v>7128</v>
      </c>
      <c r="G2536" s="58" t="s">
        <v>396</v>
      </c>
      <c r="H2536" s="546">
        <v>3500</v>
      </c>
      <c r="I2536" s="66">
        <v>44753</v>
      </c>
      <c r="J2536" s="411" t="s">
        <v>7129</v>
      </c>
      <c r="K2536" s="58"/>
      <c r="L2536" s="99"/>
      <c r="M2536" s="70" t="s">
        <v>7130</v>
      </c>
      <c r="N2536" s="97" t="s">
        <v>552</v>
      </c>
      <c r="O2536" s="62" t="s">
        <v>147</v>
      </c>
      <c r="P2536" s="58" t="s">
        <v>42</v>
      </c>
      <c r="Q2536" s="58" t="s">
        <v>97</v>
      </c>
      <c r="R2536" s="58" t="s">
        <v>272</v>
      </c>
    </row>
    <row r="2537" spans="1:18" ht="69" customHeight="1">
      <c r="A2537" s="168"/>
      <c r="B2537" s="178">
        <v>5156</v>
      </c>
      <c r="C2537" s="178" t="s">
        <v>657</v>
      </c>
      <c r="D2537" s="575" t="s">
        <v>3175</v>
      </c>
      <c r="E2537" s="178" t="s">
        <v>266</v>
      </c>
      <c r="F2537" s="210" t="s">
        <v>7131</v>
      </c>
      <c r="G2537" s="58" t="s">
        <v>396</v>
      </c>
      <c r="H2537" s="546">
        <v>5878.3</v>
      </c>
      <c r="I2537" s="66">
        <v>44753</v>
      </c>
      <c r="J2537" s="411" t="s">
        <v>7132</v>
      </c>
      <c r="K2537" s="58"/>
      <c r="L2537" s="99"/>
      <c r="M2537" s="70" t="s">
        <v>7130</v>
      </c>
      <c r="N2537" s="97" t="s">
        <v>552</v>
      </c>
      <c r="O2537" s="62" t="s">
        <v>147</v>
      </c>
      <c r="P2537" s="58" t="s">
        <v>42</v>
      </c>
      <c r="Q2537" s="58" t="s">
        <v>97</v>
      </c>
      <c r="R2537" s="58" t="s">
        <v>272</v>
      </c>
    </row>
    <row r="2538" spans="1:18" ht="69" customHeight="1">
      <c r="A2538" s="168"/>
      <c r="B2538" s="600">
        <v>5358</v>
      </c>
      <c r="C2538" s="600" t="s">
        <v>657</v>
      </c>
      <c r="D2538" s="601" t="s">
        <v>7133</v>
      </c>
      <c r="E2538" s="600" t="s">
        <v>409</v>
      </c>
      <c r="F2538" s="602" t="s">
        <v>7134</v>
      </c>
      <c r="G2538" s="460" t="s">
        <v>7135</v>
      </c>
      <c r="H2538" s="546">
        <v>403650</v>
      </c>
      <c r="I2538" s="461">
        <v>44760</v>
      </c>
      <c r="J2538" s="603" t="s">
        <v>7136</v>
      </c>
      <c r="K2538" s="460" t="s">
        <v>705</v>
      </c>
      <c r="L2538" s="99"/>
      <c r="M2538" s="70" t="s">
        <v>7137</v>
      </c>
      <c r="N2538" s="97" t="s">
        <v>414</v>
      </c>
      <c r="O2538" s="58"/>
      <c r="P2538" s="58" t="s">
        <v>22</v>
      </c>
      <c r="Q2538" s="46" t="s">
        <v>97</v>
      </c>
      <c r="R2538" s="58" t="s">
        <v>265</v>
      </c>
    </row>
    <row r="2539" spans="1:18" ht="69" customHeight="1">
      <c r="A2539" s="168"/>
      <c r="B2539" s="178">
        <v>6012</v>
      </c>
      <c r="C2539" s="178" t="s">
        <v>657</v>
      </c>
      <c r="D2539" s="575" t="s">
        <v>653</v>
      </c>
      <c r="E2539" s="178" t="s">
        <v>266</v>
      </c>
      <c r="F2539" s="210" t="s">
        <v>7138</v>
      </c>
      <c r="G2539" s="58" t="s">
        <v>5986</v>
      </c>
      <c r="H2539" s="546">
        <v>1400</v>
      </c>
      <c r="I2539" s="66">
        <v>44760</v>
      </c>
      <c r="J2539" s="411" t="s">
        <v>7139</v>
      </c>
      <c r="K2539" s="58" t="s">
        <v>705</v>
      </c>
      <c r="L2539" s="99"/>
      <c r="M2539" s="70" t="s">
        <v>7101</v>
      </c>
      <c r="N2539" s="97" t="s">
        <v>270</v>
      </c>
      <c r="O2539" s="58"/>
      <c r="P2539" s="58" t="s">
        <v>44</v>
      </c>
      <c r="Q2539" s="58" t="s">
        <v>97</v>
      </c>
      <c r="R2539" s="58" t="s">
        <v>272</v>
      </c>
    </row>
    <row r="2540" spans="1:18" ht="69" customHeight="1">
      <c r="A2540" s="168"/>
      <c r="B2540" s="178">
        <v>6398</v>
      </c>
      <c r="C2540" s="178" t="s">
        <v>657</v>
      </c>
      <c r="D2540" s="575" t="s">
        <v>954</v>
      </c>
      <c r="E2540" s="178" t="s">
        <v>432</v>
      </c>
      <c r="F2540" s="210" t="s">
        <v>7140</v>
      </c>
      <c r="G2540" s="58" t="s">
        <v>429</v>
      </c>
      <c r="H2540" s="546">
        <v>13959.486000000001</v>
      </c>
      <c r="I2540" s="66">
        <v>44802</v>
      </c>
      <c r="J2540" s="411" t="s">
        <v>7141</v>
      </c>
      <c r="K2540" s="58"/>
      <c r="L2540" s="99"/>
      <c r="M2540" s="70" t="s">
        <v>7142</v>
      </c>
      <c r="N2540" s="97" t="s">
        <v>432</v>
      </c>
      <c r="O2540" s="58"/>
      <c r="P2540" s="58" t="s">
        <v>53</v>
      </c>
      <c r="Q2540" s="58" t="s">
        <v>97</v>
      </c>
      <c r="R2540" s="58" t="s">
        <v>272</v>
      </c>
    </row>
    <row r="2541" spans="1:18" ht="69" customHeight="1">
      <c r="A2541" s="168"/>
      <c r="B2541" s="178">
        <v>6843</v>
      </c>
      <c r="C2541" s="178" t="s">
        <v>657</v>
      </c>
      <c r="D2541" s="575" t="s">
        <v>7143</v>
      </c>
      <c r="E2541" s="178" t="s">
        <v>266</v>
      </c>
      <c r="F2541" s="210" t="s">
        <v>7144</v>
      </c>
      <c r="G2541" s="58" t="s">
        <v>448</v>
      </c>
      <c r="H2541" s="546">
        <v>17500</v>
      </c>
      <c r="I2541" s="66">
        <v>44832</v>
      </c>
      <c r="J2541" s="411" t="s">
        <v>7145</v>
      </c>
      <c r="K2541" s="58"/>
      <c r="L2541" s="99"/>
      <c r="M2541" s="70" t="s">
        <v>7146</v>
      </c>
      <c r="N2541" s="97" t="s">
        <v>399</v>
      </c>
      <c r="O2541" s="62" t="s">
        <v>147</v>
      </c>
      <c r="P2541" s="58" t="s">
        <v>42</v>
      </c>
      <c r="Q2541" s="58" t="s">
        <v>97</v>
      </c>
      <c r="R2541" s="58" t="s">
        <v>272</v>
      </c>
    </row>
    <row r="2542" spans="1:18" ht="69" customHeight="1">
      <c r="A2542" s="168"/>
      <c r="B2542" s="178">
        <v>7531</v>
      </c>
      <c r="C2542" s="178" t="s">
        <v>657</v>
      </c>
      <c r="D2542" s="575" t="s">
        <v>2290</v>
      </c>
      <c r="E2542" s="178" t="s">
        <v>350</v>
      </c>
      <c r="F2542" s="210" t="s">
        <v>7147</v>
      </c>
      <c r="G2542" s="58" t="s">
        <v>1838</v>
      </c>
      <c r="H2542" s="546">
        <v>10716</v>
      </c>
      <c r="I2542" s="66">
        <v>44883</v>
      </c>
      <c r="J2542" s="411" t="s">
        <v>7148</v>
      </c>
      <c r="K2542" s="58"/>
      <c r="L2542" s="99"/>
      <c r="M2542" s="70" t="s">
        <v>7083</v>
      </c>
      <c r="N2542" s="97" t="s">
        <v>356</v>
      </c>
      <c r="O2542" s="58" t="s">
        <v>141</v>
      </c>
      <c r="P2542" s="58" t="s">
        <v>19</v>
      </c>
      <c r="Q2542" s="58" t="s">
        <v>97</v>
      </c>
      <c r="R2542" s="58" t="s">
        <v>265</v>
      </c>
    </row>
    <row r="2543" spans="1:18" ht="69" customHeight="1">
      <c r="A2543" s="168"/>
      <c r="B2543" s="178">
        <v>7487</v>
      </c>
      <c r="C2543" s="178" t="s">
        <v>657</v>
      </c>
      <c r="D2543" s="575" t="s">
        <v>6053</v>
      </c>
      <c r="E2543" s="178" t="s">
        <v>266</v>
      </c>
      <c r="F2543" s="210" t="s">
        <v>7149</v>
      </c>
      <c r="G2543" s="58" t="s">
        <v>444</v>
      </c>
      <c r="H2543" s="546">
        <v>5334.67</v>
      </c>
      <c r="I2543" s="66">
        <v>44879</v>
      </c>
      <c r="J2543" s="411" t="s">
        <v>445</v>
      </c>
      <c r="K2543" s="58"/>
      <c r="L2543" s="99"/>
      <c r="M2543" s="70" t="s">
        <v>7101</v>
      </c>
      <c r="N2543" s="97" t="s">
        <v>270</v>
      </c>
      <c r="O2543" s="58"/>
      <c r="P2543" s="58" t="s">
        <v>44</v>
      </c>
      <c r="Q2543" s="58" t="s">
        <v>97</v>
      </c>
      <c r="R2543" s="58" t="s">
        <v>272</v>
      </c>
    </row>
    <row r="2544" spans="1:18" ht="69" customHeight="1">
      <c r="A2544" s="168"/>
      <c r="B2544" s="178">
        <v>7738</v>
      </c>
      <c r="C2544" s="178" t="s">
        <v>657</v>
      </c>
      <c r="D2544" s="575" t="s">
        <v>7150</v>
      </c>
      <c r="E2544" s="178" t="s">
        <v>350</v>
      </c>
      <c r="F2544" s="210" t="s">
        <v>7151</v>
      </c>
      <c r="G2544" s="58" t="s">
        <v>1838</v>
      </c>
      <c r="H2544" s="546">
        <v>427522.38</v>
      </c>
      <c r="I2544" s="66">
        <v>44925</v>
      </c>
      <c r="J2544" s="411" t="s">
        <v>7152</v>
      </c>
      <c r="K2544" s="58"/>
      <c r="L2544" s="99"/>
      <c r="M2544" s="70" t="s">
        <v>7083</v>
      </c>
      <c r="N2544" s="97" t="s">
        <v>356</v>
      </c>
      <c r="O2544" s="58" t="s">
        <v>141</v>
      </c>
      <c r="P2544" s="58" t="s">
        <v>19</v>
      </c>
      <c r="Q2544" s="58" t="s">
        <v>97</v>
      </c>
      <c r="R2544" s="58" t="s">
        <v>265</v>
      </c>
    </row>
    <row r="2545" spans="1:18" ht="69" customHeight="1">
      <c r="A2545" s="168"/>
      <c r="B2545" s="178">
        <v>7632</v>
      </c>
      <c r="C2545" s="178" t="s">
        <v>657</v>
      </c>
      <c r="D2545" s="575" t="s">
        <v>4186</v>
      </c>
      <c r="E2545" s="178" t="s">
        <v>7153</v>
      </c>
      <c r="F2545" s="210" t="s">
        <v>7154</v>
      </c>
      <c r="G2545" s="58" t="s">
        <v>1838</v>
      </c>
      <c r="H2545" s="546">
        <v>4607.41</v>
      </c>
      <c r="I2545" s="66">
        <v>44895</v>
      </c>
      <c r="J2545" s="411" t="s">
        <v>7155</v>
      </c>
      <c r="K2545" s="58"/>
      <c r="L2545" s="99"/>
      <c r="M2545" s="70" t="s">
        <v>7083</v>
      </c>
      <c r="N2545" s="97" t="s">
        <v>356</v>
      </c>
      <c r="O2545" s="58" t="s">
        <v>141</v>
      </c>
      <c r="P2545" s="58" t="s">
        <v>19</v>
      </c>
      <c r="Q2545" s="58" t="s">
        <v>97</v>
      </c>
      <c r="R2545" s="58" t="s">
        <v>265</v>
      </c>
    </row>
    <row r="2546" spans="1:18" ht="69" customHeight="1">
      <c r="A2546" s="168"/>
      <c r="B2546" s="178">
        <v>7739</v>
      </c>
      <c r="C2546" s="178" t="s">
        <v>657</v>
      </c>
      <c r="D2546" s="575" t="s">
        <v>7156</v>
      </c>
      <c r="E2546" s="178" t="s">
        <v>350</v>
      </c>
      <c r="F2546" s="210" t="s">
        <v>7157</v>
      </c>
      <c r="G2546" s="58" t="s">
        <v>1838</v>
      </c>
      <c r="H2546" s="546">
        <v>6315.3</v>
      </c>
      <c r="I2546" s="66">
        <v>44925</v>
      </c>
      <c r="J2546" s="411" t="s">
        <v>7152</v>
      </c>
      <c r="K2546" s="58"/>
      <c r="L2546" s="99"/>
      <c r="M2546" s="70" t="s">
        <v>7083</v>
      </c>
      <c r="N2546" s="97" t="s">
        <v>356</v>
      </c>
      <c r="O2546" s="58" t="s">
        <v>141</v>
      </c>
      <c r="P2546" s="58" t="s">
        <v>19</v>
      </c>
      <c r="Q2546" s="58" t="s">
        <v>97</v>
      </c>
      <c r="R2546" s="58" t="s">
        <v>265</v>
      </c>
    </row>
    <row r="2547" spans="1:18" ht="69" customHeight="1">
      <c r="A2547" s="168"/>
      <c r="B2547" s="178">
        <v>7740</v>
      </c>
      <c r="C2547" s="178" t="s">
        <v>657</v>
      </c>
      <c r="D2547" s="575" t="s">
        <v>7158</v>
      </c>
      <c r="E2547" s="178" t="s">
        <v>350</v>
      </c>
      <c r="F2547" s="210" t="s">
        <v>7159</v>
      </c>
      <c r="G2547" s="58" t="s">
        <v>1838</v>
      </c>
      <c r="H2547" s="546">
        <v>518</v>
      </c>
      <c r="I2547" s="66">
        <v>44907</v>
      </c>
      <c r="J2547" s="411" t="s">
        <v>7152</v>
      </c>
      <c r="K2547" s="58"/>
      <c r="L2547" s="99"/>
      <c r="M2547" s="70" t="s">
        <v>7083</v>
      </c>
      <c r="N2547" s="97" t="s">
        <v>356</v>
      </c>
      <c r="O2547" s="58" t="s">
        <v>141</v>
      </c>
      <c r="P2547" s="58" t="s">
        <v>19</v>
      </c>
      <c r="Q2547" s="58" t="s">
        <v>97</v>
      </c>
      <c r="R2547" s="58" t="s">
        <v>265</v>
      </c>
    </row>
    <row r="2548" spans="1:18" ht="69" customHeight="1">
      <c r="A2548" s="168"/>
      <c r="B2548" s="178">
        <v>8193</v>
      </c>
      <c r="C2548" s="178" t="s">
        <v>657</v>
      </c>
      <c r="D2548" s="575" t="s">
        <v>7160</v>
      </c>
      <c r="E2548" s="178" t="s">
        <v>4651</v>
      </c>
      <c r="F2548" s="210" t="s">
        <v>7161</v>
      </c>
      <c r="G2548" s="58" t="s">
        <v>1838</v>
      </c>
      <c r="H2548" s="546">
        <v>11410.3</v>
      </c>
      <c r="I2548" s="66" t="s">
        <v>96</v>
      </c>
      <c r="J2548" s="411" t="s">
        <v>7162</v>
      </c>
      <c r="K2548" s="58"/>
      <c r="L2548" s="99"/>
      <c r="M2548" s="70" t="s">
        <v>7083</v>
      </c>
      <c r="N2548" s="97" t="s">
        <v>356</v>
      </c>
      <c r="O2548" s="58" t="s">
        <v>141</v>
      </c>
      <c r="P2548" s="58" t="s">
        <v>19</v>
      </c>
      <c r="Q2548" s="58" t="s">
        <v>97</v>
      </c>
      <c r="R2548" s="58" t="s">
        <v>265</v>
      </c>
    </row>
    <row r="2549" spans="1:18" ht="69" customHeight="1">
      <c r="A2549" s="168"/>
      <c r="B2549" s="178">
        <v>8194</v>
      </c>
      <c r="C2549" s="178" t="s">
        <v>657</v>
      </c>
      <c r="D2549" s="575" t="s">
        <v>2537</v>
      </c>
      <c r="E2549" s="178" t="s">
        <v>4651</v>
      </c>
      <c r="F2549" s="210" t="s">
        <v>7163</v>
      </c>
      <c r="G2549" s="58" t="s">
        <v>1838</v>
      </c>
      <c r="H2549" s="546">
        <v>6952.44</v>
      </c>
      <c r="I2549" s="66" t="s">
        <v>96</v>
      </c>
      <c r="J2549" s="411" t="s">
        <v>7162</v>
      </c>
      <c r="K2549" s="58"/>
      <c r="L2549" s="99"/>
      <c r="M2549" s="70" t="s">
        <v>7083</v>
      </c>
      <c r="N2549" s="97" t="s">
        <v>356</v>
      </c>
      <c r="O2549" s="58" t="s">
        <v>141</v>
      </c>
      <c r="P2549" s="58" t="s">
        <v>19</v>
      </c>
      <c r="Q2549" s="58" t="s">
        <v>97</v>
      </c>
      <c r="R2549" s="58" t="s">
        <v>265</v>
      </c>
    </row>
    <row r="2550" spans="1:18" ht="69" customHeight="1">
      <c r="A2550" s="168"/>
      <c r="B2550" s="178">
        <v>7518</v>
      </c>
      <c r="C2550" s="178" t="s">
        <v>657</v>
      </c>
      <c r="D2550" s="575" t="s">
        <v>1758</v>
      </c>
      <c r="E2550" s="178" t="s">
        <v>350</v>
      </c>
      <c r="F2550" s="210" t="s">
        <v>7164</v>
      </c>
      <c r="G2550" s="58" t="s">
        <v>1838</v>
      </c>
      <c r="H2550" s="546">
        <v>85859.56</v>
      </c>
      <c r="I2550" s="66">
        <v>44902</v>
      </c>
      <c r="J2550" s="411" t="s">
        <v>7165</v>
      </c>
      <c r="K2550" s="58"/>
      <c r="L2550" s="99"/>
      <c r="M2550" s="70" t="s">
        <v>7083</v>
      </c>
      <c r="N2550" s="97" t="s">
        <v>356</v>
      </c>
      <c r="O2550" s="58" t="s">
        <v>141</v>
      </c>
      <c r="P2550" s="58" t="s">
        <v>19</v>
      </c>
      <c r="Q2550" s="58" t="s">
        <v>97</v>
      </c>
      <c r="R2550" s="58" t="s">
        <v>265</v>
      </c>
    </row>
    <row r="2551" spans="1:18" ht="69" customHeight="1">
      <c r="A2551" s="168"/>
      <c r="B2551" s="178">
        <v>6714</v>
      </c>
      <c r="C2551" s="178" t="s">
        <v>458</v>
      </c>
      <c r="D2551" s="178">
        <v>460</v>
      </c>
      <c r="E2551" s="178" t="s">
        <v>350</v>
      </c>
      <c r="F2551" s="210" t="s">
        <v>7166</v>
      </c>
      <c r="G2551" s="58" t="s">
        <v>744</v>
      </c>
      <c r="H2551" s="546">
        <v>340406.33</v>
      </c>
      <c r="I2551" s="66">
        <v>44845</v>
      </c>
      <c r="J2551" s="411" t="s">
        <v>7167</v>
      </c>
      <c r="K2551" s="58"/>
      <c r="L2551" s="99"/>
      <c r="M2551" s="379"/>
      <c r="N2551" s="76"/>
      <c r="O2551" s="58" t="s">
        <v>141</v>
      </c>
      <c r="P2551" s="58" t="s">
        <v>19</v>
      </c>
      <c r="Q2551" s="58" t="s">
        <v>113</v>
      </c>
      <c r="R2551" s="58" t="s">
        <v>272</v>
      </c>
    </row>
    <row r="2552" spans="1:18" ht="69" customHeight="1">
      <c r="A2552" s="168"/>
      <c r="B2552" s="178">
        <v>6713</v>
      </c>
      <c r="C2552" s="178" t="s">
        <v>458</v>
      </c>
      <c r="D2552" s="178">
        <v>458</v>
      </c>
      <c r="E2552" s="178" t="s">
        <v>350</v>
      </c>
      <c r="F2552" s="210" t="s">
        <v>7168</v>
      </c>
      <c r="G2552" s="58" t="s">
        <v>744</v>
      </c>
      <c r="H2552" s="546">
        <v>25561.43</v>
      </c>
      <c r="I2552" s="66">
        <v>44845</v>
      </c>
      <c r="J2552" s="411" t="s">
        <v>7167</v>
      </c>
      <c r="K2552" s="58"/>
      <c r="L2552" s="99"/>
      <c r="M2552" s="379"/>
      <c r="N2552" s="76"/>
      <c r="O2552" s="58" t="s">
        <v>141</v>
      </c>
      <c r="P2552" s="58" t="s">
        <v>19</v>
      </c>
      <c r="Q2552" s="58" t="s">
        <v>113</v>
      </c>
      <c r="R2552" s="58" t="s">
        <v>272</v>
      </c>
    </row>
    <row r="2553" spans="1:18" ht="69" customHeight="1">
      <c r="A2553" s="168"/>
      <c r="B2553" s="178">
        <v>8774</v>
      </c>
      <c r="C2553" s="178" t="s">
        <v>657</v>
      </c>
      <c r="D2553" s="575" t="s">
        <v>7169</v>
      </c>
      <c r="E2553" s="178" t="s">
        <v>4651</v>
      </c>
      <c r="F2553" s="210" t="s">
        <v>7170</v>
      </c>
      <c r="G2553" s="58" t="s">
        <v>4653</v>
      </c>
      <c r="H2553" s="546">
        <v>24771.94</v>
      </c>
      <c r="I2553" s="66">
        <v>44973</v>
      </c>
      <c r="J2553" s="411" t="s">
        <v>7171</v>
      </c>
      <c r="K2553" s="58"/>
      <c r="L2553" s="99"/>
      <c r="M2553" s="70" t="s">
        <v>7083</v>
      </c>
      <c r="N2553" s="97" t="s">
        <v>356</v>
      </c>
      <c r="O2553" s="58" t="s">
        <v>141</v>
      </c>
      <c r="P2553" s="58" t="s">
        <v>19</v>
      </c>
      <c r="Q2553" s="58" t="s">
        <v>97</v>
      </c>
      <c r="R2553" s="58" t="s">
        <v>265</v>
      </c>
    </row>
    <row r="2554" spans="1:18" ht="69" customHeight="1">
      <c r="A2554" s="168"/>
      <c r="B2554" s="178">
        <v>8698</v>
      </c>
      <c r="C2554" s="178" t="s">
        <v>657</v>
      </c>
      <c r="D2554" s="575"/>
      <c r="E2554" s="178" t="s">
        <v>4651</v>
      </c>
      <c r="F2554" s="210" t="s">
        <v>7172</v>
      </c>
      <c r="G2554" s="58" t="s">
        <v>7173</v>
      </c>
      <c r="H2554" s="546">
        <v>23400</v>
      </c>
      <c r="I2554" s="66">
        <v>44978</v>
      </c>
      <c r="J2554" s="411" t="s">
        <v>7174</v>
      </c>
      <c r="K2554" s="58"/>
      <c r="L2554" s="99"/>
      <c r="M2554" s="70" t="s">
        <v>7083</v>
      </c>
      <c r="N2554" s="97" t="s">
        <v>356</v>
      </c>
      <c r="O2554" s="58" t="s">
        <v>141</v>
      </c>
      <c r="P2554" s="58" t="s">
        <v>19</v>
      </c>
      <c r="Q2554" s="58" t="s">
        <v>97</v>
      </c>
      <c r="R2554" s="58" t="s">
        <v>265</v>
      </c>
    </row>
    <row r="2555" spans="1:18" ht="69" customHeight="1">
      <c r="A2555" s="168"/>
      <c r="B2555" s="207">
        <v>8818</v>
      </c>
      <c r="C2555" s="207" t="s">
        <v>657</v>
      </c>
      <c r="D2555" s="301" t="s">
        <v>2350</v>
      </c>
      <c r="E2555" s="207" t="s">
        <v>4651</v>
      </c>
      <c r="F2555" s="208" t="s">
        <v>7175</v>
      </c>
      <c r="G2555" s="160" t="s">
        <v>2153</v>
      </c>
      <c r="H2555" s="300">
        <v>7606</v>
      </c>
      <c r="I2555" s="209">
        <v>44956</v>
      </c>
      <c r="J2555" s="322" t="s">
        <v>7176</v>
      </c>
      <c r="K2555" s="160" t="s">
        <v>7177</v>
      </c>
      <c r="L2555" s="99"/>
      <c r="M2555" s="379" t="s">
        <v>7083</v>
      </c>
      <c r="N2555" s="76" t="s">
        <v>356</v>
      </c>
      <c r="O2555" s="160" t="s">
        <v>141</v>
      </c>
      <c r="P2555" s="160" t="s">
        <v>67</v>
      </c>
      <c r="Q2555" s="160" t="s">
        <v>97</v>
      </c>
      <c r="R2555" s="160" t="s">
        <v>265</v>
      </c>
    </row>
    <row r="2556" spans="1:18" ht="69" customHeight="1">
      <c r="A2556" s="168"/>
      <c r="B2556" s="178">
        <v>8122</v>
      </c>
      <c r="C2556" s="178" t="s">
        <v>657</v>
      </c>
      <c r="D2556" s="575" t="s">
        <v>7178</v>
      </c>
      <c r="E2556" s="178" t="s">
        <v>350</v>
      </c>
      <c r="F2556" s="210" t="s">
        <v>7179</v>
      </c>
      <c r="G2556" s="58" t="s">
        <v>1838</v>
      </c>
      <c r="H2556" s="546">
        <v>7606</v>
      </c>
      <c r="I2556" s="66">
        <v>44932</v>
      </c>
      <c r="J2556" s="411" t="s">
        <v>7180</v>
      </c>
      <c r="K2556" s="58"/>
      <c r="L2556" s="99"/>
      <c r="M2556" s="70" t="s">
        <v>7083</v>
      </c>
      <c r="N2556" s="97" t="s">
        <v>356</v>
      </c>
      <c r="O2556" s="58" t="s">
        <v>141</v>
      </c>
      <c r="P2556" s="58" t="s">
        <v>19</v>
      </c>
      <c r="Q2556" s="58" t="s">
        <v>97</v>
      </c>
      <c r="R2556" s="58" t="s">
        <v>265</v>
      </c>
    </row>
    <row r="2557" spans="1:18" ht="69" customHeight="1">
      <c r="A2557" s="168"/>
      <c r="B2557" s="178">
        <v>9342</v>
      </c>
      <c r="C2557" s="178" t="s">
        <v>657</v>
      </c>
      <c r="D2557" s="575" t="s">
        <v>4755</v>
      </c>
      <c r="E2557" s="178" t="s">
        <v>7181</v>
      </c>
      <c r="F2557" s="210" t="s">
        <v>7182</v>
      </c>
      <c r="G2557" s="58" t="s">
        <v>4082</v>
      </c>
      <c r="H2557" s="546">
        <v>62000</v>
      </c>
      <c r="I2557" s="66">
        <v>45021</v>
      </c>
      <c r="J2557" s="411" t="s">
        <v>7183</v>
      </c>
      <c r="K2557" s="58"/>
      <c r="L2557" s="99"/>
      <c r="M2557" s="70" t="s">
        <v>7137</v>
      </c>
      <c r="N2557" s="97" t="s">
        <v>414</v>
      </c>
      <c r="O2557" s="58"/>
      <c r="P2557" s="58" t="s">
        <v>22</v>
      </c>
      <c r="Q2557" s="58" t="s">
        <v>97</v>
      </c>
      <c r="R2557" s="58" t="s">
        <v>265</v>
      </c>
    </row>
    <row r="2558" spans="1:18" ht="69" customHeight="1">
      <c r="A2558" s="168"/>
      <c r="B2558" s="178">
        <v>9355</v>
      </c>
      <c r="C2558" s="178" t="s">
        <v>657</v>
      </c>
      <c r="D2558" s="575" t="s">
        <v>3247</v>
      </c>
      <c r="E2558" s="178" t="s">
        <v>6192</v>
      </c>
      <c r="F2558" s="210" t="s">
        <v>7184</v>
      </c>
      <c r="G2558" s="58" t="s">
        <v>7185</v>
      </c>
      <c r="H2558" s="546">
        <v>71500</v>
      </c>
      <c r="I2558" s="66">
        <v>45009</v>
      </c>
      <c r="J2558" s="411" t="s">
        <v>7186</v>
      </c>
      <c r="K2558" s="58"/>
      <c r="L2558" s="99"/>
      <c r="M2558" s="70" t="s">
        <v>7137</v>
      </c>
      <c r="N2558" s="97" t="s">
        <v>414</v>
      </c>
      <c r="O2558" s="58"/>
      <c r="P2558" s="58" t="s">
        <v>22</v>
      </c>
      <c r="Q2558" s="58" t="s">
        <v>97</v>
      </c>
      <c r="R2558" s="58" t="s">
        <v>265</v>
      </c>
    </row>
    <row r="2559" spans="1:18" ht="69" customHeight="1">
      <c r="A2559" s="168"/>
      <c r="B2559" s="178">
        <v>9356</v>
      </c>
      <c r="C2559" s="178" t="s">
        <v>657</v>
      </c>
      <c r="D2559" s="575" t="s">
        <v>2140</v>
      </c>
      <c r="E2559" s="178" t="s">
        <v>6192</v>
      </c>
      <c r="F2559" s="210" t="s">
        <v>7187</v>
      </c>
      <c r="G2559" s="58" t="s">
        <v>7188</v>
      </c>
      <c r="H2559" s="546">
        <v>35500</v>
      </c>
      <c r="I2559" s="66">
        <v>45009</v>
      </c>
      <c r="J2559" s="411" t="s">
        <v>7186</v>
      </c>
      <c r="K2559" s="58"/>
      <c r="L2559" s="99"/>
      <c r="M2559" s="70" t="s">
        <v>7137</v>
      </c>
      <c r="N2559" s="97" t="s">
        <v>414</v>
      </c>
      <c r="O2559" s="58"/>
      <c r="P2559" s="58" t="s">
        <v>22</v>
      </c>
      <c r="Q2559" s="58" t="s">
        <v>97</v>
      </c>
      <c r="R2559" s="58" t="s">
        <v>265</v>
      </c>
    </row>
    <row r="2560" spans="1:18" ht="69" customHeight="1">
      <c r="A2560" s="168"/>
      <c r="B2560" s="178">
        <v>9667</v>
      </c>
      <c r="C2560" s="178" t="s">
        <v>7189</v>
      </c>
      <c r="D2560" s="575" t="s">
        <v>1038</v>
      </c>
      <c r="E2560" s="178" t="s">
        <v>741</v>
      </c>
      <c r="F2560" s="210" t="s">
        <v>7190</v>
      </c>
      <c r="G2560" s="58" t="s">
        <v>7191</v>
      </c>
      <c r="H2560" s="546">
        <v>738564.92</v>
      </c>
      <c r="I2560" s="66">
        <v>45016</v>
      </c>
      <c r="J2560" s="411" t="s">
        <v>7192</v>
      </c>
      <c r="K2560" s="58"/>
      <c r="L2560" s="99"/>
      <c r="M2560" s="70" t="s">
        <v>7193</v>
      </c>
      <c r="N2560" s="97" t="s">
        <v>741</v>
      </c>
      <c r="O2560" s="58"/>
      <c r="P2560" s="58" t="s">
        <v>59</v>
      </c>
      <c r="Q2560" s="58" t="s">
        <v>97</v>
      </c>
      <c r="R2560" s="58" t="s">
        <v>272</v>
      </c>
    </row>
    <row r="2561" spans="1:18" ht="69" customHeight="1">
      <c r="A2561" s="168"/>
      <c r="B2561" s="178">
        <v>9853</v>
      </c>
      <c r="C2561" s="178" t="s">
        <v>657</v>
      </c>
      <c r="D2561" s="575" t="s">
        <v>2129</v>
      </c>
      <c r="E2561" s="178" t="s">
        <v>6192</v>
      </c>
      <c r="F2561" s="210" t="s">
        <v>7194</v>
      </c>
      <c r="G2561" s="58" t="s">
        <v>7195</v>
      </c>
      <c r="H2561" s="546">
        <v>288825.62</v>
      </c>
      <c r="I2561" s="66">
        <v>45033</v>
      </c>
      <c r="J2561" s="411" t="s">
        <v>7196</v>
      </c>
      <c r="K2561" s="58"/>
      <c r="L2561" s="99"/>
      <c r="M2561" s="70" t="s">
        <v>7137</v>
      </c>
      <c r="N2561" s="97" t="s">
        <v>414</v>
      </c>
      <c r="O2561" s="58"/>
      <c r="P2561" s="58" t="s">
        <v>22</v>
      </c>
      <c r="Q2561" s="58" t="s">
        <v>97</v>
      </c>
      <c r="R2561" s="58" t="s">
        <v>265</v>
      </c>
    </row>
    <row r="2562" spans="1:18" ht="69" customHeight="1">
      <c r="A2562" s="168"/>
      <c r="B2562" s="178">
        <v>9854</v>
      </c>
      <c r="C2562" s="178" t="s">
        <v>657</v>
      </c>
      <c r="D2562" s="575" t="s">
        <v>7197</v>
      </c>
      <c r="E2562" s="178" t="s">
        <v>6192</v>
      </c>
      <c r="F2562" s="210" t="s">
        <v>7198</v>
      </c>
      <c r="G2562" s="58" t="s">
        <v>7199</v>
      </c>
      <c r="H2562" s="546">
        <v>155521.49</v>
      </c>
      <c r="I2562" s="66">
        <v>45033</v>
      </c>
      <c r="J2562" s="411" t="s">
        <v>7196</v>
      </c>
      <c r="K2562" s="58"/>
      <c r="L2562" s="99"/>
      <c r="M2562" s="70" t="s">
        <v>7137</v>
      </c>
      <c r="N2562" s="97" t="s">
        <v>414</v>
      </c>
      <c r="O2562" s="58"/>
      <c r="P2562" s="58" t="s">
        <v>22</v>
      </c>
      <c r="Q2562" s="58" t="s">
        <v>97</v>
      </c>
      <c r="R2562" s="58" t="s">
        <v>265</v>
      </c>
    </row>
    <row r="2563" spans="1:18" ht="69" customHeight="1">
      <c r="A2563" s="168"/>
      <c r="B2563" s="191">
        <v>9863</v>
      </c>
      <c r="C2563" s="191" t="s">
        <v>657</v>
      </c>
      <c r="D2563" s="533" t="s">
        <v>7200</v>
      </c>
      <c r="E2563" s="191" t="s">
        <v>7181</v>
      </c>
      <c r="F2563" s="211" t="s">
        <v>7201</v>
      </c>
      <c r="G2563" s="46" t="s">
        <v>7202</v>
      </c>
      <c r="H2563" s="534">
        <v>13298.45</v>
      </c>
      <c r="I2563" s="56">
        <v>45041</v>
      </c>
      <c r="J2563" s="412" t="s">
        <v>7203</v>
      </c>
      <c r="K2563" s="46"/>
      <c r="L2563" s="99"/>
      <c r="M2563" s="70" t="s">
        <v>7137</v>
      </c>
      <c r="N2563" s="97" t="s">
        <v>414</v>
      </c>
      <c r="O2563" s="46" t="s">
        <v>1171</v>
      </c>
      <c r="P2563" s="46" t="s">
        <v>71</v>
      </c>
      <c r="Q2563" s="46" t="s">
        <v>97</v>
      </c>
      <c r="R2563" s="46" t="s">
        <v>265</v>
      </c>
    </row>
    <row r="2564" spans="1:18" ht="69" customHeight="1">
      <c r="A2564" s="168"/>
      <c r="B2564" s="178">
        <v>9865</v>
      </c>
      <c r="C2564" s="178" t="s">
        <v>657</v>
      </c>
      <c r="D2564" s="575" t="s">
        <v>7204</v>
      </c>
      <c r="E2564" s="178" t="s">
        <v>7181</v>
      </c>
      <c r="F2564" s="210" t="s">
        <v>7205</v>
      </c>
      <c r="G2564" s="58" t="s">
        <v>4115</v>
      </c>
      <c r="H2564" s="546">
        <v>44424.78</v>
      </c>
      <c r="I2564" s="66">
        <v>45041</v>
      </c>
      <c r="J2564" s="411" t="s">
        <v>7203</v>
      </c>
      <c r="K2564" s="58"/>
      <c r="L2564" s="99"/>
      <c r="M2564" s="70" t="s">
        <v>7137</v>
      </c>
      <c r="N2564" s="97" t="s">
        <v>414</v>
      </c>
      <c r="O2564" s="58"/>
      <c r="P2564" s="58" t="s">
        <v>22</v>
      </c>
      <c r="Q2564" s="58" t="s">
        <v>97</v>
      </c>
      <c r="R2564" s="58" t="s">
        <v>265</v>
      </c>
    </row>
    <row r="2565" spans="1:18" ht="69" customHeight="1">
      <c r="A2565" s="168"/>
      <c r="B2565" s="178">
        <v>9767</v>
      </c>
      <c r="C2565" s="178" t="s">
        <v>657</v>
      </c>
      <c r="D2565" s="575" t="s">
        <v>1829</v>
      </c>
      <c r="E2565" s="178" t="s">
        <v>7181</v>
      </c>
      <c r="F2565" s="210" t="s">
        <v>7206</v>
      </c>
      <c r="G2565" s="58" t="s">
        <v>597</v>
      </c>
      <c r="H2565" s="546">
        <v>26436.5</v>
      </c>
      <c r="I2565" s="66">
        <v>45041</v>
      </c>
      <c r="J2565" s="411" t="s">
        <v>7207</v>
      </c>
      <c r="K2565" s="58"/>
      <c r="L2565" s="99"/>
      <c r="M2565" s="70" t="s">
        <v>7137</v>
      </c>
      <c r="N2565" s="97" t="s">
        <v>414</v>
      </c>
      <c r="O2565" s="58"/>
      <c r="P2565" s="58" t="s">
        <v>22</v>
      </c>
      <c r="Q2565" s="58" t="s">
        <v>97</v>
      </c>
      <c r="R2565" s="58" t="s">
        <v>265</v>
      </c>
    </row>
    <row r="2566" spans="1:18" ht="69" customHeight="1">
      <c r="A2566" s="168"/>
      <c r="B2566" s="178">
        <v>9797</v>
      </c>
      <c r="C2566" s="178" t="s">
        <v>657</v>
      </c>
      <c r="D2566" s="575" t="s">
        <v>2100</v>
      </c>
      <c r="E2566" s="178" t="s">
        <v>7181</v>
      </c>
      <c r="F2566" s="210" t="s">
        <v>7208</v>
      </c>
      <c r="G2566" s="58" t="s">
        <v>597</v>
      </c>
      <c r="H2566" s="546">
        <v>58000</v>
      </c>
      <c r="I2566" s="66">
        <v>45041</v>
      </c>
      <c r="J2566" s="411" t="s">
        <v>7209</v>
      </c>
      <c r="K2566" s="58"/>
      <c r="L2566" s="99"/>
      <c r="M2566" s="70" t="s">
        <v>7137</v>
      </c>
      <c r="N2566" s="97" t="s">
        <v>414</v>
      </c>
      <c r="O2566" s="58"/>
      <c r="P2566" s="58" t="s">
        <v>22</v>
      </c>
      <c r="Q2566" s="58" t="s">
        <v>97</v>
      </c>
      <c r="R2566" s="58" t="s">
        <v>265</v>
      </c>
    </row>
    <row r="2567" spans="1:18" ht="69" customHeight="1">
      <c r="A2567" s="168"/>
      <c r="B2567" s="191">
        <v>9822</v>
      </c>
      <c r="C2567" s="191" t="s">
        <v>657</v>
      </c>
      <c r="D2567" s="533" t="s">
        <v>1071</v>
      </c>
      <c r="E2567" s="191" t="s">
        <v>7181</v>
      </c>
      <c r="F2567" s="211" t="s">
        <v>7210</v>
      </c>
      <c r="G2567" s="46" t="s">
        <v>7211</v>
      </c>
      <c r="H2567" s="534">
        <v>13298.45</v>
      </c>
      <c r="I2567" s="56">
        <v>45041</v>
      </c>
      <c r="J2567" s="412" t="s">
        <v>7212</v>
      </c>
      <c r="K2567" s="46"/>
      <c r="L2567" s="99"/>
      <c r="M2567" s="70" t="s">
        <v>7137</v>
      </c>
      <c r="N2567" s="97" t="s">
        <v>414</v>
      </c>
      <c r="O2567" s="46" t="s">
        <v>1171</v>
      </c>
      <c r="P2567" s="46" t="s">
        <v>71</v>
      </c>
      <c r="Q2567" s="46" t="s">
        <v>97</v>
      </c>
      <c r="R2567" s="46" t="s">
        <v>265</v>
      </c>
    </row>
    <row r="2568" spans="1:18" ht="69" customHeight="1">
      <c r="A2568" s="168"/>
      <c r="B2568" s="178">
        <v>9828</v>
      </c>
      <c r="C2568" s="178" t="s">
        <v>7189</v>
      </c>
      <c r="D2568" s="575" t="s">
        <v>6711</v>
      </c>
      <c r="E2568" s="178" t="s">
        <v>741</v>
      </c>
      <c r="F2568" s="210" t="s">
        <v>7213</v>
      </c>
      <c r="G2568" s="58" t="s">
        <v>7214</v>
      </c>
      <c r="H2568" s="546">
        <v>1401897.81</v>
      </c>
      <c r="I2568" s="66">
        <v>45037</v>
      </c>
      <c r="J2568" s="411" t="s">
        <v>7215</v>
      </c>
      <c r="K2568" s="58"/>
      <c r="L2568" s="99"/>
      <c r="M2568" s="70" t="s">
        <v>7193</v>
      </c>
      <c r="N2568" s="97" t="s">
        <v>741</v>
      </c>
      <c r="O2568" s="58"/>
      <c r="P2568" s="58" t="s">
        <v>59</v>
      </c>
      <c r="Q2568" s="58" t="s">
        <v>97</v>
      </c>
      <c r="R2568" s="58" t="s">
        <v>272</v>
      </c>
    </row>
    <row r="2569" spans="1:18" ht="69" customHeight="1">
      <c r="A2569" s="168"/>
      <c r="B2569" s="178">
        <v>9853</v>
      </c>
      <c r="C2569" s="178" t="s">
        <v>657</v>
      </c>
      <c r="D2569" s="575" t="s">
        <v>7216</v>
      </c>
      <c r="E2569" s="178" t="s">
        <v>7181</v>
      </c>
      <c r="F2569" s="210" t="s">
        <v>7217</v>
      </c>
      <c r="G2569" s="58" t="s">
        <v>5225</v>
      </c>
      <c r="H2569" s="546">
        <v>38600</v>
      </c>
      <c r="I2569" s="66">
        <v>45051</v>
      </c>
      <c r="J2569" s="411" t="s">
        <v>7218</v>
      </c>
      <c r="K2569" s="58"/>
      <c r="L2569" s="99"/>
      <c r="M2569" s="70" t="s">
        <v>7137</v>
      </c>
      <c r="N2569" s="97" t="s">
        <v>414</v>
      </c>
      <c r="O2569" s="58"/>
      <c r="P2569" s="58" t="s">
        <v>22</v>
      </c>
      <c r="Q2569" s="58" t="s">
        <v>97</v>
      </c>
      <c r="R2569" s="58" t="s">
        <v>265</v>
      </c>
    </row>
    <row r="2570" spans="1:18" ht="69" customHeight="1">
      <c r="A2570" s="168"/>
      <c r="B2570" s="178">
        <v>9886</v>
      </c>
      <c r="C2570" s="178" t="s">
        <v>657</v>
      </c>
      <c r="D2570" s="575" t="s">
        <v>7219</v>
      </c>
      <c r="E2570" s="178" t="s">
        <v>6192</v>
      </c>
      <c r="F2570" s="210" t="s">
        <v>7220</v>
      </c>
      <c r="G2570" s="58" t="s">
        <v>7221</v>
      </c>
      <c r="H2570" s="546">
        <v>106366.12</v>
      </c>
      <c r="I2570" s="66">
        <v>45044</v>
      </c>
      <c r="J2570" s="411" t="s">
        <v>7222</v>
      </c>
      <c r="K2570" s="58"/>
      <c r="L2570" s="99"/>
      <c r="M2570" s="70" t="s">
        <v>7223</v>
      </c>
      <c r="N2570" s="97" t="s">
        <v>414</v>
      </c>
      <c r="O2570" s="58"/>
      <c r="P2570" s="58" t="s">
        <v>22</v>
      </c>
      <c r="Q2570" s="58" t="s">
        <v>97</v>
      </c>
      <c r="R2570" s="58" t="s">
        <v>272</v>
      </c>
    </row>
    <row r="2571" spans="1:18" ht="69" customHeight="1">
      <c r="A2571" s="168"/>
      <c r="B2571" s="178">
        <v>9887</v>
      </c>
      <c r="C2571" s="178" t="s">
        <v>657</v>
      </c>
      <c r="D2571" s="575" t="s">
        <v>3279</v>
      </c>
      <c r="E2571" s="178" t="s">
        <v>6192</v>
      </c>
      <c r="F2571" s="210" t="s">
        <v>7224</v>
      </c>
      <c r="G2571" s="58" t="s">
        <v>7225</v>
      </c>
      <c r="H2571" s="546">
        <v>57274.07</v>
      </c>
      <c r="I2571" s="66">
        <v>45044</v>
      </c>
      <c r="J2571" s="411" t="s">
        <v>7222</v>
      </c>
      <c r="K2571" s="58"/>
      <c r="L2571" s="99"/>
      <c r="M2571" s="70" t="s">
        <v>7223</v>
      </c>
      <c r="N2571" s="97" t="s">
        <v>414</v>
      </c>
      <c r="O2571" s="58"/>
      <c r="P2571" s="58" t="s">
        <v>22</v>
      </c>
      <c r="Q2571" s="58" t="s">
        <v>97</v>
      </c>
      <c r="R2571" s="58" t="s">
        <v>272</v>
      </c>
    </row>
    <row r="2572" spans="1:18" ht="69" customHeight="1">
      <c r="A2572" s="168"/>
      <c r="B2572" s="178">
        <v>9956</v>
      </c>
      <c r="C2572" s="178" t="s">
        <v>657</v>
      </c>
      <c r="D2572" s="575" t="s">
        <v>1380</v>
      </c>
      <c r="E2572" s="178" t="s">
        <v>7181</v>
      </c>
      <c r="F2572" s="210" t="s">
        <v>7226</v>
      </c>
      <c r="G2572" s="58" t="s">
        <v>7227</v>
      </c>
      <c r="H2572" s="546">
        <v>38444.74</v>
      </c>
      <c r="I2572" s="66">
        <v>45061</v>
      </c>
      <c r="J2572" s="411" t="s">
        <v>7228</v>
      </c>
      <c r="K2572" s="58"/>
      <c r="L2572" s="99"/>
      <c r="M2572" s="70" t="s">
        <v>7137</v>
      </c>
      <c r="N2572" s="97" t="s">
        <v>414</v>
      </c>
      <c r="O2572" s="58"/>
      <c r="P2572" s="58" t="s">
        <v>22</v>
      </c>
      <c r="Q2572" s="58" t="s">
        <v>97</v>
      </c>
      <c r="R2572" s="58" t="s">
        <v>265</v>
      </c>
    </row>
    <row r="2573" spans="1:18" ht="69" customHeight="1">
      <c r="A2573" s="168"/>
      <c r="B2573" s="178"/>
      <c r="C2573" s="178" t="s">
        <v>458</v>
      </c>
      <c r="D2573" s="575"/>
      <c r="E2573" s="178" t="s">
        <v>266</v>
      </c>
      <c r="F2573" s="210" t="s">
        <v>7229</v>
      </c>
      <c r="G2573" s="58"/>
      <c r="H2573" s="546">
        <v>5553.34</v>
      </c>
      <c r="I2573" s="66">
        <v>44484</v>
      </c>
      <c r="J2573" s="411" t="s">
        <v>7230</v>
      </c>
      <c r="K2573" s="58"/>
      <c r="L2573" s="99"/>
      <c r="M2573" s="70" t="s">
        <v>7231</v>
      </c>
      <c r="N2573" s="97" t="s">
        <v>270</v>
      </c>
      <c r="O2573" s="58"/>
      <c r="P2573" s="58" t="s">
        <v>44</v>
      </c>
      <c r="Q2573" s="58" t="s">
        <v>100</v>
      </c>
      <c r="R2573" s="58" t="s">
        <v>272</v>
      </c>
    </row>
    <row r="2574" spans="1:18" ht="69" customHeight="1">
      <c r="A2574" s="168"/>
      <c r="B2574" s="178"/>
      <c r="C2574" s="178" t="s">
        <v>458</v>
      </c>
      <c r="D2574" s="575"/>
      <c r="E2574" s="178" t="s">
        <v>266</v>
      </c>
      <c r="F2574" s="210" t="s">
        <v>7232</v>
      </c>
      <c r="G2574" s="58"/>
      <c r="H2574" s="546">
        <v>1388.33</v>
      </c>
      <c r="I2574" s="66">
        <v>44456</v>
      </c>
      <c r="J2574" s="411" t="s">
        <v>7233</v>
      </c>
      <c r="K2574" s="58"/>
      <c r="L2574" s="99"/>
      <c r="M2574" s="70" t="s">
        <v>7231</v>
      </c>
      <c r="N2574" s="97" t="s">
        <v>270</v>
      </c>
      <c r="O2574" s="58"/>
      <c r="P2574" s="58" t="s">
        <v>44</v>
      </c>
      <c r="Q2574" s="58" t="s">
        <v>100</v>
      </c>
      <c r="R2574" s="58" t="s">
        <v>272</v>
      </c>
    </row>
    <row r="2575" spans="1:18" ht="69" customHeight="1">
      <c r="A2575" s="168"/>
      <c r="B2575" s="178"/>
      <c r="C2575" s="178" t="s">
        <v>458</v>
      </c>
      <c r="D2575" s="575"/>
      <c r="E2575" s="178" t="s">
        <v>266</v>
      </c>
      <c r="F2575" s="210" t="s">
        <v>7234</v>
      </c>
      <c r="G2575" s="58"/>
      <c r="H2575" s="546">
        <v>1388.33</v>
      </c>
      <c r="I2575" s="66">
        <v>44456</v>
      </c>
      <c r="J2575" s="411" t="s">
        <v>7235</v>
      </c>
      <c r="K2575" s="58"/>
      <c r="L2575" s="99"/>
      <c r="M2575" s="70" t="s">
        <v>7231</v>
      </c>
      <c r="N2575" s="97" t="s">
        <v>270</v>
      </c>
      <c r="O2575" s="58"/>
      <c r="P2575" s="58" t="s">
        <v>44</v>
      </c>
      <c r="Q2575" s="58" t="s">
        <v>100</v>
      </c>
      <c r="R2575" s="58" t="s">
        <v>272</v>
      </c>
    </row>
    <row r="2576" spans="1:18" ht="69" customHeight="1">
      <c r="A2576" s="168"/>
      <c r="B2576" s="207">
        <v>2575</v>
      </c>
      <c r="C2576" s="207" t="s">
        <v>458</v>
      </c>
      <c r="D2576" s="301"/>
      <c r="E2576" s="207" t="s">
        <v>260</v>
      </c>
      <c r="F2576" s="208" t="s">
        <v>7236</v>
      </c>
      <c r="G2576" s="160"/>
      <c r="H2576" s="300">
        <v>0</v>
      </c>
      <c r="I2576" s="209" t="s">
        <v>96</v>
      </c>
      <c r="J2576" s="322" t="s">
        <v>7237</v>
      </c>
      <c r="K2576" s="160" t="s">
        <v>727</v>
      </c>
      <c r="M2576" s="70" t="s">
        <v>7238</v>
      </c>
      <c r="N2576" s="97" t="s">
        <v>264</v>
      </c>
      <c r="O2576" s="160" t="s">
        <v>141</v>
      </c>
      <c r="P2576" s="160" t="s">
        <v>67</v>
      </c>
      <c r="Q2576" s="160" t="s">
        <v>100</v>
      </c>
      <c r="R2576" s="160" t="s">
        <v>265</v>
      </c>
    </row>
    <row r="2577" spans="1:18" ht="69" customHeight="1">
      <c r="A2577" s="168"/>
      <c r="B2577" s="178" t="s">
        <v>7239</v>
      </c>
      <c r="C2577" s="178" t="s">
        <v>458</v>
      </c>
      <c r="D2577" s="575"/>
      <c r="E2577" s="178" t="s">
        <v>350</v>
      </c>
      <c r="F2577" s="210" t="s">
        <v>7240</v>
      </c>
      <c r="G2577" s="58" t="s">
        <v>7080</v>
      </c>
      <c r="H2577" s="546">
        <v>5362.8</v>
      </c>
      <c r="I2577" s="66" t="s">
        <v>96</v>
      </c>
      <c r="J2577" s="411" t="s">
        <v>7081</v>
      </c>
      <c r="K2577" s="58"/>
      <c r="L2577" s="99"/>
      <c r="M2577" s="70" t="s">
        <v>7241</v>
      </c>
      <c r="N2577" s="97" t="s">
        <v>356</v>
      </c>
      <c r="O2577" s="58" t="s">
        <v>141</v>
      </c>
      <c r="P2577" s="58" t="s">
        <v>19</v>
      </c>
      <c r="Q2577" s="58" t="s">
        <v>100</v>
      </c>
      <c r="R2577" s="58" t="s">
        <v>265</v>
      </c>
    </row>
    <row r="2578" spans="1:18" ht="69" customHeight="1">
      <c r="A2578" s="168"/>
      <c r="B2578" s="178" t="s">
        <v>7242</v>
      </c>
      <c r="C2578" s="178" t="s">
        <v>458</v>
      </c>
      <c r="D2578" s="575"/>
      <c r="E2578" s="178" t="s">
        <v>260</v>
      </c>
      <c r="F2578" s="210" t="s">
        <v>7243</v>
      </c>
      <c r="G2578" s="58" t="s">
        <v>7080</v>
      </c>
      <c r="H2578" s="546">
        <v>30000</v>
      </c>
      <c r="I2578" s="66" t="s">
        <v>96</v>
      </c>
      <c r="J2578" s="411" t="s">
        <v>7081</v>
      </c>
      <c r="K2578" s="58"/>
      <c r="L2578" s="99"/>
      <c r="M2578" s="70" t="s">
        <v>7238</v>
      </c>
      <c r="N2578" s="97" t="s">
        <v>264</v>
      </c>
      <c r="O2578" s="58" t="s">
        <v>141</v>
      </c>
      <c r="P2578" s="58" t="s">
        <v>17</v>
      </c>
      <c r="Q2578" s="58" t="s">
        <v>100</v>
      </c>
      <c r="R2578" s="58" t="s">
        <v>265</v>
      </c>
    </row>
    <row r="2579" spans="1:18" ht="69" customHeight="1">
      <c r="A2579" s="168"/>
      <c r="B2579" s="191" t="s">
        <v>7244</v>
      </c>
      <c r="C2579" s="191" t="s">
        <v>458</v>
      </c>
      <c r="D2579" s="533"/>
      <c r="E2579" s="191" t="s">
        <v>260</v>
      </c>
      <c r="F2579" s="211" t="s">
        <v>7245</v>
      </c>
      <c r="G2579" s="46" t="s">
        <v>7080</v>
      </c>
      <c r="H2579" s="534">
        <v>28750</v>
      </c>
      <c r="I2579" s="56" t="s">
        <v>96</v>
      </c>
      <c r="J2579" s="412" t="s">
        <v>7081</v>
      </c>
      <c r="K2579" s="46" t="s">
        <v>7246</v>
      </c>
      <c r="L2579" s="99"/>
      <c r="M2579" s="70" t="s">
        <v>7238</v>
      </c>
      <c r="N2579" s="97" t="s">
        <v>264</v>
      </c>
      <c r="O2579" s="46" t="s">
        <v>141</v>
      </c>
      <c r="P2579" s="46" t="s">
        <v>65</v>
      </c>
      <c r="Q2579" s="46" t="s">
        <v>100</v>
      </c>
      <c r="R2579" s="46" t="s">
        <v>272</v>
      </c>
    </row>
    <row r="2580" spans="1:18" ht="69" customHeight="1">
      <c r="A2580" s="168"/>
      <c r="B2580" s="178" t="s">
        <v>7247</v>
      </c>
      <c r="C2580" s="178" t="s">
        <v>458</v>
      </c>
      <c r="D2580" s="575"/>
      <c r="E2580" s="178" t="s">
        <v>260</v>
      </c>
      <c r="F2580" s="210" t="s">
        <v>7248</v>
      </c>
      <c r="G2580" s="58" t="s">
        <v>7080</v>
      </c>
      <c r="H2580" s="546">
        <v>426.1</v>
      </c>
      <c r="I2580" s="66" t="s">
        <v>96</v>
      </c>
      <c r="J2580" s="411" t="s">
        <v>7081</v>
      </c>
      <c r="K2580" s="58"/>
      <c r="L2580" s="99"/>
      <c r="M2580" s="70" t="s">
        <v>7238</v>
      </c>
      <c r="N2580" s="97" t="s">
        <v>264</v>
      </c>
      <c r="O2580" s="58" t="s">
        <v>141</v>
      </c>
      <c r="P2580" s="58" t="s">
        <v>17</v>
      </c>
      <c r="Q2580" s="58" t="s">
        <v>100</v>
      </c>
      <c r="R2580" s="58" t="s">
        <v>265</v>
      </c>
    </row>
    <row r="2581" spans="1:18" ht="69" customHeight="1">
      <c r="A2581" s="168"/>
      <c r="B2581" s="178" t="s">
        <v>7249</v>
      </c>
      <c r="C2581" s="178" t="s">
        <v>458</v>
      </c>
      <c r="D2581" s="575"/>
      <c r="E2581" s="178" t="s">
        <v>260</v>
      </c>
      <c r="F2581" s="210" t="s">
        <v>7250</v>
      </c>
      <c r="G2581" s="58" t="s">
        <v>7080</v>
      </c>
      <c r="H2581" s="546">
        <v>19050.93</v>
      </c>
      <c r="I2581" s="66" t="s">
        <v>96</v>
      </c>
      <c r="J2581" s="411" t="s">
        <v>7081</v>
      </c>
      <c r="K2581" s="58"/>
      <c r="L2581" s="99"/>
      <c r="M2581" s="70" t="s">
        <v>7238</v>
      </c>
      <c r="N2581" s="97" t="s">
        <v>264</v>
      </c>
      <c r="O2581" s="58" t="s">
        <v>141</v>
      </c>
      <c r="P2581" s="58" t="s">
        <v>17</v>
      </c>
      <c r="Q2581" s="58" t="s">
        <v>100</v>
      </c>
      <c r="R2581" s="58" t="s">
        <v>265</v>
      </c>
    </row>
    <row r="2582" spans="1:18" ht="69" customHeight="1">
      <c r="A2582" s="168"/>
      <c r="B2582" s="178" t="s">
        <v>7251</v>
      </c>
      <c r="C2582" s="178" t="s">
        <v>458</v>
      </c>
      <c r="D2582" s="575"/>
      <c r="E2582" s="178" t="s">
        <v>283</v>
      </c>
      <c r="F2582" s="210" t="s">
        <v>7252</v>
      </c>
      <c r="G2582" s="58" t="s">
        <v>7080</v>
      </c>
      <c r="H2582" s="546">
        <f>300522.97-200000</f>
        <v>100522.96999999997</v>
      </c>
      <c r="I2582" s="66" t="s">
        <v>96</v>
      </c>
      <c r="J2582" s="411" t="s">
        <v>7081</v>
      </c>
      <c r="K2582" s="58" t="s">
        <v>7253</v>
      </c>
      <c r="L2582" s="99"/>
      <c r="M2582" s="70" t="s">
        <v>7254</v>
      </c>
      <c r="N2582" s="97" t="s">
        <v>264</v>
      </c>
      <c r="O2582" s="58" t="s">
        <v>141</v>
      </c>
      <c r="P2582" s="58" t="s">
        <v>17</v>
      </c>
      <c r="Q2582" s="58" t="s">
        <v>100</v>
      </c>
      <c r="R2582" s="58" t="s">
        <v>272</v>
      </c>
    </row>
    <row r="2583" spans="1:18" ht="69" customHeight="1">
      <c r="A2583" s="168"/>
      <c r="B2583" s="178">
        <v>2939</v>
      </c>
      <c r="C2583" s="178" t="s">
        <v>458</v>
      </c>
      <c r="D2583" s="575" t="s">
        <v>706</v>
      </c>
      <c r="E2583" s="178" t="s">
        <v>350</v>
      </c>
      <c r="F2583" s="210" t="s">
        <v>7255</v>
      </c>
      <c r="G2583" s="58" t="s">
        <v>352</v>
      </c>
      <c r="H2583" s="546">
        <v>224674.64</v>
      </c>
      <c r="I2583" s="66">
        <v>44606</v>
      </c>
      <c r="J2583" s="411" t="s">
        <v>7256</v>
      </c>
      <c r="K2583" s="58"/>
      <c r="L2583" s="99"/>
      <c r="M2583" s="70" t="s">
        <v>7241</v>
      </c>
      <c r="N2583" s="97" t="s">
        <v>356</v>
      </c>
      <c r="O2583" s="58" t="s">
        <v>141</v>
      </c>
      <c r="P2583" s="58" t="s">
        <v>19</v>
      </c>
      <c r="Q2583" s="58" t="s">
        <v>100</v>
      </c>
      <c r="R2583" s="58" t="s">
        <v>265</v>
      </c>
    </row>
    <row r="2584" spans="1:18" ht="69" customHeight="1">
      <c r="A2584" s="168"/>
      <c r="B2584" s="178">
        <v>2938</v>
      </c>
      <c r="C2584" s="178" t="s">
        <v>458</v>
      </c>
      <c r="D2584" s="575" t="s">
        <v>6262</v>
      </c>
      <c r="E2584" s="178" t="s">
        <v>350</v>
      </c>
      <c r="F2584" s="210" t="s">
        <v>7257</v>
      </c>
      <c r="G2584" s="58" t="s">
        <v>352</v>
      </c>
      <c r="H2584" s="546">
        <v>602981.88</v>
      </c>
      <c r="I2584" s="66">
        <v>44606</v>
      </c>
      <c r="J2584" s="411" t="s">
        <v>7258</v>
      </c>
      <c r="K2584" s="58"/>
      <c r="L2584" s="99"/>
      <c r="M2584" s="70" t="s">
        <v>7241</v>
      </c>
      <c r="N2584" s="97" t="s">
        <v>356</v>
      </c>
      <c r="O2584" s="58" t="s">
        <v>141</v>
      </c>
      <c r="P2584" s="58" t="s">
        <v>19</v>
      </c>
      <c r="Q2584" s="58" t="s">
        <v>100</v>
      </c>
      <c r="R2584" s="58" t="s">
        <v>265</v>
      </c>
    </row>
    <row r="2585" spans="1:18" ht="69" customHeight="1">
      <c r="A2585" s="168"/>
      <c r="B2585" s="191">
        <v>2993</v>
      </c>
      <c r="C2585" s="191" t="s">
        <v>458</v>
      </c>
      <c r="D2585" s="533" t="s">
        <v>330</v>
      </c>
      <c r="E2585" s="191" t="s">
        <v>331</v>
      </c>
      <c r="F2585" s="211" t="s">
        <v>7259</v>
      </c>
      <c r="G2585" s="46" t="s">
        <v>4416</v>
      </c>
      <c r="H2585" s="534">
        <v>0</v>
      </c>
      <c r="I2585" s="56" t="s">
        <v>96</v>
      </c>
      <c r="J2585" s="412" t="s">
        <v>334</v>
      </c>
      <c r="K2585" s="46"/>
      <c r="L2585" s="99"/>
      <c r="M2585" s="379" t="s">
        <v>100</v>
      </c>
      <c r="N2585" s="76" t="s">
        <v>69</v>
      </c>
      <c r="O2585" s="46"/>
      <c r="P2585" s="46" t="s">
        <v>69</v>
      </c>
      <c r="Q2585" s="46" t="s">
        <v>100</v>
      </c>
      <c r="R2585" s="46" t="s">
        <v>272</v>
      </c>
    </row>
    <row r="2586" spans="1:18" ht="69" customHeight="1">
      <c r="A2586" s="168"/>
      <c r="B2586" s="178">
        <v>4010</v>
      </c>
      <c r="C2586" s="178" t="s">
        <v>458</v>
      </c>
      <c r="D2586" s="575" t="s">
        <v>7260</v>
      </c>
      <c r="E2586" s="178" t="s">
        <v>266</v>
      </c>
      <c r="F2586" s="210" t="s">
        <v>7261</v>
      </c>
      <c r="G2586" s="58" t="s">
        <v>1107</v>
      </c>
      <c r="H2586" s="546">
        <v>7293.34</v>
      </c>
      <c r="I2586" s="66">
        <v>44643</v>
      </c>
      <c r="J2586" s="411" t="s">
        <v>7262</v>
      </c>
      <c r="K2586" s="58"/>
      <c r="L2586" s="99"/>
      <c r="M2586" s="70" t="s">
        <v>7263</v>
      </c>
      <c r="N2586" s="97" t="s">
        <v>970</v>
      </c>
      <c r="O2586" s="58" t="s">
        <v>5961</v>
      </c>
      <c r="P2586" s="58" t="s">
        <v>38</v>
      </c>
      <c r="Q2586" s="58" t="s">
        <v>100</v>
      </c>
      <c r="R2586" s="58" t="s">
        <v>272</v>
      </c>
    </row>
    <row r="2587" spans="1:18" ht="69" customHeight="1">
      <c r="A2587" s="168"/>
      <c r="B2587" s="207">
        <v>4367</v>
      </c>
      <c r="C2587" s="207" t="s">
        <v>458</v>
      </c>
      <c r="D2587" s="301"/>
      <c r="E2587" s="207" t="s">
        <v>283</v>
      </c>
      <c r="F2587" s="208" t="s">
        <v>7264</v>
      </c>
      <c r="G2587" s="160"/>
      <c r="H2587" s="300">
        <v>0</v>
      </c>
      <c r="I2587" s="209">
        <v>44435</v>
      </c>
      <c r="J2587" s="322" t="s">
        <v>294</v>
      </c>
      <c r="K2587" s="160" t="s">
        <v>727</v>
      </c>
      <c r="M2587" s="379" t="s">
        <v>7254</v>
      </c>
      <c r="N2587" s="76" t="s">
        <v>264</v>
      </c>
      <c r="O2587" s="160" t="s">
        <v>141</v>
      </c>
      <c r="P2587" s="160" t="s">
        <v>67</v>
      </c>
      <c r="Q2587" s="160" t="s">
        <v>100</v>
      </c>
      <c r="R2587" s="160" t="s">
        <v>272</v>
      </c>
    </row>
    <row r="2588" spans="1:18" ht="69" customHeight="1">
      <c r="A2588" s="168"/>
      <c r="B2588" s="178">
        <v>7791</v>
      </c>
      <c r="C2588" s="178" t="s">
        <v>458</v>
      </c>
      <c r="D2588" s="575" t="s">
        <v>1861</v>
      </c>
      <c r="E2588" s="178" t="s">
        <v>7265</v>
      </c>
      <c r="F2588" s="210" t="s">
        <v>7266</v>
      </c>
      <c r="G2588" s="58" t="s">
        <v>6312</v>
      </c>
      <c r="H2588" s="546">
        <v>411105.33</v>
      </c>
      <c r="I2588" s="66">
        <v>44907</v>
      </c>
      <c r="J2588" s="411" t="s">
        <v>6313</v>
      </c>
      <c r="K2588" s="58"/>
      <c r="L2588" s="99"/>
      <c r="M2588" s="70" t="s">
        <v>7267</v>
      </c>
      <c r="N2588" s="97" t="s">
        <v>414</v>
      </c>
      <c r="O2588" s="58" t="s">
        <v>5713</v>
      </c>
      <c r="P2588" s="58" t="s">
        <v>24</v>
      </c>
      <c r="Q2588" s="58" t="s">
        <v>100</v>
      </c>
      <c r="R2588" s="58" t="s">
        <v>272</v>
      </c>
    </row>
    <row r="2589" spans="1:18" ht="69" customHeight="1">
      <c r="A2589" s="168"/>
      <c r="B2589" s="207">
        <v>4389</v>
      </c>
      <c r="C2589" s="207" t="s">
        <v>458</v>
      </c>
      <c r="D2589" s="301"/>
      <c r="E2589" s="207" t="s">
        <v>283</v>
      </c>
      <c r="F2589" s="208" t="s">
        <v>7264</v>
      </c>
      <c r="G2589" s="160"/>
      <c r="H2589" s="300"/>
      <c r="I2589" s="209">
        <v>44488</v>
      </c>
      <c r="J2589" s="322" t="s">
        <v>294</v>
      </c>
      <c r="K2589" s="160" t="s">
        <v>727</v>
      </c>
      <c r="M2589" s="379" t="s">
        <v>7254</v>
      </c>
      <c r="N2589" s="76" t="s">
        <v>264</v>
      </c>
      <c r="O2589" s="160" t="s">
        <v>141</v>
      </c>
      <c r="P2589" s="160" t="s">
        <v>67</v>
      </c>
      <c r="Q2589" s="160" t="s">
        <v>100</v>
      </c>
      <c r="R2589" s="160" t="s">
        <v>272</v>
      </c>
    </row>
    <row r="2590" spans="1:18" ht="69" customHeight="1">
      <c r="A2590" s="168"/>
      <c r="B2590" s="207">
        <v>4412</v>
      </c>
      <c r="C2590" s="256" t="s">
        <v>458</v>
      </c>
      <c r="D2590" s="299"/>
      <c r="E2590" s="256" t="s">
        <v>358</v>
      </c>
      <c r="F2590" s="263" t="s">
        <v>7264</v>
      </c>
      <c r="G2590" s="118"/>
      <c r="H2590" s="280">
        <v>5362.8</v>
      </c>
      <c r="I2590" s="262">
        <v>44508</v>
      </c>
      <c r="J2590" s="409" t="s">
        <v>294</v>
      </c>
      <c r="K2590" s="160" t="s">
        <v>7268</v>
      </c>
      <c r="L2590" s="99"/>
      <c r="M2590" s="70" t="s">
        <v>7269</v>
      </c>
      <c r="N2590" s="97" t="s">
        <v>356</v>
      </c>
      <c r="O2590" s="118" t="s">
        <v>141</v>
      </c>
      <c r="P2590" s="160" t="s">
        <v>67</v>
      </c>
      <c r="Q2590" s="118" t="s">
        <v>100</v>
      </c>
      <c r="R2590" s="118" t="s">
        <v>272</v>
      </c>
    </row>
    <row r="2591" spans="1:18" ht="69" customHeight="1">
      <c r="A2591" s="168"/>
      <c r="B2591" s="178">
        <v>4723</v>
      </c>
      <c r="C2591" s="178" t="s">
        <v>458</v>
      </c>
      <c r="D2591" s="575" t="s">
        <v>1978</v>
      </c>
      <c r="E2591" s="178" t="s">
        <v>331</v>
      </c>
      <c r="F2591" s="210" t="s">
        <v>7270</v>
      </c>
      <c r="G2591" s="58"/>
      <c r="H2591" s="546">
        <v>3389.12</v>
      </c>
      <c r="I2591" s="66">
        <v>44678</v>
      </c>
      <c r="J2591" s="411" t="s">
        <v>7271</v>
      </c>
      <c r="K2591" s="58"/>
      <c r="L2591" s="99"/>
      <c r="M2591" s="70" t="s">
        <v>7231</v>
      </c>
      <c r="N2591" s="97" t="s">
        <v>270</v>
      </c>
      <c r="O2591" s="58"/>
      <c r="P2591" s="58" t="s">
        <v>44</v>
      </c>
      <c r="Q2591" s="58" t="s">
        <v>100</v>
      </c>
      <c r="R2591" s="58" t="s">
        <v>272</v>
      </c>
    </row>
    <row r="2592" spans="1:18" ht="69" customHeight="1">
      <c r="A2592" s="168"/>
      <c r="B2592" s="178">
        <v>4762</v>
      </c>
      <c r="C2592" s="178" t="s">
        <v>458</v>
      </c>
      <c r="D2592" s="575" t="s">
        <v>5976</v>
      </c>
      <c r="E2592" s="178" t="s">
        <v>358</v>
      </c>
      <c r="F2592" s="210" t="s">
        <v>7272</v>
      </c>
      <c r="G2592" s="58" t="s">
        <v>529</v>
      </c>
      <c r="H2592" s="546">
        <v>322500</v>
      </c>
      <c r="I2592" s="66">
        <v>44680</v>
      </c>
      <c r="J2592" s="411" t="s">
        <v>7273</v>
      </c>
      <c r="K2592" s="58"/>
      <c r="L2592" s="99"/>
      <c r="M2592" s="70" t="s">
        <v>7269</v>
      </c>
      <c r="N2592" s="97" t="s">
        <v>356</v>
      </c>
      <c r="O2592" s="58" t="s">
        <v>141</v>
      </c>
      <c r="P2592" s="58" t="s">
        <v>19</v>
      </c>
      <c r="Q2592" s="58" t="s">
        <v>100</v>
      </c>
      <c r="R2592" s="58" t="s">
        <v>272</v>
      </c>
    </row>
    <row r="2593" spans="1:18" ht="69" customHeight="1">
      <c r="A2593" s="168"/>
      <c r="B2593" s="178">
        <v>4723</v>
      </c>
      <c r="C2593" s="178" t="s">
        <v>458</v>
      </c>
      <c r="D2593" s="575" t="s">
        <v>2940</v>
      </c>
      <c r="E2593" s="178" t="s">
        <v>331</v>
      </c>
      <c r="F2593" s="210" t="s">
        <v>7274</v>
      </c>
      <c r="G2593" s="58" t="s">
        <v>372</v>
      </c>
      <c r="H2593" s="546">
        <v>30502.09</v>
      </c>
      <c r="I2593" s="66">
        <v>44701</v>
      </c>
      <c r="J2593" s="411" t="s">
        <v>7275</v>
      </c>
      <c r="K2593" s="58"/>
      <c r="L2593" s="99"/>
      <c r="M2593" s="70" t="s">
        <v>7231</v>
      </c>
      <c r="N2593" s="97" t="s">
        <v>270</v>
      </c>
      <c r="O2593" s="58"/>
      <c r="P2593" s="58" t="s">
        <v>44</v>
      </c>
      <c r="Q2593" s="58" t="s">
        <v>100</v>
      </c>
      <c r="R2593" s="58" t="s">
        <v>272</v>
      </c>
    </row>
    <row r="2594" spans="1:18" ht="69" customHeight="1">
      <c r="A2594" s="168"/>
      <c r="B2594" s="178">
        <v>4010</v>
      </c>
      <c r="C2594" s="178" t="s">
        <v>458</v>
      </c>
      <c r="D2594" s="575" t="s">
        <v>1989</v>
      </c>
      <c r="E2594" s="178" t="s">
        <v>266</v>
      </c>
      <c r="F2594" s="210" t="s">
        <v>7276</v>
      </c>
      <c r="G2594" s="58" t="s">
        <v>1107</v>
      </c>
      <c r="H2594" s="546">
        <v>7293.34</v>
      </c>
      <c r="I2594" s="66">
        <v>44725</v>
      </c>
      <c r="J2594" s="411" t="s">
        <v>7277</v>
      </c>
      <c r="K2594" s="58"/>
      <c r="L2594" s="99"/>
      <c r="M2594" s="70" t="s">
        <v>7263</v>
      </c>
      <c r="N2594" s="97" t="s">
        <v>970</v>
      </c>
      <c r="O2594" s="58" t="s">
        <v>5961</v>
      </c>
      <c r="P2594" s="58" t="s">
        <v>38</v>
      </c>
      <c r="Q2594" s="58" t="s">
        <v>100</v>
      </c>
      <c r="R2594" s="58" t="s">
        <v>272</v>
      </c>
    </row>
    <row r="2595" spans="1:18" ht="69" customHeight="1">
      <c r="A2595" s="168"/>
      <c r="B2595" s="178">
        <v>5017</v>
      </c>
      <c r="C2595" s="178" t="s">
        <v>458</v>
      </c>
      <c r="D2595" s="575" t="s">
        <v>2921</v>
      </c>
      <c r="E2595" s="178" t="s">
        <v>266</v>
      </c>
      <c r="F2595" s="210" t="s">
        <v>7278</v>
      </c>
      <c r="G2595" s="58" t="s">
        <v>1753</v>
      </c>
      <c r="H2595" s="546">
        <v>5390</v>
      </c>
      <c r="I2595" s="66">
        <v>44727</v>
      </c>
      <c r="J2595" s="411" t="s">
        <v>7279</v>
      </c>
      <c r="K2595" s="58"/>
      <c r="L2595" s="99"/>
      <c r="M2595" s="70" t="s">
        <v>7231</v>
      </c>
      <c r="N2595" s="97" t="s">
        <v>270</v>
      </c>
      <c r="O2595" s="58"/>
      <c r="P2595" s="58" t="s">
        <v>44</v>
      </c>
      <c r="Q2595" s="58" t="s">
        <v>100</v>
      </c>
      <c r="R2595" s="58" t="s">
        <v>272</v>
      </c>
    </row>
    <row r="2596" spans="1:18" ht="69" customHeight="1">
      <c r="A2596" s="168"/>
      <c r="B2596" s="178">
        <v>5018</v>
      </c>
      <c r="C2596" s="178" t="s">
        <v>458</v>
      </c>
      <c r="D2596" s="575" t="s">
        <v>7280</v>
      </c>
      <c r="E2596" s="178" t="s">
        <v>382</v>
      </c>
      <c r="F2596" s="210" t="s">
        <v>7281</v>
      </c>
      <c r="G2596" s="58" t="s">
        <v>384</v>
      </c>
      <c r="H2596" s="546">
        <v>27761.33</v>
      </c>
      <c r="I2596" s="66">
        <v>44736</v>
      </c>
      <c r="J2596" s="411" t="s">
        <v>7282</v>
      </c>
      <c r="K2596" s="58"/>
      <c r="L2596" s="99"/>
      <c r="M2596" s="70" t="s">
        <v>7283</v>
      </c>
      <c r="N2596" s="97" t="s">
        <v>387</v>
      </c>
      <c r="O2596" s="45" t="s">
        <v>150</v>
      </c>
      <c r="P2596" s="58" t="s">
        <v>51</v>
      </c>
      <c r="Q2596" s="58" t="s">
        <v>100</v>
      </c>
      <c r="R2596" s="58" t="s">
        <v>272</v>
      </c>
    </row>
    <row r="2597" spans="1:18" ht="69" customHeight="1">
      <c r="A2597" s="168"/>
      <c r="B2597" s="178">
        <v>5019</v>
      </c>
      <c r="C2597" s="178" t="s">
        <v>458</v>
      </c>
      <c r="D2597" s="575" t="s">
        <v>5905</v>
      </c>
      <c r="E2597" s="178" t="s">
        <v>382</v>
      </c>
      <c r="F2597" s="210" t="s">
        <v>7284</v>
      </c>
      <c r="G2597" s="58" t="s">
        <v>384</v>
      </c>
      <c r="H2597" s="546">
        <v>39819.519999999997</v>
      </c>
      <c r="I2597" s="66">
        <v>44736</v>
      </c>
      <c r="J2597" s="411" t="s">
        <v>7285</v>
      </c>
      <c r="K2597" s="58"/>
      <c r="L2597" s="99"/>
      <c r="M2597" s="70" t="s">
        <v>7283</v>
      </c>
      <c r="N2597" s="97" t="s">
        <v>387</v>
      </c>
      <c r="O2597" s="45" t="s">
        <v>150</v>
      </c>
      <c r="P2597" s="58" t="s">
        <v>51</v>
      </c>
      <c r="Q2597" s="58" t="s">
        <v>100</v>
      </c>
      <c r="R2597" s="58" t="s">
        <v>272</v>
      </c>
    </row>
    <row r="2598" spans="1:18" ht="69" customHeight="1">
      <c r="A2598" s="168"/>
      <c r="B2598" s="178">
        <v>6046</v>
      </c>
      <c r="C2598" s="178" t="s">
        <v>458</v>
      </c>
      <c r="D2598" s="575" t="s">
        <v>2024</v>
      </c>
      <c r="E2598" s="178" t="s">
        <v>266</v>
      </c>
      <c r="F2598" s="210" t="s">
        <v>7286</v>
      </c>
      <c r="G2598" s="58" t="s">
        <v>1107</v>
      </c>
      <c r="H2598" s="546">
        <v>7293.34</v>
      </c>
      <c r="I2598" s="66" t="s">
        <v>96</v>
      </c>
      <c r="J2598" s="411" t="s">
        <v>7287</v>
      </c>
      <c r="K2598" s="58"/>
      <c r="L2598" s="99"/>
      <c r="M2598" s="70" t="s">
        <v>7263</v>
      </c>
      <c r="N2598" s="97" t="s">
        <v>970</v>
      </c>
      <c r="O2598" s="58" t="s">
        <v>5961</v>
      </c>
      <c r="P2598" s="58" t="s">
        <v>38</v>
      </c>
      <c r="Q2598" s="58" t="s">
        <v>100</v>
      </c>
      <c r="R2598" s="58" t="s">
        <v>272</v>
      </c>
    </row>
    <row r="2599" spans="1:18" ht="69" customHeight="1">
      <c r="A2599" s="168"/>
      <c r="B2599" s="178">
        <v>6090</v>
      </c>
      <c r="C2599" s="178" t="s">
        <v>458</v>
      </c>
      <c r="D2599" s="575" t="s">
        <v>951</v>
      </c>
      <c r="E2599" s="178" t="s">
        <v>358</v>
      </c>
      <c r="F2599" s="210" t="s">
        <v>7288</v>
      </c>
      <c r="G2599" s="58" t="s">
        <v>529</v>
      </c>
      <c r="H2599" s="546">
        <v>300000</v>
      </c>
      <c r="I2599" s="66">
        <v>44769</v>
      </c>
      <c r="J2599" s="411" t="s">
        <v>7289</v>
      </c>
      <c r="K2599" s="58"/>
      <c r="L2599" s="99"/>
      <c r="M2599" s="70" t="s">
        <v>7269</v>
      </c>
      <c r="N2599" s="97" t="s">
        <v>356</v>
      </c>
      <c r="O2599" s="58" t="s">
        <v>141</v>
      </c>
      <c r="P2599" s="58" t="s">
        <v>19</v>
      </c>
      <c r="Q2599" s="58" t="s">
        <v>100</v>
      </c>
      <c r="R2599" s="58" t="s">
        <v>272</v>
      </c>
    </row>
    <row r="2600" spans="1:18" ht="69" customHeight="1">
      <c r="A2600" s="168"/>
      <c r="B2600" s="178">
        <v>6376</v>
      </c>
      <c r="C2600" s="178" t="s">
        <v>458</v>
      </c>
      <c r="D2600" s="575" t="s">
        <v>5785</v>
      </c>
      <c r="E2600" s="178" t="s">
        <v>270</v>
      </c>
      <c r="F2600" s="210" t="s">
        <v>7290</v>
      </c>
      <c r="G2600" s="58" t="s">
        <v>2775</v>
      </c>
      <c r="H2600" s="546">
        <v>5810</v>
      </c>
      <c r="I2600" s="66">
        <v>44799</v>
      </c>
      <c r="J2600" s="411" t="s">
        <v>7291</v>
      </c>
      <c r="K2600" s="58"/>
      <c r="L2600" s="99"/>
      <c r="M2600" s="70" t="s">
        <v>7231</v>
      </c>
      <c r="N2600" s="97" t="s">
        <v>270</v>
      </c>
      <c r="O2600" s="58"/>
      <c r="P2600" s="58" t="s">
        <v>44</v>
      </c>
      <c r="Q2600" s="58" t="s">
        <v>100</v>
      </c>
      <c r="R2600" s="58" t="s">
        <v>272</v>
      </c>
    </row>
    <row r="2601" spans="1:18" ht="69" customHeight="1">
      <c r="A2601" s="168"/>
      <c r="B2601" s="59">
        <v>6352</v>
      </c>
      <c r="C2601" s="59" t="s">
        <v>458</v>
      </c>
      <c r="D2601" s="581" t="s">
        <v>2045</v>
      </c>
      <c r="E2601" s="59" t="s">
        <v>5708</v>
      </c>
      <c r="F2601" s="569" t="s">
        <v>7292</v>
      </c>
      <c r="G2601" s="45" t="s">
        <v>352</v>
      </c>
      <c r="H2601" s="198">
        <v>142595.23000000001</v>
      </c>
      <c r="I2601" s="47">
        <v>44799</v>
      </c>
      <c r="J2601" s="410" t="s">
        <v>7293</v>
      </c>
      <c r="K2601" s="58"/>
      <c r="L2601" s="99"/>
      <c r="M2601" s="70" t="s">
        <v>7294</v>
      </c>
      <c r="N2601" s="97" t="s">
        <v>414</v>
      </c>
      <c r="O2601" s="58" t="s">
        <v>5713</v>
      </c>
      <c r="P2601" s="58" t="s">
        <v>24</v>
      </c>
      <c r="Q2601" s="58" t="s">
        <v>100</v>
      </c>
      <c r="R2601" s="58" t="s">
        <v>265</v>
      </c>
    </row>
    <row r="2602" spans="1:18" ht="69" customHeight="1">
      <c r="A2602" s="168"/>
      <c r="B2602" s="178">
        <v>6399</v>
      </c>
      <c r="C2602" s="178" t="s">
        <v>458</v>
      </c>
      <c r="D2602" s="575" t="s">
        <v>6786</v>
      </c>
      <c r="E2602" s="178" t="s">
        <v>432</v>
      </c>
      <c r="F2602" s="210" t="s">
        <v>7295</v>
      </c>
      <c r="G2602" s="58" t="s">
        <v>429</v>
      </c>
      <c r="H2602" s="546">
        <v>13959.486000000001</v>
      </c>
      <c r="I2602" s="66">
        <v>44802</v>
      </c>
      <c r="J2602" s="411" t="s">
        <v>7296</v>
      </c>
      <c r="K2602" s="58"/>
      <c r="L2602" s="99"/>
      <c r="M2602" s="70" t="s">
        <v>7297</v>
      </c>
      <c r="N2602" s="97" t="s">
        <v>432</v>
      </c>
      <c r="O2602" s="58"/>
      <c r="P2602" s="58" t="s">
        <v>53</v>
      </c>
      <c r="Q2602" s="58" t="s">
        <v>100</v>
      </c>
      <c r="R2602" s="58" t="s">
        <v>272</v>
      </c>
    </row>
    <row r="2603" spans="1:18" ht="69" customHeight="1">
      <c r="A2603" s="168"/>
      <c r="B2603" s="59">
        <v>6623</v>
      </c>
      <c r="C2603" s="59" t="s">
        <v>458</v>
      </c>
      <c r="D2603" s="581" t="s">
        <v>1551</v>
      </c>
      <c r="E2603" s="59" t="s">
        <v>5708</v>
      </c>
      <c r="F2603" s="569" t="s">
        <v>7298</v>
      </c>
      <c r="G2603" s="45" t="s">
        <v>5710</v>
      </c>
      <c r="H2603" s="198">
        <v>217615.35999999999</v>
      </c>
      <c r="I2603" s="47">
        <v>44820</v>
      </c>
      <c r="J2603" s="410" t="s">
        <v>7299</v>
      </c>
      <c r="K2603" s="58"/>
      <c r="L2603" s="99"/>
      <c r="M2603" s="70" t="s">
        <v>7294</v>
      </c>
      <c r="N2603" s="97" t="s">
        <v>414</v>
      </c>
      <c r="O2603" s="58" t="s">
        <v>5713</v>
      </c>
      <c r="P2603" s="58" t="s">
        <v>24</v>
      </c>
      <c r="Q2603" s="58" t="s">
        <v>100</v>
      </c>
      <c r="R2603" s="58" t="s">
        <v>265</v>
      </c>
    </row>
    <row r="2604" spans="1:18" ht="69" customHeight="1">
      <c r="A2604" s="168"/>
      <c r="B2604" s="59">
        <v>6366</v>
      </c>
      <c r="C2604" s="59" t="s">
        <v>458</v>
      </c>
      <c r="D2604" s="581" t="s">
        <v>4634</v>
      </c>
      <c r="E2604" s="59" t="s">
        <v>5708</v>
      </c>
      <c r="F2604" s="569" t="s">
        <v>7300</v>
      </c>
      <c r="G2604" s="45" t="s">
        <v>7301</v>
      </c>
      <c r="H2604" s="198">
        <v>8500</v>
      </c>
      <c r="I2604" s="47">
        <v>44820</v>
      </c>
      <c r="J2604" s="410" t="s">
        <v>7302</v>
      </c>
      <c r="K2604" s="58"/>
      <c r="L2604" s="99"/>
      <c r="M2604" s="70" t="s">
        <v>7294</v>
      </c>
      <c r="N2604" s="97" t="s">
        <v>414</v>
      </c>
      <c r="O2604" s="58" t="s">
        <v>5713</v>
      </c>
      <c r="P2604" s="58" t="s">
        <v>24</v>
      </c>
      <c r="Q2604" s="58" t="s">
        <v>100</v>
      </c>
      <c r="R2604" s="58" t="s">
        <v>265</v>
      </c>
    </row>
    <row r="2605" spans="1:18" ht="69" customHeight="1">
      <c r="A2605" s="168"/>
      <c r="B2605" s="178">
        <v>6629</v>
      </c>
      <c r="C2605" s="178" t="s">
        <v>458</v>
      </c>
      <c r="D2605" s="575" t="s">
        <v>692</v>
      </c>
      <c r="E2605" s="178" t="s">
        <v>1367</v>
      </c>
      <c r="F2605" s="210" t="s">
        <v>7303</v>
      </c>
      <c r="G2605" s="58" t="s">
        <v>1369</v>
      </c>
      <c r="H2605" s="546">
        <v>4833.33</v>
      </c>
      <c r="I2605" s="66">
        <v>44818</v>
      </c>
      <c r="J2605" s="411" t="s">
        <v>7304</v>
      </c>
      <c r="K2605" s="58"/>
      <c r="L2605" s="99"/>
      <c r="M2605" s="70" t="s">
        <v>7231</v>
      </c>
      <c r="N2605" s="97" t="s">
        <v>270</v>
      </c>
      <c r="O2605" s="58"/>
      <c r="P2605" s="58" t="s">
        <v>44</v>
      </c>
      <c r="Q2605" s="58" t="s">
        <v>100</v>
      </c>
      <c r="R2605" s="58" t="s">
        <v>272</v>
      </c>
    </row>
    <row r="2606" spans="1:18" ht="69" customHeight="1">
      <c r="A2606" s="168"/>
      <c r="B2606" s="59">
        <v>6648</v>
      </c>
      <c r="C2606" s="59" t="s">
        <v>458</v>
      </c>
      <c r="D2606" s="581" t="s">
        <v>553</v>
      </c>
      <c r="E2606" s="59" t="s">
        <v>5708</v>
      </c>
      <c r="F2606" s="569" t="s">
        <v>7305</v>
      </c>
      <c r="G2606" s="45" t="s">
        <v>7306</v>
      </c>
      <c r="H2606" s="198">
        <v>6000</v>
      </c>
      <c r="I2606" s="47">
        <v>44820</v>
      </c>
      <c r="J2606" s="410" t="s">
        <v>7307</v>
      </c>
      <c r="K2606" s="58"/>
      <c r="L2606" s="99"/>
      <c r="M2606" s="70" t="s">
        <v>7294</v>
      </c>
      <c r="N2606" s="97" t="s">
        <v>414</v>
      </c>
      <c r="O2606" s="58" t="s">
        <v>5713</v>
      </c>
      <c r="P2606" s="58" t="s">
        <v>24</v>
      </c>
      <c r="Q2606" s="58" t="s">
        <v>100</v>
      </c>
      <c r="R2606" s="58" t="s">
        <v>265</v>
      </c>
    </row>
    <row r="2607" spans="1:18" ht="69" customHeight="1">
      <c r="A2607" s="168"/>
      <c r="B2607" s="178">
        <v>6656</v>
      </c>
      <c r="C2607" s="178" t="s">
        <v>458</v>
      </c>
      <c r="D2607" s="575" t="s">
        <v>4762</v>
      </c>
      <c r="E2607" s="178" t="s">
        <v>266</v>
      </c>
      <c r="F2607" s="210" t="s">
        <v>7308</v>
      </c>
      <c r="G2607" s="58" t="s">
        <v>1107</v>
      </c>
      <c r="H2607" s="546">
        <v>7293.34</v>
      </c>
      <c r="I2607" s="66">
        <v>44820</v>
      </c>
      <c r="J2607" s="411" t="s">
        <v>7309</v>
      </c>
      <c r="K2607" s="58"/>
      <c r="L2607" s="99"/>
      <c r="M2607" s="70" t="s">
        <v>7263</v>
      </c>
      <c r="N2607" s="97" t="s">
        <v>970</v>
      </c>
      <c r="O2607" s="58" t="s">
        <v>5961</v>
      </c>
      <c r="P2607" s="58" t="s">
        <v>38</v>
      </c>
      <c r="Q2607" s="58" t="s">
        <v>100</v>
      </c>
      <c r="R2607" s="58" t="s">
        <v>272</v>
      </c>
    </row>
    <row r="2608" spans="1:18" ht="69" customHeight="1">
      <c r="A2608" s="168"/>
      <c r="B2608" s="178">
        <v>6690</v>
      </c>
      <c r="C2608" s="178" t="s">
        <v>458</v>
      </c>
      <c r="D2608" s="575" t="s">
        <v>6928</v>
      </c>
      <c r="E2608" s="178" t="s">
        <v>7265</v>
      </c>
      <c r="F2608" s="210" t="s">
        <v>7310</v>
      </c>
      <c r="G2608" s="58" t="s">
        <v>5809</v>
      </c>
      <c r="H2608" s="546">
        <v>274070.21999999997</v>
      </c>
      <c r="I2608" s="66">
        <v>44820</v>
      </c>
      <c r="J2608" s="411" t="s">
        <v>7311</v>
      </c>
      <c r="K2608" s="58"/>
      <c r="L2608" s="99"/>
      <c r="M2608" s="70" t="s">
        <v>7267</v>
      </c>
      <c r="N2608" s="97" t="s">
        <v>414</v>
      </c>
      <c r="O2608" s="58" t="s">
        <v>5713</v>
      </c>
      <c r="P2608" s="58" t="s">
        <v>24</v>
      </c>
      <c r="Q2608" s="58" t="s">
        <v>100</v>
      </c>
      <c r="R2608" s="58" t="s">
        <v>272</v>
      </c>
    </row>
    <row r="2609" spans="1:18" ht="69" customHeight="1">
      <c r="A2609" s="168"/>
      <c r="B2609" s="59">
        <v>6723</v>
      </c>
      <c r="C2609" s="59" t="s">
        <v>458</v>
      </c>
      <c r="D2609" s="581" t="s">
        <v>710</v>
      </c>
      <c r="E2609" s="59" t="s">
        <v>5708</v>
      </c>
      <c r="F2609" s="569" t="s">
        <v>7312</v>
      </c>
      <c r="G2609" s="45" t="s">
        <v>5710</v>
      </c>
      <c r="H2609" s="198">
        <v>7259.6</v>
      </c>
      <c r="I2609" s="47">
        <v>44827</v>
      </c>
      <c r="J2609" s="410" t="s">
        <v>7313</v>
      </c>
      <c r="K2609" s="58"/>
      <c r="L2609" s="99"/>
      <c r="M2609" s="70" t="s">
        <v>7294</v>
      </c>
      <c r="N2609" s="97" t="s">
        <v>414</v>
      </c>
      <c r="O2609" s="58" t="s">
        <v>5713</v>
      </c>
      <c r="P2609" s="58" t="s">
        <v>24</v>
      </c>
      <c r="Q2609" s="58" t="s">
        <v>100</v>
      </c>
      <c r="R2609" s="58" t="s">
        <v>265</v>
      </c>
    </row>
    <row r="2610" spans="1:18" ht="69" customHeight="1">
      <c r="A2610" s="168"/>
      <c r="B2610" s="178">
        <v>6741</v>
      </c>
      <c r="C2610" s="178" t="s">
        <v>458</v>
      </c>
      <c r="D2610" s="575" t="s">
        <v>723</v>
      </c>
      <c r="E2610" s="178" t="s">
        <v>266</v>
      </c>
      <c r="F2610" s="210" t="s">
        <v>7314</v>
      </c>
      <c r="G2610" s="58" t="s">
        <v>392</v>
      </c>
      <c r="H2610" s="546">
        <v>6250</v>
      </c>
      <c r="I2610" s="66">
        <v>44834</v>
      </c>
      <c r="J2610" s="411" t="s">
        <v>7315</v>
      </c>
      <c r="K2610" s="58"/>
      <c r="L2610" s="99"/>
      <c r="M2610" s="70" t="s">
        <v>7231</v>
      </c>
      <c r="N2610" s="97" t="s">
        <v>270</v>
      </c>
      <c r="O2610" s="58"/>
      <c r="P2610" s="58" t="s">
        <v>44</v>
      </c>
      <c r="Q2610" s="58" t="s">
        <v>100</v>
      </c>
      <c r="R2610" s="58" t="s">
        <v>272</v>
      </c>
    </row>
    <row r="2611" spans="1:18" ht="69" customHeight="1">
      <c r="A2611" s="168"/>
      <c r="B2611" s="178">
        <v>6791</v>
      </c>
      <c r="C2611" s="178" t="s">
        <v>458</v>
      </c>
      <c r="D2611" s="575" t="s">
        <v>1477</v>
      </c>
      <c r="E2611" s="178" t="s">
        <v>266</v>
      </c>
      <c r="F2611" s="210" t="s">
        <v>7316</v>
      </c>
      <c r="G2611" s="58" t="s">
        <v>1107</v>
      </c>
      <c r="H2611" s="546">
        <v>7293.34</v>
      </c>
      <c r="I2611" s="66">
        <v>44832</v>
      </c>
      <c r="J2611" s="411" t="s">
        <v>7317</v>
      </c>
      <c r="K2611" s="58"/>
      <c r="L2611" s="99"/>
      <c r="M2611" s="70" t="s">
        <v>7263</v>
      </c>
      <c r="N2611" s="97" t="s">
        <v>970</v>
      </c>
      <c r="O2611" s="58" t="s">
        <v>5961</v>
      </c>
      <c r="P2611" s="58" t="s">
        <v>38</v>
      </c>
      <c r="Q2611" s="58" t="s">
        <v>100</v>
      </c>
      <c r="R2611" s="58" t="s">
        <v>272</v>
      </c>
    </row>
    <row r="2612" spans="1:18" ht="69" customHeight="1">
      <c r="A2612" s="168"/>
      <c r="B2612" s="178">
        <v>6741</v>
      </c>
      <c r="C2612" s="178" t="s">
        <v>458</v>
      </c>
      <c r="D2612" s="575" t="s">
        <v>723</v>
      </c>
      <c r="E2612" s="178" t="s">
        <v>266</v>
      </c>
      <c r="F2612" s="210" t="s">
        <v>7314</v>
      </c>
      <c r="G2612" s="58" t="s">
        <v>392</v>
      </c>
      <c r="H2612" s="546">
        <v>6250</v>
      </c>
      <c r="I2612" s="66">
        <v>44834</v>
      </c>
      <c r="J2612" s="411" t="s">
        <v>7315</v>
      </c>
      <c r="K2612" s="58"/>
      <c r="L2612" s="99"/>
      <c r="M2612" s="70" t="s">
        <v>7231</v>
      </c>
      <c r="N2612" s="97" t="s">
        <v>270</v>
      </c>
      <c r="O2612" s="58"/>
      <c r="P2612" s="58" t="s">
        <v>44</v>
      </c>
      <c r="Q2612" s="58" t="s">
        <v>100</v>
      </c>
      <c r="R2612" s="58" t="s">
        <v>272</v>
      </c>
    </row>
    <row r="2613" spans="1:18" ht="69" customHeight="1">
      <c r="A2613" s="168"/>
      <c r="B2613" s="59">
        <v>7344</v>
      </c>
      <c r="C2613" s="59" t="s">
        <v>458</v>
      </c>
      <c r="D2613" s="581" t="s">
        <v>4610</v>
      </c>
      <c r="E2613" s="59" t="s">
        <v>5708</v>
      </c>
      <c r="F2613" s="569" t="s">
        <v>7318</v>
      </c>
      <c r="G2613" s="45" t="s">
        <v>1048</v>
      </c>
      <c r="H2613" s="198">
        <v>3836.7</v>
      </c>
      <c r="I2613" s="47">
        <v>44869</v>
      </c>
      <c r="J2613" s="410" t="s">
        <v>6294</v>
      </c>
      <c r="K2613" s="58"/>
      <c r="L2613" s="99"/>
      <c r="M2613" s="70" t="s">
        <v>7294</v>
      </c>
      <c r="N2613" s="97" t="s">
        <v>414</v>
      </c>
      <c r="O2613" s="58" t="s">
        <v>5713</v>
      </c>
      <c r="P2613" s="58" t="s">
        <v>24</v>
      </c>
      <c r="Q2613" s="58" t="s">
        <v>100</v>
      </c>
      <c r="R2613" s="58" t="s">
        <v>265</v>
      </c>
    </row>
    <row r="2614" spans="1:18" ht="69" customHeight="1">
      <c r="A2614" s="168"/>
      <c r="B2614" s="178">
        <v>7385</v>
      </c>
      <c r="C2614" s="178" t="s">
        <v>458</v>
      </c>
      <c r="D2614" s="575" t="s">
        <v>7319</v>
      </c>
      <c r="E2614" s="178" t="s">
        <v>432</v>
      </c>
      <c r="F2614" s="210" t="s">
        <v>7320</v>
      </c>
      <c r="G2614" s="58" t="s">
        <v>1121</v>
      </c>
      <c r="H2614" s="546">
        <v>34317.03</v>
      </c>
      <c r="I2614" s="66">
        <v>44876</v>
      </c>
      <c r="J2614" s="411" t="s">
        <v>1122</v>
      </c>
      <c r="K2614" s="58"/>
      <c r="L2614" s="99"/>
      <c r="M2614" s="70" t="s">
        <v>7297</v>
      </c>
      <c r="N2614" s="97" t="s">
        <v>432</v>
      </c>
      <c r="O2614" s="58"/>
      <c r="P2614" s="58" t="s">
        <v>53</v>
      </c>
      <c r="Q2614" s="58" t="s">
        <v>100</v>
      </c>
      <c r="R2614" s="58" t="s">
        <v>272</v>
      </c>
    </row>
    <row r="2615" spans="1:18" ht="69" customHeight="1">
      <c r="A2615" s="168"/>
      <c r="B2615" s="59">
        <v>7403</v>
      </c>
      <c r="C2615" s="59" t="s">
        <v>458</v>
      </c>
      <c r="D2615" s="581" t="s">
        <v>7321</v>
      </c>
      <c r="E2615" s="59" t="s">
        <v>5708</v>
      </c>
      <c r="F2615" s="569" t="s">
        <v>7322</v>
      </c>
      <c r="G2615" s="45" t="s">
        <v>1048</v>
      </c>
      <c r="H2615" s="198">
        <v>8402.5499999999993</v>
      </c>
      <c r="I2615" s="47">
        <v>44879</v>
      </c>
      <c r="J2615" s="410" t="s">
        <v>6117</v>
      </c>
      <c r="K2615" s="58"/>
      <c r="L2615" s="99"/>
      <c r="M2615" s="70" t="s">
        <v>7294</v>
      </c>
      <c r="N2615" s="97" t="s">
        <v>414</v>
      </c>
      <c r="O2615" s="58" t="s">
        <v>5713</v>
      </c>
      <c r="P2615" s="58" t="s">
        <v>24</v>
      </c>
      <c r="Q2615" s="58" t="s">
        <v>100</v>
      </c>
      <c r="R2615" s="58" t="s">
        <v>265</v>
      </c>
    </row>
    <row r="2616" spans="1:18" ht="69" customHeight="1">
      <c r="A2616" s="168"/>
      <c r="B2616" s="178">
        <v>7453</v>
      </c>
      <c r="C2616" s="178" t="s">
        <v>458</v>
      </c>
      <c r="D2616" s="575" t="s">
        <v>7323</v>
      </c>
      <c r="E2616" s="178" t="s">
        <v>2075</v>
      </c>
      <c r="F2616" s="210" t="s">
        <v>7324</v>
      </c>
      <c r="G2616" s="58" t="s">
        <v>1041</v>
      </c>
      <c r="H2616" s="546">
        <v>126968.6</v>
      </c>
      <c r="I2616" s="66">
        <v>44883</v>
      </c>
      <c r="J2616" s="411" t="s">
        <v>1042</v>
      </c>
      <c r="K2616" s="58"/>
      <c r="L2616" s="99"/>
      <c r="M2616" s="70" t="s">
        <v>7325</v>
      </c>
      <c r="N2616" s="97" t="s">
        <v>1044</v>
      </c>
      <c r="O2616" s="58"/>
      <c r="P2616" s="58" t="s">
        <v>26</v>
      </c>
      <c r="Q2616" s="58" t="s">
        <v>100</v>
      </c>
      <c r="R2616" s="58" t="s">
        <v>272</v>
      </c>
    </row>
    <row r="2617" spans="1:18" ht="69" customHeight="1">
      <c r="A2617" s="168"/>
      <c r="B2617" s="59">
        <v>7580</v>
      </c>
      <c r="C2617" s="59" t="s">
        <v>458</v>
      </c>
      <c r="D2617" s="581" t="s">
        <v>6955</v>
      </c>
      <c r="E2617" s="59" t="s">
        <v>5708</v>
      </c>
      <c r="F2617" s="569" t="s">
        <v>7326</v>
      </c>
      <c r="G2617" s="45" t="s">
        <v>1048</v>
      </c>
      <c r="H2617" s="198">
        <v>5600</v>
      </c>
      <c r="I2617" s="47">
        <v>44890</v>
      </c>
      <c r="J2617" s="410" t="s">
        <v>6120</v>
      </c>
      <c r="K2617" s="58"/>
      <c r="L2617" s="99"/>
      <c r="M2617" s="70" t="s">
        <v>7294</v>
      </c>
      <c r="N2617" s="97" t="s">
        <v>414</v>
      </c>
      <c r="O2617" s="58" t="s">
        <v>5713</v>
      </c>
      <c r="P2617" s="58" t="s">
        <v>24</v>
      </c>
      <c r="Q2617" s="58" t="s">
        <v>100</v>
      </c>
      <c r="R2617" s="58" t="s">
        <v>265</v>
      </c>
    </row>
    <row r="2618" spans="1:18" ht="69" customHeight="1">
      <c r="A2618" s="168"/>
      <c r="B2618" s="59">
        <v>7586</v>
      </c>
      <c r="C2618" s="59" t="s">
        <v>458</v>
      </c>
      <c r="D2618" s="581" t="s">
        <v>7327</v>
      </c>
      <c r="E2618" s="59" t="s">
        <v>5708</v>
      </c>
      <c r="F2618" s="569" t="s">
        <v>7328</v>
      </c>
      <c r="G2618" s="45" t="s">
        <v>1048</v>
      </c>
      <c r="H2618" s="198">
        <v>14301</v>
      </c>
      <c r="I2618" s="47">
        <v>44890</v>
      </c>
      <c r="J2618" s="410" t="s">
        <v>6123</v>
      </c>
      <c r="K2618" s="58"/>
      <c r="L2618" s="99"/>
      <c r="M2618" s="70" t="s">
        <v>7294</v>
      </c>
      <c r="N2618" s="97" t="s">
        <v>414</v>
      </c>
      <c r="O2618" s="58" t="s">
        <v>5713</v>
      </c>
      <c r="P2618" s="58" t="s">
        <v>24</v>
      </c>
      <c r="Q2618" s="58" t="s">
        <v>100</v>
      </c>
      <c r="R2618" s="58" t="s">
        <v>265</v>
      </c>
    </row>
    <row r="2619" spans="1:18" ht="69" customHeight="1">
      <c r="A2619" s="168"/>
      <c r="B2619" s="59">
        <v>6701</v>
      </c>
      <c r="C2619" s="59" t="s">
        <v>458</v>
      </c>
      <c r="D2619" s="581" t="s">
        <v>3382</v>
      </c>
      <c r="E2619" s="59" t="s">
        <v>5708</v>
      </c>
      <c r="F2619" s="569" t="s">
        <v>7329</v>
      </c>
      <c r="G2619" s="45" t="s">
        <v>5710</v>
      </c>
      <c r="H2619" s="198">
        <v>13612.86</v>
      </c>
      <c r="I2619" s="47">
        <v>44834</v>
      </c>
      <c r="J2619" s="410" t="s">
        <v>7330</v>
      </c>
      <c r="K2619" s="58"/>
      <c r="L2619" s="99"/>
      <c r="M2619" s="70" t="s">
        <v>7294</v>
      </c>
      <c r="N2619" s="97" t="s">
        <v>414</v>
      </c>
      <c r="O2619" s="58" t="s">
        <v>5713</v>
      </c>
      <c r="P2619" s="58" t="s">
        <v>24</v>
      </c>
      <c r="Q2619" s="58" t="s">
        <v>100</v>
      </c>
      <c r="R2619" s="58" t="s">
        <v>265</v>
      </c>
    </row>
    <row r="2620" spans="1:18" ht="69" customHeight="1">
      <c r="A2620" s="168"/>
      <c r="B2620" s="59">
        <v>6723</v>
      </c>
      <c r="C2620" s="59" t="s">
        <v>458</v>
      </c>
      <c r="D2620" s="581" t="s">
        <v>710</v>
      </c>
      <c r="E2620" s="59" t="s">
        <v>5708</v>
      </c>
      <c r="F2620" s="569" t="s">
        <v>7312</v>
      </c>
      <c r="G2620" s="45" t="s">
        <v>5710</v>
      </c>
      <c r="H2620" s="198">
        <v>7259.6</v>
      </c>
      <c r="I2620" s="47">
        <v>44827</v>
      </c>
      <c r="J2620" s="410" t="s">
        <v>7313</v>
      </c>
      <c r="K2620" s="58"/>
      <c r="L2620" s="99"/>
      <c r="M2620" s="70" t="s">
        <v>7294</v>
      </c>
      <c r="N2620" s="97" t="s">
        <v>414</v>
      </c>
      <c r="O2620" s="58" t="s">
        <v>5713</v>
      </c>
      <c r="P2620" s="58" t="s">
        <v>24</v>
      </c>
      <c r="Q2620" s="58" t="s">
        <v>100</v>
      </c>
      <c r="R2620" s="58" t="s">
        <v>265</v>
      </c>
    </row>
    <row r="2621" spans="1:18" ht="69" customHeight="1">
      <c r="A2621" s="168"/>
      <c r="B2621" s="178">
        <v>7292</v>
      </c>
      <c r="C2621" s="178" t="s">
        <v>458</v>
      </c>
      <c r="D2621" s="575" t="s">
        <v>6678</v>
      </c>
      <c r="E2621" s="178" t="s">
        <v>2075</v>
      </c>
      <c r="F2621" s="210" t="s">
        <v>7331</v>
      </c>
      <c r="G2621" s="58" t="s">
        <v>1041</v>
      </c>
      <c r="H2621" s="546">
        <v>31344.92</v>
      </c>
      <c r="I2621" s="66">
        <v>44869</v>
      </c>
      <c r="J2621" s="411" t="s">
        <v>6099</v>
      </c>
      <c r="K2621" s="58"/>
      <c r="L2621" s="99"/>
      <c r="M2621" s="70" t="s">
        <v>7325</v>
      </c>
      <c r="N2621" s="97" t="s">
        <v>1044</v>
      </c>
      <c r="O2621" s="58"/>
      <c r="P2621" s="58" t="s">
        <v>26</v>
      </c>
      <c r="Q2621" s="58" t="s">
        <v>100</v>
      </c>
      <c r="R2621" s="58" t="s">
        <v>272</v>
      </c>
    </row>
    <row r="2622" spans="1:18" ht="69" customHeight="1">
      <c r="A2622" s="168"/>
      <c r="B2622" s="59">
        <v>7334</v>
      </c>
      <c r="C2622" s="59" t="s">
        <v>458</v>
      </c>
      <c r="D2622" s="581" t="s">
        <v>742</v>
      </c>
      <c r="E2622" s="59" t="s">
        <v>5708</v>
      </c>
      <c r="F2622" s="569" t="s">
        <v>7332</v>
      </c>
      <c r="G2622" s="45" t="s">
        <v>1048</v>
      </c>
      <c r="H2622" s="198">
        <v>702.72</v>
      </c>
      <c r="I2622" s="47">
        <v>44872</v>
      </c>
      <c r="J2622" s="410" t="s">
        <v>7333</v>
      </c>
      <c r="K2622" s="58"/>
      <c r="L2622" s="99"/>
      <c r="M2622" s="70" t="s">
        <v>7294</v>
      </c>
      <c r="N2622" s="97" t="s">
        <v>414</v>
      </c>
      <c r="O2622" s="58" t="s">
        <v>5713</v>
      </c>
      <c r="P2622" s="58" t="s">
        <v>24</v>
      </c>
      <c r="Q2622" s="58" t="s">
        <v>100</v>
      </c>
      <c r="R2622" s="58" t="s">
        <v>265</v>
      </c>
    </row>
    <row r="2623" spans="1:18" ht="69" customHeight="1">
      <c r="A2623" s="168"/>
      <c r="B2623" s="59">
        <v>6815</v>
      </c>
      <c r="C2623" s="59" t="s">
        <v>458</v>
      </c>
      <c r="D2623" s="581" t="s">
        <v>1755</v>
      </c>
      <c r="E2623" s="59" t="s">
        <v>5708</v>
      </c>
      <c r="F2623" s="569" t="s">
        <v>7334</v>
      </c>
      <c r="G2623" s="45" t="s">
        <v>1048</v>
      </c>
      <c r="H2623" s="198">
        <v>4639</v>
      </c>
      <c r="I2623" s="47">
        <v>44848</v>
      </c>
      <c r="J2623" s="410" t="s">
        <v>7335</v>
      </c>
      <c r="K2623" s="58"/>
      <c r="L2623" s="99"/>
      <c r="M2623" s="70" t="s">
        <v>7294</v>
      </c>
      <c r="N2623" s="97" t="s">
        <v>414</v>
      </c>
      <c r="O2623" s="58" t="s">
        <v>5713</v>
      </c>
      <c r="P2623" s="58" t="s">
        <v>24</v>
      </c>
      <c r="Q2623" s="58" t="s">
        <v>100</v>
      </c>
      <c r="R2623" s="58" t="s">
        <v>265</v>
      </c>
    </row>
    <row r="2624" spans="1:18" ht="69" customHeight="1">
      <c r="A2624" s="168"/>
      <c r="B2624" s="178">
        <v>6952</v>
      </c>
      <c r="C2624" s="178" t="s">
        <v>458</v>
      </c>
      <c r="D2624" s="575" t="s">
        <v>564</v>
      </c>
      <c r="E2624" s="178" t="s">
        <v>266</v>
      </c>
      <c r="F2624" s="210" t="s">
        <v>7336</v>
      </c>
      <c r="G2624" s="58" t="s">
        <v>392</v>
      </c>
      <c r="H2624" s="546">
        <v>5000</v>
      </c>
      <c r="I2624" s="66">
        <v>44852</v>
      </c>
      <c r="J2624" s="411" t="s">
        <v>4641</v>
      </c>
      <c r="K2624" s="58"/>
      <c r="L2624" s="99"/>
      <c r="M2624" s="70" t="s">
        <v>7231</v>
      </c>
      <c r="N2624" s="97" t="s">
        <v>270</v>
      </c>
      <c r="O2624" s="58"/>
      <c r="P2624" s="58" t="s">
        <v>44</v>
      </c>
      <c r="Q2624" s="58" t="s">
        <v>100</v>
      </c>
      <c r="R2624" s="58" t="s">
        <v>272</v>
      </c>
    </row>
    <row r="2625" spans="1:18" ht="69" customHeight="1">
      <c r="A2625" s="168"/>
      <c r="B2625" s="191">
        <v>6960</v>
      </c>
      <c r="C2625" s="191" t="s">
        <v>458</v>
      </c>
      <c r="D2625" s="533" t="s">
        <v>3217</v>
      </c>
      <c r="E2625" s="191" t="s">
        <v>1056</v>
      </c>
      <c r="F2625" s="211" t="s">
        <v>7337</v>
      </c>
      <c r="G2625" s="46" t="s">
        <v>1058</v>
      </c>
      <c r="H2625" s="534">
        <v>45600</v>
      </c>
      <c r="I2625" s="56">
        <v>44846</v>
      </c>
      <c r="J2625" s="412" t="s">
        <v>1059</v>
      </c>
      <c r="K2625" s="46"/>
      <c r="L2625" s="99"/>
      <c r="M2625" s="70" t="s">
        <v>7338</v>
      </c>
      <c r="N2625" s="97" t="s">
        <v>814</v>
      </c>
      <c r="O2625" s="46" t="s">
        <v>1061</v>
      </c>
      <c r="P2625" s="46" t="s">
        <v>36</v>
      </c>
      <c r="Q2625" s="46" t="s">
        <v>90</v>
      </c>
      <c r="R2625" s="46" t="s">
        <v>272</v>
      </c>
    </row>
    <row r="2626" spans="1:18" ht="69" customHeight="1">
      <c r="A2626" s="168"/>
      <c r="B2626" s="178">
        <v>7628</v>
      </c>
      <c r="C2626" s="178" t="s">
        <v>458</v>
      </c>
      <c r="D2626" s="575" t="s">
        <v>4772</v>
      </c>
      <c r="E2626" s="178" t="s">
        <v>7339</v>
      </c>
      <c r="F2626" s="210" t="s">
        <v>7340</v>
      </c>
      <c r="G2626" s="58" t="s">
        <v>7341</v>
      </c>
      <c r="H2626" s="546">
        <v>255000</v>
      </c>
      <c r="I2626" s="66">
        <v>44895</v>
      </c>
      <c r="J2626" s="411" t="s">
        <v>7342</v>
      </c>
      <c r="K2626" s="58"/>
      <c r="L2626" s="99"/>
      <c r="M2626" s="70" t="s">
        <v>7267</v>
      </c>
      <c r="N2626" s="97" t="s">
        <v>414</v>
      </c>
      <c r="O2626" s="58"/>
      <c r="P2626" s="58" t="s">
        <v>59</v>
      </c>
      <c r="Q2626" s="58" t="s">
        <v>100</v>
      </c>
      <c r="R2626" s="58" t="s">
        <v>272</v>
      </c>
    </row>
    <row r="2627" spans="1:18" ht="69" customHeight="1">
      <c r="A2627" s="168"/>
      <c r="B2627" s="178">
        <v>7573</v>
      </c>
      <c r="C2627" s="178" t="s">
        <v>458</v>
      </c>
      <c r="D2627" s="575" t="s">
        <v>4926</v>
      </c>
      <c r="E2627" s="178" t="s">
        <v>2075</v>
      </c>
      <c r="F2627" s="210" t="s">
        <v>7343</v>
      </c>
      <c r="G2627" s="58" t="s">
        <v>1041</v>
      </c>
      <c r="H2627" s="546">
        <v>8680</v>
      </c>
      <c r="I2627" s="66">
        <v>44904</v>
      </c>
      <c r="J2627" s="411" t="s">
        <v>1080</v>
      </c>
      <c r="K2627" s="58"/>
      <c r="L2627" s="99"/>
      <c r="M2627" s="70" t="s">
        <v>7325</v>
      </c>
      <c r="N2627" s="97" t="s">
        <v>1044</v>
      </c>
      <c r="O2627" s="58"/>
      <c r="P2627" s="58" t="s">
        <v>26</v>
      </c>
      <c r="Q2627" s="58" t="s">
        <v>100</v>
      </c>
      <c r="R2627" s="58" t="s">
        <v>272</v>
      </c>
    </row>
    <row r="2628" spans="1:18" ht="69" customHeight="1">
      <c r="A2628" s="168"/>
      <c r="B2628" s="59">
        <v>7636</v>
      </c>
      <c r="C2628" s="59" t="s">
        <v>458</v>
      </c>
      <c r="D2628" s="581" t="s">
        <v>7344</v>
      </c>
      <c r="E2628" s="59" t="s">
        <v>5708</v>
      </c>
      <c r="F2628" s="569" t="s">
        <v>7345</v>
      </c>
      <c r="G2628" s="45" t="s">
        <v>1048</v>
      </c>
      <c r="H2628" s="198">
        <v>17667.14</v>
      </c>
      <c r="I2628" s="47">
        <v>44895</v>
      </c>
      <c r="J2628" s="410" t="s">
        <v>6139</v>
      </c>
      <c r="K2628" s="58"/>
      <c r="L2628" s="99"/>
      <c r="M2628" s="70" t="s">
        <v>7294</v>
      </c>
      <c r="N2628" s="97" t="s">
        <v>414</v>
      </c>
      <c r="O2628" s="58" t="s">
        <v>5713</v>
      </c>
      <c r="P2628" s="58" t="s">
        <v>24</v>
      </c>
      <c r="Q2628" s="58" t="s">
        <v>100</v>
      </c>
      <c r="R2628" s="58" t="s">
        <v>265</v>
      </c>
    </row>
    <row r="2629" spans="1:18" ht="69" customHeight="1">
      <c r="A2629" s="168"/>
      <c r="B2629" s="59">
        <v>7642</v>
      </c>
      <c r="C2629" s="59" t="s">
        <v>458</v>
      </c>
      <c r="D2629" s="581" t="s">
        <v>7346</v>
      </c>
      <c r="E2629" s="59" t="s">
        <v>5708</v>
      </c>
      <c r="F2629" s="569" t="s">
        <v>7347</v>
      </c>
      <c r="G2629" s="45" t="s">
        <v>6345</v>
      </c>
      <c r="H2629" s="198">
        <v>19091</v>
      </c>
      <c r="I2629" s="47">
        <v>44895</v>
      </c>
      <c r="J2629" s="410" t="s">
        <v>6320</v>
      </c>
      <c r="K2629" s="58"/>
      <c r="L2629" s="99"/>
      <c r="M2629" s="70" t="s">
        <v>7294</v>
      </c>
      <c r="N2629" s="97" t="s">
        <v>414</v>
      </c>
      <c r="O2629" s="58" t="s">
        <v>5713</v>
      </c>
      <c r="P2629" s="58" t="s">
        <v>24</v>
      </c>
      <c r="Q2629" s="58" t="s">
        <v>100</v>
      </c>
      <c r="R2629" s="58" t="s">
        <v>265</v>
      </c>
    </row>
    <row r="2630" spans="1:18" ht="69" customHeight="1">
      <c r="A2630" s="168"/>
      <c r="B2630" s="59">
        <v>7644</v>
      </c>
      <c r="C2630" s="59" t="s">
        <v>458</v>
      </c>
      <c r="D2630" s="581" t="s">
        <v>7348</v>
      </c>
      <c r="E2630" s="59" t="s">
        <v>5708</v>
      </c>
      <c r="F2630" s="569" t="s">
        <v>7349</v>
      </c>
      <c r="G2630" s="45" t="s">
        <v>6319</v>
      </c>
      <c r="H2630" s="198">
        <v>30447.55</v>
      </c>
      <c r="I2630" s="47">
        <v>44895</v>
      </c>
      <c r="J2630" s="410" t="s">
        <v>6320</v>
      </c>
      <c r="K2630" s="58"/>
      <c r="L2630" s="99"/>
      <c r="M2630" s="70" t="s">
        <v>7294</v>
      </c>
      <c r="N2630" s="97" t="s">
        <v>414</v>
      </c>
      <c r="O2630" s="58" t="s">
        <v>5713</v>
      </c>
      <c r="P2630" s="58" t="s">
        <v>24</v>
      </c>
      <c r="Q2630" s="58" t="s">
        <v>100</v>
      </c>
      <c r="R2630" s="58" t="s">
        <v>265</v>
      </c>
    </row>
    <row r="2631" spans="1:18" ht="69" customHeight="1">
      <c r="A2631" s="168"/>
      <c r="B2631" s="59">
        <v>7682</v>
      </c>
      <c r="C2631" s="59" t="s">
        <v>458</v>
      </c>
      <c r="D2631" s="581" t="s">
        <v>3298</v>
      </c>
      <c r="E2631" s="59" t="s">
        <v>5708</v>
      </c>
      <c r="F2631" s="569" t="s">
        <v>7350</v>
      </c>
      <c r="G2631" s="45" t="s">
        <v>7351</v>
      </c>
      <c r="H2631" s="198">
        <v>3535</v>
      </c>
      <c r="I2631" s="47">
        <v>44900</v>
      </c>
      <c r="J2631" s="410" t="s">
        <v>6128</v>
      </c>
      <c r="K2631" s="58"/>
      <c r="L2631" s="99"/>
      <c r="M2631" s="70" t="s">
        <v>7294</v>
      </c>
      <c r="N2631" s="97" t="s">
        <v>414</v>
      </c>
      <c r="O2631" s="58" t="s">
        <v>5713</v>
      </c>
      <c r="P2631" s="58" t="s">
        <v>24</v>
      </c>
      <c r="Q2631" s="58" t="s">
        <v>100</v>
      </c>
      <c r="R2631" s="58" t="s">
        <v>265</v>
      </c>
    </row>
    <row r="2632" spans="1:18" ht="69" customHeight="1">
      <c r="A2632" s="168"/>
      <c r="B2632" s="1060">
        <v>7683</v>
      </c>
      <c r="C2632" s="1060" t="s">
        <v>458</v>
      </c>
      <c r="D2632" s="1061" t="s">
        <v>1858</v>
      </c>
      <c r="E2632" s="1060" t="s">
        <v>5708</v>
      </c>
      <c r="F2632" s="1062" t="s">
        <v>7352</v>
      </c>
      <c r="G2632" s="1063" t="s">
        <v>7351</v>
      </c>
      <c r="H2632" s="1064">
        <v>14140</v>
      </c>
      <c r="I2632" s="1065">
        <v>44900</v>
      </c>
      <c r="J2632" s="1066" t="s">
        <v>6128</v>
      </c>
      <c r="K2632" s="58"/>
      <c r="L2632" s="99"/>
      <c r="M2632" s="70" t="s">
        <v>7294</v>
      </c>
      <c r="N2632" s="97" t="s">
        <v>414</v>
      </c>
      <c r="O2632" s="58" t="s">
        <v>5713</v>
      </c>
      <c r="P2632" s="58" t="s">
        <v>24</v>
      </c>
      <c r="Q2632" s="58" t="s">
        <v>100</v>
      </c>
      <c r="R2632" s="58" t="s">
        <v>265</v>
      </c>
    </row>
    <row r="2633" spans="1:18" ht="69" customHeight="1">
      <c r="A2633" s="168"/>
      <c r="B2633" s="59">
        <v>7685</v>
      </c>
      <c r="C2633" s="59" t="s">
        <v>458</v>
      </c>
      <c r="D2633" s="581" t="s">
        <v>2350</v>
      </c>
      <c r="E2633" s="59" t="s">
        <v>5708</v>
      </c>
      <c r="F2633" s="569" t="s">
        <v>7353</v>
      </c>
      <c r="G2633" s="45" t="s">
        <v>1048</v>
      </c>
      <c r="H2633" s="198">
        <v>8927.2199999999993</v>
      </c>
      <c r="I2633" s="47">
        <v>44900</v>
      </c>
      <c r="J2633" s="410" t="s">
        <v>6128</v>
      </c>
      <c r="K2633" s="58"/>
      <c r="L2633" s="99"/>
      <c r="M2633" s="70" t="s">
        <v>7294</v>
      </c>
      <c r="N2633" s="97" t="s">
        <v>414</v>
      </c>
      <c r="O2633" s="58" t="s">
        <v>5713</v>
      </c>
      <c r="P2633" s="58" t="s">
        <v>24</v>
      </c>
      <c r="Q2633" s="58" t="s">
        <v>100</v>
      </c>
      <c r="R2633" s="58" t="s">
        <v>265</v>
      </c>
    </row>
    <row r="2634" spans="1:18" ht="69" customHeight="1">
      <c r="A2634" s="168"/>
      <c r="B2634" s="59">
        <v>8050</v>
      </c>
      <c r="C2634" s="59" t="s">
        <v>458</v>
      </c>
      <c r="D2634" s="581" t="s">
        <v>2084</v>
      </c>
      <c r="E2634" s="59" t="s">
        <v>5708</v>
      </c>
      <c r="F2634" s="569" t="s">
        <v>7354</v>
      </c>
      <c r="G2634" s="45" t="s">
        <v>1048</v>
      </c>
      <c r="H2634" s="198">
        <v>25935.599999999999</v>
      </c>
      <c r="I2634" s="47">
        <v>44881</v>
      </c>
      <c r="J2634" s="410" t="s">
        <v>6324</v>
      </c>
      <c r="K2634" s="58"/>
      <c r="L2634" s="99"/>
      <c r="M2634" s="70" t="s">
        <v>7294</v>
      </c>
      <c r="N2634" s="97" t="s">
        <v>414</v>
      </c>
      <c r="O2634" s="58" t="s">
        <v>5713</v>
      </c>
      <c r="P2634" s="58" t="s">
        <v>24</v>
      </c>
      <c r="Q2634" s="58" t="s">
        <v>100</v>
      </c>
      <c r="R2634" s="58" t="s">
        <v>265</v>
      </c>
    </row>
    <row r="2635" spans="1:18" ht="69" customHeight="1">
      <c r="A2635" s="168"/>
      <c r="B2635" s="59">
        <v>8079</v>
      </c>
      <c r="C2635" s="59" t="s">
        <v>458</v>
      </c>
      <c r="D2635" s="581" t="s">
        <v>1093</v>
      </c>
      <c r="E2635" s="59" t="s">
        <v>5708</v>
      </c>
      <c r="F2635" s="569" t="s">
        <v>7355</v>
      </c>
      <c r="G2635" s="45" t="s">
        <v>1048</v>
      </c>
      <c r="H2635" s="198">
        <v>7124</v>
      </c>
      <c r="I2635" s="47">
        <v>44911</v>
      </c>
      <c r="J2635" s="410" t="s">
        <v>6144</v>
      </c>
      <c r="K2635" s="58"/>
      <c r="L2635" s="99"/>
      <c r="M2635" s="70" t="s">
        <v>7294</v>
      </c>
      <c r="N2635" s="97" t="s">
        <v>414</v>
      </c>
      <c r="O2635" s="58" t="s">
        <v>5713</v>
      </c>
      <c r="P2635" s="58" t="s">
        <v>24</v>
      </c>
      <c r="Q2635" s="58" t="s">
        <v>100</v>
      </c>
      <c r="R2635" s="58" t="s">
        <v>265</v>
      </c>
    </row>
    <row r="2636" spans="1:18" ht="69" customHeight="1">
      <c r="A2636" s="168"/>
      <c r="B2636" s="59">
        <v>8083</v>
      </c>
      <c r="C2636" s="59" t="s">
        <v>458</v>
      </c>
      <c r="D2636" s="581" t="s">
        <v>1778</v>
      </c>
      <c r="E2636" s="59" t="s">
        <v>5708</v>
      </c>
      <c r="F2636" s="569" t="s">
        <v>7356</v>
      </c>
      <c r="G2636" s="45" t="s">
        <v>1048</v>
      </c>
      <c r="H2636" s="198">
        <v>3450</v>
      </c>
      <c r="I2636" s="47">
        <v>44911</v>
      </c>
      <c r="J2636" s="410" t="s">
        <v>6329</v>
      </c>
      <c r="K2636" s="58"/>
      <c r="L2636" s="99"/>
      <c r="M2636" s="70" t="s">
        <v>7294</v>
      </c>
      <c r="N2636" s="97" t="s">
        <v>414</v>
      </c>
      <c r="O2636" s="58" t="s">
        <v>5713</v>
      </c>
      <c r="P2636" s="58" t="s">
        <v>24</v>
      </c>
      <c r="Q2636" s="58" t="s">
        <v>100</v>
      </c>
      <c r="R2636" s="58" t="s">
        <v>265</v>
      </c>
    </row>
    <row r="2637" spans="1:18" ht="69" customHeight="1">
      <c r="A2637" s="168"/>
      <c r="B2637" s="59">
        <v>8088</v>
      </c>
      <c r="C2637" s="59" t="s">
        <v>458</v>
      </c>
      <c r="D2637" s="581" t="s">
        <v>1097</v>
      </c>
      <c r="E2637" s="59" t="s">
        <v>5708</v>
      </c>
      <c r="F2637" s="569" t="s">
        <v>7357</v>
      </c>
      <c r="G2637" s="45" t="s">
        <v>1048</v>
      </c>
      <c r="H2637" s="198">
        <v>16815</v>
      </c>
      <c r="I2637" s="47">
        <v>44911</v>
      </c>
      <c r="J2637" s="410" t="s">
        <v>6146</v>
      </c>
      <c r="K2637" s="58"/>
      <c r="L2637" s="99"/>
      <c r="M2637" s="70" t="s">
        <v>7294</v>
      </c>
      <c r="N2637" s="97" t="s">
        <v>414</v>
      </c>
      <c r="O2637" s="58" t="s">
        <v>5713</v>
      </c>
      <c r="P2637" s="58" t="s">
        <v>24</v>
      </c>
      <c r="Q2637" s="58" t="s">
        <v>100</v>
      </c>
      <c r="R2637" s="58" t="s">
        <v>265</v>
      </c>
    </row>
    <row r="2638" spans="1:18" ht="69" customHeight="1">
      <c r="A2638" s="168"/>
      <c r="B2638" s="59">
        <v>8091</v>
      </c>
      <c r="C2638" s="59" t="s">
        <v>458</v>
      </c>
      <c r="D2638" s="581" t="s">
        <v>4211</v>
      </c>
      <c r="E2638" s="59" t="s">
        <v>5708</v>
      </c>
      <c r="F2638" s="569" t="s">
        <v>7358</v>
      </c>
      <c r="G2638" s="45" t="s">
        <v>7359</v>
      </c>
      <c r="H2638" s="198">
        <v>7050</v>
      </c>
      <c r="I2638" s="47">
        <v>44911</v>
      </c>
      <c r="J2638" s="410" t="s">
        <v>6334</v>
      </c>
      <c r="K2638" s="58"/>
      <c r="L2638" s="99"/>
      <c r="M2638" s="70" t="s">
        <v>7294</v>
      </c>
      <c r="N2638" s="97" t="s">
        <v>414</v>
      </c>
      <c r="O2638" s="58" t="s">
        <v>5713</v>
      </c>
      <c r="P2638" s="58" t="s">
        <v>24</v>
      </c>
      <c r="Q2638" s="58" t="s">
        <v>100</v>
      </c>
      <c r="R2638" s="58" t="s">
        <v>265</v>
      </c>
    </row>
    <row r="2639" spans="1:18" ht="69" customHeight="1">
      <c r="A2639" s="168"/>
      <c r="B2639" s="59">
        <v>8092</v>
      </c>
      <c r="C2639" s="59" t="s">
        <v>458</v>
      </c>
      <c r="D2639" s="581" t="s">
        <v>1099</v>
      </c>
      <c r="E2639" s="59" t="s">
        <v>5708</v>
      </c>
      <c r="F2639" s="569" t="s">
        <v>7360</v>
      </c>
      <c r="G2639" s="45" t="s">
        <v>1145</v>
      </c>
      <c r="H2639" s="198">
        <v>28200</v>
      </c>
      <c r="I2639" s="47">
        <v>44911</v>
      </c>
      <c r="J2639" s="410" t="s">
        <v>6334</v>
      </c>
      <c r="K2639" s="58"/>
      <c r="L2639" s="99"/>
      <c r="M2639" s="70" t="s">
        <v>7294</v>
      </c>
      <c r="N2639" s="97" t="s">
        <v>414</v>
      </c>
      <c r="O2639" s="58" t="s">
        <v>5713</v>
      </c>
      <c r="P2639" s="58" t="s">
        <v>24</v>
      </c>
      <c r="Q2639" s="58" t="s">
        <v>100</v>
      </c>
      <c r="R2639" s="58" t="s">
        <v>265</v>
      </c>
    </row>
    <row r="2640" spans="1:18" ht="69" customHeight="1">
      <c r="A2640" s="168"/>
      <c r="B2640" s="59">
        <v>8129</v>
      </c>
      <c r="C2640" s="59" t="s">
        <v>458</v>
      </c>
      <c r="D2640" s="581" t="s">
        <v>1788</v>
      </c>
      <c r="E2640" s="59" t="s">
        <v>5708</v>
      </c>
      <c r="F2640" s="569" t="s">
        <v>7361</v>
      </c>
      <c r="G2640" s="45" t="s">
        <v>1149</v>
      </c>
      <c r="H2640" s="198">
        <v>36279.33</v>
      </c>
      <c r="I2640" s="47">
        <v>44914</v>
      </c>
      <c r="J2640" s="410" t="s">
        <v>6130</v>
      </c>
      <c r="K2640" s="58"/>
      <c r="L2640" s="99"/>
      <c r="M2640" s="70" t="s">
        <v>7294</v>
      </c>
      <c r="N2640" s="97" t="s">
        <v>414</v>
      </c>
      <c r="O2640" s="58" t="s">
        <v>5713</v>
      </c>
      <c r="P2640" s="58" t="s">
        <v>24</v>
      </c>
      <c r="Q2640" s="58" t="s">
        <v>100</v>
      </c>
      <c r="R2640" s="58" t="s">
        <v>265</v>
      </c>
    </row>
    <row r="2641" spans="1:18" ht="69" customHeight="1">
      <c r="A2641" s="168"/>
      <c r="B2641" s="59">
        <v>8137</v>
      </c>
      <c r="C2641" s="59" t="s">
        <v>458</v>
      </c>
      <c r="D2641" s="581" t="s">
        <v>1119</v>
      </c>
      <c r="E2641" s="59" t="s">
        <v>5708</v>
      </c>
      <c r="F2641" s="569" t="s">
        <v>7362</v>
      </c>
      <c r="G2641" s="45" t="s">
        <v>1149</v>
      </c>
      <c r="H2641" s="198">
        <v>31918.75</v>
      </c>
      <c r="I2641" s="47">
        <v>44914</v>
      </c>
      <c r="J2641" s="410" t="s">
        <v>6133</v>
      </c>
      <c r="K2641" s="58"/>
      <c r="L2641" s="99"/>
      <c r="M2641" s="70" t="s">
        <v>7294</v>
      </c>
      <c r="N2641" s="97" t="s">
        <v>414</v>
      </c>
      <c r="O2641" s="58" t="s">
        <v>5713</v>
      </c>
      <c r="P2641" s="58" t="s">
        <v>24</v>
      </c>
      <c r="Q2641" s="58" t="s">
        <v>100</v>
      </c>
      <c r="R2641" s="58" t="s">
        <v>265</v>
      </c>
    </row>
    <row r="2642" spans="1:18" ht="69" customHeight="1">
      <c r="A2642" s="168"/>
      <c r="B2642" s="59">
        <v>8160</v>
      </c>
      <c r="C2642" s="59" t="s">
        <v>458</v>
      </c>
      <c r="D2642" s="581" t="s">
        <v>7363</v>
      </c>
      <c r="E2642" s="59" t="s">
        <v>5708</v>
      </c>
      <c r="F2642" s="569" t="s">
        <v>7364</v>
      </c>
      <c r="G2642" s="45" t="s">
        <v>1149</v>
      </c>
      <c r="H2642" s="198">
        <v>9471.64</v>
      </c>
      <c r="I2642" s="47">
        <v>44886</v>
      </c>
      <c r="J2642" s="410" t="s">
        <v>6136</v>
      </c>
      <c r="K2642" s="58"/>
      <c r="L2642" s="99"/>
      <c r="M2642" s="70" t="s">
        <v>7294</v>
      </c>
      <c r="N2642" s="97" t="s">
        <v>414</v>
      </c>
      <c r="O2642" s="58" t="s">
        <v>5713</v>
      </c>
      <c r="P2642" s="58" t="s">
        <v>24</v>
      </c>
      <c r="Q2642" s="58" t="s">
        <v>100</v>
      </c>
      <c r="R2642" s="58" t="s">
        <v>265</v>
      </c>
    </row>
    <row r="2643" spans="1:18" ht="69" customHeight="1">
      <c r="A2643" s="168"/>
      <c r="B2643" s="178">
        <v>8153</v>
      </c>
      <c r="C2643" s="178" t="s">
        <v>458</v>
      </c>
      <c r="D2643" s="575" t="s">
        <v>4941</v>
      </c>
      <c r="E2643" s="178" t="s">
        <v>741</v>
      </c>
      <c r="F2643" s="210" t="s">
        <v>7365</v>
      </c>
      <c r="G2643" s="58" t="s">
        <v>7366</v>
      </c>
      <c r="H2643" s="546">
        <v>51000</v>
      </c>
      <c r="I2643" s="66">
        <v>44914</v>
      </c>
      <c r="J2643" s="411" t="s">
        <v>6352</v>
      </c>
      <c r="K2643" s="58"/>
      <c r="L2643" s="99"/>
      <c r="M2643" s="70" t="s">
        <v>7367</v>
      </c>
      <c r="N2643" s="97" t="s">
        <v>741</v>
      </c>
      <c r="O2643" s="58"/>
      <c r="P2643" s="58" t="s">
        <v>59</v>
      </c>
      <c r="Q2643" s="58" t="s">
        <v>100</v>
      </c>
      <c r="R2643" s="58" t="s">
        <v>272</v>
      </c>
    </row>
    <row r="2644" spans="1:18" ht="69" customHeight="1">
      <c r="A2644" s="168"/>
      <c r="B2644" s="191">
        <v>6964</v>
      </c>
      <c r="C2644" s="191" t="s">
        <v>458</v>
      </c>
      <c r="D2644" s="533" t="s">
        <v>438</v>
      </c>
      <c r="E2644" s="191" t="s">
        <v>1056</v>
      </c>
      <c r="F2644" s="211" t="s">
        <v>7368</v>
      </c>
      <c r="G2644" s="46" t="s">
        <v>1058</v>
      </c>
      <c r="H2644" s="534">
        <v>33448.839999999997</v>
      </c>
      <c r="I2644" s="56">
        <v>44846</v>
      </c>
      <c r="J2644" s="412" t="s">
        <v>1059</v>
      </c>
      <c r="K2644" s="46"/>
      <c r="L2644" s="99"/>
      <c r="M2644" s="70" t="s">
        <v>7338</v>
      </c>
      <c r="N2644" s="97" t="s">
        <v>814</v>
      </c>
      <c r="O2644" s="46" t="s">
        <v>1061</v>
      </c>
      <c r="P2644" s="46" t="s">
        <v>36</v>
      </c>
      <c r="Q2644" s="46" t="s">
        <v>90</v>
      </c>
      <c r="R2644" s="46" t="s">
        <v>272</v>
      </c>
    </row>
    <row r="2645" spans="1:18" ht="69" customHeight="1">
      <c r="A2645" s="168"/>
      <c r="B2645" s="59">
        <v>8234</v>
      </c>
      <c r="C2645" s="59" t="s">
        <v>458</v>
      </c>
      <c r="D2645" s="581" t="s">
        <v>7369</v>
      </c>
      <c r="E2645" s="59" t="s">
        <v>5708</v>
      </c>
      <c r="F2645" s="569" t="s">
        <v>7370</v>
      </c>
      <c r="G2645" s="45" t="s">
        <v>1149</v>
      </c>
      <c r="H2645" s="198">
        <v>40000</v>
      </c>
      <c r="I2645" s="47">
        <v>44921</v>
      </c>
      <c r="J2645" s="410" t="s">
        <v>7371</v>
      </c>
      <c r="K2645" s="58"/>
      <c r="L2645" s="99"/>
      <c r="M2645" s="70" t="s">
        <v>7294</v>
      </c>
      <c r="N2645" s="97" t="s">
        <v>414</v>
      </c>
      <c r="O2645" s="58" t="s">
        <v>5713</v>
      </c>
      <c r="P2645" s="58" t="s">
        <v>24</v>
      </c>
      <c r="Q2645" s="58" t="s">
        <v>100</v>
      </c>
      <c r="R2645" s="58" t="s">
        <v>265</v>
      </c>
    </row>
    <row r="2646" spans="1:18" ht="69" customHeight="1">
      <c r="A2646" s="168"/>
      <c r="B2646" s="59">
        <v>8317</v>
      </c>
      <c r="C2646" s="59" t="s">
        <v>458</v>
      </c>
      <c r="D2646" s="581" t="s">
        <v>3803</v>
      </c>
      <c r="E2646" s="59" t="s">
        <v>5708</v>
      </c>
      <c r="F2646" s="569" t="s">
        <v>7372</v>
      </c>
      <c r="G2646" s="45" t="s">
        <v>6361</v>
      </c>
      <c r="H2646" s="198">
        <v>28200</v>
      </c>
      <c r="I2646" s="47">
        <v>44921</v>
      </c>
      <c r="J2646" s="410" t="s">
        <v>6362</v>
      </c>
      <c r="K2646" s="58"/>
      <c r="L2646" s="99"/>
      <c r="M2646" s="70" t="s">
        <v>7294</v>
      </c>
      <c r="N2646" s="97" t="s">
        <v>414</v>
      </c>
      <c r="O2646" s="58" t="s">
        <v>5713</v>
      </c>
      <c r="P2646" s="58" t="s">
        <v>24</v>
      </c>
      <c r="Q2646" s="58" t="s">
        <v>100</v>
      </c>
      <c r="R2646" s="58" t="s">
        <v>265</v>
      </c>
    </row>
    <row r="2647" spans="1:18" ht="69" customHeight="1">
      <c r="A2647" s="168"/>
      <c r="B2647" s="1060">
        <v>8324</v>
      </c>
      <c r="C2647" s="1060" t="s">
        <v>458</v>
      </c>
      <c r="D2647" s="1061" t="s">
        <v>7373</v>
      </c>
      <c r="E2647" s="1060" t="s">
        <v>5708</v>
      </c>
      <c r="F2647" s="1062" t="s">
        <v>7374</v>
      </c>
      <c r="G2647" s="1063" t="s">
        <v>2822</v>
      </c>
      <c r="H2647" s="1064">
        <v>3100</v>
      </c>
      <c r="I2647" s="1065">
        <v>44921</v>
      </c>
      <c r="J2647" s="1066" t="s">
        <v>6076</v>
      </c>
      <c r="K2647" s="58"/>
      <c r="L2647" s="99"/>
      <c r="M2647" s="70" t="s">
        <v>7294</v>
      </c>
      <c r="N2647" s="97" t="s">
        <v>414</v>
      </c>
      <c r="O2647" s="58" t="s">
        <v>5713</v>
      </c>
      <c r="P2647" s="58" t="s">
        <v>24</v>
      </c>
      <c r="Q2647" s="58" t="s">
        <v>100</v>
      </c>
      <c r="R2647" s="58" t="s">
        <v>265</v>
      </c>
    </row>
    <row r="2648" spans="1:18" ht="69" customHeight="1">
      <c r="A2648" s="168"/>
      <c r="B2648" s="178">
        <v>8381</v>
      </c>
      <c r="C2648" s="178" t="s">
        <v>458</v>
      </c>
      <c r="D2648" s="575" t="s">
        <v>3796</v>
      </c>
      <c r="E2648" s="178" t="s">
        <v>7265</v>
      </c>
      <c r="F2648" s="210" t="s">
        <v>7375</v>
      </c>
      <c r="G2648" s="58" t="s">
        <v>6312</v>
      </c>
      <c r="H2648" s="546">
        <v>95924.58</v>
      </c>
      <c r="I2648" s="66">
        <v>44923</v>
      </c>
      <c r="J2648" s="411" t="s">
        <v>6717</v>
      </c>
      <c r="K2648" s="58"/>
      <c r="L2648" s="99"/>
      <c r="M2648" s="70" t="s">
        <v>7267</v>
      </c>
      <c r="N2648" s="97" t="s">
        <v>414</v>
      </c>
      <c r="O2648" s="58" t="s">
        <v>5713</v>
      </c>
      <c r="P2648" s="58" t="s">
        <v>24</v>
      </c>
      <c r="Q2648" s="58" t="s">
        <v>100</v>
      </c>
      <c r="R2648" s="58" t="s">
        <v>272</v>
      </c>
    </row>
    <row r="2649" spans="1:18" ht="69" customHeight="1">
      <c r="A2649" s="168"/>
      <c r="B2649" s="59">
        <v>8408</v>
      </c>
      <c r="C2649" s="59" t="s">
        <v>458</v>
      </c>
      <c r="D2649" s="581" t="s">
        <v>1780</v>
      </c>
      <c r="E2649" s="59" t="s">
        <v>5708</v>
      </c>
      <c r="F2649" s="569" t="s">
        <v>7376</v>
      </c>
      <c r="G2649" s="45" t="s">
        <v>6542</v>
      </c>
      <c r="H2649" s="198">
        <v>3007</v>
      </c>
      <c r="I2649" s="47">
        <v>44923</v>
      </c>
      <c r="J2649" s="410" t="s">
        <v>7377</v>
      </c>
      <c r="K2649" s="58"/>
      <c r="L2649" s="99"/>
      <c r="M2649" s="70" t="s">
        <v>7294</v>
      </c>
      <c r="N2649" s="97" t="s">
        <v>414</v>
      </c>
      <c r="O2649" s="58" t="s">
        <v>5713</v>
      </c>
      <c r="P2649" s="58" t="s">
        <v>24</v>
      </c>
      <c r="Q2649" s="58" t="s">
        <v>100</v>
      </c>
      <c r="R2649" s="58" t="s">
        <v>265</v>
      </c>
    </row>
    <row r="2650" spans="1:18" ht="69" customHeight="1">
      <c r="A2650" s="168"/>
      <c r="B2650" s="178">
        <v>8569</v>
      </c>
      <c r="C2650" s="178" t="s">
        <v>458</v>
      </c>
      <c r="D2650" s="575" t="s">
        <v>1382</v>
      </c>
      <c r="E2650" s="178" t="s">
        <v>3235</v>
      </c>
      <c r="F2650" s="210" t="s">
        <v>7378</v>
      </c>
      <c r="G2650" s="58" t="s">
        <v>1877</v>
      </c>
      <c r="H2650" s="546">
        <v>10060.799999999999</v>
      </c>
      <c r="I2650" s="66">
        <v>44946</v>
      </c>
      <c r="J2650" s="411" t="s">
        <v>1878</v>
      </c>
      <c r="K2650" s="58"/>
      <c r="L2650" s="99"/>
      <c r="M2650" s="70" t="s">
        <v>7325</v>
      </c>
      <c r="N2650" s="97" t="s">
        <v>1044</v>
      </c>
      <c r="O2650" s="58"/>
      <c r="P2650" s="58" t="s">
        <v>26</v>
      </c>
      <c r="Q2650" s="58" t="s">
        <v>100</v>
      </c>
      <c r="R2650" s="58" t="s">
        <v>272</v>
      </c>
    </row>
    <row r="2651" spans="1:18" ht="69" customHeight="1">
      <c r="A2651" s="168"/>
      <c r="B2651" s="1060">
        <v>8490</v>
      </c>
      <c r="C2651" s="1060" t="s">
        <v>458</v>
      </c>
      <c r="D2651" s="1061" t="s">
        <v>2122</v>
      </c>
      <c r="E2651" s="1060" t="s">
        <v>5708</v>
      </c>
      <c r="F2651" s="1062" t="s">
        <v>7379</v>
      </c>
      <c r="G2651" s="1063" t="s">
        <v>6554</v>
      </c>
      <c r="H2651" s="1064">
        <v>30447.55</v>
      </c>
      <c r="I2651" s="1065">
        <v>44935</v>
      </c>
      <c r="J2651" s="1066" t="s">
        <v>6093</v>
      </c>
      <c r="K2651" s="58"/>
      <c r="L2651" s="99"/>
      <c r="M2651" s="70" t="s">
        <v>7294</v>
      </c>
      <c r="N2651" s="97" t="s">
        <v>414</v>
      </c>
      <c r="O2651" s="58" t="s">
        <v>5713</v>
      </c>
      <c r="P2651" s="58" t="s">
        <v>24</v>
      </c>
      <c r="Q2651" s="58" t="s">
        <v>100</v>
      </c>
      <c r="R2651" s="58" t="s">
        <v>265</v>
      </c>
    </row>
    <row r="2652" spans="1:18" ht="69" customHeight="1">
      <c r="A2652" s="168"/>
      <c r="B2652" s="59">
        <v>8508</v>
      </c>
      <c r="C2652" s="59" t="s">
        <v>458</v>
      </c>
      <c r="D2652" s="581" t="s">
        <v>3025</v>
      </c>
      <c r="E2652" s="59" t="s">
        <v>5708</v>
      </c>
      <c r="F2652" s="569" t="s">
        <v>7380</v>
      </c>
      <c r="G2652" s="45" t="s">
        <v>6376</v>
      </c>
      <c r="H2652" s="198">
        <v>3800</v>
      </c>
      <c r="I2652" s="47">
        <v>44937</v>
      </c>
      <c r="J2652" s="410" t="s">
        <v>6377</v>
      </c>
      <c r="K2652" s="58"/>
      <c r="L2652" s="99"/>
      <c r="M2652" s="70" t="s">
        <v>7294</v>
      </c>
      <c r="N2652" s="97" t="s">
        <v>414</v>
      </c>
      <c r="O2652" s="58" t="s">
        <v>5713</v>
      </c>
      <c r="P2652" s="58" t="s">
        <v>24</v>
      </c>
      <c r="Q2652" s="58" t="s">
        <v>100</v>
      </c>
      <c r="R2652" s="58" t="s">
        <v>265</v>
      </c>
    </row>
    <row r="2653" spans="1:18" ht="69" customHeight="1">
      <c r="A2653" s="168"/>
      <c r="B2653" s="59">
        <v>8513</v>
      </c>
      <c r="C2653" s="59" t="s">
        <v>458</v>
      </c>
      <c r="D2653" s="581" t="s">
        <v>2100</v>
      </c>
      <c r="E2653" s="59" t="s">
        <v>5708</v>
      </c>
      <c r="F2653" s="569" t="s">
        <v>7381</v>
      </c>
      <c r="G2653" s="45" t="s">
        <v>7382</v>
      </c>
      <c r="H2653" s="198">
        <v>7567.35</v>
      </c>
      <c r="I2653" s="47">
        <v>44937</v>
      </c>
      <c r="J2653" s="410" t="s">
        <v>7383</v>
      </c>
      <c r="K2653" s="58"/>
      <c r="L2653" s="99"/>
      <c r="M2653" s="70" t="s">
        <v>7294</v>
      </c>
      <c r="N2653" s="97" t="s">
        <v>414</v>
      </c>
      <c r="O2653" s="58" t="s">
        <v>5713</v>
      </c>
      <c r="P2653" s="58" t="s">
        <v>24</v>
      </c>
      <c r="Q2653" s="58" t="s">
        <v>100</v>
      </c>
      <c r="R2653" s="58" t="s">
        <v>265</v>
      </c>
    </row>
    <row r="2654" spans="1:18" ht="69" customHeight="1">
      <c r="A2654" s="168"/>
      <c r="B2654" s="59">
        <v>8043</v>
      </c>
      <c r="C2654" s="59" t="s">
        <v>458</v>
      </c>
      <c r="D2654" s="581" t="s">
        <v>3263</v>
      </c>
      <c r="E2654" s="59" t="s">
        <v>5708</v>
      </c>
      <c r="F2654" s="569" t="s">
        <v>7384</v>
      </c>
      <c r="G2654" s="45" t="s">
        <v>6557</v>
      </c>
      <c r="H2654" s="198">
        <v>12555.55</v>
      </c>
      <c r="I2654" s="47">
        <v>44939</v>
      </c>
      <c r="J2654" s="410" t="s">
        <v>6384</v>
      </c>
      <c r="K2654" s="58"/>
      <c r="L2654" s="99"/>
      <c r="M2654" s="70" t="s">
        <v>7294</v>
      </c>
      <c r="N2654" s="97" t="s">
        <v>414</v>
      </c>
      <c r="O2654" s="58" t="s">
        <v>5713</v>
      </c>
      <c r="P2654" s="58" t="s">
        <v>24</v>
      </c>
      <c r="Q2654" s="58" t="s">
        <v>100</v>
      </c>
      <c r="R2654" s="58" t="s">
        <v>265</v>
      </c>
    </row>
    <row r="2655" spans="1:18" ht="69" customHeight="1">
      <c r="A2655" s="168"/>
      <c r="B2655" s="1060">
        <v>8570</v>
      </c>
      <c r="C2655" s="1060" t="s">
        <v>458</v>
      </c>
      <c r="D2655" s="1061" t="s">
        <v>7385</v>
      </c>
      <c r="E2655" s="1060" t="s">
        <v>5708</v>
      </c>
      <c r="F2655" s="1062" t="s">
        <v>7386</v>
      </c>
      <c r="G2655" s="1063" t="s">
        <v>6386</v>
      </c>
      <c r="H2655" s="1064">
        <v>6000</v>
      </c>
      <c r="I2655" s="1065">
        <v>44944</v>
      </c>
      <c r="J2655" s="1066" t="s">
        <v>6387</v>
      </c>
      <c r="K2655" s="58"/>
      <c r="L2655" s="99"/>
      <c r="M2655" s="70" t="s">
        <v>7294</v>
      </c>
      <c r="N2655" s="97" t="s">
        <v>414</v>
      </c>
      <c r="O2655" s="58" t="s">
        <v>5713</v>
      </c>
      <c r="P2655" s="58" t="s">
        <v>24</v>
      </c>
      <c r="Q2655" s="58" t="s">
        <v>100</v>
      </c>
      <c r="R2655" s="58" t="s">
        <v>265</v>
      </c>
    </row>
    <row r="2656" spans="1:18" ht="69" customHeight="1">
      <c r="A2656" s="168"/>
      <c r="B2656" s="1060">
        <v>8690</v>
      </c>
      <c r="C2656" s="1060" t="s">
        <v>458</v>
      </c>
      <c r="D2656" s="1061" t="s">
        <v>2554</v>
      </c>
      <c r="E2656" s="1060" t="s">
        <v>5708</v>
      </c>
      <c r="F2656" s="1062" t="s">
        <v>7387</v>
      </c>
      <c r="G2656" s="1063" t="s">
        <v>5351</v>
      </c>
      <c r="H2656" s="1064">
        <v>11791.3</v>
      </c>
      <c r="I2656" s="1065">
        <v>44970</v>
      </c>
      <c r="J2656" s="1066" t="s">
        <v>6115</v>
      </c>
      <c r="K2656" s="58"/>
      <c r="L2656" s="99"/>
      <c r="M2656" s="70" t="s">
        <v>7294</v>
      </c>
      <c r="N2656" s="97" t="s">
        <v>414</v>
      </c>
      <c r="O2656" s="58" t="s">
        <v>5713</v>
      </c>
      <c r="P2656" s="58" t="s">
        <v>24</v>
      </c>
      <c r="Q2656" s="58" t="s">
        <v>100</v>
      </c>
      <c r="R2656" s="58" t="s">
        <v>265</v>
      </c>
    </row>
    <row r="2657" spans="1:18" ht="69" customHeight="1">
      <c r="A2657" s="168"/>
      <c r="B2657" s="178">
        <v>8812</v>
      </c>
      <c r="C2657" s="511" t="s">
        <v>458</v>
      </c>
      <c r="D2657" s="597" t="s">
        <v>3304</v>
      </c>
      <c r="E2657" s="511" t="s">
        <v>6192</v>
      </c>
      <c r="F2657" s="598" t="s">
        <v>7388</v>
      </c>
      <c r="G2657" s="455" t="s">
        <v>6194</v>
      </c>
      <c r="H2657" s="546">
        <v>494166.75</v>
      </c>
      <c r="I2657" s="66" t="s">
        <v>96</v>
      </c>
      <c r="J2657" s="599" t="s">
        <v>6195</v>
      </c>
      <c r="K2657" s="58"/>
      <c r="L2657" s="99"/>
      <c r="M2657" s="70" t="s">
        <v>7389</v>
      </c>
      <c r="N2657" s="97" t="s">
        <v>6197</v>
      </c>
      <c r="O2657" s="58"/>
      <c r="P2657" s="58" t="s">
        <v>22</v>
      </c>
      <c r="Q2657" s="58" t="s">
        <v>100</v>
      </c>
      <c r="R2657" s="58" t="s">
        <v>272</v>
      </c>
    </row>
    <row r="2658" spans="1:18" ht="69" customHeight="1">
      <c r="A2658" s="168"/>
      <c r="B2658" s="178">
        <v>8966</v>
      </c>
      <c r="C2658" s="178" t="s">
        <v>458</v>
      </c>
      <c r="D2658" s="575" t="s">
        <v>1202</v>
      </c>
      <c r="E2658" s="178" t="s">
        <v>6578</v>
      </c>
      <c r="F2658" s="210" t="s">
        <v>7390</v>
      </c>
      <c r="G2658" s="58" t="s">
        <v>6580</v>
      </c>
      <c r="H2658" s="546">
        <v>44424.78</v>
      </c>
      <c r="I2658" s="66">
        <v>44988</v>
      </c>
      <c r="J2658" s="411" t="s">
        <v>6581</v>
      </c>
      <c r="K2658" s="58"/>
      <c r="L2658" s="99"/>
      <c r="M2658" s="70" t="s">
        <v>7389</v>
      </c>
      <c r="N2658" s="97" t="s">
        <v>6197</v>
      </c>
      <c r="O2658" s="58"/>
      <c r="P2658" s="58" t="s">
        <v>22</v>
      </c>
      <c r="Q2658" s="58" t="s">
        <v>100</v>
      </c>
      <c r="R2658" s="58" t="s">
        <v>265</v>
      </c>
    </row>
    <row r="2659" spans="1:18" ht="69" customHeight="1">
      <c r="A2659" s="168"/>
      <c r="B2659" s="191">
        <v>8970</v>
      </c>
      <c r="C2659" s="191" t="s">
        <v>458</v>
      </c>
      <c r="D2659" s="533" t="s">
        <v>6962</v>
      </c>
      <c r="E2659" s="191" t="s">
        <v>6578</v>
      </c>
      <c r="F2659" s="211" t="s">
        <v>7391</v>
      </c>
      <c r="G2659" s="46" t="s">
        <v>6585</v>
      </c>
      <c r="H2659" s="534">
        <v>17985.25</v>
      </c>
      <c r="I2659" s="56">
        <v>44988</v>
      </c>
      <c r="J2659" s="412" t="s">
        <v>6586</v>
      </c>
      <c r="K2659" s="46" t="s">
        <v>167</v>
      </c>
      <c r="L2659" s="99"/>
      <c r="M2659" s="70" t="s">
        <v>7389</v>
      </c>
      <c r="N2659" s="97" t="s">
        <v>6197</v>
      </c>
      <c r="O2659" s="46"/>
      <c r="P2659" s="46" t="s">
        <v>71</v>
      </c>
      <c r="Q2659" s="46" t="s">
        <v>100</v>
      </c>
      <c r="R2659" s="46" t="s">
        <v>265</v>
      </c>
    </row>
    <row r="2660" spans="1:18" ht="69" customHeight="1">
      <c r="A2660" s="168"/>
      <c r="B2660" s="191">
        <v>8971</v>
      </c>
      <c r="C2660" s="191" t="s">
        <v>458</v>
      </c>
      <c r="D2660" s="533" t="s">
        <v>6707</v>
      </c>
      <c r="E2660" s="191" t="s">
        <v>6578</v>
      </c>
      <c r="F2660" s="211" t="s">
        <v>7392</v>
      </c>
      <c r="G2660" s="46" t="s">
        <v>7393</v>
      </c>
      <c r="H2660" s="534">
        <v>11509.96</v>
      </c>
      <c r="I2660" s="56">
        <v>44988</v>
      </c>
      <c r="J2660" s="412" t="s">
        <v>6586</v>
      </c>
      <c r="K2660" s="46" t="s">
        <v>167</v>
      </c>
      <c r="L2660" s="99"/>
      <c r="M2660" s="70" t="s">
        <v>7389</v>
      </c>
      <c r="N2660" s="97" t="s">
        <v>6197</v>
      </c>
      <c r="O2660" s="46"/>
      <c r="P2660" s="46" t="s">
        <v>71</v>
      </c>
      <c r="Q2660" s="46" t="s">
        <v>100</v>
      </c>
      <c r="R2660" s="46" t="s">
        <v>265</v>
      </c>
    </row>
    <row r="2661" spans="1:18" ht="69" customHeight="1">
      <c r="A2661" s="168"/>
      <c r="B2661" s="178">
        <v>9019</v>
      </c>
      <c r="C2661" s="178" t="s">
        <v>458</v>
      </c>
      <c r="D2661" s="575" t="s">
        <v>6331</v>
      </c>
      <c r="E2661" s="178" t="s">
        <v>6192</v>
      </c>
      <c r="F2661" s="210" t="s">
        <v>7394</v>
      </c>
      <c r="G2661" s="58" t="s">
        <v>6403</v>
      </c>
      <c r="H2661" s="546">
        <v>208785.45</v>
      </c>
      <c r="I2661" s="66">
        <v>45001</v>
      </c>
      <c r="J2661" s="411" t="s">
        <v>6404</v>
      </c>
      <c r="K2661" s="58"/>
      <c r="L2661" s="99"/>
      <c r="M2661" s="70" t="s">
        <v>7389</v>
      </c>
      <c r="N2661" s="97" t="s">
        <v>6197</v>
      </c>
      <c r="O2661" s="58"/>
      <c r="P2661" s="58" t="s">
        <v>22</v>
      </c>
      <c r="Q2661" s="58" t="s">
        <v>100</v>
      </c>
      <c r="R2661" s="58" t="s">
        <v>265</v>
      </c>
    </row>
    <row r="2662" spans="1:18" ht="69" customHeight="1">
      <c r="A2662" s="168"/>
      <c r="B2662" s="178">
        <v>9020</v>
      </c>
      <c r="C2662" s="178" t="s">
        <v>458</v>
      </c>
      <c r="D2662" s="575" t="s">
        <v>7395</v>
      </c>
      <c r="E2662" s="178" t="s">
        <v>6192</v>
      </c>
      <c r="F2662" s="210" t="s">
        <v>7396</v>
      </c>
      <c r="G2662" s="58" t="s">
        <v>6407</v>
      </c>
      <c r="H2662" s="546">
        <v>112422.94</v>
      </c>
      <c r="I2662" s="66">
        <v>45001</v>
      </c>
      <c r="J2662" s="411" t="s">
        <v>6404</v>
      </c>
      <c r="K2662" s="58"/>
      <c r="L2662" s="99"/>
      <c r="M2662" s="70" t="s">
        <v>7389</v>
      </c>
      <c r="N2662" s="97" t="s">
        <v>6197</v>
      </c>
      <c r="O2662" s="58"/>
      <c r="P2662" s="58" t="s">
        <v>22</v>
      </c>
      <c r="Q2662" s="58" t="s">
        <v>100</v>
      </c>
      <c r="R2662" s="58" t="s">
        <v>265</v>
      </c>
    </row>
    <row r="2663" spans="1:18" ht="69" customHeight="1">
      <c r="A2663" s="168"/>
      <c r="B2663" s="178">
        <v>9034</v>
      </c>
      <c r="C2663" s="178" t="s">
        <v>458</v>
      </c>
      <c r="D2663" s="575" t="s">
        <v>7397</v>
      </c>
      <c r="E2663" s="178" t="s">
        <v>741</v>
      </c>
      <c r="F2663" s="210" t="s">
        <v>7398</v>
      </c>
      <c r="G2663" s="58" t="s">
        <v>7399</v>
      </c>
      <c r="H2663" s="546">
        <v>34000</v>
      </c>
      <c r="I2663" s="66">
        <v>45001</v>
      </c>
      <c r="J2663" s="411" t="s">
        <v>7400</v>
      </c>
      <c r="K2663" s="58"/>
      <c r="L2663" s="99"/>
      <c r="M2663" s="70" t="s">
        <v>7367</v>
      </c>
      <c r="N2663" s="97" t="s">
        <v>741</v>
      </c>
      <c r="O2663" s="58"/>
      <c r="P2663" s="58" t="s">
        <v>59</v>
      </c>
      <c r="Q2663" s="58" t="s">
        <v>100</v>
      </c>
      <c r="R2663" s="58" t="s">
        <v>272</v>
      </c>
    </row>
    <row r="2664" spans="1:18" ht="69" customHeight="1">
      <c r="A2664" s="168"/>
      <c r="B2664" s="178">
        <v>9099</v>
      </c>
      <c r="C2664" s="178" t="s">
        <v>458</v>
      </c>
      <c r="D2664" s="575" t="s">
        <v>7401</v>
      </c>
      <c r="E2664" s="178" t="s">
        <v>6578</v>
      </c>
      <c r="F2664" s="210" t="s">
        <v>7402</v>
      </c>
      <c r="G2664" s="58" t="s">
        <v>7403</v>
      </c>
      <c r="H2664" s="546">
        <v>51950</v>
      </c>
      <c r="I2664" s="66">
        <v>45002</v>
      </c>
      <c r="J2664" s="411" t="s">
        <v>7404</v>
      </c>
      <c r="K2664" s="58"/>
      <c r="L2664" s="99"/>
      <c r="M2664" s="70" t="s">
        <v>7389</v>
      </c>
      <c r="N2664" s="97" t="s">
        <v>6197</v>
      </c>
      <c r="O2664" s="58"/>
      <c r="P2664" s="58" t="s">
        <v>22</v>
      </c>
      <c r="Q2664" s="58" t="s">
        <v>100</v>
      </c>
      <c r="R2664" s="58" t="s">
        <v>265</v>
      </c>
    </row>
    <row r="2665" spans="1:18" ht="69" customHeight="1">
      <c r="A2665" s="168"/>
      <c r="B2665" s="178">
        <v>9109</v>
      </c>
      <c r="C2665" s="178" t="s">
        <v>458</v>
      </c>
      <c r="D2665" s="575" t="s">
        <v>6336</v>
      </c>
      <c r="E2665" s="178" t="s">
        <v>6578</v>
      </c>
      <c r="F2665" s="210" t="s">
        <v>7405</v>
      </c>
      <c r="G2665" s="58" t="s">
        <v>5150</v>
      </c>
      <c r="H2665" s="546">
        <v>51000</v>
      </c>
      <c r="I2665" s="66">
        <v>45002</v>
      </c>
      <c r="J2665" s="411" t="s">
        <v>7406</v>
      </c>
      <c r="K2665" s="58"/>
      <c r="L2665" s="99"/>
      <c r="M2665" s="70" t="s">
        <v>7389</v>
      </c>
      <c r="N2665" s="97" t="s">
        <v>6197</v>
      </c>
      <c r="O2665" s="58"/>
      <c r="P2665" s="58" t="s">
        <v>22</v>
      </c>
      <c r="Q2665" s="58" t="s">
        <v>100</v>
      </c>
      <c r="R2665" s="58" t="s">
        <v>265</v>
      </c>
    </row>
    <row r="2666" spans="1:18" ht="69" customHeight="1">
      <c r="A2666" s="168"/>
      <c r="B2666" s="191">
        <v>9448</v>
      </c>
      <c r="C2666" s="191" t="s">
        <v>458</v>
      </c>
      <c r="D2666" s="533" t="s">
        <v>833</v>
      </c>
      <c r="E2666" s="191" t="s">
        <v>6226</v>
      </c>
      <c r="F2666" s="211" t="s">
        <v>7407</v>
      </c>
      <c r="G2666" s="46" t="s">
        <v>6597</v>
      </c>
      <c r="H2666" s="534">
        <v>0</v>
      </c>
      <c r="I2666" s="56">
        <v>45014</v>
      </c>
      <c r="J2666" s="412" t="s">
        <v>5864</v>
      </c>
      <c r="K2666" s="46" t="s">
        <v>167</v>
      </c>
      <c r="L2666" s="99"/>
      <c r="M2666" s="379"/>
      <c r="N2666" s="76" t="s">
        <v>6197</v>
      </c>
      <c r="O2666" s="46"/>
      <c r="P2666" s="46" t="s">
        <v>71</v>
      </c>
      <c r="Q2666" s="46" t="s">
        <v>100</v>
      </c>
      <c r="R2666" s="46" t="s">
        <v>272</v>
      </c>
    </row>
    <row r="2667" spans="1:18" ht="69" customHeight="1">
      <c r="A2667" s="168"/>
      <c r="B2667" s="178">
        <v>9456</v>
      </c>
      <c r="C2667" s="178" t="s">
        <v>458</v>
      </c>
      <c r="D2667" s="575" t="s">
        <v>7408</v>
      </c>
      <c r="E2667" s="178" t="s">
        <v>6578</v>
      </c>
      <c r="F2667" s="210" t="s">
        <v>7409</v>
      </c>
      <c r="G2667" s="58" t="s">
        <v>4380</v>
      </c>
      <c r="H2667" s="546">
        <v>25002</v>
      </c>
      <c r="I2667" s="66">
        <v>45014</v>
      </c>
      <c r="J2667" s="411" t="s">
        <v>6600</v>
      </c>
      <c r="K2667" s="58"/>
      <c r="L2667" s="99"/>
      <c r="M2667" s="70" t="s">
        <v>7389</v>
      </c>
      <c r="N2667" s="97" t="s">
        <v>6197</v>
      </c>
      <c r="O2667" s="58"/>
      <c r="P2667" s="58" t="s">
        <v>22</v>
      </c>
      <c r="Q2667" s="58" t="s">
        <v>100</v>
      </c>
      <c r="R2667" s="58" t="s">
        <v>265</v>
      </c>
    </row>
    <row r="2668" spans="1:18" ht="69" customHeight="1">
      <c r="A2668" s="168"/>
      <c r="B2668" s="178">
        <v>9652</v>
      </c>
      <c r="C2668" s="178" t="s">
        <v>458</v>
      </c>
      <c r="D2668" s="575" t="s">
        <v>6067</v>
      </c>
      <c r="E2668" s="178" t="s">
        <v>6192</v>
      </c>
      <c r="F2668" s="210" t="s">
        <v>7410</v>
      </c>
      <c r="G2668" s="58" t="s">
        <v>6423</v>
      </c>
      <c r="H2668" s="546">
        <v>39965.910000000003</v>
      </c>
      <c r="I2668" s="66">
        <v>45014</v>
      </c>
      <c r="J2668" s="411" t="s">
        <v>7411</v>
      </c>
      <c r="K2668" s="58"/>
      <c r="L2668" s="99"/>
      <c r="M2668" s="70" t="s">
        <v>7412</v>
      </c>
      <c r="N2668" s="97" t="s">
        <v>6197</v>
      </c>
      <c r="O2668" s="58"/>
      <c r="P2668" s="58" t="s">
        <v>22</v>
      </c>
      <c r="Q2668" s="58" t="s">
        <v>100</v>
      </c>
      <c r="R2668" s="58" t="s">
        <v>272</v>
      </c>
    </row>
    <row r="2669" spans="1:18" ht="69" customHeight="1">
      <c r="A2669" s="168"/>
      <c r="B2669" s="178">
        <v>9653</v>
      </c>
      <c r="C2669" s="178" t="s">
        <v>458</v>
      </c>
      <c r="D2669" s="575" t="s">
        <v>3520</v>
      </c>
      <c r="E2669" s="178" t="s">
        <v>6192</v>
      </c>
      <c r="F2669" s="210" t="s">
        <v>7413</v>
      </c>
      <c r="G2669" s="58" t="s">
        <v>6427</v>
      </c>
      <c r="H2669" s="546">
        <v>74222.41</v>
      </c>
      <c r="I2669" s="66">
        <v>45014</v>
      </c>
      <c r="J2669" s="411" t="s">
        <v>7411</v>
      </c>
      <c r="K2669" s="58"/>
      <c r="L2669" s="99"/>
      <c r="M2669" s="70" t="s">
        <v>7412</v>
      </c>
      <c r="N2669" s="97" t="s">
        <v>6197</v>
      </c>
      <c r="O2669" s="58"/>
      <c r="P2669" s="58" t="s">
        <v>22</v>
      </c>
      <c r="Q2669" s="58" t="s">
        <v>100</v>
      </c>
      <c r="R2669" s="58" t="s">
        <v>272</v>
      </c>
    </row>
    <row r="2670" spans="1:18" ht="69" customHeight="1">
      <c r="A2670" s="168"/>
      <c r="B2670" s="178">
        <v>9683</v>
      </c>
      <c r="C2670" s="178" t="s">
        <v>458</v>
      </c>
      <c r="D2670" s="575" t="s">
        <v>843</v>
      </c>
      <c r="E2670" s="178" t="s">
        <v>350</v>
      </c>
      <c r="F2670" s="210" t="s">
        <v>7414</v>
      </c>
      <c r="G2670" s="58" t="s">
        <v>7067</v>
      </c>
      <c r="H2670" s="546">
        <v>67950</v>
      </c>
      <c r="I2670" s="66">
        <v>45019</v>
      </c>
      <c r="J2670" s="411" t="s">
        <v>7068</v>
      </c>
      <c r="K2670" s="58"/>
      <c r="L2670" s="99"/>
      <c r="M2670" s="70" t="s">
        <v>7241</v>
      </c>
      <c r="N2670" s="97" t="s">
        <v>356</v>
      </c>
      <c r="O2670" s="58" t="s">
        <v>141</v>
      </c>
      <c r="P2670" s="58" t="s">
        <v>19</v>
      </c>
      <c r="Q2670" s="58" t="s">
        <v>100</v>
      </c>
      <c r="R2670" s="58" t="s">
        <v>265</v>
      </c>
    </row>
    <row r="2671" spans="1:18" ht="69" customHeight="1">
      <c r="A2671" s="168"/>
      <c r="B2671" s="178">
        <v>9696</v>
      </c>
      <c r="C2671" s="178" t="s">
        <v>7415</v>
      </c>
      <c r="D2671" s="575" t="s">
        <v>5048</v>
      </c>
      <c r="E2671" s="178" t="s">
        <v>266</v>
      </c>
      <c r="F2671" s="210" t="s">
        <v>7416</v>
      </c>
      <c r="G2671" s="58" t="s">
        <v>7417</v>
      </c>
      <c r="H2671" s="546">
        <v>60.44</v>
      </c>
      <c r="I2671" s="66">
        <v>45019</v>
      </c>
      <c r="J2671" s="411" t="s">
        <v>7418</v>
      </c>
      <c r="K2671" s="58"/>
      <c r="L2671" s="99"/>
      <c r="M2671" s="70" t="s">
        <v>7231</v>
      </c>
      <c r="N2671" s="97" t="s">
        <v>270</v>
      </c>
      <c r="O2671" s="58"/>
      <c r="P2671" s="58" t="s">
        <v>44</v>
      </c>
      <c r="Q2671" s="58" t="s">
        <v>100</v>
      </c>
      <c r="R2671" s="58" t="s">
        <v>272</v>
      </c>
    </row>
    <row r="2672" spans="1:18" ht="69" customHeight="1">
      <c r="A2672" s="168"/>
      <c r="B2672" s="207">
        <v>9791</v>
      </c>
      <c r="C2672" s="207" t="s">
        <v>458</v>
      </c>
      <c r="D2672" s="301" t="s">
        <v>3615</v>
      </c>
      <c r="E2672" s="207" t="s">
        <v>6578</v>
      </c>
      <c r="F2672" s="208" t="s">
        <v>7419</v>
      </c>
      <c r="G2672" s="160" t="s">
        <v>6436</v>
      </c>
      <c r="H2672" s="300">
        <v>29414.74</v>
      </c>
      <c r="I2672" s="209">
        <v>45041</v>
      </c>
      <c r="J2672" s="322" t="s">
        <v>6437</v>
      </c>
      <c r="K2672" s="160" t="s">
        <v>727</v>
      </c>
      <c r="M2672" s="380"/>
      <c r="N2672" s="82" t="s">
        <v>6197</v>
      </c>
      <c r="O2672" s="160"/>
      <c r="P2672" s="160" t="s">
        <v>67</v>
      </c>
      <c r="Q2672" s="160" t="s">
        <v>100</v>
      </c>
      <c r="R2672" s="160" t="s">
        <v>272</v>
      </c>
    </row>
    <row r="2673" spans="1:18" ht="69" customHeight="1">
      <c r="A2673" s="168"/>
      <c r="B2673" s="178">
        <v>9760</v>
      </c>
      <c r="C2673" s="178" t="s">
        <v>458</v>
      </c>
      <c r="D2673" s="575" t="s">
        <v>7420</v>
      </c>
      <c r="E2673" s="178" t="s">
        <v>6578</v>
      </c>
      <c r="F2673" s="210" t="s">
        <v>7421</v>
      </c>
      <c r="G2673" s="58" t="s">
        <v>7422</v>
      </c>
      <c r="H2673" s="546">
        <v>102000</v>
      </c>
      <c r="I2673" s="66">
        <v>45041</v>
      </c>
      <c r="J2673" s="411" t="s">
        <v>7423</v>
      </c>
      <c r="K2673" s="58"/>
      <c r="L2673" s="99"/>
      <c r="M2673" s="70" t="s">
        <v>7389</v>
      </c>
      <c r="N2673" s="97" t="s">
        <v>6197</v>
      </c>
      <c r="O2673" s="58"/>
      <c r="P2673" s="58" t="s">
        <v>22</v>
      </c>
      <c r="Q2673" s="58" t="s">
        <v>100</v>
      </c>
      <c r="R2673" s="58" t="s">
        <v>265</v>
      </c>
    </row>
    <row r="2674" spans="1:18" ht="69" customHeight="1">
      <c r="A2674" s="168"/>
      <c r="B2674" s="178">
        <v>9792</v>
      </c>
      <c r="C2674" s="178" t="s">
        <v>458</v>
      </c>
      <c r="D2674" s="575" t="s">
        <v>1638</v>
      </c>
      <c r="E2674" s="178" t="s">
        <v>6578</v>
      </c>
      <c r="F2674" s="210" t="s">
        <v>7424</v>
      </c>
      <c r="G2674" s="58" t="s">
        <v>6617</v>
      </c>
      <c r="H2674" s="546">
        <v>44424.78</v>
      </c>
      <c r="I2674" s="66">
        <v>45041</v>
      </c>
      <c r="J2674" s="411" t="s">
        <v>6618</v>
      </c>
      <c r="K2674" s="58"/>
      <c r="L2674" s="99"/>
      <c r="M2674" s="70" t="s">
        <v>7389</v>
      </c>
      <c r="N2674" s="97" t="s">
        <v>6197</v>
      </c>
      <c r="O2674" s="58"/>
      <c r="P2674" s="58" t="s">
        <v>22</v>
      </c>
      <c r="Q2674" s="58" t="s">
        <v>100</v>
      </c>
      <c r="R2674" s="58" t="s">
        <v>265</v>
      </c>
    </row>
    <row r="2675" spans="1:18" ht="69" customHeight="1">
      <c r="A2675" s="168"/>
      <c r="B2675" s="178">
        <v>9852</v>
      </c>
      <c r="C2675" s="178" t="s">
        <v>458</v>
      </c>
      <c r="D2675" s="575" t="s">
        <v>2646</v>
      </c>
      <c r="E2675" s="178" t="s">
        <v>350</v>
      </c>
      <c r="F2675" s="210" t="s">
        <v>7425</v>
      </c>
      <c r="G2675" s="58" t="s">
        <v>7426</v>
      </c>
      <c r="H2675" s="546">
        <v>77200</v>
      </c>
      <c r="I2675" s="66">
        <v>45061</v>
      </c>
      <c r="J2675" s="411" t="s">
        <v>7427</v>
      </c>
      <c r="K2675" s="58"/>
      <c r="L2675" s="99"/>
      <c r="M2675" s="70" t="s">
        <v>7241</v>
      </c>
      <c r="N2675" s="97" t="s">
        <v>356</v>
      </c>
      <c r="O2675" s="58" t="s">
        <v>141</v>
      </c>
      <c r="P2675" s="58" t="s">
        <v>19</v>
      </c>
      <c r="Q2675" s="58" t="s">
        <v>100</v>
      </c>
      <c r="R2675" s="58" t="s">
        <v>265</v>
      </c>
    </row>
    <row r="2676" spans="1:18" ht="69" customHeight="1">
      <c r="A2676" s="168"/>
      <c r="B2676" s="178">
        <v>9936</v>
      </c>
      <c r="C2676" s="178" t="s">
        <v>458</v>
      </c>
      <c r="D2676" s="575" t="s">
        <v>3133</v>
      </c>
      <c r="E2676" s="178" t="s">
        <v>350</v>
      </c>
      <c r="F2676" s="210" t="s">
        <v>7428</v>
      </c>
      <c r="G2676" s="58" t="s">
        <v>7429</v>
      </c>
      <c r="H2676" s="546">
        <v>50000</v>
      </c>
      <c r="I2676" s="66">
        <v>45061</v>
      </c>
      <c r="J2676" s="411" t="s">
        <v>7430</v>
      </c>
      <c r="K2676" s="58"/>
      <c r="L2676" s="99"/>
      <c r="M2676" s="70" t="s">
        <v>7241</v>
      </c>
      <c r="N2676" s="97" t="s">
        <v>356</v>
      </c>
      <c r="O2676" s="58" t="s">
        <v>141</v>
      </c>
      <c r="P2676" s="58" t="s">
        <v>19</v>
      </c>
      <c r="Q2676" s="58" t="s">
        <v>100</v>
      </c>
      <c r="R2676" s="58" t="s">
        <v>265</v>
      </c>
    </row>
    <row r="2677" spans="1:18" ht="69" customHeight="1">
      <c r="A2677" s="168"/>
      <c r="B2677" s="191">
        <v>9808</v>
      </c>
      <c r="C2677" s="191" t="s">
        <v>458</v>
      </c>
      <c r="D2677" s="533" t="s">
        <v>7431</v>
      </c>
      <c r="E2677" s="191" t="s">
        <v>6226</v>
      </c>
      <c r="F2677" s="211" t="s">
        <v>7432</v>
      </c>
      <c r="G2677" s="46" t="s">
        <v>6455</v>
      </c>
      <c r="H2677" s="534">
        <v>11509.96</v>
      </c>
      <c r="I2677" s="56">
        <v>45041</v>
      </c>
      <c r="J2677" s="412" t="s">
        <v>6229</v>
      </c>
      <c r="K2677" s="46" t="s">
        <v>167</v>
      </c>
      <c r="L2677" s="99"/>
      <c r="M2677" s="379"/>
      <c r="N2677" s="76" t="s">
        <v>6197</v>
      </c>
      <c r="O2677" s="46"/>
      <c r="P2677" s="46" t="s">
        <v>71</v>
      </c>
      <c r="Q2677" s="46" t="s">
        <v>100</v>
      </c>
      <c r="R2677" s="46" t="s">
        <v>272</v>
      </c>
    </row>
    <row r="2678" spans="1:18" ht="69" customHeight="1">
      <c r="A2678" s="168"/>
      <c r="B2678" s="178">
        <v>9862</v>
      </c>
      <c r="C2678" s="178" t="s">
        <v>458</v>
      </c>
      <c r="D2678" s="575" t="s">
        <v>1923</v>
      </c>
      <c r="E2678" s="178" t="s">
        <v>6578</v>
      </c>
      <c r="F2678" s="210" t="s">
        <v>7433</v>
      </c>
      <c r="G2678" s="58" t="s">
        <v>5225</v>
      </c>
      <c r="H2678" s="546">
        <v>38560</v>
      </c>
      <c r="I2678" s="66">
        <v>45051</v>
      </c>
      <c r="J2678" s="411" t="s">
        <v>6458</v>
      </c>
      <c r="K2678" s="58"/>
      <c r="L2678" s="99"/>
      <c r="M2678" s="70" t="s">
        <v>7389</v>
      </c>
      <c r="N2678" s="97" t="s">
        <v>6197</v>
      </c>
      <c r="O2678" s="58"/>
      <c r="P2678" s="58" t="s">
        <v>22</v>
      </c>
      <c r="Q2678" s="58" t="s">
        <v>100</v>
      </c>
      <c r="R2678" s="58" t="s">
        <v>265</v>
      </c>
    </row>
    <row r="2679" spans="1:18" ht="69" customHeight="1">
      <c r="A2679" s="168"/>
      <c r="B2679" s="178">
        <v>9864</v>
      </c>
      <c r="C2679" s="178" t="s">
        <v>458</v>
      </c>
      <c r="D2679" s="575" t="s">
        <v>592</v>
      </c>
      <c r="E2679" s="178" t="s">
        <v>6578</v>
      </c>
      <c r="F2679" s="210" t="s">
        <v>7434</v>
      </c>
      <c r="G2679" s="58" t="s">
        <v>5225</v>
      </c>
      <c r="H2679" s="546">
        <v>29414.74</v>
      </c>
      <c r="I2679" s="66">
        <v>45051</v>
      </c>
      <c r="J2679" s="411" t="s">
        <v>6462</v>
      </c>
      <c r="K2679" s="58"/>
      <c r="L2679" s="99"/>
      <c r="M2679" s="70" t="s">
        <v>7389</v>
      </c>
      <c r="N2679" s="97" t="s">
        <v>6197</v>
      </c>
      <c r="O2679" s="58"/>
      <c r="P2679" s="58" t="s">
        <v>22</v>
      </c>
      <c r="Q2679" s="58" t="s">
        <v>100</v>
      </c>
      <c r="R2679" s="58" t="s">
        <v>265</v>
      </c>
    </row>
    <row r="2680" spans="1:18" ht="69" customHeight="1">
      <c r="A2680" s="168"/>
      <c r="B2680" s="191">
        <v>9926</v>
      </c>
      <c r="C2680" s="191" t="s">
        <v>458</v>
      </c>
      <c r="D2680" s="533" t="s">
        <v>1934</v>
      </c>
      <c r="E2680" s="191" t="s">
        <v>266</v>
      </c>
      <c r="F2680" s="211" t="s">
        <v>7435</v>
      </c>
      <c r="G2680" s="46" t="s">
        <v>1908</v>
      </c>
      <c r="H2680" s="534">
        <v>10000</v>
      </c>
      <c r="I2680" s="56">
        <v>45044</v>
      </c>
      <c r="J2680" s="412" t="s">
        <v>7436</v>
      </c>
      <c r="K2680" s="46" t="s">
        <v>167</v>
      </c>
      <c r="L2680" s="99"/>
      <c r="M2680" s="379"/>
      <c r="N2680" s="76" t="s">
        <v>270</v>
      </c>
      <c r="O2680" s="46"/>
      <c r="P2680" s="46" t="s">
        <v>65</v>
      </c>
      <c r="Q2680" s="46" t="s">
        <v>100</v>
      </c>
      <c r="R2680" s="46" t="s">
        <v>272</v>
      </c>
    </row>
    <row r="2681" spans="1:18" ht="69" customHeight="1">
      <c r="A2681" s="168"/>
      <c r="B2681" s="191">
        <v>9927</v>
      </c>
      <c r="C2681" s="191" t="s">
        <v>458</v>
      </c>
      <c r="D2681" s="533" t="s">
        <v>1243</v>
      </c>
      <c r="E2681" s="191" t="s">
        <v>266</v>
      </c>
      <c r="F2681" s="211" t="s">
        <v>7437</v>
      </c>
      <c r="G2681" s="46" t="s">
        <v>1908</v>
      </c>
      <c r="H2681" s="534">
        <v>50000</v>
      </c>
      <c r="I2681" s="56">
        <v>45044</v>
      </c>
      <c r="J2681" s="412" t="s">
        <v>7436</v>
      </c>
      <c r="K2681" s="46" t="s">
        <v>167</v>
      </c>
      <c r="L2681" s="99"/>
      <c r="M2681" s="379"/>
      <c r="N2681" s="76" t="s">
        <v>270</v>
      </c>
      <c r="O2681" s="46"/>
      <c r="P2681" s="46" t="s">
        <v>65</v>
      </c>
      <c r="Q2681" s="46" t="s">
        <v>100</v>
      </c>
      <c r="R2681" s="46" t="s">
        <v>272</v>
      </c>
    </row>
    <row r="2682" spans="1:18" ht="69" customHeight="1">
      <c r="A2682" s="168"/>
      <c r="B2682" s="191">
        <v>9928</v>
      </c>
      <c r="C2682" s="191" t="s">
        <v>458</v>
      </c>
      <c r="D2682" s="533" t="s">
        <v>1246</v>
      </c>
      <c r="E2682" s="191" t="s">
        <v>266</v>
      </c>
      <c r="F2682" s="211" t="s">
        <v>7438</v>
      </c>
      <c r="G2682" s="46" t="s">
        <v>7439</v>
      </c>
      <c r="H2682" s="534">
        <v>50000</v>
      </c>
      <c r="I2682" s="56">
        <v>45044</v>
      </c>
      <c r="J2682" s="412" t="s">
        <v>7436</v>
      </c>
      <c r="K2682" s="46" t="s">
        <v>167</v>
      </c>
      <c r="L2682" s="99"/>
      <c r="M2682" s="379"/>
      <c r="N2682" s="76" t="s">
        <v>270</v>
      </c>
      <c r="O2682" s="46"/>
      <c r="P2682" s="46" t="s">
        <v>65</v>
      </c>
      <c r="Q2682" s="46" t="s">
        <v>100</v>
      </c>
      <c r="R2682" s="46" t="s">
        <v>272</v>
      </c>
    </row>
    <row r="2683" spans="1:18" ht="69" customHeight="1">
      <c r="A2683" s="168"/>
      <c r="B2683" s="191">
        <v>9931</v>
      </c>
      <c r="C2683" s="191" t="s">
        <v>458</v>
      </c>
      <c r="D2683" s="533" t="s">
        <v>1248</v>
      </c>
      <c r="E2683" s="191" t="s">
        <v>6226</v>
      </c>
      <c r="F2683" s="211" t="s">
        <v>7440</v>
      </c>
      <c r="G2683" s="46" t="s">
        <v>6465</v>
      </c>
      <c r="H2683" s="534">
        <v>38234.199999999997</v>
      </c>
      <c r="I2683" s="56">
        <v>45061</v>
      </c>
      <c r="J2683" s="412" t="s">
        <v>6466</v>
      </c>
      <c r="K2683" s="46" t="s">
        <v>167</v>
      </c>
      <c r="L2683" s="99"/>
      <c r="M2683" s="379"/>
      <c r="N2683" s="76" t="s">
        <v>6197</v>
      </c>
      <c r="O2683" s="46"/>
      <c r="P2683" s="46" t="s">
        <v>65</v>
      </c>
      <c r="Q2683" s="46" t="s">
        <v>100</v>
      </c>
      <c r="R2683" s="46" t="s">
        <v>272</v>
      </c>
    </row>
    <row r="2684" spans="1:18" ht="69" customHeight="1">
      <c r="A2684" s="168"/>
      <c r="B2684" s="178">
        <v>9957</v>
      </c>
      <c r="C2684" s="178" t="s">
        <v>458</v>
      </c>
      <c r="D2684" s="575" t="s">
        <v>7441</v>
      </c>
      <c r="E2684" s="178" t="s">
        <v>6192</v>
      </c>
      <c r="F2684" s="210" t="s">
        <v>7442</v>
      </c>
      <c r="G2684" s="58" t="s">
        <v>7221</v>
      </c>
      <c r="H2684" s="546">
        <v>324191.88</v>
      </c>
      <c r="I2684" s="66">
        <v>45049</v>
      </c>
      <c r="J2684" s="411" t="s">
        <v>6637</v>
      </c>
      <c r="K2684" s="58"/>
      <c r="L2684" s="99"/>
      <c r="M2684" s="70" t="s">
        <v>7412</v>
      </c>
      <c r="N2684" s="97" t="s">
        <v>6197</v>
      </c>
      <c r="O2684" s="58"/>
      <c r="P2684" s="58" t="s">
        <v>22</v>
      </c>
      <c r="Q2684" s="58" t="s">
        <v>100</v>
      </c>
      <c r="R2684" s="58" t="s">
        <v>272</v>
      </c>
    </row>
    <row r="2685" spans="1:18" ht="69" customHeight="1">
      <c r="A2685" s="168"/>
      <c r="B2685" s="178">
        <v>9958</v>
      </c>
      <c r="C2685" s="178" t="s">
        <v>458</v>
      </c>
      <c r="D2685" s="575" t="s">
        <v>7443</v>
      </c>
      <c r="E2685" s="178" t="s">
        <v>6192</v>
      </c>
      <c r="F2685" s="210" t="s">
        <v>7444</v>
      </c>
      <c r="G2685" s="58" t="s">
        <v>7225</v>
      </c>
      <c r="H2685" s="546">
        <v>174564.85</v>
      </c>
      <c r="I2685" s="66">
        <v>45049</v>
      </c>
      <c r="J2685" s="411" t="s">
        <v>6637</v>
      </c>
      <c r="K2685" s="58"/>
      <c r="L2685" s="99"/>
      <c r="M2685" s="70" t="s">
        <v>7412</v>
      </c>
      <c r="N2685" s="97" t="s">
        <v>6197</v>
      </c>
      <c r="O2685" s="58"/>
      <c r="P2685" s="58" t="s">
        <v>22</v>
      </c>
      <c r="Q2685" s="58" t="s">
        <v>100</v>
      </c>
      <c r="R2685" s="58" t="s">
        <v>272</v>
      </c>
    </row>
    <row r="2686" spans="1:18" ht="69" customHeight="1">
      <c r="A2686" s="168"/>
      <c r="B2686" s="178">
        <v>6319</v>
      </c>
      <c r="C2686" s="178" t="s">
        <v>458</v>
      </c>
      <c r="D2686" s="575" t="s">
        <v>978</v>
      </c>
      <c r="E2686" s="178" t="s">
        <v>741</v>
      </c>
      <c r="F2686" s="210" t="s">
        <v>7445</v>
      </c>
      <c r="G2686" s="58" t="s">
        <v>738</v>
      </c>
      <c r="H2686" s="546">
        <v>82516.795499999993</v>
      </c>
      <c r="I2686" s="66">
        <v>44788</v>
      </c>
      <c r="J2686" s="411" t="s">
        <v>7446</v>
      </c>
      <c r="K2686" s="58"/>
      <c r="L2686" s="99"/>
      <c r="M2686" s="70" t="s">
        <v>7447</v>
      </c>
      <c r="N2686" s="97" t="s">
        <v>741</v>
      </c>
      <c r="O2686" s="45" t="s">
        <v>154</v>
      </c>
      <c r="P2686" s="58" t="s">
        <v>59</v>
      </c>
      <c r="Q2686" s="58" t="s">
        <v>101</v>
      </c>
      <c r="R2686" s="58" t="s">
        <v>272</v>
      </c>
    </row>
    <row r="2687" spans="1:18" ht="69" customHeight="1">
      <c r="A2687" s="168"/>
      <c r="B2687" s="178">
        <v>7444</v>
      </c>
      <c r="C2687" s="178" t="s">
        <v>458</v>
      </c>
      <c r="D2687" s="575" t="s">
        <v>6797</v>
      </c>
      <c r="E2687" s="178" t="s">
        <v>741</v>
      </c>
      <c r="F2687" s="210" t="s">
        <v>7448</v>
      </c>
      <c r="G2687" s="58" t="s">
        <v>7449</v>
      </c>
      <c r="H2687" s="546">
        <v>55011.199999999997</v>
      </c>
      <c r="I2687" s="66">
        <v>44879</v>
      </c>
      <c r="J2687" s="411" t="s">
        <v>1606</v>
      </c>
      <c r="K2687" s="58"/>
      <c r="L2687" s="99"/>
      <c r="M2687" s="70" t="s">
        <v>7447</v>
      </c>
      <c r="N2687" s="97" t="s">
        <v>741</v>
      </c>
      <c r="O2687" s="45" t="s">
        <v>154</v>
      </c>
      <c r="P2687" s="58" t="s">
        <v>59</v>
      </c>
      <c r="Q2687" s="58" t="s">
        <v>101</v>
      </c>
      <c r="R2687" s="58" t="s">
        <v>272</v>
      </c>
    </row>
    <row r="2688" spans="1:18" ht="69" customHeight="1">
      <c r="A2688" s="168"/>
      <c r="B2688" s="178">
        <v>6588</v>
      </c>
      <c r="C2688" s="178" t="s">
        <v>458</v>
      </c>
      <c r="D2688" s="575" t="s">
        <v>1320</v>
      </c>
      <c r="E2688" s="178" t="s">
        <v>741</v>
      </c>
      <c r="F2688" s="210" t="s">
        <v>7450</v>
      </c>
      <c r="G2688" s="58" t="s">
        <v>738</v>
      </c>
      <c r="H2688" s="546">
        <v>275055.99</v>
      </c>
      <c r="I2688" s="66">
        <v>44813</v>
      </c>
      <c r="J2688" s="411" t="s">
        <v>7451</v>
      </c>
      <c r="K2688" s="58"/>
      <c r="L2688" s="99"/>
      <c r="M2688" s="70" t="s">
        <v>7447</v>
      </c>
      <c r="N2688" s="97" t="s">
        <v>741</v>
      </c>
      <c r="O2688" s="45" t="s">
        <v>154</v>
      </c>
      <c r="P2688" s="58" t="s">
        <v>59</v>
      </c>
      <c r="Q2688" s="58" t="s">
        <v>101</v>
      </c>
      <c r="R2688" s="58" t="s">
        <v>272</v>
      </c>
    </row>
    <row r="2689" spans="1:18" ht="69" customHeight="1">
      <c r="A2689" s="168"/>
      <c r="B2689" s="178"/>
      <c r="C2689" s="59" t="s">
        <v>7452</v>
      </c>
      <c r="D2689" s="581" t="s">
        <v>7453</v>
      </c>
      <c r="E2689" s="59" t="s">
        <v>755</v>
      </c>
      <c r="F2689" s="569" t="s">
        <v>7454</v>
      </c>
      <c r="G2689" s="45" t="s">
        <v>7455</v>
      </c>
      <c r="H2689" s="546">
        <v>1464668.25</v>
      </c>
      <c r="I2689" s="47">
        <v>44841</v>
      </c>
      <c r="J2689" s="410" t="s">
        <v>7456</v>
      </c>
      <c r="K2689" s="45" t="s">
        <v>4465</v>
      </c>
      <c r="L2689" s="99"/>
      <c r="M2689" s="70" t="s">
        <v>7457</v>
      </c>
      <c r="N2689" s="97" t="s">
        <v>716</v>
      </c>
      <c r="O2689" s="58"/>
      <c r="P2689" s="58" t="s">
        <v>28</v>
      </c>
      <c r="Q2689" s="58" t="s">
        <v>101</v>
      </c>
      <c r="R2689" s="58" t="s">
        <v>272</v>
      </c>
    </row>
    <row r="2690" spans="1:18" ht="69" customHeight="1">
      <c r="A2690" s="168"/>
      <c r="B2690" s="178">
        <v>5343</v>
      </c>
      <c r="C2690" s="59" t="s">
        <v>458</v>
      </c>
      <c r="D2690" s="581" t="s">
        <v>669</v>
      </c>
      <c r="E2690" s="59" t="s">
        <v>409</v>
      </c>
      <c r="F2690" s="569" t="s">
        <v>7458</v>
      </c>
      <c r="G2690" s="45" t="s">
        <v>7459</v>
      </c>
      <c r="H2690" s="546">
        <v>3661670.62</v>
      </c>
      <c r="I2690" s="47">
        <v>44757</v>
      </c>
      <c r="J2690" s="410" t="s">
        <v>7460</v>
      </c>
      <c r="K2690" s="45" t="s">
        <v>3385</v>
      </c>
      <c r="L2690" s="99"/>
      <c r="M2690" s="70" t="s">
        <v>7457</v>
      </c>
      <c r="N2690" s="97" t="s">
        <v>716</v>
      </c>
      <c r="O2690" s="58"/>
      <c r="P2690" s="58" t="s">
        <v>28</v>
      </c>
      <c r="Q2690" s="58" t="s">
        <v>101</v>
      </c>
      <c r="R2690" s="58" t="s">
        <v>272</v>
      </c>
    </row>
    <row r="2691" spans="1:18" ht="69" customHeight="1">
      <c r="A2691" s="168"/>
      <c r="B2691" s="178"/>
      <c r="C2691" s="59" t="s">
        <v>7461</v>
      </c>
      <c r="D2691" s="581" t="s">
        <v>2030</v>
      </c>
      <c r="E2691" s="59" t="s">
        <v>755</v>
      </c>
      <c r="F2691" s="569" t="s">
        <v>7462</v>
      </c>
      <c r="G2691" s="45" t="s">
        <v>725</v>
      </c>
      <c r="H2691" s="546">
        <v>1025267.77</v>
      </c>
      <c r="I2691" s="47">
        <v>44776</v>
      </c>
      <c r="J2691" s="410" t="s">
        <v>7463</v>
      </c>
      <c r="K2691" s="45" t="s">
        <v>4455</v>
      </c>
      <c r="L2691" s="99"/>
      <c r="M2691" s="70" t="s">
        <v>7457</v>
      </c>
      <c r="N2691" s="97" t="s">
        <v>716</v>
      </c>
      <c r="O2691" s="58"/>
      <c r="P2691" s="58" t="s">
        <v>28</v>
      </c>
      <c r="Q2691" s="58" t="s">
        <v>101</v>
      </c>
      <c r="R2691" s="58" t="s">
        <v>272</v>
      </c>
    </row>
    <row r="2692" spans="1:18" ht="69" customHeight="1">
      <c r="A2692" s="168"/>
      <c r="B2692" s="178">
        <v>6248</v>
      </c>
      <c r="C2692" s="59" t="s">
        <v>7464</v>
      </c>
      <c r="D2692" s="581" t="s">
        <v>983</v>
      </c>
      <c r="E2692" s="59" t="s">
        <v>755</v>
      </c>
      <c r="F2692" s="569" t="s">
        <v>7465</v>
      </c>
      <c r="G2692" s="45" t="s">
        <v>7466</v>
      </c>
      <c r="H2692" s="546">
        <v>439400.47</v>
      </c>
      <c r="I2692" s="47">
        <v>44788</v>
      </c>
      <c r="J2692" s="410" t="s">
        <v>7463</v>
      </c>
      <c r="K2692" s="45"/>
      <c r="L2692" s="99"/>
      <c r="M2692" s="70" t="s">
        <v>7457</v>
      </c>
      <c r="N2692" s="97" t="s">
        <v>716</v>
      </c>
      <c r="O2692" s="58"/>
      <c r="P2692" s="58" t="s">
        <v>28</v>
      </c>
      <c r="Q2692" s="58" t="s">
        <v>101</v>
      </c>
      <c r="R2692" s="58" t="s">
        <v>272</v>
      </c>
    </row>
    <row r="2693" spans="1:18" ht="69" customHeight="1">
      <c r="A2693" s="168"/>
      <c r="B2693" s="178">
        <v>7421</v>
      </c>
      <c r="C2693" s="178" t="s">
        <v>7452</v>
      </c>
      <c r="D2693" s="575" t="s">
        <v>7033</v>
      </c>
      <c r="E2693" s="178" t="s">
        <v>809</v>
      </c>
      <c r="F2693" s="210" t="s">
        <v>7467</v>
      </c>
      <c r="G2693" s="58" t="s">
        <v>811</v>
      </c>
      <c r="H2693" s="546">
        <v>14742.98</v>
      </c>
      <c r="I2693" s="66">
        <v>44879</v>
      </c>
      <c r="J2693" s="411" t="s">
        <v>812</v>
      </c>
      <c r="K2693" s="58"/>
      <c r="L2693" s="99"/>
      <c r="M2693" s="70" t="s">
        <v>7468</v>
      </c>
      <c r="N2693" s="97" t="s">
        <v>814</v>
      </c>
      <c r="O2693" s="58"/>
      <c r="P2693" s="58" t="s">
        <v>36</v>
      </c>
      <c r="Q2693" s="58" t="s">
        <v>101</v>
      </c>
      <c r="R2693" s="58" t="s">
        <v>272</v>
      </c>
    </row>
    <row r="2694" spans="1:18" ht="69" customHeight="1">
      <c r="A2694" s="168"/>
      <c r="B2694" s="178">
        <v>8172</v>
      </c>
      <c r="C2694" s="178" t="s">
        <v>7452</v>
      </c>
      <c r="D2694" s="575" t="s">
        <v>7469</v>
      </c>
      <c r="E2694" s="178" t="s">
        <v>755</v>
      </c>
      <c r="F2694" s="210" t="s">
        <v>7470</v>
      </c>
      <c r="G2694" s="58" t="s">
        <v>7471</v>
      </c>
      <c r="H2694" s="546">
        <v>149488.26999999999</v>
      </c>
      <c r="I2694" s="66">
        <v>44918</v>
      </c>
      <c r="J2694" s="411" t="s">
        <v>7472</v>
      </c>
      <c r="K2694" s="58"/>
      <c r="L2694" s="99"/>
      <c r="M2694" s="70" t="s">
        <v>7457</v>
      </c>
      <c r="N2694" s="97" t="s">
        <v>716</v>
      </c>
      <c r="O2694" s="58"/>
      <c r="P2694" s="58" t="s">
        <v>57</v>
      </c>
      <c r="Q2694" s="58" t="s">
        <v>101</v>
      </c>
      <c r="R2694" s="58" t="s">
        <v>272</v>
      </c>
    </row>
    <row r="2695" spans="1:18" ht="69" customHeight="1">
      <c r="A2695" s="168"/>
      <c r="B2695" s="178">
        <v>7437</v>
      </c>
      <c r="C2695" s="178" t="s">
        <v>7452</v>
      </c>
      <c r="D2695" s="575" t="s">
        <v>7473</v>
      </c>
      <c r="E2695" s="178" t="s">
        <v>755</v>
      </c>
      <c r="F2695" s="210" t="s">
        <v>7474</v>
      </c>
      <c r="G2695" s="58" t="s">
        <v>1631</v>
      </c>
      <c r="H2695" s="546">
        <v>607931.73</v>
      </c>
      <c r="I2695" s="66">
        <v>44876</v>
      </c>
      <c r="J2695" s="411" t="s">
        <v>7475</v>
      </c>
      <c r="K2695" s="58"/>
      <c r="L2695" s="99"/>
      <c r="M2695" s="70" t="s">
        <v>7457</v>
      </c>
      <c r="N2695" s="97" t="s">
        <v>716</v>
      </c>
      <c r="O2695" s="58"/>
      <c r="P2695" s="58" t="s">
        <v>28</v>
      </c>
      <c r="Q2695" s="58" t="s">
        <v>101</v>
      </c>
      <c r="R2695" s="58" t="s">
        <v>272</v>
      </c>
    </row>
    <row r="2696" spans="1:18" ht="69" customHeight="1">
      <c r="A2696" s="168"/>
      <c r="B2696" s="178">
        <v>8169</v>
      </c>
      <c r="C2696" s="178" t="s">
        <v>7452</v>
      </c>
      <c r="D2696" s="575" t="s">
        <v>1377</v>
      </c>
      <c r="E2696" s="178" t="s">
        <v>266</v>
      </c>
      <c r="F2696" s="210" t="s">
        <v>7476</v>
      </c>
      <c r="G2696" s="58" t="s">
        <v>7477</v>
      </c>
      <c r="H2696" s="546">
        <v>5890</v>
      </c>
      <c r="I2696" s="66">
        <v>44916</v>
      </c>
      <c r="J2696" s="411" t="s">
        <v>7472</v>
      </c>
      <c r="K2696" s="58"/>
      <c r="L2696" s="99"/>
      <c r="M2696" s="70" t="s">
        <v>7478</v>
      </c>
      <c r="N2696" s="97" t="s">
        <v>270</v>
      </c>
      <c r="O2696" s="58"/>
      <c r="P2696" s="58" t="s">
        <v>44</v>
      </c>
      <c r="Q2696" s="58" t="s">
        <v>101</v>
      </c>
      <c r="R2696" s="58" t="s">
        <v>272</v>
      </c>
    </row>
    <row r="2697" spans="1:18" ht="69" customHeight="1">
      <c r="A2697" s="168"/>
      <c r="B2697" s="59">
        <v>6941</v>
      </c>
      <c r="C2697" s="59" t="s">
        <v>7452</v>
      </c>
      <c r="D2697" s="581" t="s">
        <v>423</v>
      </c>
      <c r="E2697" s="59" t="s">
        <v>755</v>
      </c>
      <c r="F2697" s="569" t="s">
        <v>7454</v>
      </c>
      <c r="G2697" s="45" t="s">
        <v>7479</v>
      </c>
      <c r="H2697" s="546">
        <v>1464668.25</v>
      </c>
      <c r="I2697" s="47">
        <v>44841</v>
      </c>
      <c r="J2697" s="410" t="s">
        <v>7456</v>
      </c>
      <c r="K2697" s="45" t="s">
        <v>7480</v>
      </c>
      <c r="L2697" s="99"/>
      <c r="M2697" s="70" t="s">
        <v>7457</v>
      </c>
      <c r="N2697" s="97" t="s">
        <v>716</v>
      </c>
      <c r="O2697" s="58"/>
      <c r="P2697" s="58" t="s">
        <v>28</v>
      </c>
      <c r="Q2697" s="58" t="s">
        <v>101</v>
      </c>
      <c r="R2697" s="58" t="s">
        <v>272</v>
      </c>
    </row>
    <row r="2698" spans="1:18" ht="69" customHeight="1">
      <c r="A2698" s="168"/>
      <c r="B2698" s="178" t="s">
        <v>7481</v>
      </c>
      <c r="C2698" s="178" t="s">
        <v>458</v>
      </c>
      <c r="D2698" s="575"/>
      <c r="E2698" s="178" t="s">
        <v>283</v>
      </c>
      <c r="F2698" s="210" t="s">
        <v>7482</v>
      </c>
      <c r="G2698" s="58" t="s">
        <v>7080</v>
      </c>
      <c r="H2698" s="546">
        <v>150000</v>
      </c>
      <c r="I2698" s="66" t="s">
        <v>96</v>
      </c>
      <c r="J2698" s="411" t="s">
        <v>7081</v>
      </c>
      <c r="K2698" s="58" t="s">
        <v>7483</v>
      </c>
      <c r="L2698" s="99"/>
      <c r="M2698" s="70" t="s">
        <v>7484</v>
      </c>
      <c r="N2698" s="97" t="s">
        <v>264</v>
      </c>
      <c r="O2698" s="58" t="s">
        <v>141</v>
      </c>
      <c r="P2698" s="58" t="s">
        <v>17</v>
      </c>
      <c r="Q2698" s="58" t="s">
        <v>101</v>
      </c>
      <c r="R2698" s="58" t="s">
        <v>272</v>
      </c>
    </row>
    <row r="2699" spans="1:18" ht="69" customHeight="1">
      <c r="A2699" s="168"/>
      <c r="B2699" s="171">
        <v>4369</v>
      </c>
      <c r="C2699" s="171" t="s">
        <v>458</v>
      </c>
      <c r="D2699" s="593"/>
      <c r="E2699" s="171" t="s">
        <v>283</v>
      </c>
      <c r="F2699" s="594" t="s">
        <v>7485</v>
      </c>
      <c r="G2699" s="100"/>
      <c r="H2699" s="534">
        <v>0</v>
      </c>
      <c r="I2699" s="96">
        <v>44435</v>
      </c>
      <c r="J2699" s="595" t="s">
        <v>294</v>
      </c>
      <c r="K2699" s="100" t="s">
        <v>7486</v>
      </c>
      <c r="L2699" s="99"/>
      <c r="M2699" s="70" t="s">
        <v>7484</v>
      </c>
      <c r="N2699" s="97" t="s">
        <v>264</v>
      </c>
      <c r="O2699" s="100" t="s">
        <v>141</v>
      </c>
      <c r="P2699" s="100" t="s">
        <v>17</v>
      </c>
      <c r="Q2699" s="100" t="s">
        <v>101</v>
      </c>
      <c r="R2699" s="100" t="s">
        <v>272</v>
      </c>
    </row>
    <row r="2700" spans="1:18" ht="69" customHeight="1">
      <c r="A2700" s="168"/>
      <c r="B2700" s="178">
        <v>8498</v>
      </c>
      <c r="C2700" s="59" t="s">
        <v>7464</v>
      </c>
      <c r="D2700" s="581" t="s">
        <v>3580</v>
      </c>
      <c r="E2700" s="59" t="s">
        <v>755</v>
      </c>
      <c r="F2700" s="569" t="s">
        <v>7487</v>
      </c>
      <c r="G2700" s="45" t="s">
        <v>7488</v>
      </c>
      <c r="H2700" s="546">
        <v>1290973.47</v>
      </c>
      <c r="I2700" s="47">
        <v>44937</v>
      </c>
      <c r="J2700" s="410" t="s">
        <v>7489</v>
      </c>
      <c r="K2700" s="45"/>
      <c r="L2700" s="99"/>
      <c r="M2700" s="70" t="s">
        <v>7457</v>
      </c>
      <c r="N2700" s="97" t="s">
        <v>716</v>
      </c>
      <c r="O2700" s="58"/>
      <c r="P2700" s="58" t="s">
        <v>28</v>
      </c>
      <c r="Q2700" s="58" t="s">
        <v>101</v>
      </c>
      <c r="R2700" s="58" t="s">
        <v>272</v>
      </c>
    </row>
    <row r="2701" spans="1:18" ht="69" customHeight="1">
      <c r="A2701" s="168"/>
      <c r="B2701" s="178">
        <v>8575</v>
      </c>
      <c r="C2701" s="178" t="s">
        <v>7452</v>
      </c>
      <c r="D2701" s="575" t="s">
        <v>6711</v>
      </c>
      <c r="E2701" s="178" t="s">
        <v>755</v>
      </c>
      <c r="F2701" s="210" t="s">
        <v>7490</v>
      </c>
      <c r="G2701" s="58" t="s">
        <v>7491</v>
      </c>
      <c r="H2701" s="546">
        <v>173694.78</v>
      </c>
      <c r="I2701" s="66">
        <v>44944</v>
      </c>
      <c r="J2701" s="411" t="s">
        <v>7492</v>
      </c>
      <c r="K2701" s="58"/>
      <c r="L2701" s="99"/>
      <c r="M2701" s="70" t="s">
        <v>7457</v>
      </c>
      <c r="N2701" s="97" t="s">
        <v>716</v>
      </c>
      <c r="O2701" s="58"/>
      <c r="P2701" s="58" t="s">
        <v>28</v>
      </c>
      <c r="Q2701" s="58" t="s">
        <v>101</v>
      </c>
      <c r="R2701" s="58" t="s">
        <v>272</v>
      </c>
    </row>
    <row r="2702" spans="1:18" ht="69" customHeight="1">
      <c r="A2702" s="168"/>
      <c r="B2702" s="178">
        <v>8693</v>
      </c>
      <c r="C2702" s="178" t="s">
        <v>458</v>
      </c>
      <c r="D2702" s="575" t="s">
        <v>2856</v>
      </c>
      <c r="E2702" s="178" t="s">
        <v>283</v>
      </c>
      <c r="F2702" s="210" t="s">
        <v>7493</v>
      </c>
      <c r="G2702" s="58" t="s">
        <v>7494</v>
      </c>
      <c r="H2702" s="546">
        <v>38000</v>
      </c>
      <c r="I2702" s="66">
        <v>44967</v>
      </c>
      <c r="J2702" s="411" t="s">
        <v>7495</v>
      </c>
      <c r="K2702" s="58"/>
      <c r="L2702" s="99"/>
      <c r="M2702" s="70" t="s">
        <v>7484</v>
      </c>
      <c r="N2702" s="97" t="s">
        <v>264</v>
      </c>
      <c r="O2702" s="58" t="s">
        <v>141</v>
      </c>
      <c r="P2702" s="58" t="s">
        <v>61</v>
      </c>
      <c r="Q2702" s="58" t="s">
        <v>101</v>
      </c>
      <c r="R2702" s="58" t="s">
        <v>272</v>
      </c>
    </row>
    <row r="2703" spans="1:18" ht="69" customHeight="1">
      <c r="A2703" s="168"/>
      <c r="B2703" s="178">
        <v>8829</v>
      </c>
      <c r="C2703" s="178" t="s">
        <v>7452</v>
      </c>
      <c r="D2703" s="575" t="s">
        <v>6316</v>
      </c>
      <c r="E2703" s="178" t="s">
        <v>755</v>
      </c>
      <c r="F2703" s="210" t="s">
        <v>7496</v>
      </c>
      <c r="G2703" s="58" t="s">
        <v>7497</v>
      </c>
      <c r="H2703" s="546">
        <v>342226.24</v>
      </c>
      <c r="I2703" s="66">
        <v>44948</v>
      </c>
      <c r="J2703" s="411" t="s">
        <v>7498</v>
      </c>
      <c r="K2703" s="58"/>
      <c r="L2703" s="99"/>
      <c r="M2703" s="70" t="s">
        <v>7457</v>
      </c>
      <c r="N2703" s="97" t="s">
        <v>716</v>
      </c>
      <c r="O2703" s="58"/>
      <c r="P2703" s="58" t="s">
        <v>28</v>
      </c>
      <c r="Q2703" s="58" t="s">
        <v>101</v>
      </c>
      <c r="R2703" s="58" t="s">
        <v>272</v>
      </c>
    </row>
    <row r="2704" spans="1:18" ht="69" customHeight="1">
      <c r="A2704" s="168"/>
      <c r="B2704" s="178">
        <v>8839</v>
      </c>
      <c r="C2704" s="178" t="s">
        <v>7452</v>
      </c>
      <c r="D2704" s="575" t="s">
        <v>3289</v>
      </c>
      <c r="E2704" s="178" t="s">
        <v>809</v>
      </c>
      <c r="F2704" s="210" t="s">
        <v>7499</v>
      </c>
      <c r="G2704" s="58" t="s">
        <v>845</v>
      </c>
      <c r="H2704" s="546">
        <v>17200</v>
      </c>
      <c r="I2704" s="66">
        <v>44948</v>
      </c>
      <c r="J2704" s="411" t="s">
        <v>846</v>
      </c>
      <c r="K2704" s="58"/>
      <c r="L2704" s="99"/>
      <c r="M2704" s="70" t="s">
        <v>7468</v>
      </c>
      <c r="N2704" s="97" t="s">
        <v>814</v>
      </c>
      <c r="O2704" s="58"/>
      <c r="P2704" s="58" t="s">
        <v>36</v>
      </c>
      <c r="Q2704" s="58" t="s">
        <v>101</v>
      </c>
      <c r="R2704" s="58" t="s">
        <v>272</v>
      </c>
    </row>
    <row r="2705" spans="1:18" ht="69" customHeight="1">
      <c r="A2705" s="168"/>
      <c r="B2705" s="178">
        <v>9063</v>
      </c>
      <c r="C2705" s="59" t="s">
        <v>7500</v>
      </c>
      <c r="D2705" s="581" t="s">
        <v>6522</v>
      </c>
      <c r="E2705" s="59" t="s">
        <v>755</v>
      </c>
      <c r="F2705" s="569" t="s">
        <v>7501</v>
      </c>
      <c r="G2705" s="45" t="s">
        <v>7502</v>
      </c>
      <c r="H2705" s="546">
        <v>856736.52</v>
      </c>
      <c r="I2705" s="47">
        <v>45000</v>
      </c>
      <c r="J2705" s="410" t="s">
        <v>7503</v>
      </c>
      <c r="K2705" s="45"/>
      <c r="L2705" s="99"/>
      <c r="M2705" s="70" t="s">
        <v>7457</v>
      </c>
      <c r="N2705" s="97" t="s">
        <v>716</v>
      </c>
      <c r="O2705" s="58"/>
      <c r="P2705" s="58" t="s">
        <v>28</v>
      </c>
      <c r="Q2705" s="58" t="s">
        <v>101</v>
      </c>
      <c r="R2705" s="58" t="s">
        <v>272</v>
      </c>
    </row>
    <row r="2706" spans="1:18" ht="69" customHeight="1">
      <c r="A2706" s="168"/>
      <c r="B2706" s="178">
        <v>9035</v>
      </c>
      <c r="C2706" s="178" t="s">
        <v>7500</v>
      </c>
      <c r="D2706" s="575" t="s">
        <v>2143</v>
      </c>
      <c r="E2706" s="178" t="s">
        <v>266</v>
      </c>
      <c r="F2706" s="210" t="s">
        <v>7504</v>
      </c>
      <c r="G2706" s="58" t="s">
        <v>7505</v>
      </c>
      <c r="H2706" s="546">
        <v>12000</v>
      </c>
      <c r="I2706" s="66">
        <v>45001</v>
      </c>
      <c r="J2706" s="411" t="s">
        <v>7506</v>
      </c>
      <c r="K2706" s="58"/>
      <c r="L2706" s="99"/>
      <c r="M2706" s="70" t="s">
        <v>7478</v>
      </c>
      <c r="N2706" s="97" t="s">
        <v>270</v>
      </c>
      <c r="O2706" s="62" t="s">
        <v>6918</v>
      </c>
      <c r="P2706" s="58" t="s">
        <v>44</v>
      </c>
      <c r="Q2706" s="58" t="s">
        <v>101</v>
      </c>
      <c r="R2706" s="58" t="s">
        <v>272</v>
      </c>
    </row>
    <row r="2707" spans="1:18" ht="69" customHeight="1">
      <c r="A2707" s="168"/>
      <c r="B2707" s="178">
        <v>9006</v>
      </c>
      <c r="C2707" s="178" t="s">
        <v>7452</v>
      </c>
      <c r="D2707" s="575" t="s">
        <v>2611</v>
      </c>
      <c r="E2707" s="178" t="s">
        <v>809</v>
      </c>
      <c r="F2707" s="210" t="s">
        <v>7507</v>
      </c>
      <c r="G2707" s="58" t="s">
        <v>863</v>
      </c>
      <c r="H2707" s="546">
        <v>20885.96</v>
      </c>
      <c r="I2707" s="66" t="s">
        <v>96</v>
      </c>
      <c r="J2707" s="411" t="s">
        <v>864</v>
      </c>
      <c r="K2707" s="58"/>
      <c r="L2707" s="99"/>
      <c r="M2707" s="70" t="s">
        <v>7468</v>
      </c>
      <c r="N2707" s="97" t="s">
        <v>814</v>
      </c>
      <c r="O2707" s="58"/>
      <c r="P2707" s="58" t="s">
        <v>36</v>
      </c>
      <c r="Q2707" s="58" t="s">
        <v>101</v>
      </c>
      <c r="R2707" s="58" t="s">
        <v>272</v>
      </c>
    </row>
    <row r="2708" spans="1:18" ht="69" customHeight="1">
      <c r="A2708" s="168"/>
      <c r="B2708" s="178">
        <v>9707</v>
      </c>
      <c r="C2708" s="178" t="s">
        <v>7452</v>
      </c>
      <c r="D2708" s="575" t="s">
        <v>3525</v>
      </c>
      <c r="E2708" s="178" t="s">
        <v>809</v>
      </c>
      <c r="F2708" s="210" t="s">
        <v>7507</v>
      </c>
      <c r="G2708" s="58" t="s">
        <v>874</v>
      </c>
      <c r="H2708" s="546">
        <v>4914.04</v>
      </c>
      <c r="I2708" s="66" t="s">
        <v>96</v>
      </c>
      <c r="J2708" s="411" t="s">
        <v>875</v>
      </c>
      <c r="K2708" s="58"/>
      <c r="L2708" s="99"/>
      <c r="M2708" s="70" t="s">
        <v>7468</v>
      </c>
      <c r="N2708" s="97" t="s">
        <v>814</v>
      </c>
      <c r="O2708" s="58"/>
      <c r="P2708" s="58" t="s">
        <v>36</v>
      </c>
      <c r="Q2708" s="58" t="s">
        <v>101</v>
      </c>
      <c r="R2708" s="58" t="s">
        <v>272</v>
      </c>
    </row>
    <row r="2709" spans="1:18" ht="69" customHeight="1">
      <c r="A2709" s="168"/>
      <c r="B2709" s="178">
        <v>9819</v>
      </c>
      <c r="C2709" s="178" t="s">
        <v>7452</v>
      </c>
      <c r="D2709" s="575" t="s">
        <v>2871</v>
      </c>
      <c r="E2709" s="178" t="s">
        <v>755</v>
      </c>
      <c r="F2709" s="210" t="s">
        <v>7508</v>
      </c>
      <c r="G2709" s="58" t="s">
        <v>7509</v>
      </c>
      <c r="H2709" s="546">
        <v>86847.39</v>
      </c>
      <c r="I2709" s="66">
        <v>45035</v>
      </c>
      <c r="J2709" s="411" t="s">
        <v>7510</v>
      </c>
      <c r="K2709" s="58"/>
      <c r="L2709" s="99"/>
      <c r="M2709" s="70" t="s">
        <v>7457</v>
      </c>
      <c r="N2709" s="97" t="s">
        <v>716</v>
      </c>
      <c r="O2709" s="58"/>
      <c r="P2709" s="58" t="s">
        <v>28</v>
      </c>
      <c r="Q2709" s="58" t="s">
        <v>101</v>
      </c>
      <c r="R2709" s="58" t="s">
        <v>272</v>
      </c>
    </row>
    <row r="2710" spans="1:18" ht="69" customHeight="1">
      <c r="A2710" s="168"/>
      <c r="B2710" s="178">
        <v>7443</v>
      </c>
      <c r="C2710" s="178" t="s">
        <v>657</v>
      </c>
      <c r="D2710" s="575" t="s">
        <v>567</v>
      </c>
      <c r="E2710" s="178" t="s">
        <v>741</v>
      </c>
      <c r="F2710" s="210" t="s">
        <v>7511</v>
      </c>
      <c r="G2710" s="58" t="s">
        <v>7449</v>
      </c>
      <c r="H2710" s="546">
        <v>45034.25</v>
      </c>
      <c r="I2710" s="66">
        <v>44879</v>
      </c>
      <c r="J2710" s="411" t="s">
        <v>1606</v>
      </c>
      <c r="K2710" s="58"/>
      <c r="L2710" s="99"/>
      <c r="M2710" s="70" t="s">
        <v>7512</v>
      </c>
      <c r="N2710" s="97" t="s">
        <v>741</v>
      </c>
      <c r="O2710" s="45" t="s">
        <v>154</v>
      </c>
      <c r="P2710" s="58" t="s">
        <v>59</v>
      </c>
      <c r="Q2710" s="58" t="s">
        <v>102</v>
      </c>
      <c r="R2710" s="58" t="s">
        <v>272</v>
      </c>
    </row>
    <row r="2711" spans="1:18" ht="69" customHeight="1">
      <c r="A2711" s="168"/>
      <c r="B2711" s="178">
        <v>6320</v>
      </c>
      <c r="C2711" s="178" t="s">
        <v>657</v>
      </c>
      <c r="D2711" s="575" t="s">
        <v>2968</v>
      </c>
      <c r="E2711" s="178" t="s">
        <v>741</v>
      </c>
      <c r="F2711" s="210" t="s">
        <v>7513</v>
      </c>
      <c r="G2711" s="58" t="s">
        <v>738</v>
      </c>
      <c r="H2711" s="546">
        <v>67551.375</v>
      </c>
      <c r="I2711" s="66">
        <v>44788</v>
      </c>
      <c r="J2711" s="411" t="s">
        <v>7514</v>
      </c>
      <c r="K2711" s="58"/>
      <c r="L2711" s="99"/>
      <c r="M2711" s="70" t="s">
        <v>7512</v>
      </c>
      <c r="N2711" s="97" t="s">
        <v>741</v>
      </c>
      <c r="O2711" s="45" t="s">
        <v>154</v>
      </c>
      <c r="P2711" s="58" t="s">
        <v>59</v>
      </c>
      <c r="Q2711" s="58" t="s">
        <v>102</v>
      </c>
      <c r="R2711" s="58" t="s">
        <v>272</v>
      </c>
    </row>
    <row r="2712" spans="1:18" ht="69" customHeight="1">
      <c r="A2712" s="168"/>
      <c r="B2712" s="178">
        <v>6592</v>
      </c>
      <c r="C2712" s="178" t="s">
        <v>657</v>
      </c>
      <c r="D2712" s="575" t="s">
        <v>7515</v>
      </c>
      <c r="E2712" s="178" t="s">
        <v>741</v>
      </c>
      <c r="F2712" s="210" t="s">
        <v>7516</v>
      </c>
      <c r="G2712" s="58" t="s">
        <v>738</v>
      </c>
      <c r="H2712" s="546">
        <v>225171.25</v>
      </c>
      <c r="I2712" s="66">
        <v>44813</v>
      </c>
      <c r="J2712" s="411" t="s">
        <v>7517</v>
      </c>
      <c r="K2712" s="58"/>
      <c r="L2712" s="99"/>
      <c r="M2712" s="70" t="s">
        <v>7512</v>
      </c>
      <c r="N2712" s="97" t="s">
        <v>741</v>
      </c>
      <c r="O2712" s="45" t="s">
        <v>154</v>
      </c>
      <c r="P2712" s="58" t="s">
        <v>59</v>
      </c>
      <c r="Q2712" s="58" t="s">
        <v>102</v>
      </c>
      <c r="R2712" s="58" t="s">
        <v>272</v>
      </c>
    </row>
    <row r="2713" spans="1:18" ht="69" customHeight="1">
      <c r="A2713" s="168"/>
      <c r="B2713" s="178">
        <v>6276</v>
      </c>
      <c r="C2713" s="178" t="s">
        <v>657</v>
      </c>
      <c r="D2713" s="575" t="s">
        <v>5590</v>
      </c>
      <c r="E2713" s="178" t="s">
        <v>266</v>
      </c>
      <c r="F2713" s="210" t="s">
        <v>7518</v>
      </c>
      <c r="G2713" s="58" t="s">
        <v>790</v>
      </c>
      <c r="H2713" s="546">
        <v>2281.25</v>
      </c>
      <c r="I2713" s="66">
        <v>44834</v>
      </c>
      <c r="J2713" s="411" t="s">
        <v>7519</v>
      </c>
      <c r="K2713" s="58"/>
      <c r="L2713" s="99"/>
      <c r="M2713" s="70" t="s">
        <v>7520</v>
      </c>
      <c r="N2713" s="97" t="s">
        <v>683</v>
      </c>
      <c r="O2713" s="58" t="s">
        <v>684</v>
      </c>
      <c r="P2713" s="58" t="s">
        <v>46</v>
      </c>
      <c r="Q2713" s="58" t="s">
        <v>102</v>
      </c>
      <c r="R2713" s="58" t="s">
        <v>272</v>
      </c>
    </row>
    <row r="2714" spans="1:18" ht="69" customHeight="1">
      <c r="A2714" s="168"/>
      <c r="B2714" s="178">
        <v>6942</v>
      </c>
      <c r="C2714" s="178" t="s">
        <v>7521</v>
      </c>
      <c r="D2714" s="575" t="s">
        <v>695</v>
      </c>
      <c r="E2714" s="178" t="s">
        <v>755</v>
      </c>
      <c r="F2714" s="210" t="s">
        <v>7522</v>
      </c>
      <c r="G2714" s="58" t="s">
        <v>7523</v>
      </c>
      <c r="H2714" s="546">
        <v>1464668.25</v>
      </c>
      <c r="I2714" s="66">
        <v>44841</v>
      </c>
      <c r="J2714" s="411" t="s">
        <v>7524</v>
      </c>
      <c r="K2714" s="58" t="s">
        <v>7525</v>
      </c>
      <c r="L2714" s="99"/>
      <c r="M2714" s="70" t="s">
        <v>7526</v>
      </c>
      <c r="N2714" s="97" t="s">
        <v>716</v>
      </c>
      <c r="O2714" s="58"/>
      <c r="P2714" s="58" t="s">
        <v>28</v>
      </c>
      <c r="Q2714" s="58" t="s">
        <v>102</v>
      </c>
      <c r="R2714" s="58" t="s">
        <v>272</v>
      </c>
    </row>
    <row r="2715" spans="1:18" ht="69" customHeight="1">
      <c r="A2715" s="168"/>
      <c r="B2715" s="178">
        <v>6689</v>
      </c>
      <c r="C2715" s="178" t="s">
        <v>7521</v>
      </c>
      <c r="D2715" s="575" t="s">
        <v>3195</v>
      </c>
      <c r="E2715" s="178" t="s">
        <v>755</v>
      </c>
      <c r="F2715" s="210" t="s">
        <v>7527</v>
      </c>
      <c r="G2715" s="58" t="s">
        <v>7523</v>
      </c>
      <c r="H2715" s="546">
        <v>1464668.25</v>
      </c>
      <c r="I2715" s="66">
        <v>44823</v>
      </c>
      <c r="J2715" s="411" t="s">
        <v>7524</v>
      </c>
      <c r="K2715" s="58" t="s">
        <v>4465</v>
      </c>
      <c r="L2715" s="99"/>
      <c r="M2715" s="70" t="s">
        <v>7526</v>
      </c>
      <c r="N2715" s="97" t="s">
        <v>716</v>
      </c>
      <c r="O2715" s="58"/>
      <c r="P2715" s="58" t="s">
        <v>28</v>
      </c>
      <c r="Q2715" s="58" t="s">
        <v>102</v>
      </c>
      <c r="R2715" s="58" t="s">
        <v>272</v>
      </c>
    </row>
    <row r="2716" spans="1:18" ht="69" customHeight="1">
      <c r="A2716" s="168"/>
      <c r="B2716" s="178">
        <v>7175</v>
      </c>
      <c r="C2716" s="178" t="s">
        <v>7521</v>
      </c>
      <c r="D2716" s="575" t="s">
        <v>1567</v>
      </c>
      <c r="E2716" s="178" t="s">
        <v>809</v>
      </c>
      <c r="F2716" s="210" t="s">
        <v>7528</v>
      </c>
      <c r="G2716" s="58" t="s">
        <v>811</v>
      </c>
      <c r="H2716" s="546">
        <v>22114.04</v>
      </c>
      <c r="I2716" s="66">
        <v>44860</v>
      </c>
      <c r="J2716" s="411" t="s">
        <v>7529</v>
      </c>
      <c r="K2716" s="58"/>
      <c r="L2716" s="99"/>
      <c r="M2716" s="70" t="s">
        <v>7530</v>
      </c>
      <c r="N2716" s="97" t="s">
        <v>814</v>
      </c>
      <c r="O2716" s="58"/>
      <c r="P2716" s="58" t="s">
        <v>36</v>
      </c>
      <c r="Q2716" s="58" t="s">
        <v>102</v>
      </c>
      <c r="R2716" s="58" t="s">
        <v>272</v>
      </c>
    </row>
    <row r="2717" spans="1:18" ht="69" customHeight="1">
      <c r="A2717" s="168"/>
      <c r="B2717" s="178">
        <v>5347</v>
      </c>
      <c r="C2717" s="178" t="s">
        <v>657</v>
      </c>
      <c r="D2717" s="575" t="s">
        <v>3679</v>
      </c>
      <c r="E2717" s="178" t="s">
        <v>409</v>
      </c>
      <c r="F2717" s="210" t="s">
        <v>7531</v>
      </c>
      <c r="G2717" s="58" t="s">
        <v>712</v>
      </c>
      <c r="H2717" s="546">
        <v>3661670.62</v>
      </c>
      <c r="I2717" s="66">
        <v>44757</v>
      </c>
      <c r="J2717" s="411" t="s">
        <v>7532</v>
      </c>
      <c r="K2717" s="58" t="s">
        <v>3385</v>
      </c>
      <c r="L2717" s="99"/>
      <c r="M2717" s="70" t="s">
        <v>7526</v>
      </c>
      <c r="N2717" s="97" t="s">
        <v>716</v>
      </c>
      <c r="O2717" s="58" t="s">
        <v>1566</v>
      </c>
      <c r="P2717" s="58" t="s">
        <v>28</v>
      </c>
      <c r="Q2717" s="58" t="s">
        <v>102</v>
      </c>
      <c r="R2717" s="58" t="s">
        <v>272</v>
      </c>
    </row>
    <row r="2718" spans="1:18" ht="69" customHeight="1">
      <c r="A2718" s="168"/>
      <c r="B2718" s="178">
        <v>5363</v>
      </c>
      <c r="C2718" s="178" t="s">
        <v>7521</v>
      </c>
      <c r="D2718" s="575" t="s">
        <v>2727</v>
      </c>
      <c r="E2718" s="178" t="s">
        <v>755</v>
      </c>
      <c r="F2718" s="210" t="s">
        <v>7533</v>
      </c>
      <c r="G2718" s="58" t="s">
        <v>725</v>
      </c>
      <c r="H2718" s="546">
        <v>1025267.77</v>
      </c>
      <c r="I2718" s="66">
        <v>44776</v>
      </c>
      <c r="J2718" s="411" t="s">
        <v>7534</v>
      </c>
      <c r="K2718" s="58" t="s">
        <v>4455</v>
      </c>
      <c r="L2718" s="99"/>
      <c r="M2718" s="70" t="s">
        <v>7526</v>
      </c>
      <c r="N2718" s="97" t="s">
        <v>716</v>
      </c>
      <c r="O2718" s="58"/>
      <c r="P2718" s="58" t="s">
        <v>28</v>
      </c>
      <c r="Q2718" s="58" t="s">
        <v>102</v>
      </c>
      <c r="R2718" s="58" t="s">
        <v>272</v>
      </c>
    </row>
    <row r="2719" spans="1:18" ht="69" customHeight="1">
      <c r="A2719" s="168"/>
      <c r="B2719" s="178">
        <v>6249</v>
      </c>
      <c r="C2719" s="178" t="s">
        <v>657</v>
      </c>
      <c r="D2719" s="575" t="s">
        <v>2972</v>
      </c>
      <c r="E2719" s="178" t="s">
        <v>755</v>
      </c>
      <c r="F2719" s="210" t="s">
        <v>7535</v>
      </c>
      <c r="G2719" s="58" t="s">
        <v>787</v>
      </c>
      <c r="H2719" s="546">
        <v>439400.47</v>
      </c>
      <c r="I2719" s="66">
        <v>44788</v>
      </c>
      <c r="J2719" s="411" t="s">
        <v>7534</v>
      </c>
      <c r="K2719" s="58"/>
      <c r="L2719" s="99"/>
      <c r="M2719" s="70" t="s">
        <v>7526</v>
      </c>
      <c r="N2719" s="97" t="s">
        <v>716</v>
      </c>
      <c r="O2719" s="58"/>
      <c r="P2719" s="58" t="s">
        <v>28</v>
      </c>
      <c r="Q2719" s="58" t="s">
        <v>102</v>
      </c>
      <c r="R2719" s="58" t="s">
        <v>272</v>
      </c>
    </row>
    <row r="2720" spans="1:18" ht="69" customHeight="1">
      <c r="A2720" s="168"/>
      <c r="B2720" s="178">
        <v>7425</v>
      </c>
      <c r="C2720" s="178" t="s">
        <v>7521</v>
      </c>
      <c r="D2720" s="575" t="s">
        <v>5623</v>
      </c>
      <c r="E2720" s="178" t="s">
        <v>809</v>
      </c>
      <c r="F2720" s="210" t="s">
        <v>7536</v>
      </c>
      <c r="G2720" s="58" t="s">
        <v>811</v>
      </c>
      <c r="H2720" s="546">
        <v>19657.02</v>
      </c>
      <c r="I2720" s="66">
        <v>44879</v>
      </c>
      <c r="J2720" s="411" t="s">
        <v>812</v>
      </c>
      <c r="K2720" s="58"/>
      <c r="L2720" s="99"/>
      <c r="M2720" s="70" t="s">
        <v>7530</v>
      </c>
      <c r="N2720" s="97" t="s">
        <v>814</v>
      </c>
      <c r="O2720" s="58"/>
      <c r="P2720" s="58" t="s">
        <v>36</v>
      </c>
      <c r="Q2720" s="58" t="s">
        <v>102</v>
      </c>
      <c r="R2720" s="58" t="s">
        <v>272</v>
      </c>
    </row>
    <row r="2721" spans="1:18" ht="69" customHeight="1">
      <c r="A2721" s="168"/>
      <c r="B2721" s="178">
        <v>8173</v>
      </c>
      <c r="C2721" s="178" t="s">
        <v>7521</v>
      </c>
      <c r="D2721" s="575" t="s">
        <v>570</v>
      </c>
      <c r="E2721" s="178" t="s">
        <v>755</v>
      </c>
      <c r="F2721" s="210" t="s">
        <v>7537</v>
      </c>
      <c r="G2721" s="58" t="s">
        <v>7471</v>
      </c>
      <c r="H2721" s="546">
        <v>112322.58</v>
      </c>
      <c r="I2721" s="66">
        <v>44918</v>
      </c>
      <c r="J2721" s="411" t="s">
        <v>7472</v>
      </c>
      <c r="K2721" s="58"/>
      <c r="L2721" s="99"/>
      <c r="M2721" s="70" t="s">
        <v>7526</v>
      </c>
      <c r="N2721" s="97" t="s">
        <v>716</v>
      </c>
      <c r="O2721" s="58"/>
      <c r="P2721" s="58" t="s">
        <v>57</v>
      </c>
      <c r="Q2721" s="58" t="s">
        <v>102</v>
      </c>
      <c r="R2721" s="58" t="s">
        <v>272</v>
      </c>
    </row>
    <row r="2722" spans="1:18" ht="69" customHeight="1">
      <c r="A2722" s="168"/>
      <c r="B2722" s="178">
        <v>7438</v>
      </c>
      <c r="C2722" s="178" t="s">
        <v>7521</v>
      </c>
      <c r="D2722" s="575" t="s">
        <v>6487</v>
      </c>
      <c r="E2722" s="178" t="s">
        <v>755</v>
      </c>
      <c r="F2722" s="210" t="s">
        <v>7538</v>
      </c>
      <c r="G2722" s="58" t="s">
        <v>1631</v>
      </c>
      <c r="H2722" s="546">
        <v>607931.73</v>
      </c>
      <c r="I2722" s="66">
        <v>44876</v>
      </c>
      <c r="J2722" s="411" t="s">
        <v>7475</v>
      </c>
      <c r="K2722" s="58"/>
      <c r="L2722" s="99"/>
      <c r="M2722" s="70" t="s">
        <v>7526</v>
      </c>
      <c r="N2722" s="97" t="s">
        <v>716</v>
      </c>
      <c r="O2722" s="58"/>
      <c r="P2722" s="58" t="s">
        <v>28</v>
      </c>
      <c r="Q2722" s="58" t="s">
        <v>102</v>
      </c>
      <c r="R2722" s="58" t="s">
        <v>272</v>
      </c>
    </row>
    <row r="2723" spans="1:18" ht="69" customHeight="1">
      <c r="A2723" s="168"/>
      <c r="B2723" s="178">
        <v>8170</v>
      </c>
      <c r="C2723" s="178" t="s">
        <v>7521</v>
      </c>
      <c r="D2723" s="575" t="s">
        <v>7539</v>
      </c>
      <c r="E2723" s="178" t="s">
        <v>266</v>
      </c>
      <c r="F2723" s="210" t="s">
        <v>7540</v>
      </c>
      <c r="G2723" s="58" t="s">
        <v>7477</v>
      </c>
      <c r="H2723" s="546">
        <v>5890</v>
      </c>
      <c r="I2723" s="66">
        <v>44916</v>
      </c>
      <c r="J2723" s="411" t="s">
        <v>7472</v>
      </c>
      <c r="K2723" s="58"/>
      <c r="L2723" s="99"/>
      <c r="M2723" s="70" t="s">
        <v>7541</v>
      </c>
      <c r="N2723" s="97" t="s">
        <v>270</v>
      </c>
      <c r="O2723" s="58"/>
      <c r="P2723" s="58" t="s">
        <v>44</v>
      </c>
      <c r="Q2723" s="58" t="s">
        <v>102</v>
      </c>
      <c r="R2723" s="58" t="s">
        <v>272</v>
      </c>
    </row>
    <row r="2724" spans="1:18" ht="69" customHeight="1">
      <c r="A2724" s="168"/>
      <c r="B2724" s="178">
        <v>6350</v>
      </c>
      <c r="C2724" s="178" t="s">
        <v>458</v>
      </c>
      <c r="D2724" s="178">
        <v>364</v>
      </c>
      <c r="E2724" s="178" t="s">
        <v>7542</v>
      </c>
      <c r="F2724" s="210" t="s">
        <v>7543</v>
      </c>
      <c r="G2724" s="58" t="s">
        <v>352</v>
      </c>
      <c r="H2724" s="546">
        <v>362046</v>
      </c>
      <c r="I2724" s="66">
        <v>44816</v>
      </c>
      <c r="J2724" s="411" t="s">
        <v>7544</v>
      </c>
      <c r="K2724" s="58"/>
      <c r="L2724" s="99"/>
      <c r="M2724" s="70" t="s">
        <v>7526</v>
      </c>
      <c r="N2724" s="97" t="s">
        <v>716</v>
      </c>
      <c r="O2724" s="58" t="s">
        <v>141</v>
      </c>
      <c r="P2724" s="58" t="s">
        <v>19</v>
      </c>
      <c r="Q2724" s="58" t="s">
        <v>113</v>
      </c>
      <c r="R2724" s="58" t="s">
        <v>272</v>
      </c>
    </row>
    <row r="2725" spans="1:18" ht="69" customHeight="1">
      <c r="A2725" s="168"/>
      <c r="B2725" s="178">
        <v>6516</v>
      </c>
      <c r="C2725" s="178" t="s">
        <v>657</v>
      </c>
      <c r="D2725" s="575" t="s">
        <v>3500</v>
      </c>
      <c r="E2725" s="178" t="s">
        <v>358</v>
      </c>
      <c r="F2725" s="210" t="s">
        <v>7545</v>
      </c>
      <c r="G2725" s="58" t="s">
        <v>6974</v>
      </c>
      <c r="H2725" s="546">
        <v>100000</v>
      </c>
      <c r="I2725" s="66">
        <v>44806</v>
      </c>
      <c r="J2725" s="411" t="s">
        <v>7546</v>
      </c>
      <c r="K2725" s="58"/>
      <c r="L2725" s="99"/>
      <c r="M2725" s="70" t="s">
        <v>7547</v>
      </c>
      <c r="N2725" s="97" t="s">
        <v>356</v>
      </c>
      <c r="O2725" s="58" t="s">
        <v>141</v>
      </c>
      <c r="P2725" s="58" t="s">
        <v>19</v>
      </c>
      <c r="Q2725" s="58" t="s">
        <v>102</v>
      </c>
      <c r="R2725" s="58" t="s">
        <v>265</v>
      </c>
    </row>
    <row r="2726" spans="1:18" ht="69" customHeight="1">
      <c r="A2726" s="168"/>
      <c r="B2726" s="178">
        <v>2577</v>
      </c>
      <c r="C2726" s="178" t="s">
        <v>657</v>
      </c>
      <c r="D2726" s="575"/>
      <c r="E2726" s="178" t="s">
        <v>260</v>
      </c>
      <c r="F2726" s="210" t="s">
        <v>7548</v>
      </c>
      <c r="G2726" s="58"/>
      <c r="H2726" s="552">
        <v>0</v>
      </c>
      <c r="I2726" s="66" t="s">
        <v>96</v>
      </c>
      <c r="J2726" s="411" t="s">
        <v>7549</v>
      </c>
      <c r="K2726" s="58" t="s">
        <v>7550</v>
      </c>
      <c r="L2726" s="99"/>
      <c r="M2726" s="70" t="s">
        <v>7551</v>
      </c>
      <c r="N2726" s="97" t="s">
        <v>264</v>
      </c>
      <c r="O2726" s="58" t="s">
        <v>141</v>
      </c>
      <c r="P2726" s="58" t="s">
        <v>17</v>
      </c>
      <c r="Q2726" s="58" t="s">
        <v>102</v>
      </c>
      <c r="R2726" s="58" t="s">
        <v>265</v>
      </c>
    </row>
    <row r="2727" spans="1:18" ht="69" customHeight="1">
      <c r="A2727" s="168"/>
      <c r="B2727" s="178" t="s">
        <v>7552</v>
      </c>
      <c r="C2727" s="178" t="s">
        <v>458</v>
      </c>
      <c r="D2727" s="575"/>
      <c r="E2727" s="178" t="s">
        <v>260</v>
      </c>
      <c r="F2727" s="210" t="s">
        <v>7553</v>
      </c>
      <c r="G2727" s="58" t="s">
        <v>7080</v>
      </c>
      <c r="H2727" s="546">
        <v>0</v>
      </c>
      <c r="I2727" s="66" t="s">
        <v>96</v>
      </c>
      <c r="J2727" s="411" t="s">
        <v>7081</v>
      </c>
      <c r="K2727" s="58" t="s">
        <v>7550</v>
      </c>
      <c r="L2727" s="99"/>
      <c r="M2727" s="70" t="s">
        <v>7551</v>
      </c>
      <c r="N2727" s="97" t="s">
        <v>264</v>
      </c>
      <c r="O2727" s="58" t="s">
        <v>141</v>
      </c>
      <c r="P2727" s="58" t="s">
        <v>17</v>
      </c>
      <c r="Q2727" s="58" t="s">
        <v>102</v>
      </c>
      <c r="R2727" s="58" t="s">
        <v>265</v>
      </c>
    </row>
    <row r="2728" spans="1:18" ht="69" customHeight="1">
      <c r="A2728" s="168"/>
      <c r="B2728" s="178" t="s">
        <v>7554</v>
      </c>
      <c r="C2728" s="178" t="s">
        <v>657</v>
      </c>
      <c r="D2728" s="575"/>
      <c r="E2728" s="178" t="s">
        <v>260</v>
      </c>
      <c r="F2728" s="210" t="s">
        <v>7555</v>
      </c>
      <c r="G2728" s="58" t="s">
        <v>7080</v>
      </c>
      <c r="H2728" s="546">
        <v>634.34</v>
      </c>
      <c r="I2728" s="66" t="s">
        <v>96</v>
      </c>
      <c r="J2728" s="411" t="s">
        <v>7081</v>
      </c>
      <c r="K2728" s="58" t="s">
        <v>7550</v>
      </c>
      <c r="L2728" s="99"/>
      <c r="M2728" s="70" t="s">
        <v>7551</v>
      </c>
      <c r="N2728" s="97" t="s">
        <v>264</v>
      </c>
      <c r="O2728" s="58" t="s">
        <v>141</v>
      </c>
      <c r="P2728" s="58" t="s">
        <v>17</v>
      </c>
      <c r="Q2728" s="58" t="s">
        <v>102</v>
      </c>
      <c r="R2728" s="58" t="s">
        <v>265</v>
      </c>
    </row>
    <row r="2729" spans="1:18" ht="69" customHeight="1">
      <c r="A2729" s="168"/>
      <c r="B2729" s="178" t="s">
        <v>7556</v>
      </c>
      <c r="C2729" s="178" t="s">
        <v>458</v>
      </c>
      <c r="D2729" s="575"/>
      <c r="E2729" s="178" t="s">
        <v>260</v>
      </c>
      <c r="F2729" s="210" t="s">
        <v>7557</v>
      </c>
      <c r="G2729" s="58" t="s">
        <v>7080</v>
      </c>
      <c r="H2729" s="546">
        <v>1039.77</v>
      </c>
      <c r="I2729" s="66" t="s">
        <v>96</v>
      </c>
      <c r="J2729" s="411" t="s">
        <v>7081</v>
      </c>
      <c r="K2729" s="58" t="s">
        <v>7558</v>
      </c>
      <c r="L2729" s="99"/>
      <c r="M2729" s="70" t="s">
        <v>7551</v>
      </c>
      <c r="N2729" s="97" t="s">
        <v>264</v>
      </c>
      <c r="O2729" s="58" t="s">
        <v>141</v>
      </c>
      <c r="P2729" s="58" t="s">
        <v>17</v>
      </c>
      <c r="Q2729" s="58" t="s">
        <v>102</v>
      </c>
      <c r="R2729" s="58" t="s">
        <v>265</v>
      </c>
    </row>
    <row r="2730" spans="1:18" ht="69" customHeight="1">
      <c r="A2730" s="168"/>
      <c r="B2730" s="178" t="s">
        <v>7559</v>
      </c>
      <c r="C2730" s="178" t="s">
        <v>657</v>
      </c>
      <c r="D2730" s="575"/>
      <c r="E2730" s="178" t="s">
        <v>260</v>
      </c>
      <c r="F2730" s="210" t="s">
        <v>7560</v>
      </c>
      <c r="G2730" s="58" t="s">
        <v>7080</v>
      </c>
      <c r="H2730" s="546">
        <v>50000</v>
      </c>
      <c r="I2730" s="66" t="s">
        <v>96</v>
      </c>
      <c r="J2730" s="411" t="s">
        <v>7081</v>
      </c>
      <c r="K2730" s="58" t="s">
        <v>7550</v>
      </c>
      <c r="L2730" s="99"/>
      <c r="M2730" s="70" t="s">
        <v>7551</v>
      </c>
      <c r="N2730" s="97" t="s">
        <v>264</v>
      </c>
      <c r="O2730" s="58" t="s">
        <v>141</v>
      </c>
      <c r="P2730" s="58" t="s">
        <v>17</v>
      </c>
      <c r="Q2730" s="58" t="s">
        <v>102</v>
      </c>
      <c r="R2730" s="58" t="s">
        <v>265</v>
      </c>
    </row>
    <row r="2731" spans="1:18" ht="69" customHeight="1">
      <c r="A2731" s="168"/>
      <c r="B2731" s="178" t="s">
        <v>7561</v>
      </c>
      <c r="C2731" s="178" t="s">
        <v>657</v>
      </c>
      <c r="D2731" s="575"/>
      <c r="E2731" s="178" t="s">
        <v>260</v>
      </c>
      <c r="F2731" s="210" t="s">
        <v>7553</v>
      </c>
      <c r="G2731" s="58" t="s">
        <v>7080</v>
      </c>
      <c r="H2731" s="546">
        <v>0</v>
      </c>
      <c r="I2731" s="66" t="s">
        <v>96</v>
      </c>
      <c r="J2731" s="411" t="s">
        <v>7081</v>
      </c>
      <c r="K2731" s="58" t="s">
        <v>7550</v>
      </c>
      <c r="L2731" s="99"/>
      <c r="M2731" s="70" t="s">
        <v>7551</v>
      </c>
      <c r="N2731" s="97" t="s">
        <v>264</v>
      </c>
      <c r="O2731" s="58" t="s">
        <v>141</v>
      </c>
      <c r="P2731" s="58" t="s">
        <v>17</v>
      </c>
      <c r="Q2731" s="58" t="s">
        <v>102</v>
      </c>
      <c r="R2731" s="58" t="s">
        <v>265</v>
      </c>
    </row>
    <row r="2732" spans="1:18" ht="69" customHeight="1">
      <c r="A2732" s="168"/>
      <c r="B2732" s="178" t="s">
        <v>7562</v>
      </c>
      <c r="C2732" s="178" t="s">
        <v>657</v>
      </c>
      <c r="D2732" s="575"/>
      <c r="E2732" s="178" t="s">
        <v>260</v>
      </c>
      <c r="F2732" s="210" t="s">
        <v>7563</v>
      </c>
      <c r="G2732" s="58" t="s">
        <v>7080</v>
      </c>
      <c r="H2732" s="546">
        <v>875</v>
      </c>
      <c r="I2732" s="66" t="s">
        <v>96</v>
      </c>
      <c r="J2732" s="411" t="s">
        <v>7081</v>
      </c>
      <c r="K2732" s="58" t="s">
        <v>7550</v>
      </c>
      <c r="L2732" s="99"/>
      <c r="M2732" s="70" t="s">
        <v>7551</v>
      </c>
      <c r="N2732" s="97" t="s">
        <v>264</v>
      </c>
      <c r="O2732" s="58" t="s">
        <v>141</v>
      </c>
      <c r="P2732" s="58" t="s">
        <v>17</v>
      </c>
      <c r="Q2732" s="58" t="s">
        <v>102</v>
      </c>
      <c r="R2732" s="58" t="s">
        <v>265</v>
      </c>
    </row>
    <row r="2733" spans="1:18" ht="69" customHeight="1">
      <c r="A2733" s="168"/>
      <c r="B2733" s="178" t="s">
        <v>7564</v>
      </c>
      <c r="C2733" s="178" t="s">
        <v>657</v>
      </c>
      <c r="D2733" s="575"/>
      <c r="E2733" s="178" t="s">
        <v>283</v>
      </c>
      <c r="F2733" s="210" t="s">
        <v>7565</v>
      </c>
      <c r="G2733" s="58" t="s">
        <v>7080</v>
      </c>
      <c r="H2733" s="546">
        <v>536545.17000000004</v>
      </c>
      <c r="I2733" s="66" t="s">
        <v>96</v>
      </c>
      <c r="J2733" s="411" t="s">
        <v>7081</v>
      </c>
      <c r="K2733" s="58" t="s">
        <v>7550</v>
      </c>
      <c r="L2733" s="99"/>
      <c r="M2733" s="70" t="s">
        <v>7566</v>
      </c>
      <c r="N2733" s="97" t="s">
        <v>264</v>
      </c>
      <c r="O2733" s="58" t="s">
        <v>141</v>
      </c>
      <c r="P2733" s="58" t="s">
        <v>17</v>
      </c>
      <c r="Q2733" s="58" t="s">
        <v>102</v>
      </c>
      <c r="R2733" s="58" t="s">
        <v>272</v>
      </c>
    </row>
    <row r="2734" spans="1:18" ht="69" customHeight="1">
      <c r="A2734" s="168"/>
      <c r="B2734" s="178" t="s">
        <v>7567</v>
      </c>
      <c r="C2734" s="178" t="s">
        <v>657</v>
      </c>
      <c r="D2734" s="575"/>
      <c r="E2734" s="178" t="s">
        <v>260</v>
      </c>
      <c r="F2734" s="210" t="s">
        <v>7568</v>
      </c>
      <c r="G2734" s="58" t="s">
        <v>7080</v>
      </c>
      <c r="H2734" s="546">
        <v>19050.93</v>
      </c>
      <c r="I2734" s="66" t="s">
        <v>96</v>
      </c>
      <c r="J2734" s="411" t="s">
        <v>7081</v>
      </c>
      <c r="K2734" s="58" t="s">
        <v>7550</v>
      </c>
      <c r="L2734" s="99"/>
      <c r="M2734" s="70" t="s">
        <v>7551</v>
      </c>
      <c r="N2734" s="97" t="s">
        <v>264</v>
      </c>
      <c r="O2734" s="58" t="s">
        <v>141</v>
      </c>
      <c r="P2734" s="58" t="s">
        <v>17</v>
      </c>
      <c r="Q2734" s="58" t="s">
        <v>102</v>
      </c>
      <c r="R2734" s="58" t="s">
        <v>265</v>
      </c>
    </row>
    <row r="2735" spans="1:18" ht="69" customHeight="1">
      <c r="A2735" s="168"/>
      <c r="B2735" s="178" t="s">
        <v>7569</v>
      </c>
      <c r="C2735" s="178" t="s">
        <v>657</v>
      </c>
      <c r="D2735" s="575"/>
      <c r="E2735" s="178" t="s">
        <v>260</v>
      </c>
      <c r="F2735" s="210" t="s">
        <v>7570</v>
      </c>
      <c r="G2735" s="58" t="s">
        <v>7080</v>
      </c>
      <c r="H2735" s="546">
        <v>6153.75</v>
      </c>
      <c r="I2735" s="66" t="s">
        <v>96</v>
      </c>
      <c r="J2735" s="411" t="s">
        <v>7081</v>
      </c>
      <c r="K2735" s="58" t="s">
        <v>7550</v>
      </c>
      <c r="L2735" s="99"/>
      <c r="M2735" s="70" t="s">
        <v>7551</v>
      </c>
      <c r="N2735" s="97" t="s">
        <v>264</v>
      </c>
      <c r="O2735" s="58" t="s">
        <v>141</v>
      </c>
      <c r="P2735" s="58" t="s">
        <v>17</v>
      </c>
      <c r="Q2735" s="58" t="s">
        <v>102</v>
      </c>
      <c r="R2735" s="58" t="s">
        <v>265</v>
      </c>
    </row>
    <row r="2736" spans="1:18" ht="69" customHeight="1">
      <c r="A2736" s="168"/>
      <c r="B2736" s="178" t="s">
        <v>7571</v>
      </c>
      <c r="C2736" s="178" t="s">
        <v>657</v>
      </c>
      <c r="D2736" s="575"/>
      <c r="E2736" s="178" t="s">
        <v>260</v>
      </c>
      <c r="F2736" s="210" t="s">
        <v>7572</v>
      </c>
      <c r="G2736" s="58" t="s">
        <v>7080</v>
      </c>
      <c r="H2736" s="546">
        <v>7905</v>
      </c>
      <c r="I2736" s="66" t="s">
        <v>96</v>
      </c>
      <c r="J2736" s="411" t="s">
        <v>7081</v>
      </c>
      <c r="K2736" s="58" t="s">
        <v>7550</v>
      </c>
      <c r="L2736" s="99"/>
      <c r="M2736" s="70" t="s">
        <v>7551</v>
      </c>
      <c r="N2736" s="97" t="s">
        <v>264</v>
      </c>
      <c r="O2736" s="58" t="s">
        <v>141</v>
      </c>
      <c r="P2736" s="58" t="s">
        <v>17</v>
      </c>
      <c r="Q2736" s="58" t="s">
        <v>102</v>
      </c>
      <c r="R2736" s="58" t="s">
        <v>265</v>
      </c>
    </row>
    <row r="2737" spans="1:18" ht="69" customHeight="1">
      <c r="A2737" s="168"/>
      <c r="B2737" s="178" t="s">
        <v>7573</v>
      </c>
      <c r="C2737" s="178" t="s">
        <v>657</v>
      </c>
      <c r="D2737" s="575"/>
      <c r="E2737" s="178" t="s">
        <v>260</v>
      </c>
      <c r="F2737" s="210" t="s">
        <v>7574</v>
      </c>
      <c r="G2737" s="58" t="s">
        <v>7080</v>
      </c>
      <c r="H2737" s="546">
        <v>7796.04</v>
      </c>
      <c r="I2737" s="66" t="s">
        <v>96</v>
      </c>
      <c r="J2737" s="411" t="s">
        <v>7081</v>
      </c>
      <c r="K2737" s="58" t="s">
        <v>7550</v>
      </c>
      <c r="L2737" s="99"/>
      <c r="M2737" s="70" t="s">
        <v>7551</v>
      </c>
      <c r="N2737" s="97" t="s">
        <v>264</v>
      </c>
      <c r="O2737" s="58" t="s">
        <v>141</v>
      </c>
      <c r="P2737" s="58" t="s">
        <v>17</v>
      </c>
      <c r="Q2737" s="58" t="s">
        <v>102</v>
      </c>
      <c r="R2737" s="58" t="s">
        <v>265</v>
      </c>
    </row>
    <row r="2738" spans="1:18" ht="69" customHeight="1">
      <c r="A2738" s="168"/>
      <c r="B2738" s="178">
        <v>4365</v>
      </c>
      <c r="C2738" s="178" t="s">
        <v>657</v>
      </c>
      <c r="D2738" s="575"/>
      <c r="E2738" s="178" t="s">
        <v>283</v>
      </c>
      <c r="F2738" s="210" t="s">
        <v>7575</v>
      </c>
      <c r="G2738" s="58"/>
      <c r="H2738" s="546">
        <v>0</v>
      </c>
      <c r="I2738" s="66">
        <v>44435</v>
      </c>
      <c r="J2738" s="411" t="s">
        <v>294</v>
      </c>
      <c r="K2738" s="58" t="s">
        <v>7550</v>
      </c>
      <c r="L2738" s="99"/>
      <c r="M2738" s="70" t="s">
        <v>7566</v>
      </c>
      <c r="N2738" s="97" t="s">
        <v>264</v>
      </c>
      <c r="O2738" s="58" t="s">
        <v>141</v>
      </c>
      <c r="P2738" s="58" t="s">
        <v>17</v>
      </c>
      <c r="Q2738" s="58" t="s">
        <v>102</v>
      </c>
      <c r="R2738" s="58" t="s">
        <v>272</v>
      </c>
    </row>
    <row r="2739" spans="1:18" ht="69" customHeight="1">
      <c r="A2739" s="168"/>
      <c r="B2739" s="178">
        <v>4377</v>
      </c>
      <c r="C2739" s="178" t="s">
        <v>657</v>
      </c>
      <c r="D2739" s="575"/>
      <c r="E2739" s="178" t="s">
        <v>283</v>
      </c>
      <c r="F2739" s="210" t="s">
        <v>7576</v>
      </c>
      <c r="G2739" s="58"/>
      <c r="H2739" s="546">
        <v>0</v>
      </c>
      <c r="I2739" s="66">
        <v>44453</v>
      </c>
      <c r="J2739" s="411" t="s">
        <v>294</v>
      </c>
      <c r="K2739" s="58" t="s">
        <v>7550</v>
      </c>
      <c r="L2739" s="99"/>
      <c r="M2739" s="70" t="s">
        <v>7566</v>
      </c>
      <c r="N2739" s="97" t="s">
        <v>264</v>
      </c>
      <c r="O2739" s="58" t="s">
        <v>141</v>
      </c>
      <c r="P2739" s="58" t="s">
        <v>17</v>
      </c>
      <c r="Q2739" s="58" t="s">
        <v>102</v>
      </c>
      <c r="R2739" s="58" t="s">
        <v>272</v>
      </c>
    </row>
    <row r="2740" spans="1:18" ht="69" customHeight="1">
      <c r="A2740" s="168"/>
      <c r="B2740" s="178">
        <v>4390</v>
      </c>
      <c r="C2740" s="178" t="s">
        <v>657</v>
      </c>
      <c r="D2740" s="575"/>
      <c r="E2740" s="178" t="s">
        <v>283</v>
      </c>
      <c r="F2740" s="210" t="s">
        <v>7577</v>
      </c>
      <c r="G2740" s="58"/>
      <c r="H2740" s="546">
        <v>0</v>
      </c>
      <c r="I2740" s="66">
        <v>44488</v>
      </c>
      <c r="J2740" s="411" t="s">
        <v>294</v>
      </c>
      <c r="K2740" s="58" t="s">
        <v>7550</v>
      </c>
      <c r="L2740" s="99"/>
      <c r="M2740" s="70" t="s">
        <v>7566</v>
      </c>
      <c r="N2740" s="97" t="s">
        <v>264</v>
      </c>
      <c r="O2740" s="58" t="s">
        <v>141</v>
      </c>
      <c r="P2740" s="58" t="s">
        <v>17</v>
      </c>
      <c r="Q2740" s="58" t="s">
        <v>102</v>
      </c>
      <c r="R2740" s="58" t="s">
        <v>272</v>
      </c>
    </row>
    <row r="2741" spans="1:18" ht="69" customHeight="1">
      <c r="A2741" s="168"/>
      <c r="B2741" s="178">
        <v>4764</v>
      </c>
      <c r="C2741" s="178" t="s">
        <v>657</v>
      </c>
      <c r="D2741" s="575" t="s">
        <v>920</v>
      </c>
      <c r="E2741" s="178" t="s">
        <v>358</v>
      </c>
      <c r="F2741" s="210" t="s">
        <v>7565</v>
      </c>
      <c r="G2741" s="58" t="s">
        <v>529</v>
      </c>
      <c r="H2741" s="546">
        <v>188000</v>
      </c>
      <c r="I2741" s="66">
        <v>44680</v>
      </c>
      <c r="J2741" s="411" t="s">
        <v>7578</v>
      </c>
      <c r="K2741" s="58" t="s">
        <v>7579</v>
      </c>
      <c r="L2741" s="99"/>
      <c r="M2741" s="70" t="s">
        <v>7580</v>
      </c>
      <c r="N2741" s="97" t="s">
        <v>356</v>
      </c>
      <c r="O2741" s="58" t="s">
        <v>141</v>
      </c>
      <c r="P2741" s="58" t="s">
        <v>19</v>
      </c>
      <c r="Q2741" s="58" t="s">
        <v>102</v>
      </c>
      <c r="R2741" s="58" t="s">
        <v>272</v>
      </c>
    </row>
    <row r="2742" spans="1:18" ht="69" customHeight="1">
      <c r="A2742" s="168"/>
      <c r="B2742" s="178">
        <v>4926</v>
      </c>
      <c r="C2742" s="178" t="s">
        <v>657</v>
      </c>
      <c r="D2742" s="575" t="s">
        <v>642</v>
      </c>
      <c r="E2742" s="178" t="s">
        <v>350</v>
      </c>
      <c r="F2742" s="210" t="s">
        <v>7581</v>
      </c>
      <c r="G2742" s="58" t="s">
        <v>352</v>
      </c>
      <c r="H2742" s="546">
        <v>21780.15</v>
      </c>
      <c r="I2742" s="66">
        <v>44708</v>
      </c>
      <c r="J2742" s="411" t="s">
        <v>7582</v>
      </c>
      <c r="K2742" s="58"/>
      <c r="L2742" s="99"/>
      <c r="M2742" s="70" t="s">
        <v>7547</v>
      </c>
      <c r="N2742" s="97" t="s">
        <v>356</v>
      </c>
      <c r="O2742" s="58" t="s">
        <v>141</v>
      </c>
      <c r="P2742" s="58" t="s">
        <v>19</v>
      </c>
      <c r="Q2742" s="58" t="s">
        <v>102</v>
      </c>
      <c r="R2742" s="58" t="s">
        <v>265</v>
      </c>
    </row>
    <row r="2743" spans="1:18" ht="69" customHeight="1">
      <c r="A2743" s="168"/>
      <c r="B2743" s="178">
        <v>4927</v>
      </c>
      <c r="C2743" s="178" t="s">
        <v>657</v>
      </c>
      <c r="D2743" s="575" t="s">
        <v>2215</v>
      </c>
      <c r="E2743" s="178" t="s">
        <v>350</v>
      </c>
      <c r="F2743" s="210" t="s">
        <v>7581</v>
      </c>
      <c r="G2743" s="58" t="s">
        <v>352</v>
      </c>
      <c r="H2743" s="546">
        <v>22428.29</v>
      </c>
      <c r="I2743" s="66">
        <v>44708</v>
      </c>
      <c r="J2743" s="411" t="s">
        <v>7583</v>
      </c>
      <c r="K2743" s="58"/>
      <c r="L2743" s="99"/>
      <c r="M2743" s="70" t="s">
        <v>7547</v>
      </c>
      <c r="N2743" s="97" t="s">
        <v>356</v>
      </c>
      <c r="O2743" s="58" t="s">
        <v>141</v>
      </c>
      <c r="P2743" s="58" t="s">
        <v>19</v>
      </c>
      <c r="Q2743" s="58" t="s">
        <v>102</v>
      </c>
      <c r="R2743" s="58" t="s">
        <v>265</v>
      </c>
    </row>
    <row r="2744" spans="1:18" ht="69" customHeight="1">
      <c r="A2744" s="168"/>
      <c r="B2744" s="178">
        <v>6091</v>
      </c>
      <c r="C2744" s="178" t="s">
        <v>657</v>
      </c>
      <c r="D2744" s="575" t="s">
        <v>1503</v>
      </c>
      <c r="E2744" s="178" t="s">
        <v>358</v>
      </c>
      <c r="F2744" s="210" t="s">
        <v>7584</v>
      </c>
      <c r="G2744" s="58" t="s">
        <v>529</v>
      </c>
      <c r="H2744" s="546">
        <v>200000</v>
      </c>
      <c r="I2744" s="66">
        <v>44769</v>
      </c>
      <c r="J2744" s="411" t="s">
        <v>7585</v>
      </c>
      <c r="K2744" s="58"/>
      <c r="L2744" s="99"/>
      <c r="M2744" s="70" t="s">
        <v>7580</v>
      </c>
      <c r="N2744" s="97" t="s">
        <v>356</v>
      </c>
      <c r="O2744" s="58" t="s">
        <v>141</v>
      </c>
      <c r="P2744" s="58" t="s">
        <v>19</v>
      </c>
      <c r="Q2744" s="58" t="s">
        <v>102</v>
      </c>
      <c r="R2744" s="58" t="s">
        <v>272</v>
      </c>
    </row>
    <row r="2745" spans="1:18" ht="69" customHeight="1">
      <c r="A2745" s="168"/>
      <c r="B2745" s="178">
        <v>8497</v>
      </c>
      <c r="C2745" s="178" t="s">
        <v>7586</v>
      </c>
      <c r="D2745" s="575" t="s">
        <v>7587</v>
      </c>
      <c r="E2745" s="178" t="s">
        <v>755</v>
      </c>
      <c r="F2745" s="210" t="s">
        <v>7588</v>
      </c>
      <c r="G2745" s="58" t="s">
        <v>827</v>
      </c>
      <c r="H2745" s="546">
        <v>1290973.47</v>
      </c>
      <c r="I2745" s="66">
        <v>44937</v>
      </c>
      <c r="J2745" s="411" t="s">
        <v>7589</v>
      </c>
      <c r="K2745" s="58"/>
      <c r="L2745" s="99"/>
      <c r="M2745" s="70" t="s">
        <v>7526</v>
      </c>
      <c r="N2745" s="97" t="s">
        <v>716</v>
      </c>
      <c r="O2745" s="58"/>
      <c r="P2745" s="58" t="s">
        <v>28</v>
      </c>
      <c r="Q2745" s="58" t="s">
        <v>102</v>
      </c>
      <c r="R2745" s="58" t="s">
        <v>272</v>
      </c>
    </row>
    <row r="2746" spans="1:18" ht="69" customHeight="1">
      <c r="A2746" s="168"/>
      <c r="B2746" s="178">
        <v>8576</v>
      </c>
      <c r="C2746" s="178" t="s">
        <v>7521</v>
      </c>
      <c r="D2746" s="575" t="s">
        <v>7327</v>
      </c>
      <c r="E2746" s="178" t="s">
        <v>755</v>
      </c>
      <c r="F2746" s="210" t="s">
        <v>7590</v>
      </c>
      <c r="G2746" s="58" t="s">
        <v>7491</v>
      </c>
      <c r="H2746" s="546">
        <v>173694.78</v>
      </c>
      <c r="I2746" s="66">
        <v>44944</v>
      </c>
      <c r="J2746" s="411" t="s">
        <v>7492</v>
      </c>
      <c r="K2746" s="58"/>
      <c r="L2746" s="99"/>
      <c r="M2746" s="70" t="s">
        <v>7526</v>
      </c>
      <c r="N2746" s="97" t="s">
        <v>716</v>
      </c>
      <c r="O2746" s="58"/>
      <c r="P2746" s="58" t="s">
        <v>28</v>
      </c>
      <c r="Q2746" s="58" t="s">
        <v>102</v>
      </c>
      <c r="R2746" s="58" t="s">
        <v>272</v>
      </c>
    </row>
    <row r="2747" spans="1:18" ht="69" customHeight="1">
      <c r="A2747" s="168"/>
      <c r="B2747" s="178">
        <v>8661</v>
      </c>
      <c r="C2747" s="178" t="s">
        <v>7521</v>
      </c>
      <c r="D2747" s="575" t="s">
        <v>5299</v>
      </c>
      <c r="E2747" s="178" t="s">
        <v>809</v>
      </c>
      <c r="F2747" s="210" t="s">
        <v>7591</v>
      </c>
      <c r="G2747" s="58" t="s">
        <v>823</v>
      </c>
      <c r="H2747" s="546">
        <v>22114.04</v>
      </c>
      <c r="I2747" s="66">
        <v>44949</v>
      </c>
      <c r="J2747" s="411" t="s">
        <v>824</v>
      </c>
      <c r="K2747" s="58"/>
      <c r="L2747" s="99"/>
      <c r="M2747" s="70" t="s">
        <v>7530</v>
      </c>
      <c r="N2747" s="97" t="s">
        <v>814</v>
      </c>
      <c r="O2747" s="58"/>
      <c r="P2747" s="58" t="s">
        <v>36</v>
      </c>
      <c r="Q2747" s="58" t="s">
        <v>102</v>
      </c>
      <c r="R2747" s="58" t="s">
        <v>272</v>
      </c>
    </row>
    <row r="2748" spans="1:18" ht="69" customHeight="1">
      <c r="A2748" s="168"/>
      <c r="B2748" s="178">
        <v>8256</v>
      </c>
      <c r="C2748" s="178" t="s">
        <v>657</v>
      </c>
      <c r="D2748" s="575" t="s">
        <v>4209</v>
      </c>
      <c r="E2748" s="178" t="s">
        <v>358</v>
      </c>
      <c r="F2748" s="210" t="s">
        <v>7592</v>
      </c>
      <c r="G2748" s="58" t="s">
        <v>7593</v>
      </c>
      <c r="H2748" s="546">
        <v>379791.56</v>
      </c>
      <c r="I2748" s="66">
        <v>44965</v>
      </c>
      <c r="J2748" s="411" t="s">
        <v>7594</v>
      </c>
      <c r="K2748" s="58"/>
      <c r="L2748" s="99"/>
      <c r="M2748" s="70" t="s">
        <v>7580</v>
      </c>
      <c r="N2748" s="97" t="s">
        <v>356</v>
      </c>
      <c r="O2748" s="58" t="s">
        <v>141</v>
      </c>
      <c r="P2748" s="58" t="s">
        <v>19</v>
      </c>
      <c r="Q2748" s="58" t="s">
        <v>102</v>
      </c>
      <c r="R2748" s="58" t="s">
        <v>272</v>
      </c>
    </row>
    <row r="2749" spans="1:18" ht="69" customHeight="1">
      <c r="A2749" s="168"/>
      <c r="B2749" s="178">
        <v>8843</v>
      </c>
      <c r="C2749" s="178" t="s">
        <v>7521</v>
      </c>
      <c r="D2749" s="575" t="s">
        <v>3758</v>
      </c>
      <c r="E2749" s="178" t="s">
        <v>809</v>
      </c>
      <c r="F2749" s="210" t="s">
        <v>7595</v>
      </c>
      <c r="G2749" s="58" t="s">
        <v>845</v>
      </c>
      <c r="H2749" s="546">
        <v>17200</v>
      </c>
      <c r="I2749" s="66">
        <v>44948</v>
      </c>
      <c r="J2749" s="411" t="s">
        <v>846</v>
      </c>
      <c r="K2749" s="58"/>
      <c r="L2749" s="99"/>
      <c r="M2749" s="70" t="s">
        <v>7530</v>
      </c>
      <c r="N2749" s="97" t="s">
        <v>814</v>
      </c>
      <c r="O2749" s="58"/>
      <c r="P2749" s="58" t="s">
        <v>36</v>
      </c>
      <c r="Q2749" s="58" t="s">
        <v>102</v>
      </c>
      <c r="R2749" s="58" t="s">
        <v>272</v>
      </c>
    </row>
    <row r="2750" spans="1:18" ht="69" customHeight="1">
      <c r="A2750" s="168"/>
      <c r="B2750" s="178">
        <v>9062</v>
      </c>
      <c r="C2750" s="178" t="s">
        <v>7521</v>
      </c>
      <c r="D2750" s="575" t="s">
        <v>1377</v>
      </c>
      <c r="E2750" s="178" t="s">
        <v>755</v>
      </c>
      <c r="F2750" s="210" t="s">
        <v>7596</v>
      </c>
      <c r="G2750" s="58" t="s">
        <v>7597</v>
      </c>
      <c r="H2750" s="546">
        <v>856736.52</v>
      </c>
      <c r="I2750" s="66">
        <v>45000</v>
      </c>
      <c r="J2750" s="411" t="s">
        <v>7503</v>
      </c>
      <c r="K2750" s="58"/>
      <c r="L2750" s="99"/>
      <c r="M2750" s="70" t="s">
        <v>7526</v>
      </c>
      <c r="N2750" s="97" t="s">
        <v>716</v>
      </c>
      <c r="O2750" s="58"/>
      <c r="P2750" s="58" t="s">
        <v>28</v>
      </c>
      <c r="Q2750" s="58" t="s">
        <v>102</v>
      </c>
      <c r="R2750" s="58" t="s">
        <v>272</v>
      </c>
    </row>
    <row r="2751" spans="1:18" ht="69" customHeight="1">
      <c r="A2751" s="168"/>
      <c r="B2751" s="191">
        <v>9085</v>
      </c>
      <c r="C2751" s="191" t="s">
        <v>7521</v>
      </c>
      <c r="D2751" s="533" t="s">
        <v>7598</v>
      </c>
      <c r="E2751" s="191" t="s">
        <v>755</v>
      </c>
      <c r="F2751" s="211" t="s">
        <v>7599</v>
      </c>
      <c r="G2751" s="46" t="s">
        <v>4808</v>
      </c>
      <c r="H2751" s="534">
        <v>38719</v>
      </c>
      <c r="I2751" s="56">
        <v>45000</v>
      </c>
      <c r="J2751" s="412" t="s">
        <v>4809</v>
      </c>
      <c r="K2751" s="46" t="s">
        <v>167</v>
      </c>
      <c r="L2751" s="99"/>
      <c r="M2751" s="379" t="s">
        <v>7526</v>
      </c>
      <c r="N2751" s="76" t="s">
        <v>716</v>
      </c>
      <c r="O2751" s="46" t="s">
        <v>167</v>
      </c>
      <c r="P2751" s="46" t="s">
        <v>65</v>
      </c>
      <c r="Q2751" s="46" t="s">
        <v>102</v>
      </c>
      <c r="R2751" s="46" t="s">
        <v>272</v>
      </c>
    </row>
    <row r="2752" spans="1:18" ht="69" customHeight="1">
      <c r="A2752" s="168"/>
      <c r="B2752" s="178">
        <v>9010</v>
      </c>
      <c r="C2752" s="178" t="s">
        <v>7521</v>
      </c>
      <c r="D2752" s="575" t="s">
        <v>7600</v>
      </c>
      <c r="E2752" s="178" t="s">
        <v>809</v>
      </c>
      <c r="F2752" s="210" t="s">
        <v>7601</v>
      </c>
      <c r="G2752" s="58" t="s">
        <v>863</v>
      </c>
      <c r="H2752" s="546">
        <v>13514.04</v>
      </c>
      <c r="I2752" s="66" t="s">
        <v>96</v>
      </c>
      <c r="J2752" s="411" t="s">
        <v>864</v>
      </c>
      <c r="K2752" s="58"/>
      <c r="L2752" s="99"/>
      <c r="M2752" s="70" t="s">
        <v>7530</v>
      </c>
      <c r="N2752" s="97" t="s">
        <v>814</v>
      </c>
      <c r="O2752" s="58"/>
      <c r="P2752" s="58" t="s">
        <v>36</v>
      </c>
      <c r="Q2752" s="58" t="s">
        <v>102</v>
      </c>
      <c r="R2752" s="58" t="s">
        <v>272</v>
      </c>
    </row>
    <row r="2753" spans="1:18" ht="69" customHeight="1">
      <c r="A2753" s="168"/>
      <c r="B2753" s="178">
        <v>9711</v>
      </c>
      <c r="C2753" s="178" t="s">
        <v>7521</v>
      </c>
      <c r="D2753" s="575" t="s">
        <v>2315</v>
      </c>
      <c r="E2753" s="178" t="s">
        <v>809</v>
      </c>
      <c r="F2753" s="210" t="s">
        <v>7601</v>
      </c>
      <c r="G2753" s="58" t="s">
        <v>874</v>
      </c>
      <c r="H2753" s="546">
        <v>4914.04</v>
      </c>
      <c r="I2753" s="66" t="s">
        <v>96</v>
      </c>
      <c r="J2753" s="411" t="s">
        <v>875</v>
      </c>
      <c r="K2753" s="58"/>
      <c r="L2753" s="99"/>
      <c r="M2753" s="70" t="s">
        <v>7530</v>
      </c>
      <c r="N2753" s="97" t="s">
        <v>814</v>
      </c>
      <c r="O2753" s="58"/>
      <c r="P2753" s="58" t="s">
        <v>36</v>
      </c>
      <c r="Q2753" s="58" t="s">
        <v>102</v>
      </c>
      <c r="R2753" s="58" t="s">
        <v>272</v>
      </c>
    </row>
    <row r="2754" spans="1:18" ht="69" customHeight="1">
      <c r="A2754" s="168"/>
      <c r="B2754" s="178">
        <v>9839</v>
      </c>
      <c r="C2754" s="178" t="s">
        <v>7521</v>
      </c>
      <c r="D2754" s="575" t="s">
        <v>1081</v>
      </c>
      <c r="E2754" s="178" t="s">
        <v>266</v>
      </c>
      <c r="F2754" s="210" t="s">
        <v>7602</v>
      </c>
      <c r="G2754" s="58" t="s">
        <v>4527</v>
      </c>
      <c r="H2754" s="546">
        <v>12000</v>
      </c>
      <c r="I2754" s="66">
        <v>45041</v>
      </c>
      <c r="J2754" s="411" t="s">
        <v>7603</v>
      </c>
      <c r="K2754" s="58"/>
      <c r="L2754" s="99"/>
      <c r="M2754" s="70" t="s">
        <v>7541</v>
      </c>
      <c r="N2754" s="97" t="s">
        <v>270</v>
      </c>
      <c r="O2754" s="62" t="s">
        <v>6918</v>
      </c>
      <c r="P2754" s="58" t="s">
        <v>44</v>
      </c>
      <c r="Q2754" s="58" t="s">
        <v>102</v>
      </c>
      <c r="R2754" s="58" t="s">
        <v>272</v>
      </c>
    </row>
    <row r="2755" spans="1:18" ht="69" customHeight="1">
      <c r="A2755" s="168"/>
      <c r="B2755" s="178">
        <v>9818</v>
      </c>
      <c r="C2755" s="178" t="s">
        <v>7521</v>
      </c>
      <c r="D2755" s="575" t="s">
        <v>7604</v>
      </c>
      <c r="E2755" s="178" t="s">
        <v>755</v>
      </c>
      <c r="F2755" s="210" t="s">
        <v>7605</v>
      </c>
      <c r="G2755" s="58" t="s">
        <v>7606</v>
      </c>
      <c r="H2755" s="546">
        <v>342226.24</v>
      </c>
      <c r="I2755" s="66">
        <v>45035</v>
      </c>
      <c r="J2755" s="411" t="s">
        <v>7510</v>
      </c>
      <c r="K2755" s="58"/>
      <c r="L2755" s="99"/>
      <c r="M2755" s="70" t="s">
        <v>7526</v>
      </c>
      <c r="N2755" s="97" t="s">
        <v>716</v>
      </c>
      <c r="O2755" s="58"/>
      <c r="P2755" s="58" t="s">
        <v>28</v>
      </c>
      <c r="Q2755" s="58" t="s">
        <v>102</v>
      </c>
      <c r="R2755" s="58" t="s">
        <v>272</v>
      </c>
    </row>
    <row r="2756" spans="1:18" ht="69" customHeight="1">
      <c r="A2756" s="168"/>
      <c r="B2756" s="178">
        <v>2081</v>
      </c>
      <c r="C2756" s="178" t="s">
        <v>309</v>
      </c>
      <c r="D2756" s="575" t="s">
        <v>6828</v>
      </c>
      <c r="E2756" s="178" t="s">
        <v>266</v>
      </c>
      <c r="F2756" s="210" t="s">
        <v>7607</v>
      </c>
      <c r="G2756" s="58"/>
      <c r="H2756" s="546">
        <v>7060</v>
      </c>
      <c r="I2756" s="66">
        <v>44454</v>
      </c>
      <c r="J2756" s="411" t="s">
        <v>7608</v>
      </c>
      <c r="K2756" s="58"/>
      <c r="L2756" s="99"/>
      <c r="M2756" s="70" t="s">
        <v>7609</v>
      </c>
      <c r="N2756" s="97" t="s">
        <v>270</v>
      </c>
      <c r="O2756" s="58"/>
      <c r="P2756" s="58" t="s">
        <v>44</v>
      </c>
      <c r="Q2756" s="58" t="s">
        <v>103</v>
      </c>
      <c r="R2756" s="58" t="s">
        <v>272</v>
      </c>
    </row>
    <row r="2757" spans="1:18" ht="69" customHeight="1">
      <c r="A2757" s="168"/>
      <c r="B2757" s="178">
        <v>2651</v>
      </c>
      <c r="C2757" s="178" t="s">
        <v>458</v>
      </c>
      <c r="D2757" s="575"/>
      <c r="E2757" s="178" t="s">
        <v>283</v>
      </c>
      <c r="F2757" s="210" t="s">
        <v>5837</v>
      </c>
      <c r="G2757" s="58" t="s">
        <v>5838</v>
      </c>
      <c r="H2757" s="546">
        <v>150000</v>
      </c>
      <c r="I2757" s="66">
        <v>44554</v>
      </c>
      <c r="J2757" s="411" t="s">
        <v>5839</v>
      </c>
      <c r="K2757" s="133" t="s">
        <v>5840</v>
      </c>
      <c r="L2757" s="99"/>
      <c r="M2757" s="70" t="s">
        <v>7610</v>
      </c>
      <c r="N2757" s="97" t="s">
        <v>264</v>
      </c>
      <c r="O2757" s="58" t="s">
        <v>141</v>
      </c>
      <c r="P2757" s="58" t="s">
        <v>17</v>
      </c>
      <c r="Q2757" s="58" t="s">
        <v>103</v>
      </c>
      <c r="R2757" s="58" t="s">
        <v>272</v>
      </c>
    </row>
    <row r="2758" spans="1:18" ht="69" customHeight="1">
      <c r="A2758" s="168"/>
      <c r="B2758" s="191">
        <v>2996</v>
      </c>
      <c r="C2758" s="191" t="s">
        <v>458</v>
      </c>
      <c r="D2758" s="533" t="s">
        <v>650</v>
      </c>
      <c r="E2758" s="191" t="s">
        <v>331</v>
      </c>
      <c r="F2758" s="211" t="s">
        <v>7611</v>
      </c>
      <c r="G2758" s="46" t="s">
        <v>4416</v>
      </c>
      <c r="H2758" s="534">
        <v>0</v>
      </c>
      <c r="I2758" s="56" t="s">
        <v>96</v>
      </c>
      <c r="J2758" s="412" t="s">
        <v>334</v>
      </c>
      <c r="K2758" s="46"/>
      <c r="L2758" s="99"/>
      <c r="M2758" s="379" t="s">
        <v>103</v>
      </c>
      <c r="N2758" s="76" t="s">
        <v>69</v>
      </c>
      <c r="O2758" s="46"/>
      <c r="P2758" s="46" t="s">
        <v>69</v>
      </c>
      <c r="Q2758" s="46" t="s">
        <v>103</v>
      </c>
      <c r="R2758" s="46" t="s">
        <v>272</v>
      </c>
    </row>
    <row r="2759" spans="1:18" ht="69" customHeight="1">
      <c r="A2759" s="168"/>
      <c r="B2759" s="178">
        <v>4714</v>
      </c>
      <c r="C2759" s="178" t="s">
        <v>458</v>
      </c>
      <c r="D2759" s="575" t="s">
        <v>3584</v>
      </c>
      <c r="E2759" s="178" t="s">
        <v>331</v>
      </c>
      <c r="F2759" s="210" t="s">
        <v>7612</v>
      </c>
      <c r="G2759" s="58"/>
      <c r="H2759" s="546">
        <v>3389.12</v>
      </c>
      <c r="I2759" s="66">
        <v>44678</v>
      </c>
      <c r="J2759" s="411" t="s">
        <v>7613</v>
      </c>
      <c r="K2759" s="58"/>
      <c r="L2759" s="99"/>
      <c r="M2759" s="70" t="s">
        <v>7609</v>
      </c>
      <c r="N2759" s="97" t="s">
        <v>270</v>
      </c>
      <c r="O2759" s="58"/>
      <c r="P2759" s="58" t="s">
        <v>44</v>
      </c>
      <c r="Q2759" s="58" t="s">
        <v>103</v>
      </c>
      <c r="R2759" s="58" t="s">
        <v>272</v>
      </c>
    </row>
    <row r="2760" spans="1:18" ht="69" customHeight="1">
      <c r="A2760" s="168"/>
      <c r="B2760" s="178">
        <v>4888</v>
      </c>
      <c r="C2760" s="178" t="s">
        <v>458</v>
      </c>
      <c r="D2760" s="575" t="s">
        <v>6833</v>
      </c>
      <c r="E2760" s="178" t="s">
        <v>266</v>
      </c>
      <c r="F2760" s="210" t="s">
        <v>7614</v>
      </c>
      <c r="G2760" s="58" t="s">
        <v>7109</v>
      </c>
      <c r="H2760" s="546">
        <v>1632.75</v>
      </c>
      <c r="I2760" s="66">
        <v>44698</v>
      </c>
      <c r="J2760" s="411" t="s">
        <v>7615</v>
      </c>
      <c r="K2760" s="58"/>
      <c r="L2760" s="99"/>
      <c r="M2760" s="70" t="s">
        <v>7609</v>
      </c>
      <c r="N2760" s="97" t="s">
        <v>270</v>
      </c>
      <c r="O2760" s="58"/>
      <c r="P2760" s="58" t="s">
        <v>44</v>
      </c>
      <c r="Q2760" s="58" t="s">
        <v>103</v>
      </c>
      <c r="R2760" s="58" t="s">
        <v>272</v>
      </c>
    </row>
    <row r="2761" spans="1:18" ht="69" customHeight="1">
      <c r="A2761" s="168"/>
      <c r="B2761" s="178">
        <v>4868</v>
      </c>
      <c r="C2761" s="178" t="s">
        <v>458</v>
      </c>
      <c r="D2761" s="575" t="s">
        <v>3450</v>
      </c>
      <c r="E2761" s="178" t="s">
        <v>266</v>
      </c>
      <c r="F2761" s="210" t="s">
        <v>7616</v>
      </c>
      <c r="G2761" s="58" t="s">
        <v>680</v>
      </c>
      <c r="H2761" s="546">
        <v>6206.9</v>
      </c>
      <c r="I2761" s="66">
        <v>44706</v>
      </c>
      <c r="J2761" s="411" t="s">
        <v>7617</v>
      </c>
      <c r="K2761" s="58"/>
      <c r="L2761" s="99"/>
      <c r="M2761" s="70" t="s">
        <v>7618</v>
      </c>
      <c r="N2761" s="97" t="s">
        <v>683</v>
      </c>
      <c r="O2761" s="58" t="s">
        <v>684</v>
      </c>
      <c r="P2761" s="58" t="s">
        <v>46</v>
      </c>
      <c r="Q2761" s="58" t="s">
        <v>103</v>
      </c>
      <c r="R2761" s="58" t="s">
        <v>272</v>
      </c>
    </row>
    <row r="2762" spans="1:18" ht="69" customHeight="1">
      <c r="A2762" s="168"/>
      <c r="B2762" s="178">
        <v>4714</v>
      </c>
      <c r="C2762" s="178" t="s">
        <v>458</v>
      </c>
      <c r="D2762" s="575" t="s">
        <v>588</v>
      </c>
      <c r="E2762" s="178" t="s">
        <v>331</v>
      </c>
      <c r="F2762" s="210" t="s">
        <v>7619</v>
      </c>
      <c r="G2762" s="58" t="s">
        <v>372</v>
      </c>
      <c r="H2762" s="546">
        <v>30502.09</v>
      </c>
      <c r="I2762" s="66">
        <v>44701</v>
      </c>
      <c r="J2762" s="411" t="s">
        <v>7620</v>
      </c>
      <c r="K2762" s="58"/>
      <c r="L2762" s="99"/>
      <c r="M2762" s="70" t="s">
        <v>7609</v>
      </c>
      <c r="N2762" s="97" t="s">
        <v>270</v>
      </c>
      <c r="O2762" s="58"/>
      <c r="P2762" s="58" t="s">
        <v>44</v>
      </c>
      <c r="Q2762" s="58" t="s">
        <v>103</v>
      </c>
      <c r="R2762" s="58" t="s">
        <v>272</v>
      </c>
    </row>
    <row r="2763" spans="1:18" ht="69" customHeight="1">
      <c r="A2763" s="168"/>
      <c r="B2763" s="178">
        <v>4947</v>
      </c>
      <c r="C2763" s="178" t="s">
        <v>458</v>
      </c>
      <c r="D2763" s="575" t="s">
        <v>323</v>
      </c>
      <c r="E2763" s="178" t="s">
        <v>266</v>
      </c>
      <c r="F2763" s="210" t="s">
        <v>7621</v>
      </c>
      <c r="G2763" s="58" t="s">
        <v>376</v>
      </c>
      <c r="H2763" s="546">
        <v>2465.06</v>
      </c>
      <c r="I2763" s="66">
        <v>44706</v>
      </c>
      <c r="J2763" s="411" t="s">
        <v>7622</v>
      </c>
      <c r="K2763" s="58"/>
      <c r="L2763" s="99"/>
      <c r="M2763" s="70" t="s">
        <v>7609</v>
      </c>
      <c r="N2763" s="97" t="s">
        <v>270</v>
      </c>
      <c r="O2763" s="58"/>
      <c r="P2763" s="58" t="s">
        <v>44</v>
      </c>
      <c r="Q2763" s="58" t="s">
        <v>103</v>
      </c>
      <c r="R2763" s="58" t="s">
        <v>272</v>
      </c>
    </row>
    <row r="2764" spans="1:18" ht="69" customHeight="1">
      <c r="A2764" s="168"/>
      <c r="B2764" s="178">
        <v>5108</v>
      </c>
      <c r="C2764" s="178" t="s">
        <v>458</v>
      </c>
      <c r="D2764" s="575" t="s">
        <v>1992</v>
      </c>
      <c r="E2764" s="178" t="s">
        <v>266</v>
      </c>
      <c r="F2764" s="210" t="s">
        <v>7623</v>
      </c>
      <c r="G2764" s="58" t="s">
        <v>376</v>
      </c>
      <c r="H2764" s="546">
        <v>3697.58</v>
      </c>
      <c r="I2764" s="66">
        <v>44732</v>
      </c>
      <c r="J2764" s="411" t="s">
        <v>7624</v>
      </c>
      <c r="K2764" s="58"/>
      <c r="L2764" s="99"/>
      <c r="M2764" s="70" t="s">
        <v>7609</v>
      </c>
      <c r="N2764" s="97" t="s">
        <v>270</v>
      </c>
      <c r="O2764" s="58"/>
      <c r="P2764" s="58" t="s">
        <v>44</v>
      </c>
      <c r="Q2764" s="58" t="s">
        <v>103</v>
      </c>
      <c r="R2764" s="58" t="s">
        <v>272</v>
      </c>
    </row>
    <row r="2765" spans="1:18" ht="69" customHeight="1">
      <c r="A2765" s="168"/>
      <c r="B2765" s="178">
        <v>5125</v>
      </c>
      <c r="C2765" s="178" t="s">
        <v>458</v>
      </c>
      <c r="D2765" s="575" t="s">
        <v>2470</v>
      </c>
      <c r="E2765" s="178" t="s">
        <v>358</v>
      </c>
      <c r="F2765" s="210" t="s">
        <v>7625</v>
      </c>
      <c r="G2765" s="58" t="s">
        <v>529</v>
      </c>
      <c r="H2765" s="546">
        <v>551775</v>
      </c>
      <c r="I2765" s="66">
        <v>44732</v>
      </c>
      <c r="J2765" s="411" t="s">
        <v>7626</v>
      </c>
      <c r="K2765" s="58"/>
      <c r="L2765" s="99"/>
      <c r="M2765" s="70" t="s">
        <v>7627</v>
      </c>
      <c r="N2765" s="97" t="s">
        <v>356</v>
      </c>
      <c r="O2765" s="58" t="s">
        <v>141</v>
      </c>
      <c r="P2765" s="58" t="s">
        <v>19</v>
      </c>
      <c r="Q2765" s="58" t="s">
        <v>103</v>
      </c>
      <c r="R2765" s="58" t="s">
        <v>272</v>
      </c>
    </row>
    <row r="2766" spans="1:18" ht="69" customHeight="1">
      <c r="A2766" s="168"/>
      <c r="B2766" s="178">
        <v>5126</v>
      </c>
      <c r="C2766" s="178" t="s">
        <v>458</v>
      </c>
      <c r="D2766" s="575" t="s">
        <v>4566</v>
      </c>
      <c r="E2766" s="178" t="s">
        <v>382</v>
      </c>
      <c r="F2766" s="210" t="s">
        <v>7628</v>
      </c>
      <c r="G2766" s="58" t="s">
        <v>384</v>
      </c>
      <c r="H2766" s="546">
        <v>27761.33</v>
      </c>
      <c r="I2766" s="66">
        <v>44736</v>
      </c>
      <c r="J2766" s="411" t="s">
        <v>7629</v>
      </c>
      <c r="K2766" s="58"/>
      <c r="L2766" s="99"/>
      <c r="M2766" s="70" t="s">
        <v>7630</v>
      </c>
      <c r="N2766" s="97" t="s">
        <v>387</v>
      </c>
      <c r="O2766" s="45" t="s">
        <v>150</v>
      </c>
      <c r="P2766" s="58" t="s">
        <v>51</v>
      </c>
      <c r="Q2766" s="58" t="s">
        <v>103</v>
      </c>
      <c r="R2766" s="58" t="s">
        <v>272</v>
      </c>
    </row>
    <row r="2767" spans="1:18" ht="69" customHeight="1">
      <c r="A2767" s="168"/>
      <c r="B2767" s="178">
        <v>5127</v>
      </c>
      <c r="C2767" s="178" t="s">
        <v>458</v>
      </c>
      <c r="D2767" s="575" t="s">
        <v>2011</v>
      </c>
      <c r="E2767" s="178" t="s">
        <v>382</v>
      </c>
      <c r="F2767" s="210" t="s">
        <v>7631</v>
      </c>
      <c r="G2767" s="58" t="s">
        <v>384</v>
      </c>
      <c r="H2767" s="546">
        <v>39819.519999999997</v>
      </c>
      <c r="I2767" s="66">
        <v>44739</v>
      </c>
      <c r="J2767" s="411" t="s">
        <v>7632</v>
      </c>
      <c r="K2767" s="58"/>
      <c r="L2767" s="99"/>
      <c r="M2767" s="70" t="s">
        <v>7630</v>
      </c>
      <c r="N2767" s="97" t="s">
        <v>387</v>
      </c>
      <c r="O2767" s="45" t="s">
        <v>150</v>
      </c>
      <c r="P2767" s="58" t="s">
        <v>51</v>
      </c>
      <c r="Q2767" s="58" t="s">
        <v>103</v>
      </c>
      <c r="R2767" s="58" t="s">
        <v>272</v>
      </c>
    </row>
    <row r="2768" spans="1:18" ht="69" customHeight="1">
      <c r="A2768" s="168"/>
      <c r="B2768" s="178">
        <v>5145</v>
      </c>
      <c r="C2768" s="178" t="s">
        <v>458</v>
      </c>
      <c r="D2768" s="575" t="s">
        <v>6021</v>
      </c>
      <c r="E2768" s="178" t="s">
        <v>350</v>
      </c>
      <c r="F2768" s="210" t="s">
        <v>7633</v>
      </c>
      <c r="G2768" s="58" t="s">
        <v>352</v>
      </c>
      <c r="H2768" s="546">
        <v>466756.6</v>
      </c>
      <c r="I2768" s="66">
        <v>44742</v>
      </c>
      <c r="J2768" s="411" t="s">
        <v>7634</v>
      </c>
      <c r="K2768" s="58"/>
      <c r="L2768" s="99"/>
      <c r="M2768" s="70" t="s">
        <v>7635</v>
      </c>
      <c r="N2768" s="97" t="s">
        <v>356</v>
      </c>
      <c r="O2768" s="58" t="s">
        <v>141</v>
      </c>
      <c r="P2768" s="58" t="s">
        <v>19</v>
      </c>
      <c r="Q2768" s="58" t="s">
        <v>103</v>
      </c>
      <c r="R2768" s="58" t="s">
        <v>265</v>
      </c>
    </row>
    <row r="2769" spans="1:18" ht="69" customHeight="1">
      <c r="A2769" s="168"/>
      <c r="B2769" s="178">
        <v>6276</v>
      </c>
      <c r="C2769" s="178" t="s">
        <v>458</v>
      </c>
      <c r="D2769" s="575" t="s">
        <v>357</v>
      </c>
      <c r="E2769" s="178" t="s">
        <v>350</v>
      </c>
      <c r="F2769" s="210" t="s">
        <v>7636</v>
      </c>
      <c r="G2769" s="58" t="s">
        <v>352</v>
      </c>
      <c r="H2769" s="546">
        <v>220911</v>
      </c>
      <c r="I2769" s="66">
        <v>44751</v>
      </c>
      <c r="J2769" s="411" t="s">
        <v>7637</v>
      </c>
      <c r="K2769" s="58"/>
      <c r="L2769" s="99"/>
      <c r="M2769" s="70" t="s">
        <v>7635</v>
      </c>
      <c r="N2769" s="97" t="s">
        <v>356</v>
      </c>
      <c r="O2769" s="58" t="s">
        <v>141</v>
      </c>
      <c r="P2769" s="58" t="s">
        <v>19</v>
      </c>
      <c r="Q2769" s="58" t="s">
        <v>103</v>
      </c>
      <c r="R2769" s="58" t="s">
        <v>265</v>
      </c>
    </row>
    <row r="2770" spans="1:18" ht="69" customHeight="1">
      <c r="A2770" s="168"/>
      <c r="B2770" s="178">
        <v>5172</v>
      </c>
      <c r="C2770" s="178" t="s">
        <v>458</v>
      </c>
      <c r="D2770" s="575" t="s">
        <v>3179</v>
      </c>
      <c r="E2770" s="178" t="s">
        <v>266</v>
      </c>
      <c r="F2770" s="210" t="s">
        <v>7638</v>
      </c>
      <c r="G2770" s="58" t="s">
        <v>396</v>
      </c>
      <c r="H2770" s="546">
        <v>3500</v>
      </c>
      <c r="I2770" s="66">
        <v>44753</v>
      </c>
      <c r="J2770" s="411" t="s">
        <v>7639</v>
      </c>
      <c r="K2770" s="58" t="s">
        <v>42</v>
      </c>
      <c r="L2770" s="99"/>
      <c r="M2770" s="70" t="s">
        <v>7640</v>
      </c>
      <c r="N2770" s="97" t="s">
        <v>552</v>
      </c>
      <c r="O2770" s="62" t="s">
        <v>147</v>
      </c>
      <c r="P2770" s="58" t="s">
        <v>42</v>
      </c>
      <c r="Q2770" s="58" t="s">
        <v>103</v>
      </c>
      <c r="R2770" s="58" t="s">
        <v>272</v>
      </c>
    </row>
    <row r="2771" spans="1:18" ht="69" customHeight="1">
      <c r="A2771" s="168"/>
      <c r="B2771" s="178">
        <v>5177</v>
      </c>
      <c r="C2771" s="178" t="s">
        <v>458</v>
      </c>
      <c r="D2771" s="575" t="s">
        <v>7641</v>
      </c>
      <c r="E2771" s="178" t="s">
        <v>266</v>
      </c>
      <c r="F2771" s="210" t="s">
        <v>7642</v>
      </c>
      <c r="G2771" s="58" t="s">
        <v>396</v>
      </c>
      <c r="H2771" s="546">
        <v>5878.3</v>
      </c>
      <c r="I2771" s="66">
        <v>44753</v>
      </c>
      <c r="J2771" s="411" t="s">
        <v>7643</v>
      </c>
      <c r="K2771" s="58" t="s">
        <v>42</v>
      </c>
      <c r="L2771" s="99"/>
      <c r="M2771" s="70" t="s">
        <v>7640</v>
      </c>
      <c r="N2771" s="97" t="s">
        <v>552</v>
      </c>
      <c r="O2771" s="62" t="s">
        <v>147</v>
      </c>
      <c r="P2771" s="58" t="s">
        <v>42</v>
      </c>
      <c r="Q2771" s="58" t="s">
        <v>103</v>
      </c>
      <c r="R2771" s="58" t="s">
        <v>272</v>
      </c>
    </row>
    <row r="2772" spans="1:18" ht="69" customHeight="1">
      <c r="A2772" s="168"/>
      <c r="B2772" s="178">
        <v>5345</v>
      </c>
      <c r="C2772" s="178" t="s">
        <v>458</v>
      </c>
      <c r="D2772" s="575" t="s">
        <v>7644</v>
      </c>
      <c r="E2772" s="178" t="s">
        <v>266</v>
      </c>
      <c r="F2772" s="210" t="s">
        <v>7645</v>
      </c>
      <c r="G2772" s="58" t="s">
        <v>7109</v>
      </c>
      <c r="H2772" s="546">
        <v>1632.75</v>
      </c>
      <c r="I2772" s="66">
        <v>44761</v>
      </c>
      <c r="J2772" s="411" t="s">
        <v>7646</v>
      </c>
      <c r="K2772" s="58"/>
      <c r="L2772" s="99"/>
      <c r="M2772" s="70" t="s">
        <v>7609</v>
      </c>
      <c r="N2772" s="97" t="s">
        <v>270</v>
      </c>
      <c r="O2772" s="58"/>
      <c r="P2772" s="58" t="s">
        <v>44</v>
      </c>
      <c r="Q2772" s="58" t="s">
        <v>103</v>
      </c>
      <c r="R2772" s="58" t="s">
        <v>272</v>
      </c>
    </row>
    <row r="2773" spans="1:18" ht="69" customHeight="1">
      <c r="A2773" s="168"/>
      <c r="B2773" s="178">
        <v>6008</v>
      </c>
      <c r="C2773" s="178" t="s">
        <v>458</v>
      </c>
      <c r="D2773" s="575" t="s">
        <v>2958</v>
      </c>
      <c r="E2773" s="178" t="s">
        <v>350</v>
      </c>
      <c r="F2773" s="210" t="s">
        <v>7647</v>
      </c>
      <c r="G2773" s="58" t="s">
        <v>352</v>
      </c>
      <c r="H2773" s="546">
        <v>18248.13</v>
      </c>
      <c r="I2773" s="66">
        <v>44768</v>
      </c>
      <c r="J2773" s="411" t="s">
        <v>7648</v>
      </c>
      <c r="K2773" s="58"/>
      <c r="L2773" s="99"/>
      <c r="M2773" s="70" t="s">
        <v>7635</v>
      </c>
      <c r="N2773" s="97" t="s">
        <v>356</v>
      </c>
      <c r="O2773" s="58" t="s">
        <v>141</v>
      </c>
      <c r="P2773" s="58" t="s">
        <v>19</v>
      </c>
      <c r="Q2773" s="58" t="s">
        <v>103</v>
      </c>
      <c r="R2773" s="58" t="s">
        <v>265</v>
      </c>
    </row>
    <row r="2774" spans="1:18" ht="69" customHeight="1">
      <c r="A2774" s="168"/>
      <c r="B2774" s="600">
        <v>6086</v>
      </c>
      <c r="C2774" s="600" t="s">
        <v>458</v>
      </c>
      <c r="D2774" s="601" t="s">
        <v>3190</v>
      </c>
      <c r="E2774" s="600" t="s">
        <v>7649</v>
      </c>
      <c r="F2774" s="602" t="s">
        <v>7650</v>
      </c>
      <c r="G2774" s="460" t="s">
        <v>7054</v>
      </c>
      <c r="H2774" s="546">
        <v>262253.63</v>
      </c>
      <c r="I2774" s="461">
        <v>44776</v>
      </c>
      <c r="J2774" s="603" t="s">
        <v>7651</v>
      </c>
      <c r="K2774" s="460"/>
      <c r="L2774" s="99"/>
      <c r="M2774" s="70" t="s">
        <v>7652</v>
      </c>
      <c r="N2774" s="97" t="s">
        <v>414</v>
      </c>
      <c r="O2774" s="460" t="s">
        <v>147</v>
      </c>
      <c r="P2774" s="460" t="s">
        <v>22</v>
      </c>
      <c r="Q2774" s="460" t="s">
        <v>103</v>
      </c>
      <c r="R2774" s="460" t="s">
        <v>272</v>
      </c>
    </row>
    <row r="2775" spans="1:18" ht="69" customHeight="1">
      <c r="A2775" s="168"/>
      <c r="B2775" s="178">
        <v>6137</v>
      </c>
      <c r="C2775" s="178" t="s">
        <v>458</v>
      </c>
      <c r="D2775" s="575" t="s">
        <v>3599</v>
      </c>
      <c r="E2775" s="178" t="s">
        <v>350</v>
      </c>
      <c r="F2775" s="210" t="s">
        <v>7653</v>
      </c>
      <c r="G2775" s="58" t="s">
        <v>352</v>
      </c>
      <c r="H2775" s="546">
        <v>8131.2</v>
      </c>
      <c r="I2775" s="66">
        <v>44784</v>
      </c>
      <c r="J2775" s="411" t="s">
        <v>7654</v>
      </c>
      <c r="K2775" s="58"/>
      <c r="L2775" s="99"/>
      <c r="M2775" s="70" t="s">
        <v>7635</v>
      </c>
      <c r="N2775" s="97" t="s">
        <v>356</v>
      </c>
      <c r="O2775" s="58" t="s">
        <v>141</v>
      </c>
      <c r="P2775" s="58" t="s">
        <v>19</v>
      </c>
      <c r="Q2775" s="58" t="s">
        <v>103</v>
      </c>
      <c r="R2775" s="58" t="s">
        <v>265</v>
      </c>
    </row>
    <row r="2776" spans="1:18" ht="69" customHeight="1">
      <c r="A2776" s="168"/>
      <c r="B2776" s="178">
        <v>6102</v>
      </c>
      <c r="C2776" s="178" t="s">
        <v>458</v>
      </c>
      <c r="D2776" s="575" t="s">
        <v>2490</v>
      </c>
      <c r="E2776" s="178" t="s">
        <v>350</v>
      </c>
      <c r="F2776" s="210" t="s">
        <v>7655</v>
      </c>
      <c r="G2776" s="58" t="s">
        <v>352</v>
      </c>
      <c r="H2776" s="546">
        <v>685836.18</v>
      </c>
      <c r="I2776" s="66">
        <v>44785</v>
      </c>
      <c r="J2776" s="411" t="s">
        <v>7656</v>
      </c>
      <c r="K2776" s="58"/>
      <c r="L2776" s="99"/>
      <c r="M2776" s="70" t="s">
        <v>7635</v>
      </c>
      <c r="N2776" s="97" t="s">
        <v>356</v>
      </c>
      <c r="O2776" s="58" t="s">
        <v>141</v>
      </c>
      <c r="P2776" s="58" t="s">
        <v>19</v>
      </c>
      <c r="Q2776" s="58" t="s">
        <v>103</v>
      </c>
      <c r="R2776" s="58" t="s">
        <v>265</v>
      </c>
    </row>
    <row r="2777" spans="1:18" ht="69" customHeight="1">
      <c r="A2777" s="168"/>
      <c r="B2777" s="178">
        <v>6103</v>
      </c>
      <c r="C2777" s="178" t="s">
        <v>458</v>
      </c>
      <c r="D2777" s="575" t="s">
        <v>2741</v>
      </c>
      <c r="E2777" s="178" t="s">
        <v>350</v>
      </c>
      <c r="F2777" s="210" t="s">
        <v>7657</v>
      </c>
      <c r="G2777" s="58" t="s">
        <v>352</v>
      </c>
      <c r="H2777" s="546">
        <v>153532.16</v>
      </c>
      <c r="I2777" s="66">
        <v>44785</v>
      </c>
      <c r="J2777" s="411" t="s">
        <v>7658</v>
      </c>
      <c r="K2777" s="58"/>
      <c r="L2777" s="99"/>
      <c r="M2777" s="70" t="s">
        <v>7635</v>
      </c>
      <c r="N2777" s="97" t="s">
        <v>356</v>
      </c>
      <c r="O2777" s="58" t="s">
        <v>141</v>
      </c>
      <c r="P2777" s="58" t="s">
        <v>19</v>
      </c>
      <c r="Q2777" s="58" t="s">
        <v>103</v>
      </c>
      <c r="R2777" s="58" t="s">
        <v>265</v>
      </c>
    </row>
    <row r="2778" spans="1:18" ht="69" customHeight="1">
      <c r="A2778" s="168"/>
      <c r="B2778" s="178">
        <v>6402</v>
      </c>
      <c r="C2778" s="178" t="s">
        <v>458</v>
      </c>
      <c r="D2778" s="575" t="s">
        <v>2499</v>
      </c>
      <c r="E2778" s="178" t="s">
        <v>432</v>
      </c>
      <c r="F2778" s="210" t="s">
        <v>7659</v>
      </c>
      <c r="G2778" s="58" t="s">
        <v>429</v>
      </c>
      <c r="H2778" s="546">
        <v>13959.486000000001</v>
      </c>
      <c r="I2778" s="66">
        <v>44802</v>
      </c>
      <c r="J2778" s="411" t="s">
        <v>7660</v>
      </c>
      <c r="K2778" s="58"/>
      <c r="L2778" s="99"/>
      <c r="M2778" s="70" t="s">
        <v>7661</v>
      </c>
      <c r="N2778" s="97" t="s">
        <v>432</v>
      </c>
      <c r="O2778" s="58"/>
      <c r="P2778" s="58" t="s">
        <v>53</v>
      </c>
      <c r="Q2778" s="58" t="s">
        <v>103</v>
      </c>
      <c r="R2778" s="58" t="s">
        <v>272</v>
      </c>
    </row>
    <row r="2779" spans="1:18" ht="69" customHeight="1">
      <c r="A2779" s="168"/>
      <c r="B2779" s="178">
        <v>6444</v>
      </c>
      <c r="C2779" s="178" t="s">
        <v>458</v>
      </c>
      <c r="D2779" s="575" t="s">
        <v>3201</v>
      </c>
      <c r="E2779" s="178" t="s">
        <v>350</v>
      </c>
      <c r="F2779" s="210" t="s">
        <v>7662</v>
      </c>
      <c r="G2779" s="58" t="s">
        <v>352</v>
      </c>
      <c r="H2779" s="546">
        <v>0</v>
      </c>
      <c r="I2779" s="66">
        <v>44804</v>
      </c>
      <c r="J2779" s="411" t="s">
        <v>7663</v>
      </c>
      <c r="K2779" s="58"/>
      <c r="L2779" s="99"/>
      <c r="M2779" s="70" t="s">
        <v>7635</v>
      </c>
      <c r="N2779" s="97" t="s">
        <v>356</v>
      </c>
      <c r="O2779" s="58" t="s">
        <v>141</v>
      </c>
      <c r="P2779" s="58" t="s">
        <v>19</v>
      </c>
      <c r="Q2779" s="58" t="s">
        <v>103</v>
      </c>
      <c r="R2779" s="58" t="s">
        <v>265</v>
      </c>
    </row>
    <row r="2780" spans="1:18" ht="69" customHeight="1">
      <c r="A2780" s="168"/>
      <c r="B2780" s="178">
        <v>6299</v>
      </c>
      <c r="C2780" s="178" t="s">
        <v>458</v>
      </c>
      <c r="D2780" s="575" t="s">
        <v>2744</v>
      </c>
      <c r="E2780" s="178" t="s">
        <v>266</v>
      </c>
      <c r="F2780" s="210" t="s">
        <v>7664</v>
      </c>
      <c r="G2780" s="58" t="s">
        <v>790</v>
      </c>
      <c r="H2780" s="546">
        <v>2281.25</v>
      </c>
      <c r="I2780" s="66">
        <v>44834</v>
      </c>
      <c r="J2780" s="411" t="s">
        <v>7665</v>
      </c>
      <c r="K2780" s="58"/>
      <c r="L2780" s="99"/>
      <c r="M2780" s="70" t="s">
        <v>7618</v>
      </c>
      <c r="N2780" s="97" t="s">
        <v>683</v>
      </c>
      <c r="O2780" s="58" t="s">
        <v>684</v>
      </c>
      <c r="P2780" s="58" t="s">
        <v>46</v>
      </c>
      <c r="Q2780" s="58" t="s">
        <v>103</v>
      </c>
      <c r="R2780" s="58" t="s">
        <v>272</v>
      </c>
    </row>
    <row r="2781" spans="1:18" ht="69" customHeight="1">
      <c r="A2781" s="168"/>
      <c r="B2781" s="178">
        <v>6838</v>
      </c>
      <c r="C2781" s="178" t="s">
        <v>458</v>
      </c>
      <c r="D2781" s="575" t="s">
        <v>2518</v>
      </c>
      <c r="E2781" s="178" t="s">
        <v>266</v>
      </c>
      <c r="F2781" s="210" t="s">
        <v>7666</v>
      </c>
      <c r="G2781" s="58" t="s">
        <v>448</v>
      </c>
      <c r="H2781" s="546">
        <v>17500</v>
      </c>
      <c r="I2781" s="66">
        <v>44832</v>
      </c>
      <c r="J2781" s="411" t="s">
        <v>7667</v>
      </c>
      <c r="K2781" s="58" t="s">
        <v>42</v>
      </c>
      <c r="L2781" s="99"/>
      <c r="M2781" s="70" t="s">
        <v>7668</v>
      </c>
      <c r="N2781" s="97" t="s">
        <v>399</v>
      </c>
      <c r="O2781" s="62" t="s">
        <v>147</v>
      </c>
      <c r="P2781" s="58" t="s">
        <v>42</v>
      </c>
      <c r="Q2781" s="58" t="s">
        <v>103</v>
      </c>
      <c r="R2781" s="58" t="s">
        <v>272</v>
      </c>
    </row>
    <row r="2782" spans="1:18" ht="69" customHeight="1">
      <c r="A2782" s="168"/>
      <c r="B2782" s="178">
        <v>7795</v>
      </c>
      <c r="C2782" s="178" t="s">
        <v>458</v>
      </c>
      <c r="D2782" s="575" t="s">
        <v>2592</v>
      </c>
      <c r="E2782" s="178" t="s">
        <v>7649</v>
      </c>
      <c r="F2782" s="210" t="s">
        <v>7669</v>
      </c>
      <c r="G2782" s="58" t="s">
        <v>7670</v>
      </c>
      <c r="H2782" s="546">
        <v>173174.33</v>
      </c>
      <c r="I2782" s="66">
        <v>44909</v>
      </c>
      <c r="J2782" s="411" t="s">
        <v>7671</v>
      </c>
      <c r="K2782" s="58"/>
      <c r="L2782" s="99"/>
      <c r="M2782" s="70" t="s">
        <v>7652</v>
      </c>
      <c r="N2782" s="97" t="s">
        <v>414</v>
      </c>
      <c r="O2782" s="45" t="s">
        <v>147</v>
      </c>
      <c r="P2782" s="58" t="s">
        <v>22</v>
      </c>
      <c r="Q2782" s="58" t="s">
        <v>103</v>
      </c>
      <c r="R2782" s="58" t="s">
        <v>272</v>
      </c>
    </row>
    <row r="2783" spans="1:18" ht="69" customHeight="1">
      <c r="A2783" s="168"/>
      <c r="B2783" s="178">
        <v>7796</v>
      </c>
      <c r="C2783" s="178" t="s">
        <v>458</v>
      </c>
      <c r="D2783" s="575" t="s">
        <v>2539</v>
      </c>
      <c r="E2783" s="178" t="s">
        <v>7649</v>
      </c>
      <c r="F2783" s="210" t="s">
        <v>7672</v>
      </c>
      <c r="G2783" s="58" t="s">
        <v>7673</v>
      </c>
      <c r="H2783" s="546">
        <v>93247.71</v>
      </c>
      <c r="I2783" s="66">
        <v>44909</v>
      </c>
      <c r="J2783" s="411" t="s">
        <v>7671</v>
      </c>
      <c r="K2783" s="58"/>
      <c r="L2783" s="99"/>
      <c r="M2783" s="70" t="s">
        <v>7652</v>
      </c>
      <c r="N2783" s="97" t="s">
        <v>414</v>
      </c>
      <c r="O2783" s="45" t="s">
        <v>147</v>
      </c>
      <c r="P2783" s="58" t="s">
        <v>22</v>
      </c>
      <c r="Q2783" s="58" t="s">
        <v>103</v>
      </c>
      <c r="R2783" s="58" t="s">
        <v>272</v>
      </c>
    </row>
    <row r="2784" spans="1:18" ht="69" customHeight="1">
      <c r="A2784" s="168"/>
      <c r="B2784" s="178">
        <v>6938</v>
      </c>
      <c r="C2784" s="178" t="s">
        <v>458</v>
      </c>
      <c r="D2784" s="575" t="s">
        <v>7674</v>
      </c>
      <c r="E2784" s="178" t="s">
        <v>350</v>
      </c>
      <c r="F2784" s="210" t="s">
        <v>7675</v>
      </c>
      <c r="G2784" s="58" t="s">
        <v>1048</v>
      </c>
      <c r="H2784" s="546">
        <v>1720</v>
      </c>
      <c r="I2784" s="66">
        <v>44851</v>
      </c>
      <c r="J2784" s="411" t="s">
        <v>7676</v>
      </c>
      <c r="K2784" s="58"/>
      <c r="L2784" s="99"/>
      <c r="M2784" s="70" t="s">
        <v>7635</v>
      </c>
      <c r="N2784" s="97" t="s">
        <v>356</v>
      </c>
      <c r="O2784" s="58" t="s">
        <v>141</v>
      </c>
      <c r="P2784" s="58" t="s">
        <v>19</v>
      </c>
      <c r="Q2784" s="58" t="s">
        <v>103</v>
      </c>
      <c r="R2784" s="58" t="s">
        <v>265</v>
      </c>
    </row>
    <row r="2785" spans="1:18" ht="69" customHeight="1">
      <c r="A2785" s="168"/>
      <c r="B2785" s="178">
        <v>6991</v>
      </c>
      <c r="C2785" s="178" t="s">
        <v>458</v>
      </c>
      <c r="D2785" s="575" t="s">
        <v>7677</v>
      </c>
      <c r="E2785" s="178" t="s">
        <v>350</v>
      </c>
      <c r="F2785" s="210" t="s">
        <v>7678</v>
      </c>
      <c r="G2785" s="58" t="s">
        <v>3787</v>
      </c>
      <c r="H2785" s="546">
        <v>11220</v>
      </c>
      <c r="I2785" s="66">
        <v>44846</v>
      </c>
      <c r="J2785" s="411" t="s">
        <v>3788</v>
      </c>
      <c r="K2785" s="58"/>
      <c r="L2785" s="99"/>
      <c r="M2785" s="70" t="s">
        <v>7635</v>
      </c>
      <c r="N2785" s="97" t="s">
        <v>356</v>
      </c>
      <c r="O2785" s="58" t="s">
        <v>141</v>
      </c>
      <c r="P2785" s="58" t="s">
        <v>19</v>
      </c>
      <c r="Q2785" s="58" t="s">
        <v>103</v>
      </c>
      <c r="R2785" s="58" t="s">
        <v>265</v>
      </c>
    </row>
    <row r="2786" spans="1:18" ht="69" customHeight="1">
      <c r="A2786" s="168"/>
      <c r="B2786" s="178">
        <v>6667</v>
      </c>
      <c r="C2786" s="178" t="s">
        <v>458</v>
      </c>
      <c r="D2786" s="575" t="s">
        <v>7679</v>
      </c>
      <c r="E2786" s="178" t="s">
        <v>350</v>
      </c>
      <c r="F2786" s="210" t="s">
        <v>7680</v>
      </c>
      <c r="G2786" s="58" t="s">
        <v>744</v>
      </c>
      <c r="H2786" s="546">
        <v>109446.81</v>
      </c>
      <c r="I2786" s="66">
        <v>44841</v>
      </c>
      <c r="J2786" s="411" t="s">
        <v>7681</v>
      </c>
      <c r="K2786" s="58"/>
      <c r="L2786" s="99"/>
      <c r="M2786" s="70" t="s">
        <v>7635</v>
      </c>
      <c r="N2786" s="97" t="s">
        <v>356</v>
      </c>
      <c r="O2786" s="58" t="s">
        <v>141</v>
      </c>
      <c r="P2786" s="58" t="s">
        <v>19</v>
      </c>
      <c r="Q2786" s="58" t="s">
        <v>103</v>
      </c>
      <c r="R2786" s="58" t="s">
        <v>265</v>
      </c>
    </row>
    <row r="2787" spans="1:18" ht="69" customHeight="1">
      <c r="A2787" s="168"/>
      <c r="B2787" s="178">
        <v>6668</v>
      </c>
      <c r="C2787" s="178" t="s">
        <v>458</v>
      </c>
      <c r="D2787" s="575" t="s">
        <v>4597</v>
      </c>
      <c r="E2787" s="178" t="s">
        <v>350</v>
      </c>
      <c r="F2787" s="210" t="s">
        <v>7682</v>
      </c>
      <c r="G2787" s="58" t="s">
        <v>744</v>
      </c>
      <c r="H2787" s="546">
        <v>122.26</v>
      </c>
      <c r="I2787" s="66">
        <v>44841</v>
      </c>
      <c r="J2787" s="411" t="s">
        <v>7681</v>
      </c>
      <c r="K2787" s="58"/>
      <c r="L2787" s="99"/>
      <c r="M2787" s="70" t="s">
        <v>7635</v>
      </c>
      <c r="N2787" s="97" t="s">
        <v>356</v>
      </c>
      <c r="O2787" s="58" t="s">
        <v>141</v>
      </c>
      <c r="P2787" s="58" t="s">
        <v>19</v>
      </c>
      <c r="Q2787" s="58" t="s">
        <v>103</v>
      </c>
      <c r="R2787" s="58" t="s">
        <v>265</v>
      </c>
    </row>
    <row r="2788" spans="1:18" ht="69" customHeight="1">
      <c r="A2788" s="168"/>
      <c r="B2788" s="178">
        <v>7781</v>
      </c>
      <c r="C2788" s="178" t="s">
        <v>458</v>
      </c>
      <c r="D2788" s="575" t="s">
        <v>7683</v>
      </c>
      <c r="E2788" s="178" t="s">
        <v>741</v>
      </c>
      <c r="F2788" s="210" t="s">
        <v>7684</v>
      </c>
      <c r="G2788" s="58" t="s">
        <v>7685</v>
      </c>
      <c r="H2788" s="546">
        <v>33580.51</v>
      </c>
      <c r="I2788" s="66">
        <v>44907</v>
      </c>
      <c r="J2788" s="411" t="s">
        <v>7686</v>
      </c>
      <c r="K2788" s="58"/>
      <c r="L2788" s="99"/>
      <c r="M2788" s="70" t="s">
        <v>7687</v>
      </c>
      <c r="N2788" s="97" t="s">
        <v>741</v>
      </c>
      <c r="O2788" s="58"/>
      <c r="P2788" s="58" t="s">
        <v>59</v>
      </c>
      <c r="Q2788" s="58" t="s">
        <v>103</v>
      </c>
      <c r="R2788" s="58" t="s">
        <v>272</v>
      </c>
    </row>
    <row r="2789" spans="1:18" ht="69" customHeight="1">
      <c r="A2789" s="168"/>
      <c r="B2789" s="178">
        <v>7782</v>
      </c>
      <c r="C2789" s="178" t="s">
        <v>458</v>
      </c>
      <c r="D2789" s="575" t="s">
        <v>7688</v>
      </c>
      <c r="E2789" s="178" t="s">
        <v>741</v>
      </c>
      <c r="F2789" s="210" t="s">
        <v>7689</v>
      </c>
      <c r="G2789" s="58" t="s">
        <v>7685</v>
      </c>
      <c r="H2789" s="546">
        <v>134322.04999999999</v>
      </c>
      <c r="I2789" s="66">
        <v>44907</v>
      </c>
      <c r="J2789" s="411" t="s">
        <v>7686</v>
      </c>
      <c r="K2789" s="58"/>
      <c r="L2789" s="99"/>
      <c r="M2789" s="70" t="s">
        <v>7687</v>
      </c>
      <c r="N2789" s="97" t="s">
        <v>741</v>
      </c>
      <c r="O2789" s="58"/>
      <c r="P2789" s="58" t="s">
        <v>59</v>
      </c>
      <c r="Q2789" s="58" t="s">
        <v>103</v>
      </c>
      <c r="R2789" s="58" t="s">
        <v>272</v>
      </c>
    </row>
    <row r="2790" spans="1:18" ht="69" customHeight="1">
      <c r="A2790" s="168"/>
      <c r="B2790" s="178">
        <v>7711</v>
      </c>
      <c r="C2790" s="178" t="s">
        <v>458</v>
      </c>
      <c r="D2790" s="575" t="s">
        <v>3061</v>
      </c>
      <c r="E2790" s="178" t="s">
        <v>350</v>
      </c>
      <c r="F2790" s="210" t="s">
        <v>7690</v>
      </c>
      <c r="G2790" s="58" t="s">
        <v>805</v>
      </c>
      <c r="H2790" s="546">
        <v>118860</v>
      </c>
      <c r="I2790" s="66">
        <v>44908</v>
      </c>
      <c r="J2790" s="411" t="s">
        <v>806</v>
      </c>
      <c r="K2790" s="58"/>
      <c r="L2790" s="99"/>
      <c r="M2790" s="70" t="s">
        <v>7635</v>
      </c>
      <c r="N2790" s="97" t="s">
        <v>356</v>
      </c>
      <c r="O2790" s="58" t="s">
        <v>141</v>
      </c>
      <c r="P2790" s="58" t="s">
        <v>19</v>
      </c>
      <c r="Q2790" s="58" t="s">
        <v>103</v>
      </c>
      <c r="R2790" s="58" t="s">
        <v>265</v>
      </c>
    </row>
    <row r="2791" spans="1:18" ht="69" customHeight="1">
      <c r="A2791" s="168"/>
      <c r="B2791" s="178">
        <v>7734</v>
      </c>
      <c r="C2791" s="178" t="s">
        <v>458</v>
      </c>
      <c r="D2791" s="575" t="s">
        <v>7691</v>
      </c>
      <c r="E2791" s="178" t="s">
        <v>7692</v>
      </c>
      <c r="F2791" s="210" t="s">
        <v>7693</v>
      </c>
      <c r="G2791" s="58" t="s">
        <v>7694</v>
      </c>
      <c r="H2791" s="546">
        <v>11392</v>
      </c>
      <c r="I2791" s="66">
        <v>44907</v>
      </c>
      <c r="J2791" s="411" t="s">
        <v>7695</v>
      </c>
      <c r="K2791" s="58"/>
      <c r="L2791" s="99"/>
      <c r="M2791" s="70" t="s">
        <v>7696</v>
      </c>
      <c r="N2791" s="97" t="s">
        <v>414</v>
      </c>
      <c r="O2791" s="45" t="s">
        <v>147</v>
      </c>
      <c r="P2791" s="58" t="s">
        <v>22</v>
      </c>
      <c r="Q2791" s="58" t="s">
        <v>103</v>
      </c>
      <c r="R2791" s="58" t="s">
        <v>265</v>
      </c>
    </row>
    <row r="2792" spans="1:18" ht="69" customHeight="1">
      <c r="A2792" s="168"/>
      <c r="B2792" s="178">
        <v>6985</v>
      </c>
      <c r="C2792" s="178" t="s">
        <v>458</v>
      </c>
      <c r="D2792" s="178">
        <v>560</v>
      </c>
      <c r="E2792" s="178" t="s">
        <v>350</v>
      </c>
      <c r="F2792" s="210" t="s">
        <v>7697</v>
      </c>
      <c r="G2792" s="58" t="s">
        <v>1048</v>
      </c>
      <c r="H2792" s="546">
        <v>7292</v>
      </c>
      <c r="I2792" s="66">
        <v>44844</v>
      </c>
      <c r="J2792" s="411" t="s">
        <v>7698</v>
      </c>
      <c r="K2792" s="58"/>
      <c r="L2792" s="99"/>
      <c r="M2792" s="70" t="s">
        <v>7696</v>
      </c>
      <c r="N2792" s="97" t="s">
        <v>414</v>
      </c>
      <c r="O2792" s="58" t="s">
        <v>141</v>
      </c>
      <c r="P2792" s="58" t="s">
        <v>19</v>
      </c>
      <c r="Q2792" s="58" t="s">
        <v>113</v>
      </c>
      <c r="R2792" s="58" t="s">
        <v>272</v>
      </c>
    </row>
    <row r="2793" spans="1:18" ht="69" customHeight="1">
      <c r="A2793" s="168"/>
      <c r="B2793" s="178">
        <v>7563</v>
      </c>
      <c r="C2793" s="178" t="s">
        <v>458</v>
      </c>
      <c r="D2793" s="575" t="s">
        <v>6689</v>
      </c>
      <c r="E2793" s="178" t="s">
        <v>266</v>
      </c>
      <c r="F2793" s="210" t="s">
        <v>7699</v>
      </c>
      <c r="G2793" s="58" t="s">
        <v>392</v>
      </c>
      <c r="H2793" s="546">
        <v>1150</v>
      </c>
      <c r="I2793" s="66">
        <v>44903</v>
      </c>
      <c r="J2793" s="411" t="s">
        <v>7700</v>
      </c>
      <c r="K2793" s="58"/>
      <c r="L2793" s="99"/>
      <c r="M2793" s="70" t="s">
        <v>7609</v>
      </c>
      <c r="N2793" s="97" t="s">
        <v>270</v>
      </c>
      <c r="O2793" s="58"/>
      <c r="P2793" s="58" t="s">
        <v>44</v>
      </c>
      <c r="Q2793" s="58" t="s">
        <v>103</v>
      </c>
      <c r="R2793" s="58" t="s">
        <v>272</v>
      </c>
    </row>
    <row r="2794" spans="1:18" ht="69" customHeight="1">
      <c r="A2794" s="168"/>
      <c r="B2794" s="178">
        <v>8216</v>
      </c>
      <c r="C2794" s="178" t="s">
        <v>458</v>
      </c>
      <c r="D2794" s="575" t="s">
        <v>3250</v>
      </c>
      <c r="E2794" s="178" t="s">
        <v>741</v>
      </c>
      <c r="F2794" s="210" t="s">
        <v>7701</v>
      </c>
      <c r="G2794" s="58" t="s">
        <v>7685</v>
      </c>
      <c r="H2794" s="546">
        <v>28888.53</v>
      </c>
      <c r="I2794" s="66">
        <v>44921</v>
      </c>
      <c r="J2794" s="411" t="s">
        <v>7702</v>
      </c>
      <c r="K2794" s="58"/>
      <c r="L2794" s="99"/>
      <c r="M2794" s="70" t="s">
        <v>7687</v>
      </c>
      <c r="N2794" s="97" t="s">
        <v>741</v>
      </c>
      <c r="O2794" s="58"/>
      <c r="P2794" s="58" t="s">
        <v>59</v>
      </c>
      <c r="Q2794" s="58" t="s">
        <v>103</v>
      </c>
      <c r="R2794" s="58" t="s">
        <v>272</v>
      </c>
    </row>
    <row r="2795" spans="1:18" ht="69" customHeight="1">
      <c r="A2795" s="168"/>
      <c r="B2795" s="178">
        <v>8217</v>
      </c>
      <c r="C2795" s="178" t="s">
        <v>458</v>
      </c>
      <c r="D2795" s="575" t="s">
        <v>7703</v>
      </c>
      <c r="E2795" s="178" t="s">
        <v>741</v>
      </c>
      <c r="F2795" s="210" t="s">
        <v>7704</v>
      </c>
      <c r="G2795" s="58" t="s">
        <v>7685</v>
      </c>
      <c r="H2795" s="546">
        <v>115554.11</v>
      </c>
      <c r="I2795" s="66">
        <v>44921</v>
      </c>
      <c r="J2795" s="411" t="s">
        <v>7702</v>
      </c>
      <c r="K2795" s="58"/>
      <c r="L2795" s="99"/>
      <c r="M2795" s="70" t="s">
        <v>7687</v>
      </c>
      <c r="N2795" s="97" t="s">
        <v>741</v>
      </c>
      <c r="O2795" s="58"/>
      <c r="P2795" s="58" t="s">
        <v>59</v>
      </c>
      <c r="Q2795" s="58" t="s">
        <v>103</v>
      </c>
      <c r="R2795" s="58" t="s">
        <v>272</v>
      </c>
    </row>
    <row r="2796" spans="1:18" ht="69" customHeight="1">
      <c r="A2796" s="168"/>
      <c r="B2796" s="178">
        <v>8502</v>
      </c>
      <c r="C2796" s="178" t="s">
        <v>458</v>
      </c>
      <c r="D2796" s="575" t="s">
        <v>1808</v>
      </c>
      <c r="E2796" s="178" t="s">
        <v>741</v>
      </c>
      <c r="F2796" s="210" t="s">
        <v>7705</v>
      </c>
      <c r="G2796" s="58" t="s">
        <v>7706</v>
      </c>
      <c r="H2796" s="546">
        <v>28167.25</v>
      </c>
      <c r="I2796" s="66">
        <v>44937</v>
      </c>
      <c r="J2796" s="411" t="s">
        <v>7707</v>
      </c>
      <c r="K2796" s="58"/>
      <c r="L2796" s="99"/>
      <c r="M2796" s="70" t="s">
        <v>7687</v>
      </c>
      <c r="N2796" s="97" t="s">
        <v>741</v>
      </c>
      <c r="O2796" s="58"/>
      <c r="P2796" s="58" t="s">
        <v>59</v>
      </c>
      <c r="Q2796" s="58" t="s">
        <v>103</v>
      </c>
      <c r="R2796" s="58" t="s">
        <v>272</v>
      </c>
    </row>
    <row r="2797" spans="1:18" ht="69" customHeight="1">
      <c r="A2797" s="168"/>
      <c r="B2797" s="178">
        <v>8503</v>
      </c>
      <c r="C2797" s="178" t="s">
        <v>458</v>
      </c>
      <c r="D2797" s="575" t="s">
        <v>2552</v>
      </c>
      <c r="E2797" s="178" t="s">
        <v>741</v>
      </c>
      <c r="F2797" s="210" t="s">
        <v>7708</v>
      </c>
      <c r="G2797" s="58" t="s">
        <v>7706</v>
      </c>
      <c r="H2797" s="546">
        <v>112668.99</v>
      </c>
      <c r="I2797" s="66">
        <v>44937</v>
      </c>
      <c r="J2797" s="411" t="s">
        <v>7707</v>
      </c>
      <c r="K2797" s="58"/>
      <c r="L2797" s="99"/>
      <c r="M2797" s="70" t="s">
        <v>7687</v>
      </c>
      <c r="N2797" s="97" t="s">
        <v>741</v>
      </c>
      <c r="O2797" s="58"/>
      <c r="P2797" s="58" t="s">
        <v>59</v>
      </c>
      <c r="Q2797" s="58" t="s">
        <v>103</v>
      </c>
      <c r="R2797" s="58" t="s">
        <v>272</v>
      </c>
    </row>
    <row r="2798" spans="1:18" ht="69" customHeight="1">
      <c r="A2798" s="168"/>
      <c r="B2798" s="178">
        <v>8046</v>
      </c>
      <c r="C2798" s="178" t="s">
        <v>458</v>
      </c>
      <c r="D2798" s="575" t="s">
        <v>2129</v>
      </c>
      <c r="E2798" s="178" t="s">
        <v>350</v>
      </c>
      <c r="F2798" s="210" t="s">
        <v>7709</v>
      </c>
      <c r="G2798" s="58" t="s">
        <v>7710</v>
      </c>
      <c r="H2798" s="546">
        <v>611149.22</v>
      </c>
      <c r="I2798" s="66">
        <v>44956</v>
      </c>
      <c r="J2798" s="411" t="s">
        <v>7711</v>
      </c>
      <c r="K2798" s="58"/>
      <c r="L2798" s="99"/>
      <c r="M2798" s="70" t="s">
        <v>7635</v>
      </c>
      <c r="N2798" s="97" t="s">
        <v>356</v>
      </c>
      <c r="O2798" s="58" t="s">
        <v>141</v>
      </c>
      <c r="P2798" s="58" t="s">
        <v>19</v>
      </c>
      <c r="Q2798" s="58" t="s">
        <v>103</v>
      </c>
      <c r="R2798" s="58" t="s">
        <v>265</v>
      </c>
    </row>
    <row r="2799" spans="1:18" ht="69" customHeight="1">
      <c r="A2799" s="168"/>
      <c r="B2799" s="178">
        <v>8048</v>
      </c>
      <c r="C2799" s="178" t="s">
        <v>458</v>
      </c>
      <c r="D2799" s="575" t="s">
        <v>7197</v>
      </c>
      <c r="E2799" s="178" t="s">
        <v>266</v>
      </c>
      <c r="F2799" s="210" t="s">
        <v>7712</v>
      </c>
      <c r="G2799" s="58" t="s">
        <v>392</v>
      </c>
      <c r="H2799" s="546">
        <v>2099.25</v>
      </c>
      <c r="I2799" s="66">
        <v>44950</v>
      </c>
      <c r="J2799" s="411" t="s">
        <v>7713</v>
      </c>
      <c r="K2799" s="58"/>
      <c r="L2799" s="99"/>
      <c r="M2799" s="70" t="s">
        <v>7609</v>
      </c>
      <c r="N2799" s="97" t="s">
        <v>270</v>
      </c>
      <c r="O2799" s="58"/>
      <c r="P2799" s="58" t="s">
        <v>44</v>
      </c>
      <c r="Q2799" s="58" t="s">
        <v>103</v>
      </c>
      <c r="R2799" s="58" t="s">
        <v>272</v>
      </c>
    </row>
    <row r="2800" spans="1:18" ht="69" customHeight="1">
      <c r="A2800" s="168"/>
      <c r="B2800" s="178">
        <v>8581</v>
      </c>
      <c r="C2800" s="178" t="s">
        <v>458</v>
      </c>
      <c r="D2800" s="575" t="s">
        <v>7604</v>
      </c>
      <c r="E2800" s="178" t="s">
        <v>7692</v>
      </c>
      <c r="F2800" s="210" t="s">
        <v>7714</v>
      </c>
      <c r="G2800" s="58" t="s">
        <v>7715</v>
      </c>
      <c r="H2800" s="546">
        <v>27166</v>
      </c>
      <c r="I2800" s="66">
        <v>44951</v>
      </c>
      <c r="J2800" s="411" t="s">
        <v>7716</v>
      </c>
      <c r="K2800" s="58"/>
      <c r="L2800" s="99"/>
      <c r="M2800" s="70" t="s">
        <v>7696</v>
      </c>
      <c r="N2800" s="97" t="s">
        <v>414</v>
      </c>
      <c r="O2800" s="45" t="s">
        <v>147</v>
      </c>
      <c r="P2800" s="58" t="s">
        <v>22</v>
      </c>
      <c r="Q2800" s="58" t="s">
        <v>103</v>
      </c>
      <c r="R2800" s="58" t="s">
        <v>265</v>
      </c>
    </row>
    <row r="2801" spans="1:18" ht="69" customHeight="1">
      <c r="A2801" s="168"/>
      <c r="B2801" s="178">
        <v>8592</v>
      </c>
      <c r="C2801" s="178" t="s">
        <v>458</v>
      </c>
      <c r="D2801" s="575" t="s">
        <v>6508</v>
      </c>
      <c r="E2801" s="178" t="s">
        <v>350</v>
      </c>
      <c r="F2801" s="210" t="s">
        <v>7717</v>
      </c>
      <c r="G2801" s="58" t="s">
        <v>1877</v>
      </c>
      <c r="H2801" s="546">
        <v>86878.22</v>
      </c>
      <c r="I2801" s="66">
        <v>44956</v>
      </c>
      <c r="J2801" s="411" t="s">
        <v>7718</v>
      </c>
      <c r="K2801" s="58"/>
      <c r="L2801" s="99"/>
      <c r="M2801" s="70" t="s">
        <v>7635</v>
      </c>
      <c r="N2801" s="97" t="s">
        <v>356</v>
      </c>
      <c r="O2801" s="58" t="s">
        <v>141</v>
      </c>
      <c r="P2801" s="58" t="s">
        <v>19</v>
      </c>
      <c r="Q2801" s="58" t="s">
        <v>103</v>
      </c>
      <c r="R2801" s="58" t="s">
        <v>265</v>
      </c>
    </row>
    <row r="2802" spans="1:18" ht="69" customHeight="1">
      <c r="A2802" s="168"/>
      <c r="B2802" s="178">
        <v>8627</v>
      </c>
      <c r="C2802" s="178" t="s">
        <v>458</v>
      </c>
      <c r="D2802" s="575" t="s">
        <v>5329</v>
      </c>
      <c r="E2802" s="178" t="s">
        <v>350</v>
      </c>
      <c r="F2802" s="210" t="s">
        <v>7719</v>
      </c>
      <c r="G2802" s="58" t="s">
        <v>7720</v>
      </c>
      <c r="H2802" s="546">
        <v>742.32</v>
      </c>
      <c r="I2802" s="66">
        <v>44960</v>
      </c>
      <c r="J2802" s="411" t="s">
        <v>7721</v>
      </c>
      <c r="K2802" s="58"/>
      <c r="L2802" s="99"/>
      <c r="M2802" s="70" t="s">
        <v>7635</v>
      </c>
      <c r="N2802" s="97" t="s">
        <v>356</v>
      </c>
      <c r="O2802" s="58" t="s">
        <v>141</v>
      </c>
      <c r="P2802" s="58" t="s">
        <v>19</v>
      </c>
      <c r="Q2802" s="58" t="s">
        <v>103</v>
      </c>
      <c r="R2802" s="58" t="s">
        <v>265</v>
      </c>
    </row>
    <row r="2803" spans="1:18" ht="69" customHeight="1">
      <c r="A2803" s="168"/>
      <c r="B2803" s="178">
        <v>8734</v>
      </c>
      <c r="C2803" s="178" t="s">
        <v>458</v>
      </c>
      <c r="D2803" s="575" t="s">
        <v>3029</v>
      </c>
      <c r="E2803" s="178" t="s">
        <v>7649</v>
      </c>
      <c r="F2803" s="210" t="s">
        <v>7722</v>
      </c>
      <c r="G2803" s="58" t="s">
        <v>7723</v>
      </c>
      <c r="H2803" s="546">
        <v>102464.92</v>
      </c>
      <c r="I2803" s="66">
        <v>44951</v>
      </c>
      <c r="J2803" s="411" t="s">
        <v>7724</v>
      </c>
      <c r="K2803" s="58"/>
      <c r="L2803" s="99"/>
      <c r="M2803" s="70" t="s">
        <v>7652</v>
      </c>
      <c r="N2803" s="97" t="s">
        <v>414</v>
      </c>
      <c r="O2803" s="45" t="s">
        <v>147</v>
      </c>
      <c r="P2803" s="58" t="s">
        <v>22</v>
      </c>
      <c r="Q2803" s="58" t="s">
        <v>103</v>
      </c>
      <c r="R2803" s="58" t="s">
        <v>272</v>
      </c>
    </row>
    <row r="2804" spans="1:18" ht="69" customHeight="1">
      <c r="A2804" s="168"/>
      <c r="B2804" s="178">
        <v>8735</v>
      </c>
      <c r="C2804" s="178" t="s">
        <v>458</v>
      </c>
      <c r="D2804" s="575" t="s">
        <v>1611</v>
      </c>
      <c r="E2804" s="178" t="s">
        <v>7649</v>
      </c>
      <c r="F2804" s="210" t="s">
        <v>7725</v>
      </c>
      <c r="G2804" s="58" t="s">
        <v>7726</v>
      </c>
      <c r="H2804" s="546">
        <v>55173.42</v>
      </c>
      <c r="I2804" s="66">
        <v>44951</v>
      </c>
      <c r="J2804" s="411" t="s">
        <v>7724</v>
      </c>
      <c r="K2804" s="58"/>
      <c r="L2804" s="99"/>
      <c r="M2804" s="70" t="s">
        <v>7652</v>
      </c>
      <c r="N2804" s="97" t="s">
        <v>414</v>
      </c>
      <c r="O2804" s="45" t="s">
        <v>147</v>
      </c>
      <c r="P2804" s="58" t="s">
        <v>22</v>
      </c>
      <c r="Q2804" s="58" t="s">
        <v>103</v>
      </c>
      <c r="R2804" s="58" t="s">
        <v>272</v>
      </c>
    </row>
    <row r="2805" spans="1:18" ht="69" customHeight="1">
      <c r="A2805" s="168"/>
      <c r="B2805" s="178">
        <v>8764</v>
      </c>
      <c r="C2805" s="178" t="s">
        <v>458</v>
      </c>
      <c r="D2805" s="575" t="s">
        <v>4995</v>
      </c>
      <c r="E2805" s="178" t="s">
        <v>741</v>
      </c>
      <c r="F2805" s="210" t="s">
        <v>7727</v>
      </c>
      <c r="G2805" s="58" t="s">
        <v>7728</v>
      </c>
      <c r="H2805" s="546">
        <v>2734.2</v>
      </c>
      <c r="I2805" s="66">
        <v>44953</v>
      </c>
      <c r="J2805" s="411" t="s">
        <v>7729</v>
      </c>
      <c r="K2805" s="58"/>
      <c r="L2805" s="99"/>
      <c r="M2805" s="70" t="s">
        <v>7687</v>
      </c>
      <c r="N2805" s="97" t="s">
        <v>741</v>
      </c>
      <c r="O2805" s="58"/>
      <c r="P2805" s="58" t="s">
        <v>59</v>
      </c>
      <c r="Q2805" s="58" t="s">
        <v>103</v>
      </c>
      <c r="R2805" s="58" t="s">
        <v>272</v>
      </c>
    </row>
    <row r="2806" spans="1:18" ht="69" customHeight="1">
      <c r="A2806" s="168"/>
      <c r="B2806" s="178">
        <v>8765</v>
      </c>
      <c r="C2806" s="178" t="s">
        <v>458</v>
      </c>
      <c r="D2806" s="575" t="s">
        <v>1123</v>
      </c>
      <c r="E2806" s="178" t="s">
        <v>741</v>
      </c>
      <c r="F2806" s="210" t="s">
        <v>7730</v>
      </c>
      <c r="G2806" s="58" t="s">
        <v>7728</v>
      </c>
      <c r="H2806" s="546">
        <v>10936.8</v>
      </c>
      <c r="I2806" s="66">
        <v>44953</v>
      </c>
      <c r="J2806" s="411" t="s">
        <v>7729</v>
      </c>
      <c r="K2806" s="58"/>
      <c r="L2806" s="99"/>
      <c r="M2806" s="70" t="s">
        <v>7687</v>
      </c>
      <c r="N2806" s="97" t="s">
        <v>741</v>
      </c>
      <c r="O2806" s="58"/>
      <c r="P2806" s="58" t="s">
        <v>59</v>
      </c>
      <c r="Q2806" s="58" t="s">
        <v>103</v>
      </c>
      <c r="R2806" s="58" t="s">
        <v>272</v>
      </c>
    </row>
    <row r="2807" spans="1:18" ht="69" customHeight="1">
      <c r="A2807" s="168"/>
      <c r="B2807" s="178">
        <v>8781</v>
      </c>
      <c r="C2807" s="178" t="s">
        <v>458</v>
      </c>
      <c r="D2807" s="575" t="s">
        <v>5954</v>
      </c>
      <c r="E2807" s="178" t="s">
        <v>350</v>
      </c>
      <c r="F2807" s="210" t="s">
        <v>7731</v>
      </c>
      <c r="G2807" s="58" t="s">
        <v>2153</v>
      </c>
      <c r="H2807" s="546">
        <v>4195</v>
      </c>
      <c r="I2807" s="66">
        <v>44973</v>
      </c>
      <c r="J2807" s="411" t="s">
        <v>7732</v>
      </c>
      <c r="K2807" s="58"/>
      <c r="L2807" s="99"/>
      <c r="M2807" s="70" t="s">
        <v>7635</v>
      </c>
      <c r="N2807" s="97" t="s">
        <v>356</v>
      </c>
      <c r="O2807" s="58" t="s">
        <v>141</v>
      </c>
      <c r="P2807" s="58" t="s">
        <v>19</v>
      </c>
      <c r="Q2807" s="58" t="s">
        <v>103</v>
      </c>
      <c r="R2807" s="58" t="s">
        <v>265</v>
      </c>
    </row>
    <row r="2808" spans="1:18" ht="69" customHeight="1">
      <c r="A2808" s="168"/>
      <c r="B2808" s="178">
        <v>8789</v>
      </c>
      <c r="C2808" s="178" t="s">
        <v>458</v>
      </c>
      <c r="D2808" s="575" t="s">
        <v>6745</v>
      </c>
      <c r="E2808" s="178" t="s">
        <v>7649</v>
      </c>
      <c r="F2808" s="210" t="s">
        <v>7733</v>
      </c>
      <c r="G2808" s="58" t="s">
        <v>7734</v>
      </c>
      <c r="H2808" s="546">
        <v>26601.119999999999</v>
      </c>
      <c r="I2808" s="66">
        <v>44953</v>
      </c>
      <c r="J2808" s="411" t="s">
        <v>7735</v>
      </c>
      <c r="K2808" s="58"/>
      <c r="L2808" s="99"/>
      <c r="M2808" s="70" t="s">
        <v>7652</v>
      </c>
      <c r="N2808" s="97" t="s">
        <v>414</v>
      </c>
      <c r="O2808" s="45" t="s">
        <v>147</v>
      </c>
      <c r="P2808" s="58" t="s">
        <v>22</v>
      </c>
      <c r="Q2808" s="58" t="s">
        <v>103</v>
      </c>
      <c r="R2808" s="58" t="s">
        <v>272</v>
      </c>
    </row>
    <row r="2809" spans="1:18" ht="69" customHeight="1">
      <c r="A2809" s="168"/>
      <c r="B2809" s="178">
        <v>8790</v>
      </c>
      <c r="C2809" s="178" t="s">
        <v>458</v>
      </c>
      <c r="D2809" s="575" t="s">
        <v>6869</v>
      </c>
      <c r="E2809" s="178" t="s">
        <v>7649</v>
      </c>
      <c r="F2809" s="210" t="s">
        <v>7736</v>
      </c>
      <c r="G2809" s="58" t="s">
        <v>7737</v>
      </c>
      <c r="H2809" s="546">
        <v>14323.68</v>
      </c>
      <c r="I2809" s="66">
        <v>44953</v>
      </c>
      <c r="J2809" s="411" t="s">
        <v>7735</v>
      </c>
      <c r="K2809" s="58"/>
      <c r="L2809" s="99"/>
      <c r="M2809" s="70" t="s">
        <v>7652</v>
      </c>
      <c r="N2809" s="97" t="s">
        <v>414</v>
      </c>
      <c r="O2809" s="45" t="s">
        <v>147</v>
      </c>
      <c r="P2809" s="58" t="s">
        <v>22</v>
      </c>
      <c r="Q2809" s="58" t="s">
        <v>103</v>
      </c>
      <c r="R2809" s="58" t="s">
        <v>272</v>
      </c>
    </row>
    <row r="2810" spans="1:18" ht="69" customHeight="1">
      <c r="A2810" s="168"/>
      <c r="B2810" s="178">
        <v>8703</v>
      </c>
      <c r="C2810" s="178" t="s">
        <v>458</v>
      </c>
      <c r="D2810" s="575" t="s">
        <v>2572</v>
      </c>
      <c r="E2810" s="178" t="s">
        <v>350</v>
      </c>
      <c r="F2810" s="210" t="s">
        <v>7738</v>
      </c>
      <c r="G2810" s="58" t="s">
        <v>3939</v>
      </c>
      <c r="H2810" s="546">
        <v>1541.92</v>
      </c>
      <c r="I2810" s="66">
        <v>44959</v>
      </c>
      <c r="J2810" s="411" t="s">
        <v>7739</v>
      </c>
      <c r="K2810" s="58"/>
      <c r="L2810" s="99"/>
      <c r="M2810" s="70" t="s">
        <v>7635</v>
      </c>
      <c r="N2810" s="97" t="s">
        <v>356</v>
      </c>
      <c r="O2810" s="58" t="s">
        <v>141</v>
      </c>
      <c r="P2810" s="58" t="s">
        <v>19</v>
      </c>
      <c r="Q2810" s="58" t="s">
        <v>103</v>
      </c>
      <c r="R2810" s="58" t="s">
        <v>265</v>
      </c>
    </row>
    <row r="2811" spans="1:18" ht="69" customHeight="1">
      <c r="A2811" s="168"/>
      <c r="B2811" s="178">
        <v>8759</v>
      </c>
      <c r="C2811" s="178" t="s">
        <v>458</v>
      </c>
      <c r="D2811" s="575">
        <v>1201</v>
      </c>
      <c r="E2811" s="178" t="s">
        <v>350</v>
      </c>
      <c r="F2811" s="210" t="s">
        <v>7740</v>
      </c>
      <c r="G2811" s="58" t="s">
        <v>7741</v>
      </c>
      <c r="H2811" s="546">
        <v>22330</v>
      </c>
      <c r="I2811" s="66">
        <v>44972</v>
      </c>
      <c r="J2811" s="411" t="s">
        <v>7742</v>
      </c>
      <c r="K2811" s="58"/>
      <c r="L2811" s="99"/>
      <c r="M2811" s="70" t="s">
        <v>7635</v>
      </c>
      <c r="N2811" s="97" t="s">
        <v>356</v>
      </c>
      <c r="O2811" s="58" t="s">
        <v>141</v>
      </c>
      <c r="P2811" s="58" t="s">
        <v>19</v>
      </c>
      <c r="Q2811" s="58" t="s">
        <v>103</v>
      </c>
      <c r="R2811" s="58" t="s">
        <v>265</v>
      </c>
    </row>
    <row r="2812" spans="1:18" ht="69" customHeight="1">
      <c r="A2812" s="168"/>
      <c r="B2812" s="178">
        <v>8233</v>
      </c>
      <c r="C2812" s="178" t="s">
        <v>458</v>
      </c>
      <c r="D2812" s="575" t="s">
        <v>1143</v>
      </c>
      <c r="E2812" s="178" t="s">
        <v>7692</v>
      </c>
      <c r="F2812" s="210" t="s">
        <v>7743</v>
      </c>
      <c r="G2812" s="58" t="s">
        <v>3939</v>
      </c>
      <c r="H2812" s="546">
        <v>55262.07</v>
      </c>
      <c r="I2812" s="66">
        <v>44958</v>
      </c>
      <c r="J2812" s="411" t="s">
        <v>7744</v>
      </c>
      <c r="K2812" s="58"/>
      <c r="L2812" s="99"/>
      <c r="M2812" s="70" t="s">
        <v>7696</v>
      </c>
      <c r="N2812" s="97" t="s">
        <v>414</v>
      </c>
      <c r="O2812" s="45" t="s">
        <v>147</v>
      </c>
      <c r="P2812" s="58" t="s">
        <v>22</v>
      </c>
      <c r="Q2812" s="58" t="s">
        <v>103</v>
      </c>
      <c r="R2812" s="58" t="s">
        <v>265</v>
      </c>
    </row>
    <row r="2813" spans="1:18" ht="69" customHeight="1">
      <c r="A2813" s="168"/>
      <c r="B2813" s="178">
        <v>8669</v>
      </c>
      <c r="C2813" s="178" t="s">
        <v>458</v>
      </c>
      <c r="D2813" s="575" t="s">
        <v>2854</v>
      </c>
      <c r="E2813" s="178" t="s">
        <v>7649</v>
      </c>
      <c r="F2813" s="210" t="s">
        <v>7745</v>
      </c>
      <c r="G2813" s="58" t="s">
        <v>7746</v>
      </c>
      <c r="H2813" s="546">
        <v>75919.89</v>
      </c>
      <c r="I2813" s="66">
        <v>44967</v>
      </c>
      <c r="J2813" s="411" t="s">
        <v>7747</v>
      </c>
      <c r="K2813" s="58"/>
      <c r="L2813" s="99"/>
      <c r="M2813" s="70" t="s">
        <v>7652</v>
      </c>
      <c r="N2813" s="97" t="s">
        <v>414</v>
      </c>
      <c r="O2813" s="45" t="s">
        <v>147</v>
      </c>
      <c r="P2813" s="58" t="s">
        <v>22</v>
      </c>
      <c r="Q2813" s="58" t="s">
        <v>103</v>
      </c>
      <c r="R2813" s="58" t="s">
        <v>272</v>
      </c>
    </row>
    <row r="2814" spans="1:18" ht="69" customHeight="1">
      <c r="A2814" s="168"/>
      <c r="B2814" s="178">
        <v>9857</v>
      </c>
      <c r="C2814" s="178" t="s">
        <v>458</v>
      </c>
      <c r="D2814" s="575" t="s">
        <v>855</v>
      </c>
      <c r="E2814" s="178" t="s">
        <v>741</v>
      </c>
      <c r="F2814" s="210" t="s">
        <v>7748</v>
      </c>
      <c r="G2814" s="58" t="s">
        <v>7749</v>
      </c>
      <c r="H2814" s="546">
        <v>18055.07</v>
      </c>
      <c r="I2814" s="66">
        <v>45033</v>
      </c>
      <c r="J2814" s="411" t="s">
        <v>7750</v>
      </c>
      <c r="K2814" s="58"/>
      <c r="L2814" s="99"/>
      <c r="M2814" s="70" t="s">
        <v>7687</v>
      </c>
      <c r="N2814" s="97" t="s">
        <v>741</v>
      </c>
      <c r="O2814" s="58"/>
      <c r="P2814" s="58" t="s">
        <v>59</v>
      </c>
      <c r="Q2814" s="58" t="s">
        <v>103</v>
      </c>
      <c r="R2814" s="58" t="s">
        <v>272</v>
      </c>
    </row>
    <row r="2815" spans="1:18" ht="69" customHeight="1">
      <c r="A2815" s="168"/>
      <c r="B2815" s="178">
        <v>9858</v>
      </c>
      <c r="C2815" s="178" t="s">
        <v>458</v>
      </c>
      <c r="D2815" s="575" t="s">
        <v>1911</v>
      </c>
      <c r="E2815" s="178" t="s">
        <v>741</v>
      </c>
      <c r="F2815" s="210" t="s">
        <v>7751</v>
      </c>
      <c r="G2815" s="58" t="s">
        <v>7752</v>
      </c>
      <c r="H2815" s="546">
        <v>72220.27</v>
      </c>
      <c r="I2815" s="66">
        <v>45033</v>
      </c>
      <c r="J2815" s="411" t="s">
        <v>7750</v>
      </c>
      <c r="K2815" s="58"/>
      <c r="L2815" s="99"/>
      <c r="M2815" s="70" t="s">
        <v>7687</v>
      </c>
      <c r="N2815" s="97" t="s">
        <v>741</v>
      </c>
      <c r="O2815" s="58"/>
      <c r="P2815" s="58" t="s">
        <v>59</v>
      </c>
      <c r="Q2815" s="58" t="s">
        <v>103</v>
      </c>
      <c r="R2815" s="58" t="s">
        <v>272</v>
      </c>
    </row>
    <row r="2816" spans="1:18" ht="69" customHeight="1">
      <c r="A2816" s="168"/>
      <c r="B2816" s="178">
        <v>8765</v>
      </c>
      <c r="C2816" s="178" t="s">
        <v>458</v>
      </c>
      <c r="D2816" s="575" t="s">
        <v>7753</v>
      </c>
      <c r="E2816" s="178" t="s">
        <v>741</v>
      </c>
      <c r="F2816" s="210" t="s">
        <v>7754</v>
      </c>
      <c r="G2816" s="58" t="s">
        <v>7755</v>
      </c>
      <c r="H2816" s="546">
        <v>10034.56</v>
      </c>
      <c r="I2816" s="66">
        <v>44972</v>
      </c>
      <c r="J2816" s="411" t="s">
        <v>7756</v>
      </c>
      <c r="K2816" s="58"/>
      <c r="L2816" s="99"/>
      <c r="M2816" s="70" t="s">
        <v>7687</v>
      </c>
      <c r="N2816" s="97" t="s">
        <v>741</v>
      </c>
      <c r="O2816" s="58"/>
      <c r="P2816" s="58" t="s">
        <v>59</v>
      </c>
      <c r="Q2816" s="58" t="s">
        <v>103</v>
      </c>
      <c r="R2816" s="58" t="s">
        <v>272</v>
      </c>
    </row>
    <row r="2817" spans="1:18" ht="69" customHeight="1">
      <c r="A2817" s="168"/>
      <c r="B2817" s="178">
        <v>8766</v>
      </c>
      <c r="C2817" s="178" t="s">
        <v>458</v>
      </c>
      <c r="D2817" s="575" t="s">
        <v>7757</v>
      </c>
      <c r="E2817" s="178" t="s">
        <v>741</v>
      </c>
      <c r="F2817" s="210" t="s">
        <v>7758</v>
      </c>
      <c r="G2817" s="58" t="s">
        <v>7755</v>
      </c>
      <c r="H2817" s="546">
        <v>40138.26</v>
      </c>
      <c r="I2817" s="66">
        <v>44972</v>
      </c>
      <c r="J2817" s="411" t="s">
        <v>7756</v>
      </c>
      <c r="K2817" s="58"/>
      <c r="L2817" s="99"/>
      <c r="M2817" s="70" t="s">
        <v>7687</v>
      </c>
      <c r="N2817" s="97" t="s">
        <v>741</v>
      </c>
      <c r="O2817" s="58"/>
      <c r="P2817" s="58" t="s">
        <v>59</v>
      </c>
      <c r="Q2817" s="58" t="s">
        <v>103</v>
      </c>
      <c r="R2817" s="58" t="s">
        <v>272</v>
      </c>
    </row>
    <row r="2818" spans="1:18" ht="69" customHeight="1">
      <c r="A2818" s="168"/>
      <c r="B2818" s="178">
        <v>8788</v>
      </c>
      <c r="C2818" s="178" t="s">
        <v>458</v>
      </c>
      <c r="D2818" s="575" t="s">
        <v>2574</v>
      </c>
      <c r="E2818" s="178" t="s">
        <v>350</v>
      </c>
      <c r="F2818" s="210" t="s">
        <v>7759</v>
      </c>
      <c r="G2818" s="58" t="s">
        <v>7760</v>
      </c>
      <c r="H2818" s="546">
        <v>224697</v>
      </c>
      <c r="I2818" s="66">
        <v>44972</v>
      </c>
      <c r="J2818" s="411" t="s">
        <v>7761</v>
      </c>
      <c r="K2818" s="58"/>
      <c r="L2818" s="99"/>
      <c r="M2818" s="70" t="s">
        <v>7635</v>
      </c>
      <c r="N2818" s="97" t="s">
        <v>356</v>
      </c>
      <c r="O2818" s="58" t="s">
        <v>141</v>
      </c>
      <c r="P2818" s="58" t="s">
        <v>19</v>
      </c>
      <c r="Q2818" s="58" t="s">
        <v>103</v>
      </c>
      <c r="R2818" s="58" t="s">
        <v>265</v>
      </c>
    </row>
    <row r="2819" spans="1:18" ht="69" customHeight="1">
      <c r="A2819" s="168"/>
      <c r="B2819" s="178">
        <v>8790</v>
      </c>
      <c r="C2819" s="178" t="s">
        <v>458</v>
      </c>
      <c r="D2819" s="575">
        <v>1216</v>
      </c>
      <c r="E2819" s="178" t="s">
        <v>350</v>
      </c>
      <c r="F2819" s="210" t="s">
        <v>7762</v>
      </c>
      <c r="G2819" s="58" t="s">
        <v>7760</v>
      </c>
      <c r="H2819" s="546">
        <v>40490</v>
      </c>
      <c r="I2819" s="66">
        <v>44972</v>
      </c>
      <c r="J2819" s="411" t="s">
        <v>7761</v>
      </c>
      <c r="K2819" s="58"/>
      <c r="L2819" s="99"/>
      <c r="M2819" s="70" t="s">
        <v>7635</v>
      </c>
      <c r="N2819" s="97" t="s">
        <v>356</v>
      </c>
      <c r="O2819" s="58" t="s">
        <v>141</v>
      </c>
      <c r="P2819" s="58" t="s">
        <v>19</v>
      </c>
      <c r="Q2819" s="58" t="s">
        <v>103</v>
      </c>
      <c r="R2819" s="58" t="s">
        <v>265</v>
      </c>
    </row>
    <row r="2820" spans="1:18" ht="69" customHeight="1">
      <c r="A2820" s="168"/>
      <c r="B2820" s="178">
        <v>8791</v>
      </c>
      <c r="C2820" s="178" t="s">
        <v>458</v>
      </c>
      <c r="D2820" s="575">
        <v>1217</v>
      </c>
      <c r="E2820" s="178" t="s">
        <v>350</v>
      </c>
      <c r="F2820" s="210" t="s">
        <v>7763</v>
      </c>
      <c r="G2820" s="58" t="s">
        <v>7760</v>
      </c>
      <c r="H2820" s="546">
        <v>22230</v>
      </c>
      <c r="I2820" s="66">
        <v>44972</v>
      </c>
      <c r="J2820" s="411" t="s">
        <v>7761</v>
      </c>
      <c r="K2820" s="58"/>
      <c r="L2820" s="99"/>
      <c r="M2820" s="70" t="s">
        <v>7635</v>
      </c>
      <c r="N2820" s="97" t="s">
        <v>356</v>
      </c>
      <c r="O2820" s="58" t="s">
        <v>141</v>
      </c>
      <c r="P2820" s="58" t="s">
        <v>19</v>
      </c>
      <c r="Q2820" s="58" t="s">
        <v>103</v>
      </c>
      <c r="R2820" s="58" t="s">
        <v>265</v>
      </c>
    </row>
    <row r="2821" spans="1:18" ht="69" customHeight="1">
      <c r="A2821" s="168"/>
      <c r="B2821" s="178">
        <v>8806</v>
      </c>
      <c r="C2821" s="178" t="s">
        <v>458</v>
      </c>
      <c r="D2821" s="575"/>
      <c r="E2821" s="178" t="s">
        <v>350</v>
      </c>
      <c r="F2821" s="210" t="s">
        <v>7764</v>
      </c>
      <c r="G2821" s="58" t="s">
        <v>1905</v>
      </c>
      <c r="H2821" s="546">
        <v>5700</v>
      </c>
      <c r="I2821" s="66">
        <v>44981</v>
      </c>
      <c r="J2821" s="411" t="s">
        <v>7765</v>
      </c>
      <c r="K2821" s="58"/>
      <c r="L2821" s="99"/>
      <c r="M2821" s="70" t="s">
        <v>7635</v>
      </c>
      <c r="N2821" s="97" t="s">
        <v>356</v>
      </c>
      <c r="O2821" s="58" t="s">
        <v>141</v>
      </c>
      <c r="P2821" s="58" t="s">
        <v>19</v>
      </c>
      <c r="Q2821" s="58" t="s">
        <v>103</v>
      </c>
      <c r="R2821" s="58" t="s">
        <v>265</v>
      </c>
    </row>
    <row r="2822" spans="1:18" ht="69" customHeight="1">
      <c r="A2822" s="168"/>
      <c r="B2822" s="178">
        <v>8807</v>
      </c>
      <c r="C2822" s="178" t="s">
        <v>458</v>
      </c>
      <c r="D2822" s="575"/>
      <c r="E2822" s="178" t="s">
        <v>350</v>
      </c>
      <c r="F2822" s="210" t="s">
        <v>7766</v>
      </c>
      <c r="G2822" s="58" t="s">
        <v>1905</v>
      </c>
      <c r="H2822" s="546">
        <v>7000</v>
      </c>
      <c r="I2822" s="66">
        <v>44981</v>
      </c>
      <c r="J2822" s="411" t="s">
        <v>7765</v>
      </c>
      <c r="K2822" s="58"/>
      <c r="L2822" s="99"/>
      <c r="M2822" s="70" t="s">
        <v>7635</v>
      </c>
      <c r="N2822" s="97" t="s">
        <v>356</v>
      </c>
      <c r="O2822" s="58" t="s">
        <v>141</v>
      </c>
      <c r="P2822" s="58" t="s">
        <v>19</v>
      </c>
      <c r="Q2822" s="58" t="s">
        <v>103</v>
      </c>
      <c r="R2822" s="58" t="s">
        <v>265</v>
      </c>
    </row>
    <row r="2823" spans="1:18" ht="69" customHeight="1">
      <c r="A2823" s="168"/>
      <c r="B2823" s="178">
        <v>8808</v>
      </c>
      <c r="C2823" s="178" t="s">
        <v>458</v>
      </c>
      <c r="D2823" s="575"/>
      <c r="E2823" s="178" t="s">
        <v>350</v>
      </c>
      <c r="F2823" s="210" t="s">
        <v>7767</v>
      </c>
      <c r="G2823" s="58" t="s">
        <v>1905</v>
      </c>
      <c r="H2823" s="546">
        <v>5700</v>
      </c>
      <c r="I2823" s="66">
        <v>44981</v>
      </c>
      <c r="J2823" s="411" t="s">
        <v>7765</v>
      </c>
      <c r="K2823" s="58"/>
      <c r="L2823" s="99"/>
      <c r="M2823" s="70" t="s">
        <v>7635</v>
      </c>
      <c r="N2823" s="97" t="s">
        <v>356</v>
      </c>
      <c r="O2823" s="58" t="s">
        <v>141</v>
      </c>
      <c r="P2823" s="58" t="s">
        <v>19</v>
      </c>
      <c r="Q2823" s="58" t="s">
        <v>103</v>
      </c>
      <c r="R2823" s="58" t="s">
        <v>265</v>
      </c>
    </row>
    <row r="2824" spans="1:18" ht="69" customHeight="1">
      <c r="A2824" s="168"/>
      <c r="B2824" s="178">
        <v>8809</v>
      </c>
      <c r="C2824" s="178" t="s">
        <v>458</v>
      </c>
      <c r="D2824" s="575"/>
      <c r="E2824" s="178" t="s">
        <v>350</v>
      </c>
      <c r="F2824" s="210" t="s">
        <v>7768</v>
      </c>
      <c r="G2824" s="58" t="s">
        <v>1905</v>
      </c>
      <c r="H2824" s="546">
        <v>7000</v>
      </c>
      <c r="I2824" s="66">
        <v>44981</v>
      </c>
      <c r="J2824" s="411" t="s">
        <v>7765</v>
      </c>
      <c r="K2824" s="58"/>
      <c r="L2824" s="99"/>
      <c r="M2824" s="70" t="s">
        <v>7635</v>
      </c>
      <c r="N2824" s="97" t="s">
        <v>356</v>
      </c>
      <c r="O2824" s="58" t="s">
        <v>141</v>
      </c>
      <c r="P2824" s="58" t="s">
        <v>19</v>
      </c>
      <c r="Q2824" s="58" t="s">
        <v>103</v>
      </c>
      <c r="R2824" s="58" t="s">
        <v>265</v>
      </c>
    </row>
    <row r="2825" spans="1:18" ht="69" customHeight="1">
      <c r="A2825" s="168"/>
      <c r="B2825" s="191">
        <v>9859</v>
      </c>
      <c r="C2825" s="191" t="s">
        <v>458</v>
      </c>
      <c r="D2825" s="533" t="s">
        <v>3535</v>
      </c>
      <c r="E2825" s="191" t="s">
        <v>7692</v>
      </c>
      <c r="F2825" s="211" t="s">
        <v>7769</v>
      </c>
      <c r="G2825" s="46" t="s">
        <v>7202</v>
      </c>
      <c r="H2825" s="534">
        <v>11687.04</v>
      </c>
      <c r="I2825" s="56">
        <v>45041</v>
      </c>
      <c r="J2825" s="412" t="s">
        <v>7203</v>
      </c>
      <c r="K2825" s="46" t="s">
        <v>167</v>
      </c>
      <c r="L2825" s="99"/>
      <c r="M2825" s="70" t="s">
        <v>7696</v>
      </c>
      <c r="N2825" s="97" t="s">
        <v>414</v>
      </c>
      <c r="O2825" s="46" t="s">
        <v>1171</v>
      </c>
      <c r="P2825" s="46" t="s">
        <v>71</v>
      </c>
      <c r="Q2825" s="46" t="s">
        <v>103</v>
      </c>
      <c r="R2825" s="46" t="s">
        <v>272</v>
      </c>
    </row>
    <row r="2826" spans="1:18" ht="69" customHeight="1">
      <c r="A2826" s="168"/>
      <c r="B2826" s="178">
        <v>8811</v>
      </c>
      <c r="C2826" s="178" t="s">
        <v>458</v>
      </c>
      <c r="D2826" s="575"/>
      <c r="E2826" s="178" t="s">
        <v>350</v>
      </c>
      <c r="F2826" s="210" t="s">
        <v>7770</v>
      </c>
      <c r="G2826" s="58" t="s">
        <v>1905</v>
      </c>
      <c r="H2826" s="546">
        <v>5700</v>
      </c>
      <c r="I2826" s="66">
        <v>44981</v>
      </c>
      <c r="J2826" s="411" t="s">
        <v>7765</v>
      </c>
      <c r="K2826" s="58"/>
      <c r="L2826" s="99"/>
      <c r="M2826" s="70" t="s">
        <v>7635</v>
      </c>
      <c r="N2826" s="97" t="s">
        <v>356</v>
      </c>
      <c r="O2826" s="58" t="s">
        <v>141</v>
      </c>
      <c r="P2826" s="58" t="s">
        <v>19</v>
      </c>
      <c r="Q2826" s="58" t="s">
        <v>103</v>
      </c>
      <c r="R2826" s="58" t="s">
        <v>265</v>
      </c>
    </row>
    <row r="2827" spans="1:18" ht="69" customHeight="1">
      <c r="A2827" s="168"/>
      <c r="B2827" s="178">
        <v>8670</v>
      </c>
      <c r="C2827" s="178" t="s">
        <v>458</v>
      </c>
      <c r="D2827" s="575" t="s">
        <v>3103</v>
      </c>
      <c r="E2827" s="178" t="s">
        <v>7649</v>
      </c>
      <c r="F2827" s="210" t="s">
        <v>7771</v>
      </c>
      <c r="G2827" s="58" t="s">
        <v>7772</v>
      </c>
      <c r="H2827" s="546">
        <v>40879.94</v>
      </c>
      <c r="I2827" s="66">
        <v>44967</v>
      </c>
      <c r="J2827" s="411" t="s">
        <v>7747</v>
      </c>
      <c r="K2827" s="58"/>
      <c r="L2827" s="99"/>
      <c r="M2827" s="70" t="s">
        <v>7652</v>
      </c>
      <c r="N2827" s="97" t="s">
        <v>414</v>
      </c>
      <c r="O2827" s="45" t="s">
        <v>147</v>
      </c>
      <c r="P2827" s="58" t="s">
        <v>22</v>
      </c>
      <c r="Q2827" s="58" t="s">
        <v>103</v>
      </c>
      <c r="R2827" s="58" t="s">
        <v>272</v>
      </c>
    </row>
    <row r="2828" spans="1:18" ht="69" customHeight="1">
      <c r="A2828" s="168"/>
      <c r="B2828" s="178">
        <v>8853</v>
      </c>
      <c r="C2828" s="178" t="s">
        <v>458</v>
      </c>
      <c r="D2828" s="575" t="s">
        <v>7773</v>
      </c>
      <c r="E2828" s="178" t="s">
        <v>350</v>
      </c>
      <c r="F2828" s="210" t="s">
        <v>7774</v>
      </c>
      <c r="G2828" s="58" t="s">
        <v>1905</v>
      </c>
      <c r="H2828" s="546">
        <v>5700</v>
      </c>
      <c r="I2828" s="66">
        <v>44985</v>
      </c>
      <c r="J2828" s="411" t="s">
        <v>7775</v>
      </c>
      <c r="K2828" s="58"/>
      <c r="L2828" s="99"/>
      <c r="M2828" s="70" t="s">
        <v>7635</v>
      </c>
      <c r="N2828" s="97" t="s">
        <v>356</v>
      </c>
      <c r="O2828" s="58" t="s">
        <v>141</v>
      </c>
      <c r="P2828" s="58" t="s">
        <v>19</v>
      </c>
      <c r="Q2828" s="58" t="s">
        <v>103</v>
      </c>
      <c r="R2828" s="58" t="s">
        <v>265</v>
      </c>
    </row>
    <row r="2829" spans="1:18" ht="69" customHeight="1">
      <c r="A2829" s="168"/>
      <c r="B2829" s="178">
        <v>8854</v>
      </c>
      <c r="C2829" s="178" t="s">
        <v>458</v>
      </c>
      <c r="D2829" s="575" t="s">
        <v>1172</v>
      </c>
      <c r="E2829" s="178" t="s">
        <v>350</v>
      </c>
      <c r="F2829" s="210" t="s">
        <v>7776</v>
      </c>
      <c r="G2829" s="58" t="s">
        <v>1905</v>
      </c>
      <c r="H2829" s="546">
        <v>2850</v>
      </c>
      <c r="I2829" s="66">
        <v>44985</v>
      </c>
      <c r="J2829" s="411" t="s">
        <v>7775</v>
      </c>
      <c r="K2829" s="58"/>
      <c r="L2829" s="99"/>
      <c r="M2829" s="70" t="s">
        <v>7635</v>
      </c>
      <c r="N2829" s="97" t="s">
        <v>356</v>
      </c>
      <c r="O2829" s="58" t="s">
        <v>141</v>
      </c>
      <c r="P2829" s="58" t="s">
        <v>19</v>
      </c>
      <c r="Q2829" s="58" t="s">
        <v>103</v>
      </c>
      <c r="R2829" s="58" t="s">
        <v>265</v>
      </c>
    </row>
    <row r="2830" spans="1:18" ht="69" customHeight="1">
      <c r="A2830" s="168"/>
      <c r="B2830" s="178">
        <v>8855</v>
      </c>
      <c r="C2830" s="178" t="s">
        <v>458</v>
      </c>
      <c r="D2830" s="575" t="s">
        <v>7777</v>
      </c>
      <c r="E2830" s="178" t="s">
        <v>350</v>
      </c>
      <c r="F2830" s="210" t="s">
        <v>7778</v>
      </c>
      <c r="G2830" s="58" t="s">
        <v>1905</v>
      </c>
      <c r="H2830" s="546">
        <v>5700</v>
      </c>
      <c r="I2830" s="66">
        <v>44985</v>
      </c>
      <c r="J2830" s="411" t="s">
        <v>7775</v>
      </c>
      <c r="K2830" s="58"/>
      <c r="L2830" s="99"/>
      <c r="M2830" s="70" t="s">
        <v>7635</v>
      </c>
      <c r="N2830" s="97" t="s">
        <v>356</v>
      </c>
      <c r="O2830" s="58" t="s">
        <v>141</v>
      </c>
      <c r="P2830" s="58" t="s">
        <v>19</v>
      </c>
      <c r="Q2830" s="58" t="s">
        <v>103</v>
      </c>
      <c r="R2830" s="58" t="s">
        <v>265</v>
      </c>
    </row>
    <row r="2831" spans="1:18" ht="69" customHeight="1">
      <c r="A2831" s="168"/>
      <c r="B2831" s="178">
        <v>8856</v>
      </c>
      <c r="C2831" s="178" t="s">
        <v>458</v>
      </c>
      <c r="D2831" s="575" t="s">
        <v>2820</v>
      </c>
      <c r="E2831" s="178" t="s">
        <v>350</v>
      </c>
      <c r="F2831" s="210" t="s">
        <v>7779</v>
      </c>
      <c r="G2831" s="58" t="s">
        <v>1905</v>
      </c>
      <c r="H2831" s="546">
        <v>2850</v>
      </c>
      <c r="I2831" s="66">
        <v>44985</v>
      </c>
      <c r="J2831" s="411" t="s">
        <v>7775</v>
      </c>
      <c r="K2831" s="58"/>
      <c r="L2831" s="99"/>
      <c r="M2831" s="70" t="s">
        <v>7635</v>
      </c>
      <c r="N2831" s="97" t="s">
        <v>356</v>
      </c>
      <c r="O2831" s="58" t="s">
        <v>141</v>
      </c>
      <c r="P2831" s="58" t="s">
        <v>19</v>
      </c>
      <c r="Q2831" s="58" t="s">
        <v>103</v>
      </c>
      <c r="R2831" s="58" t="s">
        <v>265</v>
      </c>
    </row>
    <row r="2832" spans="1:18" ht="69" customHeight="1">
      <c r="A2832" s="168"/>
      <c r="B2832" s="178">
        <v>8857</v>
      </c>
      <c r="C2832" s="178" t="s">
        <v>458</v>
      </c>
      <c r="D2832" s="575" t="s">
        <v>2824</v>
      </c>
      <c r="E2832" s="178" t="s">
        <v>350</v>
      </c>
      <c r="F2832" s="210" t="s">
        <v>7780</v>
      </c>
      <c r="G2832" s="58" t="s">
        <v>1905</v>
      </c>
      <c r="H2832" s="546">
        <v>1900</v>
      </c>
      <c r="I2832" s="66">
        <v>44985</v>
      </c>
      <c r="J2832" s="411" t="s">
        <v>7775</v>
      </c>
      <c r="K2832" s="58"/>
      <c r="L2832" s="99"/>
      <c r="M2832" s="70" t="s">
        <v>7635</v>
      </c>
      <c r="N2832" s="97" t="s">
        <v>356</v>
      </c>
      <c r="O2832" s="58" t="s">
        <v>141</v>
      </c>
      <c r="P2832" s="58" t="s">
        <v>19</v>
      </c>
      <c r="Q2832" s="58" t="s">
        <v>103</v>
      </c>
      <c r="R2832" s="58" t="s">
        <v>265</v>
      </c>
    </row>
    <row r="2833" spans="1:18" ht="69" customHeight="1">
      <c r="A2833" s="168"/>
      <c r="B2833" s="178">
        <v>8858</v>
      </c>
      <c r="C2833" s="178" t="s">
        <v>458</v>
      </c>
      <c r="D2833" s="575" t="s">
        <v>7781</v>
      </c>
      <c r="E2833" s="178" t="s">
        <v>350</v>
      </c>
      <c r="F2833" s="210" t="s">
        <v>7782</v>
      </c>
      <c r="G2833" s="58" t="s">
        <v>1905</v>
      </c>
      <c r="H2833" s="546">
        <v>2300</v>
      </c>
      <c r="I2833" s="66">
        <v>44985</v>
      </c>
      <c r="J2833" s="411" t="s">
        <v>7775</v>
      </c>
      <c r="K2833" s="58"/>
      <c r="L2833" s="99"/>
      <c r="M2833" s="70" t="s">
        <v>7635</v>
      </c>
      <c r="N2833" s="97" t="s">
        <v>356</v>
      </c>
      <c r="O2833" s="58" t="s">
        <v>141</v>
      </c>
      <c r="P2833" s="58" t="s">
        <v>19</v>
      </c>
      <c r="Q2833" s="58" t="s">
        <v>103</v>
      </c>
      <c r="R2833" s="58" t="s">
        <v>265</v>
      </c>
    </row>
    <row r="2834" spans="1:18" ht="69" customHeight="1">
      <c r="A2834" s="168"/>
      <c r="B2834" s="178">
        <v>8880</v>
      </c>
      <c r="C2834" s="178" t="s">
        <v>458</v>
      </c>
      <c r="D2834" s="575" t="s">
        <v>6321</v>
      </c>
      <c r="E2834" s="178" t="s">
        <v>350</v>
      </c>
      <c r="F2834" s="210" t="s">
        <v>7783</v>
      </c>
      <c r="G2834" s="58" t="s">
        <v>1905</v>
      </c>
      <c r="H2834" s="546">
        <v>2850</v>
      </c>
      <c r="I2834" s="66">
        <v>44988</v>
      </c>
      <c r="J2834" s="411" t="s">
        <v>7784</v>
      </c>
      <c r="K2834" s="58"/>
      <c r="L2834" s="99"/>
      <c r="M2834" s="70" t="s">
        <v>7635</v>
      </c>
      <c r="N2834" s="97" t="s">
        <v>356</v>
      </c>
      <c r="O2834" s="58" t="s">
        <v>141</v>
      </c>
      <c r="P2834" s="58" t="s">
        <v>19</v>
      </c>
      <c r="Q2834" s="58" t="s">
        <v>103</v>
      </c>
      <c r="R2834" s="58" t="s">
        <v>265</v>
      </c>
    </row>
    <row r="2835" spans="1:18" ht="69" customHeight="1">
      <c r="A2835" s="168"/>
      <c r="B2835" s="178">
        <v>8992</v>
      </c>
      <c r="C2835" s="178" t="s">
        <v>458</v>
      </c>
      <c r="D2835" s="575" t="s">
        <v>2813</v>
      </c>
      <c r="E2835" s="178" t="s">
        <v>350</v>
      </c>
      <c r="F2835" s="210" t="s">
        <v>7785</v>
      </c>
      <c r="G2835" s="58" t="s">
        <v>1905</v>
      </c>
      <c r="H2835" s="546">
        <v>2850</v>
      </c>
      <c r="I2835" s="66">
        <v>44988</v>
      </c>
      <c r="J2835" s="411" t="s">
        <v>7786</v>
      </c>
      <c r="K2835" s="58"/>
      <c r="L2835" s="99"/>
      <c r="M2835" s="70" t="s">
        <v>7635</v>
      </c>
      <c r="N2835" s="97" t="s">
        <v>356</v>
      </c>
      <c r="O2835" s="58" t="s">
        <v>141</v>
      </c>
      <c r="P2835" s="58" t="s">
        <v>19</v>
      </c>
      <c r="Q2835" s="58" t="s">
        <v>103</v>
      </c>
      <c r="R2835" s="58" t="s">
        <v>265</v>
      </c>
    </row>
    <row r="2836" spans="1:18" ht="69" customHeight="1">
      <c r="A2836" s="168"/>
      <c r="B2836" s="178">
        <v>8893</v>
      </c>
      <c r="C2836" s="178" t="s">
        <v>458</v>
      </c>
      <c r="D2836" s="575" t="s">
        <v>2359</v>
      </c>
      <c r="E2836" s="178" t="s">
        <v>350</v>
      </c>
      <c r="F2836" s="210" t="s">
        <v>7787</v>
      </c>
      <c r="G2836" s="58" t="s">
        <v>1905</v>
      </c>
      <c r="H2836" s="546">
        <v>2850</v>
      </c>
      <c r="I2836" s="66">
        <v>44988</v>
      </c>
      <c r="J2836" s="411" t="s">
        <v>7786</v>
      </c>
      <c r="K2836" s="58"/>
      <c r="L2836" s="99"/>
      <c r="M2836" s="70" t="s">
        <v>7635</v>
      </c>
      <c r="N2836" s="97" t="s">
        <v>356</v>
      </c>
      <c r="O2836" s="58" t="s">
        <v>141</v>
      </c>
      <c r="P2836" s="58" t="s">
        <v>19</v>
      </c>
      <c r="Q2836" s="58" t="s">
        <v>103</v>
      </c>
      <c r="R2836" s="58" t="s">
        <v>265</v>
      </c>
    </row>
    <row r="2837" spans="1:18" ht="69" customHeight="1">
      <c r="A2837" s="168"/>
      <c r="B2837" s="178">
        <v>8994</v>
      </c>
      <c r="C2837" s="178" t="s">
        <v>458</v>
      </c>
      <c r="D2837" s="575" t="s">
        <v>6709</v>
      </c>
      <c r="E2837" s="178" t="s">
        <v>585</v>
      </c>
      <c r="F2837" s="210" t="s">
        <v>7788</v>
      </c>
      <c r="G2837" s="58" t="s">
        <v>7789</v>
      </c>
      <c r="H2837" s="546">
        <v>5277.38</v>
      </c>
      <c r="I2837" s="66">
        <v>44995</v>
      </c>
      <c r="J2837" s="411" t="s">
        <v>7790</v>
      </c>
      <c r="K2837" s="58" t="s">
        <v>42</v>
      </c>
      <c r="L2837" s="99"/>
      <c r="M2837" s="70" t="s">
        <v>7609</v>
      </c>
      <c r="N2837" s="97" t="s">
        <v>270</v>
      </c>
      <c r="O2837" s="45" t="s">
        <v>147</v>
      </c>
      <c r="P2837" s="58" t="s">
        <v>42</v>
      </c>
      <c r="Q2837" s="58" t="s">
        <v>103</v>
      </c>
      <c r="R2837" s="58" t="s">
        <v>272</v>
      </c>
    </row>
    <row r="2838" spans="1:18" ht="69" customHeight="1">
      <c r="A2838" s="168"/>
      <c r="B2838" s="191">
        <v>9643</v>
      </c>
      <c r="C2838" s="191" t="s">
        <v>458</v>
      </c>
      <c r="D2838" s="533" t="s">
        <v>6528</v>
      </c>
      <c r="E2838" s="191" t="s">
        <v>7692</v>
      </c>
      <c r="F2838" s="211" t="s">
        <v>7791</v>
      </c>
      <c r="G2838" s="46" t="s">
        <v>5517</v>
      </c>
      <c r="H2838" s="534">
        <v>15890</v>
      </c>
      <c r="I2838" s="56">
        <v>45014</v>
      </c>
      <c r="J2838" s="412" t="s">
        <v>7792</v>
      </c>
      <c r="K2838" s="46" t="s">
        <v>167</v>
      </c>
      <c r="L2838" s="99"/>
      <c r="M2838" s="70" t="s">
        <v>7696</v>
      </c>
      <c r="N2838" s="97" t="s">
        <v>414</v>
      </c>
      <c r="O2838" s="46" t="s">
        <v>7793</v>
      </c>
      <c r="P2838" s="46" t="s">
        <v>65</v>
      </c>
      <c r="Q2838" s="46" t="s">
        <v>103</v>
      </c>
      <c r="R2838" s="46" t="s">
        <v>272</v>
      </c>
    </row>
    <row r="2839" spans="1:18" ht="69" customHeight="1">
      <c r="A2839" s="168"/>
      <c r="B2839" s="178">
        <v>9861</v>
      </c>
      <c r="C2839" s="178" t="s">
        <v>458</v>
      </c>
      <c r="D2839" s="575" t="s">
        <v>1915</v>
      </c>
      <c r="E2839" s="178" t="s">
        <v>7692</v>
      </c>
      <c r="F2839" s="210" t="s">
        <v>7794</v>
      </c>
      <c r="G2839" s="58" t="s">
        <v>4115</v>
      </c>
      <c r="H2839" s="546">
        <v>43055.44</v>
      </c>
      <c r="I2839" s="66">
        <v>45041</v>
      </c>
      <c r="J2839" s="411" t="s">
        <v>7203</v>
      </c>
      <c r="K2839" s="58"/>
      <c r="L2839" s="99"/>
      <c r="M2839" s="70" t="s">
        <v>7696</v>
      </c>
      <c r="N2839" s="97" t="s">
        <v>414</v>
      </c>
      <c r="O2839" s="45" t="s">
        <v>147</v>
      </c>
      <c r="P2839" s="58" t="s">
        <v>22</v>
      </c>
      <c r="Q2839" s="58" t="s">
        <v>103</v>
      </c>
      <c r="R2839" s="58" t="s">
        <v>265</v>
      </c>
    </row>
    <row r="2840" spans="1:18" ht="69" customHeight="1">
      <c r="A2840" s="168"/>
      <c r="B2840" s="178">
        <v>9800</v>
      </c>
      <c r="C2840" s="178" t="s">
        <v>458</v>
      </c>
      <c r="D2840" s="575" t="s">
        <v>3540</v>
      </c>
      <c r="E2840" s="178" t="s">
        <v>7692</v>
      </c>
      <c r="F2840" s="210" t="s">
        <v>7795</v>
      </c>
      <c r="G2840" s="58" t="s">
        <v>597</v>
      </c>
      <c r="H2840" s="546">
        <v>38600</v>
      </c>
      <c r="I2840" s="66">
        <v>45041</v>
      </c>
      <c r="J2840" s="411" t="s">
        <v>7209</v>
      </c>
      <c r="K2840" s="58"/>
      <c r="L2840" s="99"/>
      <c r="M2840" s="70" t="s">
        <v>7696</v>
      </c>
      <c r="N2840" s="97" t="s">
        <v>414</v>
      </c>
      <c r="O2840" s="45" t="s">
        <v>147</v>
      </c>
      <c r="P2840" s="58" t="s">
        <v>22</v>
      </c>
      <c r="Q2840" s="58" t="s">
        <v>103</v>
      </c>
      <c r="R2840" s="58" t="s">
        <v>265</v>
      </c>
    </row>
    <row r="2841" spans="1:18" ht="69" customHeight="1">
      <c r="A2841" s="168"/>
      <c r="B2841" s="178">
        <v>9890</v>
      </c>
      <c r="C2841" s="178" t="s">
        <v>458</v>
      </c>
      <c r="D2841" s="575" t="s">
        <v>1239</v>
      </c>
      <c r="E2841" s="178" t="s">
        <v>7649</v>
      </c>
      <c r="F2841" s="210" t="s">
        <v>7796</v>
      </c>
      <c r="G2841" s="58" t="s">
        <v>6636</v>
      </c>
      <c r="H2841" s="546">
        <v>37021.43</v>
      </c>
      <c r="I2841" s="66">
        <v>45044</v>
      </c>
      <c r="J2841" s="411" t="s">
        <v>7797</v>
      </c>
      <c r="K2841" s="58"/>
      <c r="L2841" s="99"/>
      <c r="M2841" s="70" t="s">
        <v>7652</v>
      </c>
      <c r="N2841" s="97" t="s">
        <v>414</v>
      </c>
      <c r="O2841" s="45" t="s">
        <v>147</v>
      </c>
      <c r="P2841" s="58" t="s">
        <v>22</v>
      </c>
      <c r="Q2841" s="58" t="s">
        <v>103</v>
      </c>
      <c r="R2841" s="58" t="s">
        <v>272</v>
      </c>
    </row>
    <row r="2842" spans="1:18" ht="69" customHeight="1">
      <c r="A2842" s="168"/>
      <c r="B2842" s="178">
        <v>9891</v>
      </c>
      <c r="C2842" s="178" t="s">
        <v>458</v>
      </c>
      <c r="D2842" s="575" t="s">
        <v>2654</v>
      </c>
      <c r="E2842" s="178" t="s">
        <v>7649</v>
      </c>
      <c r="F2842" s="210" t="s">
        <v>7798</v>
      </c>
      <c r="G2842" s="58" t="s">
        <v>6641</v>
      </c>
      <c r="H2842" s="546">
        <v>19934.61</v>
      </c>
      <c r="I2842" s="66">
        <v>45044</v>
      </c>
      <c r="J2842" s="411" t="s">
        <v>7797</v>
      </c>
      <c r="K2842" s="58"/>
      <c r="L2842" s="99"/>
      <c r="M2842" s="70" t="s">
        <v>7652</v>
      </c>
      <c r="N2842" s="97" t="s">
        <v>414</v>
      </c>
      <c r="O2842" s="45" t="s">
        <v>147</v>
      </c>
      <c r="P2842" s="58" t="s">
        <v>22</v>
      </c>
      <c r="Q2842" s="58" t="s">
        <v>103</v>
      </c>
      <c r="R2842" s="58" t="s">
        <v>272</v>
      </c>
    </row>
    <row r="2843" spans="1:18" ht="69" customHeight="1">
      <c r="A2843" s="168"/>
      <c r="B2843" s="178">
        <v>9893</v>
      </c>
      <c r="C2843" s="178" t="s">
        <v>458</v>
      </c>
      <c r="D2843" s="575" t="s">
        <v>2393</v>
      </c>
      <c r="E2843" s="178" t="s">
        <v>741</v>
      </c>
      <c r="F2843" s="210" t="s">
        <v>7799</v>
      </c>
      <c r="G2843" s="58" t="s">
        <v>7800</v>
      </c>
      <c r="H2843" s="546">
        <v>32901.64</v>
      </c>
      <c r="I2843" s="66">
        <v>45044</v>
      </c>
      <c r="J2843" s="411" t="s">
        <v>7801</v>
      </c>
      <c r="K2843" s="58"/>
      <c r="L2843" s="99"/>
      <c r="M2843" s="70" t="s">
        <v>7687</v>
      </c>
      <c r="N2843" s="97" t="s">
        <v>741</v>
      </c>
      <c r="O2843" s="58"/>
      <c r="P2843" s="58" t="s">
        <v>59</v>
      </c>
      <c r="Q2843" s="58" t="s">
        <v>103</v>
      </c>
      <c r="R2843" s="58" t="s">
        <v>272</v>
      </c>
    </row>
    <row r="2844" spans="1:18" ht="69" customHeight="1">
      <c r="A2844" s="168"/>
      <c r="B2844" s="178">
        <v>9894</v>
      </c>
      <c r="C2844" s="178" t="s">
        <v>458</v>
      </c>
      <c r="D2844" s="575" t="s">
        <v>2395</v>
      </c>
      <c r="E2844" s="178" t="s">
        <v>741</v>
      </c>
      <c r="F2844" s="210" t="s">
        <v>7802</v>
      </c>
      <c r="G2844" s="58" t="s">
        <v>7803</v>
      </c>
      <c r="H2844" s="546">
        <v>131606.57</v>
      </c>
      <c r="I2844" s="66">
        <v>45044</v>
      </c>
      <c r="J2844" s="411" t="s">
        <v>7801</v>
      </c>
      <c r="K2844" s="58"/>
      <c r="L2844" s="99"/>
      <c r="M2844" s="70" t="s">
        <v>7687</v>
      </c>
      <c r="N2844" s="97" t="s">
        <v>741</v>
      </c>
      <c r="O2844" s="58"/>
      <c r="P2844" s="58" t="s">
        <v>59</v>
      </c>
      <c r="Q2844" s="58" t="s">
        <v>103</v>
      </c>
      <c r="R2844" s="58" t="s">
        <v>272</v>
      </c>
    </row>
    <row r="2845" spans="1:18" ht="69" customHeight="1">
      <c r="A2845" s="168"/>
      <c r="B2845" s="178">
        <v>9917</v>
      </c>
      <c r="C2845" s="178" t="s">
        <v>458</v>
      </c>
      <c r="D2845" s="575" t="s">
        <v>3324</v>
      </c>
      <c r="E2845" s="178" t="s">
        <v>7692</v>
      </c>
      <c r="F2845" s="210" t="s">
        <v>7804</v>
      </c>
      <c r="G2845" s="58" t="s">
        <v>5225</v>
      </c>
      <c r="H2845" s="546">
        <v>38234.199999999997</v>
      </c>
      <c r="I2845" s="66">
        <v>45061</v>
      </c>
      <c r="J2845" s="411" t="s">
        <v>7805</v>
      </c>
      <c r="K2845" s="58"/>
      <c r="L2845" s="99"/>
      <c r="M2845" s="70" t="s">
        <v>7696</v>
      </c>
      <c r="N2845" s="97" t="s">
        <v>414</v>
      </c>
      <c r="O2845" s="45" t="s">
        <v>147</v>
      </c>
      <c r="P2845" s="58" t="s">
        <v>22</v>
      </c>
      <c r="Q2845" s="58" t="s">
        <v>103</v>
      </c>
      <c r="R2845" s="58" t="s">
        <v>265</v>
      </c>
    </row>
    <row r="2846" spans="1:18" ht="69" customHeight="1">
      <c r="A2846" s="168"/>
      <c r="B2846" s="178">
        <v>7631</v>
      </c>
      <c r="C2846" s="178" t="s">
        <v>657</v>
      </c>
      <c r="D2846" s="575" t="s">
        <v>4182</v>
      </c>
      <c r="E2846" s="178" t="s">
        <v>350</v>
      </c>
      <c r="F2846" s="210" t="s">
        <v>7806</v>
      </c>
      <c r="G2846" s="58" t="s">
        <v>1838</v>
      </c>
      <c r="H2846" s="546">
        <v>6361.85</v>
      </c>
      <c r="I2846" s="66">
        <v>44895</v>
      </c>
      <c r="J2846" s="411" t="s">
        <v>7155</v>
      </c>
      <c r="K2846" s="58"/>
      <c r="L2846" s="99"/>
      <c r="M2846" s="70" t="s">
        <v>7807</v>
      </c>
      <c r="N2846" s="97" t="s">
        <v>356</v>
      </c>
      <c r="O2846" s="58" t="s">
        <v>141</v>
      </c>
      <c r="P2846" s="58" t="s">
        <v>19</v>
      </c>
      <c r="Q2846" s="58" t="s">
        <v>104</v>
      </c>
      <c r="R2846" s="58" t="s">
        <v>265</v>
      </c>
    </row>
    <row r="2847" spans="1:18" ht="69" customHeight="1">
      <c r="A2847" s="168"/>
      <c r="B2847" s="178">
        <v>2082</v>
      </c>
      <c r="C2847" s="178" t="s">
        <v>309</v>
      </c>
      <c r="D2847" s="575" t="s">
        <v>6893</v>
      </c>
      <c r="E2847" s="178" t="s">
        <v>266</v>
      </c>
      <c r="F2847" s="210" t="s">
        <v>7808</v>
      </c>
      <c r="G2847" s="58"/>
      <c r="H2847" s="546">
        <v>7060</v>
      </c>
      <c r="I2847" s="66">
        <v>44456</v>
      </c>
      <c r="J2847" s="411" t="s">
        <v>7809</v>
      </c>
      <c r="K2847" s="58"/>
      <c r="L2847" s="99"/>
      <c r="M2847" s="70" t="s">
        <v>7810</v>
      </c>
      <c r="N2847" s="97" t="s">
        <v>270</v>
      </c>
      <c r="O2847" s="58"/>
      <c r="P2847" s="58" t="s">
        <v>44</v>
      </c>
      <c r="Q2847" s="58" t="s">
        <v>104</v>
      </c>
      <c r="R2847" s="58" t="s">
        <v>272</v>
      </c>
    </row>
    <row r="2848" spans="1:18" ht="69" customHeight="1">
      <c r="A2848" s="168"/>
      <c r="B2848" s="178">
        <v>2526</v>
      </c>
      <c r="C2848" s="178" t="s">
        <v>657</v>
      </c>
      <c r="D2848" s="575"/>
      <c r="E2848" s="178" t="s">
        <v>260</v>
      </c>
      <c r="F2848" s="210" t="s">
        <v>7811</v>
      </c>
      <c r="G2848" s="58"/>
      <c r="H2848" s="546">
        <v>10000</v>
      </c>
      <c r="I2848" s="66" t="s">
        <v>96</v>
      </c>
      <c r="J2848" s="411" t="s">
        <v>7812</v>
      </c>
      <c r="K2848" s="58" t="s">
        <v>7813</v>
      </c>
      <c r="L2848" s="99"/>
      <c r="M2848" s="70" t="s">
        <v>7814</v>
      </c>
      <c r="N2848" s="97" t="s">
        <v>264</v>
      </c>
      <c r="O2848" s="58" t="s">
        <v>141</v>
      </c>
      <c r="P2848" s="58" t="s">
        <v>17</v>
      </c>
      <c r="Q2848" s="58" t="s">
        <v>104</v>
      </c>
      <c r="R2848" s="58" t="s">
        <v>265</v>
      </c>
    </row>
    <row r="2849" spans="1:18" ht="69" customHeight="1">
      <c r="A2849" s="168"/>
      <c r="B2849" s="178">
        <v>2527</v>
      </c>
      <c r="C2849" s="178" t="s">
        <v>657</v>
      </c>
      <c r="D2849" s="575"/>
      <c r="E2849" s="178" t="s">
        <v>260</v>
      </c>
      <c r="F2849" s="210" t="s">
        <v>7811</v>
      </c>
      <c r="G2849" s="58"/>
      <c r="H2849" s="546">
        <v>5250</v>
      </c>
      <c r="I2849" s="66" t="s">
        <v>96</v>
      </c>
      <c r="J2849" s="411" t="s">
        <v>7815</v>
      </c>
      <c r="K2849" s="58" t="s">
        <v>7813</v>
      </c>
      <c r="L2849" s="99"/>
      <c r="M2849" s="70" t="s">
        <v>7814</v>
      </c>
      <c r="N2849" s="97" t="s">
        <v>264</v>
      </c>
      <c r="O2849" s="58" t="s">
        <v>141</v>
      </c>
      <c r="P2849" s="58" t="s">
        <v>17</v>
      </c>
      <c r="Q2849" s="58" t="s">
        <v>104</v>
      </c>
      <c r="R2849" s="58" t="s">
        <v>265</v>
      </c>
    </row>
    <row r="2850" spans="1:18" ht="69" customHeight="1">
      <c r="A2850" s="168"/>
      <c r="B2850" s="178">
        <v>9408</v>
      </c>
      <c r="C2850" s="178" t="s">
        <v>657</v>
      </c>
      <c r="D2850" s="575" t="s">
        <v>7816</v>
      </c>
      <c r="E2850" s="178" t="s">
        <v>741</v>
      </c>
      <c r="F2850" s="210" t="s">
        <v>7817</v>
      </c>
      <c r="G2850" s="58" t="s">
        <v>7803</v>
      </c>
      <c r="H2850" s="546">
        <v>30173.56</v>
      </c>
      <c r="I2850" s="66" t="s">
        <v>96</v>
      </c>
      <c r="J2850" s="411" t="s">
        <v>7818</v>
      </c>
      <c r="K2850" s="58"/>
      <c r="L2850" s="99"/>
      <c r="M2850" s="70" t="s">
        <v>7819</v>
      </c>
      <c r="N2850" s="97" t="s">
        <v>741</v>
      </c>
      <c r="O2850" s="58"/>
      <c r="P2850" s="58" t="s">
        <v>59</v>
      </c>
      <c r="Q2850" s="58" t="s">
        <v>104</v>
      </c>
      <c r="R2850" s="58" t="s">
        <v>272</v>
      </c>
    </row>
    <row r="2851" spans="1:18" ht="69" customHeight="1">
      <c r="A2851" s="168"/>
      <c r="B2851" s="178">
        <v>2650</v>
      </c>
      <c r="C2851" s="178" t="s">
        <v>657</v>
      </c>
      <c r="D2851" s="575"/>
      <c r="E2851" s="178" t="s">
        <v>283</v>
      </c>
      <c r="F2851" s="210" t="s">
        <v>7820</v>
      </c>
      <c r="G2851" s="58" t="s">
        <v>5838</v>
      </c>
      <c r="H2851" s="546">
        <v>134750</v>
      </c>
      <c r="I2851" s="66">
        <v>44554</v>
      </c>
      <c r="J2851" s="411" t="s">
        <v>7821</v>
      </c>
      <c r="K2851" s="58" t="s">
        <v>7822</v>
      </c>
      <c r="L2851" s="99"/>
      <c r="M2851" s="70" t="s">
        <v>7823</v>
      </c>
      <c r="N2851" s="97" t="s">
        <v>264</v>
      </c>
      <c r="O2851" s="58" t="s">
        <v>141</v>
      </c>
      <c r="P2851" s="58" t="s">
        <v>17</v>
      </c>
      <c r="Q2851" s="58" t="s">
        <v>104</v>
      </c>
      <c r="R2851" s="58" t="s">
        <v>272</v>
      </c>
    </row>
    <row r="2852" spans="1:18" ht="69" customHeight="1">
      <c r="A2852" s="168"/>
      <c r="B2852" s="191">
        <v>2997</v>
      </c>
      <c r="C2852" s="191" t="s">
        <v>657</v>
      </c>
      <c r="D2852" s="533" t="s">
        <v>650</v>
      </c>
      <c r="E2852" s="191" t="s">
        <v>331</v>
      </c>
      <c r="F2852" s="211" t="s">
        <v>7824</v>
      </c>
      <c r="G2852" s="46" t="s">
        <v>4416</v>
      </c>
      <c r="H2852" s="534">
        <v>0</v>
      </c>
      <c r="I2852" s="56" t="s">
        <v>96</v>
      </c>
      <c r="J2852" s="412" t="s">
        <v>334</v>
      </c>
      <c r="K2852" s="46"/>
      <c r="L2852" s="99"/>
      <c r="M2852" s="379" t="s">
        <v>7825</v>
      </c>
      <c r="N2852" s="76" t="s">
        <v>69</v>
      </c>
      <c r="O2852" s="46"/>
      <c r="P2852" s="46" t="s">
        <v>69</v>
      </c>
      <c r="Q2852" s="46" t="s">
        <v>104</v>
      </c>
      <c r="R2852" s="46" t="s">
        <v>272</v>
      </c>
    </row>
    <row r="2853" spans="1:18" ht="69" customHeight="1">
      <c r="A2853" s="168"/>
      <c r="B2853" s="178">
        <v>4715</v>
      </c>
      <c r="C2853" s="178" t="s">
        <v>657</v>
      </c>
      <c r="D2853" s="575" t="s">
        <v>436</v>
      </c>
      <c r="E2853" s="178" t="s">
        <v>331</v>
      </c>
      <c r="F2853" s="210" t="s">
        <v>7826</v>
      </c>
      <c r="G2853" s="58"/>
      <c r="H2853" s="546">
        <v>3389.12</v>
      </c>
      <c r="I2853" s="66">
        <v>44678</v>
      </c>
      <c r="J2853" s="411" t="s">
        <v>7827</v>
      </c>
      <c r="K2853" s="58"/>
      <c r="L2853" s="99"/>
      <c r="M2853" s="70" t="s">
        <v>7810</v>
      </c>
      <c r="N2853" s="97" t="s">
        <v>270</v>
      </c>
      <c r="O2853" s="58"/>
      <c r="P2853" s="58" t="s">
        <v>44</v>
      </c>
      <c r="Q2853" s="58" t="s">
        <v>104</v>
      </c>
      <c r="R2853" s="58" t="s">
        <v>272</v>
      </c>
    </row>
    <row r="2854" spans="1:18" ht="69" customHeight="1">
      <c r="A2854" s="168"/>
      <c r="B2854" s="178">
        <v>4889</v>
      </c>
      <c r="C2854" s="178" t="s">
        <v>657</v>
      </c>
      <c r="D2854" s="575" t="s">
        <v>2462</v>
      </c>
      <c r="E2854" s="178" t="s">
        <v>266</v>
      </c>
      <c r="F2854" s="210" t="s">
        <v>7828</v>
      </c>
      <c r="G2854" s="58" t="s">
        <v>7109</v>
      </c>
      <c r="H2854" s="546">
        <v>1632.75</v>
      </c>
      <c r="I2854" s="66">
        <v>44698</v>
      </c>
      <c r="J2854" s="411" t="s">
        <v>7829</v>
      </c>
      <c r="K2854" s="58"/>
      <c r="L2854" s="99"/>
      <c r="M2854" s="70" t="s">
        <v>7810</v>
      </c>
      <c r="N2854" s="97" t="s">
        <v>270</v>
      </c>
      <c r="O2854" s="58"/>
      <c r="P2854" s="58" t="s">
        <v>44</v>
      </c>
      <c r="Q2854" s="58" t="s">
        <v>104</v>
      </c>
      <c r="R2854" s="58" t="s">
        <v>272</v>
      </c>
    </row>
    <row r="2855" spans="1:18" ht="69" customHeight="1">
      <c r="A2855" s="168"/>
      <c r="B2855" s="178">
        <v>4715</v>
      </c>
      <c r="C2855" s="178" t="s">
        <v>657</v>
      </c>
      <c r="D2855" s="575" t="s">
        <v>3411</v>
      </c>
      <c r="E2855" s="178" t="s">
        <v>331</v>
      </c>
      <c r="F2855" s="210" t="s">
        <v>7830</v>
      </c>
      <c r="G2855" s="58" t="s">
        <v>372</v>
      </c>
      <c r="H2855" s="546">
        <v>30502.09</v>
      </c>
      <c r="I2855" s="66">
        <v>44701</v>
      </c>
      <c r="J2855" s="411" t="s">
        <v>7831</v>
      </c>
      <c r="K2855" s="58"/>
      <c r="L2855" s="99"/>
      <c r="M2855" s="70" t="s">
        <v>7810</v>
      </c>
      <c r="N2855" s="97" t="s">
        <v>270</v>
      </c>
      <c r="O2855" s="58"/>
      <c r="P2855" s="58" t="s">
        <v>44</v>
      </c>
      <c r="Q2855" s="58" t="s">
        <v>104</v>
      </c>
      <c r="R2855" s="58" t="s">
        <v>272</v>
      </c>
    </row>
    <row r="2856" spans="1:18" ht="69" customHeight="1">
      <c r="A2856" s="168"/>
      <c r="B2856" s="178">
        <v>4954</v>
      </c>
      <c r="C2856" s="178" t="s">
        <v>657</v>
      </c>
      <c r="D2856" s="575" t="s">
        <v>2223</v>
      </c>
      <c r="E2856" s="178" t="s">
        <v>266</v>
      </c>
      <c r="F2856" s="210" t="s">
        <v>7832</v>
      </c>
      <c r="G2856" s="58" t="s">
        <v>376</v>
      </c>
      <c r="H2856" s="546">
        <v>3521.06</v>
      </c>
      <c r="I2856" s="66">
        <v>44706</v>
      </c>
      <c r="J2856" s="411" t="s">
        <v>7833</v>
      </c>
      <c r="K2856" s="58"/>
      <c r="L2856" s="99"/>
      <c r="M2856" s="70" t="s">
        <v>7810</v>
      </c>
      <c r="N2856" s="97" t="s">
        <v>270</v>
      </c>
      <c r="O2856" s="58"/>
      <c r="P2856" s="58" t="s">
        <v>44</v>
      </c>
      <c r="Q2856" s="58" t="s">
        <v>104</v>
      </c>
      <c r="R2856" s="58" t="s">
        <v>272</v>
      </c>
    </row>
    <row r="2857" spans="1:18" ht="69" customHeight="1">
      <c r="A2857" s="168"/>
      <c r="B2857" s="178">
        <v>5110</v>
      </c>
      <c r="C2857" s="178" t="s">
        <v>657</v>
      </c>
      <c r="D2857" s="575" t="s">
        <v>3457</v>
      </c>
      <c r="E2857" s="178" t="s">
        <v>266</v>
      </c>
      <c r="F2857" s="210" t="s">
        <v>7834</v>
      </c>
      <c r="G2857" s="58" t="s">
        <v>376</v>
      </c>
      <c r="H2857" s="546">
        <v>5281.58</v>
      </c>
      <c r="I2857" s="66">
        <v>44732</v>
      </c>
      <c r="J2857" s="411" t="s">
        <v>7835</v>
      </c>
      <c r="K2857" s="58"/>
      <c r="L2857" s="99"/>
      <c r="M2857" s="70" t="s">
        <v>7810</v>
      </c>
      <c r="N2857" s="97" t="s">
        <v>270</v>
      </c>
      <c r="O2857" s="58"/>
      <c r="P2857" s="58" t="s">
        <v>44</v>
      </c>
      <c r="Q2857" s="58" t="s">
        <v>104</v>
      </c>
      <c r="R2857" s="58" t="s">
        <v>272</v>
      </c>
    </row>
    <row r="2858" spans="1:18" ht="69" customHeight="1">
      <c r="A2858" s="168"/>
      <c r="B2858" s="178">
        <v>5111</v>
      </c>
      <c r="C2858" s="178" t="s">
        <v>657</v>
      </c>
      <c r="D2858" s="575" t="s">
        <v>943</v>
      </c>
      <c r="E2858" s="178" t="s">
        <v>382</v>
      </c>
      <c r="F2858" s="210" t="s">
        <v>7836</v>
      </c>
      <c r="G2858" s="58" t="s">
        <v>384</v>
      </c>
      <c r="H2858" s="546">
        <v>27761.33</v>
      </c>
      <c r="I2858" s="66">
        <v>44736</v>
      </c>
      <c r="J2858" s="411" t="s">
        <v>7837</v>
      </c>
      <c r="K2858" s="58"/>
      <c r="L2858" s="99"/>
      <c r="M2858" s="70" t="s">
        <v>7838</v>
      </c>
      <c r="N2858" s="97" t="s">
        <v>387</v>
      </c>
      <c r="O2858" s="58" t="s">
        <v>150</v>
      </c>
      <c r="P2858" s="58" t="s">
        <v>51</v>
      </c>
      <c r="Q2858" s="58" t="s">
        <v>104</v>
      </c>
      <c r="R2858" s="58" t="s">
        <v>272</v>
      </c>
    </row>
    <row r="2859" spans="1:18" ht="69" customHeight="1">
      <c r="A2859" s="168"/>
      <c r="B2859" s="178">
        <v>5112</v>
      </c>
      <c r="C2859" s="178" t="s">
        <v>657</v>
      </c>
      <c r="D2859" s="575" t="s">
        <v>7839</v>
      </c>
      <c r="E2859" s="178" t="s">
        <v>382</v>
      </c>
      <c r="F2859" s="210" t="s">
        <v>7836</v>
      </c>
      <c r="G2859" s="58" t="s">
        <v>384</v>
      </c>
      <c r="H2859" s="546">
        <v>39819.519999999997</v>
      </c>
      <c r="I2859" s="66">
        <v>44736</v>
      </c>
      <c r="J2859" s="411" t="s">
        <v>7840</v>
      </c>
      <c r="K2859" s="58"/>
      <c r="L2859" s="99"/>
      <c r="M2859" s="70" t="s">
        <v>7838</v>
      </c>
      <c r="N2859" s="97" t="s">
        <v>387</v>
      </c>
      <c r="O2859" s="58" t="s">
        <v>150</v>
      </c>
      <c r="P2859" s="58" t="s">
        <v>51</v>
      </c>
      <c r="Q2859" s="58" t="s">
        <v>104</v>
      </c>
      <c r="R2859" s="58" t="s">
        <v>272</v>
      </c>
    </row>
    <row r="2860" spans="1:18" ht="69" customHeight="1">
      <c r="A2860" s="168"/>
      <c r="B2860" s="178">
        <v>5159</v>
      </c>
      <c r="C2860" s="178" t="s">
        <v>657</v>
      </c>
      <c r="D2860" s="575" t="s">
        <v>7841</v>
      </c>
      <c r="E2860" s="178" t="s">
        <v>266</v>
      </c>
      <c r="F2860" s="210" t="s">
        <v>7842</v>
      </c>
      <c r="G2860" s="58" t="s">
        <v>396</v>
      </c>
      <c r="H2860" s="546">
        <v>3500</v>
      </c>
      <c r="I2860" s="66">
        <v>44753</v>
      </c>
      <c r="J2860" s="411" t="s">
        <v>7843</v>
      </c>
      <c r="K2860" s="58"/>
      <c r="L2860" s="99"/>
      <c r="M2860" s="70" t="s">
        <v>7844</v>
      </c>
      <c r="N2860" s="97" t="s">
        <v>552</v>
      </c>
      <c r="O2860" s="62" t="s">
        <v>147</v>
      </c>
      <c r="P2860" s="58" t="s">
        <v>42</v>
      </c>
      <c r="Q2860" s="58" t="s">
        <v>104</v>
      </c>
      <c r="R2860" s="58" t="s">
        <v>272</v>
      </c>
    </row>
    <row r="2861" spans="1:18" ht="69" customHeight="1">
      <c r="A2861" s="168"/>
      <c r="B2861" s="178">
        <v>5164</v>
      </c>
      <c r="C2861" s="178" t="s">
        <v>657</v>
      </c>
      <c r="D2861" s="575" t="s">
        <v>2924</v>
      </c>
      <c r="E2861" s="178" t="s">
        <v>266</v>
      </c>
      <c r="F2861" s="210" t="s">
        <v>7845</v>
      </c>
      <c r="G2861" s="58" t="s">
        <v>396</v>
      </c>
      <c r="H2861" s="546">
        <v>5878.3</v>
      </c>
      <c r="I2861" s="66">
        <v>44753</v>
      </c>
      <c r="J2861" s="411" t="s">
        <v>7846</v>
      </c>
      <c r="K2861" s="58"/>
      <c r="L2861" s="99"/>
      <c r="M2861" s="70" t="s">
        <v>7844</v>
      </c>
      <c r="N2861" s="97" t="s">
        <v>552</v>
      </c>
      <c r="O2861" s="62" t="s">
        <v>147</v>
      </c>
      <c r="P2861" s="58" t="s">
        <v>42</v>
      </c>
      <c r="Q2861" s="58" t="s">
        <v>104</v>
      </c>
      <c r="R2861" s="58" t="s">
        <v>272</v>
      </c>
    </row>
    <row r="2862" spans="1:18" ht="69" customHeight="1">
      <c r="A2862" s="168"/>
      <c r="B2862" s="178">
        <v>5344</v>
      </c>
      <c r="C2862" s="178" t="s">
        <v>657</v>
      </c>
      <c r="D2862" s="575" t="s">
        <v>4570</v>
      </c>
      <c r="E2862" s="178" t="s">
        <v>266</v>
      </c>
      <c r="F2862" s="210" t="s">
        <v>7847</v>
      </c>
      <c r="G2862" s="58" t="s">
        <v>7109</v>
      </c>
      <c r="H2862" s="546">
        <v>1632.75</v>
      </c>
      <c r="I2862" s="66">
        <v>44761</v>
      </c>
      <c r="J2862" s="411" t="s">
        <v>7848</v>
      </c>
      <c r="K2862" s="58" t="s">
        <v>705</v>
      </c>
      <c r="L2862" s="99"/>
      <c r="M2862" s="70" t="s">
        <v>7810</v>
      </c>
      <c r="N2862" s="97" t="s">
        <v>270</v>
      </c>
      <c r="O2862" s="58"/>
      <c r="P2862" s="58" t="s">
        <v>44</v>
      </c>
      <c r="Q2862" s="58" t="s">
        <v>104</v>
      </c>
      <c r="R2862" s="58" t="s">
        <v>272</v>
      </c>
    </row>
    <row r="2863" spans="1:18" ht="69" customHeight="1">
      <c r="A2863" s="168"/>
      <c r="B2863" s="600">
        <v>5359</v>
      </c>
      <c r="C2863" s="600" t="s">
        <v>657</v>
      </c>
      <c r="D2863" s="601" t="s">
        <v>6010</v>
      </c>
      <c r="E2863" s="600" t="s">
        <v>409</v>
      </c>
      <c r="F2863" s="602" t="s">
        <v>7849</v>
      </c>
      <c r="G2863" s="460" t="s">
        <v>7135</v>
      </c>
      <c r="H2863" s="546">
        <v>403650</v>
      </c>
      <c r="I2863" s="461">
        <v>44760</v>
      </c>
      <c r="J2863" s="603" t="s">
        <v>7850</v>
      </c>
      <c r="K2863" s="460" t="s">
        <v>705</v>
      </c>
      <c r="L2863" s="99"/>
      <c r="M2863" s="70" t="s">
        <v>7851</v>
      </c>
      <c r="N2863" s="97" t="s">
        <v>414</v>
      </c>
      <c r="O2863" s="58"/>
      <c r="P2863" s="58" t="s">
        <v>22</v>
      </c>
      <c r="Q2863" s="46" t="s">
        <v>104</v>
      </c>
      <c r="R2863" s="58" t="s">
        <v>272</v>
      </c>
    </row>
    <row r="2864" spans="1:18" ht="69" customHeight="1">
      <c r="A2864" s="168"/>
      <c r="B2864" s="178">
        <v>6066</v>
      </c>
      <c r="C2864" s="178" t="s">
        <v>657</v>
      </c>
      <c r="D2864" s="575" t="s">
        <v>661</v>
      </c>
      <c r="E2864" s="178" t="s">
        <v>266</v>
      </c>
      <c r="F2864" s="210" t="s">
        <v>7852</v>
      </c>
      <c r="G2864" s="58" t="s">
        <v>680</v>
      </c>
      <c r="H2864" s="546">
        <v>6206.9</v>
      </c>
      <c r="I2864" s="66" t="s">
        <v>96</v>
      </c>
      <c r="J2864" s="411" t="s">
        <v>7853</v>
      </c>
      <c r="K2864" s="58"/>
      <c r="L2864" s="99"/>
      <c r="M2864" s="70" t="s">
        <v>7854</v>
      </c>
      <c r="N2864" s="97" t="s">
        <v>683</v>
      </c>
      <c r="O2864" s="58" t="s">
        <v>684</v>
      </c>
      <c r="P2864" s="58" t="s">
        <v>46</v>
      </c>
      <c r="Q2864" s="58" t="s">
        <v>104</v>
      </c>
      <c r="R2864" s="58" t="s">
        <v>272</v>
      </c>
    </row>
    <row r="2865" spans="1:18" ht="69" customHeight="1">
      <c r="A2865" s="168"/>
      <c r="B2865" s="178">
        <v>6403</v>
      </c>
      <c r="C2865" s="178" t="s">
        <v>657</v>
      </c>
      <c r="D2865" s="575" t="s">
        <v>1717</v>
      </c>
      <c r="E2865" s="178" t="s">
        <v>432</v>
      </c>
      <c r="F2865" s="210" t="s">
        <v>7855</v>
      </c>
      <c r="G2865" s="58" t="s">
        <v>429</v>
      </c>
      <c r="H2865" s="546">
        <v>13959.486000000001</v>
      </c>
      <c r="I2865" s="66">
        <v>44802</v>
      </c>
      <c r="J2865" s="411" t="s">
        <v>7660</v>
      </c>
      <c r="K2865" s="58"/>
      <c r="L2865" s="99"/>
      <c r="M2865" s="70" t="s">
        <v>7856</v>
      </c>
      <c r="N2865" s="97" t="s">
        <v>432</v>
      </c>
      <c r="O2865" s="58"/>
      <c r="P2865" s="58" t="s">
        <v>53</v>
      </c>
      <c r="Q2865" s="58" t="s">
        <v>104</v>
      </c>
      <c r="R2865" s="58" t="s">
        <v>272</v>
      </c>
    </row>
    <row r="2866" spans="1:18" ht="69" customHeight="1">
      <c r="A2866" s="168"/>
      <c r="B2866" s="178">
        <v>6300</v>
      </c>
      <c r="C2866" s="178" t="s">
        <v>657</v>
      </c>
      <c r="D2866" s="575" t="s">
        <v>2021</v>
      </c>
      <c r="E2866" s="178" t="s">
        <v>266</v>
      </c>
      <c r="F2866" s="210" t="s">
        <v>7857</v>
      </c>
      <c r="G2866" s="58" t="s">
        <v>790</v>
      </c>
      <c r="H2866" s="546">
        <v>2281.25</v>
      </c>
      <c r="I2866" s="66">
        <v>44834</v>
      </c>
      <c r="J2866" s="411" t="s">
        <v>7858</v>
      </c>
      <c r="K2866" s="58"/>
      <c r="L2866" s="99"/>
      <c r="M2866" s="70" t="s">
        <v>7854</v>
      </c>
      <c r="N2866" s="97" t="s">
        <v>683</v>
      </c>
      <c r="O2866" s="58" t="s">
        <v>149</v>
      </c>
      <c r="P2866" s="58" t="s">
        <v>46</v>
      </c>
      <c r="Q2866" s="58" t="s">
        <v>104</v>
      </c>
      <c r="R2866" s="58" t="s">
        <v>272</v>
      </c>
    </row>
    <row r="2867" spans="1:18" ht="69" customHeight="1">
      <c r="A2867" s="168"/>
      <c r="B2867" s="178">
        <v>6839</v>
      </c>
      <c r="C2867" s="178" t="s">
        <v>657</v>
      </c>
      <c r="D2867" s="575" t="s">
        <v>7859</v>
      </c>
      <c r="E2867" s="178" t="s">
        <v>266</v>
      </c>
      <c r="F2867" s="210" t="s">
        <v>7860</v>
      </c>
      <c r="G2867" s="58" t="s">
        <v>448</v>
      </c>
      <c r="H2867" s="546">
        <v>17500</v>
      </c>
      <c r="I2867" s="66">
        <v>44832</v>
      </c>
      <c r="J2867" s="411" t="s">
        <v>7667</v>
      </c>
      <c r="K2867" s="58"/>
      <c r="L2867" s="99"/>
      <c r="M2867" s="70" t="s">
        <v>7861</v>
      </c>
      <c r="N2867" s="97" t="s">
        <v>399</v>
      </c>
      <c r="O2867" s="62" t="s">
        <v>147</v>
      </c>
      <c r="P2867" s="58" t="s">
        <v>42</v>
      </c>
      <c r="Q2867" s="58" t="s">
        <v>104</v>
      </c>
      <c r="R2867" s="58" t="s">
        <v>272</v>
      </c>
    </row>
    <row r="2868" spans="1:18" ht="69" customHeight="1">
      <c r="A2868" s="168"/>
      <c r="B2868" s="178">
        <v>7519</v>
      </c>
      <c r="C2868" s="178" t="s">
        <v>657</v>
      </c>
      <c r="D2868" s="575" t="s">
        <v>2521</v>
      </c>
      <c r="E2868" s="178" t="s">
        <v>350</v>
      </c>
      <c r="F2868" s="210" t="s">
        <v>7862</v>
      </c>
      <c r="G2868" s="58" t="s">
        <v>1838</v>
      </c>
      <c r="H2868" s="546">
        <v>67940.399999999994</v>
      </c>
      <c r="I2868" s="66">
        <v>44902</v>
      </c>
      <c r="J2868" s="411" t="s">
        <v>7165</v>
      </c>
      <c r="K2868" s="58"/>
      <c r="L2868" s="99"/>
      <c r="M2868" s="70" t="s">
        <v>7807</v>
      </c>
      <c r="N2868" s="97" t="s">
        <v>356</v>
      </c>
      <c r="O2868" s="58" t="s">
        <v>141</v>
      </c>
      <c r="P2868" s="58" t="s">
        <v>19</v>
      </c>
      <c r="Q2868" s="58" t="s">
        <v>104</v>
      </c>
      <c r="R2868" s="58" t="s">
        <v>265</v>
      </c>
    </row>
    <row r="2869" spans="1:18" ht="69" customHeight="1">
      <c r="A2869" s="168"/>
      <c r="B2869" s="178">
        <v>7532</v>
      </c>
      <c r="C2869" s="178" t="s">
        <v>657</v>
      </c>
      <c r="D2869" s="575" t="s">
        <v>2769</v>
      </c>
      <c r="E2869" s="178" t="s">
        <v>350</v>
      </c>
      <c r="F2869" s="210" t="s">
        <v>7863</v>
      </c>
      <c r="G2869" s="58" t="s">
        <v>1838</v>
      </c>
      <c r="H2869" s="546">
        <v>1880</v>
      </c>
      <c r="I2869" s="66">
        <v>44883</v>
      </c>
      <c r="J2869" s="411" t="s">
        <v>7148</v>
      </c>
      <c r="K2869" s="58"/>
      <c r="L2869" s="99"/>
      <c r="M2869" s="70" t="s">
        <v>7807</v>
      </c>
      <c r="N2869" s="97" t="s">
        <v>356</v>
      </c>
      <c r="O2869" s="58" t="s">
        <v>141</v>
      </c>
      <c r="P2869" s="58" t="s">
        <v>19</v>
      </c>
      <c r="Q2869" s="58" t="s">
        <v>104</v>
      </c>
      <c r="R2869" s="58" t="s">
        <v>265</v>
      </c>
    </row>
    <row r="2870" spans="1:18" ht="69" customHeight="1">
      <c r="A2870" s="168"/>
      <c r="B2870" s="178">
        <v>7608</v>
      </c>
      <c r="C2870" s="178" t="s">
        <v>657</v>
      </c>
      <c r="D2870" s="575" t="s">
        <v>7864</v>
      </c>
      <c r="E2870" s="178" t="s">
        <v>7865</v>
      </c>
      <c r="F2870" s="210" t="s">
        <v>7866</v>
      </c>
      <c r="G2870" s="58" t="s">
        <v>7867</v>
      </c>
      <c r="H2870" s="546">
        <v>666400</v>
      </c>
      <c r="I2870" s="66">
        <v>44890</v>
      </c>
      <c r="J2870" s="411" t="s">
        <v>795</v>
      </c>
      <c r="K2870" s="58"/>
      <c r="L2870" s="99"/>
      <c r="M2870" s="70" t="s">
        <v>7868</v>
      </c>
      <c r="N2870" s="97" t="s">
        <v>356</v>
      </c>
      <c r="O2870" s="58" t="s">
        <v>141</v>
      </c>
      <c r="P2870" s="58" t="s">
        <v>19</v>
      </c>
      <c r="Q2870" s="58" t="s">
        <v>104</v>
      </c>
      <c r="R2870" s="58" t="s">
        <v>272</v>
      </c>
    </row>
    <row r="2871" spans="1:18" ht="69" customHeight="1">
      <c r="A2871" s="168"/>
      <c r="B2871" s="178">
        <v>7597</v>
      </c>
      <c r="C2871" s="178" t="s">
        <v>657</v>
      </c>
      <c r="D2871" s="575" t="s">
        <v>4766</v>
      </c>
      <c r="E2871" s="178" t="s">
        <v>741</v>
      </c>
      <c r="F2871" s="210" t="s">
        <v>7869</v>
      </c>
      <c r="G2871" s="58" t="s">
        <v>7870</v>
      </c>
      <c r="H2871" s="546">
        <v>86571.74</v>
      </c>
      <c r="I2871" s="66">
        <v>44890</v>
      </c>
      <c r="J2871" s="411" t="s">
        <v>7871</v>
      </c>
      <c r="K2871" s="58"/>
      <c r="L2871" s="99"/>
      <c r="M2871" s="70" t="s">
        <v>7819</v>
      </c>
      <c r="N2871" s="97" t="s">
        <v>741</v>
      </c>
      <c r="O2871" s="58"/>
      <c r="P2871" s="58" t="s">
        <v>59</v>
      </c>
      <c r="Q2871" s="58" t="s">
        <v>104</v>
      </c>
      <c r="R2871" s="58" t="s">
        <v>272</v>
      </c>
    </row>
    <row r="2872" spans="1:18" ht="69" customHeight="1">
      <c r="A2872" s="168"/>
      <c r="B2872" s="178">
        <v>7598</v>
      </c>
      <c r="C2872" s="178" t="s">
        <v>657</v>
      </c>
      <c r="D2872" s="575" t="s">
        <v>7872</v>
      </c>
      <c r="E2872" s="178" t="s">
        <v>741</v>
      </c>
      <c r="F2872" s="210" t="s">
        <v>7873</v>
      </c>
      <c r="G2872" s="58" t="s">
        <v>7870</v>
      </c>
      <c r="H2872" s="546">
        <v>346286.98</v>
      </c>
      <c r="I2872" s="66">
        <v>44890</v>
      </c>
      <c r="J2872" s="411" t="s">
        <v>7871</v>
      </c>
      <c r="K2872" s="58"/>
      <c r="L2872" s="99"/>
      <c r="M2872" s="70" t="s">
        <v>7819</v>
      </c>
      <c r="N2872" s="97" t="s">
        <v>741</v>
      </c>
      <c r="O2872" s="58"/>
      <c r="P2872" s="58" t="s">
        <v>59</v>
      </c>
      <c r="Q2872" s="58" t="s">
        <v>104</v>
      </c>
      <c r="R2872" s="58" t="s">
        <v>272</v>
      </c>
    </row>
    <row r="2873" spans="1:18" ht="69" customHeight="1">
      <c r="A2873" s="168"/>
      <c r="B2873" s="178">
        <v>7442</v>
      </c>
      <c r="C2873" s="178" t="s">
        <v>657</v>
      </c>
      <c r="D2873" s="575" t="s">
        <v>3732</v>
      </c>
      <c r="E2873" s="178" t="s">
        <v>350</v>
      </c>
      <c r="F2873" s="210" t="s">
        <v>7874</v>
      </c>
      <c r="G2873" s="58" t="s">
        <v>1838</v>
      </c>
      <c r="H2873" s="546">
        <v>63795.7</v>
      </c>
      <c r="I2873" s="66">
        <v>44893</v>
      </c>
      <c r="J2873" s="411" t="s">
        <v>7875</v>
      </c>
      <c r="K2873" s="58"/>
      <c r="L2873" s="99"/>
      <c r="M2873" s="70" t="s">
        <v>7807</v>
      </c>
      <c r="N2873" s="97" t="s">
        <v>356</v>
      </c>
      <c r="O2873" s="58" t="s">
        <v>141</v>
      </c>
      <c r="P2873" s="58" t="s">
        <v>19</v>
      </c>
      <c r="Q2873" s="58" t="s">
        <v>104</v>
      </c>
      <c r="R2873" s="58" t="s">
        <v>265</v>
      </c>
    </row>
    <row r="2874" spans="1:18" ht="69" customHeight="1">
      <c r="A2874" s="168"/>
      <c r="B2874" s="178">
        <v>7737</v>
      </c>
      <c r="C2874" s="178" t="s">
        <v>657</v>
      </c>
      <c r="D2874" s="575" t="s">
        <v>7876</v>
      </c>
      <c r="E2874" s="178" t="s">
        <v>350</v>
      </c>
      <c r="F2874" s="210" t="s">
        <v>7877</v>
      </c>
      <c r="G2874" s="58" t="s">
        <v>1838</v>
      </c>
      <c r="H2874" s="546">
        <v>388686.51</v>
      </c>
      <c r="I2874" s="66">
        <v>44925</v>
      </c>
      <c r="J2874" s="411" t="s">
        <v>7152</v>
      </c>
      <c r="K2874" s="58"/>
      <c r="L2874" s="99"/>
      <c r="M2874" s="70" t="s">
        <v>7807</v>
      </c>
      <c r="N2874" s="97" t="s">
        <v>356</v>
      </c>
      <c r="O2874" s="58" t="s">
        <v>141</v>
      </c>
      <c r="P2874" s="58" t="s">
        <v>19</v>
      </c>
      <c r="Q2874" s="58" t="s">
        <v>104</v>
      </c>
      <c r="R2874" s="58" t="s">
        <v>265</v>
      </c>
    </row>
    <row r="2875" spans="1:18" ht="69" customHeight="1">
      <c r="A2875" s="168"/>
      <c r="B2875" s="178">
        <v>7797</v>
      </c>
      <c r="C2875" s="178" t="s">
        <v>657</v>
      </c>
      <c r="D2875" s="575" t="s">
        <v>4459</v>
      </c>
      <c r="E2875" s="178" t="s">
        <v>7649</v>
      </c>
      <c r="F2875" s="210" t="s">
        <v>7878</v>
      </c>
      <c r="G2875" s="58" t="s">
        <v>7670</v>
      </c>
      <c r="H2875" s="546">
        <v>170542.13</v>
      </c>
      <c r="I2875" s="66">
        <v>44909</v>
      </c>
      <c r="J2875" s="411" t="s">
        <v>7671</v>
      </c>
      <c r="K2875" s="58"/>
      <c r="L2875" s="99"/>
      <c r="M2875" s="70" t="s">
        <v>7851</v>
      </c>
      <c r="N2875" s="97" t="s">
        <v>414</v>
      </c>
      <c r="O2875" s="58"/>
      <c r="P2875" s="58" t="s">
        <v>22</v>
      </c>
      <c r="Q2875" s="58" t="s">
        <v>104</v>
      </c>
      <c r="R2875" s="58" t="s">
        <v>272</v>
      </c>
    </row>
    <row r="2876" spans="1:18" ht="69" customHeight="1">
      <c r="A2876" s="168"/>
      <c r="B2876" s="178">
        <v>7798</v>
      </c>
      <c r="C2876" s="178" t="s">
        <v>657</v>
      </c>
      <c r="D2876" s="575" t="s">
        <v>4776</v>
      </c>
      <c r="E2876" s="178" t="s">
        <v>7649</v>
      </c>
      <c r="F2876" s="210" t="s">
        <v>7879</v>
      </c>
      <c r="G2876" s="58" t="s">
        <v>7673</v>
      </c>
      <c r="H2876" s="546">
        <v>91830.37</v>
      </c>
      <c r="I2876" s="66">
        <v>44909</v>
      </c>
      <c r="J2876" s="411" t="s">
        <v>7671</v>
      </c>
      <c r="K2876" s="58"/>
      <c r="L2876" s="99"/>
      <c r="M2876" s="70" t="s">
        <v>7851</v>
      </c>
      <c r="N2876" s="97" t="s">
        <v>414</v>
      </c>
      <c r="O2876" s="58"/>
      <c r="P2876" s="58" t="s">
        <v>22</v>
      </c>
      <c r="Q2876" s="58" t="s">
        <v>104</v>
      </c>
      <c r="R2876" s="58" t="s">
        <v>272</v>
      </c>
    </row>
    <row r="2877" spans="1:18" ht="69" customHeight="1">
      <c r="A2877" s="168"/>
      <c r="B2877" s="178">
        <v>7783</v>
      </c>
      <c r="C2877" s="178" t="s">
        <v>657</v>
      </c>
      <c r="D2877" s="575" t="s">
        <v>742</v>
      </c>
      <c r="E2877" s="178" t="s">
        <v>741</v>
      </c>
      <c r="F2877" s="210" t="s">
        <v>7880</v>
      </c>
      <c r="G2877" s="58" t="s">
        <v>7685</v>
      </c>
      <c r="H2877" s="546">
        <v>13018.55</v>
      </c>
      <c r="I2877" s="66">
        <v>44907</v>
      </c>
      <c r="J2877" s="411" t="s">
        <v>7686</v>
      </c>
      <c r="K2877" s="58"/>
      <c r="L2877" s="99"/>
      <c r="M2877" s="70" t="s">
        <v>7819</v>
      </c>
      <c r="N2877" s="97" t="s">
        <v>741</v>
      </c>
      <c r="O2877" s="58"/>
      <c r="P2877" s="58" t="s">
        <v>59</v>
      </c>
      <c r="Q2877" s="58" t="s">
        <v>104</v>
      </c>
      <c r="R2877" s="58" t="s">
        <v>272</v>
      </c>
    </row>
    <row r="2878" spans="1:18" ht="69" customHeight="1">
      <c r="A2878" s="168"/>
      <c r="B2878" s="178">
        <v>7784</v>
      </c>
      <c r="C2878" s="178" t="s">
        <v>657</v>
      </c>
      <c r="D2878" s="575" t="s">
        <v>7881</v>
      </c>
      <c r="E2878" s="178" t="s">
        <v>741</v>
      </c>
      <c r="F2878" s="210" t="s">
        <v>7882</v>
      </c>
      <c r="G2878" s="58" t="s">
        <v>7685</v>
      </c>
      <c r="H2878" s="546">
        <v>52074.19</v>
      </c>
      <c r="I2878" s="66">
        <v>44907</v>
      </c>
      <c r="J2878" s="411" t="s">
        <v>7686</v>
      </c>
      <c r="K2878" s="58"/>
      <c r="L2878" s="99"/>
      <c r="M2878" s="70" t="s">
        <v>7819</v>
      </c>
      <c r="N2878" s="97" t="s">
        <v>741</v>
      </c>
      <c r="O2878" s="58"/>
      <c r="P2878" s="58" t="s">
        <v>59</v>
      </c>
      <c r="Q2878" s="58" t="s">
        <v>104</v>
      </c>
      <c r="R2878" s="58" t="s">
        <v>272</v>
      </c>
    </row>
    <row r="2879" spans="1:18" ht="69" customHeight="1">
      <c r="A2879" s="168"/>
      <c r="B2879" s="178">
        <v>7722</v>
      </c>
      <c r="C2879" s="178" t="s">
        <v>657</v>
      </c>
      <c r="D2879" s="575" t="s">
        <v>6860</v>
      </c>
      <c r="E2879" s="178" t="s">
        <v>350</v>
      </c>
      <c r="F2879" s="210" t="s">
        <v>7883</v>
      </c>
      <c r="G2879" s="58" t="s">
        <v>7884</v>
      </c>
      <c r="H2879" s="546">
        <v>6016</v>
      </c>
      <c r="I2879" s="66">
        <v>44904</v>
      </c>
      <c r="J2879" s="411" t="s">
        <v>7885</v>
      </c>
      <c r="K2879" s="58"/>
      <c r="L2879" s="99"/>
      <c r="M2879" s="70" t="s">
        <v>7807</v>
      </c>
      <c r="N2879" s="97" t="s">
        <v>356</v>
      </c>
      <c r="O2879" s="58" t="s">
        <v>141</v>
      </c>
      <c r="P2879" s="58" t="s">
        <v>19</v>
      </c>
      <c r="Q2879" s="58" t="s">
        <v>104</v>
      </c>
      <c r="R2879" s="58" t="s">
        <v>265</v>
      </c>
    </row>
    <row r="2880" spans="1:18" ht="69" customHeight="1">
      <c r="A2880" s="168"/>
      <c r="B2880" s="178">
        <v>7736</v>
      </c>
      <c r="C2880" s="178" t="s">
        <v>657</v>
      </c>
      <c r="D2880" s="575" t="s">
        <v>7886</v>
      </c>
      <c r="E2880" s="178" t="s">
        <v>350</v>
      </c>
      <c r="F2880" s="210" t="s">
        <v>7887</v>
      </c>
      <c r="G2880" s="58" t="s">
        <v>1838</v>
      </c>
      <c r="H2880" s="546">
        <v>6772.9</v>
      </c>
      <c r="I2880" s="66">
        <v>44925</v>
      </c>
      <c r="J2880" s="411" t="s">
        <v>7152</v>
      </c>
      <c r="K2880" s="58"/>
      <c r="L2880" s="99"/>
      <c r="M2880" s="70" t="s">
        <v>7807</v>
      </c>
      <c r="N2880" s="97" t="s">
        <v>356</v>
      </c>
      <c r="O2880" s="58" t="s">
        <v>141</v>
      </c>
      <c r="P2880" s="58" t="s">
        <v>19</v>
      </c>
      <c r="Q2880" s="58" t="s">
        <v>104</v>
      </c>
      <c r="R2880" s="58" t="s">
        <v>265</v>
      </c>
    </row>
    <row r="2881" spans="1:18" ht="69" customHeight="1">
      <c r="A2881" s="168"/>
      <c r="B2881" s="178">
        <v>7451</v>
      </c>
      <c r="C2881" s="178" t="s">
        <v>657</v>
      </c>
      <c r="D2881" s="575" t="s">
        <v>3735</v>
      </c>
      <c r="E2881" s="178" t="s">
        <v>350</v>
      </c>
      <c r="F2881" s="210" t="s">
        <v>7888</v>
      </c>
      <c r="G2881" s="58" t="s">
        <v>1838</v>
      </c>
      <c r="H2881" s="546">
        <v>101450.02</v>
      </c>
      <c r="I2881" s="66">
        <v>44893</v>
      </c>
      <c r="J2881" s="411" t="s">
        <v>7875</v>
      </c>
      <c r="K2881" s="58"/>
      <c r="L2881" s="99"/>
      <c r="M2881" s="70" t="s">
        <v>7807</v>
      </c>
      <c r="N2881" s="97" t="s">
        <v>356</v>
      </c>
      <c r="O2881" s="58" t="s">
        <v>141</v>
      </c>
      <c r="P2881" s="58" t="s">
        <v>19</v>
      </c>
      <c r="Q2881" s="58" t="s">
        <v>104</v>
      </c>
      <c r="R2881" s="58" t="s">
        <v>265</v>
      </c>
    </row>
    <row r="2882" spans="1:18" ht="69" customHeight="1">
      <c r="A2882" s="168"/>
      <c r="B2882" s="178">
        <v>8123</v>
      </c>
      <c r="C2882" s="178" t="s">
        <v>657</v>
      </c>
      <c r="D2882" s="575" t="s">
        <v>7033</v>
      </c>
      <c r="E2882" s="178" t="s">
        <v>350</v>
      </c>
      <c r="F2882" s="210" t="s">
        <v>7889</v>
      </c>
      <c r="G2882" s="58" t="s">
        <v>1838</v>
      </c>
      <c r="H2882" s="546">
        <v>3803</v>
      </c>
      <c r="I2882" s="66">
        <v>44932</v>
      </c>
      <c r="J2882" s="411" t="s">
        <v>7180</v>
      </c>
      <c r="K2882" s="58"/>
      <c r="L2882" s="99"/>
      <c r="M2882" s="70" t="s">
        <v>7807</v>
      </c>
      <c r="N2882" s="97" t="s">
        <v>356</v>
      </c>
      <c r="O2882" s="58" t="s">
        <v>141</v>
      </c>
      <c r="P2882" s="58" t="s">
        <v>19</v>
      </c>
      <c r="Q2882" s="58" t="s">
        <v>104</v>
      </c>
      <c r="R2882" s="58" t="s">
        <v>265</v>
      </c>
    </row>
    <row r="2883" spans="1:18" ht="69" customHeight="1">
      <c r="A2883" s="168"/>
      <c r="B2883" s="178"/>
      <c r="C2883" s="178" t="s">
        <v>458</v>
      </c>
      <c r="D2883" s="575" t="s">
        <v>7691</v>
      </c>
      <c r="E2883" s="178" t="s">
        <v>7890</v>
      </c>
      <c r="F2883" s="210" t="s">
        <v>7891</v>
      </c>
      <c r="G2883" s="58" t="s">
        <v>7694</v>
      </c>
      <c r="H2883" s="546">
        <v>11392</v>
      </c>
      <c r="I2883" s="66">
        <v>44907</v>
      </c>
      <c r="J2883" s="411"/>
      <c r="K2883" s="58"/>
      <c r="L2883" s="99"/>
      <c r="M2883" s="70" t="s">
        <v>7892</v>
      </c>
      <c r="N2883" s="97" t="s">
        <v>414</v>
      </c>
      <c r="O2883" s="58"/>
      <c r="P2883" s="58" t="s">
        <v>22</v>
      </c>
      <c r="Q2883" s="58" t="s">
        <v>104</v>
      </c>
      <c r="R2883" s="58" t="s">
        <v>265</v>
      </c>
    </row>
    <row r="2884" spans="1:18" ht="69" customHeight="1">
      <c r="A2884" s="168"/>
      <c r="B2884" s="191">
        <v>8466</v>
      </c>
      <c r="C2884" s="191" t="s">
        <v>657</v>
      </c>
      <c r="D2884" s="533" t="s">
        <v>1051</v>
      </c>
      <c r="E2884" s="191" t="s">
        <v>7890</v>
      </c>
      <c r="F2884" s="211" t="s">
        <v>7893</v>
      </c>
      <c r="G2884" s="46" t="s">
        <v>7894</v>
      </c>
      <c r="H2884" s="534">
        <v>10878.8</v>
      </c>
      <c r="I2884" s="56">
        <v>44935</v>
      </c>
      <c r="J2884" s="412" t="s">
        <v>7895</v>
      </c>
      <c r="K2884" s="46" t="s">
        <v>167</v>
      </c>
      <c r="L2884" s="99"/>
      <c r="M2884" s="70" t="s">
        <v>7892</v>
      </c>
      <c r="N2884" s="97" t="s">
        <v>414</v>
      </c>
      <c r="O2884" s="46"/>
      <c r="P2884" s="46" t="s">
        <v>71</v>
      </c>
      <c r="Q2884" s="46" t="s">
        <v>104</v>
      </c>
      <c r="R2884" s="46" t="s">
        <v>272</v>
      </c>
    </row>
    <row r="2885" spans="1:18" ht="69" customHeight="1">
      <c r="A2885" s="168"/>
      <c r="B2885" s="178">
        <v>8217</v>
      </c>
      <c r="C2885" s="178" t="s">
        <v>657</v>
      </c>
      <c r="D2885" s="575" t="s">
        <v>1775</v>
      </c>
      <c r="E2885" s="178" t="s">
        <v>741</v>
      </c>
      <c r="F2885" s="210" t="s">
        <v>7896</v>
      </c>
      <c r="G2885" s="58" t="s">
        <v>7685</v>
      </c>
      <c r="H2885" s="546">
        <v>49045.55</v>
      </c>
      <c r="I2885" s="66">
        <v>44921</v>
      </c>
      <c r="J2885" s="411" t="s">
        <v>7702</v>
      </c>
      <c r="K2885" s="58"/>
      <c r="L2885" s="99"/>
      <c r="M2885" s="70" t="s">
        <v>7819</v>
      </c>
      <c r="N2885" s="97" t="s">
        <v>741</v>
      </c>
      <c r="O2885" s="58"/>
      <c r="P2885" s="58" t="s">
        <v>59</v>
      </c>
      <c r="Q2885" s="58" t="s">
        <v>104</v>
      </c>
      <c r="R2885" s="58" t="s">
        <v>272</v>
      </c>
    </row>
    <row r="2886" spans="1:18" ht="69" customHeight="1">
      <c r="A2886" s="168"/>
      <c r="B2886" s="178">
        <v>8219</v>
      </c>
      <c r="C2886" s="178" t="s">
        <v>657</v>
      </c>
      <c r="D2886" s="575" t="s">
        <v>7897</v>
      </c>
      <c r="E2886" s="178" t="s">
        <v>741</v>
      </c>
      <c r="F2886" s="210" t="s">
        <v>7898</v>
      </c>
      <c r="G2886" s="58" t="s">
        <v>7685</v>
      </c>
      <c r="H2886" s="546">
        <v>196182.21</v>
      </c>
      <c r="I2886" s="66">
        <v>44921</v>
      </c>
      <c r="J2886" s="411" t="s">
        <v>7702</v>
      </c>
      <c r="K2886" s="58"/>
      <c r="L2886" s="99"/>
      <c r="M2886" s="70" t="s">
        <v>7819</v>
      </c>
      <c r="N2886" s="97" t="s">
        <v>741</v>
      </c>
      <c r="O2886" s="58"/>
      <c r="P2886" s="58" t="s">
        <v>59</v>
      </c>
      <c r="Q2886" s="58" t="s">
        <v>104</v>
      </c>
      <c r="R2886" s="58" t="s">
        <v>272</v>
      </c>
    </row>
    <row r="2887" spans="1:18" ht="69" customHeight="1">
      <c r="A2887" s="168"/>
      <c r="B2887" s="178">
        <v>8339</v>
      </c>
      <c r="C2887" s="178" t="s">
        <v>657</v>
      </c>
      <c r="D2887" s="575" t="s">
        <v>5937</v>
      </c>
      <c r="E2887" s="178" t="s">
        <v>7890</v>
      </c>
      <c r="F2887" s="210" t="s">
        <v>7899</v>
      </c>
      <c r="G2887" s="58" t="s">
        <v>462</v>
      </c>
      <c r="H2887" s="546">
        <v>20000</v>
      </c>
      <c r="I2887" s="66">
        <v>44923</v>
      </c>
      <c r="J2887" s="411" t="s">
        <v>463</v>
      </c>
      <c r="K2887" s="58"/>
      <c r="L2887" s="99"/>
      <c r="M2887" s="70" t="s">
        <v>7892</v>
      </c>
      <c r="N2887" s="97" t="s">
        <v>414</v>
      </c>
      <c r="O2887" s="58"/>
      <c r="P2887" s="58" t="s">
        <v>22</v>
      </c>
      <c r="Q2887" s="58" t="s">
        <v>104</v>
      </c>
      <c r="R2887" s="58" t="s">
        <v>265</v>
      </c>
    </row>
    <row r="2888" spans="1:18" ht="69" customHeight="1">
      <c r="A2888" s="168"/>
      <c r="B2888" s="178">
        <v>8493</v>
      </c>
      <c r="C2888" s="178" t="s">
        <v>657</v>
      </c>
      <c r="D2888" s="575" t="s">
        <v>7900</v>
      </c>
      <c r="E2888" s="178" t="s">
        <v>741</v>
      </c>
      <c r="F2888" s="210" t="s">
        <v>7901</v>
      </c>
      <c r="G2888" s="58" t="s">
        <v>7706</v>
      </c>
      <c r="H2888" s="546">
        <v>9459.64</v>
      </c>
      <c r="I2888" s="66">
        <v>44937</v>
      </c>
      <c r="J2888" s="411" t="s">
        <v>7902</v>
      </c>
      <c r="K2888" s="58"/>
      <c r="L2888" s="99"/>
      <c r="M2888" s="70" t="s">
        <v>7819</v>
      </c>
      <c r="N2888" s="97" t="s">
        <v>741</v>
      </c>
      <c r="O2888" s="58"/>
      <c r="P2888" s="58" t="s">
        <v>59</v>
      </c>
      <c r="Q2888" s="58" t="s">
        <v>104</v>
      </c>
      <c r="R2888" s="58" t="s">
        <v>272</v>
      </c>
    </row>
    <row r="2889" spans="1:18" ht="69" customHeight="1">
      <c r="A2889" s="168"/>
      <c r="B2889" s="178">
        <v>8494</v>
      </c>
      <c r="C2889" s="178" t="s">
        <v>657</v>
      </c>
      <c r="D2889" s="575" t="s">
        <v>7903</v>
      </c>
      <c r="E2889" s="178" t="s">
        <v>741</v>
      </c>
      <c r="F2889" s="210" t="s">
        <v>7904</v>
      </c>
      <c r="G2889" s="58" t="s">
        <v>7706</v>
      </c>
      <c r="H2889" s="546">
        <v>37838.58</v>
      </c>
      <c r="I2889" s="66">
        <v>44937</v>
      </c>
      <c r="J2889" s="411" t="s">
        <v>7902</v>
      </c>
      <c r="K2889" s="58"/>
      <c r="L2889" s="99"/>
      <c r="M2889" s="70" t="s">
        <v>7819</v>
      </c>
      <c r="N2889" s="97" t="s">
        <v>741</v>
      </c>
      <c r="O2889" s="58"/>
      <c r="P2889" s="58" t="s">
        <v>59</v>
      </c>
      <c r="Q2889" s="58" t="s">
        <v>104</v>
      </c>
      <c r="R2889" s="58" t="s">
        <v>272</v>
      </c>
    </row>
    <row r="2890" spans="1:18" ht="69" customHeight="1">
      <c r="A2890" s="168"/>
      <c r="B2890" s="178">
        <v>8580</v>
      </c>
      <c r="C2890" s="178" t="s">
        <v>657</v>
      </c>
      <c r="D2890" s="575" t="s">
        <v>4243</v>
      </c>
      <c r="E2890" s="178" t="s">
        <v>7890</v>
      </c>
      <c r="F2890" s="210" t="s">
        <v>7905</v>
      </c>
      <c r="G2890" s="58" t="s">
        <v>7715</v>
      </c>
      <c r="H2890" s="546">
        <v>27166</v>
      </c>
      <c r="I2890" s="66">
        <v>44951</v>
      </c>
      <c r="J2890" s="411" t="s">
        <v>7716</v>
      </c>
      <c r="K2890" s="58"/>
      <c r="L2890" s="99"/>
      <c r="M2890" s="70" t="s">
        <v>7892</v>
      </c>
      <c r="N2890" s="97" t="s">
        <v>414</v>
      </c>
      <c r="O2890" s="58"/>
      <c r="P2890" s="58" t="s">
        <v>22</v>
      </c>
      <c r="Q2890" s="58" t="s">
        <v>104</v>
      </c>
      <c r="R2890" s="58" t="s">
        <v>265</v>
      </c>
    </row>
    <row r="2891" spans="1:18" ht="69" customHeight="1">
      <c r="A2891" s="168"/>
      <c r="B2891" s="178">
        <v>8732</v>
      </c>
      <c r="C2891" s="178" t="s">
        <v>657</v>
      </c>
      <c r="D2891" s="575" t="s">
        <v>7906</v>
      </c>
      <c r="E2891" s="178" t="s">
        <v>7649</v>
      </c>
      <c r="F2891" s="210" t="s">
        <v>7907</v>
      </c>
      <c r="G2891" s="58" t="s">
        <v>7723</v>
      </c>
      <c r="H2891" s="546">
        <v>76050</v>
      </c>
      <c r="I2891" s="66">
        <v>44951</v>
      </c>
      <c r="J2891" s="411" t="s">
        <v>7724</v>
      </c>
      <c r="K2891" s="58"/>
      <c r="L2891" s="99"/>
      <c r="M2891" s="70" t="s">
        <v>7851</v>
      </c>
      <c r="N2891" s="97" t="s">
        <v>414</v>
      </c>
      <c r="O2891" s="58"/>
      <c r="P2891" s="58" t="s">
        <v>22</v>
      </c>
      <c r="Q2891" s="58" t="s">
        <v>104</v>
      </c>
      <c r="R2891" s="58" t="s">
        <v>272</v>
      </c>
    </row>
    <row r="2892" spans="1:18" ht="69" customHeight="1">
      <c r="A2892" s="168"/>
      <c r="B2892" s="178">
        <v>8733</v>
      </c>
      <c r="C2892" s="178" t="s">
        <v>657</v>
      </c>
      <c r="D2892" s="575" t="s">
        <v>5812</v>
      </c>
      <c r="E2892" s="178" t="s">
        <v>7649</v>
      </c>
      <c r="F2892" s="210" t="s">
        <v>7908</v>
      </c>
      <c r="G2892" s="58" t="s">
        <v>7726</v>
      </c>
      <c r="H2892" s="546">
        <v>40950</v>
      </c>
      <c r="I2892" s="66">
        <v>44951</v>
      </c>
      <c r="J2892" s="411" t="s">
        <v>7724</v>
      </c>
      <c r="K2892" s="58"/>
      <c r="L2892" s="99"/>
      <c r="M2892" s="70" t="s">
        <v>7851</v>
      </c>
      <c r="N2892" s="97" t="s">
        <v>414</v>
      </c>
      <c r="O2892" s="58"/>
      <c r="P2892" s="58" t="s">
        <v>22</v>
      </c>
      <c r="Q2892" s="58" t="s">
        <v>104</v>
      </c>
      <c r="R2892" s="58" t="s">
        <v>272</v>
      </c>
    </row>
    <row r="2893" spans="1:18" ht="69" customHeight="1">
      <c r="A2893" s="168"/>
      <c r="B2893" s="178">
        <v>8755</v>
      </c>
      <c r="C2893" s="178" t="s">
        <v>657</v>
      </c>
      <c r="D2893" s="575" t="s">
        <v>3566</v>
      </c>
      <c r="E2893" s="178" t="s">
        <v>7890</v>
      </c>
      <c r="F2893" s="210" t="s">
        <v>7909</v>
      </c>
      <c r="G2893" s="58" t="s">
        <v>3931</v>
      </c>
      <c r="H2893" s="546">
        <v>56275</v>
      </c>
      <c r="I2893" s="66">
        <v>44962</v>
      </c>
      <c r="J2893" s="411" t="s">
        <v>7910</v>
      </c>
      <c r="K2893" s="58"/>
      <c r="L2893" s="99"/>
      <c r="M2893" s="70" t="s">
        <v>7892</v>
      </c>
      <c r="N2893" s="97" t="s">
        <v>414</v>
      </c>
      <c r="O2893" s="58"/>
      <c r="P2893" s="58" t="s">
        <v>22</v>
      </c>
      <c r="Q2893" s="58" t="s">
        <v>104</v>
      </c>
      <c r="R2893" s="58" t="s">
        <v>265</v>
      </c>
    </row>
    <row r="2894" spans="1:18" ht="69" customHeight="1">
      <c r="A2894" s="168"/>
      <c r="B2894" s="178">
        <v>8766</v>
      </c>
      <c r="C2894" s="178" t="s">
        <v>657</v>
      </c>
      <c r="D2894" s="575" t="s">
        <v>4631</v>
      </c>
      <c r="E2894" s="178" t="s">
        <v>741</v>
      </c>
      <c r="F2894" s="210" t="s">
        <v>7911</v>
      </c>
      <c r="G2894" s="58" t="s">
        <v>7728</v>
      </c>
      <c r="H2894" s="546">
        <v>3455.48</v>
      </c>
      <c r="I2894" s="66">
        <v>44953</v>
      </c>
      <c r="J2894" s="411" t="s">
        <v>7729</v>
      </c>
      <c r="K2894" s="58"/>
      <c r="L2894" s="99"/>
      <c r="M2894" s="70" t="s">
        <v>7819</v>
      </c>
      <c r="N2894" s="97" t="s">
        <v>741</v>
      </c>
      <c r="O2894" s="58"/>
      <c r="P2894" s="58" t="s">
        <v>59</v>
      </c>
      <c r="Q2894" s="58" t="s">
        <v>104</v>
      </c>
      <c r="R2894" s="58" t="s">
        <v>272</v>
      </c>
    </row>
    <row r="2895" spans="1:18" ht="69" customHeight="1">
      <c r="A2895" s="168"/>
      <c r="B2895" s="178">
        <v>8768</v>
      </c>
      <c r="C2895" s="178" t="s">
        <v>657</v>
      </c>
      <c r="D2895" s="575" t="s">
        <v>5306</v>
      </c>
      <c r="E2895" s="178" t="s">
        <v>741</v>
      </c>
      <c r="F2895" s="210" t="s">
        <v>7912</v>
      </c>
      <c r="G2895" s="58" t="s">
        <v>7728</v>
      </c>
      <c r="H2895" s="546">
        <v>13821.92</v>
      </c>
      <c r="I2895" s="66">
        <v>44953</v>
      </c>
      <c r="J2895" s="411" t="s">
        <v>7729</v>
      </c>
      <c r="K2895" s="58"/>
      <c r="L2895" s="99"/>
      <c r="M2895" s="70" t="s">
        <v>7819</v>
      </c>
      <c r="N2895" s="97" t="s">
        <v>741</v>
      </c>
      <c r="O2895" s="58"/>
      <c r="P2895" s="58" t="s">
        <v>59</v>
      </c>
      <c r="Q2895" s="58" t="s">
        <v>104</v>
      </c>
      <c r="R2895" s="58" t="s">
        <v>272</v>
      </c>
    </row>
    <row r="2896" spans="1:18" ht="69" customHeight="1">
      <c r="A2896" s="168"/>
      <c r="B2896" s="178">
        <v>8775</v>
      </c>
      <c r="C2896" s="178" t="s">
        <v>657</v>
      </c>
      <c r="D2896" s="575" t="s">
        <v>7344</v>
      </c>
      <c r="E2896" s="178" t="s">
        <v>350</v>
      </c>
      <c r="F2896" s="210" t="s">
        <v>7913</v>
      </c>
      <c r="G2896" s="58" t="s">
        <v>4653</v>
      </c>
      <c r="H2896" s="546">
        <v>31131.82</v>
      </c>
      <c r="I2896" s="66">
        <v>44973</v>
      </c>
      <c r="J2896" s="411" t="s">
        <v>7171</v>
      </c>
      <c r="K2896" s="58" t="s">
        <v>7914</v>
      </c>
      <c r="L2896" s="99"/>
      <c r="M2896" s="70" t="s">
        <v>7807</v>
      </c>
      <c r="N2896" s="97" t="s">
        <v>356</v>
      </c>
      <c r="O2896" s="58" t="s">
        <v>141</v>
      </c>
      <c r="P2896" s="58" t="s">
        <v>19</v>
      </c>
      <c r="Q2896" s="58" t="s">
        <v>104</v>
      </c>
      <c r="R2896" s="58" t="s">
        <v>265</v>
      </c>
    </row>
    <row r="2897" spans="1:18" ht="69" customHeight="1">
      <c r="A2897" s="168"/>
      <c r="B2897" s="178">
        <v>8793</v>
      </c>
      <c r="C2897" s="178" t="s">
        <v>657</v>
      </c>
      <c r="D2897" s="575" t="s">
        <v>4772</v>
      </c>
      <c r="E2897" s="178" t="s">
        <v>7649</v>
      </c>
      <c r="F2897" s="210" t="s">
        <v>7915</v>
      </c>
      <c r="G2897" s="58" t="s">
        <v>7916</v>
      </c>
      <c r="H2897" s="546">
        <v>26601.119999999999</v>
      </c>
      <c r="I2897" s="66">
        <v>44953</v>
      </c>
      <c r="J2897" s="411" t="s">
        <v>7917</v>
      </c>
      <c r="K2897" s="58"/>
      <c r="L2897" s="99"/>
      <c r="M2897" s="70" t="s">
        <v>7851</v>
      </c>
      <c r="N2897" s="97" t="s">
        <v>414</v>
      </c>
      <c r="O2897" s="58"/>
      <c r="P2897" s="58" t="s">
        <v>22</v>
      </c>
      <c r="Q2897" s="58" t="s">
        <v>104</v>
      </c>
      <c r="R2897" s="58" t="s">
        <v>272</v>
      </c>
    </row>
    <row r="2898" spans="1:18" ht="69" customHeight="1">
      <c r="A2898" s="168"/>
      <c r="B2898" s="178">
        <v>8794</v>
      </c>
      <c r="C2898" s="178" t="s">
        <v>657</v>
      </c>
      <c r="D2898" s="575" t="s">
        <v>7918</v>
      </c>
      <c r="E2898" s="178" t="s">
        <v>7649</v>
      </c>
      <c r="F2898" s="210" t="s">
        <v>7919</v>
      </c>
      <c r="G2898" s="58" t="s">
        <v>7737</v>
      </c>
      <c r="H2898" s="546">
        <v>14323.68</v>
      </c>
      <c r="I2898" s="66">
        <v>44953</v>
      </c>
      <c r="J2898" s="411" t="s">
        <v>7917</v>
      </c>
      <c r="K2898" s="58"/>
      <c r="L2898" s="99"/>
      <c r="M2898" s="70" t="s">
        <v>7851</v>
      </c>
      <c r="N2898" s="97" t="s">
        <v>414</v>
      </c>
      <c r="O2898" s="58"/>
      <c r="P2898" s="58" t="s">
        <v>22</v>
      </c>
      <c r="Q2898" s="58" t="s">
        <v>104</v>
      </c>
      <c r="R2898" s="58" t="s">
        <v>272</v>
      </c>
    </row>
    <row r="2899" spans="1:18" ht="69" customHeight="1">
      <c r="A2899" s="168"/>
      <c r="B2899" s="207">
        <v>8817</v>
      </c>
      <c r="C2899" s="207" t="s">
        <v>657</v>
      </c>
      <c r="D2899" s="301" t="s">
        <v>1858</v>
      </c>
      <c r="E2899" s="207" t="s">
        <v>350</v>
      </c>
      <c r="F2899" s="208" t="s">
        <v>7920</v>
      </c>
      <c r="G2899" s="160" t="s">
        <v>7921</v>
      </c>
      <c r="H2899" s="300">
        <v>3803</v>
      </c>
      <c r="I2899" s="209">
        <v>44956</v>
      </c>
      <c r="J2899" s="322" t="s">
        <v>7176</v>
      </c>
      <c r="K2899" s="160" t="s">
        <v>67</v>
      </c>
      <c r="M2899" s="379"/>
      <c r="N2899" s="76" t="s">
        <v>356</v>
      </c>
      <c r="O2899" s="160" t="s">
        <v>141</v>
      </c>
      <c r="P2899" s="160" t="s">
        <v>67</v>
      </c>
      <c r="Q2899" s="160" t="s">
        <v>104</v>
      </c>
      <c r="R2899" s="160" t="s">
        <v>272</v>
      </c>
    </row>
    <row r="2900" spans="1:18" ht="69" customHeight="1">
      <c r="A2900" s="168"/>
      <c r="B2900" s="178">
        <v>8232</v>
      </c>
      <c r="C2900" s="178" t="s">
        <v>657</v>
      </c>
      <c r="D2900" s="575" t="s">
        <v>7922</v>
      </c>
      <c r="E2900" s="178" t="s">
        <v>7890</v>
      </c>
      <c r="F2900" s="210" t="s">
        <v>7923</v>
      </c>
      <c r="G2900" s="58" t="s">
        <v>3939</v>
      </c>
      <c r="H2900" s="546">
        <v>52825.22</v>
      </c>
      <c r="I2900" s="66">
        <v>44958</v>
      </c>
      <c r="J2900" s="411" t="s">
        <v>7744</v>
      </c>
      <c r="K2900" s="58"/>
      <c r="L2900" s="99"/>
      <c r="M2900" s="70" t="s">
        <v>7892</v>
      </c>
      <c r="N2900" s="97" t="s">
        <v>414</v>
      </c>
      <c r="O2900" s="58"/>
      <c r="P2900" s="58" t="s">
        <v>22</v>
      </c>
      <c r="Q2900" s="58" t="s">
        <v>104</v>
      </c>
      <c r="R2900" s="58" t="s">
        <v>265</v>
      </c>
    </row>
    <row r="2901" spans="1:18" ht="69" customHeight="1">
      <c r="A2901" s="168"/>
      <c r="B2901" s="191">
        <v>8238</v>
      </c>
      <c r="C2901" s="191" t="s">
        <v>657</v>
      </c>
      <c r="D2901" s="533" t="s">
        <v>1178</v>
      </c>
      <c r="E2901" s="191" t="s">
        <v>7890</v>
      </c>
      <c r="F2901" s="211" t="s">
        <v>7924</v>
      </c>
      <c r="G2901" s="46" t="s">
        <v>7894</v>
      </c>
      <c r="H2901" s="534">
        <v>10878</v>
      </c>
      <c r="I2901" s="56">
        <v>44960</v>
      </c>
      <c r="J2901" s="412" t="s">
        <v>7925</v>
      </c>
      <c r="K2901" s="46"/>
      <c r="L2901" s="99"/>
      <c r="M2901" s="70" t="s">
        <v>7892</v>
      </c>
      <c r="N2901" s="97" t="s">
        <v>414</v>
      </c>
      <c r="O2901" s="46" t="s">
        <v>1171</v>
      </c>
      <c r="P2901" s="46" t="s">
        <v>71</v>
      </c>
      <c r="Q2901" s="46" t="s">
        <v>104</v>
      </c>
      <c r="R2901" s="46" t="s">
        <v>265</v>
      </c>
    </row>
    <row r="2902" spans="1:18" ht="69" customHeight="1">
      <c r="A2902" s="168"/>
      <c r="B2902" s="178">
        <v>8241</v>
      </c>
      <c r="C2902" s="178" t="s">
        <v>657</v>
      </c>
      <c r="D2902" s="575" t="s">
        <v>3778</v>
      </c>
      <c r="E2902" s="178" t="s">
        <v>7890</v>
      </c>
      <c r="F2902" s="210" t="s">
        <v>7924</v>
      </c>
      <c r="G2902" s="58" t="s">
        <v>7926</v>
      </c>
      <c r="H2902" s="546">
        <v>20000</v>
      </c>
      <c r="I2902" s="66">
        <v>44960</v>
      </c>
      <c r="J2902" s="411" t="s">
        <v>7925</v>
      </c>
      <c r="K2902" s="58"/>
      <c r="L2902" s="99"/>
      <c r="M2902" s="70" t="s">
        <v>7892</v>
      </c>
      <c r="N2902" s="97" t="s">
        <v>414</v>
      </c>
      <c r="O2902" s="58"/>
      <c r="P2902" s="58" t="s">
        <v>22</v>
      </c>
      <c r="Q2902" s="58" t="s">
        <v>104</v>
      </c>
      <c r="R2902" s="58" t="s">
        <v>265</v>
      </c>
    </row>
    <row r="2903" spans="1:18" ht="69" customHeight="1">
      <c r="A2903" s="168"/>
      <c r="B2903" s="178">
        <v>8667</v>
      </c>
      <c r="C2903" s="178" t="s">
        <v>657</v>
      </c>
      <c r="D2903" s="575" t="s">
        <v>3784</v>
      </c>
      <c r="E2903" s="178" t="s">
        <v>7649</v>
      </c>
      <c r="F2903" s="210" t="s">
        <v>7927</v>
      </c>
      <c r="G2903" s="58" t="s">
        <v>6448</v>
      </c>
      <c r="H2903" s="546">
        <v>58500</v>
      </c>
      <c r="I2903" s="66">
        <v>44967</v>
      </c>
      <c r="J2903" s="411" t="s">
        <v>7747</v>
      </c>
      <c r="K2903" s="58"/>
      <c r="L2903" s="99"/>
      <c r="M2903" s="70" t="s">
        <v>7851</v>
      </c>
      <c r="N2903" s="97" t="s">
        <v>414</v>
      </c>
      <c r="O2903" s="58"/>
      <c r="P2903" s="58" t="s">
        <v>22</v>
      </c>
      <c r="Q2903" s="58" t="s">
        <v>104</v>
      </c>
      <c r="R2903" s="58" t="s">
        <v>272</v>
      </c>
    </row>
    <row r="2904" spans="1:18" ht="69" customHeight="1">
      <c r="A2904" s="168"/>
      <c r="B2904" s="178">
        <v>8668</v>
      </c>
      <c r="C2904" s="178" t="s">
        <v>657</v>
      </c>
      <c r="D2904" s="575" t="s">
        <v>4894</v>
      </c>
      <c r="E2904" s="178" t="s">
        <v>7649</v>
      </c>
      <c r="F2904" s="210" t="s">
        <v>7928</v>
      </c>
      <c r="G2904" s="58" t="s">
        <v>7772</v>
      </c>
      <c r="H2904" s="546">
        <v>31500</v>
      </c>
      <c r="I2904" s="66">
        <v>44967</v>
      </c>
      <c r="J2904" s="411" t="s">
        <v>7747</v>
      </c>
      <c r="K2904" s="58"/>
      <c r="L2904" s="99"/>
      <c r="M2904" s="70" t="s">
        <v>7851</v>
      </c>
      <c r="N2904" s="97" t="s">
        <v>414</v>
      </c>
      <c r="O2904" s="58"/>
      <c r="P2904" s="58" t="s">
        <v>22</v>
      </c>
      <c r="Q2904" s="58" t="s">
        <v>104</v>
      </c>
      <c r="R2904" s="58" t="s">
        <v>272</v>
      </c>
    </row>
    <row r="2905" spans="1:18" ht="69" customHeight="1">
      <c r="A2905" s="168"/>
      <c r="B2905" s="178">
        <v>8767</v>
      </c>
      <c r="C2905" s="178" t="s">
        <v>657</v>
      </c>
      <c r="D2905" s="575" t="s">
        <v>2300</v>
      </c>
      <c r="E2905" s="178" t="s">
        <v>741</v>
      </c>
      <c r="F2905" s="210" t="s">
        <v>7929</v>
      </c>
      <c r="G2905" s="58" t="s">
        <v>7755</v>
      </c>
      <c r="H2905" s="546">
        <v>26564.78</v>
      </c>
      <c r="I2905" s="66">
        <v>44972</v>
      </c>
      <c r="J2905" s="411" t="s">
        <v>7756</v>
      </c>
      <c r="K2905" s="58"/>
      <c r="L2905" s="99"/>
      <c r="M2905" s="70" t="s">
        <v>7819</v>
      </c>
      <c r="N2905" s="97" t="s">
        <v>741</v>
      </c>
      <c r="O2905" s="58"/>
      <c r="P2905" s="58" t="s">
        <v>59</v>
      </c>
      <c r="Q2905" s="58" t="s">
        <v>104</v>
      </c>
      <c r="R2905" s="58" t="s">
        <v>272</v>
      </c>
    </row>
    <row r="2906" spans="1:18" ht="69" customHeight="1">
      <c r="A2906" s="168"/>
      <c r="B2906" s="178">
        <v>8768</v>
      </c>
      <c r="C2906" s="178" t="s">
        <v>657</v>
      </c>
      <c r="D2906" s="575" t="s">
        <v>2306</v>
      </c>
      <c r="E2906" s="178" t="s">
        <v>741</v>
      </c>
      <c r="F2906" s="210" t="s">
        <v>7930</v>
      </c>
      <c r="G2906" s="58" t="s">
        <v>7755</v>
      </c>
      <c r="H2906" s="546">
        <v>106259.13</v>
      </c>
      <c r="I2906" s="66">
        <v>44972</v>
      </c>
      <c r="J2906" s="411" t="s">
        <v>7756</v>
      </c>
      <c r="K2906" s="58"/>
      <c r="L2906" s="99"/>
      <c r="M2906" s="70" t="s">
        <v>7819</v>
      </c>
      <c r="N2906" s="97" t="s">
        <v>741</v>
      </c>
      <c r="O2906" s="58"/>
      <c r="P2906" s="58" t="s">
        <v>59</v>
      </c>
      <c r="Q2906" s="58" t="s">
        <v>104</v>
      </c>
      <c r="R2906" s="58" t="s">
        <v>272</v>
      </c>
    </row>
    <row r="2907" spans="1:18" ht="69" customHeight="1">
      <c r="A2907" s="168"/>
      <c r="B2907" s="178">
        <v>8883</v>
      </c>
      <c r="C2907" s="178" t="s">
        <v>657</v>
      </c>
      <c r="D2907" s="575" t="s">
        <v>7931</v>
      </c>
      <c r="E2907" s="178" t="s">
        <v>741</v>
      </c>
      <c r="F2907" s="210" t="s">
        <v>7932</v>
      </c>
      <c r="G2907" s="58" t="s">
        <v>7752</v>
      </c>
      <c r="H2907" s="546">
        <v>37500.01</v>
      </c>
      <c r="I2907" s="66">
        <v>44981</v>
      </c>
      <c r="J2907" s="411" t="s">
        <v>7933</v>
      </c>
      <c r="K2907" s="58"/>
      <c r="L2907" s="99"/>
      <c r="M2907" s="70" t="s">
        <v>7819</v>
      </c>
      <c r="N2907" s="97" t="s">
        <v>741</v>
      </c>
      <c r="O2907" s="58"/>
      <c r="P2907" s="58" t="s">
        <v>59</v>
      </c>
      <c r="Q2907" s="58" t="s">
        <v>104</v>
      </c>
      <c r="R2907" s="58" t="s">
        <v>272</v>
      </c>
    </row>
    <row r="2908" spans="1:18" ht="69" customHeight="1">
      <c r="A2908" s="168"/>
      <c r="B2908" s="178">
        <v>8884</v>
      </c>
      <c r="C2908" s="178" t="s">
        <v>657</v>
      </c>
      <c r="D2908" s="575" t="s">
        <v>3300</v>
      </c>
      <c r="E2908" s="178" t="s">
        <v>741</v>
      </c>
      <c r="F2908" s="210" t="s">
        <v>7934</v>
      </c>
      <c r="G2908" s="58" t="s">
        <v>7752</v>
      </c>
      <c r="H2908" s="546">
        <v>150000.01999999999</v>
      </c>
      <c r="I2908" s="66">
        <v>44981</v>
      </c>
      <c r="J2908" s="411" t="s">
        <v>7933</v>
      </c>
      <c r="K2908" s="58"/>
      <c r="L2908" s="99"/>
      <c r="M2908" s="70" t="s">
        <v>7819</v>
      </c>
      <c r="N2908" s="97" t="s">
        <v>741</v>
      </c>
      <c r="O2908" s="58"/>
      <c r="P2908" s="58" t="s">
        <v>59</v>
      </c>
      <c r="Q2908" s="58" t="s">
        <v>104</v>
      </c>
      <c r="R2908" s="58" t="s">
        <v>272</v>
      </c>
    </row>
    <row r="2909" spans="1:18" ht="69" customHeight="1">
      <c r="A2909" s="168"/>
      <c r="B2909" s="178">
        <v>8873</v>
      </c>
      <c r="C2909" s="178" t="s">
        <v>657</v>
      </c>
      <c r="D2909" s="575" t="s">
        <v>2354</v>
      </c>
      <c r="E2909" s="178" t="s">
        <v>7649</v>
      </c>
      <c r="F2909" s="210" t="s">
        <v>7935</v>
      </c>
      <c r="G2909" s="58" t="s">
        <v>7936</v>
      </c>
      <c r="H2909" s="546">
        <v>38251.85</v>
      </c>
      <c r="I2909" s="66">
        <v>44981</v>
      </c>
      <c r="J2909" s="411" t="s">
        <v>7937</v>
      </c>
      <c r="K2909" s="58"/>
      <c r="L2909" s="99"/>
      <c r="M2909" s="70" t="s">
        <v>7851</v>
      </c>
      <c r="N2909" s="97" t="s">
        <v>414</v>
      </c>
      <c r="O2909" s="58"/>
      <c r="P2909" s="58" t="s">
        <v>22</v>
      </c>
      <c r="Q2909" s="58" t="s">
        <v>104</v>
      </c>
      <c r="R2909" s="58" t="s">
        <v>272</v>
      </c>
    </row>
    <row r="2910" spans="1:18" ht="69" customHeight="1">
      <c r="A2910" s="168"/>
      <c r="B2910" s="178">
        <v>8874</v>
      </c>
      <c r="C2910" s="178" t="s">
        <v>657</v>
      </c>
      <c r="D2910" s="575" t="s">
        <v>7938</v>
      </c>
      <c r="E2910" s="178" t="s">
        <v>7649</v>
      </c>
      <c r="F2910" s="210" t="s">
        <v>7939</v>
      </c>
      <c r="G2910" s="58" t="s">
        <v>7940</v>
      </c>
      <c r="H2910" s="546">
        <v>20597.150000000001</v>
      </c>
      <c r="I2910" s="66">
        <v>44981</v>
      </c>
      <c r="J2910" s="411" t="s">
        <v>7937</v>
      </c>
      <c r="K2910" s="58"/>
      <c r="L2910" s="99"/>
      <c r="M2910" s="70" t="s">
        <v>7851</v>
      </c>
      <c r="N2910" s="97" t="s">
        <v>414</v>
      </c>
      <c r="O2910" s="58"/>
      <c r="P2910" s="58" t="s">
        <v>22</v>
      </c>
      <c r="Q2910" s="58" t="s">
        <v>104</v>
      </c>
      <c r="R2910" s="58" t="s">
        <v>272</v>
      </c>
    </row>
    <row r="2911" spans="1:18" ht="69" customHeight="1">
      <c r="A2911" s="168"/>
      <c r="B2911" s="191">
        <v>8959</v>
      </c>
      <c r="C2911" s="191" t="s">
        <v>7941</v>
      </c>
      <c r="D2911" s="533" t="s">
        <v>4636</v>
      </c>
      <c r="E2911" s="191" t="s">
        <v>7890</v>
      </c>
      <c r="F2911" s="211" t="s">
        <v>7942</v>
      </c>
      <c r="G2911" s="46" t="s">
        <v>7943</v>
      </c>
      <c r="H2911" s="534">
        <v>10878.8</v>
      </c>
      <c r="I2911" s="56">
        <v>44988</v>
      </c>
      <c r="J2911" s="412" t="s">
        <v>7944</v>
      </c>
      <c r="K2911" s="46" t="s">
        <v>167</v>
      </c>
      <c r="L2911" s="99"/>
      <c r="M2911" s="70" t="s">
        <v>7892</v>
      </c>
      <c r="N2911" s="97" t="s">
        <v>414</v>
      </c>
      <c r="O2911" s="46"/>
      <c r="P2911" s="46" t="s">
        <v>71</v>
      </c>
      <c r="Q2911" s="46" t="s">
        <v>104</v>
      </c>
      <c r="R2911" s="46" t="s">
        <v>272</v>
      </c>
    </row>
    <row r="2912" spans="1:18" ht="69" customHeight="1">
      <c r="A2912" s="168"/>
      <c r="B2912" s="178">
        <v>8960</v>
      </c>
      <c r="C2912" s="178" t="s">
        <v>7941</v>
      </c>
      <c r="D2912" s="575" t="s">
        <v>7945</v>
      </c>
      <c r="E2912" s="178" t="s">
        <v>7890</v>
      </c>
      <c r="F2912" s="210" t="s">
        <v>7946</v>
      </c>
      <c r="G2912" s="58" t="s">
        <v>6580</v>
      </c>
      <c r="H2912" s="546">
        <v>40000</v>
      </c>
      <c r="I2912" s="66">
        <v>44988</v>
      </c>
      <c r="J2912" s="411" t="s">
        <v>7944</v>
      </c>
      <c r="K2912" s="58"/>
      <c r="L2912" s="99"/>
      <c r="M2912" s="70" t="s">
        <v>7892</v>
      </c>
      <c r="N2912" s="97" t="s">
        <v>414</v>
      </c>
      <c r="O2912" s="58"/>
      <c r="P2912" s="58" t="s">
        <v>22</v>
      </c>
      <c r="Q2912" s="58" t="s">
        <v>104</v>
      </c>
      <c r="R2912" s="58" t="s">
        <v>265</v>
      </c>
    </row>
    <row r="2913" spans="1:18" ht="69" customHeight="1">
      <c r="A2913" s="168"/>
      <c r="B2913" s="178">
        <v>9054</v>
      </c>
      <c r="C2913" s="178" t="s">
        <v>7941</v>
      </c>
      <c r="D2913" s="575" t="s">
        <v>2322</v>
      </c>
      <c r="E2913" s="178" t="s">
        <v>741</v>
      </c>
      <c r="F2913" s="210" t="s">
        <v>7947</v>
      </c>
      <c r="G2913" s="58" t="s">
        <v>7948</v>
      </c>
      <c r="H2913" s="546">
        <v>44479.79</v>
      </c>
      <c r="I2913" s="66">
        <v>45001</v>
      </c>
      <c r="J2913" s="411" t="s">
        <v>7949</v>
      </c>
      <c r="K2913" s="58"/>
      <c r="L2913" s="99"/>
      <c r="M2913" s="70" t="s">
        <v>7819</v>
      </c>
      <c r="N2913" s="97" t="s">
        <v>741</v>
      </c>
      <c r="O2913" s="58"/>
      <c r="P2913" s="58" t="s">
        <v>59</v>
      </c>
      <c r="Q2913" s="58" t="s">
        <v>104</v>
      </c>
      <c r="R2913" s="58" t="s">
        <v>272</v>
      </c>
    </row>
    <row r="2914" spans="1:18" ht="69" customHeight="1">
      <c r="A2914" s="168"/>
      <c r="B2914" s="178">
        <v>9055</v>
      </c>
      <c r="C2914" s="178" t="s">
        <v>7941</v>
      </c>
      <c r="D2914" s="575" t="s">
        <v>5719</v>
      </c>
      <c r="E2914" s="178" t="s">
        <v>741</v>
      </c>
      <c r="F2914" s="210" t="s">
        <v>7950</v>
      </c>
      <c r="G2914" s="58" t="s">
        <v>7948</v>
      </c>
      <c r="H2914" s="546">
        <v>177919.16</v>
      </c>
      <c r="I2914" s="66">
        <v>45001</v>
      </c>
      <c r="J2914" s="411" t="s">
        <v>7949</v>
      </c>
      <c r="K2914" s="58"/>
      <c r="L2914" s="99"/>
      <c r="M2914" s="70" t="s">
        <v>7819</v>
      </c>
      <c r="N2914" s="97" t="s">
        <v>741</v>
      </c>
      <c r="O2914" s="58"/>
      <c r="P2914" s="58" t="s">
        <v>59</v>
      </c>
      <c r="Q2914" s="58" t="s">
        <v>104</v>
      </c>
      <c r="R2914" s="58" t="s">
        <v>272</v>
      </c>
    </row>
    <row r="2915" spans="1:18" ht="69" customHeight="1">
      <c r="A2915" s="168"/>
      <c r="B2915" s="178">
        <v>9120</v>
      </c>
      <c r="C2915" s="178" t="s">
        <v>657</v>
      </c>
      <c r="D2915" s="575" t="s">
        <v>7951</v>
      </c>
      <c r="E2915" s="178" t="s">
        <v>7890</v>
      </c>
      <c r="F2915" s="210" t="s">
        <v>7952</v>
      </c>
      <c r="G2915" s="58" t="s">
        <v>4082</v>
      </c>
      <c r="H2915" s="546">
        <v>26442.69</v>
      </c>
      <c r="I2915" s="66">
        <v>45010</v>
      </c>
      <c r="J2915" s="411" t="s">
        <v>7953</v>
      </c>
      <c r="K2915" s="58"/>
      <c r="L2915" s="99"/>
      <c r="M2915" s="70" t="s">
        <v>7892</v>
      </c>
      <c r="N2915" s="97" t="s">
        <v>414</v>
      </c>
      <c r="O2915" s="58"/>
      <c r="P2915" s="58" t="s">
        <v>22</v>
      </c>
      <c r="Q2915" s="58" t="s">
        <v>104</v>
      </c>
      <c r="R2915" s="58" t="s">
        <v>265</v>
      </c>
    </row>
    <row r="2916" spans="1:18" ht="69" customHeight="1">
      <c r="A2916" s="168"/>
      <c r="B2916" s="256">
        <v>8195</v>
      </c>
      <c r="C2916" s="256" t="s">
        <v>657</v>
      </c>
      <c r="D2916" s="299" t="s">
        <v>1045</v>
      </c>
      <c r="E2916" s="256" t="s">
        <v>350</v>
      </c>
      <c r="F2916" s="263" t="s">
        <v>7954</v>
      </c>
      <c r="G2916" s="118" t="s">
        <v>1838</v>
      </c>
      <c r="H2916" s="300">
        <v>5214.33</v>
      </c>
      <c r="I2916" s="209" t="s">
        <v>96</v>
      </c>
      <c r="J2916" s="409" t="s">
        <v>7955</v>
      </c>
      <c r="K2916" s="160" t="s">
        <v>7956</v>
      </c>
      <c r="L2916" s="99"/>
      <c r="M2916" s="70" t="s">
        <v>7807</v>
      </c>
      <c r="N2916" s="97" t="s">
        <v>356</v>
      </c>
      <c r="O2916" s="118" t="s">
        <v>141</v>
      </c>
      <c r="P2916" s="118" t="s">
        <v>67</v>
      </c>
      <c r="Q2916" s="118" t="s">
        <v>106</v>
      </c>
      <c r="R2916" s="118" t="s">
        <v>265</v>
      </c>
    </row>
    <row r="2917" spans="1:18" ht="69" customHeight="1">
      <c r="A2917" s="168"/>
      <c r="B2917" s="178">
        <v>8192</v>
      </c>
      <c r="C2917" s="178" t="s">
        <v>657</v>
      </c>
      <c r="D2917" s="575" t="s">
        <v>1594</v>
      </c>
      <c r="E2917" s="178" t="s">
        <v>350</v>
      </c>
      <c r="F2917" s="210" t="s">
        <v>7957</v>
      </c>
      <c r="G2917" s="58" t="s">
        <v>1838</v>
      </c>
      <c r="H2917" s="546">
        <v>4372.59</v>
      </c>
      <c r="I2917" s="66">
        <v>44921</v>
      </c>
      <c r="J2917" s="411" t="s">
        <v>7162</v>
      </c>
      <c r="K2917" s="58"/>
      <c r="L2917" s="99"/>
      <c r="M2917" s="70" t="s">
        <v>7807</v>
      </c>
      <c r="N2917" s="97" t="s">
        <v>356</v>
      </c>
      <c r="O2917" s="58" t="s">
        <v>141</v>
      </c>
      <c r="P2917" s="58" t="s">
        <v>19</v>
      </c>
      <c r="Q2917" s="58" t="s">
        <v>104</v>
      </c>
      <c r="R2917" s="58" t="s">
        <v>265</v>
      </c>
    </row>
    <row r="2918" spans="1:18" ht="69" customHeight="1">
      <c r="A2918" s="168"/>
      <c r="B2918" s="178">
        <v>9409</v>
      </c>
      <c r="C2918" s="178" t="s">
        <v>657</v>
      </c>
      <c r="D2918" s="575" t="s">
        <v>7958</v>
      </c>
      <c r="E2918" s="178" t="s">
        <v>741</v>
      </c>
      <c r="F2918" s="210" t="s">
        <v>7959</v>
      </c>
      <c r="G2918" s="58" t="s">
        <v>7803</v>
      </c>
      <c r="H2918" s="546">
        <v>120694.25</v>
      </c>
      <c r="I2918" s="66" t="s">
        <v>96</v>
      </c>
      <c r="J2918" s="411" t="s">
        <v>7818</v>
      </c>
      <c r="K2918" s="58"/>
      <c r="L2918" s="99"/>
      <c r="M2918" s="70" t="s">
        <v>7819</v>
      </c>
      <c r="N2918" s="97" t="s">
        <v>741</v>
      </c>
      <c r="O2918" s="58"/>
      <c r="P2918" s="58" t="s">
        <v>59</v>
      </c>
      <c r="Q2918" s="58" t="s">
        <v>104</v>
      </c>
      <c r="R2918" s="58" t="s">
        <v>272</v>
      </c>
    </row>
    <row r="2919" spans="1:18" ht="69" customHeight="1">
      <c r="A2919" s="168"/>
      <c r="B2919" s="178">
        <v>9644</v>
      </c>
      <c r="C2919" s="178" t="s">
        <v>657</v>
      </c>
      <c r="D2919" s="575" t="s">
        <v>3085</v>
      </c>
      <c r="E2919" s="178" t="s">
        <v>7890</v>
      </c>
      <c r="F2919" s="210" t="s">
        <v>7960</v>
      </c>
      <c r="G2919" s="58" t="s">
        <v>5517</v>
      </c>
      <c r="H2919" s="546">
        <v>15890</v>
      </c>
      <c r="I2919" s="66">
        <v>45014</v>
      </c>
      <c r="J2919" s="411" t="s">
        <v>7792</v>
      </c>
      <c r="K2919" s="58"/>
      <c r="L2919" s="99"/>
      <c r="M2919" s="70" t="s">
        <v>7892</v>
      </c>
      <c r="N2919" s="97" t="s">
        <v>414</v>
      </c>
      <c r="O2919" s="58"/>
      <c r="P2919" s="58" t="s">
        <v>22</v>
      </c>
      <c r="Q2919" s="58" t="s">
        <v>104</v>
      </c>
      <c r="R2919" s="58" t="s">
        <v>265</v>
      </c>
    </row>
    <row r="2920" spans="1:18" ht="69" customHeight="1">
      <c r="A2920" s="168"/>
      <c r="B2920" s="191">
        <v>9665</v>
      </c>
      <c r="C2920" s="191" t="s">
        <v>657</v>
      </c>
      <c r="D2920" s="533" t="s">
        <v>2109</v>
      </c>
      <c r="E2920" s="191" t="s">
        <v>7890</v>
      </c>
      <c r="F2920" s="211" t="s">
        <v>7961</v>
      </c>
      <c r="G2920" s="46" t="s">
        <v>7962</v>
      </c>
      <c r="H2920" s="534">
        <v>10878.8</v>
      </c>
      <c r="I2920" s="56">
        <v>45014</v>
      </c>
      <c r="J2920" s="412" t="s">
        <v>7963</v>
      </c>
      <c r="K2920" s="46" t="s">
        <v>167</v>
      </c>
      <c r="L2920" s="99"/>
      <c r="M2920" s="70" t="s">
        <v>7892</v>
      </c>
      <c r="N2920" s="97" t="s">
        <v>414</v>
      </c>
      <c r="O2920" s="46"/>
      <c r="P2920" s="46" t="s">
        <v>71</v>
      </c>
      <c r="Q2920" s="46" t="s">
        <v>104</v>
      </c>
      <c r="R2920" s="46" t="s">
        <v>272</v>
      </c>
    </row>
    <row r="2921" spans="1:18" ht="69" customHeight="1">
      <c r="A2921" s="168"/>
      <c r="B2921" s="178">
        <v>9847</v>
      </c>
      <c r="C2921" s="178" t="s">
        <v>657</v>
      </c>
      <c r="D2921" s="575" t="s">
        <v>1622</v>
      </c>
      <c r="E2921" s="178" t="s">
        <v>7649</v>
      </c>
      <c r="F2921" s="210" t="s">
        <v>7964</v>
      </c>
      <c r="G2921" s="58" t="s">
        <v>7965</v>
      </c>
      <c r="H2921" s="546">
        <v>96599.62</v>
      </c>
      <c r="I2921" s="66">
        <v>45033</v>
      </c>
      <c r="J2921" s="411" t="s">
        <v>7966</v>
      </c>
      <c r="K2921" s="58"/>
      <c r="L2921" s="99"/>
      <c r="M2921" s="70" t="s">
        <v>7851</v>
      </c>
      <c r="N2921" s="97" t="s">
        <v>414</v>
      </c>
      <c r="O2921" s="58"/>
      <c r="P2921" s="58" t="s">
        <v>22</v>
      </c>
      <c r="Q2921" s="58" t="s">
        <v>104</v>
      </c>
      <c r="R2921" s="58" t="s">
        <v>272</v>
      </c>
    </row>
    <row r="2922" spans="1:18" ht="69" customHeight="1">
      <c r="A2922" s="168"/>
      <c r="B2922" s="178">
        <v>9848</v>
      </c>
      <c r="C2922" s="178" t="s">
        <v>657</v>
      </c>
      <c r="D2922" s="575" t="s">
        <v>1851</v>
      </c>
      <c r="E2922" s="178" t="s">
        <v>7649</v>
      </c>
      <c r="F2922" s="210" t="s">
        <v>7967</v>
      </c>
      <c r="G2922" s="58" t="s">
        <v>7968</v>
      </c>
      <c r="H2922" s="546">
        <v>52015.18</v>
      </c>
      <c r="I2922" s="66">
        <v>45033</v>
      </c>
      <c r="J2922" s="411" t="s">
        <v>7966</v>
      </c>
      <c r="K2922" s="58"/>
      <c r="L2922" s="99"/>
      <c r="M2922" s="70" t="s">
        <v>7851</v>
      </c>
      <c r="N2922" s="97" t="s">
        <v>414</v>
      </c>
      <c r="O2922" s="58"/>
      <c r="P2922" s="58" t="s">
        <v>22</v>
      </c>
      <c r="Q2922" s="58" t="s">
        <v>104</v>
      </c>
      <c r="R2922" s="58" t="s">
        <v>272</v>
      </c>
    </row>
    <row r="2923" spans="1:18" ht="69" customHeight="1">
      <c r="A2923" s="168"/>
      <c r="B2923" s="178">
        <v>9864</v>
      </c>
      <c r="C2923" s="178" t="s">
        <v>657</v>
      </c>
      <c r="D2923" s="575" t="s">
        <v>7969</v>
      </c>
      <c r="E2923" s="178" t="s">
        <v>7890</v>
      </c>
      <c r="F2923" s="210" t="s">
        <v>7970</v>
      </c>
      <c r="G2923" s="58" t="s">
        <v>4115</v>
      </c>
      <c r="H2923" s="546">
        <v>40000</v>
      </c>
      <c r="I2923" s="66">
        <v>45041</v>
      </c>
      <c r="J2923" s="411" t="s">
        <v>7203</v>
      </c>
      <c r="K2923" s="58"/>
      <c r="L2923" s="99"/>
      <c r="M2923" s="70" t="s">
        <v>7892</v>
      </c>
      <c r="N2923" s="97" t="s">
        <v>414</v>
      </c>
      <c r="O2923" s="58"/>
      <c r="P2923" s="58" t="s">
        <v>22</v>
      </c>
      <c r="Q2923" s="58" t="s">
        <v>104</v>
      </c>
      <c r="R2923" s="58" t="s">
        <v>265</v>
      </c>
    </row>
    <row r="2924" spans="1:18" ht="69" customHeight="1">
      <c r="A2924" s="168"/>
      <c r="B2924" s="178">
        <v>9836</v>
      </c>
      <c r="C2924" s="178" t="s">
        <v>657</v>
      </c>
      <c r="D2924" s="575" t="s">
        <v>797</v>
      </c>
      <c r="E2924" s="178" t="s">
        <v>7865</v>
      </c>
      <c r="F2924" s="210" t="s">
        <v>7971</v>
      </c>
      <c r="G2924" s="58" t="s">
        <v>4712</v>
      </c>
      <c r="H2924" s="546">
        <v>400000</v>
      </c>
      <c r="I2924" s="66">
        <v>45041</v>
      </c>
      <c r="J2924" s="411" t="s">
        <v>4713</v>
      </c>
      <c r="K2924" s="58"/>
      <c r="L2924" s="99"/>
      <c r="M2924" s="70" t="s">
        <v>7868</v>
      </c>
      <c r="N2924" s="97" t="s">
        <v>356</v>
      </c>
      <c r="O2924" s="58" t="s">
        <v>141</v>
      </c>
      <c r="P2924" s="58" t="s">
        <v>19</v>
      </c>
      <c r="Q2924" s="58" t="s">
        <v>104</v>
      </c>
      <c r="R2924" s="58" t="s">
        <v>272</v>
      </c>
    </row>
    <row r="2925" spans="1:18" ht="69" customHeight="1">
      <c r="A2925" s="168"/>
      <c r="B2925" s="178">
        <v>9799</v>
      </c>
      <c r="C2925" s="178" t="s">
        <v>657</v>
      </c>
      <c r="D2925" s="575" t="s">
        <v>2326</v>
      </c>
      <c r="E2925" s="178" t="s">
        <v>7890</v>
      </c>
      <c r="F2925" s="210" t="s">
        <v>7972</v>
      </c>
      <c r="G2925" s="58" t="s">
        <v>597</v>
      </c>
      <c r="H2925" s="546">
        <v>37600</v>
      </c>
      <c r="I2925" s="66">
        <v>45041</v>
      </c>
      <c r="J2925" s="411" t="s">
        <v>7209</v>
      </c>
      <c r="K2925" s="58"/>
      <c r="L2925" s="99"/>
      <c r="M2925" s="70" t="s">
        <v>7892</v>
      </c>
      <c r="N2925" s="97" t="s">
        <v>414</v>
      </c>
      <c r="O2925" s="58"/>
      <c r="P2925" s="58" t="s">
        <v>22</v>
      </c>
      <c r="Q2925" s="58" t="s">
        <v>104</v>
      </c>
      <c r="R2925" s="58" t="s">
        <v>265</v>
      </c>
    </row>
    <row r="2926" spans="1:18" ht="69" customHeight="1">
      <c r="A2926" s="168"/>
      <c r="B2926" s="191">
        <v>9823</v>
      </c>
      <c r="C2926" s="191" t="s">
        <v>657</v>
      </c>
      <c r="D2926" s="533" t="s">
        <v>3261</v>
      </c>
      <c r="E2926" s="191" t="s">
        <v>7890</v>
      </c>
      <c r="F2926" s="211" t="s">
        <v>7973</v>
      </c>
      <c r="G2926" s="46" t="s">
        <v>7974</v>
      </c>
      <c r="H2926" s="534">
        <v>10878.8</v>
      </c>
      <c r="I2926" s="56">
        <v>45041</v>
      </c>
      <c r="J2926" s="412" t="s">
        <v>7212</v>
      </c>
      <c r="K2926" s="46" t="s">
        <v>167</v>
      </c>
      <c r="L2926" s="99"/>
      <c r="M2926" s="70" t="s">
        <v>7892</v>
      </c>
      <c r="N2926" s="97" t="s">
        <v>414</v>
      </c>
      <c r="O2926" s="46"/>
      <c r="P2926" s="46" t="s">
        <v>71</v>
      </c>
      <c r="Q2926" s="46" t="s">
        <v>104</v>
      </c>
      <c r="R2926" s="46" t="s">
        <v>272</v>
      </c>
    </row>
    <row r="2927" spans="1:18" ht="69" customHeight="1">
      <c r="A2927" s="168"/>
      <c r="B2927" s="178">
        <v>9826</v>
      </c>
      <c r="C2927" s="178" t="s">
        <v>657</v>
      </c>
      <c r="D2927" s="575" t="s">
        <v>3019</v>
      </c>
      <c r="E2927" s="178" t="s">
        <v>7975</v>
      </c>
      <c r="F2927" s="210" t="s">
        <v>7976</v>
      </c>
      <c r="G2927" s="58" t="s">
        <v>7977</v>
      </c>
      <c r="H2927" s="546">
        <v>36413.699999999997</v>
      </c>
      <c r="I2927" s="66">
        <v>45035</v>
      </c>
      <c r="J2927" s="411" t="s">
        <v>7978</v>
      </c>
      <c r="K2927" s="58"/>
      <c r="L2927" s="99"/>
      <c r="M2927" s="70" t="s">
        <v>7819</v>
      </c>
      <c r="N2927" s="97" t="s">
        <v>741</v>
      </c>
      <c r="O2927" s="58"/>
      <c r="P2927" s="58" t="s">
        <v>59</v>
      </c>
      <c r="Q2927" s="58" t="s">
        <v>104</v>
      </c>
      <c r="R2927" s="58" t="s">
        <v>272</v>
      </c>
    </row>
    <row r="2928" spans="1:18" ht="69" customHeight="1">
      <c r="A2928" s="168"/>
      <c r="B2928" s="178">
        <v>9827</v>
      </c>
      <c r="C2928" s="178" t="s">
        <v>657</v>
      </c>
      <c r="D2928" s="575" t="s">
        <v>3254</v>
      </c>
      <c r="E2928" s="178" t="s">
        <v>7975</v>
      </c>
      <c r="F2928" s="210" t="s">
        <v>7979</v>
      </c>
      <c r="G2928" s="58" t="s">
        <v>7980</v>
      </c>
      <c r="H2928" s="546">
        <v>145654.79</v>
      </c>
      <c r="I2928" s="66">
        <v>45035</v>
      </c>
      <c r="J2928" s="411" t="s">
        <v>7978</v>
      </c>
      <c r="K2928" s="58"/>
      <c r="L2928" s="99"/>
      <c r="M2928" s="70" t="s">
        <v>7819</v>
      </c>
      <c r="N2928" s="97" t="s">
        <v>741</v>
      </c>
      <c r="O2928" s="58"/>
      <c r="P2928" s="58" t="s">
        <v>59</v>
      </c>
      <c r="Q2928" s="58" t="s">
        <v>104</v>
      </c>
      <c r="R2928" s="58" t="s">
        <v>272</v>
      </c>
    </row>
    <row r="2929" spans="1:18" ht="69" customHeight="1">
      <c r="A2929" s="168"/>
      <c r="B2929" s="178">
        <v>9888</v>
      </c>
      <c r="C2929" s="178" t="s">
        <v>657</v>
      </c>
      <c r="D2929" s="575" t="s">
        <v>2333</v>
      </c>
      <c r="E2929" s="178" t="s">
        <v>7649</v>
      </c>
      <c r="F2929" s="210" t="s">
        <v>7981</v>
      </c>
      <c r="G2929" s="58" t="s">
        <v>7982</v>
      </c>
      <c r="H2929" s="546">
        <v>46211.75</v>
      </c>
      <c r="I2929" s="66">
        <v>45044</v>
      </c>
      <c r="J2929" s="411" t="s">
        <v>7222</v>
      </c>
      <c r="K2929" s="58"/>
      <c r="L2929" s="99"/>
      <c r="M2929" s="70" t="s">
        <v>7851</v>
      </c>
      <c r="N2929" s="97" t="s">
        <v>414</v>
      </c>
      <c r="O2929" s="58"/>
      <c r="P2929" s="58" t="s">
        <v>22</v>
      </c>
      <c r="Q2929" s="58" t="s">
        <v>104</v>
      </c>
      <c r="R2929" s="58" t="s">
        <v>272</v>
      </c>
    </row>
    <row r="2930" spans="1:18" ht="69" customHeight="1">
      <c r="A2930" s="168"/>
      <c r="B2930" s="178">
        <v>9889</v>
      </c>
      <c r="C2930" s="178" t="s">
        <v>657</v>
      </c>
      <c r="D2930" s="575" t="s">
        <v>2554</v>
      </c>
      <c r="E2930" s="178" t="s">
        <v>7649</v>
      </c>
      <c r="F2930" s="210" t="s">
        <v>7983</v>
      </c>
      <c r="G2930" s="58" t="s">
        <v>7984</v>
      </c>
      <c r="H2930" s="546">
        <v>24883.25</v>
      </c>
      <c r="I2930" s="66">
        <v>45044</v>
      </c>
      <c r="J2930" s="411" t="s">
        <v>7222</v>
      </c>
      <c r="K2930" s="58"/>
      <c r="L2930" s="99"/>
      <c r="M2930" s="70" t="s">
        <v>7851</v>
      </c>
      <c r="N2930" s="97" t="s">
        <v>414</v>
      </c>
      <c r="O2930" s="58"/>
      <c r="P2930" s="58" t="s">
        <v>22</v>
      </c>
      <c r="Q2930" s="58" t="s">
        <v>104</v>
      </c>
      <c r="R2930" s="58" t="s">
        <v>272</v>
      </c>
    </row>
    <row r="2931" spans="1:18" ht="69" customHeight="1">
      <c r="A2931" s="168"/>
      <c r="B2931" s="178">
        <v>9898</v>
      </c>
      <c r="C2931" s="178" t="s">
        <v>657</v>
      </c>
      <c r="D2931" s="575" t="s">
        <v>3267</v>
      </c>
      <c r="E2931" s="178" t="s">
        <v>7985</v>
      </c>
      <c r="F2931" s="210" t="s">
        <v>7986</v>
      </c>
      <c r="G2931" s="58" t="s">
        <v>7987</v>
      </c>
      <c r="H2931" s="546">
        <v>33400.43</v>
      </c>
      <c r="I2931" s="66">
        <v>45044</v>
      </c>
      <c r="J2931" s="411" t="s">
        <v>7988</v>
      </c>
      <c r="K2931" s="58"/>
      <c r="L2931" s="99"/>
      <c r="M2931" s="70" t="s">
        <v>7819</v>
      </c>
      <c r="N2931" s="97" t="s">
        <v>741</v>
      </c>
      <c r="O2931" s="58"/>
      <c r="P2931" s="58" t="s">
        <v>59</v>
      </c>
      <c r="Q2931" s="58" t="s">
        <v>104</v>
      </c>
      <c r="R2931" s="58" t="s">
        <v>272</v>
      </c>
    </row>
    <row r="2932" spans="1:18" ht="69" customHeight="1">
      <c r="A2932" s="168"/>
      <c r="B2932" s="178">
        <v>9899</v>
      </c>
      <c r="C2932" s="178" t="s">
        <v>657</v>
      </c>
      <c r="D2932" s="575" t="s">
        <v>1371</v>
      </c>
      <c r="E2932" s="178" t="s">
        <v>7985</v>
      </c>
      <c r="F2932" s="210" t="s">
        <v>7989</v>
      </c>
      <c r="G2932" s="58" t="s">
        <v>7990</v>
      </c>
      <c r="H2932" s="546">
        <v>133601.74</v>
      </c>
      <c r="I2932" s="66">
        <v>45044</v>
      </c>
      <c r="J2932" s="411" t="s">
        <v>7988</v>
      </c>
      <c r="K2932" s="58"/>
      <c r="L2932" s="99"/>
      <c r="M2932" s="70" t="s">
        <v>7819</v>
      </c>
      <c r="N2932" s="97" t="s">
        <v>741</v>
      </c>
      <c r="O2932" s="58"/>
      <c r="P2932" s="58" t="s">
        <v>59</v>
      </c>
      <c r="Q2932" s="58" t="s">
        <v>104</v>
      </c>
      <c r="R2932" s="58" t="s">
        <v>272</v>
      </c>
    </row>
    <row r="2933" spans="1:18" ht="69" customHeight="1">
      <c r="A2933" s="168"/>
      <c r="B2933" s="178">
        <v>9919</v>
      </c>
      <c r="C2933" s="178" t="s">
        <v>657</v>
      </c>
      <c r="D2933" s="575" t="s">
        <v>1338</v>
      </c>
      <c r="E2933" s="178" t="s">
        <v>7890</v>
      </c>
      <c r="F2933" s="210" t="s">
        <v>7991</v>
      </c>
      <c r="G2933" s="58" t="s">
        <v>5225</v>
      </c>
      <c r="H2933" s="546">
        <v>38234.199999999997</v>
      </c>
      <c r="I2933" s="66">
        <v>45061</v>
      </c>
      <c r="J2933" s="411" t="s">
        <v>7805</v>
      </c>
      <c r="K2933" s="58"/>
      <c r="L2933" s="99"/>
      <c r="M2933" s="70" t="s">
        <v>7892</v>
      </c>
      <c r="N2933" s="97" t="s">
        <v>414</v>
      </c>
      <c r="O2933" s="58"/>
      <c r="P2933" s="58" t="s">
        <v>22</v>
      </c>
      <c r="Q2933" s="58" t="s">
        <v>104</v>
      </c>
      <c r="R2933" s="58" t="s">
        <v>265</v>
      </c>
    </row>
    <row r="2934" spans="1:18" ht="69" customHeight="1">
      <c r="A2934" s="168"/>
      <c r="B2934" s="178">
        <v>2168</v>
      </c>
      <c r="C2934" s="178" t="s">
        <v>309</v>
      </c>
      <c r="D2934" s="575" t="s">
        <v>6755</v>
      </c>
      <c r="E2934" s="178" t="s">
        <v>266</v>
      </c>
      <c r="F2934" s="210" t="s">
        <v>7992</v>
      </c>
      <c r="G2934" s="58"/>
      <c r="H2934" s="546">
        <v>7060</v>
      </c>
      <c r="I2934" s="66">
        <v>44487</v>
      </c>
      <c r="J2934" s="411" t="s">
        <v>7993</v>
      </c>
      <c r="K2934" s="58"/>
      <c r="L2934" s="99"/>
      <c r="M2934" s="70" t="s">
        <v>7994</v>
      </c>
      <c r="N2934" s="97" t="s">
        <v>270</v>
      </c>
      <c r="O2934" s="58"/>
      <c r="P2934" s="58" t="s">
        <v>44</v>
      </c>
      <c r="Q2934" s="58" t="s">
        <v>105</v>
      </c>
      <c r="R2934" s="58" t="s">
        <v>272</v>
      </c>
    </row>
    <row r="2935" spans="1:18" ht="69" customHeight="1">
      <c r="A2935" s="168"/>
      <c r="B2935" s="178">
        <v>8789</v>
      </c>
      <c r="C2935" s="178" t="s">
        <v>458</v>
      </c>
      <c r="D2935" s="575" t="s">
        <v>1386</v>
      </c>
      <c r="E2935" s="178" t="s">
        <v>350</v>
      </c>
      <c r="F2935" s="210" t="s">
        <v>7995</v>
      </c>
      <c r="G2935" s="58" t="s">
        <v>7760</v>
      </c>
      <c r="H2935" s="546">
        <v>138562</v>
      </c>
      <c r="I2935" s="66">
        <v>44972</v>
      </c>
      <c r="J2935" s="411" t="s">
        <v>7761</v>
      </c>
      <c r="K2935" s="58"/>
      <c r="L2935" s="99"/>
      <c r="M2935" s="70" t="s">
        <v>7996</v>
      </c>
      <c r="N2935" s="97" t="s">
        <v>356</v>
      </c>
      <c r="O2935" s="58" t="s">
        <v>141</v>
      </c>
      <c r="P2935" s="58" t="s">
        <v>19</v>
      </c>
      <c r="Q2935" s="58" t="s">
        <v>105</v>
      </c>
      <c r="R2935" s="58" t="s">
        <v>265</v>
      </c>
    </row>
    <row r="2936" spans="1:18" ht="69" customHeight="1">
      <c r="A2936" s="168"/>
      <c r="B2936" s="178">
        <v>7602</v>
      </c>
      <c r="C2936" s="178" t="s">
        <v>458</v>
      </c>
      <c r="D2936" s="575" t="s">
        <v>1051</v>
      </c>
      <c r="E2936" s="178" t="s">
        <v>358</v>
      </c>
      <c r="F2936" s="210" t="s">
        <v>7997</v>
      </c>
      <c r="G2936" s="58" t="s">
        <v>7867</v>
      </c>
      <c r="H2936" s="546">
        <v>193940</v>
      </c>
      <c r="I2936" s="66">
        <v>44890</v>
      </c>
      <c r="J2936" s="411" t="s">
        <v>795</v>
      </c>
      <c r="K2936" s="58" t="s">
        <v>7998</v>
      </c>
      <c r="L2936" s="99"/>
      <c r="M2936" s="70" t="s">
        <v>7999</v>
      </c>
      <c r="N2936" s="97" t="s">
        <v>356</v>
      </c>
      <c r="O2936" s="58" t="s">
        <v>141</v>
      </c>
      <c r="P2936" s="58" t="s">
        <v>19</v>
      </c>
      <c r="Q2936" s="58" t="s">
        <v>105</v>
      </c>
      <c r="R2936" s="58" t="s">
        <v>272</v>
      </c>
    </row>
    <row r="2937" spans="1:18" ht="69" customHeight="1">
      <c r="A2937" s="168"/>
      <c r="B2937" s="178">
        <v>2528</v>
      </c>
      <c r="C2937" s="178" t="s">
        <v>458</v>
      </c>
      <c r="D2937" s="575"/>
      <c r="E2937" s="178" t="s">
        <v>260</v>
      </c>
      <c r="F2937" s="210" t="s">
        <v>8000</v>
      </c>
      <c r="G2937" s="58"/>
      <c r="H2937" s="546">
        <v>10000</v>
      </c>
      <c r="I2937" s="66" t="s">
        <v>96</v>
      </c>
      <c r="J2937" s="411" t="s">
        <v>8001</v>
      </c>
      <c r="K2937" s="58" t="s">
        <v>8002</v>
      </c>
      <c r="L2937" s="99"/>
      <c r="M2937" s="70" t="s">
        <v>8003</v>
      </c>
      <c r="N2937" s="97" t="s">
        <v>264</v>
      </c>
      <c r="O2937" s="58" t="s">
        <v>141</v>
      </c>
      <c r="P2937" s="58" t="s">
        <v>17</v>
      </c>
      <c r="Q2937" s="58" t="s">
        <v>105</v>
      </c>
      <c r="R2937" s="58" t="s">
        <v>265</v>
      </c>
    </row>
    <row r="2938" spans="1:18" ht="69" customHeight="1">
      <c r="A2938" s="168"/>
      <c r="B2938" s="178">
        <v>2529</v>
      </c>
      <c r="C2938" s="178" t="s">
        <v>458</v>
      </c>
      <c r="D2938" s="575"/>
      <c r="E2938" s="178" t="s">
        <v>260</v>
      </c>
      <c r="F2938" s="210" t="s">
        <v>8000</v>
      </c>
      <c r="G2938" s="58"/>
      <c r="H2938" s="546">
        <v>5250</v>
      </c>
      <c r="I2938" s="66" t="s">
        <v>96</v>
      </c>
      <c r="J2938" s="411" t="s">
        <v>8004</v>
      </c>
      <c r="K2938" s="58" t="s">
        <v>8002</v>
      </c>
      <c r="L2938" s="99"/>
      <c r="M2938" s="70" t="s">
        <v>8003</v>
      </c>
      <c r="N2938" s="97" t="s">
        <v>264</v>
      </c>
      <c r="O2938" s="58" t="s">
        <v>141</v>
      </c>
      <c r="P2938" s="58" t="s">
        <v>17</v>
      </c>
      <c r="Q2938" s="58" t="s">
        <v>105</v>
      </c>
      <c r="R2938" s="58" t="s">
        <v>265</v>
      </c>
    </row>
    <row r="2939" spans="1:18" ht="69" customHeight="1">
      <c r="A2939" s="168"/>
      <c r="B2939" s="178" t="s">
        <v>8005</v>
      </c>
      <c r="C2939" s="178" t="s">
        <v>458</v>
      </c>
      <c r="D2939" s="575"/>
      <c r="E2939" s="178" t="s">
        <v>260</v>
      </c>
      <c r="F2939" s="210" t="s">
        <v>8006</v>
      </c>
      <c r="G2939" s="58" t="s">
        <v>7080</v>
      </c>
      <c r="H2939" s="546">
        <v>1711</v>
      </c>
      <c r="I2939" s="66" t="s">
        <v>96</v>
      </c>
      <c r="J2939" s="411" t="s">
        <v>7081</v>
      </c>
      <c r="K2939" s="58" t="s">
        <v>8002</v>
      </c>
      <c r="L2939" s="99"/>
      <c r="M2939" s="70" t="s">
        <v>8003</v>
      </c>
      <c r="N2939" s="97" t="s">
        <v>264</v>
      </c>
      <c r="O2939" s="58" t="s">
        <v>141</v>
      </c>
      <c r="P2939" s="58" t="s">
        <v>17</v>
      </c>
      <c r="Q2939" s="58" t="s">
        <v>105</v>
      </c>
      <c r="R2939" s="58" t="s">
        <v>265</v>
      </c>
    </row>
    <row r="2940" spans="1:18" ht="69" customHeight="1">
      <c r="A2940" s="168"/>
      <c r="B2940" s="178" t="s">
        <v>8007</v>
      </c>
      <c r="C2940" s="178" t="s">
        <v>458</v>
      </c>
      <c r="D2940" s="575"/>
      <c r="E2940" s="178" t="s">
        <v>260</v>
      </c>
      <c r="F2940" s="210" t="s">
        <v>8008</v>
      </c>
      <c r="G2940" s="58" t="s">
        <v>7080</v>
      </c>
      <c r="H2940" s="546">
        <v>52909.11</v>
      </c>
      <c r="I2940" s="66" t="s">
        <v>96</v>
      </c>
      <c r="J2940" s="411" t="s">
        <v>7081</v>
      </c>
      <c r="K2940" s="58" t="s">
        <v>8002</v>
      </c>
      <c r="L2940" s="99"/>
      <c r="M2940" s="70" t="s">
        <v>8003</v>
      </c>
      <c r="N2940" s="97" t="s">
        <v>264</v>
      </c>
      <c r="O2940" s="58" t="s">
        <v>141</v>
      </c>
      <c r="P2940" s="58" t="s">
        <v>17</v>
      </c>
      <c r="Q2940" s="58" t="s">
        <v>105</v>
      </c>
      <c r="R2940" s="58" t="s">
        <v>265</v>
      </c>
    </row>
    <row r="2941" spans="1:18" ht="69" customHeight="1">
      <c r="A2941" s="168"/>
      <c r="B2941" s="178" t="s">
        <v>8009</v>
      </c>
      <c r="C2941" s="178" t="s">
        <v>458</v>
      </c>
      <c r="D2941" s="575"/>
      <c r="E2941" s="178" t="s">
        <v>260</v>
      </c>
      <c r="F2941" s="210" t="s">
        <v>8010</v>
      </c>
      <c r="G2941" s="58" t="s">
        <v>7080</v>
      </c>
      <c r="H2941" s="546">
        <v>22327.8</v>
      </c>
      <c r="I2941" s="66" t="s">
        <v>96</v>
      </c>
      <c r="J2941" s="411" t="s">
        <v>7081</v>
      </c>
      <c r="K2941" s="58" t="s">
        <v>8002</v>
      </c>
      <c r="L2941" s="99"/>
      <c r="M2941" s="70" t="s">
        <v>8003</v>
      </c>
      <c r="N2941" s="97" t="s">
        <v>264</v>
      </c>
      <c r="O2941" s="58" t="s">
        <v>141</v>
      </c>
      <c r="P2941" s="58" t="s">
        <v>17</v>
      </c>
      <c r="Q2941" s="58" t="s">
        <v>105</v>
      </c>
      <c r="R2941" s="58" t="s">
        <v>265</v>
      </c>
    </row>
    <row r="2942" spans="1:18" ht="69" customHeight="1">
      <c r="A2942" s="168"/>
      <c r="B2942" s="178" t="s">
        <v>8011</v>
      </c>
      <c r="C2942" s="178" t="s">
        <v>458</v>
      </c>
      <c r="D2942" s="575"/>
      <c r="E2942" s="178" t="s">
        <v>260</v>
      </c>
      <c r="F2942" s="210" t="s">
        <v>8012</v>
      </c>
      <c r="G2942" s="58" t="s">
        <v>7080</v>
      </c>
      <c r="H2942" s="546">
        <v>20000</v>
      </c>
      <c r="I2942" s="66" t="s">
        <v>96</v>
      </c>
      <c r="J2942" s="411" t="s">
        <v>7081</v>
      </c>
      <c r="K2942" s="58" t="s">
        <v>8013</v>
      </c>
      <c r="L2942" s="99"/>
      <c r="M2942" s="70" t="s">
        <v>8003</v>
      </c>
      <c r="N2942" s="97" t="s">
        <v>264</v>
      </c>
      <c r="O2942" s="58" t="s">
        <v>141</v>
      </c>
      <c r="P2942" s="58" t="s">
        <v>17</v>
      </c>
      <c r="Q2942" s="58" t="s">
        <v>122</v>
      </c>
      <c r="R2942" s="58" t="s">
        <v>265</v>
      </c>
    </row>
    <row r="2943" spans="1:18" ht="69" customHeight="1">
      <c r="A2943" s="168"/>
      <c r="B2943" s="178" t="s">
        <v>8014</v>
      </c>
      <c r="C2943" s="178" t="s">
        <v>458</v>
      </c>
      <c r="D2943" s="575"/>
      <c r="E2943" s="178" t="s">
        <v>260</v>
      </c>
      <c r="F2943" s="210" t="s">
        <v>8015</v>
      </c>
      <c r="G2943" s="58" t="s">
        <v>7080</v>
      </c>
      <c r="H2943" s="546">
        <v>5403.15</v>
      </c>
      <c r="I2943" s="66" t="s">
        <v>96</v>
      </c>
      <c r="J2943" s="411" t="s">
        <v>7081</v>
      </c>
      <c r="K2943" s="58" t="s">
        <v>8002</v>
      </c>
      <c r="L2943" s="99"/>
      <c r="M2943" s="70" t="s">
        <v>8003</v>
      </c>
      <c r="N2943" s="97" t="s">
        <v>264</v>
      </c>
      <c r="O2943" s="58" t="s">
        <v>141</v>
      </c>
      <c r="P2943" s="58" t="s">
        <v>17</v>
      </c>
      <c r="Q2943" s="58" t="s">
        <v>105</v>
      </c>
      <c r="R2943" s="58" t="s">
        <v>265</v>
      </c>
    </row>
    <row r="2944" spans="1:18" ht="69" customHeight="1">
      <c r="A2944" s="168"/>
      <c r="B2944" s="178" t="s">
        <v>8016</v>
      </c>
      <c r="C2944" s="178" t="s">
        <v>458</v>
      </c>
      <c r="D2944" s="575"/>
      <c r="E2944" s="178" t="s">
        <v>260</v>
      </c>
      <c r="F2944" s="210" t="s">
        <v>8017</v>
      </c>
      <c r="G2944" s="58" t="s">
        <v>7080</v>
      </c>
      <c r="H2944" s="546">
        <v>1600</v>
      </c>
      <c r="I2944" s="66" t="s">
        <v>96</v>
      </c>
      <c r="J2944" s="411" t="s">
        <v>7081</v>
      </c>
      <c r="K2944" s="58" t="s">
        <v>8002</v>
      </c>
      <c r="L2944" s="99"/>
      <c r="M2944" s="70" t="s">
        <v>8003</v>
      </c>
      <c r="N2944" s="97" t="s">
        <v>264</v>
      </c>
      <c r="O2944" s="58" t="s">
        <v>141</v>
      </c>
      <c r="P2944" s="58" t="s">
        <v>17</v>
      </c>
      <c r="Q2944" s="58" t="s">
        <v>105</v>
      </c>
      <c r="R2944" s="58" t="s">
        <v>265</v>
      </c>
    </row>
    <row r="2945" spans="1:18" ht="69" customHeight="1">
      <c r="A2945" s="168"/>
      <c r="B2945" s="178" t="s">
        <v>7556</v>
      </c>
      <c r="C2945" s="178" t="s">
        <v>458</v>
      </c>
      <c r="D2945" s="575"/>
      <c r="E2945" s="178" t="s">
        <v>260</v>
      </c>
      <c r="F2945" s="210" t="s">
        <v>8018</v>
      </c>
      <c r="G2945" s="58" t="s">
        <v>7080</v>
      </c>
      <c r="H2945" s="546">
        <v>1039.77</v>
      </c>
      <c r="I2945" s="66" t="s">
        <v>96</v>
      </c>
      <c r="J2945" s="411" t="s">
        <v>7081</v>
      </c>
      <c r="K2945" s="58" t="s">
        <v>8002</v>
      </c>
      <c r="L2945" s="99"/>
      <c r="M2945" s="70" t="s">
        <v>8003</v>
      </c>
      <c r="N2945" s="97" t="s">
        <v>264</v>
      </c>
      <c r="O2945" s="58" t="s">
        <v>141</v>
      </c>
      <c r="P2945" s="58" t="s">
        <v>17</v>
      </c>
      <c r="Q2945" s="58" t="s">
        <v>105</v>
      </c>
      <c r="R2945" s="58" t="s">
        <v>265</v>
      </c>
    </row>
    <row r="2946" spans="1:18" ht="69" customHeight="1">
      <c r="A2946" s="168"/>
      <c r="B2946" s="178" t="s">
        <v>8019</v>
      </c>
      <c r="C2946" s="178" t="s">
        <v>458</v>
      </c>
      <c r="D2946" s="575"/>
      <c r="E2946" s="178" t="s">
        <v>260</v>
      </c>
      <c r="F2946" s="210" t="s">
        <v>8020</v>
      </c>
      <c r="G2946" s="58" t="s">
        <v>7080</v>
      </c>
      <c r="H2946" s="546">
        <v>1470</v>
      </c>
      <c r="I2946" s="66" t="s">
        <v>96</v>
      </c>
      <c r="J2946" s="411" t="s">
        <v>7081</v>
      </c>
      <c r="K2946" s="58" t="s">
        <v>8002</v>
      </c>
      <c r="L2946" s="99"/>
      <c r="M2946" s="70" t="s">
        <v>8003</v>
      </c>
      <c r="N2946" s="97" t="s">
        <v>264</v>
      </c>
      <c r="O2946" s="58" t="s">
        <v>141</v>
      </c>
      <c r="P2946" s="58" t="s">
        <v>17</v>
      </c>
      <c r="Q2946" s="58" t="s">
        <v>105</v>
      </c>
      <c r="R2946" s="58" t="s">
        <v>265</v>
      </c>
    </row>
    <row r="2947" spans="1:18" ht="69" customHeight="1">
      <c r="A2947" s="168"/>
      <c r="B2947" s="178" t="s">
        <v>8021</v>
      </c>
      <c r="C2947" s="178" t="s">
        <v>458</v>
      </c>
      <c r="D2947" s="575"/>
      <c r="E2947" s="178" t="s">
        <v>260</v>
      </c>
      <c r="F2947" s="210" t="s">
        <v>8022</v>
      </c>
      <c r="G2947" s="58" t="s">
        <v>7080</v>
      </c>
      <c r="H2947" s="546">
        <v>73.48</v>
      </c>
      <c r="I2947" s="66" t="s">
        <v>96</v>
      </c>
      <c r="J2947" s="411" t="s">
        <v>7081</v>
      </c>
      <c r="K2947" s="58" t="s">
        <v>8002</v>
      </c>
      <c r="L2947" s="99"/>
      <c r="M2947" s="70" t="s">
        <v>8003</v>
      </c>
      <c r="N2947" s="97" t="s">
        <v>264</v>
      </c>
      <c r="O2947" s="58" t="s">
        <v>141</v>
      </c>
      <c r="P2947" s="58" t="s">
        <v>17</v>
      </c>
      <c r="Q2947" s="58" t="s">
        <v>105</v>
      </c>
      <c r="R2947" s="58" t="s">
        <v>265</v>
      </c>
    </row>
    <row r="2948" spans="1:18" ht="69" customHeight="1">
      <c r="A2948" s="168"/>
      <c r="B2948" s="178" t="s">
        <v>8023</v>
      </c>
      <c r="C2948" s="178" t="s">
        <v>458</v>
      </c>
      <c r="D2948" s="575"/>
      <c r="E2948" s="178" t="s">
        <v>260</v>
      </c>
      <c r="F2948" s="210" t="s">
        <v>8024</v>
      </c>
      <c r="G2948" s="58" t="s">
        <v>7080</v>
      </c>
      <c r="H2948" s="546">
        <v>5706.96</v>
      </c>
      <c r="I2948" s="66" t="s">
        <v>96</v>
      </c>
      <c r="J2948" s="411" t="s">
        <v>7081</v>
      </c>
      <c r="K2948" s="58" t="s">
        <v>8002</v>
      </c>
      <c r="L2948" s="99"/>
      <c r="M2948" s="70" t="s">
        <v>8003</v>
      </c>
      <c r="N2948" s="97" t="s">
        <v>264</v>
      </c>
      <c r="O2948" s="58" t="s">
        <v>141</v>
      </c>
      <c r="P2948" s="58" t="s">
        <v>17</v>
      </c>
      <c r="Q2948" s="58" t="s">
        <v>105</v>
      </c>
      <c r="R2948" s="58" t="s">
        <v>265</v>
      </c>
    </row>
    <row r="2949" spans="1:18" ht="69" customHeight="1">
      <c r="A2949" s="168"/>
      <c r="B2949" s="178">
        <v>2825</v>
      </c>
      <c r="C2949" s="178" t="s">
        <v>458</v>
      </c>
      <c r="D2949" s="575"/>
      <c r="E2949" s="178" t="s">
        <v>283</v>
      </c>
      <c r="F2949" s="210" t="s">
        <v>8025</v>
      </c>
      <c r="G2949" s="58" t="s">
        <v>5838</v>
      </c>
      <c r="H2949" s="546">
        <v>289952.24000000005</v>
      </c>
      <c r="I2949" s="66">
        <v>44575</v>
      </c>
      <c r="J2949" s="411" t="s">
        <v>8026</v>
      </c>
      <c r="K2949" s="58" t="s">
        <v>8002</v>
      </c>
      <c r="L2949" s="99"/>
      <c r="M2949" s="70" t="s">
        <v>8027</v>
      </c>
      <c r="N2949" s="97" t="s">
        <v>264</v>
      </c>
      <c r="O2949" s="58" t="s">
        <v>141</v>
      </c>
      <c r="P2949" s="58" t="s">
        <v>17</v>
      </c>
      <c r="Q2949" s="58" t="s">
        <v>105</v>
      </c>
      <c r="R2949" s="58" t="s">
        <v>272</v>
      </c>
    </row>
    <row r="2950" spans="1:18" ht="69" customHeight="1">
      <c r="A2950" s="168"/>
      <c r="B2950" s="191">
        <v>2998</v>
      </c>
      <c r="C2950" s="191" t="s">
        <v>458</v>
      </c>
      <c r="D2950" s="533" t="s">
        <v>946</v>
      </c>
      <c r="E2950" s="191" t="s">
        <v>331</v>
      </c>
      <c r="F2950" s="211" t="s">
        <v>8028</v>
      </c>
      <c r="G2950" s="46" t="s">
        <v>4416</v>
      </c>
      <c r="H2950" s="534">
        <v>0</v>
      </c>
      <c r="I2950" s="56" t="s">
        <v>96</v>
      </c>
      <c r="J2950" s="412" t="s">
        <v>334</v>
      </c>
      <c r="K2950" s="46"/>
      <c r="L2950" s="99"/>
      <c r="M2950" s="379" t="s">
        <v>105</v>
      </c>
      <c r="N2950" s="76" t="s">
        <v>69</v>
      </c>
      <c r="O2950" s="46"/>
      <c r="P2950" s="46" t="s">
        <v>69</v>
      </c>
      <c r="Q2950" s="46" t="s">
        <v>105</v>
      </c>
      <c r="R2950" s="46" t="s">
        <v>272</v>
      </c>
    </row>
    <row r="2951" spans="1:18" ht="69" customHeight="1">
      <c r="A2951" s="168"/>
      <c r="B2951" s="178">
        <v>4392</v>
      </c>
      <c r="C2951" s="178" t="s">
        <v>458</v>
      </c>
      <c r="D2951" s="575"/>
      <c r="E2951" s="178" t="s">
        <v>283</v>
      </c>
      <c r="F2951" s="210" t="s">
        <v>8029</v>
      </c>
      <c r="G2951" s="58"/>
      <c r="H2951" s="546">
        <v>0</v>
      </c>
      <c r="I2951" s="66">
        <v>44488</v>
      </c>
      <c r="J2951" s="411" t="s">
        <v>294</v>
      </c>
      <c r="K2951" s="58" t="s">
        <v>8002</v>
      </c>
      <c r="L2951" s="99"/>
      <c r="M2951" s="70" t="s">
        <v>8027</v>
      </c>
      <c r="N2951" s="97" t="s">
        <v>264</v>
      </c>
      <c r="O2951" s="58" t="s">
        <v>141</v>
      </c>
      <c r="P2951" s="58" t="s">
        <v>17</v>
      </c>
      <c r="Q2951" s="58" t="s">
        <v>105</v>
      </c>
      <c r="R2951" s="58" t="s">
        <v>272</v>
      </c>
    </row>
    <row r="2952" spans="1:18" ht="69" customHeight="1">
      <c r="A2952" s="168"/>
      <c r="B2952" s="178">
        <v>4716</v>
      </c>
      <c r="C2952" s="178" t="s">
        <v>458</v>
      </c>
      <c r="D2952" s="575" t="s">
        <v>920</v>
      </c>
      <c r="E2952" s="178" t="s">
        <v>331</v>
      </c>
      <c r="F2952" s="210" t="s">
        <v>8030</v>
      </c>
      <c r="G2952" s="58"/>
      <c r="H2952" s="546">
        <v>3389.12</v>
      </c>
      <c r="I2952" s="66">
        <v>44678</v>
      </c>
      <c r="J2952" s="411" t="s">
        <v>8031</v>
      </c>
      <c r="K2952" s="58"/>
      <c r="L2952" s="99"/>
      <c r="M2952" s="70" t="s">
        <v>7994</v>
      </c>
      <c r="N2952" s="97" t="s">
        <v>270</v>
      </c>
      <c r="O2952" s="58"/>
      <c r="P2952" s="58" t="s">
        <v>44</v>
      </c>
      <c r="Q2952" s="58" t="s">
        <v>105</v>
      </c>
      <c r="R2952" s="58" t="s">
        <v>272</v>
      </c>
    </row>
    <row r="2953" spans="1:18" ht="69" customHeight="1">
      <c r="A2953" s="168"/>
      <c r="B2953" s="178">
        <v>4763</v>
      </c>
      <c r="C2953" s="178" t="s">
        <v>458</v>
      </c>
      <c r="D2953" s="575" t="s">
        <v>5563</v>
      </c>
      <c r="E2953" s="178" t="s">
        <v>358</v>
      </c>
      <c r="F2953" s="210" t="s">
        <v>8032</v>
      </c>
      <c r="G2953" s="58" t="s">
        <v>529</v>
      </c>
      <c r="H2953" s="546">
        <v>145455</v>
      </c>
      <c r="I2953" s="66">
        <v>44680</v>
      </c>
      <c r="J2953" s="411" t="s">
        <v>8033</v>
      </c>
      <c r="K2953" s="58" t="s">
        <v>8034</v>
      </c>
      <c r="L2953" s="99"/>
      <c r="M2953" s="70" t="s">
        <v>7999</v>
      </c>
      <c r="N2953" s="97" t="s">
        <v>356</v>
      </c>
      <c r="O2953" s="58" t="s">
        <v>141</v>
      </c>
      <c r="P2953" s="58" t="s">
        <v>19</v>
      </c>
      <c r="Q2953" s="58" t="s">
        <v>105</v>
      </c>
      <c r="R2953" s="58" t="s">
        <v>272</v>
      </c>
    </row>
    <row r="2954" spans="1:18" ht="69" customHeight="1">
      <c r="A2954" s="168"/>
      <c r="B2954" s="178">
        <v>4198</v>
      </c>
      <c r="C2954" s="178" t="s">
        <v>458</v>
      </c>
      <c r="D2954" s="575" t="s">
        <v>8035</v>
      </c>
      <c r="E2954" s="178" t="s">
        <v>266</v>
      </c>
      <c r="F2954" s="210" t="s">
        <v>8036</v>
      </c>
      <c r="G2954" s="58" t="s">
        <v>376</v>
      </c>
      <c r="H2954" s="546">
        <v>6911.76</v>
      </c>
      <c r="I2954" s="66">
        <v>44697</v>
      </c>
      <c r="J2954" s="411" t="s">
        <v>8037</v>
      </c>
      <c r="K2954" s="58"/>
      <c r="L2954" s="99"/>
      <c r="M2954" s="70" t="s">
        <v>7994</v>
      </c>
      <c r="N2954" s="97" t="s">
        <v>270</v>
      </c>
      <c r="O2954" s="58"/>
      <c r="P2954" s="58" t="s">
        <v>44</v>
      </c>
      <c r="Q2954" s="58" t="s">
        <v>105</v>
      </c>
      <c r="R2954" s="58" t="s">
        <v>272</v>
      </c>
    </row>
    <row r="2955" spans="1:18" ht="69" customHeight="1">
      <c r="A2955" s="168"/>
      <c r="B2955" s="178">
        <v>4867</v>
      </c>
      <c r="C2955" s="178" t="s">
        <v>458</v>
      </c>
      <c r="D2955" s="575" t="s">
        <v>5892</v>
      </c>
      <c r="E2955" s="178" t="s">
        <v>266</v>
      </c>
      <c r="F2955" s="210" t="s">
        <v>8038</v>
      </c>
      <c r="G2955" s="58" t="s">
        <v>680</v>
      </c>
      <c r="H2955" s="546">
        <v>6206.9</v>
      </c>
      <c r="I2955" s="66">
        <v>44706</v>
      </c>
      <c r="J2955" s="411" t="s">
        <v>8039</v>
      </c>
      <c r="K2955" s="58"/>
      <c r="L2955" s="99"/>
      <c r="M2955" s="70" t="s">
        <v>8040</v>
      </c>
      <c r="N2955" s="97" t="s">
        <v>683</v>
      </c>
      <c r="O2955" s="58" t="s">
        <v>149</v>
      </c>
      <c r="P2955" s="58" t="s">
        <v>46</v>
      </c>
      <c r="Q2955" s="58" t="s">
        <v>105</v>
      </c>
      <c r="R2955" s="58" t="s">
        <v>272</v>
      </c>
    </row>
    <row r="2956" spans="1:18" ht="69" customHeight="1">
      <c r="A2956" s="168"/>
      <c r="B2956" s="178">
        <v>4716</v>
      </c>
      <c r="C2956" s="178" t="s">
        <v>458</v>
      </c>
      <c r="D2956" s="575" t="s">
        <v>4478</v>
      </c>
      <c r="E2956" s="178" t="s">
        <v>331</v>
      </c>
      <c r="F2956" s="210" t="s">
        <v>8041</v>
      </c>
      <c r="G2956" s="58" t="s">
        <v>372</v>
      </c>
      <c r="H2956" s="546">
        <v>30502.09</v>
      </c>
      <c r="I2956" s="66">
        <v>44701</v>
      </c>
      <c r="J2956" s="411" t="s">
        <v>8042</v>
      </c>
      <c r="K2956" s="58"/>
      <c r="L2956" s="99"/>
      <c r="M2956" s="70" t="s">
        <v>7994</v>
      </c>
      <c r="N2956" s="97" t="s">
        <v>270</v>
      </c>
      <c r="O2956" s="58"/>
      <c r="P2956" s="58" t="s">
        <v>44</v>
      </c>
      <c r="Q2956" s="58" t="s">
        <v>105</v>
      </c>
      <c r="R2956" s="58" t="s">
        <v>272</v>
      </c>
    </row>
    <row r="2957" spans="1:18" ht="69" customHeight="1">
      <c r="A2957" s="168"/>
      <c r="B2957" s="178">
        <v>4717</v>
      </c>
      <c r="C2957" s="178" t="s">
        <v>458</v>
      </c>
      <c r="D2957" s="575" t="s">
        <v>7133</v>
      </c>
      <c r="E2957" s="178" t="s">
        <v>382</v>
      </c>
      <c r="F2957" s="210" t="s">
        <v>8043</v>
      </c>
      <c r="G2957" s="58" t="s">
        <v>384</v>
      </c>
      <c r="H2957" s="546">
        <v>27761.33</v>
      </c>
      <c r="I2957" s="66">
        <v>44736</v>
      </c>
      <c r="J2957" s="411" t="s">
        <v>8044</v>
      </c>
      <c r="K2957" s="58"/>
      <c r="L2957" s="99"/>
      <c r="M2957" s="70" t="s">
        <v>8045</v>
      </c>
      <c r="N2957" s="97" t="s">
        <v>387</v>
      </c>
      <c r="O2957" s="58" t="s">
        <v>150</v>
      </c>
      <c r="P2957" s="58" t="s">
        <v>51</v>
      </c>
      <c r="Q2957" s="58" t="s">
        <v>105</v>
      </c>
      <c r="R2957" s="58" t="s">
        <v>272</v>
      </c>
    </row>
    <row r="2958" spans="1:18" ht="69" customHeight="1">
      <c r="A2958" s="168"/>
      <c r="B2958" s="178">
        <v>4718</v>
      </c>
      <c r="C2958" s="178" t="s">
        <v>458</v>
      </c>
      <c r="D2958" s="575" t="s">
        <v>337</v>
      </c>
      <c r="E2958" s="178" t="s">
        <v>382</v>
      </c>
      <c r="F2958" s="210" t="s">
        <v>8046</v>
      </c>
      <c r="G2958" s="58" t="s">
        <v>384</v>
      </c>
      <c r="H2958" s="546">
        <v>39819.519999999997</v>
      </c>
      <c r="I2958" s="66">
        <v>44736</v>
      </c>
      <c r="J2958" s="411" t="s">
        <v>8047</v>
      </c>
      <c r="K2958" s="58"/>
      <c r="L2958" s="99"/>
      <c r="M2958" s="70" t="s">
        <v>8045</v>
      </c>
      <c r="N2958" s="97" t="s">
        <v>387</v>
      </c>
      <c r="O2958" s="45" t="s">
        <v>150</v>
      </c>
      <c r="P2958" s="58" t="s">
        <v>51</v>
      </c>
      <c r="Q2958" s="58" t="s">
        <v>105</v>
      </c>
      <c r="R2958" s="58" t="s">
        <v>272</v>
      </c>
    </row>
    <row r="2959" spans="1:18" ht="69" customHeight="1">
      <c r="A2959" s="168"/>
      <c r="B2959" s="178">
        <v>5345</v>
      </c>
      <c r="C2959" s="178" t="s">
        <v>458</v>
      </c>
      <c r="D2959" s="575" t="s">
        <v>1514</v>
      </c>
      <c r="E2959" s="178" t="s">
        <v>409</v>
      </c>
      <c r="F2959" s="210" t="s">
        <v>8048</v>
      </c>
      <c r="G2959" s="58" t="s">
        <v>8049</v>
      </c>
      <c r="H2959" s="546">
        <v>3661670.62</v>
      </c>
      <c r="I2959" s="66">
        <v>44757</v>
      </c>
      <c r="J2959" s="411" t="s">
        <v>8050</v>
      </c>
      <c r="K2959" s="58" t="s">
        <v>3385</v>
      </c>
      <c r="L2959" s="99"/>
      <c r="M2959" s="70" t="s">
        <v>8051</v>
      </c>
      <c r="N2959" s="97" t="s">
        <v>716</v>
      </c>
      <c r="O2959" s="58"/>
      <c r="P2959" s="58" t="s">
        <v>28</v>
      </c>
      <c r="Q2959" s="58" t="s">
        <v>105</v>
      </c>
      <c r="R2959" s="58" t="s">
        <v>272</v>
      </c>
    </row>
    <row r="2960" spans="1:18" ht="69" customHeight="1">
      <c r="A2960" s="168"/>
      <c r="B2960" s="191">
        <v>5361</v>
      </c>
      <c r="C2960" s="191" t="s">
        <v>458</v>
      </c>
      <c r="D2960" s="533" t="s">
        <v>6031</v>
      </c>
      <c r="E2960" s="191" t="s">
        <v>409</v>
      </c>
      <c r="F2960" s="211" t="s">
        <v>8052</v>
      </c>
      <c r="G2960" s="46" t="s">
        <v>725</v>
      </c>
      <c r="H2960" s="546">
        <v>0</v>
      </c>
      <c r="I2960" s="56">
        <v>44760</v>
      </c>
      <c r="J2960" s="412" t="s">
        <v>8053</v>
      </c>
      <c r="K2960" s="46"/>
      <c r="L2960" s="99"/>
      <c r="M2960" s="379" t="s">
        <v>105</v>
      </c>
      <c r="N2960" s="76" t="s">
        <v>716</v>
      </c>
      <c r="O2960" s="46"/>
      <c r="P2960" s="46" t="s">
        <v>28</v>
      </c>
      <c r="Q2960" s="46" t="s">
        <v>105</v>
      </c>
      <c r="R2960" s="46" t="s">
        <v>272</v>
      </c>
    </row>
    <row r="2961" spans="1:18" ht="69" customHeight="1">
      <c r="A2961" s="168"/>
      <c r="B2961" s="178">
        <v>5361</v>
      </c>
      <c r="C2961" s="178" t="s">
        <v>8054</v>
      </c>
      <c r="D2961" s="575" t="s">
        <v>3596</v>
      </c>
      <c r="E2961" s="178" t="s">
        <v>755</v>
      </c>
      <c r="F2961" s="210" t="s">
        <v>8055</v>
      </c>
      <c r="G2961" s="58" t="s">
        <v>8056</v>
      </c>
      <c r="H2961" s="546">
        <v>1025267.77</v>
      </c>
      <c r="I2961" s="66">
        <v>44781</v>
      </c>
      <c r="J2961" s="411" t="s">
        <v>8053</v>
      </c>
      <c r="K2961" s="58" t="s">
        <v>4455</v>
      </c>
      <c r="L2961" s="99"/>
      <c r="M2961" s="70" t="s">
        <v>8051</v>
      </c>
      <c r="N2961" s="97" t="s">
        <v>716</v>
      </c>
      <c r="O2961" s="58"/>
      <c r="P2961" s="58" t="s">
        <v>28</v>
      </c>
      <c r="Q2961" s="58" t="s">
        <v>105</v>
      </c>
      <c r="R2961" s="58" t="s">
        <v>272</v>
      </c>
    </row>
    <row r="2962" spans="1:18" ht="69" customHeight="1">
      <c r="A2962" s="168"/>
      <c r="B2962" s="178">
        <v>7422</v>
      </c>
      <c r="C2962" s="178" t="s">
        <v>8057</v>
      </c>
      <c r="D2962" s="575" t="s">
        <v>7006</v>
      </c>
      <c r="E2962" s="178" t="s">
        <v>809</v>
      </c>
      <c r="F2962" s="210" t="s">
        <v>8058</v>
      </c>
      <c r="G2962" s="58" t="s">
        <v>811</v>
      </c>
      <c r="H2962" s="546">
        <v>15971.06</v>
      </c>
      <c r="I2962" s="66">
        <v>44879</v>
      </c>
      <c r="J2962" s="411" t="s">
        <v>812</v>
      </c>
      <c r="K2962" s="58"/>
      <c r="L2962" s="99"/>
      <c r="M2962" s="70" t="s">
        <v>8059</v>
      </c>
      <c r="N2962" s="97" t="s">
        <v>814</v>
      </c>
      <c r="O2962" s="58"/>
      <c r="P2962" s="58" t="s">
        <v>36</v>
      </c>
      <c r="Q2962" s="58" t="s">
        <v>105</v>
      </c>
      <c r="R2962" s="58" t="s">
        <v>272</v>
      </c>
    </row>
    <row r="2963" spans="1:18" ht="69" customHeight="1">
      <c r="A2963" s="168"/>
      <c r="B2963" s="178">
        <v>6679</v>
      </c>
      <c r="C2963" s="178" t="s">
        <v>8057</v>
      </c>
      <c r="D2963" s="575" t="s">
        <v>4872</v>
      </c>
      <c r="E2963" s="178" t="s">
        <v>755</v>
      </c>
      <c r="F2963" s="210" t="s">
        <v>8060</v>
      </c>
      <c r="G2963" s="58" t="s">
        <v>8061</v>
      </c>
      <c r="H2963" s="546">
        <v>439400.37</v>
      </c>
      <c r="I2963" s="66">
        <v>44823</v>
      </c>
      <c r="J2963" s="411" t="s">
        <v>8062</v>
      </c>
      <c r="K2963" s="58"/>
      <c r="L2963" s="99"/>
      <c r="M2963" s="70" t="s">
        <v>8051</v>
      </c>
      <c r="N2963" s="97" t="s">
        <v>716</v>
      </c>
      <c r="O2963" s="58"/>
      <c r="P2963" s="58" t="s">
        <v>28</v>
      </c>
      <c r="Q2963" s="58" t="s">
        <v>105</v>
      </c>
      <c r="R2963" s="58" t="s">
        <v>272</v>
      </c>
    </row>
    <row r="2964" spans="1:18" ht="69" customHeight="1">
      <c r="A2964" s="168"/>
      <c r="B2964" s="178">
        <v>6589</v>
      </c>
      <c r="C2964" s="178" t="s">
        <v>458</v>
      </c>
      <c r="D2964" s="575" t="s">
        <v>1448</v>
      </c>
      <c r="E2964" s="178" t="s">
        <v>409</v>
      </c>
      <c r="F2964" s="210" t="s">
        <v>8063</v>
      </c>
      <c r="G2964" s="58" t="s">
        <v>738</v>
      </c>
      <c r="H2964" s="546">
        <v>91558.717499999984</v>
      </c>
      <c r="I2964" s="66">
        <v>44813</v>
      </c>
      <c r="J2964" s="411" t="s">
        <v>8064</v>
      </c>
      <c r="K2964" s="58"/>
      <c r="L2964" s="99"/>
      <c r="M2964" s="70" t="s">
        <v>8065</v>
      </c>
      <c r="N2964" s="97" t="s">
        <v>741</v>
      </c>
      <c r="O2964" s="45" t="s">
        <v>154</v>
      </c>
      <c r="P2964" s="58" t="s">
        <v>59</v>
      </c>
      <c r="Q2964" s="58" t="s">
        <v>105</v>
      </c>
      <c r="R2964" s="58" t="s">
        <v>272</v>
      </c>
    </row>
    <row r="2965" spans="1:18" ht="69" customHeight="1">
      <c r="A2965" s="168"/>
      <c r="B2965" s="178">
        <v>6273</v>
      </c>
      <c r="C2965" s="178" t="s">
        <v>458</v>
      </c>
      <c r="D2965" s="575" t="s">
        <v>7515</v>
      </c>
      <c r="E2965" s="178" t="s">
        <v>266</v>
      </c>
      <c r="F2965" s="210" t="s">
        <v>8066</v>
      </c>
      <c r="G2965" s="58" t="s">
        <v>790</v>
      </c>
      <c r="H2965" s="546">
        <v>2281.25</v>
      </c>
      <c r="I2965" s="66">
        <v>44834</v>
      </c>
      <c r="J2965" s="411" t="s">
        <v>8067</v>
      </c>
      <c r="K2965" s="58"/>
      <c r="L2965" s="99"/>
      <c r="M2965" s="70" t="s">
        <v>8040</v>
      </c>
      <c r="N2965" s="97" t="s">
        <v>683</v>
      </c>
      <c r="O2965" s="58" t="s">
        <v>149</v>
      </c>
      <c r="P2965" s="58" t="s">
        <v>46</v>
      </c>
      <c r="Q2965" s="58" t="s">
        <v>105</v>
      </c>
      <c r="R2965" s="58" t="s">
        <v>272</v>
      </c>
    </row>
    <row r="2966" spans="1:18" ht="69" customHeight="1">
      <c r="A2966" s="168"/>
      <c r="B2966" s="178">
        <v>6290</v>
      </c>
      <c r="C2966" s="178" t="s">
        <v>458</v>
      </c>
      <c r="D2966" s="575" t="s">
        <v>1306</v>
      </c>
      <c r="E2966" s="178" t="s">
        <v>266</v>
      </c>
      <c r="F2966" s="210" t="s">
        <v>8068</v>
      </c>
      <c r="G2966" s="58" t="s">
        <v>790</v>
      </c>
      <c r="H2966" s="546">
        <v>2281.25</v>
      </c>
      <c r="I2966" s="66">
        <v>44834</v>
      </c>
      <c r="J2966" s="411" t="s">
        <v>8069</v>
      </c>
      <c r="K2966" s="58"/>
      <c r="L2966" s="99"/>
      <c r="M2966" s="70" t="s">
        <v>8040</v>
      </c>
      <c r="N2966" s="97" t="s">
        <v>683</v>
      </c>
      <c r="O2966" s="58" t="s">
        <v>149</v>
      </c>
      <c r="P2966" s="58" t="s">
        <v>46</v>
      </c>
      <c r="Q2966" s="58" t="s">
        <v>105</v>
      </c>
      <c r="R2966" s="58" t="s">
        <v>272</v>
      </c>
    </row>
    <row r="2967" spans="1:18" ht="69" customHeight="1">
      <c r="A2967" s="168"/>
      <c r="B2967" s="178">
        <v>6944</v>
      </c>
      <c r="C2967" s="178" t="s">
        <v>458</v>
      </c>
      <c r="D2967" s="575" t="s">
        <v>561</v>
      </c>
      <c r="E2967" s="178" t="s">
        <v>409</v>
      </c>
      <c r="F2967" s="210" t="s">
        <v>8070</v>
      </c>
      <c r="G2967" s="58" t="s">
        <v>4638</v>
      </c>
      <c r="H2967" s="546">
        <v>213637.01</v>
      </c>
      <c r="I2967" s="66">
        <v>44844</v>
      </c>
      <c r="J2967" s="411" t="s">
        <v>3367</v>
      </c>
      <c r="K2967" s="58"/>
      <c r="L2967" s="99"/>
      <c r="M2967" s="70" t="s">
        <v>8065</v>
      </c>
      <c r="N2967" s="97" t="s">
        <v>741</v>
      </c>
      <c r="O2967" s="45" t="s">
        <v>154</v>
      </c>
      <c r="P2967" s="58" t="s">
        <v>59</v>
      </c>
      <c r="Q2967" s="58" t="s">
        <v>105</v>
      </c>
      <c r="R2967" s="58" t="s">
        <v>272</v>
      </c>
    </row>
    <row r="2968" spans="1:18" ht="69" customHeight="1">
      <c r="A2968" s="168"/>
      <c r="B2968" s="178">
        <v>7438</v>
      </c>
      <c r="C2968" s="178" t="s">
        <v>8057</v>
      </c>
      <c r="D2968" s="575" t="s">
        <v>1218</v>
      </c>
      <c r="E2968" s="178" t="s">
        <v>755</v>
      </c>
      <c r="F2968" s="210" t="s">
        <v>8071</v>
      </c>
      <c r="G2968" s="58" t="s">
        <v>8072</v>
      </c>
      <c r="H2968" s="546">
        <v>636592.53</v>
      </c>
      <c r="I2968" s="66">
        <v>44893</v>
      </c>
      <c r="J2968" s="411" t="s">
        <v>8073</v>
      </c>
      <c r="K2968" s="58"/>
      <c r="L2968" s="99"/>
      <c r="M2968" s="70" t="s">
        <v>8051</v>
      </c>
      <c r="N2968" s="97" t="s">
        <v>716</v>
      </c>
      <c r="O2968" s="58"/>
      <c r="P2968" s="58" t="s">
        <v>28</v>
      </c>
      <c r="Q2968" s="58" t="s">
        <v>105</v>
      </c>
      <c r="R2968" s="58" t="s">
        <v>272</v>
      </c>
    </row>
    <row r="2969" spans="1:18" ht="69" customHeight="1">
      <c r="A2969" s="168"/>
      <c r="B2969" s="178">
        <v>7452</v>
      </c>
      <c r="C2969" s="178" t="s">
        <v>8057</v>
      </c>
      <c r="D2969" s="575" t="s">
        <v>2082</v>
      </c>
      <c r="E2969" s="178" t="s">
        <v>755</v>
      </c>
      <c r="F2969" s="210" t="s">
        <v>8074</v>
      </c>
      <c r="G2969" s="58" t="s">
        <v>8075</v>
      </c>
      <c r="H2969" s="546">
        <v>828075.53</v>
      </c>
      <c r="I2969" s="66">
        <v>44877</v>
      </c>
      <c r="J2969" s="411" t="s">
        <v>8076</v>
      </c>
      <c r="K2969" s="58" t="s">
        <v>4472</v>
      </c>
      <c r="L2969" s="99"/>
      <c r="M2969" s="70" t="s">
        <v>8051</v>
      </c>
      <c r="N2969" s="97" t="s">
        <v>716</v>
      </c>
      <c r="O2969" s="58"/>
      <c r="P2969" s="58" t="s">
        <v>28</v>
      </c>
      <c r="Q2969" s="58" t="s">
        <v>105</v>
      </c>
      <c r="R2969" s="58" t="s">
        <v>272</v>
      </c>
    </row>
    <row r="2970" spans="1:18" ht="69" customHeight="1">
      <c r="A2970" s="168"/>
      <c r="B2970" s="178">
        <v>7564</v>
      </c>
      <c r="C2970" s="178" t="s">
        <v>458</v>
      </c>
      <c r="D2970" s="575" t="s">
        <v>3742</v>
      </c>
      <c r="E2970" s="178" t="s">
        <v>266</v>
      </c>
      <c r="F2970" s="210" t="s">
        <v>8077</v>
      </c>
      <c r="G2970" s="58" t="s">
        <v>392</v>
      </c>
      <c r="H2970" s="546">
        <v>1150</v>
      </c>
      <c r="I2970" s="66">
        <v>44903</v>
      </c>
      <c r="J2970" s="411" t="s">
        <v>7700</v>
      </c>
      <c r="K2970" s="58"/>
      <c r="L2970" s="99"/>
      <c r="M2970" s="70" t="s">
        <v>7994</v>
      </c>
      <c r="N2970" s="97" t="s">
        <v>270</v>
      </c>
      <c r="O2970" s="58"/>
      <c r="P2970" s="58" t="s">
        <v>44</v>
      </c>
      <c r="Q2970" s="58" t="s">
        <v>105</v>
      </c>
      <c r="R2970" s="58" t="s">
        <v>272</v>
      </c>
    </row>
    <row r="2971" spans="1:18" ht="69" customHeight="1">
      <c r="A2971" s="168"/>
      <c r="B2971" s="178">
        <v>7342</v>
      </c>
      <c r="C2971" s="178" t="s">
        <v>8057</v>
      </c>
      <c r="D2971" s="575" t="s">
        <v>7881</v>
      </c>
      <c r="E2971" s="178" t="s">
        <v>755</v>
      </c>
      <c r="F2971" s="210" t="s">
        <v>8078</v>
      </c>
      <c r="G2971" s="58" t="s">
        <v>8079</v>
      </c>
      <c r="H2971" s="546">
        <v>1464668.25</v>
      </c>
      <c r="I2971" s="66">
        <v>44869</v>
      </c>
      <c r="J2971" s="411" t="s">
        <v>4785</v>
      </c>
      <c r="K2971" s="58" t="s">
        <v>4465</v>
      </c>
      <c r="L2971" s="99"/>
      <c r="M2971" s="70" t="s">
        <v>8051</v>
      </c>
      <c r="N2971" s="97" t="s">
        <v>716</v>
      </c>
      <c r="O2971" s="58"/>
      <c r="P2971" s="58" t="s">
        <v>28</v>
      </c>
      <c r="Q2971" s="58" t="s">
        <v>105</v>
      </c>
      <c r="R2971" s="58" t="s">
        <v>272</v>
      </c>
    </row>
    <row r="2972" spans="1:18" ht="69" customHeight="1">
      <c r="A2972" s="168"/>
      <c r="B2972" s="178">
        <v>8254</v>
      </c>
      <c r="C2972" s="178" t="s">
        <v>8080</v>
      </c>
      <c r="D2972" s="575" t="s">
        <v>576</v>
      </c>
      <c r="E2972" s="178" t="s">
        <v>755</v>
      </c>
      <c r="F2972" s="210" t="s">
        <v>8081</v>
      </c>
      <c r="G2972" s="58" t="s">
        <v>8082</v>
      </c>
      <c r="H2972" s="546">
        <v>729159.86</v>
      </c>
      <c r="I2972" s="66">
        <v>44918</v>
      </c>
      <c r="J2972" s="411" t="s">
        <v>8083</v>
      </c>
      <c r="K2972" s="58"/>
      <c r="L2972" s="99"/>
      <c r="M2972" s="70" t="s">
        <v>8051</v>
      </c>
      <c r="N2972" s="97" t="s">
        <v>716</v>
      </c>
      <c r="O2972" s="58"/>
      <c r="P2972" s="58" t="s">
        <v>28</v>
      </c>
      <c r="Q2972" s="58" t="s">
        <v>106</v>
      </c>
      <c r="R2972" s="58" t="s">
        <v>272</v>
      </c>
    </row>
    <row r="2973" spans="1:18" ht="69" customHeight="1">
      <c r="A2973" s="168"/>
      <c r="B2973" s="178">
        <v>8507</v>
      </c>
      <c r="C2973" s="178" t="s">
        <v>458</v>
      </c>
      <c r="D2973" s="575" t="s">
        <v>1073</v>
      </c>
      <c r="E2973" s="178" t="s">
        <v>350</v>
      </c>
      <c r="F2973" s="210" t="s">
        <v>8084</v>
      </c>
      <c r="G2973" s="58" t="s">
        <v>8085</v>
      </c>
      <c r="H2973" s="546">
        <v>37528.9</v>
      </c>
      <c r="I2973" s="66">
        <v>44956</v>
      </c>
      <c r="J2973" s="411" t="s">
        <v>8086</v>
      </c>
      <c r="K2973" s="58"/>
      <c r="L2973" s="99"/>
      <c r="M2973" s="70" t="s">
        <v>7996</v>
      </c>
      <c r="N2973" s="97" t="s">
        <v>356</v>
      </c>
      <c r="O2973" s="58" t="s">
        <v>141</v>
      </c>
      <c r="P2973" s="58" t="s">
        <v>19</v>
      </c>
      <c r="Q2973" s="58" t="s">
        <v>105</v>
      </c>
      <c r="R2973" s="58" t="s">
        <v>265</v>
      </c>
    </row>
    <row r="2974" spans="1:18" ht="69" customHeight="1">
      <c r="A2974" s="168"/>
      <c r="B2974" s="178">
        <v>8628</v>
      </c>
      <c r="C2974" s="178" t="s">
        <v>458</v>
      </c>
      <c r="D2974" s="575" t="s">
        <v>8087</v>
      </c>
      <c r="E2974" s="178" t="s">
        <v>350</v>
      </c>
      <c r="F2974" s="210" t="s">
        <v>8088</v>
      </c>
      <c r="G2974" s="58" t="s">
        <v>7720</v>
      </c>
      <c r="H2974" s="546">
        <v>76434.81</v>
      </c>
      <c r="I2974" s="66">
        <v>44959</v>
      </c>
      <c r="J2974" s="411" t="s">
        <v>8089</v>
      </c>
      <c r="K2974" s="58" t="s">
        <v>7073</v>
      </c>
      <c r="L2974" s="99"/>
      <c r="M2974" s="70" t="s">
        <v>7070</v>
      </c>
      <c r="N2974" s="97" t="s">
        <v>356</v>
      </c>
      <c r="O2974" s="58" t="s">
        <v>141</v>
      </c>
      <c r="P2974" s="58" t="s">
        <v>73</v>
      </c>
      <c r="Q2974" s="58" t="s">
        <v>88</v>
      </c>
      <c r="R2974" s="58" t="s">
        <v>265</v>
      </c>
    </row>
    <row r="2975" spans="1:18" ht="69" customHeight="1">
      <c r="A2975" s="168"/>
      <c r="B2975" s="178">
        <v>8633</v>
      </c>
      <c r="C2975" s="178" t="s">
        <v>458</v>
      </c>
      <c r="D2975" s="575" t="s">
        <v>8090</v>
      </c>
      <c r="E2975" s="178" t="s">
        <v>350</v>
      </c>
      <c r="F2975" s="210" t="s">
        <v>8091</v>
      </c>
      <c r="G2975" s="58" t="s">
        <v>4270</v>
      </c>
      <c r="H2975" s="546">
        <v>108157.2</v>
      </c>
      <c r="I2975" s="66">
        <v>44960</v>
      </c>
      <c r="J2975" s="411" t="s">
        <v>8092</v>
      </c>
      <c r="K2975" s="58"/>
      <c r="L2975" s="99"/>
      <c r="M2975" s="70" t="s">
        <v>7996</v>
      </c>
      <c r="N2975" s="97" t="s">
        <v>356</v>
      </c>
      <c r="O2975" s="58" t="s">
        <v>141</v>
      </c>
      <c r="P2975" s="58" t="s">
        <v>19</v>
      </c>
      <c r="Q2975" s="58" t="s">
        <v>105</v>
      </c>
      <c r="R2975" s="58" t="s">
        <v>265</v>
      </c>
    </row>
    <row r="2976" spans="1:18" ht="69" customHeight="1">
      <c r="A2976" s="168"/>
      <c r="B2976" s="178">
        <v>8658</v>
      </c>
      <c r="C2976" s="178" t="s">
        <v>8057</v>
      </c>
      <c r="D2976" s="575" t="s">
        <v>7219</v>
      </c>
      <c r="E2976" s="178" t="s">
        <v>809</v>
      </c>
      <c r="F2976" s="210" t="s">
        <v>8093</v>
      </c>
      <c r="G2976" s="58" t="s">
        <v>823</v>
      </c>
      <c r="H2976" s="546">
        <v>22114.04</v>
      </c>
      <c r="I2976" s="66">
        <v>44949</v>
      </c>
      <c r="J2976" s="411" t="s">
        <v>824</v>
      </c>
      <c r="K2976" s="58"/>
      <c r="L2976" s="99"/>
      <c r="M2976" s="70" t="s">
        <v>8059</v>
      </c>
      <c r="N2976" s="97" t="s">
        <v>814</v>
      </c>
      <c r="O2976" s="58"/>
      <c r="P2976" s="58" t="s">
        <v>36</v>
      </c>
      <c r="Q2976" s="58" t="s">
        <v>105</v>
      </c>
      <c r="R2976" s="58" t="s">
        <v>272</v>
      </c>
    </row>
    <row r="2977" spans="1:18" ht="69" customHeight="1">
      <c r="A2977" s="168"/>
      <c r="B2977" s="178">
        <v>8780</v>
      </c>
      <c r="C2977" s="178" t="s">
        <v>458</v>
      </c>
      <c r="D2977" s="575" t="s">
        <v>6501</v>
      </c>
      <c r="E2977" s="178" t="s">
        <v>350</v>
      </c>
      <c r="F2977" s="210" t="s">
        <v>8094</v>
      </c>
      <c r="G2977" s="58" t="s">
        <v>2153</v>
      </c>
      <c r="H2977" s="546">
        <v>4195</v>
      </c>
      <c r="I2977" s="66">
        <v>44973</v>
      </c>
      <c r="J2977" s="411" t="s">
        <v>7732</v>
      </c>
      <c r="K2977" s="58"/>
      <c r="L2977" s="99"/>
      <c r="M2977" s="70" t="s">
        <v>7996</v>
      </c>
      <c r="N2977" s="97" t="s">
        <v>356</v>
      </c>
      <c r="O2977" s="58" t="s">
        <v>141</v>
      </c>
      <c r="P2977" s="58" t="s">
        <v>19</v>
      </c>
      <c r="Q2977" s="58" t="s">
        <v>105</v>
      </c>
      <c r="R2977" s="58" t="s">
        <v>265</v>
      </c>
    </row>
    <row r="2978" spans="1:18" ht="69" customHeight="1">
      <c r="A2978" s="168"/>
      <c r="B2978" s="178">
        <v>8702</v>
      </c>
      <c r="C2978" s="178" t="s">
        <v>458</v>
      </c>
      <c r="D2978" s="575" t="s">
        <v>2570</v>
      </c>
      <c r="E2978" s="178" t="s">
        <v>350</v>
      </c>
      <c r="F2978" s="210" t="s">
        <v>8095</v>
      </c>
      <c r="G2978" s="58" t="s">
        <v>3939</v>
      </c>
      <c r="H2978" s="546">
        <v>613.46</v>
      </c>
      <c r="I2978" s="66">
        <v>44959</v>
      </c>
      <c r="J2978" s="411" t="s">
        <v>7739</v>
      </c>
      <c r="K2978" s="58"/>
      <c r="L2978" s="99"/>
      <c r="M2978" s="70" t="s">
        <v>7996</v>
      </c>
      <c r="N2978" s="97" t="s">
        <v>356</v>
      </c>
      <c r="O2978" s="58" t="s">
        <v>141</v>
      </c>
      <c r="P2978" s="58" t="s">
        <v>19</v>
      </c>
      <c r="Q2978" s="58" t="s">
        <v>105</v>
      </c>
      <c r="R2978" s="58" t="s">
        <v>265</v>
      </c>
    </row>
    <row r="2979" spans="1:18" ht="69" customHeight="1">
      <c r="A2979" s="168"/>
      <c r="B2979" s="178">
        <v>8704</v>
      </c>
      <c r="C2979" s="178" t="s">
        <v>458</v>
      </c>
      <c r="D2979" s="575" t="s">
        <v>3048</v>
      </c>
      <c r="E2979" s="178" t="s">
        <v>350</v>
      </c>
      <c r="F2979" s="210" t="s">
        <v>8096</v>
      </c>
      <c r="G2979" s="58" t="s">
        <v>8097</v>
      </c>
      <c r="H2979" s="546">
        <v>2006.1</v>
      </c>
      <c r="I2979" s="66">
        <v>44959</v>
      </c>
      <c r="J2979" s="411" t="s">
        <v>7739</v>
      </c>
      <c r="K2979" s="58"/>
      <c r="L2979" s="99"/>
      <c r="M2979" s="70" t="s">
        <v>7996</v>
      </c>
      <c r="N2979" s="97" t="s">
        <v>356</v>
      </c>
      <c r="O2979" s="58" t="s">
        <v>141</v>
      </c>
      <c r="P2979" s="58" t="s">
        <v>19</v>
      </c>
      <c r="Q2979" s="58" t="s">
        <v>105</v>
      </c>
      <c r="R2979" s="58" t="s">
        <v>265</v>
      </c>
    </row>
    <row r="2980" spans="1:18" ht="69" customHeight="1">
      <c r="A2980" s="168"/>
      <c r="B2980" s="178">
        <v>8758</v>
      </c>
      <c r="C2980" s="178" t="s">
        <v>458</v>
      </c>
      <c r="D2980" s="575" t="s">
        <v>8098</v>
      </c>
      <c r="E2980" s="178" t="s">
        <v>350</v>
      </c>
      <c r="F2980" s="210" t="s">
        <v>8099</v>
      </c>
      <c r="G2980" s="58" t="s">
        <v>7741</v>
      </c>
      <c r="H2980" s="546">
        <v>6380</v>
      </c>
      <c r="I2980" s="66">
        <v>44972</v>
      </c>
      <c r="J2980" s="411" t="s">
        <v>7742</v>
      </c>
      <c r="K2980" s="58"/>
      <c r="L2980" s="99"/>
      <c r="M2980" s="70" t="s">
        <v>7996</v>
      </c>
      <c r="N2980" s="97" t="s">
        <v>356</v>
      </c>
      <c r="O2980" s="58" t="s">
        <v>141</v>
      </c>
      <c r="P2980" s="58" t="s">
        <v>19</v>
      </c>
      <c r="Q2980" s="58" t="s">
        <v>105</v>
      </c>
      <c r="R2980" s="58" t="s">
        <v>265</v>
      </c>
    </row>
    <row r="2981" spans="1:18" ht="69" customHeight="1">
      <c r="A2981" s="168"/>
      <c r="B2981" s="178">
        <v>8859</v>
      </c>
      <c r="C2981" s="178" t="s">
        <v>458</v>
      </c>
      <c r="D2981" s="575" t="s">
        <v>8100</v>
      </c>
      <c r="E2981" s="178" t="s">
        <v>350</v>
      </c>
      <c r="F2981" s="210" t="s">
        <v>8101</v>
      </c>
      <c r="G2981" s="58" t="s">
        <v>1905</v>
      </c>
      <c r="H2981" s="546">
        <v>1900</v>
      </c>
      <c r="I2981" s="66">
        <v>44985</v>
      </c>
      <c r="J2981" s="411" t="s">
        <v>8102</v>
      </c>
      <c r="K2981" s="58"/>
      <c r="L2981" s="99"/>
      <c r="M2981" s="70" t="s">
        <v>7996</v>
      </c>
      <c r="N2981" s="97" t="s">
        <v>356</v>
      </c>
      <c r="O2981" s="58" t="s">
        <v>141</v>
      </c>
      <c r="P2981" s="58" t="s">
        <v>19</v>
      </c>
      <c r="Q2981" s="58" t="s">
        <v>105</v>
      </c>
      <c r="R2981" s="58" t="s">
        <v>265</v>
      </c>
    </row>
    <row r="2982" spans="1:18" ht="69" customHeight="1">
      <c r="A2982" s="168"/>
      <c r="B2982" s="178">
        <v>8860</v>
      </c>
      <c r="C2982" s="178" t="s">
        <v>458</v>
      </c>
      <c r="D2982" s="575" t="s">
        <v>8103</v>
      </c>
      <c r="E2982" s="178" t="s">
        <v>350</v>
      </c>
      <c r="F2982" s="210" t="s">
        <v>8104</v>
      </c>
      <c r="G2982" s="58" t="s">
        <v>1905</v>
      </c>
      <c r="H2982" s="546">
        <v>2350</v>
      </c>
      <c r="I2982" s="66">
        <v>44985</v>
      </c>
      <c r="J2982" s="411" t="s">
        <v>8102</v>
      </c>
      <c r="K2982" s="58"/>
      <c r="L2982" s="99"/>
      <c r="M2982" s="70" t="s">
        <v>7996</v>
      </c>
      <c r="N2982" s="97" t="s">
        <v>356</v>
      </c>
      <c r="O2982" s="58" t="s">
        <v>141</v>
      </c>
      <c r="P2982" s="58" t="s">
        <v>19</v>
      </c>
      <c r="Q2982" s="58" t="s">
        <v>105</v>
      </c>
      <c r="R2982" s="58" t="s">
        <v>265</v>
      </c>
    </row>
    <row r="2983" spans="1:18" ht="69" customHeight="1">
      <c r="A2983" s="168"/>
      <c r="B2983" s="178">
        <v>8865</v>
      </c>
      <c r="C2983" s="178" t="s">
        <v>458</v>
      </c>
      <c r="D2983" s="575" t="s">
        <v>8105</v>
      </c>
      <c r="E2983" s="178" t="s">
        <v>350</v>
      </c>
      <c r="F2983" s="210" t="s">
        <v>8106</v>
      </c>
      <c r="G2983" s="58" t="s">
        <v>1905</v>
      </c>
      <c r="H2983" s="546">
        <v>5700</v>
      </c>
      <c r="I2983" s="66">
        <v>44985</v>
      </c>
      <c r="J2983" s="411" t="s">
        <v>8107</v>
      </c>
      <c r="K2983" s="58"/>
      <c r="L2983" s="99"/>
      <c r="M2983" s="70" t="s">
        <v>7996</v>
      </c>
      <c r="N2983" s="97" t="s">
        <v>356</v>
      </c>
      <c r="O2983" s="58" t="s">
        <v>141</v>
      </c>
      <c r="P2983" s="58" t="s">
        <v>19</v>
      </c>
      <c r="Q2983" s="58" t="s">
        <v>105</v>
      </c>
      <c r="R2983" s="58" t="s">
        <v>265</v>
      </c>
    </row>
    <row r="2984" spans="1:18" ht="69" customHeight="1">
      <c r="A2984" s="168"/>
      <c r="B2984" s="178">
        <v>8877</v>
      </c>
      <c r="C2984" s="178" t="s">
        <v>458</v>
      </c>
      <c r="D2984" s="575" t="s">
        <v>4974</v>
      </c>
      <c r="E2984" s="178" t="s">
        <v>350</v>
      </c>
      <c r="F2984" s="210" t="s">
        <v>8108</v>
      </c>
      <c r="G2984" s="58" t="s">
        <v>1905</v>
      </c>
      <c r="H2984" s="546">
        <v>5700</v>
      </c>
      <c r="I2984" s="66">
        <v>44988</v>
      </c>
      <c r="J2984" s="411" t="s">
        <v>7784</v>
      </c>
      <c r="K2984" s="58"/>
      <c r="L2984" s="99"/>
      <c r="M2984" s="70" t="s">
        <v>7996</v>
      </c>
      <c r="N2984" s="97" t="s">
        <v>356</v>
      </c>
      <c r="O2984" s="58" t="s">
        <v>141</v>
      </c>
      <c r="P2984" s="58" t="s">
        <v>19</v>
      </c>
      <c r="Q2984" s="58" t="s">
        <v>105</v>
      </c>
      <c r="R2984" s="58" t="s">
        <v>265</v>
      </c>
    </row>
    <row r="2985" spans="1:18" ht="69" customHeight="1">
      <c r="A2985" s="168"/>
      <c r="B2985" s="178">
        <v>8878</v>
      </c>
      <c r="C2985" s="178" t="s">
        <v>458</v>
      </c>
      <c r="D2985" s="575" t="s">
        <v>825</v>
      </c>
      <c r="E2985" s="178" t="s">
        <v>350</v>
      </c>
      <c r="F2985" s="210" t="s">
        <v>8109</v>
      </c>
      <c r="G2985" s="58" t="s">
        <v>1905</v>
      </c>
      <c r="H2985" s="546">
        <v>5700</v>
      </c>
      <c r="I2985" s="66">
        <v>44988</v>
      </c>
      <c r="J2985" s="411" t="s">
        <v>7784</v>
      </c>
      <c r="K2985" s="58"/>
      <c r="L2985" s="99"/>
      <c r="M2985" s="70" t="s">
        <v>7996</v>
      </c>
      <c r="N2985" s="97" t="s">
        <v>356</v>
      </c>
      <c r="O2985" s="58" t="s">
        <v>141</v>
      </c>
      <c r="P2985" s="58" t="s">
        <v>19</v>
      </c>
      <c r="Q2985" s="58" t="s">
        <v>105</v>
      </c>
      <c r="R2985" s="58" t="s">
        <v>265</v>
      </c>
    </row>
    <row r="2986" spans="1:18" ht="69" customHeight="1">
      <c r="A2986" s="168"/>
      <c r="B2986" s="178">
        <v>8879</v>
      </c>
      <c r="C2986" s="178" t="s">
        <v>458</v>
      </c>
      <c r="D2986" s="575" t="s">
        <v>6140</v>
      </c>
      <c r="E2986" s="178" t="s">
        <v>350</v>
      </c>
      <c r="F2986" s="210" t="s">
        <v>8110</v>
      </c>
      <c r="G2986" s="58" t="s">
        <v>1905</v>
      </c>
      <c r="H2986" s="546">
        <v>2850</v>
      </c>
      <c r="I2986" s="66">
        <v>44988</v>
      </c>
      <c r="J2986" s="411" t="s">
        <v>7784</v>
      </c>
      <c r="K2986" s="58"/>
      <c r="L2986" s="99"/>
      <c r="M2986" s="70" t="s">
        <v>7996</v>
      </c>
      <c r="N2986" s="97" t="s">
        <v>356</v>
      </c>
      <c r="O2986" s="58" t="s">
        <v>141</v>
      </c>
      <c r="P2986" s="58" t="s">
        <v>19</v>
      </c>
      <c r="Q2986" s="58" t="s">
        <v>105</v>
      </c>
      <c r="R2986" s="58" t="s">
        <v>265</v>
      </c>
    </row>
    <row r="2987" spans="1:18" ht="69" customHeight="1">
      <c r="A2987" s="168"/>
      <c r="B2987" s="178">
        <v>8900</v>
      </c>
      <c r="C2987" s="178" t="s">
        <v>458</v>
      </c>
      <c r="D2987" s="575" t="s">
        <v>3234</v>
      </c>
      <c r="E2987" s="178" t="s">
        <v>350</v>
      </c>
      <c r="F2987" s="210" t="s">
        <v>8111</v>
      </c>
      <c r="G2987" s="58" t="s">
        <v>1905</v>
      </c>
      <c r="H2987" s="546">
        <v>2850</v>
      </c>
      <c r="I2987" s="66">
        <v>44988</v>
      </c>
      <c r="J2987" s="411" t="s">
        <v>7786</v>
      </c>
      <c r="K2987" s="58"/>
      <c r="L2987" s="99"/>
      <c r="M2987" s="70" t="s">
        <v>7996</v>
      </c>
      <c r="N2987" s="97" t="s">
        <v>356</v>
      </c>
      <c r="O2987" s="58" t="s">
        <v>141</v>
      </c>
      <c r="P2987" s="58" t="s">
        <v>19</v>
      </c>
      <c r="Q2987" s="58" t="s">
        <v>105</v>
      </c>
      <c r="R2987" s="58" t="s">
        <v>265</v>
      </c>
    </row>
    <row r="2988" spans="1:18" ht="69" customHeight="1">
      <c r="A2988" s="168"/>
      <c r="B2988" s="178">
        <v>8919</v>
      </c>
      <c r="C2988" s="178" t="s">
        <v>458</v>
      </c>
      <c r="D2988" s="575" t="s">
        <v>8112</v>
      </c>
      <c r="E2988" s="178" t="s">
        <v>350</v>
      </c>
      <c r="F2988" s="210" t="s">
        <v>8113</v>
      </c>
      <c r="G2988" s="58" t="s">
        <v>1905</v>
      </c>
      <c r="H2988" s="546">
        <v>2850</v>
      </c>
      <c r="I2988" s="66">
        <v>44989</v>
      </c>
      <c r="J2988" s="411" t="s">
        <v>8114</v>
      </c>
      <c r="K2988" s="58"/>
      <c r="L2988" s="99"/>
      <c r="M2988" s="70" t="s">
        <v>7996</v>
      </c>
      <c r="N2988" s="97" t="s">
        <v>356</v>
      </c>
      <c r="O2988" s="58" t="s">
        <v>141</v>
      </c>
      <c r="P2988" s="58" t="s">
        <v>19</v>
      </c>
      <c r="Q2988" s="58" t="s">
        <v>105</v>
      </c>
      <c r="R2988" s="58" t="s">
        <v>265</v>
      </c>
    </row>
    <row r="2989" spans="1:18" ht="69" customHeight="1">
      <c r="A2989" s="168"/>
      <c r="B2989" s="178">
        <v>8840</v>
      </c>
      <c r="C2989" s="178" t="s">
        <v>8057</v>
      </c>
      <c r="D2989" s="575" t="s">
        <v>3056</v>
      </c>
      <c r="E2989" s="178" t="s">
        <v>809</v>
      </c>
      <c r="F2989" s="210" t="s">
        <v>8115</v>
      </c>
      <c r="G2989" s="58" t="s">
        <v>845</v>
      </c>
      <c r="H2989" s="546">
        <v>17200</v>
      </c>
      <c r="I2989" s="66">
        <v>44948</v>
      </c>
      <c r="J2989" s="411" t="s">
        <v>846</v>
      </c>
      <c r="K2989" s="58"/>
      <c r="L2989" s="99"/>
      <c r="M2989" s="70" t="s">
        <v>8059</v>
      </c>
      <c r="N2989" s="97" t="s">
        <v>814</v>
      </c>
      <c r="O2989" s="58"/>
      <c r="P2989" s="58" t="s">
        <v>36</v>
      </c>
      <c r="Q2989" s="58" t="s">
        <v>105</v>
      </c>
      <c r="R2989" s="58" t="s">
        <v>272</v>
      </c>
    </row>
    <row r="2990" spans="1:18" ht="69" customHeight="1">
      <c r="A2990" s="168"/>
      <c r="B2990" s="178">
        <v>9007</v>
      </c>
      <c r="C2990" s="178" t="s">
        <v>8057</v>
      </c>
      <c r="D2990" s="575" t="s">
        <v>2365</v>
      </c>
      <c r="E2990" s="178" t="s">
        <v>809</v>
      </c>
      <c r="F2990" s="210" t="s">
        <v>8116</v>
      </c>
      <c r="G2990" s="58" t="s">
        <v>863</v>
      </c>
      <c r="H2990" s="546">
        <v>20885.96</v>
      </c>
      <c r="I2990" s="66" t="s">
        <v>96</v>
      </c>
      <c r="J2990" s="411" t="s">
        <v>864</v>
      </c>
      <c r="K2990" s="58"/>
      <c r="L2990" s="99"/>
      <c r="M2990" s="70" t="s">
        <v>8059</v>
      </c>
      <c r="N2990" s="97" t="s">
        <v>814</v>
      </c>
      <c r="O2990" s="58"/>
      <c r="P2990" s="58" t="s">
        <v>36</v>
      </c>
      <c r="Q2990" s="58" t="s">
        <v>105</v>
      </c>
      <c r="R2990" s="58" t="s">
        <v>272</v>
      </c>
    </row>
    <row r="2991" spans="1:18" ht="69" customHeight="1">
      <c r="A2991" s="168"/>
      <c r="B2991" s="178">
        <v>9458</v>
      </c>
      <c r="C2991" s="178" t="s">
        <v>8057</v>
      </c>
      <c r="D2991" s="575" t="s">
        <v>8117</v>
      </c>
      <c r="E2991" s="178" t="s">
        <v>755</v>
      </c>
      <c r="F2991" s="210" t="s">
        <v>8118</v>
      </c>
      <c r="G2991" s="58" t="s">
        <v>8119</v>
      </c>
      <c r="H2991" s="546">
        <v>86504.98</v>
      </c>
      <c r="I2991" s="66">
        <v>45014</v>
      </c>
      <c r="J2991" s="411" t="s">
        <v>8120</v>
      </c>
      <c r="K2991" s="58"/>
      <c r="L2991" s="99"/>
      <c r="M2991" s="70" t="s">
        <v>8051</v>
      </c>
      <c r="N2991" s="97" t="s">
        <v>716</v>
      </c>
      <c r="O2991" s="58" t="s">
        <v>203</v>
      </c>
      <c r="P2991" s="58" t="s">
        <v>57</v>
      </c>
      <c r="Q2991" s="58" t="s">
        <v>105</v>
      </c>
      <c r="R2991" s="58" t="s">
        <v>272</v>
      </c>
    </row>
    <row r="2992" spans="1:18" ht="69" customHeight="1">
      <c r="A2992" s="168"/>
      <c r="B2992" s="178">
        <v>9729</v>
      </c>
      <c r="C2992" s="178" t="s">
        <v>8057</v>
      </c>
      <c r="D2992" s="575" t="s">
        <v>8121</v>
      </c>
      <c r="E2992" s="178" t="s">
        <v>755</v>
      </c>
      <c r="F2992" s="210" t="s">
        <v>8122</v>
      </c>
      <c r="G2992" s="58" t="s">
        <v>8123</v>
      </c>
      <c r="H2992" s="546">
        <v>1464668.25</v>
      </c>
      <c r="I2992" s="66">
        <v>45041</v>
      </c>
      <c r="J2992" s="411" t="s">
        <v>8124</v>
      </c>
      <c r="K2992" s="58"/>
      <c r="L2992" s="99"/>
      <c r="M2992" s="70" t="s">
        <v>8051</v>
      </c>
      <c r="N2992" s="97" t="s">
        <v>716</v>
      </c>
      <c r="O2992" s="58"/>
      <c r="P2992" s="58" t="s">
        <v>28</v>
      </c>
      <c r="Q2992" s="58" t="s">
        <v>105</v>
      </c>
      <c r="R2992" s="58" t="s">
        <v>272</v>
      </c>
    </row>
    <row r="2993" spans="1:18" ht="69" customHeight="1">
      <c r="A2993" s="168"/>
      <c r="B2993" s="178">
        <v>9708</v>
      </c>
      <c r="C2993" s="178" t="s">
        <v>8057</v>
      </c>
      <c r="D2993" s="575" t="s">
        <v>5055</v>
      </c>
      <c r="E2993" s="178" t="s">
        <v>809</v>
      </c>
      <c r="F2993" s="210" t="s">
        <v>8116</v>
      </c>
      <c r="G2993" s="58" t="s">
        <v>874</v>
      </c>
      <c r="H2993" s="546">
        <v>22114.04</v>
      </c>
      <c r="I2993" s="66" t="s">
        <v>96</v>
      </c>
      <c r="J2993" s="411" t="s">
        <v>875</v>
      </c>
      <c r="K2993" s="58"/>
      <c r="L2993" s="99"/>
      <c r="M2993" s="70" t="s">
        <v>8059</v>
      </c>
      <c r="N2993" s="97" t="s">
        <v>814</v>
      </c>
      <c r="O2993" s="58"/>
      <c r="P2993" s="58" t="s">
        <v>36</v>
      </c>
      <c r="Q2993" s="58" t="s">
        <v>105</v>
      </c>
      <c r="R2993" s="58" t="s">
        <v>272</v>
      </c>
    </row>
    <row r="2994" spans="1:18" ht="69" customHeight="1">
      <c r="A2994" s="168"/>
      <c r="B2994" s="178">
        <v>9832</v>
      </c>
      <c r="C2994" s="178" t="s">
        <v>458</v>
      </c>
      <c r="D2994" s="575" t="s">
        <v>2866</v>
      </c>
      <c r="E2994" s="178" t="s">
        <v>358</v>
      </c>
      <c r="F2994" s="210" t="s">
        <v>8125</v>
      </c>
      <c r="G2994" s="58" t="s">
        <v>8126</v>
      </c>
      <c r="H2994" s="546">
        <v>300000</v>
      </c>
      <c r="I2994" s="66">
        <v>45041</v>
      </c>
      <c r="J2994" s="411" t="s">
        <v>4713</v>
      </c>
      <c r="K2994" s="58"/>
      <c r="L2994" s="99"/>
      <c r="M2994" s="70" t="s">
        <v>7999</v>
      </c>
      <c r="N2994" s="97" t="s">
        <v>356</v>
      </c>
      <c r="O2994" s="58" t="s">
        <v>141</v>
      </c>
      <c r="P2994" s="58" t="s">
        <v>19</v>
      </c>
      <c r="Q2994" s="58" t="s">
        <v>105</v>
      </c>
      <c r="R2994" s="58" t="s">
        <v>272</v>
      </c>
    </row>
    <row r="2995" spans="1:18" ht="69" customHeight="1">
      <c r="A2995" s="168"/>
      <c r="B2995" s="178">
        <v>2084</v>
      </c>
      <c r="C2995" s="178" t="s">
        <v>309</v>
      </c>
      <c r="D2995" s="575" t="s">
        <v>405</v>
      </c>
      <c r="E2995" s="178" t="s">
        <v>266</v>
      </c>
      <c r="F2995" s="210" t="s">
        <v>8127</v>
      </c>
      <c r="G2995" s="58"/>
      <c r="H2995" s="546">
        <v>7060</v>
      </c>
      <c r="I2995" s="66">
        <v>44454</v>
      </c>
      <c r="J2995" s="411" t="s">
        <v>8128</v>
      </c>
      <c r="K2995" s="58"/>
      <c r="L2995" s="99"/>
      <c r="M2995" s="70" t="s">
        <v>8129</v>
      </c>
      <c r="N2995" s="97" t="s">
        <v>270</v>
      </c>
      <c r="O2995" s="58"/>
      <c r="P2995" s="58" t="s">
        <v>44</v>
      </c>
      <c r="Q2995" s="58" t="s">
        <v>106</v>
      </c>
      <c r="R2995" s="58" t="s">
        <v>272</v>
      </c>
    </row>
    <row r="2996" spans="1:18" ht="69" customHeight="1">
      <c r="A2996" s="168"/>
      <c r="B2996" s="178">
        <v>2565</v>
      </c>
      <c r="C2996" s="178" t="s">
        <v>657</v>
      </c>
      <c r="D2996" s="575"/>
      <c r="E2996" s="178" t="s">
        <v>260</v>
      </c>
      <c r="F2996" s="210" t="s">
        <v>8130</v>
      </c>
      <c r="G2996" s="58"/>
      <c r="H2996" s="546">
        <v>0</v>
      </c>
      <c r="I2996" s="66" t="s">
        <v>96</v>
      </c>
      <c r="J2996" s="411" t="s">
        <v>8131</v>
      </c>
      <c r="K2996" s="58" t="s">
        <v>8132</v>
      </c>
      <c r="L2996" s="99"/>
      <c r="M2996" s="70" t="s">
        <v>8133</v>
      </c>
      <c r="N2996" s="97" t="s">
        <v>264</v>
      </c>
      <c r="O2996" s="58" t="s">
        <v>141</v>
      </c>
      <c r="P2996" s="58" t="s">
        <v>17</v>
      </c>
      <c r="Q2996" s="58" t="s">
        <v>106</v>
      </c>
      <c r="R2996" s="58" t="s">
        <v>265</v>
      </c>
    </row>
    <row r="2997" spans="1:18" ht="69" customHeight="1">
      <c r="A2997" s="168"/>
      <c r="B2997" s="178">
        <v>2566</v>
      </c>
      <c r="C2997" s="178" t="s">
        <v>657</v>
      </c>
      <c r="D2997" s="575"/>
      <c r="E2997" s="178" t="s">
        <v>260</v>
      </c>
      <c r="F2997" s="210" t="s">
        <v>8130</v>
      </c>
      <c r="G2997" s="58"/>
      <c r="H2997" s="546">
        <v>0</v>
      </c>
      <c r="I2997" s="66" t="s">
        <v>96</v>
      </c>
      <c r="J2997" s="411" t="s">
        <v>8134</v>
      </c>
      <c r="K2997" s="58" t="s">
        <v>8132</v>
      </c>
      <c r="L2997" s="99"/>
      <c r="M2997" s="70" t="s">
        <v>8133</v>
      </c>
      <c r="N2997" s="97" t="s">
        <v>264</v>
      </c>
      <c r="O2997" s="58" t="s">
        <v>141</v>
      </c>
      <c r="P2997" s="58" t="s">
        <v>17</v>
      </c>
      <c r="Q2997" s="58" t="s">
        <v>106</v>
      </c>
      <c r="R2997" s="58" t="s">
        <v>265</v>
      </c>
    </row>
    <row r="2998" spans="1:18" ht="69" customHeight="1">
      <c r="A2998" s="168"/>
      <c r="B2998" s="178" t="s">
        <v>8135</v>
      </c>
      <c r="C2998" s="178" t="s">
        <v>657</v>
      </c>
      <c r="D2998" s="575"/>
      <c r="E2998" s="178" t="s">
        <v>260</v>
      </c>
      <c r="F2998" s="210" t="s">
        <v>8136</v>
      </c>
      <c r="G2998" s="58" t="s">
        <v>7080</v>
      </c>
      <c r="H2998" s="546">
        <v>2747</v>
      </c>
      <c r="I2998" s="66" t="s">
        <v>96</v>
      </c>
      <c r="J2998" s="411" t="s">
        <v>7081</v>
      </c>
      <c r="K2998" s="58" t="s">
        <v>8132</v>
      </c>
      <c r="L2998" s="99"/>
      <c r="M2998" s="70" t="s">
        <v>8133</v>
      </c>
      <c r="N2998" s="97" t="s">
        <v>264</v>
      </c>
      <c r="O2998" s="58" t="s">
        <v>141</v>
      </c>
      <c r="P2998" s="58" t="s">
        <v>17</v>
      </c>
      <c r="Q2998" s="58" t="s">
        <v>106</v>
      </c>
      <c r="R2998" s="58" t="s">
        <v>265</v>
      </c>
    </row>
    <row r="2999" spans="1:18" ht="69" customHeight="1">
      <c r="A2999" s="168"/>
      <c r="B2999" s="178" t="s">
        <v>8137</v>
      </c>
      <c r="C2999" s="178" t="s">
        <v>657</v>
      </c>
      <c r="D2999" s="575"/>
      <c r="E2999" s="178" t="s">
        <v>260</v>
      </c>
      <c r="F2999" s="210" t="s">
        <v>8138</v>
      </c>
      <c r="G2999" s="58" t="s">
        <v>7080</v>
      </c>
      <c r="H2999" s="546">
        <v>55452.35</v>
      </c>
      <c r="I2999" s="66" t="s">
        <v>96</v>
      </c>
      <c r="J2999" s="411" t="s">
        <v>7081</v>
      </c>
      <c r="K2999" s="58" t="s">
        <v>8132</v>
      </c>
      <c r="L2999" s="99"/>
      <c r="M2999" s="70" t="s">
        <v>8133</v>
      </c>
      <c r="N2999" s="97" t="s">
        <v>264</v>
      </c>
      <c r="O2999" s="58" t="s">
        <v>141</v>
      </c>
      <c r="P2999" s="58" t="s">
        <v>17</v>
      </c>
      <c r="Q2999" s="58" t="s">
        <v>106</v>
      </c>
      <c r="R2999" s="58" t="s">
        <v>265</v>
      </c>
    </row>
    <row r="3000" spans="1:18" ht="69" customHeight="1">
      <c r="A3000" s="168"/>
      <c r="B3000" s="178" t="s">
        <v>8139</v>
      </c>
      <c r="C3000" s="178" t="s">
        <v>657</v>
      </c>
      <c r="D3000" s="575"/>
      <c r="E3000" s="178" t="s">
        <v>260</v>
      </c>
      <c r="F3000" s="210" t="s">
        <v>8140</v>
      </c>
      <c r="G3000" s="58" t="s">
        <v>7080</v>
      </c>
      <c r="H3000" s="546">
        <v>101359.8</v>
      </c>
      <c r="I3000" s="66" t="s">
        <v>96</v>
      </c>
      <c r="J3000" s="411" t="s">
        <v>7081</v>
      </c>
      <c r="K3000" s="58" t="s">
        <v>8132</v>
      </c>
      <c r="L3000" s="99"/>
      <c r="M3000" s="70" t="s">
        <v>8133</v>
      </c>
      <c r="N3000" s="97" t="s">
        <v>264</v>
      </c>
      <c r="O3000" s="58" t="s">
        <v>141</v>
      </c>
      <c r="P3000" s="58" t="s">
        <v>17</v>
      </c>
      <c r="Q3000" s="58" t="s">
        <v>106</v>
      </c>
      <c r="R3000" s="58" t="s">
        <v>265</v>
      </c>
    </row>
    <row r="3001" spans="1:18" ht="69" customHeight="1">
      <c r="A3001" s="168"/>
      <c r="B3001" s="178" t="s">
        <v>8141</v>
      </c>
      <c r="C3001" s="178" t="s">
        <v>657</v>
      </c>
      <c r="D3001" s="575"/>
      <c r="E3001" s="178" t="s">
        <v>260</v>
      </c>
      <c r="F3001" s="210" t="s">
        <v>8142</v>
      </c>
      <c r="G3001" s="58" t="s">
        <v>7080</v>
      </c>
      <c r="H3001" s="546">
        <v>50000</v>
      </c>
      <c r="I3001" s="66" t="s">
        <v>96</v>
      </c>
      <c r="J3001" s="411" t="s">
        <v>7081</v>
      </c>
      <c r="K3001" s="58" t="s">
        <v>8132</v>
      </c>
      <c r="L3001" s="99"/>
      <c r="M3001" s="70" t="s">
        <v>8133</v>
      </c>
      <c r="N3001" s="97" t="s">
        <v>264</v>
      </c>
      <c r="O3001" s="58" t="s">
        <v>141</v>
      </c>
      <c r="P3001" s="58" t="s">
        <v>17</v>
      </c>
      <c r="Q3001" s="58" t="s">
        <v>106</v>
      </c>
      <c r="R3001" s="58" t="s">
        <v>265</v>
      </c>
    </row>
    <row r="3002" spans="1:18" ht="69" customHeight="1">
      <c r="A3002" s="168"/>
      <c r="B3002" s="178" t="s">
        <v>8143</v>
      </c>
      <c r="C3002" s="178" t="s">
        <v>657</v>
      </c>
      <c r="D3002" s="575"/>
      <c r="E3002" s="178" t="s">
        <v>260</v>
      </c>
      <c r="F3002" s="210" t="s">
        <v>8144</v>
      </c>
      <c r="G3002" s="58" t="s">
        <v>7080</v>
      </c>
      <c r="H3002" s="546">
        <v>426.1</v>
      </c>
      <c r="I3002" s="66" t="s">
        <v>96</v>
      </c>
      <c r="J3002" s="411" t="s">
        <v>7081</v>
      </c>
      <c r="K3002" s="58" t="s">
        <v>8132</v>
      </c>
      <c r="L3002" s="99"/>
      <c r="M3002" s="70" t="s">
        <v>8133</v>
      </c>
      <c r="N3002" s="97" t="s">
        <v>264</v>
      </c>
      <c r="O3002" s="58" t="s">
        <v>141</v>
      </c>
      <c r="P3002" s="58" t="s">
        <v>17</v>
      </c>
      <c r="Q3002" s="58" t="s">
        <v>106</v>
      </c>
      <c r="R3002" s="58" t="s">
        <v>265</v>
      </c>
    </row>
    <row r="3003" spans="1:18" ht="69" customHeight="1">
      <c r="A3003" s="168"/>
      <c r="B3003" s="178" t="s">
        <v>8145</v>
      </c>
      <c r="C3003" s="178" t="s">
        <v>657</v>
      </c>
      <c r="D3003" s="575"/>
      <c r="E3003" s="178" t="s">
        <v>260</v>
      </c>
      <c r="F3003" s="210" t="s">
        <v>8146</v>
      </c>
      <c r="G3003" s="58" t="s">
        <v>7080</v>
      </c>
      <c r="H3003" s="546">
        <v>5403.15</v>
      </c>
      <c r="I3003" s="66" t="s">
        <v>96</v>
      </c>
      <c r="J3003" s="411" t="s">
        <v>7081</v>
      </c>
      <c r="K3003" s="58" t="s">
        <v>8132</v>
      </c>
      <c r="L3003" s="99"/>
      <c r="M3003" s="70" t="s">
        <v>8133</v>
      </c>
      <c r="N3003" s="97" t="s">
        <v>264</v>
      </c>
      <c r="O3003" s="58" t="s">
        <v>141</v>
      </c>
      <c r="P3003" s="58" t="s">
        <v>17</v>
      </c>
      <c r="Q3003" s="58" t="s">
        <v>106</v>
      </c>
      <c r="R3003" s="58" t="s">
        <v>265</v>
      </c>
    </row>
    <row r="3004" spans="1:18" ht="69" customHeight="1">
      <c r="A3004" s="168"/>
      <c r="B3004" s="178" t="s">
        <v>8147</v>
      </c>
      <c r="C3004" s="178" t="s">
        <v>657</v>
      </c>
      <c r="D3004" s="575"/>
      <c r="E3004" s="178" t="s">
        <v>260</v>
      </c>
      <c r="F3004" s="210" t="s">
        <v>8148</v>
      </c>
      <c r="G3004" s="58" t="s">
        <v>7080</v>
      </c>
      <c r="H3004" s="546">
        <v>1200</v>
      </c>
      <c r="I3004" s="66" t="s">
        <v>96</v>
      </c>
      <c r="J3004" s="411" t="s">
        <v>7081</v>
      </c>
      <c r="K3004" s="58" t="s">
        <v>8132</v>
      </c>
      <c r="L3004" s="99"/>
      <c r="M3004" s="70" t="s">
        <v>8133</v>
      </c>
      <c r="N3004" s="97" t="s">
        <v>264</v>
      </c>
      <c r="O3004" s="58" t="s">
        <v>141</v>
      </c>
      <c r="P3004" s="58" t="s">
        <v>17</v>
      </c>
      <c r="Q3004" s="58" t="s">
        <v>106</v>
      </c>
      <c r="R3004" s="58" t="s">
        <v>265</v>
      </c>
    </row>
    <row r="3005" spans="1:18" ht="69" customHeight="1">
      <c r="A3005" s="168"/>
      <c r="B3005" s="178" t="s">
        <v>8149</v>
      </c>
      <c r="C3005" s="178" t="s">
        <v>657</v>
      </c>
      <c r="D3005" s="575"/>
      <c r="E3005" s="178" t="s">
        <v>260</v>
      </c>
      <c r="F3005" s="210" t="s">
        <v>8150</v>
      </c>
      <c r="G3005" s="58" t="s">
        <v>7080</v>
      </c>
      <c r="H3005" s="546">
        <v>1039.77</v>
      </c>
      <c r="I3005" s="66" t="s">
        <v>96</v>
      </c>
      <c r="J3005" s="411" t="s">
        <v>7081</v>
      </c>
      <c r="K3005" s="58" t="s">
        <v>8132</v>
      </c>
      <c r="L3005" s="99"/>
      <c r="M3005" s="70" t="s">
        <v>8133</v>
      </c>
      <c r="N3005" s="97" t="s">
        <v>264</v>
      </c>
      <c r="O3005" s="58" t="s">
        <v>141</v>
      </c>
      <c r="P3005" s="58" t="s">
        <v>17</v>
      </c>
      <c r="Q3005" s="58" t="s">
        <v>106</v>
      </c>
      <c r="R3005" s="58" t="s">
        <v>265</v>
      </c>
    </row>
    <row r="3006" spans="1:18" ht="69" customHeight="1">
      <c r="A3006" s="168"/>
      <c r="B3006" s="178" t="s">
        <v>8151</v>
      </c>
      <c r="C3006" s="178" t="s">
        <v>657</v>
      </c>
      <c r="D3006" s="575"/>
      <c r="E3006" s="178" t="s">
        <v>260</v>
      </c>
      <c r="F3006" s="210" t="s">
        <v>8152</v>
      </c>
      <c r="G3006" s="58" t="s">
        <v>7080</v>
      </c>
      <c r="H3006" s="546">
        <v>1470</v>
      </c>
      <c r="I3006" s="66" t="s">
        <v>96</v>
      </c>
      <c r="J3006" s="411" t="s">
        <v>7081</v>
      </c>
      <c r="K3006" s="58" t="s">
        <v>8132</v>
      </c>
      <c r="L3006" s="99"/>
      <c r="M3006" s="70" t="s">
        <v>8133</v>
      </c>
      <c r="N3006" s="97" t="s">
        <v>264</v>
      </c>
      <c r="O3006" s="58" t="s">
        <v>141</v>
      </c>
      <c r="P3006" s="58" t="s">
        <v>17</v>
      </c>
      <c r="Q3006" s="58" t="s">
        <v>106</v>
      </c>
      <c r="R3006" s="58" t="s">
        <v>265</v>
      </c>
    </row>
    <row r="3007" spans="1:18" ht="69" customHeight="1">
      <c r="A3007" s="168"/>
      <c r="B3007" s="178" t="s">
        <v>8153</v>
      </c>
      <c r="C3007" s="178" t="s">
        <v>657</v>
      </c>
      <c r="D3007" s="575"/>
      <c r="E3007" s="178" t="s">
        <v>260</v>
      </c>
      <c r="F3007" s="210" t="s">
        <v>8154</v>
      </c>
      <c r="G3007" s="58" t="s">
        <v>7080</v>
      </c>
      <c r="H3007" s="546">
        <v>73.47</v>
      </c>
      <c r="I3007" s="66" t="s">
        <v>96</v>
      </c>
      <c r="J3007" s="411" t="s">
        <v>7081</v>
      </c>
      <c r="K3007" s="58" t="s">
        <v>8132</v>
      </c>
      <c r="L3007" s="99"/>
      <c r="M3007" s="70" t="s">
        <v>8133</v>
      </c>
      <c r="N3007" s="97" t="s">
        <v>264</v>
      </c>
      <c r="O3007" s="58" t="s">
        <v>141</v>
      </c>
      <c r="P3007" s="58" t="s">
        <v>17</v>
      </c>
      <c r="Q3007" s="58" t="s">
        <v>106</v>
      </c>
      <c r="R3007" s="58" t="s">
        <v>265</v>
      </c>
    </row>
    <row r="3008" spans="1:18" ht="69" customHeight="1">
      <c r="A3008" s="168"/>
      <c r="B3008" s="178" t="s">
        <v>8155</v>
      </c>
      <c r="C3008" s="178" t="s">
        <v>657</v>
      </c>
      <c r="D3008" s="575"/>
      <c r="E3008" s="178" t="s">
        <v>260</v>
      </c>
      <c r="F3008" s="210" t="s">
        <v>8156</v>
      </c>
      <c r="G3008" s="58" t="s">
        <v>7080</v>
      </c>
      <c r="H3008" s="546">
        <v>13503</v>
      </c>
      <c r="I3008" s="66" t="s">
        <v>96</v>
      </c>
      <c r="J3008" s="411" t="s">
        <v>7081</v>
      </c>
      <c r="K3008" s="58" t="s">
        <v>8132</v>
      </c>
      <c r="L3008" s="99"/>
      <c r="M3008" s="70" t="s">
        <v>8133</v>
      </c>
      <c r="N3008" s="97" t="s">
        <v>264</v>
      </c>
      <c r="O3008" s="58" t="s">
        <v>141</v>
      </c>
      <c r="P3008" s="58" t="s">
        <v>17</v>
      </c>
      <c r="Q3008" s="58" t="s">
        <v>106</v>
      </c>
      <c r="R3008" s="58" t="s">
        <v>265</v>
      </c>
    </row>
    <row r="3009" spans="1:18" ht="69" customHeight="1">
      <c r="A3009" s="168"/>
      <c r="B3009" s="178" t="s">
        <v>8157</v>
      </c>
      <c r="C3009" s="178" t="s">
        <v>657</v>
      </c>
      <c r="D3009" s="575"/>
      <c r="E3009" s="178" t="s">
        <v>260</v>
      </c>
      <c r="F3009" s="210" t="s">
        <v>8158</v>
      </c>
      <c r="G3009" s="58" t="s">
        <v>7080</v>
      </c>
      <c r="H3009" s="546">
        <v>1000</v>
      </c>
      <c r="I3009" s="66" t="s">
        <v>96</v>
      </c>
      <c r="J3009" s="411" t="s">
        <v>7081</v>
      </c>
      <c r="K3009" s="58" t="s">
        <v>8132</v>
      </c>
      <c r="L3009" s="99"/>
      <c r="M3009" s="70" t="s">
        <v>8133</v>
      </c>
      <c r="N3009" s="97" t="s">
        <v>264</v>
      </c>
      <c r="O3009" s="58" t="s">
        <v>141</v>
      </c>
      <c r="P3009" s="58" t="s">
        <v>17</v>
      </c>
      <c r="Q3009" s="58" t="s">
        <v>106</v>
      </c>
      <c r="R3009" s="58" t="s">
        <v>265</v>
      </c>
    </row>
    <row r="3010" spans="1:18" ht="69" customHeight="1">
      <c r="A3010" s="168"/>
      <c r="B3010" s="178" t="s">
        <v>8159</v>
      </c>
      <c r="C3010" s="178" t="s">
        <v>657</v>
      </c>
      <c r="D3010" s="575"/>
      <c r="E3010" s="178" t="s">
        <v>260</v>
      </c>
      <c r="F3010" s="210" t="s">
        <v>8160</v>
      </c>
      <c r="G3010" s="58" t="s">
        <v>7080</v>
      </c>
      <c r="H3010" s="546">
        <v>19050.93</v>
      </c>
      <c r="I3010" s="66" t="s">
        <v>96</v>
      </c>
      <c r="J3010" s="411" t="s">
        <v>7081</v>
      </c>
      <c r="K3010" s="58" t="s">
        <v>8132</v>
      </c>
      <c r="L3010" s="99"/>
      <c r="M3010" s="70" t="s">
        <v>8133</v>
      </c>
      <c r="N3010" s="97" t="s">
        <v>264</v>
      </c>
      <c r="O3010" s="58" t="s">
        <v>141</v>
      </c>
      <c r="P3010" s="58" t="s">
        <v>17</v>
      </c>
      <c r="Q3010" s="58" t="s">
        <v>106</v>
      </c>
      <c r="R3010" s="58" t="s">
        <v>265</v>
      </c>
    </row>
    <row r="3011" spans="1:18" ht="69" customHeight="1">
      <c r="A3011" s="168"/>
      <c r="B3011" s="178" t="s">
        <v>8161</v>
      </c>
      <c r="C3011" s="178" t="s">
        <v>657</v>
      </c>
      <c r="D3011" s="575"/>
      <c r="E3011" s="178" t="s">
        <v>260</v>
      </c>
      <c r="F3011" s="210" t="s">
        <v>8162</v>
      </c>
      <c r="G3011" s="58" t="s">
        <v>7080</v>
      </c>
      <c r="H3011" s="546">
        <v>7905</v>
      </c>
      <c r="I3011" s="66" t="s">
        <v>96</v>
      </c>
      <c r="J3011" s="411" t="s">
        <v>7081</v>
      </c>
      <c r="K3011" s="58" t="s">
        <v>8132</v>
      </c>
      <c r="L3011" s="99"/>
      <c r="M3011" s="70" t="s">
        <v>8133</v>
      </c>
      <c r="N3011" s="97" t="s">
        <v>264</v>
      </c>
      <c r="O3011" s="58" t="s">
        <v>141</v>
      </c>
      <c r="P3011" s="58" t="s">
        <v>17</v>
      </c>
      <c r="Q3011" s="58" t="s">
        <v>106</v>
      </c>
      <c r="R3011" s="58" t="s">
        <v>265</v>
      </c>
    </row>
    <row r="3012" spans="1:18" ht="69" customHeight="1">
      <c r="A3012" s="168"/>
      <c r="B3012" s="178">
        <v>2649</v>
      </c>
      <c r="C3012" s="178" t="s">
        <v>657</v>
      </c>
      <c r="D3012" s="575"/>
      <c r="E3012" s="178" t="s">
        <v>283</v>
      </c>
      <c r="F3012" s="210" t="s">
        <v>8163</v>
      </c>
      <c r="G3012" s="58" t="s">
        <v>5838</v>
      </c>
      <c r="H3012" s="546">
        <v>515731.39</v>
      </c>
      <c r="I3012" s="66">
        <v>44554</v>
      </c>
      <c r="J3012" s="411" t="s">
        <v>8164</v>
      </c>
      <c r="K3012" s="58" t="s">
        <v>8132</v>
      </c>
      <c r="L3012" s="99"/>
      <c r="M3012" s="70" t="s">
        <v>8165</v>
      </c>
      <c r="N3012" s="97" t="s">
        <v>264</v>
      </c>
      <c r="O3012" s="58" t="s">
        <v>141</v>
      </c>
      <c r="P3012" s="58" t="s">
        <v>17</v>
      </c>
      <c r="Q3012" s="58" t="s">
        <v>106</v>
      </c>
      <c r="R3012" s="58" t="s">
        <v>272</v>
      </c>
    </row>
    <row r="3013" spans="1:18" ht="69" customHeight="1">
      <c r="A3013" s="168"/>
      <c r="B3013" s="191">
        <v>2999</v>
      </c>
      <c r="C3013" s="191" t="s">
        <v>657</v>
      </c>
      <c r="D3013" s="533" t="s">
        <v>946</v>
      </c>
      <c r="E3013" s="191" t="s">
        <v>331</v>
      </c>
      <c r="F3013" s="211" t="s">
        <v>8166</v>
      </c>
      <c r="G3013" s="46" t="s">
        <v>4416</v>
      </c>
      <c r="H3013" s="534">
        <v>0</v>
      </c>
      <c r="I3013" s="56" t="s">
        <v>96</v>
      </c>
      <c r="J3013" s="412" t="s">
        <v>334</v>
      </c>
      <c r="K3013" s="46"/>
      <c r="L3013" s="99"/>
      <c r="M3013" s="379" t="s">
        <v>106</v>
      </c>
      <c r="N3013" s="76" t="s">
        <v>69</v>
      </c>
      <c r="O3013" s="46"/>
      <c r="P3013" s="46" t="s">
        <v>69</v>
      </c>
      <c r="Q3013" s="46" t="s">
        <v>106</v>
      </c>
      <c r="R3013" s="46" t="s">
        <v>272</v>
      </c>
    </row>
    <row r="3014" spans="1:18" ht="69" customHeight="1">
      <c r="A3014" s="168"/>
      <c r="B3014" s="178">
        <v>4372</v>
      </c>
      <c r="C3014" s="178" t="s">
        <v>657</v>
      </c>
      <c r="D3014" s="575"/>
      <c r="E3014" s="178" t="s">
        <v>291</v>
      </c>
      <c r="F3014" s="210" t="s">
        <v>8167</v>
      </c>
      <c r="G3014" s="58"/>
      <c r="H3014" s="546">
        <v>51030</v>
      </c>
      <c r="I3014" s="66">
        <v>44442</v>
      </c>
      <c r="J3014" s="411" t="s">
        <v>294</v>
      </c>
      <c r="K3014" s="58" t="s">
        <v>8168</v>
      </c>
      <c r="L3014" s="99"/>
      <c r="M3014" s="70" t="s">
        <v>8169</v>
      </c>
      <c r="N3014" s="97" t="s">
        <v>356</v>
      </c>
      <c r="O3014" s="58" t="s">
        <v>221</v>
      </c>
      <c r="P3014" s="58" t="s">
        <v>19</v>
      </c>
      <c r="Q3014" s="58" t="s">
        <v>106</v>
      </c>
      <c r="R3014" s="58" t="s">
        <v>272</v>
      </c>
    </row>
    <row r="3015" spans="1:18" ht="69" customHeight="1">
      <c r="A3015" s="168"/>
      <c r="B3015" s="178"/>
      <c r="C3015" s="178" t="s">
        <v>458</v>
      </c>
      <c r="D3015" s="575"/>
      <c r="E3015" s="178" t="s">
        <v>283</v>
      </c>
      <c r="F3015" s="210" t="s">
        <v>7482</v>
      </c>
      <c r="G3015" s="58" t="s">
        <v>7080</v>
      </c>
      <c r="H3015" s="546">
        <v>36864.82</v>
      </c>
      <c r="I3015" s="66" t="s">
        <v>96</v>
      </c>
      <c r="J3015" s="411" t="s">
        <v>7081</v>
      </c>
      <c r="K3015" s="58" t="s">
        <v>7483</v>
      </c>
      <c r="L3015" s="99"/>
      <c r="M3015" s="70" t="s">
        <v>8133</v>
      </c>
      <c r="N3015" s="97" t="s">
        <v>264</v>
      </c>
      <c r="O3015" s="58" t="s">
        <v>141</v>
      </c>
      <c r="P3015" s="58" t="s">
        <v>17</v>
      </c>
      <c r="Q3015" s="58" t="s">
        <v>122</v>
      </c>
      <c r="R3015" s="58" t="s">
        <v>272</v>
      </c>
    </row>
    <row r="3016" spans="1:18" ht="69" customHeight="1">
      <c r="A3016" s="168"/>
      <c r="B3016" s="178">
        <v>4391</v>
      </c>
      <c r="C3016" s="178" t="s">
        <v>657</v>
      </c>
      <c r="D3016" s="575"/>
      <c r="E3016" s="178" t="s">
        <v>283</v>
      </c>
      <c r="F3016" s="210" t="s">
        <v>8170</v>
      </c>
      <c r="G3016" s="58"/>
      <c r="H3016" s="546">
        <v>0</v>
      </c>
      <c r="I3016" s="66">
        <v>44488</v>
      </c>
      <c r="J3016" s="411" t="s">
        <v>294</v>
      </c>
      <c r="K3016" s="58" t="s">
        <v>8132</v>
      </c>
      <c r="L3016" s="99"/>
      <c r="M3016" s="70" t="s">
        <v>8165</v>
      </c>
      <c r="N3016" s="97" t="s">
        <v>264</v>
      </c>
      <c r="O3016" s="58" t="s">
        <v>141</v>
      </c>
      <c r="P3016" s="58" t="s">
        <v>17</v>
      </c>
      <c r="Q3016" s="58" t="s">
        <v>106</v>
      </c>
      <c r="R3016" s="58" t="s">
        <v>272</v>
      </c>
    </row>
    <row r="3017" spans="1:18" ht="69" customHeight="1">
      <c r="A3017" s="168"/>
      <c r="B3017" s="178">
        <v>4427</v>
      </c>
      <c r="C3017" s="178" t="s">
        <v>657</v>
      </c>
      <c r="D3017" s="575"/>
      <c r="E3017" s="178" t="s">
        <v>283</v>
      </c>
      <c r="F3017" s="210" t="s">
        <v>8170</v>
      </c>
      <c r="G3017" s="58"/>
      <c r="H3017" s="546">
        <v>0</v>
      </c>
      <c r="I3017" s="66">
        <v>44525</v>
      </c>
      <c r="J3017" s="411" t="s">
        <v>294</v>
      </c>
      <c r="K3017" s="58" t="s">
        <v>8132</v>
      </c>
      <c r="L3017" s="99"/>
      <c r="M3017" s="70" t="s">
        <v>8165</v>
      </c>
      <c r="N3017" s="97" t="s">
        <v>264</v>
      </c>
      <c r="O3017" s="58" t="s">
        <v>141</v>
      </c>
      <c r="P3017" s="58" t="s">
        <v>17</v>
      </c>
      <c r="Q3017" s="58" t="s">
        <v>106</v>
      </c>
      <c r="R3017" s="58" t="s">
        <v>272</v>
      </c>
    </row>
    <row r="3018" spans="1:18" ht="69" customHeight="1">
      <c r="A3018" s="168"/>
      <c r="B3018" s="178">
        <v>4618</v>
      </c>
      <c r="C3018" s="178" t="s">
        <v>657</v>
      </c>
      <c r="D3018" s="575" t="s">
        <v>629</v>
      </c>
      <c r="E3018" s="178" t="s">
        <v>291</v>
      </c>
      <c r="F3018" s="210" t="s">
        <v>8171</v>
      </c>
      <c r="G3018" s="58" t="s">
        <v>8172</v>
      </c>
      <c r="H3018" s="546">
        <v>53881.77</v>
      </c>
      <c r="I3018" s="66">
        <v>44673</v>
      </c>
      <c r="J3018" s="411" t="s">
        <v>8173</v>
      </c>
      <c r="K3018" s="58" t="s">
        <v>8168</v>
      </c>
      <c r="L3018" s="99"/>
      <c r="M3018" s="70" t="s">
        <v>8169</v>
      </c>
      <c r="N3018" s="97" t="s">
        <v>356</v>
      </c>
      <c r="O3018" s="58" t="s">
        <v>221</v>
      </c>
      <c r="P3018" s="58" t="s">
        <v>19</v>
      </c>
      <c r="Q3018" s="58" t="s">
        <v>106</v>
      </c>
      <c r="R3018" s="58" t="s">
        <v>272</v>
      </c>
    </row>
    <row r="3019" spans="1:18" ht="69" customHeight="1">
      <c r="A3019" s="168"/>
      <c r="B3019" s="178">
        <v>4717</v>
      </c>
      <c r="C3019" s="178" t="s">
        <v>657</v>
      </c>
      <c r="D3019" s="575" t="s">
        <v>1678</v>
      </c>
      <c r="E3019" s="178" t="s">
        <v>331</v>
      </c>
      <c r="F3019" s="210" t="s">
        <v>8174</v>
      </c>
      <c r="G3019" s="58"/>
      <c r="H3019" s="546">
        <v>3389.12</v>
      </c>
      <c r="I3019" s="66">
        <v>44678</v>
      </c>
      <c r="J3019" s="411" t="s">
        <v>8175</v>
      </c>
      <c r="K3019" s="58"/>
      <c r="L3019" s="99"/>
      <c r="M3019" s="70" t="s">
        <v>8129</v>
      </c>
      <c r="N3019" s="97" t="s">
        <v>270</v>
      </c>
      <c r="O3019" s="58"/>
      <c r="P3019" s="58" t="s">
        <v>44</v>
      </c>
      <c r="Q3019" s="58" t="s">
        <v>106</v>
      </c>
      <c r="R3019" s="58" t="s">
        <v>272</v>
      </c>
    </row>
    <row r="3020" spans="1:18" ht="69" customHeight="1">
      <c r="A3020" s="168"/>
      <c r="B3020" s="178">
        <v>4199</v>
      </c>
      <c r="C3020" s="178" t="s">
        <v>657</v>
      </c>
      <c r="D3020" s="575" t="s">
        <v>2690</v>
      </c>
      <c r="E3020" s="178" t="s">
        <v>266</v>
      </c>
      <c r="F3020" s="210" t="s">
        <v>8176</v>
      </c>
      <c r="G3020" s="58" t="s">
        <v>376</v>
      </c>
      <c r="H3020" s="546">
        <v>6911.76</v>
      </c>
      <c r="I3020" s="66">
        <v>44697</v>
      </c>
      <c r="J3020" s="411" t="s">
        <v>8177</v>
      </c>
      <c r="K3020" s="58"/>
      <c r="L3020" s="99"/>
      <c r="M3020" s="70" t="s">
        <v>8129</v>
      </c>
      <c r="N3020" s="97" t="s">
        <v>270</v>
      </c>
      <c r="O3020" s="58"/>
      <c r="P3020" s="58" t="s">
        <v>44</v>
      </c>
      <c r="Q3020" s="58" t="s">
        <v>106</v>
      </c>
      <c r="R3020" s="58" t="s">
        <v>272</v>
      </c>
    </row>
    <row r="3021" spans="1:18" ht="69" customHeight="1">
      <c r="A3021" s="168"/>
      <c r="B3021" s="178">
        <v>4866</v>
      </c>
      <c r="C3021" s="178" t="s">
        <v>657</v>
      </c>
      <c r="D3021" s="575" t="s">
        <v>3408</v>
      </c>
      <c r="E3021" s="178" t="s">
        <v>266</v>
      </c>
      <c r="F3021" s="210" t="s">
        <v>8178</v>
      </c>
      <c r="G3021" s="58" t="s">
        <v>680</v>
      </c>
      <c r="H3021" s="546">
        <v>6206.9</v>
      </c>
      <c r="I3021" s="66">
        <v>44706</v>
      </c>
      <c r="J3021" s="411" t="s">
        <v>8179</v>
      </c>
      <c r="K3021" s="58"/>
      <c r="L3021" s="99"/>
      <c r="M3021" s="70" t="s">
        <v>8180</v>
      </c>
      <c r="N3021" s="97" t="s">
        <v>683</v>
      </c>
      <c r="O3021" s="58" t="s">
        <v>149</v>
      </c>
      <c r="P3021" s="58" t="s">
        <v>46</v>
      </c>
      <c r="Q3021" s="58" t="s">
        <v>106</v>
      </c>
      <c r="R3021" s="58" t="s">
        <v>272</v>
      </c>
    </row>
    <row r="3022" spans="1:18" ht="69" customHeight="1">
      <c r="A3022" s="168"/>
      <c r="B3022" s="178">
        <v>4717</v>
      </c>
      <c r="C3022" s="178" t="s">
        <v>657</v>
      </c>
      <c r="D3022" s="575" t="s">
        <v>5889</v>
      </c>
      <c r="E3022" s="178" t="s">
        <v>331</v>
      </c>
      <c r="F3022" s="210" t="s">
        <v>8181</v>
      </c>
      <c r="G3022" s="58" t="s">
        <v>372</v>
      </c>
      <c r="H3022" s="546">
        <v>30502.09</v>
      </c>
      <c r="I3022" s="66">
        <v>44701</v>
      </c>
      <c r="J3022" s="411" t="s">
        <v>8182</v>
      </c>
      <c r="K3022" s="58"/>
      <c r="L3022" s="99"/>
      <c r="M3022" s="70" t="s">
        <v>8129</v>
      </c>
      <c r="N3022" s="97" t="s">
        <v>270</v>
      </c>
      <c r="O3022" s="58"/>
      <c r="P3022" s="58" t="s">
        <v>44</v>
      </c>
      <c r="Q3022" s="58" t="s">
        <v>106</v>
      </c>
      <c r="R3022" s="58" t="s">
        <v>272</v>
      </c>
    </row>
    <row r="3023" spans="1:18" ht="69" customHeight="1">
      <c r="A3023" s="168"/>
      <c r="B3023" s="178">
        <v>4293</v>
      </c>
      <c r="C3023" s="178" t="s">
        <v>657</v>
      </c>
      <c r="D3023" s="575" t="s">
        <v>3450</v>
      </c>
      <c r="E3023" s="178" t="s">
        <v>291</v>
      </c>
      <c r="F3023" s="210" t="s">
        <v>8183</v>
      </c>
      <c r="G3023" s="58" t="s">
        <v>8184</v>
      </c>
      <c r="H3023" s="546">
        <v>72596.7</v>
      </c>
      <c r="I3023" s="66">
        <v>44714</v>
      </c>
      <c r="J3023" s="411" t="s">
        <v>8185</v>
      </c>
      <c r="K3023" s="58" t="s">
        <v>8168</v>
      </c>
      <c r="L3023" s="99"/>
      <c r="M3023" s="70" t="s">
        <v>8169</v>
      </c>
      <c r="N3023" s="97" t="s">
        <v>356</v>
      </c>
      <c r="O3023" s="58" t="s">
        <v>221</v>
      </c>
      <c r="P3023" s="58" t="s">
        <v>19</v>
      </c>
      <c r="Q3023" s="58" t="s">
        <v>106</v>
      </c>
      <c r="R3023" s="58" t="s">
        <v>272</v>
      </c>
    </row>
    <row r="3024" spans="1:18" ht="69" customHeight="1">
      <c r="A3024" s="168"/>
      <c r="B3024" s="178">
        <v>4294</v>
      </c>
      <c r="C3024" s="178" t="s">
        <v>657</v>
      </c>
      <c r="D3024" s="575" t="s">
        <v>323</v>
      </c>
      <c r="E3024" s="178" t="s">
        <v>382</v>
      </c>
      <c r="F3024" s="210" t="s">
        <v>8186</v>
      </c>
      <c r="G3024" s="58" t="s">
        <v>384</v>
      </c>
      <c r="H3024" s="546">
        <v>27761.33</v>
      </c>
      <c r="I3024" s="66">
        <v>44736</v>
      </c>
      <c r="J3024" s="411" t="s">
        <v>8187</v>
      </c>
      <c r="K3024" s="58"/>
      <c r="L3024" s="99"/>
      <c r="M3024" s="70" t="s">
        <v>8188</v>
      </c>
      <c r="N3024" s="97" t="s">
        <v>387</v>
      </c>
      <c r="O3024" s="45" t="s">
        <v>150</v>
      </c>
      <c r="P3024" s="58" t="s">
        <v>51</v>
      </c>
      <c r="Q3024" s="58" t="s">
        <v>106</v>
      </c>
      <c r="R3024" s="58" t="s">
        <v>272</v>
      </c>
    </row>
    <row r="3025" spans="1:18" ht="69" customHeight="1">
      <c r="A3025" s="168"/>
      <c r="B3025" s="178">
        <v>4295</v>
      </c>
      <c r="C3025" s="178" t="s">
        <v>657</v>
      </c>
      <c r="D3025" s="575" t="s">
        <v>1989</v>
      </c>
      <c r="E3025" s="178" t="s">
        <v>382</v>
      </c>
      <c r="F3025" s="210" t="s">
        <v>8186</v>
      </c>
      <c r="G3025" s="58" t="s">
        <v>384</v>
      </c>
      <c r="H3025" s="546">
        <v>39819.519999999997</v>
      </c>
      <c r="I3025" s="66">
        <v>44736</v>
      </c>
      <c r="J3025" s="411" t="s">
        <v>8189</v>
      </c>
      <c r="K3025" s="58"/>
      <c r="L3025" s="99"/>
      <c r="M3025" s="70" t="s">
        <v>8188</v>
      </c>
      <c r="N3025" s="97" t="s">
        <v>387</v>
      </c>
      <c r="O3025" s="45" t="s">
        <v>150</v>
      </c>
      <c r="P3025" s="58" t="s">
        <v>51</v>
      </c>
      <c r="Q3025" s="58" t="s">
        <v>106</v>
      </c>
      <c r="R3025" s="58" t="s">
        <v>272</v>
      </c>
    </row>
    <row r="3026" spans="1:18" ht="69" customHeight="1">
      <c r="A3026" s="168"/>
      <c r="B3026" s="178">
        <v>5350</v>
      </c>
      <c r="C3026" s="178" t="s">
        <v>657</v>
      </c>
      <c r="D3026" s="575" t="s">
        <v>5571</v>
      </c>
      <c r="E3026" s="178" t="s">
        <v>409</v>
      </c>
      <c r="F3026" s="210" t="s">
        <v>8190</v>
      </c>
      <c r="G3026" s="58" t="s">
        <v>712</v>
      </c>
      <c r="H3026" s="546">
        <v>3661670.62</v>
      </c>
      <c r="I3026" s="66">
        <v>44757</v>
      </c>
      <c r="J3026" s="411" t="s">
        <v>8191</v>
      </c>
      <c r="K3026" s="58" t="s">
        <v>3385</v>
      </c>
      <c r="L3026" s="99"/>
      <c r="M3026" s="70" t="s">
        <v>8192</v>
      </c>
      <c r="N3026" s="97" t="s">
        <v>716</v>
      </c>
      <c r="O3026" s="58" t="s">
        <v>1566</v>
      </c>
      <c r="P3026" s="58" t="s">
        <v>28</v>
      </c>
      <c r="Q3026" s="58" t="s">
        <v>106</v>
      </c>
      <c r="R3026" s="58" t="s">
        <v>272</v>
      </c>
    </row>
    <row r="3027" spans="1:18" ht="69" customHeight="1">
      <c r="A3027" s="168"/>
      <c r="B3027" s="178">
        <v>6005</v>
      </c>
      <c r="C3027" s="178" t="s">
        <v>657</v>
      </c>
      <c r="D3027" s="575" t="s">
        <v>6024</v>
      </c>
      <c r="E3027" s="178" t="s">
        <v>291</v>
      </c>
      <c r="F3027" s="210" t="s">
        <v>8193</v>
      </c>
      <c r="G3027" s="58" t="s">
        <v>8194</v>
      </c>
      <c r="H3027" s="546">
        <v>26812.09</v>
      </c>
      <c r="I3027" s="66">
        <v>44774</v>
      </c>
      <c r="J3027" s="411" t="s">
        <v>8195</v>
      </c>
      <c r="K3027" s="58" t="s">
        <v>8168</v>
      </c>
      <c r="L3027" s="99"/>
      <c r="M3027" s="70" t="s">
        <v>8169</v>
      </c>
      <c r="N3027" s="97" t="s">
        <v>356</v>
      </c>
      <c r="O3027" s="58" t="s">
        <v>221</v>
      </c>
      <c r="P3027" s="58" t="s">
        <v>19</v>
      </c>
      <c r="Q3027" s="58" t="s">
        <v>106</v>
      </c>
      <c r="R3027" s="58" t="s">
        <v>272</v>
      </c>
    </row>
    <row r="3028" spans="1:18" ht="69" customHeight="1">
      <c r="A3028" s="168"/>
      <c r="B3028" s="256">
        <v>8192</v>
      </c>
      <c r="C3028" s="256" t="s">
        <v>657</v>
      </c>
      <c r="D3028" s="299" t="s">
        <v>1594</v>
      </c>
      <c r="E3028" s="256" t="s">
        <v>350</v>
      </c>
      <c r="F3028" s="263" t="s">
        <v>8196</v>
      </c>
      <c r="G3028" s="118" t="s">
        <v>1838</v>
      </c>
      <c r="H3028" s="300">
        <v>4372.59</v>
      </c>
      <c r="I3028" s="209" t="s">
        <v>96</v>
      </c>
      <c r="J3028" s="409" t="s">
        <v>7162</v>
      </c>
      <c r="K3028" s="118" t="s">
        <v>8197</v>
      </c>
      <c r="L3028" s="99"/>
      <c r="M3028" s="70" t="s">
        <v>8133</v>
      </c>
      <c r="N3028" s="97" t="s">
        <v>264</v>
      </c>
      <c r="O3028" s="118" t="s">
        <v>141</v>
      </c>
      <c r="P3028" s="118" t="s">
        <v>67</v>
      </c>
      <c r="Q3028" s="118" t="s">
        <v>104</v>
      </c>
      <c r="R3028" s="118" t="s">
        <v>265</v>
      </c>
    </row>
    <row r="3029" spans="1:18" ht="69" customHeight="1">
      <c r="A3029" s="168"/>
      <c r="B3029" s="178" t="s">
        <v>8198</v>
      </c>
      <c r="C3029" s="178" t="s">
        <v>657</v>
      </c>
      <c r="D3029" s="575"/>
      <c r="E3029" s="178" t="s">
        <v>260</v>
      </c>
      <c r="F3029" s="210" t="s">
        <v>8148</v>
      </c>
      <c r="G3029" s="58" t="s">
        <v>7080</v>
      </c>
      <c r="H3029" s="546">
        <v>400</v>
      </c>
      <c r="I3029" s="66" t="s">
        <v>96</v>
      </c>
      <c r="J3029" s="411" t="s">
        <v>7081</v>
      </c>
      <c r="K3029" s="58" t="s">
        <v>8132</v>
      </c>
      <c r="L3029" s="99"/>
      <c r="M3029" s="70" t="s">
        <v>8133</v>
      </c>
      <c r="N3029" s="97" t="s">
        <v>264</v>
      </c>
      <c r="O3029" s="58" t="s">
        <v>141</v>
      </c>
      <c r="P3029" s="58" t="s">
        <v>17</v>
      </c>
      <c r="Q3029" s="58" t="s">
        <v>106</v>
      </c>
      <c r="R3029" s="58" t="s">
        <v>265</v>
      </c>
    </row>
    <row r="3030" spans="1:18" ht="69" customHeight="1">
      <c r="A3030" s="168"/>
      <c r="B3030" s="171">
        <v>5366</v>
      </c>
      <c r="C3030" s="171" t="s">
        <v>657</v>
      </c>
      <c r="D3030" s="593" t="s">
        <v>2937</v>
      </c>
      <c r="E3030" s="171" t="s">
        <v>409</v>
      </c>
      <c r="F3030" s="594" t="s">
        <v>8199</v>
      </c>
      <c r="G3030" s="100" t="s">
        <v>725</v>
      </c>
      <c r="H3030" s="546">
        <v>0</v>
      </c>
      <c r="I3030" s="96">
        <v>44760</v>
      </c>
      <c r="J3030" s="595" t="s">
        <v>8200</v>
      </c>
      <c r="K3030" s="100"/>
      <c r="L3030" s="99"/>
      <c r="M3030" s="70" t="s">
        <v>8192</v>
      </c>
      <c r="N3030" s="97" t="s">
        <v>716</v>
      </c>
      <c r="O3030" s="100"/>
      <c r="P3030" s="100" t="s">
        <v>28</v>
      </c>
      <c r="Q3030" s="100" t="s">
        <v>106</v>
      </c>
      <c r="R3030" s="100" t="s">
        <v>272</v>
      </c>
    </row>
    <row r="3031" spans="1:18" ht="69" customHeight="1">
      <c r="A3031" s="168"/>
      <c r="B3031" s="178">
        <v>8186</v>
      </c>
      <c r="C3031" s="178" t="s">
        <v>8080</v>
      </c>
      <c r="D3031" s="575" t="s">
        <v>8201</v>
      </c>
      <c r="E3031" s="178" t="s">
        <v>755</v>
      </c>
      <c r="F3031" s="210" t="s">
        <v>8202</v>
      </c>
      <c r="G3031" s="58" t="s">
        <v>8203</v>
      </c>
      <c r="H3031" s="546">
        <v>735508.39</v>
      </c>
      <c r="I3031" s="66">
        <v>44916</v>
      </c>
      <c r="J3031" s="411" t="s">
        <v>8204</v>
      </c>
      <c r="K3031" s="58" t="s">
        <v>4472</v>
      </c>
      <c r="L3031" s="99"/>
      <c r="M3031" s="70" t="s">
        <v>8192</v>
      </c>
      <c r="N3031" s="97" t="s">
        <v>716</v>
      </c>
      <c r="O3031" s="58"/>
      <c r="P3031" s="58" t="s">
        <v>28</v>
      </c>
      <c r="Q3031" s="58" t="s">
        <v>106</v>
      </c>
      <c r="R3031" s="58" t="s">
        <v>272</v>
      </c>
    </row>
    <row r="3032" spans="1:18" ht="69" customHeight="1">
      <c r="A3032" s="168"/>
      <c r="B3032" s="178">
        <v>5366</v>
      </c>
      <c r="C3032" s="178" t="s">
        <v>8080</v>
      </c>
      <c r="D3032" s="575" t="s">
        <v>8205</v>
      </c>
      <c r="E3032" s="178" t="s">
        <v>755</v>
      </c>
      <c r="F3032" s="210" t="s">
        <v>8206</v>
      </c>
      <c r="G3032" s="58" t="s">
        <v>725</v>
      </c>
      <c r="H3032" s="546">
        <v>1025267.77</v>
      </c>
      <c r="I3032" s="66">
        <v>44781</v>
      </c>
      <c r="J3032" s="411" t="s">
        <v>8200</v>
      </c>
      <c r="K3032" s="58" t="s">
        <v>4455</v>
      </c>
      <c r="L3032" s="99"/>
      <c r="M3032" s="70" t="s">
        <v>8192</v>
      </c>
      <c r="N3032" s="97" t="s">
        <v>716</v>
      </c>
      <c r="O3032" s="58"/>
      <c r="P3032" s="58" t="s">
        <v>28</v>
      </c>
      <c r="Q3032" s="58" t="s">
        <v>106</v>
      </c>
      <c r="R3032" s="58" t="s">
        <v>272</v>
      </c>
    </row>
    <row r="3033" spans="1:18" ht="69" customHeight="1">
      <c r="A3033" s="168"/>
      <c r="B3033" s="178">
        <v>6593</v>
      </c>
      <c r="C3033" s="178" t="s">
        <v>657</v>
      </c>
      <c r="D3033" s="575" t="s">
        <v>986</v>
      </c>
      <c r="E3033" s="178" t="s">
        <v>409</v>
      </c>
      <c r="F3033" s="210" t="s">
        <v>8207</v>
      </c>
      <c r="G3033" s="58" t="s">
        <v>738</v>
      </c>
      <c r="H3033" s="546">
        <v>124085.1</v>
      </c>
      <c r="I3033" s="66">
        <v>44813</v>
      </c>
      <c r="J3033" s="411" t="s">
        <v>8208</v>
      </c>
      <c r="K3033" s="58"/>
      <c r="L3033" s="99"/>
      <c r="M3033" s="70" t="s">
        <v>8209</v>
      </c>
      <c r="N3033" s="97" t="s">
        <v>741</v>
      </c>
      <c r="O3033" s="45" t="s">
        <v>154</v>
      </c>
      <c r="P3033" s="58" t="s">
        <v>59</v>
      </c>
      <c r="Q3033" s="58" t="s">
        <v>106</v>
      </c>
      <c r="R3033" s="58" t="s">
        <v>272</v>
      </c>
    </row>
    <row r="3034" spans="1:18" ht="69" customHeight="1">
      <c r="A3034" s="168"/>
      <c r="B3034" s="178">
        <v>7426</v>
      </c>
      <c r="C3034" s="178" t="s">
        <v>8080</v>
      </c>
      <c r="D3034" s="575" t="s">
        <v>5616</v>
      </c>
      <c r="E3034" s="178" t="s">
        <v>809</v>
      </c>
      <c r="F3034" s="210" t="s">
        <v>8210</v>
      </c>
      <c r="G3034" s="58" t="s">
        <v>811</v>
      </c>
      <c r="H3034" s="546">
        <v>18428.939999999999</v>
      </c>
      <c r="I3034" s="66">
        <v>44879</v>
      </c>
      <c r="J3034" s="411" t="s">
        <v>812</v>
      </c>
      <c r="K3034" s="58"/>
      <c r="L3034" s="99"/>
      <c r="M3034" s="70" t="s">
        <v>8211</v>
      </c>
      <c r="N3034" s="97" t="s">
        <v>814</v>
      </c>
      <c r="O3034" s="58"/>
      <c r="P3034" s="58" t="s">
        <v>36</v>
      </c>
      <c r="Q3034" s="58" t="s">
        <v>106</v>
      </c>
      <c r="R3034" s="58" t="s">
        <v>272</v>
      </c>
    </row>
    <row r="3035" spans="1:18" ht="69" customHeight="1">
      <c r="A3035" s="168"/>
      <c r="B3035" s="178">
        <v>6670</v>
      </c>
      <c r="C3035" s="178" t="s">
        <v>8080</v>
      </c>
      <c r="D3035" s="575" t="s">
        <v>2988</v>
      </c>
      <c r="E3035" s="178" t="s">
        <v>755</v>
      </c>
      <c r="F3035" s="210" t="s">
        <v>8212</v>
      </c>
      <c r="G3035" s="58" t="s">
        <v>8213</v>
      </c>
      <c r="H3035" s="546">
        <v>439400.37</v>
      </c>
      <c r="I3035" s="66">
        <v>44823</v>
      </c>
      <c r="J3035" s="411" t="s">
        <v>8214</v>
      </c>
      <c r="K3035" s="58"/>
      <c r="L3035" s="99"/>
      <c r="M3035" s="70" t="s">
        <v>8192</v>
      </c>
      <c r="N3035" s="97" t="s">
        <v>716</v>
      </c>
      <c r="O3035" s="58"/>
      <c r="P3035" s="58" t="s">
        <v>28</v>
      </c>
      <c r="Q3035" s="58" t="s">
        <v>106</v>
      </c>
      <c r="R3035" s="58" t="s">
        <v>272</v>
      </c>
    </row>
    <row r="3036" spans="1:18" ht="69" customHeight="1">
      <c r="A3036" s="168"/>
      <c r="B3036" s="178">
        <v>6274</v>
      </c>
      <c r="C3036" s="178" t="s">
        <v>657</v>
      </c>
      <c r="D3036" s="575" t="s">
        <v>6031</v>
      </c>
      <c r="E3036" s="178" t="s">
        <v>266</v>
      </c>
      <c r="F3036" s="210" t="s">
        <v>8215</v>
      </c>
      <c r="G3036" s="58" t="s">
        <v>790</v>
      </c>
      <c r="H3036" s="546">
        <v>2281.25</v>
      </c>
      <c r="I3036" s="66">
        <v>44834</v>
      </c>
      <c r="J3036" s="411" t="s">
        <v>8216</v>
      </c>
      <c r="K3036" s="58"/>
      <c r="L3036" s="99"/>
      <c r="M3036" s="70" t="s">
        <v>8180</v>
      </c>
      <c r="N3036" s="97" t="s">
        <v>683</v>
      </c>
      <c r="O3036" s="58" t="s">
        <v>149</v>
      </c>
      <c r="P3036" s="58" t="s">
        <v>46</v>
      </c>
      <c r="Q3036" s="58" t="s">
        <v>106</v>
      </c>
      <c r="R3036" s="58" t="s">
        <v>272</v>
      </c>
    </row>
    <row r="3037" spans="1:18" ht="69" customHeight="1">
      <c r="A3037" s="168"/>
      <c r="B3037" s="178">
        <v>6291</v>
      </c>
      <c r="C3037" s="178" t="s">
        <v>657</v>
      </c>
      <c r="D3037" s="575" t="s">
        <v>8217</v>
      </c>
      <c r="E3037" s="178" t="s">
        <v>266</v>
      </c>
      <c r="F3037" s="210" t="s">
        <v>8218</v>
      </c>
      <c r="G3037" s="58" t="s">
        <v>790</v>
      </c>
      <c r="H3037" s="546">
        <v>2281.25</v>
      </c>
      <c r="I3037" s="66">
        <v>44834</v>
      </c>
      <c r="J3037" s="411" t="s">
        <v>8219</v>
      </c>
      <c r="K3037" s="58"/>
      <c r="L3037" s="99"/>
      <c r="M3037" s="70" t="s">
        <v>8180</v>
      </c>
      <c r="N3037" s="97" t="s">
        <v>683</v>
      </c>
      <c r="O3037" s="58" t="s">
        <v>149</v>
      </c>
      <c r="P3037" s="58" t="s">
        <v>46</v>
      </c>
      <c r="Q3037" s="58" t="s">
        <v>106</v>
      </c>
      <c r="R3037" s="58" t="s">
        <v>272</v>
      </c>
    </row>
    <row r="3038" spans="1:18" ht="69" customHeight="1">
      <c r="A3038" s="168"/>
      <c r="B3038" s="178">
        <v>6947</v>
      </c>
      <c r="C3038" s="178" t="s">
        <v>657</v>
      </c>
      <c r="D3038" s="575" t="s">
        <v>1451</v>
      </c>
      <c r="E3038" s="178" t="s">
        <v>409</v>
      </c>
      <c r="F3038" s="210" t="s">
        <v>8220</v>
      </c>
      <c r="G3038" s="58" t="s">
        <v>4638</v>
      </c>
      <c r="H3038" s="546">
        <v>289531.90000000002</v>
      </c>
      <c r="I3038" s="66">
        <v>44844</v>
      </c>
      <c r="J3038" s="411" t="s">
        <v>3367</v>
      </c>
      <c r="K3038" s="58"/>
      <c r="L3038" s="99"/>
      <c r="M3038" s="70" t="s">
        <v>8209</v>
      </c>
      <c r="N3038" s="97" t="s">
        <v>741</v>
      </c>
      <c r="O3038" s="45" t="s">
        <v>154</v>
      </c>
      <c r="P3038" s="58" t="s">
        <v>59</v>
      </c>
      <c r="Q3038" s="58" t="s">
        <v>106</v>
      </c>
      <c r="R3038" s="58" t="s">
        <v>272</v>
      </c>
    </row>
    <row r="3039" spans="1:18" ht="69" customHeight="1">
      <c r="A3039" s="168"/>
      <c r="B3039" s="178">
        <v>7095</v>
      </c>
      <c r="C3039" s="178" t="s">
        <v>8221</v>
      </c>
      <c r="D3039" s="575" t="s">
        <v>3429</v>
      </c>
      <c r="E3039" s="178" t="s">
        <v>755</v>
      </c>
      <c r="F3039" s="210" t="s">
        <v>8222</v>
      </c>
      <c r="G3039" s="58" t="s">
        <v>8223</v>
      </c>
      <c r="H3039" s="546">
        <v>1464668.25</v>
      </c>
      <c r="I3039" s="66">
        <v>44855</v>
      </c>
      <c r="J3039" s="411" t="s">
        <v>8224</v>
      </c>
      <c r="K3039" s="58" t="s">
        <v>4465</v>
      </c>
      <c r="L3039" s="99"/>
      <c r="M3039" s="70" t="s">
        <v>8192</v>
      </c>
      <c r="N3039" s="97" t="s">
        <v>716</v>
      </c>
      <c r="O3039" s="58"/>
      <c r="P3039" s="58" t="s">
        <v>28</v>
      </c>
      <c r="Q3039" s="58" t="s">
        <v>106</v>
      </c>
      <c r="R3039" s="58" t="s">
        <v>272</v>
      </c>
    </row>
    <row r="3040" spans="1:18" ht="69" customHeight="1">
      <c r="A3040" s="168"/>
      <c r="B3040" s="178">
        <v>7633</v>
      </c>
      <c r="C3040" s="178" t="s">
        <v>458</v>
      </c>
      <c r="D3040" s="575" t="s">
        <v>8225</v>
      </c>
      <c r="E3040" s="178" t="s">
        <v>409</v>
      </c>
      <c r="F3040" s="210" t="s">
        <v>8226</v>
      </c>
      <c r="G3040" s="58" t="s">
        <v>7870</v>
      </c>
      <c r="H3040" s="546">
        <v>60985.8</v>
      </c>
      <c r="I3040" s="66">
        <v>44890</v>
      </c>
      <c r="J3040" s="411" t="s">
        <v>8227</v>
      </c>
      <c r="K3040" s="58"/>
      <c r="L3040" s="99"/>
      <c r="M3040" s="70" t="s">
        <v>8192</v>
      </c>
      <c r="N3040" s="97" t="s">
        <v>716</v>
      </c>
      <c r="O3040" s="58" t="s">
        <v>8228</v>
      </c>
      <c r="P3040" s="58" t="s">
        <v>59</v>
      </c>
      <c r="Q3040" s="58" t="s">
        <v>103</v>
      </c>
      <c r="R3040" s="58" t="s">
        <v>272</v>
      </c>
    </row>
    <row r="3041" spans="1:18" ht="69" customHeight="1">
      <c r="A3041" s="168"/>
      <c r="B3041" s="178">
        <v>9712</v>
      </c>
      <c r="C3041" s="178" t="s">
        <v>8080</v>
      </c>
      <c r="D3041" s="575" t="s">
        <v>8229</v>
      </c>
      <c r="E3041" s="178" t="s">
        <v>809</v>
      </c>
      <c r="F3041" s="210" t="s">
        <v>8230</v>
      </c>
      <c r="G3041" s="58" t="s">
        <v>874</v>
      </c>
      <c r="H3041" s="546">
        <v>20885.96</v>
      </c>
      <c r="I3041" s="66" t="s">
        <v>96</v>
      </c>
      <c r="J3041" s="411" t="s">
        <v>875</v>
      </c>
      <c r="K3041" s="58"/>
      <c r="L3041" s="99"/>
      <c r="M3041" s="70" t="s">
        <v>8211</v>
      </c>
      <c r="N3041" s="97" t="s">
        <v>814</v>
      </c>
      <c r="O3041" s="58"/>
      <c r="P3041" s="58" t="s">
        <v>36</v>
      </c>
      <c r="Q3041" s="58" t="s">
        <v>106</v>
      </c>
      <c r="R3041" s="58" t="s">
        <v>272</v>
      </c>
    </row>
    <row r="3042" spans="1:18" ht="69" customHeight="1">
      <c r="A3042" s="168"/>
      <c r="B3042" s="178">
        <v>8195</v>
      </c>
      <c r="C3042" s="178" t="s">
        <v>657</v>
      </c>
      <c r="D3042" s="575" t="s">
        <v>1045</v>
      </c>
      <c r="E3042" s="178" t="s">
        <v>350</v>
      </c>
      <c r="F3042" s="210" t="s">
        <v>8231</v>
      </c>
      <c r="G3042" s="58" t="s">
        <v>1838</v>
      </c>
      <c r="H3042" s="546">
        <v>5214.33</v>
      </c>
      <c r="I3042" s="66">
        <v>44921</v>
      </c>
      <c r="J3042" s="411" t="s">
        <v>7162</v>
      </c>
      <c r="K3042" s="58"/>
      <c r="L3042" s="99"/>
      <c r="M3042" s="70" t="s">
        <v>8133</v>
      </c>
      <c r="N3042" s="97" t="s">
        <v>264</v>
      </c>
      <c r="O3042" s="58" t="s">
        <v>141</v>
      </c>
      <c r="P3042" s="58" t="s">
        <v>19</v>
      </c>
      <c r="Q3042" s="58" t="s">
        <v>104</v>
      </c>
      <c r="R3042" s="58" t="s">
        <v>265</v>
      </c>
    </row>
    <row r="3043" spans="1:18" ht="69" customHeight="1">
      <c r="A3043" s="168"/>
      <c r="B3043" s="178">
        <v>8255</v>
      </c>
      <c r="C3043" s="178" t="s">
        <v>657</v>
      </c>
      <c r="D3043" s="575" t="s">
        <v>2114</v>
      </c>
      <c r="E3043" s="178" t="s">
        <v>755</v>
      </c>
      <c r="F3043" s="210" t="s">
        <v>8232</v>
      </c>
      <c r="G3043" s="58" t="s">
        <v>8233</v>
      </c>
      <c r="H3043" s="546">
        <v>90995.74</v>
      </c>
      <c r="I3043" s="66">
        <v>44921</v>
      </c>
      <c r="J3043" s="411" t="s">
        <v>8234</v>
      </c>
      <c r="K3043" s="58"/>
      <c r="L3043" s="99"/>
      <c r="M3043" s="70" t="s">
        <v>8192</v>
      </c>
      <c r="N3043" s="97" t="s">
        <v>716</v>
      </c>
      <c r="O3043" s="45" t="s">
        <v>154</v>
      </c>
      <c r="P3043" s="58" t="s">
        <v>59</v>
      </c>
      <c r="Q3043" s="58" t="s">
        <v>106</v>
      </c>
      <c r="R3043" s="58" t="s">
        <v>272</v>
      </c>
    </row>
    <row r="3044" spans="1:18" ht="69" customHeight="1">
      <c r="A3044" s="168"/>
      <c r="B3044" s="178">
        <v>8412</v>
      </c>
      <c r="C3044" s="178" t="s">
        <v>657</v>
      </c>
      <c r="D3044" s="575" t="s">
        <v>6952</v>
      </c>
      <c r="E3044" s="178" t="s">
        <v>350</v>
      </c>
      <c r="F3044" s="210" t="s">
        <v>8235</v>
      </c>
      <c r="G3044" s="58" t="s">
        <v>1838</v>
      </c>
      <c r="H3044" s="546">
        <v>4136</v>
      </c>
      <c r="I3044" s="66">
        <v>44937</v>
      </c>
      <c r="J3044" s="411" t="s">
        <v>8236</v>
      </c>
      <c r="K3044" s="58"/>
      <c r="L3044" s="99"/>
      <c r="M3044" s="70" t="s">
        <v>8133</v>
      </c>
      <c r="N3044" s="97" t="s">
        <v>264</v>
      </c>
      <c r="O3044" s="58" t="s">
        <v>141</v>
      </c>
      <c r="P3044" s="58" t="s">
        <v>19</v>
      </c>
      <c r="Q3044" s="58" t="s">
        <v>104</v>
      </c>
      <c r="R3044" s="58" t="s">
        <v>265</v>
      </c>
    </row>
    <row r="3045" spans="1:18" ht="69" customHeight="1">
      <c r="A3045" s="168"/>
      <c r="B3045" s="178">
        <v>8662</v>
      </c>
      <c r="C3045" s="178" t="s">
        <v>8080</v>
      </c>
      <c r="D3045" s="575" t="s">
        <v>8237</v>
      </c>
      <c r="E3045" s="178" t="s">
        <v>809</v>
      </c>
      <c r="F3045" s="210" t="s">
        <v>8238</v>
      </c>
      <c r="G3045" s="58" t="s">
        <v>823</v>
      </c>
      <c r="H3045" s="546">
        <v>20885.96</v>
      </c>
      <c r="I3045" s="66">
        <v>44949</v>
      </c>
      <c r="J3045" s="411" t="s">
        <v>824</v>
      </c>
      <c r="K3045" s="58"/>
      <c r="L3045" s="99"/>
      <c r="M3045" s="70" t="s">
        <v>8211</v>
      </c>
      <c r="N3045" s="97" t="s">
        <v>814</v>
      </c>
      <c r="O3045" s="58"/>
      <c r="P3045" s="58" t="s">
        <v>36</v>
      </c>
      <c r="Q3045" s="58" t="s">
        <v>106</v>
      </c>
      <c r="R3045" s="58" t="s">
        <v>272</v>
      </c>
    </row>
    <row r="3046" spans="1:18" ht="69" customHeight="1">
      <c r="A3046" s="168"/>
      <c r="B3046" s="178">
        <v>8844</v>
      </c>
      <c r="C3046" s="178" t="s">
        <v>8080</v>
      </c>
      <c r="D3046" s="575" t="s">
        <v>8239</v>
      </c>
      <c r="E3046" s="178" t="s">
        <v>809</v>
      </c>
      <c r="F3046" s="210" t="s">
        <v>8240</v>
      </c>
      <c r="G3046" s="58" t="s">
        <v>845</v>
      </c>
      <c r="H3046" s="546">
        <v>17200</v>
      </c>
      <c r="I3046" s="66">
        <v>44948</v>
      </c>
      <c r="J3046" s="411" t="s">
        <v>846</v>
      </c>
      <c r="K3046" s="58"/>
      <c r="L3046" s="99"/>
      <c r="M3046" s="70" t="s">
        <v>8211</v>
      </c>
      <c r="N3046" s="97" t="s">
        <v>814</v>
      </c>
      <c r="O3046" s="58"/>
      <c r="P3046" s="58" t="s">
        <v>36</v>
      </c>
      <c r="Q3046" s="58" t="s">
        <v>106</v>
      </c>
      <c r="R3046" s="58" t="s">
        <v>272</v>
      </c>
    </row>
    <row r="3047" spans="1:18" ht="69" customHeight="1">
      <c r="A3047" s="168"/>
      <c r="B3047" s="178">
        <v>5102</v>
      </c>
      <c r="C3047" s="178" t="s">
        <v>458</v>
      </c>
      <c r="D3047" s="575" t="s">
        <v>2710</v>
      </c>
      <c r="E3047" s="178" t="s">
        <v>291</v>
      </c>
      <c r="F3047" s="210" t="s">
        <v>8241</v>
      </c>
      <c r="G3047" s="58" t="s">
        <v>8242</v>
      </c>
      <c r="H3047" s="546">
        <v>8500</v>
      </c>
      <c r="I3047" s="66">
        <v>44741</v>
      </c>
      <c r="J3047" s="411" t="s">
        <v>8243</v>
      </c>
      <c r="K3047" s="58" t="s">
        <v>8244</v>
      </c>
      <c r="L3047" s="99"/>
      <c r="M3047" s="70" t="s">
        <v>8245</v>
      </c>
      <c r="N3047" s="97" t="s">
        <v>356</v>
      </c>
      <c r="O3047" s="58" t="s">
        <v>221</v>
      </c>
      <c r="P3047" s="58" t="s">
        <v>19</v>
      </c>
      <c r="Q3047" s="58" t="s">
        <v>106</v>
      </c>
      <c r="R3047" s="58" t="s">
        <v>265</v>
      </c>
    </row>
    <row r="3048" spans="1:18" ht="69" customHeight="1">
      <c r="A3048" s="168"/>
      <c r="B3048" s="178">
        <v>8802</v>
      </c>
      <c r="C3048" s="178" t="s">
        <v>458</v>
      </c>
      <c r="D3048" s="575" t="s">
        <v>2559</v>
      </c>
      <c r="E3048" s="178" t="s">
        <v>291</v>
      </c>
      <c r="F3048" s="210" t="s">
        <v>8246</v>
      </c>
      <c r="G3048" s="58" t="s">
        <v>8247</v>
      </c>
      <c r="H3048" s="546">
        <v>40472.33</v>
      </c>
      <c r="I3048" s="66">
        <v>44953</v>
      </c>
      <c r="J3048" s="411" t="s">
        <v>8248</v>
      </c>
      <c r="K3048" s="58" t="s">
        <v>8244</v>
      </c>
      <c r="L3048" s="99"/>
      <c r="M3048" s="70" t="s">
        <v>8245</v>
      </c>
      <c r="N3048" s="97" t="s">
        <v>356</v>
      </c>
      <c r="O3048" s="58" t="s">
        <v>221</v>
      </c>
      <c r="P3048" s="58" t="s">
        <v>19</v>
      </c>
      <c r="Q3048" s="58" t="s">
        <v>106</v>
      </c>
      <c r="R3048" s="58" t="s">
        <v>265</v>
      </c>
    </row>
    <row r="3049" spans="1:18" ht="69" customHeight="1">
      <c r="A3049" s="168"/>
      <c r="B3049" s="178">
        <v>9011</v>
      </c>
      <c r="C3049" s="178" t="s">
        <v>8080</v>
      </c>
      <c r="D3049" s="575" t="s">
        <v>8249</v>
      </c>
      <c r="E3049" s="178" t="s">
        <v>809</v>
      </c>
      <c r="F3049" s="210" t="s">
        <v>8230</v>
      </c>
      <c r="G3049" s="58" t="s">
        <v>863</v>
      </c>
      <c r="H3049" s="546">
        <v>13514.04</v>
      </c>
      <c r="I3049" s="66" t="s">
        <v>96</v>
      </c>
      <c r="J3049" s="411" t="s">
        <v>864</v>
      </c>
      <c r="K3049" s="58"/>
      <c r="L3049" s="99"/>
      <c r="M3049" s="70" t="s">
        <v>8211</v>
      </c>
      <c r="N3049" s="97" t="s">
        <v>814</v>
      </c>
      <c r="O3049" s="58"/>
      <c r="P3049" s="58" t="s">
        <v>36</v>
      </c>
      <c r="Q3049" s="58" t="s">
        <v>106</v>
      </c>
      <c r="R3049" s="58" t="s">
        <v>272</v>
      </c>
    </row>
    <row r="3050" spans="1:18" ht="69" customHeight="1">
      <c r="A3050" s="168"/>
      <c r="B3050" s="178">
        <v>9097</v>
      </c>
      <c r="C3050" s="178" t="s">
        <v>8080</v>
      </c>
      <c r="D3050" s="575" t="s">
        <v>1105</v>
      </c>
      <c r="E3050" s="178" t="s">
        <v>1372</v>
      </c>
      <c r="F3050" s="210" t="s">
        <v>8250</v>
      </c>
      <c r="G3050" s="58" t="s">
        <v>8251</v>
      </c>
      <c r="H3050" s="546">
        <v>163437.38</v>
      </c>
      <c r="I3050" s="66" t="s">
        <v>96</v>
      </c>
      <c r="J3050" s="411" t="s">
        <v>8252</v>
      </c>
      <c r="K3050" s="58"/>
      <c r="L3050" s="99"/>
      <c r="M3050" s="70" t="s">
        <v>8253</v>
      </c>
      <c r="N3050" s="97" t="s">
        <v>1372</v>
      </c>
      <c r="O3050" s="58"/>
      <c r="P3050" s="58" t="s">
        <v>57</v>
      </c>
      <c r="Q3050" s="58" t="s">
        <v>106</v>
      </c>
      <c r="R3050" s="58" t="s">
        <v>272</v>
      </c>
    </row>
    <row r="3051" spans="1:18" ht="69" customHeight="1">
      <c r="A3051" s="168"/>
      <c r="B3051" s="191">
        <v>9378</v>
      </c>
      <c r="C3051" s="191" t="s">
        <v>8080</v>
      </c>
      <c r="D3051" s="533" t="s">
        <v>8254</v>
      </c>
      <c r="E3051" s="191" t="s">
        <v>8255</v>
      </c>
      <c r="F3051" s="211" t="s">
        <v>8256</v>
      </c>
      <c r="G3051" s="46" t="s">
        <v>8257</v>
      </c>
      <c r="H3051" s="534">
        <v>7417</v>
      </c>
      <c r="I3051" s="56">
        <v>45009</v>
      </c>
      <c r="J3051" s="412" t="s">
        <v>8258</v>
      </c>
      <c r="K3051" s="46" t="s">
        <v>167</v>
      </c>
      <c r="L3051" s="99"/>
      <c r="M3051" s="379"/>
      <c r="N3051" s="76" t="s">
        <v>741</v>
      </c>
      <c r="O3051" s="46"/>
      <c r="P3051" s="46" t="s">
        <v>65</v>
      </c>
      <c r="Q3051" s="46" t="s">
        <v>106</v>
      </c>
      <c r="R3051" s="46" t="s">
        <v>272</v>
      </c>
    </row>
    <row r="3052" spans="1:18" ht="69" customHeight="1">
      <c r="A3052" s="168"/>
      <c r="B3052" s="191">
        <v>9379</v>
      </c>
      <c r="C3052" s="191" t="s">
        <v>8080</v>
      </c>
      <c r="D3052" s="533" t="s">
        <v>8259</v>
      </c>
      <c r="E3052" s="191" t="s">
        <v>8255</v>
      </c>
      <c r="F3052" s="211" t="s">
        <v>8260</v>
      </c>
      <c r="G3052" s="46" t="s">
        <v>8261</v>
      </c>
      <c r="H3052" s="534">
        <v>29668</v>
      </c>
      <c r="I3052" s="56">
        <v>45009</v>
      </c>
      <c r="J3052" s="412" t="s">
        <v>8258</v>
      </c>
      <c r="K3052" s="46" t="s">
        <v>167</v>
      </c>
      <c r="L3052" s="99"/>
      <c r="M3052" s="379"/>
      <c r="N3052" s="76" t="s">
        <v>741</v>
      </c>
      <c r="O3052" s="46"/>
      <c r="P3052" s="46" t="s">
        <v>65</v>
      </c>
      <c r="Q3052" s="46" t="s">
        <v>106</v>
      </c>
      <c r="R3052" s="46" t="s">
        <v>272</v>
      </c>
    </row>
    <row r="3053" spans="1:18" ht="69" customHeight="1">
      <c r="A3053" s="168"/>
      <c r="B3053" s="178">
        <v>9812</v>
      </c>
      <c r="C3053" s="178" t="s">
        <v>8080</v>
      </c>
      <c r="D3053" s="575" t="s">
        <v>2791</v>
      </c>
      <c r="E3053" s="178" t="s">
        <v>755</v>
      </c>
      <c r="F3053" s="210" t="s">
        <v>8262</v>
      </c>
      <c r="G3053" s="58" t="s">
        <v>1419</v>
      </c>
      <c r="H3053" s="546">
        <v>391193.91</v>
      </c>
      <c r="I3053" s="66">
        <v>45033</v>
      </c>
      <c r="J3053" s="411" t="s">
        <v>8263</v>
      </c>
      <c r="K3053" s="58"/>
      <c r="L3053" s="99"/>
      <c r="M3053" s="70" t="s">
        <v>8192</v>
      </c>
      <c r="N3053" s="97" t="s">
        <v>716</v>
      </c>
      <c r="O3053" s="58"/>
      <c r="P3053" s="58" t="s">
        <v>28</v>
      </c>
      <c r="Q3053" s="58" t="s">
        <v>106</v>
      </c>
      <c r="R3053" s="58" t="s">
        <v>272</v>
      </c>
    </row>
    <row r="3054" spans="1:18" ht="69" customHeight="1">
      <c r="A3054" s="168"/>
      <c r="B3054" s="178">
        <v>9954</v>
      </c>
      <c r="C3054" s="178" t="s">
        <v>8080</v>
      </c>
      <c r="D3054" s="575" t="s">
        <v>1611</v>
      </c>
      <c r="E3054" s="178" t="s">
        <v>1372</v>
      </c>
      <c r="F3054" s="210" t="s">
        <v>8264</v>
      </c>
      <c r="G3054" s="58" t="s">
        <v>8265</v>
      </c>
      <c r="H3054" s="546">
        <v>40859.35</v>
      </c>
      <c r="I3054" s="66">
        <v>45044</v>
      </c>
      <c r="J3054" s="411" t="s">
        <v>8266</v>
      </c>
      <c r="K3054" s="58"/>
      <c r="L3054" s="99"/>
      <c r="M3054" s="70" t="s">
        <v>8253</v>
      </c>
      <c r="N3054" s="97" t="s">
        <v>1372</v>
      </c>
      <c r="O3054" s="58"/>
      <c r="P3054" s="58" t="s">
        <v>57</v>
      </c>
      <c r="Q3054" s="58" t="s">
        <v>106</v>
      </c>
      <c r="R3054" s="58" t="s">
        <v>272</v>
      </c>
    </row>
    <row r="3055" spans="1:18" ht="69" customHeight="1">
      <c r="A3055" s="168"/>
      <c r="B3055" s="178">
        <v>2169</v>
      </c>
      <c r="C3055" s="178" t="s">
        <v>309</v>
      </c>
      <c r="D3055" s="575" t="s">
        <v>8267</v>
      </c>
      <c r="E3055" s="178" t="s">
        <v>266</v>
      </c>
      <c r="F3055" s="210" t="s">
        <v>8268</v>
      </c>
      <c r="G3055" s="58"/>
      <c r="H3055" s="546">
        <v>7060</v>
      </c>
      <c r="I3055" s="66" t="s">
        <v>96</v>
      </c>
      <c r="J3055" s="411" t="s">
        <v>8269</v>
      </c>
      <c r="K3055" s="58"/>
      <c r="L3055" s="99"/>
      <c r="M3055" s="70" t="s">
        <v>8270</v>
      </c>
      <c r="N3055" s="97" t="s">
        <v>270</v>
      </c>
      <c r="O3055" s="58"/>
      <c r="P3055" s="58" t="s">
        <v>44</v>
      </c>
      <c r="Q3055" s="58" t="s">
        <v>107</v>
      </c>
      <c r="R3055" s="58" t="s">
        <v>272</v>
      </c>
    </row>
    <row r="3056" spans="1:18" ht="69" customHeight="1">
      <c r="A3056" s="168"/>
      <c r="B3056" s="178">
        <v>2567</v>
      </c>
      <c r="C3056" s="178" t="s">
        <v>458</v>
      </c>
      <c r="D3056" s="575"/>
      <c r="E3056" s="178" t="s">
        <v>260</v>
      </c>
      <c r="F3056" s="210" t="s">
        <v>8271</v>
      </c>
      <c r="G3056" s="58"/>
      <c r="H3056" s="546">
        <v>10000</v>
      </c>
      <c r="I3056" s="66" t="s">
        <v>96</v>
      </c>
      <c r="J3056" s="411" t="s">
        <v>8272</v>
      </c>
      <c r="K3056" s="58" t="s">
        <v>8273</v>
      </c>
      <c r="L3056" s="99"/>
      <c r="M3056" s="70" t="s">
        <v>8274</v>
      </c>
      <c r="N3056" s="97" t="s">
        <v>264</v>
      </c>
      <c r="O3056" s="58" t="s">
        <v>141</v>
      </c>
      <c r="P3056" s="58" t="s">
        <v>17</v>
      </c>
      <c r="Q3056" s="58" t="s">
        <v>119</v>
      </c>
      <c r="R3056" s="58" t="s">
        <v>265</v>
      </c>
    </row>
    <row r="3057" spans="1:18" ht="69" customHeight="1">
      <c r="A3057" s="168"/>
      <c r="B3057" s="178">
        <v>2568</v>
      </c>
      <c r="C3057" s="178" t="s">
        <v>458</v>
      </c>
      <c r="D3057" s="575"/>
      <c r="E3057" s="178" t="s">
        <v>260</v>
      </c>
      <c r="F3057" s="210" t="s">
        <v>8275</v>
      </c>
      <c r="G3057" s="58"/>
      <c r="H3057" s="546">
        <v>5250</v>
      </c>
      <c r="I3057" s="66" t="s">
        <v>96</v>
      </c>
      <c r="J3057" s="411" t="s">
        <v>8276</v>
      </c>
      <c r="K3057" s="58" t="s">
        <v>8277</v>
      </c>
      <c r="L3057" s="99"/>
      <c r="M3057" s="70" t="s">
        <v>8274</v>
      </c>
      <c r="N3057" s="97" t="s">
        <v>264</v>
      </c>
      <c r="O3057" s="58" t="s">
        <v>141</v>
      </c>
      <c r="P3057" s="58" t="s">
        <v>17</v>
      </c>
      <c r="Q3057" s="58" t="s">
        <v>119</v>
      </c>
      <c r="R3057" s="58" t="s">
        <v>265</v>
      </c>
    </row>
    <row r="3058" spans="1:18" ht="69" customHeight="1">
      <c r="A3058" s="168"/>
      <c r="B3058" s="178">
        <v>2827</v>
      </c>
      <c r="C3058" s="178" t="s">
        <v>458</v>
      </c>
      <c r="D3058" s="575"/>
      <c r="E3058" s="178" t="s">
        <v>283</v>
      </c>
      <c r="F3058" s="210" t="s">
        <v>8278</v>
      </c>
      <c r="G3058" s="58" t="s">
        <v>5838</v>
      </c>
      <c r="H3058" s="546">
        <v>402193.52</v>
      </c>
      <c r="I3058" s="66">
        <v>44575</v>
      </c>
      <c r="J3058" s="411" t="s">
        <v>8279</v>
      </c>
      <c r="K3058" s="58" t="s">
        <v>8280</v>
      </c>
      <c r="L3058" s="99"/>
      <c r="M3058" s="70" t="s">
        <v>8281</v>
      </c>
      <c r="N3058" s="97" t="s">
        <v>264</v>
      </c>
      <c r="O3058" s="58" t="s">
        <v>141</v>
      </c>
      <c r="P3058" s="58" t="s">
        <v>17</v>
      </c>
      <c r="Q3058" s="58" t="s">
        <v>119</v>
      </c>
      <c r="R3058" s="58" t="s">
        <v>272</v>
      </c>
    </row>
    <row r="3059" spans="1:18" ht="69" customHeight="1">
      <c r="A3059" s="168"/>
      <c r="B3059" s="191">
        <v>3000</v>
      </c>
      <c r="C3059" s="191" t="s">
        <v>458</v>
      </c>
      <c r="D3059" s="533" t="s">
        <v>1274</v>
      </c>
      <c r="E3059" s="191" t="s">
        <v>331</v>
      </c>
      <c r="F3059" s="211" t="s">
        <v>8282</v>
      </c>
      <c r="G3059" s="46" t="s">
        <v>4416</v>
      </c>
      <c r="H3059" s="534">
        <v>0</v>
      </c>
      <c r="I3059" s="56" t="s">
        <v>96</v>
      </c>
      <c r="J3059" s="412" t="s">
        <v>334</v>
      </c>
      <c r="K3059" s="46"/>
      <c r="L3059" s="99"/>
      <c r="M3059" s="379" t="s">
        <v>107</v>
      </c>
      <c r="N3059" s="76" t="s">
        <v>69</v>
      </c>
      <c r="O3059" s="46"/>
      <c r="P3059" s="46" t="s">
        <v>69</v>
      </c>
      <c r="Q3059" s="46" t="s">
        <v>107</v>
      </c>
      <c r="R3059" s="46" t="s">
        <v>272</v>
      </c>
    </row>
    <row r="3060" spans="1:18" ht="69" customHeight="1">
      <c r="A3060" s="168"/>
      <c r="B3060" s="178">
        <v>4127</v>
      </c>
      <c r="C3060" s="178" t="s">
        <v>458</v>
      </c>
      <c r="D3060" s="575" t="s">
        <v>1268</v>
      </c>
      <c r="E3060" s="178" t="s">
        <v>970</v>
      </c>
      <c r="F3060" s="210" t="s">
        <v>8283</v>
      </c>
      <c r="G3060" s="58" t="s">
        <v>1107</v>
      </c>
      <c r="H3060" s="546">
        <v>7293.34</v>
      </c>
      <c r="I3060" s="66">
        <v>44643</v>
      </c>
      <c r="J3060" s="411" t="s">
        <v>8284</v>
      </c>
      <c r="K3060" s="58"/>
      <c r="L3060" s="99"/>
      <c r="M3060" s="70" t="s">
        <v>8285</v>
      </c>
      <c r="N3060" s="97" t="s">
        <v>970</v>
      </c>
      <c r="O3060" s="58" t="s">
        <v>5961</v>
      </c>
      <c r="P3060" s="58" t="s">
        <v>38</v>
      </c>
      <c r="Q3060" s="58" t="s">
        <v>107</v>
      </c>
      <c r="R3060" s="58" t="s">
        <v>272</v>
      </c>
    </row>
    <row r="3061" spans="1:18" ht="69" customHeight="1">
      <c r="A3061" s="168"/>
      <c r="B3061" s="178">
        <v>4102</v>
      </c>
      <c r="C3061" s="178" t="s">
        <v>458</v>
      </c>
      <c r="D3061" s="575" t="s">
        <v>4832</v>
      </c>
      <c r="E3061" s="178" t="s">
        <v>266</v>
      </c>
      <c r="F3061" s="210" t="s">
        <v>8286</v>
      </c>
      <c r="G3061" s="58" t="s">
        <v>3674</v>
      </c>
      <c r="H3061" s="546">
        <v>6190</v>
      </c>
      <c r="I3061" s="66">
        <v>44676</v>
      </c>
      <c r="J3061" s="411" t="s">
        <v>8287</v>
      </c>
      <c r="K3061" s="58"/>
      <c r="L3061" s="99"/>
      <c r="M3061" s="70" t="s">
        <v>8270</v>
      </c>
      <c r="N3061" s="97" t="s">
        <v>270</v>
      </c>
      <c r="O3061" s="58"/>
      <c r="P3061" s="58" t="s">
        <v>44</v>
      </c>
      <c r="Q3061" s="58" t="s">
        <v>107</v>
      </c>
      <c r="R3061" s="58" t="s">
        <v>272</v>
      </c>
    </row>
    <row r="3062" spans="1:18" ht="69" customHeight="1">
      <c r="A3062" s="168"/>
      <c r="B3062" s="178">
        <v>5105</v>
      </c>
      <c r="C3062" s="178" t="s">
        <v>458</v>
      </c>
      <c r="D3062" s="575" t="s">
        <v>3341</v>
      </c>
      <c r="E3062" s="178" t="s">
        <v>266</v>
      </c>
      <c r="F3062" s="210" t="s">
        <v>8288</v>
      </c>
      <c r="G3062" s="58" t="s">
        <v>8289</v>
      </c>
      <c r="H3062" s="546">
        <v>6130</v>
      </c>
      <c r="I3062" s="66">
        <v>44736</v>
      </c>
      <c r="J3062" s="411" t="s">
        <v>8290</v>
      </c>
      <c r="K3062" s="58"/>
      <c r="L3062" s="99"/>
      <c r="M3062" s="70" t="s">
        <v>8270</v>
      </c>
      <c r="N3062" s="97" t="s">
        <v>270</v>
      </c>
      <c r="O3062" s="58"/>
      <c r="P3062" s="58" t="s">
        <v>44</v>
      </c>
      <c r="Q3062" s="58" t="s">
        <v>107</v>
      </c>
      <c r="R3062" s="58" t="s">
        <v>272</v>
      </c>
    </row>
    <row r="3063" spans="1:18" ht="69" customHeight="1">
      <c r="A3063" s="168"/>
      <c r="B3063" s="178">
        <v>5106</v>
      </c>
      <c r="C3063" s="178" t="s">
        <v>458</v>
      </c>
      <c r="D3063" s="575" t="s">
        <v>1506</v>
      </c>
      <c r="E3063" s="178" t="s">
        <v>382</v>
      </c>
      <c r="F3063" s="210" t="s">
        <v>8291</v>
      </c>
      <c r="G3063" s="58" t="s">
        <v>384</v>
      </c>
      <c r="H3063" s="546">
        <v>27761.33</v>
      </c>
      <c r="I3063" s="66">
        <v>44739</v>
      </c>
      <c r="J3063" s="411" t="s">
        <v>8292</v>
      </c>
      <c r="K3063" s="58"/>
      <c r="L3063" s="99"/>
      <c r="M3063" s="70" t="s">
        <v>8293</v>
      </c>
      <c r="N3063" s="97" t="s">
        <v>387</v>
      </c>
      <c r="O3063" s="45" t="s">
        <v>150</v>
      </c>
      <c r="P3063" s="58" t="s">
        <v>51</v>
      </c>
      <c r="Q3063" s="58" t="s">
        <v>107</v>
      </c>
      <c r="R3063" s="58" t="s">
        <v>272</v>
      </c>
    </row>
    <row r="3064" spans="1:18" ht="69" customHeight="1">
      <c r="A3064" s="168"/>
      <c r="B3064" s="178">
        <v>5107</v>
      </c>
      <c r="C3064" s="178" t="s">
        <v>458</v>
      </c>
      <c r="D3064" s="575" t="s">
        <v>1712</v>
      </c>
      <c r="E3064" s="178" t="s">
        <v>382</v>
      </c>
      <c r="F3064" s="210" t="s">
        <v>8294</v>
      </c>
      <c r="G3064" s="58" t="s">
        <v>384</v>
      </c>
      <c r="H3064" s="546">
        <v>39819.519999999997</v>
      </c>
      <c r="I3064" s="66">
        <v>44739</v>
      </c>
      <c r="J3064" s="411" t="s">
        <v>8295</v>
      </c>
      <c r="K3064" s="58"/>
      <c r="L3064" s="99"/>
      <c r="M3064" s="70" t="s">
        <v>8293</v>
      </c>
      <c r="N3064" s="97" t="s">
        <v>387</v>
      </c>
      <c r="O3064" s="45" t="s">
        <v>150</v>
      </c>
      <c r="P3064" s="58" t="s">
        <v>51</v>
      </c>
      <c r="Q3064" s="58" t="s">
        <v>107</v>
      </c>
      <c r="R3064" s="58" t="s">
        <v>272</v>
      </c>
    </row>
    <row r="3065" spans="1:18" ht="69" customHeight="1">
      <c r="A3065" s="168"/>
      <c r="B3065" s="178">
        <v>6072</v>
      </c>
      <c r="C3065" s="178" t="s">
        <v>458</v>
      </c>
      <c r="D3065" s="575" t="s">
        <v>2253</v>
      </c>
      <c r="E3065" s="178"/>
      <c r="F3065" s="210" t="s">
        <v>8296</v>
      </c>
      <c r="G3065" s="58" t="s">
        <v>8297</v>
      </c>
      <c r="H3065" s="546">
        <v>7950.36</v>
      </c>
      <c r="I3065" s="66">
        <v>44760</v>
      </c>
      <c r="J3065" s="411" t="s">
        <v>8298</v>
      </c>
      <c r="K3065" s="58"/>
      <c r="L3065" s="99"/>
      <c r="M3065" s="70" t="s">
        <v>8270</v>
      </c>
      <c r="N3065" s="97" t="s">
        <v>270</v>
      </c>
      <c r="O3065" s="58"/>
      <c r="P3065" s="58" t="s">
        <v>44</v>
      </c>
      <c r="Q3065" s="58" t="s">
        <v>107</v>
      </c>
      <c r="R3065" s="58" t="s">
        <v>272</v>
      </c>
    </row>
    <row r="3066" spans="1:18" ht="69" customHeight="1">
      <c r="A3066" s="168"/>
      <c r="B3066" s="178">
        <v>6062</v>
      </c>
      <c r="C3066" s="178" t="s">
        <v>458</v>
      </c>
      <c r="D3066" s="575" t="s">
        <v>2734</v>
      </c>
      <c r="E3066" s="178" t="s">
        <v>266</v>
      </c>
      <c r="F3066" s="210" t="s">
        <v>8299</v>
      </c>
      <c r="G3066" s="58" t="s">
        <v>680</v>
      </c>
      <c r="H3066" s="546">
        <v>6206.9</v>
      </c>
      <c r="I3066" s="66" t="s">
        <v>96</v>
      </c>
      <c r="J3066" s="411" t="s">
        <v>8300</v>
      </c>
      <c r="K3066" s="58"/>
      <c r="L3066" s="99"/>
      <c r="M3066" s="70" t="s">
        <v>8301</v>
      </c>
      <c r="N3066" s="97" t="s">
        <v>683</v>
      </c>
      <c r="O3066" s="58" t="s">
        <v>149</v>
      </c>
      <c r="P3066" s="58" t="s">
        <v>46</v>
      </c>
      <c r="Q3066" s="58" t="s">
        <v>107</v>
      </c>
      <c r="R3066" s="58" t="s">
        <v>272</v>
      </c>
    </row>
    <row r="3067" spans="1:18" ht="69" customHeight="1">
      <c r="A3067" s="168"/>
      <c r="B3067" s="178">
        <v>6092</v>
      </c>
      <c r="C3067" s="178" t="s">
        <v>458</v>
      </c>
      <c r="D3067" s="575" t="s">
        <v>963</v>
      </c>
      <c r="E3067" s="178" t="s">
        <v>358</v>
      </c>
      <c r="F3067" s="210" t="s">
        <v>8302</v>
      </c>
      <c r="G3067" s="58" t="s">
        <v>529</v>
      </c>
      <c r="H3067" s="546">
        <v>200000</v>
      </c>
      <c r="I3067" s="66">
        <v>44769</v>
      </c>
      <c r="J3067" s="411" t="s">
        <v>8303</v>
      </c>
      <c r="K3067" s="58" t="s">
        <v>8304</v>
      </c>
      <c r="L3067" s="99"/>
      <c r="M3067" s="70" t="s">
        <v>8305</v>
      </c>
      <c r="N3067" s="97" t="s">
        <v>356</v>
      </c>
      <c r="O3067" s="58" t="s">
        <v>141</v>
      </c>
      <c r="P3067" s="58" t="s">
        <v>19</v>
      </c>
      <c r="Q3067" s="58" t="s">
        <v>107</v>
      </c>
      <c r="R3067" s="58" t="s">
        <v>272</v>
      </c>
    </row>
    <row r="3068" spans="1:18" ht="69" customHeight="1">
      <c r="A3068" s="168"/>
      <c r="B3068" s="600">
        <v>6087</v>
      </c>
      <c r="C3068" s="600" t="s">
        <v>458</v>
      </c>
      <c r="D3068" s="601" t="s">
        <v>1299</v>
      </c>
      <c r="E3068" s="600" t="s">
        <v>7649</v>
      </c>
      <c r="F3068" s="602" t="s">
        <v>8306</v>
      </c>
      <c r="G3068" s="460" t="s">
        <v>7054</v>
      </c>
      <c r="H3068" s="546">
        <v>262253.63</v>
      </c>
      <c r="I3068" s="461">
        <v>44776</v>
      </c>
      <c r="J3068" s="603" t="s">
        <v>8307</v>
      </c>
      <c r="K3068" s="460" t="s">
        <v>5658</v>
      </c>
      <c r="L3068" s="99"/>
      <c r="M3068" s="70" t="s">
        <v>8308</v>
      </c>
      <c r="N3068" s="97" t="s">
        <v>414</v>
      </c>
      <c r="O3068" s="58"/>
      <c r="P3068" s="58" t="s">
        <v>22</v>
      </c>
      <c r="Q3068" s="46" t="s">
        <v>107</v>
      </c>
      <c r="R3068" s="58" t="s">
        <v>272</v>
      </c>
    </row>
    <row r="3069" spans="1:18" ht="69" customHeight="1">
      <c r="A3069" s="168"/>
      <c r="B3069" s="178">
        <v>6332</v>
      </c>
      <c r="C3069" s="178" t="s">
        <v>458</v>
      </c>
      <c r="D3069" s="575" t="s">
        <v>8309</v>
      </c>
      <c r="E3069" s="178" t="s">
        <v>270</v>
      </c>
      <c r="F3069" s="210" t="s">
        <v>8310</v>
      </c>
      <c r="G3069" s="58" t="s">
        <v>8297</v>
      </c>
      <c r="H3069" s="546">
        <v>31801.439999999999</v>
      </c>
      <c r="I3069" s="66">
        <v>44792</v>
      </c>
      <c r="J3069" s="411" t="s">
        <v>8298</v>
      </c>
      <c r="K3069" s="58"/>
      <c r="L3069" s="99"/>
      <c r="M3069" s="70" t="s">
        <v>8270</v>
      </c>
      <c r="N3069" s="97" t="s">
        <v>270</v>
      </c>
      <c r="O3069" s="58"/>
      <c r="P3069" s="58" t="s">
        <v>44</v>
      </c>
      <c r="Q3069" s="58" t="s">
        <v>107</v>
      </c>
      <c r="R3069" s="58" t="s">
        <v>272</v>
      </c>
    </row>
    <row r="3070" spans="1:18" ht="69" customHeight="1">
      <c r="A3070" s="168"/>
      <c r="B3070" s="178">
        <v>6403</v>
      </c>
      <c r="C3070" s="178" t="s">
        <v>458</v>
      </c>
      <c r="D3070" s="575" t="s">
        <v>8311</v>
      </c>
      <c r="E3070" s="178" t="s">
        <v>432</v>
      </c>
      <c r="F3070" s="210" t="s">
        <v>8312</v>
      </c>
      <c r="G3070" s="58" t="s">
        <v>429</v>
      </c>
      <c r="H3070" s="546">
        <v>13959.486000000001</v>
      </c>
      <c r="I3070" s="66">
        <v>44802</v>
      </c>
      <c r="J3070" s="411" t="s">
        <v>7660</v>
      </c>
      <c r="K3070" s="58"/>
      <c r="L3070" s="99"/>
      <c r="M3070" s="70" t="s">
        <v>8313</v>
      </c>
      <c r="N3070" s="97" t="s">
        <v>432</v>
      </c>
      <c r="O3070" s="58"/>
      <c r="P3070" s="58" t="s">
        <v>53</v>
      </c>
      <c r="Q3070" s="58" t="s">
        <v>107</v>
      </c>
      <c r="R3070" s="58" t="s">
        <v>272</v>
      </c>
    </row>
    <row r="3071" spans="1:18" ht="69" customHeight="1">
      <c r="A3071" s="168"/>
      <c r="B3071" s="178">
        <v>6297</v>
      </c>
      <c r="C3071" s="178" t="s">
        <v>458</v>
      </c>
      <c r="D3071" s="575" t="s">
        <v>8314</v>
      </c>
      <c r="E3071" s="178" t="s">
        <v>266</v>
      </c>
      <c r="F3071" s="210" t="s">
        <v>8315</v>
      </c>
      <c r="G3071" s="58" t="s">
        <v>790</v>
      </c>
      <c r="H3071" s="546">
        <v>2281.25</v>
      </c>
      <c r="I3071" s="66">
        <v>44834</v>
      </c>
      <c r="J3071" s="411" t="s">
        <v>8316</v>
      </c>
      <c r="K3071" s="58"/>
      <c r="L3071" s="99"/>
      <c r="M3071" s="70" t="s">
        <v>8301</v>
      </c>
      <c r="N3071" s="97" t="s">
        <v>683</v>
      </c>
      <c r="O3071" s="58" t="s">
        <v>149</v>
      </c>
      <c r="P3071" s="58" t="s">
        <v>46</v>
      </c>
      <c r="Q3071" s="58" t="s">
        <v>107</v>
      </c>
      <c r="R3071" s="58" t="s">
        <v>272</v>
      </c>
    </row>
    <row r="3072" spans="1:18" ht="69" customHeight="1">
      <c r="A3072" s="168"/>
      <c r="B3072" s="178">
        <v>6908</v>
      </c>
      <c r="C3072" s="178" t="s">
        <v>458</v>
      </c>
      <c r="D3072" s="575" t="s">
        <v>3011</v>
      </c>
      <c r="E3072" s="178" t="s">
        <v>1367</v>
      </c>
      <c r="F3072" s="210" t="s">
        <v>8317</v>
      </c>
      <c r="G3072" s="58" t="s">
        <v>1369</v>
      </c>
      <c r="H3072" s="546">
        <v>5380</v>
      </c>
      <c r="I3072" s="66">
        <v>44841</v>
      </c>
      <c r="J3072" s="411" t="s">
        <v>4958</v>
      </c>
      <c r="K3072" s="58"/>
      <c r="L3072" s="99"/>
      <c r="M3072" s="70" t="s">
        <v>8270</v>
      </c>
      <c r="N3072" s="97" t="s">
        <v>270</v>
      </c>
      <c r="O3072" s="58"/>
      <c r="P3072" s="58" t="s">
        <v>44</v>
      </c>
      <c r="Q3072" s="58" t="s">
        <v>107</v>
      </c>
      <c r="R3072" s="58" t="s">
        <v>272</v>
      </c>
    </row>
    <row r="3073" spans="1:18" ht="69" customHeight="1">
      <c r="A3073" s="168"/>
      <c r="B3073" s="178">
        <v>6920</v>
      </c>
      <c r="C3073" s="178" t="s">
        <v>458</v>
      </c>
      <c r="D3073" s="575" t="s">
        <v>3213</v>
      </c>
      <c r="E3073" s="178" t="s">
        <v>266</v>
      </c>
      <c r="F3073" s="210" t="s">
        <v>8318</v>
      </c>
      <c r="G3073" s="58" t="s">
        <v>1053</v>
      </c>
      <c r="H3073" s="546">
        <v>7700</v>
      </c>
      <c r="I3073" s="66">
        <v>44844</v>
      </c>
      <c r="J3073" s="411" t="s">
        <v>8319</v>
      </c>
      <c r="K3073" s="58"/>
      <c r="L3073" s="99"/>
      <c r="M3073" s="70" t="s">
        <v>8270</v>
      </c>
      <c r="N3073" s="97" t="s">
        <v>270</v>
      </c>
      <c r="O3073" s="58"/>
      <c r="P3073" s="58" t="s">
        <v>44</v>
      </c>
      <c r="Q3073" s="58" t="s">
        <v>107</v>
      </c>
      <c r="R3073" s="58" t="s">
        <v>272</v>
      </c>
    </row>
    <row r="3074" spans="1:18" ht="69" customHeight="1">
      <c r="A3074" s="168"/>
      <c r="B3074" s="178">
        <v>7041</v>
      </c>
      <c r="C3074" s="178" t="s">
        <v>458</v>
      </c>
      <c r="D3074" s="575" t="s">
        <v>8320</v>
      </c>
      <c r="E3074" s="178" t="s">
        <v>970</v>
      </c>
      <c r="F3074" s="210" t="s">
        <v>8321</v>
      </c>
      <c r="G3074" s="58" t="s">
        <v>1107</v>
      </c>
      <c r="H3074" s="546">
        <v>7293.34</v>
      </c>
      <c r="I3074" s="66">
        <v>44848</v>
      </c>
      <c r="J3074" s="411" t="s">
        <v>8322</v>
      </c>
      <c r="K3074" s="58"/>
      <c r="L3074" s="99"/>
      <c r="M3074" s="70" t="s">
        <v>8285</v>
      </c>
      <c r="N3074" s="97" t="s">
        <v>970</v>
      </c>
      <c r="O3074" s="58" t="s">
        <v>5961</v>
      </c>
      <c r="P3074" s="58" t="s">
        <v>38</v>
      </c>
      <c r="Q3074" s="58" t="s">
        <v>107</v>
      </c>
      <c r="R3074" s="58" t="s">
        <v>272</v>
      </c>
    </row>
    <row r="3075" spans="1:18" ht="69" customHeight="1">
      <c r="A3075" s="168"/>
      <c r="B3075" s="178">
        <v>7042</v>
      </c>
      <c r="C3075" s="178" t="s">
        <v>458</v>
      </c>
      <c r="D3075" s="575" t="s">
        <v>8323</v>
      </c>
      <c r="E3075" s="178" t="s">
        <v>970</v>
      </c>
      <c r="F3075" s="210" t="s">
        <v>8324</v>
      </c>
      <c r="G3075" s="58" t="s">
        <v>1107</v>
      </c>
      <c r="H3075" s="546">
        <v>7293.34</v>
      </c>
      <c r="I3075" s="66">
        <v>44848</v>
      </c>
      <c r="J3075" s="411" t="s">
        <v>8322</v>
      </c>
      <c r="K3075" s="58"/>
      <c r="L3075" s="99"/>
      <c r="M3075" s="70" t="s">
        <v>8285</v>
      </c>
      <c r="N3075" s="97" t="s">
        <v>970</v>
      </c>
      <c r="O3075" s="58" t="s">
        <v>5961</v>
      </c>
      <c r="P3075" s="58" t="s">
        <v>38</v>
      </c>
      <c r="Q3075" s="58" t="s">
        <v>107</v>
      </c>
      <c r="R3075" s="58" t="s">
        <v>272</v>
      </c>
    </row>
    <row r="3076" spans="1:18" ht="69" customHeight="1">
      <c r="A3076" s="168"/>
      <c r="B3076" s="178">
        <v>7456</v>
      </c>
      <c r="C3076" s="178" t="s">
        <v>458</v>
      </c>
      <c r="D3076" s="575" t="s">
        <v>2114</v>
      </c>
      <c r="E3076" s="178" t="s">
        <v>2075</v>
      </c>
      <c r="F3076" s="210" t="s">
        <v>8325</v>
      </c>
      <c r="G3076" s="58" t="s">
        <v>1041</v>
      </c>
      <c r="H3076" s="546">
        <v>223186.77</v>
      </c>
      <c r="I3076" s="66">
        <v>44883</v>
      </c>
      <c r="J3076" s="411" t="s">
        <v>1042</v>
      </c>
      <c r="K3076" s="58"/>
      <c r="L3076" s="99"/>
      <c r="M3076" s="70" t="s">
        <v>8326</v>
      </c>
      <c r="N3076" s="97" t="s">
        <v>1044</v>
      </c>
      <c r="O3076" s="58" t="s">
        <v>156</v>
      </c>
      <c r="P3076" s="58" t="s">
        <v>26</v>
      </c>
      <c r="Q3076" s="58" t="s">
        <v>107</v>
      </c>
      <c r="R3076" s="58" t="s">
        <v>272</v>
      </c>
    </row>
    <row r="3077" spans="1:18" ht="69" customHeight="1">
      <c r="A3077" s="168"/>
      <c r="B3077" s="178">
        <v>7384</v>
      </c>
      <c r="C3077" s="178" t="s">
        <v>458</v>
      </c>
      <c r="D3077" s="575" t="s">
        <v>8327</v>
      </c>
      <c r="E3077" s="178" t="s">
        <v>432</v>
      </c>
      <c r="F3077" s="210" t="s">
        <v>8328</v>
      </c>
      <c r="G3077" s="58" t="s">
        <v>1121</v>
      </c>
      <c r="H3077" s="546">
        <v>34317.03</v>
      </c>
      <c r="I3077" s="66">
        <v>44876</v>
      </c>
      <c r="J3077" s="411" t="s">
        <v>1122</v>
      </c>
      <c r="K3077" s="58"/>
      <c r="L3077" s="99"/>
      <c r="M3077" s="70" t="s">
        <v>8313</v>
      </c>
      <c r="N3077" s="97" t="s">
        <v>432</v>
      </c>
      <c r="O3077" s="58"/>
      <c r="P3077" s="58" t="s">
        <v>53</v>
      </c>
      <c r="Q3077" s="58" t="s">
        <v>107</v>
      </c>
      <c r="R3077" s="58" t="s">
        <v>272</v>
      </c>
    </row>
    <row r="3078" spans="1:18" ht="69" customHeight="1">
      <c r="A3078" s="168"/>
      <c r="B3078" s="178">
        <v>7514</v>
      </c>
      <c r="C3078" s="178" t="s">
        <v>458</v>
      </c>
      <c r="D3078" s="575" t="s">
        <v>570</v>
      </c>
      <c r="E3078" s="178" t="s">
        <v>741</v>
      </c>
      <c r="F3078" s="210" t="s">
        <v>8329</v>
      </c>
      <c r="G3078" s="58" t="s">
        <v>8330</v>
      </c>
      <c r="H3078" s="546">
        <v>37734.660000000003</v>
      </c>
      <c r="I3078" s="66">
        <v>44883</v>
      </c>
      <c r="J3078" s="411" t="s">
        <v>8331</v>
      </c>
      <c r="K3078" s="58"/>
      <c r="L3078" s="99"/>
      <c r="M3078" s="70" t="s">
        <v>8332</v>
      </c>
      <c r="N3078" s="97" t="s">
        <v>741</v>
      </c>
      <c r="O3078" s="58"/>
      <c r="P3078" s="58" t="s">
        <v>59</v>
      </c>
      <c r="Q3078" s="58" t="s">
        <v>107</v>
      </c>
      <c r="R3078" s="58" t="s">
        <v>272</v>
      </c>
    </row>
    <row r="3079" spans="1:18" ht="69" customHeight="1">
      <c r="A3079" s="168"/>
      <c r="B3079" s="178">
        <v>7515</v>
      </c>
      <c r="C3079" s="178" t="s">
        <v>458</v>
      </c>
      <c r="D3079" s="575" t="s">
        <v>1594</v>
      </c>
      <c r="E3079" s="178" t="s">
        <v>741</v>
      </c>
      <c r="F3079" s="210" t="s">
        <v>8333</v>
      </c>
      <c r="G3079" s="58" t="s">
        <v>8330</v>
      </c>
      <c r="H3079" s="546">
        <v>150938.63</v>
      </c>
      <c r="I3079" s="66">
        <v>44883</v>
      </c>
      <c r="J3079" s="411" t="s">
        <v>8331</v>
      </c>
      <c r="K3079" s="58"/>
      <c r="L3079" s="99"/>
      <c r="M3079" s="70" t="s">
        <v>8332</v>
      </c>
      <c r="N3079" s="97" t="s">
        <v>741</v>
      </c>
      <c r="O3079" s="58"/>
      <c r="P3079" s="58" t="s">
        <v>59</v>
      </c>
      <c r="Q3079" s="58" t="s">
        <v>107</v>
      </c>
      <c r="R3079" s="58" t="s">
        <v>272</v>
      </c>
    </row>
    <row r="3080" spans="1:18" ht="69" customHeight="1">
      <c r="A3080" s="168"/>
      <c r="B3080" s="178">
        <v>7595</v>
      </c>
      <c r="C3080" s="178" t="s">
        <v>458</v>
      </c>
      <c r="D3080" s="575" t="s">
        <v>2338</v>
      </c>
      <c r="E3080" s="178" t="s">
        <v>741</v>
      </c>
      <c r="F3080" s="210" t="s">
        <v>8334</v>
      </c>
      <c r="G3080" s="58" t="s">
        <v>7870</v>
      </c>
      <c r="H3080" s="546">
        <v>13867.33</v>
      </c>
      <c r="I3080" s="66">
        <v>44890</v>
      </c>
      <c r="J3080" s="411" t="s">
        <v>7871</v>
      </c>
      <c r="K3080" s="58"/>
      <c r="L3080" s="99"/>
      <c r="M3080" s="70" t="s">
        <v>8332</v>
      </c>
      <c r="N3080" s="97" t="s">
        <v>741</v>
      </c>
      <c r="O3080" s="58"/>
      <c r="P3080" s="58" t="s">
        <v>59</v>
      </c>
      <c r="Q3080" s="58" t="s">
        <v>107</v>
      </c>
      <c r="R3080" s="58" t="s">
        <v>272</v>
      </c>
    </row>
    <row r="3081" spans="1:18" ht="69" customHeight="1">
      <c r="A3081" s="168"/>
      <c r="B3081" s="178">
        <v>7596</v>
      </c>
      <c r="C3081" s="178" t="s">
        <v>458</v>
      </c>
      <c r="D3081" s="575" t="s">
        <v>2564</v>
      </c>
      <c r="E3081" s="178" t="s">
        <v>741</v>
      </c>
      <c r="F3081" s="210" t="s">
        <v>8335</v>
      </c>
      <c r="G3081" s="58" t="s">
        <v>7870</v>
      </c>
      <c r="H3081" s="546">
        <v>55469.32</v>
      </c>
      <c r="I3081" s="66">
        <v>44890</v>
      </c>
      <c r="J3081" s="411" t="s">
        <v>7871</v>
      </c>
      <c r="K3081" s="58"/>
      <c r="L3081" s="99"/>
      <c r="M3081" s="70" t="s">
        <v>8332</v>
      </c>
      <c r="N3081" s="97" t="s">
        <v>741</v>
      </c>
      <c r="O3081" s="58"/>
      <c r="P3081" s="58" t="s">
        <v>59</v>
      </c>
      <c r="Q3081" s="58" t="s">
        <v>107</v>
      </c>
      <c r="R3081" s="58" t="s">
        <v>272</v>
      </c>
    </row>
    <row r="3082" spans="1:18" ht="69" customHeight="1">
      <c r="A3082" s="168"/>
      <c r="B3082" s="178">
        <v>7565</v>
      </c>
      <c r="C3082" s="178" t="s">
        <v>458</v>
      </c>
      <c r="D3082" s="575" t="s">
        <v>3296</v>
      </c>
      <c r="E3082" s="178" t="s">
        <v>266</v>
      </c>
      <c r="F3082" s="210" t="s">
        <v>8336</v>
      </c>
      <c r="G3082" s="58" t="s">
        <v>392</v>
      </c>
      <c r="H3082" s="546">
        <v>1150</v>
      </c>
      <c r="I3082" s="66">
        <v>44903</v>
      </c>
      <c r="J3082" s="411" t="s">
        <v>7700</v>
      </c>
      <c r="K3082" s="58"/>
      <c r="L3082" s="99"/>
      <c r="M3082" s="70" t="s">
        <v>8270</v>
      </c>
      <c r="N3082" s="97" t="s">
        <v>270</v>
      </c>
      <c r="O3082" s="58"/>
      <c r="P3082" s="58" t="s">
        <v>44</v>
      </c>
      <c r="Q3082" s="58" t="s">
        <v>107</v>
      </c>
      <c r="R3082" s="58" t="s">
        <v>272</v>
      </c>
    </row>
    <row r="3083" spans="1:18" ht="69" customHeight="1">
      <c r="A3083" s="168"/>
      <c r="B3083" s="178">
        <v>7793</v>
      </c>
      <c r="C3083" s="178" t="s">
        <v>458</v>
      </c>
      <c r="D3083" s="575" t="s">
        <v>3077</v>
      </c>
      <c r="E3083" s="178" t="s">
        <v>7649</v>
      </c>
      <c r="F3083" s="210" t="s">
        <v>8337</v>
      </c>
      <c r="G3083" s="58" t="s">
        <v>7670</v>
      </c>
      <c r="H3083" s="546">
        <v>275504.61</v>
      </c>
      <c r="I3083" s="66">
        <v>44909</v>
      </c>
      <c r="J3083" s="411" t="s">
        <v>7671</v>
      </c>
      <c r="K3083" s="58" t="s">
        <v>8338</v>
      </c>
      <c r="L3083" s="99"/>
      <c r="M3083" s="70" t="s">
        <v>8308</v>
      </c>
      <c r="N3083" s="97" t="s">
        <v>414</v>
      </c>
      <c r="O3083" s="58"/>
      <c r="P3083" s="58" t="s">
        <v>22</v>
      </c>
      <c r="Q3083" s="58" t="s">
        <v>107</v>
      </c>
      <c r="R3083" s="58" t="s">
        <v>272</v>
      </c>
    </row>
    <row r="3084" spans="1:18" ht="69" customHeight="1">
      <c r="A3084" s="168"/>
      <c r="B3084" s="178">
        <v>7794</v>
      </c>
      <c r="C3084" s="178" t="s">
        <v>458</v>
      </c>
      <c r="D3084" s="575" t="s">
        <v>3079</v>
      </c>
      <c r="E3084" s="178" t="s">
        <v>7649</v>
      </c>
      <c r="F3084" s="210" t="s">
        <v>8339</v>
      </c>
      <c r="G3084" s="58" t="s">
        <v>7673</v>
      </c>
      <c r="H3084" s="546">
        <v>148348.64000000001</v>
      </c>
      <c r="I3084" s="66">
        <v>44909</v>
      </c>
      <c r="J3084" s="411" t="s">
        <v>7671</v>
      </c>
      <c r="K3084" s="58" t="s">
        <v>8338</v>
      </c>
      <c r="L3084" s="99"/>
      <c r="M3084" s="70" t="s">
        <v>8308</v>
      </c>
      <c r="N3084" s="97" t="s">
        <v>414</v>
      </c>
      <c r="O3084" s="58"/>
      <c r="P3084" s="58" t="s">
        <v>22</v>
      </c>
      <c r="Q3084" s="58" t="s">
        <v>107</v>
      </c>
      <c r="R3084" s="58" t="s">
        <v>272</v>
      </c>
    </row>
    <row r="3085" spans="1:18" ht="69" customHeight="1">
      <c r="A3085" s="168"/>
      <c r="B3085" s="178">
        <v>7787</v>
      </c>
      <c r="C3085" s="178" t="s">
        <v>458</v>
      </c>
      <c r="D3085" s="575" t="s">
        <v>8239</v>
      </c>
      <c r="E3085" s="178" t="s">
        <v>741</v>
      </c>
      <c r="F3085" s="210" t="s">
        <v>8340</v>
      </c>
      <c r="G3085" s="58" t="s">
        <v>8341</v>
      </c>
      <c r="H3085" s="546">
        <v>32631.49</v>
      </c>
      <c r="I3085" s="66">
        <v>44907</v>
      </c>
      <c r="J3085" s="411" t="s">
        <v>7686</v>
      </c>
      <c r="K3085" s="58"/>
      <c r="L3085" s="99"/>
      <c r="M3085" s="70" t="s">
        <v>8332</v>
      </c>
      <c r="N3085" s="97" t="s">
        <v>741</v>
      </c>
      <c r="O3085" s="58"/>
      <c r="P3085" s="58" t="s">
        <v>59</v>
      </c>
      <c r="Q3085" s="58" t="s">
        <v>107</v>
      </c>
      <c r="R3085" s="58" t="s">
        <v>272</v>
      </c>
    </row>
    <row r="3086" spans="1:18" ht="69" customHeight="1">
      <c r="A3086" s="168"/>
      <c r="B3086" s="178">
        <v>7788</v>
      </c>
      <c r="C3086" s="178" t="s">
        <v>458</v>
      </c>
      <c r="D3086" s="575" t="s">
        <v>8342</v>
      </c>
      <c r="E3086" s="178" t="s">
        <v>741</v>
      </c>
      <c r="F3086" s="210" t="s">
        <v>8343</v>
      </c>
      <c r="G3086" s="58" t="s">
        <v>8341</v>
      </c>
      <c r="H3086" s="546">
        <v>130525.95</v>
      </c>
      <c r="I3086" s="66">
        <v>44907</v>
      </c>
      <c r="J3086" s="411" t="s">
        <v>7686</v>
      </c>
      <c r="K3086" s="58"/>
      <c r="L3086" s="99"/>
      <c r="M3086" s="70" t="s">
        <v>8332</v>
      </c>
      <c r="N3086" s="97" t="s">
        <v>741</v>
      </c>
      <c r="O3086" s="58"/>
      <c r="P3086" s="58" t="s">
        <v>59</v>
      </c>
      <c r="Q3086" s="58" t="s">
        <v>107</v>
      </c>
      <c r="R3086" s="58" t="s">
        <v>272</v>
      </c>
    </row>
    <row r="3087" spans="1:18" ht="69" customHeight="1">
      <c r="A3087" s="168"/>
      <c r="B3087" s="178">
        <v>7295</v>
      </c>
      <c r="C3087" s="178" t="s">
        <v>458</v>
      </c>
      <c r="D3087" s="575" t="s">
        <v>8344</v>
      </c>
      <c r="E3087" s="178" t="s">
        <v>2075</v>
      </c>
      <c r="F3087" s="210" t="s">
        <v>8345</v>
      </c>
      <c r="G3087" s="58" t="s">
        <v>1041</v>
      </c>
      <c r="H3087" s="546">
        <v>33622.79</v>
      </c>
      <c r="I3087" s="66">
        <v>44869</v>
      </c>
      <c r="J3087" s="411" t="s">
        <v>6099</v>
      </c>
      <c r="K3087" s="58"/>
      <c r="L3087" s="99"/>
      <c r="M3087" s="70" t="s">
        <v>8326</v>
      </c>
      <c r="N3087" s="97" t="s">
        <v>1044</v>
      </c>
      <c r="O3087" s="58" t="s">
        <v>156</v>
      </c>
      <c r="P3087" s="58" t="s">
        <v>26</v>
      </c>
      <c r="Q3087" s="58" t="s">
        <v>107</v>
      </c>
      <c r="R3087" s="58" t="s">
        <v>272</v>
      </c>
    </row>
    <row r="3088" spans="1:18" ht="69" customHeight="1">
      <c r="A3088" s="168"/>
      <c r="B3088" s="178">
        <v>7574</v>
      </c>
      <c r="C3088" s="178" t="s">
        <v>458</v>
      </c>
      <c r="D3088" s="575" t="s">
        <v>5299</v>
      </c>
      <c r="E3088" s="178" t="s">
        <v>2075</v>
      </c>
      <c r="F3088" s="210" t="s">
        <v>8346</v>
      </c>
      <c r="G3088" s="58" t="s">
        <v>1041</v>
      </c>
      <c r="H3088" s="546">
        <v>8680</v>
      </c>
      <c r="I3088" s="66">
        <v>44904</v>
      </c>
      <c r="J3088" s="411" t="s">
        <v>1080</v>
      </c>
      <c r="K3088" s="58"/>
      <c r="L3088" s="99"/>
      <c r="M3088" s="70" t="s">
        <v>8326</v>
      </c>
      <c r="N3088" s="97" t="s">
        <v>1044</v>
      </c>
      <c r="O3088" s="58" t="s">
        <v>156</v>
      </c>
      <c r="P3088" s="58" t="s">
        <v>26</v>
      </c>
      <c r="Q3088" s="58" t="s">
        <v>107</v>
      </c>
      <c r="R3088" s="58" t="s">
        <v>272</v>
      </c>
    </row>
    <row r="3089" spans="1:18" ht="69" customHeight="1">
      <c r="A3089" s="168"/>
      <c r="B3089" s="178">
        <v>7702</v>
      </c>
      <c r="C3089" s="178" t="s">
        <v>458</v>
      </c>
      <c r="D3089" s="575" t="s">
        <v>5319</v>
      </c>
      <c r="E3089" s="178" t="s">
        <v>8347</v>
      </c>
      <c r="F3089" s="210" t="s">
        <v>8348</v>
      </c>
      <c r="G3089" s="58" t="s">
        <v>8349</v>
      </c>
      <c r="H3089" s="546">
        <v>20000</v>
      </c>
      <c r="I3089" s="66">
        <v>44902</v>
      </c>
      <c r="J3089" s="411" t="s">
        <v>8350</v>
      </c>
      <c r="K3089" s="58"/>
      <c r="L3089" s="99"/>
      <c r="M3089" s="70" t="s">
        <v>8351</v>
      </c>
      <c r="N3089" s="97" t="s">
        <v>414</v>
      </c>
      <c r="O3089" s="58"/>
      <c r="P3089" s="58" t="s">
        <v>22</v>
      </c>
      <c r="Q3089" s="58" t="s">
        <v>107</v>
      </c>
      <c r="R3089" s="58" t="s">
        <v>265</v>
      </c>
    </row>
    <row r="3090" spans="1:18" ht="69" customHeight="1">
      <c r="A3090" s="168"/>
      <c r="B3090" s="178">
        <v>8024</v>
      </c>
      <c r="C3090" s="178" t="s">
        <v>458</v>
      </c>
      <c r="D3090" s="575" t="s">
        <v>7938</v>
      </c>
      <c r="E3090" s="178" t="s">
        <v>8347</v>
      </c>
      <c r="F3090" s="210" t="s">
        <v>8352</v>
      </c>
      <c r="G3090" s="58" t="s">
        <v>1149</v>
      </c>
      <c r="H3090" s="546">
        <v>11392</v>
      </c>
      <c r="I3090" s="66">
        <v>44915</v>
      </c>
      <c r="J3090" s="411" t="s">
        <v>8353</v>
      </c>
      <c r="K3090" s="58"/>
      <c r="L3090" s="99"/>
      <c r="M3090" s="70" t="s">
        <v>8351</v>
      </c>
      <c r="N3090" s="97" t="s">
        <v>414</v>
      </c>
      <c r="O3090" s="58"/>
      <c r="P3090" s="58" t="s">
        <v>22</v>
      </c>
      <c r="Q3090" s="58" t="s">
        <v>107</v>
      </c>
      <c r="R3090" s="58" t="s">
        <v>265</v>
      </c>
    </row>
    <row r="3091" spans="1:18" ht="69" customHeight="1">
      <c r="A3091" s="168"/>
      <c r="B3091" s="191">
        <v>8119</v>
      </c>
      <c r="C3091" s="191" t="s">
        <v>657</v>
      </c>
      <c r="D3091" s="533" t="s">
        <v>4193</v>
      </c>
      <c r="E3091" s="191" t="s">
        <v>8347</v>
      </c>
      <c r="F3091" s="211" t="s">
        <v>8354</v>
      </c>
      <c r="G3091" s="46" t="s">
        <v>1149</v>
      </c>
      <c r="H3091" s="534">
        <v>13883.61</v>
      </c>
      <c r="I3091" s="56">
        <v>44918</v>
      </c>
      <c r="J3091" s="412" t="s">
        <v>8355</v>
      </c>
      <c r="K3091" s="46" t="s">
        <v>167</v>
      </c>
      <c r="L3091" s="99"/>
      <c r="M3091" s="70" t="s">
        <v>8351</v>
      </c>
      <c r="N3091" s="97" t="s">
        <v>414</v>
      </c>
      <c r="O3091" s="46"/>
      <c r="P3091" s="46" t="s">
        <v>65</v>
      </c>
      <c r="Q3091" s="46" t="s">
        <v>120</v>
      </c>
      <c r="R3091" s="46" t="s">
        <v>272</v>
      </c>
    </row>
    <row r="3092" spans="1:18" ht="69" customHeight="1">
      <c r="A3092" s="168"/>
      <c r="B3092" s="178">
        <v>8121</v>
      </c>
      <c r="C3092" s="178" t="s">
        <v>657</v>
      </c>
      <c r="D3092" s="575" t="s">
        <v>8356</v>
      </c>
      <c r="E3092" s="178" t="s">
        <v>8347</v>
      </c>
      <c r="F3092" s="210" t="s">
        <v>8357</v>
      </c>
      <c r="G3092" s="58" t="s">
        <v>1149</v>
      </c>
      <c r="H3092" s="546">
        <v>9545.81</v>
      </c>
      <c r="I3092" s="66">
        <v>44918</v>
      </c>
      <c r="J3092" s="411" t="s">
        <v>8355</v>
      </c>
      <c r="K3092" s="58"/>
      <c r="L3092" s="99"/>
      <c r="M3092" s="70" t="s">
        <v>8358</v>
      </c>
      <c r="N3092" s="97" t="s">
        <v>414</v>
      </c>
      <c r="O3092" s="58"/>
      <c r="P3092" s="58" t="s">
        <v>22</v>
      </c>
      <c r="Q3092" s="58" t="s">
        <v>120</v>
      </c>
      <c r="R3092" s="58" t="s">
        <v>265</v>
      </c>
    </row>
    <row r="3093" spans="1:18" ht="69" customHeight="1">
      <c r="A3093" s="168"/>
      <c r="B3093" s="178">
        <v>8149</v>
      </c>
      <c r="C3093" s="178" t="s">
        <v>458</v>
      </c>
      <c r="D3093" s="575" t="s">
        <v>8359</v>
      </c>
      <c r="E3093" s="178" t="s">
        <v>8347</v>
      </c>
      <c r="F3093" s="210" t="s">
        <v>8360</v>
      </c>
      <c r="G3093" s="58" t="s">
        <v>1149</v>
      </c>
      <c r="H3093" s="546">
        <v>67500</v>
      </c>
      <c r="I3093" s="66">
        <v>44922</v>
      </c>
      <c r="J3093" s="411" t="s">
        <v>8361</v>
      </c>
      <c r="K3093" s="58"/>
      <c r="L3093" s="99"/>
      <c r="M3093" s="70" t="s">
        <v>8351</v>
      </c>
      <c r="N3093" s="97" t="s">
        <v>414</v>
      </c>
      <c r="O3093" s="58"/>
      <c r="P3093" s="58" t="s">
        <v>22</v>
      </c>
      <c r="Q3093" s="58" t="s">
        <v>107</v>
      </c>
      <c r="R3093" s="58" t="s">
        <v>265</v>
      </c>
    </row>
    <row r="3094" spans="1:18" ht="69" customHeight="1">
      <c r="A3094" s="168"/>
      <c r="B3094" s="178">
        <v>8214</v>
      </c>
      <c r="C3094" s="178" t="s">
        <v>458</v>
      </c>
      <c r="D3094" s="575" t="s">
        <v>1101</v>
      </c>
      <c r="E3094" s="178" t="s">
        <v>741</v>
      </c>
      <c r="F3094" s="210" t="s">
        <v>8362</v>
      </c>
      <c r="G3094" s="58" t="s">
        <v>8341</v>
      </c>
      <c r="H3094" s="546">
        <v>21433.69</v>
      </c>
      <c r="I3094" s="66">
        <v>44921</v>
      </c>
      <c r="J3094" s="411" t="s">
        <v>7702</v>
      </c>
      <c r="K3094" s="58"/>
      <c r="L3094" s="99"/>
      <c r="M3094" s="70" t="s">
        <v>8332</v>
      </c>
      <c r="N3094" s="97" t="s">
        <v>741</v>
      </c>
      <c r="O3094" s="58"/>
      <c r="P3094" s="58" t="s">
        <v>59</v>
      </c>
      <c r="Q3094" s="58" t="s">
        <v>107</v>
      </c>
      <c r="R3094" s="58" t="s">
        <v>272</v>
      </c>
    </row>
    <row r="3095" spans="1:18" ht="69" customHeight="1">
      <c r="A3095" s="168"/>
      <c r="B3095" s="178">
        <v>8215</v>
      </c>
      <c r="C3095" s="178" t="s">
        <v>458</v>
      </c>
      <c r="D3095" s="575" t="s">
        <v>7951</v>
      </c>
      <c r="E3095" s="178" t="s">
        <v>741</v>
      </c>
      <c r="F3095" s="210" t="s">
        <v>8363</v>
      </c>
      <c r="G3095" s="58" t="s">
        <v>8341</v>
      </c>
      <c r="H3095" s="546">
        <v>85734.74</v>
      </c>
      <c r="I3095" s="66">
        <v>44921</v>
      </c>
      <c r="J3095" s="411" t="s">
        <v>7702</v>
      </c>
      <c r="K3095" s="58"/>
      <c r="L3095" s="99"/>
      <c r="M3095" s="70" t="s">
        <v>8332</v>
      </c>
      <c r="N3095" s="97" t="s">
        <v>741</v>
      </c>
      <c r="O3095" s="58"/>
      <c r="P3095" s="58" t="s">
        <v>59</v>
      </c>
      <c r="Q3095" s="58" t="s">
        <v>107</v>
      </c>
      <c r="R3095" s="58" t="s">
        <v>272</v>
      </c>
    </row>
    <row r="3096" spans="1:18" ht="69" customHeight="1">
      <c r="A3096" s="168"/>
      <c r="B3096" s="178">
        <v>8340</v>
      </c>
      <c r="C3096" s="178" t="s">
        <v>458</v>
      </c>
      <c r="D3096" s="575" t="s">
        <v>459</v>
      </c>
      <c r="E3096" s="178" t="s">
        <v>8347</v>
      </c>
      <c r="F3096" s="210" t="s">
        <v>461</v>
      </c>
      <c r="G3096" s="58" t="s">
        <v>462</v>
      </c>
      <c r="H3096" s="546">
        <v>20000</v>
      </c>
      <c r="I3096" s="66">
        <v>44923</v>
      </c>
      <c r="J3096" s="411" t="s">
        <v>463</v>
      </c>
      <c r="K3096" s="58"/>
      <c r="L3096" s="99"/>
      <c r="M3096" s="70" t="s">
        <v>8351</v>
      </c>
      <c r="N3096" s="97" t="s">
        <v>414</v>
      </c>
      <c r="O3096" s="58"/>
      <c r="P3096" s="58" t="s">
        <v>22</v>
      </c>
      <c r="Q3096" s="58" t="s">
        <v>107</v>
      </c>
      <c r="R3096" s="58" t="s">
        <v>265</v>
      </c>
    </row>
    <row r="3097" spans="1:18" ht="69" customHeight="1">
      <c r="A3097" s="168"/>
      <c r="B3097" s="178">
        <v>8568</v>
      </c>
      <c r="C3097" s="178" t="s">
        <v>458</v>
      </c>
      <c r="D3097" s="575" t="s">
        <v>1801</v>
      </c>
      <c r="E3097" s="178" t="s">
        <v>3235</v>
      </c>
      <c r="F3097" s="210" t="s">
        <v>8364</v>
      </c>
      <c r="G3097" s="58" t="s">
        <v>1877</v>
      </c>
      <c r="H3097" s="546">
        <v>10060.799999999999</v>
      </c>
      <c r="I3097" s="66">
        <v>44946</v>
      </c>
      <c r="J3097" s="411" t="s">
        <v>1878</v>
      </c>
      <c r="K3097" s="58"/>
      <c r="L3097" s="99"/>
      <c r="M3097" s="70" t="s">
        <v>8326</v>
      </c>
      <c r="N3097" s="97" t="s">
        <v>1044</v>
      </c>
      <c r="O3097" s="58" t="s">
        <v>156</v>
      </c>
      <c r="P3097" s="58" t="s">
        <v>26</v>
      </c>
      <c r="Q3097" s="58" t="s">
        <v>107</v>
      </c>
      <c r="R3097" s="58" t="s">
        <v>272</v>
      </c>
    </row>
    <row r="3098" spans="1:18" ht="69" customHeight="1">
      <c r="A3098" s="168"/>
      <c r="B3098" s="191">
        <v>8465</v>
      </c>
      <c r="C3098" s="191" t="s">
        <v>458</v>
      </c>
      <c r="D3098" s="533" t="s">
        <v>3256</v>
      </c>
      <c r="E3098" s="191" t="s">
        <v>8347</v>
      </c>
      <c r="F3098" s="211" t="s">
        <v>8365</v>
      </c>
      <c r="G3098" s="46" t="s">
        <v>7894</v>
      </c>
      <c r="H3098" s="534">
        <v>10878.8</v>
      </c>
      <c r="I3098" s="56">
        <v>44935</v>
      </c>
      <c r="J3098" s="412" t="s">
        <v>7895</v>
      </c>
      <c r="K3098" s="46" t="s">
        <v>167</v>
      </c>
      <c r="L3098" s="99"/>
      <c r="M3098" s="70" t="s">
        <v>8351</v>
      </c>
      <c r="N3098" s="97" t="s">
        <v>414</v>
      </c>
      <c r="O3098" s="46" t="s">
        <v>1171</v>
      </c>
      <c r="P3098" s="46" t="s">
        <v>71</v>
      </c>
      <c r="Q3098" s="46" t="s">
        <v>107</v>
      </c>
      <c r="R3098" s="46" t="s">
        <v>272</v>
      </c>
    </row>
    <row r="3099" spans="1:18" ht="69" customHeight="1">
      <c r="A3099" s="168"/>
      <c r="B3099" s="178">
        <v>8491</v>
      </c>
      <c r="C3099" s="178" t="s">
        <v>458</v>
      </c>
      <c r="D3099" s="575" t="s">
        <v>2118</v>
      </c>
      <c r="E3099" s="178" t="s">
        <v>741</v>
      </c>
      <c r="F3099" s="210" t="s">
        <v>8366</v>
      </c>
      <c r="G3099" s="58" t="s">
        <v>7728</v>
      </c>
      <c r="H3099" s="546">
        <v>17962.61</v>
      </c>
      <c r="I3099" s="66">
        <v>44937</v>
      </c>
      <c r="J3099" s="411" t="s">
        <v>8367</v>
      </c>
      <c r="K3099" s="58"/>
      <c r="L3099" s="99"/>
      <c r="M3099" s="70" t="s">
        <v>8332</v>
      </c>
      <c r="N3099" s="97" t="s">
        <v>741</v>
      </c>
      <c r="O3099" s="58"/>
      <c r="P3099" s="58" t="s">
        <v>59</v>
      </c>
      <c r="Q3099" s="58" t="s">
        <v>107</v>
      </c>
      <c r="R3099" s="58" t="s">
        <v>272</v>
      </c>
    </row>
    <row r="3100" spans="1:18" ht="69" customHeight="1">
      <c r="A3100" s="168"/>
      <c r="B3100" s="178">
        <v>8492</v>
      </c>
      <c r="C3100" s="178" t="s">
        <v>458</v>
      </c>
      <c r="D3100" s="575" t="s">
        <v>2120</v>
      </c>
      <c r="E3100" s="178" t="s">
        <v>741</v>
      </c>
      <c r="F3100" s="210" t="s">
        <v>8368</v>
      </c>
      <c r="G3100" s="58" t="s">
        <v>7728</v>
      </c>
      <c r="H3100" s="546">
        <v>71850.42</v>
      </c>
      <c r="I3100" s="66">
        <v>44937</v>
      </c>
      <c r="J3100" s="411" t="s">
        <v>8367</v>
      </c>
      <c r="K3100" s="58"/>
      <c r="L3100" s="99"/>
      <c r="M3100" s="70" t="s">
        <v>8332</v>
      </c>
      <c r="N3100" s="97" t="s">
        <v>741</v>
      </c>
      <c r="O3100" s="58"/>
      <c r="P3100" s="58" t="s">
        <v>59</v>
      </c>
      <c r="Q3100" s="58" t="s">
        <v>107</v>
      </c>
      <c r="R3100" s="58" t="s">
        <v>272</v>
      </c>
    </row>
    <row r="3101" spans="1:18" ht="69" customHeight="1">
      <c r="A3101" s="168"/>
      <c r="B3101" s="178">
        <v>8496</v>
      </c>
      <c r="C3101" s="178" t="s">
        <v>458</v>
      </c>
      <c r="D3101" s="575" t="s">
        <v>2124</v>
      </c>
      <c r="E3101" s="178" t="s">
        <v>8347</v>
      </c>
      <c r="F3101" s="210" t="s">
        <v>8369</v>
      </c>
      <c r="G3101" s="58" t="s">
        <v>8370</v>
      </c>
      <c r="H3101" s="546">
        <v>28354</v>
      </c>
      <c r="I3101" s="66">
        <v>44944</v>
      </c>
      <c r="J3101" s="411" t="s">
        <v>8371</v>
      </c>
      <c r="K3101" s="58"/>
      <c r="L3101" s="99"/>
      <c r="M3101" s="70" t="s">
        <v>8351</v>
      </c>
      <c r="N3101" s="97" t="s">
        <v>414</v>
      </c>
      <c r="O3101" s="58"/>
      <c r="P3101" s="58" t="s">
        <v>22</v>
      </c>
      <c r="Q3101" s="58" t="s">
        <v>107</v>
      </c>
      <c r="R3101" s="58" t="s">
        <v>265</v>
      </c>
    </row>
    <row r="3102" spans="1:18" ht="69" customHeight="1">
      <c r="A3102" s="168"/>
      <c r="B3102" s="178">
        <v>8040</v>
      </c>
      <c r="C3102" s="178" t="s">
        <v>458</v>
      </c>
      <c r="D3102" s="575" t="s">
        <v>3022</v>
      </c>
      <c r="E3102" s="178" t="s">
        <v>8347</v>
      </c>
      <c r="F3102" s="210" t="s">
        <v>8372</v>
      </c>
      <c r="G3102" s="58" t="s">
        <v>8373</v>
      </c>
      <c r="H3102" s="546">
        <v>43969</v>
      </c>
      <c r="I3102" s="66">
        <v>44947</v>
      </c>
      <c r="J3102" s="411" t="s">
        <v>8374</v>
      </c>
      <c r="K3102" s="58"/>
      <c r="L3102" s="99"/>
      <c r="M3102" s="70" t="s">
        <v>8351</v>
      </c>
      <c r="N3102" s="97" t="s">
        <v>414</v>
      </c>
      <c r="O3102" s="58"/>
      <c r="P3102" s="58" t="s">
        <v>22</v>
      </c>
      <c r="Q3102" s="58" t="s">
        <v>107</v>
      </c>
      <c r="R3102" s="58" t="s">
        <v>265</v>
      </c>
    </row>
    <row r="3103" spans="1:18" ht="69" customHeight="1">
      <c r="A3103" s="168"/>
      <c r="B3103" s="178">
        <v>8577</v>
      </c>
      <c r="C3103" s="178" t="s">
        <v>458</v>
      </c>
      <c r="D3103" s="575" t="s">
        <v>8375</v>
      </c>
      <c r="E3103" s="178" t="s">
        <v>4651</v>
      </c>
      <c r="F3103" s="210" t="s">
        <v>8376</v>
      </c>
      <c r="G3103" s="58" t="s">
        <v>7710</v>
      </c>
      <c r="H3103" s="546">
        <v>218794.97</v>
      </c>
      <c r="I3103" s="66">
        <v>44963</v>
      </c>
      <c r="J3103" s="411" t="s">
        <v>8377</v>
      </c>
      <c r="K3103" s="58"/>
      <c r="L3103" s="99"/>
      <c r="M3103" s="70" t="s">
        <v>8378</v>
      </c>
      <c r="N3103" s="97" t="s">
        <v>356</v>
      </c>
      <c r="O3103" s="58" t="s">
        <v>141</v>
      </c>
      <c r="P3103" s="58" t="s">
        <v>19</v>
      </c>
      <c r="Q3103" s="58" t="s">
        <v>107</v>
      </c>
      <c r="R3103" s="58" t="s">
        <v>265</v>
      </c>
    </row>
    <row r="3104" spans="1:18" ht="69" customHeight="1">
      <c r="A3104" s="168"/>
      <c r="B3104" s="178">
        <v>8582</v>
      </c>
      <c r="C3104" s="178" t="s">
        <v>458</v>
      </c>
      <c r="D3104" s="575" t="s">
        <v>1071</v>
      </c>
      <c r="E3104" s="178" t="s">
        <v>8347</v>
      </c>
      <c r="F3104" s="210" t="s">
        <v>8379</v>
      </c>
      <c r="G3104" s="58" t="s">
        <v>7715</v>
      </c>
      <c r="H3104" s="546">
        <v>25167</v>
      </c>
      <c r="I3104" s="66">
        <v>44951</v>
      </c>
      <c r="J3104" s="411" t="s">
        <v>7716</v>
      </c>
      <c r="K3104" s="58"/>
      <c r="L3104" s="99"/>
      <c r="M3104" s="70" t="s">
        <v>8351</v>
      </c>
      <c r="N3104" s="97" t="s">
        <v>414</v>
      </c>
      <c r="O3104" s="58"/>
      <c r="P3104" s="58" t="s">
        <v>22</v>
      </c>
      <c r="Q3104" s="58" t="s">
        <v>107</v>
      </c>
      <c r="R3104" s="58" t="s">
        <v>265</v>
      </c>
    </row>
    <row r="3105" spans="1:18" ht="69" customHeight="1">
      <c r="A3105" s="168"/>
      <c r="B3105" s="178">
        <v>8730</v>
      </c>
      <c r="C3105" s="178" t="s">
        <v>458</v>
      </c>
      <c r="D3105" s="575" t="s">
        <v>6094</v>
      </c>
      <c r="E3105" s="178" t="s">
        <v>7649</v>
      </c>
      <c r="F3105" s="210" t="s">
        <v>8380</v>
      </c>
      <c r="G3105" s="58" t="s">
        <v>7723</v>
      </c>
      <c r="H3105" s="546">
        <v>69997.56</v>
      </c>
      <c r="I3105" s="66">
        <v>44951</v>
      </c>
      <c r="J3105" s="411" t="s">
        <v>7724</v>
      </c>
      <c r="K3105" s="58" t="s">
        <v>8381</v>
      </c>
      <c r="L3105" s="99"/>
      <c r="M3105" s="70" t="s">
        <v>8308</v>
      </c>
      <c r="N3105" s="97" t="s">
        <v>414</v>
      </c>
      <c r="O3105" s="58"/>
      <c r="P3105" s="58" t="s">
        <v>22</v>
      </c>
      <c r="Q3105" s="58" t="s">
        <v>107</v>
      </c>
      <c r="R3105" s="58" t="s">
        <v>272</v>
      </c>
    </row>
    <row r="3106" spans="1:18" ht="69" customHeight="1">
      <c r="A3106" s="168"/>
      <c r="B3106" s="178">
        <v>8731</v>
      </c>
      <c r="C3106" s="178" t="s">
        <v>458</v>
      </c>
      <c r="D3106" s="575" t="s">
        <v>803</v>
      </c>
      <c r="E3106" s="178" t="s">
        <v>7649</v>
      </c>
      <c r="F3106" s="210" t="s">
        <v>8382</v>
      </c>
      <c r="G3106" s="58" t="s">
        <v>7726</v>
      </c>
      <c r="H3106" s="546">
        <v>37690.99</v>
      </c>
      <c r="I3106" s="66">
        <v>44951</v>
      </c>
      <c r="J3106" s="411" t="s">
        <v>7724</v>
      </c>
      <c r="K3106" s="58" t="s">
        <v>8381</v>
      </c>
      <c r="L3106" s="99"/>
      <c r="M3106" s="70" t="s">
        <v>8308</v>
      </c>
      <c r="N3106" s="97" t="s">
        <v>414</v>
      </c>
      <c r="O3106" s="58"/>
      <c r="P3106" s="58" t="s">
        <v>22</v>
      </c>
      <c r="Q3106" s="58" t="s">
        <v>107</v>
      </c>
      <c r="R3106" s="58" t="s">
        <v>272</v>
      </c>
    </row>
    <row r="3107" spans="1:18" ht="69" customHeight="1">
      <c r="A3107" s="168"/>
      <c r="B3107" s="178">
        <v>8776</v>
      </c>
      <c r="C3107" s="178" t="s">
        <v>458</v>
      </c>
      <c r="D3107" s="575" t="s">
        <v>1380</v>
      </c>
      <c r="E3107" s="178" t="s">
        <v>741</v>
      </c>
      <c r="F3107" s="210" t="s">
        <v>8383</v>
      </c>
      <c r="G3107" s="58" t="s">
        <v>7755</v>
      </c>
      <c r="H3107" s="546">
        <v>5935.2</v>
      </c>
      <c r="I3107" s="66">
        <v>44953</v>
      </c>
      <c r="J3107" s="411" t="s">
        <v>8384</v>
      </c>
      <c r="K3107" s="58"/>
      <c r="L3107" s="99"/>
      <c r="M3107" s="70" t="s">
        <v>8332</v>
      </c>
      <c r="N3107" s="97" t="s">
        <v>741</v>
      </c>
      <c r="O3107" s="58"/>
      <c r="P3107" s="58" t="s">
        <v>59</v>
      </c>
      <c r="Q3107" s="58" t="s">
        <v>107</v>
      </c>
      <c r="R3107" s="58" t="s">
        <v>272</v>
      </c>
    </row>
    <row r="3108" spans="1:18" ht="69" customHeight="1">
      <c r="A3108" s="168"/>
      <c r="B3108" s="178">
        <v>8777</v>
      </c>
      <c r="C3108" s="178" t="s">
        <v>458</v>
      </c>
      <c r="D3108" s="575" t="s">
        <v>1620</v>
      </c>
      <c r="E3108" s="178" t="s">
        <v>741</v>
      </c>
      <c r="F3108" s="210" t="s">
        <v>8385</v>
      </c>
      <c r="G3108" s="58" t="s">
        <v>7755</v>
      </c>
      <c r="H3108" s="546">
        <v>23740.81</v>
      </c>
      <c r="I3108" s="66">
        <v>44953</v>
      </c>
      <c r="J3108" s="411" t="s">
        <v>8384</v>
      </c>
      <c r="K3108" s="58"/>
      <c r="L3108" s="99"/>
      <c r="M3108" s="70" t="s">
        <v>8332</v>
      </c>
      <c r="N3108" s="97" t="s">
        <v>741</v>
      </c>
      <c r="O3108" s="58"/>
      <c r="P3108" s="58" t="s">
        <v>59</v>
      </c>
      <c r="Q3108" s="58" t="s">
        <v>107</v>
      </c>
      <c r="R3108" s="58" t="s">
        <v>272</v>
      </c>
    </row>
    <row r="3109" spans="1:18" ht="69" customHeight="1">
      <c r="A3109" s="168"/>
      <c r="B3109" s="178">
        <v>8779</v>
      </c>
      <c r="C3109" s="178" t="s">
        <v>458</v>
      </c>
      <c r="D3109" s="575" t="s">
        <v>4998</v>
      </c>
      <c r="E3109" s="178" t="s">
        <v>4651</v>
      </c>
      <c r="F3109" s="210" t="s">
        <v>8386</v>
      </c>
      <c r="G3109" s="58" t="s">
        <v>2153</v>
      </c>
      <c r="H3109" s="546">
        <v>8390</v>
      </c>
      <c r="I3109" s="66">
        <v>44973</v>
      </c>
      <c r="J3109" s="411" t="s">
        <v>7732</v>
      </c>
      <c r="K3109" s="58"/>
      <c r="L3109" s="99"/>
      <c r="M3109" s="70" t="s">
        <v>8378</v>
      </c>
      <c r="N3109" s="97" t="s">
        <v>356</v>
      </c>
      <c r="O3109" s="58" t="s">
        <v>141</v>
      </c>
      <c r="P3109" s="58" t="s">
        <v>19</v>
      </c>
      <c r="Q3109" s="58" t="s">
        <v>107</v>
      </c>
      <c r="R3109" s="58" t="s">
        <v>265</v>
      </c>
    </row>
    <row r="3110" spans="1:18" ht="69" customHeight="1">
      <c r="A3110" s="168"/>
      <c r="B3110" s="178">
        <v>8786</v>
      </c>
      <c r="C3110" s="178" t="s">
        <v>458</v>
      </c>
      <c r="D3110" s="575" t="s">
        <v>3273</v>
      </c>
      <c r="E3110" s="178" t="s">
        <v>7649</v>
      </c>
      <c r="F3110" s="210" t="s">
        <v>8387</v>
      </c>
      <c r="G3110" s="58" t="s">
        <v>7734</v>
      </c>
      <c r="H3110" s="546">
        <v>26780.52</v>
      </c>
      <c r="I3110" s="66">
        <v>44953</v>
      </c>
      <c r="J3110" s="411" t="s">
        <v>7735</v>
      </c>
      <c r="K3110" s="58" t="s">
        <v>8388</v>
      </c>
      <c r="L3110" s="99"/>
      <c r="M3110" s="70" t="s">
        <v>8308</v>
      </c>
      <c r="N3110" s="97" t="s">
        <v>414</v>
      </c>
      <c r="O3110" s="58"/>
      <c r="P3110" s="58" t="s">
        <v>22</v>
      </c>
      <c r="Q3110" s="58" t="s">
        <v>107</v>
      </c>
      <c r="R3110" s="58" t="s">
        <v>272</v>
      </c>
    </row>
    <row r="3111" spans="1:18" ht="69" customHeight="1">
      <c r="A3111" s="168"/>
      <c r="B3111" s="178">
        <v>8788</v>
      </c>
      <c r="C3111" s="178" t="s">
        <v>458</v>
      </c>
      <c r="D3111" s="575" t="s">
        <v>2598</v>
      </c>
      <c r="E3111" s="178" t="s">
        <v>7649</v>
      </c>
      <c r="F3111" s="210" t="s">
        <v>8389</v>
      </c>
      <c r="G3111" s="58" t="s">
        <v>7737</v>
      </c>
      <c r="H3111" s="546">
        <v>14420.28</v>
      </c>
      <c r="I3111" s="66">
        <v>44953</v>
      </c>
      <c r="J3111" s="411" t="s">
        <v>7735</v>
      </c>
      <c r="K3111" s="58" t="s">
        <v>8388</v>
      </c>
      <c r="L3111" s="99"/>
      <c r="M3111" s="70" t="s">
        <v>8308</v>
      </c>
      <c r="N3111" s="97" t="s">
        <v>414</v>
      </c>
      <c r="O3111" s="58"/>
      <c r="P3111" s="58" t="s">
        <v>22</v>
      </c>
      <c r="Q3111" s="58" t="s">
        <v>107</v>
      </c>
      <c r="R3111" s="58" t="s">
        <v>272</v>
      </c>
    </row>
    <row r="3112" spans="1:18" ht="69" customHeight="1">
      <c r="A3112" s="168"/>
      <c r="B3112" s="178">
        <v>8634</v>
      </c>
      <c r="C3112" s="178" t="s">
        <v>458</v>
      </c>
      <c r="D3112" s="575" t="s">
        <v>3035</v>
      </c>
      <c r="E3112" s="178" t="s">
        <v>970</v>
      </c>
      <c r="F3112" s="210" t="s">
        <v>8390</v>
      </c>
      <c r="G3112" s="58" t="s">
        <v>8391</v>
      </c>
      <c r="H3112" s="546">
        <v>7293.34</v>
      </c>
      <c r="I3112" s="66">
        <v>44953</v>
      </c>
      <c r="J3112" s="411" t="s">
        <v>5725</v>
      </c>
      <c r="K3112" s="58"/>
      <c r="L3112" s="99"/>
      <c r="M3112" s="70" t="s">
        <v>8285</v>
      </c>
      <c r="N3112" s="97" t="s">
        <v>970</v>
      </c>
      <c r="O3112" s="58" t="s">
        <v>5961</v>
      </c>
      <c r="P3112" s="58" t="s">
        <v>38</v>
      </c>
      <c r="Q3112" s="58" t="s">
        <v>107</v>
      </c>
      <c r="R3112" s="58" t="s">
        <v>272</v>
      </c>
    </row>
    <row r="3113" spans="1:18" ht="69" customHeight="1">
      <c r="A3113" s="168"/>
      <c r="B3113" s="178">
        <v>8701</v>
      </c>
      <c r="C3113" s="178" t="s">
        <v>458</v>
      </c>
      <c r="D3113" s="575" t="s">
        <v>2342</v>
      </c>
      <c r="E3113" s="178" t="s">
        <v>4651</v>
      </c>
      <c r="F3113" s="210" t="s">
        <v>8392</v>
      </c>
      <c r="G3113" s="58" t="s">
        <v>3939</v>
      </c>
      <c r="H3113" s="546">
        <v>83.9</v>
      </c>
      <c r="I3113" s="66">
        <v>44959</v>
      </c>
      <c r="J3113" s="411" t="s">
        <v>7739</v>
      </c>
      <c r="K3113" s="58"/>
      <c r="L3113" s="99"/>
      <c r="M3113" s="70" t="s">
        <v>8378</v>
      </c>
      <c r="N3113" s="97" t="s">
        <v>356</v>
      </c>
      <c r="O3113" s="58" t="s">
        <v>141</v>
      </c>
      <c r="P3113" s="58" t="s">
        <v>19</v>
      </c>
      <c r="Q3113" s="58" t="s">
        <v>107</v>
      </c>
      <c r="R3113" s="58" t="s">
        <v>265</v>
      </c>
    </row>
    <row r="3114" spans="1:18" ht="69" customHeight="1">
      <c r="A3114" s="168"/>
      <c r="B3114" s="178">
        <v>8760</v>
      </c>
      <c r="C3114" s="178" t="s">
        <v>458</v>
      </c>
      <c r="D3114" s="575" t="s">
        <v>8393</v>
      </c>
      <c r="E3114" s="178" t="s">
        <v>4651</v>
      </c>
      <c r="F3114" s="210" t="s">
        <v>8394</v>
      </c>
      <c r="G3114" s="58" t="s">
        <v>7741</v>
      </c>
      <c r="H3114" s="546">
        <v>3190</v>
      </c>
      <c r="I3114" s="66">
        <v>44972</v>
      </c>
      <c r="J3114" s="411" t="s">
        <v>7742</v>
      </c>
      <c r="K3114" s="58"/>
      <c r="L3114" s="99"/>
      <c r="M3114" s="70" t="s">
        <v>8378</v>
      </c>
      <c r="N3114" s="97" t="s">
        <v>356</v>
      </c>
      <c r="O3114" s="58" t="s">
        <v>141</v>
      </c>
      <c r="P3114" s="58" t="s">
        <v>19</v>
      </c>
      <c r="Q3114" s="58" t="s">
        <v>107</v>
      </c>
      <c r="R3114" s="58" t="s">
        <v>265</v>
      </c>
    </row>
    <row r="3115" spans="1:18" ht="69" customHeight="1">
      <c r="A3115" s="168"/>
      <c r="B3115" s="178">
        <v>7603</v>
      </c>
      <c r="C3115" s="178" t="s">
        <v>458</v>
      </c>
      <c r="D3115" s="575" t="s">
        <v>4898</v>
      </c>
      <c r="E3115" s="178" t="s">
        <v>358</v>
      </c>
      <c r="F3115" s="210" t="s">
        <v>8395</v>
      </c>
      <c r="G3115" s="58" t="s">
        <v>7867</v>
      </c>
      <c r="H3115" s="546">
        <v>155000</v>
      </c>
      <c r="I3115" s="66">
        <v>44890</v>
      </c>
      <c r="J3115" s="411" t="s">
        <v>795</v>
      </c>
      <c r="K3115" s="58" t="s">
        <v>8396</v>
      </c>
      <c r="L3115" s="99"/>
      <c r="M3115" s="70" t="s">
        <v>8305</v>
      </c>
      <c r="N3115" s="97" t="s">
        <v>356</v>
      </c>
      <c r="O3115" s="58" t="s">
        <v>141</v>
      </c>
      <c r="P3115" s="58" t="s">
        <v>19</v>
      </c>
      <c r="Q3115" s="58" t="s">
        <v>107</v>
      </c>
      <c r="R3115" s="58" t="s">
        <v>272</v>
      </c>
    </row>
    <row r="3116" spans="1:18" ht="69" customHeight="1">
      <c r="A3116" s="168"/>
      <c r="B3116" s="191">
        <v>8239</v>
      </c>
      <c r="C3116" s="191" t="s">
        <v>458</v>
      </c>
      <c r="D3116" s="533" t="s">
        <v>1147</v>
      </c>
      <c r="E3116" s="191" t="s">
        <v>8347</v>
      </c>
      <c r="F3116" s="211" t="s">
        <v>8397</v>
      </c>
      <c r="G3116" s="46" t="s">
        <v>7894</v>
      </c>
      <c r="H3116" s="534">
        <v>10878</v>
      </c>
      <c r="I3116" s="56">
        <v>44960</v>
      </c>
      <c r="J3116" s="412" t="s">
        <v>7925</v>
      </c>
      <c r="K3116" s="46" t="s">
        <v>167</v>
      </c>
      <c r="L3116" s="99"/>
      <c r="M3116" s="70" t="s">
        <v>8351</v>
      </c>
      <c r="N3116" s="97" t="s">
        <v>414</v>
      </c>
      <c r="O3116" s="46" t="s">
        <v>1171</v>
      </c>
      <c r="P3116" s="46" t="s">
        <v>71</v>
      </c>
      <c r="Q3116" s="46" t="s">
        <v>107</v>
      </c>
      <c r="R3116" s="46" t="s">
        <v>272</v>
      </c>
    </row>
    <row r="3117" spans="1:18" ht="69" customHeight="1">
      <c r="A3117" s="168"/>
      <c r="B3117" s="178">
        <v>8240</v>
      </c>
      <c r="C3117" s="178" t="s">
        <v>458</v>
      </c>
      <c r="D3117" s="575" t="s">
        <v>3373</v>
      </c>
      <c r="E3117" s="178" t="s">
        <v>8347</v>
      </c>
      <c r="F3117" s="210" t="s">
        <v>8398</v>
      </c>
      <c r="G3117" s="58" t="s">
        <v>7926</v>
      </c>
      <c r="H3117" s="546">
        <v>20000</v>
      </c>
      <c r="I3117" s="66">
        <v>44960</v>
      </c>
      <c r="J3117" s="411" t="s">
        <v>7925</v>
      </c>
      <c r="K3117" s="58"/>
      <c r="L3117" s="99"/>
      <c r="M3117" s="70" t="s">
        <v>8351</v>
      </c>
      <c r="N3117" s="97" t="s">
        <v>414</v>
      </c>
      <c r="O3117" s="58"/>
      <c r="P3117" s="58" t="s">
        <v>22</v>
      </c>
      <c r="Q3117" s="58" t="s">
        <v>107</v>
      </c>
      <c r="R3117" s="58" t="s">
        <v>265</v>
      </c>
    </row>
    <row r="3118" spans="1:18" ht="69" customHeight="1">
      <c r="A3118" s="168"/>
      <c r="B3118" s="178">
        <v>8685</v>
      </c>
      <c r="C3118" s="178" t="s">
        <v>458</v>
      </c>
      <c r="D3118" s="575" t="s">
        <v>3316</v>
      </c>
      <c r="E3118" s="178" t="s">
        <v>7649</v>
      </c>
      <c r="F3118" s="210" t="s">
        <v>8399</v>
      </c>
      <c r="G3118" s="58" t="s">
        <v>8400</v>
      </c>
      <c r="H3118" s="546">
        <v>62919.89</v>
      </c>
      <c r="I3118" s="66">
        <v>44967</v>
      </c>
      <c r="J3118" s="411" t="s">
        <v>8401</v>
      </c>
      <c r="K3118" s="58" t="s">
        <v>8402</v>
      </c>
      <c r="L3118" s="99"/>
      <c r="M3118" s="70" t="s">
        <v>8308</v>
      </c>
      <c r="N3118" s="97" t="s">
        <v>414</v>
      </c>
      <c r="O3118" s="58"/>
      <c r="P3118" s="58" t="s">
        <v>22</v>
      </c>
      <c r="Q3118" s="58" t="s">
        <v>107</v>
      </c>
      <c r="R3118" s="58" t="s">
        <v>272</v>
      </c>
    </row>
    <row r="3119" spans="1:18" ht="69" customHeight="1">
      <c r="A3119" s="168"/>
      <c r="B3119" s="178">
        <v>8686</v>
      </c>
      <c r="C3119" s="178" t="s">
        <v>458</v>
      </c>
      <c r="D3119" s="575" t="s">
        <v>2632</v>
      </c>
      <c r="E3119" s="178" t="s">
        <v>7649</v>
      </c>
      <c r="F3119" s="210" t="s">
        <v>8403</v>
      </c>
      <c r="G3119" s="58" t="s">
        <v>8404</v>
      </c>
      <c r="H3119" s="546">
        <v>33879.94</v>
      </c>
      <c r="I3119" s="66">
        <v>44967</v>
      </c>
      <c r="J3119" s="411" t="s">
        <v>8401</v>
      </c>
      <c r="K3119" s="58" t="s">
        <v>8402</v>
      </c>
      <c r="L3119" s="99"/>
      <c r="M3119" s="70" t="s">
        <v>8308</v>
      </c>
      <c r="N3119" s="97" t="s">
        <v>414</v>
      </c>
      <c r="O3119" s="58"/>
      <c r="P3119" s="58" t="s">
        <v>22</v>
      </c>
      <c r="Q3119" s="58" t="s">
        <v>107</v>
      </c>
      <c r="R3119" s="58" t="s">
        <v>272</v>
      </c>
    </row>
    <row r="3120" spans="1:18" ht="69" customHeight="1">
      <c r="A3120" s="168"/>
      <c r="B3120" s="256">
        <v>8701</v>
      </c>
      <c r="C3120" s="256" t="s">
        <v>458</v>
      </c>
      <c r="D3120" s="299" t="s">
        <v>2342</v>
      </c>
      <c r="E3120" s="256" t="s">
        <v>4651</v>
      </c>
      <c r="F3120" s="263" t="s">
        <v>8392</v>
      </c>
      <c r="G3120" s="118" t="s">
        <v>3939</v>
      </c>
      <c r="H3120" s="300">
        <v>83.9</v>
      </c>
      <c r="I3120" s="262">
        <v>44959</v>
      </c>
      <c r="J3120" s="409" t="s">
        <v>7739</v>
      </c>
      <c r="K3120" s="160" t="s">
        <v>8405</v>
      </c>
      <c r="L3120" s="99"/>
      <c r="M3120" s="70" t="s">
        <v>8378</v>
      </c>
      <c r="N3120" s="97" t="s">
        <v>356</v>
      </c>
      <c r="O3120" s="118" t="s">
        <v>141</v>
      </c>
      <c r="P3120" s="118" t="s">
        <v>67</v>
      </c>
      <c r="Q3120" s="118" t="s">
        <v>107</v>
      </c>
      <c r="R3120" s="118" t="s">
        <v>265</v>
      </c>
    </row>
    <row r="3121" spans="1:18" ht="69" customHeight="1">
      <c r="A3121" s="168"/>
      <c r="B3121" s="178">
        <v>8786</v>
      </c>
      <c r="C3121" s="178" t="s">
        <v>458</v>
      </c>
      <c r="D3121" s="575" t="s">
        <v>6121</v>
      </c>
      <c r="E3121" s="178" t="s">
        <v>4651</v>
      </c>
      <c r="F3121" s="210" t="s">
        <v>8406</v>
      </c>
      <c r="G3121" s="58" t="s">
        <v>7760</v>
      </c>
      <c r="H3121" s="546">
        <v>57915</v>
      </c>
      <c r="I3121" s="66">
        <v>44972</v>
      </c>
      <c r="J3121" s="411" t="s">
        <v>7761</v>
      </c>
      <c r="K3121" s="58"/>
      <c r="L3121" s="99"/>
      <c r="M3121" s="70" t="s">
        <v>8378</v>
      </c>
      <c r="N3121" s="97" t="s">
        <v>356</v>
      </c>
      <c r="O3121" s="58" t="s">
        <v>141</v>
      </c>
      <c r="P3121" s="58" t="s">
        <v>19</v>
      </c>
      <c r="Q3121" s="58" t="s">
        <v>107</v>
      </c>
      <c r="R3121" s="58" t="s">
        <v>265</v>
      </c>
    </row>
    <row r="3122" spans="1:18" ht="69" customHeight="1">
      <c r="A3122" s="168"/>
      <c r="B3122" s="178">
        <v>8768</v>
      </c>
      <c r="C3122" s="178" t="s">
        <v>458</v>
      </c>
      <c r="D3122" s="575" t="s">
        <v>304</v>
      </c>
      <c r="E3122" s="178" t="s">
        <v>741</v>
      </c>
      <c r="F3122" s="210" t="s">
        <v>8407</v>
      </c>
      <c r="G3122" s="58" t="s">
        <v>7752</v>
      </c>
      <c r="H3122" s="546">
        <v>20197.73</v>
      </c>
      <c r="I3122" s="66">
        <v>44972</v>
      </c>
      <c r="J3122" s="411" t="s">
        <v>7756</v>
      </c>
      <c r="K3122" s="58"/>
      <c r="L3122" s="99"/>
      <c r="M3122" s="70" t="s">
        <v>8332</v>
      </c>
      <c r="N3122" s="97" t="s">
        <v>741</v>
      </c>
      <c r="O3122" s="58"/>
      <c r="P3122" s="58" t="s">
        <v>59</v>
      </c>
      <c r="Q3122" s="58" t="s">
        <v>107</v>
      </c>
      <c r="R3122" s="58" t="s">
        <v>272</v>
      </c>
    </row>
    <row r="3123" spans="1:18" ht="69" customHeight="1">
      <c r="A3123" s="168"/>
      <c r="B3123" s="178">
        <v>8770</v>
      </c>
      <c r="C3123" s="178" t="s">
        <v>458</v>
      </c>
      <c r="D3123" s="575" t="s">
        <v>6301</v>
      </c>
      <c r="E3123" s="178" t="s">
        <v>741</v>
      </c>
      <c r="F3123" s="210" t="s">
        <v>8408</v>
      </c>
      <c r="G3123" s="58" t="s">
        <v>7752</v>
      </c>
      <c r="H3123" s="546">
        <v>80790.899999999994</v>
      </c>
      <c r="I3123" s="66">
        <v>44972</v>
      </c>
      <c r="J3123" s="411" t="s">
        <v>7756</v>
      </c>
      <c r="K3123" s="58"/>
      <c r="L3123" s="99"/>
      <c r="M3123" s="70" t="s">
        <v>8332</v>
      </c>
      <c r="N3123" s="97" t="s">
        <v>741</v>
      </c>
      <c r="O3123" s="58"/>
      <c r="P3123" s="58" t="s">
        <v>59</v>
      </c>
      <c r="Q3123" s="58" t="s">
        <v>107</v>
      </c>
      <c r="R3123" s="58" t="s">
        <v>272</v>
      </c>
    </row>
    <row r="3124" spans="1:18" ht="69" customHeight="1">
      <c r="A3124" s="168"/>
      <c r="B3124" s="178">
        <v>8861</v>
      </c>
      <c r="C3124" s="178" t="s">
        <v>458</v>
      </c>
      <c r="D3124" s="575" t="s">
        <v>2444</v>
      </c>
      <c r="E3124" s="178" t="s">
        <v>4651</v>
      </c>
      <c r="F3124" s="210" t="s">
        <v>8409</v>
      </c>
      <c r="G3124" s="58" t="s">
        <v>1905</v>
      </c>
      <c r="H3124" s="546">
        <v>2850</v>
      </c>
      <c r="I3124" s="66">
        <v>44985</v>
      </c>
      <c r="J3124" s="411" t="s">
        <v>8410</v>
      </c>
      <c r="K3124" s="58"/>
      <c r="L3124" s="99"/>
      <c r="M3124" s="70" t="s">
        <v>8378</v>
      </c>
      <c r="N3124" s="97" t="s">
        <v>356</v>
      </c>
      <c r="O3124" s="58" t="s">
        <v>141</v>
      </c>
      <c r="P3124" s="58" t="s">
        <v>19</v>
      </c>
      <c r="Q3124" s="58" t="s">
        <v>107</v>
      </c>
      <c r="R3124" s="58" t="s">
        <v>265</v>
      </c>
    </row>
    <row r="3125" spans="1:18" ht="69" customHeight="1">
      <c r="A3125" s="168"/>
      <c r="B3125" s="178">
        <v>8862</v>
      </c>
      <c r="C3125" s="178" t="s">
        <v>458</v>
      </c>
      <c r="D3125" s="575" t="s">
        <v>2696</v>
      </c>
      <c r="E3125" s="178" t="s">
        <v>4651</v>
      </c>
      <c r="F3125" s="210" t="s">
        <v>8411</v>
      </c>
      <c r="G3125" s="58" t="s">
        <v>1905</v>
      </c>
      <c r="H3125" s="546">
        <v>2850</v>
      </c>
      <c r="I3125" s="66">
        <v>44985</v>
      </c>
      <c r="J3125" s="411" t="s">
        <v>8410</v>
      </c>
      <c r="K3125" s="58"/>
      <c r="L3125" s="99"/>
      <c r="M3125" s="70" t="s">
        <v>8378</v>
      </c>
      <c r="N3125" s="97" t="s">
        <v>356</v>
      </c>
      <c r="O3125" s="58" t="s">
        <v>141</v>
      </c>
      <c r="P3125" s="58" t="s">
        <v>19</v>
      </c>
      <c r="Q3125" s="58" t="s">
        <v>107</v>
      </c>
      <c r="R3125" s="58" t="s">
        <v>265</v>
      </c>
    </row>
    <row r="3126" spans="1:18" ht="69" customHeight="1">
      <c r="A3126" s="168"/>
      <c r="B3126" s="178">
        <v>8863</v>
      </c>
      <c r="C3126" s="178" t="s">
        <v>458</v>
      </c>
      <c r="D3126" s="575" t="s">
        <v>4643</v>
      </c>
      <c r="E3126" s="178" t="s">
        <v>4651</v>
      </c>
      <c r="F3126" s="210" t="s">
        <v>8412</v>
      </c>
      <c r="G3126" s="58" t="s">
        <v>1905</v>
      </c>
      <c r="H3126" s="546">
        <v>1900</v>
      </c>
      <c r="I3126" s="66">
        <v>44985</v>
      </c>
      <c r="J3126" s="411" t="s">
        <v>8410</v>
      </c>
      <c r="K3126" s="58"/>
      <c r="L3126" s="99"/>
      <c r="M3126" s="70" t="s">
        <v>8378</v>
      </c>
      <c r="N3126" s="97" t="s">
        <v>356</v>
      </c>
      <c r="O3126" s="58" t="s">
        <v>141</v>
      </c>
      <c r="P3126" s="58" t="s">
        <v>19</v>
      </c>
      <c r="Q3126" s="58" t="s">
        <v>107</v>
      </c>
      <c r="R3126" s="58" t="s">
        <v>265</v>
      </c>
    </row>
    <row r="3127" spans="1:18" ht="69" customHeight="1">
      <c r="A3127" s="168"/>
      <c r="B3127" s="178">
        <v>8864</v>
      </c>
      <c r="C3127" s="178" t="s">
        <v>458</v>
      </c>
      <c r="D3127" s="575" t="s">
        <v>8413</v>
      </c>
      <c r="E3127" s="178" t="s">
        <v>4651</v>
      </c>
      <c r="F3127" s="210" t="s">
        <v>8414</v>
      </c>
      <c r="G3127" s="58" t="s">
        <v>1905</v>
      </c>
      <c r="H3127" s="546">
        <v>2350</v>
      </c>
      <c r="I3127" s="66">
        <v>44985</v>
      </c>
      <c r="J3127" s="411" t="s">
        <v>8410</v>
      </c>
      <c r="K3127" s="58"/>
      <c r="L3127" s="99"/>
      <c r="M3127" s="70" t="s">
        <v>8378</v>
      </c>
      <c r="N3127" s="97" t="s">
        <v>356</v>
      </c>
      <c r="O3127" s="58" t="s">
        <v>141</v>
      </c>
      <c r="P3127" s="58" t="s">
        <v>19</v>
      </c>
      <c r="Q3127" s="58" t="s">
        <v>107</v>
      </c>
      <c r="R3127" s="58" t="s">
        <v>265</v>
      </c>
    </row>
    <row r="3128" spans="1:18" ht="69" customHeight="1">
      <c r="A3128" s="168"/>
      <c r="B3128" s="178">
        <v>7634</v>
      </c>
      <c r="C3128" s="178" t="s">
        <v>458</v>
      </c>
      <c r="D3128" s="575" t="s">
        <v>8415</v>
      </c>
      <c r="E3128" s="178" t="s">
        <v>409</v>
      </c>
      <c r="F3128" s="210" t="s">
        <v>8416</v>
      </c>
      <c r="G3128" s="58" t="s">
        <v>7870</v>
      </c>
      <c r="H3128" s="546">
        <v>243943.22</v>
      </c>
      <c r="I3128" s="66">
        <v>44890</v>
      </c>
      <c r="J3128" s="411" t="s">
        <v>8227</v>
      </c>
      <c r="K3128" s="58"/>
      <c r="L3128" s="99"/>
      <c r="M3128" s="70" t="s">
        <v>4430</v>
      </c>
      <c r="N3128" s="97" t="s">
        <v>356</v>
      </c>
      <c r="O3128" s="58" t="s">
        <v>8228</v>
      </c>
      <c r="P3128" s="58" t="s">
        <v>59</v>
      </c>
      <c r="Q3128" s="58" t="s">
        <v>103</v>
      </c>
      <c r="R3128" s="58" t="s">
        <v>272</v>
      </c>
    </row>
    <row r="3129" spans="1:18" ht="69" customHeight="1">
      <c r="A3129" s="168"/>
      <c r="B3129" s="178">
        <v>8920</v>
      </c>
      <c r="C3129" s="178" t="s">
        <v>458</v>
      </c>
      <c r="D3129" s="575" t="s">
        <v>2830</v>
      </c>
      <c r="E3129" s="178" t="s">
        <v>4651</v>
      </c>
      <c r="F3129" s="210" t="s">
        <v>8417</v>
      </c>
      <c r="G3129" s="58" t="s">
        <v>1905</v>
      </c>
      <c r="H3129" s="546">
        <v>2850</v>
      </c>
      <c r="I3129" s="66">
        <v>44989</v>
      </c>
      <c r="J3129" s="411" t="s">
        <v>8114</v>
      </c>
      <c r="K3129" s="58"/>
      <c r="L3129" s="99"/>
      <c r="M3129" s="70" t="s">
        <v>8378</v>
      </c>
      <c r="N3129" s="97" t="s">
        <v>356</v>
      </c>
      <c r="O3129" s="58" t="s">
        <v>141</v>
      </c>
      <c r="P3129" s="58" t="s">
        <v>19</v>
      </c>
      <c r="Q3129" s="58" t="s">
        <v>107</v>
      </c>
      <c r="R3129" s="58" t="s">
        <v>265</v>
      </c>
    </row>
    <row r="3130" spans="1:18" ht="69" customHeight="1">
      <c r="A3130" s="168"/>
      <c r="B3130" s="178">
        <v>8881</v>
      </c>
      <c r="C3130" s="178" t="s">
        <v>458</v>
      </c>
      <c r="D3130" s="575" t="s">
        <v>8418</v>
      </c>
      <c r="E3130" s="178" t="s">
        <v>741</v>
      </c>
      <c r="F3130" s="210" t="s">
        <v>8419</v>
      </c>
      <c r="G3130" s="58" t="s">
        <v>7948</v>
      </c>
      <c r="H3130" s="546">
        <v>58533.22</v>
      </c>
      <c r="I3130" s="66">
        <v>44981</v>
      </c>
      <c r="J3130" s="411" t="s">
        <v>7933</v>
      </c>
      <c r="K3130" s="58"/>
      <c r="L3130" s="99"/>
      <c r="M3130" s="70" t="s">
        <v>8332</v>
      </c>
      <c r="N3130" s="97" t="s">
        <v>741</v>
      </c>
      <c r="O3130" s="58"/>
      <c r="P3130" s="58" t="s">
        <v>59</v>
      </c>
      <c r="Q3130" s="58" t="s">
        <v>107</v>
      </c>
      <c r="R3130" s="58" t="s">
        <v>272</v>
      </c>
    </row>
    <row r="3131" spans="1:18" ht="69" customHeight="1">
      <c r="A3131" s="168"/>
      <c r="B3131" s="178">
        <v>8882</v>
      </c>
      <c r="C3131" s="178" t="s">
        <v>458</v>
      </c>
      <c r="D3131" s="575" t="s">
        <v>8420</v>
      </c>
      <c r="E3131" s="178" t="s">
        <v>741</v>
      </c>
      <c r="F3131" s="210" t="s">
        <v>8421</v>
      </c>
      <c r="G3131" s="58" t="s">
        <v>7948</v>
      </c>
      <c r="H3131" s="546">
        <v>234132.86</v>
      </c>
      <c r="I3131" s="66">
        <v>44981</v>
      </c>
      <c r="J3131" s="411" t="s">
        <v>7933</v>
      </c>
      <c r="K3131" s="58"/>
      <c r="L3131" s="99"/>
      <c r="M3131" s="70" t="s">
        <v>8332</v>
      </c>
      <c r="N3131" s="97" t="s">
        <v>741</v>
      </c>
      <c r="O3131" s="58"/>
      <c r="P3131" s="58" t="s">
        <v>59</v>
      </c>
      <c r="Q3131" s="58" t="s">
        <v>107</v>
      </c>
      <c r="R3131" s="58" t="s">
        <v>272</v>
      </c>
    </row>
    <row r="3132" spans="1:18" ht="69" customHeight="1">
      <c r="A3132" s="168"/>
      <c r="B3132" s="191">
        <v>8961</v>
      </c>
      <c r="C3132" s="191" t="s">
        <v>458</v>
      </c>
      <c r="D3132" s="533" t="s">
        <v>5036</v>
      </c>
      <c r="E3132" s="191" t="s">
        <v>8347</v>
      </c>
      <c r="F3132" s="211" t="s">
        <v>8422</v>
      </c>
      <c r="G3132" s="46" t="s">
        <v>7943</v>
      </c>
      <c r="H3132" s="534">
        <v>10878.8</v>
      </c>
      <c r="I3132" s="56">
        <v>44988</v>
      </c>
      <c r="J3132" s="412" t="s">
        <v>7944</v>
      </c>
      <c r="K3132" s="46" t="s">
        <v>167</v>
      </c>
      <c r="L3132" s="99"/>
      <c r="M3132" s="70" t="s">
        <v>8351</v>
      </c>
      <c r="N3132" s="97" t="s">
        <v>414</v>
      </c>
      <c r="O3132" s="46" t="s">
        <v>1171</v>
      </c>
      <c r="P3132" s="46" t="s">
        <v>71</v>
      </c>
      <c r="Q3132" s="46" t="s">
        <v>107</v>
      </c>
      <c r="R3132" s="46" t="s">
        <v>272</v>
      </c>
    </row>
    <row r="3133" spans="1:18" ht="69" customHeight="1">
      <c r="A3133" s="168"/>
      <c r="B3133" s="178">
        <v>8962</v>
      </c>
      <c r="C3133" s="178" t="s">
        <v>458</v>
      </c>
      <c r="D3133" s="575" t="s">
        <v>3851</v>
      </c>
      <c r="E3133" s="178" t="s">
        <v>8347</v>
      </c>
      <c r="F3133" s="210" t="s">
        <v>8423</v>
      </c>
      <c r="G3133" s="58" t="s">
        <v>6580</v>
      </c>
      <c r="H3133" s="546">
        <v>40000</v>
      </c>
      <c r="I3133" s="66">
        <v>44988</v>
      </c>
      <c r="J3133" s="411" t="s">
        <v>7944</v>
      </c>
      <c r="K3133" s="58"/>
      <c r="L3133" s="99"/>
      <c r="M3133" s="70" t="s">
        <v>8351</v>
      </c>
      <c r="N3133" s="97" t="s">
        <v>414</v>
      </c>
      <c r="O3133" s="58"/>
      <c r="P3133" s="58" t="s">
        <v>22</v>
      </c>
      <c r="Q3133" s="58" t="s">
        <v>107</v>
      </c>
      <c r="R3133" s="58" t="s">
        <v>265</v>
      </c>
    </row>
    <row r="3134" spans="1:18" ht="69" customHeight="1">
      <c r="A3134" s="168"/>
      <c r="B3134" s="178">
        <v>9076</v>
      </c>
      <c r="C3134" s="178" t="s">
        <v>458</v>
      </c>
      <c r="D3134" s="575" t="s">
        <v>8424</v>
      </c>
      <c r="E3134" s="178" t="s">
        <v>741</v>
      </c>
      <c r="F3134" s="210" t="s">
        <v>8425</v>
      </c>
      <c r="G3134" s="58" t="s">
        <v>7803</v>
      </c>
      <c r="H3134" s="546">
        <v>56728.33</v>
      </c>
      <c r="I3134" s="66" t="s">
        <v>96</v>
      </c>
      <c r="J3134" s="411" t="s">
        <v>8426</v>
      </c>
      <c r="K3134" s="58"/>
      <c r="L3134" s="99"/>
      <c r="M3134" s="70" t="s">
        <v>8332</v>
      </c>
      <c r="N3134" s="97" t="s">
        <v>741</v>
      </c>
      <c r="O3134" s="58"/>
      <c r="P3134" s="58" t="s">
        <v>59</v>
      </c>
      <c r="Q3134" s="58" t="s">
        <v>107</v>
      </c>
      <c r="R3134" s="58" t="s">
        <v>272</v>
      </c>
    </row>
    <row r="3135" spans="1:18" ht="69" customHeight="1">
      <c r="A3135" s="168"/>
      <c r="B3135" s="178">
        <v>9077</v>
      </c>
      <c r="C3135" s="178" t="s">
        <v>458</v>
      </c>
      <c r="D3135" s="575" t="s">
        <v>6701</v>
      </c>
      <c r="E3135" s="178" t="s">
        <v>741</v>
      </c>
      <c r="F3135" s="210" t="s">
        <v>8427</v>
      </c>
      <c r="G3135" s="58" t="s">
        <v>7803</v>
      </c>
      <c r="H3135" s="546">
        <v>226913.34</v>
      </c>
      <c r="I3135" s="66" t="s">
        <v>96</v>
      </c>
      <c r="J3135" s="411" t="s">
        <v>8426</v>
      </c>
      <c r="K3135" s="58"/>
      <c r="L3135" s="99"/>
      <c r="M3135" s="70" t="s">
        <v>8332</v>
      </c>
      <c r="N3135" s="97" t="s">
        <v>741</v>
      </c>
      <c r="O3135" s="58"/>
      <c r="P3135" s="58" t="s">
        <v>59</v>
      </c>
      <c r="Q3135" s="58" t="s">
        <v>107</v>
      </c>
      <c r="R3135" s="58" t="s">
        <v>272</v>
      </c>
    </row>
    <row r="3136" spans="1:18" ht="69" customHeight="1">
      <c r="A3136" s="168"/>
      <c r="B3136" s="178">
        <v>9119</v>
      </c>
      <c r="C3136" s="178" t="s">
        <v>458</v>
      </c>
      <c r="D3136" s="575" t="s">
        <v>8428</v>
      </c>
      <c r="E3136" s="178" t="s">
        <v>8347</v>
      </c>
      <c r="F3136" s="210" t="s">
        <v>8429</v>
      </c>
      <c r="G3136" s="58" t="s">
        <v>4082</v>
      </c>
      <c r="H3136" s="546">
        <v>26442.69</v>
      </c>
      <c r="I3136" s="66">
        <v>45010</v>
      </c>
      <c r="J3136" s="411" t="s">
        <v>8430</v>
      </c>
      <c r="K3136" s="58"/>
      <c r="L3136" s="99"/>
      <c r="M3136" s="70" t="s">
        <v>8351</v>
      </c>
      <c r="N3136" s="97" t="s">
        <v>414</v>
      </c>
      <c r="O3136" s="58"/>
      <c r="P3136" s="58" t="s">
        <v>22</v>
      </c>
      <c r="Q3136" s="58" t="s">
        <v>107</v>
      </c>
      <c r="R3136" s="58" t="s">
        <v>265</v>
      </c>
    </row>
    <row r="3137" spans="1:18" ht="69" customHeight="1">
      <c r="A3137" s="168"/>
      <c r="B3137" s="191">
        <v>9645</v>
      </c>
      <c r="C3137" s="191" t="s">
        <v>458</v>
      </c>
      <c r="D3137" s="533" t="s">
        <v>6347</v>
      </c>
      <c r="E3137" s="191" t="s">
        <v>8347</v>
      </c>
      <c r="F3137" s="211" t="s">
        <v>8431</v>
      </c>
      <c r="G3137" s="46" t="s">
        <v>5517</v>
      </c>
      <c r="H3137" s="534">
        <v>15890</v>
      </c>
      <c r="I3137" s="56">
        <v>45014</v>
      </c>
      <c r="J3137" s="412" t="s">
        <v>7792</v>
      </c>
      <c r="K3137" s="46" t="s">
        <v>167</v>
      </c>
      <c r="L3137" s="99"/>
      <c r="M3137" s="70" t="s">
        <v>8351</v>
      </c>
      <c r="N3137" s="97" t="s">
        <v>414</v>
      </c>
      <c r="O3137" s="46"/>
      <c r="P3137" s="46" t="s">
        <v>65</v>
      </c>
      <c r="Q3137" s="46" t="s">
        <v>107</v>
      </c>
      <c r="R3137" s="46" t="s">
        <v>272</v>
      </c>
    </row>
    <row r="3138" spans="1:18" ht="69" customHeight="1">
      <c r="A3138" s="168"/>
      <c r="B3138" s="191">
        <v>9664</v>
      </c>
      <c r="C3138" s="191" t="s">
        <v>657</v>
      </c>
      <c r="D3138" s="533" t="s">
        <v>2112</v>
      </c>
      <c r="E3138" s="191" t="s">
        <v>8347</v>
      </c>
      <c r="F3138" s="211" t="s">
        <v>8432</v>
      </c>
      <c r="G3138" s="46" t="s">
        <v>7962</v>
      </c>
      <c r="H3138" s="534">
        <v>10878.8</v>
      </c>
      <c r="I3138" s="56">
        <v>45014</v>
      </c>
      <c r="J3138" s="412" t="s">
        <v>7963</v>
      </c>
      <c r="K3138" s="46" t="s">
        <v>167</v>
      </c>
      <c r="L3138" s="99"/>
      <c r="M3138" s="70" t="s">
        <v>8351</v>
      </c>
      <c r="N3138" s="97" t="s">
        <v>414</v>
      </c>
      <c r="O3138" s="46" t="s">
        <v>1171</v>
      </c>
      <c r="P3138" s="46" t="s">
        <v>71</v>
      </c>
      <c r="Q3138" s="46" t="s">
        <v>107</v>
      </c>
      <c r="R3138" s="46" t="s">
        <v>272</v>
      </c>
    </row>
    <row r="3139" spans="1:18" ht="69" customHeight="1">
      <c r="A3139" s="168"/>
      <c r="B3139" s="178">
        <v>9745</v>
      </c>
      <c r="C3139" s="178" t="s">
        <v>458</v>
      </c>
      <c r="D3139" s="575" t="s">
        <v>839</v>
      </c>
      <c r="E3139" s="178" t="s">
        <v>7649</v>
      </c>
      <c r="F3139" s="210" t="s">
        <v>8433</v>
      </c>
      <c r="G3139" s="58" t="s">
        <v>8434</v>
      </c>
      <c r="H3139" s="546">
        <v>149511.54999999999</v>
      </c>
      <c r="I3139" s="66" t="s">
        <v>96</v>
      </c>
      <c r="J3139" s="411" t="s">
        <v>8435</v>
      </c>
      <c r="K3139" s="58" t="s">
        <v>8436</v>
      </c>
      <c r="L3139" s="99"/>
      <c r="M3139" s="70" t="s">
        <v>8308</v>
      </c>
      <c r="N3139" s="97" t="s">
        <v>414</v>
      </c>
      <c r="O3139" s="58"/>
      <c r="P3139" s="58" t="s">
        <v>22</v>
      </c>
      <c r="Q3139" s="58" t="s">
        <v>107</v>
      </c>
      <c r="R3139" s="58" t="s">
        <v>272</v>
      </c>
    </row>
    <row r="3140" spans="1:18" ht="69" customHeight="1">
      <c r="A3140" s="168"/>
      <c r="B3140" s="178">
        <v>9746</v>
      </c>
      <c r="C3140" s="178" t="s">
        <v>458</v>
      </c>
      <c r="D3140" s="575" t="s">
        <v>3529</v>
      </c>
      <c r="E3140" s="178" t="s">
        <v>7649</v>
      </c>
      <c r="F3140" s="210" t="s">
        <v>8433</v>
      </c>
      <c r="G3140" s="58" t="s">
        <v>8437</v>
      </c>
      <c r="H3140" s="546">
        <v>182736.36</v>
      </c>
      <c r="I3140" s="66" t="s">
        <v>96</v>
      </c>
      <c r="J3140" s="411" t="s">
        <v>8435</v>
      </c>
      <c r="K3140" s="58" t="s">
        <v>8436</v>
      </c>
      <c r="L3140" s="99"/>
      <c r="M3140" s="70" t="s">
        <v>8308</v>
      </c>
      <c r="N3140" s="97" t="s">
        <v>414</v>
      </c>
      <c r="O3140" s="58"/>
      <c r="P3140" s="58" t="s">
        <v>22</v>
      </c>
      <c r="Q3140" s="58" t="s">
        <v>107</v>
      </c>
      <c r="R3140" s="58" t="s">
        <v>272</v>
      </c>
    </row>
    <row r="3141" spans="1:18" ht="69" customHeight="1">
      <c r="A3141" s="168"/>
      <c r="B3141" s="178">
        <v>9860</v>
      </c>
      <c r="C3141" s="178" t="s">
        <v>458</v>
      </c>
      <c r="D3141" s="575" t="s">
        <v>2382</v>
      </c>
      <c r="E3141" s="178" t="s">
        <v>8347</v>
      </c>
      <c r="F3141" s="210" t="s">
        <v>8438</v>
      </c>
      <c r="G3141" s="58" t="s">
        <v>4115</v>
      </c>
      <c r="H3141" s="546">
        <v>40000</v>
      </c>
      <c r="I3141" s="66">
        <v>45041</v>
      </c>
      <c r="J3141" s="411" t="s">
        <v>7203</v>
      </c>
      <c r="K3141" s="58"/>
      <c r="L3141" s="99"/>
      <c r="M3141" s="70" t="s">
        <v>8351</v>
      </c>
      <c r="N3141" s="97" t="s">
        <v>414</v>
      </c>
      <c r="O3141" s="58"/>
      <c r="P3141" s="58" t="s">
        <v>22</v>
      </c>
      <c r="Q3141" s="58" t="s">
        <v>107</v>
      </c>
      <c r="R3141" s="58" t="s">
        <v>265</v>
      </c>
    </row>
    <row r="3142" spans="1:18" ht="69" customHeight="1">
      <c r="A3142" s="168"/>
      <c r="B3142" s="178">
        <v>9776</v>
      </c>
      <c r="C3142" s="178" t="s">
        <v>458</v>
      </c>
      <c r="D3142" s="575" t="s">
        <v>865</v>
      </c>
      <c r="E3142" s="178" t="s">
        <v>7649</v>
      </c>
      <c r="F3142" s="210" t="s">
        <v>8439</v>
      </c>
      <c r="G3142" s="58" t="s">
        <v>6636</v>
      </c>
      <c r="H3142" s="546">
        <v>104178.32</v>
      </c>
      <c r="I3142" s="66">
        <v>45033</v>
      </c>
      <c r="J3142" s="411" t="s">
        <v>8440</v>
      </c>
      <c r="K3142" s="58" t="s">
        <v>8441</v>
      </c>
      <c r="L3142" s="99"/>
      <c r="M3142" s="70" t="s">
        <v>8308</v>
      </c>
      <c r="N3142" s="97" t="s">
        <v>414</v>
      </c>
      <c r="O3142" s="58"/>
      <c r="P3142" s="58" t="s">
        <v>22</v>
      </c>
      <c r="Q3142" s="58" t="s">
        <v>107</v>
      </c>
      <c r="R3142" s="58" t="s">
        <v>272</v>
      </c>
    </row>
    <row r="3143" spans="1:18" ht="69" customHeight="1">
      <c r="A3143" s="168"/>
      <c r="B3143" s="178">
        <v>9777</v>
      </c>
      <c r="C3143" s="178" t="s">
        <v>458</v>
      </c>
      <c r="D3143" s="575" t="s">
        <v>2868</v>
      </c>
      <c r="E3143" s="178" t="s">
        <v>7649</v>
      </c>
      <c r="F3143" s="210" t="s">
        <v>8439</v>
      </c>
      <c r="G3143" s="58" t="s">
        <v>8442</v>
      </c>
      <c r="H3143" s="546">
        <v>56096.02</v>
      </c>
      <c r="I3143" s="66">
        <v>45033</v>
      </c>
      <c r="J3143" s="411" t="s">
        <v>8440</v>
      </c>
      <c r="K3143" s="58" t="s">
        <v>8441</v>
      </c>
      <c r="L3143" s="99"/>
      <c r="M3143" s="70" t="s">
        <v>8308</v>
      </c>
      <c r="N3143" s="97" t="s">
        <v>414</v>
      </c>
      <c r="O3143" s="58"/>
      <c r="P3143" s="58" t="s">
        <v>22</v>
      </c>
      <c r="Q3143" s="58" t="s">
        <v>107</v>
      </c>
      <c r="R3143" s="58" t="s">
        <v>272</v>
      </c>
    </row>
    <row r="3144" spans="1:18" ht="69" customHeight="1">
      <c r="A3144" s="168"/>
      <c r="B3144" s="178">
        <v>9761</v>
      </c>
      <c r="C3144" s="178" t="s">
        <v>458</v>
      </c>
      <c r="D3144" s="575" t="s">
        <v>8443</v>
      </c>
      <c r="E3144" s="178" t="s">
        <v>8347</v>
      </c>
      <c r="F3144" s="210" t="s">
        <v>8444</v>
      </c>
      <c r="G3144" s="58" t="s">
        <v>597</v>
      </c>
      <c r="H3144" s="546">
        <v>28160.5</v>
      </c>
      <c r="I3144" s="66">
        <v>45041</v>
      </c>
      <c r="J3144" s="411" t="s">
        <v>8445</v>
      </c>
      <c r="K3144" s="58"/>
      <c r="L3144" s="99"/>
      <c r="M3144" s="70" t="s">
        <v>8351</v>
      </c>
      <c r="N3144" s="97" t="s">
        <v>414</v>
      </c>
      <c r="O3144" s="58"/>
      <c r="P3144" s="58" t="s">
        <v>22</v>
      </c>
      <c r="Q3144" s="58" t="s">
        <v>107</v>
      </c>
      <c r="R3144" s="58" t="s">
        <v>265</v>
      </c>
    </row>
    <row r="3145" spans="1:18" ht="69" customHeight="1">
      <c r="A3145" s="168"/>
      <c r="B3145" s="178">
        <v>9801</v>
      </c>
      <c r="C3145" s="178" t="s">
        <v>458</v>
      </c>
      <c r="D3145" s="575" t="s">
        <v>8446</v>
      </c>
      <c r="E3145" s="178" t="s">
        <v>8347</v>
      </c>
      <c r="F3145" s="210" t="s">
        <v>8447</v>
      </c>
      <c r="G3145" s="58" t="s">
        <v>597</v>
      </c>
      <c r="H3145" s="546">
        <v>34760</v>
      </c>
      <c r="I3145" s="66">
        <v>45041</v>
      </c>
      <c r="J3145" s="411" t="s">
        <v>7209</v>
      </c>
      <c r="K3145" s="58"/>
      <c r="L3145" s="99"/>
      <c r="M3145" s="70" t="s">
        <v>8351</v>
      </c>
      <c r="N3145" s="97" t="s">
        <v>414</v>
      </c>
      <c r="O3145" s="58"/>
      <c r="P3145" s="58" t="s">
        <v>22</v>
      </c>
      <c r="Q3145" s="58" t="s">
        <v>107</v>
      </c>
      <c r="R3145" s="58" t="s">
        <v>265</v>
      </c>
    </row>
    <row r="3146" spans="1:18" ht="69" customHeight="1">
      <c r="A3146" s="168"/>
      <c r="B3146" s="191">
        <v>9824</v>
      </c>
      <c r="C3146" s="191" t="s">
        <v>458</v>
      </c>
      <c r="D3146" s="533" t="s">
        <v>2875</v>
      </c>
      <c r="E3146" s="191" t="s">
        <v>8347</v>
      </c>
      <c r="F3146" s="211" t="s">
        <v>8448</v>
      </c>
      <c r="G3146" s="46" t="s">
        <v>7974</v>
      </c>
      <c r="H3146" s="534">
        <v>10878.8</v>
      </c>
      <c r="I3146" s="56">
        <v>45041</v>
      </c>
      <c r="J3146" s="412" t="s">
        <v>7212</v>
      </c>
      <c r="K3146" s="46" t="s">
        <v>167</v>
      </c>
      <c r="L3146" s="99"/>
      <c r="M3146" s="70" t="s">
        <v>8351</v>
      </c>
      <c r="N3146" s="97" t="s">
        <v>414</v>
      </c>
      <c r="O3146" s="46" t="s">
        <v>1171</v>
      </c>
      <c r="P3146" s="46" t="s">
        <v>71</v>
      </c>
      <c r="Q3146" s="46" t="s">
        <v>107</v>
      </c>
      <c r="R3146" s="46" t="s">
        <v>272</v>
      </c>
    </row>
    <row r="3147" spans="1:18" ht="69" customHeight="1">
      <c r="A3147" s="168"/>
      <c r="B3147" s="178">
        <v>9835</v>
      </c>
      <c r="C3147" s="178" t="s">
        <v>8449</v>
      </c>
      <c r="D3147" s="575" t="s">
        <v>2160</v>
      </c>
      <c r="E3147" s="178" t="s">
        <v>266</v>
      </c>
      <c r="F3147" s="210" t="s">
        <v>8450</v>
      </c>
      <c r="G3147" s="58" t="s">
        <v>8451</v>
      </c>
      <c r="H3147" s="546">
        <v>13500</v>
      </c>
      <c r="I3147" s="66">
        <v>45061</v>
      </c>
      <c r="J3147" s="411" t="s">
        <v>8452</v>
      </c>
      <c r="K3147" s="58"/>
      <c r="L3147" s="99"/>
      <c r="M3147" s="70" t="s">
        <v>8270</v>
      </c>
      <c r="N3147" s="97" t="s">
        <v>270</v>
      </c>
      <c r="O3147" s="58"/>
      <c r="P3147" s="58" t="s">
        <v>44</v>
      </c>
      <c r="Q3147" s="58" t="s">
        <v>107</v>
      </c>
      <c r="R3147" s="58" t="s">
        <v>272</v>
      </c>
    </row>
    <row r="3148" spans="1:18" ht="69" customHeight="1">
      <c r="A3148" s="168"/>
      <c r="B3148" s="178">
        <v>9836</v>
      </c>
      <c r="C3148" s="178" t="s">
        <v>8449</v>
      </c>
      <c r="D3148" s="575" t="s">
        <v>2386</v>
      </c>
      <c r="E3148" s="178" t="s">
        <v>266</v>
      </c>
      <c r="F3148" s="210" t="s">
        <v>8453</v>
      </c>
      <c r="G3148" s="58" t="s">
        <v>8454</v>
      </c>
      <c r="H3148" s="546">
        <v>14800</v>
      </c>
      <c r="I3148" s="66">
        <v>45061</v>
      </c>
      <c r="J3148" s="411" t="s">
        <v>8452</v>
      </c>
      <c r="K3148" s="58"/>
      <c r="L3148" s="99"/>
      <c r="M3148" s="70" t="s">
        <v>8270</v>
      </c>
      <c r="N3148" s="97" t="s">
        <v>270</v>
      </c>
      <c r="O3148" s="58"/>
      <c r="P3148" s="58" t="s">
        <v>44</v>
      </c>
      <c r="Q3148" s="58" t="s">
        <v>107</v>
      </c>
      <c r="R3148" s="58" t="s">
        <v>272</v>
      </c>
    </row>
    <row r="3149" spans="1:18" ht="69" customHeight="1">
      <c r="A3149" s="168"/>
      <c r="B3149" s="178">
        <v>9884</v>
      </c>
      <c r="C3149" s="178" t="s">
        <v>458</v>
      </c>
      <c r="D3149" s="575" t="s">
        <v>3320</v>
      </c>
      <c r="E3149" s="178" t="s">
        <v>7649</v>
      </c>
      <c r="F3149" s="210" t="s">
        <v>8455</v>
      </c>
      <c r="G3149" s="58" t="s">
        <v>7965</v>
      </c>
      <c r="H3149" s="546">
        <v>13803.61</v>
      </c>
      <c r="I3149" s="66">
        <v>45044</v>
      </c>
      <c r="J3149" s="411" t="s">
        <v>7797</v>
      </c>
      <c r="K3149" s="58" t="s">
        <v>8456</v>
      </c>
      <c r="L3149" s="99"/>
      <c r="M3149" s="70" t="s">
        <v>8308</v>
      </c>
      <c r="N3149" s="97" t="s">
        <v>414</v>
      </c>
      <c r="O3149" s="58"/>
      <c r="P3149" s="58" t="s">
        <v>22</v>
      </c>
      <c r="Q3149" s="58" t="s">
        <v>107</v>
      </c>
      <c r="R3149" s="58" t="s">
        <v>272</v>
      </c>
    </row>
    <row r="3150" spans="1:18" ht="69" customHeight="1">
      <c r="A3150" s="168"/>
      <c r="B3150" s="178">
        <v>9885</v>
      </c>
      <c r="C3150" s="178" t="s">
        <v>458</v>
      </c>
      <c r="D3150" s="575" t="s">
        <v>1927</v>
      </c>
      <c r="E3150" s="178" t="s">
        <v>7649</v>
      </c>
      <c r="F3150" s="210" t="s">
        <v>8457</v>
      </c>
      <c r="G3150" s="58" t="s">
        <v>7968</v>
      </c>
      <c r="H3150" s="546">
        <v>7432.72</v>
      </c>
      <c r="I3150" s="66">
        <v>45044</v>
      </c>
      <c r="J3150" s="411" t="s">
        <v>7797</v>
      </c>
      <c r="K3150" s="58" t="s">
        <v>8456</v>
      </c>
      <c r="L3150" s="99"/>
      <c r="M3150" s="70" t="s">
        <v>8308</v>
      </c>
      <c r="N3150" s="97" t="s">
        <v>414</v>
      </c>
      <c r="O3150" s="58"/>
      <c r="P3150" s="58" t="s">
        <v>22</v>
      </c>
      <c r="Q3150" s="58" t="s">
        <v>107</v>
      </c>
      <c r="R3150" s="58" t="s">
        <v>272</v>
      </c>
    </row>
    <row r="3151" spans="1:18" ht="69" customHeight="1">
      <c r="A3151" s="168"/>
      <c r="B3151" s="178">
        <v>9912</v>
      </c>
      <c r="C3151" s="178" t="s">
        <v>458</v>
      </c>
      <c r="D3151" s="575" t="s">
        <v>2656</v>
      </c>
      <c r="E3151" s="178" t="s">
        <v>741</v>
      </c>
      <c r="F3151" s="210" t="s">
        <v>8458</v>
      </c>
      <c r="G3151" s="58" t="s">
        <v>7980</v>
      </c>
      <c r="H3151" s="546">
        <v>23574.42</v>
      </c>
      <c r="I3151" s="66">
        <v>45044</v>
      </c>
      <c r="J3151" s="411" t="s">
        <v>8459</v>
      </c>
      <c r="K3151" s="58"/>
      <c r="L3151" s="99"/>
      <c r="M3151" s="70" t="s">
        <v>8332</v>
      </c>
      <c r="N3151" s="97" t="s">
        <v>741</v>
      </c>
      <c r="O3151" s="58"/>
      <c r="P3151" s="58" t="s">
        <v>59</v>
      </c>
      <c r="Q3151" s="58" t="s">
        <v>107</v>
      </c>
      <c r="R3151" s="58" t="s">
        <v>272</v>
      </c>
    </row>
    <row r="3152" spans="1:18" ht="69" customHeight="1">
      <c r="A3152" s="168"/>
      <c r="B3152" s="178">
        <v>9913</v>
      </c>
      <c r="C3152" s="178" t="s">
        <v>458</v>
      </c>
      <c r="D3152" s="575" t="s">
        <v>2881</v>
      </c>
      <c r="E3152" s="178" t="s">
        <v>741</v>
      </c>
      <c r="F3152" s="210" t="s">
        <v>8460</v>
      </c>
      <c r="G3152" s="58" t="s">
        <v>7980</v>
      </c>
      <c r="H3152" s="546">
        <v>94297.7</v>
      </c>
      <c r="I3152" s="66">
        <v>45044</v>
      </c>
      <c r="J3152" s="411" t="s">
        <v>8459</v>
      </c>
      <c r="K3152" s="58"/>
      <c r="L3152" s="99"/>
      <c r="M3152" s="70" t="s">
        <v>8332</v>
      </c>
      <c r="N3152" s="97" t="s">
        <v>741</v>
      </c>
      <c r="O3152" s="58"/>
      <c r="P3152" s="58" t="s">
        <v>59</v>
      </c>
      <c r="Q3152" s="58" t="s">
        <v>107</v>
      </c>
      <c r="R3152" s="58" t="s">
        <v>272</v>
      </c>
    </row>
    <row r="3153" spans="1:18" ht="69" customHeight="1">
      <c r="A3153" s="168"/>
      <c r="B3153" s="178">
        <v>9914</v>
      </c>
      <c r="C3153" s="178" t="s">
        <v>458</v>
      </c>
      <c r="D3153" s="575" t="s">
        <v>2883</v>
      </c>
      <c r="E3153" s="178" t="s">
        <v>741</v>
      </c>
      <c r="F3153" s="210" t="s">
        <v>8461</v>
      </c>
      <c r="G3153" s="58" t="s">
        <v>7990</v>
      </c>
      <c r="H3153" s="546">
        <v>27760.26</v>
      </c>
      <c r="I3153" s="66">
        <v>45044</v>
      </c>
      <c r="J3153" s="411" t="s">
        <v>8459</v>
      </c>
      <c r="K3153" s="58"/>
      <c r="L3153" s="99"/>
      <c r="M3153" s="70" t="s">
        <v>8332</v>
      </c>
      <c r="N3153" s="97" t="s">
        <v>741</v>
      </c>
      <c r="O3153" s="58"/>
      <c r="P3153" s="58" t="s">
        <v>59</v>
      </c>
      <c r="Q3153" s="58" t="s">
        <v>107</v>
      </c>
      <c r="R3153" s="58" t="s">
        <v>272</v>
      </c>
    </row>
    <row r="3154" spans="1:18" ht="69" customHeight="1">
      <c r="A3154" s="168"/>
      <c r="B3154" s="178">
        <v>9915</v>
      </c>
      <c r="C3154" s="178" t="s">
        <v>458</v>
      </c>
      <c r="D3154" s="575" t="s">
        <v>2885</v>
      </c>
      <c r="E3154" s="178" t="s">
        <v>741</v>
      </c>
      <c r="F3154" s="210" t="s">
        <v>8462</v>
      </c>
      <c r="G3154" s="58" t="s">
        <v>7990</v>
      </c>
      <c r="H3154" s="546">
        <v>111041.04</v>
      </c>
      <c r="I3154" s="66">
        <v>45044</v>
      </c>
      <c r="J3154" s="411" t="s">
        <v>8459</v>
      </c>
      <c r="K3154" s="58"/>
      <c r="L3154" s="99"/>
      <c r="M3154" s="70" t="s">
        <v>8332</v>
      </c>
      <c r="N3154" s="97" t="s">
        <v>741</v>
      </c>
      <c r="O3154" s="58"/>
      <c r="P3154" s="58" t="s">
        <v>59</v>
      </c>
      <c r="Q3154" s="58" t="s">
        <v>107</v>
      </c>
      <c r="R3154" s="58" t="s">
        <v>272</v>
      </c>
    </row>
    <row r="3155" spans="1:18" ht="69" customHeight="1">
      <c r="A3155" s="168"/>
      <c r="B3155" s="178">
        <v>9918</v>
      </c>
      <c r="C3155" s="178" t="s">
        <v>458</v>
      </c>
      <c r="D3155" s="575" t="s">
        <v>1932</v>
      </c>
      <c r="E3155" s="178" t="s">
        <v>8347</v>
      </c>
      <c r="F3155" s="210" t="s">
        <v>8463</v>
      </c>
      <c r="G3155" s="58" t="s">
        <v>5225</v>
      </c>
      <c r="H3155" s="546">
        <v>38234.199999999997</v>
      </c>
      <c r="I3155" s="66">
        <v>45061</v>
      </c>
      <c r="J3155" s="411" t="s">
        <v>7805</v>
      </c>
      <c r="K3155" s="58"/>
      <c r="L3155" s="99"/>
      <c r="M3155" s="70" t="s">
        <v>8351</v>
      </c>
      <c r="N3155" s="97" t="s">
        <v>414</v>
      </c>
      <c r="O3155" s="58"/>
      <c r="P3155" s="58" t="s">
        <v>22</v>
      </c>
      <c r="Q3155" s="58" t="s">
        <v>107</v>
      </c>
      <c r="R3155" s="58" t="s">
        <v>265</v>
      </c>
    </row>
    <row r="3156" spans="1:18" ht="69" customHeight="1">
      <c r="A3156" s="168"/>
      <c r="B3156" s="178"/>
      <c r="C3156" s="178" t="s">
        <v>458</v>
      </c>
      <c r="D3156" s="575"/>
      <c r="E3156" s="178" t="s">
        <v>266</v>
      </c>
      <c r="F3156" s="210" t="s">
        <v>8464</v>
      </c>
      <c r="G3156" s="58"/>
      <c r="H3156" s="546">
        <v>5553.34</v>
      </c>
      <c r="I3156" s="66">
        <v>44484</v>
      </c>
      <c r="J3156" s="411" t="s">
        <v>7230</v>
      </c>
      <c r="K3156" s="58"/>
      <c r="L3156" s="99"/>
      <c r="M3156" s="70" t="s">
        <v>8465</v>
      </c>
      <c r="N3156" s="97" t="s">
        <v>270</v>
      </c>
      <c r="O3156" s="58"/>
      <c r="P3156" s="58" t="s">
        <v>44</v>
      </c>
      <c r="Q3156" s="58" t="s">
        <v>108</v>
      </c>
      <c r="R3156" s="58" t="s">
        <v>272</v>
      </c>
    </row>
    <row r="3157" spans="1:18" ht="69" customHeight="1">
      <c r="A3157" s="168"/>
      <c r="B3157" s="178"/>
      <c r="C3157" s="178" t="s">
        <v>458</v>
      </c>
      <c r="D3157" s="575"/>
      <c r="E3157" s="178" t="s">
        <v>266</v>
      </c>
      <c r="F3157" s="210" t="s">
        <v>8466</v>
      </c>
      <c r="G3157" s="58"/>
      <c r="H3157" s="546">
        <v>1388.33</v>
      </c>
      <c r="I3157" s="66">
        <v>44456</v>
      </c>
      <c r="J3157" s="411" t="s">
        <v>7233</v>
      </c>
      <c r="K3157" s="58"/>
      <c r="L3157" s="99"/>
      <c r="M3157" s="70" t="s">
        <v>8465</v>
      </c>
      <c r="N3157" s="97" t="s">
        <v>270</v>
      </c>
      <c r="O3157" s="58"/>
      <c r="P3157" s="58" t="s">
        <v>44</v>
      </c>
      <c r="Q3157" s="58" t="s">
        <v>108</v>
      </c>
      <c r="R3157" s="58" t="s">
        <v>272</v>
      </c>
    </row>
    <row r="3158" spans="1:18" ht="69" customHeight="1">
      <c r="A3158" s="168"/>
      <c r="B3158" s="178"/>
      <c r="C3158" s="178" t="s">
        <v>458</v>
      </c>
      <c r="D3158" s="575"/>
      <c r="E3158" s="178" t="s">
        <v>266</v>
      </c>
      <c r="F3158" s="210" t="s">
        <v>8466</v>
      </c>
      <c r="G3158" s="58"/>
      <c r="H3158" s="546">
        <v>1388.33</v>
      </c>
      <c r="I3158" s="66">
        <v>44456</v>
      </c>
      <c r="J3158" s="411" t="s">
        <v>7235</v>
      </c>
      <c r="K3158" s="58"/>
      <c r="L3158" s="99"/>
      <c r="M3158" s="70" t="s">
        <v>8465</v>
      </c>
      <c r="N3158" s="97" t="s">
        <v>270</v>
      </c>
      <c r="O3158" s="58"/>
      <c r="P3158" s="58" t="s">
        <v>44</v>
      </c>
      <c r="Q3158" s="58" t="s">
        <v>108</v>
      </c>
      <c r="R3158" s="58" t="s">
        <v>272</v>
      </c>
    </row>
    <row r="3159" spans="1:18" ht="69" customHeight="1">
      <c r="A3159" s="168"/>
      <c r="B3159" s="207">
        <v>2578</v>
      </c>
      <c r="C3159" s="207" t="s">
        <v>458</v>
      </c>
      <c r="D3159" s="301"/>
      <c r="E3159" s="207" t="s">
        <v>260</v>
      </c>
      <c r="F3159" s="208" t="s">
        <v>8467</v>
      </c>
      <c r="G3159" s="160" t="s">
        <v>8468</v>
      </c>
      <c r="H3159" s="300">
        <v>28500</v>
      </c>
      <c r="I3159" s="209" t="s">
        <v>96</v>
      </c>
      <c r="J3159" s="322" t="s">
        <v>8469</v>
      </c>
      <c r="K3159" s="160" t="s">
        <v>67</v>
      </c>
      <c r="M3159" s="379" t="s">
        <v>8470</v>
      </c>
      <c r="N3159" s="76" t="s">
        <v>264</v>
      </c>
      <c r="O3159" s="160" t="s">
        <v>141</v>
      </c>
      <c r="P3159" s="160" t="s">
        <v>67</v>
      </c>
      <c r="Q3159" s="160" t="s">
        <v>108</v>
      </c>
      <c r="R3159" s="160" t="s">
        <v>265</v>
      </c>
    </row>
    <row r="3160" spans="1:18" ht="69" customHeight="1">
      <c r="A3160" s="168"/>
      <c r="B3160" s="178" t="s">
        <v>8471</v>
      </c>
      <c r="C3160" s="178" t="s">
        <v>458</v>
      </c>
      <c r="D3160" s="575"/>
      <c r="E3160" s="178" t="s">
        <v>350</v>
      </c>
      <c r="F3160" s="210" t="s">
        <v>8472</v>
      </c>
      <c r="G3160" s="58" t="s">
        <v>7080</v>
      </c>
      <c r="H3160" s="546">
        <v>5362.8</v>
      </c>
      <c r="I3160" s="66" t="s">
        <v>96</v>
      </c>
      <c r="J3160" s="411" t="s">
        <v>7081</v>
      </c>
      <c r="K3160" s="58" t="s">
        <v>8473</v>
      </c>
      <c r="L3160" s="99"/>
      <c r="M3160" s="70" t="s">
        <v>8474</v>
      </c>
      <c r="N3160" s="97" t="s">
        <v>356</v>
      </c>
      <c r="O3160" s="58" t="s">
        <v>141</v>
      </c>
      <c r="P3160" s="58" t="s">
        <v>19</v>
      </c>
      <c r="Q3160" s="58" t="s">
        <v>108</v>
      </c>
      <c r="R3160" s="58" t="s">
        <v>265</v>
      </c>
    </row>
    <row r="3161" spans="1:18" ht="69" customHeight="1">
      <c r="A3161" s="168"/>
      <c r="B3161" s="178" t="s">
        <v>8475</v>
      </c>
      <c r="C3161" s="178" t="s">
        <v>458</v>
      </c>
      <c r="D3161" s="575"/>
      <c r="E3161" s="178" t="s">
        <v>350</v>
      </c>
      <c r="F3161" s="210" t="s">
        <v>8476</v>
      </c>
      <c r="G3161" s="58" t="s">
        <v>7080</v>
      </c>
      <c r="H3161" s="546">
        <v>5838.05</v>
      </c>
      <c r="I3161" s="66" t="s">
        <v>96</v>
      </c>
      <c r="J3161" s="411" t="s">
        <v>7081</v>
      </c>
      <c r="K3161" s="58" t="s">
        <v>8473</v>
      </c>
      <c r="L3161" s="99"/>
      <c r="M3161" s="70" t="s">
        <v>8474</v>
      </c>
      <c r="N3161" s="97" t="s">
        <v>356</v>
      </c>
      <c r="O3161" s="58" t="s">
        <v>141</v>
      </c>
      <c r="P3161" s="58" t="s">
        <v>19</v>
      </c>
      <c r="Q3161" s="58" t="s">
        <v>108</v>
      </c>
      <c r="R3161" s="58" t="s">
        <v>265</v>
      </c>
    </row>
    <row r="3162" spans="1:18" ht="69" customHeight="1">
      <c r="A3162" s="168"/>
      <c r="B3162" s="178" t="s">
        <v>8477</v>
      </c>
      <c r="C3162" s="178" t="s">
        <v>458</v>
      </c>
      <c r="D3162" s="575"/>
      <c r="E3162" s="178" t="s">
        <v>350</v>
      </c>
      <c r="F3162" s="210" t="s">
        <v>8478</v>
      </c>
      <c r="G3162" s="58" t="s">
        <v>7080</v>
      </c>
      <c r="H3162" s="546">
        <v>48758.84</v>
      </c>
      <c r="I3162" s="66" t="s">
        <v>96</v>
      </c>
      <c r="J3162" s="411" t="s">
        <v>7081</v>
      </c>
      <c r="K3162" s="58" t="s">
        <v>8473</v>
      </c>
      <c r="L3162" s="99"/>
      <c r="M3162" s="70" t="s">
        <v>8474</v>
      </c>
      <c r="N3162" s="97" t="s">
        <v>356</v>
      </c>
      <c r="O3162" s="58" t="s">
        <v>141</v>
      </c>
      <c r="P3162" s="58" t="s">
        <v>19</v>
      </c>
      <c r="Q3162" s="58" t="s">
        <v>108</v>
      </c>
      <c r="R3162" s="58" t="s">
        <v>265</v>
      </c>
    </row>
    <row r="3163" spans="1:18" ht="69" customHeight="1">
      <c r="A3163" s="168"/>
      <c r="B3163" s="178" t="s">
        <v>8479</v>
      </c>
      <c r="C3163" s="178" t="s">
        <v>458</v>
      </c>
      <c r="D3163" s="575"/>
      <c r="E3163" s="178" t="s">
        <v>350</v>
      </c>
      <c r="F3163" s="210" t="s">
        <v>8478</v>
      </c>
      <c r="G3163" s="58" t="s">
        <v>7080</v>
      </c>
      <c r="H3163" s="546">
        <v>4200</v>
      </c>
      <c r="I3163" s="66" t="s">
        <v>96</v>
      </c>
      <c r="J3163" s="411" t="s">
        <v>7081</v>
      </c>
      <c r="K3163" s="58" t="s">
        <v>8473</v>
      </c>
      <c r="L3163" s="99"/>
      <c r="M3163" s="70" t="s">
        <v>8474</v>
      </c>
      <c r="N3163" s="97" t="s">
        <v>356</v>
      </c>
      <c r="O3163" s="58" t="s">
        <v>141</v>
      </c>
      <c r="P3163" s="58" t="s">
        <v>19</v>
      </c>
      <c r="Q3163" s="58" t="s">
        <v>108</v>
      </c>
      <c r="R3163" s="58" t="s">
        <v>265</v>
      </c>
    </row>
    <row r="3164" spans="1:18" ht="69" customHeight="1">
      <c r="A3164" s="168"/>
      <c r="B3164" s="178" t="s">
        <v>8480</v>
      </c>
      <c r="C3164" s="178" t="s">
        <v>458</v>
      </c>
      <c r="D3164" s="575"/>
      <c r="E3164" s="178" t="s">
        <v>350</v>
      </c>
      <c r="F3164" s="210" t="s">
        <v>8481</v>
      </c>
      <c r="G3164" s="58" t="s">
        <v>7080</v>
      </c>
      <c r="H3164" s="546">
        <v>170320.5</v>
      </c>
      <c r="I3164" s="66" t="s">
        <v>96</v>
      </c>
      <c r="J3164" s="411" t="s">
        <v>7081</v>
      </c>
      <c r="K3164" s="58" t="s">
        <v>8473</v>
      </c>
      <c r="L3164" s="99"/>
      <c r="M3164" s="70" t="s">
        <v>8474</v>
      </c>
      <c r="N3164" s="97" t="s">
        <v>356</v>
      </c>
      <c r="O3164" s="58" t="s">
        <v>141</v>
      </c>
      <c r="P3164" s="58" t="s">
        <v>19</v>
      </c>
      <c r="Q3164" s="58" t="s">
        <v>108</v>
      </c>
      <c r="R3164" s="58" t="s">
        <v>265</v>
      </c>
    </row>
    <row r="3165" spans="1:18" ht="69" customHeight="1">
      <c r="A3165" s="168"/>
      <c r="B3165" s="178" t="s">
        <v>8482</v>
      </c>
      <c r="C3165" s="178" t="s">
        <v>458</v>
      </c>
      <c r="D3165" s="575"/>
      <c r="E3165" s="178" t="s">
        <v>350</v>
      </c>
      <c r="F3165" s="210" t="s">
        <v>8483</v>
      </c>
      <c r="G3165" s="58" t="s">
        <v>7080</v>
      </c>
      <c r="H3165" s="546">
        <v>118263.94</v>
      </c>
      <c r="I3165" s="66" t="s">
        <v>96</v>
      </c>
      <c r="J3165" s="411" t="s">
        <v>7081</v>
      </c>
      <c r="K3165" s="58" t="s">
        <v>8473</v>
      </c>
      <c r="L3165" s="99"/>
      <c r="M3165" s="70" t="s">
        <v>8474</v>
      </c>
      <c r="N3165" s="97" t="s">
        <v>356</v>
      </c>
      <c r="O3165" s="58" t="s">
        <v>141</v>
      </c>
      <c r="P3165" s="58" t="s">
        <v>19</v>
      </c>
      <c r="Q3165" s="58" t="s">
        <v>108</v>
      </c>
      <c r="R3165" s="58" t="s">
        <v>265</v>
      </c>
    </row>
    <row r="3166" spans="1:18" ht="69" customHeight="1">
      <c r="A3166" s="168"/>
      <c r="B3166" s="178" t="s">
        <v>8484</v>
      </c>
      <c r="C3166" s="178" t="s">
        <v>458</v>
      </c>
      <c r="D3166" s="575"/>
      <c r="E3166" s="178" t="s">
        <v>358</v>
      </c>
      <c r="F3166" s="210" t="s">
        <v>8485</v>
      </c>
      <c r="G3166" s="58" t="s">
        <v>7080</v>
      </c>
      <c r="H3166" s="546">
        <v>131844</v>
      </c>
      <c r="I3166" s="66" t="s">
        <v>96</v>
      </c>
      <c r="J3166" s="411" t="s">
        <v>7081</v>
      </c>
      <c r="K3166" s="58" t="s">
        <v>8473</v>
      </c>
      <c r="L3166" s="99"/>
      <c r="M3166" s="70" t="s">
        <v>8486</v>
      </c>
      <c r="N3166" s="97" t="s">
        <v>356</v>
      </c>
      <c r="O3166" s="58" t="s">
        <v>141</v>
      </c>
      <c r="P3166" s="58" t="s">
        <v>19</v>
      </c>
      <c r="Q3166" s="58" t="s">
        <v>108</v>
      </c>
      <c r="R3166" s="58" t="s">
        <v>272</v>
      </c>
    </row>
    <row r="3167" spans="1:18" ht="69" customHeight="1">
      <c r="A3167" s="168"/>
      <c r="B3167" s="178" t="s">
        <v>8487</v>
      </c>
      <c r="C3167" s="178" t="s">
        <v>458</v>
      </c>
      <c r="D3167" s="575"/>
      <c r="E3167" s="178" t="s">
        <v>260</v>
      </c>
      <c r="F3167" s="210" t="s">
        <v>8488</v>
      </c>
      <c r="G3167" s="58" t="s">
        <v>7080</v>
      </c>
      <c r="H3167" s="546">
        <v>1711</v>
      </c>
      <c r="I3167" s="66" t="s">
        <v>96</v>
      </c>
      <c r="J3167" s="411" t="s">
        <v>7081</v>
      </c>
      <c r="K3167" s="58" t="s">
        <v>8489</v>
      </c>
      <c r="L3167" s="99"/>
      <c r="M3167" s="70" t="s">
        <v>8470</v>
      </c>
      <c r="N3167" s="97" t="s">
        <v>264</v>
      </c>
      <c r="O3167" s="58" t="s">
        <v>141</v>
      </c>
      <c r="P3167" s="58" t="s">
        <v>17</v>
      </c>
      <c r="Q3167" s="58" t="s">
        <v>108</v>
      </c>
      <c r="R3167" s="58" t="s">
        <v>265</v>
      </c>
    </row>
    <row r="3168" spans="1:18" ht="69" customHeight="1">
      <c r="A3168" s="168"/>
      <c r="B3168" s="178" t="s">
        <v>8490</v>
      </c>
      <c r="C3168" s="178" t="s">
        <v>458</v>
      </c>
      <c r="D3168" s="575"/>
      <c r="E3168" s="178" t="s">
        <v>260</v>
      </c>
      <c r="F3168" s="210" t="s">
        <v>8491</v>
      </c>
      <c r="G3168" s="58" t="s">
        <v>7080</v>
      </c>
      <c r="H3168" s="546">
        <v>52909.11</v>
      </c>
      <c r="I3168" s="66" t="s">
        <v>96</v>
      </c>
      <c r="J3168" s="411" t="s">
        <v>7081</v>
      </c>
      <c r="K3168" s="58" t="s">
        <v>8489</v>
      </c>
      <c r="L3168" s="99"/>
      <c r="M3168" s="70" t="s">
        <v>8470</v>
      </c>
      <c r="N3168" s="97" t="s">
        <v>264</v>
      </c>
      <c r="O3168" s="58" t="s">
        <v>141</v>
      </c>
      <c r="P3168" s="58" t="s">
        <v>17</v>
      </c>
      <c r="Q3168" s="58" t="s">
        <v>108</v>
      </c>
      <c r="R3168" s="58" t="s">
        <v>265</v>
      </c>
    </row>
    <row r="3169" spans="1:18" ht="69" customHeight="1">
      <c r="A3169" s="168"/>
      <c r="B3169" s="178" t="s">
        <v>8492</v>
      </c>
      <c r="C3169" s="178" t="s">
        <v>458</v>
      </c>
      <c r="D3169" s="575"/>
      <c r="E3169" s="178" t="s">
        <v>260</v>
      </c>
      <c r="F3169" s="210" t="s">
        <v>8493</v>
      </c>
      <c r="G3169" s="58" t="s">
        <v>7080</v>
      </c>
      <c r="H3169" s="546">
        <v>22327.8</v>
      </c>
      <c r="I3169" s="66" t="s">
        <v>96</v>
      </c>
      <c r="J3169" s="411" t="s">
        <v>7081</v>
      </c>
      <c r="K3169" s="58" t="s">
        <v>8489</v>
      </c>
      <c r="L3169" s="99"/>
      <c r="M3169" s="70" t="s">
        <v>8470</v>
      </c>
      <c r="N3169" s="97" t="s">
        <v>264</v>
      </c>
      <c r="O3169" s="58" t="s">
        <v>141</v>
      </c>
      <c r="P3169" s="58" t="s">
        <v>17</v>
      </c>
      <c r="Q3169" s="58" t="s">
        <v>108</v>
      </c>
      <c r="R3169" s="58" t="s">
        <v>265</v>
      </c>
    </row>
    <row r="3170" spans="1:18" ht="69" customHeight="1">
      <c r="A3170" s="168"/>
      <c r="B3170" s="178" t="s">
        <v>8494</v>
      </c>
      <c r="C3170" s="178" t="s">
        <v>458</v>
      </c>
      <c r="D3170" s="575"/>
      <c r="E3170" s="178" t="s">
        <v>260</v>
      </c>
      <c r="F3170" s="210" t="s">
        <v>8495</v>
      </c>
      <c r="G3170" s="58" t="s">
        <v>7080</v>
      </c>
      <c r="H3170" s="546">
        <v>30000</v>
      </c>
      <c r="I3170" s="66" t="s">
        <v>96</v>
      </c>
      <c r="J3170" s="411" t="s">
        <v>7081</v>
      </c>
      <c r="K3170" s="58" t="s">
        <v>8489</v>
      </c>
      <c r="L3170" s="99"/>
      <c r="M3170" s="70" t="s">
        <v>8470</v>
      </c>
      <c r="N3170" s="97" t="s">
        <v>264</v>
      </c>
      <c r="O3170" s="58" t="s">
        <v>141</v>
      </c>
      <c r="P3170" s="58" t="s">
        <v>17</v>
      </c>
      <c r="Q3170" s="58" t="s">
        <v>108</v>
      </c>
      <c r="R3170" s="58" t="s">
        <v>265</v>
      </c>
    </row>
    <row r="3171" spans="1:18" ht="69" customHeight="1">
      <c r="A3171" s="168"/>
      <c r="B3171" s="191" t="s">
        <v>8496</v>
      </c>
      <c r="C3171" s="191" t="s">
        <v>458</v>
      </c>
      <c r="D3171" s="533"/>
      <c r="E3171" s="191" t="s">
        <v>260</v>
      </c>
      <c r="F3171" s="211" t="s">
        <v>8497</v>
      </c>
      <c r="G3171" s="46" t="s">
        <v>7080</v>
      </c>
      <c r="H3171" s="534">
        <v>28500</v>
      </c>
      <c r="I3171" s="56" t="s">
        <v>96</v>
      </c>
      <c r="J3171" s="412" t="s">
        <v>7081</v>
      </c>
      <c r="K3171" s="46" t="s">
        <v>8489</v>
      </c>
      <c r="L3171" s="99"/>
      <c r="M3171" s="379" t="s">
        <v>8470</v>
      </c>
      <c r="N3171" s="76" t="s">
        <v>264</v>
      </c>
      <c r="O3171" s="46" t="s">
        <v>141</v>
      </c>
      <c r="P3171" s="46" t="s">
        <v>65</v>
      </c>
      <c r="Q3171" s="46" t="s">
        <v>108</v>
      </c>
      <c r="R3171" s="46" t="s">
        <v>272</v>
      </c>
    </row>
    <row r="3172" spans="1:18" ht="69" customHeight="1">
      <c r="A3172" s="168"/>
      <c r="B3172" s="178" t="s">
        <v>8498</v>
      </c>
      <c r="C3172" s="178" t="s">
        <v>458</v>
      </c>
      <c r="D3172" s="575"/>
      <c r="E3172" s="178" t="s">
        <v>260</v>
      </c>
      <c r="F3172" s="210" t="s">
        <v>8499</v>
      </c>
      <c r="G3172" s="58" t="s">
        <v>7080</v>
      </c>
      <c r="H3172" s="546">
        <v>5403.15</v>
      </c>
      <c r="I3172" s="66" t="s">
        <v>96</v>
      </c>
      <c r="J3172" s="411" t="s">
        <v>7081</v>
      </c>
      <c r="K3172" s="58" t="s">
        <v>8489</v>
      </c>
      <c r="L3172" s="99"/>
      <c r="M3172" s="70" t="s">
        <v>8470</v>
      </c>
      <c r="N3172" s="97" t="s">
        <v>264</v>
      </c>
      <c r="O3172" s="58" t="s">
        <v>141</v>
      </c>
      <c r="P3172" s="58" t="s">
        <v>17</v>
      </c>
      <c r="Q3172" s="58" t="s">
        <v>108</v>
      </c>
      <c r="R3172" s="58" t="s">
        <v>265</v>
      </c>
    </row>
    <row r="3173" spans="1:18" ht="69" customHeight="1">
      <c r="A3173" s="168"/>
      <c r="B3173" s="178" t="s">
        <v>8500</v>
      </c>
      <c r="C3173" s="178" t="s">
        <v>458</v>
      </c>
      <c r="D3173" s="575"/>
      <c r="E3173" s="178" t="s">
        <v>260</v>
      </c>
      <c r="F3173" s="210" t="s">
        <v>8501</v>
      </c>
      <c r="G3173" s="58" t="s">
        <v>7080</v>
      </c>
      <c r="H3173" s="546">
        <v>2075</v>
      </c>
      <c r="I3173" s="66" t="s">
        <v>96</v>
      </c>
      <c r="J3173" s="411" t="s">
        <v>7081</v>
      </c>
      <c r="K3173" s="58" t="s">
        <v>8489</v>
      </c>
      <c r="L3173" s="99"/>
      <c r="M3173" s="70" t="s">
        <v>8470</v>
      </c>
      <c r="N3173" s="97" t="s">
        <v>264</v>
      </c>
      <c r="O3173" s="58" t="s">
        <v>141</v>
      </c>
      <c r="P3173" s="58" t="s">
        <v>17</v>
      </c>
      <c r="Q3173" s="58" t="s">
        <v>108</v>
      </c>
      <c r="R3173" s="58" t="s">
        <v>265</v>
      </c>
    </row>
    <row r="3174" spans="1:18" ht="69" customHeight="1">
      <c r="A3174" s="168"/>
      <c r="B3174" s="178" t="s">
        <v>8502</v>
      </c>
      <c r="C3174" s="178" t="s">
        <v>458</v>
      </c>
      <c r="D3174" s="575"/>
      <c r="E3174" s="178" t="s">
        <v>260</v>
      </c>
      <c r="F3174" s="210" t="s">
        <v>8503</v>
      </c>
      <c r="G3174" s="58" t="s">
        <v>7080</v>
      </c>
      <c r="H3174" s="546">
        <v>1039.77</v>
      </c>
      <c r="I3174" s="66" t="s">
        <v>96</v>
      </c>
      <c r="J3174" s="411" t="s">
        <v>7081</v>
      </c>
      <c r="K3174" s="58" t="s">
        <v>8489</v>
      </c>
      <c r="L3174" s="99"/>
      <c r="M3174" s="70" t="s">
        <v>8470</v>
      </c>
      <c r="N3174" s="97" t="s">
        <v>264</v>
      </c>
      <c r="O3174" s="58" t="s">
        <v>141</v>
      </c>
      <c r="P3174" s="58" t="s">
        <v>17</v>
      </c>
      <c r="Q3174" s="58" t="s">
        <v>108</v>
      </c>
      <c r="R3174" s="58" t="s">
        <v>265</v>
      </c>
    </row>
    <row r="3175" spans="1:18" ht="69" customHeight="1">
      <c r="A3175" s="168"/>
      <c r="B3175" s="178" t="s">
        <v>8504</v>
      </c>
      <c r="C3175" s="178" t="s">
        <v>458</v>
      </c>
      <c r="D3175" s="575"/>
      <c r="E3175" s="178" t="s">
        <v>260</v>
      </c>
      <c r="F3175" s="210" t="s">
        <v>8505</v>
      </c>
      <c r="G3175" s="58" t="s">
        <v>7080</v>
      </c>
      <c r="H3175" s="546">
        <v>426.1</v>
      </c>
      <c r="I3175" s="66" t="s">
        <v>96</v>
      </c>
      <c r="J3175" s="411" t="s">
        <v>7081</v>
      </c>
      <c r="K3175" s="58" t="s">
        <v>8489</v>
      </c>
      <c r="L3175" s="99"/>
      <c r="M3175" s="70" t="s">
        <v>8470</v>
      </c>
      <c r="N3175" s="97" t="s">
        <v>264</v>
      </c>
      <c r="O3175" s="58" t="s">
        <v>141</v>
      </c>
      <c r="P3175" s="58" t="s">
        <v>17</v>
      </c>
      <c r="Q3175" s="58" t="s">
        <v>108</v>
      </c>
      <c r="R3175" s="58" t="s">
        <v>265</v>
      </c>
    </row>
    <row r="3176" spans="1:18" ht="69" customHeight="1">
      <c r="A3176" s="168"/>
      <c r="B3176" s="178" t="s">
        <v>8506</v>
      </c>
      <c r="C3176" s="178" t="s">
        <v>458</v>
      </c>
      <c r="D3176" s="575"/>
      <c r="E3176" s="178" t="s">
        <v>260</v>
      </c>
      <c r="F3176" s="210" t="s">
        <v>8507</v>
      </c>
      <c r="G3176" s="58" t="s">
        <v>7080</v>
      </c>
      <c r="H3176" s="546">
        <v>1470</v>
      </c>
      <c r="I3176" s="66" t="s">
        <v>96</v>
      </c>
      <c r="J3176" s="411" t="s">
        <v>7081</v>
      </c>
      <c r="K3176" s="58" t="s">
        <v>8489</v>
      </c>
      <c r="L3176" s="99"/>
      <c r="M3176" s="70" t="s">
        <v>8470</v>
      </c>
      <c r="N3176" s="97" t="s">
        <v>264</v>
      </c>
      <c r="O3176" s="58" t="s">
        <v>141</v>
      </c>
      <c r="P3176" s="58" t="s">
        <v>17</v>
      </c>
      <c r="Q3176" s="58" t="s">
        <v>108</v>
      </c>
      <c r="R3176" s="58" t="s">
        <v>265</v>
      </c>
    </row>
    <row r="3177" spans="1:18" ht="69" customHeight="1">
      <c r="A3177" s="168"/>
      <c r="B3177" s="178" t="s">
        <v>8508</v>
      </c>
      <c r="C3177" s="178" t="s">
        <v>458</v>
      </c>
      <c r="D3177" s="575"/>
      <c r="E3177" s="178" t="s">
        <v>260</v>
      </c>
      <c r="F3177" s="210" t="s">
        <v>8509</v>
      </c>
      <c r="G3177" s="58" t="s">
        <v>7080</v>
      </c>
      <c r="H3177" s="546">
        <v>73.48</v>
      </c>
      <c r="I3177" s="66" t="s">
        <v>96</v>
      </c>
      <c r="J3177" s="411" t="s">
        <v>7081</v>
      </c>
      <c r="K3177" s="58" t="s">
        <v>8489</v>
      </c>
      <c r="L3177" s="99"/>
      <c r="M3177" s="70" t="s">
        <v>8470</v>
      </c>
      <c r="N3177" s="97" t="s">
        <v>264</v>
      </c>
      <c r="O3177" s="58" t="s">
        <v>141</v>
      </c>
      <c r="P3177" s="58" t="s">
        <v>17</v>
      </c>
      <c r="Q3177" s="58" t="s">
        <v>108</v>
      </c>
      <c r="R3177" s="58" t="s">
        <v>265</v>
      </c>
    </row>
    <row r="3178" spans="1:18" ht="69" customHeight="1">
      <c r="A3178" s="168"/>
      <c r="B3178" s="178" t="s">
        <v>8510</v>
      </c>
      <c r="C3178" s="178" t="s">
        <v>458</v>
      </c>
      <c r="D3178" s="575"/>
      <c r="E3178" s="178" t="s">
        <v>260</v>
      </c>
      <c r="F3178" s="210" t="s">
        <v>8511</v>
      </c>
      <c r="G3178" s="58" t="s">
        <v>7080</v>
      </c>
      <c r="H3178" s="546">
        <v>19050.93</v>
      </c>
      <c r="I3178" s="66" t="s">
        <v>96</v>
      </c>
      <c r="J3178" s="411" t="s">
        <v>7081</v>
      </c>
      <c r="K3178" s="58" t="s">
        <v>8489</v>
      </c>
      <c r="L3178" s="99"/>
      <c r="M3178" s="70" t="s">
        <v>8470</v>
      </c>
      <c r="N3178" s="97" t="s">
        <v>264</v>
      </c>
      <c r="O3178" s="58" t="s">
        <v>141</v>
      </c>
      <c r="P3178" s="58" t="s">
        <v>17</v>
      </c>
      <c r="Q3178" s="58" t="s">
        <v>108</v>
      </c>
      <c r="R3178" s="58" t="s">
        <v>265</v>
      </c>
    </row>
    <row r="3179" spans="1:18" ht="69" customHeight="1">
      <c r="A3179" s="168"/>
      <c r="B3179" s="178" t="s">
        <v>8512</v>
      </c>
      <c r="C3179" s="178" t="s">
        <v>458</v>
      </c>
      <c r="D3179" s="575"/>
      <c r="E3179" s="178" t="s">
        <v>260</v>
      </c>
      <c r="F3179" s="210" t="s">
        <v>8513</v>
      </c>
      <c r="G3179" s="58" t="s">
        <v>7080</v>
      </c>
      <c r="H3179" s="546">
        <v>7905</v>
      </c>
      <c r="I3179" s="66" t="s">
        <v>96</v>
      </c>
      <c r="J3179" s="411" t="s">
        <v>7081</v>
      </c>
      <c r="K3179" s="58" t="s">
        <v>8489</v>
      </c>
      <c r="L3179" s="99"/>
      <c r="M3179" s="70" t="s">
        <v>8514</v>
      </c>
      <c r="N3179" s="97" t="s">
        <v>264</v>
      </c>
      <c r="O3179" s="58" t="s">
        <v>141</v>
      </c>
      <c r="P3179" s="58" t="s">
        <v>17</v>
      </c>
      <c r="Q3179" s="58" t="s">
        <v>108</v>
      </c>
      <c r="R3179" s="58" t="s">
        <v>272</v>
      </c>
    </row>
    <row r="3180" spans="1:18" ht="69" customHeight="1">
      <c r="A3180" s="168"/>
      <c r="B3180" s="178" t="s">
        <v>8515</v>
      </c>
      <c r="C3180" s="178" t="s">
        <v>458</v>
      </c>
      <c r="D3180" s="575"/>
      <c r="E3180" s="178" t="s">
        <v>260</v>
      </c>
      <c r="F3180" s="210" t="s">
        <v>8516</v>
      </c>
      <c r="G3180" s="58" t="s">
        <v>7080</v>
      </c>
      <c r="H3180" s="546">
        <v>5706.96</v>
      </c>
      <c r="I3180" s="66" t="s">
        <v>96</v>
      </c>
      <c r="J3180" s="411" t="s">
        <v>7081</v>
      </c>
      <c r="K3180" s="58" t="s">
        <v>8489</v>
      </c>
      <c r="L3180" s="99"/>
      <c r="M3180" s="70" t="s">
        <v>8470</v>
      </c>
      <c r="N3180" s="97" t="s">
        <v>264</v>
      </c>
      <c r="O3180" s="58" t="s">
        <v>141</v>
      </c>
      <c r="P3180" s="58" t="s">
        <v>17</v>
      </c>
      <c r="Q3180" s="58" t="s">
        <v>108</v>
      </c>
      <c r="R3180" s="58" t="s">
        <v>265</v>
      </c>
    </row>
    <row r="3181" spans="1:18" ht="69" customHeight="1">
      <c r="A3181" s="168"/>
      <c r="B3181" s="178" t="s">
        <v>8517</v>
      </c>
      <c r="C3181" s="178" t="s">
        <v>458</v>
      </c>
      <c r="D3181" s="575"/>
      <c r="E3181" s="178" t="s">
        <v>283</v>
      </c>
      <c r="F3181" s="210" t="s">
        <v>8518</v>
      </c>
      <c r="G3181" s="58" t="s">
        <v>7080</v>
      </c>
      <c r="H3181" s="546">
        <v>324989.88</v>
      </c>
      <c r="I3181" s="66" t="s">
        <v>96</v>
      </c>
      <c r="J3181" s="411" t="s">
        <v>7081</v>
      </c>
      <c r="K3181" s="58" t="s">
        <v>8489</v>
      </c>
      <c r="L3181" s="99"/>
      <c r="M3181" s="70" t="s">
        <v>8514</v>
      </c>
      <c r="N3181" s="97" t="s">
        <v>264</v>
      </c>
      <c r="O3181" s="58" t="s">
        <v>141</v>
      </c>
      <c r="P3181" s="58" t="s">
        <v>17</v>
      </c>
      <c r="Q3181" s="58" t="s">
        <v>108</v>
      </c>
      <c r="R3181" s="58" t="s">
        <v>272</v>
      </c>
    </row>
    <row r="3182" spans="1:18" ht="69" customHeight="1">
      <c r="A3182" s="168"/>
      <c r="B3182" s="191">
        <v>3001</v>
      </c>
      <c r="C3182" s="191" t="s">
        <v>458</v>
      </c>
      <c r="D3182" s="533" t="s">
        <v>1499</v>
      </c>
      <c r="E3182" s="191" t="s">
        <v>331</v>
      </c>
      <c r="F3182" s="211" t="s">
        <v>8519</v>
      </c>
      <c r="G3182" s="46" t="s">
        <v>4416</v>
      </c>
      <c r="H3182" s="534">
        <v>0</v>
      </c>
      <c r="I3182" s="56" t="s">
        <v>96</v>
      </c>
      <c r="J3182" s="412" t="s">
        <v>334</v>
      </c>
      <c r="K3182" s="46"/>
      <c r="L3182" s="99"/>
      <c r="M3182" s="379" t="s">
        <v>108</v>
      </c>
      <c r="N3182" s="76" t="s">
        <v>69</v>
      </c>
      <c r="O3182" s="46"/>
      <c r="P3182" s="46" t="s">
        <v>69</v>
      </c>
      <c r="Q3182" s="46" t="s">
        <v>108</v>
      </c>
      <c r="R3182" s="46" t="s">
        <v>272</v>
      </c>
    </row>
    <row r="3183" spans="1:18" ht="69" customHeight="1">
      <c r="A3183" s="168"/>
      <c r="B3183" s="207">
        <v>4359</v>
      </c>
      <c r="C3183" s="207" t="s">
        <v>458</v>
      </c>
      <c r="D3183" s="301"/>
      <c r="E3183" s="207" t="s">
        <v>358</v>
      </c>
      <c r="F3183" s="208" t="s">
        <v>8520</v>
      </c>
      <c r="G3183" s="160"/>
      <c r="H3183" s="300">
        <v>120197.26</v>
      </c>
      <c r="I3183" s="209">
        <v>44435</v>
      </c>
      <c r="J3183" s="322" t="s">
        <v>294</v>
      </c>
      <c r="K3183" s="160" t="s">
        <v>727</v>
      </c>
      <c r="M3183" s="380"/>
      <c r="N3183" s="82" t="s">
        <v>356</v>
      </c>
      <c r="O3183" s="160" t="s">
        <v>141</v>
      </c>
      <c r="P3183" s="160" t="s">
        <v>67</v>
      </c>
      <c r="Q3183" s="160" t="s">
        <v>108</v>
      </c>
      <c r="R3183" s="160" t="s">
        <v>272</v>
      </c>
    </row>
    <row r="3184" spans="1:18" ht="69" customHeight="1">
      <c r="A3184" s="168"/>
      <c r="B3184" s="178">
        <v>4363</v>
      </c>
      <c r="C3184" s="178" t="s">
        <v>458</v>
      </c>
      <c r="D3184" s="575"/>
      <c r="E3184" s="178" t="s">
        <v>8521</v>
      </c>
      <c r="F3184" s="210" t="s">
        <v>8522</v>
      </c>
      <c r="G3184" s="58"/>
      <c r="H3184" s="546">
        <v>1880.64</v>
      </c>
      <c r="I3184" s="66">
        <v>44435</v>
      </c>
      <c r="J3184" s="411" t="s">
        <v>294</v>
      </c>
      <c r="K3184" s="58"/>
      <c r="L3184" s="99"/>
      <c r="M3184" s="70" t="s">
        <v>8465</v>
      </c>
      <c r="N3184" s="97" t="s">
        <v>270</v>
      </c>
      <c r="O3184" s="58"/>
      <c r="P3184" s="58" t="s">
        <v>44</v>
      </c>
      <c r="Q3184" s="58" t="s">
        <v>108</v>
      </c>
      <c r="R3184" s="58" t="s">
        <v>272</v>
      </c>
    </row>
    <row r="3185" spans="1:18" ht="69" customHeight="1">
      <c r="A3185" s="168"/>
      <c r="B3185" s="178">
        <v>4364</v>
      </c>
      <c r="C3185" s="178" t="s">
        <v>458</v>
      </c>
      <c r="D3185" s="575"/>
      <c r="E3185" s="178" t="s">
        <v>8521</v>
      </c>
      <c r="F3185" s="210" t="s">
        <v>8522</v>
      </c>
      <c r="G3185" s="58"/>
      <c r="H3185" s="546">
        <v>8119.36</v>
      </c>
      <c r="I3185" s="66">
        <v>44435</v>
      </c>
      <c r="J3185" s="411" t="s">
        <v>294</v>
      </c>
      <c r="K3185" s="58"/>
      <c r="L3185" s="99"/>
      <c r="M3185" s="70" t="s">
        <v>8465</v>
      </c>
      <c r="N3185" s="97" t="s">
        <v>270</v>
      </c>
      <c r="O3185" s="58"/>
      <c r="P3185" s="58" t="s">
        <v>44</v>
      </c>
      <c r="Q3185" s="58" t="s">
        <v>108</v>
      </c>
      <c r="R3185" s="58" t="s">
        <v>272</v>
      </c>
    </row>
    <row r="3186" spans="1:18" ht="69" customHeight="1">
      <c r="A3186" s="168"/>
      <c r="B3186" s="207" t="s">
        <v>8523</v>
      </c>
      <c r="C3186" s="207" t="s">
        <v>458</v>
      </c>
      <c r="D3186" s="301"/>
      <c r="E3186" s="207" t="s">
        <v>283</v>
      </c>
      <c r="F3186" s="208" t="s">
        <v>8524</v>
      </c>
      <c r="G3186" s="160" t="s">
        <v>8525</v>
      </c>
      <c r="H3186" s="300">
        <v>0</v>
      </c>
      <c r="I3186" s="209" t="s">
        <v>96</v>
      </c>
      <c r="J3186" s="322" t="s">
        <v>294</v>
      </c>
      <c r="K3186" s="160" t="s">
        <v>727</v>
      </c>
      <c r="M3186" s="379" t="s">
        <v>8514</v>
      </c>
      <c r="N3186" s="76" t="s">
        <v>264</v>
      </c>
      <c r="O3186" s="160" t="s">
        <v>141</v>
      </c>
      <c r="P3186" s="160" t="s">
        <v>67</v>
      </c>
      <c r="Q3186" s="160" t="s">
        <v>108</v>
      </c>
      <c r="R3186" s="160" t="s">
        <v>272</v>
      </c>
    </row>
    <row r="3187" spans="1:18" ht="69" customHeight="1">
      <c r="A3187" s="168"/>
      <c r="B3187" s="207">
        <v>4376</v>
      </c>
      <c r="C3187" s="207" t="s">
        <v>458</v>
      </c>
      <c r="D3187" s="301"/>
      <c r="E3187" s="207" t="s">
        <v>358</v>
      </c>
      <c r="F3187" s="208" t="s">
        <v>8526</v>
      </c>
      <c r="G3187" s="160"/>
      <c r="H3187" s="300">
        <v>440</v>
      </c>
      <c r="I3187" s="209">
        <v>44449</v>
      </c>
      <c r="J3187" s="322" t="s">
        <v>294</v>
      </c>
      <c r="K3187" s="160" t="s">
        <v>727</v>
      </c>
      <c r="M3187" s="380"/>
      <c r="N3187" s="82" t="s">
        <v>356</v>
      </c>
      <c r="O3187" s="160" t="s">
        <v>141</v>
      </c>
      <c r="P3187" s="160" t="s">
        <v>67</v>
      </c>
      <c r="Q3187" s="160" t="s">
        <v>108</v>
      </c>
      <c r="R3187" s="160" t="s">
        <v>272</v>
      </c>
    </row>
    <row r="3188" spans="1:18" ht="69" customHeight="1">
      <c r="A3188" s="168"/>
      <c r="B3188" s="207">
        <v>4378</v>
      </c>
      <c r="C3188" s="207" t="s">
        <v>458</v>
      </c>
      <c r="D3188" s="301"/>
      <c r="E3188" s="207" t="s">
        <v>283</v>
      </c>
      <c r="F3188" s="208" t="s">
        <v>8527</v>
      </c>
      <c r="G3188" s="160" t="s">
        <v>8525</v>
      </c>
      <c r="H3188" s="300">
        <v>0</v>
      </c>
      <c r="I3188" s="209">
        <v>44466</v>
      </c>
      <c r="J3188" s="322" t="s">
        <v>294</v>
      </c>
      <c r="K3188" s="160" t="s">
        <v>727</v>
      </c>
      <c r="M3188" s="379" t="s">
        <v>8514</v>
      </c>
      <c r="N3188" s="76" t="s">
        <v>264</v>
      </c>
      <c r="O3188" s="160" t="s">
        <v>141</v>
      </c>
      <c r="P3188" s="160" t="s">
        <v>67</v>
      </c>
      <c r="Q3188" s="160" t="s">
        <v>108</v>
      </c>
      <c r="R3188" s="160" t="s">
        <v>272</v>
      </c>
    </row>
    <row r="3189" spans="1:18" ht="69" customHeight="1">
      <c r="A3189" s="168"/>
      <c r="B3189" s="207">
        <v>4382</v>
      </c>
      <c r="C3189" s="207" t="s">
        <v>458</v>
      </c>
      <c r="D3189" s="301"/>
      <c r="E3189" s="207" t="s">
        <v>283</v>
      </c>
      <c r="F3189" s="208" t="s">
        <v>8527</v>
      </c>
      <c r="G3189" s="160" t="s">
        <v>8525</v>
      </c>
      <c r="H3189" s="300">
        <v>0</v>
      </c>
      <c r="I3189" s="209">
        <v>44466</v>
      </c>
      <c r="J3189" s="322" t="s">
        <v>294</v>
      </c>
      <c r="K3189" s="160" t="s">
        <v>727</v>
      </c>
      <c r="M3189" s="379" t="s">
        <v>8514</v>
      </c>
      <c r="N3189" s="76" t="s">
        <v>264</v>
      </c>
      <c r="O3189" s="160" t="s">
        <v>141</v>
      </c>
      <c r="P3189" s="160" t="s">
        <v>67</v>
      </c>
      <c r="Q3189" s="160" t="s">
        <v>108</v>
      </c>
      <c r="R3189" s="160" t="s">
        <v>272</v>
      </c>
    </row>
    <row r="3190" spans="1:18" ht="69" customHeight="1">
      <c r="A3190" s="168"/>
      <c r="B3190" s="207">
        <v>4393</v>
      </c>
      <c r="C3190" s="207" t="s">
        <v>458</v>
      </c>
      <c r="D3190" s="301"/>
      <c r="E3190" s="207" t="s">
        <v>283</v>
      </c>
      <c r="F3190" s="208" t="s">
        <v>8528</v>
      </c>
      <c r="G3190" s="160" t="s">
        <v>8525</v>
      </c>
      <c r="H3190" s="300">
        <v>0</v>
      </c>
      <c r="I3190" s="209">
        <v>44488</v>
      </c>
      <c r="J3190" s="322" t="s">
        <v>294</v>
      </c>
      <c r="K3190" s="160" t="s">
        <v>727</v>
      </c>
      <c r="M3190" s="379" t="s">
        <v>8514</v>
      </c>
      <c r="N3190" s="76" t="s">
        <v>264</v>
      </c>
      <c r="O3190" s="160" t="s">
        <v>141</v>
      </c>
      <c r="P3190" s="160" t="s">
        <v>67</v>
      </c>
      <c r="Q3190" s="160" t="s">
        <v>108</v>
      </c>
      <c r="R3190" s="160" t="s">
        <v>272</v>
      </c>
    </row>
    <row r="3191" spans="1:18" ht="69" customHeight="1">
      <c r="A3191" s="168"/>
      <c r="B3191" s="207">
        <v>4404</v>
      </c>
      <c r="C3191" s="207" t="s">
        <v>458</v>
      </c>
      <c r="D3191" s="301"/>
      <c r="E3191" s="207" t="s">
        <v>283</v>
      </c>
      <c r="F3191" s="208" t="s">
        <v>8527</v>
      </c>
      <c r="G3191" s="160" t="s">
        <v>8525</v>
      </c>
      <c r="H3191" s="300">
        <v>0</v>
      </c>
      <c r="I3191" s="209">
        <v>44505</v>
      </c>
      <c r="J3191" s="322" t="s">
        <v>294</v>
      </c>
      <c r="K3191" s="160" t="s">
        <v>727</v>
      </c>
      <c r="M3191" s="379" t="s">
        <v>8514</v>
      </c>
      <c r="N3191" s="76" t="s">
        <v>264</v>
      </c>
      <c r="O3191" s="160" t="s">
        <v>141</v>
      </c>
      <c r="P3191" s="160" t="s">
        <v>67</v>
      </c>
      <c r="Q3191" s="160" t="s">
        <v>108</v>
      </c>
      <c r="R3191" s="160" t="s">
        <v>272</v>
      </c>
    </row>
    <row r="3192" spans="1:18" ht="69" customHeight="1">
      <c r="A3192" s="168"/>
      <c r="B3192" s="178">
        <v>8659</v>
      </c>
      <c r="C3192" s="178" t="s">
        <v>8529</v>
      </c>
      <c r="D3192" s="575" t="s">
        <v>3279</v>
      </c>
      <c r="E3192" s="178" t="s">
        <v>809</v>
      </c>
      <c r="F3192" s="210" t="s">
        <v>8530</v>
      </c>
      <c r="G3192" s="58" t="s">
        <v>823</v>
      </c>
      <c r="H3192" s="546">
        <v>19000.099999999999</v>
      </c>
      <c r="I3192" s="66">
        <v>44949</v>
      </c>
      <c r="J3192" s="411" t="s">
        <v>824</v>
      </c>
      <c r="K3192" s="58"/>
      <c r="L3192" s="99"/>
      <c r="M3192" s="70" t="s">
        <v>8531</v>
      </c>
      <c r="N3192" s="97" t="s">
        <v>814</v>
      </c>
      <c r="O3192" s="58"/>
      <c r="P3192" s="58" t="s">
        <v>36</v>
      </c>
      <c r="Q3192" s="58" t="s">
        <v>108</v>
      </c>
      <c r="R3192" s="58" t="s">
        <v>272</v>
      </c>
    </row>
    <row r="3193" spans="1:18" ht="69" customHeight="1">
      <c r="A3193" s="168"/>
      <c r="B3193" s="178">
        <v>4429</v>
      </c>
      <c r="C3193" s="178" t="s">
        <v>458</v>
      </c>
      <c r="D3193" s="575"/>
      <c r="E3193" s="178" t="s">
        <v>8521</v>
      </c>
      <c r="F3193" s="210" t="s">
        <v>8527</v>
      </c>
      <c r="G3193" s="58"/>
      <c r="H3193" s="546">
        <v>202.56</v>
      </c>
      <c r="I3193" s="66">
        <v>44536</v>
      </c>
      <c r="J3193" s="411" t="s">
        <v>294</v>
      </c>
      <c r="K3193" s="58"/>
      <c r="L3193" s="99"/>
      <c r="M3193" s="70" t="s">
        <v>8465</v>
      </c>
      <c r="N3193" s="97" t="s">
        <v>270</v>
      </c>
      <c r="O3193" s="58"/>
      <c r="P3193" s="58" t="s">
        <v>44</v>
      </c>
      <c r="Q3193" s="58" t="s">
        <v>108</v>
      </c>
      <c r="R3193" s="58" t="s">
        <v>272</v>
      </c>
    </row>
    <row r="3194" spans="1:18" ht="69" customHeight="1">
      <c r="A3194" s="168"/>
      <c r="B3194" s="178">
        <v>4431</v>
      </c>
      <c r="C3194" s="178" t="s">
        <v>458</v>
      </c>
      <c r="D3194" s="575"/>
      <c r="E3194" s="178" t="s">
        <v>8521</v>
      </c>
      <c r="F3194" s="210" t="s">
        <v>8527</v>
      </c>
      <c r="G3194" s="58"/>
      <c r="H3194" s="546">
        <v>3513.18</v>
      </c>
      <c r="I3194" s="66">
        <v>44536</v>
      </c>
      <c r="J3194" s="411" t="s">
        <v>294</v>
      </c>
      <c r="K3194" s="58"/>
      <c r="L3194" s="99"/>
      <c r="M3194" s="70" t="s">
        <v>8465</v>
      </c>
      <c r="N3194" s="97" t="s">
        <v>270</v>
      </c>
      <c r="O3194" s="58"/>
      <c r="P3194" s="58" t="s">
        <v>44</v>
      </c>
      <c r="Q3194" s="58" t="s">
        <v>108</v>
      </c>
      <c r="R3194" s="58" t="s">
        <v>272</v>
      </c>
    </row>
    <row r="3195" spans="1:18" ht="69" customHeight="1">
      <c r="A3195" s="168"/>
      <c r="B3195" s="178">
        <v>4432</v>
      </c>
      <c r="C3195" s="178" t="s">
        <v>458</v>
      </c>
      <c r="D3195" s="575"/>
      <c r="E3195" s="178" t="s">
        <v>8521</v>
      </c>
      <c r="F3195" s="210" t="s">
        <v>8527</v>
      </c>
      <c r="G3195" s="58"/>
      <c r="H3195" s="546">
        <v>3513.18</v>
      </c>
      <c r="I3195" s="66">
        <v>44536</v>
      </c>
      <c r="J3195" s="411" t="s">
        <v>294</v>
      </c>
      <c r="K3195" s="58"/>
      <c r="L3195" s="99"/>
      <c r="M3195" s="70" t="s">
        <v>8465</v>
      </c>
      <c r="N3195" s="97" t="s">
        <v>270</v>
      </c>
      <c r="O3195" s="58"/>
      <c r="P3195" s="58" t="s">
        <v>44</v>
      </c>
      <c r="Q3195" s="58" t="s">
        <v>108</v>
      </c>
      <c r="R3195" s="58" t="s">
        <v>272</v>
      </c>
    </row>
    <row r="3196" spans="1:18" ht="69" customHeight="1">
      <c r="A3196" s="168"/>
      <c r="B3196" s="178">
        <v>4701</v>
      </c>
      <c r="C3196" s="178" t="s">
        <v>458</v>
      </c>
      <c r="D3196" s="575" t="s">
        <v>8532</v>
      </c>
      <c r="E3196" s="178" t="s">
        <v>331</v>
      </c>
      <c r="F3196" s="210" t="s">
        <v>8533</v>
      </c>
      <c r="G3196" s="58"/>
      <c r="H3196" s="546">
        <v>3389.12</v>
      </c>
      <c r="I3196" s="66">
        <v>44678</v>
      </c>
      <c r="J3196" s="411" t="s">
        <v>8534</v>
      </c>
      <c r="K3196" s="58"/>
      <c r="L3196" s="99"/>
      <c r="M3196" s="70" t="s">
        <v>8465</v>
      </c>
      <c r="N3196" s="97" t="s">
        <v>270</v>
      </c>
      <c r="O3196" s="58"/>
      <c r="P3196" s="58" t="s">
        <v>44</v>
      </c>
      <c r="Q3196" s="58" t="s">
        <v>108</v>
      </c>
      <c r="R3196" s="58" t="s">
        <v>272</v>
      </c>
    </row>
    <row r="3197" spans="1:18" ht="69" customHeight="1">
      <c r="A3197" s="168"/>
      <c r="B3197" s="178">
        <v>4765</v>
      </c>
      <c r="C3197" s="178" t="s">
        <v>458</v>
      </c>
      <c r="D3197" s="575" t="s">
        <v>3414</v>
      </c>
      <c r="E3197" s="178" t="s">
        <v>358</v>
      </c>
      <c r="F3197" s="210" t="s">
        <v>8535</v>
      </c>
      <c r="G3197" s="58" t="s">
        <v>529</v>
      </c>
      <c r="H3197" s="546">
        <v>174475.42</v>
      </c>
      <c r="I3197" s="66">
        <v>44680</v>
      </c>
      <c r="J3197" s="411" t="s">
        <v>8536</v>
      </c>
      <c r="K3197" s="58" t="s">
        <v>8473</v>
      </c>
      <c r="L3197" s="99"/>
      <c r="M3197" s="70" t="s">
        <v>8486</v>
      </c>
      <c r="N3197" s="97" t="s">
        <v>356</v>
      </c>
      <c r="O3197" s="58" t="s">
        <v>141</v>
      </c>
      <c r="P3197" s="58" t="s">
        <v>19</v>
      </c>
      <c r="Q3197" s="58" t="s">
        <v>108</v>
      </c>
      <c r="R3197" s="58" t="s">
        <v>272</v>
      </c>
    </row>
    <row r="3198" spans="1:18" ht="69" customHeight="1">
      <c r="A3198" s="168"/>
      <c r="B3198" s="178">
        <v>4701</v>
      </c>
      <c r="C3198" s="178" t="s">
        <v>458</v>
      </c>
      <c r="D3198" s="575" t="s">
        <v>4558</v>
      </c>
      <c r="E3198" s="178" t="s">
        <v>331</v>
      </c>
      <c r="F3198" s="210" t="s">
        <v>8537</v>
      </c>
      <c r="G3198" s="58" t="s">
        <v>372</v>
      </c>
      <c r="H3198" s="546">
        <v>30502.09</v>
      </c>
      <c r="I3198" s="66">
        <v>44701</v>
      </c>
      <c r="J3198" s="411" t="s">
        <v>8538</v>
      </c>
      <c r="K3198" s="58"/>
      <c r="L3198" s="99"/>
      <c r="M3198" s="70" t="s">
        <v>8465</v>
      </c>
      <c r="N3198" s="97" t="s">
        <v>270</v>
      </c>
      <c r="O3198" s="58"/>
      <c r="P3198" s="58" t="s">
        <v>44</v>
      </c>
      <c r="Q3198" s="58" t="s">
        <v>108</v>
      </c>
      <c r="R3198" s="58" t="s">
        <v>272</v>
      </c>
    </row>
    <row r="3199" spans="1:18" ht="69" customHeight="1">
      <c r="A3199" s="168"/>
      <c r="B3199" s="178">
        <v>4702</v>
      </c>
      <c r="C3199" s="178" t="s">
        <v>458</v>
      </c>
      <c r="D3199" s="575" t="s">
        <v>6774</v>
      </c>
      <c r="E3199" s="178" t="s">
        <v>382</v>
      </c>
      <c r="F3199" s="210" t="s">
        <v>8539</v>
      </c>
      <c r="G3199" s="58" t="s">
        <v>384</v>
      </c>
      <c r="H3199" s="546">
        <v>27761.33</v>
      </c>
      <c r="I3199" s="66">
        <v>44736</v>
      </c>
      <c r="J3199" s="411" t="s">
        <v>8540</v>
      </c>
      <c r="K3199" s="58"/>
      <c r="L3199" s="99"/>
      <c r="M3199" s="70" t="s">
        <v>8541</v>
      </c>
      <c r="N3199" s="97" t="s">
        <v>387</v>
      </c>
      <c r="O3199" s="45" t="s">
        <v>150</v>
      </c>
      <c r="P3199" s="58" t="s">
        <v>51</v>
      </c>
      <c r="Q3199" s="58" t="s">
        <v>108</v>
      </c>
      <c r="R3199" s="58" t="s">
        <v>272</v>
      </c>
    </row>
    <row r="3200" spans="1:18" ht="69" customHeight="1">
      <c r="A3200" s="168"/>
      <c r="B3200" s="178">
        <v>4703</v>
      </c>
      <c r="C3200" s="178" t="s">
        <v>458</v>
      </c>
      <c r="D3200" s="575" t="s">
        <v>8542</v>
      </c>
      <c r="E3200" s="178" t="s">
        <v>382</v>
      </c>
      <c r="F3200" s="210" t="s">
        <v>8543</v>
      </c>
      <c r="G3200" s="58" t="s">
        <v>384</v>
      </c>
      <c r="H3200" s="546">
        <v>39819.519999999997</v>
      </c>
      <c r="I3200" s="66">
        <v>44736</v>
      </c>
      <c r="J3200" s="411" t="s">
        <v>8544</v>
      </c>
      <c r="K3200" s="58"/>
      <c r="L3200" s="99"/>
      <c r="M3200" s="70" t="s">
        <v>8541</v>
      </c>
      <c r="N3200" s="97" t="s">
        <v>387</v>
      </c>
      <c r="O3200" s="45" t="s">
        <v>150</v>
      </c>
      <c r="P3200" s="58" t="s">
        <v>51</v>
      </c>
      <c r="Q3200" s="58" t="s">
        <v>108</v>
      </c>
      <c r="R3200" s="58" t="s">
        <v>272</v>
      </c>
    </row>
    <row r="3201" spans="1:18" ht="69" customHeight="1">
      <c r="A3201" s="168"/>
      <c r="B3201" s="178">
        <v>5346</v>
      </c>
      <c r="C3201" s="178" t="s">
        <v>458</v>
      </c>
      <c r="D3201" s="575" t="s">
        <v>3183</v>
      </c>
      <c r="E3201" s="178" t="s">
        <v>409</v>
      </c>
      <c r="F3201" s="210" t="s">
        <v>8545</v>
      </c>
      <c r="G3201" s="58" t="s">
        <v>8546</v>
      </c>
      <c r="H3201" s="546">
        <v>3661670.62</v>
      </c>
      <c r="I3201" s="66">
        <v>44757</v>
      </c>
      <c r="J3201" s="411" t="s">
        <v>8547</v>
      </c>
      <c r="K3201" s="58" t="s">
        <v>3385</v>
      </c>
      <c r="L3201" s="99"/>
      <c r="M3201" s="70" t="s">
        <v>8548</v>
      </c>
      <c r="N3201" s="97" t="s">
        <v>716</v>
      </c>
      <c r="O3201" s="58"/>
      <c r="P3201" s="58" t="s">
        <v>28</v>
      </c>
      <c r="Q3201" s="58" t="s">
        <v>108</v>
      </c>
      <c r="R3201" s="58" t="s">
        <v>272</v>
      </c>
    </row>
    <row r="3202" spans="1:18" ht="69" customHeight="1">
      <c r="A3202" s="168"/>
      <c r="B3202" s="178">
        <v>6063</v>
      </c>
      <c r="C3202" s="178" t="s">
        <v>458</v>
      </c>
      <c r="D3202" s="575" t="s">
        <v>8549</v>
      </c>
      <c r="E3202" s="178" t="s">
        <v>266</v>
      </c>
      <c r="F3202" s="210" t="s">
        <v>8550</v>
      </c>
      <c r="G3202" s="58" t="s">
        <v>680</v>
      </c>
      <c r="H3202" s="546">
        <v>6206.9</v>
      </c>
      <c r="I3202" s="66" t="s">
        <v>96</v>
      </c>
      <c r="J3202" s="411" t="s">
        <v>8551</v>
      </c>
      <c r="K3202" s="58"/>
      <c r="L3202" s="99"/>
      <c r="M3202" s="70" t="s">
        <v>8552</v>
      </c>
      <c r="N3202" s="97" t="s">
        <v>683</v>
      </c>
      <c r="O3202" s="58" t="s">
        <v>149</v>
      </c>
      <c r="P3202" s="58" t="s">
        <v>46</v>
      </c>
      <c r="Q3202" s="58" t="s">
        <v>108</v>
      </c>
      <c r="R3202" s="58" t="s">
        <v>272</v>
      </c>
    </row>
    <row r="3203" spans="1:18" ht="69" customHeight="1">
      <c r="A3203" s="168"/>
      <c r="B3203" s="178">
        <v>6093</v>
      </c>
      <c r="C3203" s="178" t="s">
        <v>458</v>
      </c>
      <c r="D3203" s="575" t="s">
        <v>954</v>
      </c>
      <c r="E3203" s="178" t="s">
        <v>358</v>
      </c>
      <c r="F3203" s="210" t="s">
        <v>8553</v>
      </c>
      <c r="G3203" s="58" t="s">
        <v>529</v>
      </c>
      <c r="H3203" s="546">
        <v>200000</v>
      </c>
      <c r="I3203" s="66">
        <v>44769</v>
      </c>
      <c r="J3203" s="411" t="s">
        <v>8554</v>
      </c>
      <c r="K3203" s="58" t="s">
        <v>8473</v>
      </c>
      <c r="L3203" s="99"/>
      <c r="M3203" s="70" t="s">
        <v>8486</v>
      </c>
      <c r="N3203" s="97" t="s">
        <v>356</v>
      </c>
      <c r="O3203" s="58" t="s">
        <v>141</v>
      </c>
      <c r="P3203" s="58" t="s">
        <v>19</v>
      </c>
      <c r="Q3203" s="58" t="s">
        <v>108</v>
      </c>
      <c r="R3203" s="58" t="s">
        <v>272</v>
      </c>
    </row>
    <row r="3204" spans="1:18" ht="69" customHeight="1">
      <c r="A3204" s="168"/>
      <c r="B3204" s="256">
        <v>5362</v>
      </c>
      <c r="C3204" s="256" t="s">
        <v>458</v>
      </c>
      <c r="D3204" s="299" t="s">
        <v>5590</v>
      </c>
      <c r="E3204" s="256" t="s">
        <v>409</v>
      </c>
      <c r="F3204" s="263" t="s">
        <v>8555</v>
      </c>
      <c r="G3204" s="118" t="s">
        <v>8556</v>
      </c>
      <c r="H3204" s="300">
        <v>1025267.77</v>
      </c>
      <c r="I3204" s="262">
        <v>44760</v>
      </c>
      <c r="J3204" s="409" t="s">
        <v>8557</v>
      </c>
      <c r="K3204" s="118"/>
      <c r="L3204" s="99"/>
      <c r="M3204" s="380"/>
      <c r="N3204" s="82" t="s">
        <v>716</v>
      </c>
      <c r="O3204" s="118"/>
      <c r="P3204" s="118" t="s">
        <v>67</v>
      </c>
      <c r="Q3204" s="118" t="s">
        <v>108</v>
      </c>
      <c r="R3204" s="160" t="s">
        <v>272</v>
      </c>
    </row>
    <row r="3205" spans="1:18" ht="69" customHeight="1">
      <c r="A3205" s="168"/>
      <c r="B3205" s="178">
        <v>5362</v>
      </c>
      <c r="C3205" s="178" t="s">
        <v>8558</v>
      </c>
      <c r="D3205" s="575" t="s">
        <v>8559</v>
      </c>
      <c r="E3205" s="178" t="s">
        <v>755</v>
      </c>
      <c r="F3205" s="210" t="s">
        <v>8560</v>
      </c>
      <c r="G3205" s="58" t="s">
        <v>8561</v>
      </c>
      <c r="H3205" s="546">
        <v>1025267.77</v>
      </c>
      <c r="I3205" s="66">
        <v>44781</v>
      </c>
      <c r="J3205" s="411" t="s">
        <v>8557</v>
      </c>
      <c r="K3205" s="58" t="s">
        <v>8562</v>
      </c>
      <c r="L3205" s="99"/>
      <c r="M3205" s="70" t="s">
        <v>8548</v>
      </c>
      <c r="N3205" s="97" t="s">
        <v>716</v>
      </c>
      <c r="O3205" s="58"/>
      <c r="P3205" s="58" t="s">
        <v>28</v>
      </c>
      <c r="Q3205" s="58" t="s">
        <v>108</v>
      </c>
      <c r="R3205" s="58" t="s">
        <v>272</v>
      </c>
    </row>
    <row r="3206" spans="1:18" ht="69" customHeight="1">
      <c r="A3206" s="168"/>
      <c r="B3206" s="178">
        <v>6590</v>
      </c>
      <c r="C3206" s="178" t="s">
        <v>458</v>
      </c>
      <c r="D3206" s="575" t="s">
        <v>1451</v>
      </c>
      <c r="E3206" s="178" t="s">
        <v>409</v>
      </c>
      <c r="F3206" s="210" t="s">
        <v>8563</v>
      </c>
      <c r="G3206" s="58" t="s">
        <v>738</v>
      </c>
      <c r="H3206" s="546">
        <v>117900.8</v>
      </c>
      <c r="I3206" s="66">
        <v>44813</v>
      </c>
      <c r="J3206" s="411" t="s">
        <v>8564</v>
      </c>
      <c r="K3206" s="58"/>
      <c r="L3206" s="99"/>
      <c r="M3206" s="70" t="s">
        <v>8565</v>
      </c>
      <c r="N3206" s="97" t="s">
        <v>741</v>
      </c>
      <c r="O3206" s="45" t="s">
        <v>154</v>
      </c>
      <c r="P3206" s="58" t="s">
        <v>59</v>
      </c>
      <c r="Q3206" s="58" t="s">
        <v>108</v>
      </c>
      <c r="R3206" s="58" t="s">
        <v>272</v>
      </c>
    </row>
    <row r="3207" spans="1:18" ht="69" customHeight="1">
      <c r="A3207" s="168"/>
      <c r="B3207" s="178">
        <v>7549</v>
      </c>
      <c r="C3207" s="178" t="s">
        <v>458</v>
      </c>
      <c r="D3207" s="575" t="s">
        <v>2356</v>
      </c>
      <c r="E3207" s="178" t="s">
        <v>741</v>
      </c>
      <c r="F3207" s="210" t="s">
        <v>8566</v>
      </c>
      <c r="G3207" s="58" t="s">
        <v>4781</v>
      </c>
      <c r="H3207" s="546">
        <v>137550.93</v>
      </c>
      <c r="I3207" s="66">
        <v>44888</v>
      </c>
      <c r="J3207" s="411" t="s">
        <v>4782</v>
      </c>
      <c r="K3207" s="58"/>
      <c r="L3207" s="99"/>
      <c r="M3207" s="70" t="s">
        <v>8565</v>
      </c>
      <c r="N3207" s="97" t="s">
        <v>741</v>
      </c>
      <c r="O3207" s="45" t="s">
        <v>154</v>
      </c>
      <c r="P3207" s="58" t="s">
        <v>59</v>
      </c>
      <c r="Q3207" s="58" t="s">
        <v>108</v>
      </c>
      <c r="R3207" s="58" t="s">
        <v>272</v>
      </c>
    </row>
    <row r="3208" spans="1:18" ht="69" customHeight="1">
      <c r="A3208" s="168"/>
      <c r="B3208" s="178">
        <v>6277</v>
      </c>
      <c r="C3208" s="178" t="s">
        <v>458</v>
      </c>
      <c r="D3208" s="575" t="s">
        <v>989</v>
      </c>
      <c r="E3208" s="178" t="s">
        <v>266</v>
      </c>
      <c r="F3208" s="210" t="s">
        <v>8567</v>
      </c>
      <c r="G3208" s="58" t="s">
        <v>790</v>
      </c>
      <c r="H3208" s="546">
        <v>2281.25</v>
      </c>
      <c r="I3208" s="66">
        <v>44834</v>
      </c>
      <c r="J3208" s="411" t="s">
        <v>8568</v>
      </c>
      <c r="K3208" s="58"/>
      <c r="L3208" s="99"/>
      <c r="M3208" s="70" t="s">
        <v>8552</v>
      </c>
      <c r="N3208" s="97" t="s">
        <v>683</v>
      </c>
      <c r="O3208" s="58" t="s">
        <v>149</v>
      </c>
      <c r="P3208" s="58" t="s">
        <v>46</v>
      </c>
      <c r="Q3208" s="58" t="s">
        <v>108</v>
      </c>
      <c r="R3208" s="58" t="s">
        <v>272</v>
      </c>
    </row>
    <row r="3209" spans="1:18" ht="69" customHeight="1">
      <c r="A3209" s="168"/>
      <c r="B3209" s="178">
        <v>7026</v>
      </c>
      <c r="C3209" s="178" t="s">
        <v>8529</v>
      </c>
      <c r="D3209" s="575" t="s">
        <v>2088</v>
      </c>
      <c r="E3209" s="178" t="s">
        <v>755</v>
      </c>
      <c r="F3209" s="210" t="s">
        <v>8569</v>
      </c>
      <c r="G3209" s="58" t="s">
        <v>8570</v>
      </c>
      <c r="H3209" s="546">
        <v>18829.740000000002</v>
      </c>
      <c r="I3209" s="66">
        <v>44872</v>
      </c>
      <c r="J3209" s="411" t="s">
        <v>8571</v>
      </c>
      <c r="K3209" s="58"/>
      <c r="L3209" s="99"/>
      <c r="M3209" s="70" t="s">
        <v>8548</v>
      </c>
      <c r="N3209" s="97" t="s">
        <v>716</v>
      </c>
      <c r="O3209" s="58"/>
      <c r="P3209" s="58" t="s">
        <v>28</v>
      </c>
      <c r="Q3209" s="58" t="s">
        <v>108</v>
      </c>
      <c r="R3209" s="58" t="s">
        <v>272</v>
      </c>
    </row>
    <row r="3210" spans="1:18" ht="69" customHeight="1">
      <c r="A3210" s="168"/>
      <c r="B3210" s="178">
        <v>7025</v>
      </c>
      <c r="C3210" s="178" t="s">
        <v>8529</v>
      </c>
      <c r="D3210" s="575" t="s">
        <v>1764</v>
      </c>
      <c r="E3210" s="178" t="s">
        <v>755</v>
      </c>
      <c r="F3210" s="210" t="s">
        <v>8572</v>
      </c>
      <c r="G3210" s="58" t="s">
        <v>8573</v>
      </c>
      <c r="H3210" s="546">
        <v>1445838.5</v>
      </c>
      <c r="I3210" s="66">
        <v>44853</v>
      </c>
      <c r="J3210" s="411" t="s">
        <v>8571</v>
      </c>
      <c r="K3210" s="58" t="s">
        <v>4472</v>
      </c>
      <c r="L3210" s="99"/>
      <c r="M3210" s="70" t="s">
        <v>8548</v>
      </c>
      <c r="N3210" s="97" t="s">
        <v>716</v>
      </c>
      <c r="O3210" s="58"/>
      <c r="P3210" s="58" t="s">
        <v>28</v>
      </c>
      <c r="Q3210" s="58" t="s">
        <v>108</v>
      </c>
      <c r="R3210" s="58" t="s">
        <v>272</v>
      </c>
    </row>
    <row r="3211" spans="1:18" ht="69" customHeight="1">
      <c r="A3211" s="168"/>
      <c r="B3211" s="178"/>
      <c r="C3211" s="178" t="s">
        <v>8529</v>
      </c>
      <c r="D3211" s="575" t="s">
        <v>6972</v>
      </c>
      <c r="E3211" s="178" t="s">
        <v>755</v>
      </c>
      <c r="F3211" s="210" t="s">
        <v>8574</v>
      </c>
      <c r="G3211" s="58" t="s">
        <v>8575</v>
      </c>
      <c r="H3211" s="546">
        <v>1464668.25</v>
      </c>
      <c r="I3211" s="66">
        <v>44851</v>
      </c>
      <c r="J3211" s="411" t="s">
        <v>8571</v>
      </c>
      <c r="K3211" s="58" t="s">
        <v>4465</v>
      </c>
      <c r="L3211" s="99"/>
      <c r="M3211" s="70" t="s">
        <v>8548</v>
      </c>
      <c r="N3211" s="97" t="s">
        <v>716</v>
      </c>
      <c r="O3211" s="58"/>
      <c r="P3211" s="58" t="s">
        <v>28</v>
      </c>
      <c r="Q3211" s="58" t="s">
        <v>108</v>
      </c>
      <c r="R3211" s="58" t="s">
        <v>272</v>
      </c>
    </row>
    <row r="3212" spans="1:18" ht="69" customHeight="1">
      <c r="A3212" s="168"/>
      <c r="B3212" s="178">
        <v>6246</v>
      </c>
      <c r="C3212" s="178" t="s">
        <v>458</v>
      </c>
      <c r="D3212" s="575" t="s">
        <v>1302</v>
      </c>
      <c r="E3212" s="178" t="s">
        <v>755</v>
      </c>
      <c r="F3212" s="210" t="s">
        <v>8576</v>
      </c>
      <c r="G3212" s="58" t="s">
        <v>8577</v>
      </c>
      <c r="H3212" s="546">
        <v>439400.47</v>
      </c>
      <c r="I3212" s="66">
        <v>44788</v>
      </c>
      <c r="J3212" s="411" t="s">
        <v>8578</v>
      </c>
      <c r="K3212" s="58" t="s">
        <v>4472</v>
      </c>
      <c r="L3212" s="99"/>
      <c r="M3212" s="70" t="s">
        <v>8548</v>
      </c>
      <c r="N3212" s="97" t="s">
        <v>716</v>
      </c>
      <c r="O3212" s="58"/>
      <c r="P3212" s="58" t="s">
        <v>28</v>
      </c>
      <c r="Q3212" s="58" t="s">
        <v>108</v>
      </c>
      <c r="R3212" s="58" t="s">
        <v>272</v>
      </c>
    </row>
    <row r="3213" spans="1:18" ht="69" customHeight="1">
      <c r="A3213" s="168"/>
      <c r="B3213" s="178">
        <v>7494</v>
      </c>
      <c r="C3213" s="178" t="s">
        <v>8529</v>
      </c>
      <c r="D3213" s="575" t="s">
        <v>8579</v>
      </c>
      <c r="E3213" s="178" t="s">
        <v>755</v>
      </c>
      <c r="F3213" s="210" t="s">
        <v>8580</v>
      </c>
      <c r="G3213" s="58" t="s">
        <v>8581</v>
      </c>
      <c r="H3213" s="546">
        <v>641522.30000000005</v>
      </c>
      <c r="I3213" s="66">
        <v>44879</v>
      </c>
      <c r="J3213" s="411" t="s">
        <v>8582</v>
      </c>
      <c r="K3213" s="58"/>
      <c r="L3213" s="99"/>
      <c r="M3213" s="70" t="s">
        <v>8548</v>
      </c>
      <c r="N3213" s="97" t="s">
        <v>716</v>
      </c>
      <c r="O3213" s="58"/>
      <c r="P3213" s="58" t="s">
        <v>28</v>
      </c>
      <c r="Q3213" s="58" t="s">
        <v>108</v>
      </c>
      <c r="R3213" s="58" t="s">
        <v>272</v>
      </c>
    </row>
    <row r="3214" spans="1:18" ht="69" customHeight="1">
      <c r="A3214" s="168"/>
      <c r="B3214" s="178">
        <v>7604</v>
      </c>
      <c r="C3214" s="178" t="s">
        <v>458</v>
      </c>
      <c r="D3214" s="575" t="s">
        <v>5294</v>
      </c>
      <c r="E3214" s="178" t="s">
        <v>358</v>
      </c>
      <c r="F3214" s="210" t="s">
        <v>8583</v>
      </c>
      <c r="G3214" s="58" t="s">
        <v>7867</v>
      </c>
      <c r="H3214" s="546">
        <v>50000</v>
      </c>
      <c r="I3214" s="66">
        <v>44890</v>
      </c>
      <c r="J3214" s="411" t="s">
        <v>795</v>
      </c>
      <c r="K3214" s="58"/>
      <c r="L3214" s="99"/>
      <c r="M3214" s="70" t="s">
        <v>8486</v>
      </c>
      <c r="N3214" s="97" t="s">
        <v>356</v>
      </c>
      <c r="O3214" s="58" t="s">
        <v>141</v>
      </c>
      <c r="P3214" s="58" t="s">
        <v>19</v>
      </c>
      <c r="Q3214" s="58" t="s">
        <v>108</v>
      </c>
      <c r="R3214" s="58" t="s">
        <v>272</v>
      </c>
    </row>
    <row r="3215" spans="1:18" ht="69" customHeight="1">
      <c r="A3215" s="168"/>
      <c r="B3215" s="178">
        <v>7423</v>
      </c>
      <c r="C3215" s="178" t="s">
        <v>8529</v>
      </c>
      <c r="D3215" s="575" t="s">
        <v>8584</v>
      </c>
      <c r="E3215" s="178" t="s">
        <v>809</v>
      </c>
      <c r="F3215" s="210" t="s">
        <v>8585</v>
      </c>
      <c r="G3215" s="58" t="s">
        <v>811</v>
      </c>
      <c r="H3215" s="546">
        <v>12999.7</v>
      </c>
      <c r="I3215" s="66">
        <v>44879</v>
      </c>
      <c r="J3215" s="411" t="s">
        <v>812</v>
      </c>
      <c r="K3215" s="58"/>
      <c r="L3215" s="99"/>
      <c r="M3215" s="70" t="s">
        <v>8531</v>
      </c>
      <c r="N3215" s="97" t="s">
        <v>814</v>
      </c>
      <c r="O3215" s="58"/>
      <c r="P3215" s="58" t="s">
        <v>36</v>
      </c>
      <c r="Q3215" s="58" t="s">
        <v>108</v>
      </c>
      <c r="R3215" s="58" t="s">
        <v>272</v>
      </c>
    </row>
    <row r="3216" spans="1:18" ht="69" customHeight="1">
      <c r="A3216" s="168"/>
      <c r="B3216" s="178">
        <v>6945</v>
      </c>
      <c r="C3216" s="178" t="s">
        <v>458</v>
      </c>
      <c r="D3216" s="575" t="s">
        <v>746</v>
      </c>
      <c r="E3216" s="178" t="s">
        <v>741</v>
      </c>
      <c r="F3216" s="210" t="s">
        <v>8586</v>
      </c>
      <c r="G3216" s="58" t="s">
        <v>4638</v>
      </c>
      <c r="H3216" s="546">
        <v>137550.93</v>
      </c>
      <c r="I3216" s="66">
        <v>44844</v>
      </c>
      <c r="J3216" s="411" t="s">
        <v>3367</v>
      </c>
      <c r="K3216" s="58"/>
      <c r="L3216" s="99"/>
      <c r="M3216" s="70" t="s">
        <v>8565</v>
      </c>
      <c r="N3216" s="97" t="s">
        <v>741</v>
      </c>
      <c r="O3216" s="45" t="s">
        <v>154</v>
      </c>
      <c r="P3216" s="58" t="s">
        <v>59</v>
      </c>
      <c r="Q3216" s="58" t="s">
        <v>108</v>
      </c>
      <c r="R3216" s="58" t="s">
        <v>272</v>
      </c>
    </row>
    <row r="3217" spans="1:18" ht="69" customHeight="1">
      <c r="A3217" s="168"/>
      <c r="B3217" s="178" t="s">
        <v>8587</v>
      </c>
      <c r="C3217" s="178" t="s">
        <v>657</v>
      </c>
      <c r="D3217" s="575"/>
      <c r="E3217" s="178" t="s">
        <v>350</v>
      </c>
      <c r="F3217" s="210" t="s">
        <v>8588</v>
      </c>
      <c r="G3217" s="58" t="s">
        <v>7080</v>
      </c>
      <c r="H3217" s="546">
        <v>102060</v>
      </c>
      <c r="I3217" s="66" t="s">
        <v>96</v>
      </c>
      <c r="J3217" s="411" t="s">
        <v>7081</v>
      </c>
      <c r="K3217" s="58" t="s">
        <v>8589</v>
      </c>
      <c r="L3217" s="99"/>
      <c r="M3217" s="70" t="s">
        <v>8474</v>
      </c>
      <c r="N3217" s="97" t="s">
        <v>356</v>
      </c>
      <c r="O3217" s="58" t="s">
        <v>141</v>
      </c>
      <c r="P3217" s="58" t="s">
        <v>19</v>
      </c>
      <c r="Q3217" s="58" t="s">
        <v>108</v>
      </c>
      <c r="R3217" s="58" t="s">
        <v>265</v>
      </c>
    </row>
    <row r="3218" spans="1:18" ht="69" customHeight="1">
      <c r="A3218" s="168"/>
      <c r="B3218" s="178">
        <v>8678</v>
      </c>
      <c r="C3218" s="178" t="s">
        <v>8529</v>
      </c>
      <c r="D3218" s="575" t="s">
        <v>3314</v>
      </c>
      <c r="E3218" s="178" t="s">
        <v>1372</v>
      </c>
      <c r="F3218" s="210" t="s">
        <v>8590</v>
      </c>
      <c r="G3218" s="58" t="s">
        <v>8591</v>
      </c>
      <c r="H3218" s="546">
        <v>108340.75</v>
      </c>
      <c r="I3218" s="66">
        <v>44967</v>
      </c>
      <c r="J3218" s="411" t="s">
        <v>8592</v>
      </c>
      <c r="K3218" s="58"/>
      <c r="L3218" s="99"/>
      <c r="M3218" s="70" t="s">
        <v>8593</v>
      </c>
      <c r="N3218" s="97" t="s">
        <v>1372</v>
      </c>
      <c r="O3218" s="58"/>
      <c r="P3218" s="58" t="s">
        <v>57</v>
      </c>
      <c r="Q3218" s="58" t="s">
        <v>108</v>
      </c>
      <c r="R3218" s="58" t="s">
        <v>272</v>
      </c>
    </row>
    <row r="3219" spans="1:18" ht="69" customHeight="1">
      <c r="A3219" s="168"/>
      <c r="B3219" s="178">
        <v>8894</v>
      </c>
      <c r="C3219" s="178" t="s">
        <v>8529</v>
      </c>
      <c r="D3219" s="575" t="s">
        <v>8594</v>
      </c>
      <c r="E3219" s="178" t="s">
        <v>755</v>
      </c>
      <c r="F3219" s="210" t="s">
        <v>8595</v>
      </c>
      <c r="G3219" s="58" t="s">
        <v>8596</v>
      </c>
      <c r="H3219" s="546">
        <v>1098084.08</v>
      </c>
      <c r="I3219" s="66">
        <v>44981</v>
      </c>
      <c r="J3219" s="411" t="s">
        <v>8597</v>
      </c>
      <c r="K3219" s="58"/>
      <c r="L3219" s="99"/>
      <c r="M3219" s="70" t="s">
        <v>8548</v>
      </c>
      <c r="N3219" s="97" t="s">
        <v>716</v>
      </c>
      <c r="O3219" s="58"/>
      <c r="P3219" s="58" t="s">
        <v>28</v>
      </c>
      <c r="Q3219" s="58" t="s">
        <v>108</v>
      </c>
      <c r="R3219" s="58" t="s">
        <v>272</v>
      </c>
    </row>
    <row r="3220" spans="1:18" ht="69" customHeight="1">
      <c r="A3220" s="168"/>
      <c r="B3220" s="178">
        <v>8911</v>
      </c>
      <c r="C3220" s="178" t="s">
        <v>8529</v>
      </c>
      <c r="D3220" s="575" t="s">
        <v>2601</v>
      </c>
      <c r="E3220" s="178" t="s">
        <v>755</v>
      </c>
      <c r="F3220" s="210" t="s">
        <v>8598</v>
      </c>
      <c r="G3220" s="58" t="s">
        <v>8599</v>
      </c>
      <c r="H3220" s="546">
        <v>366584.17</v>
      </c>
      <c r="I3220" s="66">
        <v>44984</v>
      </c>
      <c r="J3220" s="411" t="s">
        <v>8600</v>
      </c>
      <c r="K3220" s="58"/>
      <c r="L3220" s="99"/>
      <c r="M3220" s="70" t="s">
        <v>8548</v>
      </c>
      <c r="N3220" s="97" t="s">
        <v>716</v>
      </c>
      <c r="O3220" s="58"/>
      <c r="P3220" s="58" t="s">
        <v>28</v>
      </c>
      <c r="Q3220" s="58" t="s">
        <v>108</v>
      </c>
      <c r="R3220" s="58" t="s">
        <v>272</v>
      </c>
    </row>
    <row r="3221" spans="1:18" ht="69" customHeight="1">
      <c r="A3221" s="168"/>
      <c r="B3221" s="178">
        <v>8912</v>
      </c>
      <c r="C3221" s="178" t="s">
        <v>8529</v>
      </c>
      <c r="D3221" s="575" t="s">
        <v>1875</v>
      </c>
      <c r="E3221" s="178" t="s">
        <v>755</v>
      </c>
      <c r="F3221" s="210" t="s">
        <v>8601</v>
      </c>
      <c r="G3221" s="58" t="s">
        <v>8602</v>
      </c>
      <c r="H3221" s="546">
        <v>183292.09</v>
      </c>
      <c r="I3221" s="66">
        <v>44984</v>
      </c>
      <c r="J3221" s="411" t="s">
        <v>8600</v>
      </c>
      <c r="K3221" s="58"/>
      <c r="L3221" s="99"/>
      <c r="M3221" s="70" t="s">
        <v>8548</v>
      </c>
      <c r="N3221" s="97" t="s">
        <v>716</v>
      </c>
      <c r="O3221" s="58"/>
      <c r="P3221" s="58" t="s">
        <v>28</v>
      </c>
      <c r="Q3221" s="58" t="s">
        <v>108</v>
      </c>
      <c r="R3221" s="58" t="s">
        <v>272</v>
      </c>
    </row>
    <row r="3222" spans="1:18" ht="69" customHeight="1">
      <c r="A3222" s="168"/>
      <c r="B3222" s="191">
        <v>8925</v>
      </c>
      <c r="C3222" s="191" t="s">
        <v>8529</v>
      </c>
      <c r="D3222" s="533" t="s">
        <v>2603</v>
      </c>
      <c r="E3222" s="191" t="s">
        <v>755</v>
      </c>
      <c r="F3222" s="211" t="s">
        <v>8603</v>
      </c>
      <c r="G3222" s="46" t="s">
        <v>8604</v>
      </c>
      <c r="H3222" s="534">
        <v>9656</v>
      </c>
      <c r="I3222" s="56">
        <v>45000</v>
      </c>
      <c r="J3222" s="412" t="s">
        <v>8605</v>
      </c>
      <c r="K3222" s="46" t="s">
        <v>8606</v>
      </c>
      <c r="L3222" s="99"/>
      <c r="M3222" s="70" t="s">
        <v>8548</v>
      </c>
      <c r="N3222" s="97" t="s">
        <v>716</v>
      </c>
      <c r="O3222" s="46" t="s">
        <v>8607</v>
      </c>
      <c r="P3222" s="46" t="s">
        <v>65</v>
      </c>
      <c r="Q3222" s="46" t="s">
        <v>108</v>
      </c>
      <c r="R3222" s="46" t="s">
        <v>272</v>
      </c>
    </row>
    <row r="3223" spans="1:18" ht="69" customHeight="1">
      <c r="A3223" s="168"/>
      <c r="B3223" s="178">
        <v>8841</v>
      </c>
      <c r="C3223" s="178" t="s">
        <v>8529</v>
      </c>
      <c r="D3223" s="575" t="s">
        <v>3287</v>
      </c>
      <c r="E3223" s="178" t="s">
        <v>809</v>
      </c>
      <c r="F3223" s="210" t="s">
        <v>8608</v>
      </c>
      <c r="G3223" s="58" t="s">
        <v>845</v>
      </c>
      <c r="H3223" s="546">
        <v>17000.2</v>
      </c>
      <c r="I3223" s="66">
        <v>44948</v>
      </c>
      <c r="J3223" s="411" t="s">
        <v>846</v>
      </c>
      <c r="K3223" s="58"/>
      <c r="L3223" s="99"/>
      <c r="M3223" s="70" t="s">
        <v>8531</v>
      </c>
      <c r="N3223" s="97" t="s">
        <v>814</v>
      </c>
      <c r="O3223" s="58"/>
      <c r="P3223" s="58" t="s">
        <v>36</v>
      </c>
      <c r="Q3223" s="58" t="s">
        <v>108</v>
      </c>
      <c r="R3223" s="58" t="s">
        <v>272</v>
      </c>
    </row>
    <row r="3224" spans="1:18" ht="69" customHeight="1">
      <c r="A3224" s="168"/>
      <c r="B3224" s="191">
        <v>9088</v>
      </c>
      <c r="C3224" s="191" t="s">
        <v>8529</v>
      </c>
      <c r="D3224" s="533" t="s">
        <v>1866</v>
      </c>
      <c r="E3224" s="191" t="s">
        <v>755</v>
      </c>
      <c r="F3224" s="211" t="s">
        <v>8609</v>
      </c>
      <c r="G3224" s="46" t="s">
        <v>4808</v>
      </c>
      <c r="H3224" s="534">
        <v>43989.53</v>
      </c>
      <c r="I3224" s="56">
        <v>45000</v>
      </c>
      <c r="J3224" s="412" t="s">
        <v>4809</v>
      </c>
      <c r="K3224" s="46"/>
      <c r="L3224" s="99"/>
      <c r="M3224" s="379" t="s">
        <v>8548</v>
      </c>
      <c r="N3224" s="76" t="s">
        <v>716</v>
      </c>
      <c r="O3224" s="46" t="s">
        <v>8607</v>
      </c>
      <c r="P3224" s="46" t="s">
        <v>65</v>
      </c>
      <c r="Q3224" s="46" t="s">
        <v>108</v>
      </c>
      <c r="R3224" s="46" t="s">
        <v>272</v>
      </c>
    </row>
    <row r="3225" spans="1:18" ht="69" customHeight="1">
      <c r="A3225" s="168"/>
      <c r="B3225" s="178">
        <v>9008</v>
      </c>
      <c r="C3225" s="178" t="s">
        <v>8529</v>
      </c>
      <c r="D3225" s="575" t="s">
        <v>1182</v>
      </c>
      <c r="E3225" s="178" t="s">
        <v>809</v>
      </c>
      <c r="F3225" s="210" t="s">
        <v>8610</v>
      </c>
      <c r="G3225" s="58" t="s">
        <v>863</v>
      </c>
      <c r="H3225" s="546">
        <v>12000.1</v>
      </c>
      <c r="I3225" s="66" t="s">
        <v>96</v>
      </c>
      <c r="J3225" s="411" t="s">
        <v>864</v>
      </c>
      <c r="K3225" s="58"/>
      <c r="L3225" s="99"/>
      <c r="M3225" s="70" t="s">
        <v>8531</v>
      </c>
      <c r="N3225" s="97" t="s">
        <v>814</v>
      </c>
      <c r="O3225" s="58" t="s">
        <v>8611</v>
      </c>
      <c r="P3225" s="58" t="s">
        <v>36</v>
      </c>
      <c r="Q3225" s="58" t="s">
        <v>108</v>
      </c>
      <c r="R3225" s="58" t="s">
        <v>272</v>
      </c>
    </row>
    <row r="3226" spans="1:18" ht="69" customHeight="1">
      <c r="A3226" s="168"/>
      <c r="B3226" s="178">
        <v>9709</v>
      </c>
      <c r="C3226" s="178" t="s">
        <v>8529</v>
      </c>
      <c r="D3226" s="575" t="s">
        <v>2369</v>
      </c>
      <c r="E3226" s="178" t="s">
        <v>809</v>
      </c>
      <c r="F3226" s="210" t="s">
        <v>8612</v>
      </c>
      <c r="G3226" s="58" t="s">
        <v>874</v>
      </c>
      <c r="H3226" s="546">
        <v>1999.9</v>
      </c>
      <c r="I3226" s="66" t="s">
        <v>96</v>
      </c>
      <c r="J3226" s="411" t="s">
        <v>875</v>
      </c>
      <c r="K3226" s="58"/>
      <c r="L3226" s="99"/>
      <c r="M3226" s="70" t="s">
        <v>8531</v>
      </c>
      <c r="N3226" s="97" t="s">
        <v>814</v>
      </c>
      <c r="O3226" s="58"/>
      <c r="P3226" s="58" t="s">
        <v>36</v>
      </c>
      <c r="Q3226" s="58" t="s">
        <v>108</v>
      </c>
      <c r="R3226" s="58" t="s">
        <v>272</v>
      </c>
    </row>
    <row r="3227" spans="1:18" ht="69" customHeight="1">
      <c r="A3227" s="168"/>
      <c r="B3227" s="178"/>
      <c r="C3227" s="178" t="s">
        <v>657</v>
      </c>
      <c r="D3227" s="575"/>
      <c r="E3227" s="178" t="s">
        <v>266</v>
      </c>
      <c r="F3227" s="210" t="s">
        <v>8613</v>
      </c>
      <c r="G3227" s="58"/>
      <c r="H3227" s="546">
        <v>5553.34</v>
      </c>
      <c r="I3227" s="66">
        <v>44484</v>
      </c>
      <c r="J3227" s="411" t="s">
        <v>8614</v>
      </c>
      <c r="K3227" s="58"/>
      <c r="L3227" s="99"/>
      <c r="M3227" s="70" t="s">
        <v>8615</v>
      </c>
      <c r="N3227" s="97" t="s">
        <v>270</v>
      </c>
      <c r="O3227" s="58"/>
      <c r="P3227" s="58" t="s">
        <v>44</v>
      </c>
      <c r="Q3227" s="58" t="s">
        <v>109</v>
      </c>
      <c r="R3227" s="58" t="s">
        <v>272</v>
      </c>
    </row>
    <row r="3228" spans="1:18" ht="69" customHeight="1">
      <c r="A3228" s="168"/>
      <c r="B3228" s="178"/>
      <c r="C3228" s="178" t="s">
        <v>657</v>
      </c>
      <c r="D3228" s="575"/>
      <c r="E3228" s="178" t="s">
        <v>266</v>
      </c>
      <c r="F3228" s="210" t="s">
        <v>8616</v>
      </c>
      <c r="G3228" s="58"/>
      <c r="H3228" s="546">
        <v>1388.33</v>
      </c>
      <c r="I3228" s="66">
        <v>44456</v>
      </c>
      <c r="J3228" s="411" t="s">
        <v>7233</v>
      </c>
      <c r="K3228" s="58"/>
      <c r="L3228" s="99"/>
      <c r="M3228" s="70" t="s">
        <v>8615</v>
      </c>
      <c r="N3228" s="97" t="s">
        <v>270</v>
      </c>
      <c r="O3228" s="58"/>
      <c r="P3228" s="58" t="s">
        <v>44</v>
      </c>
      <c r="Q3228" s="58" t="s">
        <v>109</v>
      </c>
      <c r="R3228" s="58" t="s">
        <v>272</v>
      </c>
    </row>
    <row r="3229" spans="1:18" ht="69" customHeight="1">
      <c r="A3229" s="168"/>
      <c r="B3229" s="178"/>
      <c r="C3229" s="178" t="s">
        <v>657</v>
      </c>
      <c r="D3229" s="575"/>
      <c r="E3229" s="178" t="s">
        <v>266</v>
      </c>
      <c r="F3229" s="210" t="s">
        <v>8616</v>
      </c>
      <c r="G3229" s="58"/>
      <c r="H3229" s="546">
        <v>1388.33</v>
      </c>
      <c r="I3229" s="66">
        <v>44456</v>
      </c>
      <c r="J3229" s="411" t="s">
        <v>7235</v>
      </c>
      <c r="K3229" s="58"/>
      <c r="L3229" s="99"/>
      <c r="M3229" s="70" t="s">
        <v>8615</v>
      </c>
      <c r="N3229" s="97" t="s">
        <v>270</v>
      </c>
      <c r="O3229" s="58"/>
      <c r="P3229" s="58" t="s">
        <v>44</v>
      </c>
      <c r="Q3229" s="58" t="s">
        <v>109</v>
      </c>
      <c r="R3229" s="58" t="s">
        <v>272</v>
      </c>
    </row>
    <row r="3230" spans="1:18" ht="69" customHeight="1">
      <c r="A3230" s="168"/>
      <c r="B3230" s="178">
        <v>2579</v>
      </c>
      <c r="C3230" s="178" t="s">
        <v>657</v>
      </c>
      <c r="D3230" s="575"/>
      <c r="E3230" s="178" t="s">
        <v>260</v>
      </c>
      <c r="F3230" s="210" t="s">
        <v>8617</v>
      </c>
      <c r="G3230" s="58"/>
      <c r="H3230" s="552">
        <v>0</v>
      </c>
      <c r="I3230" s="66" t="s">
        <v>96</v>
      </c>
      <c r="J3230" s="411" t="s">
        <v>8618</v>
      </c>
      <c r="K3230" s="58" t="s">
        <v>8619</v>
      </c>
      <c r="L3230" s="99"/>
      <c r="M3230" s="70" t="s">
        <v>8620</v>
      </c>
      <c r="N3230" s="97" t="s">
        <v>264</v>
      </c>
      <c r="O3230" s="58" t="s">
        <v>141</v>
      </c>
      <c r="P3230" s="58" t="s">
        <v>17</v>
      </c>
      <c r="Q3230" s="58" t="s">
        <v>109</v>
      </c>
      <c r="R3230" s="58" t="s">
        <v>265</v>
      </c>
    </row>
    <row r="3231" spans="1:18" ht="69" customHeight="1">
      <c r="A3231" s="168"/>
      <c r="B3231" s="178" t="s">
        <v>8621</v>
      </c>
      <c r="C3231" s="178" t="s">
        <v>657</v>
      </c>
      <c r="D3231" s="575"/>
      <c r="E3231" s="178" t="s">
        <v>350</v>
      </c>
      <c r="F3231" s="210" t="s">
        <v>8622</v>
      </c>
      <c r="G3231" s="58" t="s">
        <v>7080</v>
      </c>
      <c r="H3231" s="546">
        <v>5362.8</v>
      </c>
      <c r="I3231" s="66" t="s">
        <v>96</v>
      </c>
      <c r="J3231" s="411" t="s">
        <v>7081</v>
      </c>
      <c r="K3231" s="58" t="s">
        <v>8623</v>
      </c>
      <c r="L3231" s="99"/>
      <c r="M3231" s="384" t="s">
        <v>8624</v>
      </c>
      <c r="N3231" s="106" t="s">
        <v>356</v>
      </c>
      <c r="O3231" s="58" t="s">
        <v>141</v>
      </c>
      <c r="P3231" s="58" t="s">
        <v>19</v>
      </c>
      <c r="Q3231" s="58" t="s">
        <v>109</v>
      </c>
      <c r="R3231" s="58" t="s">
        <v>265</v>
      </c>
    </row>
    <row r="3232" spans="1:18" ht="69" customHeight="1">
      <c r="A3232" s="168"/>
      <c r="B3232" s="178" t="s">
        <v>8625</v>
      </c>
      <c r="C3232" s="178" t="s">
        <v>657</v>
      </c>
      <c r="D3232" s="575"/>
      <c r="E3232" s="178" t="s">
        <v>350</v>
      </c>
      <c r="F3232" s="210" t="s">
        <v>8626</v>
      </c>
      <c r="G3232" s="58" t="s">
        <v>7080</v>
      </c>
      <c r="H3232" s="546">
        <v>5838.05</v>
      </c>
      <c r="I3232" s="66" t="s">
        <v>96</v>
      </c>
      <c r="J3232" s="411" t="s">
        <v>7081</v>
      </c>
      <c r="K3232" s="58" t="s">
        <v>8623</v>
      </c>
      <c r="L3232" s="99"/>
      <c r="M3232" s="384" t="s">
        <v>8624</v>
      </c>
      <c r="N3232" s="106" t="s">
        <v>356</v>
      </c>
      <c r="O3232" s="58" t="s">
        <v>141</v>
      </c>
      <c r="P3232" s="58" t="s">
        <v>19</v>
      </c>
      <c r="Q3232" s="58" t="s">
        <v>109</v>
      </c>
      <c r="R3232" s="58" t="s">
        <v>265</v>
      </c>
    </row>
    <row r="3233" spans="1:18" ht="69" customHeight="1">
      <c r="A3233" s="168"/>
      <c r="B3233" s="178" t="s">
        <v>8587</v>
      </c>
      <c r="C3233" s="178" t="s">
        <v>657</v>
      </c>
      <c r="D3233" s="575"/>
      <c r="E3233" s="178" t="s">
        <v>350</v>
      </c>
      <c r="F3233" s="210" t="s">
        <v>8627</v>
      </c>
      <c r="G3233" s="58" t="s">
        <v>7080</v>
      </c>
      <c r="H3233" s="546">
        <v>102060</v>
      </c>
      <c r="I3233" s="66" t="s">
        <v>96</v>
      </c>
      <c r="J3233" s="411" t="s">
        <v>7081</v>
      </c>
      <c r="K3233" s="58" t="s">
        <v>8623</v>
      </c>
      <c r="L3233" s="99"/>
      <c r="M3233" s="384" t="s">
        <v>8624</v>
      </c>
      <c r="N3233" s="106" t="s">
        <v>356</v>
      </c>
      <c r="O3233" s="58" t="s">
        <v>141</v>
      </c>
      <c r="P3233" s="58" t="s">
        <v>19</v>
      </c>
      <c r="Q3233" s="58" t="s">
        <v>109</v>
      </c>
      <c r="R3233" s="58" t="s">
        <v>265</v>
      </c>
    </row>
    <row r="3234" spans="1:18" ht="69" customHeight="1">
      <c r="A3234" s="168"/>
      <c r="B3234" s="178" t="s">
        <v>8628</v>
      </c>
      <c r="C3234" s="178" t="s">
        <v>657</v>
      </c>
      <c r="D3234" s="575"/>
      <c r="E3234" s="178" t="s">
        <v>350</v>
      </c>
      <c r="F3234" s="210" t="s">
        <v>8629</v>
      </c>
      <c r="G3234" s="58" t="s">
        <v>7080</v>
      </c>
      <c r="H3234" s="546">
        <v>302100.75</v>
      </c>
      <c r="I3234" s="66" t="s">
        <v>96</v>
      </c>
      <c r="J3234" s="411" t="s">
        <v>7081</v>
      </c>
      <c r="K3234" s="58" t="s">
        <v>8623</v>
      </c>
      <c r="L3234" s="99"/>
      <c r="M3234" s="384" t="s">
        <v>8624</v>
      </c>
      <c r="N3234" s="106" t="s">
        <v>356</v>
      </c>
      <c r="O3234" s="58" t="s">
        <v>141</v>
      </c>
      <c r="P3234" s="58" t="s">
        <v>19</v>
      </c>
      <c r="Q3234" s="58" t="s">
        <v>109</v>
      </c>
      <c r="R3234" s="58" t="s">
        <v>265</v>
      </c>
    </row>
    <row r="3235" spans="1:18" ht="69" customHeight="1">
      <c r="A3235" s="168"/>
      <c r="B3235" s="178" t="s">
        <v>8630</v>
      </c>
      <c r="C3235" s="178" t="s">
        <v>657</v>
      </c>
      <c r="D3235" s="575"/>
      <c r="E3235" s="178" t="s">
        <v>350</v>
      </c>
      <c r="F3235" s="210" t="s">
        <v>8631</v>
      </c>
      <c r="G3235" s="58" t="s">
        <v>7080</v>
      </c>
      <c r="H3235" s="546">
        <v>269908.15000000002</v>
      </c>
      <c r="I3235" s="66" t="s">
        <v>96</v>
      </c>
      <c r="J3235" s="411" t="s">
        <v>7081</v>
      </c>
      <c r="K3235" s="58" t="s">
        <v>8623</v>
      </c>
      <c r="L3235" s="99"/>
      <c r="M3235" s="384" t="s">
        <v>8624</v>
      </c>
      <c r="N3235" s="106" t="s">
        <v>356</v>
      </c>
      <c r="O3235" s="58" t="s">
        <v>141</v>
      </c>
      <c r="P3235" s="58" t="s">
        <v>19</v>
      </c>
      <c r="Q3235" s="58" t="s">
        <v>109</v>
      </c>
      <c r="R3235" s="58" t="s">
        <v>265</v>
      </c>
    </row>
    <row r="3236" spans="1:18" ht="69" customHeight="1">
      <c r="A3236" s="168"/>
      <c r="B3236" s="178" t="s">
        <v>8632</v>
      </c>
      <c r="C3236" s="178" t="s">
        <v>657</v>
      </c>
      <c r="D3236" s="575"/>
      <c r="E3236" s="178" t="s">
        <v>358</v>
      </c>
      <c r="F3236" s="210" t="s">
        <v>8633</v>
      </c>
      <c r="G3236" s="58" t="s">
        <v>7080</v>
      </c>
      <c r="H3236" s="546">
        <v>361205.08</v>
      </c>
      <c r="I3236" s="66" t="s">
        <v>96</v>
      </c>
      <c r="J3236" s="411" t="s">
        <v>7081</v>
      </c>
      <c r="K3236" s="58" t="s">
        <v>8623</v>
      </c>
      <c r="L3236" s="99"/>
      <c r="M3236" s="384" t="s">
        <v>8634</v>
      </c>
      <c r="N3236" s="106" t="s">
        <v>356</v>
      </c>
      <c r="O3236" s="58" t="s">
        <v>141</v>
      </c>
      <c r="P3236" s="58" t="s">
        <v>19</v>
      </c>
      <c r="Q3236" s="58" t="s">
        <v>109</v>
      </c>
      <c r="R3236" s="58" t="s">
        <v>272</v>
      </c>
    </row>
    <row r="3237" spans="1:18" ht="69" customHeight="1">
      <c r="A3237" s="168"/>
      <c r="B3237" s="178" t="s">
        <v>8635</v>
      </c>
      <c r="C3237" s="178" t="s">
        <v>657</v>
      </c>
      <c r="D3237" s="575"/>
      <c r="E3237" s="178" t="s">
        <v>260</v>
      </c>
      <c r="F3237" s="210" t="s">
        <v>8636</v>
      </c>
      <c r="G3237" s="58" t="s">
        <v>7080</v>
      </c>
      <c r="H3237" s="546">
        <v>1711</v>
      </c>
      <c r="I3237" s="66" t="s">
        <v>96</v>
      </c>
      <c r="J3237" s="411" t="s">
        <v>7081</v>
      </c>
      <c r="K3237" s="58" t="s">
        <v>8619</v>
      </c>
      <c r="L3237" s="99"/>
      <c r="M3237" s="70" t="s">
        <v>8620</v>
      </c>
      <c r="N3237" s="97" t="s">
        <v>264</v>
      </c>
      <c r="O3237" s="58" t="s">
        <v>141</v>
      </c>
      <c r="P3237" s="58" t="s">
        <v>17</v>
      </c>
      <c r="Q3237" s="58" t="s">
        <v>109</v>
      </c>
      <c r="R3237" s="58" t="s">
        <v>265</v>
      </c>
    </row>
    <row r="3238" spans="1:18" ht="69" customHeight="1">
      <c r="A3238" s="168"/>
      <c r="B3238" s="178" t="s">
        <v>8637</v>
      </c>
      <c r="C3238" s="178" t="s">
        <v>657</v>
      </c>
      <c r="D3238" s="575"/>
      <c r="E3238" s="178" t="s">
        <v>260</v>
      </c>
      <c r="F3238" s="210" t="s">
        <v>8638</v>
      </c>
      <c r="G3238" s="58" t="s">
        <v>7080</v>
      </c>
      <c r="H3238" s="546">
        <v>52909.11</v>
      </c>
      <c r="I3238" s="66" t="s">
        <v>96</v>
      </c>
      <c r="J3238" s="411" t="s">
        <v>7081</v>
      </c>
      <c r="K3238" s="58" t="s">
        <v>8619</v>
      </c>
      <c r="L3238" s="99"/>
      <c r="M3238" s="70" t="s">
        <v>8620</v>
      </c>
      <c r="N3238" s="97" t="s">
        <v>264</v>
      </c>
      <c r="O3238" s="58" t="s">
        <v>141</v>
      </c>
      <c r="P3238" s="58" t="s">
        <v>17</v>
      </c>
      <c r="Q3238" s="58" t="s">
        <v>109</v>
      </c>
      <c r="R3238" s="58" t="s">
        <v>265</v>
      </c>
    </row>
    <row r="3239" spans="1:18" ht="69" customHeight="1">
      <c r="A3239" s="168"/>
      <c r="B3239" s="178" t="s">
        <v>8639</v>
      </c>
      <c r="C3239" s="178" t="s">
        <v>657</v>
      </c>
      <c r="D3239" s="575"/>
      <c r="E3239" s="178" t="s">
        <v>260</v>
      </c>
      <c r="F3239" s="210" t="s">
        <v>8640</v>
      </c>
      <c r="G3239" s="58" t="s">
        <v>7080</v>
      </c>
      <c r="H3239" s="546">
        <v>22327.8</v>
      </c>
      <c r="I3239" s="66" t="s">
        <v>96</v>
      </c>
      <c r="J3239" s="411" t="s">
        <v>7081</v>
      </c>
      <c r="K3239" s="58" t="s">
        <v>8619</v>
      </c>
      <c r="L3239" s="99"/>
      <c r="M3239" s="70" t="s">
        <v>8620</v>
      </c>
      <c r="N3239" s="97" t="s">
        <v>264</v>
      </c>
      <c r="O3239" s="58" t="s">
        <v>141</v>
      </c>
      <c r="P3239" s="58" t="s">
        <v>17</v>
      </c>
      <c r="Q3239" s="58" t="s">
        <v>109</v>
      </c>
      <c r="R3239" s="58" t="s">
        <v>265</v>
      </c>
    </row>
    <row r="3240" spans="1:18" ht="69" customHeight="1">
      <c r="A3240" s="168"/>
      <c r="B3240" s="178" t="s">
        <v>8641</v>
      </c>
      <c r="C3240" s="178" t="s">
        <v>657</v>
      </c>
      <c r="D3240" s="575"/>
      <c r="E3240" s="178" t="s">
        <v>260</v>
      </c>
      <c r="F3240" s="210" t="s">
        <v>8642</v>
      </c>
      <c r="G3240" s="58" t="s">
        <v>7080</v>
      </c>
      <c r="H3240" s="546">
        <v>30000</v>
      </c>
      <c r="I3240" s="66" t="s">
        <v>96</v>
      </c>
      <c r="J3240" s="411" t="s">
        <v>7081</v>
      </c>
      <c r="K3240" s="58" t="s">
        <v>8619</v>
      </c>
      <c r="L3240" s="99"/>
      <c r="M3240" s="70" t="s">
        <v>8620</v>
      </c>
      <c r="N3240" s="97" t="s">
        <v>264</v>
      </c>
      <c r="O3240" s="58" t="s">
        <v>141</v>
      </c>
      <c r="P3240" s="58" t="s">
        <v>17</v>
      </c>
      <c r="Q3240" s="58" t="s">
        <v>109</v>
      </c>
      <c r="R3240" s="58" t="s">
        <v>265</v>
      </c>
    </row>
    <row r="3241" spans="1:18" ht="69" customHeight="1">
      <c r="A3241" s="168"/>
      <c r="B3241" s="191" t="s">
        <v>8643</v>
      </c>
      <c r="C3241" s="191" t="s">
        <v>657</v>
      </c>
      <c r="D3241" s="533"/>
      <c r="E3241" s="191" t="s">
        <v>260</v>
      </c>
      <c r="F3241" s="211" t="s">
        <v>8644</v>
      </c>
      <c r="G3241" s="46" t="s">
        <v>7080</v>
      </c>
      <c r="H3241" s="534">
        <v>17500</v>
      </c>
      <c r="I3241" s="56" t="s">
        <v>96</v>
      </c>
      <c r="J3241" s="412" t="s">
        <v>7081</v>
      </c>
      <c r="K3241" s="46" t="s">
        <v>8645</v>
      </c>
      <c r="L3241" s="99"/>
      <c r="M3241" s="70" t="s">
        <v>8620</v>
      </c>
      <c r="N3241" s="97" t="s">
        <v>264</v>
      </c>
      <c r="O3241" s="46" t="s">
        <v>141</v>
      </c>
      <c r="P3241" s="46" t="s">
        <v>65</v>
      </c>
      <c r="Q3241" s="46" t="s">
        <v>109</v>
      </c>
      <c r="R3241" s="46" t="s">
        <v>272</v>
      </c>
    </row>
    <row r="3242" spans="1:18" ht="69" customHeight="1">
      <c r="A3242" s="168"/>
      <c r="B3242" s="178" t="s">
        <v>8646</v>
      </c>
      <c r="C3242" s="178" t="s">
        <v>657</v>
      </c>
      <c r="D3242" s="575"/>
      <c r="E3242" s="178" t="s">
        <v>260</v>
      </c>
      <c r="F3242" s="210" t="s">
        <v>8647</v>
      </c>
      <c r="G3242" s="58" t="s">
        <v>7080</v>
      </c>
      <c r="H3242" s="546">
        <v>5403.15</v>
      </c>
      <c r="I3242" s="66" t="s">
        <v>96</v>
      </c>
      <c r="J3242" s="411" t="s">
        <v>7081</v>
      </c>
      <c r="K3242" s="58" t="s">
        <v>8619</v>
      </c>
      <c r="L3242" s="99"/>
      <c r="M3242" s="70" t="s">
        <v>8620</v>
      </c>
      <c r="N3242" s="97" t="s">
        <v>264</v>
      </c>
      <c r="O3242" s="58" t="s">
        <v>141</v>
      </c>
      <c r="P3242" s="58" t="s">
        <v>17</v>
      </c>
      <c r="Q3242" s="58" t="s">
        <v>109</v>
      </c>
      <c r="R3242" s="58" t="s">
        <v>265</v>
      </c>
    </row>
    <row r="3243" spans="1:18" ht="69" customHeight="1">
      <c r="A3243" s="168"/>
      <c r="B3243" s="178" t="s">
        <v>8648</v>
      </c>
      <c r="C3243" s="178" t="s">
        <v>657</v>
      </c>
      <c r="D3243" s="575"/>
      <c r="E3243" s="178" t="s">
        <v>260</v>
      </c>
      <c r="F3243" s="210" t="s">
        <v>8649</v>
      </c>
      <c r="G3243" s="58" t="s">
        <v>7080</v>
      </c>
      <c r="H3243" s="546">
        <v>2075</v>
      </c>
      <c r="I3243" s="66" t="s">
        <v>96</v>
      </c>
      <c r="J3243" s="411" t="s">
        <v>7081</v>
      </c>
      <c r="K3243" s="58" t="s">
        <v>8619</v>
      </c>
      <c r="L3243" s="99"/>
      <c r="M3243" s="70" t="s">
        <v>8620</v>
      </c>
      <c r="N3243" s="97" t="s">
        <v>264</v>
      </c>
      <c r="O3243" s="58" t="s">
        <v>141</v>
      </c>
      <c r="P3243" s="58" t="s">
        <v>17</v>
      </c>
      <c r="Q3243" s="58" t="s">
        <v>109</v>
      </c>
      <c r="R3243" s="58" t="s">
        <v>265</v>
      </c>
    </row>
    <row r="3244" spans="1:18" ht="69" customHeight="1">
      <c r="A3244" s="168"/>
      <c r="B3244" s="178" t="s">
        <v>8650</v>
      </c>
      <c r="C3244" s="178" t="s">
        <v>657</v>
      </c>
      <c r="D3244" s="575"/>
      <c r="E3244" s="178" t="s">
        <v>260</v>
      </c>
      <c r="F3244" s="210" t="s">
        <v>8651</v>
      </c>
      <c r="G3244" s="58" t="s">
        <v>7080</v>
      </c>
      <c r="H3244" s="546">
        <v>1039.77</v>
      </c>
      <c r="I3244" s="66" t="s">
        <v>96</v>
      </c>
      <c r="J3244" s="411" t="s">
        <v>7081</v>
      </c>
      <c r="K3244" s="58" t="s">
        <v>8619</v>
      </c>
      <c r="L3244" s="99"/>
      <c r="M3244" s="70" t="s">
        <v>8620</v>
      </c>
      <c r="N3244" s="97" t="s">
        <v>264</v>
      </c>
      <c r="O3244" s="58" t="s">
        <v>141</v>
      </c>
      <c r="P3244" s="58" t="s">
        <v>17</v>
      </c>
      <c r="Q3244" s="58" t="s">
        <v>109</v>
      </c>
      <c r="R3244" s="58" t="s">
        <v>265</v>
      </c>
    </row>
    <row r="3245" spans="1:18" ht="69" customHeight="1">
      <c r="A3245" s="168"/>
      <c r="B3245" s="178" t="s">
        <v>8652</v>
      </c>
      <c r="C3245" s="178" t="s">
        <v>657</v>
      </c>
      <c r="D3245" s="575"/>
      <c r="E3245" s="178" t="s">
        <v>260</v>
      </c>
      <c r="F3245" s="210" t="s">
        <v>8653</v>
      </c>
      <c r="G3245" s="58" t="s">
        <v>7080</v>
      </c>
      <c r="H3245" s="546">
        <v>1470</v>
      </c>
      <c r="I3245" s="66" t="s">
        <v>96</v>
      </c>
      <c r="J3245" s="411" t="s">
        <v>7081</v>
      </c>
      <c r="K3245" s="58" t="s">
        <v>8619</v>
      </c>
      <c r="L3245" s="99"/>
      <c r="M3245" s="70" t="s">
        <v>8620</v>
      </c>
      <c r="N3245" s="97" t="s">
        <v>264</v>
      </c>
      <c r="O3245" s="58" t="s">
        <v>141</v>
      </c>
      <c r="P3245" s="58" t="s">
        <v>17</v>
      </c>
      <c r="Q3245" s="58" t="s">
        <v>109</v>
      </c>
      <c r="R3245" s="58" t="s">
        <v>265</v>
      </c>
    </row>
    <row r="3246" spans="1:18" ht="69" customHeight="1">
      <c r="A3246" s="168"/>
      <c r="B3246" s="178" t="s">
        <v>8654</v>
      </c>
      <c r="C3246" s="178" t="s">
        <v>657</v>
      </c>
      <c r="D3246" s="575"/>
      <c r="E3246" s="178" t="s">
        <v>260</v>
      </c>
      <c r="F3246" s="210" t="s">
        <v>8655</v>
      </c>
      <c r="G3246" s="58" t="s">
        <v>7080</v>
      </c>
      <c r="H3246" s="546">
        <v>73.47</v>
      </c>
      <c r="I3246" s="66" t="s">
        <v>96</v>
      </c>
      <c r="J3246" s="411" t="s">
        <v>7081</v>
      </c>
      <c r="K3246" s="58" t="s">
        <v>8619</v>
      </c>
      <c r="L3246" s="99"/>
      <c r="M3246" s="70" t="s">
        <v>8620</v>
      </c>
      <c r="N3246" s="97" t="s">
        <v>264</v>
      </c>
      <c r="O3246" s="58" t="s">
        <v>141</v>
      </c>
      <c r="P3246" s="58" t="s">
        <v>17</v>
      </c>
      <c r="Q3246" s="58" t="s">
        <v>109</v>
      </c>
      <c r="R3246" s="58" t="s">
        <v>265</v>
      </c>
    </row>
    <row r="3247" spans="1:18" ht="69" customHeight="1">
      <c r="A3247" s="168"/>
      <c r="B3247" s="178" t="s">
        <v>8656</v>
      </c>
      <c r="C3247" s="178" t="s">
        <v>657</v>
      </c>
      <c r="D3247" s="575"/>
      <c r="E3247" s="178" t="s">
        <v>260</v>
      </c>
      <c r="F3247" s="210" t="s">
        <v>8657</v>
      </c>
      <c r="G3247" s="58" t="s">
        <v>7080</v>
      </c>
      <c r="H3247" s="546">
        <v>5706.96</v>
      </c>
      <c r="I3247" s="66" t="s">
        <v>96</v>
      </c>
      <c r="J3247" s="411" t="s">
        <v>7081</v>
      </c>
      <c r="K3247" s="58" t="s">
        <v>8619</v>
      </c>
      <c r="L3247" s="99"/>
      <c r="M3247" s="70" t="s">
        <v>8620</v>
      </c>
      <c r="N3247" s="97" t="s">
        <v>264</v>
      </c>
      <c r="O3247" s="58" t="s">
        <v>141</v>
      </c>
      <c r="P3247" s="58" t="s">
        <v>17</v>
      </c>
      <c r="Q3247" s="58" t="s">
        <v>109</v>
      </c>
      <c r="R3247" s="58" t="s">
        <v>265</v>
      </c>
    </row>
    <row r="3248" spans="1:18" ht="69" customHeight="1">
      <c r="A3248" s="168"/>
      <c r="B3248" s="178" t="s">
        <v>8658</v>
      </c>
      <c r="C3248" s="178" t="s">
        <v>657</v>
      </c>
      <c r="D3248" s="575"/>
      <c r="E3248" s="178" t="s">
        <v>283</v>
      </c>
      <c r="F3248" s="210" t="s">
        <v>8659</v>
      </c>
      <c r="G3248" s="58" t="s">
        <v>7080</v>
      </c>
      <c r="H3248" s="546">
        <v>256315.47</v>
      </c>
      <c r="I3248" s="66" t="s">
        <v>96</v>
      </c>
      <c r="J3248" s="411" t="s">
        <v>7081</v>
      </c>
      <c r="K3248" s="58" t="s">
        <v>8619</v>
      </c>
      <c r="L3248" s="99"/>
      <c r="M3248" s="70" t="s">
        <v>8660</v>
      </c>
      <c r="N3248" s="97" t="s">
        <v>264</v>
      </c>
      <c r="O3248" s="58" t="s">
        <v>141</v>
      </c>
      <c r="P3248" s="58" t="s">
        <v>17</v>
      </c>
      <c r="Q3248" s="58" t="s">
        <v>109</v>
      </c>
      <c r="R3248" s="58" t="s">
        <v>272</v>
      </c>
    </row>
    <row r="3249" spans="1:18" ht="69" customHeight="1">
      <c r="A3249" s="168"/>
      <c r="B3249" s="191">
        <v>3002</v>
      </c>
      <c r="C3249" s="191" t="s">
        <v>657</v>
      </c>
      <c r="D3249" s="533" t="s">
        <v>1274</v>
      </c>
      <c r="E3249" s="191" t="s">
        <v>331</v>
      </c>
      <c r="F3249" s="211" t="s">
        <v>8661</v>
      </c>
      <c r="G3249" s="46" t="s">
        <v>652</v>
      </c>
      <c r="H3249" s="534">
        <v>0</v>
      </c>
      <c r="I3249" s="56" t="s">
        <v>96</v>
      </c>
      <c r="J3249" s="412" t="s">
        <v>334</v>
      </c>
      <c r="K3249" s="46"/>
      <c r="L3249" s="99"/>
      <c r="M3249" s="379"/>
      <c r="N3249" s="76" t="s">
        <v>69</v>
      </c>
      <c r="O3249" s="46"/>
      <c r="P3249" s="46" t="s">
        <v>69</v>
      </c>
      <c r="Q3249" s="46" t="s">
        <v>109</v>
      </c>
      <c r="R3249" s="46" t="s">
        <v>272</v>
      </c>
    </row>
    <row r="3250" spans="1:18" ht="69" customHeight="1">
      <c r="A3250" s="168"/>
      <c r="B3250" s="178" t="s">
        <v>8662</v>
      </c>
      <c r="C3250" s="178" t="s">
        <v>8663</v>
      </c>
      <c r="D3250" s="575"/>
      <c r="E3250" s="178" t="s">
        <v>350</v>
      </c>
      <c r="F3250" s="210" t="s">
        <v>8664</v>
      </c>
      <c r="G3250" s="58" t="s">
        <v>7080</v>
      </c>
      <c r="H3250" s="546">
        <v>204325.08</v>
      </c>
      <c r="I3250" s="66" t="s">
        <v>96</v>
      </c>
      <c r="J3250" s="411" t="s">
        <v>8665</v>
      </c>
      <c r="K3250" s="58" t="s">
        <v>8473</v>
      </c>
      <c r="L3250" s="99"/>
      <c r="M3250" s="384" t="s">
        <v>8624</v>
      </c>
      <c r="N3250" s="106" t="s">
        <v>356</v>
      </c>
      <c r="O3250" s="58" t="s">
        <v>141</v>
      </c>
      <c r="P3250" s="58" t="s">
        <v>19</v>
      </c>
      <c r="Q3250" s="58" t="s">
        <v>109</v>
      </c>
      <c r="R3250" s="58" t="s">
        <v>265</v>
      </c>
    </row>
    <row r="3251" spans="1:18" ht="69" customHeight="1">
      <c r="A3251" s="168"/>
      <c r="B3251" s="178">
        <v>4368</v>
      </c>
      <c r="C3251" s="178" t="s">
        <v>657</v>
      </c>
      <c r="D3251" s="575"/>
      <c r="E3251" s="178" t="s">
        <v>283</v>
      </c>
      <c r="F3251" s="210" t="s">
        <v>8666</v>
      </c>
      <c r="G3251" s="58"/>
      <c r="H3251" s="546">
        <v>0</v>
      </c>
      <c r="I3251" s="66">
        <v>44435</v>
      </c>
      <c r="J3251" s="411" t="s">
        <v>294</v>
      </c>
      <c r="K3251" s="58" t="s">
        <v>8619</v>
      </c>
      <c r="L3251" s="99"/>
      <c r="M3251" s="70" t="s">
        <v>8660</v>
      </c>
      <c r="N3251" s="97" t="s">
        <v>264</v>
      </c>
      <c r="O3251" s="58" t="s">
        <v>141</v>
      </c>
      <c r="P3251" s="58" t="s">
        <v>17</v>
      </c>
      <c r="Q3251" s="58" t="s">
        <v>109</v>
      </c>
      <c r="R3251" s="58" t="s">
        <v>272</v>
      </c>
    </row>
    <row r="3252" spans="1:18" ht="69" customHeight="1">
      <c r="A3252" s="168"/>
      <c r="B3252" s="178">
        <v>4379</v>
      </c>
      <c r="C3252" s="178" t="s">
        <v>657</v>
      </c>
      <c r="D3252" s="575"/>
      <c r="E3252" s="178" t="s">
        <v>8521</v>
      </c>
      <c r="F3252" s="210" t="s">
        <v>8667</v>
      </c>
      <c r="G3252" s="58"/>
      <c r="H3252" s="546">
        <v>1165.6500000000001</v>
      </c>
      <c r="I3252" s="66">
        <v>44466</v>
      </c>
      <c r="J3252" s="411" t="s">
        <v>294</v>
      </c>
      <c r="K3252" s="58"/>
      <c r="L3252" s="99"/>
      <c r="M3252" s="70" t="s">
        <v>8615</v>
      </c>
      <c r="N3252" s="97" t="s">
        <v>270</v>
      </c>
      <c r="O3252" s="58"/>
      <c r="P3252" s="58" t="s">
        <v>44</v>
      </c>
      <c r="Q3252" s="58" t="s">
        <v>109</v>
      </c>
      <c r="R3252" s="58" t="s">
        <v>272</v>
      </c>
    </row>
    <row r="3253" spans="1:18" ht="69" customHeight="1">
      <c r="A3253" s="168"/>
      <c r="B3253" s="178">
        <v>4387</v>
      </c>
      <c r="C3253" s="178" t="s">
        <v>657</v>
      </c>
      <c r="D3253" s="575"/>
      <c r="E3253" s="178" t="s">
        <v>8521</v>
      </c>
      <c r="F3253" s="210" t="s">
        <v>8667</v>
      </c>
      <c r="G3253" s="58"/>
      <c r="H3253" s="546">
        <v>4697.8500000000004</v>
      </c>
      <c r="I3253" s="66">
        <v>44466</v>
      </c>
      <c r="J3253" s="411" t="s">
        <v>294</v>
      </c>
      <c r="K3253" s="58"/>
      <c r="L3253" s="99"/>
      <c r="M3253" s="70" t="s">
        <v>8615</v>
      </c>
      <c r="N3253" s="97" t="s">
        <v>270</v>
      </c>
      <c r="O3253" s="58"/>
      <c r="P3253" s="58" t="s">
        <v>44</v>
      </c>
      <c r="Q3253" s="58" t="s">
        <v>109</v>
      </c>
      <c r="R3253" s="58" t="s">
        <v>272</v>
      </c>
    </row>
    <row r="3254" spans="1:18" ht="69" customHeight="1">
      <c r="A3254" s="168"/>
      <c r="B3254" s="178">
        <v>4388</v>
      </c>
      <c r="C3254" s="178" t="s">
        <v>657</v>
      </c>
      <c r="D3254" s="575"/>
      <c r="E3254" s="178" t="s">
        <v>8521</v>
      </c>
      <c r="F3254" s="210" t="s">
        <v>8667</v>
      </c>
      <c r="G3254" s="58"/>
      <c r="H3254" s="546">
        <v>4697.8500000000004</v>
      </c>
      <c r="I3254" s="66">
        <v>44466</v>
      </c>
      <c r="J3254" s="411" t="s">
        <v>294</v>
      </c>
      <c r="K3254" s="58"/>
      <c r="L3254" s="99"/>
      <c r="M3254" s="70" t="s">
        <v>8615</v>
      </c>
      <c r="N3254" s="97" t="s">
        <v>270</v>
      </c>
      <c r="O3254" s="58"/>
      <c r="P3254" s="58" t="s">
        <v>44</v>
      </c>
      <c r="Q3254" s="58" t="s">
        <v>109</v>
      </c>
      <c r="R3254" s="58" t="s">
        <v>272</v>
      </c>
    </row>
    <row r="3255" spans="1:18" ht="69" customHeight="1">
      <c r="A3255" s="168"/>
      <c r="B3255" s="178">
        <v>4394</v>
      </c>
      <c r="C3255" s="178" t="s">
        <v>657</v>
      </c>
      <c r="D3255" s="575"/>
      <c r="E3255" s="178" t="s">
        <v>283</v>
      </c>
      <c r="F3255" s="210" t="s">
        <v>8668</v>
      </c>
      <c r="G3255" s="58"/>
      <c r="H3255" s="546">
        <v>0</v>
      </c>
      <c r="I3255" s="66">
        <v>44488</v>
      </c>
      <c r="J3255" s="411" t="s">
        <v>294</v>
      </c>
      <c r="K3255" s="58" t="s">
        <v>8619</v>
      </c>
      <c r="L3255" s="99"/>
      <c r="M3255" s="70" t="s">
        <v>8660</v>
      </c>
      <c r="N3255" s="97" t="s">
        <v>264</v>
      </c>
      <c r="O3255" s="58" t="s">
        <v>141</v>
      </c>
      <c r="P3255" s="58" t="s">
        <v>17</v>
      </c>
      <c r="Q3255" s="58" t="s">
        <v>109</v>
      </c>
      <c r="R3255" s="58" t="s">
        <v>272</v>
      </c>
    </row>
    <row r="3256" spans="1:18" ht="69" customHeight="1">
      <c r="A3256" s="168"/>
      <c r="B3256" s="178">
        <v>4403</v>
      </c>
      <c r="C3256" s="178" t="s">
        <v>657</v>
      </c>
      <c r="D3256" s="575"/>
      <c r="E3256" s="178" t="s">
        <v>8521</v>
      </c>
      <c r="F3256" s="210" t="s">
        <v>8667</v>
      </c>
      <c r="G3256" s="58"/>
      <c r="H3256" s="546">
        <v>599.66999999999996</v>
      </c>
      <c r="I3256" s="66">
        <v>44505</v>
      </c>
      <c r="J3256" s="411" t="s">
        <v>294</v>
      </c>
      <c r="K3256" s="58"/>
      <c r="L3256" s="99"/>
      <c r="M3256" s="70" t="s">
        <v>8615</v>
      </c>
      <c r="N3256" s="97" t="s">
        <v>270</v>
      </c>
      <c r="O3256" s="58"/>
      <c r="P3256" s="58" t="s">
        <v>44</v>
      </c>
      <c r="Q3256" s="58" t="s">
        <v>109</v>
      </c>
      <c r="R3256" s="58" t="s">
        <v>272</v>
      </c>
    </row>
    <row r="3257" spans="1:18" ht="69" customHeight="1">
      <c r="A3257" s="168"/>
      <c r="B3257" s="178">
        <v>4408</v>
      </c>
      <c r="C3257" s="178" t="s">
        <v>657</v>
      </c>
      <c r="D3257" s="575"/>
      <c r="E3257" s="178" t="s">
        <v>8521</v>
      </c>
      <c r="F3257" s="210" t="s">
        <v>8667</v>
      </c>
      <c r="G3257" s="58"/>
      <c r="H3257" s="546">
        <v>4742.26</v>
      </c>
      <c r="I3257" s="66">
        <v>44505</v>
      </c>
      <c r="J3257" s="411" t="s">
        <v>294</v>
      </c>
      <c r="K3257" s="58"/>
      <c r="L3257" s="99"/>
      <c r="M3257" s="70" t="s">
        <v>8615</v>
      </c>
      <c r="N3257" s="97" t="s">
        <v>270</v>
      </c>
      <c r="O3257" s="58"/>
      <c r="P3257" s="58" t="s">
        <v>44</v>
      </c>
      <c r="Q3257" s="58" t="s">
        <v>109</v>
      </c>
      <c r="R3257" s="58" t="s">
        <v>272</v>
      </c>
    </row>
    <row r="3258" spans="1:18" ht="69" customHeight="1">
      <c r="A3258" s="168"/>
      <c r="B3258" s="178">
        <v>4428</v>
      </c>
      <c r="C3258" s="178" t="s">
        <v>657</v>
      </c>
      <c r="D3258" s="575"/>
      <c r="E3258" s="178" t="s">
        <v>8521</v>
      </c>
      <c r="F3258" s="210" t="s">
        <v>8667</v>
      </c>
      <c r="G3258" s="58"/>
      <c r="H3258" s="546">
        <v>618.03</v>
      </c>
      <c r="I3258" s="66">
        <v>44536</v>
      </c>
      <c r="J3258" s="411" t="s">
        <v>294</v>
      </c>
      <c r="K3258" s="58"/>
      <c r="L3258" s="99"/>
      <c r="M3258" s="70" t="s">
        <v>8615</v>
      </c>
      <c r="N3258" s="97" t="s">
        <v>270</v>
      </c>
      <c r="O3258" s="58"/>
      <c r="P3258" s="58" t="s">
        <v>44</v>
      </c>
      <c r="Q3258" s="58" t="s">
        <v>109</v>
      </c>
      <c r="R3258" s="58" t="s">
        <v>272</v>
      </c>
    </row>
    <row r="3259" spans="1:18" ht="69" customHeight="1">
      <c r="A3259" s="168"/>
      <c r="B3259" s="178">
        <v>4433</v>
      </c>
      <c r="C3259" s="178" t="s">
        <v>657</v>
      </c>
      <c r="D3259" s="575"/>
      <c r="E3259" s="178" t="s">
        <v>8521</v>
      </c>
      <c r="F3259" s="210" t="s">
        <v>8667</v>
      </c>
      <c r="G3259" s="58"/>
      <c r="H3259" s="546">
        <v>4790.67</v>
      </c>
      <c r="I3259" s="66">
        <v>44536</v>
      </c>
      <c r="J3259" s="411" t="s">
        <v>294</v>
      </c>
      <c r="K3259" s="58"/>
      <c r="L3259" s="99"/>
      <c r="M3259" s="70" t="s">
        <v>8615</v>
      </c>
      <c r="N3259" s="97" t="s">
        <v>270</v>
      </c>
      <c r="O3259" s="58"/>
      <c r="P3259" s="58" t="s">
        <v>44</v>
      </c>
      <c r="Q3259" s="58" t="s">
        <v>109</v>
      </c>
      <c r="R3259" s="58" t="s">
        <v>272</v>
      </c>
    </row>
    <row r="3260" spans="1:18" ht="69" customHeight="1">
      <c r="A3260" s="168"/>
      <c r="B3260" s="178">
        <v>4702</v>
      </c>
      <c r="C3260" s="178" t="s">
        <v>657</v>
      </c>
      <c r="D3260" s="575" t="s">
        <v>2904</v>
      </c>
      <c r="E3260" s="178" t="s">
        <v>331</v>
      </c>
      <c r="F3260" s="210" t="s">
        <v>8669</v>
      </c>
      <c r="G3260" s="58"/>
      <c r="H3260" s="546">
        <v>2635.98</v>
      </c>
      <c r="I3260" s="66">
        <v>44678</v>
      </c>
      <c r="J3260" s="411" t="s">
        <v>8670</v>
      </c>
      <c r="K3260" s="58"/>
      <c r="L3260" s="99"/>
      <c r="M3260" s="70" t="s">
        <v>8615</v>
      </c>
      <c r="N3260" s="97" t="s">
        <v>270</v>
      </c>
      <c r="O3260" s="58"/>
      <c r="P3260" s="58" t="s">
        <v>44</v>
      </c>
      <c r="Q3260" s="58" t="s">
        <v>109</v>
      </c>
      <c r="R3260" s="58" t="s">
        <v>272</v>
      </c>
    </row>
    <row r="3261" spans="1:18" ht="69" customHeight="1">
      <c r="A3261" s="168"/>
      <c r="B3261" s="178">
        <v>4766</v>
      </c>
      <c r="C3261" s="178" t="s">
        <v>657</v>
      </c>
      <c r="D3261" s="575" t="s">
        <v>1978</v>
      </c>
      <c r="E3261" s="178" t="s">
        <v>358</v>
      </c>
      <c r="F3261" s="210" t="s">
        <v>8659</v>
      </c>
      <c r="G3261" s="58" t="s">
        <v>529</v>
      </c>
      <c r="H3261" s="546">
        <v>304816.90999999997</v>
      </c>
      <c r="I3261" s="66">
        <v>44680</v>
      </c>
      <c r="J3261" s="411" t="s">
        <v>8671</v>
      </c>
      <c r="K3261" s="58" t="s">
        <v>8623</v>
      </c>
      <c r="L3261" s="99"/>
      <c r="M3261" s="384" t="s">
        <v>8634</v>
      </c>
      <c r="N3261" s="106" t="s">
        <v>356</v>
      </c>
      <c r="O3261" s="58" t="s">
        <v>141</v>
      </c>
      <c r="P3261" s="58" t="s">
        <v>19</v>
      </c>
      <c r="Q3261" s="58" t="s">
        <v>109</v>
      </c>
      <c r="R3261" s="58" t="s">
        <v>272</v>
      </c>
    </row>
    <row r="3262" spans="1:18" ht="69" customHeight="1">
      <c r="A3262" s="168"/>
      <c r="B3262" s="178">
        <v>4865</v>
      </c>
      <c r="C3262" s="178" t="s">
        <v>657</v>
      </c>
      <c r="D3262" s="575" t="s">
        <v>934</v>
      </c>
      <c r="E3262" s="178" t="s">
        <v>266</v>
      </c>
      <c r="F3262" s="210" t="s">
        <v>8672</v>
      </c>
      <c r="G3262" s="58" t="s">
        <v>680</v>
      </c>
      <c r="H3262" s="546">
        <v>6206.9</v>
      </c>
      <c r="I3262" s="66">
        <v>44706</v>
      </c>
      <c r="J3262" s="411" t="s">
        <v>8673</v>
      </c>
      <c r="K3262" s="58"/>
      <c r="L3262" s="99"/>
      <c r="M3262" s="70" t="s">
        <v>8674</v>
      </c>
      <c r="N3262" s="97" t="s">
        <v>683</v>
      </c>
      <c r="O3262" s="58" t="s">
        <v>149</v>
      </c>
      <c r="P3262" s="58" t="s">
        <v>46</v>
      </c>
      <c r="Q3262" s="58" t="s">
        <v>109</v>
      </c>
      <c r="R3262" s="58" t="s">
        <v>272</v>
      </c>
    </row>
    <row r="3263" spans="1:18" ht="69" customHeight="1">
      <c r="A3263" s="168"/>
      <c r="B3263" s="178">
        <v>4702</v>
      </c>
      <c r="C3263" s="178" t="s">
        <v>657</v>
      </c>
      <c r="D3263" s="575" t="s">
        <v>4554</v>
      </c>
      <c r="E3263" s="178" t="s">
        <v>331</v>
      </c>
      <c r="F3263" s="210" t="s">
        <v>8675</v>
      </c>
      <c r="G3263" s="58" t="s">
        <v>372</v>
      </c>
      <c r="H3263" s="546">
        <v>23723.85</v>
      </c>
      <c r="I3263" s="66">
        <v>44701</v>
      </c>
      <c r="J3263" s="411" t="s">
        <v>8676</v>
      </c>
      <c r="K3263" s="58"/>
      <c r="L3263" s="99"/>
      <c r="M3263" s="70" t="s">
        <v>8615</v>
      </c>
      <c r="N3263" s="97" t="s">
        <v>270</v>
      </c>
      <c r="O3263" s="58"/>
      <c r="P3263" s="58" t="s">
        <v>44</v>
      </c>
      <c r="Q3263" s="58" t="s">
        <v>109</v>
      </c>
      <c r="R3263" s="58" t="s">
        <v>272</v>
      </c>
    </row>
    <row r="3264" spans="1:18" ht="69" customHeight="1">
      <c r="A3264" s="168"/>
      <c r="B3264" s="178">
        <v>4703</v>
      </c>
      <c r="C3264" s="178" t="s">
        <v>657</v>
      </c>
      <c r="D3264" s="575" t="s">
        <v>8677</v>
      </c>
      <c r="E3264" s="178" t="s">
        <v>382</v>
      </c>
      <c r="F3264" s="210" t="s">
        <v>8678</v>
      </c>
      <c r="G3264" s="58" t="s">
        <v>384</v>
      </c>
      <c r="H3264" s="546">
        <v>22679.42</v>
      </c>
      <c r="I3264" s="66">
        <v>44736</v>
      </c>
      <c r="J3264" s="411" t="s">
        <v>8679</v>
      </c>
      <c r="K3264" s="58"/>
      <c r="L3264" s="99"/>
      <c r="M3264" s="70" t="s">
        <v>8680</v>
      </c>
      <c r="N3264" s="97" t="s">
        <v>387</v>
      </c>
      <c r="O3264" s="58" t="s">
        <v>150</v>
      </c>
      <c r="P3264" s="58" t="s">
        <v>51</v>
      </c>
      <c r="Q3264" s="58" t="s">
        <v>109</v>
      </c>
      <c r="R3264" s="58" t="s">
        <v>272</v>
      </c>
    </row>
    <row r="3265" spans="1:18" ht="69" customHeight="1">
      <c r="A3265" s="168"/>
      <c r="B3265" s="178">
        <v>4704</v>
      </c>
      <c r="C3265" s="178" t="s">
        <v>657</v>
      </c>
      <c r="D3265" s="575" t="s">
        <v>3170</v>
      </c>
      <c r="E3265" s="178" t="s">
        <v>382</v>
      </c>
      <c r="F3265" s="210" t="s">
        <v>8678</v>
      </c>
      <c r="G3265" s="58" t="s">
        <v>384</v>
      </c>
      <c r="H3265" s="546">
        <v>38303.97</v>
      </c>
      <c r="I3265" s="66">
        <v>44736</v>
      </c>
      <c r="J3265" s="411" t="s">
        <v>8681</v>
      </c>
      <c r="K3265" s="58"/>
      <c r="L3265" s="99"/>
      <c r="M3265" s="70" t="s">
        <v>8680</v>
      </c>
      <c r="N3265" s="97" t="s">
        <v>387</v>
      </c>
      <c r="O3265" s="58" t="s">
        <v>150</v>
      </c>
      <c r="P3265" s="58" t="s">
        <v>51</v>
      </c>
      <c r="Q3265" s="58" t="s">
        <v>109</v>
      </c>
      <c r="R3265" s="58" t="s">
        <v>272</v>
      </c>
    </row>
    <row r="3266" spans="1:18" ht="69" customHeight="1">
      <c r="A3266" s="168"/>
      <c r="B3266" s="178">
        <v>5351</v>
      </c>
      <c r="C3266" s="178" t="s">
        <v>657</v>
      </c>
      <c r="D3266" s="575" t="s">
        <v>8542</v>
      </c>
      <c r="E3266" s="178" t="s">
        <v>409</v>
      </c>
      <c r="F3266" s="210" t="s">
        <v>8682</v>
      </c>
      <c r="G3266" s="58" t="s">
        <v>712</v>
      </c>
      <c r="H3266" s="546">
        <v>2938377.66</v>
      </c>
      <c r="I3266" s="66">
        <v>44757</v>
      </c>
      <c r="J3266" s="411" t="s">
        <v>8683</v>
      </c>
      <c r="K3266" s="58" t="s">
        <v>3385</v>
      </c>
      <c r="L3266" s="99"/>
      <c r="M3266" s="70" t="s">
        <v>8684</v>
      </c>
      <c r="N3266" s="97" t="s">
        <v>716</v>
      </c>
      <c r="O3266" s="58" t="s">
        <v>1566</v>
      </c>
      <c r="P3266" s="58" t="s">
        <v>28</v>
      </c>
      <c r="Q3266" s="58" t="s">
        <v>109</v>
      </c>
      <c r="R3266" s="58" t="s">
        <v>272</v>
      </c>
    </row>
    <row r="3267" spans="1:18" ht="69" customHeight="1">
      <c r="A3267" s="168"/>
      <c r="B3267" s="178">
        <v>6094</v>
      </c>
      <c r="C3267" s="178" t="s">
        <v>657</v>
      </c>
      <c r="D3267" s="575" t="s">
        <v>2944</v>
      </c>
      <c r="E3267" s="178" t="s">
        <v>358</v>
      </c>
      <c r="F3267" s="210" t="s">
        <v>8685</v>
      </c>
      <c r="G3267" s="58" t="s">
        <v>529</v>
      </c>
      <c r="H3267" s="546">
        <v>200000</v>
      </c>
      <c r="I3267" s="66">
        <v>44769</v>
      </c>
      <c r="J3267" s="411" t="s">
        <v>8686</v>
      </c>
      <c r="K3267" s="58" t="s">
        <v>8623</v>
      </c>
      <c r="L3267" s="99"/>
      <c r="M3267" s="384" t="s">
        <v>8634</v>
      </c>
      <c r="N3267" s="106" t="s">
        <v>356</v>
      </c>
      <c r="O3267" s="58" t="s">
        <v>141</v>
      </c>
      <c r="P3267" s="58" t="s">
        <v>19</v>
      </c>
      <c r="Q3267" s="58" t="s">
        <v>109</v>
      </c>
      <c r="R3267" s="58" t="s">
        <v>272</v>
      </c>
    </row>
    <row r="3268" spans="1:18" ht="69" customHeight="1">
      <c r="A3268" s="168"/>
      <c r="B3268" s="171">
        <v>5367</v>
      </c>
      <c r="C3268" s="171" t="s">
        <v>657</v>
      </c>
      <c r="D3268" s="593" t="s">
        <v>2250</v>
      </c>
      <c r="E3268" s="171" t="s">
        <v>409</v>
      </c>
      <c r="F3268" s="594" t="s">
        <v>8687</v>
      </c>
      <c r="G3268" s="100" t="s">
        <v>725</v>
      </c>
      <c r="H3268" s="546">
        <v>0</v>
      </c>
      <c r="I3268" s="96">
        <v>44760</v>
      </c>
      <c r="J3268" s="595" t="s">
        <v>8578</v>
      </c>
      <c r="K3268" s="100"/>
      <c r="L3268" s="99"/>
      <c r="M3268" s="380" t="s">
        <v>8684</v>
      </c>
      <c r="N3268" s="82" t="s">
        <v>716</v>
      </c>
      <c r="O3268" s="100"/>
      <c r="P3268" s="100" t="s">
        <v>28</v>
      </c>
      <c r="Q3268" s="100" t="s">
        <v>109</v>
      </c>
      <c r="R3268" s="46" t="s">
        <v>272</v>
      </c>
    </row>
    <row r="3269" spans="1:18" ht="69" customHeight="1">
      <c r="A3269" s="168"/>
      <c r="B3269" s="191">
        <v>6232</v>
      </c>
      <c r="C3269" s="191" t="s">
        <v>657</v>
      </c>
      <c r="D3269" s="533" t="s">
        <v>3483</v>
      </c>
      <c r="E3269" s="191" t="s">
        <v>358</v>
      </c>
      <c r="F3269" s="211" t="s">
        <v>8688</v>
      </c>
      <c r="G3269" s="46" t="s">
        <v>8689</v>
      </c>
      <c r="H3269" s="534">
        <v>32000</v>
      </c>
      <c r="I3269" s="56">
        <v>44785</v>
      </c>
      <c r="J3269" s="412" t="s">
        <v>8690</v>
      </c>
      <c r="K3269" s="46" t="s">
        <v>167</v>
      </c>
      <c r="L3269" s="99"/>
      <c r="M3269" s="379"/>
      <c r="N3269" s="76" t="s">
        <v>356</v>
      </c>
      <c r="O3269" s="46" t="s">
        <v>141</v>
      </c>
      <c r="P3269" s="46" t="s">
        <v>65</v>
      </c>
      <c r="Q3269" s="46" t="s">
        <v>109</v>
      </c>
      <c r="R3269" s="46" t="s">
        <v>272</v>
      </c>
    </row>
    <row r="3270" spans="1:18" ht="69" customHeight="1">
      <c r="A3270" s="168"/>
      <c r="B3270" s="178">
        <v>5367</v>
      </c>
      <c r="C3270" s="178" t="s">
        <v>8691</v>
      </c>
      <c r="D3270" s="575" t="s">
        <v>3494</v>
      </c>
      <c r="E3270" s="178" t="s">
        <v>755</v>
      </c>
      <c r="F3270" s="210" t="s">
        <v>8692</v>
      </c>
      <c r="G3270" s="58" t="s">
        <v>725</v>
      </c>
      <c r="H3270" s="546">
        <v>822745.74</v>
      </c>
      <c r="I3270" s="66">
        <v>44776</v>
      </c>
      <c r="J3270" s="411" t="s">
        <v>8578</v>
      </c>
      <c r="K3270" s="58" t="s">
        <v>4455</v>
      </c>
      <c r="L3270" s="99"/>
      <c r="M3270" s="70" t="s">
        <v>8684</v>
      </c>
      <c r="N3270" s="97" t="s">
        <v>716</v>
      </c>
      <c r="O3270" s="58"/>
      <c r="P3270" s="58" t="s">
        <v>28</v>
      </c>
      <c r="Q3270" s="58" t="s">
        <v>109</v>
      </c>
      <c r="R3270" s="58" t="s">
        <v>272</v>
      </c>
    </row>
    <row r="3271" spans="1:18" ht="69" customHeight="1">
      <c r="A3271" s="168"/>
      <c r="B3271" s="178">
        <v>6278</v>
      </c>
      <c r="C3271" s="178" t="s">
        <v>657</v>
      </c>
      <c r="D3271" s="581" t="s">
        <v>8693</v>
      </c>
      <c r="E3271" s="178" t="s">
        <v>266</v>
      </c>
      <c r="F3271" s="210" t="s">
        <v>8694</v>
      </c>
      <c r="G3271" s="58" t="s">
        <v>790</v>
      </c>
      <c r="H3271" s="546">
        <v>2281.25</v>
      </c>
      <c r="I3271" s="66">
        <v>44834</v>
      </c>
      <c r="J3271" s="411" t="s">
        <v>8695</v>
      </c>
      <c r="K3271" s="58"/>
      <c r="L3271" s="99"/>
      <c r="M3271" s="70" t="s">
        <v>8674</v>
      </c>
      <c r="N3271" s="97" t="s">
        <v>683</v>
      </c>
      <c r="O3271" s="58" t="s">
        <v>149</v>
      </c>
      <c r="P3271" s="58" t="s">
        <v>46</v>
      </c>
      <c r="Q3271" s="58" t="s">
        <v>109</v>
      </c>
      <c r="R3271" s="58" t="s">
        <v>272</v>
      </c>
    </row>
    <row r="3272" spans="1:18" ht="69" customHeight="1">
      <c r="A3272" s="168"/>
      <c r="B3272" s="178">
        <v>6594</v>
      </c>
      <c r="C3272" s="178" t="s">
        <v>657</v>
      </c>
      <c r="D3272" s="575" t="s">
        <v>989</v>
      </c>
      <c r="E3272" s="178" t="s">
        <v>409</v>
      </c>
      <c r="F3272" s="210" t="s">
        <v>8696</v>
      </c>
      <c r="G3272" s="58" t="s">
        <v>738</v>
      </c>
      <c r="H3272" s="546">
        <v>37325.61</v>
      </c>
      <c r="I3272" s="66">
        <v>44813</v>
      </c>
      <c r="J3272" s="411" t="s">
        <v>8697</v>
      </c>
      <c r="K3272" s="58"/>
      <c r="L3272" s="99"/>
      <c r="M3272" s="70" t="s">
        <v>8698</v>
      </c>
      <c r="N3272" s="97" t="s">
        <v>741</v>
      </c>
      <c r="O3272" s="45" t="s">
        <v>154</v>
      </c>
      <c r="P3272" s="58" t="s">
        <v>59</v>
      </c>
      <c r="Q3272" s="58" t="s">
        <v>109</v>
      </c>
      <c r="R3272" s="58" t="s">
        <v>272</v>
      </c>
    </row>
    <row r="3273" spans="1:18" ht="69" customHeight="1">
      <c r="A3273" s="168"/>
      <c r="B3273" s="178">
        <v>7550</v>
      </c>
      <c r="C3273" s="178" t="s">
        <v>657</v>
      </c>
      <c r="D3273" s="575" t="s">
        <v>746</v>
      </c>
      <c r="E3273" s="178" t="s">
        <v>741</v>
      </c>
      <c r="F3273" s="210" t="s">
        <v>8699</v>
      </c>
      <c r="G3273" s="58" t="s">
        <v>8700</v>
      </c>
      <c r="H3273" s="546">
        <v>24883.74</v>
      </c>
      <c r="I3273" s="66">
        <v>44888</v>
      </c>
      <c r="J3273" s="411" t="s">
        <v>4782</v>
      </c>
      <c r="K3273" s="58"/>
      <c r="L3273" s="99"/>
      <c r="M3273" s="70" t="s">
        <v>8698</v>
      </c>
      <c r="N3273" s="97" t="s">
        <v>741</v>
      </c>
      <c r="O3273" s="45" t="s">
        <v>154</v>
      </c>
      <c r="P3273" s="58" t="s">
        <v>59</v>
      </c>
      <c r="Q3273" s="58" t="s">
        <v>109</v>
      </c>
      <c r="R3273" s="58" t="s">
        <v>272</v>
      </c>
    </row>
    <row r="3274" spans="1:18" ht="69" customHeight="1">
      <c r="A3274" s="168"/>
      <c r="B3274" s="178">
        <v>7605</v>
      </c>
      <c r="C3274" s="178" t="s">
        <v>657</v>
      </c>
      <c r="D3274" s="575" t="s">
        <v>8701</v>
      </c>
      <c r="E3274" s="178" t="s">
        <v>358</v>
      </c>
      <c r="F3274" s="210" t="s">
        <v>8702</v>
      </c>
      <c r="G3274" s="58" t="s">
        <v>7867</v>
      </c>
      <c r="H3274" s="546">
        <v>150000</v>
      </c>
      <c r="I3274" s="66">
        <v>44890</v>
      </c>
      <c r="J3274" s="411" t="s">
        <v>795</v>
      </c>
      <c r="K3274" s="58"/>
      <c r="L3274" s="99"/>
      <c r="M3274" s="384" t="s">
        <v>8634</v>
      </c>
      <c r="N3274" s="106" t="s">
        <v>356</v>
      </c>
      <c r="O3274" s="58" t="s">
        <v>141</v>
      </c>
      <c r="P3274" s="58" t="s">
        <v>19</v>
      </c>
      <c r="Q3274" s="58" t="s">
        <v>109</v>
      </c>
      <c r="R3274" s="58" t="s">
        <v>272</v>
      </c>
    </row>
    <row r="3275" spans="1:18" s="117" customFormat="1" ht="69" customHeight="1">
      <c r="A3275" s="168"/>
      <c r="B3275" s="178">
        <v>7027</v>
      </c>
      <c r="C3275" s="178" t="s">
        <v>8703</v>
      </c>
      <c r="D3275" s="575" t="s">
        <v>8704</v>
      </c>
      <c r="E3275" s="178" t="s">
        <v>755</v>
      </c>
      <c r="F3275" s="210" t="s">
        <v>8705</v>
      </c>
      <c r="G3275" s="58" t="s">
        <v>772</v>
      </c>
      <c r="H3275" s="546">
        <v>1166345.1299999999</v>
      </c>
      <c r="I3275" s="66">
        <v>44853</v>
      </c>
      <c r="J3275" s="411" t="s">
        <v>8706</v>
      </c>
      <c r="K3275" s="58" t="s">
        <v>4472</v>
      </c>
      <c r="L3275" s="99"/>
      <c r="M3275" s="70" t="s">
        <v>8684</v>
      </c>
      <c r="N3275" s="97" t="s">
        <v>716</v>
      </c>
      <c r="O3275" s="58"/>
      <c r="P3275" s="58" t="s">
        <v>28</v>
      </c>
      <c r="Q3275" s="58" t="s">
        <v>109</v>
      </c>
      <c r="R3275" s="58" t="s">
        <v>272</v>
      </c>
    </row>
    <row r="3276" spans="1:18" s="117" customFormat="1" ht="69" customHeight="1">
      <c r="A3276" s="168"/>
      <c r="B3276" s="178">
        <v>7028</v>
      </c>
      <c r="C3276" s="178" t="s">
        <v>8703</v>
      </c>
      <c r="D3276" s="575" t="s">
        <v>3420</v>
      </c>
      <c r="E3276" s="178" t="s">
        <v>755</v>
      </c>
      <c r="F3276" s="210" t="s">
        <v>8707</v>
      </c>
      <c r="G3276" s="58" t="s">
        <v>772</v>
      </c>
      <c r="H3276" s="546">
        <v>9005.93</v>
      </c>
      <c r="I3276" s="66">
        <v>44853</v>
      </c>
      <c r="J3276" s="411" t="s">
        <v>8706</v>
      </c>
      <c r="K3276" s="58"/>
      <c r="L3276" s="99"/>
      <c r="M3276" s="70" t="s">
        <v>8684</v>
      </c>
      <c r="N3276" s="97" t="s">
        <v>716</v>
      </c>
      <c r="O3276" s="58"/>
      <c r="P3276" s="58" t="s">
        <v>28</v>
      </c>
      <c r="Q3276" s="58" t="s">
        <v>109</v>
      </c>
      <c r="R3276" s="58" t="s">
        <v>272</v>
      </c>
    </row>
    <row r="3277" spans="1:18" s="117" customFormat="1" ht="69" customHeight="1">
      <c r="A3277" s="168"/>
      <c r="B3277" s="178">
        <v>6472</v>
      </c>
      <c r="C3277" s="178" t="s">
        <v>8703</v>
      </c>
      <c r="D3277" s="575" t="s">
        <v>2986</v>
      </c>
      <c r="E3277" s="178" t="s">
        <v>755</v>
      </c>
      <c r="F3277" s="210" t="s">
        <v>8708</v>
      </c>
      <c r="G3277" s="58" t="s">
        <v>787</v>
      </c>
      <c r="H3277" s="546">
        <v>352605.32</v>
      </c>
      <c r="I3277" s="66">
        <v>44804</v>
      </c>
      <c r="J3277" s="411" t="s">
        <v>8557</v>
      </c>
      <c r="K3277" s="58" t="s">
        <v>4472</v>
      </c>
      <c r="L3277" s="99"/>
      <c r="M3277" s="70" t="s">
        <v>8684</v>
      </c>
      <c r="N3277" s="97" t="s">
        <v>716</v>
      </c>
      <c r="O3277" s="58"/>
      <c r="P3277" s="58" t="s">
        <v>28</v>
      </c>
      <c r="Q3277" s="58" t="s">
        <v>109</v>
      </c>
      <c r="R3277" s="58" t="s">
        <v>272</v>
      </c>
    </row>
    <row r="3278" spans="1:18" ht="69" customHeight="1">
      <c r="A3278" s="168"/>
      <c r="B3278" s="178">
        <v>7427</v>
      </c>
      <c r="C3278" s="178" t="s">
        <v>8703</v>
      </c>
      <c r="D3278" s="575" t="s">
        <v>6855</v>
      </c>
      <c r="E3278" s="178" t="s">
        <v>809</v>
      </c>
      <c r="F3278" s="210" t="s">
        <v>8709</v>
      </c>
      <c r="G3278" s="58" t="s">
        <v>811</v>
      </c>
      <c r="H3278" s="546">
        <v>15000.3</v>
      </c>
      <c r="I3278" s="66">
        <v>44879</v>
      </c>
      <c r="J3278" s="411" t="s">
        <v>812</v>
      </c>
      <c r="K3278" s="58"/>
      <c r="L3278" s="99"/>
      <c r="M3278" s="70" t="s">
        <v>8710</v>
      </c>
      <c r="N3278" s="97" t="s">
        <v>814</v>
      </c>
      <c r="O3278" s="58" t="s">
        <v>8711</v>
      </c>
      <c r="P3278" s="58" t="s">
        <v>36</v>
      </c>
      <c r="Q3278" s="58" t="s">
        <v>109</v>
      </c>
      <c r="R3278" s="58" t="s">
        <v>272</v>
      </c>
    </row>
    <row r="3279" spans="1:18" s="117" customFormat="1" ht="69" customHeight="1">
      <c r="A3279" s="168"/>
      <c r="B3279" s="178">
        <v>7495</v>
      </c>
      <c r="C3279" s="178" t="s">
        <v>8703</v>
      </c>
      <c r="D3279" s="575" t="s">
        <v>6280</v>
      </c>
      <c r="E3279" s="178" t="s">
        <v>755</v>
      </c>
      <c r="F3279" s="210" t="s">
        <v>8712</v>
      </c>
      <c r="G3279" s="58" t="s">
        <v>1631</v>
      </c>
      <c r="H3279" s="546">
        <v>524512.46</v>
      </c>
      <c r="I3279" s="66">
        <v>44879</v>
      </c>
      <c r="J3279" s="411" t="s">
        <v>1337</v>
      </c>
      <c r="K3279" s="58"/>
      <c r="L3279" s="99"/>
      <c r="M3279" s="70" t="s">
        <v>8684</v>
      </c>
      <c r="N3279" s="97" t="s">
        <v>716</v>
      </c>
      <c r="O3279" s="58"/>
      <c r="P3279" s="58" t="s">
        <v>28</v>
      </c>
      <c r="Q3279" s="58" t="s">
        <v>109</v>
      </c>
      <c r="R3279" s="58" t="s">
        <v>272</v>
      </c>
    </row>
    <row r="3280" spans="1:18" s="117" customFormat="1" ht="69" customHeight="1">
      <c r="A3280" s="168"/>
      <c r="B3280" s="178">
        <v>6687</v>
      </c>
      <c r="C3280" s="178" t="s">
        <v>8703</v>
      </c>
      <c r="D3280" s="575" t="s">
        <v>999</v>
      </c>
      <c r="E3280" s="178" t="s">
        <v>755</v>
      </c>
      <c r="F3280" s="210" t="s">
        <v>8713</v>
      </c>
      <c r="G3280" s="58" t="s">
        <v>1596</v>
      </c>
      <c r="H3280" s="546">
        <v>1175351.06</v>
      </c>
      <c r="I3280" s="66">
        <v>44823</v>
      </c>
      <c r="J3280" s="411" t="s">
        <v>8714</v>
      </c>
      <c r="K3280" s="58" t="s">
        <v>4465</v>
      </c>
      <c r="L3280" s="99"/>
      <c r="M3280" s="70" t="s">
        <v>8684</v>
      </c>
      <c r="N3280" s="97" t="s">
        <v>716</v>
      </c>
      <c r="O3280" s="58"/>
      <c r="P3280" s="58" t="s">
        <v>28</v>
      </c>
      <c r="Q3280" s="58" t="s">
        <v>109</v>
      </c>
      <c r="R3280" s="58" t="s">
        <v>272</v>
      </c>
    </row>
    <row r="3281" spans="1:18" s="117" customFormat="1" ht="69" customHeight="1">
      <c r="A3281" s="168"/>
      <c r="B3281" s="178">
        <v>8253</v>
      </c>
      <c r="C3281" s="178" t="s">
        <v>8703</v>
      </c>
      <c r="D3281" s="575" t="s">
        <v>5319</v>
      </c>
      <c r="E3281" s="178" t="s">
        <v>755</v>
      </c>
      <c r="F3281" s="210" t="s">
        <v>8715</v>
      </c>
      <c r="G3281" s="58" t="s">
        <v>4502</v>
      </c>
      <c r="H3281" s="546">
        <v>879976.49</v>
      </c>
      <c r="I3281" s="66">
        <v>44965</v>
      </c>
      <c r="J3281" s="411" t="s">
        <v>8716</v>
      </c>
      <c r="K3281" s="58"/>
      <c r="L3281" s="99"/>
      <c r="M3281" s="70" t="s">
        <v>8684</v>
      </c>
      <c r="N3281" s="97" t="s">
        <v>716</v>
      </c>
      <c r="O3281" s="58"/>
      <c r="P3281" s="58" t="s">
        <v>28</v>
      </c>
      <c r="Q3281" s="58" t="s">
        <v>109</v>
      </c>
      <c r="R3281" s="58" t="s">
        <v>272</v>
      </c>
    </row>
    <row r="3282" spans="1:18" ht="69" customHeight="1">
      <c r="A3282" s="168"/>
      <c r="B3282" s="178">
        <v>8663</v>
      </c>
      <c r="C3282" s="178" t="s">
        <v>8703</v>
      </c>
      <c r="D3282" s="575" t="s">
        <v>3755</v>
      </c>
      <c r="E3282" s="178" t="s">
        <v>809</v>
      </c>
      <c r="F3282" s="210" t="s">
        <v>8717</v>
      </c>
      <c r="G3282" s="58" t="s">
        <v>823</v>
      </c>
      <c r="H3282" s="546">
        <v>15999.9</v>
      </c>
      <c r="I3282" s="66">
        <v>44949</v>
      </c>
      <c r="J3282" s="411" t="s">
        <v>824</v>
      </c>
      <c r="K3282" s="58"/>
      <c r="L3282" s="99"/>
      <c r="M3282" s="70" t="s">
        <v>8710</v>
      </c>
      <c r="N3282" s="97" t="s">
        <v>814</v>
      </c>
      <c r="O3282" s="58"/>
      <c r="P3282" s="58" t="s">
        <v>36</v>
      </c>
      <c r="Q3282" s="58" t="s">
        <v>109</v>
      </c>
      <c r="R3282" s="58" t="s">
        <v>272</v>
      </c>
    </row>
    <row r="3283" spans="1:18" s="117" customFormat="1" ht="69" customHeight="1">
      <c r="A3283" s="168"/>
      <c r="B3283" s="178">
        <v>8257</v>
      </c>
      <c r="C3283" s="178" t="s">
        <v>8703</v>
      </c>
      <c r="D3283" s="575" t="s">
        <v>3776</v>
      </c>
      <c r="E3283" s="178" t="s">
        <v>755</v>
      </c>
      <c r="F3283" s="210" t="s">
        <v>8718</v>
      </c>
      <c r="G3283" s="58" t="s">
        <v>8719</v>
      </c>
      <c r="H3283" s="546">
        <v>295374.57</v>
      </c>
      <c r="I3283" s="66">
        <v>44965</v>
      </c>
      <c r="J3283" s="411" t="s">
        <v>8720</v>
      </c>
      <c r="K3283" s="58"/>
      <c r="L3283" s="99"/>
      <c r="M3283" s="70" t="s">
        <v>8684</v>
      </c>
      <c r="N3283" s="97" t="s">
        <v>716</v>
      </c>
      <c r="O3283" s="58"/>
      <c r="P3283" s="58" t="s">
        <v>28</v>
      </c>
      <c r="Q3283" s="58" t="s">
        <v>109</v>
      </c>
      <c r="R3283" s="58" t="s">
        <v>272</v>
      </c>
    </row>
    <row r="3284" spans="1:18" ht="69" customHeight="1">
      <c r="A3284" s="168"/>
      <c r="B3284" s="178">
        <v>8677</v>
      </c>
      <c r="C3284" s="178" t="s">
        <v>8721</v>
      </c>
      <c r="D3284" s="575" t="s">
        <v>3073</v>
      </c>
      <c r="E3284" s="178" t="s">
        <v>1372</v>
      </c>
      <c r="F3284" s="210" t="s">
        <v>8722</v>
      </c>
      <c r="G3284" s="58" t="s">
        <v>8723</v>
      </c>
      <c r="H3284" s="546">
        <v>74417.600000000006</v>
      </c>
      <c r="I3284" s="66">
        <v>44967</v>
      </c>
      <c r="J3284" s="411" t="s">
        <v>8592</v>
      </c>
      <c r="K3284" s="58"/>
      <c r="L3284" s="99"/>
      <c r="M3284" s="70" t="s">
        <v>8724</v>
      </c>
      <c r="N3284" s="97" t="s">
        <v>1372</v>
      </c>
      <c r="O3284" s="58"/>
      <c r="P3284" s="58" t="s">
        <v>57</v>
      </c>
      <c r="Q3284" s="58" t="s">
        <v>109</v>
      </c>
      <c r="R3284" s="58" t="s">
        <v>272</v>
      </c>
    </row>
    <row r="3285" spans="1:18" s="117" customFormat="1" ht="69" customHeight="1">
      <c r="A3285" s="168"/>
      <c r="B3285" s="178">
        <v>8913</v>
      </c>
      <c r="C3285" s="178" t="s">
        <v>8703</v>
      </c>
      <c r="D3285" s="575" t="s">
        <v>1794</v>
      </c>
      <c r="E3285" s="178" t="s">
        <v>755</v>
      </c>
      <c r="F3285" s="210" t="s">
        <v>8725</v>
      </c>
      <c r="G3285" s="58" t="s">
        <v>8726</v>
      </c>
      <c r="H3285" s="546">
        <v>147687.29</v>
      </c>
      <c r="I3285" s="66">
        <v>44984</v>
      </c>
      <c r="J3285" s="411" t="s">
        <v>8600</v>
      </c>
      <c r="K3285" s="58"/>
      <c r="L3285" s="99"/>
      <c r="M3285" s="70" t="s">
        <v>8684</v>
      </c>
      <c r="N3285" s="97" t="s">
        <v>716</v>
      </c>
      <c r="O3285" s="58"/>
      <c r="P3285" s="58" t="s">
        <v>28</v>
      </c>
      <c r="Q3285" s="58" t="s">
        <v>109</v>
      </c>
      <c r="R3285" s="58" t="s">
        <v>272</v>
      </c>
    </row>
    <row r="3286" spans="1:18" ht="69" customHeight="1">
      <c r="A3286" s="168"/>
      <c r="B3286" s="191">
        <v>8926</v>
      </c>
      <c r="C3286" s="191" t="s">
        <v>8703</v>
      </c>
      <c r="D3286" s="533" t="s">
        <v>3061</v>
      </c>
      <c r="E3286" s="191" t="s">
        <v>755</v>
      </c>
      <c r="F3286" s="211" t="s">
        <v>8727</v>
      </c>
      <c r="G3286" s="46" t="s">
        <v>8604</v>
      </c>
      <c r="H3286" s="534">
        <v>9656</v>
      </c>
      <c r="I3286" s="56">
        <v>45000</v>
      </c>
      <c r="J3286" s="412" t="s">
        <v>8605</v>
      </c>
      <c r="K3286" s="46" t="s">
        <v>8728</v>
      </c>
      <c r="L3286" s="99"/>
      <c r="M3286" s="70" t="s">
        <v>8684</v>
      </c>
      <c r="N3286" s="97" t="s">
        <v>716</v>
      </c>
      <c r="O3286" s="46"/>
      <c r="P3286" s="46" t="s">
        <v>65</v>
      </c>
      <c r="Q3286" s="46" t="s">
        <v>109</v>
      </c>
      <c r="R3286" s="46" t="s">
        <v>272</v>
      </c>
    </row>
    <row r="3287" spans="1:18" ht="69" customHeight="1">
      <c r="A3287" s="168"/>
      <c r="B3287" s="178">
        <v>8845</v>
      </c>
      <c r="C3287" s="178" t="s">
        <v>8703</v>
      </c>
      <c r="D3287" s="575" t="s">
        <v>8342</v>
      </c>
      <c r="E3287" s="178" t="s">
        <v>809</v>
      </c>
      <c r="F3287" s="210" t="s">
        <v>8729</v>
      </c>
      <c r="G3287" s="58" t="s">
        <v>845</v>
      </c>
      <c r="H3287" s="546">
        <v>10999.8</v>
      </c>
      <c r="I3287" s="66">
        <v>44948</v>
      </c>
      <c r="J3287" s="411" t="s">
        <v>846</v>
      </c>
      <c r="K3287" s="58"/>
      <c r="L3287" s="99"/>
      <c r="M3287" s="70" t="s">
        <v>8710</v>
      </c>
      <c r="N3287" s="97" t="s">
        <v>814</v>
      </c>
      <c r="O3287" s="58"/>
      <c r="P3287" s="58" t="s">
        <v>36</v>
      </c>
      <c r="Q3287" s="58" t="s">
        <v>109</v>
      </c>
      <c r="R3287" s="58" t="s">
        <v>272</v>
      </c>
    </row>
    <row r="3288" spans="1:18" ht="69" customHeight="1">
      <c r="A3288" s="168"/>
      <c r="B3288" s="191">
        <v>9087</v>
      </c>
      <c r="C3288" s="191" t="s">
        <v>8703</v>
      </c>
      <c r="D3288" s="533" t="s">
        <v>3229</v>
      </c>
      <c r="E3288" s="191" t="s">
        <v>755</v>
      </c>
      <c r="F3288" s="211" t="s">
        <v>8730</v>
      </c>
      <c r="G3288" s="46" t="s">
        <v>4808</v>
      </c>
      <c r="H3288" s="534">
        <v>40479.85</v>
      </c>
      <c r="I3288" s="56">
        <v>45000</v>
      </c>
      <c r="J3288" s="412" t="s">
        <v>4809</v>
      </c>
      <c r="K3288" s="46" t="s">
        <v>8728</v>
      </c>
      <c r="L3288" s="99"/>
      <c r="M3288" s="379" t="s">
        <v>8684</v>
      </c>
      <c r="N3288" s="76" t="s">
        <v>716</v>
      </c>
      <c r="O3288" s="46" t="s">
        <v>8731</v>
      </c>
      <c r="P3288" s="46" t="s">
        <v>65</v>
      </c>
      <c r="Q3288" s="46" t="s">
        <v>109</v>
      </c>
      <c r="R3288" s="46" t="s">
        <v>272</v>
      </c>
    </row>
    <row r="3289" spans="1:18" ht="69" customHeight="1">
      <c r="A3289" s="168"/>
      <c r="B3289" s="178">
        <v>9012</v>
      </c>
      <c r="C3289" s="178" t="s">
        <v>8703</v>
      </c>
      <c r="D3289" s="575" t="s">
        <v>1119</v>
      </c>
      <c r="E3289" s="178" t="s">
        <v>809</v>
      </c>
      <c r="F3289" s="210" t="s">
        <v>8732</v>
      </c>
      <c r="G3289" s="58" t="s">
        <v>863</v>
      </c>
      <c r="H3289" s="546">
        <v>7000</v>
      </c>
      <c r="I3289" s="66" t="s">
        <v>96</v>
      </c>
      <c r="J3289" s="411" t="s">
        <v>864</v>
      </c>
      <c r="K3289" s="58"/>
      <c r="L3289" s="99"/>
      <c r="M3289" s="70" t="s">
        <v>8710</v>
      </c>
      <c r="N3289" s="97" t="s">
        <v>814</v>
      </c>
      <c r="O3289" s="58"/>
      <c r="P3289" s="58" t="s">
        <v>36</v>
      </c>
      <c r="Q3289" s="58" t="s">
        <v>109</v>
      </c>
      <c r="R3289" s="58" t="s">
        <v>272</v>
      </c>
    </row>
    <row r="3290" spans="1:18" ht="69" customHeight="1">
      <c r="A3290" s="168"/>
      <c r="B3290" s="178">
        <v>9725</v>
      </c>
      <c r="C3290" s="178" t="s">
        <v>8703</v>
      </c>
      <c r="D3290" s="575" t="s">
        <v>3242</v>
      </c>
      <c r="E3290" s="178" t="s">
        <v>1372</v>
      </c>
      <c r="F3290" s="210" t="s">
        <v>8733</v>
      </c>
      <c r="G3290" s="58" t="s">
        <v>8734</v>
      </c>
      <c r="H3290" s="546">
        <v>74417.600000000006</v>
      </c>
      <c r="I3290" s="66">
        <v>45041</v>
      </c>
      <c r="J3290" s="411" t="s">
        <v>8735</v>
      </c>
      <c r="K3290" s="58"/>
      <c r="L3290" s="99"/>
      <c r="M3290" s="70" t="s">
        <v>8724</v>
      </c>
      <c r="N3290" s="97" t="s">
        <v>1372</v>
      </c>
      <c r="O3290" s="58"/>
      <c r="P3290" s="58" t="s">
        <v>57</v>
      </c>
      <c r="Q3290" s="58" t="s">
        <v>109</v>
      </c>
      <c r="R3290" s="58" t="s">
        <v>272</v>
      </c>
    </row>
    <row r="3291" spans="1:18" ht="69" customHeight="1">
      <c r="A3291" s="168"/>
      <c r="B3291" s="178">
        <v>9713</v>
      </c>
      <c r="C3291" s="178" t="s">
        <v>8703</v>
      </c>
      <c r="D3291" s="575" t="s">
        <v>8736</v>
      </c>
      <c r="E3291" s="178" t="s">
        <v>809</v>
      </c>
      <c r="F3291" s="210" t="s">
        <v>8732</v>
      </c>
      <c r="G3291" s="58" t="s">
        <v>874</v>
      </c>
      <c r="H3291" s="546">
        <v>1999.9</v>
      </c>
      <c r="I3291" s="66" t="s">
        <v>96</v>
      </c>
      <c r="J3291" s="411" t="s">
        <v>875</v>
      </c>
      <c r="K3291" s="58"/>
      <c r="L3291" s="99"/>
      <c r="M3291" s="70" t="s">
        <v>8710</v>
      </c>
      <c r="N3291" s="97" t="s">
        <v>814</v>
      </c>
      <c r="O3291" s="58"/>
      <c r="P3291" s="58" t="s">
        <v>36</v>
      </c>
      <c r="Q3291" s="58" t="s">
        <v>109</v>
      </c>
      <c r="R3291" s="58" t="s">
        <v>272</v>
      </c>
    </row>
    <row r="3292" spans="1:18" ht="69" customHeight="1">
      <c r="A3292" s="168"/>
      <c r="B3292" s="178"/>
      <c r="C3292" s="178" t="s">
        <v>657</v>
      </c>
      <c r="D3292" s="575"/>
      <c r="E3292" s="178" t="s">
        <v>266</v>
      </c>
      <c r="F3292" s="210" t="s">
        <v>8737</v>
      </c>
      <c r="G3292" s="58"/>
      <c r="H3292" s="546">
        <v>5553.33</v>
      </c>
      <c r="I3292" s="66">
        <v>44484</v>
      </c>
      <c r="J3292" s="411" t="s">
        <v>8614</v>
      </c>
      <c r="K3292" s="58"/>
      <c r="L3292" s="99"/>
      <c r="M3292" s="70" t="s">
        <v>8738</v>
      </c>
      <c r="N3292" s="97" t="s">
        <v>270</v>
      </c>
      <c r="O3292" s="58"/>
      <c r="P3292" s="58" t="s">
        <v>44</v>
      </c>
      <c r="Q3292" s="58" t="s">
        <v>110</v>
      </c>
      <c r="R3292" s="58" t="s">
        <v>272</v>
      </c>
    </row>
    <row r="3293" spans="1:18" ht="69" customHeight="1">
      <c r="A3293" s="168"/>
      <c r="B3293" s="178">
        <v>6004</v>
      </c>
      <c r="C3293" s="178" t="s">
        <v>657</v>
      </c>
      <c r="D3293" s="575" t="s">
        <v>8739</v>
      </c>
      <c r="E3293" s="178" t="s">
        <v>350</v>
      </c>
      <c r="F3293" s="210" t="s">
        <v>8740</v>
      </c>
      <c r="G3293" s="58" t="s">
        <v>352</v>
      </c>
      <c r="H3293" s="552">
        <v>26788.26</v>
      </c>
      <c r="I3293" s="66">
        <v>44768</v>
      </c>
      <c r="J3293" s="411" t="s">
        <v>8741</v>
      </c>
      <c r="K3293" s="58" t="s">
        <v>705</v>
      </c>
      <c r="L3293" s="99"/>
      <c r="M3293" s="70" t="s">
        <v>8742</v>
      </c>
      <c r="N3293" s="97" t="s">
        <v>356</v>
      </c>
      <c r="O3293" s="58" t="s">
        <v>141</v>
      </c>
      <c r="P3293" s="58" t="s">
        <v>19</v>
      </c>
      <c r="Q3293" s="58" t="s">
        <v>110</v>
      </c>
      <c r="R3293" s="58" t="s">
        <v>265</v>
      </c>
    </row>
    <row r="3294" spans="1:18" ht="69" customHeight="1">
      <c r="A3294" s="168"/>
      <c r="B3294" s="178"/>
      <c r="C3294" s="178" t="s">
        <v>657</v>
      </c>
      <c r="D3294" s="575"/>
      <c r="E3294" s="178" t="s">
        <v>266</v>
      </c>
      <c r="F3294" s="210" t="s">
        <v>8743</v>
      </c>
      <c r="G3294" s="58"/>
      <c r="H3294" s="546">
        <v>1388.33</v>
      </c>
      <c r="I3294" s="66">
        <v>44456</v>
      </c>
      <c r="J3294" s="411" t="s">
        <v>7233</v>
      </c>
      <c r="K3294" s="58"/>
      <c r="L3294" s="99"/>
      <c r="M3294" s="70" t="s">
        <v>8738</v>
      </c>
      <c r="N3294" s="97" t="s">
        <v>270</v>
      </c>
      <c r="O3294" s="58"/>
      <c r="P3294" s="58" t="s">
        <v>44</v>
      </c>
      <c r="Q3294" s="58" t="s">
        <v>110</v>
      </c>
      <c r="R3294" s="58" t="s">
        <v>272</v>
      </c>
    </row>
    <row r="3295" spans="1:18" ht="69" customHeight="1">
      <c r="A3295" s="168"/>
      <c r="B3295" s="178"/>
      <c r="C3295" s="178" t="s">
        <v>657</v>
      </c>
      <c r="D3295" s="575"/>
      <c r="E3295" s="178" t="s">
        <v>266</v>
      </c>
      <c r="F3295" s="210" t="s">
        <v>8743</v>
      </c>
      <c r="G3295" s="58"/>
      <c r="H3295" s="546">
        <v>1388.33</v>
      </c>
      <c r="I3295" s="66">
        <v>44456</v>
      </c>
      <c r="J3295" s="411" t="s">
        <v>7235</v>
      </c>
      <c r="K3295" s="58"/>
      <c r="L3295" s="99"/>
      <c r="M3295" s="70" t="s">
        <v>8738</v>
      </c>
      <c r="N3295" s="97" t="s">
        <v>270</v>
      </c>
      <c r="O3295" s="58"/>
      <c r="P3295" s="58" t="s">
        <v>44</v>
      </c>
      <c r="Q3295" s="58" t="s">
        <v>110</v>
      </c>
      <c r="R3295" s="58" t="s">
        <v>272</v>
      </c>
    </row>
    <row r="3296" spans="1:18" ht="69" customHeight="1">
      <c r="A3296" s="168"/>
      <c r="B3296" s="178">
        <v>2573</v>
      </c>
      <c r="C3296" s="178" t="s">
        <v>309</v>
      </c>
      <c r="D3296" s="575" t="s">
        <v>5566</v>
      </c>
      <c r="E3296" s="178" t="s">
        <v>266</v>
      </c>
      <c r="F3296" s="210" t="s">
        <v>8744</v>
      </c>
      <c r="G3296" s="58" t="s">
        <v>5560</v>
      </c>
      <c r="H3296" s="546">
        <v>7060</v>
      </c>
      <c r="I3296" s="66">
        <v>44540</v>
      </c>
      <c r="J3296" s="411" t="s">
        <v>8745</v>
      </c>
      <c r="K3296" s="58"/>
      <c r="L3296" s="99"/>
      <c r="M3296" s="70" t="s">
        <v>8738</v>
      </c>
      <c r="N3296" s="97" t="s">
        <v>270</v>
      </c>
      <c r="O3296" s="58"/>
      <c r="P3296" s="58" t="s">
        <v>44</v>
      </c>
      <c r="Q3296" s="58" t="s">
        <v>110</v>
      </c>
      <c r="R3296" s="58" t="s">
        <v>272</v>
      </c>
    </row>
    <row r="3297" spans="1:18" ht="69" customHeight="1">
      <c r="A3297" s="168"/>
      <c r="B3297" s="178" t="s">
        <v>8746</v>
      </c>
      <c r="C3297" s="178" t="s">
        <v>657</v>
      </c>
      <c r="D3297" s="575"/>
      <c r="E3297" s="178" t="s">
        <v>350</v>
      </c>
      <c r="F3297" s="210" t="s">
        <v>8747</v>
      </c>
      <c r="G3297" s="58" t="s">
        <v>7080</v>
      </c>
      <c r="H3297" s="546">
        <v>5362.8</v>
      </c>
      <c r="I3297" s="66" t="s">
        <v>96</v>
      </c>
      <c r="J3297" s="411" t="s">
        <v>7081</v>
      </c>
      <c r="K3297" s="58" t="s">
        <v>705</v>
      </c>
      <c r="L3297" s="99"/>
      <c r="M3297" s="70" t="s">
        <v>8742</v>
      </c>
      <c r="N3297" s="97" t="s">
        <v>356</v>
      </c>
      <c r="O3297" s="58" t="s">
        <v>141</v>
      </c>
      <c r="P3297" s="58" t="s">
        <v>19</v>
      </c>
      <c r="Q3297" s="58" t="s">
        <v>110</v>
      </c>
      <c r="R3297" s="58" t="s">
        <v>265</v>
      </c>
    </row>
    <row r="3298" spans="1:18" ht="69" customHeight="1">
      <c r="A3298" s="168"/>
      <c r="B3298" s="191">
        <v>3003</v>
      </c>
      <c r="C3298" s="191" t="s">
        <v>657</v>
      </c>
      <c r="D3298" s="533" t="s">
        <v>1499</v>
      </c>
      <c r="E3298" s="191" t="s">
        <v>331</v>
      </c>
      <c r="F3298" s="211" t="s">
        <v>8748</v>
      </c>
      <c r="G3298" s="46" t="s">
        <v>4416</v>
      </c>
      <c r="H3298" s="534">
        <v>0</v>
      </c>
      <c r="I3298" s="56" t="s">
        <v>96</v>
      </c>
      <c r="J3298" s="412" t="s">
        <v>334</v>
      </c>
      <c r="K3298" s="46"/>
      <c r="L3298" s="99"/>
      <c r="M3298" s="379"/>
      <c r="N3298" s="76" t="s">
        <v>69</v>
      </c>
      <c r="O3298" s="46"/>
      <c r="P3298" s="46" t="s">
        <v>69</v>
      </c>
      <c r="Q3298" s="46" t="s">
        <v>110</v>
      </c>
      <c r="R3298" s="46" t="s">
        <v>272</v>
      </c>
    </row>
    <row r="3299" spans="1:18" ht="69" customHeight="1">
      <c r="A3299" s="168"/>
      <c r="B3299" s="178">
        <v>4360</v>
      </c>
      <c r="C3299" s="178" t="s">
        <v>657</v>
      </c>
      <c r="D3299" s="575"/>
      <c r="E3299" s="178" t="s">
        <v>8521</v>
      </c>
      <c r="F3299" s="210" t="s">
        <v>8749</v>
      </c>
      <c r="G3299" s="58"/>
      <c r="H3299" s="546">
        <v>628.24</v>
      </c>
      <c r="I3299" s="66">
        <v>44435</v>
      </c>
      <c r="J3299" s="411" t="s">
        <v>294</v>
      </c>
      <c r="K3299" s="58"/>
      <c r="L3299" s="99"/>
      <c r="M3299" s="70" t="s">
        <v>8738</v>
      </c>
      <c r="N3299" s="97" t="s">
        <v>270</v>
      </c>
      <c r="O3299" s="58"/>
      <c r="P3299" s="58" t="s">
        <v>44</v>
      </c>
      <c r="Q3299" s="58" t="s">
        <v>110</v>
      </c>
      <c r="R3299" s="58" t="s">
        <v>272</v>
      </c>
    </row>
    <row r="3300" spans="1:18" ht="69" customHeight="1">
      <c r="A3300" s="168"/>
      <c r="B3300" s="178">
        <v>4361</v>
      </c>
      <c r="C3300" s="178" t="s">
        <v>657</v>
      </c>
      <c r="D3300" s="575"/>
      <c r="E3300" s="178" t="s">
        <v>8521</v>
      </c>
      <c r="F3300" s="210" t="s">
        <v>8749</v>
      </c>
      <c r="G3300" s="58"/>
      <c r="H3300" s="546">
        <v>1815.26</v>
      </c>
      <c r="I3300" s="66">
        <v>44435</v>
      </c>
      <c r="J3300" s="411" t="s">
        <v>294</v>
      </c>
      <c r="K3300" s="58"/>
      <c r="L3300" s="99"/>
      <c r="M3300" s="70" t="s">
        <v>8738</v>
      </c>
      <c r="N3300" s="97" t="s">
        <v>270</v>
      </c>
      <c r="O3300" s="58"/>
      <c r="P3300" s="58" t="s">
        <v>44</v>
      </c>
      <c r="Q3300" s="58" t="s">
        <v>110</v>
      </c>
      <c r="R3300" s="58" t="s">
        <v>272</v>
      </c>
    </row>
    <row r="3301" spans="1:18" ht="69" customHeight="1">
      <c r="A3301" s="168"/>
      <c r="B3301" s="178">
        <v>4362</v>
      </c>
      <c r="C3301" s="178" t="s">
        <v>657</v>
      </c>
      <c r="D3301" s="575"/>
      <c r="E3301" s="178" t="s">
        <v>8521</v>
      </c>
      <c r="F3301" s="210" t="s">
        <v>8749</v>
      </c>
      <c r="G3301" s="58"/>
      <c r="H3301" s="546">
        <v>4817.57</v>
      </c>
      <c r="I3301" s="66">
        <v>44435</v>
      </c>
      <c r="J3301" s="411" t="s">
        <v>294</v>
      </c>
      <c r="K3301" s="58"/>
      <c r="L3301" s="99"/>
      <c r="M3301" s="70" t="s">
        <v>8738</v>
      </c>
      <c r="N3301" s="97" t="s">
        <v>270</v>
      </c>
      <c r="O3301" s="58"/>
      <c r="P3301" s="58" t="s">
        <v>44</v>
      </c>
      <c r="Q3301" s="58" t="s">
        <v>110</v>
      </c>
      <c r="R3301" s="58" t="s">
        <v>272</v>
      </c>
    </row>
    <row r="3302" spans="1:18" ht="69" customHeight="1">
      <c r="A3302" s="168"/>
      <c r="B3302" s="178">
        <v>4380</v>
      </c>
      <c r="C3302" s="178" t="s">
        <v>657</v>
      </c>
      <c r="D3302" s="575"/>
      <c r="E3302" s="178" t="s">
        <v>8521</v>
      </c>
      <c r="F3302" s="210" t="s">
        <v>8749</v>
      </c>
      <c r="G3302" s="58"/>
      <c r="H3302" s="546">
        <v>658.79</v>
      </c>
      <c r="I3302" s="66">
        <v>44466</v>
      </c>
      <c r="J3302" s="411" t="s">
        <v>294</v>
      </c>
      <c r="K3302" s="58"/>
      <c r="L3302" s="99"/>
      <c r="M3302" s="70" t="s">
        <v>8738</v>
      </c>
      <c r="N3302" s="97" t="s">
        <v>270</v>
      </c>
      <c r="O3302" s="58"/>
      <c r="P3302" s="58" t="s">
        <v>44</v>
      </c>
      <c r="Q3302" s="58" t="s">
        <v>110</v>
      </c>
      <c r="R3302" s="58" t="s">
        <v>272</v>
      </c>
    </row>
    <row r="3303" spans="1:18" ht="69" customHeight="1">
      <c r="A3303" s="168"/>
      <c r="B3303" s="178">
        <v>4381</v>
      </c>
      <c r="C3303" s="178" t="s">
        <v>657</v>
      </c>
      <c r="D3303" s="575"/>
      <c r="E3303" s="178" t="s">
        <v>8521</v>
      </c>
      <c r="F3303" s="210" t="s">
        <v>8749</v>
      </c>
      <c r="G3303" s="58"/>
      <c r="H3303" s="546">
        <v>1852.29</v>
      </c>
      <c r="I3303" s="66">
        <v>44466</v>
      </c>
      <c r="J3303" s="411" t="s">
        <v>294</v>
      </c>
      <c r="K3303" s="58"/>
      <c r="L3303" s="99"/>
      <c r="M3303" s="70" t="s">
        <v>8738</v>
      </c>
      <c r="N3303" s="97" t="s">
        <v>270</v>
      </c>
      <c r="O3303" s="58"/>
      <c r="P3303" s="58" t="s">
        <v>44</v>
      </c>
      <c r="Q3303" s="58" t="s">
        <v>110</v>
      </c>
      <c r="R3303" s="58" t="s">
        <v>272</v>
      </c>
    </row>
    <row r="3304" spans="1:18" ht="69" customHeight="1">
      <c r="A3304" s="168"/>
      <c r="B3304" s="178">
        <v>4386</v>
      </c>
      <c r="C3304" s="178" t="s">
        <v>657</v>
      </c>
      <c r="D3304" s="575"/>
      <c r="E3304" s="178" t="s">
        <v>8521</v>
      </c>
      <c r="F3304" s="210" t="s">
        <v>8749</v>
      </c>
      <c r="G3304" s="58"/>
      <c r="H3304" s="546">
        <v>4898.13</v>
      </c>
      <c r="I3304" s="66">
        <v>44466</v>
      </c>
      <c r="J3304" s="411" t="s">
        <v>294</v>
      </c>
      <c r="K3304" s="58"/>
      <c r="L3304" s="99"/>
      <c r="M3304" s="70" t="s">
        <v>8738</v>
      </c>
      <c r="N3304" s="97" t="s">
        <v>270</v>
      </c>
      <c r="O3304" s="58"/>
      <c r="P3304" s="58" t="s">
        <v>44</v>
      </c>
      <c r="Q3304" s="58" t="s">
        <v>110</v>
      </c>
      <c r="R3304" s="58" t="s">
        <v>272</v>
      </c>
    </row>
    <row r="3305" spans="1:18" ht="69" customHeight="1">
      <c r="A3305" s="168"/>
      <c r="B3305" s="178">
        <v>4400</v>
      </c>
      <c r="C3305" s="178" t="s">
        <v>657</v>
      </c>
      <c r="D3305" s="575"/>
      <c r="E3305" s="178" t="s">
        <v>8521</v>
      </c>
      <c r="F3305" s="210" t="s">
        <v>8749</v>
      </c>
      <c r="G3305" s="58"/>
      <c r="H3305" s="546">
        <v>676.52</v>
      </c>
      <c r="I3305" s="66">
        <v>44490</v>
      </c>
      <c r="J3305" s="411" t="s">
        <v>294</v>
      </c>
      <c r="K3305" s="58"/>
      <c r="L3305" s="99"/>
      <c r="M3305" s="70" t="s">
        <v>8738</v>
      </c>
      <c r="N3305" s="97" t="s">
        <v>270</v>
      </c>
      <c r="O3305" s="58"/>
      <c r="P3305" s="58" t="s">
        <v>44</v>
      </c>
      <c r="Q3305" s="58" t="s">
        <v>110</v>
      </c>
      <c r="R3305" s="58" t="s">
        <v>272</v>
      </c>
    </row>
    <row r="3306" spans="1:18" ht="69" customHeight="1">
      <c r="A3306" s="168"/>
      <c r="B3306" s="178">
        <v>4401</v>
      </c>
      <c r="C3306" s="178" t="s">
        <v>657</v>
      </c>
      <c r="D3306" s="575"/>
      <c r="E3306" s="178" t="s">
        <v>8521</v>
      </c>
      <c r="F3306" s="210" t="s">
        <v>8749</v>
      </c>
      <c r="G3306" s="58"/>
      <c r="H3306" s="546">
        <v>1873.78</v>
      </c>
      <c r="I3306" s="66">
        <v>44490</v>
      </c>
      <c r="J3306" s="411" t="s">
        <v>294</v>
      </c>
      <c r="K3306" s="58"/>
      <c r="L3306" s="99"/>
      <c r="M3306" s="70" t="s">
        <v>8738</v>
      </c>
      <c r="N3306" s="97" t="s">
        <v>270</v>
      </c>
      <c r="O3306" s="58"/>
      <c r="P3306" s="58" t="s">
        <v>44</v>
      </c>
      <c r="Q3306" s="58" t="s">
        <v>110</v>
      </c>
      <c r="R3306" s="58" t="s">
        <v>272</v>
      </c>
    </row>
    <row r="3307" spans="1:18" ht="69" customHeight="1">
      <c r="A3307" s="168"/>
      <c r="B3307" s="178">
        <v>4402</v>
      </c>
      <c r="C3307" s="178" t="s">
        <v>657</v>
      </c>
      <c r="D3307" s="575"/>
      <c r="E3307" s="178" t="s">
        <v>8521</v>
      </c>
      <c r="F3307" s="210" t="s">
        <v>8749</v>
      </c>
      <c r="G3307" s="58"/>
      <c r="H3307" s="546">
        <v>4944.8599999999997</v>
      </c>
      <c r="I3307" s="66">
        <v>44490</v>
      </c>
      <c r="J3307" s="411" t="s">
        <v>294</v>
      </c>
      <c r="K3307" s="58"/>
      <c r="L3307" s="99"/>
      <c r="M3307" s="70" t="s">
        <v>8738</v>
      </c>
      <c r="N3307" s="97" t="s">
        <v>270</v>
      </c>
      <c r="O3307" s="58"/>
      <c r="P3307" s="58" t="s">
        <v>44</v>
      </c>
      <c r="Q3307" s="58" t="s">
        <v>110</v>
      </c>
      <c r="R3307" s="58" t="s">
        <v>272</v>
      </c>
    </row>
    <row r="3308" spans="1:18" ht="69" customHeight="1">
      <c r="A3308" s="168"/>
      <c r="B3308" s="178">
        <v>4423</v>
      </c>
      <c r="C3308" s="178" t="s">
        <v>657</v>
      </c>
      <c r="D3308" s="575"/>
      <c r="E3308" s="178" t="s">
        <v>8521</v>
      </c>
      <c r="F3308" s="210" t="s">
        <v>8749</v>
      </c>
      <c r="G3308" s="58"/>
      <c r="H3308" s="546">
        <v>714</v>
      </c>
      <c r="I3308" s="66">
        <v>44525</v>
      </c>
      <c r="J3308" s="411" t="s">
        <v>294</v>
      </c>
      <c r="K3308" s="58"/>
      <c r="L3308" s="99"/>
      <c r="M3308" s="70" t="s">
        <v>8738</v>
      </c>
      <c r="N3308" s="97" t="s">
        <v>270</v>
      </c>
      <c r="O3308" s="58"/>
      <c r="P3308" s="58" t="s">
        <v>44</v>
      </c>
      <c r="Q3308" s="58" t="s">
        <v>110</v>
      </c>
      <c r="R3308" s="58" t="s">
        <v>272</v>
      </c>
    </row>
    <row r="3309" spans="1:18" ht="69" customHeight="1">
      <c r="A3309" s="168"/>
      <c r="B3309" s="178">
        <v>4424</v>
      </c>
      <c r="C3309" s="178" t="s">
        <v>657</v>
      </c>
      <c r="D3309" s="575"/>
      <c r="E3309" s="178" t="s">
        <v>8521</v>
      </c>
      <c r="F3309" s="210" t="s">
        <v>8749</v>
      </c>
      <c r="G3309" s="58"/>
      <c r="H3309" s="546">
        <v>1919.21</v>
      </c>
      <c r="I3309" s="66">
        <v>44525</v>
      </c>
      <c r="J3309" s="411" t="s">
        <v>294</v>
      </c>
      <c r="K3309" s="58"/>
      <c r="L3309" s="99"/>
      <c r="M3309" s="70" t="s">
        <v>8738</v>
      </c>
      <c r="N3309" s="97" t="s">
        <v>270</v>
      </c>
      <c r="O3309" s="58"/>
      <c r="P3309" s="58" t="s">
        <v>44</v>
      </c>
      <c r="Q3309" s="58" t="s">
        <v>110</v>
      </c>
      <c r="R3309" s="58" t="s">
        <v>272</v>
      </c>
    </row>
    <row r="3310" spans="1:18" ht="69" customHeight="1">
      <c r="A3310" s="168"/>
      <c r="B3310" s="178">
        <v>4425</v>
      </c>
      <c r="C3310" s="178" t="s">
        <v>657</v>
      </c>
      <c r="D3310" s="575"/>
      <c r="E3310" s="178" t="s">
        <v>8521</v>
      </c>
      <c r="F3310" s="210" t="s">
        <v>8749</v>
      </c>
      <c r="G3310" s="58"/>
      <c r="H3310" s="546">
        <v>5043.67</v>
      </c>
      <c r="I3310" s="66">
        <v>44525</v>
      </c>
      <c r="J3310" s="411" t="s">
        <v>294</v>
      </c>
      <c r="K3310" s="58"/>
      <c r="L3310" s="99"/>
      <c r="M3310" s="70" t="s">
        <v>8738</v>
      </c>
      <c r="N3310" s="97" t="s">
        <v>270</v>
      </c>
      <c r="O3310" s="58"/>
      <c r="P3310" s="58" t="s">
        <v>44</v>
      </c>
      <c r="Q3310" s="58" t="s">
        <v>110</v>
      </c>
      <c r="R3310" s="58" t="s">
        <v>272</v>
      </c>
    </row>
    <row r="3311" spans="1:18" ht="69" customHeight="1">
      <c r="A3311" s="168"/>
      <c r="B3311" s="178">
        <v>4309</v>
      </c>
      <c r="C3311" s="178" t="s">
        <v>657</v>
      </c>
      <c r="D3311" s="575" t="s">
        <v>4738</v>
      </c>
      <c r="E3311" s="178" t="s">
        <v>266</v>
      </c>
      <c r="F3311" s="210" t="s">
        <v>8750</v>
      </c>
      <c r="G3311" s="58" t="s">
        <v>1107</v>
      </c>
      <c r="H3311" s="546">
        <v>7293.34</v>
      </c>
      <c r="I3311" s="66">
        <v>44664</v>
      </c>
      <c r="J3311" s="411" t="s">
        <v>8751</v>
      </c>
      <c r="K3311" s="58"/>
      <c r="L3311" s="99"/>
      <c r="M3311" s="70" t="s">
        <v>8752</v>
      </c>
      <c r="N3311" s="97" t="s">
        <v>970</v>
      </c>
      <c r="O3311" s="58" t="s">
        <v>971</v>
      </c>
      <c r="P3311" s="58" t="s">
        <v>38</v>
      </c>
      <c r="Q3311" s="58" t="s">
        <v>110</v>
      </c>
      <c r="R3311" s="58" t="s">
        <v>272</v>
      </c>
    </row>
    <row r="3312" spans="1:18" ht="69" customHeight="1">
      <c r="A3312" s="168"/>
      <c r="B3312" s="178">
        <v>4720</v>
      </c>
      <c r="C3312" s="178" t="s">
        <v>657</v>
      </c>
      <c r="D3312" s="575" t="s">
        <v>1973</v>
      </c>
      <c r="E3312" s="178" t="s">
        <v>331</v>
      </c>
      <c r="F3312" s="210" t="s">
        <v>8753</v>
      </c>
      <c r="G3312" s="58"/>
      <c r="H3312" s="546">
        <v>3389.12</v>
      </c>
      <c r="I3312" s="66">
        <v>44678</v>
      </c>
      <c r="J3312" s="411" t="s">
        <v>8754</v>
      </c>
      <c r="K3312" s="58"/>
      <c r="L3312" s="99"/>
      <c r="M3312" s="70" t="s">
        <v>8738</v>
      </c>
      <c r="N3312" s="97" t="s">
        <v>270</v>
      </c>
      <c r="O3312" s="58"/>
      <c r="P3312" s="58" t="s">
        <v>44</v>
      </c>
      <c r="Q3312" s="58" t="s">
        <v>110</v>
      </c>
      <c r="R3312" s="58" t="s">
        <v>272</v>
      </c>
    </row>
    <row r="3313" spans="1:18" ht="69" customHeight="1">
      <c r="A3313" s="168"/>
      <c r="B3313" s="178">
        <v>4864</v>
      </c>
      <c r="C3313" s="178" t="s">
        <v>657</v>
      </c>
      <c r="D3313" s="575" t="s">
        <v>931</v>
      </c>
      <c r="E3313" s="178" t="s">
        <v>266</v>
      </c>
      <c r="F3313" s="210" t="s">
        <v>8755</v>
      </c>
      <c r="G3313" s="58" t="s">
        <v>680</v>
      </c>
      <c r="H3313" s="546">
        <v>6206.9</v>
      </c>
      <c r="I3313" s="66">
        <v>44706</v>
      </c>
      <c r="J3313" s="411" t="s">
        <v>8756</v>
      </c>
      <c r="K3313" s="58"/>
      <c r="L3313" s="99"/>
      <c r="M3313" s="70" t="s">
        <v>8757</v>
      </c>
      <c r="N3313" s="97" t="s">
        <v>683</v>
      </c>
      <c r="O3313" s="58" t="s">
        <v>149</v>
      </c>
      <c r="P3313" s="58" t="s">
        <v>46</v>
      </c>
      <c r="Q3313" s="58" t="s">
        <v>110</v>
      </c>
      <c r="R3313" s="58" t="s">
        <v>272</v>
      </c>
    </row>
    <row r="3314" spans="1:18" ht="69" customHeight="1">
      <c r="A3314" s="168"/>
      <c r="B3314" s="178">
        <v>4720</v>
      </c>
      <c r="C3314" s="178" t="s">
        <v>657</v>
      </c>
      <c r="D3314" s="575" t="s">
        <v>937</v>
      </c>
      <c r="E3314" s="178" t="s">
        <v>331</v>
      </c>
      <c r="F3314" s="210" t="s">
        <v>8758</v>
      </c>
      <c r="G3314" s="58" t="s">
        <v>372</v>
      </c>
      <c r="H3314" s="546">
        <v>30502.09</v>
      </c>
      <c r="I3314" s="66">
        <v>44701</v>
      </c>
      <c r="J3314" s="411" t="s">
        <v>8759</v>
      </c>
      <c r="K3314" s="58"/>
      <c r="L3314" s="99"/>
      <c r="M3314" s="70" t="s">
        <v>8738</v>
      </c>
      <c r="N3314" s="97" t="s">
        <v>270</v>
      </c>
      <c r="O3314" s="58"/>
      <c r="P3314" s="58" t="s">
        <v>44</v>
      </c>
      <c r="Q3314" s="58" t="s">
        <v>110</v>
      </c>
      <c r="R3314" s="58" t="s">
        <v>272</v>
      </c>
    </row>
    <row r="3315" spans="1:18" ht="69" customHeight="1">
      <c r="A3315" s="168"/>
      <c r="B3315" s="178">
        <v>4319</v>
      </c>
      <c r="C3315" s="178" t="s">
        <v>657</v>
      </c>
      <c r="D3315" s="575" t="s">
        <v>4839</v>
      </c>
      <c r="E3315" s="178" t="s">
        <v>358</v>
      </c>
      <c r="F3315" s="210" t="s">
        <v>8760</v>
      </c>
      <c r="G3315" s="58" t="s">
        <v>8761</v>
      </c>
      <c r="H3315" s="546">
        <v>195271.34</v>
      </c>
      <c r="I3315" s="66">
        <v>44706</v>
      </c>
      <c r="J3315" s="411" t="s">
        <v>8762</v>
      </c>
      <c r="K3315" s="58" t="s">
        <v>705</v>
      </c>
      <c r="L3315" s="99"/>
      <c r="M3315" s="70" t="s">
        <v>8763</v>
      </c>
      <c r="N3315" s="97" t="s">
        <v>356</v>
      </c>
      <c r="O3315" s="58" t="s">
        <v>141</v>
      </c>
      <c r="P3315" s="58" t="s">
        <v>19</v>
      </c>
      <c r="Q3315" s="58" t="s">
        <v>110</v>
      </c>
      <c r="R3315" s="58" t="s">
        <v>272</v>
      </c>
    </row>
    <row r="3316" spans="1:18" ht="69" customHeight="1">
      <c r="A3316" s="168"/>
      <c r="B3316" s="178">
        <v>4309</v>
      </c>
      <c r="C3316" s="178" t="s">
        <v>657</v>
      </c>
      <c r="D3316" s="575" t="s">
        <v>5677</v>
      </c>
      <c r="E3316" s="178" t="s">
        <v>266</v>
      </c>
      <c r="F3316" s="210" t="s">
        <v>8764</v>
      </c>
      <c r="G3316" s="58" t="s">
        <v>1107</v>
      </c>
      <c r="H3316" s="546">
        <v>7293.34</v>
      </c>
      <c r="I3316" s="66">
        <v>44725</v>
      </c>
      <c r="J3316" s="411" t="s">
        <v>8765</v>
      </c>
      <c r="K3316" s="58"/>
      <c r="L3316" s="99"/>
      <c r="M3316" s="70" t="s">
        <v>8752</v>
      </c>
      <c r="N3316" s="97" t="s">
        <v>970</v>
      </c>
      <c r="O3316" s="58" t="s">
        <v>971</v>
      </c>
      <c r="P3316" s="58" t="s">
        <v>38</v>
      </c>
      <c r="Q3316" s="58" t="s">
        <v>110</v>
      </c>
      <c r="R3316" s="58" t="s">
        <v>272</v>
      </c>
    </row>
    <row r="3317" spans="1:18" ht="69" customHeight="1">
      <c r="A3317" s="168"/>
      <c r="B3317" s="178">
        <v>5016</v>
      </c>
      <c r="C3317" s="178" t="s">
        <v>657</v>
      </c>
      <c r="D3317" s="575" t="s">
        <v>3453</v>
      </c>
      <c r="E3317" s="178" t="s">
        <v>266</v>
      </c>
      <c r="F3317" s="210" t="s">
        <v>8766</v>
      </c>
      <c r="G3317" s="58" t="s">
        <v>1753</v>
      </c>
      <c r="H3317" s="546">
        <v>5390</v>
      </c>
      <c r="I3317" s="66">
        <v>44727</v>
      </c>
      <c r="J3317" s="411" t="s">
        <v>8767</v>
      </c>
      <c r="K3317" s="58"/>
      <c r="L3317" s="99"/>
      <c r="M3317" s="70" t="s">
        <v>8738</v>
      </c>
      <c r="N3317" s="97" t="s">
        <v>270</v>
      </c>
      <c r="O3317" s="58"/>
      <c r="P3317" s="58" t="s">
        <v>44</v>
      </c>
      <c r="Q3317" s="58" t="s">
        <v>110</v>
      </c>
      <c r="R3317" s="58" t="s">
        <v>272</v>
      </c>
    </row>
    <row r="3318" spans="1:18" ht="69" customHeight="1">
      <c r="A3318" s="168"/>
      <c r="B3318" s="178">
        <v>2</v>
      </c>
      <c r="C3318" s="178" t="s">
        <v>657</v>
      </c>
      <c r="D3318" s="575" t="s">
        <v>1271</v>
      </c>
      <c r="E3318" s="178" t="s">
        <v>382</v>
      </c>
      <c r="F3318" s="210" t="s">
        <v>8768</v>
      </c>
      <c r="G3318" s="58" t="s">
        <v>384</v>
      </c>
      <c r="H3318" s="546">
        <v>27761.33</v>
      </c>
      <c r="I3318" s="66">
        <v>44736</v>
      </c>
      <c r="J3318" s="411" t="s">
        <v>8769</v>
      </c>
      <c r="K3318" s="58"/>
      <c r="L3318" s="99"/>
      <c r="M3318" s="70" t="s">
        <v>8770</v>
      </c>
      <c r="N3318" s="97" t="s">
        <v>387</v>
      </c>
      <c r="O3318" s="45" t="s">
        <v>150</v>
      </c>
      <c r="P3318" s="58" t="s">
        <v>51</v>
      </c>
      <c r="Q3318" s="58" t="s">
        <v>110</v>
      </c>
      <c r="R3318" s="58" t="s">
        <v>272</v>
      </c>
    </row>
    <row r="3319" spans="1:18" ht="69" customHeight="1">
      <c r="A3319" s="168"/>
      <c r="B3319" s="178">
        <v>7</v>
      </c>
      <c r="C3319" s="178" t="s">
        <v>657</v>
      </c>
      <c r="D3319" s="575" t="s">
        <v>2225</v>
      </c>
      <c r="E3319" s="178" t="s">
        <v>382</v>
      </c>
      <c r="F3319" s="210" t="s">
        <v>8771</v>
      </c>
      <c r="G3319" s="58" t="s">
        <v>384</v>
      </c>
      <c r="H3319" s="546">
        <v>39819.519999999997</v>
      </c>
      <c r="I3319" s="66">
        <v>44736</v>
      </c>
      <c r="J3319" s="411" t="s">
        <v>8772</v>
      </c>
      <c r="K3319" s="58"/>
      <c r="L3319" s="99"/>
      <c r="M3319" s="70" t="s">
        <v>8770</v>
      </c>
      <c r="N3319" s="97" t="s">
        <v>387</v>
      </c>
      <c r="O3319" s="45" t="s">
        <v>150</v>
      </c>
      <c r="P3319" s="58" t="s">
        <v>51</v>
      </c>
      <c r="Q3319" s="58" t="s">
        <v>110</v>
      </c>
      <c r="R3319" s="58" t="s">
        <v>272</v>
      </c>
    </row>
    <row r="3320" spans="1:18" ht="69" customHeight="1">
      <c r="A3320" s="168"/>
      <c r="B3320" s="178">
        <v>6273</v>
      </c>
      <c r="C3320" s="178" t="s">
        <v>657</v>
      </c>
      <c r="D3320" s="575" t="s">
        <v>8773</v>
      </c>
      <c r="E3320" s="178" t="s">
        <v>350</v>
      </c>
      <c r="F3320" s="210" t="s">
        <v>8774</v>
      </c>
      <c r="G3320" s="58" t="s">
        <v>352</v>
      </c>
      <c r="H3320" s="546">
        <v>133971</v>
      </c>
      <c r="I3320" s="66">
        <v>44751</v>
      </c>
      <c r="J3320" s="411" t="s">
        <v>8775</v>
      </c>
      <c r="K3320" s="58" t="s">
        <v>705</v>
      </c>
      <c r="L3320" s="99"/>
      <c r="M3320" s="70" t="s">
        <v>8742</v>
      </c>
      <c r="N3320" s="97" t="s">
        <v>356</v>
      </c>
      <c r="O3320" s="58" t="s">
        <v>141</v>
      </c>
      <c r="P3320" s="58" t="s">
        <v>19</v>
      </c>
      <c r="Q3320" s="58" t="s">
        <v>110</v>
      </c>
      <c r="R3320" s="58" t="s">
        <v>265</v>
      </c>
    </row>
    <row r="3321" spans="1:18" ht="69" customHeight="1">
      <c r="A3321" s="168"/>
      <c r="B3321" s="178">
        <v>6284</v>
      </c>
      <c r="C3321" s="178" t="s">
        <v>657</v>
      </c>
      <c r="D3321" s="575" t="s">
        <v>2459</v>
      </c>
      <c r="E3321" s="178" t="s">
        <v>350</v>
      </c>
      <c r="F3321" s="210" t="s">
        <v>8776</v>
      </c>
      <c r="G3321" s="58" t="s">
        <v>352</v>
      </c>
      <c r="H3321" s="546">
        <v>479897.25</v>
      </c>
      <c r="I3321" s="66">
        <v>44742</v>
      </c>
      <c r="J3321" s="411" t="s">
        <v>8777</v>
      </c>
      <c r="K3321" s="58" t="s">
        <v>705</v>
      </c>
      <c r="L3321" s="99"/>
      <c r="M3321" s="70" t="s">
        <v>8742</v>
      </c>
      <c r="N3321" s="97" t="s">
        <v>356</v>
      </c>
      <c r="O3321" s="58" t="s">
        <v>141</v>
      </c>
      <c r="P3321" s="58" t="s">
        <v>19</v>
      </c>
      <c r="Q3321" s="58" t="s">
        <v>110</v>
      </c>
      <c r="R3321" s="58" t="s">
        <v>265</v>
      </c>
    </row>
    <row r="3322" spans="1:18" ht="69" customHeight="1">
      <c r="A3322" s="168"/>
      <c r="B3322" s="178">
        <v>6006</v>
      </c>
      <c r="C3322" s="178" t="s">
        <v>657</v>
      </c>
      <c r="D3322" s="575" t="s">
        <v>4143</v>
      </c>
      <c r="E3322" s="178" t="s">
        <v>350</v>
      </c>
      <c r="F3322" s="210" t="s">
        <v>8778</v>
      </c>
      <c r="G3322" s="58" t="s">
        <v>352</v>
      </c>
      <c r="H3322" s="546">
        <v>39634.94</v>
      </c>
      <c r="I3322" s="66">
        <v>44768</v>
      </c>
      <c r="J3322" s="411" t="s">
        <v>8779</v>
      </c>
      <c r="K3322" s="58" t="s">
        <v>705</v>
      </c>
      <c r="L3322" s="99"/>
      <c r="M3322" s="70" t="s">
        <v>8742</v>
      </c>
      <c r="N3322" s="97" t="s">
        <v>356</v>
      </c>
      <c r="O3322" s="58" t="s">
        <v>141</v>
      </c>
      <c r="P3322" s="58" t="s">
        <v>19</v>
      </c>
      <c r="Q3322" s="58" t="s">
        <v>110</v>
      </c>
      <c r="R3322" s="58" t="s">
        <v>265</v>
      </c>
    </row>
    <row r="3323" spans="1:18" ht="69" customHeight="1">
      <c r="A3323" s="168"/>
      <c r="B3323" s="178">
        <v>6045</v>
      </c>
      <c r="C3323" s="178" t="s">
        <v>657</v>
      </c>
      <c r="D3323" s="575" t="s">
        <v>1285</v>
      </c>
      <c r="E3323" s="178" t="s">
        <v>266</v>
      </c>
      <c r="F3323" s="210" t="s">
        <v>8780</v>
      </c>
      <c r="G3323" s="58" t="s">
        <v>1107</v>
      </c>
      <c r="H3323" s="546">
        <v>7293.34</v>
      </c>
      <c r="I3323" s="66" t="s">
        <v>96</v>
      </c>
      <c r="J3323" s="411" t="s">
        <v>8781</v>
      </c>
      <c r="K3323" s="58"/>
      <c r="L3323" s="99"/>
      <c r="M3323" s="70" t="s">
        <v>8752</v>
      </c>
      <c r="N3323" s="97" t="s">
        <v>970</v>
      </c>
      <c r="O3323" s="58" t="s">
        <v>971</v>
      </c>
      <c r="P3323" s="58" t="s">
        <v>38</v>
      </c>
      <c r="Q3323" s="58" t="s">
        <v>110</v>
      </c>
      <c r="R3323" s="58" t="s">
        <v>272</v>
      </c>
    </row>
    <row r="3324" spans="1:18" ht="69" customHeight="1">
      <c r="A3324" s="168"/>
      <c r="B3324" s="178">
        <v>6134</v>
      </c>
      <c r="C3324" s="178" t="s">
        <v>657</v>
      </c>
      <c r="D3324" s="575" t="s">
        <v>8782</v>
      </c>
      <c r="E3324" s="178" t="s">
        <v>350</v>
      </c>
      <c r="F3324" s="210" t="s">
        <v>8783</v>
      </c>
      <c r="G3324" s="58" t="s">
        <v>352</v>
      </c>
      <c r="H3324" s="546">
        <v>7392</v>
      </c>
      <c r="I3324" s="66">
        <v>44784</v>
      </c>
      <c r="J3324" s="411" t="s">
        <v>8784</v>
      </c>
      <c r="K3324" s="58" t="s">
        <v>8785</v>
      </c>
      <c r="L3324" s="99"/>
      <c r="M3324" s="70" t="s">
        <v>8742</v>
      </c>
      <c r="N3324" s="97" t="s">
        <v>356</v>
      </c>
      <c r="O3324" s="58" t="s">
        <v>141</v>
      </c>
      <c r="P3324" s="58" t="s">
        <v>19</v>
      </c>
      <c r="Q3324" s="58" t="s">
        <v>110</v>
      </c>
      <c r="R3324" s="58" t="s">
        <v>265</v>
      </c>
    </row>
    <row r="3325" spans="1:18" ht="69" customHeight="1">
      <c r="A3325" s="168"/>
      <c r="B3325" s="178">
        <v>6100</v>
      </c>
      <c r="C3325" s="178" t="s">
        <v>657</v>
      </c>
      <c r="D3325" s="575" t="s">
        <v>5585</v>
      </c>
      <c r="E3325" s="178" t="s">
        <v>350</v>
      </c>
      <c r="F3325" s="210" t="s">
        <v>8786</v>
      </c>
      <c r="G3325" s="58" t="s">
        <v>352</v>
      </c>
      <c r="H3325" s="546">
        <v>494459.54</v>
      </c>
      <c r="I3325" s="66">
        <v>44781</v>
      </c>
      <c r="J3325" s="411" t="s">
        <v>8787</v>
      </c>
      <c r="K3325" s="58" t="s">
        <v>752</v>
      </c>
      <c r="L3325" s="99"/>
      <c r="M3325" s="70" t="s">
        <v>8742</v>
      </c>
      <c r="N3325" s="97" t="s">
        <v>356</v>
      </c>
      <c r="O3325" s="58" t="s">
        <v>141</v>
      </c>
      <c r="P3325" s="58" t="s">
        <v>19</v>
      </c>
      <c r="Q3325" s="58" t="s">
        <v>110</v>
      </c>
      <c r="R3325" s="58" t="s">
        <v>265</v>
      </c>
    </row>
    <row r="3326" spans="1:18" ht="69" customHeight="1">
      <c r="A3326" s="168"/>
      <c r="B3326" s="178">
        <v>6101</v>
      </c>
      <c r="C3326" s="178" t="s">
        <v>657</v>
      </c>
      <c r="D3326" s="575" t="s">
        <v>8788</v>
      </c>
      <c r="E3326" s="178" t="s">
        <v>350</v>
      </c>
      <c r="F3326" s="210" t="s">
        <v>8789</v>
      </c>
      <c r="G3326" s="58" t="s">
        <v>352</v>
      </c>
      <c r="H3326" s="546">
        <v>159155.95000000001</v>
      </c>
      <c r="I3326" s="66">
        <v>44782</v>
      </c>
      <c r="J3326" s="411" t="s">
        <v>8790</v>
      </c>
      <c r="K3326" s="58" t="s">
        <v>752</v>
      </c>
      <c r="L3326" s="99"/>
      <c r="M3326" s="70" t="s">
        <v>8742</v>
      </c>
      <c r="N3326" s="97" t="s">
        <v>356</v>
      </c>
      <c r="O3326" s="58" t="s">
        <v>141</v>
      </c>
      <c r="P3326" s="58" t="s">
        <v>19</v>
      </c>
      <c r="Q3326" s="58" t="s">
        <v>110</v>
      </c>
      <c r="R3326" s="58" t="s">
        <v>265</v>
      </c>
    </row>
    <row r="3327" spans="1:18" ht="69" customHeight="1">
      <c r="A3327" s="168"/>
      <c r="B3327" s="178">
        <v>6409</v>
      </c>
      <c r="C3327" s="178" t="s">
        <v>657</v>
      </c>
      <c r="D3327" s="575" t="s">
        <v>963</v>
      </c>
      <c r="E3327" s="178" t="s">
        <v>432</v>
      </c>
      <c r="F3327" s="210" t="s">
        <v>8791</v>
      </c>
      <c r="G3327" s="58" t="s">
        <v>429</v>
      </c>
      <c r="H3327" s="546">
        <v>13959.486000000001</v>
      </c>
      <c r="I3327" s="66">
        <v>44802</v>
      </c>
      <c r="J3327" s="411" t="s">
        <v>8792</v>
      </c>
      <c r="K3327" s="58"/>
      <c r="L3327" s="99"/>
      <c r="M3327" s="70" t="s">
        <v>8793</v>
      </c>
      <c r="N3327" s="97" t="s">
        <v>432</v>
      </c>
      <c r="O3327" s="58"/>
      <c r="P3327" s="58" t="s">
        <v>53</v>
      </c>
      <c r="Q3327" s="58" t="s">
        <v>110</v>
      </c>
      <c r="R3327" s="58" t="s">
        <v>272</v>
      </c>
    </row>
    <row r="3328" spans="1:18" ht="69" customHeight="1">
      <c r="A3328" s="168"/>
      <c r="B3328" s="178">
        <v>6621</v>
      </c>
      <c r="C3328" s="178" t="s">
        <v>657</v>
      </c>
      <c r="D3328" s="575" t="s">
        <v>2744</v>
      </c>
      <c r="E3328" s="178" t="s">
        <v>5708</v>
      </c>
      <c r="F3328" s="210" t="s">
        <v>8794</v>
      </c>
      <c r="G3328" s="58" t="s">
        <v>5710</v>
      </c>
      <c r="H3328" s="546">
        <v>271891.52</v>
      </c>
      <c r="I3328" s="66">
        <v>44820</v>
      </c>
      <c r="J3328" s="411" t="s">
        <v>8795</v>
      </c>
      <c r="K3328" s="58"/>
      <c r="L3328" s="99"/>
      <c r="M3328" s="70" t="s">
        <v>8796</v>
      </c>
      <c r="N3328" s="97" t="s">
        <v>414</v>
      </c>
      <c r="O3328" s="58" t="s">
        <v>5713</v>
      </c>
      <c r="P3328" s="58" t="s">
        <v>24</v>
      </c>
      <c r="Q3328" s="58" t="s">
        <v>110</v>
      </c>
      <c r="R3328" s="58" t="s">
        <v>265</v>
      </c>
    </row>
    <row r="3329" spans="1:18" ht="69" customHeight="1">
      <c r="A3329" s="168"/>
      <c r="B3329" s="178">
        <v>6358</v>
      </c>
      <c r="C3329" s="178" t="s">
        <v>8797</v>
      </c>
      <c r="D3329" s="575" t="s">
        <v>992</v>
      </c>
      <c r="E3329" s="178" t="s">
        <v>5708</v>
      </c>
      <c r="F3329" s="210" t="s">
        <v>8798</v>
      </c>
      <c r="G3329" s="58" t="s">
        <v>7301</v>
      </c>
      <c r="H3329" s="546">
        <v>7700</v>
      </c>
      <c r="I3329" s="66">
        <v>44820</v>
      </c>
      <c r="J3329" s="411" t="s">
        <v>8799</v>
      </c>
      <c r="K3329" s="58"/>
      <c r="L3329" s="99"/>
      <c r="M3329" s="70" t="s">
        <v>8796</v>
      </c>
      <c r="N3329" s="97" t="s">
        <v>414</v>
      </c>
      <c r="O3329" s="58" t="s">
        <v>5713</v>
      </c>
      <c r="P3329" s="58" t="s">
        <v>24</v>
      </c>
      <c r="Q3329" s="58" t="s">
        <v>110</v>
      </c>
      <c r="R3329" s="58" t="s">
        <v>265</v>
      </c>
    </row>
    <row r="3330" spans="1:18" ht="69" customHeight="1">
      <c r="A3330" s="168"/>
      <c r="B3330" s="178">
        <v>6630</v>
      </c>
      <c r="C3330" s="178" t="s">
        <v>657</v>
      </c>
      <c r="D3330" s="575" t="s">
        <v>978</v>
      </c>
      <c r="E3330" s="178" t="s">
        <v>5708</v>
      </c>
      <c r="F3330" s="210" t="s">
        <v>8800</v>
      </c>
      <c r="G3330" s="58" t="s">
        <v>1369</v>
      </c>
      <c r="H3330" s="546">
        <v>4833.33</v>
      </c>
      <c r="I3330" s="66">
        <v>44818</v>
      </c>
      <c r="J3330" s="411" t="s">
        <v>8801</v>
      </c>
      <c r="K3330" s="58"/>
      <c r="L3330" s="99"/>
      <c r="M3330" s="70" t="s">
        <v>8796</v>
      </c>
      <c r="N3330" s="97" t="s">
        <v>414</v>
      </c>
      <c r="O3330" s="58" t="s">
        <v>5713</v>
      </c>
      <c r="P3330" s="58" t="s">
        <v>24</v>
      </c>
      <c r="Q3330" s="58" t="s">
        <v>110</v>
      </c>
      <c r="R3330" s="58" t="s">
        <v>265</v>
      </c>
    </row>
    <row r="3331" spans="1:18" ht="69" customHeight="1">
      <c r="A3331" s="168"/>
      <c r="B3331" s="178">
        <v>6647</v>
      </c>
      <c r="C3331" s="178" t="s">
        <v>657</v>
      </c>
      <c r="D3331" s="575" t="s">
        <v>1534</v>
      </c>
      <c r="E3331" s="178" t="s">
        <v>5708</v>
      </c>
      <c r="F3331" s="210" t="s">
        <v>8802</v>
      </c>
      <c r="G3331" s="58" t="s">
        <v>7306</v>
      </c>
      <c r="H3331" s="546">
        <v>6000</v>
      </c>
      <c r="I3331" s="66">
        <v>44820</v>
      </c>
      <c r="J3331" s="411" t="s">
        <v>8803</v>
      </c>
      <c r="K3331" s="58"/>
      <c r="L3331" s="99"/>
      <c r="M3331" s="70" t="s">
        <v>8796</v>
      </c>
      <c r="N3331" s="97" t="s">
        <v>414</v>
      </c>
      <c r="O3331" s="58" t="s">
        <v>5713</v>
      </c>
      <c r="P3331" s="58" t="s">
        <v>24</v>
      </c>
      <c r="Q3331" s="58" t="s">
        <v>110</v>
      </c>
      <c r="R3331" s="58" t="s">
        <v>265</v>
      </c>
    </row>
    <row r="3332" spans="1:18" ht="69" customHeight="1">
      <c r="A3332" s="168"/>
      <c r="B3332" s="178">
        <v>6692</v>
      </c>
      <c r="C3332" s="178" t="s">
        <v>8797</v>
      </c>
      <c r="D3332" s="575" t="s">
        <v>1313</v>
      </c>
      <c r="E3332" s="178" t="s">
        <v>7265</v>
      </c>
      <c r="F3332" s="210" t="s">
        <v>8804</v>
      </c>
      <c r="G3332" s="58" t="s">
        <v>5809</v>
      </c>
      <c r="H3332" s="546">
        <v>274070.21999999997</v>
      </c>
      <c r="I3332" s="66">
        <v>44820</v>
      </c>
      <c r="J3332" s="411" t="s">
        <v>8805</v>
      </c>
      <c r="K3332" s="58"/>
      <c r="L3332" s="99"/>
      <c r="M3332" s="70" t="s">
        <v>8806</v>
      </c>
      <c r="N3332" s="97" t="s">
        <v>414</v>
      </c>
      <c r="O3332" s="58" t="s">
        <v>5713</v>
      </c>
      <c r="P3332" s="58" t="s">
        <v>24</v>
      </c>
      <c r="Q3332" s="58" t="s">
        <v>110</v>
      </c>
      <c r="R3332" s="58" t="s">
        <v>272</v>
      </c>
    </row>
    <row r="3333" spans="1:18" ht="69" customHeight="1">
      <c r="A3333" s="168"/>
      <c r="B3333" s="178">
        <v>6722</v>
      </c>
      <c r="C3333" s="178" t="s">
        <v>657</v>
      </c>
      <c r="D3333" s="575" t="s">
        <v>8807</v>
      </c>
      <c r="E3333" s="178" t="s">
        <v>5708</v>
      </c>
      <c r="F3333" s="569" t="s">
        <v>8808</v>
      </c>
      <c r="G3333" s="58" t="s">
        <v>5710</v>
      </c>
      <c r="H3333" s="546">
        <v>7259.6</v>
      </c>
      <c r="I3333" s="66">
        <v>44827</v>
      </c>
      <c r="J3333" s="411" t="s">
        <v>8809</v>
      </c>
      <c r="K3333" s="58"/>
      <c r="L3333" s="99"/>
      <c r="M3333" s="70" t="s">
        <v>8796</v>
      </c>
      <c r="N3333" s="97" t="s">
        <v>414</v>
      </c>
      <c r="O3333" s="58" t="s">
        <v>5713</v>
      </c>
      <c r="P3333" s="58" t="s">
        <v>24</v>
      </c>
      <c r="Q3333" s="58" t="s">
        <v>110</v>
      </c>
      <c r="R3333" s="58" t="s">
        <v>265</v>
      </c>
    </row>
    <row r="3334" spans="1:18" ht="69" customHeight="1">
      <c r="A3334" s="168"/>
      <c r="B3334" s="178">
        <v>6790</v>
      </c>
      <c r="C3334" s="178" t="s">
        <v>657</v>
      </c>
      <c r="D3334" s="575" t="s">
        <v>2273</v>
      </c>
      <c r="E3334" s="178" t="s">
        <v>266</v>
      </c>
      <c r="F3334" s="210" t="s">
        <v>8810</v>
      </c>
      <c r="G3334" s="58" t="s">
        <v>1107</v>
      </c>
      <c r="H3334" s="546">
        <v>7293.34</v>
      </c>
      <c r="I3334" s="66">
        <v>44832</v>
      </c>
      <c r="J3334" s="411" t="s">
        <v>8811</v>
      </c>
      <c r="K3334" s="58"/>
      <c r="L3334" s="99"/>
      <c r="M3334" s="70" t="s">
        <v>8752</v>
      </c>
      <c r="N3334" s="97" t="s">
        <v>970</v>
      </c>
      <c r="O3334" s="58" t="s">
        <v>971</v>
      </c>
      <c r="P3334" s="58" t="s">
        <v>38</v>
      </c>
      <c r="Q3334" s="58" t="s">
        <v>110</v>
      </c>
      <c r="R3334" s="58" t="s">
        <v>272</v>
      </c>
    </row>
    <row r="3335" spans="1:18" ht="69" customHeight="1">
      <c r="A3335" s="168"/>
      <c r="B3335" s="256">
        <v>6790</v>
      </c>
      <c r="C3335" s="256" t="s">
        <v>657</v>
      </c>
      <c r="D3335" s="299" t="s">
        <v>2273</v>
      </c>
      <c r="E3335" s="256" t="s">
        <v>266</v>
      </c>
      <c r="F3335" s="263" t="s">
        <v>8810</v>
      </c>
      <c r="G3335" s="118" t="s">
        <v>1107</v>
      </c>
      <c r="H3335" s="280">
        <v>7293.34</v>
      </c>
      <c r="I3335" s="262">
        <v>44832</v>
      </c>
      <c r="J3335" s="409" t="s">
        <v>8811</v>
      </c>
      <c r="K3335" s="160" t="s">
        <v>8812</v>
      </c>
      <c r="L3335" s="99"/>
      <c r="M3335" s="70" t="s">
        <v>8752</v>
      </c>
      <c r="N3335" s="97" t="s">
        <v>970</v>
      </c>
      <c r="O3335" s="118" t="s">
        <v>971</v>
      </c>
      <c r="P3335" s="118" t="s">
        <v>67</v>
      </c>
      <c r="Q3335" s="118" t="s">
        <v>110</v>
      </c>
      <c r="R3335" s="118" t="s">
        <v>272</v>
      </c>
    </row>
    <row r="3336" spans="1:18" ht="69" customHeight="1">
      <c r="A3336" s="168"/>
      <c r="B3336" s="178">
        <v>6855</v>
      </c>
      <c r="C3336" s="178" t="s">
        <v>657</v>
      </c>
      <c r="D3336" s="575" t="s">
        <v>1316</v>
      </c>
      <c r="E3336" s="178" t="s">
        <v>5708</v>
      </c>
      <c r="F3336" s="210" t="s">
        <v>8813</v>
      </c>
      <c r="G3336" s="58" t="s">
        <v>1048</v>
      </c>
      <c r="H3336" s="546">
        <v>5060</v>
      </c>
      <c r="I3336" s="66">
        <v>44834</v>
      </c>
      <c r="J3336" s="411" t="s">
        <v>8814</v>
      </c>
      <c r="K3336" s="58"/>
      <c r="L3336" s="99"/>
      <c r="M3336" s="70" t="s">
        <v>8796</v>
      </c>
      <c r="N3336" s="97" t="s">
        <v>414</v>
      </c>
      <c r="O3336" s="58" t="s">
        <v>5713</v>
      </c>
      <c r="P3336" s="58" t="s">
        <v>24</v>
      </c>
      <c r="Q3336" s="58" t="s">
        <v>110</v>
      </c>
      <c r="R3336" s="58" t="s">
        <v>265</v>
      </c>
    </row>
    <row r="3337" spans="1:18" ht="69" customHeight="1">
      <c r="A3337" s="168"/>
      <c r="B3337" s="178">
        <v>6107</v>
      </c>
      <c r="C3337" s="178" t="s">
        <v>657</v>
      </c>
      <c r="D3337" s="575" t="s">
        <v>8815</v>
      </c>
      <c r="E3337" s="178" t="s">
        <v>350</v>
      </c>
      <c r="F3337" s="210" t="s">
        <v>8816</v>
      </c>
      <c r="G3337" s="58" t="s">
        <v>352</v>
      </c>
      <c r="H3337" s="546">
        <v>2796</v>
      </c>
      <c r="I3337" s="66">
        <v>44790</v>
      </c>
      <c r="J3337" s="411" t="s">
        <v>8817</v>
      </c>
      <c r="K3337" s="58" t="s">
        <v>752</v>
      </c>
      <c r="L3337" s="99"/>
      <c r="M3337" s="70" t="s">
        <v>8742</v>
      </c>
      <c r="N3337" s="97" t="s">
        <v>356</v>
      </c>
      <c r="O3337" s="58" t="s">
        <v>141</v>
      </c>
      <c r="P3337" s="58" t="s">
        <v>19</v>
      </c>
      <c r="Q3337" s="58" t="s">
        <v>110</v>
      </c>
      <c r="R3337" s="58" t="s">
        <v>265</v>
      </c>
    </row>
    <row r="3338" spans="1:18" ht="69" customHeight="1">
      <c r="A3338" s="168"/>
      <c r="B3338" s="178">
        <v>7345</v>
      </c>
      <c r="C3338" s="178" t="s">
        <v>657</v>
      </c>
      <c r="D3338" s="575" t="s">
        <v>1581</v>
      </c>
      <c r="E3338" s="178" t="s">
        <v>5708</v>
      </c>
      <c r="F3338" s="210" t="s">
        <v>8818</v>
      </c>
      <c r="G3338" s="58" t="s">
        <v>1048</v>
      </c>
      <c r="H3338" s="546">
        <v>4556.5200000000004</v>
      </c>
      <c r="I3338" s="66">
        <v>44869</v>
      </c>
      <c r="J3338" s="411" t="s">
        <v>6294</v>
      </c>
      <c r="K3338" s="58"/>
      <c r="L3338" s="99"/>
      <c r="M3338" s="70" t="s">
        <v>8796</v>
      </c>
      <c r="N3338" s="97" t="s">
        <v>414</v>
      </c>
      <c r="O3338" s="58" t="s">
        <v>5713</v>
      </c>
      <c r="P3338" s="58" t="s">
        <v>24</v>
      </c>
      <c r="Q3338" s="58" t="s">
        <v>110</v>
      </c>
      <c r="R3338" s="58" t="s">
        <v>265</v>
      </c>
    </row>
    <row r="3339" spans="1:18" ht="69" customHeight="1">
      <c r="A3339" s="168"/>
      <c r="B3339" s="178">
        <v>7404</v>
      </c>
      <c r="C3339" s="178" t="s">
        <v>657</v>
      </c>
      <c r="D3339" s="575" t="s">
        <v>6235</v>
      </c>
      <c r="E3339" s="178" t="s">
        <v>5708</v>
      </c>
      <c r="F3339" s="210" t="s">
        <v>8819</v>
      </c>
      <c r="G3339" s="58" t="s">
        <v>1048</v>
      </c>
      <c r="H3339" s="546">
        <v>8402.5499999999993</v>
      </c>
      <c r="I3339" s="66">
        <v>44879</v>
      </c>
      <c r="J3339" s="411" t="s">
        <v>6117</v>
      </c>
      <c r="K3339" s="58"/>
      <c r="L3339" s="99"/>
      <c r="M3339" s="70" t="s">
        <v>8796</v>
      </c>
      <c r="N3339" s="97" t="s">
        <v>414</v>
      </c>
      <c r="O3339" s="58" t="s">
        <v>5713</v>
      </c>
      <c r="P3339" s="58" t="s">
        <v>24</v>
      </c>
      <c r="Q3339" s="58" t="s">
        <v>110</v>
      </c>
      <c r="R3339" s="58" t="s">
        <v>265</v>
      </c>
    </row>
    <row r="3340" spans="1:18" ht="69" customHeight="1">
      <c r="A3340" s="168"/>
      <c r="B3340" s="178">
        <v>7469</v>
      </c>
      <c r="C3340" s="178" t="s">
        <v>657</v>
      </c>
      <c r="D3340" s="575" t="s">
        <v>3604</v>
      </c>
      <c r="E3340" s="178" t="s">
        <v>2075</v>
      </c>
      <c r="F3340" s="210" t="s">
        <v>8820</v>
      </c>
      <c r="G3340" s="58" t="s">
        <v>1041</v>
      </c>
      <c r="H3340" s="546">
        <v>137280.49</v>
      </c>
      <c r="I3340" s="66">
        <v>44886</v>
      </c>
      <c r="J3340" s="411" t="s">
        <v>1042</v>
      </c>
      <c r="K3340" s="58"/>
      <c r="L3340" s="99"/>
      <c r="M3340" s="70" t="s">
        <v>8821</v>
      </c>
      <c r="N3340" s="97" t="s">
        <v>1044</v>
      </c>
      <c r="O3340" s="58"/>
      <c r="P3340" s="58" t="s">
        <v>26</v>
      </c>
      <c r="Q3340" s="58" t="s">
        <v>110</v>
      </c>
      <c r="R3340" s="58" t="s">
        <v>272</v>
      </c>
    </row>
    <row r="3341" spans="1:18" ht="69" customHeight="1">
      <c r="A3341" s="168"/>
      <c r="B3341" s="178">
        <v>7581</v>
      </c>
      <c r="C3341" s="178" t="s">
        <v>657</v>
      </c>
      <c r="D3341" s="575" t="s">
        <v>8822</v>
      </c>
      <c r="E3341" s="178" t="s">
        <v>5708</v>
      </c>
      <c r="F3341" s="210" t="s">
        <v>8823</v>
      </c>
      <c r="G3341" s="58" t="s">
        <v>1048</v>
      </c>
      <c r="H3341" s="546">
        <v>5400</v>
      </c>
      <c r="I3341" s="66">
        <v>44890</v>
      </c>
      <c r="J3341" s="411" t="s">
        <v>6120</v>
      </c>
      <c r="K3341" s="58"/>
      <c r="L3341" s="99"/>
      <c r="M3341" s="70" t="s">
        <v>8796</v>
      </c>
      <c r="N3341" s="97" t="s">
        <v>414</v>
      </c>
      <c r="O3341" s="58" t="s">
        <v>5713</v>
      </c>
      <c r="P3341" s="58" t="s">
        <v>24</v>
      </c>
      <c r="Q3341" s="58" t="s">
        <v>110</v>
      </c>
      <c r="R3341" s="58" t="s">
        <v>265</v>
      </c>
    </row>
    <row r="3342" spans="1:18" ht="69" customHeight="1">
      <c r="A3342" s="168"/>
      <c r="B3342" s="178">
        <v>7587</v>
      </c>
      <c r="C3342" s="178" t="s">
        <v>657</v>
      </c>
      <c r="D3342" s="575" t="s">
        <v>8824</v>
      </c>
      <c r="E3342" s="178" t="s">
        <v>5708</v>
      </c>
      <c r="F3342" s="210" t="s">
        <v>8825</v>
      </c>
      <c r="G3342" s="58" t="s">
        <v>1048</v>
      </c>
      <c r="H3342" s="546">
        <v>14301</v>
      </c>
      <c r="I3342" s="66">
        <v>44890</v>
      </c>
      <c r="J3342" s="411" t="s">
        <v>6123</v>
      </c>
      <c r="K3342" s="58"/>
      <c r="L3342" s="99"/>
      <c r="M3342" s="70" t="s">
        <v>8796</v>
      </c>
      <c r="N3342" s="97" t="s">
        <v>414</v>
      </c>
      <c r="O3342" s="58" t="s">
        <v>5713</v>
      </c>
      <c r="P3342" s="58" t="s">
        <v>24</v>
      </c>
      <c r="Q3342" s="58" t="s">
        <v>110</v>
      </c>
      <c r="R3342" s="58" t="s">
        <v>265</v>
      </c>
    </row>
    <row r="3343" spans="1:18" ht="69" customHeight="1">
      <c r="A3343" s="168"/>
      <c r="B3343" s="178">
        <v>6722</v>
      </c>
      <c r="C3343" s="589" t="s">
        <v>657</v>
      </c>
      <c r="D3343" s="590" t="s">
        <v>8807</v>
      </c>
      <c r="E3343" s="589" t="s">
        <v>5708</v>
      </c>
      <c r="F3343" s="1057" t="s">
        <v>8808</v>
      </c>
      <c r="G3343" s="102" t="s">
        <v>5710</v>
      </c>
      <c r="H3343" s="1058">
        <v>7259.6</v>
      </c>
      <c r="I3343" s="1059">
        <v>44827</v>
      </c>
      <c r="J3343" s="592" t="s">
        <v>8809</v>
      </c>
      <c r="K3343" s="102" t="s">
        <v>8826</v>
      </c>
      <c r="L3343" s="99"/>
      <c r="M3343" s="70" t="s">
        <v>8796</v>
      </c>
      <c r="N3343" s="97" t="s">
        <v>414</v>
      </c>
      <c r="O3343" s="102" t="s">
        <v>5713</v>
      </c>
      <c r="P3343" s="102"/>
      <c r="Q3343" s="102"/>
      <c r="R3343" s="102" t="s">
        <v>265</v>
      </c>
    </row>
    <row r="3344" spans="1:18" ht="69" customHeight="1">
      <c r="A3344" s="168"/>
      <c r="B3344" s="178">
        <v>6916</v>
      </c>
      <c r="C3344" s="178" t="s">
        <v>657</v>
      </c>
      <c r="D3344" s="575" t="s">
        <v>692</v>
      </c>
      <c r="E3344" s="178" t="s">
        <v>266</v>
      </c>
      <c r="F3344" s="210" t="s">
        <v>8827</v>
      </c>
      <c r="G3344" s="58" t="s">
        <v>1053</v>
      </c>
      <c r="H3344" s="546">
        <v>5810</v>
      </c>
      <c r="I3344" s="66">
        <v>44844</v>
      </c>
      <c r="J3344" s="411" t="s">
        <v>8828</v>
      </c>
      <c r="K3344" s="58"/>
      <c r="L3344" s="99"/>
      <c r="M3344" s="70" t="s">
        <v>8738</v>
      </c>
      <c r="N3344" s="97" t="s">
        <v>270</v>
      </c>
      <c r="O3344" s="58"/>
      <c r="P3344" s="58" t="s">
        <v>44</v>
      </c>
      <c r="Q3344" s="58" t="s">
        <v>110</v>
      </c>
      <c r="R3344" s="58" t="s">
        <v>272</v>
      </c>
    </row>
    <row r="3345" spans="1:18" ht="69" customHeight="1">
      <c r="A3345" s="168"/>
      <c r="B3345" s="178">
        <v>7577</v>
      </c>
      <c r="C3345" s="178" t="s">
        <v>657</v>
      </c>
      <c r="D3345" s="575" t="s">
        <v>3737</v>
      </c>
      <c r="E3345" s="178" t="s">
        <v>2075</v>
      </c>
      <c r="F3345" s="210" t="s">
        <v>8829</v>
      </c>
      <c r="G3345" s="58" t="s">
        <v>1041</v>
      </c>
      <c r="H3345" s="546">
        <v>8680</v>
      </c>
      <c r="I3345" s="66">
        <v>44904</v>
      </c>
      <c r="J3345" s="411" t="s">
        <v>1080</v>
      </c>
      <c r="K3345" s="58"/>
      <c r="L3345" s="99"/>
      <c r="M3345" s="70" t="s">
        <v>8821</v>
      </c>
      <c r="N3345" s="97" t="s">
        <v>1044</v>
      </c>
      <c r="O3345" s="58"/>
      <c r="P3345" s="58" t="s">
        <v>26</v>
      </c>
      <c r="Q3345" s="58" t="s">
        <v>110</v>
      </c>
      <c r="R3345" s="58" t="s">
        <v>272</v>
      </c>
    </row>
    <row r="3346" spans="1:18" ht="69" customHeight="1">
      <c r="A3346" s="168"/>
      <c r="B3346" s="178">
        <v>7300</v>
      </c>
      <c r="C3346" s="178" t="s">
        <v>657</v>
      </c>
      <c r="D3346" s="575" t="s">
        <v>1572</v>
      </c>
      <c r="E3346" s="178" t="s">
        <v>2075</v>
      </c>
      <c r="F3346" s="210" t="s">
        <v>8830</v>
      </c>
      <c r="G3346" s="58" t="s">
        <v>1041</v>
      </c>
      <c r="H3346" s="546">
        <v>41575.35</v>
      </c>
      <c r="I3346" s="66">
        <v>44869</v>
      </c>
      <c r="J3346" s="411" t="s">
        <v>6099</v>
      </c>
      <c r="K3346" s="58"/>
      <c r="L3346" s="99"/>
      <c r="M3346" s="70" t="s">
        <v>8821</v>
      </c>
      <c r="N3346" s="97" t="s">
        <v>1044</v>
      </c>
      <c r="O3346" s="58"/>
      <c r="P3346" s="58" t="s">
        <v>26</v>
      </c>
      <c r="Q3346" s="58" t="s">
        <v>110</v>
      </c>
      <c r="R3346" s="58" t="s">
        <v>272</v>
      </c>
    </row>
    <row r="3347" spans="1:18" ht="69" customHeight="1">
      <c r="A3347" s="168"/>
      <c r="B3347" s="178">
        <v>8566</v>
      </c>
      <c r="C3347" s="178" t="s">
        <v>657</v>
      </c>
      <c r="D3347" s="575" t="s">
        <v>1218</v>
      </c>
      <c r="E3347" s="178" t="s">
        <v>3235</v>
      </c>
      <c r="F3347" s="210" t="s">
        <v>8831</v>
      </c>
      <c r="G3347" s="58" t="s">
        <v>1877</v>
      </c>
      <c r="H3347" s="546">
        <v>13204.8</v>
      </c>
      <c r="I3347" s="66">
        <v>44946</v>
      </c>
      <c r="J3347" s="411" t="s">
        <v>1878</v>
      </c>
      <c r="K3347" s="58"/>
      <c r="L3347" s="99"/>
      <c r="M3347" s="70" t="s">
        <v>8821</v>
      </c>
      <c r="N3347" s="97" t="s">
        <v>1044</v>
      </c>
      <c r="O3347" s="58"/>
      <c r="P3347" s="58" t="s">
        <v>26</v>
      </c>
      <c r="Q3347" s="58" t="s">
        <v>110</v>
      </c>
      <c r="R3347" s="58" t="s">
        <v>272</v>
      </c>
    </row>
    <row r="3348" spans="1:18" ht="69" customHeight="1">
      <c r="A3348" s="168"/>
      <c r="B3348" s="178">
        <v>7716</v>
      </c>
      <c r="C3348" s="178" t="s">
        <v>657</v>
      </c>
      <c r="D3348" s="575" t="s">
        <v>8832</v>
      </c>
      <c r="E3348" s="178" t="s">
        <v>350</v>
      </c>
      <c r="F3348" s="210" t="s">
        <v>8833</v>
      </c>
      <c r="G3348" s="58" t="s">
        <v>805</v>
      </c>
      <c r="H3348" s="546">
        <v>118860</v>
      </c>
      <c r="I3348" s="66">
        <v>44908</v>
      </c>
      <c r="J3348" s="411" t="s">
        <v>806</v>
      </c>
      <c r="K3348" s="58"/>
      <c r="L3348" s="99"/>
      <c r="M3348" s="70" t="s">
        <v>8742</v>
      </c>
      <c r="N3348" s="97" t="s">
        <v>356</v>
      </c>
      <c r="O3348" s="58" t="s">
        <v>141</v>
      </c>
      <c r="P3348" s="58" t="s">
        <v>19</v>
      </c>
      <c r="Q3348" s="58" t="s">
        <v>110</v>
      </c>
      <c r="R3348" s="58" t="s">
        <v>265</v>
      </c>
    </row>
    <row r="3349" spans="1:18" ht="69" customHeight="1">
      <c r="A3349" s="168"/>
      <c r="B3349" s="178">
        <v>6682</v>
      </c>
      <c r="C3349" s="178" t="s">
        <v>657</v>
      </c>
      <c r="D3349" s="575" t="s">
        <v>8834</v>
      </c>
      <c r="E3349" s="178" t="s">
        <v>350</v>
      </c>
      <c r="F3349" s="210" t="s">
        <v>8835</v>
      </c>
      <c r="G3349" s="58" t="s">
        <v>744</v>
      </c>
      <c r="H3349" s="546">
        <v>151640.39000000001</v>
      </c>
      <c r="I3349" s="66">
        <v>44844</v>
      </c>
      <c r="J3349" s="411" t="s">
        <v>8836</v>
      </c>
      <c r="K3349" s="58"/>
      <c r="L3349" s="99"/>
      <c r="M3349" s="70" t="s">
        <v>8742</v>
      </c>
      <c r="N3349" s="97" t="s">
        <v>356</v>
      </c>
      <c r="O3349" s="58" t="s">
        <v>141</v>
      </c>
      <c r="P3349" s="58" t="s">
        <v>19</v>
      </c>
      <c r="Q3349" s="58" t="s">
        <v>110</v>
      </c>
      <c r="R3349" s="58" t="s">
        <v>265</v>
      </c>
    </row>
    <row r="3350" spans="1:18" ht="69" customHeight="1">
      <c r="A3350" s="168"/>
      <c r="B3350" s="178">
        <v>7380</v>
      </c>
      <c r="C3350" s="178" t="s">
        <v>657</v>
      </c>
      <c r="D3350" s="575" t="s">
        <v>4878</v>
      </c>
      <c r="E3350" s="178" t="s">
        <v>432</v>
      </c>
      <c r="F3350" s="210" t="s">
        <v>8837</v>
      </c>
      <c r="G3350" s="58" t="s">
        <v>1121</v>
      </c>
      <c r="H3350" s="546">
        <v>34317.03</v>
      </c>
      <c r="I3350" s="66">
        <v>44876</v>
      </c>
      <c r="J3350" s="411" t="s">
        <v>1122</v>
      </c>
      <c r="K3350" s="58"/>
      <c r="L3350" s="99"/>
      <c r="M3350" s="70" t="s">
        <v>8793</v>
      </c>
      <c r="N3350" s="97" t="s">
        <v>432</v>
      </c>
      <c r="O3350" s="58"/>
      <c r="P3350" s="58" t="s">
        <v>53</v>
      </c>
      <c r="Q3350" s="58" t="s">
        <v>110</v>
      </c>
      <c r="R3350" s="58" t="s">
        <v>272</v>
      </c>
    </row>
    <row r="3351" spans="1:18" ht="69" customHeight="1">
      <c r="A3351" s="168"/>
      <c r="B3351" s="178">
        <v>7629</v>
      </c>
      <c r="C3351" s="178" t="s">
        <v>8797</v>
      </c>
      <c r="D3351" s="575" t="s">
        <v>8838</v>
      </c>
      <c r="E3351" s="178" t="s">
        <v>8839</v>
      </c>
      <c r="F3351" s="210" t="s">
        <v>8840</v>
      </c>
      <c r="G3351" s="58" t="s">
        <v>8841</v>
      </c>
      <c r="H3351" s="546">
        <v>228750</v>
      </c>
      <c r="I3351" s="66">
        <v>44895</v>
      </c>
      <c r="J3351" s="411" t="s">
        <v>7342</v>
      </c>
      <c r="K3351" s="58"/>
      <c r="L3351" s="99"/>
      <c r="M3351" s="70" t="s">
        <v>8806</v>
      </c>
      <c r="N3351" s="97" t="s">
        <v>414</v>
      </c>
      <c r="O3351" s="58"/>
      <c r="P3351" s="58" t="s">
        <v>59</v>
      </c>
      <c r="Q3351" s="58" t="s">
        <v>110</v>
      </c>
      <c r="R3351" s="58" t="s">
        <v>272</v>
      </c>
    </row>
    <row r="3352" spans="1:18" ht="69" customHeight="1">
      <c r="A3352" s="168"/>
      <c r="B3352" s="178">
        <v>7792</v>
      </c>
      <c r="C3352" s="178" t="s">
        <v>8797</v>
      </c>
      <c r="D3352" s="575" t="s">
        <v>4610</v>
      </c>
      <c r="E3352" s="178" t="s">
        <v>7265</v>
      </c>
      <c r="F3352" s="210" t="s">
        <v>8842</v>
      </c>
      <c r="G3352" s="58" t="s">
        <v>6312</v>
      </c>
      <c r="H3352" s="546">
        <v>411105.33</v>
      </c>
      <c r="I3352" s="66">
        <v>44907</v>
      </c>
      <c r="J3352" s="411" t="s">
        <v>6313</v>
      </c>
      <c r="K3352" s="58"/>
      <c r="L3352" s="99"/>
      <c r="M3352" s="70" t="s">
        <v>8806</v>
      </c>
      <c r="N3352" s="97" t="s">
        <v>414</v>
      </c>
      <c r="O3352" s="58" t="s">
        <v>5713</v>
      </c>
      <c r="P3352" s="58" t="s">
        <v>24</v>
      </c>
      <c r="Q3352" s="58" t="s">
        <v>110</v>
      </c>
      <c r="R3352" s="58" t="s">
        <v>272</v>
      </c>
    </row>
    <row r="3353" spans="1:18" ht="69" customHeight="1">
      <c r="A3353" s="168"/>
      <c r="B3353" s="178">
        <v>7635</v>
      </c>
      <c r="C3353" s="178" t="s">
        <v>657</v>
      </c>
      <c r="D3353" s="575" t="s">
        <v>2817</v>
      </c>
      <c r="E3353" s="178" t="s">
        <v>5708</v>
      </c>
      <c r="F3353" s="210" t="s">
        <v>8843</v>
      </c>
      <c r="G3353" s="58" t="s">
        <v>1048</v>
      </c>
      <c r="H3353" s="546">
        <v>7024.93</v>
      </c>
      <c r="I3353" s="66">
        <v>44895</v>
      </c>
      <c r="J3353" s="411" t="s">
        <v>6139</v>
      </c>
      <c r="K3353" s="58"/>
      <c r="L3353" s="99"/>
      <c r="M3353" s="70" t="s">
        <v>8796</v>
      </c>
      <c r="N3353" s="97" t="s">
        <v>414</v>
      </c>
      <c r="O3353" s="58" t="s">
        <v>5713</v>
      </c>
      <c r="P3353" s="58" t="s">
        <v>24</v>
      </c>
      <c r="Q3353" s="58" t="s">
        <v>110</v>
      </c>
      <c r="R3353" s="58" t="s">
        <v>265</v>
      </c>
    </row>
    <row r="3354" spans="1:18" ht="69" customHeight="1">
      <c r="A3354" s="168"/>
      <c r="B3354" s="178">
        <v>7641</v>
      </c>
      <c r="C3354" s="178" t="s">
        <v>657</v>
      </c>
      <c r="D3354" s="575" t="s">
        <v>8844</v>
      </c>
      <c r="E3354" s="178" t="s">
        <v>5708</v>
      </c>
      <c r="F3354" s="210" t="s">
        <v>8845</v>
      </c>
      <c r="G3354" s="58" t="s">
        <v>1048</v>
      </c>
      <c r="H3354" s="546">
        <v>19572.82</v>
      </c>
      <c r="I3354" s="66">
        <v>44895</v>
      </c>
      <c r="J3354" s="411" t="s">
        <v>6139</v>
      </c>
      <c r="K3354" s="58"/>
      <c r="L3354" s="99"/>
      <c r="M3354" s="70" t="s">
        <v>8796</v>
      </c>
      <c r="N3354" s="97" t="s">
        <v>414</v>
      </c>
      <c r="O3354" s="58" t="s">
        <v>5713</v>
      </c>
      <c r="P3354" s="58" t="s">
        <v>24</v>
      </c>
      <c r="Q3354" s="58" t="s">
        <v>110</v>
      </c>
      <c r="R3354" s="58" t="s">
        <v>265</v>
      </c>
    </row>
    <row r="3355" spans="1:18" ht="69" customHeight="1">
      <c r="A3355" s="168"/>
      <c r="B3355" s="178">
        <v>7645</v>
      </c>
      <c r="C3355" s="178" t="s">
        <v>8797</v>
      </c>
      <c r="D3355" s="575" t="s">
        <v>8846</v>
      </c>
      <c r="E3355" s="178" t="s">
        <v>5708</v>
      </c>
      <c r="F3355" s="210" t="s">
        <v>8847</v>
      </c>
      <c r="G3355" s="58" t="s">
        <v>6319</v>
      </c>
      <c r="H3355" s="546">
        <v>30345.68</v>
      </c>
      <c r="I3355" s="66">
        <v>44895</v>
      </c>
      <c r="J3355" s="411" t="s">
        <v>6320</v>
      </c>
      <c r="K3355" s="58"/>
      <c r="L3355" s="99"/>
      <c r="M3355" s="70" t="s">
        <v>8796</v>
      </c>
      <c r="N3355" s="97" t="s">
        <v>414</v>
      </c>
      <c r="O3355" s="58" t="s">
        <v>5713</v>
      </c>
      <c r="P3355" s="58" t="s">
        <v>24</v>
      </c>
      <c r="Q3355" s="58" t="s">
        <v>110</v>
      </c>
      <c r="R3355" s="58" t="s">
        <v>265</v>
      </c>
    </row>
    <row r="3356" spans="1:18" ht="69" customHeight="1">
      <c r="A3356" s="168"/>
      <c r="B3356" s="178">
        <v>7680</v>
      </c>
      <c r="C3356" s="178" t="s">
        <v>657</v>
      </c>
      <c r="D3356" s="575" t="s">
        <v>8848</v>
      </c>
      <c r="E3356" s="178" t="s">
        <v>5708</v>
      </c>
      <c r="F3356" s="210" t="s">
        <v>8849</v>
      </c>
      <c r="G3356" s="58" t="s">
        <v>7351</v>
      </c>
      <c r="H3356" s="546">
        <v>4840</v>
      </c>
      <c r="I3356" s="66">
        <v>44900</v>
      </c>
      <c r="J3356" s="411" t="s">
        <v>6128</v>
      </c>
      <c r="K3356" s="58"/>
      <c r="L3356" s="99"/>
      <c r="M3356" s="70" t="s">
        <v>8796</v>
      </c>
      <c r="N3356" s="97" t="s">
        <v>414</v>
      </c>
      <c r="O3356" s="58" t="s">
        <v>5713</v>
      </c>
      <c r="P3356" s="58" t="s">
        <v>24</v>
      </c>
      <c r="Q3356" s="58" t="s">
        <v>110</v>
      </c>
      <c r="R3356" s="58" t="s">
        <v>265</v>
      </c>
    </row>
    <row r="3357" spans="1:18" ht="69" customHeight="1">
      <c r="A3357" s="168"/>
      <c r="B3357" s="178">
        <v>7681</v>
      </c>
      <c r="C3357" s="178" t="s">
        <v>657</v>
      </c>
      <c r="D3357" s="575" t="s">
        <v>8850</v>
      </c>
      <c r="E3357" s="178" t="s">
        <v>5708</v>
      </c>
      <c r="F3357" s="210" t="s">
        <v>8851</v>
      </c>
      <c r="G3357" s="58" t="s">
        <v>7351</v>
      </c>
      <c r="H3357" s="546">
        <v>19289.7</v>
      </c>
      <c r="I3357" s="66">
        <v>44900</v>
      </c>
      <c r="J3357" s="411" t="s">
        <v>6128</v>
      </c>
      <c r="K3357" s="58"/>
      <c r="L3357" s="99"/>
      <c r="M3357" s="70" t="s">
        <v>8796</v>
      </c>
      <c r="N3357" s="97" t="s">
        <v>414</v>
      </c>
      <c r="O3357" s="58" t="s">
        <v>5713</v>
      </c>
      <c r="P3357" s="58" t="s">
        <v>24</v>
      </c>
      <c r="Q3357" s="58" t="s">
        <v>110</v>
      </c>
      <c r="R3357" s="58" t="s">
        <v>265</v>
      </c>
    </row>
    <row r="3358" spans="1:18" ht="69" customHeight="1">
      <c r="A3358" s="168"/>
      <c r="B3358" s="178">
        <v>8053</v>
      </c>
      <c r="C3358" s="178" t="s">
        <v>657</v>
      </c>
      <c r="D3358" s="575" t="s">
        <v>7319</v>
      </c>
      <c r="E3358" s="178" t="s">
        <v>5708</v>
      </c>
      <c r="F3358" s="210" t="s">
        <v>8852</v>
      </c>
      <c r="G3358" s="58" t="s">
        <v>1048</v>
      </c>
      <c r="H3358" s="546">
        <v>4599.0200000000004</v>
      </c>
      <c r="I3358" s="66">
        <v>44881</v>
      </c>
      <c r="J3358" s="411" t="s">
        <v>6324</v>
      </c>
      <c r="K3358" s="58"/>
      <c r="L3358" s="99"/>
      <c r="M3358" s="70" t="s">
        <v>8796</v>
      </c>
      <c r="N3358" s="97" t="s">
        <v>414</v>
      </c>
      <c r="O3358" s="58" t="s">
        <v>5713</v>
      </c>
      <c r="P3358" s="58" t="s">
        <v>24</v>
      </c>
      <c r="Q3358" s="58" t="s">
        <v>110</v>
      </c>
      <c r="R3358" s="58" t="s">
        <v>265</v>
      </c>
    </row>
    <row r="3359" spans="1:18" ht="69" customHeight="1">
      <c r="A3359" s="168"/>
      <c r="B3359" s="178">
        <v>8057</v>
      </c>
      <c r="C3359" s="178" t="s">
        <v>657</v>
      </c>
      <c r="D3359" s="575" t="s">
        <v>7006</v>
      </c>
      <c r="E3359" s="178" t="s">
        <v>5708</v>
      </c>
      <c r="F3359" s="210" t="s">
        <v>8853</v>
      </c>
      <c r="G3359" s="58" t="s">
        <v>6326</v>
      </c>
      <c r="H3359" s="546">
        <v>12500</v>
      </c>
      <c r="I3359" s="66">
        <v>44881</v>
      </c>
      <c r="J3359" s="411" t="s">
        <v>6327</v>
      </c>
      <c r="K3359" s="58"/>
      <c r="L3359" s="99"/>
      <c r="M3359" s="70" t="s">
        <v>8796</v>
      </c>
      <c r="N3359" s="97" t="s">
        <v>414</v>
      </c>
      <c r="O3359" s="58" t="s">
        <v>5713</v>
      </c>
      <c r="P3359" s="58" t="s">
        <v>24</v>
      </c>
      <c r="Q3359" s="58" t="s">
        <v>110</v>
      </c>
      <c r="R3359" s="58" t="s">
        <v>265</v>
      </c>
    </row>
    <row r="3360" spans="1:18" ht="69" customHeight="1">
      <c r="A3360" s="168"/>
      <c r="B3360" s="178">
        <v>8082</v>
      </c>
      <c r="C3360" s="178" t="s">
        <v>657</v>
      </c>
      <c r="D3360" s="575" t="s">
        <v>8854</v>
      </c>
      <c r="E3360" s="178" t="s">
        <v>5708</v>
      </c>
      <c r="F3360" s="210" t="s">
        <v>8855</v>
      </c>
      <c r="G3360" s="58" t="s">
        <v>1048</v>
      </c>
      <c r="H3360" s="546">
        <v>3450</v>
      </c>
      <c r="I3360" s="66">
        <v>44911</v>
      </c>
      <c r="J3360" s="411" t="s">
        <v>6329</v>
      </c>
      <c r="K3360" s="58"/>
      <c r="L3360" s="99"/>
      <c r="M3360" s="70" t="s">
        <v>8796</v>
      </c>
      <c r="N3360" s="97" t="s">
        <v>414</v>
      </c>
      <c r="O3360" s="58" t="s">
        <v>5713</v>
      </c>
      <c r="P3360" s="58" t="s">
        <v>24</v>
      </c>
      <c r="Q3360" s="58" t="s">
        <v>110</v>
      </c>
      <c r="R3360" s="58" t="s">
        <v>265</v>
      </c>
    </row>
    <row r="3361" spans="1:18" ht="69" customHeight="1">
      <c r="A3361" s="168"/>
      <c r="B3361" s="178">
        <v>8128</v>
      </c>
      <c r="C3361" s="178" t="s">
        <v>657</v>
      </c>
      <c r="D3361" s="575" t="s">
        <v>8584</v>
      </c>
      <c r="E3361" s="178" t="s">
        <v>5708</v>
      </c>
      <c r="F3361" s="210" t="s">
        <v>8856</v>
      </c>
      <c r="G3361" s="58" t="s">
        <v>1149</v>
      </c>
      <c r="H3361" s="546">
        <v>37220</v>
      </c>
      <c r="I3361" s="66">
        <v>44914</v>
      </c>
      <c r="J3361" s="411" t="s">
        <v>6130</v>
      </c>
      <c r="K3361" s="58"/>
      <c r="L3361" s="99"/>
      <c r="M3361" s="70" t="s">
        <v>8796</v>
      </c>
      <c r="N3361" s="97" t="s">
        <v>414</v>
      </c>
      <c r="O3361" s="58" t="s">
        <v>5713</v>
      </c>
      <c r="P3361" s="58" t="s">
        <v>24</v>
      </c>
      <c r="Q3361" s="58" t="s">
        <v>110</v>
      </c>
      <c r="R3361" s="58" t="s">
        <v>265</v>
      </c>
    </row>
    <row r="3362" spans="1:18" ht="69" customHeight="1">
      <c r="A3362" s="168"/>
      <c r="B3362" s="178">
        <v>8132</v>
      </c>
      <c r="C3362" s="178" t="s">
        <v>657</v>
      </c>
      <c r="D3362" s="575" t="s">
        <v>6797</v>
      </c>
      <c r="E3362" s="178" t="s">
        <v>5708</v>
      </c>
      <c r="F3362" s="210" t="s">
        <v>8857</v>
      </c>
      <c r="G3362" s="58" t="s">
        <v>1149</v>
      </c>
      <c r="H3362" s="546">
        <v>7124</v>
      </c>
      <c r="I3362" s="66">
        <v>44914</v>
      </c>
      <c r="J3362" s="411" t="s">
        <v>6338</v>
      </c>
      <c r="K3362" s="58"/>
      <c r="L3362" s="99"/>
      <c r="M3362" s="70" t="s">
        <v>8796</v>
      </c>
      <c r="N3362" s="97" t="s">
        <v>414</v>
      </c>
      <c r="O3362" s="58" t="s">
        <v>5713</v>
      </c>
      <c r="P3362" s="58" t="s">
        <v>24</v>
      </c>
      <c r="Q3362" s="58" t="s">
        <v>110</v>
      </c>
      <c r="R3362" s="58" t="s">
        <v>265</v>
      </c>
    </row>
    <row r="3363" spans="1:18" ht="69" customHeight="1">
      <c r="A3363" s="168"/>
      <c r="B3363" s="178">
        <v>8138</v>
      </c>
      <c r="C3363" s="178" t="s">
        <v>657</v>
      </c>
      <c r="D3363" s="575" t="s">
        <v>5714</v>
      </c>
      <c r="E3363" s="178" t="s">
        <v>5708</v>
      </c>
      <c r="F3363" s="210" t="s">
        <v>8858</v>
      </c>
      <c r="G3363" s="58" t="s">
        <v>1149</v>
      </c>
      <c r="H3363" s="546">
        <v>31918.75</v>
      </c>
      <c r="I3363" s="66">
        <v>44914</v>
      </c>
      <c r="J3363" s="411" t="s">
        <v>6133</v>
      </c>
      <c r="K3363" s="58"/>
      <c r="L3363" s="99"/>
      <c r="M3363" s="70" t="s">
        <v>8796</v>
      </c>
      <c r="N3363" s="97" t="s">
        <v>414</v>
      </c>
      <c r="O3363" s="58" t="s">
        <v>5713</v>
      </c>
      <c r="P3363" s="58" t="s">
        <v>24</v>
      </c>
      <c r="Q3363" s="58" t="s">
        <v>110</v>
      </c>
      <c r="R3363" s="58" t="s">
        <v>265</v>
      </c>
    </row>
    <row r="3364" spans="1:18" ht="69" customHeight="1">
      <c r="A3364" s="168"/>
      <c r="B3364" s="178">
        <v>8162</v>
      </c>
      <c r="C3364" s="178" t="s">
        <v>657</v>
      </c>
      <c r="D3364" s="575" t="s">
        <v>8859</v>
      </c>
      <c r="E3364" s="178" t="s">
        <v>5708</v>
      </c>
      <c r="F3364" s="210" t="s">
        <v>8860</v>
      </c>
      <c r="G3364" s="58" t="s">
        <v>1149</v>
      </c>
      <c r="H3364" s="546">
        <v>9471.64</v>
      </c>
      <c r="I3364" s="66">
        <v>44886</v>
      </c>
      <c r="J3364" s="411" t="s">
        <v>6136</v>
      </c>
      <c r="K3364" s="58"/>
      <c r="L3364" s="99"/>
      <c r="M3364" s="70" t="s">
        <v>8796</v>
      </c>
      <c r="N3364" s="97" t="s">
        <v>414</v>
      </c>
      <c r="O3364" s="58" t="s">
        <v>5713</v>
      </c>
      <c r="P3364" s="58" t="s">
        <v>24</v>
      </c>
      <c r="Q3364" s="58" t="s">
        <v>110</v>
      </c>
      <c r="R3364" s="58" t="s">
        <v>265</v>
      </c>
    </row>
    <row r="3365" spans="1:18" ht="69" customHeight="1">
      <c r="A3365" s="168"/>
      <c r="B3365" s="178">
        <v>8166</v>
      </c>
      <c r="C3365" s="178" t="s">
        <v>657</v>
      </c>
      <c r="D3365" s="575" t="s">
        <v>8861</v>
      </c>
      <c r="E3365" s="178" t="s">
        <v>5708</v>
      </c>
      <c r="F3365" s="210" t="s">
        <v>8862</v>
      </c>
      <c r="G3365" s="58"/>
      <c r="H3365" s="546">
        <v>14160</v>
      </c>
      <c r="I3365" s="66">
        <v>44914</v>
      </c>
      <c r="J3365" s="411" t="s">
        <v>8863</v>
      </c>
      <c r="K3365" s="58"/>
      <c r="L3365" s="99"/>
      <c r="M3365" s="70" t="s">
        <v>8796</v>
      </c>
      <c r="N3365" s="97" t="s">
        <v>414</v>
      </c>
      <c r="O3365" s="58" t="s">
        <v>5713</v>
      </c>
      <c r="P3365" s="58" t="s">
        <v>24</v>
      </c>
      <c r="Q3365" s="58" t="s">
        <v>110</v>
      </c>
      <c r="R3365" s="58" t="s">
        <v>265</v>
      </c>
    </row>
    <row r="3366" spans="1:18" ht="69" customHeight="1">
      <c r="A3366" s="168"/>
      <c r="B3366" s="178">
        <v>8178</v>
      </c>
      <c r="C3366" s="178" t="s">
        <v>657</v>
      </c>
      <c r="D3366" s="575" t="s">
        <v>7321</v>
      </c>
      <c r="E3366" s="178" t="s">
        <v>5708</v>
      </c>
      <c r="F3366" s="210" t="s">
        <v>8864</v>
      </c>
      <c r="G3366" s="58" t="s">
        <v>1149</v>
      </c>
      <c r="H3366" s="546">
        <v>4377.5200000000004</v>
      </c>
      <c r="I3366" s="66">
        <v>44916</v>
      </c>
      <c r="J3366" s="411" t="s">
        <v>6069</v>
      </c>
      <c r="K3366" s="58"/>
      <c r="L3366" s="99"/>
      <c r="M3366" s="70" t="s">
        <v>8796</v>
      </c>
      <c r="N3366" s="97" t="s">
        <v>414</v>
      </c>
      <c r="O3366" s="58" t="s">
        <v>5713</v>
      </c>
      <c r="P3366" s="58" t="s">
        <v>24</v>
      </c>
      <c r="Q3366" s="58" t="s">
        <v>110</v>
      </c>
      <c r="R3366" s="58" t="s">
        <v>265</v>
      </c>
    </row>
    <row r="3367" spans="1:18" ht="69" customHeight="1">
      <c r="A3367" s="168"/>
      <c r="B3367" s="178">
        <v>8154</v>
      </c>
      <c r="C3367" s="178" t="s">
        <v>8865</v>
      </c>
      <c r="D3367" s="575" t="s">
        <v>6802</v>
      </c>
      <c r="E3367" s="178" t="s">
        <v>741</v>
      </c>
      <c r="F3367" s="210" t="s">
        <v>8866</v>
      </c>
      <c r="G3367" s="58" t="s">
        <v>7366</v>
      </c>
      <c r="H3367" s="546">
        <v>45750</v>
      </c>
      <c r="I3367" s="66">
        <v>44914</v>
      </c>
      <c r="J3367" s="411" t="s">
        <v>6352</v>
      </c>
      <c r="K3367" s="58"/>
      <c r="L3367" s="99"/>
      <c r="M3367" s="70" t="s">
        <v>8867</v>
      </c>
      <c r="N3367" s="97" t="s">
        <v>741</v>
      </c>
      <c r="O3367" s="58"/>
      <c r="P3367" s="58" t="s">
        <v>59</v>
      </c>
      <c r="Q3367" s="58" t="s">
        <v>110</v>
      </c>
      <c r="R3367" s="58" t="s">
        <v>272</v>
      </c>
    </row>
    <row r="3368" spans="1:18" ht="69" customHeight="1">
      <c r="A3368" s="168"/>
      <c r="B3368" s="178">
        <v>7037</v>
      </c>
      <c r="C3368" s="178" t="s">
        <v>657</v>
      </c>
      <c r="D3368" s="575" t="s">
        <v>8868</v>
      </c>
      <c r="E3368" s="178" t="s">
        <v>266</v>
      </c>
      <c r="F3368" s="210" t="s">
        <v>8869</v>
      </c>
      <c r="G3368" s="58" t="s">
        <v>1107</v>
      </c>
      <c r="H3368" s="546">
        <v>7293.34</v>
      </c>
      <c r="I3368" s="66">
        <v>44848</v>
      </c>
      <c r="J3368" s="411" t="s">
        <v>8870</v>
      </c>
      <c r="K3368" s="58"/>
      <c r="L3368" s="99"/>
      <c r="M3368" s="70" t="s">
        <v>8757</v>
      </c>
      <c r="N3368" s="97" t="s">
        <v>683</v>
      </c>
      <c r="O3368" s="58" t="s">
        <v>971</v>
      </c>
      <c r="P3368" s="58" t="s">
        <v>38</v>
      </c>
      <c r="Q3368" s="58" t="s">
        <v>110</v>
      </c>
      <c r="R3368" s="58" t="s">
        <v>272</v>
      </c>
    </row>
    <row r="3369" spans="1:18" ht="69" customHeight="1">
      <c r="A3369" s="168"/>
      <c r="B3369" s="178">
        <v>8312</v>
      </c>
      <c r="C3369" s="178" t="s">
        <v>657</v>
      </c>
      <c r="D3369" s="575" t="s">
        <v>8871</v>
      </c>
      <c r="E3369" s="178" t="s">
        <v>5708</v>
      </c>
      <c r="F3369" s="210" t="s">
        <v>8872</v>
      </c>
      <c r="G3369" s="58" t="s">
        <v>6361</v>
      </c>
      <c r="H3369" s="546">
        <v>23200</v>
      </c>
      <c r="I3369" s="66">
        <v>44921</v>
      </c>
      <c r="J3369" s="411" t="s">
        <v>6362</v>
      </c>
      <c r="K3369" s="58"/>
      <c r="L3369" s="99"/>
      <c r="M3369" s="70" t="s">
        <v>8796</v>
      </c>
      <c r="N3369" s="97" t="s">
        <v>414</v>
      </c>
      <c r="O3369" s="58" t="s">
        <v>5713</v>
      </c>
      <c r="P3369" s="58" t="s">
        <v>24</v>
      </c>
      <c r="Q3369" s="58" t="s">
        <v>110</v>
      </c>
      <c r="R3369" s="58" t="s">
        <v>265</v>
      </c>
    </row>
    <row r="3370" spans="1:18" ht="69" customHeight="1">
      <c r="A3370" s="168"/>
      <c r="B3370" s="178">
        <v>8314</v>
      </c>
      <c r="C3370" s="178" t="s">
        <v>657</v>
      </c>
      <c r="D3370" s="575" t="s">
        <v>8873</v>
      </c>
      <c r="E3370" s="178" t="s">
        <v>5708</v>
      </c>
      <c r="F3370" s="210" t="s">
        <v>8874</v>
      </c>
      <c r="G3370" s="58" t="s">
        <v>8875</v>
      </c>
      <c r="H3370" s="546">
        <v>5800</v>
      </c>
      <c r="I3370" s="66">
        <v>44921</v>
      </c>
      <c r="J3370" s="411" t="s">
        <v>6362</v>
      </c>
      <c r="K3370" s="58"/>
      <c r="L3370" s="99"/>
      <c r="M3370" s="70" t="s">
        <v>8796</v>
      </c>
      <c r="N3370" s="97" t="s">
        <v>414</v>
      </c>
      <c r="O3370" s="58" t="s">
        <v>5713</v>
      </c>
      <c r="P3370" s="58" t="s">
        <v>24</v>
      </c>
      <c r="Q3370" s="58" t="s">
        <v>110</v>
      </c>
      <c r="R3370" s="58" t="s">
        <v>265</v>
      </c>
    </row>
    <row r="3371" spans="1:18" ht="69" customHeight="1">
      <c r="A3371" s="168"/>
      <c r="B3371" s="178">
        <v>8316</v>
      </c>
      <c r="C3371" s="178" t="s">
        <v>657</v>
      </c>
      <c r="D3371" s="575" t="s">
        <v>8876</v>
      </c>
      <c r="E3371" s="178" t="s">
        <v>5708</v>
      </c>
      <c r="F3371" s="210" t="s">
        <v>8877</v>
      </c>
      <c r="G3371" s="58" t="s">
        <v>6361</v>
      </c>
      <c r="H3371" s="546">
        <v>8797</v>
      </c>
      <c r="I3371" s="66">
        <v>44921</v>
      </c>
      <c r="J3371" s="411" t="s">
        <v>6362</v>
      </c>
      <c r="K3371" s="58"/>
      <c r="L3371" s="99"/>
      <c r="M3371" s="70" t="s">
        <v>8796</v>
      </c>
      <c r="N3371" s="97" t="s">
        <v>414</v>
      </c>
      <c r="O3371" s="58" t="s">
        <v>5713</v>
      </c>
      <c r="P3371" s="58" t="s">
        <v>24</v>
      </c>
      <c r="Q3371" s="58" t="s">
        <v>110</v>
      </c>
      <c r="R3371" s="58" t="s">
        <v>265</v>
      </c>
    </row>
    <row r="3372" spans="1:18" ht="69" customHeight="1">
      <c r="A3372" s="168"/>
      <c r="B3372" s="178">
        <v>8322</v>
      </c>
      <c r="C3372" s="178" t="s">
        <v>8797</v>
      </c>
      <c r="D3372" s="575" t="s">
        <v>8878</v>
      </c>
      <c r="E3372" s="178" t="s">
        <v>5708</v>
      </c>
      <c r="F3372" s="210" t="s">
        <v>8879</v>
      </c>
      <c r="G3372" s="58" t="s">
        <v>8880</v>
      </c>
      <c r="H3372" s="546">
        <v>30345.68</v>
      </c>
      <c r="I3372" s="66">
        <v>44924</v>
      </c>
      <c r="J3372" s="411" t="s">
        <v>6076</v>
      </c>
      <c r="K3372" s="58"/>
      <c r="L3372" s="99"/>
      <c r="M3372" s="70" t="s">
        <v>8796</v>
      </c>
      <c r="N3372" s="97" t="s">
        <v>414</v>
      </c>
      <c r="O3372" s="58" t="s">
        <v>5713</v>
      </c>
      <c r="P3372" s="58" t="s">
        <v>24</v>
      </c>
      <c r="Q3372" s="58" t="s">
        <v>110</v>
      </c>
      <c r="R3372" s="58" t="s">
        <v>265</v>
      </c>
    </row>
    <row r="3373" spans="1:18" ht="69" customHeight="1">
      <c r="A3373" s="168"/>
      <c r="B3373" s="178">
        <v>8325</v>
      </c>
      <c r="C3373" s="178" t="s">
        <v>458</v>
      </c>
      <c r="D3373" s="575" t="s">
        <v>8881</v>
      </c>
      <c r="E3373" s="178" t="s">
        <v>5708</v>
      </c>
      <c r="F3373" s="210" t="s">
        <v>8882</v>
      </c>
      <c r="G3373" s="58" t="s">
        <v>2822</v>
      </c>
      <c r="H3373" s="546">
        <v>3100</v>
      </c>
      <c r="I3373" s="66">
        <v>44921</v>
      </c>
      <c r="J3373" s="411" t="s">
        <v>6076</v>
      </c>
      <c r="K3373" s="58"/>
      <c r="L3373" s="99"/>
      <c r="M3373" s="70" t="s">
        <v>8796</v>
      </c>
      <c r="N3373" s="97" t="s">
        <v>414</v>
      </c>
      <c r="O3373" s="58" t="s">
        <v>5713</v>
      </c>
      <c r="P3373" s="58" t="s">
        <v>24</v>
      </c>
      <c r="Q3373" s="58" t="s">
        <v>110</v>
      </c>
      <c r="R3373" s="58" t="s">
        <v>265</v>
      </c>
    </row>
    <row r="3374" spans="1:18" ht="69" customHeight="1">
      <c r="A3374" s="168"/>
      <c r="B3374" s="178">
        <v>7620</v>
      </c>
      <c r="C3374" s="178" t="s">
        <v>657</v>
      </c>
      <c r="D3374" s="575" t="s">
        <v>8883</v>
      </c>
      <c r="E3374" s="178" t="s">
        <v>266</v>
      </c>
      <c r="F3374" s="210" t="s">
        <v>8884</v>
      </c>
      <c r="G3374" s="58" t="s">
        <v>392</v>
      </c>
      <c r="H3374" s="546">
        <v>1150</v>
      </c>
      <c r="I3374" s="66">
        <v>44895</v>
      </c>
      <c r="J3374" s="411" t="s">
        <v>457</v>
      </c>
      <c r="K3374" s="58"/>
      <c r="L3374" s="99"/>
      <c r="M3374" s="70" t="s">
        <v>8738</v>
      </c>
      <c r="N3374" s="97" t="s">
        <v>270</v>
      </c>
      <c r="O3374" s="58"/>
      <c r="P3374" s="58" t="s">
        <v>44</v>
      </c>
      <c r="Q3374" s="58" t="s">
        <v>110</v>
      </c>
      <c r="R3374" s="58" t="s">
        <v>272</v>
      </c>
    </row>
    <row r="3375" spans="1:18" ht="69" customHeight="1">
      <c r="A3375" s="168"/>
      <c r="B3375" s="207">
        <v>9790</v>
      </c>
      <c r="C3375" s="207" t="s">
        <v>657</v>
      </c>
      <c r="D3375" s="301" t="s">
        <v>6097</v>
      </c>
      <c r="E3375" s="207" t="s">
        <v>6434</v>
      </c>
      <c r="F3375" s="208" t="s">
        <v>8885</v>
      </c>
      <c r="G3375" s="160" t="s">
        <v>6436</v>
      </c>
      <c r="H3375" s="300">
        <v>0</v>
      </c>
      <c r="I3375" s="209">
        <v>45041</v>
      </c>
      <c r="J3375" s="322" t="s">
        <v>6437</v>
      </c>
      <c r="K3375" s="160" t="s">
        <v>727</v>
      </c>
      <c r="M3375" s="380" t="s">
        <v>8886</v>
      </c>
      <c r="N3375" s="82" t="s">
        <v>6197</v>
      </c>
      <c r="O3375" s="160"/>
      <c r="P3375" s="160" t="s">
        <v>67</v>
      </c>
      <c r="Q3375" s="160" t="s">
        <v>110</v>
      </c>
      <c r="R3375" s="160" t="s">
        <v>265</v>
      </c>
    </row>
    <row r="3376" spans="1:18" ht="69" customHeight="1">
      <c r="A3376" s="168"/>
      <c r="B3376" s="178">
        <v>6991</v>
      </c>
      <c r="C3376" s="178" t="s">
        <v>657</v>
      </c>
      <c r="D3376" s="575" t="s">
        <v>7677</v>
      </c>
      <c r="E3376" s="178" t="s">
        <v>350</v>
      </c>
      <c r="F3376" s="210" t="s">
        <v>8887</v>
      </c>
      <c r="G3376" s="58" t="s">
        <v>3787</v>
      </c>
      <c r="H3376" s="552">
        <v>11220</v>
      </c>
      <c r="I3376" s="66">
        <v>44846</v>
      </c>
      <c r="J3376" s="411" t="s">
        <v>3788</v>
      </c>
      <c r="K3376" s="58"/>
      <c r="L3376" s="99"/>
      <c r="M3376" s="70" t="s">
        <v>8742</v>
      </c>
      <c r="N3376" s="97" t="s">
        <v>356</v>
      </c>
      <c r="O3376" s="46" t="s">
        <v>141</v>
      </c>
      <c r="P3376" s="46" t="s">
        <v>19</v>
      </c>
      <c r="Q3376" s="46" t="s">
        <v>110</v>
      </c>
      <c r="R3376" s="46" t="s">
        <v>265</v>
      </c>
    </row>
    <row r="3377" spans="1:18" ht="69" customHeight="1">
      <c r="A3377" s="168"/>
      <c r="B3377" s="178">
        <v>8459</v>
      </c>
      <c r="C3377" s="178" t="s">
        <v>657</v>
      </c>
      <c r="D3377" s="575" t="s">
        <v>3068</v>
      </c>
      <c r="E3377" s="178" t="s">
        <v>5708</v>
      </c>
      <c r="F3377" s="210" t="s">
        <v>8888</v>
      </c>
      <c r="G3377" s="58" t="s">
        <v>6550</v>
      </c>
      <c r="H3377" s="546">
        <v>8500</v>
      </c>
      <c r="I3377" s="66">
        <v>44932</v>
      </c>
      <c r="J3377" s="411" t="s">
        <v>6551</v>
      </c>
      <c r="K3377" s="58"/>
      <c r="L3377" s="99"/>
      <c r="M3377" s="70" t="s">
        <v>8796</v>
      </c>
      <c r="N3377" s="97" t="s">
        <v>414</v>
      </c>
      <c r="O3377" s="58" t="s">
        <v>5713</v>
      </c>
      <c r="P3377" s="58" t="s">
        <v>24</v>
      </c>
      <c r="Q3377" s="58" t="s">
        <v>110</v>
      </c>
      <c r="R3377" s="58" t="s">
        <v>265</v>
      </c>
    </row>
    <row r="3378" spans="1:18" ht="69" customHeight="1">
      <c r="A3378" s="168"/>
      <c r="B3378" s="178">
        <v>8488</v>
      </c>
      <c r="C3378" s="178" t="s">
        <v>8889</v>
      </c>
      <c r="D3378" s="575" t="s">
        <v>1366</v>
      </c>
      <c r="E3378" s="178" t="s">
        <v>5708</v>
      </c>
      <c r="F3378" s="210" t="s">
        <v>8890</v>
      </c>
      <c r="G3378" s="58" t="s">
        <v>6554</v>
      </c>
      <c r="H3378" s="546">
        <v>30345.68</v>
      </c>
      <c r="I3378" s="66">
        <v>44935</v>
      </c>
      <c r="J3378" s="411" t="s">
        <v>6093</v>
      </c>
      <c r="K3378" s="58"/>
      <c r="L3378" s="99"/>
      <c r="M3378" s="70" t="s">
        <v>8796</v>
      </c>
      <c r="N3378" s="97" t="s">
        <v>414</v>
      </c>
      <c r="O3378" s="58" t="s">
        <v>5713</v>
      </c>
      <c r="P3378" s="58" t="s">
        <v>24</v>
      </c>
      <c r="Q3378" s="58" t="s">
        <v>110</v>
      </c>
      <c r="R3378" s="58" t="s">
        <v>265</v>
      </c>
    </row>
    <row r="3379" spans="1:18" ht="69" customHeight="1">
      <c r="A3379" s="168"/>
      <c r="B3379" s="178">
        <v>8507</v>
      </c>
      <c r="C3379" s="178" t="s">
        <v>8889</v>
      </c>
      <c r="D3379" s="575" t="s">
        <v>8891</v>
      </c>
      <c r="E3379" s="178" t="s">
        <v>5708</v>
      </c>
      <c r="F3379" s="210" t="s">
        <v>8892</v>
      </c>
      <c r="G3379" s="58" t="s">
        <v>6376</v>
      </c>
      <c r="H3379" s="546">
        <v>3800</v>
      </c>
      <c r="I3379" s="66">
        <v>44937</v>
      </c>
      <c r="J3379" s="411" t="s">
        <v>6377</v>
      </c>
      <c r="K3379" s="58"/>
      <c r="L3379" s="99"/>
      <c r="M3379" s="70" t="s">
        <v>8796</v>
      </c>
      <c r="N3379" s="97" t="s">
        <v>414</v>
      </c>
      <c r="O3379" s="58" t="s">
        <v>5713</v>
      </c>
      <c r="P3379" s="58" t="s">
        <v>24</v>
      </c>
      <c r="Q3379" s="58" t="s">
        <v>110</v>
      </c>
      <c r="R3379" s="58" t="s">
        <v>265</v>
      </c>
    </row>
    <row r="3380" spans="1:18" ht="69" customHeight="1">
      <c r="A3380" s="168"/>
      <c r="B3380" s="178">
        <v>8512</v>
      </c>
      <c r="C3380" s="178" t="s">
        <v>657</v>
      </c>
      <c r="D3380" s="575" t="s">
        <v>8415</v>
      </c>
      <c r="E3380" s="178" t="s">
        <v>5708</v>
      </c>
      <c r="F3380" s="210" t="s">
        <v>8893</v>
      </c>
      <c r="G3380" s="58" t="s">
        <v>7382</v>
      </c>
      <c r="H3380" s="546">
        <v>15290.72</v>
      </c>
      <c r="I3380" s="66">
        <v>44937</v>
      </c>
      <c r="J3380" s="411" t="s">
        <v>7383</v>
      </c>
      <c r="K3380" s="58"/>
      <c r="L3380" s="99"/>
      <c r="M3380" s="70" t="s">
        <v>8796</v>
      </c>
      <c r="N3380" s="97" t="s">
        <v>414</v>
      </c>
      <c r="O3380" s="58" t="s">
        <v>5713</v>
      </c>
      <c r="P3380" s="58" t="s">
        <v>24</v>
      </c>
      <c r="Q3380" s="58" t="s">
        <v>110</v>
      </c>
      <c r="R3380" s="58" t="s">
        <v>265</v>
      </c>
    </row>
    <row r="3381" spans="1:18" ht="69" customHeight="1">
      <c r="A3381" s="168"/>
      <c r="B3381" s="178">
        <v>8519</v>
      </c>
      <c r="C3381" s="178" t="s">
        <v>657</v>
      </c>
      <c r="D3381" s="575" t="s">
        <v>8225</v>
      </c>
      <c r="E3381" s="178" t="s">
        <v>5708</v>
      </c>
      <c r="F3381" s="210" t="s">
        <v>8894</v>
      </c>
      <c r="G3381" s="58" t="s">
        <v>6380</v>
      </c>
      <c r="H3381" s="546">
        <v>10500</v>
      </c>
      <c r="I3381" s="66">
        <v>44945</v>
      </c>
      <c r="J3381" s="411" t="s">
        <v>6381</v>
      </c>
      <c r="K3381" s="58"/>
      <c r="L3381" s="99"/>
      <c r="M3381" s="70" t="s">
        <v>8796</v>
      </c>
      <c r="N3381" s="97" t="s">
        <v>414</v>
      </c>
      <c r="O3381" s="58" t="s">
        <v>5713</v>
      </c>
      <c r="P3381" s="58" t="s">
        <v>24</v>
      </c>
      <c r="Q3381" s="58" t="s">
        <v>110</v>
      </c>
      <c r="R3381" s="58" t="s">
        <v>265</v>
      </c>
    </row>
    <row r="3382" spans="1:18" ht="69" customHeight="1">
      <c r="A3382" s="168"/>
      <c r="B3382" s="178">
        <v>8530</v>
      </c>
      <c r="C3382" s="178" t="s">
        <v>657</v>
      </c>
      <c r="D3382" s="575" t="s">
        <v>8895</v>
      </c>
      <c r="E3382" s="178" t="s">
        <v>5708</v>
      </c>
      <c r="F3382" s="210" t="s">
        <v>8896</v>
      </c>
      <c r="G3382" s="58" t="s">
        <v>8897</v>
      </c>
      <c r="H3382" s="546">
        <v>23800</v>
      </c>
      <c r="I3382" s="66">
        <v>44939</v>
      </c>
      <c r="J3382" s="411" t="s">
        <v>6108</v>
      </c>
      <c r="K3382" s="58"/>
      <c r="L3382" s="99"/>
      <c r="M3382" s="70" t="s">
        <v>8796</v>
      </c>
      <c r="N3382" s="97" t="s">
        <v>414</v>
      </c>
      <c r="O3382" s="58" t="s">
        <v>5713</v>
      </c>
      <c r="P3382" s="58" t="s">
        <v>24</v>
      </c>
      <c r="Q3382" s="58" t="s">
        <v>110</v>
      </c>
      <c r="R3382" s="58" t="s">
        <v>265</v>
      </c>
    </row>
    <row r="3383" spans="1:18" ht="69" customHeight="1">
      <c r="A3383" s="168"/>
      <c r="B3383" s="178">
        <v>8531</v>
      </c>
      <c r="C3383" s="178" t="s">
        <v>657</v>
      </c>
      <c r="D3383" s="575" t="s">
        <v>1055</v>
      </c>
      <c r="E3383" s="178" t="s">
        <v>5708</v>
      </c>
      <c r="F3383" s="210" t="s">
        <v>8898</v>
      </c>
      <c r="G3383" s="58" t="s">
        <v>8899</v>
      </c>
      <c r="H3383" s="546">
        <v>5950</v>
      </c>
      <c r="I3383" s="66">
        <v>44939</v>
      </c>
      <c r="J3383" s="411" t="s">
        <v>6108</v>
      </c>
      <c r="K3383" s="58"/>
      <c r="L3383" s="99"/>
      <c r="M3383" s="70" t="s">
        <v>8796</v>
      </c>
      <c r="N3383" s="97" t="s">
        <v>414</v>
      </c>
      <c r="O3383" s="58" t="s">
        <v>5713</v>
      </c>
      <c r="P3383" s="58" t="s">
        <v>24</v>
      </c>
      <c r="Q3383" s="58" t="s">
        <v>110</v>
      </c>
      <c r="R3383" s="58" t="s">
        <v>265</v>
      </c>
    </row>
    <row r="3384" spans="1:18" ht="69" customHeight="1">
      <c r="A3384" s="168"/>
      <c r="B3384" s="178">
        <v>8044</v>
      </c>
      <c r="C3384" s="178" t="s">
        <v>657</v>
      </c>
      <c r="D3384" s="575" t="s">
        <v>4901</v>
      </c>
      <c r="E3384" s="178" t="s">
        <v>5708</v>
      </c>
      <c r="F3384" s="210" t="s">
        <v>8900</v>
      </c>
      <c r="G3384" s="58" t="s">
        <v>6557</v>
      </c>
      <c r="H3384" s="546">
        <v>12555.55</v>
      </c>
      <c r="I3384" s="66">
        <v>44939</v>
      </c>
      <c r="J3384" s="411" t="s">
        <v>6384</v>
      </c>
      <c r="K3384" s="58"/>
      <c r="L3384" s="99"/>
      <c r="M3384" s="70" t="s">
        <v>8796</v>
      </c>
      <c r="N3384" s="97" t="s">
        <v>414</v>
      </c>
      <c r="O3384" s="58" t="s">
        <v>5713</v>
      </c>
      <c r="P3384" s="58" t="s">
        <v>24</v>
      </c>
      <c r="Q3384" s="58" t="s">
        <v>110</v>
      </c>
      <c r="R3384" s="58" t="s">
        <v>265</v>
      </c>
    </row>
    <row r="3385" spans="1:18" ht="69" customHeight="1">
      <c r="A3385" s="168"/>
      <c r="B3385" s="178">
        <v>8047</v>
      </c>
      <c r="C3385" s="178" t="s">
        <v>8901</v>
      </c>
      <c r="D3385" s="575" t="s">
        <v>2399</v>
      </c>
      <c r="E3385" s="178" t="s">
        <v>266</v>
      </c>
      <c r="F3385" s="210" t="s">
        <v>8902</v>
      </c>
      <c r="G3385" s="58" t="s">
        <v>392</v>
      </c>
      <c r="H3385" s="546">
        <v>2099.25</v>
      </c>
      <c r="I3385" s="66">
        <v>44950</v>
      </c>
      <c r="J3385" s="411" t="s">
        <v>7713</v>
      </c>
      <c r="K3385" s="58"/>
      <c r="L3385" s="99"/>
      <c r="M3385" s="70" t="s">
        <v>8738</v>
      </c>
      <c r="N3385" s="97" t="s">
        <v>270</v>
      </c>
      <c r="O3385" s="58"/>
      <c r="P3385" s="58" t="s">
        <v>44</v>
      </c>
      <c r="Q3385" s="58" t="s">
        <v>110</v>
      </c>
      <c r="R3385" s="58" t="s">
        <v>272</v>
      </c>
    </row>
    <row r="3386" spans="1:18" ht="69" customHeight="1">
      <c r="A3386" s="168"/>
      <c r="B3386" s="178">
        <v>8573</v>
      </c>
      <c r="C3386" s="178" t="s">
        <v>657</v>
      </c>
      <c r="D3386" s="575" t="s">
        <v>8903</v>
      </c>
      <c r="E3386" s="178" t="s">
        <v>5708</v>
      </c>
      <c r="F3386" s="210" t="s">
        <v>8904</v>
      </c>
      <c r="G3386" s="58" t="s">
        <v>6386</v>
      </c>
      <c r="H3386" s="546">
        <v>6000</v>
      </c>
      <c r="I3386" s="66">
        <v>44944</v>
      </c>
      <c r="J3386" s="411" t="s">
        <v>6387</v>
      </c>
      <c r="K3386" s="58"/>
      <c r="L3386" s="99"/>
      <c r="M3386" s="70" t="s">
        <v>8796</v>
      </c>
      <c r="N3386" s="97" t="s">
        <v>414</v>
      </c>
      <c r="O3386" s="58" t="s">
        <v>5713</v>
      </c>
      <c r="P3386" s="58" t="s">
        <v>24</v>
      </c>
      <c r="Q3386" s="58" t="s">
        <v>110</v>
      </c>
      <c r="R3386" s="58" t="s">
        <v>265</v>
      </c>
    </row>
    <row r="3387" spans="1:18" ht="69" customHeight="1">
      <c r="A3387" s="168"/>
      <c r="B3387" s="178">
        <v>8603</v>
      </c>
      <c r="C3387" s="178" t="s">
        <v>657</v>
      </c>
      <c r="D3387" s="575" t="s">
        <v>6955</v>
      </c>
      <c r="E3387" s="178" t="s">
        <v>5708</v>
      </c>
      <c r="F3387" s="210" t="s">
        <v>8905</v>
      </c>
      <c r="G3387" s="58" t="s">
        <v>6560</v>
      </c>
      <c r="H3387" s="546">
        <v>4748.95</v>
      </c>
      <c r="I3387" s="66">
        <v>44947</v>
      </c>
      <c r="J3387" s="411" t="s">
        <v>6561</v>
      </c>
      <c r="K3387" s="58"/>
      <c r="L3387" s="99"/>
      <c r="M3387" s="70" t="s">
        <v>8796</v>
      </c>
      <c r="N3387" s="97" t="s">
        <v>414</v>
      </c>
      <c r="O3387" s="58" t="s">
        <v>5713</v>
      </c>
      <c r="P3387" s="58" t="s">
        <v>24</v>
      </c>
      <c r="Q3387" s="58" t="s">
        <v>110</v>
      </c>
      <c r="R3387" s="58" t="s">
        <v>265</v>
      </c>
    </row>
    <row r="3388" spans="1:18" ht="69" customHeight="1">
      <c r="A3388" s="168"/>
      <c r="B3388" s="178">
        <v>8619</v>
      </c>
      <c r="C3388" s="178" t="s">
        <v>657</v>
      </c>
      <c r="D3388" s="575" t="s">
        <v>8906</v>
      </c>
      <c r="E3388" s="178" t="s">
        <v>5708</v>
      </c>
      <c r="F3388" s="210" t="s">
        <v>8907</v>
      </c>
      <c r="G3388" s="58" t="s">
        <v>6392</v>
      </c>
      <c r="H3388" s="546">
        <v>11791.3</v>
      </c>
      <c r="I3388" s="66">
        <v>44944</v>
      </c>
      <c r="J3388" s="411" t="s">
        <v>6393</v>
      </c>
      <c r="K3388" s="58"/>
      <c r="L3388" s="99"/>
      <c r="M3388" s="70" t="s">
        <v>8796</v>
      </c>
      <c r="N3388" s="97" t="s">
        <v>414</v>
      </c>
      <c r="O3388" s="58" t="s">
        <v>5713</v>
      </c>
      <c r="P3388" s="58" t="s">
        <v>24</v>
      </c>
      <c r="Q3388" s="58" t="s">
        <v>110</v>
      </c>
      <c r="R3388" s="58" t="s">
        <v>265</v>
      </c>
    </row>
    <row r="3389" spans="1:18" ht="69" customHeight="1">
      <c r="A3389" s="168"/>
      <c r="B3389" s="178">
        <v>8754</v>
      </c>
      <c r="C3389" s="178" t="s">
        <v>458</v>
      </c>
      <c r="D3389" s="575" t="s">
        <v>5327</v>
      </c>
      <c r="E3389" s="178" t="s">
        <v>5708</v>
      </c>
      <c r="F3389" s="210" t="s">
        <v>8908</v>
      </c>
      <c r="G3389" s="58" t="s">
        <v>6396</v>
      </c>
      <c r="H3389" s="546">
        <v>8370.3700000000008</v>
      </c>
      <c r="I3389" s="66">
        <v>44951</v>
      </c>
      <c r="J3389" s="411" t="s">
        <v>6397</v>
      </c>
      <c r="K3389" s="58"/>
      <c r="L3389" s="99"/>
      <c r="M3389" s="70" t="s">
        <v>8796</v>
      </c>
      <c r="N3389" s="97" t="s">
        <v>414</v>
      </c>
      <c r="O3389" s="58" t="s">
        <v>5713</v>
      </c>
      <c r="P3389" s="58" t="s">
        <v>24</v>
      </c>
      <c r="Q3389" s="58" t="s">
        <v>110</v>
      </c>
      <c r="R3389" s="58" t="s">
        <v>265</v>
      </c>
    </row>
    <row r="3390" spans="1:18" ht="69" customHeight="1">
      <c r="A3390" s="168"/>
      <c r="B3390" s="178">
        <v>8814</v>
      </c>
      <c r="C3390" s="511" t="s">
        <v>657</v>
      </c>
      <c r="D3390" s="597" t="s">
        <v>7688</v>
      </c>
      <c r="E3390" s="511" t="s">
        <v>6192</v>
      </c>
      <c r="F3390" s="598" t="s">
        <v>8909</v>
      </c>
      <c r="G3390" s="455" t="s">
        <v>6194</v>
      </c>
      <c r="H3390" s="546">
        <v>494166.75</v>
      </c>
      <c r="I3390" s="66" t="s">
        <v>96</v>
      </c>
      <c r="J3390" s="599" t="s">
        <v>6195</v>
      </c>
      <c r="K3390" s="58"/>
      <c r="L3390" s="99"/>
      <c r="M3390" s="70" t="s">
        <v>8910</v>
      </c>
      <c r="N3390" s="97" t="s">
        <v>6197</v>
      </c>
      <c r="O3390" s="58" t="s">
        <v>147</v>
      </c>
      <c r="P3390" s="58" t="s">
        <v>22</v>
      </c>
      <c r="Q3390" s="58" t="s">
        <v>110</v>
      </c>
      <c r="R3390" s="58" t="s">
        <v>272</v>
      </c>
    </row>
    <row r="3391" spans="1:18" ht="69" customHeight="1">
      <c r="A3391" s="168"/>
      <c r="B3391" s="178">
        <v>8234</v>
      </c>
      <c r="C3391" s="178" t="s">
        <v>657</v>
      </c>
      <c r="D3391" s="575" t="s">
        <v>4207</v>
      </c>
      <c r="E3391" s="178" t="s">
        <v>5708</v>
      </c>
      <c r="F3391" s="210" t="s">
        <v>8911</v>
      </c>
      <c r="G3391" s="58" t="s">
        <v>8912</v>
      </c>
      <c r="H3391" s="546">
        <v>82900</v>
      </c>
      <c r="I3391" s="66">
        <v>44960</v>
      </c>
      <c r="J3391" s="411" t="s">
        <v>8913</v>
      </c>
      <c r="K3391" s="58"/>
      <c r="L3391" s="99"/>
      <c r="M3391" s="70" t="s">
        <v>8796</v>
      </c>
      <c r="N3391" s="97" t="s">
        <v>414</v>
      </c>
      <c r="O3391" s="58" t="s">
        <v>5713</v>
      </c>
      <c r="P3391" s="58" t="s">
        <v>24</v>
      </c>
      <c r="Q3391" s="58" t="s">
        <v>110</v>
      </c>
      <c r="R3391" s="58" t="s">
        <v>265</v>
      </c>
    </row>
    <row r="3392" spans="1:18" ht="69" customHeight="1">
      <c r="A3392" s="168"/>
      <c r="B3392" s="178">
        <v>8921</v>
      </c>
      <c r="C3392" s="178" t="s">
        <v>8797</v>
      </c>
      <c r="D3392" s="575" t="s">
        <v>2811</v>
      </c>
      <c r="E3392" s="178" t="s">
        <v>270</v>
      </c>
      <c r="F3392" s="210" t="s">
        <v>8914</v>
      </c>
      <c r="G3392" s="58" t="s">
        <v>5852</v>
      </c>
      <c r="H3392" s="546">
        <v>18550</v>
      </c>
      <c r="I3392" s="66">
        <v>44984</v>
      </c>
      <c r="J3392" s="411" t="s">
        <v>5853</v>
      </c>
      <c r="K3392" s="58"/>
      <c r="L3392" s="99"/>
      <c r="M3392" s="70" t="s">
        <v>8738</v>
      </c>
      <c r="N3392" s="97" t="s">
        <v>270</v>
      </c>
      <c r="O3392" s="45" t="s">
        <v>205</v>
      </c>
      <c r="P3392" s="58" t="s">
        <v>61</v>
      </c>
      <c r="Q3392" s="58" t="s">
        <v>110</v>
      </c>
      <c r="R3392" s="58" t="s">
        <v>272</v>
      </c>
    </row>
    <row r="3393" spans="1:18" ht="69" customHeight="1">
      <c r="A3393" s="168"/>
      <c r="B3393" s="178">
        <v>8978</v>
      </c>
      <c r="C3393" s="178" t="s">
        <v>7941</v>
      </c>
      <c r="D3393" s="575"/>
      <c r="E3393" s="178" t="s">
        <v>270</v>
      </c>
      <c r="F3393" s="210" t="s">
        <v>8915</v>
      </c>
      <c r="G3393" s="58" t="s">
        <v>1908</v>
      </c>
      <c r="H3393" s="546">
        <v>40000</v>
      </c>
      <c r="I3393" s="66">
        <v>44988</v>
      </c>
      <c r="J3393" s="411" t="s">
        <v>8916</v>
      </c>
      <c r="K3393" s="58"/>
      <c r="L3393" s="99"/>
      <c r="M3393" s="70" t="s">
        <v>8738</v>
      </c>
      <c r="N3393" s="97" t="s">
        <v>270</v>
      </c>
      <c r="O3393" s="58"/>
      <c r="P3393" s="58" t="s">
        <v>44</v>
      </c>
      <c r="Q3393" s="58" t="s">
        <v>110</v>
      </c>
      <c r="R3393" s="58" t="s">
        <v>272</v>
      </c>
    </row>
    <row r="3394" spans="1:18" ht="69" customHeight="1">
      <c r="A3394" s="168"/>
      <c r="B3394" s="178">
        <v>8965</v>
      </c>
      <c r="C3394" s="178" t="s">
        <v>7941</v>
      </c>
      <c r="D3394" s="575" t="s">
        <v>1093</v>
      </c>
      <c r="E3394" s="178" t="s">
        <v>6434</v>
      </c>
      <c r="F3394" s="210" t="s">
        <v>8917</v>
      </c>
      <c r="G3394" s="58" t="s">
        <v>6580</v>
      </c>
      <c r="H3394" s="546">
        <v>44424.78</v>
      </c>
      <c r="I3394" s="66">
        <v>44988</v>
      </c>
      <c r="J3394" s="411" t="s">
        <v>6581</v>
      </c>
      <c r="K3394" s="58"/>
      <c r="L3394" s="99"/>
      <c r="M3394" s="70" t="s">
        <v>8886</v>
      </c>
      <c r="N3394" s="97" t="s">
        <v>6197</v>
      </c>
      <c r="O3394" s="58"/>
      <c r="P3394" s="58" t="s">
        <v>22</v>
      </c>
      <c r="Q3394" s="58" t="s">
        <v>110</v>
      </c>
      <c r="R3394" s="58" t="s">
        <v>265</v>
      </c>
    </row>
    <row r="3395" spans="1:18" ht="69" customHeight="1">
      <c r="A3395" s="168"/>
      <c r="B3395" s="191">
        <v>8972</v>
      </c>
      <c r="C3395" s="191" t="s">
        <v>7941</v>
      </c>
      <c r="D3395" s="533" t="s">
        <v>2311</v>
      </c>
      <c r="E3395" s="191" t="s">
        <v>6434</v>
      </c>
      <c r="F3395" s="211" t="s">
        <v>8918</v>
      </c>
      <c r="G3395" s="46" t="s">
        <v>6585</v>
      </c>
      <c r="H3395" s="534">
        <v>17985.25</v>
      </c>
      <c r="I3395" s="56">
        <v>44988</v>
      </c>
      <c r="J3395" s="412" t="s">
        <v>6586</v>
      </c>
      <c r="K3395" s="46" t="s">
        <v>65</v>
      </c>
      <c r="L3395" s="99"/>
      <c r="M3395" s="70" t="s">
        <v>8886</v>
      </c>
      <c r="N3395" s="97" t="s">
        <v>6197</v>
      </c>
      <c r="O3395" s="46"/>
      <c r="P3395" s="46" t="s">
        <v>71</v>
      </c>
      <c r="Q3395" s="46" t="s">
        <v>110</v>
      </c>
      <c r="R3395" s="46" t="s">
        <v>272</v>
      </c>
    </row>
    <row r="3396" spans="1:18" ht="69" customHeight="1">
      <c r="A3396" s="168"/>
      <c r="B3396" s="191">
        <v>8973</v>
      </c>
      <c r="C3396" s="191" t="s">
        <v>7941</v>
      </c>
      <c r="D3396" s="533" t="s">
        <v>1788</v>
      </c>
      <c r="E3396" s="191" t="s">
        <v>6434</v>
      </c>
      <c r="F3396" s="211" t="s">
        <v>8919</v>
      </c>
      <c r="G3396" s="46" t="s">
        <v>6589</v>
      </c>
      <c r="H3396" s="534">
        <v>11509.96</v>
      </c>
      <c r="I3396" s="56">
        <v>44988</v>
      </c>
      <c r="J3396" s="412" t="s">
        <v>6586</v>
      </c>
      <c r="K3396" s="46" t="s">
        <v>65</v>
      </c>
      <c r="L3396" s="99"/>
      <c r="M3396" s="70" t="s">
        <v>8886</v>
      </c>
      <c r="N3396" s="97" t="s">
        <v>6197</v>
      </c>
      <c r="O3396" s="46"/>
      <c r="P3396" s="46" t="s">
        <v>71</v>
      </c>
      <c r="Q3396" s="46" t="s">
        <v>110</v>
      </c>
      <c r="R3396" s="46" t="s">
        <v>272</v>
      </c>
    </row>
    <row r="3397" spans="1:18" ht="69" customHeight="1">
      <c r="A3397" s="168"/>
      <c r="B3397" s="178">
        <v>9021</v>
      </c>
      <c r="C3397" s="178" t="s">
        <v>7941</v>
      </c>
      <c r="D3397" s="575" t="s">
        <v>3227</v>
      </c>
      <c r="E3397" s="178" t="s">
        <v>6192</v>
      </c>
      <c r="F3397" s="210" t="s">
        <v>8920</v>
      </c>
      <c r="G3397" s="58" t="s">
        <v>6403</v>
      </c>
      <c r="H3397" s="546">
        <v>208785.45</v>
      </c>
      <c r="I3397" s="66">
        <v>45001</v>
      </c>
      <c r="J3397" s="411" t="s">
        <v>6404</v>
      </c>
      <c r="K3397" s="58"/>
      <c r="L3397" s="99"/>
      <c r="M3397" s="70" t="s">
        <v>8910</v>
      </c>
      <c r="N3397" s="97" t="s">
        <v>6197</v>
      </c>
      <c r="O3397" s="58" t="s">
        <v>147</v>
      </c>
      <c r="P3397" s="58" t="s">
        <v>22</v>
      </c>
      <c r="Q3397" s="58" t="s">
        <v>110</v>
      </c>
      <c r="R3397" s="58" t="s">
        <v>272</v>
      </c>
    </row>
    <row r="3398" spans="1:18" ht="69" customHeight="1">
      <c r="A3398" s="168"/>
      <c r="B3398" s="178">
        <v>9022</v>
      </c>
      <c r="C3398" s="178" t="s">
        <v>7941</v>
      </c>
      <c r="D3398" s="575" t="s">
        <v>2787</v>
      </c>
      <c r="E3398" s="178" t="s">
        <v>6192</v>
      </c>
      <c r="F3398" s="210" t="s">
        <v>8921</v>
      </c>
      <c r="G3398" s="58" t="s">
        <v>6407</v>
      </c>
      <c r="H3398" s="546">
        <v>112422.94</v>
      </c>
      <c r="I3398" s="66">
        <v>45001</v>
      </c>
      <c r="J3398" s="411" t="s">
        <v>6404</v>
      </c>
      <c r="K3398" s="58"/>
      <c r="L3398" s="99"/>
      <c r="M3398" s="70" t="s">
        <v>8910</v>
      </c>
      <c r="N3398" s="97" t="s">
        <v>6197</v>
      </c>
      <c r="O3398" s="58" t="s">
        <v>147</v>
      </c>
      <c r="P3398" s="58" t="s">
        <v>22</v>
      </c>
      <c r="Q3398" s="58" t="s">
        <v>110</v>
      </c>
      <c r="R3398" s="58" t="s">
        <v>272</v>
      </c>
    </row>
    <row r="3399" spans="1:18" ht="69" customHeight="1">
      <c r="A3399" s="168"/>
      <c r="B3399" s="178">
        <v>9110</v>
      </c>
      <c r="C3399" s="178" t="s">
        <v>657</v>
      </c>
      <c r="D3399" s="575" t="s">
        <v>2061</v>
      </c>
      <c r="E3399" s="178" t="s">
        <v>6434</v>
      </c>
      <c r="F3399" s="210" t="s">
        <v>8922</v>
      </c>
      <c r="G3399" s="58" t="s">
        <v>5150</v>
      </c>
      <c r="H3399" s="546">
        <v>59000</v>
      </c>
      <c r="I3399" s="66">
        <v>45002</v>
      </c>
      <c r="J3399" s="411" t="s">
        <v>7406</v>
      </c>
      <c r="K3399" s="58"/>
      <c r="L3399" s="99"/>
      <c r="M3399" s="70" t="s">
        <v>8886</v>
      </c>
      <c r="N3399" s="97" t="s">
        <v>6197</v>
      </c>
      <c r="O3399" s="58"/>
      <c r="P3399" s="58" t="s">
        <v>22</v>
      </c>
      <c r="Q3399" s="58" t="s">
        <v>110</v>
      </c>
      <c r="R3399" s="58" t="s">
        <v>265</v>
      </c>
    </row>
    <row r="3400" spans="1:18" ht="69" customHeight="1">
      <c r="A3400" s="168"/>
      <c r="B3400" s="178">
        <v>9111</v>
      </c>
      <c r="C3400" s="178" t="s">
        <v>657</v>
      </c>
      <c r="D3400" s="575" t="s">
        <v>3350</v>
      </c>
      <c r="E3400" s="178" t="s">
        <v>6434</v>
      </c>
      <c r="F3400" s="210" t="s">
        <v>8923</v>
      </c>
      <c r="G3400" s="58" t="s">
        <v>5150</v>
      </c>
      <c r="H3400" s="546">
        <v>61530</v>
      </c>
      <c r="I3400" s="66">
        <v>45002</v>
      </c>
      <c r="J3400" s="411" t="s">
        <v>7406</v>
      </c>
      <c r="K3400" s="58"/>
      <c r="L3400" s="99"/>
      <c r="M3400" s="70" t="s">
        <v>8886</v>
      </c>
      <c r="N3400" s="97" t="s">
        <v>6197</v>
      </c>
      <c r="O3400" s="58"/>
      <c r="P3400" s="58" t="s">
        <v>22</v>
      </c>
      <c r="Q3400" s="58" t="s">
        <v>110</v>
      </c>
      <c r="R3400" s="58" t="s">
        <v>265</v>
      </c>
    </row>
    <row r="3401" spans="1:18" ht="69" customHeight="1">
      <c r="A3401" s="168"/>
      <c r="B3401" s="191">
        <v>9446</v>
      </c>
      <c r="C3401" s="191" t="s">
        <v>657</v>
      </c>
      <c r="D3401" s="533" t="s">
        <v>3803</v>
      </c>
      <c r="E3401" s="191" t="s">
        <v>585</v>
      </c>
      <c r="F3401" s="211" t="s">
        <v>8924</v>
      </c>
      <c r="G3401" s="46" t="s">
        <v>6597</v>
      </c>
      <c r="H3401" s="534">
        <v>11509.96</v>
      </c>
      <c r="I3401" s="56">
        <v>45014</v>
      </c>
      <c r="J3401" s="412" t="s">
        <v>5864</v>
      </c>
      <c r="K3401" s="46" t="s">
        <v>167</v>
      </c>
      <c r="L3401" s="99"/>
      <c r="M3401" s="379"/>
      <c r="N3401" s="76" t="s">
        <v>6197</v>
      </c>
      <c r="O3401" s="46"/>
      <c r="P3401" s="46" t="s">
        <v>71</v>
      </c>
      <c r="Q3401" s="46" t="s">
        <v>110</v>
      </c>
      <c r="R3401" s="46" t="s">
        <v>272</v>
      </c>
    </row>
    <row r="3402" spans="1:18" ht="69" customHeight="1">
      <c r="A3402" s="168"/>
      <c r="B3402" s="178">
        <v>9457</v>
      </c>
      <c r="C3402" s="178" t="s">
        <v>657</v>
      </c>
      <c r="D3402" s="575" t="s">
        <v>459</v>
      </c>
      <c r="E3402" s="178" t="s">
        <v>6434</v>
      </c>
      <c r="F3402" s="210" t="s">
        <v>8925</v>
      </c>
      <c r="G3402" s="58" t="s">
        <v>4380</v>
      </c>
      <c r="H3402" s="546">
        <v>25002</v>
      </c>
      <c r="I3402" s="66">
        <v>45014</v>
      </c>
      <c r="J3402" s="411" t="s">
        <v>6600</v>
      </c>
      <c r="K3402" s="58"/>
      <c r="L3402" s="99"/>
      <c r="M3402" s="70" t="s">
        <v>8886</v>
      </c>
      <c r="N3402" s="97" t="s">
        <v>6197</v>
      </c>
      <c r="O3402" s="58"/>
      <c r="P3402" s="58" t="s">
        <v>22</v>
      </c>
      <c r="Q3402" s="58" t="s">
        <v>110</v>
      </c>
      <c r="R3402" s="58" t="s">
        <v>265</v>
      </c>
    </row>
    <row r="3403" spans="1:18" ht="69" customHeight="1">
      <c r="A3403" s="168"/>
      <c r="B3403" s="178">
        <v>9656</v>
      </c>
      <c r="C3403" s="178" t="s">
        <v>657</v>
      </c>
      <c r="D3403" s="575" t="s">
        <v>3087</v>
      </c>
      <c r="E3403" s="178" t="s">
        <v>6192</v>
      </c>
      <c r="F3403" s="210" t="s">
        <v>8926</v>
      </c>
      <c r="G3403" s="58" t="s">
        <v>6423</v>
      </c>
      <c r="H3403" s="546">
        <v>16517.080000000002</v>
      </c>
      <c r="I3403" s="66">
        <v>45014</v>
      </c>
      <c r="J3403" s="411" t="s">
        <v>8927</v>
      </c>
      <c r="K3403" s="58"/>
      <c r="L3403" s="99"/>
      <c r="M3403" s="70" t="s">
        <v>8910</v>
      </c>
      <c r="N3403" s="97" t="s">
        <v>6197</v>
      </c>
      <c r="O3403" s="58" t="s">
        <v>147</v>
      </c>
      <c r="P3403" s="58" t="s">
        <v>22</v>
      </c>
      <c r="Q3403" s="58" t="s">
        <v>110</v>
      </c>
      <c r="R3403" s="58" t="s">
        <v>272</v>
      </c>
    </row>
    <row r="3404" spans="1:18" ht="69" customHeight="1">
      <c r="A3404" s="168"/>
      <c r="B3404" s="178">
        <v>9657</v>
      </c>
      <c r="C3404" s="178" t="s">
        <v>657</v>
      </c>
      <c r="D3404" s="575" t="s">
        <v>1783</v>
      </c>
      <c r="E3404" s="178" t="s">
        <v>6192</v>
      </c>
      <c r="F3404" s="210" t="s">
        <v>8928</v>
      </c>
      <c r="G3404" s="58" t="s">
        <v>6427</v>
      </c>
      <c r="H3404" s="546">
        <v>30674.57</v>
      </c>
      <c r="I3404" s="66">
        <v>45014</v>
      </c>
      <c r="J3404" s="411" t="s">
        <v>8927</v>
      </c>
      <c r="K3404" s="58"/>
      <c r="L3404" s="99"/>
      <c r="M3404" s="70" t="s">
        <v>8910</v>
      </c>
      <c r="N3404" s="97" t="s">
        <v>6197</v>
      </c>
      <c r="O3404" s="58" t="s">
        <v>147</v>
      </c>
      <c r="P3404" s="58" t="s">
        <v>22</v>
      </c>
      <c r="Q3404" s="58" t="s">
        <v>110</v>
      </c>
      <c r="R3404" s="58" t="s">
        <v>272</v>
      </c>
    </row>
    <row r="3405" spans="1:18" ht="69" customHeight="1">
      <c r="A3405" s="168"/>
      <c r="B3405" s="178">
        <v>9833</v>
      </c>
      <c r="C3405" s="178" t="s">
        <v>657</v>
      </c>
      <c r="D3405" s="575" t="s">
        <v>3263</v>
      </c>
      <c r="E3405" s="178" t="s">
        <v>358</v>
      </c>
      <c r="F3405" s="210" t="s">
        <v>8929</v>
      </c>
      <c r="G3405" s="58" t="s">
        <v>8126</v>
      </c>
      <c r="H3405" s="546">
        <v>320000</v>
      </c>
      <c r="I3405" s="66">
        <v>45041</v>
      </c>
      <c r="J3405" s="411" t="s">
        <v>4713</v>
      </c>
      <c r="K3405" s="58"/>
      <c r="L3405" s="99"/>
      <c r="M3405" s="70" t="s">
        <v>8763</v>
      </c>
      <c r="N3405" s="97" t="s">
        <v>356</v>
      </c>
      <c r="O3405" s="58" t="s">
        <v>141</v>
      </c>
      <c r="P3405" s="58" t="s">
        <v>19</v>
      </c>
      <c r="Q3405" s="58" t="s">
        <v>110</v>
      </c>
      <c r="R3405" s="58" t="s">
        <v>272</v>
      </c>
    </row>
    <row r="3406" spans="1:18" ht="69" customHeight="1">
      <c r="A3406" s="168"/>
      <c r="B3406" s="191">
        <v>9785</v>
      </c>
      <c r="C3406" s="191" t="s">
        <v>657</v>
      </c>
      <c r="D3406" s="533" t="s">
        <v>3594</v>
      </c>
      <c r="E3406" s="191" t="s">
        <v>6213</v>
      </c>
      <c r="F3406" s="211" t="s">
        <v>8930</v>
      </c>
      <c r="G3406" s="46" t="s">
        <v>6440</v>
      </c>
      <c r="H3406" s="534">
        <v>16795</v>
      </c>
      <c r="I3406" s="56">
        <v>45028</v>
      </c>
      <c r="J3406" s="412" t="s">
        <v>6216</v>
      </c>
      <c r="K3406" s="46" t="s">
        <v>167</v>
      </c>
      <c r="L3406" s="99"/>
      <c r="M3406" s="379"/>
      <c r="N3406" s="76" t="s">
        <v>414</v>
      </c>
      <c r="O3406" s="46"/>
      <c r="P3406" s="46" t="s">
        <v>65</v>
      </c>
      <c r="Q3406" s="46" t="s">
        <v>110</v>
      </c>
      <c r="R3406" s="46" t="s">
        <v>272</v>
      </c>
    </row>
    <row r="3407" spans="1:18" ht="69" customHeight="1">
      <c r="A3407" s="168"/>
      <c r="B3407" s="191">
        <v>9786</v>
      </c>
      <c r="C3407" s="191" t="s">
        <v>657</v>
      </c>
      <c r="D3407" s="533" t="s">
        <v>1073</v>
      </c>
      <c r="E3407" s="191" t="s">
        <v>6213</v>
      </c>
      <c r="F3407" s="211" t="s">
        <v>8931</v>
      </c>
      <c r="G3407" s="46" t="s">
        <v>8932</v>
      </c>
      <c r="H3407" s="534">
        <v>9726.36</v>
      </c>
      <c r="I3407" s="56">
        <v>45028</v>
      </c>
      <c r="J3407" s="412" t="s">
        <v>6216</v>
      </c>
      <c r="K3407" s="46" t="s">
        <v>167</v>
      </c>
      <c r="L3407" s="99"/>
      <c r="M3407" s="379"/>
      <c r="N3407" s="76" t="s">
        <v>414</v>
      </c>
      <c r="O3407" s="46"/>
      <c r="P3407" s="46" t="s">
        <v>65</v>
      </c>
      <c r="Q3407" s="46" t="s">
        <v>110</v>
      </c>
      <c r="R3407" s="46" t="s">
        <v>272</v>
      </c>
    </row>
    <row r="3408" spans="1:18" ht="69" customHeight="1">
      <c r="A3408" s="168"/>
      <c r="B3408" s="191">
        <v>9787</v>
      </c>
      <c r="C3408" s="191" t="s">
        <v>657</v>
      </c>
      <c r="D3408" s="533" t="s">
        <v>1808</v>
      </c>
      <c r="E3408" s="191" t="s">
        <v>6213</v>
      </c>
      <c r="F3408" s="211" t="s">
        <v>8933</v>
      </c>
      <c r="G3408" s="46" t="s">
        <v>8932</v>
      </c>
      <c r="H3408" s="534">
        <v>16661.04</v>
      </c>
      <c r="I3408" s="56">
        <v>45028</v>
      </c>
      <c r="J3408" s="412" t="s">
        <v>6216</v>
      </c>
      <c r="K3408" s="46" t="s">
        <v>167</v>
      </c>
      <c r="L3408" s="99"/>
      <c r="M3408" s="379"/>
      <c r="N3408" s="76" t="s">
        <v>414</v>
      </c>
      <c r="O3408" s="46"/>
      <c r="P3408" s="46" t="s">
        <v>65</v>
      </c>
      <c r="Q3408" s="46" t="s">
        <v>110</v>
      </c>
      <c r="R3408" s="46" t="s">
        <v>272</v>
      </c>
    </row>
    <row r="3409" spans="1:18" ht="69" customHeight="1">
      <c r="A3409" s="168"/>
      <c r="B3409" s="178">
        <v>9793</v>
      </c>
      <c r="C3409" s="178" t="s">
        <v>657</v>
      </c>
      <c r="D3409" s="575" t="s">
        <v>2552</v>
      </c>
      <c r="E3409" s="178" t="s">
        <v>6434</v>
      </c>
      <c r="F3409" s="210" t="s">
        <v>8934</v>
      </c>
      <c r="G3409" s="58" t="s">
        <v>6617</v>
      </c>
      <c r="H3409" s="546">
        <v>44424.78</v>
      </c>
      <c r="I3409" s="66">
        <v>45041</v>
      </c>
      <c r="J3409" s="411" t="s">
        <v>6618</v>
      </c>
      <c r="K3409" s="58"/>
      <c r="L3409" s="99"/>
      <c r="M3409" s="70" t="s">
        <v>8886</v>
      </c>
      <c r="N3409" s="97" t="s">
        <v>6197</v>
      </c>
      <c r="O3409" s="58"/>
      <c r="P3409" s="58" t="s">
        <v>22</v>
      </c>
      <c r="Q3409" s="58" t="s">
        <v>110</v>
      </c>
      <c r="R3409" s="58" t="s">
        <v>265</v>
      </c>
    </row>
    <row r="3410" spans="1:18" ht="69" customHeight="1">
      <c r="A3410" s="168"/>
      <c r="B3410" s="178">
        <v>9803</v>
      </c>
      <c r="C3410" s="178" t="s">
        <v>657</v>
      </c>
      <c r="D3410" s="575" t="s">
        <v>1801</v>
      </c>
      <c r="E3410" s="178" t="s">
        <v>6192</v>
      </c>
      <c r="F3410" s="210" t="s">
        <v>8935</v>
      </c>
      <c r="G3410" s="58" t="s">
        <v>6448</v>
      </c>
      <c r="H3410" s="546">
        <v>133840.75</v>
      </c>
      <c r="I3410" s="66">
        <v>45035</v>
      </c>
      <c r="J3410" s="411" t="s">
        <v>8936</v>
      </c>
      <c r="K3410" s="58"/>
      <c r="L3410" s="99"/>
      <c r="M3410" s="70" t="s">
        <v>8910</v>
      </c>
      <c r="N3410" s="97" t="s">
        <v>6197</v>
      </c>
      <c r="O3410" s="58" t="s">
        <v>147</v>
      </c>
      <c r="P3410" s="58" t="s">
        <v>22</v>
      </c>
      <c r="Q3410" s="58" t="s">
        <v>110</v>
      </c>
      <c r="R3410" s="58" t="s">
        <v>272</v>
      </c>
    </row>
    <row r="3411" spans="1:18" ht="69" customHeight="1">
      <c r="A3411" s="168"/>
      <c r="B3411" s="178">
        <v>9804</v>
      </c>
      <c r="C3411" s="178" t="s">
        <v>657</v>
      </c>
      <c r="D3411" s="575" t="s">
        <v>1382</v>
      </c>
      <c r="E3411" s="178" t="s">
        <v>6192</v>
      </c>
      <c r="F3411" s="210" t="s">
        <v>8937</v>
      </c>
      <c r="G3411" s="58" t="s">
        <v>6452</v>
      </c>
      <c r="H3411" s="546">
        <v>72068.100000000006</v>
      </c>
      <c r="I3411" s="66">
        <v>45035</v>
      </c>
      <c r="J3411" s="411" t="s">
        <v>8936</v>
      </c>
      <c r="K3411" s="58"/>
      <c r="L3411" s="99"/>
      <c r="M3411" s="70" t="s">
        <v>8910</v>
      </c>
      <c r="N3411" s="97" t="s">
        <v>6197</v>
      </c>
      <c r="O3411" s="58" t="s">
        <v>147</v>
      </c>
      <c r="P3411" s="58" t="s">
        <v>22</v>
      </c>
      <c r="Q3411" s="58" t="s">
        <v>110</v>
      </c>
      <c r="R3411" s="58" t="s">
        <v>272</v>
      </c>
    </row>
    <row r="3412" spans="1:18" ht="69" customHeight="1">
      <c r="A3412" s="168"/>
      <c r="B3412" s="191">
        <v>9807</v>
      </c>
      <c r="C3412" s="191" t="s">
        <v>657</v>
      </c>
      <c r="D3412" s="533" t="s">
        <v>7385</v>
      </c>
      <c r="E3412" s="191" t="s">
        <v>6226</v>
      </c>
      <c r="F3412" s="211" t="s">
        <v>8938</v>
      </c>
      <c r="G3412" s="46" t="s">
        <v>6455</v>
      </c>
      <c r="H3412" s="534">
        <v>38560</v>
      </c>
      <c r="I3412" s="56">
        <v>45041</v>
      </c>
      <c r="J3412" s="412" t="s">
        <v>6229</v>
      </c>
      <c r="K3412" s="46" t="s">
        <v>167</v>
      </c>
      <c r="L3412" s="99"/>
      <c r="M3412" s="379"/>
      <c r="N3412" s="76" t="s">
        <v>6197</v>
      </c>
      <c r="O3412" s="46"/>
      <c r="P3412" s="46" t="s">
        <v>71</v>
      </c>
      <c r="Q3412" s="46" t="s">
        <v>110</v>
      </c>
      <c r="R3412" s="46" t="s">
        <v>272</v>
      </c>
    </row>
    <row r="3413" spans="1:18" ht="69" customHeight="1">
      <c r="A3413" s="168"/>
      <c r="B3413" s="178">
        <v>9861</v>
      </c>
      <c r="C3413" s="178" t="s">
        <v>657</v>
      </c>
      <c r="D3413" s="575" t="s">
        <v>8090</v>
      </c>
      <c r="E3413" s="178" t="s">
        <v>6434</v>
      </c>
      <c r="F3413" s="210" t="s">
        <v>8939</v>
      </c>
      <c r="G3413" s="58" t="s">
        <v>5225</v>
      </c>
      <c r="H3413" s="546">
        <v>38560</v>
      </c>
      <c r="I3413" s="66">
        <v>45051</v>
      </c>
      <c r="J3413" s="411" t="s">
        <v>6458</v>
      </c>
      <c r="K3413" s="58"/>
      <c r="L3413" s="99"/>
      <c r="M3413" s="70" t="s">
        <v>8886</v>
      </c>
      <c r="N3413" s="97" t="s">
        <v>6197</v>
      </c>
      <c r="O3413" s="58"/>
      <c r="P3413" s="58" t="s">
        <v>22</v>
      </c>
      <c r="Q3413" s="58" t="s">
        <v>110</v>
      </c>
      <c r="R3413" s="58" t="s">
        <v>265</v>
      </c>
    </row>
    <row r="3414" spans="1:18" ht="69" customHeight="1">
      <c r="A3414" s="168"/>
      <c r="B3414" s="178">
        <v>9865</v>
      </c>
      <c r="C3414" s="178" t="s">
        <v>657</v>
      </c>
      <c r="D3414" s="575" t="s">
        <v>8940</v>
      </c>
      <c r="E3414" s="178" t="s">
        <v>6434</v>
      </c>
      <c r="F3414" s="210" t="s">
        <v>8941</v>
      </c>
      <c r="G3414" s="58" t="s">
        <v>5225</v>
      </c>
      <c r="H3414" s="546">
        <v>29204.2</v>
      </c>
      <c r="I3414" s="66">
        <v>45051</v>
      </c>
      <c r="J3414" s="411" t="s">
        <v>6462</v>
      </c>
      <c r="K3414" s="58"/>
      <c r="L3414" s="99"/>
      <c r="M3414" s="70" t="s">
        <v>8886</v>
      </c>
      <c r="N3414" s="97" t="s">
        <v>6197</v>
      </c>
      <c r="O3414" s="58"/>
      <c r="P3414" s="58" t="s">
        <v>22</v>
      </c>
      <c r="Q3414" s="58" t="s">
        <v>110</v>
      </c>
      <c r="R3414" s="58" t="s">
        <v>265</v>
      </c>
    </row>
    <row r="3415" spans="1:18" ht="69" customHeight="1">
      <c r="A3415" s="168"/>
      <c r="B3415" s="191">
        <v>9930</v>
      </c>
      <c r="C3415" s="191" t="s">
        <v>657</v>
      </c>
      <c r="D3415" s="533" t="s">
        <v>4984</v>
      </c>
      <c r="E3415" s="191" t="s">
        <v>585</v>
      </c>
      <c r="F3415" s="211" t="s">
        <v>8942</v>
      </c>
      <c r="G3415" s="46" t="s">
        <v>6465</v>
      </c>
      <c r="H3415" s="534">
        <v>38444.74</v>
      </c>
      <c r="I3415" s="56">
        <v>45061</v>
      </c>
      <c r="J3415" s="412" t="s">
        <v>6466</v>
      </c>
      <c r="K3415" s="46" t="s">
        <v>167</v>
      </c>
      <c r="L3415" s="99"/>
      <c r="M3415" s="379"/>
      <c r="N3415" s="76" t="s">
        <v>6197</v>
      </c>
      <c r="O3415" s="46"/>
      <c r="P3415" s="46" t="s">
        <v>65</v>
      </c>
      <c r="Q3415" s="46" t="s">
        <v>110</v>
      </c>
      <c r="R3415" s="46" t="s">
        <v>272</v>
      </c>
    </row>
    <row r="3416" spans="1:18" ht="69" customHeight="1">
      <c r="A3416" s="168"/>
      <c r="B3416" s="178"/>
      <c r="C3416" s="178" t="s">
        <v>657</v>
      </c>
      <c r="D3416" s="575"/>
      <c r="E3416" s="178" t="s">
        <v>266</v>
      </c>
      <c r="F3416" s="210" t="s">
        <v>8943</v>
      </c>
      <c r="G3416" s="58"/>
      <c r="H3416" s="546">
        <v>4827.8900000000003</v>
      </c>
      <c r="I3416" s="66">
        <v>44484</v>
      </c>
      <c r="J3416" s="411" t="s">
        <v>8614</v>
      </c>
      <c r="K3416" s="58"/>
      <c r="L3416" s="99"/>
      <c r="M3416" s="70" t="s">
        <v>8944</v>
      </c>
      <c r="N3416" s="97" t="s">
        <v>270</v>
      </c>
      <c r="O3416" s="58"/>
      <c r="P3416" s="58" t="s">
        <v>44</v>
      </c>
      <c r="Q3416" s="58" t="s">
        <v>111</v>
      </c>
      <c r="R3416" s="58" t="s">
        <v>272</v>
      </c>
    </row>
    <row r="3417" spans="1:18" ht="69" customHeight="1">
      <c r="A3417" s="168"/>
      <c r="B3417" s="178"/>
      <c r="C3417" s="178" t="s">
        <v>657</v>
      </c>
      <c r="D3417" s="575"/>
      <c r="E3417" s="178" t="s">
        <v>266</v>
      </c>
      <c r="F3417" s="210" t="s">
        <v>8945</v>
      </c>
      <c r="G3417" s="58"/>
      <c r="H3417" s="546">
        <v>1388.33</v>
      </c>
      <c r="I3417" s="66">
        <v>44456</v>
      </c>
      <c r="J3417" s="411" t="s">
        <v>7233</v>
      </c>
      <c r="K3417" s="58"/>
      <c r="L3417" s="99"/>
      <c r="M3417" s="70" t="s">
        <v>8944</v>
      </c>
      <c r="N3417" s="97" t="s">
        <v>270</v>
      </c>
      <c r="O3417" s="58"/>
      <c r="P3417" s="58" t="s">
        <v>44</v>
      </c>
      <c r="Q3417" s="58" t="s">
        <v>111</v>
      </c>
      <c r="R3417" s="58" t="s">
        <v>272</v>
      </c>
    </row>
    <row r="3418" spans="1:18" ht="69" customHeight="1">
      <c r="A3418" s="168"/>
      <c r="B3418" s="178"/>
      <c r="C3418" s="178" t="s">
        <v>657</v>
      </c>
      <c r="D3418" s="575"/>
      <c r="E3418" s="178" t="s">
        <v>266</v>
      </c>
      <c r="F3418" s="210" t="s">
        <v>8945</v>
      </c>
      <c r="G3418" s="58"/>
      <c r="H3418" s="546">
        <v>1388.33</v>
      </c>
      <c r="I3418" s="66">
        <v>44456</v>
      </c>
      <c r="J3418" s="411" t="s">
        <v>7235</v>
      </c>
      <c r="K3418" s="58"/>
      <c r="L3418" s="99"/>
      <c r="M3418" s="70" t="s">
        <v>8944</v>
      </c>
      <c r="N3418" s="97" t="s">
        <v>270</v>
      </c>
      <c r="O3418" s="58"/>
      <c r="P3418" s="58" t="s">
        <v>44</v>
      </c>
      <c r="Q3418" s="58" t="s">
        <v>111</v>
      </c>
      <c r="R3418" s="58" t="s">
        <v>272</v>
      </c>
    </row>
    <row r="3419" spans="1:18" ht="69" customHeight="1">
      <c r="A3419" s="168"/>
      <c r="B3419" s="256" t="s">
        <v>8946</v>
      </c>
      <c r="C3419" s="256" t="s">
        <v>657</v>
      </c>
      <c r="D3419" s="299"/>
      <c r="E3419" s="256" t="s">
        <v>350</v>
      </c>
      <c r="F3419" s="263" t="s">
        <v>8947</v>
      </c>
      <c r="G3419" s="118" t="s">
        <v>7080</v>
      </c>
      <c r="H3419" s="300">
        <v>5362.8</v>
      </c>
      <c r="I3419" s="209" t="s">
        <v>96</v>
      </c>
      <c r="J3419" s="409" t="s">
        <v>7081</v>
      </c>
      <c r="K3419" s="118" t="s">
        <v>8948</v>
      </c>
      <c r="L3419" s="99"/>
      <c r="M3419" s="70" t="s">
        <v>8949</v>
      </c>
      <c r="N3419" s="97" t="s">
        <v>356</v>
      </c>
      <c r="O3419" s="118" t="s">
        <v>141</v>
      </c>
      <c r="P3419" s="118" t="s">
        <v>67</v>
      </c>
      <c r="Q3419" s="118" t="s">
        <v>111</v>
      </c>
      <c r="R3419" s="118" t="s">
        <v>265</v>
      </c>
    </row>
    <row r="3420" spans="1:18" ht="69" customHeight="1">
      <c r="A3420" s="168"/>
      <c r="B3420" s="178" t="s">
        <v>8950</v>
      </c>
      <c r="C3420" s="178" t="s">
        <v>657</v>
      </c>
      <c r="D3420" s="575"/>
      <c r="E3420" s="178" t="s">
        <v>260</v>
      </c>
      <c r="F3420" s="210" t="s">
        <v>8951</v>
      </c>
      <c r="G3420" s="58" t="s">
        <v>7080</v>
      </c>
      <c r="H3420" s="546">
        <v>1711</v>
      </c>
      <c r="I3420" s="66" t="s">
        <v>96</v>
      </c>
      <c r="J3420" s="411" t="s">
        <v>7081</v>
      </c>
      <c r="K3420" s="58" t="s">
        <v>8952</v>
      </c>
      <c r="L3420" s="99"/>
      <c r="M3420" s="70" t="s">
        <v>8953</v>
      </c>
      <c r="N3420" s="97" t="s">
        <v>264</v>
      </c>
      <c r="O3420" s="58" t="s">
        <v>141</v>
      </c>
      <c r="P3420" s="58" t="s">
        <v>17</v>
      </c>
      <c r="Q3420" s="58" t="s">
        <v>111</v>
      </c>
      <c r="R3420" s="58" t="s">
        <v>265</v>
      </c>
    </row>
    <row r="3421" spans="1:18" ht="69" customHeight="1">
      <c r="A3421" s="168"/>
      <c r="B3421" s="178" t="s">
        <v>8954</v>
      </c>
      <c r="C3421" s="178" t="s">
        <v>657</v>
      </c>
      <c r="D3421" s="575"/>
      <c r="E3421" s="178" t="s">
        <v>260</v>
      </c>
      <c r="F3421" s="210" t="s">
        <v>8955</v>
      </c>
      <c r="G3421" s="58" t="s">
        <v>7080</v>
      </c>
      <c r="H3421" s="546">
        <v>52909.11</v>
      </c>
      <c r="I3421" s="66" t="s">
        <v>96</v>
      </c>
      <c r="J3421" s="411" t="s">
        <v>7081</v>
      </c>
      <c r="K3421" s="58" t="s">
        <v>8952</v>
      </c>
      <c r="L3421" s="99"/>
      <c r="M3421" s="70" t="s">
        <v>8953</v>
      </c>
      <c r="N3421" s="97" t="s">
        <v>264</v>
      </c>
      <c r="O3421" s="58" t="s">
        <v>141</v>
      </c>
      <c r="P3421" s="58" t="s">
        <v>17</v>
      </c>
      <c r="Q3421" s="58" t="s">
        <v>111</v>
      </c>
      <c r="R3421" s="58" t="s">
        <v>265</v>
      </c>
    </row>
    <row r="3422" spans="1:18" ht="69" customHeight="1">
      <c r="A3422" s="168"/>
      <c r="B3422" s="178" t="s">
        <v>8956</v>
      </c>
      <c r="C3422" s="178" t="s">
        <v>657</v>
      </c>
      <c r="D3422" s="575"/>
      <c r="E3422" s="178" t="s">
        <v>260</v>
      </c>
      <c r="F3422" s="210" t="s">
        <v>8957</v>
      </c>
      <c r="G3422" s="58" t="s">
        <v>7080</v>
      </c>
      <c r="H3422" s="546">
        <v>22327.8</v>
      </c>
      <c r="I3422" s="66" t="s">
        <v>96</v>
      </c>
      <c r="J3422" s="411" t="s">
        <v>7081</v>
      </c>
      <c r="K3422" s="58" t="s">
        <v>8952</v>
      </c>
      <c r="L3422" s="99"/>
      <c r="M3422" s="70" t="s">
        <v>8953</v>
      </c>
      <c r="N3422" s="97" t="s">
        <v>264</v>
      </c>
      <c r="O3422" s="58" t="s">
        <v>141</v>
      </c>
      <c r="P3422" s="58" t="s">
        <v>17</v>
      </c>
      <c r="Q3422" s="58" t="s">
        <v>111</v>
      </c>
      <c r="R3422" s="58" t="s">
        <v>265</v>
      </c>
    </row>
    <row r="3423" spans="1:18" ht="69" customHeight="1">
      <c r="A3423" s="168"/>
      <c r="B3423" s="178" t="s">
        <v>8958</v>
      </c>
      <c r="C3423" s="178" t="s">
        <v>657</v>
      </c>
      <c r="D3423" s="575"/>
      <c r="E3423" s="178" t="s">
        <v>260</v>
      </c>
      <c r="F3423" s="210" t="s">
        <v>8959</v>
      </c>
      <c r="G3423" s="58" t="s">
        <v>7080</v>
      </c>
      <c r="H3423" s="546">
        <v>18759.849999999999</v>
      </c>
      <c r="I3423" s="66" t="s">
        <v>96</v>
      </c>
      <c r="J3423" s="411" t="s">
        <v>7081</v>
      </c>
      <c r="K3423" s="58" t="s">
        <v>8952</v>
      </c>
      <c r="L3423" s="99"/>
      <c r="M3423" s="70" t="s">
        <v>8953</v>
      </c>
      <c r="N3423" s="97" t="s">
        <v>264</v>
      </c>
      <c r="O3423" s="58" t="s">
        <v>141</v>
      </c>
      <c r="P3423" s="58" t="s">
        <v>17</v>
      </c>
      <c r="Q3423" s="58" t="s">
        <v>111</v>
      </c>
      <c r="R3423" s="58" t="s">
        <v>265</v>
      </c>
    </row>
    <row r="3424" spans="1:18" ht="69" customHeight="1">
      <c r="A3424" s="168"/>
      <c r="B3424" s="178" t="s">
        <v>8960</v>
      </c>
      <c r="C3424" s="178" t="s">
        <v>657</v>
      </c>
      <c r="D3424" s="575"/>
      <c r="E3424" s="178" t="s">
        <v>260</v>
      </c>
      <c r="F3424" s="210" t="s">
        <v>8961</v>
      </c>
      <c r="G3424" s="58" t="s">
        <v>7080</v>
      </c>
      <c r="H3424" s="546">
        <v>5403.15</v>
      </c>
      <c r="I3424" s="66" t="s">
        <v>96</v>
      </c>
      <c r="J3424" s="411" t="s">
        <v>7081</v>
      </c>
      <c r="K3424" s="58" t="s">
        <v>8952</v>
      </c>
      <c r="L3424" s="99"/>
      <c r="M3424" s="70" t="s">
        <v>8953</v>
      </c>
      <c r="N3424" s="97" t="s">
        <v>264</v>
      </c>
      <c r="O3424" s="58" t="s">
        <v>141</v>
      </c>
      <c r="P3424" s="58" t="s">
        <v>17</v>
      </c>
      <c r="Q3424" s="58" t="s">
        <v>111</v>
      </c>
      <c r="R3424" s="58" t="s">
        <v>265</v>
      </c>
    </row>
    <row r="3425" spans="1:18" ht="69" customHeight="1">
      <c r="A3425" s="168"/>
      <c r="B3425" s="178" t="s">
        <v>8962</v>
      </c>
      <c r="C3425" s="178" t="s">
        <v>657</v>
      </c>
      <c r="D3425" s="575"/>
      <c r="E3425" s="178" t="s">
        <v>260</v>
      </c>
      <c r="F3425" s="210" t="s">
        <v>8963</v>
      </c>
      <c r="G3425" s="58" t="s">
        <v>7080</v>
      </c>
      <c r="H3425" s="546">
        <v>1600</v>
      </c>
      <c r="I3425" s="66" t="s">
        <v>96</v>
      </c>
      <c r="J3425" s="411" t="s">
        <v>7081</v>
      </c>
      <c r="K3425" s="58" t="s">
        <v>8952</v>
      </c>
      <c r="L3425" s="99"/>
      <c r="M3425" s="70" t="s">
        <v>8953</v>
      </c>
      <c r="N3425" s="97" t="s">
        <v>264</v>
      </c>
      <c r="O3425" s="58" t="s">
        <v>141</v>
      </c>
      <c r="P3425" s="58" t="s">
        <v>17</v>
      </c>
      <c r="Q3425" s="58" t="s">
        <v>111</v>
      </c>
      <c r="R3425" s="58" t="s">
        <v>265</v>
      </c>
    </row>
    <row r="3426" spans="1:18" ht="69" customHeight="1">
      <c r="A3426" s="168"/>
      <c r="B3426" s="178" t="s">
        <v>8964</v>
      </c>
      <c r="C3426" s="178" t="s">
        <v>657</v>
      </c>
      <c r="D3426" s="575"/>
      <c r="E3426" s="178" t="s">
        <v>260</v>
      </c>
      <c r="F3426" s="210" t="s">
        <v>8965</v>
      </c>
      <c r="G3426" s="58" t="s">
        <v>7080</v>
      </c>
      <c r="H3426" s="546">
        <v>1039.77</v>
      </c>
      <c r="I3426" s="66" t="s">
        <v>96</v>
      </c>
      <c r="J3426" s="411" t="s">
        <v>7081</v>
      </c>
      <c r="K3426" s="58" t="s">
        <v>8952</v>
      </c>
      <c r="L3426" s="99"/>
      <c r="M3426" s="70" t="s">
        <v>8953</v>
      </c>
      <c r="N3426" s="97" t="s">
        <v>264</v>
      </c>
      <c r="O3426" s="58" t="s">
        <v>141</v>
      </c>
      <c r="P3426" s="58" t="s">
        <v>17</v>
      </c>
      <c r="Q3426" s="58" t="s">
        <v>111</v>
      </c>
      <c r="R3426" s="58" t="s">
        <v>265</v>
      </c>
    </row>
    <row r="3427" spans="1:18" ht="69" customHeight="1">
      <c r="A3427" s="168"/>
      <c r="B3427" s="178" t="s">
        <v>8966</v>
      </c>
      <c r="C3427" s="178" t="s">
        <v>657</v>
      </c>
      <c r="D3427" s="575"/>
      <c r="E3427" s="178" t="s">
        <v>260</v>
      </c>
      <c r="F3427" s="210" t="s">
        <v>8967</v>
      </c>
      <c r="G3427" s="58" t="s">
        <v>7080</v>
      </c>
      <c r="H3427" s="546">
        <v>1470</v>
      </c>
      <c r="I3427" s="66" t="s">
        <v>96</v>
      </c>
      <c r="J3427" s="411" t="s">
        <v>7081</v>
      </c>
      <c r="K3427" s="58" t="s">
        <v>8952</v>
      </c>
      <c r="L3427" s="99"/>
      <c r="M3427" s="70" t="s">
        <v>8953</v>
      </c>
      <c r="N3427" s="97" t="s">
        <v>264</v>
      </c>
      <c r="O3427" s="58" t="s">
        <v>141</v>
      </c>
      <c r="P3427" s="58" t="s">
        <v>17</v>
      </c>
      <c r="Q3427" s="58" t="s">
        <v>111</v>
      </c>
      <c r="R3427" s="58" t="s">
        <v>265</v>
      </c>
    </row>
    <row r="3428" spans="1:18" ht="69" customHeight="1">
      <c r="A3428" s="168"/>
      <c r="B3428" s="178" t="s">
        <v>8968</v>
      </c>
      <c r="C3428" s="178" t="s">
        <v>657</v>
      </c>
      <c r="D3428" s="575"/>
      <c r="E3428" s="178" t="s">
        <v>260</v>
      </c>
      <c r="F3428" s="210" t="s">
        <v>8969</v>
      </c>
      <c r="G3428" s="58" t="s">
        <v>7080</v>
      </c>
      <c r="H3428" s="546">
        <v>118.55</v>
      </c>
      <c r="I3428" s="66" t="s">
        <v>96</v>
      </c>
      <c r="J3428" s="411" t="s">
        <v>7081</v>
      </c>
      <c r="K3428" s="58" t="s">
        <v>8952</v>
      </c>
      <c r="L3428" s="99"/>
      <c r="M3428" s="70" t="s">
        <v>8953</v>
      </c>
      <c r="N3428" s="97" t="s">
        <v>264</v>
      </c>
      <c r="O3428" s="58" t="s">
        <v>141</v>
      </c>
      <c r="P3428" s="58" t="s">
        <v>17</v>
      </c>
      <c r="Q3428" s="58" t="s">
        <v>111</v>
      </c>
      <c r="R3428" s="58" t="s">
        <v>265</v>
      </c>
    </row>
    <row r="3429" spans="1:18" ht="69" customHeight="1">
      <c r="A3429" s="168"/>
      <c r="B3429" s="178" t="s">
        <v>8970</v>
      </c>
      <c r="C3429" s="178" t="s">
        <v>657</v>
      </c>
      <c r="D3429" s="575"/>
      <c r="E3429" s="178" t="s">
        <v>260</v>
      </c>
      <c r="F3429" s="210" t="s">
        <v>8971</v>
      </c>
      <c r="G3429" s="58" t="s">
        <v>7080</v>
      </c>
      <c r="H3429" s="546">
        <v>5706.96</v>
      </c>
      <c r="I3429" s="66" t="s">
        <v>96</v>
      </c>
      <c r="J3429" s="411" t="s">
        <v>7081</v>
      </c>
      <c r="K3429" s="58" t="s">
        <v>8952</v>
      </c>
      <c r="L3429" s="99"/>
      <c r="M3429" s="70" t="s">
        <v>8953</v>
      </c>
      <c r="N3429" s="97" t="s">
        <v>264</v>
      </c>
      <c r="O3429" s="58" t="s">
        <v>141</v>
      </c>
      <c r="P3429" s="58" t="s">
        <v>17</v>
      </c>
      <c r="Q3429" s="58" t="s">
        <v>111</v>
      </c>
      <c r="R3429" s="58" t="s">
        <v>265</v>
      </c>
    </row>
    <row r="3430" spans="1:18" ht="69" customHeight="1">
      <c r="A3430" s="168"/>
      <c r="B3430" s="191">
        <v>3004</v>
      </c>
      <c r="C3430" s="191" t="s">
        <v>657</v>
      </c>
      <c r="D3430" s="533" t="s">
        <v>1710</v>
      </c>
      <c r="E3430" s="191" t="s">
        <v>331</v>
      </c>
      <c r="F3430" s="211" t="s">
        <v>8972</v>
      </c>
      <c r="G3430" s="46" t="s">
        <v>4416</v>
      </c>
      <c r="H3430" s="534">
        <v>0</v>
      </c>
      <c r="I3430" s="56" t="s">
        <v>96</v>
      </c>
      <c r="J3430" s="412" t="s">
        <v>334</v>
      </c>
      <c r="K3430" s="46"/>
      <c r="L3430" s="99"/>
      <c r="M3430" s="379"/>
      <c r="N3430" s="76" t="s">
        <v>69</v>
      </c>
      <c r="O3430" s="46"/>
      <c r="P3430" s="46" t="s">
        <v>69</v>
      </c>
      <c r="Q3430" s="46" t="s">
        <v>111</v>
      </c>
      <c r="R3430" s="46" t="s">
        <v>272</v>
      </c>
    </row>
    <row r="3431" spans="1:18" ht="69" customHeight="1">
      <c r="A3431" s="168"/>
      <c r="B3431" s="178">
        <v>4420</v>
      </c>
      <c r="C3431" s="178" t="s">
        <v>657</v>
      </c>
      <c r="D3431" s="575"/>
      <c r="E3431" s="178" t="s">
        <v>358</v>
      </c>
      <c r="F3431" s="210" t="s">
        <v>8973</v>
      </c>
      <c r="G3431" s="58"/>
      <c r="H3431" s="546">
        <v>5362.8</v>
      </c>
      <c r="I3431" s="66">
        <v>44508</v>
      </c>
      <c r="J3431" s="411" t="s">
        <v>294</v>
      </c>
      <c r="K3431" s="58" t="s">
        <v>8974</v>
      </c>
      <c r="L3431" s="99"/>
      <c r="M3431" s="70" t="s">
        <v>8975</v>
      </c>
      <c r="N3431" s="97" t="s">
        <v>356</v>
      </c>
      <c r="O3431" s="58" t="s">
        <v>141</v>
      </c>
      <c r="P3431" s="58" t="s">
        <v>19</v>
      </c>
      <c r="Q3431" s="58" t="s">
        <v>111</v>
      </c>
      <c r="R3431" s="58" t="s">
        <v>265</v>
      </c>
    </row>
    <row r="3432" spans="1:18" ht="69" customHeight="1">
      <c r="A3432" s="168"/>
      <c r="B3432" s="191">
        <v>4434</v>
      </c>
      <c r="C3432" s="191" t="s">
        <v>657</v>
      </c>
      <c r="D3432" s="533"/>
      <c r="E3432" s="191" t="s">
        <v>350</v>
      </c>
      <c r="F3432" s="211" t="s">
        <v>8976</v>
      </c>
      <c r="G3432" s="46" t="s">
        <v>96</v>
      </c>
      <c r="H3432" s="534">
        <v>2250</v>
      </c>
      <c r="I3432" s="56">
        <v>44596</v>
      </c>
      <c r="J3432" s="412" t="s">
        <v>294</v>
      </c>
      <c r="K3432" s="46" t="s">
        <v>8974</v>
      </c>
      <c r="L3432" s="99"/>
      <c r="M3432" s="70" t="s">
        <v>8949</v>
      </c>
      <c r="N3432" s="97" t="s">
        <v>356</v>
      </c>
      <c r="O3432" s="46" t="s">
        <v>141</v>
      </c>
      <c r="P3432" s="46" t="s">
        <v>65</v>
      </c>
      <c r="Q3432" s="46" t="s">
        <v>111</v>
      </c>
      <c r="R3432" s="46" t="s">
        <v>272</v>
      </c>
    </row>
    <row r="3433" spans="1:18" ht="69" customHeight="1">
      <c r="A3433" s="168"/>
      <c r="B3433" s="178">
        <v>4703</v>
      </c>
      <c r="C3433" s="178" t="s">
        <v>657</v>
      </c>
      <c r="D3433" s="575" t="s">
        <v>3158</v>
      </c>
      <c r="E3433" s="178" t="s">
        <v>331</v>
      </c>
      <c r="F3433" s="210" t="s">
        <v>8977</v>
      </c>
      <c r="G3433" s="58"/>
      <c r="H3433" s="546">
        <v>3389.12</v>
      </c>
      <c r="I3433" s="66">
        <v>44678</v>
      </c>
      <c r="J3433" s="411" t="s">
        <v>8978</v>
      </c>
      <c r="K3433" s="58"/>
      <c r="L3433" s="99"/>
      <c r="M3433" s="70" t="s">
        <v>8944</v>
      </c>
      <c r="N3433" s="97" t="s">
        <v>270</v>
      </c>
      <c r="O3433" s="58"/>
      <c r="P3433" s="58" t="s">
        <v>44</v>
      </c>
      <c r="Q3433" s="58" t="s">
        <v>111</v>
      </c>
      <c r="R3433" s="58" t="s">
        <v>272</v>
      </c>
    </row>
    <row r="3434" spans="1:18" ht="69" customHeight="1">
      <c r="A3434" s="168"/>
      <c r="B3434" s="178">
        <v>4703</v>
      </c>
      <c r="C3434" s="178" t="s">
        <v>657</v>
      </c>
      <c r="D3434" s="575" t="s">
        <v>4732</v>
      </c>
      <c r="E3434" s="178" t="s">
        <v>331</v>
      </c>
      <c r="F3434" s="210" t="s">
        <v>8979</v>
      </c>
      <c r="G3434" s="58" t="s">
        <v>372</v>
      </c>
      <c r="H3434" s="546">
        <v>30502.09</v>
      </c>
      <c r="I3434" s="66">
        <v>44701</v>
      </c>
      <c r="J3434" s="411" t="s">
        <v>8980</v>
      </c>
      <c r="K3434" s="58"/>
      <c r="L3434" s="99"/>
      <c r="M3434" s="70" t="s">
        <v>8944</v>
      </c>
      <c r="N3434" s="97" t="s">
        <v>270</v>
      </c>
      <c r="O3434" s="58"/>
      <c r="P3434" s="58" t="s">
        <v>44</v>
      </c>
      <c r="Q3434" s="58" t="s">
        <v>111</v>
      </c>
      <c r="R3434" s="58" t="s">
        <v>272</v>
      </c>
    </row>
    <row r="3435" spans="1:18" ht="69" customHeight="1">
      <c r="A3435" s="168"/>
      <c r="B3435" s="178">
        <v>4308</v>
      </c>
      <c r="C3435" s="178" t="s">
        <v>657</v>
      </c>
      <c r="D3435" s="575" t="s">
        <v>1468</v>
      </c>
      <c r="E3435" s="178" t="s">
        <v>283</v>
      </c>
      <c r="F3435" s="210" t="s">
        <v>8981</v>
      </c>
      <c r="G3435" s="58" t="s">
        <v>8982</v>
      </c>
      <c r="H3435" s="546">
        <v>205999.51</v>
      </c>
      <c r="I3435" s="66">
        <v>44706</v>
      </c>
      <c r="J3435" s="411" t="s">
        <v>8983</v>
      </c>
      <c r="K3435" s="58" t="s">
        <v>8952</v>
      </c>
      <c r="L3435" s="99"/>
      <c r="M3435" s="70" t="s">
        <v>8949</v>
      </c>
      <c r="N3435" s="97" t="s">
        <v>356</v>
      </c>
      <c r="O3435" s="58" t="s">
        <v>141</v>
      </c>
      <c r="P3435" s="58" t="s">
        <v>17</v>
      </c>
      <c r="Q3435" s="58" t="s">
        <v>111</v>
      </c>
      <c r="R3435" s="58" t="s">
        <v>265</v>
      </c>
    </row>
    <row r="3436" spans="1:18" ht="69" customHeight="1">
      <c r="A3436" s="168"/>
      <c r="B3436" s="178">
        <v>4309</v>
      </c>
      <c r="C3436" s="178" t="s">
        <v>657</v>
      </c>
      <c r="D3436" s="575" t="s">
        <v>2917</v>
      </c>
      <c r="E3436" s="178" t="s">
        <v>382</v>
      </c>
      <c r="F3436" s="210" t="s">
        <v>8984</v>
      </c>
      <c r="G3436" s="58" t="s">
        <v>384</v>
      </c>
      <c r="H3436" s="546">
        <v>27761.33</v>
      </c>
      <c r="I3436" s="66">
        <v>44736</v>
      </c>
      <c r="J3436" s="411" t="s">
        <v>8985</v>
      </c>
      <c r="K3436" s="58"/>
      <c r="L3436" s="99"/>
      <c r="M3436" s="70" t="s">
        <v>8986</v>
      </c>
      <c r="N3436" s="97" t="s">
        <v>387</v>
      </c>
      <c r="O3436" s="45" t="s">
        <v>150</v>
      </c>
      <c r="P3436" s="58" t="s">
        <v>51</v>
      </c>
      <c r="Q3436" s="58" t="s">
        <v>111</v>
      </c>
      <c r="R3436" s="58" t="s">
        <v>272</v>
      </c>
    </row>
    <row r="3437" spans="1:18" ht="69" customHeight="1">
      <c r="A3437" s="168"/>
      <c r="B3437" s="178">
        <v>4310</v>
      </c>
      <c r="C3437" s="178" t="s">
        <v>657</v>
      </c>
      <c r="D3437" s="575" t="s">
        <v>1703</v>
      </c>
      <c r="E3437" s="178" t="s">
        <v>382</v>
      </c>
      <c r="F3437" s="210" t="s">
        <v>8987</v>
      </c>
      <c r="G3437" s="58" t="s">
        <v>384</v>
      </c>
      <c r="H3437" s="546">
        <v>39819.519999999997</v>
      </c>
      <c r="I3437" s="66">
        <v>44736</v>
      </c>
      <c r="J3437" s="411" t="s">
        <v>8988</v>
      </c>
      <c r="K3437" s="58"/>
      <c r="L3437" s="99"/>
      <c r="M3437" s="70" t="s">
        <v>8986</v>
      </c>
      <c r="N3437" s="97" t="s">
        <v>387</v>
      </c>
      <c r="O3437" s="45" t="s">
        <v>150</v>
      </c>
      <c r="P3437" s="58" t="s">
        <v>51</v>
      </c>
      <c r="Q3437" s="58" t="s">
        <v>111</v>
      </c>
      <c r="R3437" s="58" t="s">
        <v>272</v>
      </c>
    </row>
    <row r="3438" spans="1:18" ht="69" customHeight="1">
      <c r="A3438" s="168"/>
      <c r="B3438" s="178">
        <v>5167</v>
      </c>
      <c r="C3438" s="178" t="s">
        <v>657</v>
      </c>
      <c r="D3438" s="575" t="s">
        <v>2933</v>
      </c>
      <c r="E3438" s="178" t="s">
        <v>266</v>
      </c>
      <c r="F3438" s="210" t="s">
        <v>8989</v>
      </c>
      <c r="G3438" s="58" t="s">
        <v>396</v>
      </c>
      <c r="H3438" s="546">
        <v>3500</v>
      </c>
      <c r="I3438" s="66">
        <v>44753</v>
      </c>
      <c r="J3438" s="411" t="s">
        <v>8990</v>
      </c>
      <c r="K3438" s="58" t="s">
        <v>705</v>
      </c>
      <c r="L3438" s="99"/>
      <c r="M3438" s="70" t="s">
        <v>8991</v>
      </c>
      <c r="N3438" s="97" t="s">
        <v>399</v>
      </c>
      <c r="O3438" s="58"/>
      <c r="P3438" s="58" t="s">
        <v>40</v>
      </c>
      <c r="Q3438" s="58" t="s">
        <v>111</v>
      </c>
      <c r="R3438" s="58" t="s">
        <v>272</v>
      </c>
    </row>
    <row r="3439" spans="1:18" ht="69" customHeight="1">
      <c r="A3439" s="168"/>
      <c r="B3439" s="178">
        <v>6222</v>
      </c>
      <c r="C3439" s="178" t="s">
        <v>657</v>
      </c>
      <c r="D3439" s="575" t="s">
        <v>3480</v>
      </c>
      <c r="E3439" s="178" t="s">
        <v>266</v>
      </c>
      <c r="F3439" s="210" t="s">
        <v>8992</v>
      </c>
      <c r="G3439" s="58" t="s">
        <v>1107</v>
      </c>
      <c r="H3439" s="546">
        <v>45700</v>
      </c>
      <c r="I3439" s="66">
        <v>44785</v>
      </c>
      <c r="J3439" s="411" t="s">
        <v>8993</v>
      </c>
      <c r="K3439" s="58"/>
      <c r="L3439" s="99"/>
      <c r="M3439" s="70" t="s">
        <v>8944</v>
      </c>
      <c r="N3439" s="97" t="s">
        <v>270</v>
      </c>
      <c r="O3439" s="58"/>
      <c r="P3439" s="58" t="s">
        <v>44</v>
      </c>
      <c r="Q3439" s="58" t="s">
        <v>111</v>
      </c>
      <c r="R3439" s="58" t="s">
        <v>272</v>
      </c>
    </row>
    <row r="3440" spans="1:18" ht="69" customHeight="1">
      <c r="A3440" s="168"/>
      <c r="B3440" s="59">
        <v>6420</v>
      </c>
      <c r="C3440" s="59" t="s">
        <v>657</v>
      </c>
      <c r="D3440" s="581" t="s">
        <v>2253</v>
      </c>
      <c r="E3440" s="59" t="s">
        <v>432</v>
      </c>
      <c r="F3440" s="569" t="s">
        <v>8994</v>
      </c>
      <c r="G3440" s="45" t="s">
        <v>429</v>
      </c>
      <c r="H3440" s="546">
        <v>13959.486000000001</v>
      </c>
      <c r="I3440" s="47">
        <v>44802</v>
      </c>
      <c r="J3440" s="410" t="s">
        <v>8995</v>
      </c>
      <c r="K3440" s="58"/>
      <c r="L3440" s="99"/>
      <c r="M3440" s="70" t="s">
        <v>8996</v>
      </c>
      <c r="N3440" s="97" t="s">
        <v>432</v>
      </c>
      <c r="O3440" s="58"/>
      <c r="P3440" s="58" t="s">
        <v>53</v>
      </c>
      <c r="Q3440" s="58" t="s">
        <v>111</v>
      </c>
      <c r="R3440" s="58" t="s">
        <v>272</v>
      </c>
    </row>
    <row r="3441" spans="1:18" ht="69" customHeight="1">
      <c r="A3441" s="168"/>
      <c r="B3441" s="178">
        <v>5299</v>
      </c>
      <c r="C3441" s="178" t="s">
        <v>458</v>
      </c>
      <c r="D3441" s="575" t="s">
        <v>1748</v>
      </c>
      <c r="E3441" s="178" t="s">
        <v>266</v>
      </c>
      <c r="F3441" s="210" t="s">
        <v>8997</v>
      </c>
      <c r="G3441" s="58" t="s">
        <v>1107</v>
      </c>
      <c r="H3441" s="546">
        <v>6500</v>
      </c>
      <c r="I3441" s="66" t="s">
        <v>96</v>
      </c>
      <c r="J3441" s="411" t="s">
        <v>8998</v>
      </c>
      <c r="K3441" s="58"/>
      <c r="L3441" s="99"/>
      <c r="M3441" s="70" t="s">
        <v>8999</v>
      </c>
      <c r="N3441" s="97" t="s">
        <v>552</v>
      </c>
      <c r="O3441" s="58" t="s">
        <v>971</v>
      </c>
      <c r="P3441" s="58" t="s">
        <v>38</v>
      </c>
      <c r="Q3441" s="58" t="s">
        <v>111</v>
      </c>
      <c r="R3441" s="58" t="s">
        <v>272</v>
      </c>
    </row>
    <row r="3442" spans="1:18" ht="69" customHeight="1">
      <c r="A3442" s="168"/>
      <c r="B3442" s="600">
        <v>6608</v>
      </c>
      <c r="C3442" s="600" t="s">
        <v>458</v>
      </c>
      <c r="D3442" s="601" t="s">
        <v>2058</v>
      </c>
      <c r="E3442" s="600" t="s">
        <v>5708</v>
      </c>
      <c r="F3442" s="602" t="s">
        <v>9000</v>
      </c>
      <c r="G3442" s="460" t="s">
        <v>5710</v>
      </c>
      <c r="H3442" s="605">
        <v>161828.45000000001</v>
      </c>
      <c r="I3442" s="461">
        <v>44816</v>
      </c>
      <c r="J3442" s="603" t="s">
        <v>9001</v>
      </c>
      <c r="K3442" s="460"/>
      <c r="L3442" s="99"/>
      <c r="M3442" s="70" t="s">
        <v>9002</v>
      </c>
      <c r="N3442" s="97" t="s">
        <v>414</v>
      </c>
      <c r="O3442" s="58" t="s">
        <v>5713</v>
      </c>
      <c r="P3442" s="58" t="s">
        <v>24</v>
      </c>
      <c r="Q3442" s="58" t="s">
        <v>111</v>
      </c>
      <c r="R3442" s="58" t="s">
        <v>265</v>
      </c>
    </row>
    <row r="3443" spans="1:18" ht="69" customHeight="1">
      <c r="A3443" s="168"/>
      <c r="B3443" s="600">
        <v>6622</v>
      </c>
      <c r="C3443" s="600" t="s">
        <v>458</v>
      </c>
      <c r="D3443" s="601" t="s">
        <v>698</v>
      </c>
      <c r="E3443" s="600" t="s">
        <v>5708</v>
      </c>
      <c r="F3443" s="602" t="s">
        <v>9003</v>
      </c>
      <c r="G3443" s="460" t="s">
        <v>5710</v>
      </c>
      <c r="H3443" s="605">
        <v>336997.76</v>
      </c>
      <c r="I3443" s="461">
        <v>44820</v>
      </c>
      <c r="J3443" s="603" t="s">
        <v>9001</v>
      </c>
      <c r="K3443" s="460"/>
      <c r="L3443" s="99"/>
      <c r="M3443" s="70" t="s">
        <v>9002</v>
      </c>
      <c r="N3443" s="97" t="s">
        <v>414</v>
      </c>
      <c r="O3443" s="58" t="s">
        <v>5713</v>
      </c>
      <c r="P3443" s="58" t="s">
        <v>24</v>
      </c>
      <c r="Q3443" s="58" t="s">
        <v>111</v>
      </c>
      <c r="R3443" s="58" t="s">
        <v>265</v>
      </c>
    </row>
    <row r="3444" spans="1:18" ht="69" customHeight="1">
      <c r="A3444" s="168"/>
      <c r="B3444" s="178">
        <v>6704</v>
      </c>
      <c r="C3444" s="178" t="s">
        <v>9004</v>
      </c>
      <c r="D3444" s="575" t="s">
        <v>685</v>
      </c>
      <c r="E3444" s="178" t="s">
        <v>409</v>
      </c>
      <c r="F3444" s="210" t="s">
        <v>9005</v>
      </c>
      <c r="G3444" s="58" t="s">
        <v>5809</v>
      </c>
      <c r="H3444" s="546">
        <v>274070.21999999997</v>
      </c>
      <c r="I3444" s="66">
        <v>44820</v>
      </c>
      <c r="J3444" s="411" t="s">
        <v>9006</v>
      </c>
      <c r="K3444" s="58"/>
      <c r="L3444" s="99"/>
      <c r="M3444" s="70" t="s">
        <v>9007</v>
      </c>
      <c r="N3444" s="97" t="s">
        <v>414</v>
      </c>
      <c r="O3444" s="58" t="s">
        <v>5713</v>
      </c>
      <c r="P3444" s="58" t="s">
        <v>24</v>
      </c>
      <c r="Q3444" s="58" t="s">
        <v>111</v>
      </c>
      <c r="R3444" s="58" t="s">
        <v>272</v>
      </c>
    </row>
    <row r="3445" spans="1:18" ht="69" customHeight="1">
      <c r="A3445" s="168"/>
      <c r="B3445" s="178">
        <v>7488</v>
      </c>
      <c r="C3445" s="178" t="s">
        <v>657</v>
      </c>
      <c r="D3445" s="575" t="s">
        <v>5927</v>
      </c>
      <c r="E3445" s="178" t="s">
        <v>266</v>
      </c>
      <c r="F3445" s="210" t="s">
        <v>9008</v>
      </c>
      <c r="G3445" s="58" t="s">
        <v>444</v>
      </c>
      <c r="H3445" s="546">
        <v>5334.67</v>
      </c>
      <c r="I3445" s="66">
        <v>44879</v>
      </c>
      <c r="J3445" s="411" t="s">
        <v>445</v>
      </c>
      <c r="K3445" s="58"/>
      <c r="L3445" s="99"/>
      <c r="M3445" s="70" t="s">
        <v>8944</v>
      </c>
      <c r="N3445" s="97" t="s">
        <v>270</v>
      </c>
      <c r="O3445" s="58"/>
      <c r="P3445" s="58" t="s">
        <v>44</v>
      </c>
      <c r="Q3445" s="58" t="s">
        <v>111</v>
      </c>
      <c r="R3445" s="58" t="s">
        <v>272</v>
      </c>
    </row>
    <row r="3446" spans="1:18" ht="69" customHeight="1">
      <c r="A3446" s="168"/>
      <c r="B3446" s="178">
        <v>7612</v>
      </c>
      <c r="C3446" s="178" t="s">
        <v>657</v>
      </c>
      <c r="D3446" s="575" t="s">
        <v>9009</v>
      </c>
      <c r="E3446" s="178" t="s">
        <v>266</v>
      </c>
      <c r="F3446" s="210" t="s">
        <v>9010</v>
      </c>
      <c r="G3446" s="58" t="s">
        <v>9011</v>
      </c>
      <c r="H3446" s="546">
        <v>4600</v>
      </c>
      <c r="I3446" s="66">
        <v>44890</v>
      </c>
      <c r="J3446" s="411" t="s">
        <v>9012</v>
      </c>
      <c r="K3446" s="58"/>
      <c r="L3446" s="99"/>
      <c r="M3446" s="70" t="s">
        <v>8944</v>
      </c>
      <c r="N3446" s="97" t="s">
        <v>270</v>
      </c>
      <c r="O3446" s="58"/>
      <c r="P3446" s="58" t="s">
        <v>44</v>
      </c>
      <c r="Q3446" s="58" t="s">
        <v>111</v>
      </c>
      <c r="R3446" s="58" t="s">
        <v>272</v>
      </c>
    </row>
    <row r="3447" spans="1:18" ht="69" customHeight="1">
      <c r="A3447" s="168"/>
      <c r="B3447" s="178">
        <v>8476</v>
      </c>
      <c r="C3447" s="178" t="s">
        <v>458</v>
      </c>
      <c r="D3447" s="575" t="s">
        <v>797</v>
      </c>
      <c r="E3447" s="178" t="s">
        <v>266</v>
      </c>
      <c r="F3447" s="210" t="s">
        <v>9013</v>
      </c>
      <c r="G3447" s="58" t="s">
        <v>1107</v>
      </c>
      <c r="H3447" s="546">
        <v>6500</v>
      </c>
      <c r="I3447" s="66">
        <v>44942</v>
      </c>
      <c r="J3447" s="411" t="s">
        <v>5836</v>
      </c>
      <c r="K3447" s="58"/>
      <c r="L3447" s="99"/>
      <c r="M3447" s="70" t="s">
        <v>8999</v>
      </c>
      <c r="N3447" s="97" t="s">
        <v>552</v>
      </c>
      <c r="O3447" s="58" t="s">
        <v>971</v>
      </c>
      <c r="P3447" s="58" t="s">
        <v>38</v>
      </c>
      <c r="Q3447" s="58" t="s">
        <v>111</v>
      </c>
      <c r="R3447" s="58" t="s">
        <v>272</v>
      </c>
    </row>
    <row r="3448" spans="1:18" ht="69" customHeight="1">
      <c r="A3448" s="168"/>
      <c r="B3448" s="178">
        <v>8477</v>
      </c>
      <c r="C3448" s="178" t="s">
        <v>458</v>
      </c>
      <c r="D3448" s="575" t="s">
        <v>1081</v>
      </c>
      <c r="E3448" s="178" t="s">
        <v>266</v>
      </c>
      <c r="F3448" s="210" t="s">
        <v>9014</v>
      </c>
      <c r="G3448" s="58" t="s">
        <v>1107</v>
      </c>
      <c r="H3448" s="546">
        <v>6500</v>
      </c>
      <c r="I3448" s="66">
        <v>44942</v>
      </c>
      <c r="J3448" s="411" t="s">
        <v>5836</v>
      </c>
      <c r="K3448" s="58"/>
      <c r="L3448" s="99"/>
      <c r="M3448" s="70" t="s">
        <v>8999</v>
      </c>
      <c r="N3448" s="97" t="s">
        <v>552</v>
      </c>
      <c r="O3448" s="58" t="s">
        <v>971</v>
      </c>
      <c r="P3448" s="58" t="s">
        <v>38</v>
      </c>
      <c r="Q3448" s="58" t="s">
        <v>111</v>
      </c>
      <c r="R3448" s="58" t="s">
        <v>272</v>
      </c>
    </row>
    <row r="3449" spans="1:18" ht="69" customHeight="1">
      <c r="A3449" s="168"/>
      <c r="B3449" s="178">
        <v>8478</v>
      </c>
      <c r="C3449" s="178" t="s">
        <v>458</v>
      </c>
      <c r="D3449" s="575" t="s">
        <v>1622</v>
      </c>
      <c r="E3449" s="178" t="s">
        <v>266</v>
      </c>
      <c r="F3449" s="210" t="s">
        <v>9015</v>
      </c>
      <c r="G3449" s="58" t="s">
        <v>1107</v>
      </c>
      <c r="H3449" s="546">
        <v>6500</v>
      </c>
      <c r="I3449" s="66">
        <v>44942</v>
      </c>
      <c r="J3449" s="411" t="s">
        <v>5836</v>
      </c>
      <c r="K3449" s="58"/>
      <c r="L3449" s="99"/>
      <c r="M3449" s="70" t="s">
        <v>8999</v>
      </c>
      <c r="N3449" s="97" t="s">
        <v>552</v>
      </c>
      <c r="O3449" s="58" t="s">
        <v>971</v>
      </c>
      <c r="P3449" s="58" t="s">
        <v>38</v>
      </c>
      <c r="Q3449" s="58" t="s">
        <v>111</v>
      </c>
      <c r="R3449" s="58" t="s">
        <v>272</v>
      </c>
    </row>
    <row r="3450" spans="1:18" ht="69" customHeight="1">
      <c r="A3450" s="168"/>
      <c r="B3450" s="178">
        <v>8479</v>
      </c>
      <c r="C3450" s="178" t="s">
        <v>458</v>
      </c>
      <c r="D3450" s="575"/>
      <c r="E3450" s="178" t="s">
        <v>266</v>
      </c>
      <c r="F3450" s="210" t="s">
        <v>9016</v>
      </c>
      <c r="G3450" s="58" t="s">
        <v>1107</v>
      </c>
      <c r="H3450" s="546">
        <v>6500</v>
      </c>
      <c r="I3450" s="66">
        <v>44942</v>
      </c>
      <c r="J3450" s="411" t="s">
        <v>5836</v>
      </c>
      <c r="K3450" s="58"/>
      <c r="L3450" s="99"/>
      <c r="M3450" s="70" t="s">
        <v>8999</v>
      </c>
      <c r="N3450" s="97" t="s">
        <v>552</v>
      </c>
      <c r="O3450" s="58" t="s">
        <v>971</v>
      </c>
      <c r="P3450" s="58" t="s">
        <v>38</v>
      </c>
      <c r="Q3450" s="58" t="s">
        <v>111</v>
      </c>
      <c r="R3450" s="58" t="s">
        <v>272</v>
      </c>
    </row>
    <row r="3451" spans="1:18" ht="69" customHeight="1">
      <c r="A3451" s="168"/>
      <c r="B3451" s="178">
        <v>9680</v>
      </c>
      <c r="C3451" s="178" t="s">
        <v>657</v>
      </c>
      <c r="D3451" s="575" t="s">
        <v>1065</v>
      </c>
      <c r="E3451" s="178" t="s">
        <v>350</v>
      </c>
      <c r="F3451" s="210" t="s">
        <v>9017</v>
      </c>
      <c r="G3451" s="58" t="s">
        <v>7067</v>
      </c>
      <c r="H3451" s="546">
        <v>67950</v>
      </c>
      <c r="I3451" s="66">
        <v>45019</v>
      </c>
      <c r="J3451" s="411" t="s">
        <v>7068</v>
      </c>
      <c r="K3451" s="58" t="s">
        <v>9018</v>
      </c>
      <c r="L3451" s="99"/>
      <c r="M3451" s="70" t="s">
        <v>8949</v>
      </c>
      <c r="N3451" s="97" t="s">
        <v>356</v>
      </c>
      <c r="O3451" s="58" t="s">
        <v>141</v>
      </c>
      <c r="P3451" s="58" t="s">
        <v>19</v>
      </c>
      <c r="Q3451" s="58" t="s">
        <v>111</v>
      </c>
      <c r="R3451" s="58" t="s">
        <v>265</v>
      </c>
    </row>
    <row r="3452" spans="1:18" ht="69" customHeight="1">
      <c r="A3452" s="168"/>
      <c r="B3452" s="178">
        <v>2304</v>
      </c>
      <c r="C3452" s="178" t="s">
        <v>458</v>
      </c>
      <c r="D3452" s="575"/>
      <c r="E3452" s="178" t="s">
        <v>260</v>
      </c>
      <c r="F3452" s="210" t="s">
        <v>9019</v>
      </c>
      <c r="G3452" s="58"/>
      <c r="H3452" s="546">
        <v>12000.01</v>
      </c>
      <c r="I3452" s="66">
        <v>44469</v>
      </c>
      <c r="J3452" s="411" t="s">
        <v>9020</v>
      </c>
      <c r="K3452" s="58" t="s">
        <v>9021</v>
      </c>
      <c r="L3452" s="99"/>
      <c r="M3452" s="70" t="s">
        <v>9022</v>
      </c>
      <c r="N3452" s="97" t="s">
        <v>264</v>
      </c>
      <c r="O3452" s="58" t="s">
        <v>141</v>
      </c>
      <c r="P3452" s="58" t="s">
        <v>17</v>
      </c>
      <c r="Q3452" s="58" t="s">
        <v>112</v>
      </c>
      <c r="R3452" s="58" t="s">
        <v>265</v>
      </c>
    </row>
    <row r="3453" spans="1:18" ht="69" customHeight="1">
      <c r="A3453" s="168"/>
      <c r="B3453" s="178"/>
      <c r="C3453" s="178" t="s">
        <v>458</v>
      </c>
      <c r="D3453" s="575"/>
      <c r="E3453" s="178" t="s">
        <v>266</v>
      </c>
      <c r="F3453" s="210" t="s">
        <v>9023</v>
      </c>
      <c r="G3453" s="58"/>
      <c r="H3453" s="546">
        <v>5553.33</v>
      </c>
      <c r="I3453" s="66">
        <v>44484</v>
      </c>
      <c r="J3453" s="411" t="s">
        <v>7230</v>
      </c>
      <c r="K3453" s="58"/>
      <c r="L3453" s="99"/>
      <c r="M3453" s="70" t="s">
        <v>9024</v>
      </c>
      <c r="N3453" s="97" t="s">
        <v>270</v>
      </c>
      <c r="O3453" s="58"/>
      <c r="P3453" s="58" t="s">
        <v>44</v>
      </c>
      <c r="Q3453" s="58" t="s">
        <v>112</v>
      </c>
      <c r="R3453" s="58" t="s">
        <v>272</v>
      </c>
    </row>
    <row r="3454" spans="1:18" ht="69" customHeight="1">
      <c r="A3454" s="168"/>
      <c r="B3454" s="178"/>
      <c r="C3454" s="178" t="s">
        <v>458</v>
      </c>
      <c r="D3454" s="575"/>
      <c r="E3454" s="178" t="s">
        <v>266</v>
      </c>
      <c r="F3454" s="210" t="s">
        <v>9025</v>
      </c>
      <c r="G3454" s="58"/>
      <c r="H3454" s="546">
        <v>1388.33</v>
      </c>
      <c r="I3454" s="66">
        <v>44456</v>
      </c>
      <c r="J3454" s="411" t="s">
        <v>7233</v>
      </c>
      <c r="K3454" s="58"/>
      <c r="L3454" s="99"/>
      <c r="M3454" s="70" t="s">
        <v>9024</v>
      </c>
      <c r="N3454" s="97" t="s">
        <v>270</v>
      </c>
      <c r="O3454" s="58"/>
      <c r="P3454" s="58" t="s">
        <v>44</v>
      </c>
      <c r="Q3454" s="58" t="s">
        <v>112</v>
      </c>
      <c r="R3454" s="58" t="s">
        <v>272</v>
      </c>
    </row>
    <row r="3455" spans="1:18" ht="69" customHeight="1">
      <c r="A3455" s="168"/>
      <c r="B3455" s="178"/>
      <c r="C3455" s="178" t="s">
        <v>458</v>
      </c>
      <c r="D3455" s="575"/>
      <c r="E3455" s="178" t="s">
        <v>266</v>
      </c>
      <c r="F3455" s="210" t="s">
        <v>9025</v>
      </c>
      <c r="G3455" s="58"/>
      <c r="H3455" s="546">
        <v>1388.33</v>
      </c>
      <c r="I3455" s="66">
        <v>44456</v>
      </c>
      <c r="J3455" s="411" t="s">
        <v>7235</v>
      </c>
      <c r="K3455" s="58"/>
      <c r="L3455" s="99"/>
      <c r="M3455" s="70" t="s">
        <v>9024</v>
      </c>
      <c r="N3455" s="97" t="s">
        <v>270</v>
      </c>
      <c r="O3455" s="58"/>
      <c r="P3455" s="58" t="s">
        <v>44</v>
      </c>
      <c r="Q3455" s="58" t="s">
        <v>112</v>
      </c>
      <c r="R3455" s="58" t="s">
        <v>272</v>
      </c>
    </row>
    <row r="3456" spans="1:18" ht="69" customHeight="1">
      <c r="A3456" s="168"/>
      <c r="B3456" s="178" t="s">
        <v>9026</v>
      </c>
      <c r="C3456" s="178" t="s">
        <v>458</v>
      </c>
      <c r="D3456" s="575"/>
      <c r="E3456" s="178" t="s">
        <v>350</v>
      </c>
      <c r="F3456" s="210" t="s">
        <v>9027</v>
      </c>
      <c r="G3456" s="58" t="s">
        <v>7080</v>
      </c>
      <c r="H3456" s="546">
        <v>5362.8</v>
      </c>
      <c r="I3456" s="66" t="s">
        <v>96</v>
      </c>
      <c r="J3456" s="411" t="s">
        <v>7081</v>
      </c>
      <c r="K3456" s="58" t="s">
        <v>9028</v>
      </c>
      <c r="L3456" s="99"/>
      <c r="M3456" s="70" t="s">
        <v>9029</v>
      </c>
      <c r="N3456" s="97" t="s">
        <v>356</v>
      </c>
      <c r="O3456" s="58" t="s">
        <v>141</v>
      </c>
      <c r="P3456" s="58" t="s">
        <v>73</v>
      </c>
      <c r="Q3456" s="58" t="s">
        <v>112</v>
      </c>
      <c r="R3456" s="58" t="s">
        <v>265</v>
      </c>
    </row>
    <row r="3457" spans="1:18" ht="69" customHeight="1">
      <c r="A3457" s="168"/>
      <c r="B3457" s="178" t="s">
        <v>9030</v>
      </c>
      <c r="C3457" s="178" t="s">
        <v>458</v>
      </c>
      <c r="D3457" s="575"/>
      <c r="E3457" s="178" t="s">
        <v>260</v>
      </c>
      <c r="F3457" s="210" t="s">
        <v>9031</v>
      </c>
      <c r="G3457" s="58" t="s">
        <v>7080</v>
      </c>
      <c r="H3457" s="546">
        <v>2061</v>
      </c>
      <c r="I3457" s="66" t="s">
        <v>96</v>
      </c>
      <c r="J3457" s="411" t="s">
        <v>7081</v>
      </c>
      <c r="K3457" s="58" t="s">
        <v>9021</v>
      </c>
      <c r="L3457" s="99"/>
      <c r="M3457" s="70" t="s">
        <v>9022</v>
      </c>
      <c r="N3457" s="97" t="s">
        <v>264</v>
      </c>
      <c r="O3457" s="58" t="s">
        <v>141</v>
      </c>
      <c r="P3457" s="58" t="s">
        <v>17</v>
      </c>
      <c r="Q3457" s="58" t="s">
        <v>112</v>
      </c>
      <c r="R3457" s="58" t="s">
        <v>265</v>
      </c>
    </row>
    <row r="3458" spans="1:18" ht="69" customHeight="1">
      <c r="A3458" s="168"/>
      <c r="B3458" s="178" t="s">
        <v>9032</v>
      </c>
      <c r="C3458" s="178" t="s">
        <v>458</v>
      </c>
      <c r="D3458" s="575"/>
      <c r="E3458" s="178" t="s">
        <v>260</v>
      </c>
      <c r="F3458" s="210" t="s">
        <v>9033</v>
      </c>
      <c r="G3458" s="58" t="s">
        <v>7080</v>
      </c>
      <c r="H3458" s="546">
        <v>2543.2399999999998</v>
      </c>
      <c r="I3458" s="66" t="s">
        <v>96</v>
      </c>
      <c r="J3458" s="411" t="s">
        <v>7081</v>
      </c>
      <c r="K3458" s="58" t="s">
        <v>9021</v>
      </c>
      <c r="L3458" s="99"/>
      <c r="M3458" s="70" t="s">
        <v>9022</v>
      </c>
      <c r="N3458" s="97" t="s">
        <v>264</v>
      </c>
      <c r="O3458" s="58" t="s">
        <v>141</v>
      </c>
      <c r="P3458" s="58" t="s">
        <v>17</v>
      </c>
      <c r="Q3458" s="58" t="s">
        <v>112</v>
      </c>
      <c r="R3458" s="58" t="s">
        <v>265</v>
      </c>
    </row>
    <row r="3459" spans="1:18" ht="69" customHeight="1">
      <c r="A3459" s="168"/>
      <c r="B3459" s="178" t="s">
        <v>9034</v>
      </c>
      <c r="C3459" s="178" t="s">
        <v>458</v>
      </c>
      <c r="D3459" s="575"/>
      <c r="E3459" s="178" t="s">
        <v>260</v>
      </c>
      <c r="F3459" s="210" t="s">
        <v>9035</v>
      </c>
      <c r="G3459" s="58" t="s">
        <v>7080</v>
      </c>
      <c r="H3459" s="546">
        <v>79032</v>
      </c>
      <c r="I3459" s="66" t="s">
        <v>96</v>
      </c>
      <c r="J3459" s="411" t="s">
        <v>7081</v>
      </c>
      <c r="K3459" s="58" t="s">
        <v>9021</v>
      </c>
      <c r="L3459" s="99"/>
      <c r="M3459" s="70" t="s">
        <v>9022</v>
      </c>
      <c r="N3459" s="97" t="s">
        <v>264</v>
      </c>
      <c r="O3459" s="58" t="s">
        <v>141</v>
      </c>
      <c r="P3459" s="58" t="s">
        <v>17</v>
      </c>
      <c r="Q3459" s="58" t="s">
        <v>112</v>
      </c>
      <c r="R3459" s="58" t="s">
        <v>265</v>
      </c>
    </row>
    <row r="3460" spans="1:18" ht="69" customHeight="1">
      <c r="A3460" s="168"/>
      <c r="B3460" s="178" t="s">
        <v>9036</v>
      </c>
      <c r="C3460" s="178" t="s">
        <v>458</v>
      </c>
      <c r="D3460" s="575"/>
      <c r="E3460" s="178" t="s">
        <v>260</v>
      </c>
      <c r="F3460" s="210" t="s">
        <v>9037</v>
      </c>
      <c r="G3460" s="58" t="s">
        <v>7080</v>
      </c>
      <c r="H3460" s="546">
        <v>20000</v>
      </c>
      <c r="I3460" s="66" t="s">
        <v>96</v>
      </c>
      <c r="J3460" s="411" t="s">
        <v>7081</v>
      </c>
      <c r="K3460" s="58" t="s">
        <v>9021</v>
      </c>
      <c r="L3460" s="99"/>
      <c r="M3460" s="70" t="s">
        <v>9022</v>
      </c>
      <c r="N3460" s="97" t="s">
        <v>264</v>
      </c>
      <c r="O3460" s="58" t="s">
        <v>141</v>
      </c>
      <c r="P3460" s="58" t="s">
        <v>17</v>
      </c>
      <c r="Q3460" s="58" t="s">
        <v>112</v>
      </c>
      <c r="R3460" s="58" t="s">
        <v>265</v>
      </c>
    </row>
    <row r="3461" spans="1:18" ht="69" customHeight="1">
      <c r="A3461" s="168"/>
      <c r="B3461" s="178" t="s">
        <v>9038</v>
      </c>
      <c r="C3461" s="178" t="s">
        <v>458</v>
      </c>
      <c r="D3461" s="575"/>
      <c r="E3461" s="178" t="s">
        <v>260</v>
      </c>
      <c r="F3461" s="210" t="s">
        <v>9039</v>
      </c>
      <c r="G3461" s="58" t="s">
        <v>7080</v>
      </c>
      <c r="H3461" s="546">
        <v>400</v>
      </c>
      <c r="I3461" s="66" t="s">
        <v>96</v>
      </c>
      <c r="J3461" s="411" t="s">
        <v>7081</v>
      </c>
      <c r="K3461" s="58" t="s">
        <v>9021</v>
      </c>
      <c r="L3461" s="99"/>
      <c r="M3461" s="70" t="s">
        <v>9022</v>
      </c>
      <c r="N3461" s="97" t="s">
        <v>264</v>
      </c>
      <c r="O3461" s="58" t="s">
        <v>141</v>
      </c>
      <c r="P3461" s="58" t="s">
        <v>17</v>
      </c>
      <c r="Q3461" s="58" t="s">
        <v>112</v>
      </c>
      <c r="R3461" s="58" t="s">
        <v>265</v>
      </c>
    </row>
    <row r="3462" spans="1:18" ht="69" customHeight="1">
      <c r="A3462" s="168"/>
      <c r="B3462" s="178" t="s">
        <v>9040</v>
      </c>
      <c r="C3462" s="178" t="s">
        <v>458</v>
      </c>
      <c r="D3462" s="575"/>
      <c r="E3462" s="178" t="s">
        <v>260</v>
      </c>
      <c r="F3462" s="210" t="s">
        <v>9041</v>
      </c>
      <c r="G3462" s="58" t="s">
        <v>7080</v>
      </c>
      <c r="H3462" s="546">
        <v>1039.77</v>
      </c>
      <c r="I3462" s="66" t="s">
        <v>96</v>
      </c>
      <c r="J3462" s="411" t="s">
        <v>7081</v>
      </c>
      <c r="K3462" s="58" t="s">
        <v>9021</v>
      </c>
      <c r="L3462" s="99"/>
      <c r="M3462" s="70" t="s">
        <v>9022</v>
      </c>
      <c r="N3462" s="97" t="s">
        <v>264</v>
      </c>
      <c r="O3462" s="58" t="s">
        <v>141</v>
      </c>
      <c r="P3462" s="58" t="s">
        <v>17</v>
      </c>
      <c r="Q3462" s="58" t="s">
        <v>112</v>
      </c>
      <c r="R3462" s="58" t="s">
        <v>265</v>
      </c>
    </row>
    <row r="3463" spans="1:18" ht="69" customHeight="1">
      <c r="A3463" s="168"/>
      <c r="B3463" s="178" t="s">
        <v>9042</v>
      </c>
      <c r="C3463" s="178" t="s">
        <v>458</v>
      </c>
      <c r="D3463" s="575"/>
      <c r="E3463" s="178" t="s">
        <v>260</v>
      </c>
      <c r="F3463" s="210" t="s">
        <v>9043</v>
      </c>
      <c r="G3463" s="58" t="s">
        <v>7080</v>
      </c>
      <c r="H3463" s="546">
        <v>634.34</v>
      </c>
      <c r="I3463" s="66" t="s">
        <v>96</v>
      </c>
      <c r="J3463" s="411" t="s">
        <v>7081</v>
      </c>
      <c r="K3463" s="58" t="s">
        <v>9021</v>
      </c>
      <c r="L3463" s="99"/>
      <c r="M3463" s="70" t="s">
        <v>9022</v>
      </c>
      <c r="N3463" s="97" t="s">
        <v>264</v>
      </c>
      <c r="O3463" s="58" t="s">
        <v>141</v>
      </c>
      <c r="P3463" s="58" t="s">
        <v>17</v>
      </c>
      <c r="Q3463" s="58" t="s">
        <v>112</v>
      </c>
      <c r="R3463" s="58" t="s">
        <v>265</v>
      </c>
    </row>
    <row r="3464" spans="1:18" ht="69" customHeight="1">
      <c r="A3464" s="168"/>
      <c r="B3464" s="178" t="s">
        <v>9044</v>
      </c>
      <c r="C3464" s="178" t="s">
        <v>458</v>
      </c>
      <c r="D3464" s="575"/>
      <c r="E3464" s="178" t="s">
        <v>260</v>
      </c>
      <c r="F3464" s="210" t="s">
        <v>9045</v>
      </c>
      <c r="G3464" s="58" t="s">
        <v>7080</v>
      </c>
      <c r="H3464" s="546">
        <v>1000</v>
      </c>
      <c r="I3464" s="66" t="s">
        <v>96</v>
      </c>
      <c r="J3464" s="411" t="s">
        <v>7081</v>
      </c>
      <c r="K3464" s="58" t="s">
        <v>9021</v>
      </c>
      <c r="L3464" s="99"/>
      <c r="M3464" s="70" t="s">
        <v>9022</v>
      </c>
      <c r="N3464" s="97" t="s">
        <v>264</v>
      </c>
      <c r="O3464" s="58" t="s">
        <v>141</v>
      </c>
      <c r="P3464" s="58" t="s">
        <v>17</v>
      </c>
      <c r="Q3464" s="58" t="s">
        <v>112</v>
      </c>
      <c r="R3464" s="58" t="s">
        <v>265</v>
      </c>
    </row>
    <row r="3465" spans="1:18" ht="69" customHeight="1">
      <c r="A3465" s="168"/>
      <c r="B3465" s="178" t="s">
        <v>9046</v>
      </c>
      <c r="C3465" s="178" t="s">
        <v>458</v>
      </c>
      <c r="D3465" s="575"/>
      <c r="E3465" s="178" t="s">
        <v>260</v>
      </c>
      <c r="F3465" s="210" t="s">
        <v>9047</v>
      </c>
      <c r="G3465" s="58" t="s">
        <v>7080</v>
      </c>
      <c r="H3465" s="546">
        <v>118.54</v>
      </c>
      <c r="I3465" s="66" t="s">
        <v>96</v>
      </c>
      <c r="J3465" s="411" t="s">
        <v>7081</v>
      </c>
      <c r="K3465" s="58" t="s">
        <v>9021</v>
      </c>
      <c r="L3465" s="99"/>
      <c r="M3465" s="70" t="s">
        <v>9022</v>
      </c>
      <c r="N3465" s="97" t="s">
        <v>264</v>
      </c>
      <c r="O3465" s="58" t="s">
        <v>141</v>
      </c>
      <c r="P3465" s="58" t="s">
        <v>17</v>
      </c>
      <c r="Q3465" s="58" t="s">
        <v>112</v>
      </c>
      <c r="R3465" s="58" t="s">
        <v>265</v>
      </c>
    </row>
    <row r="3466" spans="1:18" ht="69" customHeight="1">
      <c r="A3466" s="168"/>
      <c r="B3466" s="178" t="s">
        <v>9048</v>
      </c>
      <c r="C3466" s="178" t="s">
        <v>458</v>
      </c>
      <c r="D3466" s="575"/>
      <c r="E3466" s="178" t="s">
        <v>260</v>
      </c>
      <c r="F3466" s="210" t="s">
        <v>9049</v>
      </c>
      <c r="G3466" s="58" t="s">
        <v>7080</v>
      </c>
      <c r="H3466" s="546">
        <v>19050.93</v>
      </c>
      <c r="I3466" s="66" t="s">
        <v>96</v>
      </c>
      <c r="J3466" s="411" t="s">
        <v>7081</v>
      </c>
      <c r="K3466" s="58" t="s">
        <v>9021</v>
      </c>
      <c r="L3466" s="99"/>
      <c r="M3466" s="70" t="s">
        <v>9022</v>
      </c>
      <c r="N3466" s="97" t="s">
        <v>264</v>
      </c>
      <c r="O3466" s="58" t="s">
        <v>141</v>
      </c>
      <c r="P3466" s="58" t="s">
        <v>17</v>
      </c>
      <c r="Q3466" s="58" t="s">
        <v>112</v>
      </c>
      <c r="R3466" s="58" t="s">
        <v>265</v>
      </c>
    </row>
    <row r="3467" spans="1:18" ht="69" customHeight="1">
      <c r="A3467" s="168"/>
      <c r="B3467" s="178" t="s">
        <v>9050</v>
      </c>
      <c r="C3467" s="178" t="s">
        <v>458</v>
      </c>
      <c r="D3467" s="575"/>
      <c r="E3467" s="178" t="s">
        <v>260</v>
      </c>
      <c r="F3467" s="210" t="s">
        <v>9051</v>
      </c>
      <c r="G3467" s="58" t="s">
        <v>7080</v>
      </c>
      <c r="H3467" s="546">
        <v>7905</v>
      </c>
      <c r="I3467" s="66" t="s">
        <v>96</v>
      </c>
      <c r="J3467" s="411" t="s">
        <v>7081</v>
      </c>
      <c r="K3467" s="58" t="s">
        <v>9021</v>
      </c>
      <c r="L3467" s="99"/>
      <c r="M3467" s="70" t="s">
        <v>9022</v>
      </c>
      <c r="N3467" s="97" t="s">
        <v>264</v>
      </c>
      <c r="O3467" s="58" t="s">
        <v>141</v>
      </c>
      <c r="P3467" s="58" t="s">
        <v>17</v>
      </c>
      <c r="Q3467" s="58" t="s">
        <v>112</v>
      </c>
      <c r="R3467" s="58" t="s">
        <v>265</v>
      </c>
    </row>
    <row r="3468" spans="1:18" ht="69" customHeight="1">
      <c r="A3468" s="168"/>
      <c r="B3468" s="178" t="s">
        <v>9052</v>
      </c>
      <c r="C3468" s="178" t="s">
        <v>458</v>
      </c>
      <c r="D3468" s="575"/>
      <c r="E3468" s="178" t="s">
        <v>260</v>
      </c>
      <c r="F3468" s="210" t="s">
        <v>9053</v>
      </c>
      <c r="G3468" s="58" t="s">
        <v>7080</v>
      </c>
      <c r="H3468" s="546">
        <v>7796.04</v>
      </c>
      <c r="I3468" s="66" t="s">
        <v>96</v>
      </c>
      <c r="J3468" s="411" t="s">
        <v>7081</v>
      </c>
      <c r="K3468" s="58" t="s">
        <v>9021</v>
      </c>
      <c r="L3468" s="99"/>
      <c r="M3468" s="70" t="s">
        <v>9022</v>
      </c>
      <c r="N3468" s="97" t="s">
        <v>264</v>
      </c>
      <c r="O3468" s="58" t="s">
        <v>141</v>
      </c>
      <c r="P3468" s="58" t="s">
        <v>17</v>
      </c>
      <c r="Q3468" s="58" t="s">
        <v>112</v>
      </c>
      <c r="R3468" s="58" t="s">
        <v>265</v>
      </c>
    </row>
    <row r="3469" spans="1:18" ht="69" customHeight="1">
      <c r="A3469" s="168"/>
      <c r="B3469" s="191">
        <v>3005</v>
      </c>
      <c r="C3469" s="191" t="s">
        <v>458</v>
      </c>
      <c r="D3469" s="533" t="s">
        <v>1710</v>
      </c>
      <c r="E3469" s="191" t="s">
        <v>331</v>
      </c>
      <c r="F3469" s="211" t="s">
        <v>9054</v>
      </c>
      <c r="G3469" s="46" t="s">
        <v>4416</v>
      </c>
      <c r="H3469" s="534">
        <v>0</v>
      </c>
      <c r="I3469" s="56" t="s">
        <v>96</v>
      </c>
      <c r="J3469" s="412" t="s">
        <v>334</v>
      </c>
      <c r="K3469" s="46"/>
      <c r="L3469" s="99"/>
      <c r="M3469" s="379"/>
      <c r="N3469" s="76" t="s">
        <v>69</v>
      </c>
      <c r="O3469" s="46"/>
      <c r="P3469" s="46" t="s">
        <v>69</v>
      </c>
      <c r="Q3469" s="46" t="s">
        <v>112</v>
      </c>
      <c r="R3469" s="46" t="s">
        <v>272</v>
      </c>
    </row>
    <row r="3470" spans="1:18" ht="69" customHeight="1">
      <c r="A3470" s="168"/>
      <c r="B3470" s="178">
        <v>4707</v>
      </c>
      <c r="C3470" s="178" t="s">
        <v>458</v>
      </c>
      <c r="D3470" s="575" t="s">
        <v>1465</v>
      </c>
      <c r="E3470" s="178" t="s">
        <v>331</v>
      </c>
      <c r="F3470" s="210" t="s">
        <v>9055</v>
      </c>
      <c r="G3470" s="58"/>
      <c r="H3470" s="546">
        <v>3389.12</v>
      </c>
      <c r="I3470" s="66">
        <v>44678</v>
      </c>
      <c r="J3470" s="411" t="s">
        <v>9056</v>
      </c>
      <c r="K3470" s="58"/>
      <c r="L3470" s="99"/>
      <c r="M3470" s="70" t="s">
        <v>9024</v>
      </c>
      <c r="N3470" s="97" t="s">
        <v>270</v>
      </c>
      <c r="O3470" s="58"/>
      <c r="P3470" s="58" t="s">
        <v>44</v>
      </c>
      <c r="Q3470" s="58" t="s">
        <v>112</v>
      </c>
      <c r="R3470" s="58" t="s">
        <v>272</v>
      </c>
    </row>
    <row r="3471" spans="1:18" ht="69" customHeight="1">
      <c r="A3471" s="168"/>
      <c r="B3471" s="178">
        <v>4759</v>
      </c>
      <c r="C3471" s="178" t="s">
        <v>458</v>
      </c>
      <c r="D3471" s="575" t="s">
        <v>4554</v>
      </c>
      <c r="E3471" s="178" t="s">
        <v>283</v>
      </c>
      <c r="F3471" s="210" t="s">
        <v>9057</v>
      </c>
      <c r="G3471" s="58" t="s">
        <v>365</v>
      </c>
      <c r="H3471" s="546">
        <v>165584.16</v>
      </c>
      <c r="I3471" s="66">
        <v>44680</v>
      </c>
      <c r="J3471" s="411" t="s">
        <v>9058</v>
      </c>
      <c r="K3471" s="58" t="s">
        <v>9021</v>
      </c>
      <c r="L3471" s="99"/>
      <c r="M3471" s="70" t="s">
        <v>9059</v>
      </c>
      <c r="N3471" s="97" t="s">
        <v>264</v>
      </c>
      <c r="O3471" s="58" t="s">
        <v>141</v>
      </c>
      <c r="P3471" s="58" t="s">
        <v>17</v>
      </c>
      <c r="Q3471" s="58" t="s">
        <v>112</v>
      </c>
      <c r="R3471" s="58" t="s">
        <v>272</v>
      </c>
    </row>
    <row r="3472" spans="1:18" ht="69" customHeight="1">
      <c r="A3472" s="168"/>
      <c r="B3472" s="178">
        <v>4896</v>
      </c>
      <c r="C3472" s="178" t="s">
        <v>458</v>
      </c>
      <c r="D3472" s="575" t="s">
        <v>2215</v>
      </c>
      <c r="E3472" s="178" t="s">
        <v>266</v>
      </c>
      <c r="F3472" s="210" t="s">
        <v>9060</v>
      </c>
      <c r="G3472" s="58" t="s">
        <v>7109</v>
      </c>
      <c r="H3472" s="546">
        <v>1632.75</v>
      </c>
      <c r="I3472" s="66">
        <v>44698</v>
      </c>
      <c r="J3472" s="411" t="s">
        <v>9061</v>
      </c>
      <c r="K3472" s="58"/>
      <c r="L3472" s="99"/>
      <c r="M3472" s="70" t="s">
        <v>9024</v>
      </c>
      <c r="N3472" s="97" t="s">
        <v>270</v>
      </c>
      <c r="O3472" s="58"/>
      <c r="P3472" s="58" t="s">
        <v>44</v>
      </c>
      <c r="Q3472" s="58" t="s">
        <v>112</v>
      </c>
      <c r="R3472" s="58" t="s">
        <v>272</v>
      </c>
    </row>
    <row r="3473" spans="1:18" ht="69" customHeight="1">
      <c r="A3473" s="168"/>
      <c r="B3473" s="178">
        <v>4707</v>
      </c>
      <c r="C3473" s="178" t="s">
        <v>458</v>
      </c>
      <c r="D3473" s="575" t="s">
        <v>940</v>
      </c>
      <c r="E3473" s="178" t="s">
        <v>331</v>
      </c>
      <c r="F3473" s="210" t="s">
        <v>9062</v>
      </c>
      <c r="G3473" s="58" t="s">
        <v>372</v>
      </c>
      <c r="H3473" s="546">
        <v>30502.09</v>
      </c>
      <c r="I3473" s="66">
        <v>44701</v>
      </c>
      <c r="J3473" s="411" t="s">
        <v>9063</v>
      </c>
      <c r="K3473" s="58"/>
      <c r="L3473" s="99"/>
      <c r="M3473" s="70" t="s">
        <v>9024</v>
      </c>
      <c r="N3473" s="97" t="s">
        <v>270</v>
      </c>
      <c r="O3473" s="58"/>
      <c r="P3473" s="58" t="s">
        <v>44</v>
      </c>
      <c r="Q3473" s="58" t="s">
        <v>112</v>
      </c>
      <c r="R3473" s="58" t="s">
        <v>272</v>
      </c>
    </row>
    <row r="3474" spans="1:18" ht="69" customHeight="1">
      <c r="A3474" s="168"/>
      <c r="B3474" s="178">
        <v>5028</v>
      </c>
      <c r="C3474" s="178" t="s">
        <v>458</v>
      </c>
      <c r="D3474" s="575" t="s">
        <v>5903</v>
      </c>
      <c r="E3474" s="178" t="s">
        <v>266</v>
      </c>
      <c r="F3474" s="210" t="s">
        <v>9064</v>
      </c>
      <c r="G3474" s="58" t="s">
        <v>7109</v>
      </c>
      <c r="H3474" s="546">
        <v>1632.75</v>
      </c>
      <c r="I3474" s="66">
        <v>44728</v>
      </c>
      <c r="J3474" s="411" t="s">
        <v>9065</v>
      </c>
      <c r="K3474" s="58"/>
      <c r="L3474" s="99"/>
      <c r="M3474" s="70" t="s">
        <v>9024</v>
      </c>
      <c r="N3474" s="97" t="s">
        <v>270</v>
      </c>
      <c r="O3474" s="58"/>
      <c r="P3474" s="58" t="s">
        <v>44</v>
      </c>
      <c r="Q3474" s="58" t="s">
        <v>112</v>
      </c>
      <c r="R3474" s="58" t="s">
        <v>272</v>
      </c>
    </row>
    <row r="3475" spans="1:18" ht="69" customHeight="1">
      <c r="A3475" s="168"/>
      <c r="B3475" s="178">
        <v>5029</v>
      </c>
      <c r="C3475" s="178" t="s">
        <v>458</v>
      </c>
      <c r="D3475" s="575" t="s">
        <v>6010</v>
      </c>
      <c r="E3475" s="178" t="s">
        <v>382</v>
      </c>
      <c r="F3475" s="210" t="s">
        <v>9066</v>
      </c>
      <c r="G3475" s="58" t="s">
        <v>384</v>
      </c>
      <c r="H3475" s="546">
        <v>27761.33</v>
      </c>
      <c r="I3475" s="66">
        <v>44736</v>
      </c>
      <c r="J3475" s="411" t="s">
        <v>9067</v>
      </c>
      <c r="K3475" s="58"/>
      <c r="L3475" s="99"/>
      <c r="M3475" s="70" t="s">
        <v>9068</v>
      </c>
      <c r="N3475" s="97" t="s">
        <v>387</v>
      </c>
      <c r="O3475" s="45" t="s">
        <v>150</v>
      </c>
      <c r="P3475" s="58" t="s">
        <v>51</v>
      </c>
      <c r="Q3475" s="58" t="s">
        <v>112</v>
      </c>
      <c r="R3475" s="58" t="s">
        <v>272</v>
      </c>
    </row>
    <row r="3476" spans="1:18" ht="69" customHeight="1">
      <c r="A3476" s="168"/>
      <c r="B3476" s="178">
        <v>5030</v>
      </c>
      <c r="C3476" s="178" t="s">
        <v>458</v>
      </c>
      <c r="D3476" s="575" t="s">
        <v>5774</v>
      </c>
      <c r="E3476" s="178" t="s">
        <v>382</v>
      </c>
      <c r="F3476" s="210" t="s">
        <v>9069</v>
      </c>
      <c r="G3476" s="58" t="s">
        <v>384</v>
      </c>
      <c r="H3476" s="546">
        <v>39819.519999999997</v>
      </c>
      <c r="I3476" s="66">
        <v>44736</v>
      </c>
      <c r="J3476" s="411" t="s">
        <v>9070</v>
      </c>
      <c r="K3476" s="58"/>
      <c r="L3476" s="99"/>
      <c r="M3476" s="70" t="s">
        <v>9068</v>
      </c>
      <c r="N3476" s="97" t="s">
        <v>387</v>
      </c>
      <c r="O3476" s="45" t="s">
        <v>150</v>
      </c>
      <c r="P3476" s="58" t="s">
        <v>51</v>
      </c>
      <c r="Q3476" s="58" t="s">
        <v>112</v>
      </c>
      <c r="R3476" s="58" t="s">
        <v>272</v>
      </c>
    </row>
    <row r="3477" spans="1:18" ht="69" customHeight="1">
      <c r="A3477" s="168"/>
      <c r="B3477" s="178">
        <v>5196</v>
      </c>
      <c r="C3477" s="178" t="s">
        <v>458</v>
      </c>
      <c r="D3477" s="575" t="s">
        <v>3494</v>
      </c>
      <c r="E3477" s="178" t="s">
        <v>266</v>
      </c>
      <c r="F3477" s="210" t="s">
        <v>9071</v>
      </c>
      <c r="G3477" s="58" t="s">
        <v>396</v>
      </c>
      <c r="H3477" s="546">
        <v>3500</v>
      </c>
      <c r="I3477" s="66">
        <v>44753</v>
      </c>
      <c r="J3477" s="411" t="s">
        <v>9072</v>
      </c>
      <c r="K3477" s="58"/>
      <c r="L3477" s="99"/>
      <c r="M3477" s="70" t="s">
        <v>9073</v>
      </c>
      <c r="N3477" s="97" t="s">
        <v>552</v>
      </c>
      <c r="O3477" s="62" t="s">
        <v>147</v>
      </c>
      <c r="P3477" s="58" t="s">
        <v>42</v>
      </c>
      <c r="Q3477" s="58" t="s">
        <v>112</v>
      </c>
      <c r="R3477" s="58" t="s">
        <v>272</v>
      </c>
    </row>
    <row r="3478" spans="1:18" ht="69" customHeight="1">
      <c r="A3478" s="168"/>
      <c r="B3478" s="178">
        <v>5201</v>
      </c>
      <c r="C3478" s="178" t="s">
        <v>458</v>
      </c>
      <c r="D3478" s="575" t="s">
        <v>8815</v>
      </c>
      <c r="E3478" s="178" t="s">
        <v>266</v>
      </c>
      <c r="F3478" s="210" t="s">
        <v>9074</v>
      </c>
      <c r="G3478" s="58" t="s">
        <v>396</v>
      </c>
      <c r="H3478" s="546">
        <v>5878.3</v>
      </c>
      <c r="I3478" s="66">
        <v>44753</v>
      </c>
      <c r="J3478" s="411" t="s">
        <v>9075</v>
      </c>
      <c r="K3478" s="58"/>
      <c r="L3478" s="99"/>
      <c r="M3478" s="70" t="s">
        <v>9073</v>
      </c>
      <c r="N3478" s="97" t="s">
        <v>552</v>
      </c>
      <c r="O3478" s="62" t="s">
        <v>147</v>
      </c>
      <c r="P3478" s="58" t="s">
        <v>42</v>
      </c>
      <c r="Q3478" s="58" t="s">
        <v>112</v>
      </c>
      <c r="R3478" s="58" t="s">
        <v>272</v>
      </c>
    </row>
    <row r="3479" spans="1:18" ht="69" customHeight="1">
      <c r="A3479" s="168"/>
      <c r="B3479" s="600">
        <v>6091</v>
      </c>
      <c r="C3479" s="600" t="s">
        <v>458</v>
      </c>
      <c r="D3479" s="601" t="s">
        <v>2261</v>
      </c>
      <c r="E3479" s="600" t="s">
        <v>409</v>
      </c>
      <c r="F3479" s="602" t="s">
        <v>9076</v>
      </c>
      <c r="G3479" s="460" t="s">
        <v>7054</v>
      </c>
      <c r="H3479" s="546">
        <v>262253.63</v>
      </c>
      <c r="I3479" s="461">
        <v>44776</v>
      </c>
      <c r="J3479" s="603" t="s">
        <v>9077</v>
      </c>
      <c r="K3479" s="460" t="s">
        <v>4411</v>
      </c>
      <c r="L3479" s="99"/>
      <c r="M3479" s="70" t="s">
        <v>9078</v>
      </c>
      <c r="N3479" s="97" t="s">
        <v>414</v>
      </c>
      <c r="O3479" s="460"/>
      <c r="P3479" s="460" t="s">
        <v>22</v>
      </c>
      <c r="Q3479" s="460" t="s">
        <v>112</v>
      </c>
      <c r="R3479" s="460" t="s">
        <v>272</v>
      </c>
    </row>
    <row r="3480" spans="1:18" ht="69" customHeight="1">
      <c r="A3480" s="168"/>
      <c r="B3480" s="178">
        <v>6221</v>
      </c>
      <c r="C3480" s="178" t="s">
        <v>458</v>
      </c>
      <c r="D3480" s="575" t="s">
        <v>363</v>
      </c>
      <c r="E3480" s="178" t="s">
        <v>266</v>
      </c>
      <c r="F3480" s="210" t="s">
        <v>9079</v>
      </c>
      <c r="G3480" s="58" t="s">
        <v>1107</v>
      </c>
      <c r="H3480" s="546">
        <v>24570</v>
      </c>
      <c r="I3480" s="66">
        <v>44785</v>
      </c>
      <c r="J3480" s="411" t="s">
        <v>8993</v>
      </c>
      <c r="K3480" s="58"/>
      <c r="L3480" s="99"/>
      <c r="M3480" s="70" t="s">
        <v>9024</v>
      </c>
      <c r="N3480" s="97" t="s">
        <v>270</v>
      </c>
      <c r="O3480" s="58"/>
      <c r="P3480" s="58" t="s">
        <v>44</v>
      </c>
      <c r="Q3480" s="58" t="s">
        <v>112</v>
      </c>
      <c r="R3480" s="58" t="s">
        <v>272</v>
      </c>
    </row>
    <row r="3481" spans="1:18" ht="69" customHeight="1">
      <c r="A3481" s="168"/>
      <c r="B3481" s="59">
        <v>6419</v>
      </c>
      <c r="C3481" s="59" t="s">
        <v>458</v>
      </c>
      <c r="D3481" s="581" t="s">
        <v>2988</v>
      </c>
      <c r="E3481" s="59" t="s">
        <v>432</v>
      </c>
      <c r="F3481" s="569" t="s">
        <v>9080</v>
      </c>
      <c r="G3481" s="45" t="s">
        <v>429</v>
      </c>
      <c r="H3481" s="546">
        <v>13959.486000000001</v>
      </c>
      <c r="I3481" s="47">
        <v>44802</v>
      </c>
      <c r="J3481" s="410" t="s">
        <v>9081</v>
      </c>
      <c r="K3481" s="58"/>
      <c r="L3481" s="99"/>
      <c r="M3481" s="70" t="s">
        <v>9082</v>
      </c>
      <c r="N3481" s="97" t="s">
        <v>432</v>
      </c>
      <c r="O3481" s="58"/>
      <c r="P3481" s="58" t="s">
        <v>53</v>
      </c>
      <c r="Q3481" s="58" t="s">
        <v>112</v>
      </c>
      <c r="R3481" s="58" t="s">
        <v>272</v>
      </c>
    </row>
    <row r="3482" spans="1:18" ht="69" customHeight="1">
      <c r="A3482" s="168"/>
      <c r="B3482" s="178">
        <v>6951</v>
      </c>
      <c r="C3482" s="178" t="s">
        <v>458</v>
      </c>
      <c r="D3482" s="575" t="s">
        <v>9083</v>
      </c>
      <c r="E3482" s="178" t="s">
        <v>266</v>
      </c>
      <c r="F3482" s="210" t="s">
        <v>9084</v>
      </c>
      <c r="G3482" s="58" t="s">
        <v>392</v>
      </c>
      <c r="H3482" s="546">
        <v>9000</v>
      </c>
      <c r="I3482" s="66">
        <v>44852</v>
      </c>
      <c r="J3482" s="411" t="s">
        <v>4641</v>
      </c>
      <c r="K3482" s="58"/>
      <c r="L3482" s="99"/>
      <c r="M3482" s="70" t="s">
        <v>9024</v>
      </c>
      <c r="N3482" s="97" t="s">
        <v>270</v>
      </c>
      <c r="O3482" s="58"/>
      <c r="P3482" s="58" t="s">
        <v>44</v>
      </c>
      <c r="Q3482" s="58" t="s">
        <v>112</v>
      </c>
      <c r="R3482" s="58" t="s">
        <v>272</v>
      </c>
    </row>
    <row r="3483" spans="1:18" ht="69" customHeight="1">
      <c r="A3483" s="168"/>
      <c r="B3483" s="178">
        <v>7489</v>
      </c>
      <c r="C3483" s="178" t="s">
        <v>458</v>
      </c>
      <c r="D3483" s="575" t="s">
        <v>6802</v>
      </c>
      <c r="E3483" s="178" t="s">
        <v>266</v>
      </c>
      <c r="F3483" s="210" t="s">
        <v>9085</v>
      </c>
      <c r="G3483" s="58" t="s">
        <v>444</v>
      </c>
      <c r="H3483" s="546">
        <v>5334.67</v>
      </c>
      <c r="I3483" s="66">
        <v>44879</v>
      </c>
      <c r="J3483" s="411" t="s">
        <v>445</v>
      </c>
      <c r="K3483" s="58"/>
      <c r="L3483" s="99"/>
      <c r="M3483" s="70" t="s">
        <v>9024</v>
      </c>
      <c r="N3483" s="97" t="s">
        <v>270</v>
      </c>
      <c r="O3483" s="58"/>
      <c r="P3483" s="58" t="s">
        <v>44</v>
      </c>
      <c r="Q3483" s="58" t="s">
        <v>112</v>
      </c>
      <c r="R3483" s="58" t="s">
        <v>272</v>
      </c>
    </row>
    <row r="3484" spans="1:18" ht="69" customHeight="1">
      <c r="A3484" s="168"/>
      <c r="B3484" s="178"/>
      <c r="C3484" s="178" t="s">
        <v>458</v>
      </c>
      <c r="D3484" s="575"/>
      <c r="E3484" s="178" t="s">
        <v>260</v>
      </c>
      <c r="F3484" s="210" t="s">
        <v>9086</v>
      </c>
      <c r="G3484" s="58" t="s">
        <v>7080</v>
      </c>
      <c r="H3484" s="546">
        <v>1000</v>
      </c>
      <c r="I3484" s="66">
        <v>44460</v>
      </c>
      <c r="J3484" s="411"/>
      <c r="K3484" s="58" t="s">
        <v>9021</v>
      </c>
      <c r="L3484" s="99"/>
      <c r="M3484" s="70" t="s">
        <v>9022</v>
      </c>
      <c r="N3484" s="97" t="s">
        <v>264</v>
      </c>
      <c r="O3484" s="58" t="s">
        <v>141</v>
      </c>
      <c r="P3484" s="58" t="s">
        <v>17</v>
      </c>
      <c r="Q3484" s="58" t="s">
        <v>112</v>
      </c>
      <c r="R3484" s="58" t="s">
        <v>265</v>
      </c>
    </row>
    <row r="3485" spans="1:18" ht="69" customHeight="1">
      <c r="A3485" s="168"/>
      <c r="B3485" s="178">
        <v>8728</v>
      </c>
      <c r="C3485" s="178" t="s">
        <v>657</v>
      </c>
      <c r="D3485" s="575" t="s">
        <v>780</v>
      </c>
      <c r="E3485" s="178" t="s">
        <v>260</v>
      </c>
      <c r="F3485" s="210" t="s">
        <v>9087</v>
      </c>
      <c r="G3485" s="58" t="s">
        <v>9088</v>
      </c>
      <c r="H3485" s="546">
        <v>17490.189999999999</v>
      </c>
      <c r="I3485" s="66">
        <v>44959</v>
      </c>
      <c r="J3485" s="411" t="s">
        <v>9089</v>
      </c>
      <c r="K3485" s="58"/>
      <c r="L3485" s="99"/>
      <c r="M3485" s="70" t="s">
        <v>9090</v>
      </c>
      <c r="N3485" s="97" t="s">
        <v>264</v>
      </c>
      <c r="O3485" s="58" t="s">
        <v>141</v>
      </c>
      <c r="P3485" s="58" t="s">
        <v>17</v>
      </c>
      <c r="Q3485" s="58" t="s">
        <v>120</v>
      </c>
      <c r="R3485" s="58" t="s">
        <v>265</v>
      </c>
    </row>
    <row r="3486" spans="1:18" ht="69" customHeight="1">
      <c r="A3486" s="168"/>
      <c r="B3486" s="178">
        <v>8729</v>
      </c>
      <c r="C3486" s="178" t="s">
        <v>458</v>
      </c>
      <c r="D3486" s="575" t="s">
        <v>3037</v>
      </c>
      <c r="E3486" s="178" t="s">
        <v>260</v>
      </c>
      <c r="F3486" s="210" t="s">
        <v>9091</v>
      </c>
      <c r="G3486" s="58" t="s">
        <v>9088</v>
      </c>
      <c r="H3486" s="546">
        <v>17490.189999999999</v>
      </c>
      <c r="I3486" s="66">
        <v>44959</v>
      </c>
      <c r="J3486" s="411" t="s">
        <v>9089</v>
      </c>
      <c r="K3486" s="58"/>
      <c r="L3486" s="99"/>
      <c r="M3486" s="70" t="s">
        <v>9092</v>
      </c>
      <c r="N3486" s="97" t="s">
        <v>264</v>
      </c>
      <c r="O3486" s="58" t="s">
        <v>141</v>
      </c>
      <c r="P3486" s="58" t="s">
        <v>17</v>
      </c>
      <c r="Q3486" s="58" t="s">
        <v>113</v>
      </c>
      <c r="R3486" s="58" t="s">
        <v>265</v>
      </c>
    </row>
    <row r="3487" spans="1:18" ht="69" customHeight="1">
      <c r="A3487" s="168"/>
      <c r="B3487" s="178">
        <v>8798</v>
      </c>
      <c r="C3487" s="178" t="s">
        <v>458</v>
      </c>
      <c r="D3487" s="575" t="s">
        <v>3589</v>
      </c>
      <c r="E3487" s="178" t="s">
        <v>283</v>
      </c>
      <c r="F3487" s="210" t="s">
        <v>9093</v>
      </c>
      <c r="G3487" s="58" t="s">
        <v>6167</v>
      </c>
      <c r="H3487" s="546">
        <v>100000</v>
      </c>
      <c r="I3487" s="66">
        <v>44974</v>
      </c>
      <c r="J3487" s="411" t="s">
        <v>6168</v>
      </c>
      <c r="K3487" s="58"/>
      <c r="L3487" s="99"/>
      <c r="M3487" s="70" t="s">
        <v>9059</v>
      </c>
      <c r="N3487" s="97" t="s">
        <v>264</v>
      </c>
      <c r="O3487" s="58" t="s">
        <v>141</v>
      </c>
      <c r="P3487" s="58" t="s">
        <v>17</v>
      </c>
      <c r="Q3487" s="58" t="s">
        <v>112</v>
      </c>
      <c r="R3487" s="58" t="s">
        <v>272</v>
      </c>
    </row>
    <row r="3488" spans="1:18" ht="69" customHeight="1">
      <c r="A3488" s="168"/>
      <c r="B3488" s="178">
        <v>9081</v>
      </c>
      <c r="C3488" s="178" t="s">
        <v>9094</v>
      </c>
      <c r="D3488" s="575" t="s">
        <v>1127</v>
      </c>
      <c r="E3488" s="178" t="s">
        <v>270</v>
      </c>
      <c r="F3488" s="210" t="s">
        <v>9095</v>
      </c>
      <c r="G3488" s="58" t="s">
        <v>9096</v>
      </c>
      <c r="H3488" s="546">
        <v>4500</v>
      </c>
      <c r="I3488" s="66">
        <v>45000</v>
      </c>
      <c r="J3488" s="411" t="s">
        <v>1914</v>
      </c>
      <c r="K3488" s="58"/>
      <c r="L3488" s="99"/>
      <c r="M3488" s="70" t="s">
        <v>9024</v>
      </c>
      <c r="N3488" s="97" t="s">
        <v>270</v>
      </c>
      <c r="O3488" s="58"/>
      <c r="P3488" s="58" t="s">
        <v>44</v>
      </c>
      <c r="Q3488" s="58" t="s">
        <v>112</v>
      </c>
      <c r="R3488" s="58" t="s">
        <v>272</v>
      </c>
    </row>
    <row r="3489" spans="1:18" ht="69" customHeight="1">
      <c r="A3489" s="168"/>
      <c r="B3489" s="178">
        <v>9388</v>
      </c>
      <c r="C3489" s="178" t="s">
        <v>9094</v>
      </c>
      <c r="D3489" s="575" t="s">
        <v>6349</v>
      </c>
      <c r="E3489" s="178" t="s">
        <v>585</v>
      </c>
      <c r="F3489" s="210" t="s">
        <v>9097</v>
      </c>
      <c r="G3489" s="58" t="s">
        <v>9098</v>
      </c>
      <c r="H3489" s="546">
        <v>4500</v>
      </c>
      <c r="I3489" s="66">
        <v>45043</v>
      </c>
      <c r="J3489" s="411" t="s">
        <v>9099</v>
      </c>
      <c r="K3489" s="58"/>
      <c r="L3489" s="99"/>
      <c r="M3489" s="70" t="s">
        <v>9024</v>
      </c>
      <c r="N3489" s="97" t="s">
        <v>270</v>
      </c>
      <c r="O3489" s="58"/>
      <c r="P3489" s="58" t="s">
        <v>44</v>
      </c>
      <c r="Q3489" s="58" t="s">
        <v>112</v>
      </c>
      <c r="R3489" s="58" t="s">
        <v>272</v>
      </c>
    </row>
    <row r="3490" spans="1:18" ht="69" customHeight="1">
      <c r="A3490" s="168"/>
      <c r="B3490" s="191">
        <v>9684</v>
      </c>
      <c r="C3490" s="191" t="s">
        <v>458</v>
      </c>
      <c r="D3490" s="533" t="s">
        <v>3533</v>
      </c>
      <c r="E3490" s="191" t="s">
        <v>350</v>
      </c>
      <c r="F3490" s="211" t="s">
        <v>9100</v>
      </c>
      <c r="G3490" s="46" t="s">
        <v>7067</v>
      </c>
      <c r="H3490" s="534">
        <v>67950</v>
      </c>
      <c r="I3490" s="56">
        <v>45019</v>
      </c>
      <c r="J3490" s="412" t="s">
        <v>7068</v>
      </c>
      <c r="K3490" s="46" t="s">
        <v>9101</v>
      </c>
      <c r="L3490" s="120"/>
      <c r="M3490" s="70" t="s">
        <v>9029</v>
      </c>
      <c r="N3490" s="97" t="s">
        <v>356</v>
      </c>
      <c r="O3490" s="46" t="s">
        <v>141</v>
      </c>
      <c r="P3490" s="46" t="s">
        <v>19</v>
      </c>
      <c r="Q3490" s="46" t="s">
        <v>18</v>
      </c>
      <c r="R3490" s="46" t="s">
        <v>265</v>
      </c>
    </row>
    <row r="3491" spans="1:18" ht="69" customHeight="1">
      <c r="A3491" s="168"/>
      <c r="B3491" s="178">
        <v>9811</v>
      </c>
      <c r="C3491" s="178" t="s">
        <v>458</v>
      </c>
      <c r="D3491" s="575" t="s">
        <v>2864</v>
      </c>
      <c r="E3491" s="178" t="s">
        <v>266</v>
      </c>
      <c r="F3491" s="210" t="s">
        <v>9102</v>
      </c>
      <c r="G3491" s="58" t="s">
        <v>590</v>
      </c>
      <c r="H3491" s="546">
        <v>5500</v>
      </c>
      <c r="I3491" s="66">
        <v>45041</v>
      </c>
      <c r="J3491" s="411" t="s">
        <v>9103</v>
      </c>
      <c r="K3491" s="58"/>
      <c r="L3491" s="99"/>
      <c r="M3491" s="70" t="s">
        <v>9024</v>
      </c>
      <c r="N3491" s="97" t="s">
        <v>270</v>
      </c>
      <c r="O3491" s="58"/>
      <c r="P3491" s="58" t="s">
        <v>44</v>
      </c>
      <c r="Q3491" s="58" t="s">
        <v>112</v>
      </c>
      <c r="R3491" s="58" t="s">
        <v>272</v>
      </c>
    </row>
    <row r="3492" spans="1:18" ht="69" customHeight="1">
      <c r="A3492" s="168"/>
      <c r="B3492" s="178">
        <v>9924</v>
      </c>
      <c r="C3492" s="178" t="s">
        <v>458</v>
      </c>
      <c r="D3492" s="575" t="s">
        <v>5391</v>
      </c>
      <c r="E3492" s="178" t="s">
        <v>266</v>
      </c>
      <c r="F3492" s="210" t="s">
        <v>9104</v>
      </c>
      <c r="G3492" s="58" t="s">
        <v>5654</v>
      </c>
      <c r="H3492" s="546">
        <v>2250</v>
      </c>
      <c r="I3492" s="66">
        <v>45061</v>
      </c>
      <c r="J3492" s="411" t="s">
        <v>5655</v>
      </c>
      <c r="K3492" s="58"/>
      <c r="L3492" s="99"/>
      <c r="M3492" s="70" t="s">
        <v>9024</v>
      </c>
      <c r="N3492" s="97" t="s">
        <v>270</v>
      </c>
      <c r="O3492" s="58"/>
      <c r="P3492" s="58" t="s">
        <v>44</v>
      </c>
      <c r="Q3492" s="58" t="s">
        <v>112</v>
      </c>
      <c r="R3492" s="58" t="s">
        <v>272</v>
      </c>
    </row>
    <row r="3493" spans="1:18" ht="69" customHeight="1">
      <c r="A3493" s="168"/>
      <c r="B3493" s="178">
        <v>9925</v>
      </c>
      <c r="C3493" s="178" t="s">
        <v>458</v>
      </c>
      <c r="D3493" s="575" t="s">
        <v>1929</v>
      </c>
      <c r="E3493" s="178" t="s">
        <v>266</v>
      </c>
      <c r="F3493" s="210" t="s">
        <v>9105</v>
      </c>
      <c r="G3493" s="58" t="s">
        <v>5654</v>
      </c>
      <c r="H3493" s="546">
        <v>2250</v>
      </c>
      <c r="I3493" s="66">
        <v>45061</v>
      </c>
      <c r="J3493" s="411" t="s">
        <v>5655</v>
      </c>
      <c r="K3493" s="58"/>
      <c r="L3493" s="99"/>
      <c r="M3493" s="70" t="s">
        <v>9024</v>
      </c>
      <c r="N3493" s="97" t="s">
        <v>270</v>
      </c>
      <c r="O3493" s="58"/>
      <c r="P3493" s="58" t="s">
        <v>44</v>
      </c>
      <c r="Q3493" s="58" t="s">
        <v>112</v>
      </c>
      <c r="R3493" s="58" t="s">
        <v>272</v>
      </c>
    </row>
    <row r="3494" spans="1:18" ht="69" customHeight="1">
      <c r="A3494" s="168"/>
      <c r="B3494" s="178">
        <v>2572</v>
      </c>
      <c r="C3494" s="178" t="s">
        <v>309</v>
      </c>
      <c r="D3494" s="575" t="s">
        <v>8035</v>
      </c>
      <c r="E3494" s="178" t="s">
        <v>266</v>
      </c>
      <c r="F3494" s="210" t="s">
        <v>9106</v>
      </c>
      <c r="G3494" s="58" t="s">
        <v>5560</v>
      </c>
      <c r="H3494" s="546">
        <v>7060</v>
      </c>
      <c r="I3494" s="66">
        <v>44540</v>
      </c>
      <c r="J3494" s="411" t="s">
        <v>9107</v>
      </c>
      <c r="K3494" s="58"/>
      <c r="L3494" s="99"/>
      <c r="M3494" s="70" t="s">
        <v>9108</v>
      </c>
      <c r="N3494" s="97" t="s">
        <v>270</v>
      </c>
      <c r="O3494" s="58"/>
      <c r="P3494" s="58" t="s">
        <v>44</v>
      </c>
      <c r="Q3494" s="58" t="s">
        <v>113</v>
      </c>
      <c r="R3494" s="58" t="s">
        <v>272</v>
      </c>
    </row>
    <row r="3495" spans="1:18" ht="69" customHeight="1">
      <c r="A3495" s="168"/>
      <c r="B3495" s="256" t="s">
        <v>9109</v>
      </c>
      <c r="C3495" s="256" t="s">
        <v>458</v>
      </c>
      <c r="D3495" s="299"/>
      <c r="E3495" s="256" t="s">
        <v>350</v>
      </c>
      <c r="F3495" s="263" t="s">
        <v>9110</v>
      </c>
      <c r="G3495" s="118" t="s">
        <v>7080</v>
      </c>
      <c r="H3495" s="300">
        <v>5362.8</v>
      </c>
      <c r="I3495" s="209" t="s">
        <v>96</v>
      </c>
      <c r="J3495" s="409" t="s">
        <v>7081</v>
      </c>
      <c r="K3495" s="118" t="s">
        <v>9111</v>
      </c>
      <c r="L3495" s="99"/>
      <c r="M3495" s="70" t="s">
        <v>9112</v>
      </c>
      <c r="N3495" s="97" t="s">
        <v>356</v>
      </c>
      <c r="O3495" s="118" t="s">
        <v>141</v>
      </c>
      <c r="P3495" s="118" t="s">
        <v>67</v>
      </c>
      <c r="Q3495" s="118" t="s">
        <v>113</v>
      </c>
      <c r="R3495" s="118" t="s">
        <v>265</v>
      </c>
    </row>
    <row r="3496" spans="1:18" ht="69" customHeight="1">
      <c r="A3496" s="168"/>
      <c r="B3496" s="178" t="s">
        <v>9113</v>
      </c>
      <c r="C3496" s="178" t="s">
        <v>458</v>
      </c>
      <c r="D3496" s="575"/>
      <c r="E3496" s="178" t="s">
        <v>260</v>
      </c>
      <c r="F3496" s="210" t="s">
        <v>9114</v>
      </c>
      <c r="G3496" s="58" t="s">
        <v>7080</v>
      </c>
      <c r="H3496" s="546">
        <v>2747</v>
      </c>
      <c r="I3496" s="66" t="s">
        <v>96</v>
      </c>
      <c r="J3496" s="411" t="s">
        <v>7081</v>
      </c>
      <c r="K3496" s="58" t="s">
        <v>9115</v>
      </c>
      <c r="L3496" s="99"/>
      <c r="M3496" s="70" t="s">
        <v>9092</v>
      </c>
      <c r="N3496" s="97" t="s">
        <v>264</v>
      </c>
      <c r="O3496" s="58" t="s">
        <v>141</v>
      </c>
      <c r="P3496" s="58" t="s">
        <v>17</v>
      </c>
      <c r="Q3496" s="58" t="s">
        <v>113</v>
      </c>
      <c r="R3496" s="58" t="s">
        <v>265</v>
      </c>
    </row>
    <row r="3497" spans="1:18" ht="69" customHeight="1">
      <c r="A3497" s="168"/>
      <c r="B3497" s="178" t="s">
        <v>9116</v>
      </c>
      <c r="C3497" s="178" t="s">
        <v>458</v>
      </c>
      <c r="D3497" s="575"/>
      <c r="E3497" s="178" t="s">
        <v>260</v>
      </c>
      <c r="F3497" s="210" t="s">
        <v>9117</v>
      </c>
      <c r="G3497" s="58" t="s">
        <v>7080</v>
      </c>
      <c r="H3497" s="546">
        <f>47822.63+7629.74</f>
        <v>55452.369999999995</v>
      </c>
      <c r="I3497" s="66" t="s">
        <v>96</v>
      </c>
      <c r="J3497" s="411" t="s">
        <v>7081</v>
      </c>
      <c r="K3497" s="58"/>
      <c r="L3497" s="99"/>
      <c r="M3497" s="70" t="s">
        <v>9092</v>
      </c>
      <c r="N3497" s="97" t="s">
        <v>264</v>
      </c>
      <c r="O3497" s="58" t="s">
        <v>141</v>
      </c>
      <c r="P3497" s="58" t="s">
        <v>17</v>
      </c>
      <c r="Q3497" s="58" t="s">
        <v>113</v>
      </c>
      <c r="R3497" s="58" t="s">
        <v>265</v>
      </c>
    </row>
    <row r="3498" spans="1:18" ht="69" customHeight="1">
      <c r="A3498" s="168"/>
      <c r="B3498" s="178" t="s">
        <v>9118</v>
      </c>
      <c r="C3498" s="178" t="s">
        <v>458</v>
      </c>
      <c r="D3498" s="575"/>
      <c r="E3498" s="178" t="s">
        <v>260</v>
      </c>
      <c r="F3498" s="210" t="s">
        <v>9119</v>
      </c>
      <c r="G3498" s="58" t="s">
        <v>7080</v>
      </c>
      <c r="H3498" s="546">
        <f>22327.8+69987</f>
        <v>92314.8</v>
      </c>
      <c r="I3498" s="66" t="s">
        <v>96</v>
      </c>
      <c r="J3498" s="411" t="s">
        <v>7081</v>
      </c>
      <c r="K3498" s="58" t="s">
        <v>9115</v>
      </c>
      <c r="L3498" s="99"/>
      <c r="M3498" s="70" t="s">
        <v>9092</v>
      </c>
      <c r="N3498" s="97" t="s">
        <v>264</v>
      </c>
      <c r="O3498" s="58" t="s">
        <v>141</v>
      </c>
      <c r="P3498" s="58" t="s">
        <v>17</v>
      </c>
      <c r="Q3498" s="58" t="s">
        <v>113</v>
      </c>
      <c r="R3498" s="58" t="s">
        <v>265</v>
      </c>
    </row>
    <row r="3499" spans="1:18" ht="69" customHeight="1">
      <c r="A3499" s="168"/>
      <c r="B3499" s="178" t="s">
        <v>9120</v>
      </c>
      <c r="C3499" s="178" t="s">
        <v>458</v>
      </c>
      <c r="D3499" s="575"/>
      <c r="E3499" s="178" t="s">
        <v>260</v>
      </c>
      <c r="F3499" s="210" t="s">
        <v>9121</v>
      </c>
      <c r="G3499" s="58" t="s">
        <v>7080</v>
      </c>
      <c r="H3499" s="546">
        <v>30000</v>
      </c>
      <c r="I3499" s="66" t="s">
        <v>96</v>
      </c>
      <c r="J3499" s="411" t="s">
        <v>7081</v>
      </c>
      <c r="K3499" s="58" t="s">
        <v>9115</v>
      </c>
      <c r="L3499" s="99"/>
      <c r="M3499" s="70" t="s">
        <v>9092</v>
      </c>
      <c r="N3499" s="97" t="s">
        <v>264</v>
      </c>
      <c r="O3499" s="58" t="s">
        <v>141</v>
      </c>
      <c r="P3499" s="58" t="s">
        <v>17</v>
      </c>
      <c r="Q3499" s="58" t="s">
        <v>113</v>
      </c>
      <c r="R3499" s="58" t="s">
        <v>265</v>
      </c>
    </row>
    <row r="3500" spans="1:18" ht="69" customHeight="1">
      <c r="A3500" s="168"/>
      <c r="B3500" s="178" t="s">
        <v>9122</v>
      </c>
      <c r="C3500" s="178" t="s">
        <v>458</v>
      </c>
      <c r="D3500" s="575"/>
      <c r="E3500" s="178" t="s">
        <v>260</v>
      </c>
      <c r="F3500" s="210" t="s">
        <v>9123</v>
      </c>
      <c r="G3500" s="58" t="s">
        <v>7080</v>
      </c>
      <c r="H3500" s="546">
        <v>5403.15</v>
      </c>
      <c r="I3500" s="66" t="s">
        <v>96</v>
      </c>
      <c r="J3500" s="411" t="s">
        <v>7081</v>
      </c>
      <c r="K3500" s="58" t="s">
        <v>9115</v>
      </c>
      <c r="L3500" s="99"/>
      <c r="M3500" s="70" t="s">
        <v>9092</v>
      </c>
      <c r="N3500" s="97" t="s">
        <v>264</v>
      </c>
      <c r="O3500" s="58" t="s">
        <v>141</v>
      </c>
      <c r="P3500" s="58" t="s">
        <v>17</v>
      </c>
      <c r="Q3500" s="58" t="s">
        <v>113</v>
      </c>
      <c r="R3500" s="58" t="s">
        <v>265</v>
      </c>
    </row>
    <row r="3501" spans="1:18" ht="69" customHeight="1">
      <c r="A3501" s="168"/>
      <c r="B3501" s="178" t="s">
        <v>9124</v>
      </c>
      <c r="C3501" s="178" t="s">
        <v>458</v>
      </c>
      <c r="D3501" s="575"/>
      <c r="E3501" s="178" t="s">
        <v>260</v>
      </c>
      <c r="F3501" s="210" t="s">
        <v>9125</v>
      </c>
      <c r="G3501" s="58" t="s">
        <v>7080</v>
      </c>
      <c r="H3501" s="546">
        <v>1600</v>
      </c>
      <c r="I3501" s="66" t="s">
        <v>96</v>
      </c>
      <c r="J3501" s="411" t="s">
        <v>7081</v>
      </c>
      <c r="K3501" s="58" t="s">
        <v>9115</v>
      </c>
      <c r="L3501" s="99"/>
      <c r="M3501" s="70" t="s">
        <v>9092</v>
      </c>
      <c r="N3501" s="97" t="s">
        <v>264</v>
      </c>
      <c r="O3501" s="58" t="s">
        <v>141</v>
      </c>
      <c r="P3501" s="58" t="s">
        <v>17</v>
      </c>
      <c r="Q3501" s="58" t="s">
        <v>113</v>
      </c>
      <c r="R3501" s="58" t="s">
        <v>265</v>
      </c>
    </row>
    <row r="3502" spans="1:18" ht="69" customHeight="1">
      <c r="A3502" s="168"/>
      <c r="B3502" s="178" t="s">
        <v>9126</v>
      </c>
      <c r="C3502" s="178" t="s">
        <v>458</v>
      </c>
      <c r="D3502" s="575"/>
      <c r="E3502" s="178" t="s">
        <v>260</v>
      </c>
      <c r="F3502" s="210" t="s">
        <v>9127</v>
      </c>
      <c r="G3502" s="58" t="s">
        <v>7080</v>
      </c>
      <c r="H3502" s="546">
        <v>1039.77</v>
      </c>
      <c r="I3502" s="66" t="s">
        <v>96</v>
      </c>
      <c r="J3502" s="411" t="s">
        <v>7081</v>
      </c>
      <c r="K3502" s="58" t="s">
        <v>9115</v>
      </c>
      <c r="L3502" s="99"/>
      <c r="M3502" s="70" t="s">
        <v>9092</v>
      </c>
      <c r="N3502" s="97" t="s">
        <v>264</v>
      </c>
      <c r="O3502" s="58" t="s">
        <v>141</v>
      </c>
      <c r="P3502" s="58" t="s">
        <v>17</v>
      </c>
      <c r="Q3502" s="58" t="s">
        <v>113</v>
      </c>
      <c r="R3502" s="58" t="s">
        <v>265</v>
      </c>
    </row>
    <row r="3503" spans="1:18" ht="69" customHeight="1">
      <c r="A3503" s="168"/>
      <c r="B3503" s="178" t="s">
        <v>9128</v>
      </c>
      <c r="C3503" s="178" t="s">
        <v>458</v>
      </c>
      <c r="D3503" s="575"/>
      <c r="E3503" s="178" t="s">
        <v>260</v>
      </c>
      <c r="F3503" s="210" t="s">
        <v>9129</v>
      </c>
      <c r="G3503" s="58" t="s">
        <v>7080</v>
      </c>
      <c r="H3503" s="546">
        <v>772.83</v>
      </c>
      <c r="I3503" s="66" t="s">
        <v>96</v>
      </c>
      <c r="J3503" s="411" t="s">
        <v>7081</v>
      </c>
      <c r="K3503" s="58" t="s">
        <v>9115</v>
      </c>
      <c r="L3503" s="99"/>
      <c r="M3503" s="70" t="s">
        <v>9092</v>
      </c>
      <c r="N3503" s="97" t="s">
        <v>264</v>
      </c>
      <c r="O3503" s="58" t="s">
        <v>141</v>
      </c>
      <c r="P3503" s="58" t="s">
        <v>17</v>
      </c>
      <c r="Q3503" s="58" t="s">
        <v>113</v>
      </c>
      <c r="R3503" s="58" t="s">
        <v>265</v>
      </c>
    </row>
    <row r="3504" spans="1:18" ht="69" customHeight="1">
      <c r="A3504" s="168"/>
      <c r="B3504" s="178" t="s">
        <v>9130</v>
      </c>
      <c r="C3504" s="178" t="s">
        <v>458</v>
      </c>
      <c r="D3504" s="575"/>
      <c r="E3504" s="178" t="s">
        <v>260</v>
      </c>
      <c r="F3504" s="210" t="s">
        <v>9131</v>
      </c>
      <c r="G3504" s="58" t="s">
        <v>7080</v>
      </c>
      <c r="H3504" s="546">
        <v>1470</v>
      </c>
      <c r="I3504" s="66" t="s">
        <v>96</v>
      </c>
      <c r="J3504" s="411" t="s">
        <v>7081</v>
      </c>
      <c r="K3504" s="58" t="s">
        <v>9115</v>
      </c>
      <c r="L3504" s="99"/>
      <c r="M3504" s="70" t="s">
        <v>9092</v>
      </c>
      <c r="N3504" s="97" t="s">
        <v>264</v>
      </c>
      <c r="O3504" s="58" t="s">
        <v>141</v>
      </c>
      <c r="P3504" s="58" t="s">
        <v>17</v>
      </c>
      <c r="Q3504" s="58" t="s">
        <v>113</v>
      </c>
      <c r="R3504" s="58" t="s">
        <v>265</v>
      </c>
    </row>
    <row r="3505" spans="1:18" ht="69" customHeight="1">
      <c r="A3505" s="168"/>
      <c r="B3505" s="178" t="s">
        <v>9132</v>
      </c>
      <c r="C3505" s="178" t="s">
        <v>458</v>
      </c>
      <c r="D3505" s="575"/>
      <c r="E3505" s="178" t="s">
        <v>260</v>
      </c>
      <c r="F3505" s="210" t="s">
        <v>9133</v>
      </c>
      <c r="G3505" s="58" t="s">
        <v>7080</v>
      </c>
      <c r="H3505" s="546">
        <v>2000</v>
      </c>
      <c r="I3505" s="66" t="s">
        <v>96</v>
      </c>
      <c r="J3505" s="411" t="s">
        <v>7081</v>
      </c>
      <c r="K3505" s="58" t="s">
        <v>9115</v>
      </c>
      <c r="L3505" s="99"/>
      <c r="M3505" s="70" t="s">
        <v>9092</v>
      </c>
      <c r="N3505" s="97" t="s">
        <v>264</v>
      </c>
      <c r="O3505" s="58" t="s">
        <v>141</v>
      </c>
      <c r="P3505" s="58" t="s">
        <v>17</v>
      </c>
      <c r="Q3505" s="58" t="s">
        <v>113</v>
      </c>
      <c r="R3505" s="58" t="s">
        <v>265</v>
      </c>
    </row>
    <row r="3506" spans="1:18" ht="69" customHeight="1">
      <c r="A3506" s="168"/>
      <c r="B3506" s="178" t="s">
        <v>9134</v>
      </c>
      <c r="C3506" s="178" t="s">
        <v>458</v>
      </c>
      <c r="D3506" s="575"/>
      <c r="E3506" s="178" t="s">
        <v>260</v>
      </c>
      <c r="F3506" s="210" t="s">
        <v>9135</v>
      </c>
      <c r="G3506" s="58" t="s">
        <v>7080</v>
      </c>
      <c r="H3506" s="546">
        <v>118.55</v>
      </c>
      <c r="I3506" s="66" t="s">
        <v>96</v>
      </c>
      <c r="J3506" s="411" t="s">
        <v>7081</v>
      </c>
      <c r="K3506" s="58" t="s">
        <v>9115</v>
      </c>
      <c r="L3506" s="99"/>
      <c r="M3506" s="70" t="s">
        <v>9092</v>
      </c>
      <c r="N3506" s="97" t="s">
        <v>264</v>
      </c>
      <c r="O3506" s="58" t="s">
        <v>141</v>
      </c>
      <c r="P3506" s="58" t="s">
        <v>17</v>
      </c>
      <c r="Q3506" s="58" t="s">
        <v>113</v>
      </c>
      <c r="R3506" s="58" t="s">
        <v>265</v>
      </c>
    </row>
    <row r="3507" spans="1:18" ht="69" customHeight="1">
      <c r="A3507" s="168"/>
      <c r="B3507" s="178" t="s">
        <v>9136</v>
      </c>
      <c r="C3507" s="178" t="s">
        <v>458</v>
      </c>
      <c r="D3507" s="575"/>
      <c r="E3507" s="178" t="s">
        <v>260</v>
      </c>
      <c r="F3507" s="210" t="s">
        <v>9137</v>
      </c>
      <c r="G3507" s="58" t="s">
        <v>7080</v>
      </c>
      <c r="H3507" s="546">
        <v>19050.93</v>
      </c>
      <c r="I3507" s="66" t="s">
        <v>96</v>
      </c>
      <c r="J3507" s="411" t="s">
        <v>7081</v>
      </c>
      <c r="K3507" s="58" t="s">
        <v>9115</v>
      </c>
      <c r="L3507" s="99"/>
      <c r="M3507" s="70" t="s">
        <v>9092</v>
      </c>
      <c r="N3507" s="97" t="s">
        <v>264</v>
      </c>
      <c r="O3507" s="58" t="s">
        <v>141</v>
      </c>
      <c r="P3507" s="58" t="s">
        <v>17</v>
      </c>
      <c r="Q3507" s="58" t="s">
        <v>113</v>
      </c>
      <c r="R3507" s="58" t="s">
        <v>265</v>
      </c>
    </row>
    <row r="3508" spans="1:18" ht="69" customHeight="1">
      <c r="A3508" s="168"/>
      <c r="B3508" s="178" t="s">
        <v>9138</v>
      </c>
      <c r="C3508" s="178" t="s">
        <v>458</v>
      </c>
      <c r="D3508" s="575"/>
      <c r="E3508" s="178" t="s">
        <v>260</v>
      </c>
      <c r="F3508" s="210" t="s">
        <v>9139</v>
      </c>
      <c r="G3508" s="58" t="s">
        <v>7080</v>
      </c>
      <c r="H3508" s="534">
        <v>0</v>
      </c>
      <c r="I3508" s="56" t="s">
        <v>96</v>
      </c>
      <c r="J3508" s="411" t="s">
        <v>7081</v>
      </c>
      <c r="K3508" s="58" t="s">
        <v>9115</v>
      </c>
      <c r="L3508" s="99"/>
      <c r="M3508" s="70" t="s">
        <v>9092</v>
      </c>
      <c r="N3508" s="97" t="s">
        <v>264</v>
      </c>
      <c r="O3508" s="58" t="s">
        <v>141</v>
      </c>
      <c r="P3508" s="58" t="s">
        <v>17</v>
      </c>
      <c r="Q3508" s="58" t="s">
        <v>113</v>
      </c>
      <c r="R3508" s="58" t="s">
        <v>265</v>
      </c>
    </row>
    <row r="3509" spans="1:18" ht="69" customHeight="1">
      <c r="A3509" s="168"/>
      <c r="B3509" s="178" t="s">
        <v>9140</v>
      </c>
      <c r="C3509" s="178" t="s">
        <v>458</v>
      </c>
      <c r="D3509" s="575"/>
      <c r="E3509" s="178" t="s">
        <v>260</v>
      </c>
      <c r="F3509" s="210" t="s">
        <v>9141</v>
      </c>
      <c r="G3509" s="58" t="s">
        <v>7080</v>
      </c>
      <c r="H3509" s="546">
        <v>10904.32</v>
      </c>
      <c r="I3509" s="66" t="s">
        <v>96</v>
      </c>
      <c r="J3509" s="411" t="s">
        <v>7081</v>
      </c>
      <c r="K3509" s="58" t="s">
        <v>9115</v>
      </c>
      <c r="L3509" s="99"/>
      <c r="M3509" s="70" t="s">
        <v>9092</v>
      </c>
      <c r="N3509" s="97" t="s">
        <v>264</v>
      </c>
      <c r="O3509" s="58" t="s">
        <v>141</v>
      </c>
      <c r="P3509" s="58" t="s">
        <v>17</v>
      </c>
      <c r="Q3509" s="58" t="s">
        <v>113</v>
      </c>
      <c r="R3509" s="58" t="s">
        <v>265</v>
      </c>
    </row>
    <row r="3510" spans="1:18" ht="69" customHeight="1">
      <c r="A3510" s="168"/>
      <c r="B3510" s="191">
        <v>3006</v>
      </c>
      <c r="C3510" s="191" t="s">
        <v>458</v>
      </c>
      <c r="D3510" s="533" t="s">
        <v>2009</v>
      </c>
      <c r="E3510" s="191" t="s">
        <v>331</v>
      </c>
      <c r="F3510" s="211" t="s">
        <v>9142</v>
      </c>
      <c r="G3510" s="46" t="s">
        <v>4416</v>
      </c>
      <c r="H3510" s="534">
        <v>0</v>
      </c>
      <c r="I3510" s="56" t="s">
        <v>96</v>
      </c>
      <c r="J3510" s="412" t="s">
        <v>334</v>
      </c>
      <c r="K3510" s="46"/>
      <c r="L3510" s="99"/>
      <c r="M3510" s="379"/>
      <c r="N3510" s="76" t="s">
        <v>69</v>
      </c>
      <c r="O3510" s="46"/>
      <c r="P3510" s="46" t="s">
        <v>69</v>
      </c>
      <c r="Q3510" s="46" t="s">
        <v>113</v>
      </c>
      <c r="R3510" s="46" t="s">
        <v>272</v>
      </c>
    </row>
    <row r="3511" spans="1:18" ht="69" customHeight="1">
      <c r="A3511" s="168"/>
      <c r="B3511" s="178">
        <v>4185</v>
      </c>
      <c r="C3511" s="178" t="s">
        <v>458</v>
      </c>
      <c r="D3511" s="575" t="s">
        <v>1678</v>
      </c>
      <c r="E3511" s="178" t="s">
        <v>283</v>
      </c>
      <c r="F3511" s="210" t="s">
        <v>9143</v>
      </c>
      <c r="G3511" s="58" t="s">
        <v>9144</v>
      </c>
      <c r="H3511" s="546">
        <v>150000</v>
      </c>
      <c r="I3511" s="66">
        <v>44648</v>
      </c>
      <c r="J3511" s="411" t="s">
        <v>9145</v>
      </c>
      <c r="K3511" s="58" t="s">
        <v>9115</v>
      </c>
      <c r="L3511" s="99"/>
      <c r="M3511" s="70" t="s">
        <v>9146</v>
      </c>
      <c r="N3511" s="97" t="s">
        <v>264</v>
      </c>
      <c r="O3511" s="58" t="s">
        <v>141</v>
      </c>
      <c r="P3511" s="58" t="s">
        <v>17</v>
      </c>
      <c r="Q3511" s="58" t="s">
        <v>113</v>
      </c>
      <c r="R3511" s="58" t="s">
        <v>272</v>
      </c>
    </row>
    <row r="3512" spans="1:18" ht="69" customHeight="1">
      <c r="A3512" s="168"/>
      <c r="B3512" s="207">
        <v>4370</v>
      </c>
      <c r="C3512" s="207" t="s">
        <v>458</v>
      </c>
      <c r="D3512" s="301"/>
      <c r="E3512" s="207" t="s">
        <v>260</v>
      </c>
      <c r="F3512" s="208" t="s">
        <v>9147</v>
      </c>
      <c r="G3512" s="160"/>
      <c r="H3512" s="300">
        <v>41564.25</v>
      </c>
      <c r="I3512" s="209">
        <v>44435</v>
      </c>
      <c r="J3512" s="322" t="s">
        <v>294</v>
      </c>
      <c r="K3512" s="160" t="s">
        <v>727</v>
      </c>
      <c r="M3512" s="380"/>
      <c r="N3512" s="82" t="s">
        <v>264</v>
      </c>
      <c r="O3512" s="160" t="s">
        <v>141</v>
      </c>
      <c r="P3512" s="160" t="s">
        <v>67</v>
      </c>
      <c r="Q3512" s="160" t="s">
        <v>113</v>
      </c>
      <c r="R3512" s="160" t="s">
        <v>272</v>
      </c>
    </row>
    <row r="3513" spans="1:18" ht="69" customHeight="1">
      <c r="A3513" s="168"/>
      <c r="B3513" s="207">
        <v>4397</v>
      </c>
      <c r="C3513" s="207" t="s">
        <v>458</v>
      </c>
      <c r="D3513" s="301"/>
      <c r="E3513" s="207" t="s">
        <v>283</v>
      </c>
      <c r="F3513" s="208" t="s">
        <v>9148</v>
      </c>
      <c r="G3513" s="160"/>
      <c r="H3513" s="300">
        <v>21000</v>
      </c>
      <c r="I3513" s="209">
        <v>44488</v>
      </c>
      <c r="J3513" s="322" t="s">
        <v>294</v>
      </c>
      <c r="K3513" s="160" t="s">
        <v>727</v>
      </c>
      <c r="M3513" s="380"/>
      <c r="N3513" s="82" t="s">
        <v>264</v>
      </c>
      <c r="O3513" s="160" t="s">
        <v>141</v>
      </c>
      <c r="P3513" s="160" t="s">
        <v>67</v>
      </c>
      <c r="Q3513" s="160" t="s">
        <v>113</v>
      </c>
      <c r="R3513" s="160" t="s">
        <v>272</v>
      </c>
    </row>
    <row r="3514" spans="1:18" ht="69" customHeight="1">
      <c r="A3514" s="168"/>
      <c r="B3514" s="178">
        <v>4414</v>
      </c>
      <c r="C3514" s="178" t="s">
        <v>458</v>
      </c>
      <c r="D3514" s="575"/>
      <c r="E3514" s="178" t="s">
        <v>358</v>
      </c>
      <c r="F3514" s="210" t="s">
        <v>9149</v>
      </c>
      <c r="G3514" s="58"/>
      <c r="H3514" s="546">
        <v>5362.8</v>
      </c>
      <c r="I3514" s="66">
        <v>44508</v>
      </c>
      <c r="J3514" s="411" t="s">
        <v>294</v>
      </c>
      <c r="K3514" s="58" t="s">
        <v>9150</v>
      </c>
      <c r="L3514" s="99"/>
      <c r="M3514" s="70" t="s">
        <v>9151</v>
      </c>
      <c r="N3514" s="97" t="s">
        <v>356</v>
      </c>
      <c r="O3514" s="58" t="s">
        <v>141</v>
      </c>
      <c r="P3514" s="58" t="s">
        <v>19</v>
      </c>
      <c r="Q3514" s="58" t="s">
        <v>113</v>
      </c>
      <c r="R3514" s="58" t="s">
        <v>272</v>
      </c>
    </row>
    <row r="3515" spans="1:18" ht="69" customHeight="1">
      <c r="A3515" s="168"/>
      <c r="B3515" s="207">
        <v>4426</v>
      </c>
      <c r="C3515" s="207" t="s">
        <v>458</v>
      </c>
      <c r="D3515" s="301"/>
      <c r="E3515" s="207" t="s">
        <v>283</v>
      </c>
      <c r="F3515" s="208" t="s">
        <v>9148</v>
      </c>
      <c r="G3515" s="160"/>
      <c r="H3515" s="300">
        <v>2000</v>
      </c>
      <c r="I3515" s="209">
        <v>44525</v>
      </c>
      <c r="J3515" s="322" t="s">
        <v>294</v>
      </c>
      <c r="K3515" s="160" t="s">
        <v>727</v>
      </c>
      <c r="M3515" s="380"/>
      <c r="N3515" s="82" t="s">
        <v>264</v>
      </c>
      <c r="O3515" s="160" t="s">
        <v>141</v>
      </c>
      <c r="P3515" s="160" t="s">
        <v>67</v>
      </c>
      <c r="Q3515" s="160" t="s">
        <v>113</v>
      </c>
      <c r="R3515" s="160" t="s">
        <v>272</v>
      </c>
    </row>
    <row r="3516" spans="1:18" ht="69" customHeight="1">
      <c r="A3516" s="168"/>
      <c r="B3516" s="178">
        <v>4233</v>
      </c>
      <c r="C3516" s="178" t="s">
        <v>458</v>
      </c>
      <c r="D3516" s="575" t="s">
        <v>6910</v>
      </c>
      <c r="E3516" s="178" t="s">
        <v>350</v>
      </c>
      <c r="F3516" s="210" t="s">
        <v>9152</v>
      </c>
      <c r="G3516" s="58" t="s">
        <v>352</v>
      </c>
      <c r="H3516" s="546">
        <v>13000</v>
      </c>
      <c r="I3516" s="66">
        <v>44671</v>
      </c>
      <c r="J3516" s="411" t="s">
        <v>9153</v>
      </c>
      <c r="K3516" s="58" t="s">
        <v>9150</v>
      </c>
      <c r="L3516" s="99"/>
      <c r="M3516" s="70" t="s">
        <v>9112</v>
      </c>
      <c r="N3516" s="97" t="s">
        <v>356</v>
      </c>
      <c r="O3516" s="58" t="s">
        <v>141</v>
      </c>
      <c r="P3516" s="58" t="s">
        <v>19</v>
      </c>
      <c r="Q3516" s="58" t="s">
        <v>113</v>
      </c>
      <c r="R3516" s="58" t="s">
        <v>265</v>
      </c>
    </row>
    <row r="3517" spans="1:18" ht="69" customHeight="1">
      <c r="A3517" s="168"/>
      <c r="B3517" s="178">
        <v>4172</v>
      </c>
      <c r="C3517" s="178" t="s">
        <v>458</v>
      </c>
      <c r="D3517" s="575" t="s">
        <v>2690</v>
      </c>
      <c r="E3517" s="178" t="s">
        <v>350</v>
      </c>
      <c r="F3517" s="210" t="s">
        <v>9154</v>
      </c>
      <c r="G3517" s="58" t="s">
        <v>352</v>
      </c>
      <c r="H3517" s="546">
        <v>180884.56</v>
      </c>
      <c r="I3517" s="66">
        <v>44673</v>
      </c>
      <c r="J3517" s="411" t="s">
        <v>9155</v>
      </c>
      <c r="K3517" s="58" t="s">
        <v>9150</v>
      </c>
      <c r="L3517" s="99"/>
      <c r="M3517" s="70" t="s">
        <v>9112</v>
      </c>
      <c r="N3517" s="97" t="s">
        <v>356</v>
      </c>
      <c r="O3517" s="58" t="s">
        <v>141</v>
      </c>
      <c r="P3517" s="58" t="s">
        <v>19</v>
      </c>
      <c r="Q3517" s="58" t="s">
        <v>113</v>
      </c>
      <c r="R3517" s="58" t="s">
        <v>265</v>
      </c>
    </row>
    <row r="3518" spans="1:18" ht="69" customHeight="1">
      <c r="A3518" s="168"/>
      <c r="B3518" s="178">
        <v>4232</v>
      </c>
      <c r="C3518" s="178" t="s">
        <v>458</v>
      </c>
      <c r="D3518" s="575" t="s">
        <v>3403</v>
      </c>
      <c r="E3518" s="178" t="s">
        <v>350</v>
      </c>
      <c r="F3518" s="210" t="s">
        <v>9154</v>
      </c>
      <c r="G3518" s="58" t="s">
        <v>352</v>
      </c>
      <c r="H3518" s="546">
        <v>176746.67</v>
      </c>
      <c r="I3518" s="66">
        <v>44673</v>
      </c>
      <c r="J3518" s="411" t="s">
        <v>9156</v>
      </c>
      <c r="K3518" s="58" t="s">
        <v>9150</v>
      </c>
      <c r="L3518" s="99"/>
      <c r="M3518" s="70" t="s">
        <v>9112</v>
      </c>
      <c r="N3518" s="97" t="s">
        <v>356</v>
      </c>
      <c r="O3518" s="58" t="s">
        <v>141</v>
      </c>
      <c r="P3518" s="58" t="s">
        <v>19</v>
      </c>
      <c r="Q3518" s="58" t="s">
        <v>113</v>
      </c>
      <c r="R3518" s="58" t="s">
        <v>265</v>
      </c>
    </row>
    <row r="3519" spans="1:18" ht="69" customHeight="1">
      <c r="A3519" s="168"/>
      <c r="B3519" s="178">
        <v>4713</v>
      </c>
      <c r="C3519" s="178" t="s">
        <v>458</v>
      </c>
      <c r="D3519" s="575" t="s">
        <v>310</v>
      </c>
      <c r="E3519" s="178" t="s">
        <v>331</v>
      </c>
      <c r="F3519" s="210" t="s">
        <v>9157</v>
      </c>
      <c r="G3519" s="58"/>
      <c r="H3519" s="546">
        <v>3389.12</v>
      </c>
      <c r="I3519" s="66">
        <v>44678</v>
      </c>
      <c r="J3519" s="411" t="s">
        <v>9158</v>
      </c>
      <c r="K3519" s="58"/>
      <c r="L3519" s="99"/>
      <c r="M3519" s="70" t="s">
        <v>9108</v>
      </c>
      <c r="N3519" s="97" t="s">
        <v>270</v>
      </c>
      <c r="O3519" s="58"/>
      <c r="P3519" s="58" t="s">
        <v>44</v>
      </c>
      <c r="Q3519" s="58" t="s">
        <v>113</v>
      </c>
      <c r="R3519" s="58" t="s">
        <v>272</v>
      </c>
    </row>
    <row r="3520" spans="1:18" ht="69" customHeight="1">
      <c r="A3520" s="168"/>
      <c r="B3520" s="178">
        <v>4713</v>
      </c>
      <c r="C3520" s="178" t="s">
        <v>458</v>
      </c>
      <c r="D3520" s="575" t="s">
        <v>5677</v>
      </c>
      <c r="E3520" s="178" t="s">
        <v>331</v>
      </c>
      <c r="F3520" s="210" t="s">
        <v>9159</v>
      </c>
      <c r="G3520" s="58" t="s">
        <v>372</v>
      </c>
      <c r="H3520" s="546">
        <v>30502.09</v>
      </c>
      <c r="I3520" s="66">
        <v>44701</v>
      </c>
      <c r="J3520" s="411" t="s">
        <v>9160</v>
      </c>
      <c r="K3520" s="58"/>
      <c r="L3520" s="99"/>
      <c r="M3520" s="70" t="s">
        <v>9108</v>
      </c>
      <c r="N3520" s="97" t="s">
        <v>270</v>
      </c>
      <c r="O3520" s="58"/>
      <c r="P3520" s="58" t="s">
        <v>44</v>
      </c>
      <c r="Q3520" s="58" t="s">
        <v>113</v>
      </c>
      <c r="R3520" s="58" t="s">
        <v>272</v>
      </c>
    </row>
    <row r="3521" spans="1:18" ht="69" customHeight="1">
      <c r="A3521" s="168"/>
      <c r="B3521" s="178">
        <v>4950</v>
      </c>
      <c r="C3521" s="178" t="s">
        <v>458</v>
      </c>
      <c r="D3521" s="575" t="s">
        <v>943</v>
      </c>
      <c r="E3521" s="178" t="s">
        <v>266</v>
      </c>
      <c r="F3521" s="210" t="s">
        <v>9161</v>
      </c>
      <c r="G3521" s="58" t="s">
        <v>376</v>
      </c>
      <c r="H3521" s="546">
        <v>3521.06</v>
      </c>
      <c r="I3521" s="66">
        <v>44706</v>
      </c>
      <c r="J3521" s="411" t="s">
        <v>9162</v>
      </c>
      <c r="K3521" s="58"/>
      <c r="L3521" s="99"/>
      <c r="M3521" s="70" t="s">
        <v>9108</v>
      </c>
      <c r="N3521" s="97" t="s">
        <v>270</v>
      </c>
      <c r="O3521" s="58"/>
      <c r="P3521" s="58" t="s">
        <v>44</v>
      </c>
      <c r="Q3521" s="58" t="s">
        <v>113</v>
      </c>
      <c r="R3521" s="58" t="s">
        <v>272</v>
      </c>
    </row>
    <row r="3522" spans="1:18" ht="69" customHeight="1">
      <c r="A3522" s="168"/>
      <c r="B3522" s="178">
        <v>5122</v>
      </c>
      <c r="C3522" s="178" t="s">
        <v>458</v>
      </c>
      <c r="D3522" s="575" t="s">
        <v>2006</v>
      </c>
      <c r="E3522" s="178" t="s">
        <v>283</v>
      </c>
      <c r="F3522" s="210" t="s">
        <v>9163</v>
      </c>
      <c r="G3522" s="58" t="s">
        <v>718</v>
      </c>
      <c r="H3522" s="546">
        <v>243941.7</v>
      </c>
      <c r="I3522" s="66">
        <v>44732</v>
      </c>
      <c r="J3522" s="411" t="s">
        <v>9164</v>
      </c>
      <c r="K3522" s="58" t="s">
        <v>9115</v>
      </c>
      <c r="L3522" s="99"/>
      <c r="M3522" s="70" t="s">
        <v>9146</v>
      </c>
      <c r="N3522" s="97" t="s">
        <v>264</v>
      </c>
      <c r="O3522" s="58" t="s">
        <v>141</v>
      </c>
      <c r="P3522" s="58" t="s">
        <v>17</v>
      </c>
      <c r="Q3522" s="58" t="s">
        <v>113</v>
      </c>
      <c r="R3522" s="58" t="s">
        <v>272</v>
      </c>
    </row>
    <row r="3523" spans="1:18" ht="69" customHeight="1">
      <c r="A3523" s="168"/>
      <c r="B3523" s="178">
        <v>4290</v>
      </c>
      <c r="C3523" s="178" t="s">
        <v>458</v>
      </c>
      <c r="D3523" s="575" t="s">
        <v>2464</v>
      </c>
      <c r="E3523" s="178" t="s">
        <v>358</v>
      </c>
      <c r="F3523" s="210" t="s">
        <v>9165</v>
      </c>
      <c r="G3523" s="58" t="s">
        <v>529</v>
      </c>
      <c r="H3523" s="546">
        <v>560016</v>
      </c>
      <c r="I3523" s="66">
        <v>44732</v>
      </c>
      <c r="J3523" s="411" t="s">
        <v>9166</v>
      </c>
      <c r="K3523" s="58" t="s">
        <v>9150</v>
      </c>
      <c r="L3523" s="99"/>
      <c r="M3523" s="70" t="s">
        <v>9151</v>
      </c>
      <c r="N3523" s="97" t="s">
        <v>356</v>
      </c>
      <c r="O3523" s="58" t="s">
        <v>141</v>
      </c>
      <c r="P3523" s="58" t="s">
        <v>19</v>
      </c>
      <c r="Q3523" s="58" t="s">
        <v>113</v>
      </c>
      <c r="R3523" s="58" t="s">
        <v>272</v>
      </c>
    </row>
    <row r="3524" spans="1:18" ht="69" customHeight="1">
      <c r="A3524" s="168"/>
      <c r="B3524" s="178">
        <v>4291</v>
      </c>
      <c r="C3524" s="178" t="s">
        <v>458</v>
      </c>
      <c r="D3524" s="575" t="s">
        <v>4570</v>
      </c>
      <c r="E3524" s="178" t="s">
        <v>382</v>
      </c>
      <c r="F3524" s="210" t="s">
        <v>9167</v>
      </c>
      <c r="G3524" s="58" t="s">
        <v>384</v>
      </c>
      <c r="H3524" s="546">
        <v>27761.33</v>
      </c>
      <c r="I3524" s="66">
        <v>44736</v>
      </c>
      <c r="J3524" s="411" t="s">
        <v>9168</v>
      </c>
      <c r="K3524" s="58"/>
      <c r="L3524" s="99"/>
      <c r="M3524" s="70" t="s">
        <v>9169</v>
      </c>
      <c r="N3524" s="97" t="s">
        <v>387</v>
      </c>
      <c r="O3524" s="45" t="s">
        <v>150</v>
      </c>
      <c r="P3524" s="58" t="s">
        <v>51</v>
      </c>
      <c r="Q3524" s="58" t="s">
        <v>113</v>
      </c>
      <c r="R3524" s="58" t="s">
        <v>272</v>
      </c>
    </row>
    <row r="3525" spans="1:18" ht="69" customHeight="1">
      <c r="A3525" s="168"/>
      <c r="B3525" s="178">
        <v>4292</v>
      </c>
      <c r="C3525" s="178" t="s">
        <v>458</v>
      </c>
      <c r="D3525" s="575" t="s">
        <v>3679</v>
      </c>
      <c r="E3525" s="178" t="s">
        <v>382</v>
      </c>
      <c r="F3525" s="210" t="s">
        <v>9170</v>
      </c>
      <c r="G3525" s="58" t="s">
        <v>384</v>
      </c>
      <c r="H3525" s="546">
        <v>39819.519999999997</v>
      </c>
      <c r="I3525" s="66">
        <v>44736</v>
      </c>
      <c r="J3525" s="411" t="s">
        <v>9171</v>
      </c>
      <c r="K3525" s="58"/>
      <c r="L3525" s="99"/>
      <c r="M3525" s="70" t="s">
        <v>9169</v>
      </c>
      <c r="N3525" s="97" t="s">
        <v>387</v>
      </c>
      <c r="O3525" s="45" t="s">
        <v>150</v>
      </c>
      <c r="P3525" s="58" t="s">
        <v>51</v>
      </c>
      <c r="Q3525" s="58" t="s">
        <v>113</v>
      </c>
      <c r="R3525" s="58" t="s">
        <v>272</v>
      </c>
    </row>
    <row r="3526" spans="1:18" ht="69" customHeight="1">
      <c r="A3526" s="168"/>
      <c r="B3526" s="178">
        <v>5142</v>
      </c>
      <c r="C3526" s="178" t="s">
        <v>458</v>
      </c>
      <c r="D3526" s="575" t="s">
        <v>1503</v>
      </c>
      <c r="E3526" s="178" t="s">
        <v>266</v>
      </c>
      <c r="F3526" s="210" t="s">
        <v>9172</v>
      </c>
      <c r="G3526" s="58" t="s">
        <v>376</v>
      </c>
      <c r="H3526" s="546">
        <v>5281.58</v>
      </c>
      <c r="I3526" s="66">
        <v>44755</v>
      </c>
      <c r="J3526" s="411" t="s">
        <v>9173</v>
      </c>
      <c r="K3526" s="58" t="s">
        <v>705</v>
      </c>
      <c r="L3526" s="99"/>
      <c r="M3526" s="70" t="s">
        <v>9108</v>
      </c>
      <c r="N3526" s="97" t="s">
        <v>270</v>
      </c>
      <c r="O3526" s="58"/>
      <c r="P3526" s="58" t="s">
        <v>44</v>
      </c>
      <c r="Q3526" s="58" t="s">
        <v>113</v>
      </c>
      <c r="R3526" s="58" t="s">
        <v>272</v>
      </c>
    </row>
    <row r="3527" spans="1:18" ht="69" customHeight="1">
      <c r="A3527" s="168"/>
      <c r="B3527" s="178">
        <v>5204</v>
      </c>
      <c r="C3527" s="178" t="s">
        <v>458</v>
      </c>
      <c r="D3527" s="575" t="s">
        <v>3497</v>
      </c>
      <c r="E3527" s="178" t="s">
        <v>266</v>
      </c>
      <c r="F3527" s="210" t="s">
        <v>9174</v>
      </c>
      <c r="G3527" s="58" t="s">
        <v>396</v>
      </c>
      <c r="H3527" s="546">
        <v>3500</v>
      </c>
      <c r="I3527" s="66">
        <v>44753</v>
      </c>
      <c r="J3527" s="411" t="s">
        <v>9175</v>
      </c>
      <c r="K3527" s="58"/>
      <c r="L3527" s="99"/>
      <c r="M3527" s="70" t="s">
        <v>9176</v>
      </c>
      <c r="N3527" s="97" t="s">
        <v>552</v>
      </c>
      <c r="O3527" s="62" t="s">
        <v>147</v>
      </c>
      <c r="P3527" s="58" t="s">
        <v>42</v>
      </c>
      <c r="Q3527" s="58" t="s">
        <v>113</v>
      </c>
      <c r="R3527" s="58" t="s">
        <v>272</v>
      </c>
    </row>
    <row r="3528" spans="1:18" ht="69" customHeight="1">
      <c r="A3528" s="168"/>
      <c r="B3528" s="178">
        <v>5209</v>
      </c>
      <c r="C3528" s="178" t="s">
        <v>458</v>
      </c>
      <c r="D3528" s="575" t="s">
        <v>665</v>
      </c>
      <c r="E3528" s="178" t="s">
        <v>266</v>
      </c>
      <c r="F3528" s="210" t="s">
        <v>9177</v>
      </c>
      <c r="G3528" s="58" t="s">
        <v>396</v>
      </c>
      <c r="H3528" s="546">
        <v>5878.3</v>
      </c>
      <c r="I3528" s="66">
        <v>44753</v>
      </c>
      <c r="J3528" s="411" t="s">
        <v>9178</v>
      </c>
      <c r="K3528" s="58"/>
      <c r="L3528" s="99"/>
      <c r="M3528" s="70" t="s">
        <v>9176</v>
      </c>
      <c r="N3528" s="97" t="s">
        <v>552</v>
      </c>
      <c r="O3528" s="62" t="s">
        <v>147</v>
      </c>
      <c r="P3528" s="58" t="s">
        <v>42</v>
      </c>
      <c r="Q3528" s="58" t="s">
        <v>113</v>
      </c>
      <c r="R3528" s="58" t="s">
        <v>272</v>
      </c>
    </row>
    <row r="3529" spans="1:18" ht="69" customHeight="1">
      <c r="A3529" s="168"/>
      <c r="B3529" s="178">
        <v>5339</v>
      </c>
      <c r="C3529" s="178" t="s">
        <v>458</v>
      </c>
      <c r="D3529" s="575" t="s">
        <v>2486</v>
      </c>
      <c r="E3529" s="178" t="s">
        <v>350</v>
      </c>
      <c r="F3529" s="210" t="s">
        <v>9179</v>
      </c>
      <c r="G3529" s="58" t="s">
        <v>352</v>
      </c>
      <c r="H3529" s="546">
        <v>7000</v>
      </c>
      <c r="I3529" s="66">
        <v>44756</v>
      </c>
      <c r="J3529" s="411" t="s">
        <v>9180</v>
      </c>
      <c r="K3529" s="58" t="s">
        <v>9150</v>
      </c>
      <c r="L3529" s="99"/>
      <c r="M3529" s="70" t="s">
        <v>9112</v>
      </c>
      <c r="N3529" s="97" t="s">
        <v>356</v>
      </c>
      <c r="O3529" s="58" t="s">
        <v>141</v>
      </c>
      <c r="P3529" s="58" t="s">
        <v>19</v>
      </c>
      <c r="Q3529" s="58" t="s">
        <v>113</v>
      </c>
      <c r="R3529" s="58" t="s">
        <v>265</v>
      </c>
    </row>
    <row r="3530" spans="1:18" ht="69" customHeight="1">
      <c r="A3530" s="168"/>
      <c r="B3530" s="178">
        <v>5340</v>
      </c>
      <c r="C3530" s="178" t="s">
        <v>458</v>
      </c>
      <c r="D3530" s="575" t="s">
        <v>9181</v>
      </c>
      <c r="E3530" s="178" t="s">
        <v>350</v>
      </c>
      <c r="F3530" s="210" t="s">
        <v>9182</v>
      </c>
      <c r="G3530" s="58" t="s">
        <v>352</v>
      </c>
      <c r="H3530" s="546">
        <v>154717.23000000001</v>
      </c>
      <c r="I3530" s="66">
        <v>44775</v>
      </c>
      <c r="J3530" s="411" t="s">
        <v>9183</v>
      </c>
      <c r="K3530" s="58" t="s">
        <v>9150</v>
      </c>
      <c r="L3530" s="99"/>
      <c r="M3530" s="70" t="s">
        <v>9112</v>
      </c>
      <c r="N3530" s="97" t="s">
        <v>356</v>
      </c>
      <c r="O3530" s="58" t="s">
        <v>141</v>
      </c>
      <c r="P3530" s="58" t="s">
        <v>19</v>
      </c>
      <c r="Q3530" s="58" t="s">
        <v>113</v>
      </c>
      <c r="R3530" s="58" t="s">
        <v>265</v>
      </c>
    </row>
    <row r="3531" spans="1:18" ht="69" customHeight="1">
      <c r="A3531" s="168"/>
      <c r="B3531" s="178">
        <v>5342</v>
      </c>
      <c r="C3531" s="178" t="s">
        <v>458</v>
      </c>
      <c r="D3531" s="575" t="s">
        <v>2018</v>
      </c>
      <c r="E3531" s="178" t="s">
        <v>266</v>
      </c>
      <c r="F3531" s="210" t="s">
        <v>9184</v>
      </c>
      <c r="G3531" s="58" t="s">
        <v>9185</v>
      </c>
      <c r="H3531" s="546">
        <v>1400</v>
      </c>
      <c r="I3531" s="66">
        <v>44761</v>
      </c>
      <c r="J3531" s="411" t="s">
        <v>9186</v>
      </c>
      <c r="K3531" s="58"/>
      <c r="L3531" s="99"/>
      <c r="M3531" s="70" t="s">
        <v>9108</v>
      </c>
      <c r="N3531" s="97" t="s">
        <v>270</v>
      </c>
      <c r="O3531" s="58"/>
      <c r="P3531" s="58" t="s">
        <v>44</v>
      </c>
      <c r="Q3531" s="58" t="s">
        <v>113</v>
      </c>
      <c r="R3531" s="58" t="s">
        <v>272</v>
      </c>
    </row>
    <row r="3532" spans="1:18" ht="69" customHeight="1">
      <c r="A3532" s="168"/>
      <c r="B3532" s="178">
        <v>6098</v>
      </c>
      <c r="C3532" s="178" t="s">
        <v>458</v>
      </c>
      <c r="D3532" s="575" t="s">
        <v>960</v>
      </c>
      <c r="E3532" s="178" t="s">
        <v>358</v>
      </c>
      <c r="F3532" s="210" t="s">
        <v>9187</v>
      </c>
      <c r="G3532" s="58" t="s">
        <v>8982</v>
      </c>
      <c r="H3532" s="546">
        <v>200000</v>
      </c>
      <c r="I3532" s="66">
        <v>44769</v>
      </c>
      <c r="J3532" s="411" t="s">
        <v>9188</v>
      </c>
      <c r="K3532" s="212" t="s">
        <v>9189</v>
      </c>
      <c r="L3532" s="99"/>
      <c r="M3532" s="70" t="s">
        <v>9190</v>
      </c>
      <c r="N3532" s="97" t="s">
        <v>356</v>
      </c>
      <c r="O3532" s="58" t="s">
        <v>141</v>
      </c>
      <c r="P3532" s="58" t="s">
        <v>19</v>
      </c>
      <c r="Q3532" s="58" t="s">
        <v>113</v>
      </c>
      <c r="R3532" s="58" t="s">
        <v>272</v>
      </c>
    </row>
    <row r="3533" spans="1:18" ht="69" customHeight="1">
      <c r="A3533" s="168"/>
      <c r="B3533" s="600">
        <v>6089</v>
      </c>
      <c r="C3533" s="600" t="s">
        <v>458</v>
      </c>
      <c r="D3533" s="601" t="s">
        <v>1728</v>
      </c>
      <c r="E3533" s="600" t="s">
        <v>6192</v>
      </c>
      <c r="F3533" s="602" t="s">
        <v>9191</v>
      </c>
      <c r="G3533" s="460" t="s">
        <v>7054</v>
      </c>
      <c r="H3533" s="546">
        <v>262253.63</v>
      </c>
      <c r="I3533" s="461">
        <v>44776</v>
      </c>
      <c r="J3533" s="603" t="s">
        <v>9192</v>
      </c>
      <c r="K3533" s="460" t="s">
        <v>3906</v>
      </c>
      <c r="L3533" s="99"/>
      <c r="M3533" s="70" t="s">
        <v>9193</v>
      </c>
      <c r="N3533" s="97" t="s">
        <v>414</v>
      </c>
      <c r="O3533" s="58"/>
      <c r="P3533" s="58" t="s">
        <v>22</v>
      </c>
      <c r="Q3533" s="58" t="s">
        <v>113</v>
      </c>
      <c r="R3533" s="58" t="s">
        <v>272</v>
      </c>
    </row>
    <row r="3534" spans="1:18" ht="69" customHeight="1">
      <c r="A3534" s="168"/>
      <c r="B3534" s="59">
        <v>6431</v>
      </c>
      <c r="C3534" s="59" t="s">
        <v>458</v>
      </c>
      <c r="D3534" s="581" t="s">
        <v>3195</v>
      </c>
      <c r="E3534" s="59" t="s">
        <v>432</v>
      </c>
      <c r="F3534" s="569" t="s">
        <v>9194</v>
      </c>
      <c r="G3534" s="45" t="s">
        <v>429</v>
      </c>
      <c r="H3534" s="546">
        <v>13959.486000000001</v>
      </c>
      <c r="I3534" s="47">
        <v>44802</v>
      </c>
      <c r="J3534" s="410" t="s">
        <v>9195</v>
      </c>
      <c r="K3534" s="58"/>
      <c r="L3534" s="99"/>
      <c r="M3534" s="70" t="s">
        <v>9196</v>
      </c>
      <c r="N3534" s="97" t="s">
        <v>432</v>
      </c>
      <c r="O3534" s="58"/>
      <c r="P3534" s="58" t="s">
        <v>53</v>
      </c>
      <c r="Q3534" s="58" t="s">
        <v>113</v>
      </c>
      <c r="R3534" s="58" t="s">
        <v>272</v>
      </c>
    </row>
    <row r="3535" spans="1:18" ht="69" customHeight="1">
      <c r="A3535" s="168"/>
      <c r="B3535" s="178">
        <v>8257</v>
      </c>
      <c r="C3535" s="178" t="s">
        <v>458</v>
      </c>
      <c r="D3535" s="575" t="s">
        <v>3247</v>
      </c>
      <c r="E3535" s="178" t="s">
        <v>350</v>
      </c>
      <c r="F3535" s="210" t="s">
        <v>9197</v>
      </c>
      <c r="G3535" s="58" t="s">
        <v>1838</v>
      </c>
      <c r="H3535" s="546">
        <v>78851.5</v>
      </c>
      <c r="I3535" s="66">
        <v>44577</v>
      </c>
      <c r="J3535" s="411" t="s">
        <v>9198</v>
      </c>
      <c r="K3535" s="58"/>
      <c r="L3535" s="99"/>
      <c r="M3535" s="70" t="s">
        <v>9112</v>
      </c>
      <c r="N3535" s="97" t="s">
        <v>356</v>
      </c>
      <c r="O3535" s="58" t="s">
        <v>141</v>
      </c>
      <c r="P3535" s="58" t="s">
        <v>19</v>
      </c>
      <c r="Q3535" s="58" t="s">
        <v>113</v>
      </c>
      <c r="R3535" s="58" t="s">
        <v>265</v>
      </c>
    </row>
    <row r="3536" spans="1:18" ht="69" customHeight="1">
      <c r="A3536" s="168"/>
      <c r="B3536" s="256">
        <v>8484</v>
      </c>
      <c r="C3536" s="256" t="s">
        <v>458</v>
      </c>
      <c r="D3536" s="299" t="s">
        <v>2566</v>
      </c>
      <c r="E3536" s="256" t="s">
        <v>350</v>
      </c>
      <c r="F3536" s="263" t="s">
        <v>9199</v>
      </c>
      <c r="G3536" s="118" t="s">
        <v>1838</v>
      </c>
      <c r="H3536" s="300">
        <v>78851.5</v>
      </c>
      <c r="I3536" s="262">
        <v>44942</v>
      </c>
      <c r="J3536" s="409" t="s">
        <v>9200</v>
      </c>
      <c r="K3536" s="118" t="s">
        <v>9201</v>
      </c>
      <c r="L3536" s="99"/>
      <c r="M3536" s="70" t="s">
        <v>9112</v>
      </c>
      <c r="N3536" s="97" t="s">
        <v>356</v>
      </c>
      <c r="O3536" s="118" t="s">
        <v>141</v>
      </c>
      <c r="P3536" s="118" t="s">
        <v>67</v>
      </c>
      <c r="Q3536" s="118" t="s">
        <v>113</v>
      </c>
      <c r="R3536" s="118" t="s">
        <v>265</v>
      </c>
    </row>
    <row r="3537" spans="1:18" ht="69" customHeight="1">
      <c r="A3537" s="168"/>
      <c r="B3537" s="178">
        <v>8485</v>
      </c>
      <c r="C3537" s="178" t="s">
        <v>458</v>
      </c>
      <c r="D3537" s="575" t="s">
        <v>2568</v>
      </c>
      <c r="E3537" s="178" t="s">
        <v>350</v>
      </c>
      <c r="F3537" s="210" t="s">
        <v>9202</v>
      </c>
      <c r="G3537" s="58" t="s">
        <v>1838</v>
      </c>
      <c r="H3537" s="546">
        <v>41397</v>
      </c>
      <c r="I3537" s="66">
        <v>44943</v>
      </c>
      <c r="J3537" s="411" t="s">
        <v>9200</v>
      </c>
      <c r="K3537" s="58"/>
      <c r="L3537" s="99"/>
      <c r="M3537" s="70" t="s">
        <v>9112</v>
      </c>
      <c r="N3537" s="97" t="s">
        <v>356</v>
      </c>
      <c r="O3537" s="58" t="s">
        <v>141</v>
      </c>
      <c r="P3537" s="58" t="s">
        <v>19</v>
      </c>
      <c r="Q3537" s="58" t="s">
        <v>113</v>
      </c>
      <c r="R3537" s="58" t="s">
        <v>265</v>
      </c>
    </row>
    <row r="3538" spans="1:18" ht="69" customHeight="1">
      <c r="A3538" s="168"/>
      <c r="B3538" s="178">
        <v>8522</v>
      </c>
      <c r="C3538" s="178" t="s">
        <v>458</v>
      </c>
      <c r="D3538" s="575" t="s">
        <v>1078</v>
      </c>
      <c r="E3538" s="178" t="s">
        <v>350</v>
      </c>
      <c r="F3538" s="210" t="s">
        <v>9203</v>
      </c>
      <c r="G3538" s="58" t="s">
        <v>6162</v>
      </c>
      <c r="H3538" s="546">
        <v>125600</v>
      </c>
      <c r="I3538" s="66">
        <v>44944</v>
      </c>
      <c r="J3538" s="411" t="s">
        <v>9204</v>
      </c>
      <c r="K3538" s="58"/>
      <c r="L3538" s="99"/>
      <c r="M3538" s="70" t="s">
        <v>9112</v>
      </c>
      <c r="N3538" s="97" t="s">
        <v>356</v>
      </c>
      <c r="O3538" s="58" t="s">
        <v>141</v>
      </c>
      <c r="P3538" s="58" t="s">
        <v>19</v>
      </c>
      <c r="Q3538" s="58" t="s">
        <v>113</v>
      </c>
      <c r="R3538" s="58" t="s">
        <v>265</v>
      </c>
    </row>
    <row r="3539" spans="1:18" ht="69" customHeight="1">
      <c r="A3539" s="168"/>
      <c r="B3539" s="191">
        <v>9756</v>
      </c>
      <c r="C3539" s="191" t="s">
        <v>3667</v>
      </c>
      <c r="D3539" s="533" t="s">
        <v>9205</v>
      </c>
      <c r="E3539" s="191" t="s">
        <v>6226</v>
      </c>
      <c r="F3539" s="211" t="s">
        <v>9206</v>
      </c>
      <c r="G3539" s="46" t="s">
        <v>9207</v>
      </c>
      <c r="H3539" s="534">
        <v>15890</v>
      </c>
      <c r="I3539" s="56">
        <v>45028</v>
      </c>
      <c r="J3539" s="412" t="s">
        <v>9208</v>
      </c>
      <c r="K3539" s="46" t="s">
        <v>9209</v>
      </c>
      <c r="L3539" s="99"/>
      <c r="M3539" s="70" t="s">
        <v>9112</v>
      </c>
      <c r="N3539" s="97" t="s">
        <v>356</v>
      </c>
      <c r="O3539" s="46" t="s">
        <v>147</v>
      </c>
      <c r="P3539" s="46" t="s">
        <v>65</v>
      </c>
      <c r="Q3539" s="46" t="s">
        <v>76</v>
      </c>
      <c r="R3539" s="46" t="s">
        <v>272</v>
      </c>
    </row>
    <row r="3540" spans="1:18" ht="69" customHeight="1">
      <c r="A3540" s="168"/>
      <c r="B3540" s="178">
        <v>8800</v>
      </c>
      <c r="C3540" s="178" t="s">
        <v>458</v>
      </c>
      <c r="D3540" s="575" t="s">
        <v>3040</v>
      </c>
      <c r="E3540" s="178" t="s">
        <v>741</v>
      </c>
      <c r="F3540" s="210" t="s">
        <v>9210</v>
      </c>
      <c r="G3540" s="58" t="s">
        <v>9211</v>
      </c>
      <c r="H3540" s="546">
        <v>73880.320000000007</v>
      </c>
      <c r="I3540" s="66">
        <v>44953</v>
      </c>
      <c r="J3540" s="411" t="s">
        <v>9212</v>
      </c>
      <c r="K3540" s="58"/>
      <c r="L3540" s="99"/>
      <c r="M3540" s="70" t="s">
        <v>9213</v>
      </c>
      <c r="N3540" s="97" t="s">
        <v>741</v>
      </c>
      <c r="O3540" s="58"/>
      <c r="P3540" s="58" t="s">
        <v>59</v>
      </c>
      <c r="Q3540" s="58" t="s">
        <v>113</v>
      </c>
      <c r="R3540" s="58" t="s">
        <v>272</v>
      </c>
    </row>
    <row r="3541" spans="1:18" ht="69" customHeight="1">
      <c r="A3541" s="168"/>
      <c r="B3541" s="178">
        <v>8801</v>
      </c>
      <c r="C3541" s="178" t="s">
        <v>458</v>
      </c>
      <c r="D3541" s="575" t="s">
        <v>2596</v>
      </c>
      <c r="E3541" s="178" t="s">
        <v>741</v>
      </c>
      <c r="F3541" s="210" t="s">
        <v>9214</v>
      </c>
      <c r="G3541" s="58" t="s">
        <v>9211</v>
      </c>
      <c r="H3541" s="546">
        <v>295521.26</v>
      </c>
      <c r="I3541" s="66">
        <v>44953</v>
      </c>
      <c r="J3541" s="411" t="s">
        <v>9212</v>
      </c>
      <c r="K3541" s="58"/>
      <c r="L3541" s="99"/>
      <c r="M3541" s="70" t="s">
        <v>9213</v>
      </c>
      <c r="N3541" s="97" t="s">
        <v>741</v>
      </c>
      <c r="O3541" s="58"/>
      <c r="P3541" s="58" t="s">
        <v>59</v>
      </c>
      <c r="Q3541" s="58" t="s">
        <v>113</v>
      </c>
      <c r="R3541" s="58" t="s">
        <v>272</v>
      </c>
    </row>
    <row r="3542" spans="1:18" ht="69" customHeight="1">
      <c r="A3542" s="168"/>
      <c r="B3542" s="178">
        <v>8756</v>
      </c>
      <c r="C3542" s="178" t="s">
        <v>9215</v>
      </c>
      <c r="D3542" s="575" t="s">
        <v>1160</v>
      </c>
      <c r="E3542" s="178" t="s">
        <v>741</v>
      </c>
      <c r="F3542" s="210" t="s">
        <v>9216</v>
      </c>
      <c r="G3542" s="58" t="s">
        <v>7685</v>
      </c>
      <c r="H3542" s="546">
        <v>1442.56</v>
      </c>
      <c r="I3542" s="66">
        <v>44972</v>
      </c>
      <c r="J3542" s="411" t="s">
        <v>9217</v>
      </c>
      <c r="K3542" s="58"/>
      <c r="L3542" s="99"/>
      <c r="M3542" s="70" t="s">
        <v>9213</v>
      </c>
      <c r="N3542" s="97" t="s">
        <v>741</v>
      </c>
      <c r="O3542" s="58"/>
      <c r="P3542" s="58" t="s">
        <v>59</v>
      </c>
      <c r="Q3542" s="58" t="s">
        <v>113</v>
      </c>
      <c r="R3542" s="58" t="s">
        <v>272</v>
      </c>
    </row>
    <row r="3543" spans="1:18" ht="69" customHeight="1">
      <c r="A3543" s="168"/>
      <c r="B3543" s="178">
        <v>8757</v>
      </c>
      <c r="C3543" s="178" t="s">
        <v>9215</v>
      </c>
      <c r="D3543" s="575" t="s">
        <v>1131</v>
      </c>
      <c r="E3543" s="178" t="s">
        <v>741</v>
      </c>
      <c r="F3543" s="210" t="s">
        <v>9218</v>
      </c>
      <c r="G3543" s="58" t="s">
        <v>7685</v>
      </c>
      <c r="H3543" s="546">
        <v>5770.24</v>
      </c>
      <c r="I3543" s="66">
        <v>44972</v>
      </c>
      <c r="J3543" s="411" t="s">
        <v>9217</v>
      </c>
      <c r="K3543" s="58"/>
      <c r="L3543" s="99"/>
      <c r="M3543" s="70" t="s">
        <v>9213</v>
      </c>
      <c r="N3543" s="97" t="s">
        <v>741</v>
      </c>
      <c r="O3543" s="58"/>
      <c r="P3543" s="58" t="s">
        <v>59</v>
      </c>
      <c r="Q3543" s="58" t="s">
        <v>113</v>
      </c>
      <c r="R3543" s="58" t="s">
        <v>272</v>
      </c>
    </row>
    <row r="3544" spans="1:18" ht="69" customHeight="1">
      <c r="A3544" s="168"/>
      <c r="B3544" s="178">
        <v>8875</v>
      </c>
      <c r="C3544" s="178" t="s">
        <v>9215</v>
      </c>
      <c r="D3544" s="575" t="s">
        <v>9219</v>
      </c>
      <c r="E3544" s="178" t="s">
        <v>741</v>
      </c>
      <c r="F3544" s="210" t="s">
        <v>9220</v>
      </c>
      <c r="G3544" s="58" t="s">
        <v>8341</v>
      </c>
      <c r="H3544" s="546">
        <v>11699.24</v>
      </c>
      <c r="I3544" s="66">
        <v>44981</v>
      </c>
      <c r="J3544" s="411" t="s">
        <v>9221</v>
      </c>
      <c r="K3544" s="58"/>
      <c r="L3544" s="99"/>
      <c r="M3544" s="70" t="s">
        <v>9213</v>
      </c>
      <c r="N3544" s="97" t="s">
        <v>741</v>
      </c>
      <c r="O3544" s="58"/>
      <c r="P3544" s="58" t="s">
        <v>59</v>
      </c>
      <c r="Q3544" s="58" t="s">
        <v>113</v>
      </c>
      <c r="R3544" s="58" t="s">
        <v>272</v>
      </c>
    </row>
    <row r="3545" spans="1:18" ht="69" customHeight="1">
      <c r="A3545" s="168"/>
      <c r="B3545" s="178">
        <v>8876</v>
      </c>
      <c r="C3545" s="178" t="s">
        <v>9215</v>
      </c>
      <c r="D3545" s="575" t="s">
        <v>3511</v>
      </c>
      <c r="E3545" s="178" t="s">
        <v>741</v>
      </c>
      <c r="F3545" s="210" t="s">
        <v>9222</v>
      </c>
      <c r="G3545" s="58" t="s">
        <v>8341</v>
      </c>
      <c r="H3545" s="546">
        <v>46796.959999999999</v>
      </c>
      <c r="I3545" s="66">
        <v>44981</v>
      </c>
      <c r="J3545" s="411" t="s">
        <v>9221</v>
      </c>
      <c r="K3545" s="58"/>
      <c r="L3545" s="99"/>
      <c r="M3545" s="70" t="s">
        <v>9213</v>
      </c>
      <c r="N3545" s="97" t="s">
        <v>741</v>
      </c>
      <c r="O3545" s="58"/>
      <c r="P3545" s="58" t="s">
        <v>59</v>
      </c>
      <c r="Q3545" s="58" t="s">
        <v>113</v>
      </c>
      <c r="R3545" s="58" t="s">
        <v>272</v>
      </c>
    </row>
    <row r="3546" spans="1:18" ht="69" customHeight="1">
      <c r="A3546" s="168"/>
      <c r="B3546" s="178">
        <v>8885</v>
      </c>
      <c r="C3546" s="178" t="s">
        <v>458</v>
      </c>
      <c r="D3546" s="575" t="s">
        <v>9223</v>
      </c>
      <c r="E3546" s="178" t="s">
        <v>6192</v>
      </c>
      <c r="F3546" s="210" t="s">
        <v>9224</v>
      </c>
      <c r="G3546" s="58" t="s">
        <v>7185</v>
      </c>
      <c r="H3546" s="546">
        <v>181084.47</v>
      </c>
      <c r="I3546" s="66">
        <v>44981</v>
      </c>
      <c r="J3546" s="411" t="s">
        <v>9225</v>
      </c>
      <c r="K3546" s="58" t="s">
        <v>9226</v>
      </c>
      <c r="L3546" s="99"/>
      <c r="M3546" s="70" t="s">
        <v>9193</v>
      </c>
      <c r="N3546" s="97" t="s">
        <v>414</v>
      </c>
      <c r="O3546" s="58"/>
      <c r="P3546" s="58" t="s">
        <v>22</v>
      </c>
      <c r="Q3546" s="58" t="s">
        <v>113</v>
      </c>
      <c r="R3546" s="58" t="s">
        <v>272</v>
      </c>
    </row>
    <row r="3547" spans="1:18" ht="69" customHeight="1">
      <c r="A3547" s="168"/>
      <c r="B3547" s="178">
        <v>8886</v>
      </c>
      <c r="C3547" s="178" t="s">
        <v>458</v>
      </c>
      <c r="D3547" s="575" t="s">
        <v>9227</v>
      </c>
      <c r="E3547" s="178" t="s">
        <v>6192</v>
      </c>
      <c r="F3547" s="210" t="s">
        <v>9228</v>
      </c>
      <c r="G3547" s="58" t="s">
        <v>7188</v>
      </c>
      <c r="H3547" s="546">
        <v>97507.03</v>
      </c>
      <c r="I3547" s="66">
        <v>44981</v>
      </c>
      <c r="J3547" s="411" t="s">
        <v>9225</v>
      </c>
      <c r="K3547" s="58" t="s">
        <v>9229</v>
      </c>
      <c r="L3547" s="99"/>
      <c r="M3547" s="70" t="s">
        <v>9193</v>
      </c>
      <c r="N3547" s="97" t="s">
        <v>414</v>
      </c>
      <c r="O3547" s="58"/>
      <c r="P3547" s="58" t="s">
        <v>22</v>
      </c>
      <c r="Q3547" s="58" t="s">
        <v>113</v>
      </c>
      <c r="R3547" s="58" t="s">
        <v>272</v>
      </c>
    </row>
    <row r="3548" spans="1:18" ht="69" customHeight="1">
      <c r="A3548" s="168"/>
      <c r="B3548" s="178">
        <v>8963</v>
      </c>
      <c r="C3548" s="178" t="s">
        <v>458</v>
      </c>
      <c r="D3548" s="575" t="s">
        <v>9230</v>
      </c>
      <c r="E3548" s="178" t="s">
        <v>7181</v>
      </c>
      <c r="F3548" s="210" t="s">
        <v>9231</v>
      </c>
      <c r="G3548" s="58" t="s">
        <v>7943</v>
      </c>
      <c r="H3548" s="546">
        <v>23374.080000000002</v>
      </c>
      <c r="I3548" s="66">
        <v>44988</v>
      </c>
      <c r="J3548" s="411" t="s">
        <v>9232</v>
      </c>
      <c r="K3548" s="58"/>
      <c r="L3548" s="99"/>
      <c r="M3548" s="70" t="s">
        <v>9233</v>
      </c>
      <c r="N3548" s="97" t="s">
        <v>414</v>
      </c>
      <c r="O3548" s="58"/>
      <c r="P3548" s="58" t="s">
        <v>22</v>
      </c>
      <c r="Q3548" s="58" t="s">
        <v>113</v>
      </c>
      <c r="R3548" s="58" t="s">
        <v>265</v>
      </c>
    </row>
    <row r="3549" spans="1:18" ht="69" customHeight="1">
      <c r="A3549" s="168"/>
      <c r="B3549" s="178">
        <v>8964</v>
      </c>
      <c r="C3549" s="178" t="s">
        <v>458</v>
      </c>
      <c r="D3549" s="575" t="s">
        <v>3099</v>
      </c>
      <c r="E3549" s="178" t="s">
        <v>7181</v>
      </c>
      <c r="F3549" s="210" t="s">
        <v>9234</v>
      </c>
      <c r="G3549" s="58" t="s">
        <v>6580</v>
      </c>
      <c r="H3549" s="546">
        <v>43055.44</v>
      </c>
      <c r="I3549" s="66">
        <v>44988</v>
      </c>
      <c r="J3549" s="411" t="s">
        <v>9232</v>
      </c>
      <c r="K3549" s="58"/>
      <c r="L3549" s="99"/>
      <c r="M3549" s="70" t="s">
        <v>9233</v>
      </c>
      <c r="N3549" s="97" t="s">
        <v>414</v>
      </c>
      <c r="O3549" s="58"/>
      <c r="P3549" s="58" t="s">
        <v>22</v>
      </c>
      <c r="Q3549" s="58" t="s">
        <v>113</v>
      </c>
      <c r="R3549" s="58" t="s">
        <v>265</v>
      </c>
    </row>
    <row r="3550" spans="1:18" ht="69" customHeight="1">
      <c r="A3550" s="168"/>
      <c r="B3550" s="178">
        <v>9052</v>
      </c>
      <c r="C3550" s="178" t="s">
        <v>9215</v>
      </c>
      <c r="D3550" s="575" t="s">
        <v>6699</v>
      </c>
      <c r="E3550" s="178" t="s">
        <v>741</v>
      </c>
      <c r="F3550" s="210" t="s">
        <v>9235</v>
      </c>
      <c r="G3550" s="58" t="s">
        <v>7706</v>
      </c>
      <c r="H3550" s="546">
        <v>29691.02</v>
      </c>
      <c r="I3550" s="66">
        <v>45001</v>
      </c>
      <c r="J3550" s="411" t="s">
        <v>9236</v>
      </c>
      <c r="K3550" s="58"/>
      <c r="L3550" s="99"/>
      <c r="M3550" s="70" t="s">
        <v>9213</v>
      </c>
      <c r="N3550" s="97" t="s">
        <v>741</v>
      </c>
      <c r="O3550" s="58"/>
      <c r="P3550" s="58" t="s">
        <v>59</v>
      </c>
      <c r="Q3550" s="58" t="s">
        <v>113</v>
      </c>
      <c r="R3550" s="58" t="s">
        <v>272</v>
      </c>
    </row>
    <row r="3551" spans="1:18" ht="69" customHeight="1">
      <c r="A3551" s="168"/>
      <c r="B3551" s="178">
        <v>9053</v>
      </c>
      <c r="C3551" s="178" t="s">
        <v>9215</v>
      </c>
      <c r="D3551" s="575" t="s">
        <v>6516</v>
      </c>
      <c r="E3551" s="178" t="s">
        <v>741</v>
      </c>
      <c r="F3551" s="210" t="s">
        <v>9237</v>
      </c>
      <c r="G3551" s="58" t="s">
        <v>7706</v>
      </c>
      <c r="H3551" s="546">
        <v>118764.06</v>
      </c>
      <c r="I3551" s="66">
        <v>45001</v>
      </c>
      <c r="J3551" s="411" t="s">
        <v>9236</v>
      </c>
      <c r="K3551" s="58"/>
      <c r="L3551" s="99"/>
      <c r="M3551" s="70" t="s">
        <v>9213</v>
      </c>
      <c r="N3551" s="97" t="s">
        <v>741</v>
      </c>
      <c r="O3551" s="58"/>
      <c r="P3551" s="58" t="s">
        <v>59</v>
      </c>
      <c r="Q3551" s="58" t="s">
        <v>113</v>
      </c>
      <c r="R3551" s="58" t="s">
        <v>272</v>
      </c>
    </row>
    <row r="3552" spans="1:18" ht="69" customHeight="1">
      <c r="A3552" s="168"/>
      <c r="B3552" s="178">
        <v>9343</v>
      </c>
      <c r="C3552" s="178" t="s">
        <v>458</v>
      </c>
      <c r="D3552" s="575" t="s">
        <v>2151</v>
      </c>
      <c r="E3552" s="178" t="s">
        <v>7181</v>
      </c>
      <c r="F3552" s="210" t="s">
        <v>9238</v>
      </c>
      <c r="G3552" s="58" t="s">
        <v>4082</v>
      </c>
      <c r="H3552" s="546">
        <v>46000</v>
      </c>
      <c r="I3552" s="66">
        <v>45021</v>
      </c>
      <c r="J3552" s="411" t="s">
        <v>9239</v>
      </c>
      <c r="K3552" s="58"/>
      <c r="L3552" s="99"/>
      <c r="M3552" s="70" t="s">
        <v>9233</v>
      </c>
      <c r="N3552" s="97" t="s">
        <v>414</v>
      </c>
      <c r="O3552" s="58"/>
      <c r="P3552" s="58" t="s">
        <v>22</v>
      </c>
      <c r="Q3552" s="58" t="s">
        <v>113</v>
      </c>
      <c r="R3552" s="58" t="s">
        <v>265</v>
      </c>
    </row>
    <row r="3553" spans="1:18" ht="69" customHeight="1">
      <c r="A3553" s="168"/>
      <c r="B3553" s="178">
        <v>9410</v>
      </c>
      <c r="C3553" s="178" t="s">
        <v>9215</v>
      </c>
      <c r="D3553" s="575" t="s">
        <v>6530</v>
      </c>
      <c r="E3553" s="178" t="s">
        <v>741</v>
      </c>
      <c r="F3553" s="210" t="s">
        <v>9240</v>
      </c>
      <c r="G3553" s="58" t="s">
        <v>7728</v>
      </c>
      <c r="H3553" s="546">
        <v>68605.94</v>
      </c>
      <c r="I3553" s="66" t="s">
        <v>96</v>
      </c>
      <c r="J3553" s="411" t="s">
        <v>9241</v>
      </c>
      <c r="K3553" s="58"/>
      <c r="L3553" s="99"/>
      <c r="M3553" s="70" t="s">
        <v>9213</v>
      </c>
      <c r="N3553" s="97" t="s">
        <v>741</v>
      </c>
      <c r="O3553" s="58"/>
      <c r="P3553" s="58" t="s">
        <v>59</v>
      </c>
      <c r="Q3553" s="58" t="s">
        <v>113</v>
      </c>
      <c r="R3553" s="58" t="s">
        <v>272</v>
      </c>
    </row>
    <row r="3554" spans="1:18" ht="69" customHeight="1">
      <c r="A3554" s="168"/>
      <c r="B3554" s="178">
        <v>9411</v>
      </c>
      <c r="C3554" s="178" t="s">
        <v>9215</v>
      </c>
      <c r="D3554" s="575" t="s">
        <v>1401</v>
      </c>
      <c r="E3554" s="178" t="s">
        <v>741</v>
      </c>
      <c r="F3554" s="210" t="s">
        <v>9242</v>
      </c>
      <c r="G3554" s="58" t="s">
        <v>7728</v>
      </c>
      <c r="H3554" s="546">
        <v>274423.77</v>
      </c>
      <c r="I3554" s="66" t="s">
        <v>96</v>
      </c>
      <c r="J3554" s="411" t="s">
        <v>9241</v>
      </c>
      <c r="K3554" s="58"/>
      <c r="L3554" s="99"/>
      <c r="M3554" s="70" t="s">
        <v>9213</v>
      </c>
      <c r="N3554" s="97" t="s">
        <v>741</v>
      </c>
      <c r="O3554" s="58"/>
      <c r="P3554" s="58" t="s">
        <v>59</v>
      </c>
      <c r="Q3554" s="58" t="s">
        <v>113</v>
      </c>
      <c r="R3554" s="58" t="s">
        <v>272</v>
      </c>
    </row>
    <row r="3555" spans="1:18" ht="69" customHeight="1">
      <c r="A3555" s="168"/>
      <c r="B3555" s="178">
        <v>9353</v>
      </c>
      <c r="C3555" s="178" t="s">
        <v>458</v>
      </c>
      <c r="D3555" s="575" t="s">
        <v>2699</v>
      </c>
      <c r="E3555" s="178" t="s">
        <v>6192</v>
      </c>
      <c r="F3555" s="210" t="s">
        <v>9243</v>
      </c>
      <c r="G3555" s="58" t="s">
        <v>9244</v>
      </c>
      <c r="H3555" s="546">
        <v>75919.88</v>
      </c>
      <c r="I3555" s="66">
        <v>45009</v>
      </c>
      <c r="J3555" s="411" t="s">
        <v>9245</v>
      </c>
      <c r="K3555" s="58"/>
      <c r="L3555" s="99"/>
      <c r="M3555" s="70" t="s">
        <v>9193</v>
      </c>
      <c r="N3555" s="97" t="s">
        <v>414</v>
      </c>
      <c r="O3555" s="58"/>
      <c r="P3555" s="58" t="s">
        <v>22</v>
      </c>
      <c r="Q3555" s="58" t="s">
        <v>113</v>
      </c>
      <c r="R3555" s="58" t="s">
        <v>272</v>
      </c>
    </row>
    <row r="3556" spans="1:18" ht="69" customHeight="1">
      <c r="A3556" s="168"/>
      <c r="B3556" s="178">
        <v>9354</v>
      </c>
      <c r="C3556" s="178" t="s">
        <v>458</v>
      </c>
      <c r="D3556" s="575" t="s">
        <v>9246</v>
      </c>
      <c r="E3556" s="178" t="s">
        <v>6192</v>
      </c>
      <c r="F3556" s="210" t="s">
        <v>9247</v>
      </c>
      <c r="G3556" s="58" t="s">
        <v>7199</v>
      </c>
      <c r="H3556" s="546">
        <v>40879.949999999997</v>
      </c>
      <c r="I3556" s="66">
        <v>45009</v>
      </c>
      <c r="J3556" s="411" t="s">
        <v>9245</v>
      </c>
      <c r="K3556" s="58"/>
      <c r="L3556" s="99"/>
      <c r="M3556" s="70" t="s">
        <v>9193</v>
      </c>
      <c r="N3556" s="97" t="s">
        <v>414</v>
      </c>
      <c r="O3556" s="58"/>
      <c r="P3556" s="58" t="s">
        <v>22</v>
      </c>
      <c r="Q3556" s="58" t="s">
        <v>113</v>
      </c>
      <c r="R3556" s="58" t="s">
        <v>272</v>
      </c>
    </row>
    <row r="3557" spans="1:18" ht="69" customHeight="1">
      <c r="A3557" s="168"/>
      <c r="B3557" s="178">
        <v>9849</v>
      </c>
      <c r="C3557" s="178" t="s">
        <v>458</v>
      </c>
      <c r="D3557" s="575" t="s">
        <v>2640</v>
      </c>
      <c r="E3557" s="178" t="s">
        <v>6192</v>
      </c>
      <c r="F3557" s="210" t="s">
        <v>9248</v>
      </c>
      <c r="G3557" s="58" t="s">
        <v>7221</v>
      </c>
      <c r="H3557" s="546">
        <v>146088.35</v>
      </c>
      <c r="I3557" s="66">
        <v>45033</v>
      </c>
      <c r="J3557" s="411" t="s">
        <v>7966</v>
      </c>
      <c r="K3557" s="567"/>
      <c r="L3557" s="99"/>
      <c r="M3557" s="70" t="s">
        <v>9193</v>
      </c>
      <c r="N3557" s="97" t="s">
        <v>414</v>
      </c>
      <c r="O3557" s="58"/>
      <c r="P3557" s="58" t="s">
        <v>22</v>
      </c>
      <c r="Q3557" s="58" t="s">
        <v>113</v>
      </c>
      <c r="R3557" s="58" t="s">
        <v>272</v>
      </c>
    </row>
    <row r="3558" spans="1:18" ht="69" customHeight="1">
      <c r="A3558" s="168"/>
      <c r="B3558" s="178">
        <v>9850</v>
      </c>
      <c r="C3558" s="178" t="s">
        <v>458</v>
      </c>
      <c r="D3558" s="575" t="s">
        <v>9249</v>
      </c>
      <c r="E3558" s="178" t="s">
        <v>6192</v>
      </c>
      <c r="F3558" s="210" t="s">
        <v>9250</v>
      </c>
      <c r="G3558" s="58" t="s">
        <v>7225</v>
      </c>
      <c r="H3558" s="546">
        <v>78662.960000000006</v>
      </c>
      <c r="I3558" s="66">
        <v>45033</v>
      </c>
      <c r="J3558" s="411" t="s">
        <v>7966</v>
      </c>
      <c r="K3558" s="58"/>
      <c r="L3558" s="99"/>
      <c r="M3558" s="70" t="s">
        <v>9193</v>
      </c>
      <c r="N3558" s="97" t="s">
        <v>414</v>
      </c>
      <c r="O3558" s="58"/>
      <c r="P3558" s="58" t="s">
        <v>22</v>
      </c>
      <c r="Q3558" s="58" t="s">
        <v>113</v>
      </c>
      <c r="R3558" s="58" t="s">
        <v>272</v>
      </c>
    </row>
    <row r="3559" spans="1:18" ht="69" customHeight="1">
      <c r="A3559" s="168"/>
      <c r="B3559" s="600">
        <v>6607</v>
      </c>
      <c r="C3559" s="600" t="s">
        <v>3667</v>
      </c>
      <c r="D3559" s="601" t="s">
        <v>9251</v>
      </c>
      <c r="E3559" s="600" t="s">
        <v>5708</v>
      </c>
      <c r="F3559" s="602" t="s">
        <v>9252</v>
      </c>
      <c r="G3559" s="460" t="s">
        <v>5710</v>
      </c>
      <c r="H3559" s="605">
        <v>179960.92</v>
      </c>
      <c r="I3559" s="461">
        <v>44816</v>
      </c>
      <c r="J3559" s="603" t="s">
        <v>9253</v>
      </c>
      <c r="K3559" s="58"/>
      <c r="L3559" s="99"/>
      <c r="M3559" s="70" t="s">
        <v>5849</v>
      </c>
      <c r="N3559" s="97" t="s">
        <v>414</v>
      </c>
      <c r="O3559" s="58" t="s">
        <v>5713</v>
      </c>
      <c r="P3559" s="58" t="s">
        <v>24</v>
      </c>
      <c r="Q3559" s="58" t="s">
        <v>68</v>
      </c>
      <c r="R3559" s="58" t="s">
        <v>265</v>
      </c>
    </row>
    <row r="3560" spans="1:18" ht="69" customHeight="1">
      <c r="A3560" s="168"/>
      <c r="B3560" s="600">
        <v>6613</v>
      </c>
      <c r="C3560" s="600" t="s">
        <v>3667</v>
      </c>
      <c r="D3560" s="601" t="s">
        <v>7473</v>
      </c>
      <c r="E3560" s="600" t="s">
        <v>5708</v>
      </c>
      <c r="F3560" s="602" t="s">
        <v>9254</v>
      </c>
      <c r="G3560" s="460" t="s">
        <v>5710</v>
      </c>
      <c r="H3560" s="605">
        <v>325544.32000000001</v>
      </c>
      <c r="I3560" s="461">
        <v>44820</v>
      </c>
      <c r="J3560" s="603" t="s">
        <v>9253</v>
      </c>
      <c r="K3560" s="58"/>
      <c r="L3560" s="99"/>
      <c r="M3560" s="70" t="s">
        <v>5849</v>
      </c>
      <c r="N3560" s="97" t="s">
        <v>414</v>
      </c>
      <c r="O3560" s="58" t="s">
        <v>5713</v>
      </c>
      <c r="P3560" s="58" t="s">
        <v>24</v>
      </c>
      <c r="Q3560" s="58" t="s">
        <v>68</v>
      </c>
      <c r="R3560" s="58" t="s">
        <v>265</v>
      </c>
    </row>
    <row r="3561" spans="1:18" ht="69" customHeight="1">
      <c r="A3561" s="168"/>
      <c r="B3561" s="178">
        <v>9862</v>
      </c>
      <c r="C3561" s="178" t="s">
        <v>458</v>
      </c>
      <c r="D3561" s="575" t="s">
        <v>1233</v>
      </c>
      <c r="E3561" s="178" t="s">
        <v>7181</v>
      </c>
      <c r="F3561" s="210" t="s">
        <v>9255</v>
      </c>
      <c r="G3561" s="58" t="s">
        <v>4115</v>
      </c>
      <c r="H3561" s="546">
        <v>43055.44</v>
      </c>
      <c r="I3561" s="66">
        <v>45041</v>
      </c>
      <c r="J3561" s="411" t="s">
        <v>7203</v>
      </c>
      <c r="K3561" s="58"/>
      <c r="L3561" s="99"/>
      <c r="M3561" s="70" t="s">
        <v>9233</v>
      </c>
      <c r="N3561" s="97" t="s">
        <v>414</v>
      </c>
      <c r="O3561" s="58"/>
      <c r="P3561" s="58" t="s">
        <v>22</v>
      </c>
      <c r="Q3561" s="58" t="s">
        <v>113</v>
      </c>
      <c r="R3561" s="58" t="s">
        <v>265</v>
      </c>
    </row>
    <row r="3562" spans="1:18" ht="69" customHeight="1">
      <c r="A3562" s="168"/>
      <c r="B3562" s="178">
        <v>9837</v>
      </c>
      <c r="C3562" s="178" t="s">
        <v>458</v>
      </c>
      <c r="D3562" s="575" t="s">
        <v>1162</v>
      </c>
      <c r="E3562" s="178" t="s">
        <v>358</v>
      </c>
      <c r="F3562" s="210" t="s">
        <v>9256</v>
      </c>
      <c r="G3562" s="58" t="s">
        <v>9257</v>
      </c>
      <c r="H3562" s="546">
        <v>350000</v>
      </c>
      <c r="I3562" s="66">
        <v>45041</v>
      </c>
      <c r="J3562" s="411" t="s">
        <v>4713</v>
      </c>
      <c r="K3562" s="58"/>
      <c r="L3562" s="99"/>
      <c r="M3562" s="70" t="s">
        <v>9151</v>
      </c>
      <c r="N3562" s="97" t="s">
        <v>356</v>
      </c>
      <c r="O3562" s="58" t="s">
        <v>141</v>
      </c>
      <c r="P3562" s="58" t="s">
        <v>19</v>
      </c>
      <c r="Q3562" s="58" t="s">
        <v>113</v>
      </c>
      <c r="R3562" s="58" t="s">
        <v>272</v>
      </c>
    </row>
    <row r="3563" spans="1:18" ht="69" customHeight="1">
      <c r="A3563" s="168"/>
      <c r="B3563" s="178">
        <v>9766</v>
      </c>
      <c r="C3563" s="178" t="s">
        <v>458</v>
      </c>
      <c r="D3563" s="575" t="s">
        <v>1634</v>
      </c>
      <c r="E3563" s="178" t="s">
        <v>7181</v>
      </c>
      <c r="F3563" s="210" t="s">
        <v>9258</v>
      </c>
      <c r="G3563" s="58" t="s">
        <v>597</v>
      </c>
      <c r="H3563" s="546">
        <v>36411.5</v>
      </c>
      <c r="I3563" s="66">
        <v>45041</v>
      </c>
      <c r="J3563" s="411" t="s">
        <v>9259</v>
      </c>
      <c r="K3563" s="58"/>
      <c r="L3563" s="99"/>
      <c r="M3563" s="70" t="s">
        <v>9233</v>
      </c>
      <c r="N3563" s="97" t="s">
        <v>414</v>
      </c>
      <c r="O3563" s="58"/>
      <c r="P3563" s="58" t="s">
        <v>22</v>
      </c>
      <c r="Q3563" s="58" t="s">
        <v>113</v>
      </c>
      <c r="R3563" s="58" t="s">
        <v>265</v>
      </c>
    </row>
    <row r="3564" spans="1:18" ht="69" customHeight="1">
      <c r="A3564" s="168"/>
      <c r="B3564" s="191">
        <v>1376</v>
      </c>
      <c r="C3564" s="191" t="s">
        <v>3667</v>
      </c>
      <c r="D3564" s="533" t="s">
        <v>9260</v>
      </c>
      <c r="E3564" s="191" t="s">
        <v>6226</v>
      </c>
      <c r="F3564" s="211" t="s">
        <v>9261</v>
      </c>
      <c r="G3564" s="46" t="s">
        <v>9262</v>
      </c>
      <c r="H3564" s="534">
        <v>12021.58</v>
      </c>
      <c r="I3564" s="56">
        <v>45112</v>
      </c>
      <c r="J3564" s="412" t="s">
        <v>9263</v>
      </c>
      <c r="K3564" s="535" t="s">
        <v>9209</v>
      </c>
      <c r="L3564" s="99"/>
      <c r="M3564" s="70" t="s">
        <v>9193</v>
      </c>
      <c r="N3564" s="97" t="s">
        <v>414</v>
      </c>
      <c r="O3564" s="46" t="s">
        <v>4116</v>
      </c>
      <c r="P3564" s="46" t="s">
        <v>71</v>
      </c>
      <c r="Q3564" s="46" t="s">
        <v>76</v>
      </c>
      <c r="R3564" s="46" t="s">
        <v>272</v>
      </c>
    </row>
    <row r="3565" spans="1:18" ht="69" customHeight="1">
      <c r="A3565" s="168"/>
      <c r="B3565" s="191">
        <v>9932</v>
      </c>
      <c r="C3565" s="191" t="s">
        <v>3667</v>
      </c>
      <c r="D3565" s="533" t="s">
        <v>9264</v>
      </c>
      <c r="E3565" s="191" t="s">
        <v>266</v>
      </c>
      <c r="F3565" s="211" t="s">
        <v>6633</v>
      </c>
      <c r="G3565" s="46" t="s">
        <v>6465</v>
      </c>
      <c r="H3565" s="534">
        <v>38537.31</v>
      </c>
      <c r="I3565" s="56">
        <v>45061</v>
      </c>
      <c r="J3565" s="412" t="s">
        <v>6466</v>
      </c>
      <c r="K3565" s="535" t="s">
        <v>9209</v>
      </c>
      <c r="L3565" s="99"/>
      <c r="M3565" s="70" t="s">
        <v>9193</v>
      </c>
      <c r="N3565" s="97" t="s">
        <v>414</v>
      </c>
      <c r="O3565" s="46" t="s">
        <v>206</v>
      </c>
      <c r="P3565" s="46" t="s">
        <v>65</v>
      </c>
      <c r="Q3565" s="46" t="s">
        <v>76</v>
      </c>
      <c r="R3565" s="46" t="s">
        <v>272</v>
      </c>
    </row>
    <row r="3566" spans="1:18" ht="69" customHeight="1">
      <c r="A3566" s="168"/>
      <c r="B3566" s="178">
        <v>9855</v>
      </c>
      <c r="C3566" s="178" t="s">
        <v>9215</v>
      </c>
      <c r="D3566" s="575" t="s">
        <v>6356</v>
      </c>
      <c r="E3566" s="178" t="s">
        <v>741</v>
      </c>
      <c r="F3566" s="210" t="s">
        <v>9265</v>
      </c>
      <c r="G3566" s="58" t="s">
        <v>7755</v>
      </c>
      <c r="H3566" s="546">
        <v>83720.789999999994</v>
      </c>
      <c r="I3566" s="66">
        <v>45033</v>
      </c>
      <c r="J3566" s="411" t="s">
        <v>7750</v>
      </c>
      <c r="K3566" s="58"/>
      <c r="L3566" s="99"/>
      <c r="M3566" s="70" t="s">
        <v>9213</v>
      </c>
      <c r="N3566" s="97" t="s">
        <v>741</v>
      </c>
      <c r="O3566" s="58"/>
      <c r="P3566" s="58" t="s">
        <v>59</v>
      </c>
      <c r="Q3566" s="58" t="s">
        <v>113</v>
      </c>
      <c r="R3566" s="58" t="s">
        <v>272</v>
      </c>
    </row>
    <row r="3567" spans="1:18" ht="69" customHeight="1">
      <c r="A3567" s="168"/>
      <c r="B3567" s="178">
        <v>9856</v>
      </c>
      <c r="C3567" s="178" t="s">
        <v>9215</v>
      </c>
      <c r="D3567" s="575" t="s">
        <v>584</v>
      </c>
      <c r="E3567" s="178" t="s">
        <v>741</v>
      </c>
      <c r="F3567" s="210" t="s">
        <v>9266</v>
      </c>
      <c r="G3567" s="58" t="s">
        <v>7755</v>
      </c>
      <c r="H3567" s="546">
        <v>334883.18</v>
      </c>
      <c r="I3567" s="66">
        <v>45033</v>
      </c>
      <c r="J3567" s="411" t="s">
        <v>7750</v>
      </c>
      <c r="K3567" s="58"/>
      <c r="L3567" s="99"/>
      <c r="M3567" s="70" t="s">
        <v>9213</v>
      </c>
      <c r="N3567" s="97" t="s">
        <v>741</v>
      </c>
      <c r="O3567" s="58"/>
      <c r="P3567" s="58" t="s">
        <v>59</v>
      </c>
      <c r="Q3567" s="58" t="s">
        <v>113</v>
      </c>
      <c r="R3567" s="58" t="s">
        <v>272</v>
      </c>
    </row>
    <row r="3568" spans="1:18" ht="69" customHeight="1">
      <c r="A3568" s="168"/>
      <c r="B3568" s="207">
        <v>9862</v>
      </c>
      <c r="C3568" s="256" t="s">
        <v>458</v>
      </c>
      <c r="D3568" s="299" t="s">
        <v>1233</v>
      </c>
      <c r="E3568" s="256" t="s">
        <v>7181</v>
      </c>
      <c r="F3568" s="263" t="s">
        <v>9255</v>
      </c>
      <c r="G3568" s="118" t="s">
        <v>4115</v>
      </c>
      <c r="H3568" s="300">
        <v>0</v>
      </c>
      <c r="I3568" s="262">
        <v>45041</v>
      </c>
      <c r="J3568" s="409" t="s">
        <v>7203</v>
      </c>
      <c r="K3568" s="118" t="s">
        <v>9267</v>
      </c>
      <c r="L3568" s="99"/>
      <c r="M3568" s="70" t="s">
        <v>9233</v>
      </c>
      <c r="N3568" s="97" t="s">
        <v>414</v>
      </c>
      <c r="O3568" s="46" t="s">
        <v>1171</v>
      </c>
      <c r="P3568" s="118" t="s">
        <v>67</v>
      </c>
      <c r="Q3568" s="160" t="s">
        <v>113</v>
      </c>
      <c r="R3568" s="160" t="s">
        <v>265</v>
      </c>
    </row>
    <row r="3569" spans="1:18" ht="69" customHeight="1">
      <c r="A3569" s="168"/>
      <c r="B3569" s="178">
        <v>9854</v>
      </c>
      <c r="C3569" s="178" t="s">
        <v>458</v>
      </c>
      <c r="D3569" s="575" t="s">
        <v>3318</v>
      </c>
      <c r="E3569" s="178" t="s">
        <v>7181</v>
      </c>
      <c r="F3569" s="210" t="s">
        <v>9268</v>
      </c>
      <c r="G3569" s="58" t="s">
        <v>5225</v>
      </c>
      <c r="H3569" s="546">
        <v>38600</v>
      </c>
      <c r="I3569" s="66">
        <v>45051</v>
      </c>
      <c r="J3569" s="411" t="s">
        <v>7218</v>
      </c>
      <c r="K3569" s="58"/>
      <c r="L3569" s="99"/>
      <c r="M3569" s="70" t="s">
        <v>9233</v>
      </c>
      <c r="N3569" s="97" t="s">
        <v>414</v>
      </c>
      <c r="O3569" s="58"/>
      <c r="P3569" s="58" t="s">
        <v>22</v>
      </c>
      <c r="Q3569" s="58" t="s">
        <v>113</v>
      </c>
      <c r="R3569" s="58" t="s">
        <v>265</v>
      </c>
    </row>
    <row r="3570" spans="1:18" ht="69" customHeight="1">
      <c r="A3570" s="168"/>
      <c r="B3570" s="178">
        <v>9882</v>
      </c>
      <c r="C3570" s="178" t="s">
        <v>458</v>
      </c>
      <c r="D3570" s="575" t="s">
        <v>4259</v>
      </c>
      <c r="E3570" s="178" t="s">
        <v>6192</v>
      </c>
      <c r="F3570" s="210" t="s">
        <v>9269</v>
      </c>
      <c r="G3570" s="58" t="s">
        <v>6636</v>
      </c>
      <c r="H3570" s="546">
        <v>146575.67999999999</v>
      </c>
      <c r="I3570" s="66">
        <v>45044</v>
      </c>
      <c r="J3570" s="411" t="s">
        <v>7797</v>
      </c>
      <c r="K3570" s="58"/>
      <c r="L3570" s="99"/>
      <c r="M3570" s="70" t="s">
        <v>9193</v>
      </c>
      <c r="N3570" s="97" t="s">
        <v>414</v>
      </c>
      <c r="O3570" s="58"/>
      <c r="P3570" s="58" t="s">
        <v>22</v>
      </c>
      <c r="Q3570" s="58" t="s">
        <v>113</v>
      </c>
      <c r="R3570" s="58" t="s">
        <v>272</v>
      </c>
    </row>
    <row r="3571" spans="1:18" ht="69" customHeight="1">
      <c r="A3571" s="168"/>
      <c r="B3571" s="178">
        <v>9883</v>
      </c>
      <c r="C3571" s="178" t="s">
        <v>458</v>
      </c>
      <c r="D3571" s="575" t="s">
        <v>2879</v>
      </c>
      <c r="E3571" s="178" t="s">
        <v>6192</v>
      </c>
      <c r="F3571" s="210" t="s">
        <v>9270</v>
      </c>
      <c r="G3571" s="58" t="s">
        <v>6641</v>
      </c>
      <c r="H3571" s="546">
        <v>78925.38</v>
      </c>
      <c r="I3571" s="66">
        <v>45044</v>
      </c>
      <c r="J3571" s="411" t="s">
        <v>7797</v>
      </c>
      <c r="K3571" s="58"/>
      <c r="L3571" s="99"/>
      <c r="M3571" s="70" t="s">
        <v>9193</v>
      </c>
      <c r="N3571" s="97" t="s">
        <v>414</v>
      </c>
      <c r="O3571" s="58"/>
      <c r="P3571" s="58" t="s">
        <v>22</v>
      </c>
      <c r="Q3571" s="58" t="s">
        <v>113</v>
      </c>
      <c r="R3571" s="58" t="s">
        <v>272</v>
      </c>
    </row>
    <row r="3572" spans="1:18" ht="69" customHeight="1">
      <c r="A3572" s="168"/>
      <c r="B3572" s="178">
        <v>9896</v>
      </c>
      <c r="C3572" s="178" t="s">
        <v>9215</v>
      </c>
      <c r="D3572" s="575" t="s">
        <v>2397</v>
      </c>
      <c r="E3572" s="178" t="s">
        <v>741</v>
      </c>
      <c r="F3572" s="210" t="s">
        <v>9271</v>
      </c>
      <c r="G3572" s="58" t="s">
        <v>7752</v>
      </c>
      <c r="H3572" s="546">
        <v>60200.9</v>
      </c>
      <c r="I3572" s="66">
        <v>45044</v>
      </c>
      <c r="J3572" s="411" t="s">
        <v>9272</v>
      </c>
      <c r="K3572" s="58"/>
      <c r="L3572" s="99"/>
      <c r="M3572" s="70" t="s">
        <v>9213</v>
      </c>
      <c r="N3572" s="97" t="s">
        <v>741</v>
      </c>
      <c r="O3572" s="58"/>
      <c r="P3572" s="58" t="s">
        <v>59</v>
      </c>
      <c r="Q3572" s="58" t="s">
        <v>113</v>
      </c>
      <c r="R3572" s="58" t="s">
        <v>272</v>
      </c>
    </row>
    <row r="3573" spans="1:18" ht="69" customHeight="1">
      <c r="A3573" s="168"/>
      <c r="B3573" s="178">
        <v>9897</v>
      </c>
      <c r="C3573" s="178" t="s">
        <v>9215</v>
      </c>
      <c r="D3573" s="575" t="s">
        <v>2652</v>
      </c>
      <c r="E3573" s="178" t="s">
        <v>741</v>
      </c>
      <c r="F3573" s="210" t="s">
        <v>9273</v>
      </c>
      <c r="G3573" s="58" t="s">
        <v>7752</v>
      </c>
      <c r="H3573" s="546">
        <v>240803.61</v>
      </c>
      <c r="I3573" s="66">
        <v>45044</v>
      </c>
      <c r="J3573" s="411" t="s">
        <v>9272</v>
      </c>
      <c r="K3573" s="58"/>
      <c r="L3573" s="99"/>
      <c r="M3573" s="70" t="s">
        <v>9213</v>
      </c>
      <c r="N3573" s="97" t="s">
        <v>741</v>
      </c>
      <c r="O3573" s="58"/>
      <c r="P3573" s="58" t="s">
        <v>59</v>
      </c>
      <c r="Q3573" s="58" t="s">
        <v>113</v>
      </c>
      <c r="R3573" s="58" t="s">
        <v>272</v>
      </c>
    </row>
    <row r="3574" spans="1:18" ht="69" customHeight="1">
      <c r="A3574" s="168"/>
      <c r="B3574" s="178">
        <v>9916</v>
      </c>
      <c r="C3574" s="178" t="s">
        <v>458</v>
      </c>
      <c r="D3574" s="575" t="s">
        <v>3322</v>
      </c>
      <c r="E3574" s="210" t="s">
        <v>7181</v>
      </c>
      <c r="F3574" s="210" t="s">
        <v>9274</v>
      </c>
      <c r="G3574" s="58" t="s">
        <v>5225</v>
      </c>
      <c r="H3574" s="546">
        <v>38587.31</v>
      </c>
      <c r="I3574" s="66">
        <v>45061</v>
      </c>
      <c r="J3574" s="411" t="s">
        <v>7805</v>
      </c>
      <c r="K3574" s="58"/>
      <c r="L3574" s="99"/>
      <c r="M3574" s="384" t="s">
        <v>9233</v>
      </c>
      <c r="N3574" s="106" t="s">
        <v>414</v>
      </c>
      <c r="O3574" s="58"/>
      <c r="P3574" s="58" t="s">
        <v>22</v>
      </c>
      <c r="Q3574" s="58" t="s">
        <v>113</v>
      </c>
      <c r="R3574" s="58" t="s">
        <v>265</v>
      </c>
    </row>
    <row r="3575" spans="1:18" ht="69" customHeight="1">
      <c r="A3575" s="168"/>
      <c r="B3575" s="178"/>
      <c r="C3575" s="178" t="s">
        <v>458</v>
      </c>
      <c r="D3575" s="575"/>
      <c r="E3575" s="178" t="s">
        <v>266</v>
      </c>
      <c r="F3575" s="210" t="s">
        <v>9275</v>
      </c>
      <c r="G3575" s="58"/>
      <c r="H3575" s="546">
        <v>1388.33</v>
      </c>
      <c r="I3575" s="66">
        <v>44456</v>
      </c>
      <c r="J3575" s="411" t="s">
        <v>7235</v>
      </c>
      <c r="K3575" s="58"/>
      <c r="L3575" s="99"/>
      <c r="M3575" s="70" t="s">
        <v>9276</v>
      </c>
      <c r="N3575" s="97" t="s">
        <v>270</v>
      </c>
      <c r="O3575" s="58"/>
      <c r="P3575" s="58" t="s">
        <v>44</v>
      </c>
      <c r="Q3575" s="58" t="s">
        <v>114</v>
      </c>
      <c r="R3575" s="58" t="s">
        <v>272</v>
      </c>
    </row>
    <row r="3576" spans="1:18" ht="69" customHeight="1">
      <c r="A3576" s="168"/>
      <c r="B3576" s="207" t="s">
        <v>9277</v>
      </c>
      <c r="C3576" s="207" t="s">
        <v>458</v>
      </c>
      <c r="D3576" s="301"/>
      <c r="E3576" s="207" t="s">
        <v>350</v>
      </c>
      <c r="F3576" s="208" t="s">
        <v>9278</v>
      </c>
      <c r="G3576" s="160" t="s">
        <v>7080</v>
      </c>
      <c r="H3576" s="300">
        <v>5362.8</v>
      </c>
      <c r="I3576" s="209" t="s">
        <v>96</v>
      </c>
      <c r="J3576" s="322" t="s">
        <v>7081</v>
      </c>
      <c r="K3576" s="160" t="s">
        <v>727</v>
      </c>
      <c r="M3576" s="379"/>
      <c r="N3576" s="76" t="s">
        <v>356</v>
      </c>
      <c r="O3576" s="160" t="s">
        <v>141</v>
      </c>
      <c r="P3576" s="160" t="s">
        <v>67</v>
      </c>
      <c r="Q3576" s="160" t="s">
        <v>114</v>
      </c>
      <c r="R3576" s="160" t="s">
        <v>272</v>
      </c>
    </row>
    <row r="3577" spans="1:18" ht="69" customHeight="1">
      <c r="A3577" s="168"/>
      <c r="B3577" s="178">
        <v>2945</v>
      </c>
      <c r="C3577" s="178" t="s">
        <v>458</v>
      </c>
      <c r="D3577" s="575" t="s">
        <v>4418</v>
      </c>
      <c r="E3577" s="178" t="s">
        <v>350</v>
      </c>
      <c r="F3577" s="210" t="s">
        <v>3882</v>
      </c>
      <c r="G3577" s="58" t="s">
        <v>352</v>
      </c>
      <c r="H3577" s="546">
        <v>348384.02</v>
      </c>
      <c r="I3577" s="66">
        <v>44606</v>
      </c>
      <c r="J3577" s="411" t="s">
        <v>9279</v>
      </c>
      <c r="K3577" s="58" t="s">
        <v>9280</v>
      </c>
      <c r="L3577" s="99"/>
      <c r="M3577" s="70" t="s">
        <v>3789</v>
      </c>
      <c r="N3577" s="97" t="s">
        <v>356</v>
      </c>
      <c r="O3577" s="58" t="s">
        <v>141</v>
      </c>
      <c r="P3577" s="58" t="s">
        <v>19</v>
      </c>
      <c r="Q3577" s="58" t="s">
        <v>114</v>
      </c>
      <c r="R3577" s="58" t="s">
        <v>265</v>
      </c>
    </row>
    <row r="3578" spans="1:18" ht="69" customHeight="1">
      <c r="A3578" s="168"/>
      <c r="B3578" s="191">
        <v>2983</v>
      </c>
      <c r="C3578" s="191" t="s">
        <v>3643</v>
      </c>
      <c r="D3578" s="533" t="s">
        <v>2240</v>
      </c>
      <c r="E3578" s="191" t="s">
        <v>331</v>
      </c>
      <c r="F3578" s="211" t="s">
        <v>9281</v>
      </c>
      <c r="G3578" s="46" t="s">
        <v>4416</v>
      </c>
      <c r="H3578" s="534">
        <v>0</v>
      </c>
      <c r="I3578" s="56" t="s">
        <v>96</v>
      </c>
      <c r="J3578" s="412" t="s">
        <v>334</v>
      </c>
      <c r="K3578" s="46"/>
      <c r="L3578" s="99"/>
      <c r="M3578" s="379"/>
      <c r="N3578" s="76" t="s">
        <v>69</v>
      </c>
      <c r="O3578" s="46"/>
      <c r="P3578" s="46" t="s">
        <v>69</v>
      </c>
      <c r="Q3578" s="46" t="s">
        <v>114</v>
      </c>
      <c r="R3578" s="46" t="s">
        <v>272</v>
      </c>
    </row>
    <row r="3579" spans="1:18" ht="69" customHeight="1">
      <c r="A3579" s="168"/>
      <c r="B3579" s="191">
        <v>3007</v>
      </c>
      <c r="C3579" s="191" t="s">
        <v>458</v>
      </c>
      <c r="D3579" s="533" t="s">
        <v>2240</v>
      </c>
      <c r="E3579" s="191" t="s">
        <v>331</v>
      </c>
      <c r="F3579" s="211" t="s">
        <v>9281</v>
      </c>
      <c r="G3579" s="46" t="s">
        <v>4416</v>
      </c>
      <c r="H3579" s="534">
        <v>0</v>
      </c>
      <c r="I3579" s="56" t="s">
        <v>96</v>
      </c>
      <c r="J3579" s="412" t="s">
        <v>334</v>
      </c>
      <c r="K3579" s="46"/>
      <c r="L3579" s="99"/>
      <c r="M3579" s="379"/>
      <c r="N3579" s="76" t="s">
        <v>69</v>
      </c>
      <c r="O3579" s="46"/>
      <c r="P3579" s="46" t="s">
        <v>69</v>
      </c>
      <c r="Q3579" s="46" t="s">
        <v>114</v>
      </c>
      <c r="R3579" s="46" t="s">
        <v>272</v>
      </c>
    </row>
    <row r="3580" spans="1:18" ht="69" customHeight="1">
      <c r="A3580" s="168"/>
      <c r="B3580" s="178">
        <v>4415</v>
      </c>
      <c r="C3580" s="178" t="s">
        <v>458</v>
      </c>
      <c r="D3580" s="575"/>
      <c r="E3580" s="178" t="s">
        <v>358</v>
      </c>
      <c r="F3580" s="210" t="s">
        <v>9282</v>
      </c>
      <c r="G3580" s="58"/>
      <c r="H3580" s="546">
        <v>5362.8</v>
      </c>
      <c r="I3580" s="66">
        <v>44508</v>
      </c>
      <c r="J3580" s="411" t="s">
        <v>294</v>
      </c>
      <c r="K3580" s="58" t="s">
        <v>9280</v>
      </c>
      <c r="L3580" s="99"/>
      <c r="M3580" s="70" t="s">
        <v>9283</v>
      </c>
      <c r="N3580" s="97" t="s">
        <v>356</v>
      </c>
      <c r="O3580" s="58" t="s">
        <v>141</v>
      </c>
      <c r="P3580" s="58" t="s">
        <v>19</v>
      </c>
      <c r="Q3580" s="58" t="s">
        <v>114</v>
      </c>
      <c r="R3580" s="58" t="s">
        <v>272</v>
      </c>
    </row>
    <row r="3581" spans="1:18" ht="69" customHeight="1">
      <c r="A3581" s="168"/>
      <c r="B3581" s="178">
        <v>4499</v>
      </c>
      <c r="C3581" s="59" t="s">
        <v>3667</v>
      </c>
      <c r="D3581" s="575" t="s">
        <v>8035</v>
      </c>
      <c r="E3581" s="178" t="s">
        <v>266</v>
      </c>
      <c r="F3581" s="210" t="s">
        <v>9284</v>
      </c>
      <c r="G3581" s="58" t="s">
        <v>9285</v>
      </c>
      <c r="H3581" s="546">
        <v>10558</v>
      </c>
      <c r="I3581" s="66">
        <v>44672</v>
      </c>
      <c r="J3581" s="411" t="s">
        <v>9286</v>
      </c>
      <c r="K3581" s="58"/>
      <c r="L3581" s="99"/>
      <c r="M3581" s="70" t="s">
        <v>9276</v>
      </c>
      <c r="N3581" s="97" t="s">
        <v>270</v>
      </c>
      <c r="O3581" s="58"/>
      <c r="P3581" s="58" t="s">
        <v>44</v>
      </c>
      <c r="Q3581" s="58" t="s">
        <v>114</v>
      </c>
      <c r="R3581" s="58" t="s">
        <v>272</v>
      </c>
    </row>
    <row r="3582" spans="1:18" ht="69" customHeight="1">
      <c r="A3582" s="168"/>
      <c r="B3582" s="178">
        <v>4726</v>
      </c>
      <c r="C3582" s="178" t="s">
        <v>458</v>
      </c>
      <c r="D3582" s="575" t="s">
        <v>2209</v>
      </c>
      <c r="E3582" s="178" t="s">
        <v>331</v>
      </c>
      <c r="F3582" s="210" t="s">
        <v>9287</v>
      </c>
      <c r="G3582" s="58"/>
      <c r="H3582" s="546">
        <v>3389.12</v>
      </c>
      <c r="I3582" s="66">
        <v>44678</v>
      </c>
      <c r="J3582" s="411" t="s">
        <v>9288</v>
      </c>
      <c r="K3582" s="58"/>
      <c r="L3582" s="99"/>
      <c r="M3582" s="70" t="s">
        <v>9276</v>
      </c>
      <c r="N3582" s="97" t="s">
        <v>270</v>
      </c>
      <c r="O3582" s="58"/>
      <c r="P3582" s="58" t="s">
        <v>44</v>
      </c>
      <c r="Q3582" s="58" t="s">
        <v>114</v>
      </c>
      <c r="R3582" s="58" t="s">
        <v>272</v>
      </c>
    </row>
    <row r="3583" spans="1:18" ht="69" customHeight="1">
      <c r="A3583" s="168"/>
      <c r="B3583" s="178">
        <v>4767</v>
      </c>
      <c r="C3583" s="178" t="s">
        <v>458</v>
      </c>
      <c r="D3583" s="575" t="s">
        <v>3411</v>
      </c>
      <c r="E3583" s="178" t="s">
        <v>358</v>
      </c>
      <c r="F3583" s="210" t="s">
        <v>9289</v>
      </c>
      <c r="G3583" s="58" t="s">
        <v>529</v>
      </c>
      <c r="H3583" s="546">
        <v>94393.16</v>
      </c>
      <c r="I3583" s="66">
        <v>44680</v>
      </c>
      <c r="J3583" s="411" t="s">
        <v>9290</v>
      </c>
      <c r="K3583" s="58" t="s">
        <v>9280</v>
      </c>
      <c r="L3583" s="99"/>
      <c r="M3583" s="70" t="s">
        <v>9283</v>
      </c>
      <c r="N3583" s="97" t="s">
        <v>356</v>
      </c>
      <c r="O3583" s="58" t="s">
        <v>141</v>
      </c>
      <c r="P3583" s="58" t="s">
        <v>19</v>
      </c>
      <c r="Q3583" s="58" t="s">
        <v>114</v>
      </c>
      <c r="R3583" s="58" t="s">
        <v>272</v>
      </c>
    </row>
    <row r="3584" spans="1:18" ht="69" customHeight="1">
      <c r="A3584" s="168"/>
      <c r="B3584" s="178">
        <v>4200</v>
      </c>
      <c r="C3584" s="178" t="s">
        <v>458</v>
      </c>
      <c r="D3584" s="575" t="s">
        <v>5566</v>
      </c>
      <c r="E3584" s="178" t="s">
        <v>266</v>
      </c>
      <c r="F3584" s="210" t="s">
        <v>9291</v>
      </c>
      <c r="G3584" s="58" t="s">
        <v>376</v>
      </c>
      <c r="H3584" s="546">
        <v>6911.76</v>
      </c>
      <c r="I3584" s="66">
        <v>44697</v>
      </c>
      <c r="J3584" s="411" t="s">
        <v>9292</v>
      </c>
      <c r="K3584" s="58"/>
      <c r="L3584" s="99"/>
      <c r="M3584" s="70" t="s">
        <v>9276</v>
      </c>
      <c r="N3584" s="97" t="s">
        <v>270</v>
      </c>
      <c r="O3584" s="58"/>
      <c r="P3584" s="58" t="s">
        <v>44</v>
      </c>
      <c r="Q3584" s="58" t="s">
        <v>114</v>
      </c>
      <c r="R3584" s="58" t="s">
        <v>272</v>
      </c>
    </row>
    <row r="3585" spans="1:18" ht="69" customHeight="1">
      <c r="A3585" s="168"/>
      <c r="B3585" s="178">
        <v>4887</v>
      </c>
      <c r="C3585" s="59" t="s">
        <v>3667</v>
      </c>
      <c r="D3585" s="575" t="s">
        <v>7133</v>
      </c>
      <c r="E3585" s="178" t="s">
        <v>266</v>
      </c>
      <c r="F3585" s="210" t="s">
        <v>9293</v>
      </c>
      <c r="G3585" s="58" t="s">
        <v>9285</v>
      </c>
      <c r="H3585" s="546">
        <v>8470.4</v>
      </c>
      <c r="I3585" s="66">
        <v>44698</v>
      </c>
      <c r="J3585" s="411" t="s">
        <v>9294</v>
      </c>
      <c r="K3585" s="58"/>
      <c r="L3585" s="99"/>
      <c r="M3585" s="70" t="s">
        <v>9276</v>
      </c>
      <c r="N3585" s="97" t="s">
        <v>270</v>
      </c>
      <c r="O3585" s="58"/>
      <c r="P3585" s="58" t="s">
        <v>44</v>
      </c>
      <c r="Q3585" s="58" t="s">
        <v>114</v>
      </c>
      <c r="R3585" s="58" t="s">
        <v>272</v>
      </c>
    </row>
    <row r="3586" spans="1:18" ht="69" customHeight="1">
      <c r="A3586" s="168"/>
      <c r="B3586" s="178">
        <v>4887</v>
      </c>
      <c r="C3586" s="59" t="s">
        <v>3667</v>
      </c>
      <c r="D3586" s="575" t="s">
        <v>8542</v>
      </c>
      <c r="E3586" s="178" t="s">
        <v>266</v>
      </c>
      <c r="F3586" s="210" t="s">
        <v>9295</v>
      </c>
      <c r="G3586" s="58" t="s">
        <v>9285</v>
      </c>
      <c r="H3586" s="546">
        <v>8470.4</v>
      </c>
      <c r="I3586" s="66">
        <v>44698</v>
      </c>
      <c r="J3586" s="411" t="s">
        <v>9294</v>
      </c>
      <c r="K3586" s="58"/>
      <c r="L3586" s="99"/>
      <c r="M3586" s="70" t="s">
        <v>9276</v>
      </c>
      <c r="N3586" s="97" t="s">
        <v>270</v>
      </c>
      <c r="O3586" s="58"/>
      <c r="P3586" s="58" t="s">
        <v>44</v>
      </c>
      <c r="Q3586" s="58" t="s">
        <v>114</v>
      </c>
      <c r="R3586" s="58" t="s">
        <v>272</v>
      </c>
    </row>
    <row r="3587" spans="1:18" ht="69" customHeight="1">
      <c r="A3587" s="168"/>
      <c r="B3587" s="178">
        <v>4863</v>
      </c>
      <c r="C3587" s="178" t="s">
        <v>458</v>
      </c>
      <c r="D3587" s="575" t="s">
        <v>5761</v>
      </c>
      <c r="E3587" s="178" t="s">
        <v>266</v>
      </c>
      <c r="F3587" s="210" t="s">
        <v>9296</v>
      </c>
      <c r="G3587" s="58" t="s">
        <v>680</v>
      </c>
      <c r="H3587" s="546">
        <v>6206.9</v>
      </c>
      <c r="I3587" s="66">
        <v>44706</v>
      </c>
      <c r="J3587" s="411" t="s">
        <v>9297</v>
      </c>
      <c r="K3587" s="58"/>
      <c r="L3587" s="99"/>
      <c r="M3587" s="70" t="s">
        <v>9298</v>
      </c>
      <c r="N3587" s="97" t="s">
        <v>683</v>
      </c>
      <c r="O3587" s="58" t="s">
        <v>149</v>
      </c>
      <c r="P3587" s="58" t="s">
        <v>46</v>
      </c>
      <c r="Q3587" s="58" t="s">
        <v>108</v>
      </c>
      <c r="R3587" s="58" t="s">
        <v>272</v>
      </c>
    </row>
    <row r="3588" spans="1:18" ht="69" customHeight="1">
      <c r="A3588" s="168"/>
      <c r="B3588" s="178">
        <v>4726</v>
      </c>
      <c r="C3588" s="178" t="s">
        <v>458</v>
      </c>
      <c r="D3588" s="575" t="s">
        <v>3472</v>
      </c>
      <c r="E3588" s="178" t="s">
        <v>331</v>
      </c>
      <c r="F3588" s="210" t="s">
        <v>9299</v>
      </c>
      <c r="G3588" s="58" t="s">
        <v>372</v>
      </c>
      <c r="H3588" s="546">
        <v>30502.1</v>
      </c>
      <c r="I3588" s="66">
        <v>44701</v>
      </c>
      <c r="J3588" s="411" t="s">
        <v>9300</v>
      </c>
      <c r="K3588" s="58"/>
      <c r="L3588" s="99"/>
      <c r="M3588" s="70" t="s">
        <v>9276</v>
      </c>
      <c r="N3588" s="97" t="s">
        <v>270</v>
      </c>
      <c r="O3588" s="58"/>
      <c r="P3588" s="58" t="s">
        <v>44</v>
      </c>
      <c r="Q3588" s="58" t="s">
        <v>114</v>
      </c>
      <c r="R3588" s="58" t="s">
        <v>272</v>
      </c>
    </row>
    <row r="3589" spans="1:18" ht="69" customHeight="1">
      <c r="A3589" s="168"/>
      <c r="B3589" s="178">
        <v>4995</v>
      </c>
      <c r="C3589" s="59" t="s">
        <v>3667</v>
      </c>
      <c r="D3589" s="575" t="s">
        <v>8693</v>
      </c>
      <c r="E3589" s="178" t="s">
        <v>266</v>
      </c>
      <c r="F3589" s="210" t="s">
        <v>9301</v>
      </c>
      <c r="G3589" s="58" t="s">
        <v>9285</v>
      </c>
      <c r="H3589" s="546">
        <v>2117.6</v>
      </c>
      <c r="I3589" s="66">
        <v>44728</v>
      </c>
      <c r="J3589" s="411" t="s">
        <v>9302</v>
      </c>
      <c r="K3589" s="58"/>
      <c r="L3589" s="99"/>
      <c r="M3589" s="70" t="s">
        <v>9276</v>
      </c>
      <c r="N3589" s="97" t="s">
        <v>270</v>
      </c>
      <c r="O3589" s="58"/>
      <c r="P3589" s="58" t="s">
        <v>44</v>
      </c>
      <c r="Q3589" s="58" t="s">
        <v>114</v>
      </c>
      <c r="R3589" s="58" t="s">
        <v>272</v>
      </c>
    </row>
    <row r="3590" spans="1:18" ht="69" customHeight="1">
      <c r="A3590" s="168"/>
      <c r="B3590" s="178">
        <v>4996</v>
      </c>
      <c r="C3590" s="178" t="s">
        <v>458</v>
      </c>
      <c r="D3590" s="575" t="s">
        <v>3683</v>
      </c>
      <c r="E3590" s="178" t="s">
        <v>382</v>
      </c>
      <c r="F3590" s="210" t="s">
        <v>9303</v>
      </c>
      <c r="G3590" s="58" t="s">
        <v>384</v>
      </c>
      <c r="H3590" s="546">
        <v>27761.33</v>
      </c>
      <c r="I3590" s="66">
        <v>44736</v>
      </c>
      <c r="J3590" s="411" t="s">
        <v>9304</v>
      </c>
      <c r="K3590" s="58"/>
      <c r="L3590" s="99"/>
      <c r="M3590" s="70" t="s">
        <v>9305</v>
      </c>
      <c r="N3590" s="97" t="s">
        <v>387</v>
      </c>
      <c r="O3590" s="45" t="s">
        <v>150</v>
      </c>
      <c r="P3590" s="58" t="s">
        <v>51</v>
      </c>
      <c r="Q3590" s="58" t="s">
        <v>114</v>
      </c>
      <c r="R3590" s="58" t="s">
        <v>272</v>
      </c>
    </row>
    <row r="3591" spans="1:18" ht="69" customHeight="1">
      <c r="A3591" s="168"/>
      <c r="B3591" s="178">
        <v>4997</v>
      </c>
      <c r="C3591" s="178" t="s">
        <v>458</v>
      </c>
      <c r="D3591" s="575" t="s">
        <v>653</v>
      </c>
      <c r="E3591" s="178" t="s">
        <v>382</v>
      </c>
      <c r="F3591" s="210" t="s">
        <v>9306</v>
      </c>
      <c r="G3591" s="58" t="s">
        <v>384</v>
      </c>
      <c r="H3591" s="546">
        <v>39819.519999999997</v>
      </c>
      <c r="I3591" s="66">
        <v>44736</v>
      </c>
      <c r="J3591" s="411" t="s">
        <v>9307</v>
      </c>
      <c r="K3591" s="58"/>
      <c r="L3591" s="99"/>
      <c r="M3591" s="70" t="s">
        <v>9305</v>
      </c>
      <c r="N3591" s="97" t="s">
        <v>387</v>
      </c>
      <c r="O3591" s="45" t="s">
        <v>150</v>
      </c>
      <c r="P3591" s="58" t="s">
        <v>51</v>
      </c>
      <c r="Q3591" s="58" t="s">
        <v>114</v>
      </c>
      <c r="R3591" s="58" t="s">
        <v>272</v>
      </c>
    </row>
    <row r="3592" spans="1:18" ht="69" customHeight="1">
      <c r="A3592" s="168"/>
      <c r="B3592" s="178">
        <v>5144</v>
      </c>
      <c r="C3592" s="178" t="s">
        <v>458</v>
      </c>
      <c r="D3592" s="575" t="s">
        <v>2721</v>
      </c>
      <c r="E3592" s="178" t="s">
        <v>350</v>
      </c>
      <c r="F3592" s="210" t="s">
        <v>3882</v>
      </c>
      <c r="G3592" s="58" t="s">
        <v>352</v>
      </c>
      <c r="H3592" s="546">
        <v>0</v>
      </c>
      <c r="I3592" s="66">
        <v>44742</v>
      </c>
      <c r="J3592" s="411" t="s">
        <v>3883</v>
      </c>
      <c r="K3592" s="58" t="s">
        <v>9280</v>
      </c>
      <c r="L3592" s="99"/>
      <c r="M3592" s="70" t="s">
        <v>3789</v>
      </c>
      <c r="N3592" s="97" t="s">
        <v>356</v>
      </c>
      <c r="O3592" s="58" t="s">
        <v>141</v>
      </c>
      <c r="P3592" s="58" t="s">
        <v>19</v>
      </c>
      <c r="Q3592" s="58" t="s">
        <v>114</v>
      </c>
      <c r="R3592" s="58" t="s">
        <v>265</v>
      </c>
    </row>
    <row r="3593" spans="1:18" ht="69" customHeight="1">
      <c r="A3593" s="168"/>
      <c r="B3593" s="178">
        <v>6277</v>
      </c>
      <c r="C3593" s="178" t="s">
        <v>458</v>
      </c>
      <c r="D3593" s="575" t="s">
        <v>1285</v>
      </c>
      <c r="E3593" s="178" t="s">
        <v>350</v>
      </c>
      <c r="F3593" s="210" t="s">
        <v>9308</v>
      </c>
      <c r="G3593" s="58" t="s">
        <v>352</v>
      </c>
      <c r="H3593" s="546">
        <v>129916</v>
      </c>
      <c r="I3593" s="66">
        <v>44751</v>
      </c>
      <c r="J3593" s="411" t="s">
        <v>9309</v>
      </c>
      <c r="K3593" s="58" t="s">
        <v>9280</v>
      </c>
      <c r="L3593" s="99"/>
      <c r="M3593" s="70" t="s">
        <v>3789</v>
      </c>
      <c r="N3593" s="97" t="s">
        <v>356</v>
      </c>
      <c r="O3593" s="58" t="s">
        <v>141</v>
      </c>
      <c r="P3593" s="58" t="s">
        <v>19</v>
      </c>
      <c r="Q3593" s="58" t="s">
        <v>114</v>
      </c>
      <c r="R3593" s="58" t="s">
        <v>265</v>
      </c>
    </row>
    <row r="3594" spans="1:18" ht="69" customHeight="1">
      <c r="A3594" s="168"/>
      <c r="B3594" s="178">
        <v>6010</v>
      </c>
      <c r="C3594" s="178" t="s">
        <v>458</v>
      </c>
      <c r="D3594" s="575" t="s">
        <v>527</v>
      </c>
      <c r="E3594" s="178" t="s">
        <v>350</v>
      </c>
      <c r="F3594" s="210" t="s">
        <v>9310</v>
      </c>
      <c r="G3594" s="58" t="s">
        <v>352</v>
      </c>
      <c r="H3594" s="546">
        <v>24671.47</v>
      </c>
      <c r="I3594" s="66">
        <v>44768</v>
      </c>
      <c r="J3594" s="411" t="s">
        <v>9311</v>
      </c>
      <c r="K3594" s="58" t="s">
        <v>9280</v>
      </c>
      <c r="L3594" s="99"/>
      <c r="M3594" s="70" t="s">
        <v>3789</v>
      </c>
      <c r="N3594" s="97" t="s">
        <v>356</v>
      </c>
      <c r="O3594" s="58" t="s">
        <v>141</v>
      </c>
      <c r="P3594" s="58" t="s">
        <v>19</v>
      </c>
      <c r="Q3594" s="58" t="s">
        <v>114</v>
      </c>
      <c r="R3594" s="58" t="s">
        <v>265</v>
      </c>
    </row>
    <row r="3595" spans="1:18" ht="69" customHeight="1">
      <c r="A3595" s="168"/>
      <c r="B3595" s="178">
        <v>5344</v>
      </c>
      <c r="C3595" s="178" t="s">
        <v>458</v>
      </c>
      <c r="D3595" s="575" t="s">
        <v>1293</v>
      </c>
      <c r="E3595" s="178" t="s">
        <v>409</v>
      </c>
      <c r="F3595" s="210" t="s">
        <v>9312</v>
      </c>
      <c r="G3595" s="58" t="s">
        <v>712</v>
      </c>
      <c r="H3595" s="546">
        <v>3661670.62</v>
      </c>
      <c r="I3595" s="66">
        <v>44757</v>
      </c>
      <c r="J3595" s="411" t="s">
        <v>9313</v>
      </c>
      <c r="K3595" s="58" t="s">
        <v>3385</v>
      </c>
      <c r="L3595" s="99"/>
      <c r="M3595" s="70" t="s">
        <v>9314</v>
      </c>
      <c r="N3595" s="97" t="s">
        <v>716</v>
      </c>
      <c r="O3595" s="58" t="s">
        <v>1566</v>
      </c>
      <c r="P3595" s="58" t="s">
        <v>28</v>
      </c>
      <c r="Q3595" s="58" t="s">
        <v>114</v>
      </c>
      <c r="R3595" s="58" t="s">
        <v>272</v>
      </c>
    </row>
    <row r="3596" spans="1:18" ht="69" customHeight="1">
      <c r="A3596" s="168"/>
      <c r="B3596" s="171">
        <v>5360</v>
      </c>
      <c r="C3596" s="171" t="s">
        <v>458</v>
      </c>
      <c r="D3596" s="593" t="s">
        <v>2972</v>
      </c>
      <c r="E3596" s="171" t="s">
        <v>409</v>
      </c>
      <c r="F3596" s="594" t="s">
        <v>9315</v>
      </c>
      <c r="G3596" s="100" t="s">
        <v>725</v>
      </c>
      <c r="H3596" s="534">
        <v>0</v>
      </c>
      <c r="I3596" s="96">
        <v>44760</v>
      </c>
      <c r="J3596" s="595" t="s">
        <v>9316</v>
      </c>
      <c r="K3596" s="100"/>
      <c r="L3596" s="99"/>
      <c r="M3596" s="70" t="s">
        <v>9314</v>
      </c>
      <c r="N3596" s="97" t="s">
        <v>716</v>
      </c>
      <c r="O3596" s="100"/>
      <c r="P3596" s="100" t="s">
        <v>28</v>
      </c>
      <c r="Q3596" s="100" t="s">
        <v>114</v>
      </c>
      <c r="R3596" s="100" t="s">
        <v>272</v>
      </c>
    </row>
    <row r="3597" spans="1:18" ht="69" customHeight="1">
      <c r="A3597" s="168"/>
      <c r="B3597" s="178">
        <v>6133</v>
      </c>
      <c r="C3597" s="178" t="s">
        <v>458</v>
      </c>
      <c r="D3597" s="575" t="s">
        <v>5779</v>
      </c>
      <c r="E3597" s="178" t="s">
        <v>350</v>
      </c>
      <c r="F3597" s="210" t="s">
        <v>9317</v>
      </c>
      <c r="G3597" s="58" t="s">
        <v>352</v>
      </c>
      <c r="H3597" s="546">
        <v>2217.6</v>
      </c>
      <c r="I3597" s="66">
        <v>44784</v>
      </c>
      <c r="J3597" s="411" t="s">
        <v>9318</v>
      </c>
      <c r="K3597" s="58" t="s">
        <v>9319</v>
      </c>
      <c r="L3597" s="99"/>
      <c r="M3597" s="70" t="s">
        <v>3789</v>
      </c>
      <c r="N3597" s="97" t="s">
        <v>356</v>
      </c>
      <c r="O3597" s="58" t="s">
        <v>141</v>
      </c>
      <c r="P3597" s="58" t="s">
        <v>19</v>
      </c>
      <c r="Q3597" s="58" t="s">
        <v>114</v>
      </c>
      <c r="R3597" s="58" t="s">
        <v>265</v>
      </c>
    </row>
    <row r="3598" spans="1:18" ht="69" customHeight="1">
      <c r="A3598" s="168"/>
      <c r="B3598" s="178">
        <v>6096</v>
      </c>
      <c r="C3598" s="178" t="s">
        <v>458</v>
      </c>
      <c r="D3598" s="575" t="s">
        <v>6272</v>
      </c>
      <c r="E3598" s="178" t="s">
        <v>350</v>
      </c>
      <c r="F3598" s="210" t="s">
        <v>9320</v>
      </c>
      <c r="G3598" s="58" t="s">
        <v>352</v>
      </c>
      <c r="H3598" s="546">
        <v>105529.77</v>
      </c>
      <c r="I3598" s="66">
        <v>44781</v>
      </c>
      <c r="J3598" s="411" t="s">
        <v>9321</v>
      </c>
      <c r="K3598" s="58"/>
      <c r="L3598" s="99"/>
      <c r="M3598" s="70" t="s">
        <v>3789</v>
      </c>
      <c r="N3598" s="97" t="s">
        <v>356</v>
      </c>
      <c r="O3598" s="58" t="s">
        <v>141</v>
      </c>
      <c r="P3598" s="58" t="s">
        <v>19</v>
      </c>
      <c r="Q3598" s="58" t="s">
        <v>114</v>
      </c>
      <c r="R3598" s="58" t="s">
        <v>265</v>
      </c>
    </row>
    <row r="3599" spans="1:18" ht="69" customHeight="1">
      <c r="A3599" s="168"/>
      <c r="B3599" s="178">
        <v>5360</v>
      </c>
      <c r="C3599" s="178" t="s">
        <v>9322</v>
      </c>
      <c r="D3599" s="575" t="s">
        <v>5693</v>
      </c>
      <c r="E3599" s="178" t="s">
        <v>755</v>
      </c>
      <c r="F3599" s="210" t="s">
        <v>9323</v>
      </c>
      <c r="G3599" s="58" t="s">
        <v>725</v>
      </c>
      <c r="H3599" s="546">
        <v>1025267.77</v>
      </c>
      <c r="I3599" s="66">
        <v>44781</v>
      </c>
      <c r="J3599" s="411" t="s">
        <v>9316</v>
      </c>
      <c r="K3599" s="58" t="s">
        <v>4455</v>
      </c>
      <c r="L3599" s="99"/>
      <c r="M3599" s="70" t="s">
        <v>9314</v>
      </c>
      <c r="N3599" s="97" t="s">
        <v>716</v>
      </c>
      <c r="O3599" s="58"/>
      <c r="P3599" s="58" t="s">
        <v>28</v>
      </c>
      <c r="Q3599" s="58" t="s">
        <v>114</v>
      </c>
      <c r="R3599" s="58" t="s">
        <v>272</v>
      </c>
    </row>
    <row r="3600" spans="1:18" ht="69" customHeight="1">
      <c r="A3600" s="168"/>
      <c r="B3600" s="178">
        <v>6591</v>
      </c>
      <c r="C3600" s="178" t="s">
        <v>458</v>
      </c>
      <c r="D3600" s="575" t="s">
        <v>695</v>
      </c>
      <c r="E3600" s="178" t="s">
        <v>409</v>
      </c>
      <c r="F3600" s="210" t="s">
        <v>9324</v>
      </c>
      <c r="G3600" s="58" t="s">
        <v>738</v>
      </c>
      <c r="H3600" s="546">
        <v>218931.01</v>
      </c>
      <c r="I3600" s="66">
        <v>44813</v>
      </c>
      <c r="J3600" s="411" t="s">
        <v>9325</v>
      </c>
      <c r="K3600" s="58"/>
      <c r="L3600" s="99"/>
      <c r="M3600" s="70" t="s">
        <v>9326</v>
      </c>
      <c r="N3600" s="97" t="s">
        <v>741</v>
      </c>
      <c r="O3600" s="45" t="s">
        <v>154</v>
      </c>
      <c r="P3600" s="58" t="s">
        <v>59</v>
      </c>
      <c r="Q3600" s="58" t="s">
        <v>114</v>
      </c>
      <c r="R3600" s="58" t="s">
        <v>272</v>
      </c>
    </row>
    <row r="3601" spans="1:18" ht="69" customHeight="1">
      <c r="A3601" s="168"/>
      <c r="B3601" s="178">
        <v>6229</v>
      </c>
      <c r="C3601" s="178" t="s">
        <v>458</v>
      </c>
      <c r="D3601" s="575" t="s">
        <v>9327</v>
      </c>
      <c r="E3601" s="178" t="s">
        <v>755</v>
      </c>
      <c r="F3601" s="210" t="s">
        <v>9328</v>
      </c>
      <c r="G3601" s="58" t="s">
        <v>9329</v>
      </c>
      <c r="H3601" s="546">
        <v>439400.47</v>
      </c>
      <c r="I3601" s="66">
        <v>44788</v>
      </c>
      <c r="J3601" s="411" t="s">
        <v>9330</v>
      </c>
      <c r="K3601" s="58" t="s">
        <v>259</v>
      </c>
      <c r="L3601" s="99"/>
      <c r="M3601" s="70" t="s">
        <v>9314</v>
      </c>
      <c r="N3601" s="97" t="s">
        <v>716</v>
      </c>
      <c r="O3601" s="58"/>
      <c r="P3601" s="58" t="s">
        <v>28</v>
      </c>
      <c r="Q3601" s="58" t="s">
        <v>114</v>
      </c>
      <c r="R3601" s="58" t="s">
        <v>272</v>
      </c>
    </row>
    <row r="3602" spans="1:18" ht="69" customHeight="1">
      <c r="A3602" s="168"/>
      <c r="B3602" s="178">
        <v>6946</v>
      </c>
      <c r="C3602" s="178" t="s">
        <v>458</v>
      </c>
      <c r="D3602" s="575" t="s">
        <v>1349</v>
      </c>
      <c r="E3602" s="178" t="s">
        <v>409</v>
      </c>
      <c r="F3602" s="210" t="s">
        <v>9331</v>
      </c>
      <c r="G3602" s="58" t="s">
        <v>4638</v>
      </c>
      <c r="H3602" s="546">
        <v>510839.02</v>
      </c>
      <c r="I3602" s="66">
        <v>44844</v>
      </c>
      <c r="J3602" s="411" t="s">
        <v>3367</v>
      </c>
      <c r="K3602" s="58"/>
      <c r="L3602" s="99"/>
      <c r="M3602" s="70" t="s">
        <v>9326</v>
      </c>
      <c r="N3602" s="97" t="s">
        <v>741</v>
      </c>
      <c r="O3602" s="45" t="s">
        <v>154</v>
      </c>
      <c r="P3602" s="58" t="s">
        <v>59</v>
      </c>
      <c r="Q3602" s="58" t="s">
        <v>114</v>
      </c>
      <c r="R3602" s="58" t="s">
        <v>272</v>
      </c>
    </row>
    <row r="3603" spans="1:18" ht="69" customHeight="1">
      <c r="A3603" s="168"/>
      <c r="B3603" s="178">
        <v>6279</v>
      </c>
      <c r="C3603" s="178" t="s">
        <v>458</v>
      </c>
      <c r="D3603" s="575" t="s">
        <v>989</v>
      </c>
      <c r="E3603" s="178" t="s">
        <v>266</v>
      </c>
      <c r="F3603" s="210" t="s">
        <v>9332</v>
      </c>
      <c r="G3603" s="58" t="s">
        <v>790</v>
      </c>
      <c r="H3603" s="546">
        <v>2281.25</v>
      </c>
      <c r="I3603" s="66">
        <v>44834</v>
      </c>
      <c r="J3603" s="411" t="s">
        <v>9333</v>
      </c>
      <c r="K3603" s="58"/>
      <c r="L3603" s="99"/>
      <c r="M3603" s="70" t="s">
        <v>9298</v>
      </c>
      <c r="N3603" s="97" t="s">
        <v>683</v>
      </c>
      <c r="O3603" s="58" t="s">
        <v>149</v>
      </c>
      <c r="P3603" s="58" t="s">
        <v>46</v>
      </c>
      <c r="Q3603" s="58" t="s">
        <v>114</v>
      </c>
      <c r="R3603" s="58" t="s">
        <v>272</v>
      </c>
    </row>
    <row r="3604" spans="1:18" s="117" customFormat="1" ht="69" customHeight="1">
      <c r="A3604" s="168"/>
      <c r="B3604" s="178">
        <v>7352</v>
      </c>
      <c r="C3604" s="178" t="s">
        <v>9322</v>
      </c>
      <c r="D3604" s="575" t="s">
        <v>4459</v>
      </c>
      <c r="E3604" s="178" t="s">
        <v>755</v>
      </c>
      <c r="F3604" s="210" t="s">
        <v>9334</v>
      </c>
      <c r="G3604" s="58" t="s">
        <v>9335</v>
      </c>
      <c r="H3604" s="546">
        <v>1333825.48</v>
      </c>
      <c r="I3604" s="66">
        <v>44872</v>
      </c>
      <c r="J3604" s="411" t="s">
        <v>9336</v>
      </c>
      <c r="K3604" s="58" t="s">
        <v>4472</v>
      </c>
      <c r="L3604" s="99"/>
      <c r="M3604" s="70" t="s">
        <v>9314</v>
      </c>
      <c r="N3604" s="97" t="s">
        <v>716</v>
      </c>
      <c r="O3604" s="58"/>
      <c r="P3604" s="58" t="s">
        <v>28</v>
      </c>
      <c r="Q3604" s="58" t="s">
        <v>114</v>
      </c>
      <c r="R3604" s="58" t="s">
        <v>272</v>
      </c>
    </row>
    <row r="3605" spans="1:18" ht="69" customHeight="1">
      <c r="A3605" s="168"/>
      <c r="B3605" s="178">
        <v>7676</v>
      </c>
      <c r="C3605" s="178" t="s">
        <v>9322</v>
      </c>
      <c r="D3605" s="575" t="s">
        <v>9337</v>
      </c>
      <c r="E3605" s="178" t="s">
        <v>1372</v>
      </c>
      <c r="F3605" s="210" t="s">
        <v>9338</v>
      </c>
      <c r="G3605" s="58" t="s">
        <v>1374</v>
      </c>
      <c r="H3605" s="546">
        <v>49463.67</v>
      </c>
      <c r="I3605" s="66">
        <v>44900</v>
      </c>
      <c r="J3605" s="411" t="s">
        <v>1375</v>
      </c>
      <c r="K3605" s="58"/>
      <c r="L3605" s="99"/>
      <c r="M3605" s="70" t="s">
        <v>9339</v>
      </c>
      <c r="N3605" s="97" t="s">
        <v>1372</v>
      </c>
      <c r="O3605" s="45" t="s">
        <v>183</v>
      </c>
      <c r="P3605" s="58" t="s">
        <v>57</v>
      </c>
      <c r="Q3605" s="58" t="s">
        <v>114</v>
      </c>
      <c r="R3605" s="58" t="s">
        <v>272</v>
      </c>
    </row>
    <row r="3606" spans="1:18" ht="69" customHeight="1">
      <c r="A3606" s="168"/>
      <c r="B3606" s="178">
        <v>7712</v>
      </c>
      <c r="C3606" s="178" t="s">
        <v>458</v>
      </c>
      <c r="D3606" s="575" t="s">
        <v>2074</v>
      </c>
      <c r="E3606" s="178" t="s">
        <v>350</v>
      </c>
      <c r="F3606" s="210" t="s">
        <v>9340</v>
      </c>
      <c r="G3606" s="58" t="s">
        <v>805</v>
      </c>
      <c r="H3606" s="546">
        <v>118860</v>
      </c>
      <c r="I3606" s="66">
        <v>44908</v>
      </c>
      <c r="J3606" s="411" t="s">
        <v>806</v>
      </c>
      <c r="K3606" s="58"/>
      <c r="L3606" s="99"/>
      <c r="M3606" s="70" t="s">
        <v>3789</v>
      </c>
      <c r="N3606" s="97" t="s">
        <v>356</v>
      </c>
      <c r="O3606" s="58" t="s">
        <v>141</v>
      </c>
      <c r="P3606" s="58" t="s">
        <v>19</v>
      </c>
      <c r="Q3606" s="58" t="s">
        <v>114</v>
      </c>
      <c r="R3606" s="58" t="s">
        <v>265</v>
      </c>
    </row>
    <row r="3607" spans="1:18" ht="69" customHeight="1">
      <c r="A3607" s="168"/>
      <c r="B3607" s="178">
        <v>7424</v>
      </c>
      <c r="C3607" s="178" t="s">
        <v>9322</v>
      </c>
      <c r="D3607" s="575" t="s">
        <v>3506</v>
      </c>
      <c r="E3607" s="178" t="s">
        <v>809</v>
      </c>
      <c r="F3607" s="210" t="s">
        <v>9341</v>
      </c>
      <c r="G3607" s="58" t="s">
        <v>811</v>
      </c>
      <c r="H3607" s="546">
        <v>3999.8</v>
      </c>
      <c r="I3607" s="66">
        <v>44879</v>
      </c>
      <c r="J3607" s="411" t="s">
        <v>812</v>
      </c>
      <c r="K3607" s="58"/>
      <c r="L3607" s="99"/>
      <c r="M3607" s="70" t="s">
        <v>9342</v>
      </c>
      <c r="N3607" s="97" t="s">
        <v>814</v>
      </c>
      <c r="O3607" s="58"/>
      <c r="P3607" s="58" t="s">
        <v>36</v>
      </c>
      <c r="Q3607" s="58" t="s">
        <v>114</v>
      </c>
      <c r="R3607" s="58" t="s">
        <v>272</v>
      </c>
    </row>
    <row r="3608" spans="1:18" ht="69" customHeight="1">
      <c r="A3608" s="168"/>
      <c r="B3608" s="178">
        <v>8336</v>
      </c>
      <c r="C3608" s="178" t="s">
        <v>9322</v>
      </c>
      <c r="D3608" s="575" t="s">
        <v>1796</v>
      </c>
      <c r="E3608" s="178" t="s">
        <v>1372</v>
      </c>
      <c r="F3608" s="210" t="s">
        <v>9343</v>
      </c>
      <c r="G3608" s="58" t="s">
        <v>1388</v>
      </c>
      <c r="H3608" s="546">
        <v>102238.78</v>
      </c>
      <c r="I3608" s="66">
        <v>44923</v>
      </c>
      <c r="J3608" s="411" t="s">
        <v>1389</v>
      </c>
      <c r="K3608" s="58"/>
      <c r="L3608" s="99"/>
      <c r="M3608" s="70" t="s">
        <v>9339</v>
      </c>
      <c r="N3608" s="97" t="s">
        <v>1372</v>
      </c>
      <c r="O3608" s="45" t="s">
        <v>183</v>
      </c>
      <c r="P3608" s="58" t="s">
        <v>57</v>
      </c>
      <c r="Q3608" s="58" t="s">
        <v>114</v>
      </c>
      <c r="R3608" s="58" t="s">
        <v>272</v>
      </c>
    </row>
    <row r="3609" spans="1:18" ht="69" customHeight="1">
      <c r="A3609" s="168"/>
      <c r="B3609" s="178">
        <v>8701</v>
      </c>
      <c r="C3609" s="178" t="s">
        <v>458</v>
      </c>
      <c r="D3609" s="575" t="s">
        <v>1083</v>
      </c>
      <c r="E3609" s="178" t="s">
        <v>350</v>
      </c>
      <c r="F3609" s="210" t="s">
        <v>9344</v>
      </c>
      <c r="G3609" s="58" t="s">
        <v>9345</v>
      </c>
      <c r="H3609" s="546">
        <v>7500</v>
      </c>
      <c r="I3609" s="66">
        <v>44949</v>
      </c>
      <c r="J3609" s="411" t="s">
        <v>9346</v>
      </c>
      <c r="K3609" s="58"/>
      <c r="L3609" s="99"/>
      <c r="M3609" s="70" t="s">
        <v>3789</v>
      </c>
      <c r="N3609" s="97" t="s">
        <v>356</v>
      </c>
      <c r="O3609" s="58" t="s">
        <v>141</v>
      </c>
      <c r="P3609" s="58" t="s">
        <v>19</v>
      </c>
      <c r="Q3609" s="58" t="s">
        <v>114</v>
      </c>
      <c r="R3609" s="58" t="s">
        <v>265</v>
      </c>
    </row>
    <row r="3610" spans="1:18" ht="69" customHeight="1">
      <c r="A3610" s="168"/>
      <c r="B3610" s="178">
        <v>8549</v>
      </c>
      <c r="C3610" s="178" t="s">
        <v>9322</v>
      </c>
      <c r="D3610" s="575" t="s">
        <v>7969</v>
      </c>
      <c r="E3610" s="178" t="s">
        <v>1372</v>
      </c>
      <c r="F3610" s="210" t="s">
        <v>9347</v>
      </c>
      <c r="G3610" s="58" t="s">
        <v>1393</v>
      </c>
      <c r="H3610" s="546">
        <v>32785.199999999997</v>
      </c>
      <c r="I3610" s="66">
        <v>44942</v>
      </c>
      <c r="J3610" s="411" t="s">
        <v>9348</v>
      </c>
      <c r="K3610" s="58"/>
      <c r="L3610" s="99"/>
      <c r="M3610" s="70" t="s">
        <v>9339</v>
      </c>
      <c r="N3610" s="97" t="s">
        <v>1372</v>
      </c>
      <c r="O3610" s="45" t="s">
        <v>183</v>
      </c>
      <c r="P3610" s="58" t="s">
        <v>57</v>
      </c>
      <c r="Q3610" s="58" t="s">
        <v>114</v>
      </c>
      <c r="R3610" s="58" t="s">
        <v>272</v>
      </c>
    </row>
    <row r="3611" spans="1:18" ht="69" customHeight="1">
      <c r="A3611" s="168"/>
      <c r="B3611" s="178">
        <v>8660</v>
      </c>
      <c r="C3611" s="178" t="s">
        <v>9322</v>
      </c>
      <c r="D3611" s="575" t="s">
        <v>2333</v>
      </c>
      <c r="E3611" s="178" t="s">
        <v>809</v>
      </c>
      <c r="F3611" s="210" t="s">
        <v>9349</v>
      </c>
      <c r="G3611" s="58" t="s">
        <v>823</v>
      </c>
      <c r="H3611" s="546">
        <v>12000.1</v>
      </c>
      <c r="I3611" s="66">
        <v>44949</v>
      </c>
      <c r="J3611" s="411" t="s">
        <v>824</v>
      </c>
      <c r="K3611" s="58"/>
      <c r="L3611" s="99"/>
      <c r="M3611" s="70" t="s">
        <v>9342</v>
      </c>
      <c r="N3611" s="97" t="s">
        <v>814</v>
      </c>
      <c r="O3611" s="58" t="s">
        <v>8611</v>
      </c>
      <c r="P3611" s="58" t="s">
        <v>36</v>
      </c>
      <c r="Q3611" s="58" t="s">
        <v>114</v>
      </c>
      <c r="R3611" s="58" t="s">
        <v>272</v>
      </c>
    </row>
    <row r="3612" spans="1:18" ht="69" customHeight="1">
      <c r="A3612" s="168"/>
      <c r="B3612" s="178">
        <v>8697</v>
      </c>
      <c r="C3612" s="178" t="s">
        <v>9322</v>
      </c>
      <c r="D3612" s="575" t="s">
        <v>2804</v>
      </c>
      <c r="E3612" s="178" t="s">
        <v>1372</v>
      </c>
      <c r="F3612" s="210" t="s">
        <v>9350</v>
      </c>
      <c r="G3612" s="58" t="s">
        <v>1403</v>
      </c>
      <c r="H3612" s="546">
        <v>51636.69</v>
      </c>
      <c r="I3612" s="66">
        <v>44967</v>
      </c>
      <c r="J3612" s="411" t="s">
        <v>9351</v>
      </c>
      <c r="K3612" s="58"/>
      <c r="L3612" s="99"/>
      <c r="M3612" s="70" t="s">
        <v>9339</v>
      </c>
      <c r="N3612" s="97" t="s">
        <v>1372</v>
      </c>
      <c r="O3612" s="45" t="s">
        <v>183</v>
      </c>
      <c r="P3612" s="58" t="s">
        <v>57</v>
      </c>
      <c r="Q3612" s="58" t="s">
        <v>114</v>
      </c>
      <c r="R3612" s="58" t="s">
        <v>272</v>
      </c>
    </row>
    <row r="3613" spans="1:18" s="117" customFormat="1" ht="69" customHeight="1">
      <c r="A3613" s="168"/>
      <c r="B3613" s="178">
        <v>8832</v>
      </c>
      <c r="C3613" s="178" t="s">
        <v>9322</v>
      </c>
      <c r="D3613" s="575" t="s">
        <v>3052</v>
      </c>
      <c r="E3613" s="178" t="s">
        <v>755</v>
      </c>
      <c r="F3613" s="210" t="s">
        <v>9352</v>
      </c>
      <c r="G3613" s="58" t="s">
        <v>9353</v>
      </c>
      <c r="H3613" s="546">
        <v>1464668.25</v>
      </c>
      <c r="I3613" s="66">
        <v>44948</v>
      </c>
      <c r="J3613" s="411" t="s">
        <v>9354</v>
      </c>
      <c r="K3613" s="58"/>
      <c r="L3613" s="99"/>
      <c r="M3613" s="70" t="s">
        <v>9314</v>
      </c>
      <c r="N3613" s="97" t="s">
        <v>716</v>
      </c>
      <c r="O3613" s="58"/>
      <c r="P3613" s="58" t="s">
        <v>28</v>
      </c>
      <c r="Q3613" s="58" t="s">
        <v>114</v>
      </c>
      <c r="R3613" s="58" t="s">
        <v>272</v>
      </c>
    </row>
    <row r="3614" spans="1:18" ht="69" customHeight="1">
      <c r="A3614" s="168"/>
      <c r="B3614" s="178">
        <v>8917</v>
      </c>
      <c r="C3614" s="178" t="s">
        <v>9322</v>
      </c>
      <c r="D3614" s="575" t="s">
        <v>5024</v>
      </c>
      <c r="E3614" s="178" t="s">
        <v>741</v>
      </c>
      <c r="F3614" s="210" t="s">
        <v>9355</v>
      </c>
      <c r="G3614" s="58" t="s">
        <v>9356</v>
      </c>
      <c r="H3614" s="546">
        <v>109830.05</v>
      </c>
      <c r="I3614" s="66">
        <v>44984</v>
      </c>
      <c r="J3614" s="411" t="s">
        <v>9357</v>
      </c>
      <c r="K3614" s="58"/>
      <c r="L3614" s="99"/>
      <c r="M3614" s="70" t="s">
        <v>9326</v>
      </c>
      <c r="N3614" s="97" t="s">
        <v>741</v>
      </c>
      <c r="O3614" s="45" t="s">
        <v>183</v>
      </c>
      <c r="P3614" s="58" t="s">
        <v>57</v>
      </c>
      <c r="Q3614" s="58" t="s">
        <v>114</v>
      </c>
      <c r="R3614" s="58" t="s">
        <v>272</v>
      </c>
    </row>
    <row r="3615" spans="1:18" s="117" customFormat="1" ht="69" customHeight="1">
      <c r="A3615" s="168"/>
      <c r="B3615" s="178">
        <v>8934</v>
      </c>
      <c r="C3615" s="178" t="s">
        <v>9322</v>
      </c>
      <c r="D3615" s="575" t="s">
        <v>1391</v>
      </c>
      <c r="E3615" s="178" t="s">
        <v>755</v>
      </c>
      <c r="F3615" s="210" t="s">
        <v>9358</v>
      </c>
      <c r="G3615" s="58" t="s">
        <v>9359</v>
      </c>
      <c r="H3615" s="546">
        <v>130842.77</v>
      </c>
      <c r="I3615" s="66">
        <v>44986</v>
      </c>
      <c r="J3615" s="411" t="s">
        <v>9360</v>
      </c>
      <c r="K3615" s="58"/>
      <c r="L3615" s="99"/>
      <c r="M3615" s="70" t="s">
        <v>9314</v>
      </c>
      <c r="N3615" s="97" t="s">
        <v>716</v>
      </c>
      <c r="O3615" s="58"/>
      <c r="P3615" s="58" t="s">
        <v>28</v>
      </c>
      <c r="Q3615" s="58" t="s">
        <v>114</v>
      </c>
      <c r="R3615" s="58" t="s">
        <v>272</v>
      </c>
    </row>
    <row r="3616" spans="1:18" s="117" customFormat="1" ht="69" customHeight="1">
      <c r="A3616" s="168"/>
      <c r="B3616" s="178">
        <v>8940</v>
      </c>
      <c r="C3616" s="178" t="s">
        <v>9322</v>
      </c>
      <c r="D3616" s="575" t="s">
        <v>1193</v>
      </c>
      <c r="E3616" s="178" t="s">
        <v>755</v>
      </c>
      <c r="F3616" s="210" t="s">
        <v>9361</v>
      </c>
      <c r="G3616" s="58" t="s">
        <v>1419</v>
      </c>
      <c r="H3616" s="546">
        <v>190081.08</v>
      </c>
      <c r="I3616" s="66">
        <v>44986</v>
      </c>
      <c r="J3616" s="411" t="s">
        <v>9360</v>
      </c>
      <c r="K3616" s="58"/>
      <c r="L3616" s="99"/>
      <c r="M3616" s="70" t="s">
        <v>9314</v>
      </c>
      <c r="N3616" s="97" t="s">
        <v>716</v>
      </c>
      <c r="O3616" s="58"/>
      <c r="P3616" s="58" t="s">
        <v>28</v>
      </c>
      <c r="Q3616" s="58" t="s">
        <v>114</v>
      </c>
      <c r="R3616" s="58" t="s">
        <v>272</v>
      </c>
    </row>
    <row r="3617" spans="1:18" ht="69" customHeight="1">
      <c r="A3617" s="168"/>
      <c r="B3617" s="178">
        <v>8946</v>
      </c>
      <c r="C3617" s="178" t="s">
        <v>458</v>
      </c>
      <c r="D3617" s="575" t="s">
        <v>1883</v>
      </c>
      <c r="E3617" s="178" t="s">
        <v>877</v>
      </c>
      <c r="F3617" s="210" t="s">
        <v>9362</v>
      </c>
      <c r="G3617" s="58" t="s">
        <v>4678</v>
      </c>
      <c r="H3617" s="546">
        <v>323586.77</v>
      </c>
      <c r="I3617" s="66">
        <v>44988</v>
      </c>
      <c r="J3617" s="411" t="s">
        <v>4679</v>
      </c>
      <c r="K3617" s="58"/>
      <c r="L3617" s="99"/>
      <c r="M3617" s="70" t="s">
        <v>9326</v>
      </c>
      <c r="N3617" s="97" t="s">
        <v>741</v>
      </c>
      <c r="O3617" s="45" t="s">
        <v>154</v>
      </c>
      <c r="P3617" s="58" t="s">
        <v>59</v>
      </c>
      <c r="Q3617" s="58" t="s">
        <v>114</v>
      </c>
      <c r="R3617" s="58" t="s">
        <v>272</v>
      </c>
    </row>
    <row r="3618" spans="1:18" ht="69" customHeight="1">
      <c r="A3618" s="168"/>
      <c r="B3618" s="178">
        <v>8923</v>
      </c>
      <c r="C3618" s="178" t="s">
        <v>9322</v>
      </c>
      <c r="D3618" s="575" t="s">
        <v>2834</v>
      </c>
      <c r="E3618" s="178" t="s">
        <v>9363</v>
      </c>
      <c r="F3618" s="210" t="s">
        <v>9364</v>
      </c>
      <c r="G3618" s="58" t="s">
        <v>5852</v>
      </c>
      <c r="H3618" s="546">
        <v>133281.29999999999</v>
      </c>
      <c r="I3618" s="66">
        <v>44984</v>
      </c>
      <c r="J3618" s="411" t="s">
        <v>5853</v>
      </c>
      <c r="K3618" s="58"/>
      <c r="L3618" s="99"/>
      <c r="M3618" s="70" t="s">
        <v>9365</v>
      </c>
      <c r="N3618" s="97" t="s">
        <v>9363</v>
      </c>
      <c r="O3618" s="58" t="s">
        <v>205</v>
      </c>
      <c r="P3618" s="58" t="s">
        <v>61</v>
      </c>
      <c r="Q3618" s="58" t="s">
        <v>114</v>
      </c>
      <c r="R3618" s="58" t="s">
        <v>272</v>
      </c>
    </row>
    <row r="3619" spans="1:18" ht="69" customHeight="1">
      <c r="A3619" s="168"/>
      <c r="B3619" s="178">
        <v>8842</v>
      </c>
      <c r="C3619" s="178" t="s">
        <v>9322</v>
      </c>
      <c r="D3619" s="575" t="s">
        <v>3285</v>
      </c>
      <c r="E3619" s="178" t="s">
        <v>809</v>
      </c>
      <c r="F3619" s="210" t="s">
        <v>9366</v>
      </c>
      <c r="G3619" s="58" t="s">
        <v>845</v>
      </c>
      <c r="H3619" s="546">
        <v>14000</v>
      </c>
      <c r="I3619" s="66">
        <v>44948</v>
      </c>
      <c r="J3619" s="411" t="s">
        <v>846</v>
      </c>
      <c r="K3619" s="58"/>
      <c r="L3619" s="99"/>
      <c r="M3619" s="70" t="s">
        <v>9342</v>
      </c>
      <c r="N3619" s="97" t="s">
        <v>814</v>
      </c>
      <c r="O3619" s="58"/>
      <c r="P3619" s="58" t="s">
        <v>36</v>
      </c>
      <c r="Q3619" s="58" t="s">
        <v>114</v>
      </c>
      <c r="R3619" s="58" t="s">
        <v>272</v>
      </c>
    </row>
    <row r="3620" spans="1:18" s="117" customFormat="1" ht="69" customHeight="1">
      <c r="A3620" s="168"/>
      <c r="B3620" s="178">
        <v>9065</v>
      </c>
      <c r="C3620" s="178" t="s">
        <v>9322</v>
      </c>
      <c r="D3620" s="575" t="s">
        <v>1206</v>
      </c>
      <c r="E3620" s="178" t="s">
        <v>755</v>
      </c>
      <c r="F3620" s="210" t="s">
        <v>9367</v>
      </c>
      <c r="G3620" s="58" t="s">
        <v>7597</v>
      </c>
      <c r="H3620" s="546">
        <v>1274587.17</v>
      </c>
      <c r="I3620" s="66">
        <v>45000</v>
      </c>
      <c r="J3620" s="411" t="s">
        <v>9368</v>
      </c>
      <c r="K3620" s="58" t="s">
        <v>9369</v>
      </c>
      <c r="L3620" s="99"/>
      <c r="M3620" s="70" t="s">
        <v>9314</v>
      </c>
      <c r="N3620" s="97" t="s">
        <v>716</v>
      </c>
      <c r="O3620" s="58"/>
      <c r="P3620" s="58" t="s">
        <v>28</v>
      </c>
      <c r="Q3620" s="58" t="s">
        <v>114</v>
      </c>
      <c r="R3620" s="58" t="s">
        <v>272</v>
      </c>
    </row>
    <row r="3621" spans="1:18" ht="69" customHeight="1">
      <c r="A3621" s="168"/>
      <c r="B3621" s="178">
        <v>9009</v>
      </c>
      <c r="C3621" s="178" t="s">
        <v>9322</v>
      </c>
      <c r="D3621" s="575" t="s">
        <v>2840</v>
      </c>
      <c r="E3621" s="178" t="s">
        <v>809</v>
      </c>
      <c r="F3621" s="210" t="s">
        <v>9370</v>
      </c>
      <c r="G3621" s="58" t="s">
        <v>863</v>
      </c>
      <c r="H3621" s="546">
        <v>10000.200000000001</v>
      </c>
      <c r="I3621" s="66" t="s">
        <v>96</v>
      </c>
      <c r="J3621" s="411" t="s">
        <v>864</v>
      </c>
      <c r="K3621" s="58"/>
      <c r="L3621" s="99"/>
      <c r="M3621" s="70" t="s">
        <v>9342</v>
      </c>
      <c r="N3621" s="97" t="s">
        <v>814</v>
      </c>
      <c r="O3621" s="58"/>
      <c r="P3621" s="58" t="s">
        <v>36</v>
      </c>
      <c r="Q3621" s="58" t="s">
        <v>114</v>
      </c>
      <c r="R3621" s="58" t="s">
        <v>272</v>
      </c>
    </row>
    <row r="3622" spans="1:18" ht="69" customHeight="1">
      <c r="A3622" s="168"/>
      <c r="B3622" s="178">
        <v>9126</v>
      </c>
      <c r="C3622" s="178" t="s">
        <v>9322</v>
      </c>
      <c r="D3622" s="575" t="s">
        <v>9371</v>
      </c>
      <c r="E3622" s="178" t="s">
        <v>1372</v>
      </c>
      <c r="F3622" s="210" t="s">
        <v>9372</v>
      </c>
      <c r="G3622" s="58" t="s">
        <v>9373</v>
      </c>
      <c r="H3622" s="546">
        <v>57943.54</v>
      </c>
      <c r="I3622" s="66">
        <v>45005</v>
      </c>
      <c r="J3622" s="411" t="s">
        <v>9374</v>
      </c>
      <c r="K3622" s="58"/>
      <c r="L3622" s="99"/>
      <c r="M3622" s="70" t="s">
        <v>9339</v>
      </c>
      <c r="N3622" s="97" t="s">
        <v>1372</v>
      </c>
      <c r="O3622" s="45" t="s">
        <v>183</v>
      </c>
      <c r="P3622" s="58" t="s">
        <v>57</v>
      </c>
      <c r="Q3622" s="58" t="s">
        <v>114</v>
      </c>
      <c r="R3622" s="58" t="s">
        <v>272</v>
      </c>
    </row>
    <row r="3623" spans="1:18" ht="69" customHeight="1">
      <c r="A3623" s="168"/>
      <c r="B3623" s="178">
        <v>9453</v>
      </c>
      <c r="C3623" s="178" t="s">
        <v>9322</v>
      </c>
      <c r="D3623" s="575" t="s">
        <v>837</v>
      </c>
      <c r="E3623" s="178" t="s">
        <v>1372</v>
      </c>
      <c r="F3623" s="210" t="s">
        <v>9375</v>
      </c>
      <c r="G3623" s="58" t="s">
        <v>9376</v>
      </c>
      <c r="H3623" s="546">
        <v>20465.939999999999</v>
      </c>
      <c r="I3623" s="66">
        <v>45014</v>
      </c>
      <c r="J3623" s="411" t="s">
        <v>9377</v>
      </c>
      <c r="K3623" s="58"/>
      <c r="L3623" s="99"/>
      <c r="M3623" s="70" t="s">
        <v>9339</v>
      </c>
      <c r="N3623" s="97" t="s">
        <v>1372</v>
      </c>
      <c r="O3623" s="45" t="s">
        <v>183</v>
      </c>
      <c r="P3623" s="58" t="s">
        <v>57</v>
      </c>
      <c r="Q3623" s="58" t="s">
        <v>114</v>
      </c>
      <c r="R3623" s="58" t="s">
        <v>272</v>
      </c>
    </row>
    <row r="3624" spans="1:18" ht="69" customHeight="1">
      <c r="A3624" s="168"/>
      <c r="B3624" s="178">
        <v>9728</v>
      </c>
      <c r="C3624" s="178" t="s">
        <v>9322</v>
      </c>
      <c r="D3624" s="575" t="s">
        <v>1903</v>
      </c>
      <c r="E3624" s="178" t="s">
        <v>1372</v>
      </c>
      <c r="F3624" s="210" t="s">
        <v>9378</v>
      </c>
      <c r="G3624" s="58" t="s">
        <v>9379</v>
      </c>
      <c r="H3624" s="546">
        <v>70272.84</v>
      </c>
      <c r="I3624" s="66">
        <v>45041</v>
      </c>
      <c r="J3624" s="411" t="s">
        <v>9380</v>
      </c>
      <c r="K3624" s="58"/>
      <c r="L3624" s="99"/>
      <c r="M3624" s="70" t="s">
        <v>9339</v>
      </c>
      <c r="N3624" s="97" t="s">
        <v>1372</v>
      </c>
      <c r="O3624" s="45" t="s">
        <v>183</v>
      </c>
      <c r="P3624" s="58" t="s">
        <v>57</v>
      </c>
      <c r="Q3624" s="58" t="s">
        <v>114</v>
      </c>
      <c r="R3624" s="58" t="s">
        <v>272</v>
      </c>
    </row>
    <row r="3625" spans="1:18" ht="69" customHeight="1">
      <c r="A3625" s="168"/>
      <c r="B3625" s="178">
        <v>9710</v>
      </c>
      <c r="C3625" s="178" t="s">
        <v>9322</v>
      </c>
      <c r="D3625" s="575" t="s">
        <v>2373</v>
      </c>
      <c r="E3625" s="178" t="s">
        <v>809</v>
      </c>
      <c r="F3625" s="210" t="s">
        <v>9370</v>
      </c>
      <c r="G3625" s="58" t="s">
        <v>874</v>
      </c>
      <c r="H3625" s="546">
        <v>17200</v>
      </c>
      <c r="I3625" s="66" t="s">
        <v>96</v>
      </c>
      <c r="J3625" s="411" t="s">
        <v>875</v>
      </c>
      <c r="K3625" s="58"/>
      <c r="L3625" s="99"/>
      <c r="M3625" s="70" t="s">
        <v>9342</v>
      </c>
      <c r="N3625" s="97" t="s">
        <v>814</v>
      </c>
      <c r="O3625" s="58"/>
      <c r="P3625" s="58" t="s">
        <v>36</v>
      </c>
      <c r="Q3625" s="58" t="s">
        <v>114</v>
      </c>
      <c r="R3625" s="58" t="s">
        <v>272</v>
      </c>
    </row>
    <row r="3626" spans="1:18" ht="69" customHeight="1">
      <c r="A3626" s="168"/>
      <c r="B3626" s="178">
        <v>9830</v>
      </c>
      <c r="C3626" s="178" t="s">
        <v>458</v>
      </c>
      <c r="D3626" s="575" t="s">
        <v>2643</v>
      </c>
      <c r="E3626" s="178" t="s">
        <v>358</v>
      </c>
      <c r="F3626" s="210" t="s">
        <v>9381</v>
      </c>
      <c r="G3626" s="58" t="s">
        <v>8126</v>
      </c>
      <c r="H3626" s="546">
        <v>732562.34</v>
      </c>
      <c r="I3626" s="66">
        <v>45041</v>
      </c>
      <c r="J3626" s="411" t="s">
        <v>4713</v>
      </c>
      <c r="K3626" s="58"/>
      <c r="L3626" s="99"/>
      <c r="M3626" s="70" t="s">
        <v>9283</v>
      </c>
      <c r="N3626" s="97" t="s">
        <v>356</v>
      </c>
      <c r="O3626" s="58" t="s">
        <v>141</v>
      </c>
      <c r="P3626" s="58" t="s">
        <v>19</v>
      </c>
      <c r="Q3626" s="58" t="s">
        <v>114</v>
      </c>
      <c r="R3626" s="58" t="s">
        <v>272</v>
      </c>
    </row>
    <row r="3627" spans="1:18" ht="69" customHeight="1">
      <c r="A3627" s="168"/>
      <c r="B3627" s="178">
        <v>2083</v>
      </c>
      <c r="C3627" s="178" t="s">
        <v>309</v>
      </c>
      <c r="D3627" s="575" t="s">
        <v>5660</v>
      </c>
      <c r="E3627" s="178" t="s">
        <v>266</v>
      </c>
      <c r="F3627" s="210" t="s">
        <v>9382</v>
      </c>
      <c r="G3627" s="58"/>
      <c r="H3627" s="546">
        <v>7060</v>
      </c>
      <c r="I3627" s="66">
        <v>44454</v>
      </c>
      <c r="J3627" s="411" t="s">
        <v>9383</v>
      </c>
      <c r="K3627" s="58"/>
      <c r="L3627" s="99"/>
      <c r="M3627" s="70" t="s">
        <v>9384</v>
      </c>
      <c r="N3627" s="97" t="s">
        <v>270</v>
      </c>
      <c r="O3627" s="58"/>
      <c r="P3627" s="58" t="s">
        <v>44</v>
      </c>
      <c r="Q3627" s="58" t="s">
        <v>116</v>
      </c>
      <c r="R3627" s="58" t="s">
        <v>272</v>
      </c>
    </row>
    <row r="3628" spans="1:18" ht="69" customHeight="1">
      <c r="A3628" s="168"/>
      <c r="B3628" s="178" t="s">
        <v>9385</v>
      </c>
      <c r="C3628" s="178" t="s">
        <v>657</v>
      </c>
      <c r="D3628" s="575"/>
      <c r="E3628" s="178" t="s">
        <v>350</v>
      </c>
      <c r="F3628" s="210" t="s">
        <v>9386</v>
      </c>
      <c r="G3628" s="58" t="s">
        <v>7080</v>
      </c>
      <c r="H3628" s="546">
        <v>5362.8</v>
      </c>
      <c r="I3628" s="66" t="s">
        <v>96</v>
      </c>
      <c r="J3628" s="411" t="s">
        <v>7081</v>
      </c>
      <c r="K3628" s="58" t="s">
        <v>9387</v>
      </c>
      <c r="L3628" s="99"/>
      <c r="M3628" s="70" t="s">
        <v>9388</v>
      </c>
      <c r="N3628" s="97" t="s">
        <v>356</v>
      </c>
      <c r="O3628" s="58" t="s">
        <v>141</v>
      </c>
      <c r="P3628" s="58" t="s">
        <v>19</v>
      </c>
      <c r="Q3628" s="58" t="s">
        <v>116</v>
      </c>
      <c r="R3628" s="58" t="s">
        <v>265</v>
      </c>
    </row>
    <row r="3629" spans="1:18" ht="69" customHeight="1">
      <c r="A3629" s="168"/>
      <c r="B3629" s="178" t="s">
        <v>9389</v>
      </c>
      <c r="C3629" s="178" t="s">
        <v>657</v>
      </c>
      <c r="D3629" s="575"/>
      <c r="E3629" s="178" t="s">
        <v>350</v>
      </c>
      <c r="F3629" s="210" t="s">
        <v>9390</v>
      </c>
      <c r="G3629" s="58" t="s">
        <v>7080</v>
      </c>
      <c r="H3629" s="546">
        <v>46500</v>
      </c>
      <c r="I3629" s="66" t="s">
        <v>96</v>
      </c>
      <c r="J3629" s="411" t="s">
        <v>7081</v>
      </c>
      <c r="K3629" s="58" t="s">
        <v>9387</v>
      </c>
      <c r="L3629" s="99"/>
      <c r="M3629" s="70" t="s">
        <v>9388</v>
      </c>
      <c r="N3629" s="97" t="s">
        <v>356</v>
      </c>
      <c r="O3629" s="58" t="s">
        <v>141</v>
      </c>
      <c r="P3629" s="58" t="s">
        <v>19</v>
      </c>
      <c r="Q3629" s="58" t="s">
        <v>116</v>
      </c>
      <c r="R3629" s="58" t="s">
        <v>265</v>
      </c>
    </row>
    <row r="3630" spans="1:18" ht="69" customHeight="1">
      <c r="A3630" s="168"/>
      <c r="B3630" s="191">
        <v>3008</v>
      </c>
      <c r="C3630" s="191" t="s">
        <v>657</v>
      </c>
      <c r="D3630" s="533" t="s">
        <v>2009</v>
      </c>
      <c r="E3630" s="191" t="s">
        <v>331</v>
      </c>
      <c r="F3630" s="211" t="s">
        <v>9391</v>
      </c>
      <c r="G3630" s="46" t="s">
        <v>4416</v>
      </c>
      <c r="H3630" s="534">
        <v>0</v>
      </c>
      <c r="I3630" s="56" t="s">
        <v>96</v>
      </c>
      <c r="J3630" s="412" t="s">
        <v>334</v>
      </c>
      <c r="K3630" s="46"/>
      <c r="L3630" s="99"/>
      <c r="M3630" s="379"/>
      <c r="N3630" s="76" t="s">
        <v>69</v>
      </c>
      <c r="O3630" s="46"/>
      <c r="P3630" s="46" t="s">
        <v>69</v>
      </c>
      <c r="Q3630" s="46" t="s">
        <v>116</v>
      </c>
      <c r="R3630" s="46" t="s">
        <v>272</v>
      </c>
    </row>
    <row r="3631" spans="1:18" ht="69" customHeight="1">
      <c r="A3631" s="168"/>
      <c r="B3631" s="178">
        <v>2958</v>
      </c>
      <c r="C3631" s="178" t="s">
        <v>657</v>
      </c>
      <c r="D3631" s="575" t="s">
        <v>6262</v>
      </c>
      <c r="E3631" s="178" t="s">
        <v>266</v>
      </c>
      <c r="F3631" s="210" t="s">
        <v>9392</v>
      </c>
      <c r="G3631" s="58" t="s">
        <v>680</v>
      </c>
      <c r="H3631" s="546">
        <v>6206.9</v>
      </c>
      <c r="I3631" s="66">
        <v>44601</v>
      </c>
      <c r="J3631" s="411" t="s">
        <v>9393</v>
      </c>
      <c r="K3631" s="58"/>
      <c r="L3631" s="99"/>
      <c r="M3631" s="70" t="s">
        <v>9394</v>
      </c>
      <c r="N3631" s="97" t="s">
        <v>683</v>
      </c>
      <c r="O3631" s="58" t="s">
        <v>149</v>
      </c>
      <c r="P3631" s="58" t="s">
        <v>46</v>
      </c>
      <c r="Q3631" s="58" t="s">
        <v>116</v>
      </c>
      <c r="R3631" s="58" t="s">
        <v>272</v>
      </c>
    </row>
    <row r="3632" spans="1:18" ht="69" customHeight="1">
      <c r="A3632" s="168"/>
      <c r="B3632" s="178">
        <v>4727</v>
      </c>
      <c r="C3632" s="178" t="s">
        <v>657</v>
      </c>
      <c r="D3632" s="575" t="s">
        <v>2907</v>
      </c>
      <c r="E3632" s="178" t="s">
        <v>331</v>
      </c>
      <c r="F3632" s="210" t="s">
        <v>9395</v>
      </c>
      <c r="G3632" s="58"/>
      <c r="H3632" s="546">
        <v>3389.12</v>
      </c>
      <c r="I3632" s="66">
        <v>44678</v>
      </c>
      <c r="J3632" s="411" t="s">
        <v>9396</v>
      </c>
      <c r="K3632" s="58"/>
      <c r="L3632" s="99"/>
      <c r="M3632" s="70" t="s">
        <v>9384</v>
      </c>
      <c r="N3632" s="97" t="s">
        <v>270</v>
      </c>
      <c r="O3632" s="58"/>
      <c r="P3632" s="58" t="s">
        <v>44</v>
      </c>
      <c r="Q3632" s="58" t="s">
        <v>116</v>
      </c>
      <c r="R3632" s="58" t="s">
        <v>272</v>
      </c>
    </row>
    <row r="3633" spans="1:18" ht="69" customHeight="1">
      <c r="A3633" s="168"/>
      <c r="B3633" s="178">
        <v>4768</v>
      </c>
      <c r="C3633" s="178" t="s">
        <v>657</v>
      </c>
      <c r="D3633" s="575" t="s">
        <v>1687</v>
      </c>
      <c r="E3633" s="178" t="s">
        <v>358</v>
      </c>
      <c r="F3633" s="210" t="s">
        <v>9397</v>
      </c>
      <c r="G3633" s="58" t="s">
        <v>529</v>
      </c>
      <c r="H3633" s="546">
        <v>40210.65</v>
      </c>
      <c r="I3633" s="66">
        <v>44680</v>
      </c>
      <c r="J3633" s="411" t="s">
        <v>9398</v>
      </c>
      <c r="K3633" s="58" t="s">
        <v>9387</v>
      </c>
      <c r="L3633" s="99"/>
      <c r="M3633" s="70" t="s">
        <v>9399</v>
      </c>
      <c r="N3633" s="97" t="s">
        <v>356</v>
      </c>
      <c r="O3633" s="58" t="s">
        <v>141</v>
      </c>
      <c r="P3633" s="58" t="s">
        <v>19</v>
      </c>
      <c r="Q3633" s="58" t="s">
        <v>116</v>
      </c>
      <c r="R3633" s="58" t="s">
        <v>272</v>
      </c>
    </row>
    <row r="3634" spans="1:18" ht="69" customHeight="1">
      <c r="A3634" s="168"/>
      <c r="B3634" s="178">
        <v>4201</v>
      </c>
      <c r="C3634" s="178" t="s">
        <v>657</v>
      </c>
      <c r="D3634" s="575" t="s">
        <v>3403</v>
      </c>
      <c r="E3634" s="178" t="s">
        <v>266</v>
      </c>
      <c r="F3634" s="210" t="s">
        <v>9400</v>
      </c>
      <c r="G3634" s="58" t="s">
        <v>376</v>
      </c>
      <c r="H3634" s="546">
        <v>6911.76</v>
      </c>
      <c r="I3634" s="66">
        <v>44697</v>
      </c>
      <c r="J3634" s="411" t="s">
        <v>9401</v>
      </c>
      <c r="K3634" s="58"/>
      <c r="L3634" s="99"/>
      <c r="M3634" s="70" t="s">
        <v>9384</v>
      </c>
      <c r="N3634" s="97" t="s">
        <v>270</v>
      </c>
      <c r="O3634" s="58"/>
      <c r="P3634" s="58" t="s">
        <v>44</v>
      </c>
      <c r="Q3634" s="58" t="s">
        <v>116</v>
      </c>
      <c r="R3634" s="58" t="s">
        <v>272</v>
      </c>
    </row>
    <row r="3635" spans="1:18" ht="69" customHeight="1">
      <c r="A3635" s="168"/>
      <c r="B3635" s="178">
        <v>4897</v>
      </c>
      <c r="C3635" s="178" t="s">
        <v>657</v>
      </c>
      <c r="D3635" s="575" t="s">
        <v>3397</v>
      </c>
      <c r="E3635" s="178" t="s">
        <v>266</v>
      </c>
      <c r="F3635" s="210" t="s">
        <v>9402</v>
      </c>
      <c r="G3635" s="58" t="s">
        <v>7109</v>
      </c>
      <c r="H3635" s="546">
        <v>1632.75</v>
      </c>
      <c r="I3635" s="66">
        <v>44698</v>
      </c>
      <c r="J3635" s="411" t="s">
        <v>9403</v>
      </c>
      <c r="K3635" s="58"/>
      <c r="L3635" s="99"/>
      <c r="M3635" s="70" t="s">
        <v>9384</v>
      </c>
      <c r="N3635" s="97" t="s">
        <v>270</v>
      </c>
      <c r="O3635" s="58"/>
      <c r="P3635" s="58" t="s">
        <v>44</v>
      </c>
      <c r="Q3635" s="58" t="s">
        <v>116</v>
      </c>
      <c r="R3635" s="58" t="s">
        <v>272</v>
      </c>
    </row>
    <row r="3636" spans="1:18" ht="69" customHeight="1">
      <c r="A3636" s="168"/>
      <c r="B3636" s="178">
        <v>4727</v>
      </c>
      <c r="C3636" s="178" t="s">
        <v>657</v>
      </c>
      <c r="D3636" s="575" t="s">
        <v>3447</v>
      </c>
      <c r="E3636" s="178" t="s">
        <v>331</v>
      </c>
      <c r="F3636" s="210" t="s">
        <v>9404</v>
      </c>
      <c r="G3636" s="58" t="s">
        <v>372</v>
      </c>
      <c r="H3636" s="546">
        <v>30502.1</v>
      </c>
      <c r="I3636" s="66">
        <v>44701</v>
      </c>
      <c r="J3636" s="411" t="s">
        <v>9405</v>
      </c>
      <c r="K3636" s="58"/>
      <c r="L3636" s="99"/>
      <c r="M3636" s="70" t="s">
        <v>9384</v>
      </c>
      <c r="N3636" s="97" t="s">
        <v>270</v>
      </c>
      <c r="O3636" s="58"/>
      <c r="P3636" s="58" t="s">
        <v>44</v>
      </c>
      <c r="Q3636" s="58" t="s">
        <v>116</v>
      </c>
      <c r="R3636" s="58" t="s">
        <v>272</v>
      </c>
    </row>
    <row r="3637" spans="1:18" ht="69" customHeight="1">
      <c r="A3637" s="168"/>
      <c r="B3637" s="178">
        <v>4320</v>
      </c>
      <c r="C3637" s="178" t="s">
        <v>657</v>
      </c>
      <c r="D3637" s="575" t="s">
        <v>940</v>
      </c>
      <c r="E3637" s="178" t="s">
        <v>358</v>
      </c>
      <c r="F3637" s="210" t="s">
        <v>9406</v>
      </c>
      <c r="G3637" s="58" t="s">
        <v>8761</v>
      </c>
      <c r="H3637" s="546">
        <v>173571.11</v>
      </c>
      <c r="I3637" s="66">
        <v>44706</v>
      </c>
      <c r="J3637" s="411" t="s">
        <v>9407</v>
      </c>
      <c r="K3637" s="58" t="s">
        <v>9387</v>
      </c>
      <c r="L3637" s="99"/>
      <c r="M3637" s="70" t="s">
        <v>9399</v>
      </c>
      <c r="N3637" s="97" t="s">
        <v>356</v>
      </c>
      <c r="O3637" s="58" t="s">
        <v>141</v>
      </c>
      <c r="P3637" s="58" t="s">
        <v>19</v>
      </c>
      <c r="Q3637" s="58" t="s">
        <v>116</v>
      </c>
      <c r="R3637" s="58" t="s">
        <v>272</v>
      </c>
    </row>
    <row r="3638" spans="1:18" ht="69" customHeight="1">
      <c r="A3638" s="168"/>
      <c r="B3638" s="178">
        <v>5029</v>
      </c>
      <c r="C3638" s="178" t="s">
        <v>657</v>
      </c>
      <c r="D3638" s="575" t="s">
        <v>3472</v>
      </c>
      <c r="E3638" s="178" t="s">
        <v>266</v>
      </c>
      <c r="F3638" s="210" t="s">
        <v>9408</v>
      </c>
      <c r="G3638" s="58" t="s">
        <v>7109</v>
      </c>
      <c r="H3638" s="546">
        <v>1632.75</v>
      </c>
      <c r="I3638" s="66">
        <v>44728</v>
      </c>
      <c r="J3638" s="411" t="s">
        <v>9409</v>
      </c>
      <c r="K3638" s="58"/>
      <c r="L3638" s="99"/>
      <c r="M3638" s="70" t="s">
        <v>9384</v>
      </c>
      <c r="N3638" s="97" t="s">
        <v>270</v>
      </c>
      <c r="O3638" s="58"/>
      <c r="P3638" s="58" t="s">
        <v>44</v>
      </c>
      <c r="Q3638" s="58" t="s">
        <v>116</v>
      </c>
      <c r="R3638" s="58" t="s">
        <v>272</v>
      </c>
    </row>
    <row r="3639" spans="1:18" ht="69" customHeight="1">
      <c r="A3639" s="168"/>
      <c r="B3639" s="178">
        <v>5030</v>
      </c>
      <c r="C3639" s="178" t="s">
        <v>657</v>
      </c>
      <c r="D3639" s="575" t="s">
        <v>647</v>
      </c>
      <c r="E3639" s="178" t="s">
        <v>382</v>
      </c>
      <c r="F3639" s="210" t="s">
        <v>9410</v>
      </c>
      <c r="G3639" s="58" t="s">
        <v>384</v>
      </c>
      <c r="H3639" s="546">
        <v>27761.33</v>
      </c>
      <c r="I3639" s="66">
        <v>44736</v>
      </c>
      <c r="J3639" s="411" t="s">
        <v>9411</v>
      </c>
      <c r="K3639" s="58"/>
      <c r="L3639" s="99"/>
      <c r="M3639" s="70" t="s">
        <v>9412</v>
      </c>
      <c r="N3639" s="97" t="s">
        <v>387</v>
      </c>
      <c r="O3639" s="45" t="s">
        <v>150</v>
      </c>
      <c r="P3639" s="58" t="s">
        <v>51</v>
      </c>
      <c r="Q3639" s="58" t="s">
        <v>116</v>
      </c>
      <c r="R3639" s="58" t="s">
        <v>272</v>
      </c>
    </row>
    <row r="3640" spans="1:18" ht="69" customHeight="1">
      <c r="A3640" s="168"/>
      <c r="B3640" s="178">
        <v>5031</v>
      </c>
      <c r="C3640" s="178" t="s">
        <v>657</v>
      </c>
      <c r="D3640" s="575" t="s">
        <v>2451</v>
      </c>
      <c r="E3640" s="178" t="s">
        <v>382</v>
      </c>
      <c r="F3640" s="210" t="s">
        <v>9413</v>
      </c>
      <c r="G3640" s="58" t="s">
        <v>384</v>
      </c>
      <c r="H3640" s="546">
        <v>39819.519999999997</v>
      </c>
      <c r="I3640" s="66">
        <v>44736</v>
      </c>
      <c r="J3640" s="411" t="s">
        <v>9414</v>
      </c>
      <c r="K3640" s="58"/>
      <c r="L3640" s="99"/>
      <c r="M3640" s="70" t="s">
        <v>9412</v>
      </c>
      <c r="N3640" s="97" t="s">
        <v>387</v>
      </c>
      <c r="O3640" s="45" t="s">
        <v>150</v>
      </c>
      <c r="P3640" s="58" t="s">
        <v>51</v>
      </c>
      <c r="Q3640" s="58" t="s">
        <v>116</v>
      </c>
      <c r="R3640" s="58" t="s">
        <v>272</v>
      </c>
    </row>
    <row r="3641" spans="1:18" ht="69" customHeight="1">
      <c r="A3641" s="168"/>
      <c r="B3641" s="178">
        <v>5348</v>
      </c>
      <c r="C3641" s="178" t="s">
        <v>657</v>
      </c>
      <c r="D3641" s="575" t="s">
        <v>5774</v>
      </c>
      <c r="E3641" s="178" t="s">
        <v>409</v>
      </c>
      <c r="F3641" s="210" t="s">
        <v>9415</v>
      </c>
      <c r="G3641" s="58" t="s">
        <v>712</v>
      </c>
      <c r="H3641" s="546">
        <v>3661670.62</v>
      </c>
      <c r="I3641" s="66">
        <v>44757</v>
      </c>
      <c r="J3641" s="411" t="s">
        <v>9416</v>
      </c>
      <c r="K3641" s="58" t="s">
        <v>3385</v>
      </c>
      <c r="L3641" s="99"/>
      <c r="M3641" s="70" t="s">
        <v>9417</v>
      </c>
      <c r="N3641" s="97" t="s">
        <v>716</v>
      </c>
      <c r="O3641" s="58" t="s">
        <v>1566</v>
      </c>
      <c r="P3641" s="58" t="s">
        <v>28</v>
      </c>
      <c r="Q3641" s="58" t="s">
        <v>116</v>
      </c>
      <c r="R3641" s="58" t="s">
        <v>272</v>
      </c>
    </row>
    <row r="3642" spans="1:18" ht="69" customHeight="1">
      <c r="A3642" s="168"/>
      <c r="B3642" s="171">
        <v>5364</v>
      </c>
      <c r="C3642" s="171" t="s">
        <v>657</v>
      </c>
      <c r="D3642" s="593" t="s">
        <v>345</v>
      </c>
      <c r="E3642" s="171" t="s">
        <v>409</v>
      </c>
      <c r="F3642" s="594" t="s">
        <v>9418</v>
      </c>
      <c r="G3642" s="100" t="s">
        <v>725</v>
      </c>
      <c r="H3642" s="546">
        <v>0</v>
      </c>
      <c r="I3642" s="96">
        <v>44760</v>
      </c>
      <c r="J3642" s="595" t="s">
        <v>9419</v>
      </c>
      <c r="K3642" s="100" t="s">
        <v>727</v>
      </c>
      <c r="L3642" s="99"/>
      <c r="M3642" s="70" t="s">
        <v>9417</v>
      </c>
      <c r="N3642" s="97" t="s">
        <v>716</v>
      </c>
      <c r="O3642" s="100"/>
      <c r="P3642" s="100" t="s">
        <v>28</v>
      </c>
      <c r="Q3642" s="100" t="s">
        <v>116</v>
      </c>
      <c r="R3642" s="100" t="s">
        <v>272</v>
      </c>
    </row>
    <row r="3643" spans="1:18" ht="69" customHeight="1">
      <c r="A3643" s="168"/>
      <c r="B3643" s="178">
        <v>6143</v>
      </c>
      <c r="C3643" s="178" t="s">
        <v>657</v>
      </c>
      <c r="D3643" s="575" t="s">
        <v>3179</v>
      </c>
      <c r="E3643" s="178" t="s">
        <v>266</v>
      </c>
      <c r="F3643" s="210" t="s">
        <v>9420</v>
      </c>
      <c r="G3643" s="58" t="s">
        <v>730</v>
      </c>
      <c r="H3643" s="546">
        <v>57.24</v>
      </c>
      <c r="I3643" s="66">
        <v>44769</v>
      </c>
      <c r="J3643" s="411" t="s">
        <v>9421</v>
      </c>
      <c r="K3643" s="58"/>
      <c r="L3643" s="99"/>
      <c r="M3643" s="70" t="s">
        <v>9384</v>
      </c>
      <c r="N3643" s="97" t="s">
        <v>270</v>
      </c>
      <c r="O3643" s="58"/>
      <c r="P3643" s="58" t="s">
        <v>44</v>
      </c>
      <c r="Q3643" s="58" t="s">
        <v>116</v>
      </c>
      <c r="R3643" s="58" t="s">
        <v>272</v>
      </c>
    </row>
    <row r="3644" spans="1:18" ht="69" customHeight="1">
      <c r="A3644" s="168"/>
      <c r="B3644" s="178">
        <v>5364</v>
      </c>
      <c r="C3644" s="178" t="s">
        <v>9422</v>
      </c>
      <c r="D3644" s="575" t="s">
        <v>3490</v>
      </c>
      <c r="E3644" s="178" t="s">
        <v>755</v>
      </c>
      <c r="F3644" s="210" t="s">
        <v>9423</v>
      </c>
      <c r="G3644" s="58" t="s">
        <v>725</v>
      </c>
      <c r="H3644" s="546">
        <v>1025267.77</v>
      </c>
      <c r="I3644" s="66">
        <v>44776</v>
      </c>
      <c r="J3644" s="411" t="s">
        <v>9419</v>
      </c>
      <c r="K3644" s="58" t="s">
        <v>9424</v>
      </c>
      <c r="L3644" s="99"/>
      <c r="M3644" s="70" t="s">
        <v>9417</v>
      </c>
      <c r="N3644" s="97" t="s">
        <v>716</v>
      </c>
      <c r="O3644" s="58"/>
      <c r="P3644" s="58" t="s">
        <v>28</v>
      </c>
      <c r="Q3644" s="58" t="s">
        <v>116</v>
      </c>
      <c r="R3644" s="58" t="s">
        <v>272</v>
      </c>
    </row>
    <row r="3645" spans="1:18" ht="69" customHeight="1">
      <c r="A3645" s="168"/>
      <c r="B3645" s="178">
        <v>6595</v>
      </c>
      <c r="C3645" s="178" t="s">
        <v>657</v>
      </c>
      <c r="D3645" s="575" t="s">
        <v>1306</v>
      </c>
      <c r="E3645" s="178" t="s">
        <v>741</v>
      </c>
      <c r="F3645" s="210" t="s">
        <v>9425</v>
      </c>
      <c r="G3645" s="58" t="s">
        <v>738</v>
      </c>
      <c r="H3645" s="546">
        <v>464939.14</v>
      </c>
      <c r="I3645" s="66">
        <v>44813</v>
      </c>
      <c r="J3645" s="411" t="s">
        <v>9426</v>
      </c>
      <c r="K3645" s="58"/>
      <c r="L3645" s="99"/>
      <c r="M3645" s="70" t="s">
        <v>9427</v>
      </c>
      <c r="N3645" s="97" t="s">
        <v>741</v>
      </c>
      <c r="O3645" s="58" t="s">
        <v>154</v>
      </c>
      <c r="P3645" s="58" t="s">
        <v>59</v>
      </c>
      <c r="Q3645" s="58" t="s">
        <v>116</v>
      </c>
      <c r="R3645" s="58" t="s">
        <v>272</v>
      </c>
    </row>
    <row r="3646" spans="1:18" ht="69" customHeight="1">
      <c r="A3646" s="168"/>
      <c r="B3646" s="178">
        <v>6228</v>
      </c>
      <c r="C3646" s="178" t="s">
        <v>657</v>
      </c>
      <c r="D3646" s="575" t="s">
        <v>2970</v>
      </c>
      <c r="E3646" s="178" t="s">
        <v>755</v>
      </c>
      <c r="F3646" s="210" t="s">
        <v>9428</v>
      </c>
      <c r="G3646" s="58" t="s">
        <v>9329</v>
      </c>
      <c r="H3646" s="546">
        <v>439400.47</v>
      </c>
      <c r="I3646" s="66">
        <v>44788</v>
      </c>
      <c r="J3646" s="411" t="s">
        <v>9429</v>
      </c>
      <c r="K3646" s="58" t="s">
        <v>9430</v>
      </c>
      <c r="L3646" s="99"/>
      <c r="M3646" s="70" t="s">
        <v>9417</v>
      </c>
      <c r="N3646" s="97" t="s">
        <v>716</v>
      </c>
      <c r="O3646" s="58"/>
      <c r="P3646" s="58" t="s">
        <v>28</v>
      </c>
      <c r="Q3646" s="58" t="s">
        <v>116</v>
      </c>
      <c r="R3646" s="58" t="s">
        <v>272</v>
      </c>
    </row>
    <row r="3647" spans="1:18" ht="69" customHeight="1">
      <c r="A3647" s="168"/>
      <c r="B3647" s="178">
        <v>7499</v>
      </c>
      <c r="C3647" s="178" t="s">
        <v>657</v>
      </c>
      <c r="D3647" s="575" t="s">
        <v>6671</v>
      </c>
      <c r="E3647" s="178" t="s">
        <v>741</v>
      </c>
      <c r="F3647" s="210" t="s">
        <v>9431</v>
      </c>
      <c r="G3647" s="58" t="s">
        <v>4781</v>
      </c>
      <c r="H3647" s="546">
        <v>250351.84</v>
      </c>
      <c r="I3647" s="66">
        <v>44881</v>
      </c>
      <c r="J3647" s="411" t="s">
        <v>1606</v>
      </c>
      <c r="K3647" s="58"/>
      <c r="L3647" s="99"/>
      <c r="M3647" s="70" t="s">
        <v>9427</v>
      </c>
      <c r="N3647" s="97" t="s">
        <v>741</v>
      </c>
      <c r="O3647" s="58" t="s">
        <v>154</v>
      </c>
      <c r="P3647" s="58" t="s">
        <v>59</v>
      </c>
      <c r="Q3647" s="58" t="s">
        <v>116</v>
      </c>
      <c r="R3647" s="58" t="s">
        <v>272</v>
      </c>
    </row>
    <row r="3648" spans="1:18" ht="69" customHeight="1">
      <c r="A3648" s="168"/>
      <c r="B3648" s="178">
        <v>6280</v>
      </c>
      <c r="C3648" s="178" t="s">
        <v>657</v>
      </c>
      <c r="D3648" s="575" t="s">
        <v>2018</v>
      </c>
      <c r="E3648" s="178" t="s">
        <v>266</v>
      </c>
      <c r="F3648" s="210" t="s">
        <v>9432</v>
      </c>
      <c r="G3648" s="58" t="s">
        <v>790</v>
      </c>
      <c r="H3648" s="546">
        <v>2281.25</v>
      </c>
      <c r="I3648" s="66">
        <v>44834</v>
      </c>
      <c r="J3648" s="411" t="s">
        <v>9433</v>
      </c>
      <c r="K3648" s="58"/>
      <c r="L3648" s="99"/>
      <c r="M3648" s="70" t="s">
        <v>9394</v>
      </c>
      <c r="N3648" s="97" t="s">
        <v>683</v>
      </c>
      <c r="O3648" s="58" t="s">
        <v>149</v>
      </c>
      <c r="P3648" s="58" t="s">
        <v>46</v>
      </c>
      <c r="Q3648" s="58" t="s">
        <v>116</v>
      </c>
      <c r="R3648" s="58" t="s">
        <v>272</v>
      </c>
    </row>
    <row r="3649" spans="1:18" ht="69" customHeight="1">
      <c r="A3649" s="168"/>
      <c r="B3649" s="178">
        <v>6292</v>
      </c>
      <c r="C3649" s="178" t="s">
        <v>657</v>
      </c>
      <c r="D3649" s="575" t="s">
        <v>6915</v>
      </c>
      <c r="E3649" s="178" t="s">
        <v>266</v>
      </c>
      <c r="F3649" s="210" t="s">
        <v>9434</v>
      </c>
      <c r="G3649" s="58" t="s">
        <v>790</v>
      </c>
      <c r="H3649" s="546">
        <v>2281.25</v>
      </c>
      <c r="I3649" s="66">
        <v>44834</v>
      </c>
      <c r="J3649" s="411" t="s">
        <v>9435</v>
      </c>
      <c r="K3649" s="58"/>
      <c r="L3649" s="99"/>
      <c r="M3649" s="70" t="s">
        <v>9394</v>
      </c>
      <c r="N3649" s="97" t="s">
        <v>683</v>
      </c>
      <c r="O3649" s="58" t="s">
        <v>149</v>
      </c>
      <c r="P3649" s="58" t="s">
        <v>46</v>
      </c>
      <c r="Q3649" s="58" t="s">
        <v>116</v>
      </c>
      <c r="R3649" s="58" t="s">
        <v>272</v>
      </c>
    </row>
    <row r="3650" spans="1:18" ht="69" customHeight="1">
      <c r="A3650" s="168"/>
      <c r="B3650" s="178">
        <v>7630</v>
      </c>
      <c r="C3650" s="178" t="s">
        <v>9436</v>
      </c>
      <c r="D3650" s="575" t="s">
        <v>2530</v>
      </c>
      <c r="E3650" s="178" t="s">
        <v>755</v>
      </c>
      <c r="F3650" s="210" t="s">
        <v>9437</v>
      </c>
      <c r="G3650" s="58" t="s">
        <v>9438</v>
      </c>
      <c r="H3650" s="546">
        <v>606045.47</v>
      </c>
      <c r="I3650" s="66">
        <v>44890</v>
      </c>
      <c r="J3650" s="411" t="s">
        <v>9439</v>
      </c>
      <c r="K3650" s="58" t="s">
        <v>9440</v>
      </c>
      <c r="L3650" s="99"/>
      <c r="M3650" s="70" t="s">
        <v>9417</v>
      </c>
      <c r="N3650" s="97" t="s">
        <v>716</v>
      </c>
      <c r="O3650" s="58"/>
      <c r="P3650" s="58" t="s">
        <v>28</v>
      </c>
      <c r="Q3650" s="58" t="s">
        <v>116</v>
      </c>
      <c r="R3650" s="58" t="s">
        <v>272</v>
      </c>
    </row>
    <row r="3651" spans="1:18" ht="69" customHeight="1">
      <c r="A3651" s="168"/>
      <c r="B3651" s="178">
        <v>7191</v>
      </c>
      <c r="C3651" s="178" t="s">
        <v>9441</v>
      </c>
      <c r="D3651" s="575" t="s">
        <v>9442</v>
      </c>
      <c r="E3651" s="178" t="s">
        <v>755</v>
      </c>
      <c r="F3651" s="210" t="s">
        <v>9443</v>
      </c>
      <c r="G3651" s="58" t="s">
        <v>9444</v>
      </c>
      <c r="H3651" s="546">
        <v>1179546.6299999999</v>
      </c>
      <c r="I3651" s="66">
        <v>44860</v>
      </c>
      <c r="J3651" s="411" t="s">
        <v>9445</v>
      </c>
      <c r="K3651" s="58" t="s">
        <v>4472</v>
      </c>
      <c r="L3651" s="99"/>
      <c r="M3651" s="70" t="s">
        <v>9417</v>
      </c>
      <c r="N3651" s="97" t="s">
        <v>716</v>
      </c>
      <c r="O3651" s="58"/>
      <c r="P3651" s="58" t="s">
        <v>28</v>
      </c>
      <c r="Q3651" s="58" t="s">
        <v>116</v>
      </c>
      <c r="R3651" s="58" t="s">
        <v>272</v>
      </c>
    </row>
    <row r="3652" spans="1:18" ht="69" customHeight="1">
      <c r="A3652" s="168"/>
      <c r="B3652" s="178">
        <v>7428</v>
      </c>
      <c r="C3652" s="178" t="s">
        <v>9441</v>
      </c>
      <c r="D3652" s="575" t="s">
        <v>6938</v>
      </c>
      <c r="E3652" s="178" t="s">
        <v>809</v>
      </c>
      <c r="F3652" s="210" t="s">
        <v>9446</v>
      </c>
      <c r="G3652" s="58" t="s">
        <v>811</v>
      </c>
      <c r="H3652" s="546">
        <v>8000.3</v>
      </c>
      <c r="I3652" s="66">
        <v>44879</v>
      </c>
      <c r="J3652" s="411" t="s">
        <v>812</v>
      </c>
      <c r="K3652" s="58"/>
      <c r="L3652" s="99"/>
      <c r="M3652" s="70" t="s">
        <v>9447</v>
      </c>
      <c r="N3652" s="97" t="s">
        <v>814</v>
      </c>
      <c r="O3652" s="58"/>
      <c r="P3652" s="58" t="s">
        <v>36</v>
      </c>
      <c r="Q3652" s="58" t="s">
        <v>116</v>
      </c>
      <c r="R3652" s="58" t="s">
        <v>272</v>
      </c>
    </row>
    <row r="3653" spans="1:18" ht="69" customHeight="1">
      <c r="A3653" s="168"/>
      <c r="B3653" s="178">
        <v>7677</v>
      </c>
      <c r="C3653" s="178" t="s">
        <v>9441</v>
      </c>
      <c r="D3653" s="575" t="s">
        <v>9448</v>
      </c>
      <c r="E3653" s="178" t="s">
        <v>1372</v>
      </c>
      <c r="F3653" s="210" t="s">
        <v>9449</v>
      </c>
      <c r="G3653" s="58" t="s">
        <v>1374</v>
      </c>
      <c r="H3653" s="546">
        <v>52473.61</v>
      </c>
      <c r="I3653" s="66">
        <v>44900</v>
      </c>
      <c r="J3653" s="411" t="s">
        <v>1375</v>
      </c>
      <c r="K3653" s="58"/>
      <c r="L3653" s="99"/>
      <c r="M3653" s="70" t="s">
        <v>9450</v>
      </c>
      <c r="N3653" s="97" t="s">
        <v>1372</v>
      </c>
      <c r="O3653" s="58"/>
      <c r="P3653" s="58" t="s">
        <v>57</v>
      </c>
      <c r="Q3653" s="58" t="s">
        <v>116</v>
      </c>
      <c r="R3653" s="58" t="s">
        <v>272</v>
      </c>
    </row>
    <row r="3654" spans="1:18" ht="69" customHeight="1">
      <c r="A3654" s="168"/>
      <c r="B3654" s="178">
        <v>7084</v>
      </c>
      <c r="C3654" s="178" t="s">
        <v>9441</v>
      </c>
      <c r="D3654" s="575" t="s">
        <v>400</v>
      </c>
      <c r="E3654" s="178" t="s">
        <v>755</v>
      </c>
      <c r="F3654" s="210" t="s">
        <v>9451</v>
      </c>
      <c r="G3654" s="58" t="s">
        <v>9452</v>
      </c>
      <c r="H3654" s="546">
        <v>1333825.48</v>
      </c>
      <c r="I3654" s="66">
        <v>44853</v>
      </c>
      <c r="J3654" s="411" t="s">
        <v>9453</v>
      </c>
      <c r="K3654" s="58" t="s">
        <v>4465</v>
      </c>
      <c r="L3654" s="99"/>
      <c r="M3654" s="70" t="s">
        <v>9417</v>
      </c>
      <c r="N3654" s="97" t="s">
        <v>716</v>
      </c>
      <c r="O3654" s="58"/>
      <c r="P3654" s="58" t="s">
        <v>28</v>
      </c>
      <c r="Q3654" s="58" t="s">
        <v>116</v>
      </c>
      <c r="R3654" s="58" t="s">
        <v>272</v>
      </c>
    </row>
    <row r="3655" spans="1:18" ht="69" customHeight="1">
      <c r="A3655" s="168"/>
      <c r="B3655" s="178">
        <v>8337</v>
      </c>
      <c r="C3655" s="178" t="s">
        <v>9441</v>
      </c>
      <c r="D3655" s="575" t="s">
        <v>9454</v>
      </c>
      <c r="E3655" s="178" t="s">
        <v>1372</v>
      </c>
      <c r="F3655" s="210" t="s">
        <v>9455</v>
      </c>
      <c r="G3655" s="58" t="s">
        <v>1388</v>
      </c>
      <c r="H3655" s="546">
        <v>82579.039999999994</v>
      </c>
      <c r="I3655" s="66">
        <v>44923</v>
      </c>
      <c r="J3655" s="411" t="s">
        <v>1389</v>
      </c>
      <c r="K3655" s="58"/>
      <c r="L3655" s="99"/>
      <c r="M3655" s="70" t="s">
        <v>9450</v>
      </c>
      <c r="N3655" s="97" t="s">
        <v>1372</v>
      </c>
      <c r="O3655" s="58"/>
      <c r="P3655" s="58" t="s">
        <v>57</v>
      </c>
      <c r="Q3655" s="58" t="s">
        <v>116</v>
      </c>
      <c r="R3655" s="58" t="s">
        <v>272</v>
      </c>
    </row>
    <row r="3656" spans="1:18" ht="69" customHeight="1">
      <c r="A3656" s="168"/>
      <c r="B3656" s="178">
        <v>8550</v>
      </c>
      <c r="C3656" s="178" t="s">
        <v>9441</v>
      </c>
      <c r="D3656" s="575" t="s">
        <v>9456</v>
      </c>
      <c r="E3656" s="178" t="s">
        <v>1372</v>
      </c>
      <c r="F3656" s="210" t="s">
        <v>9457</v>
      </c>
      <c r="G3656" s="58" t="s">
        <v>1393</v>
      </c>
      <c r="H3656" s="546">
        <v>47062.96</v>
      </c>
      <c r="I3656" s="66">
        <v>44942</v>
      </c>
      <c r="J3656" s="411" t="s">
        <v>9348</v>
      </c>
      <c r="K3656" s="58"/>
      <c r="L3656" s="99"/>
      <c r="M3656" s="70" t="s">
        <v>9450</v>
      </c>
      <c r="N3656" s="97" t="s">
        <v>1372</v>
      </c>
      <c r="O3656" s="58"/>
      <c r="P3656" s="58" t="s">
        <v>57</v>
      </c>
      <c r="Q3656" s="58" t="s">
        <v>116</v>
      </c>
      <c r="R3656" s="58" t="s">
        <v>272</v>
      </c>
    </row>
    <row r="3657" spans="1:18" ht="69" customHeight="1">
      <c r="A3657" s="168"/>
      <c r="B3657" s="178">
        <v>8664</v>
      </c>
      <c r="C3657" s="178" t="s">
        <v>9441</v>
      </c>
      <c r="D3657" s="575" t="s">
        <v>4201</v>
      </c>
      <c r="E3657" s="178" t="s">
        <v>809</v>
      </c>
      <c r="F3657" s="210" t="s">
        <v>9458</v>
      </c>
      <c r="G3657" s="58" t="s">
        <v>823</v>
      </c>
      <c r="H3657" s="546">
        <v>8999.9</v>
      </c>
      <c r="I3657" s="66">
        <v>44949</v>
      </c>
      <c r="J3657" s="411" t="s">
        <v>824</v>
      </c>
      <c r="K3657" s="58"/>
      <c r="L3657" s="99"/>
      <c r="M3657" s="70" t="s">
        <v>9447</v>
      </c>
      <c r="N3657" s="97" t="s">
        <v>814</v>
      </c>
      <c r="O3657" s="58"/>
      <c r="P3657" s="58" t="s">
        <v>36</v>
      </c>
      <c r="Q3657" s="58" t="s">
        <v>116</v>
      </c>
      <c r="R3657" s="58" t="s">
        <v>272</v>
      </c>
    </row>
    <row r="3658" spans="1:18" ht="69" customHeight="1">
      <c r="A3658" s="168"/>
      <c r="B3658" s="178">
        <v>8726</v>
      </c>
      <c r="C3658" s="178" t="s">
        <v>9441</v>
      </c>
      <c r="D3658" s="575" t="s">
        <v>4916</v>
      </c>
      <c r="E3658" s="178" t="s">
        <v>1372</v>
      </c>
      <c r="F3658" s="210" t="s">
        <v>9459</v>
      </c>
      <c r="G3658" s="58" t="s">
        <v>1403</v>
      </c>
      <c r="H3658" s="546">
        <v>84583.2</v>
      </c>
      <c r="I3658" s="66">
        <v>44970</v>
      </c>
      <c r="J3658" s="411" t="s">
        <v>9460</v>
      </c>
      <c r="K3658" s="58"/>
      <c r="L3658" s="99"/>
      <c r="M3658" s="70" t="s">
        <v>9450</v>
      </c>
      <c r="N3658" s="97" t="s">
        <v>1372</v>
      </c>
      <c r="O3658" s="58"/>
      <c r="P3658" s="58" t="s">
        <v>57</v>
      </c>
      <c r="Q3658" s="58" t="s">
        <v>116</v>
      </c>
      <c r="R3658" s="58" t="s">
        <v>272</v>
      </c>
    </row>
    <row r="3659" spans="1:18" ht="69" customHeight="1">
      <c r="A3659" s="168"/>
      <c r="B3659" s="178">
        <v>8831</v>
      </c>
      <c r="C3659" s="178" t="s">
        <v>9441</v>
      </c>
      <c r="D3659" s="575" t="s">
        <v>4918</v>
      </c>
      <c r="E3659" s="178" t="s">
        <v>755</v>
      </c>
      <c r="F3659" s="210" t="s">
        <v>9461</v>
      </c>
      <c r="G3659" s="58" t="s">
        <v>1415</v>
      </c>
      <c r="H3659" s="546">
        <v>1274587.17</v>
      </c>
      <c r="I3659" s="66">
        <v>44948</v>
      </c>
      <c r="J3659" s="411" t="s">
        <v>9462</v>
      </c>
      <c r="K3659" s="58"/>
      <c r="L3659" s="99"/>
      <c r="M3659" s="70" t="s">
        <v>9417</v>
      </c>
      <c r="N3659" s="97" t="s">
        <v>716</v>
      </c>
      <c r="O3659" s="58"/>
      <c r="P3659" s="58" t="s">
        <v>28</v>
      </c>
      <c r="Q3659" s="58" t="s">
        <v>116</v>
      </c>
      <c r="R3659" s="58" t="s">
        <v>272</v>
      </c>
    </row>
    <row r="3660" spans="1:18" ht="69" customHeight="1">
      <c r="A3660" s="168"/>
      <c r="B3660" s="178">
        <v>8893</v>
      </c>
      <c r="C3660" s="178" t="s">
        <v>9441</v>
      </c>
      <c r="D3660" s="575" t="s">
        <v>3075</v>
      </c>
      <c r="E3660" s="178" t="s">
        <v>755</v>
      </c>
      <c r="F3660" s="210" t="s">
        <v>9463</v>
      </c>
      <c r="G3660" s="58" t="s">
        <v>9356</v>
      </c>
      <c r="H3660" s="546">
        <v>55957.4</v>
      </c>
      <c r="I3660" s="66">
        <v>44981</v>
      </c>
      <c r="J3660" s="411" t="s">
        <v>9464</v>
      </c>
      <c r="K3660" s="58"/>
      <c r="L3660" s="99"/>
      <c r="M3660" s="70" t="s">
        <v>9417</v>
      </c>
      <c r="N3660" s="97" t="s">
        <v>716</v>
      </c>
      <c r="O3660" s="58"/>
      <c r="P3660" s="58" t="s">
        <v>57</v>
      </c>
      <c r="Q3660" s="58" t="s">
        <v>116</v>
      </c>
      <c r="R3660" s="58" t="s">
        <v>272</v>
      </c>
    </row>
    <row r="3661" spans="1:18" ht="69" customHeight="1">
      <c r="A3661" s="168"/>
      <c r="B3661" s="178">
        <v>8942</v>
      </c>
      <c r="C3661" s="178" t="s">
        <v>9441</v>
      </c>
      <c r="D3661" s="575" t="s">
        <v>2082</v>
      </c>
      <c r="E3661" s="178" t="s">
        <v>755</v>
      </c>
      <c r="F3661" s="210" t="s">
        <v>9465</v>
      </c>
      <c r="G3661" s="58" t="s">
        <v>9466</v>
      </c>
      <c r="H3661" s="546">
        <v>285121.62</v>
      </c>
      <c r="I3661" s="66">
        <v>44986</v>
      </c>
      <c r="J3661" s="411" t="s">
        <v>9467</v>
      </c>
      <c r="K3661" s="58" t="s">
        <v>9440</v>
      </c>
      <c r="L3661" s="99"/>
      <c r="M3661" s="70" t="s">
        <v>9417</v>
      </c>
      <c r="N3661" s="97" t="s">
        <v>716</v>
      </c>
      <c r="O3661" s="58"/>
      <c r="P3661" s="58" t="s">
        <v>28</v>
      </c>
      <c r="Q3661" s="58" t="s">
        <v>116</v>
      </c>
      <c r="R3661" s="58" t="s">
        <v>272</v>
      </c>
    </row>
    <row r="3662" spans="1:18" ht="69" customHeight="1">
      <c r="A3662" s="168"/>
      <c r="B3662" s="178">
        <v>8846</v>
      </c>
      <c r="C3662" s="178" t="s">
        <v>9441</v>
      </c>
      <c r="D3662" s="575" t="s">
        <v>1861</v>
      </c>
      <c r="E3662" s="178" t="s">
        <v>809</v>
      </c>
      <c r="F3662" s="210" t="s">
        <v>9468</v>
      </c>
      <c r="G3662" s="58" t="s">
        <v>845</v>
      </c>
      <c r="H3662" s="546">
        <v>7000</v>
      </c>
      <c r="I3662" s="66">
        <v>44948</v>
      </c>
      <c r="J3662" s="411" t="s">
        <v>846</v>
      </c>
      <c r="K3662" s="58"/>
      <c r="L3662" s="99"/>
      <c r="M3662" s="70" t="s">
        <v>9447</v>
      </c>
      <c r="N3662" s="97" t="s">
        <v>814</v>
      </c>
      <c r="O3662" s="58"/>
      <c r="P3662" s="58" t="s">
        <v>36</v>
      </c>
      <c r="Q3662" s="58" t="s">
        <v>116</v>
      </c>
      <c r="R3662" s="58" t="s">
        <v>272</v>
      </c>
    </row>
    <row r="3663" spans="1:18" ht="69" customHeight="1">
      <c r="A3663" s="168"/>
      <c r="B3663" s="178">
        <v>9013</v>
      </c>
      <c r="C3663" s="178" t="s">
        <v>9441</v>
      </c>
      <c r="D3663" s="575" t="s">
        <v>2545</v>
      </c>
      <c r="E3663" s="178" t="s">
        <v>809</v>
      </c>
      <c r="F3663" s="210" t="s">
        <v>9469</v>
      </c>
      <c r="G3663" s="58" t="s">
        <v>863</v>
      </c>
      <c r="H3663" s="546">
        <v>8999.9</v>
      </c>
      <c r="I3663" s="66" t="s">
        <v>96</v>
      </c>
      <c r="J3663" s="411" t="s">
        <v>864</v>
      </c>
      <c r="K3663" s="58"/>
      <c r="L3663" s="99"/>
      <c r="M3663" s="70" t="s">
        <v>9447</v>
      </c>
      <c r="N3663" s="97" t="s">
        <v>814</v>
      </c>
      <c r="O3663" s="58"/>
      <c r="P3663" s="58" t="s">
        <v>36</v>
      </c>
      <c r="Q3663" s="58" t="s">
        <v>116</v>
      </c>
      <c r="R3663" s="58" t="s">
        <v>272</v>
      </c>
    </row>
    <row r="3664" spans="1:18" ht="69" customHeight="1">
      <c r="A3664" s="168"/>
      <c r="B3664" s="178">
        <v>9103</v>
      </c>
      <c r="C3664" s="178" t="s">
        <v>9441</v>
      </c>
      <c r="D3664" s="575" t="s">
        <v>442</v>
      </c>
      <c r="E3664" s="178" t="s">
        <v>755</v>
      </c>
      <c r="F3664" s="210" t="s">
        <v>9470</v>
      </c>
      <c r="G3664" s="58" t="s">
        <v>867</v>
      </c>
      <c r="H3664" s="546">
        <v>1179546.6299999999</v>
      </c>
      <c r="I3664" s="66">
        <v>45002</v>
      </c>
      <c r="J3664" s="411" t="s">
        <v>868</v>
      </c>
      <c r="K3664" s="58"/>
      <c r="L3664" s="99"/>
      <c r="M3664" s="70" t="s">
        <v>9417</v>
      </c>
      <c r="N3664" s="97" t="s">
        <v>716</v>
      </c>
      <c r="O3664" s="58"/>
      <c r="P3664" s="58" t="s">
        <v>28</v>
      </c>
      <c r="Q3664" s="58" t="s">
        <v>116</v>
      </c>
      <c r="R3664" s="58" t="s">
        <v>272</v>
      </c>
    </row>
    <row r="3665" spans="1:18" ht="69" customHeight="1">
      <c r="A3665" s="168"/>
      <c r="B3665" s="178">
        <v>9218</v>
      </c>
      <c r="C3665" s="178" t="s">
        <v>9441</v>
      </c>
      <c r="D3665" s="575" t="s">
        <v>7703</v>
      </c>
      <c r="E3665" s="178" t="s">
        <v>755</v>
      </c>
      <c r="F3665" s="210" t="s">
        <v>9471</v>
      </c>
      <c r="G3665" s="58" t="s">
        <v>9472</v>
      </c>
      <c r="H3665" s="546">
        <v>1179546.6299999999</v>
      </c>
      <c r="I3665" s="66">
        <v>45002</v>
      </c>
      <c r="J3665" s="411" t="s">
        <v>9473</v>
      </c>
      <c r="K3665" s="58"/>
      <c r="L3665" s="99"/>
      <c r="M3665" s="70" t="s">
        <v>9417</v>
      </c>
      <c r="N3665" s="97" t="s">
        <v>716</v>
      </c>
      <c r="O3665" s="58"/>
      <c r="P3665" s="58" t="s">
        <v>28</v>
      </c>
      <c r="Q3665" s="58" t="s">
        <v>116</v>
      </c>
      <c r="R3665" s="58" t="s">
        <v>272</v>
      </c>
    </row>
    <row r="3666" spans="1:18" ht="69" customHeight="1">
      <c r="A3666" s="168"/>
      <c r="B3666" s="178">
        <v>9220</v>
      </c>
      <c r="C3666" s="178" t="s">
        <v>9441</v>
      </c>
      <c r="D3666" s="575" t="s">
        <v>2318</v>
      </c>
      <c r="E3666" s="178" t="s">
        <v>755</v>
      </c>
      <c r="F3666" s="210" t="s">
        <v>9474</v>
      </c>
      <c r="G3666" s="58" t="s">
        <v>9373</v>
      </c>
      <c r="H3666" s="546">
        <v>69184.72</v>
      </c>
      <c r="I3666" s="66">
        <v>45005</v>
      </c>
      <c r="J3666" s="411" t="s">
        <v>9475</v>
      </c>
      <c r="K3666" s="58"/>
      <c r="L3666" s="99"/>
      <c r="M3666" s="70" t="s">
        <v>9417</v>
      </c>
      <c r="N3666" s="97" t="s">
        <v>716</v>
      </c>
      <c r="O3666" s="58"/>
      <c r="P3666" s="58" t="s">
        <v>57</v>
      </c>
      <c r="Q3666" s="58" t="s">
        <v>116</v>
      </c>
      <c r="R3666" s="58" t="s">
        <v>272</v>
      </c>
    </row>
    <row r="3667" spans="1:18" ht="69" customHeight="1">
      <c r="A3667" s="168"/>
      <c r="B3667" s="178">
        <v>9459</v>
      </c>
      <c r="C3667" s="178" t="s">
        <v>9441</v>
      </c>
      <c r="D3667" s="575" t="s">
        <v>799</v>
      </c>
      <c r="E3667" s="178" t="s">
        <v>266</v>
      </c>
      <c r="F3667" s="210" t="s">
        <v>9476</v>
      </c>
      <c r="G3667" s="58" t="s">
        <v>4527</v>
      </c>
      <c r="H3667" s="546">
        <v>12000</v>
      </c>
      <c r="I3667" s="66">
        <v>45014</v>
      </c>
      <c r="J3667" s="411" t="s">
        <v>4528</v>
      </c>
      <c r="K3667" s="58"/>
      <c r="L3667" s="99"/>
      <c r="M3667" s="70" t="s">
        <v>9384</v>
      </c>
      <c r="N3667" s="97" t="s">
        <v>270</v>
      </c>
      <c r="O3667" s="62" t="s">
        <v>6918</v>
      </c>
      <c r="P3667" s="58" t="s">
        <v>44</v>
      </c>
      <c r="Q3667" s="58" t="s">
        <v>116</v>
      </c>
      <c r="R3667" s="58" t="s">
        <v>272</v>
      </c>
    </row>
    <row r="3668" spans="1:18" ht="69" customHeight="1">
      <c r="A3668" s="168"/>
      <c r="B3668" s="178">
        <v>9446</v>
      </c>
      <c r="C3668" s="178" t="s">
        <v>9441</v>
      </c>
      <c r="D3668" s="575" t="s">
        <v>3799</v>
      </c>
      <c r="E3668" s="178" t="s">
        <v>1372</v>
      </c>
      <c r="F3668" s="210" t="s">
        <v>9477</v>
      </c>
      <c r="G3668" s="58" t="s">
        <v>9376</v>
      </c>
      <c r="H3668" s="546">
        <v>41207.199999999997</v>
      </c>
      <c r="I3668" s="66">
        <v>45014</v>
      </c>
      <c r="J3668" s="411" t="s">
        <v>9478</v>
      </c>
      <c r="K3668" s="58"/>
      <c r="L3668" s="99"/>
      <c r="M3668" s="70" t="s">
        <v>9450</v>
      </c>
      <c r="N3668" s="97" t="s">
        <v>1372</v>
      </c>
      <c r="O3668" s="58"/>
      <c r="P3668" s="58" t="s">
        <v>57</v>
      </c>
      <c r="Q3668" s="58" t="s">
        <v>116</v>
      </c>
      <c r="R3668" s="58" t="s">
        <v>272</v>
      </c>
    </row>
    <row r="3669" spans="1:18" ht="69" customHeight="1">
      <c r="A3669" s="168"/>
      <c r="B3669" s="178">
        <v>9686</v>
      </c>
      <c r="C3669" s="178" t="s">
        <v>9441</v>
      </c>
      <c r="D3669" s="575" t="s">
        <v>3767</v>
      </c>
      <c r="E3669" s="178" t="s">
        <v>755</v>
      </c>
      <c r="F3669" s="210" t="s">
        <v>9479</v>
      </c>
      <c r="G3669" s="58" t="s">
        <v>841</v>
      </c>
      <c r="H3669" s="546">
        <v>285121.62</v>
      </c>
      <c r="I3669" s="66">
        <v>45019</v>
      </c>
      <c r="J3669" s="411" t="s">
        <v>9480</v>
      </c>
      <c r="K3669" s="58" t="s">
        <v>9440</v>
      </c>
      <c r="L3669" s="99"/>
      <c r="M3669" s="70" t="s">
        <v>9417</v>
      </c>
      <c r="N3669" s="97" t="s">
        <v>716</v>
      </c>
      <c r="O3669" s="58"/>
      <c r="P3669" s="58" t="s">
        <v>28</v>
      </c>
      <c r="Q3669" s="58" t="s">
        <v>116</v>
      </c>
      <c r="R3669" s="58" t="s">
        <v>272</v>
      </c>
    </row>
    <row r="3670" spans="1:18" ht="69" customHeight="1">
      <c r="A3670" s="168"/>
      <c r="B3670" s="178">
        <v>9724</v>
      </c>
      <c r="C3670" s="178" t="s">
        <v>9441</v>
      </c>
      <c r="D3670" s="575" t="s">
        <v>9481</v>
      </c>
      <c r="E3670" s="178" t="s">
        <v>755</v>
      </c>
      <c r="F3670" s="210" t="s">
        <v>9482</v>
      </c>
      <c r="G3670" s="58" t="s">
        <v>9379</v>
      </c>
      <c r="H3670" s="546">
        <v>91688</v>
      </c>
      <c r="I3670" s="66">
        <v>45041</v>
      </c>
      <c r="J3670" s="411" t="s">
        <v>9483</v>
      </c>
      <c r="K3670" s="58"/>
      <c r="L3670" s="99"/>
      <c r="M3670" s="70" t="s">
        <v>9417</v>
      </c>
      <c r="N3670" s="97" t="s">
        <v>716</v>
      </c>
      <c r="O3670" s="58"/>
      <c r="P3670" s="58" t="s">
        <v>57</v>
      </c>
      <c r="Q3670" s="58" t="s">
        <v>116</v>
      </c>
      <c r="R3670" s="58" t="s">
        <v>272</v>
      </c>
    </row>
    <row r="3671" spans="1:18" ht="69" customHeight="1">
      <c r="A3671" s="168"/>
      <c r="B3671" s="178">
        <v>9714</v>
      </c>
      <c r="C3671" s="178" t="s">
        <v>9441</v>
      </c>
      <c r="D3671" s="575" t="s">
        <v>2783</v>
      </c>
      <c r="E3671" s="178" t="s">
        <v>809</v>
      </c>
      <c r="F3671" s="210" t="s">
        <v>9469</v>
      </c>
      <c r="G3671" s="58" t="s">
        <v>874</v>
      </c>
      <c r="H3671" s="546">
        <v>7371.06</v>
      </c>
      <c r="I3671" s="66" t="s">
        <v>96</v>
      </c>
      <c r="J3671" s="411" t="s">
        <v>875</v>
      </c>
      <c r="K3671" s="58"/>
      <c r="L3671" s="99"/>
      <c r="M3671" s="70" t="s">
        <v>9447</v>
      </c>
      <c r="N3671" s="97" t="s">
        <v>814</v>
      </c>
      <c r="O3671" s="58"/>
      <c r="P3671" s="58" t="s">
        <v>36</v>
      </c>
      <c r="Q3671" s="58" t="s">
        <v>116</v>
      </c>
      <c r="R3671" s="58" t="s">
        <v>272</v>
      </c>
    </row>
    <row r="3672" spans="1:18" ht="69" customHeight="1">
      <c r="A3672" s="168"/>
      <c r="B3672" s="178">
        <v>9795</v>
      </c>
      <c r="C3672" s="178" t="s">
        <v>657</v>
      </c>
      <c r="D3672" s="575" t="s">
        <v>3359</v>
      </c>
      <c r="E3672" s="178" t="s">
        <v>382</v>
      </c>
      <c r="F3672" s="569" t="s">
        <v>9484</v>
      </c>
      <c r="G3672" s="58" t="s">
        <v>9485</v>
      </c>
      <c r="H3672" s="546">
        <v>2892.13</v>
      </c>
      <c r="I3672" s="66">
        <v>45051</v>
      </c>
      <c r="J3672" s="411" t="s">
        <v>9486</v>
      </c>
      <c r="K3672" s="58"/>
      <c r="L3672" s="99"/>
      <c r="M3672" s="70" t="s">
        <v>9412</v>
      </c>
      <c r="N3672" s="97" t="s">
        <v>387</v>
      </c>
      <c r="O3672" s="58" t="s">
        <v>9487</v>
      </c>
      <c r="P3672" s="58" t="s">
        <v>51</v>
      </c>
      <c r="Q3672" s="58" t="s">
        <v>116</v>
      </c>
      <c r="R3672" s="58" t="s">
        <v>272</v>
      </c>
    </row>
    <row r="3673" spans="1:18" ht="69" customHeight="1">
      <c r="A3673" s="168"/>
      <c r="B3673" s="178">
        <v>9947</v>
      </c>
      <c r="C3673" s="178" t="s">
        <v>9441</v>
      </c>
      <c r="D3673" s="575" t="s">
        <v>6094</v>
      </c>
      <c r="E3673" s="178" t="s">
        <v>1372</v>
      </c>
      <c r="F3673" s="210" t="s">
        <v>9488</v>
      </c>
      <c r="G3673" s="58" t="s">
        <v>9489</v>
      </c>
      <c r="H3673" s="546">
        <v>45000</v>
      </c>
      <c r="I3673" s="66">
        <v>45048</v>
      </c>
      <c r="J3673" s="411" t="s">
        <v>9490</v>
      </c>
      <c r="K3673" s="58"/>
      <c r="L3673" s="99"/>
      <c r="M3673" s="70" t="s">
        <v>9450</v>
      </c>
      <c r="N3673" s="97" t="s">
        <v>1372</v>
      </c>
      <c r="O3673" s="58"/>
      <c r="P3673" s="58" t="s">
        <v>57</v>
      </c>
      <c r="Q3673" s="58" t="s">
        <v>116</v>
      </c>
      <c r="R3673" s="58" t="s">
        <v>272</v>
      </c>
    </row>
    <row r="3674" spans="1:18" ht="69" customHeight="1">
      <c r="A3674" s="168"/>
      <c r="B3674" s="171">
        <v>9795</v>
      </c>
      <c r="C3674" s="171" t="s">
        <v>657</v>
      </c>
      <c r="D3674" s="593" t="s">
        <v>3359</v>
      </c>
      <c r="E3674" s="171" t="s">
        <v>382</v>
      </c>
      <c r="F3674" s="594" t="s">
        <v>9484</v>
      </c>
      <c r="G3674" s="100" t="s">
        <v>9485</v>
      </c>
      <c r="H3674" s="542">
        <v>2892.13</v>
      </c>
      <c r="I3674" s="96">
        <v>45051</v>
      </c>
      <c r="J3674" s="595" t="s">
        <v>9486</v>
      </c>
      <c r="K3674" s="58" t="s">
        <v>9491</v>
      </c>
      <c r="L3674" s="99"/>
      <c r="M3674" s="70" t="s">
        <v>9412</v>
      </c>
      <c r="N3674" s="97" t="s">
        <v>387</v>
      </c>
      <c r="O3674" s="100" t="s">
        <v>9487</v>
      </c>
      <c r="P3674" s="100" t="s">
        <v>67</v>
      </c>
      <c r="Q3674" s="100" t="s">
        <v>116</v>
      </c>
      <c r="R3674" s="100" t="s">
        <v>272</v>
      </c>
    </row>
    <row r="3675" spans="1:18" ht="69" customHeight="1">
      <c r="A3675" s="168"/>
      <c r="B3675" s="178">
        <v>9841</v>
      </c>
      <c r="C3675" s="178" t="s">
        <v>657</v>
      </c>
      <c r="D3675" s="575" t="s">
        <v>4252</v>
      </c>
      <c r="E3675" s="178" t="s">
        <v>382</v>
      </c>
      <c r="F3675" s="210" t="s">
        <v>9492</v>
      </c>
      <c r="G3675" s="58" t="s">
        <v>884</v>
      </c>
      <c r="H3675" s="546">
        <v>29180</v>
      </c>
      <c r="I3675" s="66">
        <v>45040</v>
      </c>
      <c r="J3675" s="411" t="s">
        <v>885</v>
      </c>
      <c r="K3675" s="58"/>
      <c r="L3675" s="99"/>
      <c r="M3675" s="70" t="s">
        <v>9412</v>
      </c>
      <c r="N3675" s="97" t="s">
        <v>387</v>
      </c>
      <c r="O3675" s="58" t="s">
        <v>9487</v>
      </c>
      <c r="P3675" s="58" t="s">
        <v>51</v>
      </c>
      <c r="Q3675" s="58" t="s">
        <v>116</v>
      </c>
      <c r="R3675" s="58" t="s">
        <v>272</v>
      </c>
    </row>
    <row r="3676" spans="1:18" ht="69" customHeight="1">
      <c r="A3676" s="168"/>
      <c r="B3676" s="178">
        <v>1057</v>
      </c>
      <c r="C3676" s="178" t="s">
        <v>9441</v>
      </c>
      <c r="D3676" s="575" t="s">
        <v>4978</v>
      </c>
      <c r="E3676" s="178" t="s">
        <v>809</v>
      </c>
      <c r="F3676" s="210" t="s">
        <v>9493</v>
      </c>
      <c r="G3676" s="58" t="s">
        <v>9494</v>
      </c>
      <c r="H3676" s="546">
        <v>7371.06</v>
      </c>
      <c r="I3676" s="66">
        <v>45071</v>
      </c>
      <c r="J3676" s="411" t="s">
        <v>9495</v>
      </c>
      <c r="K3676" s="58"/>
      <c r="L3676" s="99"/>
      <c r="M3676" s="70" t="s">
        <v>9447</v>
      </c>
      <c r="N3676" s="97" t="s">
        <v>814</v>
      </c>
      <c r="O3676" s="58"/>
      <c r="P3676" s="58" t="s">
        <v>36</v>
      </c>
      <c r="Q3676" s="58" t="s">
        <v>116</v>
      </c>
      <c r="R3676" s="58" t="s">
        <v>272</v>
      </c>
    </row>
    <row r="3677" spans="1:18" ht="69" customHeight="1">
      <c r="A3677" s="168"/>
      <c r="B3677" s="178" t="s">
        <v>9496</v>
      </c>
      <c r="C3677" s="178" t="s">
        <v>458</v>
      </c>
      <c r="D3677" s="575"/>
      <c r="E3677" s="178" t="s">
        <v>350</v>
      </c>
      <c r="F3677" s="210" t="s">
        <v>9497</v>
      </c>
      <c r="G3677" s="58" t="s">
        <v>7080</v>
      </c>
      <c r="H3677" s="546">
        <v>5362.8</v>
      </c>
      <c r="I3677" s="66" t="s">
        <v>96</v>
      </c>
      <c r="J3677" s="411" t="s">
        <v>7081</v>
      </c>
      <c r="K3677" s="58" t="s">
        <v>9498</v>
      </c>
      <c r="L3677" s="99"/>
      <c r="M3677" s="70" t="s">
        <v>9499</v>
      </c>
      <c r="N3677" s="97" t="s">
        <v>356</v>
      </c>
      <c r="O3677" s="58" t="s">
        <v>141</v>
      </c>
      <c r="P3677" s="58" t="s">
        <v>19</v>
      </c>
      <c r="Q3677" s="58" t="s">
        <v>117</v>
      </c>
      <c r="R3677" s="58" t="s">
        <v>265</v>
      </c>
    </row>
    <row r="3678" spans="1:18" ht="69" customHeight="1">
      <c r="A3678" s="168"/>
      <c r="B3678" s="178" t="s">
        <v>9500</v>
      </c>
      <c r="C3678" s="178" t="s">
        <v>657</v>
      </c>
      <c r="D3678" s="575"/>
      <c r="E3678" s="178" t="s">
        <v>350</v>
      </c>
      <c r="F3678" s="210" t="s">
        <v>9501</v>
      </c>
      <c r="G3678" s="58" t="s">
        <v>7080</v>
      </c>
      <c r="H3678" s="552">
        <v>2426.44</v>
      </c>
      <c r="I3678" s="66" t="s">
        <v>96</v>
      </c>
      <c r="J3678" s="411" t="s">
        <v>7081</v>
      </c>
      <c r="K3678" s="58" t="s">
        <v>9498</v>
      </c>
      <c r="L3678" s="99"/>
      <c r="M3678" s="70" t="s">
        <v>9499</v>
      </c>
      <c r="N3678" s="97" t="s">
        <v>356</v>
      </c>
      <c r="O3678" s="58" t="s">
        <v>141</v>
      </c>
      <c r="P3678" s="58" t="s">
        <v>19</v>
      </c>
      <c r="Q3678" s="58" t="s">
        <v>116</v>
      </c>
      <c r="R3678" s="58" t="s">
        <v>265</v>
      </c>
    </row>
    <row r="3679" spans="1:18" ht="69" customHeight="1">
      <c r="A3679" s="168"/>
      <c r="B3679" s="178">
        <v>2819</v>
      </c>
      <c r="C3679" s="178" t="s">
        <v>309</v>
      </c>
      <c r="D3679" s="575" t="s">
        <v>9502</v>
      </c>
      <c r="E3679" s="178" t="s">
        <v>266</v>
      </c>
      <c r="F3679" s="210" t="s">
        <v>9503</v>
      </c>
      <c r="G3679" s="58" t="s">
        <v>5560</v>
      </c>
      <c r="H3679" s="546">
        <v>7060</v>
      </c>
      <c r="I3679" s="66">
        <v>44582</v>
      </c>
      <c r="J3679" s="411" t="s">
        <v>9504</v>
      </c>
      <c r="K3679" s="58"/>
      <c r="L3679" s="99"/>
      <c r="M3679" s="70" t="s">
        <v>9505</v>
      </c>
      <c r="N3679" s="97" t="s">
        <v>270</v>
      </c>
      <c r="O3679" s="58"/>
      <c r="P3679" s="58" t="s">
        <v>44</v>
      </c>
      <c r="Q3679" s="58" t="s">
        <v>117</v>
      </c>
      <c r="R3679" s="58" t="s">
        <v>272</v>
      </c>
    </row>
    <row r="3680" spans="1:18" ht="69" customHeight="1">
      <c r="A3680" s="168"/>
      <c r="B3680" s="191">
        <v>3009</v>
      </c>
      <c r="C3680" s="191" t="s">
        <v>458</v>
      </c>
      <c r="D3680" s="533" t="s">
        <v>2473</v>
      </c>
      <c r="E3680" s="191" t="s">
        <v>331</v>
      </c>
      <c r="F3680" s="211" t="s">
        <v>9506</v>
      </c>
      <c r="G3680" s="46" t="s">
        <v>4416</v>
      </c>
      <c r="H3680" s="534">
        <v>0</v>
      </c>
      <c r="I3680" s="56" t="s">
        <v>96</v>
      </c>
      <c r="J3680" s="412" t="s">
        <v>334</v>
      </c>
      <c r="K3680" s="46"/>
      <c r="L3680" s="99"/>
      <c r="M3680" s="379"/>
      <c r="N3680" s="76" t="s">
        <v>69</v>
      </c>
      <c r="O3680" s="46"/>
      <c r="P3680" s="46" t="s">
        <v>69</v>
      </c>
      <c r="Q3680" s="46" t="s">
        <v>117</v>
      </c>
      <c r="R3680" s="46" t="s">
        <v>272</v>
      </c>
    </row>
    <row r="3681" spans="1:18" ht="69" customHeight="1">
      <c r="A3681" s="168"/>
      <c r="B3681" s="178">
        <v>3032</v>
      </c>
      <c r="C3681" s="178" t="s">
        <v>458</v>
      </c>
      <c r="D3681" s="575" t="s">
        <v>5990</v>
      </c>
      <c r="E3681" s="178" t="s">
        <v>305</v>
      </c>
      <c r="F3681" s="210" t="s">
        <v>9507</v>
      </c>
      <c r="G3681" s="58" t="s">
        <v>1470</v>
      </c>
      <c r="H3681" s="546">
        <v>15000</v>
      </c>
      <c r="I3681" s="66">
        <v>44617</v>
      </c>
      <c r="J3681" s="411" t="s">
        <v>9508</v>
      </c>
      <c r="K3681" s="58"/>
      <c r="L3681" s="99"/>
      <c r="M3681" s="70" t="s">
        <v>9505</v>
      </c>
      <c r="N3681" s="97" t="s">
        <v>270</v>
      </c>
      <c r="O3681" s="58" t="s">
        <v>9509</v>
      </c>
      <c r="P3681" s="58" t="s">
        <v>44</v>
      </c>
      <c r="Q3681" s="58" t="s">
        <v>117</v>
      </c>
      <c r="R3681" s="58" t="s">
        <v>272</v>
      </c>
    </row>
    <row r="3682" spans="1:18" ht="69" customHeight="1">
      <c r="A3682" s="168"/>
      <c r="B3682" s="178">
        <v>4089</v>
      </c>
      <c r="C3682" s="178" t="s">
        <v>458</v>
      </c>
      <c r="D3682" s="575" t="s">
        <v>4561</v>
      </c>
      <c r="E3682" s="178" t="s">
        <v>1473</v>
      </c>
      <c r="F3682" s="210" t="s">
        <v>9510</v>
      </c>
      <c r="G3682" s="58" t="s">
        <v>9511</v>
      </c>
      <c r="H3682" s="546">
        <v>12000</v>
      </c>
      <c r="I3682" s="66">
        <v>44641</v>
      </c>
      <c r="J3682" s="411" t="s">
        <v>9512</v>
      </c>
      <c r="K3682" s="58"/>
      <c r="L3682" s="99"/>
      <c r="M3682" s="70" t="s">
        <v>9505</v>
      </c>
      <c r="N3682" s="97" t="s">
        <v>270</v>
      </c>
      <c r="O3682" s="58"/>
      <c r="P3682" s="58" t="s">
        <v>44</v>
      </c>
      <c r="Q3682" s="58" t="s">
        <v>117</v>
      </c>
      <c r="R3682" s="58" t="s">
        <v>272</v>
      </c>
    </row>
    <row r="3683" spans="1:18" ht="69" customHeight="1">
      <c r="A3683" s="168"/>
      <c r="B3683" s="178">
        <v>7215</v>
      </c>
      <c r="C3683" s="178" t="s">
        <v>458</v>
      </c>
      <c r="D3683" s="575" t="s">
        <v>4887</v>
      </c>
      <c r="E3683" s="178" t="s">
        <v>358</v>
      </c>
      <c r="F3683" s="210" t="s">
        <v>9513</v>
      </c>
      <c r="G3683" s="58" t="s">
        <v>9514</v>
      </c>
      <c r="H3683" s="546">
        <v>420000</v>
      </c>
      <c r="I3683" s="66">
        <v>44860</v>
      </c>
      <c r="J3683" s="411" t="s">
        <v>9515</v>
      </c>
      <c r="K3683" s="58"/>
      <c r="L3683" s="99"/>
      <c r="M3683" s="70" t="s">
        <v>9516</v>
      </c>
      <c r="N3683" s="97" t="s">
        <v>356</v>
      </c>
      <c r="O3683" s="58" t="s">
        <v>141</v>
      </c>
      <c r="P3683" s="58" t="s">
        <v>19</v>
      </c>
      <c r="Q3683" s="58" t="s">
        <v>117</v>
      </c>
      <c r="R3683" s="58" t="s">
        <v>272</v>
      </c>
    </row>
    <row r="3684" spans="1:18" ht="69" customHeight="1">
      <c r="A3684" s="168"/>
      <c r="B3684" s="178">
        <v>4728</v>
      </c>
      <c r="C3684" s="178" t="s">
        <v>458</v>
      </c>
      <c r="D3684" s="575" t="s">
        <v>2438</v>
      </c>
      <c r="E3684" s="178" t="s">
        <v>331</v>
      </c>
      <c r="F3684" s="210" t="s">
        <v>9517</v>
      </c>
      <c r="G3684" s="58"/>
      <c r="H3684" s="546">
        <v>3389.12</v>
      </c>
      <c r="I3684" s="66">
        <v>44678</v>
      </c>
      <c r="J3684" s="411" t="s">
        <v>9518</v>
      </c>
      <c r="K3684" s="58"/>
      <c r="L3684" s="99"/>
      <c r="M3684" s="70" t="s">
        <v>9505</v>
      </c>
      <c r="N3684" s="97" t="s">
        <v>270</v>
      </c>
      <c r="O3684" s="58"/>
      <c r="P3684" s="58" t="s">
        <v>44</v>
      </c>
      <c r="Q3684" s="58" t="s">
        <v>117</v>
      </c>
      <c r="R3684" s="58" t="s">
        <v>272</v>
      </c>
    </row>
    <row r="3685" spans="1:18" ht="69" customHeight="1">
      <c r="A3685" s="168"/>
      <c r="B3685" s="178">
        <v>4728</v>
      </c>
      <c r="C3685" s="178" t="s">
        <v>458</v>
      </c>
      <c r="D3685" s="575" t="s">
        <v>3469</v>
      </c>
      <c r="E3685" s="178" t="s">
        <v>331</v>
      </c>
      <c r="F3685" s="210" t="s">
        <v>9519</v>
      </c>
      <c r="G3685" s="58" t="s">
        <v>372</v>
      </c>
      <c r="H3685" s="546">
        <v>30502.1</v>
      </c>
      <c r="I3685" s="66">
        <v>44701</v>
      </c>
      <c r="J3685" s="411" t="s">
        <v>9520</v>
      </c>
      <c r="K3685" s="58"/>
      <c r="L3685" s="99"/>
      <c r="M3685" s="70" t="s">
        <v>9505</v>
      </c>
      <c r="N3685" s="97" t="s">
        <v>270</v>
      </c>
      <c r="O3685" s="58"/>
      <c r="P3685" s="58" t="s">
        <v>44</v>
      </c>
      <c r="Q3685" s="58" t="s">
        <v>117</v>
      </c>
      <c r="R3685" s="58" t="s">
        <v>272</v>
      </c>
    </row>
    <row r="3686" spans="1:18" ht="69" customHeight="1">
      <c r="A3686" s="168"/>
      <c r="B3686" s="178">
        <v>4951</v>
      </c>
      <c r="C3686" s="178" t="s">
        <v>458</v>
      </c>
      <c r="D3686" s="575" t="s">
        <v>1271</v>
      </c>
      <c r="E3686" s="178" t="s">
        <v>266</v>
      </c>
      <c r="F3686" s="210" t="s">
        <v>9521</v>
      </c>
      <c r="G3686" s="58" t="s">
        <v>376</v>
      </c>
      <c r="H3686" s="546">
        <v>3521.06</v>
      </c>
      <c r="I3686" s="66">
        <v>44706</v>
      </c>
      <c r="J3686" s="411" t="s">
        <v>9522</v>
      </c>
      <c r="K3686" s="58"/>
      <c r="L3686" s="99"/>
      <c r="M3686" s="70" t="s">
        <v>9505</v>
      </c>
      <c r="N3686" s="97" t="s">
        <v>270</v>
      </c>
      <c r="O3686" s="58"/>
      <c r="P3686" s="58" t="s">
        <v>44</v>
      </c>
      <c r="Q3686" s="58" t="s">
        <v>117</v>
      </c>
      <c r="R3686" s="58" t="s">
        <v>272</v>
      </c>
    </row>
    <row r="3687" spans="1:18" ht="69" customHeight="1">
      <c r="A3687" s="168"/>
      <c r="B3687" s="178">
        <v>5109</v>
      </c>
      <c r="C3687" s="178" t="s">
        <v>458</v>
      </c>
      <c r="D3687" s="575" t="s">
        <v>1996</v>
      </c>
      <c r="E3687" s="178" t="s">
        <v>266</v>
      </c>
      <c r="F3687" s="210" t="s">
        <v>9523</v>
      </c>
      <c r="G3687" s="58" t="s">
        <v>376</v>
      </c>
      <c r="H3687" s="546">
        <v>5281.58</v>
      </c>
      <c r="I3687" s="66">
        <v>44732</v>
      </c>
      <c r="J3687" s="411" t="s">
        <v>9524</v>
      </c>
      <c r="K3687" s="58"/>
      <c r="L3687" s="99"/>
      <c r="M3687" s="70" t="s">
        <v>9505</v>
      </c>
      <c r="N3687" s="97" t="s">
        <v>270</v>
      </c>
      <c r="O3687" s="58"/>
      <c r="P3687" s="58" t="s">
        <v>44</v>
      </c>
      <c r="Q3687" s="58" t="s">
        <v>117</v>
      </c>
      <c r="R3687" s="58" t="s">
        <v>272</v>
      </c>
    </row>
    <row r="3688" spans="1:18" ht="69" customHeight="1">
      <c r="A3688" s="168"/>
      <c r="B3688" s="178">
        <v>5110</v>
      </c>
      <c r="C3688" s="178" t="s">
        <v>458</v>
      </c>
      <c r="D3688" s="575" t="s">
        <v>2927</v>
      </c>
      <c r="E3688" s="178" t="s">
        <v>382</v>
      </c>
      <c r="F3688" s="210" t="s">
        <v>9525</v>
      </c>
      <c r="G3688" s="58" t="s">
        <v>384</v>
      </c>
      <c r="H3688" s="546">
        <v>27761.33</v>
      </c>
      <c r="I3688" s="66">
        <v>44736</v>
      </c>
      <c r="J3688" s="411" t="s">
        <v>9526</v>
      </c>
      <c r="K3688" s="58"/>
      <c r="L3688" s="99"/>
      <c r="M3688" s="70" t="s">
        <v>9527</v>
      </c>
      <c r="N3688" s="97" t="s">
        <v>387</v>
      </c>
      <c r="O3688" s="45" t="s">
        <v>150</v>
      </c>
      <c r="P3688" s="58" t="s">
        <v>51</v>
      </c>
      <c r="Q3688" s="58" t="s">
        <v>117</v>
      </c>
      <c r="R3688" s="58" t="s">
        <v>272</v>
      </c>
    </row>
    <row r="3689" spans="1:18" ht="69" customHeight="1">
      <c r="A3689" s="168"/>
      <c r="B3689" s="178">
        <v>5111</v>
      </c>
      <c r="C3689" s="178" t="s">
        <v>458</v>
      </c>
      <c r="D3689" s="575" t="s">
        <v>341</v>
      </c>
      <c r="E3689" s="178" t="s">
        <v>382</v>
      </c>
      <c r="F3689" s="210" t="s">
        <v>9528</v>
      </c>
      <c r="G3689" s="58" t="s">
        <v>384</v>
      </c>
      <c r="H3689" s="546">
        <v>39819.519999999997</v>
      </c>
      <c r="I3689" s="66">
        <v>44736</v>
      </c>
      <c r="J3689" s="411" t="s">
        <v>9529</v>
      </c>
      <c r="K3689" s="58"/>
      <c r="L3689" s="99"/>
      <c r="M3689" s="70" t="s">
        <v>9527</v>
      </c>
      <c r="N3689" s="97" t="s">
        <v>387</v>
      </c>
      <c r="O3689" s="45" t="s">
        <v>150</v>
      </c>
      <c r="P3689" s="58" t="s">
        <v>51</v>
      </c>
      <c r="Q3689" s="58" t="s">
        <v>117</v>
      </c>
      <c r="R3689" s="58" t="s">
        <v>272</v>
      </c>
    </row>
    <row r="3690" spans="1:18" ht="69" customHeight="1">
      <c r="A3690" s="168"/>
      <c r="B3690" s="178">
        <v>6270</v>
      </c>
      <c r="C3690" s="178" t="s">
        <v>458</v>
      </c>
      <c r="D3690" s="575" t="s">
        <v>661</v>
      </c>
      <c r="E3690" s="178" t="s">
        <v>266</v>
      </c>
      <c r="F3690" s="210" t="s">
        <v>9530</v>
      </c>
      <c r="G3690" s="58" t="s">
        <v>347</v>
      </c>
      <c r="H3690" s="546">
        <v>1500</v>
      </c>
      <c r="I3690" s="66">
        <v>44741</v>
      </c>
      <c r="J3690" s="411" t="s">
        <v>9531</v>
      </c>
      <c r="K3690" s="58"/>
      <c r="L3690" s="99"/>
      <c r="M3690" s="70" t="s">
        <v>9505</v>
      </c>
      <c r="N3690" s="97" t="s">
        <v>270</v>
      </c>
      <c r="O3690" s="58"/>
      <c r="P3690" s="58" t="s">
        <v>44</v>
      </c>
      <c r="Q3690" s="58" t="s">
        <v>117</v>
      </c>
      <c r="R3690" s="58" t="s">
        <v>272</v>
      </c>
    </row>
    <row r="3691" spans="1:18" ht="69" customHeight="1">
      <c r="A3691" s="168"/>
      <c r="B3691" s="178">
        <v>5220</v>
      </c>
      <c r="C3691" s="178" t="s">
        <v>458</v>
      </c>
      <c r="D3691" s="575" t="s">
        <v>8788</v>
      </c>
      <c r="E3691" s="178" t="s">
        <v>266</v>
      </c>
      <c r="F3691" s="210" t="s">
        <v>9532</v>
      </c>
      <c r="G3691" s="58" t="s">
        <v>396</v>
      </c>
      <c r="H3691" s="546">
        <v>3500</v>
      </c>
      <c r="I3691" s="66">
        <v>44753</v>
      </c>
      <c r="J3691" s="411" t="s">
        <v>9533</v>
      </c>
      <c r="K3691" s="58" t="s">
        <v>705</v>
      </c>
      <c r="L3691" s="99"/>
      <c r="M3691" s="70" t="s">
        <v>9534</v>
      </c>
      <c r="N3691" s="97" t="s">
        <v>399</v>
      </c>
      <c r="O3691" s="58" t="s">
        <v>147</v>
      </c>
      <c r="P3691" s="58" t="s">
        <v>40</v>
      </c>
      <c r="Q3691" s="58" t="s">
        <v>117</v>
      </c>
      <c r="R3691" s="58" t="s">
        <v>272</v>
      </c>
    </row>
    <row r="3692" spans="1:18" ht="69" customHeight="1">
      <c r="A3692" s="168"/>
      <c r="B3692" s="59">
        <v>6434</v>
      </c>
      <c r="C3692" s="59" t="s">
        <v>458</v>
      </c>
      <c r="D3692" s="581" t="s">
        <v>1313</v>
      </c>
      <c r="E3692" s="59" t="s">
        <v>432</v>
      </c>
      <c r="F3692" s="569" t="s">
        <v>9535</v>
      </c>
      <c r="G3692" s="45" t="s">
        <v>429</v>
      </c>
      <c r="H3692" s="546">
        <v>13959.486000000001</v>
      </c>
      <c r="I3692" s="47">
        <v>44802</v>
      </c>
      <c r="J3692" s="410" t="s">
        <v>5702</v>
      </c>
      <c r="K3692" s="58"/>
      <c r="L3692" s="99"/>
      <c r="M3692" s="70" t="s">
        <v>9536</v>
      </c>
      <c r="N3692" s="97" t="s">
        <v>432</v>
      </c>
      <c r="O3692" s="58"/>
      <c r="P3692" s="58" t="s">
        <v>53</v>
      </c>
      <c r="Q3692" s="58" t="s">
        <v>117</v>
      </c>
      <c r="R3692" s="58" t="s">
        <v>272</v>
      </c>
    </row>
    <row r="3693" spans="1:18" ht="69" customHeight="1">
      <c r="A3693" s="168"/>
      <c r="B3693" s="178">
        <v>5294</v>
      </c>
      <c r="C3693" s="178" t="s">
        <v>458</v>
      </c>
      <c r="D3693" s="575" t="s">
        <v>2264</v>
      </c>
      <c r="E3693" s="178" t="s">
        <v>266</v>
      </c>
      <c r="F3693" s="210" t="s">
        <v>9537</v>
      </c>
      <c r="G3693" s="58" t="s">
        <v>1107</v>
      </c>
      <c r="H3693" s="546">
        <v>6500</v>
      </c>
      <c r="I3693" s="66" t="s">
        <v>96</v>
      </c>
      <c r="J3693" s="411" t="s">
        <v>9538</v>
      </c>
      <c r="K3693" s="58"/>
      <c r="L3693" s="99"/>
      <c r="M3693" s="70" t="s">
        <v>9539</v>
      </c>
      <c r="N3693" s="97" t="s">
        <v>552</v>
      </c>
      <c r="O3693" s="58" t="s">
        <v>9540</v>
      </c>
      <c r="P3693" s="58" t="s">
        <v>38</v>
      </c>
      <c r="Q3693" s="58" t="s">
        <v>117</v>
      </c>
      <c r="R3693" s="58" t="s">
        <v>272</v>
      </c>
    </row>
    <row r="3694" spans="1:18" ht="69" customHeight="1">
      <c r="A3694" s="168"/>
      <c r="B3694" s="600">
        <v>6600</v>
      </c>
      <c r="C3694" s="600" t="s">
        <v>458</v>
      </c>
      <c r="D3694" s="601" t="s">
        <v>2280</v>
      </c>
      <c r="E3694" s="600" t="s">
        <v>5708</v>
      </c>
      <c r="F3694" s="602" t="s">
        <v>9541</v>
      </c>
      <c r="G3694" s="460" t="s">
        <v>5710</v>
      </c>
      <c r="H3694" s="605">
        <v>218501.83</v>
      </c>
      <c r="I3694" s="461">
        <v>44816</v>
      </c>
      <c r="J3694" s="603" t="s">
        <v>9542</v>
      </c>
      <c r="K3694" s="58"/>
      <c r="L3694" s="99"/>
      <c r="M3694" s="70" t="s">
        <v>9543</v>
      </c>
      <c r="N3694" s="97" t="s">
        <v>414</v>
      </c>
      <c r="O3694" s="58" t="s">
        <v>5713</v>
      </c>
      <c r="P3694" s="58" t="s">
        <v>24</v>
      </c>
      <c r="Q3694" s="58" t="s">
        <v>117</v>
      </c>
      <c r="R3694" s="58" t="s">
        <v>265</v>
      </c>
    </row>
    <row r="3695" spans="1:18" ht="69" customHeight="1">
      <c r="A3695" s="168"/>
      <c r="B3695" s="600">
        <v>6618</v>
      </c>
      <c r="C3695" s="600" t="s">
        <v>458</v>
      </c>
      <c r="D3695" s="601" t="s">
        <v>400</v>
      </c>
      <c r="E3695" s="600" t="s">
        <v>5708</v>
      </c>
      <c r="F3695" s="602" t="s">
        <v>9544</v>
      </c>
      <c r="G3695" s="460" t="s">
        <v>5710</v>
      </c>
      <c r="H3695" s="605">
        <v>336997.76</v>
      </c>
      <c r="I3695" s="461">
        <v>44820</v>
      </c>
      <c r="J3695" s="603" t="s">
        <v>9542</v>
      </c>
      <c r="K3695" s="58"/>
      <c r="L3695" s="99"/>
      <c r="M3695" s="70" t="s">
        <v>9543</v>
      </c>
      <c r="N3695" s="97" t="s">
        <v>414</v>
      </c>
      <c r="O3695" s="58" t="s">
        <v>5713</v>
      </c>
      <c r="P3695" s="58" t="s">
        <v>24</v>
      </c>
      <c r="Q3695" s="58" t="s">
        <v>117</v>
      </c>
      <c r="R3695" s="58" t="s">
        <v>265</v>
      </c>
    </row>
    <row r="3696" spans="1:18" ht="69" customHeight="1">
      <c r="A3696" s="168"/>
      <c r="B3696" s="178">
        <v>6705</v>
      </c>
      <c r="C3696" s="178" t="s">
        <v>9545</v>
      </c>
      <c r="D3696" s="575" t="s">
        <v>4600</v>
      </c>
      <c r="E3696" s="178" t="s">
        <v>409</v>
      </c>
      <c r="F3696" s="210" t="s">
        <v>9546</v>
      </c>
      <c r="G3696" s="58" t="s">
        <v>5809</v>
      </c>
      <c r="H3696" s="546">
        <v>274070.21999999997</v>
      </c>
      <c r="I3696" s="66">
        <v>44820</v>
      </c>
      <c r="J3696" s="411" t="s">
        <v>6986</v>
      </c>
      <c r="K3696" s="58"/>
      <c r="L3696" s="99"/>
      <c r="M3696" s="70" t="s">
        <v>9547</v>
      </c>
      <c r="N3696" s="97" t="s">
        <v>414</v>
      </c>
      <c r="O3696" s="58" t="s">
        <v>5713</v>
      </c>
      <c r="P3696" s="58" t="s">
        <v>24</v>
      </c>
      <c r="Q3696" s="58" t="s">
        <v>117</v>
      </c>
      <c r="R3696" s="58" t="s">
        <v>272</v>
      </c>
    </row>
    <row r="3697" spans="1:18" ht="69" customHeight="1">
      <c r="A3697" s="168"/>
      <c r="B3697" s="178">
        <v>7611</v>
      </c>
      <c r="C3697" s="178" t="s">
        <v>458</v>
      </c>
      <c r="D3697" s="575" t="s">
        <v>7900</v>
      </c>
      <c r="E3697" s="178" t="s">
        <v>266</v>
      </c>
      <c r="F3697" s="210" t="s">
        <v>9548</v>
      </c>
      <c r="G3697" s="58" t="s">
        <v>9011</v>
      </c>
      <c r="H3697" s="546">
        <v>3400</v>
      </c>
      <c r="I3697" s="66">
        <v>44890</v>
      </c>
      <c r="J3697" s="411" t="s">
        <v>9012</v>
      </c>
      <c r="K3697" s="58"/>
      <c r="L3697" s="99"/>
      <c r="M3697" s="70" t="s">
        <v>9505</v>
      </c>
      <c r="N3697" s="97" t="s">
        <v>270</v>
      </c>
      <c r="O3697" s="58"/>
      <c r="P3697" s="58" t="s">
        <v>44</v>
      </c>
      <c r="Q3697" s="58" t="s">
        <v>117</v>
      </c>
      <c r="R3697" s="58" t="s">
        <v>272</v>
      </c>
    </row>
    <row r="3698" spans="1:18" ht="69" customHeight="1">
      <c r="A3698" s="168"/>
      <c r="B3698" s="178">
        <v>8551</v>
      </c>
      <c r="C3698" s="178" t="s">
        <v>458</v>
      </c>
      <c r="D3698" s="575" t="s">
        <v>3359</v>
      </c>
      <c r="E3698" s="178" t="s">
        <v>350</v>
      </c>
      <c r="F3698" s="210" t="s">
        <v>9549</v>
      </c>
      <c r="G3698" s="58" t="s">
        <v>7710</v>
      </c>
      <c r="H3698" s="546">
        <v>676762.87</v>
      </c>
      <c r="I3698" s="66">
        <v>44960</v>
      </c>
      <c r="J3698" s="411" t="s">
        <v>9550</v>
      </c>
      <c r="K3698" s="58"/>
      <c r="L3698" s="99"/>
      <c r="M3698" s="70" t="s">
        <v>9499</v>
      </c>
      <c r="N3698" s="97" t="s">
        <v>356</v>
      </c>
      <c r="O3698" s="58" t="s">
        <v>141</v>
      </c>
      <c r="P3698" s="58" t="s">
        <v>19</v>
      </c>
      <c r="Q3698" s="58" t="s">
        <v>117</v>
      </c>
      <c r="R3698" s="58" t="s">
        <v>265</v>
      </c>
    </row>
    <row r="3699" spans="1:18" ht="69" customHeight="1">
      <c r="A3699" s="168"/>
      <c r="B3699" s="178">
        <v>8778</v>
      </c>
      <c r="C3699" s="178" t="s">
        <v>458</v>
      </c>
      <c r="D3699" s="575" t="s">
        <v>3395</v>
      </c>
      <c r="E3699" s="178" t="s">
        <v>350</v>
      </c>
      <c r="F3699" s="210" t="s">
        <v>9551</v>
      </c>
      <c r="G3699" s="58" t="s">
        <v>2153</v>
      </c>
      <c r="H3699" s="546">
        <v>8390</v>
      </c>
      <c r="I3699" s="66">
        <v>44973</v>
      </c>
      <c r="J3699" s="411" t="s">
        <v>7732</v>
      </c>
      <c r="K3699" s="58"/>
      <c r="L3699" s="99"/>
      <c r="M3699" s="70" t="s">
        <v>9499</v>
      </c>
      <c r="N3699" s="97" t="s">
        <v>356</v>
      </c>
      <c r="O3699" s="58" t="s">
        <v>141</v>
      </c>
      <c r="P3699" s="58" t="s">
        <v>19</v>
      </c>
      <c r="Q3699" s="58" t="s">
        <v>117</v>
      </c>
      <c r="R3699" s="58" t="s">
        <v>265</v>
      </c>
    </row>
    <row r="3700" spans="1:18" ht="69" customHeight="1">
      <c r="A3700" s="168"/>
      <c r="B3700" s="178">
        <v>8480</v>
      </c>
      <c r="C3700" s="178" t="s">
        <v>458</v>
      </c>
      <c r="D3700" s="575" t="s">
        <v>7200</v>
      </c>
      <c r="E3700" s="178" t="s">
        <v>266</v>
      </c>
      <c r="F3700" s="210" t="s">
        <v>9552</v>
      </c>
      <c r="G3700" s="58" t="s">
        <v>1107</v>
      </c>
      <c r="H3700" s="546">
        <v>6500</v>
      </c>
      <c r="I3700" s="66">
        <v>44942</v>
      </c>
      <c r="J3700" s="411" t="s">
        <v>5836</v>
      </c>
      <c r="K3700" s="58"/>
      <c r="L3700" s="99"/>
      <c r="M3700" s="70" t="s">
        <v>9539</v>
      </c>
      <c r="N3700" s="97" t="s">
        <v>552</v>
      </c>
      <c r="O3700" s="58" t="s">
        <v>9540</v>
      </c>
      <c r="P3700" s="58" t="s">
        <v>38</v>
      </c>
      <c r="Q3700" s="58" t="s">
        <v>117</v>
      </c>
      <c r="R3700" s="58" t="s">
        <v>272</v>
      </c>
    </row>
    <row r="3701" spans="1:18" ht="69" customHeight="1">
      <c r="A3701" s="168"/>
      <c r="B3701" s="178">
        <v>8481</v>
      </c>
      <c r="C3701" s="178" t="s">
        <v>458</v>
      </c>
      <c r="D3701" s="575" t="s">
        <v>7204</v>
      </c>
      <c r="E3701" s="178" t="s">
        <v>266</v>
      </c>
      <c r="F3701" s="210" t="s">
        <v>9553</v>
      </c>
      <c r="G3701" s="58" t="s">
        <v>1107</v>
      </c>
      <c r="H3701" s="546">
        <v>6500</v>
      </c>
      <c r="I3701" s="66">
        <v>44942</v>
      </c>
      <c r="J3701" s="411" t="s">
        <v>5836</v>
      </c>
      <c r="K3701" s="58"/>
      <c r="L3701" s="99"/>
      <c r="M3701" s="70" t="s">
        <v>9539</v>
      </c>
      <c r="N3701" s="97" t="s">
        <v>552</v>
      </c>
      <c r="O3701" s="58" t="s">
        <v>9540</v>
      </c>
      <c r="P3701" s="58" t="s">
        <v>38</v>
      </c>
      <c r="Q3701" s="58" t="s">
        <v>117</v>
      </c>
      <c r="R3701" s="58" t="s">
        <v>272</v>
      </c>
    </row>
    <row r="3702" spans="1:18" ht="69" customHeight="1">
      <c r="A3702" s="168"/>
      <c r="B3702" s="178">
        <v>8482</v>
      </c>
      <c r="C3702" s="178" t="s">
        <v>458</v>
      </c>
      <c r="D3702" s="575" t="s">
        <v>6097</v>
      </c>
      <c r="E3702" s="178" t="s">
        <v>266</v>
      </c>
      <c r="F3702" s="210" t="s">
        <v>9554</v>
      </c>
      <c r="G3702" s="58" t="s">
        <v>5731</v>
      </c>
      <c r="H3702" s="546">
        <v>850</v>
      </c>
      <c r="I3702" s="66">
        <v>44942</v>
      </c>
      <c r="J3702" s="411" t="s">
        <v>5836</v>
      </c>
      <c r="K3702" s="58"/>
      <c r="L3702" s="99"/>
      <c r="M3702" s="70" t="s">
        <v>9539</v>
      </c>
      <c r="N3702" s="97" t="s">
        <v>552</v>
      </c>
      <c r="O3702" s="58" t="s">
        <v>9540</v>
      </c>
      <c r="P3702" s="58" t="s">
        <v>38</v>
      </c>
      <c r="Q3702" s="58" t="s">
        <v>117</v>
      </c>
      <c r="R3702" s="58" t="s">
        <v>272</v>
      </c>
    </row>
    <row r="3703" spans="1:18" ht="69" customHeight="1">
      <c r="A3703" s="168"/>
      <c r="B3703" s="178">
        <v>8635</v>
      </c>
      <c r="C3703" s="178" t="s">
        <v>458</v>
      </c>
      <c r="D3703" s="575" t="s">
        <v>815</v>
      </c>
      <c r="E3703" s="178" t="s">
        <v>266</v>
      </c>
      <c r="F3703" s="210" t="s">
        <v>9555</v>
      </c>
      <c r="G3703" s="58" t="s">
        <v>1107</v>
      </c>
      <c r="H3703" s="546">
        <v>6500</v>
      </c>
      <c r="I3703" s="66">
        <v>44953</v>
      </c>
      <c r="J3703" s="411" t="s">
        <v>5725</v>
      </c>
      <c r="K3703" s="58"/>
      <c r="L3703" s="99"/>
      <c r="M3703" s="70" t="s">
        <v>9539</v>
      </c>
      <c r="N3703" s="97" t="s">
        <v>552</v>
      </c>
      <c r="O3703" s="58" t="s">
        <v>9540</v>
      </c>
      <c r="P3703" s="58" t="s">
        <v>38</v>
      </c>
      <c r="Q3703" s="58" t="s">
        <v>117</v>
      </c>
      <c r="R3703" s="58" t="s">
        <v>272</v>
      </c>
    </row>
    <row r="3704" spans="1:18" ht="69" customHeight="1">
      <c r="A3704" s="168"/>
      <c r="B3704" s="178" t="s">
        <v>9556</v>
      </c>
      <c r="C3704" s="178" t="s">
        <v>657</v>
      </c>
      <c r="D3704" s="575"/>
      <c r="E3704" s="178" t="s">
        <v>350</v>
      </c>
      <c r="F3704" s="210" t="s">
        <v>9557</v>
      </c>
      <c r="G3704" s="58" t="s">
        <v>7080</v>
      </c>
      <c r="H3704" s="546">
        <v>5362.8</v>
      </c>
      <c r="I3704" s="66" t="s">
        <v>96</v>
      </c>
      <c r="J3704" s="411" t="s">
        <v>7081</v>
      </c>
      <c r="K3704" s="58" t="s">
        <v>9558</v>
      </c>
      <c r="L3704" s="99"/>
      <c r="M3704" s="70" t="s">
        <v>9559</v>
      </c>
      <c r="N3704" s="97" t="s">
        <v>356</v>
      </c>
      <c r="O3704" s="58" t="s">
        <v>141</v>
      </c>
      <c r="P3704" s="58" t="s">
        <v>19</v>
      </c>
      <c r="Q3704" s="58" t="s">
        <v>118</v>
      </c>
      <c r="R3704" s="58" t="s">
        <v>265</v>
      </c>
    </row>
    <row r="3705" spans="1:18" ht="69" customHeight="1">
      <c r="A3705" s="168"/>
      <c r="B3705" s="178">
        <v>2946</v>
      </c>
      <c r="C3705" s="178" t="s">
        <v>657</v>
      </c>
      <c r="D3705" s="575" t="s">
        <v>706</v>
      </c>
      <c r="E3705" s="178" t="s">
        <v>350</v>
      </c>
      <c r="F3705" s="210" t="s">
        <v>9560</v>
      </c>
      <c r="G3705" s="58" t="s">
        <v>352</v>
      </c>
      <c r="H3705" s="546">
        <v>423563.42</v>
      </c>
      <c r="I3705" s="66">
        <v>44606</v>
      </c>
      <c r="J3705" s="411" t="s">
        <v>9561</v>
      </c>
      <c r="K3705" s="58" t="s">
        <v>9558</v>
      </c>
      <c r="L3705" s="99"/>
      <c r="M3705" s="70" t="s">
        <v>9559</v>
      </c>
      <c r="N3705" s="97" t="s">
        <v>356</v>
      </c>
      <c r="O3705" s="58" t="s">
        <v>141</v>
      </c>
      <c r="P3705" s="58" t="s">
        <v>19</v>
      </c>
      <c r="Q3705" s="58" t="s">
        <v>118</v>
      </c>
      <c r="R3705" s="58" t="s">
        <v>265</v>
      </c>
    </row>
    <row r="3706" spans="1:18" ht="69" customHeight="1">
      <c r="A3706" s="168"/>
      <c r="B3706" s="191">
        <v>3010</v>
      </c>
      <c r="C3706" s="191" t="s">
        <v>657</v>
      </c>
      <c r="D3706" s="533" t="s">
        <v>2240</v>
      </c>
      <c r="E3706" s="191" t="s">
        <v>331</v>
      </c>
      <c r="F3706" s="211" t="s">
        <v>9562</v>
      </c>
      <c r="G3706" s="46" t="s">
        <v>4416</v>
      </c>
      <c r="H3706" s="534">
        <v>0</v>
      </c>
      <c r="I3706" s="56" t="s">
        <v>96</v>
      </c>
      <c r="J3706" s="412" t="s">
        <v>334</v>
      </c>
      <c r="K3706" s="46"/>
      <c r="L3706" s="99"/>
      <c r="M3706" s="379"/>
      <c r="N3706" s="76" t="s">
        <v>69</v>
      </c>
      <c r="O3706" s="46"/>
      <c r="P3706" s="46" t="s">
        <v>69</v>
      </c>
      <c r="Q3706" s="46" t="s">
        <v>118</v>
      </c>
      <c r="R3706" s="46" t="s">
        <v>272</v>
      </c>
    </row>
    <row r="3707" spans="1:18" ht="69" customHeight="1">
      <c r="A3707" s="168"/>
      <c r="B3707" s="178">
        <v>4422</v>
      </c>
      <c r="C3707" s="178" t="s">
        <v>657</v>
      </c>
      <c r="D3707" s="575"/>
      <c r="E3707" s="178" t="s">
        <v>358</v>
      </c>
      <c r="F3707" s="210" t="s">
        <v>9563</v>
      </c>
      <c r="G3707" s="58"/>
      <c r="H3707" s="546">
        <v>0</v>
      </c>
      <c r="I3707" s="66">
        <v>44508</v>
      </c>
      <c r="J3707" s="411" t="s">
        <v>294</v>
      </c>
      <c r="K3707" s="58" t="s">
        <v>9558</v>
      </c>
      <c r="L3707" s="99"/>
      <c r="M3707" s="70" t="s">
        <v>9564</v>
      </c>
      <c r="N3707" s="97" t="s">
        <v>356</v>
      </c>
      <c r="O3707" s="58" t="s">
        <v>141</v>
      </c>
      <c r="P3707" s="58" t="s">
        <v>19</v>
      </c>
      <c r="Q3707" s="58" t="s">
        <v>118</v>
      </c>
      <c r="R3707" s="58" t="s">
        <v>272</v>
      </c>
    </row>
    <row r="3708" spans="1:18" ht="69" customHeight="1">
      <c r="A3708" s="168"/>
      <c r="B3708" s="178">
        <v>4729</v>
      </c>
      <c r="C3708" s="178" t="s">
        <v>657</v>
      </c>
      <c r="D3708" s="575" t="s">
        <v>3164</v>
      </c>
      <c r="E3708" s="178" t="s">
        <v>331</v>
      </c>
      <c r="F3708" s="210" t="s">
        <v>9565</v>
      </c>
      <c r="G3708" s="58"/>
      <c r="H3708" s="546">
        <v>3389.12</v>
      </c>
      <c r="I3708" s="66">
        <v>44678</v>
      </c>
      <c r="J3708" s="411" t="s">
        <v>9566</v>
      </c>
      <c r="K3708" s="58"/>
      <c r="L3708" s="99"/>
      <c r="M3708" s="70" t="s">
        <v>9567</v>
      </c>
      <c r="N3708" s="97" t="s">
        <v>270</v>
      </c>
      <c r="O3708" s="58"/>
      <c r="P3708" s="58" t="s">
        <v>44</v>
      </c>
      <c r="Q3708" s="58" t="s">
        <v>118</v>
      </c>
      <c r="R3708" s="58" t="s">
        <v>272</v>
      </c>
    </row>
    <row r="3709" spans="1:18" ht="69" customHeight="1">
      <c r="A3709" s="168"/>
      <c r="B3709" s="178">
        <v>4769</v>
      </c>
      <c r="C3709" s="178" t="s">
        <v>657</v>
      </c>
      <c r="D3709" s="575" t="s">
        <v>2209</v>
      </c>
      <c r="E3709" s="178" t="s">
        <v>358</v>
      </c>
      <c r="F3709" s="210" t="s">
        <v>9568</v>
      </c>
      <c r="G3709" s="58" t="s">
        <v>529</v>
      </c>
      <c r="H3709" s="546">
        <v>113271.79</v>
      </c>
      <c r="I3709" s="66">
        <v>44680</v>
      </c>
      <c r="J3709" s="411" t="s">
        <v>9569</v>
      </c>
      <c r="K3709" s="58" t="s">
        <v>9558</v>
      </c>
      <c r="L3709" s="99"/>
      <c r="M3709" s="70" t="s">
        <v>9564</v>
      </c>
      <c r="N3709" s="97" t="s">
        <v>356</v>
      </c>
      <c r="O3709" s="58" t="s">
        <v>141</v>
      </c>
      <c r="P3709" s="58" t="s">
        <v>19</v>
      </c>
      <c r="Q3709" s="58" t="s">
        <v>118</v>
      </c>
      <c r="R3709" s="58" t="s">
        <v>272</v>
      </c>
    </row>
    <row r="3710" spans="1:18" ht="69" customHeight="1">
      <c r="A3710" s="168"/>
      <c r="B3710" s="178">
        <v>4202</v>
      </c>
      <c r="C3710" s="178" t="s">
        <v>657</v>
      </c>
      <c r="D3710" s="575" t="s">
        <v>6910</v>
      </c>
      <c r="E3710" s="178" t="s">
        <v>266</v>
      </c>
      <c r="F3710" s="210" t="s">
        <v>9570</v>
      </c>
      <c r="G3710" s="58" t="s">
        <v>376</v>
      </c>
      <c r="H3710" s="546">
        <v>6911.76</v>
      </c>
      <c r="I3710" s="66">
        <v>44697</v>
      </c>
      <c r="J3710" s="411" t="s">
        <v>9571</v>
      </c>
      <c r="K3710" s="58"/>
      <c r="L3710" s="99"/>
      <c r="M3710" s="70" t="s">
        <v>9567</v>
      </c>
      <c r="N3710" s="97" t="s">
        <v>270</v>
      </c>
      <c r="O3710" s="58"/>
      <c r="P3710" s="58" t="s">
        <v>44</v>
      </c>
      <c r="Q3710" s="58" t="s">
        <v>118</v>
      </c>
      <c r="R3710" s="58" t="s">
        <v>272</v>
      </c>
    </row>
    <row r="3711" spans="1:18" ht="69" customHeight="1">
      <c r="A3711" s="168"/>
      <c r="B3711" s="178">
        <v>4862</v>
      </c>
      <c r="C3711" s="178" t="s">
        <v>657</v>
      </c>
      <c r="D3711" s="575" t="s">
        <v>2708</v>
      </c>
      <c r="E3711" s="178" t="s">
        <v>266</v>
      </c>
      <c r="F3711" s="210" t="s">
        <v>9572</v>
      </c>
      <c r="G3711" s="58" t="s">
        <v>680</v>
      </c>
      <c r="H3711" s="546">
        <v>6206.9</v>
      </c>
      <c r="I3711" s="66">
        <v>44706</v>
      </c>
      <c r="J3711" s="411" t="s">
        <v>9573</v>
      </c>
      <c r="K3711" s="58"/>
      <c r="L3711" s="99"/>
      <c r="M3711" s="70" t="s">
        <v>9574</v>
      </c>
      <c r="N3711" s="97" t="s">
        <v>683</v>
      </c>
      <c r="O3711" s="58" t="s">
        <v>149</v>
      </c>
      <c r="P3711" s="58" t="s">
        <v>46</v>
      </c>
      <c r="Q3711" s="58" t="s">
        <v>118</v>
      </c>
      <c r="R3711" s="58" t="s">
        <v>272</v>
      </c>
    </row>
    <row r="3712" spans="1:18" ht="69" customHeight="1">
      <c r="A3712" s="168"/>
      <c r="B3712" s="178">
        <v>4729</v>
      </c>
      <c r="C3712" s="178" t="s">
        <v>657</v>
      </c>
      <c r="D3712" s="575" t="s">
        <v>6833</v>
      </c>
      <c r="E3712" s="178" t="s">
        <v>331</v>
      </c>
      <c r="F3712" s="210" t="s">
        <v>9575</v>
      </c>
      <c r="G3712" s="58" t="s">
        <v>372</v>
      </c>
      <c r="H3712" s="546">
        <v>30502.1</v>
      </c>
      <c r="I3712" s="66">
        <v>44701</v>
      </c>
      <c r="J3712" s="411" t="s">
        <v>9576</v>
      </c>
      <c r="K3712" s="58"/>
      <c r="L3712" s="99"/>
      <c r="M3712" s="70" t="s">
        <v>9567</v>
      </c>
      <c r="N3712" s="97" t="s">
        <v>270</v>
      </c>
      <c r="O3712" s="58"/>
      <c r="P3712" s="58" t="s">
        <v>44</v>
      </c>
      <c r="Q3712" s="58" t="s">
        <v>118</v>
      </c>
      <c r="R3712" s="58" t="s">
        <v>272</v>
      </c>
    </row>
    <row r="3713" spans="1:18" ht="69" customHeight="1">
      <c r="A3713" s="168"/>
      <c r="B3713" s="178"/>
      <c r="C3713" s="178" t="s">
        <v>657</v>
      </c>
      <c r="D3713" s="575" t="s">
        <v>9577</v>
      </c>
      <c r="E3713" s="178" t="s">
        <v>382</v>
      </c>
      <c r="F3713" s="210" t="s">
        <v>9578</v>
      </c>
      <c r="G3713" s="58" t="s">
        <v>384</v>
      </c>
      <c r="H3713" s="546">
        <v>27761.33</v>
      </c>
      <c r="I3713" s="66">
        <v>44736</v>
      </c>
      <c r="J3713" s="411" t="s">
        <v>9579</v>
      </c>
      <c r="K3713" s="58"/>
      <c r="L3713" s="99"/>
      <c r="M3713" s="70" t="s">
        <v>9580</v>
      </c>
      <c r="N3713" s="97" t="s">
        <v>387</v>
      </c>
      <c r="O3713" s="45" t="s">
        <v>150</v>
      </c>
      <c r="P3713" s="58" t="s">
        <v>51</v>
      </c>
      <c r="Q3713" s="58" t="s">
        <v>118</v>
      </c>
      <c r="R3713" s="58" t="s">
        <v>272</v>
      </c>
    </row>
    <row r="3714" spans="1:18" ht="69" customHeight="1">
      <c r="A3714" s="168"/>
      <c r="B3714" s="178">
        <v>2</v>
      </c>
      <c r="C3714" s="178" t="s">
        <v>657</v>
      </c>
      <c r="D3714" s="575" t="s">
        <v>1490</v>
      </c>
      <c r="E3714" s="178" t="s">
        <v>382</v>
      </c>
      <c r="F3714" s="210" t="s">
        <v>9581</v>
      </c>
      <c r="G3714" s="58" t="s">
        <v>384</v>
      </c>
      <c r="H3714" s="546">
        <v>39819.519999999997</v>
      </c>
      <c r="I3714" s="66">
        <v>44736</v>
      </c>
      <c r="J3714" s="411" t="s">
        <v>9582</v>
      </c>
      <c r="K3714" s="58"/>
      <c r="L3714" s="99"/>
      <c r="M3714" s="70" t="s">
        <v>9580</v>
      </c>
      <c r="N3714" s="97" t="s">
        <v>387</v>
      </c>
      <c r="O3714" s="45" t="s">
        <v>150</v>
      </c>
      <c r="P3714" s="58" t="s">
        <v>51</v>
      </c>
      <c r="Q3714" s="58" t="s">
        <v>118</v>
      </c>
      <c r="R3714" s="58" t="s">
        <v>272</v>
      </c>
    </row>
    <row r="3715" spans="1:18" ht="69" customHeight="1">
      <c r="A3715" s="168"/>
      <c r="B3715" s="178">
        <v>6275</v>
      </c>
      <c r="C3715" s="178" t="s">
        <v>657</v>
      </c>
      <c r="D3715" s="575" t="s">
        <v>1992</v>
      </c>
      <c r="E3715" s="178" t="s">
        <v>350</v>
      </c>
      <c r="F3715" s="210" t="s">
        <v>9583</v>
      </c>
      <c r="G3715" s="58" t="s">
        <v>352</v>
      </c>
      <c r="H3715" s="546">
        <v>5700</v>
      </c>
      <c r="I3715" s="66">
        <v>44751</v>
      </c>
      <c r="J3715" s="411" t="s">
        <v>9584</v>
      </c>
      <c r="K3715" s="58" t="s">
        <v>9558</v>
      </c>
      <c r="L3715" s="99"/>
      <c r="M3715" s="70" t="s">
        <v>9559</v>
      </c>
      <c r="N3715" s="97" t="s">
        <v>356</v>
      </c>
      <c r="O3715" s="58" t="s">
        <v>141</v>
      </c>
      <c r="P3715" s="58" t="s">
        <v>19</v>
      </c>
      <c r="Q3715" s="58" t="s">
        <v>118</v>
      </c>
      <c r="R3715" s="58" t="s">
        <v>265</v>
      </c>
    </row>
    <row r="3716" spans="1:18" ht="69" customHeight="1">
      <c r="A3716" s="168"/>
      <c r="B3716" s="178">
        <v>6285</v>
      </c>
      <c r="C3716" s="178" t="s">
        <v>657</v>
      </c>
      <c r="D3716" s="575" t="s">
        <v>2705</v>
      </c>
      <c r="E3716" s="178" t="s">
        <v>350</v>
      </c>
      <c r="F3716" s="210" t="s">
        <v>9585</v>
      </c>
      <c r="G3716" s="58" t="s">
        <v>352</v>
      </c>
      <c r="H3716" s="546">
        <v>313506.36</v>
      </c>
      <c r="I3716" s="66">
        <v>44742</v>
      </c>
      <c r="J3716" s="411" t="s">
        <v>9586</v>
      </c>
      <c r="K3716" s="58" t="s">
        <v>9558</v>
      </c>
      <c r="L3716" s="99"/>
      <c r="M3716" s="70" t="s">
        <v>9559</v>
      </c>
      <c r="N3716" s="97" t="s">
        <v>356</v>
      </c>
      <c r="O3716" s="58" t="s">
        <v>141</v>
      </c>
      <c r="P3716" s="58" t="s">
        <v>19</v>
      </c>
      <c r="Q3716" s="58" t="s">
        <v>118</v>
      </c>
      <c r="R3716" s="58" t="s">
        <v>265</v>
      </c>
    </row>
    <row r="3717" spans="1:18" ht="69" customHeight="1">
      <c r="A3717" s="168"/>
      <c r="B3717" s="178">
        <v>6011</v>
      </c>
      <c r="C3717" s="178" t="s">
        <v>657</v>
      </c>
      <c r="D3717" s="575" t="s">
        <v>4431</v>
      </c>
      <c r="E3717" s="178" t="s">
        <v>350</v>
      </c>
      <c r="F3717" s="210" t="s">
        <v>9587</v>
      </c>
      <c r="G3717" s="58" t="s">
        <v>352</v>
      </c>
      <c r="H3717" s="546">
        <v>27153.23</v>
      </c>
      <c r="I3717" s="66">
        <v>44768</v>
      </c>
      <c r="J3717" s="411" t="s">
        <v>9588</v>
      </c>
      <c r="K3717" s="58" t="s">
        <v>9558</v>
      </c>
      <c r="L3717" s="99"/>
      <c r="M3717" s="70" t="s">
        <v>9559</v>
      </c>
      <c r="N3717" s="97" t="s">
        <v>356</v>
      </c>
      <c r="O3717" s="58" t="s">
        <v>141</v>
      </c>
      <c r="P3717" s="58" t="s">
        <v>19</v>
      </c>
      <c r="Q3717" s="58" t="s">
        <v>118</v>
      </c>
      <c r="R3717" s="58" t="s">
        <v>265</v>
      </c>
    </row>
    <row r="3718" spans="1:18" s="117" customFormat="1" ht="69" customHeight="1">
      <c r="A3718" s="168"/>
      <c r="B3718" s="178">
        <v>5349</v>
      </c>
      <c r="C3718" s="178" t="s">
        <v>657</v>
      </c>
      <c r="D3718" s="575" t="s">
        <v>5905</v>
      </c>
      <c r="E3718" s="178" t="s">
        <v>409</v>
      </c>
      <c r="F3718" s="210" t="s">
        <v>9589</v>
      </c>
      <c r="G3718" s="58" t="s">
        <v>712</v>
      </c>
      <c r="H3718" s="546">
        <v>3661670.62</v>
      </c>
      <c r="I3718" s="66">
        <v>44757</v>
      </c>
      <c r="J3718" s="411" t="s">
        <v>9590</v>
      </c>
      <c r="K3718" s="58" t="s">
        <v>3385</v>
      </c>
      <c r="L3718" s="99"/>
      <c r="M3718" s="70" t="s">
        <v>9591</v>
      </c>
      <c r="N3718" s="97" t="s">
        <v>716</v>
      </c>
      <c r="O3718" s="58" t="s">
        <v>1566</v>
      </c>
      <c r="P3718" s="58" t="s">
        <v>28</v>
      </c>
      <c r="Q3718" s="58" t="s">
        <v>118</v>
      </c>
      <c r="R3718" s="58" t="s">
        <v>272</v>
      </c>
    </row>
    <row r="3719" spans="1:18" ht="69" customHeight="1">
      <c r="A3719" s="168"/>
      <c r="B3719" s="171">
        <v>5365</v>
      </c>
      <c r="C3719" s="171" t="s">
        <v>657</v>
      </c>
      <c r="D3719" s="593" t="s">
        <v>337</v>
      </c>
      <c r="E3719" s="171" t="s">
        <v>409</v>
      </c>
      <c r="F3719" s="594" t="s">
        <v>9592</v>
      </c>
      <c r="G3719" s="100" t="s">
        <v>725</v>
      </c>
      <c r="H3719" s="546">
        <v>0</v>
      </c>
      <c r="I3719" s="96">
        <v>44760</v>
      </c>
      <c r="J3719" s="595" t="s">
        <v>9593</v>
      </c>
      <c r="K3719" s="100"/>
      <c r="L3719" s="99"/>
      <c r="M3719" s="70" t="s">
        <v>9591</v>
      </c>
      <c r="N3719" s="97" t="s">
        <v>716</v>
      </c>
      <c r="O3719" s="100"/>
      <c r="P3719" s="100" t="s">
        <v>28</v>
      </c>
      <c r="Q3719" s="100" t="s">
        <v>118</v>
      </c>
      <c r="R3719" s="100" t="s">
        <v>272</v>
      </c>
    </row>
    <row r="3720" spans="1:18" ht="69" customHeight="1">
      <c r="A3720" s="168"/>
      <c r="B3720" s="178">
        <v>6136</v>
      </c>
      <c r="C3720" s="178" t="s">
        <v>657</v>
      </c>
      <c r="D3720" s="575" t="s">
        <v>2949</v>
      </c>
      <c r="E3720" s="178" t="s">
        <v>350</v>
      </c>
      <c r="F3720" s="210" t="s">
        <v>9594</v>
      </c>
      <c r="G3720" s="58" t="s">
        <v>352</v>
      </c>
      <c r="H3720" s="546">
        <v>22730.400000000001</v>
      </c>
      <c r="I3720" s="66">
        <v>44784</v>
      </c>
      <c r="J3720" s="411" t="s">
        <v>9595</v>
      </c>
      <c r="K3720" s="58" t="s">
        <v>735</v>
      </c>
      <c r="L3720" s="99"/>
      <c r="M3720" s="70" t="s">
        <v>9559</v>
      </c>
      <c r="N3720" s="97" t="s">
        <v>356</v>
      </c>
      <c r="O3720" s="58" t="s">
        <v>141</v>
      </c>
      <c r="P3720" s="58" t="s">
        <v>19</v>
      </c>
      <c r="Q3720" s="58" t="s">
        <v>118</v>
      </c>
      <c r="R3720" s="58" t="s">
        <v>265</v>
      </c>
    </row>
    <row r="3721" spans="1:18" s="117" customFormat="1" ht="69" customHeight="1">
      <c r="A3721" s="168"/>
      <c r="B3721" s="178">
        <v>5365</v>
      </c>
      <c r="C3721" s="178" t="s">
        <v>9596</v>
      </c>
      <c r="D3721" s="575" t="s">
        <v>9597</v>
      </c>
      <c r="E3721" s="178" t="s">
        <v>755</v>
      </c>
      <c r="F3721" s="210" t="s">
        <v>9598</v>
      </c>
      <c r="G3721" s="58" t="s">
        <v>725</v>
      </c>
      <c r="H3721" s="546">
        <v>1025267.77</v>
      </c>
      <c r="I3721" s="66">
        <v>44781</v>
      </c>
      <c r="J3721" s="411" t="s">
        <v>9593</v>
      </c>
      <c r="K3721" s="58" t="s">
        <v>4455</v>
      </c>
      <c r="L3721" s="99"/>
      <c r="M3721" s="70" t="s">
        <v>9591</v>
      </c>
      <c r="N3721" s="97" t="s">
        <v>716</v>
      </c>
      <c r="O3721" s="58"/>
      <c r="P3721" s="58" t="s">
        <v>28</v>
      </c>
      <c r="Q3721" s="58" t="s">
        <v>118</v>
      </c>
      <c r="R3721" s="58" t="s">
        <v>272</v>
      </c>
    </row>
    <row r="3722" spans="1:18" ht="69" customHeight="1">
      <c r="A3722" s="168"/>
      <c r="B3722" s="178">
        <v>6596</v>
      </c>
      <c r="C3722" s="178" t="s">
        <v>657</v>
      </c>
      <c r="D3722" s="575" t="s">
        <v>1527</v>
      </c>
      <c r="E3722" s="178" t="s">
        <v>409</v>
      </c>
      <c r="F3722" s="210" t="s">
        <v>9599</v>
      </c>
      <c r="G3722" s="58" t="s">
        <v>738</v>
      </c>
      <c r="H3722" s="546">
        <v>79551.740000000005</v>
      </c>
      <c r="I3722" s="66">
        <v>44813</v>
      </c>
      <c r="J3722" s="411" t="s">
        <v>9600</v>
      </c>
      <c r="K3722" s="58"/>
      <c r="L3722" s="99"/>
      <c r="M3722" s="70" t="s">
        <v>9601</v>
      </c>
      <c r="N3722" s="97" t="s">
        <v>741</v>
      </c>
      <c r="O3722" s="677" t="s">
        <v>154</v>
      </c>
      <c r="P3722" s="58" t="s">
        <v>59</v>
      </c>
      <c r="Q3722" s="58" t="s">
        <v>118</v>
      </c>
      <c r="R3722" s="58" t="s">
        <v>272</v>
      </c>
    </row>
    <row r="3723" spans="1:18" s="117" customFormat="1" ht="69" customHeight="1">
      <c r="A3723" s="168"/>
      <c r="B3723" s="178">
        <v>6227</v>
      </c>
      <c r="C3723" s="178" t="s">
        <v>657</v>
      </c>
      <c r="D3723" s="575" t="s">
        <v>3183</v>
      </c>
      <c r="E3723" s="178" t="s">
        <v>755</v>
      </c>
      <c r="F3723" s="210" t="s">
        <v>9602</v>
      </c>
      <c r="G3723" s="58" t="s">
        <v>9329</v>
      </c>
      <c r="H3723" s="546">
        <v>439400.47</v>
      </c>
      <c r="I3723" s="66">
        <v>44788</v>
      </c>
      <c r="J3723" s="411" t="s">
        <v>9603</v>
      </c>
      <c r="K3723" s="58" t="s">
        <v>9604</v>
      </c>
      <c r="L3723" s="99"/>
      <c r="M3723" s="70" t="s">
        <v>9591</v>
      </c>
      <c r="N3723" s="97" t="s">
        <v>716</v>
      </c>
      <c r="O3723" s="58"/>
      <c r="P3723" s="58" t="s">
        <v>28</v>
      </c>
      <c r="Q3723" s="58" t="s">
        <v>118</v>
      </c>
      <c r="R3723" s="58" t="s">
        <v>272</v>
      </c>
    </row>
    <row r="3724" spans="1:18" ht="69" customHeight="1">
      <c r="A3724" s="168"/>
      <c r="B3724" s="178">
        <v>7678</v>
      </c>
      <c r="C3724" s="178" t="s">
        <v>9596</v>
      </c>
      <c r="D3724" s="575" t="s">
        <v>9605</v>
      </c>
      <c r="E3724" s="178" t="s">
        <v>1372</v>
      </c>
      <c r="F3724" s="210" t="s">
        <v>9606</v>
      </c>
      <c r="G3724" s="58" t="s">
        <v>1374</v>
      </c>
      <c r="H3724" s="546">
        <v>40671.49</v>
      </c>
      <c r="I3724" s="66">
        <v>44900</v>
      </c>
      <c r="J3724" s="411" t="s">
        <v>1375</v>
      </c>
      <c r="K3724" s="58"/>
      <c r="L3724" s="99"/>
      <c r="M3724" s="70" t="s">
        <v>9607</v>
      </c>
      <c r="N3724" s="97" t="s">
        <v>1372</v>
      </c>
      <c r="O3724" s="58"/>
      <c r="P3724" s="58" t="s">
        <v>57</v>
      </c>
      <c r="Q3724" s="58" t="s">
        <v>118</v>
      </c>
      <c r="R3724" s="58" t="s">
        <v>272</v>
      </c>
    </row>
    <row r="3725" spans="1:18" ht="69" customHeight="1">
      <c r="A3725" s="168"/>
      <c r="B3725" s="178">
        <v>6281</v>
      </c>
      <c r="C3725" s="178" t="s">
        <v>657</v>
      </c>
      <c r="D3725" s="575" t="s">
        <v>5594</v>
      </c>
      <c r="E3725" s="178" t="s">
        <v>266</v>
      </c>
      <c r="F3725" s="210" t="s">
        <v>9608</v>
      </c>
      <c r="G3725" s="58" t="s">
        <v>790</v>
      </c>
      <c r="H3725" s="546">
        <v>2281.25</v>
      </c>
      <c r="I3725" s="66">
        <v>44834</v>
      </c>
      <c r="J3725" s="411" t="s">
        <v>9609</v>
      </c>
      <c r="K3725" s="58"/>
      <c r="L3725" s="99"/>
      <c r="M3725" s="70" t="s">
        <v>9574</v>
      </c>
      <c r="N3725" s="97" t="s">
        <v>683</v>
      </c>
      <c r="O3725" s="58" t="s">
        <v>149</v>
      </c>
      <c r="P3725" s="58" t="s">
        <v>46</v>
      </c>
      <c r="Q3725" s="58" t="s">
        <v>118</v>
      </c>
      <c r="R3725" s="58" t="s">
        <v>272</v>
      </c>
    </row>
    <row r="3726" spans="1:18" ht="69" customHeight="1">
      <c r="A3726" s="168"/>
      <c r="B3726" s="178">
        <v>6806</v>
      </c>
      <c r="C3726" s="178" t="s">
        <v>657</v>
      </c>
      <c r="D3726" s="575" t="s">
        <v>2750</v>
      </c>
      <c r="E3726" s="178" t="s">
        <v>409</v>
      </c>
      <c r="F3726" s="210" t="s">
        <v>9610</v>
      </c>
      <c r="G3726" s="58" t="s">
        <v>738</v>
      </c>
      <c r="H3726" s="546">
        <v>185620.73</v>
      </c>
      <c r="I3726" s="66">
        <v>44832</v>
      </c>
      <c r="J3726" s="411" t="s">
        <v>9611</v>
      </c>
      <c r="K3726" s="58"/>
      <c r="L3726" s="99"/>
      <c r="M3726" s="70" t="s">
        <v>9601</v>
      </c>
      <c r="N3726" s="97" t="s">
        <v>741</v>
      </c>
      <c r="O3726" s="677" t="s">
        <v>154</v>
      </c>
      <c r="P3726" s="58" t="s">
        <v>59</v>
      </c>
      <c r="Q3726" s="58" t="s">
        <v>118</v>
      </c>
      <c r="R3726" s="58" t="s">
        <v>272</v>
      </c>
    </row>
    <row r="3727" spans="1:18" ht="69" customHeight="1">
      <c r="A3727" s="168"/>
      <c r="B3727" s="178">
        <v>6664</v>
      </c>
      <c r="C3727" s="178" t="s">
        <v>657</v>
      </c>
      <c r="D3727" s="575" t="s">
        <v>1309</v>
      </c>
      <c r="E3727" s="178" t="s">
        <v>350</v>
      </c>
      <c r="F3727" s="210" t="s">
        <v>9612</v>
      </c>
      <c r="G3727" s="58" t="s">
        <v>744</v>
      </c>
      <c r="H3727" s="546">
        <v>2146.4299999999998</v>
      </c>
      <c r="I3727" s="66">
        <v>44841</v>
      </c>
      <c r="J3727" s="411" t="s">
        <v>9613</v>
      </c>
      <c r="K3727" s="58"/>
      <c r="L3727" s="99"/>
      <c r="M3727" s="70" t="s">
        <v>9559</v>
      </c>
      <c r="N3727" s="97" t="s">
        <v>356</v>
      </c>
      <c r="O3727" s="58" t="s">
        <v>141</v>
      </c>
      <c r="P3727" s="58" t="s">
        <v>19</v>
      </c>
      <c r="Q3727" s="58" t="s">
        <v>118</v>
      </c>
      <c r="R3727" s="58" t="s">
        <v>265</v>
      </c>
    </row>
    <row r="3728" spans="1:18" ht="69" customHeight="1">
      <c r="A3728" s="168"/>
      <c r="B3728" s="178">
        <v>6665</v>
      </c>
      <c r="C3728" s="178" t="s">
        <v>657</v>
      </c>
      <c r="D3728" s="575" t="s">
        <v>1530</v>
      </c>
      <c r="E3728" s="178" t="s">
        <v>350</v>
      </c>
      <c r="F3728" s="210" t="s">
        <v>9614</v>
      </c>
      <c r="G3728" s="58" t="s">
        <v>744</v>
      </c>
      <c r="H3728" s="546">
        <v>94111.89</v>
      </c>
      <c r="I3728" s="66">
        <v>44841</v>
      </c>
      <c r="J3728" s="411" t="s">
        <v>9615</v>
      </c>
      <c r="K3728" s="58" t="s">
        <v>9616</v>
      </c>
      <c r="L3728" s="99"/>
      <c r="M3728" s="70" t="s">
        <v>9559</v>
      </c>
      <c r="N3728" s="97" t="s">
        <v>356</v>
      </c>
      <c r="O3728" s="58" t="s">
        <v>141</v>
      </c>
      <c r="P3728" s="58" t="s">
        <v>19</v>
      </c>
      <c r="Q3728" s="58" t="s">
        <v>118</v>
      </c>
      <c r="R3728" s="58" t="s">
        <v>265</v>
      </c>
    </row>
    <row r="3729" spans="1:18" ht="69" customHeight="1">
      <c r="A3729" s="168"/>
      <c r="B3729" s="178">
        <v>6681</v>
      </c>
      <c r="C3729" s="178" t="s">
        <v>657</v>
      </c>
      <c r="D3729" s="575" t="s">
        <v>5696</v>
      </c>
      <c r="E3729" s="178" t="s">
        <v>350</v>
      </c>
      <c r="F3729" s="210" t="s">
        <v>9617</v>
      </c>
      <c r="G3729" s="58" t="s">
        <v>744</v>
      </c>
      <c r="H3729" s="546">
        <v>254408.2</v>
      </c>
      <c r="I3729" s="66">
        <v>44844</v>
      </c>
      <c r="J3729" s="411" t="s">
        <v>9618</v>
      </c>
      <c r="K3729" s="58"/>
      <c r="L3729" s="99"/>
      <c r="M3729" s="70" t="s">
        <v>9559</v>
      </c>
      <c r="N3729" s="97" t="s">
        <v>356</v>
      </c>
      <c r="O3729" s="58" t="s">
        <v>141</v>
      </c>
      <c r="P3729" s="58" t="s">
        <v>19</v>
      </c>
      <c r="Q3729" s="58" t="s">
        <v>118</v>
      </c>
      <c r="R3729" s="58" t="s">
        <v>265</v>
      </c>
    </row>
    <row r="3730" spans="1:18" ht="69" customHeight="1">
      <c r="A3730" s="168"/>
      <c r="B3730" s="178">
        <v>6683</v>
      </c>
      <c r="C3730" s="178" t="s">
        <v>657</v>
      </c>
      <c r="D3730" s="575" t="s">
        <v>5785</v>
      </c>
      <c r="E3730" s="178" t="s">
        <v>350</v>
      </c>
      <c r="F3730" s="210" t="s">
        <v>9619</v>
      </c>
      <c r="G3730" s="58" t="s">
        <v>744</v>
      </c>
      <c r="H3730" s="546">
        <v>4954.17</v>
      </c>
      <c r="I3730" s="66">
        <v>44844</v>
      </c>
      <c r="J3730" s="411" t="s">
        <v>9618</v>
      </c>
      <c r="K3730" s="58"/>
      <c r="L3730" s="99"/>
      <c r="M3730" s="70" t="s">
        <v>9559</v>
      </c>
      <c r="N3730" s="97" t="s">
        <v>356</v>
      </c>
      <c r="O3730" s="58" t="s">
        <v>141</v>
      </c>
      <c r="P3730" s="58" t="s">
        <v>19</v>
      </c>
      <c r="Q3730" s="58" t="s">
        <v>118</v>
      </c>
      <c r="R3730" s="58" t="s">
        <v>265</v>
      </c>
    </row>
    <row r="3731" spans="1:18" ht="69" customHeight="1">
      <c r="A3731" s="168"/>
      <c r="B3731" s="178">
        <v>9454</v>
      </c>
      <c r="C3731" s="178" t="s">
        <v>9596</v>
      </c>
      <c r="D3731" s="575" t="s">
        <v>1796</v>
      </c>
      <c r="E3731" s="178" t="s">
        <v>1372</v>
      </c>
      <c r="F3731" s="210" t="s">
        <v>9620</v>
      </c>
      <c r="G3731" s="58" t="s">
        <v>9356</v>
      </c>
      <c r="H3731" s="546">
        <v>140342.54</v>
      </c>
      <c r="I3731" s="66">
        <v>45014</v>
      </c>
      <c r="J3731" s="411" t="s">
        <v>9621</v>
      </c>
      <c r="K3731" s="58"/>
      <c r="L3731" s="99"/>
      <c r="M3731" s="70" t="s">
        <v>9607</v>
      </c>
      <c r="N3731" s="97" t="s">
        <v>1372</v>
      </c>
      <c r="O3731" s="58"/>
      <c r="P3731" s="58" t="s">
        <v>57</v>
      </c>
      <c r="Q3731" s="58" t="s">
        <v>118</v>
      </c>
      <c r="R3731" s="58" t="s">
        <v>272</v>
      </c>
    </row>
    <row r="3732" spans="1:18" ht="69" customHeight="1">
      <c r="A3732" s="168"/>
      <c r="B3732" s="178">
        <v>6105</v>
      </c>
      <c r="C3732" s="178" t="s">
        <v>657</v>
      </c>
      <c r="D3732" s="575" t="s">
        <v>7050</v>
      </c>
      <c r="E3732" s="178" t="s">
        <v>350</v>
      </c>
      <c r="F3732" s="210" t="s">
        <v>9622</v>
      </c>
      <c r="G3732" s="58" t="s">
        <v>352</v>
      </c>
      <c r="H3732" s="546">
        <v>29112.3</v>
      </c>
      <c r="I3732" s="66">
        <v>44788</v>
      </c>
      <c r="J3732" s="411" t="s">
        <v>9623</v>
      </c>
      <c r="K3732" s="58"/>
      <c r="L3732" s="99"/>
      <c r="M3732" s="70" t="s">
        <v>9559</v>
      </c>
      <c r="N3732" s="97" t="s">
        <v>356</v>
      </c>
      <c r="O3732" s="58" t="s">
        <v>141</v>
      </c>
      <c r="P3732" s="58" t="s">
        <v>19</v>
      </c>
      <c r="Q3732" s="58" t="s">
        <v>118</v>
      </c>
      <c r="R3732" s="58" t="s">
        <v>265</v>
      </c>
    </row>
    <row r="3733" spans="1:18" ht="69" customHeight="1">
      <c r="A3733" s="168"/>
      <c r="B3733" s="178">
        <v>7429</v>
      </c>
      <c r="C3733" s="178" t="s">
        <v>9596</v>
      </c>
      <c r="D3733" s="575" t="s">
        <v>6284</v>
      </c>
      <c r="E3733" s="178" t="s">
        <v>809</v>
      </c>
      <c r="F3733" s="210" t="s">
        <v>9624</v>
      </c>
      <c r="G3733" s="58" t="s">
        <v>811</v>
      </c>
      <c r="H3733" s="546">
        <v>15999.9</v>
      </c>
      <c r="I3733" s="66">
        <v>44879</v>
      </c>
      <c r="J3733" s="411" t="s">
        <v>812</v>
      </c>
      <c r="K3733" s="58"/>
      <c r="L3733" s="99"/>
      <c r="M3733" s="70" t="s">
        <v>9625</v>
      </c>
      <c r="N3733" s="97" t="s">
        <v>814</v>
      </c>
      <c r="O3733" s="58"/>
      <c r="P3733" s="58" t="s">
        <v>36</v>
      </c>
      <c r="Q3733" s="58" t="s">
        <v>118</v>
      </c>
      <c r="R3733" s="58" t="s">
        <v>272</v>
      </c>
    </row>
    <row r="3734" spans="1:18" ht="69" customHeight="1">
      <c r="A3734" s="168"/>
      <c r="B3734" s="178">
        <v>7714</v>
      </c>
      <c r="C3734" s="178" t="s">
        <v>657</v>
      </c>
      <c r="D3734" s="575" t="s">
        <v>5288</v>
      </c>
      <c r="E3734" s="178" t="s">
        <v>350</v>
      </c>
      <c r="F3734" s="210" t="s">
        <v>9626</v>
      </c>
      <c r="G3734" s="58" t="s">
        <v>805</v>
      </c>
      <c r="H3734" s="546">
        <v>118860</v>
      </c>
      <c r="I3734" s="66">
        <v>44908</v>
      </c>
      <c r="J3734" s="411" t="s">
        <v>806</v>
      </c>
      <c r="K3734" s="58"/>
      <c r="L3734" s="99"/>
      <c r="M3734" s="70" t="s">
        <v>9559</v>
      </c>
      <c r="N3734" s="97" t="s">
        <v>356</v>
      </c>
      <c r="O3734" s="58" t="s">
        <v>141</v>
      </c>
      <c r="P3734" s="58" t="s">
        <v>19</v>
      </c>
      <c r="Q3734" s="58" t="s">
        <v>118</v>
      </c>
      <c r="R3734" s="58" t="s">
        <v>265</v>
      </c>
    </row>
    <row r="3735" spans="1:18" ht="69" customHeight="1">
      <c r="A3735" s="168"/>
      <c r="B3735" s="178">
        <v>8158</v>
      </c>
      <c r="C3735" s="178" t="s">
        <v>458</v>
      </c>
      <c r="D3735" s="575" t="s">
        <v>8249</v>
      </c>
      <c r="E3735" s="178" t="s">
        <v>350</v>
      </c>
      <c r="F3735" s="210" t="s">
        <v>9627</v>
      </c>
      <c r="G3735" s="58" t="s">
        <v>7884</v>
      </c>
      <c r="H3735" s="546">
        <v>0</v>
      </c>
      <c r="I3735" s="66">
        <v>44914</v>
      </c>
      <c r="J3735" s="411" t="s">
        <v>9628</v>
      </c>
      <c r="K3735" s="58" t="s">
        <v>9629</v>
      </c>
      <c r="L3735" s="99"/>
      <c r="M3735" s="70" t="s">
        <v>9559</v>
      </c>
      <c r="N3735" s="97" t="s">
        <v>356</v>
      </c>
      <c r="O3735" s="58" t="s">
        <v>141</v>
      </c>
      <c r="P3735" s="58" t="s">
        <v>19</v>
      </c>
      <c r="Q3735" s="58" t="s">
        <v>118</v>
      </c>
      <c r="R3735" s="58" t="s">
        <v>265</v>
      </c>
    </row>
    <row r="3736" spans="1:18" s="117" customFormat="1" ht="69" customHeight="1">
      <c r="A3736" s="168"/>
      <c r="B3736" s="178">
        <v>7628</v>
      </c>
      <c r="C3736" s="178" t="s">
        <v>9596</v>
      </c>
      <c r="D3736" s="575" t="s">
        <v>2295</v>
      </c>
      <c r="E3736" s="178" t="s">
        <v>755</v>
      </c>
      <c r="F3736" s="210" t="s">
        <v>9630</v>
      </c>
      <c r="G3736" s="58" t="s">
        <v>9438</v>
      </c>
      <c r="H3736" s="546">
        <v>606045.47</v>
      </c>
      <c r="I3736" s="66">
        <v>44890</v>
      </c>
      <c r="J3736" s="411" t="s">
        <v>9439</v>
      </c>
      <c r="K3736" s="58"/>
      <c r="L3736" s="99"/>
      <c r="M3736" s="70" t="s">
        <v>9591</v>
      </c>
      <c r="N3736" s="97" t="s">
        <v>716</v>
      </c>
      <c r="O3736" s="58"/>
      <c r="P3736" s="58" t="s">
        <v>28</v>
      </c>
      <c r="Q3736" s="58" t="s">
        <v>118</v>
      </c>
      <c r="R3736" s="58" t="s">
        <v>272</v>
      </c>
    </row>
    <row r="3737" spans="1:18" s="117" customFormat="1" ht="69" customHeight="1">
      <c r="A3737" s="168"/>
      <c r="B3737" s="178">
        <v>7320</v>
      </c>
      <c r="C3737" s="178" t="s">
        <v>9596</v>
      </c>
      <c r="D3737" s="575" t="s">
        <v>9631</v>
      </c>
      <c r="E3737" s="178" t="s">
        <v>755</v>
      </c>
      <c r="F3737" s="210" t="s">
        <v>9632</v>
      </c>
      <c r="G3737" s="58" t="s">
        <v>772</v>
      </c>
      <c r="H3737" s="546">
        <v>1179546.6299999999</v>
      </c>
      <c r="I3737" s="66">
        <v>44862</v>
      </c>
      <c r="J3737" s="411" t="s">
        <v>9633</v>
      </c>
      <c r="K3737" s="58" t="s">
        <v>4472</v>
      </c>
      <c r="L3737" s="99"/>
      <c r="M3737" s="70" t="s">
        <v>9591</v>
      </c>
      <c r="N3737" s="97" t="s">
        <v>716</v>
      </c>
      <c r="O3737" s="58"/>
      <c r="P3737" s="58" t="s">
        <v>28</v>
      </c>
      <c r="Q3737" s="58" t="s">
        <v>118</v>
      </c>
      <c r="R3737" s="58" t="s">
        <v>272</v>
      </c>
    </row>
    <row r="3738" spans="1:18" s="117" customFormat="1" ht="69" customHeight="1">
      <c r="A3738" s="168"/>
      <c r="B3738" s="178">
        <v>7322</v>
      </c>
      <c r="C3738" s="178" t="s">
        <v>9596</v>
      </c>
      <c r="D3738" s="575" t="s">
        <v>763</v>
      </c>
      <c r="E3738" s="178" t="s">
        <v>755</v>
      </c>
      <c r="F3738" s="210" t="s">
        <v>9634</v>
      </c>
      <c r="G3738" s="58" t="s">
        <v>1340</v>
      </c>
      <c r="H3738" s="546">
        <v>1333825.48</v>
      </c>
      <c r="I3738" s="66">
        <v>44862</v>
      </c>
      <c r="J3738" s="411" t="s">
        <v>9633</v>
      </c>
      <c r="K3738" s="58" t="s">
        <v>4465</v>
      </c>
      <c r="L3738" s="99"/>
      <c r="M3738" s="70" t="s">
        <v>9591</v>
      </c>
      <c r="N3738" s="97" t="s">
        <v>716</v>
      </c>
      <c r="O3738" s="58"/>
      <c r="P3738" s="58" t="s">
        <v>28</v>
      </c>
      <c r="Q3738" s="58" t="s">
        <v>118</v>
      </c>
      <c r="R3738" s="58" t="s">
        <v>272</v>
      </c>
    </row>
    <row r="3739" spans="1:18" ht="69" customHeight="1">
      <c r="A3739" s="168"/>
      <c r="B3739" s="178">
        <v>8228</v>
      </c>
      <c r="C3739" s="178" t="s">
        <v>458</v>
      </c>
      <c r="D3739" s="575" t="s">
        <v>3081</v>
      </c>
      <c r="E3739" s="178" t="s">
        <v>350</v>
      </c>
      <c r="F3739" s="210" t="s">
        <v>9635</v>
      </c>
      <c r="G3739" s="58" t="s">
        <v>1838</v>
      </c>
      <c r="H3739" s="546">
        <v>0</v>
      </c>
      <c r="I3739" s="66">
        <v>44921</v>
      </c>
      <c r="J3739" s="411" t="s">
        <v>9636</v>
      </c>
      <c r="K3739" s="58" t="s">
        <v>9629</v>
      </c>
      <c r="L3739" s="99"/>
      <c r="M3739" s="70" t="s">
        <v>9559</v>
      </c>
      <c r="N3739" s="97" t="s">
        <v>356</v>
      </c>
      <c r="O3739" s="58" t="s">
        <v>141</v>
      </c>
      <c r="P3739" s="58" t="s">
        <v>19</v>
      </c>
      <c r="Q3739" s="58" t="s">
        <v>118</v>
      </c>
      <c r="R3739" s="58" t="s">
        <v>265</v>
      </c>
    </row>
    <row r="3740" spans="1:18" ht="69" customHeight="1">
      <c r="A3740" s="168"/>
      <c r="B3740" s="178">
        <v>8229</v>
      </c>
      <c r="C3740" s="178" t="s">
        <v>458</v>
      </c>
      <c r="D3740" s="575" t="s">
        <v>599</v>
      </c>
      <c r="E3740" s="178" t="s">
        <v>350</v>
      </c>
      <c r="F3740" s="210" t="s">
        <v>9637</v>
      </c>
      <c r="G3740" s="58" t="s">
        <v>1838</v>
      </c>
      <c r="H3740" s="546">
        <v>0</v>
      </c>
      <c r="I3740" s="66">
        <v>44921</v>
      </c>
      <c r="J3740" s="411" t="s">
        <v>9636</v>
      </c>
      <c r="K3740" s="58" t="s">
        <v>9629</v>
      </c>
      <c r="L3740" s="99"/>
      <c r="M3740" s="70" t="s">
        <v>9559</v>
      </c>
      <c r="N3740" s="97" t="s">
        <v>356</v>
      </c>
      <c r="O3740" s="58" t="s">
        <v>141</v>
      </c>
      <c r="P3740" s="58" t="s">
        <v>19</v>
      </c>
      <c r="Q3740" s="58" t="s">
        <v>118</v>
      </c>
      <c r="R3740" s="58" t="s">
        <v>265</v>
      </c>
    </row>
    <row r="3741" spans="1:18" ht="69" customHeight="1">
      <c r="A3741" s="168"/>
      <c r="B3741" s="178">
        <v>8230</v>
      </c>
      <c r="C3741" s="178" t="s">
        <v>657</v>
      </c>
      <c r="D3741" s="575" t="s">
        <v>3065</v>
      </c>
      <c r="E3741" s="178" t="s">
        <v>350</v>
      </c>
      <c r="F3741" s="210" t="s">
        <v>9638</v>
      </c>
      <c r="G3741" s="58" t="s">
        <v>1838</v>
      </c>
      <c r="H3741" s="546">
        <v>0</v>
      </c>
      <c r="I3741" s="66">
        <v>44921</v>
      </c>
      <c r="J3741" s="411" t="s">
        <v>9636</v>
      </c>
      <c r="K3741" s="58" t="s">
        <v>9629</v>
      </c>
      <c r="L3741" s="99"/>
      <c r="M3741" s="70" t="s">
        <v>9559</v>
      </c>
      <c r="N3741" s="97" t="s">
        <v>356</v>
      </c>
      <c r="O3741" s="58" t="s">
        <v>141</v>
      </c>
      <c r="P3741" s="58" t="s">
        <v>19</v>
      </c>
      <c r="Q3741" s="58" t="s">
        <v>118</v>
      </c>
      <c r="R3741" s="58" t="s">
        <v>265</v>
      </c>
    </row>
    <row r="3742" spans="1:18" ht="69" customHeight="1">
      <c r="A3742" s="168"/>
      <c r="B3742" s="178">
        <v>8231</v>
      </c>
      <c r="C3742" s="178" t="s">
        <v>458</v>
      </c>
      <c r="D3742" s="575" t="s">
        <v>1254</v>
      </c>
      <c r="E3742" s="178" t="s">
        <v>350</v>
      </c>
      <c r="F3742" s="210" t="s">
        <v>9639</v>
      </c>
      <c r="G3742" s="58" t="s">
        <v>1838</v>
      </c>
      <c r="H3742" s="546">
        <v>0</v>
      </c>
      <c r="I3742" s="66">
        <v>44921</v>
      </c>
      <c r="J3742" s="411" t="s">
        <v>9636</v>
      </c>
      <c r="K3742" s="58" t="s">
        <v>9629</v>
      </c>
      <c r="L3742" s="99"/>
      <c r="M3742" s="70" t="s">
        <v>9559</v>
      </c>
      <c r="N3742" s="97" t="s">
        <v>356</v>
      </c>
      <c r="O3742" s="58" t="s">
        <v>141</v>
      </c>
      <c r="P3742" s="58" t="s">
        <v>19</v>
      </c>
      <c r="Q3742" s="58" t="s">
        <v>118</v>
      </c>
      <c r="R3742" s="58" t="s">
        <v>265</v>
      </c>
    </row>
    <row r="3743" spans="1:18" ht="69" customHeight="1">
      <c r="A3743" s="168"/>
      <c r="B3743" s="178">
        <v>8232</v>
      </c>
      <c r="C3743" s="178" t="s">
        <v>458</v>
      </c>
      <c r="D3743" s="575" t="s">
        <v>4758</v>
      </c>
      <c r="E3743" s="178" t="s">
        <v>350</v>
      </c>
      <c r="F3743" s="210" t="s">
        <v>9640</v>
      </c>
      <c r="G3743" s="58" t="s">
        <v>9345</v>
      </c>
      <c r="H3743" s="546">
        <v>5500</v>
      </c>
      <c r="I3743" s="66">
        <v>44921</v>
      </c>
      <c r="J3743" s="411" t="s">
        <v>9636</v>
      </c>
      <c r="K3743" s="58"/>
      <c r="L3743" s="99"/>
      <c r="M3743" s="70" t="s">
        <v>9559</v>
      </c>
      <c r="N3743" s="97" t="s">
        <v>356</v>
      </c>
      <c r="O3743" s="58" t="s">
        <v>141</v>
      </c>
      <c r="P3743" s="58" t="s">
        <v>19</v>
      </c>
      <c r="Q3743" s="58" t="s">
        <v>118</v>
      </c>
      <c r="R3743" s="58" t="s">
        <v>265</v>
      </c>
    </row>
    <row r="3744" spans="1:18" ht="69" customHeight="1">
      <c r="A3744" s="168"/>
      <c r="B3744" s="178">
        <v>8233</v>
      </c>
      <c r="C3744" s="178" t="s">
        <v>458</v>
      </c>
      <c r="D3744" s="575" t="s">
        <v>4755</v>
      </c>
      <c r="E3744" s="178" t="s">
        <v>350</v>
      </c>
      <c r="F3744" s="210" t="s">
        <v>9641</v>
      </c>
      <c r="G3744" s="58" t="s">
        <v>9345</v>
      </c>
      <c r="H3744" s="546">
        <v>5500</v>
      </c>
      <c r="I3744" s="66">
        <v>44921</v>
      </c>
      <c r="J3744" s="411" t="s">
        <v>9636</v>
      </c>
      <c r="K3744" s="58"/>
      <c r="L3744" s="99"/>
      <c r="M3744" s="70" t="s">
        <v>9559</v>
      </c>
      <c r="N3744" s="97" t="s">
        <v>356</v>
      </c>
      <c r="O3744" s="58" t="s">
        <v>141</v>
      </c>
      <c r="P3744" s="58" t="s">
        <v>19</v>
      </c>
      <c r="Q3744" s="58" t="s">
        <v>118</v>
      </c>
      <c r="R3744" s="58" t="s">
        <v>265</v>
      </c>
    </row>
    <row r="3745" spans="1:18" ht="69" customHeight="1">
      <c r="A3745" s="168"/>
      <c r="B3745" s="191">
        <v>8468</v>
      </c>
      <c r="C3745" s="191" t="s">
        <v>9596</v>
      </c>
      <c r="D3745" s="533" t="s">
        <v>4898</v>
      </c>
      <c r="E3745" s="191" t="s">
        <v>266</v>
      </c>
      <c r="F3745" s="211" t="s">
        <v>9642</v>
      </c>
      <c r="G3745" s="46" t="s">
        <v>9643</v>
      </c>
      <c r="H3745" s="534">
        <v>9400</v>
      </c>
      <c r="I3745" s="56">
        <v>44935</v>
      </c>
      <c r="J3745" s="412" t="s">
        <v>9644</v>
      </c>
      <c r="K3745" s="46" t="s">
        <v>65</v>
      </c>
      <c r="L3745" s="99"/>
      <c r="M3745" s="70" t="s">
        <v>9591</v>
      </c>
      <c r="N3745" s="97" t="s">
        <v>716</v>
      </c>
      <c r="O3745" s="46"/>
      <c r="P3745" s="46" t="s">
        <v>65</v>
      </c>
      <c r="Q3745" s="46" t="s">
        <v>118</v>
      </c>
      <c r="R3745" s="46" t="s">
        <v>272</v>
      </c>
    </row>
    <row r="3746" spans="1:18" ht="69" customHeight="1">
      <c r="A3746" s="168"/>
      <c r="B3746" s="178">
        <v>8665</v>
      </c>
      <c r="C3746" s="178" t="s">
        <v>9596</v>
      </c>
      <c r="D3746" s="575" t="s">
        <v>9645</v>
      </c>
      <c r="E3746" s="178" t="s">
        <v>809</v>
      </c>
      <c r="F3746" s="210" t="s">
        <v>9646</v>
      </c>
      <c r="G3746" s="58" t="s">
        <v>823</v>
      </c>
      <c r="H3746" s="546">
        <v>12999.7</v>
      </c>
      <c r="I3746" s="66">
        <v>44949</v>
      </c>
      <c r="J3746" s="411" t="s">
        <v>824</v>
      </c>
      <c r="K3746" s="58"/>
      <c r="L3746" s="99"/>
      <c r="M3746" s="70" t="s">
        <v>9625</v>
      </c>
      <c r="N3746" s="97" t="s">
        <v>814</v>
      </c>
      <c r="O3746" s="58"/>
      <c r="P3746" s="58" t="s">
        <v>36</v>
      </c>
      <c r="Q3746" s="58" t="s">
        <v>118</v>
      </c>
      <c r="R3746" s="58" t="s">
        <v>272</v>
      </c>
    </row>
    <row r="3747" spans="1:18" ht="69" customHeight="1">
      <c r="A3747" s="168"/>
      <c r="B3747" s="178">
        <v>8696</v>
      </c>
      <c r="C3747" s="178" t="s">
        <v>9596</v>
      </c>
      <c r="D3747" s="575" t="s">
        <v>9647</v>
      </c>
      <c r="E3747" s="178" t="s">
        <v>1372</v>
      </c>
      <c r="F3747" s="210" t="s">
        <v>9648</v>
      </c>
      <c r="G3747" s="58" t="s">
        <v>1388</v>
      </c>
      <c r="H3747" s="546">
        <v>70000</v>
      </c>
      <c r="I3747" s="66" t="s">
        <v>96</v>
      </c>
      <c r="J3747" s="411" t="s">
        <v>9351</v>
      </c>
      <c r="K3747" s="58"/>
      <c r="L3747" s="99"/>
      <c r="M3747" s="70" t="s">
        <v>9607</v>
      </c>
      <c r="N3747" s="97" t="s">
        <v>1372</v>
      </c>
      <c r="O3747" s="58"/>
      <c r="P3747" s="58" t="s">
        <v>57</v>
      </c>
      <c r="Q3747" s="58" t="s">
        <v>118</v>
      </c>
      <c r="R3747" s="58" t="s">
        <v>272</v>
      </c>
    </row>
    <row r="3748" spans="1:18" ht="69" customHeight="1">
      <c r="A3748" s="168"/>
      <c r="B3748" s="178">
        <v>8918</v>
      </c>
      <c r="C3748" s="178" t="s">
        <v>9596</v>
      </c>
      <c r="D3748" s="575" t="s">
        <v>2583</v>
      </c>
      <c r="E3748" s="178" t="s">
        <v>755</v>
      </c>
      <c r="F3748" s="210" t="s">
        <v>9649</v>
      </c>
      <c r="G3748" s="58" t="s">
        <v>1393</v>
      </c>
      <c r="H3748" s="546">
        <v>54438.52</v>
      </c>
      <c r="I3748" s="66">
        <v>44984</v>
      </c>
      <c r="J3748" s="411" t="s">
        <v>9357</v>
      </c>
      <c r="K3748" s="58"/>
      <c r="L3748" s="99"/>
      <c r="M3748" s="70" t="s">
        <v>9591</v>
      </c>
      <c r="N3748" s="97" t="s">
        <v>716</v>
      </c>
      <c r="O3748" s="58"/>
      <c r="P3748" s="58" t="s">
        <v>57</v>
      </c>
      <c r="Q3748" s="58" t="s">
        <v>118</v>
      </c>
      <c r="R3748" s="58" t="s">
        <v>272</v>
      </c>
    </row>
    <row r="3749" spans="1:18" s="117" customFormat="1" ht="69" customHeight="1">
      <c r="A3749" s="168"/>
      <c r="B3749" s="178">
        <v>8941</v>
      </c>
      <c r="C3749" s="178" t="s">
        <v>9596</v>
      </c>
      <c r="D3749" s="575" t="s">
        <v>9650</v>
      </c>
      <c r="E3749" s="178" t="s">
        <v>755</v>
      </c>
      <c r="F3749" s="210" t="s">
        <v>9651</v>
      </c>
      <c r="G3749" s="58" t="s">
        <v>9466</v>
      </c>
      <c r="H3749" s="546">
        <v>285121.62</v>
      </c>
      <c r="I3749" s="66">
        <v>44986</v>
      </c>
      <c r="J3749" s="411" t="s">
        <v>9652</v>
      </c>
      <c r="K3749" s="58"/>
      <c r="L3749" s="99"/>
      <c r="M3749" s="70" t="s">
        <v>9591</v>
      </c>
      <c r="N3749" s="97" t="s">
        <v>716</v>
      </c>
      <c r="O3749" s="58"/>
      <c r="P3749" s="58" t="s">
        <v>28</v>
      </c>
      <c r="Q3749" s="58" t="s">
        <v>118</v>
      </c>
      <c r="R3749" s="58" t="s">
        <v>272</v>
      </c>
    </row>
    <row r="3750" spans="1:18" ht="69" customHeight="1">
      <c r="A3750" s="168"/>
      <c r="B3750" s="178">
        <v>8924</v>
      </c>
      <c r="C3750" s="178" t="s">
        <v>9596</v>
      </c>
      <c r="D3750" s="575" t="s">
        <v>3231</v>
      </c>
      <c r="E3750" s="178" t="s">
        <v>9363</v>
      </c>
      <c r="F3750" s="210" t="s">
        <v>9653</v>
      </c>
      <c r="G3750" s="58" t="s">
        <v>5852</v>
      </c>
      <c r="H3750" s="546">
        <v>15585</v>
      </c>
      <c r="I3750" s="66">
        <v>44984</v>
      </c>
      <c r="J3750" s="411" t="s">
        <v>5853</v>
      </c>
      <c r="K3750" s="58"/>
      <c r="L3750" s="99"/>
      <c r="M3750" s="70" t="s">
        <v>9654</v>
      </c>
      <c r="N3750" s="97" t="s">
        <v>9363</v>
      </c>
      <c r="O3750" s="58" t="s">
        <v>205</v>
      </c>
      <c r="P3750" s="58" t="s">
        <v>61</v>
      </c>
      <c r="Q3750" s="58" t="s">
        <v>118</v>
      </c>
      <c r="R3750" s="58" t="s">
        <v>272</v>
      </c>
    </row>
    <row r="3751" spans="1:18" ht="69" customHeight="1">
      <c r="A3751" s="168"/>
      <c r="B3751" s="178">
        <v>8847</v>
      </c>
      <c r="C3751" s="178" t="s">
        <v>9596</v>
      </c>
      <c r="D3751" s="575" t="s">
        <v>1845</v>
      </c>
      <c r="E3751" s="178" t="s">
        <v>809</v>
      </c>
      <c r="F3751" s="210" t="s">
        <v>9655</v>
      </c>
      <c r="G3751" s="58" t="s">
        <v>845</v>
      </c>
      <c r="H3751" s="546">
        <v>5999.7</v>
      </c>
      <c r="I3751" s="66">
        <v>44948</v>
      </c>
      <c r="J3751" s="411" t="s">
        <v>846</v>
      </c>
      <c r="K3751" s="58"/>
      <c r="L3751" s="99"/>
      <c r="M3751" s="70" t="s">
        <v>9625</v>
      </c>
      <c r="N3751" s="97" t="s">
        <v>814</v>
      </c>
      <c r="O3751" s="58"/>
      <c r="P3751" s="58" t="s">
        <v>36</v>
      </c>
      <c r="Q3751" s="58" t="s">
        <v>118</v>
      </c>
      <c r="R3751" s="58" t="s">
        <v>272</v>
      </c>
    </row>
    <row r="3752" spans="1:18" s="117" customFormat="1" ht="69" customHeight="1">
      <c r="A3752" s="168"/>
      <c r="B3752" s="178">
        <v>9064</v>
      </c>
      <c r="C3752" s="178" t="s">
        <v>9596</v>
      </c>
      <c r="D3752" s="575" t="s">
        <v>1608</v>
      </c>
      <c r="E3752" s="178" t="s">
        <v>755</v>
      </c>
      <c r="F3752" s="210" t="s">
        <v>9656</v>
      </c>
      <c r="G3752" s="58" t="s">
        <v>7597</v>
      </c>
      <c r="H3752" s="546">
        <v>1274587.17</v>
      </c>
      <c r="I3752" s="66">
        <v>45000</v>
      </c>
      <c r="J3752" s="411" t="s">
        <v>9368</v>
      </c>
      <c r="K3752" s="58"/>
      <c r="L3752" s="99"/>
      <c r="M3752" s="70" t="s">
        <v>9591</v>
      </c>
      <c r="N3752" s="97" t="s">
        <v>716</v>
      </c>
      <c r="O3752" s="58"/>
      <c r="P3752" s="58" t="s">
        <v>28</v>
      </c>
      <c r="Q3752" s="58" t="s">
        <v>118</v>
      </c>
      <c r="R3752" s="58" t="s">
        <v>272</v>
      </c>
    </row>
    <row r="3753" spans="1:18" ht="69" customHeight="1">
      <c r="A3753" s="168"/>
      <c r="B3753" s="178">
        <v>9014</v>
      </c>
      <c r="C3753" s="178" t="s">
        <v>9596</v>
      </c>
      <c r="D3753" s="575" t="s">
        <v>3240</v>
      </c>
      <c r="E3753" s="178" t="s">
        <v>809</v>
      </c>
      <c r="F3753" s="210" t="s">
        <v>9657</v>
      </c>
      <c r="G3753" s="58" t="s">
        <v>863</v>
      </c>
      <c r="H3753" s="546">
        <v>7000</v>
      </c>
      <c r="I3753" s="66" t="s">
        <v>96</v>
      </c>
      <c r="J3753" s="411" t="s">
        <v>864</v>
      </c>
      <c r="K3753" s="58"/>
      <c r="L3753" s="99"/>
      <c r="M3753" s="70" t="s">
        <v>9625</v>
      </c>
      <c r="N3753" s="97" t="s">
        <v>814</v>
      </c>
      <c r="O3753" s="58"/>
      <c r="P3753" s="58" t="s">
        <v>36</v>
      </c>
      <c r="Q3753" s="58" t="s">
        <v>118</v>
      </c>
      <c r="R3753" s="58" t="s">
        <v>272</v>
      </c>
    </row>
    <row r="3754" spans="1:18" ht="69" customHeight="1">
      <c r="A3754" s="168"/>
      <c r="B3754" s="178">
        <v>9217</v>
      </c>
      <c r="C3754" s="178" t="s">
        <v>9596</v>
      </c>
      <c r="D3754" s="575" t="s">
        <v>3250</v>
      </c>
      <c r="E3754" s="178" t="s">
        <v>1372</v>
      </c>
      <c r="F3754" s="210" t="s">
        <v>9658</v>
      </c>
      <c r="G3754" s="58" t="s">
        <v>1403</v>
      </c>
      <c r="H3754" s="546">
        <v>101262.31</v>
      </c>
      <c r="I3754" s="66">
        <v>45005</v>
      </c>
      <c r="J3754" s="411" t="s">
        <v>9659</v>
      </c>
      <c r="K3754" s="58"/>
      <c r="L3754" s="99"/>
      <c r="M3754" s="70" t="s">
        <v>9607</v>
      </c>
      <c r="N3754" s="97" t="s">
        <v>1372</v>
      </c>
      <c r="O3754" s="58"/>
      <c r="P3754" s="58" t="s">
        <v>57</v>
      </c>
      <c r="Q3754" s="58" t="s">
        <v>118</v>
      </c>
      <c r="R3754" s="58" t="s">
        <v>272</v>
      </c>
    </row>
    <row r="3755" spans="1:18" s="117" customFormat="1" ht="69" customHeight="1">
      <c r="A3755" s="168"/>
      <c r="B3755" s="178">
        <v>9219</v>
      </c>
      <c r="C3755" s="178" t="s">
        <v>9596</v>
      </c>
      <c r="D3755" s="575" t="s">
        <v>9660</v>
      </c>
      <c r="E3755" s="178" t="s">
        <v>755</v>
      </c>
      <c r="F3755" s="210" t="s">
        <v>9661</v>
      </c>
      <c r="G3755" s="58" t="s">
        <v>9472</v>
      </c>
      <c r="H3755" s="546">
        <v>1179546.6299999999</v>
      </c>
      <c r="I3755" s="66">
        <v>45002</v>
      </c>
      <c r="J3755" s="411" t="s">
        <v>9662</v>
      </c>
      <c r="K3755" s="58"/>
      <c r="L3755" s="99"/>
      <c r="M3755" s="70" t="s">
        <v>9591</v>
      </c>
      <c r="N3755" s="97" t="s">
        <v>716</v>
      </c>
      <c r="O3755" s="58"/>
      <c r="P3755" s="58" t="s">
        <v>28</v>
      </c>
      <c r="Q3755" s="58" t="s">
        <v>118</v>
      </c>
      <c r="R3755" s="58" t="s">
        <v>272</v>
      </c>
    </row>
    <row r="3756" spans="1:18" ht="69" customHeight="1">
      <c r="A3756" s="168"/>
      <c r="B3756" s="178">
        <v>9389</v>
      </c>
      <c r="C3756" s="178" t="s">
        <v>9596</v>
      </c>
      <c r="D3756" s="575" t="s">
        <v>9663</v>
      </c>
      <c r="E3756" s="178" t="s">
        <v>585</v>
      </c>
      <c r="F3756" s="210" t="s">
        <v>9664</v>
      </c>
      <c r="G3756" s="58" t="s">
        <v>9665</v>
      </c>
      <c r="H3756" s="546">
        <v>4500</v>
      </c>
      <c r="I3756" s="66">
        <v>45043</v>
      </c>
      <c r="J3756" s="411" t="s">
        <v>9099</v>
      </c>
      <c r="K3756" s="58"/>
      <c r="L3756" s="99"/>
      <c r="M3756" s="70" t="s">
        <v>9567</v>
      </c>
      <c r="N3756" s="97" t="s">
        <v>270</v>
      </c>
      <c r="O3756" s="58"/>
      <c r="P3756" s="58" t="s">
        <v>44</v>
      </c>
      <c r="Q3756" s="58" t="s">
        <v>118</v>
      </c>
      <c r="R3756" s="58" t="s">
        <v>272</v>
      </c>
    </row>
    <row r="3757" spans="1:18" ht="69" customHeight="1">
      <c r="A3757" s="168"/>
      <c r="B3757" s="178">
        <v>9414</v>
      </c>
      <c r="C3757" s="178" t="s">
        <v>9596</v>
      </c>
      <c r="D3757" s="575" t="s">
        <v>9666</v>
      </c>
      <c r="E3757" s="178" t="s">
        <v>9363</v>
      </c>
      <c r="F3757" s="210" t="s">
        <v>9667</v>
      </c>
      <c r="G3757" s="58" t="s">
        <v>9668</v>
      </c>
      <c r="H3757" s="546">
        <v>67468.149999999994</v>
      </c>
      <c r="I3757" s="66">
        <v>45012</v>
      </c>
      <c r="J3757" s="411" t="s">
        <v>9669</v>
      </c>
      <c r="K3757" s="58"/>
      <c r="L3757" s="99"/>
      <c r="M3757" s="70" t="s">
        <v>9654</v>
      </c>
      <c r="N3757" s="97" t="s">
        <v>9363</v>
      </c>
      <c r="O3757" s="58" t="s">
        <v>205</v>
      </c>
      <c r="P3757" s="58" t="s">
        <v>61</v>
      </c>
      <c r="Q3757" s="58" t="s">
        <v>118</v>
      </c>
      <c r="R3757" s="58" t="s">
        <v>272</v>
      </c>
    </row>
    <row r="3758" spans="1:18" ht="69" customHeight="1">
      <c r="A3758" s="168"/>
      <c r="B3758" s="178">
        <v>9715</v>
      </c>
      <c r="C3758" s="178" t="s">
        <v>9596</v>
      </c>
      <c r="D3758" s="575" t="s">
        <v>1780</v>
      </c>
      <c r="E3758" s="178" t="s">
        <v>809</v>
      </c>
      <c r="F3758" s="210" t="s">
        <v>9657</v>
      </c>
      <c r="G3758" s="58" t="s">
        <v>874</v>
      </c>
      <c r="H3758" s="546">
        <v>8600</v>
      </c>
      <c r="I3758" s="66" t="s">
        <v>96</v>
      </c>
      <c r="J3758" s="411" t="s">
        <v>875</v>
      </c>
      <c r="K3758" s="58"/>
      <c r="L3758" s="99"/>
      <c r="M3758" s="70" t="s">
        <v>9625</v>
      </c>
      <c r="N3758" s="97" t="s">
        <v>814</v>
      </c>
      <c r="O3758" s="58"/>
      <c r="P3758" s="58" t="s">
        <v>36</v>
      </c>
      <c r="Q3758" s="58" t="s">
        <v>118</v>
      </c>
      <c r="R3758" s="58" t="s">
        <v>272</v>
      </c>
    </row>
    <row r="3759" spans="1:18" ht="69" customHeight="1">
      <c r="A3759" s="168"/>
      <c r="B3759" s="178">
        <v>9835</v>
      </c>
      <c r="C3759" s="178" t="s">
        <v>657</v>
      </c>
      <c r="D3759" s="575" t="s">
        <v>579</v>
      </c>
      <c r="E3759" s="178" t="s">
        <v>358</v>
      </c>
      <c r="F3759" s="210" t="s">
        <v>9670</v>
      </c>
      <c r="G3759" s="58" t="s">
        <v>8126</v>
      </c>
      <c r="H3759" s="546">
        <v>100000</v>
      </c>
      <c r="I3759" s="66">
        <v>45041</v>
      </c>
      <c r="J3759" s="411" t="s">
        <v>4713</v>
      </c>
      <c r="K3759" s="58"/>
      <c r="L3759" s="99"/>
      <c r="M3759" s="70" t="s">
        <v>9564</v>
      </c>
      <c r="N3759" s="97" t="s">
        <v>356</v>
      </c>
      <c r="O3759" s="58" t="s">
        <v>141</v>
      </c>
      <c r="P3759" s="58" t="s">
        <v>19</v>
      </c>
      <c r="Q3759" s="58" t="s">
        <v>118</v>
      </c>
      <c r="R3759" s="58" t="s">
        <v>272</v>
      </c>
    </row>
    <row r="3760" spans="1:18" s="117" customFormat="1" ht="69" customHeight="1">
      <c r="A3760" s="168"/>
      <c r="B3760" s="178">
        <v>9892</v>
      </c>
      <c r="C3760" s="178" t="s">
        <v>9596</v>
      </c>
      <c r="D3760" s="575" t="s">
        <v>2793</v>
      </c>
      <c r="E3760" s="178" t="s">
        <v>755</v>
      </c>
      <c r="F3760" s="210" t="s">
        <v>9671</v>
      </c>
      <c r="G3760" s="58" t="s">
        <v>4521</v>
      </c>
      <c r="H3760" s="546">
        <v>1179546.6299999999</v>
      </c>
      <c r="I3760" s="66">
        <v>45044</v>
      </c>
      <c r="J3760" s="411" t="s">
        <v>9672</v>
      </c>
      <c r="K3760" s="58"/>
      <c r="L3760" s="99"/>
      <c r="M3760" s="70" t="s">
        <v>9591</v>
      </c>
      <c r="N3760" s="97" t="s">
        <v>716</v>
      </c>
      <c r="O3760" s="58"/>
      <c r="P3760" s="58" t="s">
        <v>28</v>
      </c>
      <c r="Q3760" s="58" t="s">
        <v>118</v>
      </c>
      <c r="R3760" s="58" t="s">
        <v>272</v>
      </c>
    </row>
    <row r="3761" spans="1:18" s="117" customFormat="1" ht="69" customHeight="1">
      <c r="A3761" s="168"/>
      <c r="B3761" s="178">
        <v>9937</v>
      </c>
      <c r="C3761" s="178" t="s">
        <v>9596</v>
      </c>
      <c r="D3761" s="575" t="s">
        <v>4938</v>
      </c>
      <c r="E3761" s="178" t="s">
        <v>755</v>
      </c>
      <c r="F3761" s="210" t="s">
        <v>9673</v>
      </c>
      <c r="G3761" s="58" t="s">
        <v>7606</v>
      </c>
      <c r="H3761" s="546">
        <v>285121.62</v>
      </c>
      <c r="I3761" s="66">
        <v>45044</v>
      </c>
      <c r="J3761" s="411" t="s">
        <v>9674</v>
      </c>
      <c r="K3761" s="58"/>
      <c r="L3761" s="99"/>
      <c r="M3761" s="70" t="s">
        <v>9591</v>
      </c>
      <c r="N3761" s="97" t="s">
        <v>716</v>
      </c>
      <c r="O3761" s="58"/>
      <c r="P3761" s="58" t="s">
        <v>28</v>
      </c>
      <c r="Q3761" s="58" t="s">
        <v>118</v>
      </c>
      <c r="R3761" s="58" t="s">
        <v>272</v>
      </c>
    </row>
    <row r="3762" spans="1:18" ht="69" customHeight="1">
      <c r="A3762" s="168"/>
      <c r="B3762" s="178">
        <v>9961</v>
      </c>
      <c r="C3762" s="178" t="s">
        <v>657</v>
      </c>
      <c r="D3762" s="575" t="s">
        <v>1620</v>
      </c>
      <c r="E3762" s="178" t="s">
        <v>382</v>
      </c>
      <c r="F3762" s="210" t="s">
        <v>9675</v>
      </c>
      <c r="G3762" s="58" t="s">
        <v>4724</v>
      </c>
      <c r="H3762" s="546">
        <v>2892.13</v>
      </c>
      <c r="I3762" s="66">
        <v>45061</v>
      </c>
      <c r="J3762" s="411" t="s">
        <v>4725</v>
      </c>
      <c r="K3762" s="58"/>
      <c r="L3762" s="99"/>
      <c r="M3762" s="70" t="s">
        <v>9580</v>
      </c>
      <c r="N3762" s="97" t="s">
        <v>387</v>
      </c>
      <c r="O3762" s="45" t="s">
        <v>150</v>
      </c>
      <c r="P3762" s="58" t="s">
        <v>51</v>
      </c>
      <c r="Q3762" s="58" t="s">
        <v>118</v>
      </c>
      <c r="R3762" s="58" t="s">
        <v>272</v>
      </c>
    </row>
    <row r="3763" spans="1:18" ht="69" customHeight="1">
      <c r="A3763" s="168"/>
      <c r="B3763" s="178">
        <v>9844</v>
      </c>
      <c r="C3763" s="178" t="s">
        <v>9596</v>
      </c>
      <c r="D3763" s="575" t="s">
        <v>5017</v>
      </c>
      <c r="E3763" s="178" t="s">
        <v>585</v>
      </c>
      <c r="F3763" s="210" t="s">
        <v>9676</v>
      </c>
      <c r="G3763" s="58" t="s">
        <v>9677</v>
      </c>
      <c r="H3763" s="546">
        <v>4500</v>
      </c>
      <c r="I3763" s="66">
        <v>45061</v>
      </c>
      <c r="J3763" s="411" t="s">
        <v>5651</v>
      </c>
      <c r="K3763" s="58"/>
      <c r="L3763" s="99"/>
      <c r="M3763" s="70" t="s">
        <v>9567</v>
      </c>
      <c r="N3763" s="97" t="s">
        <v>270</v>
      </c>
      <c r="O3763" s="58"/>
      <c r="P3763" s="58" t="s">
        <v>44</v>
      </c>
      <c r="Q3763" s="58" t="s">
        <v>118</v>
      </c>
      <c r="R3763" s="58" t="s">
        <v>272</v>
      </c>
    </row>
    <row r="3764" spans="1:18" ht="69" customHeight="1">
      <c r="A3764" s="168"/>
      <c r="B3764" s="178" t="s">
        <v>9678</v>
      </c>
      <c r="C3764" s="178" t="s">
        <v>458</v>
      </c>
      <c r="D3764" s="575"/>
      <c r="E3764" s="178" t="s">
        <v>350</v>
      </c>
      <c r="F3764" s="210" t="s">
        <v>9679</v>
      </c>
      <c r="G3764" s="58" t="s">
        <v>7080</v>
      </c>
      <c r="H3764" s="546">
        <v>5362.8</v>
      </c>
      <c r="I3764" s="66" t="s">
        <v>96</v>
      </c>
      <c r="J3764" s="411" t="s">
        <v>7081</v>
      </c>
      <c r="K3764" s="58" t="s">
        <v>9680</v>
      </c>
      <c r="L3764" s="99"/>
      <c r="M3764" s="70" t="s">
        <v>9681</v>
      </c>
      <c r="N3764" s="97" t="s">
        <v>356</v>
      </c>
      <c r="O3764" s="58" t="s">
        <v>141</v>
      </c>
      <c r="P3764" s="58" t="s">
        <v>19</v>
      </c>
      <c r="Q3764" s="58" t="s">
        <v>119</v>
      </c>
      <c r="R3764" s="58" t="s">
        <v>265</v>
      </c>
    </row>
    <row r="3765" spans="1:18" ht="69" customHeight="1">
      <c r="A3765" s="168"/>
      <c r="B3765" s="178">
        <v>7606</v>
      </c>
      <c r="C3765" s="178" t="s">
        <v>458</v>
      </c>
      <c r="D3765" s="575" t="s">
        <v>1366</v>
      </c>
      <c r="E3765" s="178" t="s">
        <v>358</v>
      </c>
      <c r="F3765" s="210" t="s">
        <v>9682</v>
      </c>
      <c r="G3765" s="58" t="s">
        <v>7867</v>
      </c>
      <c r="H3765" s="546">
        <v>25000</v>
      </c>
      <c r="I3765" s="66">
        <v>44890</v>
      </c>
      <c r="J3765" s="411" t="s">
        <v>795</v>
      </c>
      <c r="K3765" s="58" t="s">
        <v>9683</v>
      </c>
      <c r="L3765" s="99"/>
      <c r="M3765" s="70" t="s">
        <v>9684</v>
      </c>
      <c r="N3765" s="97" t="s">
        <v>356</v>
      </c>
      <c r="O3765" s="58" t="s">
        <v>141</v>
      </c>
      <c r="P3765" s="58" t="s">
        <v>19</v>
      </c>
      <c r="Q3765" s="58" t="s">
        <v>119</v>
      </c>
      <c r="R3765" s="58" t="s">
        <v>272</v>
      </c>
    </row>
    <row r="3766" spans="1:18" ht="69" customHeight="1">
      <c r="A3766" s="168"/>
      <c r="B3766" s="178" t="s">
        <v>9685</v>
      </c>
      <c r="C3766" s="178" t="s">
        <v>657</v>
      </c>
      <c r="D3766" s="575"/>
      <c r="E3766" s="178" t="s">
        <v>260</v>
      </c>
      <c r="F3766" s="210" t="s">
        <v>9686</v>
      </c>
      <c r="G3766" s="58" t="s">
        <v>7080</v>
      </c>
      <c r="H3766" s="546">
        <v>17998.2</v>
      </c>
      <c r="I3766" s="66" t="s">
        <v>96</v>
      </c>
      <c r="J3766" s="411" t="s">
        <v>7081</v>
      </c>
      <c r="K3766" s="58" t="s">
        <v>9687</v>
      </c>
      <c r="L3766" s="99"/>
      <c r="M3766" s="70" t="s">
        <v>9688</v>
      </c>
      <c r="N3766" s="97" t="s">
        <v>264</v>
      </c>
      <c r="O3766" s="58" t="s">
        <v>141</v>
      </c>
      <c r="P3766" s="58" t="s">
        <v>17</v>
      </c>
      <c r="Q3766" s="58" t="s">
        <v>119</v>
      </c>
      <c r="R3766" s="58" t="s">
        <v>265</v>
      </c>
    </row>
    <row r="3767" spans="1:18" ht="69" customHeight="1">
      <c r="A3767" s="168"/>
      <c r="B3767" s="178" t="s">
        <v>9689</v>
      </c>
      <c r="C3767" s="178" t="s">
        <v>657</v>
      </c>
      <c r="D3767" s="575"/>
      <c r="E3767" s="178" t="s">
        <v>260</v>
      </c>
      <c r="F3767" s="210" t="s">
        <v>9690</v>
      </c>
      <c r="G3767" s="58" t="s">
        <v>7080</v>
      </c>
      <c r="H3767" s="546">
        <v>7051.04</v>
      </c>
      <c r="I3767" s="66" t="s">
        <v>96</v>
      </c>
      <c r="J3767" s="411" t="s">
        <v>7081</v>
      </c>
      <c r="K3767" s="58" t="s">
        <v>9687</v>
      </c>
      <c r="L3767" s="99"/>
      <c r="M3767" s="70" t="s">
        <v>9688</v>
      </c>
      <c r="N3767" s="97" t="s">
        <v>264</v>
      </c>
      <c r="O3767" s="58" t="s">
        <v>141</v>
      </c>
      <c r="P3767" s="58" t="s">
        <v>17</v>
      </c>
      <c r="Q3767" s="58" t="s">
        <v>119</v>
      </c>
      <c r="R3767" s="58" t="s">
        <v>265</v>
      </c>
    </row>
    <row r="3768" spans="1:18" ht="69" customHeight="1">
      <c r="A3768" s="168"/>
      <c r="B3768" s="178" t="s">
        <v>9691</v>
      </c>
      <c r="C3768" s="178" t="s">
        <v>657</v>
      </c>
      <c r="D3768" s="575"/>
      <c r="E3768" s="178" t="s">
        <v>260</v>
      </c>
      <c r="F3768" s="210" t="s">
        <v>9692</v>
      </c>
      <c r="G3768" s="58" t="s">
        <v>7080</v>
      </c>
      <c r="H3768" s="546">
        <v>400</v>
      </c>
      <c r="I3768" s="66" t="s">
        <v>96</v>
      </c>
      <c r="J3768" s="411" t="s">
        <v>7081</v>
      </c>
      <c r="K3768" s="58" t="s">
        <v>9687</v>
      </c>
      <c r="L3768" s="99"/>
      <c r="M3768" s="70" t="s">
        <v>9688</v>
      </c>
      <c r="N3768" s="97" t="s">
        <v>264</v>
      </c>
      <c r="O3768" s="58" t="s">
        <v>141</v>
      </c>
      <c r="P3768" s="58" t="s">
        <v>17</v>
      </c>
      <c r="Q3768" s="58" t="s">
        <v>119</v>
      </c>
      <c r="R3768" s="58" t="s">
        <v>265</v>
      </c>
    </row>
    <row r="3769" spans="1:18" ht="69" customHeight="1">
      <c r="A3769" s="168"/>
      <c r="B3769" s="178" t="s">
        <v>9693</v>
      </c>
      <c r="C3769" s="178" t="s">
        <v>657</v>
      </c>
      <c r="D3769" s="575"/>
      <c r="E3769" s="178" t="s">
        <v>260</v>
      </c>
      <c r="F3769" s="210" t="s">
        <v>9694</v>
      </c>
      <c r="G3769" s="58" t="s">
        <v>7080</v>
      </c>
      <c r="H3769" s="546">
        <v>19050.93</v>
      </c>
      <c r="I3769" s="66" t="s">
        <v>96</v>
      </c>
      <c r="J3769" s="411" t="s">
        <v>7081</v>
      </c>
      <c r="K3769" s="58" t="s">
        <v>9695</v>
      </c>
      <c r="L3769" s="99"/>
      <c r="M3769" s="70" t="s">
        <v>9688</v>
      </c>
      <c r="N3769" s="97" t="s">
        <v>264</v>
      </c>
      <c r="O3769" s="58" t="s">
        <v>141</v>
      </c>
      <c r="P3769" s="58" t="s">
        <v>17</v>
      </c>
      <c r="Q3769" s="58" t="s">
        <v>119</v>
      </c>
      <c r="R3769" s="58" t="s">
        <v>265</v>
      </c>
    </row>
    <row r="3770" spans="1:18" ht="69" customHeight="1">
      <c r="A3770" s="168"/>
      <c r="B3770" s="178">
        <v>2818</v>
      </c>
      <c r="C3770" s="178" t="s">
        <v>309</v>
      </c>
      <c r="D3770" s="575" t="s">
        <v>9696</v>
      </c>
      <c r="E3770" s="178" t="s">
        <v>266</v>
      </c>
      <c r="F3770" s="210" t="s">
        <v>9697</v>
      </c>
      <c r="G3770" s="58" t="s">
        <v>5560</v>
      </c>
      <c r="H3770" s="546">
        <v>7060</v>
      </c>
      <c r="I3770" s="66">
        <v>44582</v>
      </c>
      <c r="J3770" s="411" t="s">
        <v>9698</v>
      </c>
      <c r="K3770" s="58"/>
      <c r="L3770" s="99"/>
      <c r="M3770" s="70" t="s">
        <v>9699</v>
      </c>
      <c r="N3770" s="97" t="s">
        <v>270</v>
      </c>
      <c r="O3770" s="58"/>
      <c r="P3770" s="58" t="s">
        <v>44</v>
      </c>
      <c r="Q3770" s="58" t="s">
        <v>119</v>
      </c>
      <c r="R3770" s="58" t="s">
        <v>272</v>
      </c>
    </row>
    <row r="3771" spans="1:18" ht="69" customHeight="1">
      <c r="A3771" s="168"/>
      <c r="B3771" s="191">
        <v>3013</v>
      </c>
      <c r="C3771" s="191" t="s">
        <v>458</v>
      </c>
      <c r="D3771" s="533" t="s">
        <v>2930</v>
      </c>
      <c r="E3771" s="191" t="s">
        <v>331</v>
      </c>
      <c r="F3771" s="211" t="s">
        <v>9700</v>
      </c>
      <c r="G3771" s="46" t="s">
        <v>4416</v>
      </c>
      <c r="H3771" s="534">
        <v>0</v>
      </c>
      <c r="I3771" s="56" t="s">
        <v>96</v>
      </c>
      <c r="J3771" s="412" t="s">
        <v>334</v>
      </c>
      <c r="K3771" s="46"/>
      <c r="L3771" s="99"/>
      <c r="M3771" s="379"/>
      <c r="N3771" s="76" t="s">
        <v>69</v>
      </c>
      <c r="O3771" s="46" t="s">
        <v>9701</v>
      </c>
      <c r="P3771" s="46" t="s">
        <v>69</v>
      </c>
      <c r="Q3771" s="46" t="s">
        <v>119</v>
      </c>
      <c r="R3771" s="46" t="s">
        <v>272</v>
      </c>
    </row>
    <row r="3772" spans="1:18" ht="69" customHeight="1">
      <c r="A3772" s="168"/>
      <c r="B3772" s="178">
        <v>4130</v>
      </c>
      <c r="C3772" s="178" t="s">
        <v>458</v>
      </c>
      <c r="D3772" s="575" t="s">
        <v>3657</v>
      </c>
      <c r="E3772" s="178" t="s">
        <v>266</v>
      </c>
      <c r="F3772" s="210" t="s">
        <v>9702</v>
      </c>
      <c r="G3772" s="58" t="s">
        <v>1107</v>
      </c>
      <c r="H3772" s="546">
        <v>7293.34</v>
      </c>
      <c r="I3772" s="66">
        <v>44643</v>
      </c>
      <c r="J3772" s="411" t="s">
        <v>9703</v>
      </c>
      <c r="K3772" s="58"/>
      <c r="L3772" s="99"/>
      <c r="M3772" s="70" t="s">
        <v>9704</v>
      </c>
      <c r="N3772" s="97" t="s">
        <v>970</v>
      </c>
      <c r="O3772" s="58" t="s">
        <v>9540</v>
      </c>
      <c r="P3772" s="58" t="s">
        <v>38</v>
      </c>
      <c r="Q3772" s="58" t="s">
        <v>119</v>
      </c>
      <c r="R3772" s="58" t="s">
        <v>272</v>
      </c>
    </row>
    <row r="3773" spans="1:18" ht="69" customHeight="1">
      <c r="A3773" s="168"/>
      <c r="B3773" s="178">
        <v>4399</v>
      </c>
      <c r="C3773" s="178" t="s">
        <v>458</v>
      </c>
      <c r="D3773" s="575"/>
      <c r="E3773" s="178" t="s">
        <v>283</v>
      </c>
      <c r="F3773" s="210" t="s">
        <v>9705</v>
      </c>
      <c r="G3773" s="58"/>
      <c r="H3773" s="546">
        <v>0</v>
      </c>
      <c r="I3773" s="66">
        <v>44488</v>
      </c>
      <c r="J3773" s="411" t="s">
        <v>294</v>
      </c>
      <c r="K3773" s="58" t="s">
        <v>9706</v>
      </c>
      <c r="L3773" s="99"/>
      <c r="M3773" s="70" t="s">
        <v>9707</v>
      </c>
      <c r="N3773" s="97" t="s">
        <v>264</v>
      </c>
      <c r="O3773" s="58" t="s">
        <v>141</v>
      </c>
      <c r="P3773" s="58" t="s">
        <v>17</v>
      </c>
      <c r="Q3773" s="58" t="s">
        <v>119</v>
      </c>
      <c r="R3773" s="58" t="s">
        <v>272</v>
      </c>
    </row>
    <row r="3774" spans="1:18" ht="69" customHeight="1">
      <c r="A3774" s="168"/>
      <c r="B3774" s="178">
        <v>4708</v>
      </c>
      <c r="C3774" s="178" t="s">
        <v>458</v>
      </c>
      <c r="D3774" s="575" t="s">
        <v>9708</v>
      </c>
      <c r="E3774" s="178" t="s">
        <v>331</v>
      </c>
      <c r="F3774" s="210" t="s">
        <v>9709</v>
      </c>
      <c r="G3774" s="58"/>
      <c r="H3774" s="546">
        <v>3389.12</v>
      </c>
      <c r="I3774" s="66">
        <v>44678</v>
      </c>
      <c r="J3774" s="411" t="s">
        <v>9710</v>
      </c>
      <c r="K3774" s="58"/>
      <c r="L3774" s="99"/>
      <c r="M3774" s="70" t="s">
        <v>9699</v>
      </c>
      <c r="N3774" s="97" t="s">
        <v>270</v>
      </c>
      <c r="O3774" s="58"/>
      <c r="P3774" s="58" t="s">
        <v>44</v>
      </c>
      <c r="Q3774" s="58" t="s">
        <v>119</v>
      </c>
      <c r="R3774" s="58" t="s">
        <v>272</v>
      </c>
    </row>
    <row r="3775" spans="1:18" ht="69" customHeight="1">
      <c r="A3775" s="168"/>
      <c r="B3775" s="178">
        <v>4103</v>
      </c>
      <c r="C3775" s="178" t="s">
        <v>458</v>
      </c>
      <c r="D3775" s="575" t="s">
        <v>3654</v>
      </c>
      <c r="E3775" s="178" t="s">
        <v>266</v>
      </c>
      <c r="F3775" s="210" t="s">
        <v>9711</v>
      </c>
      <c r="G3775" s="58" t="s">
        <v>3674</v>
      </c>
      <c r="H3775" s="546">
        <v>6190</v>
      </c>
      <c r="I3775" s="66">
        <v>44676</v>
      </c>
      <c r="J3775" s="411" t="s">
        <v>9712</v>
      </c>
      <c r="K3775" s="58"/>
      <c r="L3775" s="99"/>
      <c r="M3775" s="70" t="s">
        <v>9699</v>
      </c>
      <c r="N3775" s="97" t="s">
        <v>270</v>
      </c>
      <c r="O3775" s="58"/>
      <c r="P3775" s="58" t="s">
        <v>44</v>
      </c>
      <c r="Q3775" s="58" t="s">
        <v>119</v>
      </c>
      <c r="R3775" s="58" t="s">
        <v>272</v>
      </c>
    </row>
    <row r="3776" spans="1:18" ht="69" customHeight="1">
      <c r="A3776" s="168"/>
      <c r="B3776" s="178">
        <v>4708</v>
      </c>
      <c r="C3776" s="178" t="s">
        <v>458</v>
      </c>
      <c r="D3776" s="575" t="s">
        <v>645</v>
      </c>
      <c r="E3776" s="178" t="s">
        <v>331</v>
      </c>
      <c r="F3776" s="210" t="s">
        <v>9713</v>
      </c>
      <c r="G3776" s="58" t="s">
        <v>372</v>
      </c>
      <c r="H3776" s="546">
        <v>30502.09</v>
      </c>
      <c r="I3776" s="66">
        <v>44701</v>
      </c>
      <c r="J3776" s="411" t="s">
        <v>9714</v>
      </c>
      <c r="K3776" s="58"/>
      <c r="L3776" s="99"/>
      <c r="M3776" s="70" t="s">
        <v>9699</v>
      </c>
      <c r="N3776" s="97" t="s">
        <v>270</v>
      </c>
      <c r="O3776" s="58"/>
      <c r="P3776" s="58" t="s">
        <v>44</v>
      </c>
      <c r="Q3776" s="58" t="s">
        <v>119</v>
      </c>
      <c r="R3776" s="58" t="s">
        <v>272</v>
      </c>
    </row>
    <row r="3777" spans="1:18" ht="69" customHeight="1">
      <c r="A3777" s="168"/>
      <c r="B3777" s="178">
        <v>4321</v>
      </c>
      <c r="C3777" s="178" t="s">
        <v>458</v>
      </c>
      <c r="D3777" s="575" t="s">
        <v>9715</v>
      </c>
      <c r="E3777" s="178" t="s">
        <v>358</v>
      </c>
      <c r="F3777" s="210" t="s">
        <v>9716</v>
      </c>
      <c r="G3777" s="58" t="s">
        <v>8761</v>
      </c>
      <c r="H3777" s="546">
        <v>269028.42</v>
      </c>
      <c r="I3777" s="66">
        <v>44706</v>
      </c>
      <c r="J3777" s="411" t="s">
        <v>9717</v>
      </c>
      <c r="K3777" s="58" t="s">
        <v>9680</v>
      </c>
      <c r="L3777" s="99"/>
      <c r="M3777" s="70" t="s">
        <v>9684</v>
      </c>
      <c r="N3777" s="97" t="s">
        <v>356</v>
      </c>
      <c r="O3777" s="58" t="s">
        <v>141</v>
      </c>
      <c r="P3777" s="58" t="s">
        <v>19</v>
      </c>
      <c r="Q3777" s="58" t="s">
        <v>119</v>
      </c>
      <c r="R3777" s="58" t="s">
        <v>272</v>
      </c>
    </row>
    <row r="3778" spans="1:18" ht="69" customHeight="1">
      <c r="A3778" s="168"/>
      <c r="B3778" s="178">
        <v>4130</v>
      </c>
      <c r="C3778" s="178" t="s">
        <v>458</v>
      </c>
      <c r="D3778" s="575" t="s">
        <v>2225</v>
      </c>
      <c r="E3778" s="178" t="s">
        <v>266</v>
      </c>
      <c r="F3778" s="210" t="s">
        <v>9718</v>
      </c>
      <c r="G3778" s="58" t="s">
        <v>1107</v>
      </c>
      <c r="H3778" s="546">
        <v>7293.34</v>
      </c>
      <c r="I3778" s="66">
        <v>44725</v>
      </c>
      <c r="J3778" s="411" t="s">
        <v>9719</v>
      </c>
      <c r="K3778" s="58"/>
      <c r="L3778" s="99"/>
      <c r="M3778" s="70" t="s">
        <v>9704</v>
      </c>
      <c r="N3778" s="97" t="s">
        <v>970</v>
      </c>
      <c r="O3778" s="58" t="s">
        <v>9540</v>
      </c>
      <c r="P3778" s="58" t="s">
        <v>38</v>
      </c>
      <c r="Q3778" s="58" t="s">
        <v>119</v>
      </c>
      <c r="R3778" s="58" t="s">
        <v>272</v>
      </c>
    </row>
    <row r="3779" spans="1:18" ht="69" customHeight="1">
      <c r="A3779" s="168"/>
      <c r="B3779" s="178">
        <v>5013</v>
      </c>
      <c r="C3779" s="178" t="s">
        <v>458</v>
      </c>
      <c r="D3779" s="575" t="s">
        <v>2702</v>
      </c>
      <c r="E3779" s="178" t="s">
        <v>266</v>
      </c>
      <c r="F3779" s="210" t="s">
        <v>9720</v>
      </c>
      <c r="G3779" s="58" t="s">
        <v>1753</v>
      </c>
      <c r="H3779" s="546">
        <v>5390</v>
      </c>
      <c r="I3779" s="66">
        <v>44727</v>
      </c>
      <c r="J3779" s="411" t="s">
        <v>9721</v>
      </c>
      <c r="K3779" s="58"/>
      <c r="L3779" s="99"/>
      <c r="M3779" s="70" t="s">
        <v>9699</v>
      </c>
      <c r="N3779" s="97" t="s">
        <v>270</v>
      </c>
      <c r="O3779" s="58"/>
      <c r="P3779" s="58" t="s">
        <v>44</v>
      </c>
      <c r="Q3779" s="58" t="s">
        <v>119</v>
      </c>
      <c r="R3779" s="58" t="s">
        <v>272</v>
      </c>
    </row>
    <row r="3780" spans="1:18" ht="69" customHeight="1">
      <c r="A3780" s="168"/>
      <c r="B3780" s="178">
        <v>5014</v>
      </c>
      <c r="C3780" s="178" t="s">
        <v>458</v>
      </c>
      <c r="D3780" s="575" t="s">
        <v>2924</v>
      </c>
      <c r="E3780" s="178" t="s">
        <v>382</v>
      </c>
      <c r="F3780" s="210" t="s">
        <v>9722</v>
      </c>
      <c r="G3780" s="58" t="s">
        <v>384</v>
      </c>
      <c r="H3780" s="546">
        <v>27761.33</v>
      </c>
      <c r="I3780" s="66">
        <v>44736</v>
      </c>
      <c r="J3780" s="411" t="s">
        <v>9723</v>
      </c>
      <c r="K3780" s="58"/>
      <c r="L3780" s="99"/>
      <c r="M3780" s="70" t="s">
        <v>9724</v>
      </c>
      <c r="N3780" s="97" t="s">
        <v>387</v>
      </c>
      <c r="O3780" s="45" t="s">
        <v>150</v>
      </c>
      <c r="P3780" s="58" t="s">
        <v>51</v>
      </c>
      <c r="Q3780" s="58" t="s">
        <v>119</v>
      </c>
      <c r="R3780" s="58" t="s">
        <v>272</v>
      </c>
    </row>
    <row r="3781" spans="1:18" ht="69" customHeight="1">
      <c r="A3781" s="168"/>
      <c r="B3781" s="178">
        <v>5015</v>
      </c>
      <c r="C3781" s="178" t="s">
        <v>458</v>
      </c>
      <c r="D3781" s="575" t="s">
        <v>345</v>
      </c>
      <c r="E3781" s="178" t="s">
        <v>382</v>
      </c>
      <c r="F3781" s="210" t="s">
        <v>9725</v>
      </c>
      <c r="G3781" s="58" t="s">
        <v>384</v>
      </c>
      <c r="H3781" s="546">
        <v>39819.519999999997</v>
      </c>
      <c r="I3781" s="66">
        <v>44736</v>
      </c>
      <c r="J3781" s="411" t="s">
        <v>9726</v>
      </c>
      <c r="K3781" s="58"/>
      <c r="L3781" s="99"/>
      <c r="M3781" s="70" t="s">
        <v>9724</v>
      </c>
      <c r="N3781" s="97" t="s">
        <v>387</v>
      </c>
      <c r="O3781" s="45" t="s">
        <v>150</v>
      </c>
      <c r="P3781" s="58" t="s">
        <v>51</v>
      </c>
      <c r="Q3781" s="58" t="s">
        <v>119</v>
      </c>
      <c r="R3781" s="58" t="s">
        <v>272</v>
      </c>
    </row>
    <row r="3782" spans="1:18" ht="69" customHeight="1">
      <c r="A3782" s="168"/>
      <c r="B3782" s="178">
        <v>5143</v>
      </c>
      <c r="C3782" s="178" t="s">
        <v>458</v>
      </c>
      <c r="D3782" s="575" t="s">
        <v>2483</v>
      </c>
      <c r="E3782" s="178" t="s">
        <v>350</v>
      </c>
      <c r="F3782" s="210" t="s">
        <v>9727</v>
      </c>
      <c r="G3782" s="58" t="s">
        <v>352</v>
      </c>
      <c r="H3782" s="546">
        <v>339328.45</v>
      </c>
      <c r="I3782" s="66">
        <v>44742</v>
      </c>
      <c r="J3782" s="411" t="s">
        <v>9728</v>
      </c>
      <c r="K3782" s="58" t="s">
        <v>9680</v>
      </c>
      <c r="L3782" s="99"/>
      <c r="M3782" s="70" t="s">
        <v>9681</v>
      </c>
      <c r="N3782" s="97" t="s">
        <v>356</v>
      </c>
      <c r="O3782" s="58" t="s">
        <v>141</v>
      </c>
      <c r="P3782" s="58" t="s">
        <v>19</v>
      </c>
      <c r="Q3782" s="58" t="s">
        <v>119</v>
      </c>
      <c r="R3782" s="58" t="s">
        <v>265</v>
      </c>
    </row>
    <row r="3783" spans="1:18" ht="69" customHeight="1">
      <c r="A3783" s="168"/>
      <c r="B3783" s="178">
        <v>6279</v>
      </c>
      <c r="C3783" s="178" t="s">
        <v>458</v>
      </c>
      <c r="D3783" s="575" t="s">
        <v>1509</v>
      </c>
      <c r="E3783" s="178" t="s">
        <v>350</v>
      </c>
      <c r="F3783" s="210" t="s">
        <v>9729</v>
      </c>
      <c r="G3783" s="58" t="s">
        <v>352</v>
      </c>
      <c r="H3783" s="546">
        <v>86014</v>
      </c>
      <c r="I3783" s="66">
        <v>44751</v>
      </c>
      <c r="J3783" s="411" t="s">
        <v>9730</v>
      </c>
      <c r="K3783" s="58" t="s">
        <v>9680</v>
      </c>
      <c r="L3783" s="99"/>
      <c r="M3783" s="70" t="s">
        <v>9681</v>
      </c>
      <c r="N3783" s="97" t="s">
        <v>356</v>
      </c>
      <c r="O3783" s="58" t="s">
        <v>141</v>
      </c>
      <c r="P3783" s="58" t="s">
        <v>19</v>
      </c>
      <c r="Q3783" s="58" t="s">
        <v>119</v>
      </c>
      <c r="R3783" s="58" t="s">
        <v>265</v>
      </c>
    </row>
    <row r="3784" spans="1:18" ht="69" customHeight="1">
      <c r="A3784" s="168"/>
      <c r="B3784" s="178">
        <v>6009</v>
      </c>
      <c r="C3784" s="178" t="s">
        <v>458</v>
      </c>
      <c r="D3784" s="575" t="s">
        <v>3487</v>
      </c>
      <c r="E3784" s="178" t="s">
        <v>350</v>
      </c>
      <c r="F3784" s="210" t="s">
        <v>9731</v>
      </c>
      <c r="G3784" s="58" t="s">
        <v>352</v>
      </c>
      <c r="H3784" s="546">
        <v>53065.57</v>
      </c>
      <c r="I3784" s="66">
        <v>44768</v>
      </c>
      <c r="J3784" s="411" t="s">
        <v>9732</v>
      </c>
      <c r="K3784" s="58" t="s">
        <v>9680</v>
      </c>
      <c r="L3784" s="99"/>
      <c r="M3784" s="70" t="s">
        <v>9681</v>
      </c>
      <c r="N3784" s="97" t="s">
        <v>356</v>
      </c>
      <c r="O3784" s="58" t="s">
        <v>141</v>
      </c>
      <c r="P3784" s="58" t="s">
        <v>19</v>
      </c>
      <c r="Q3784" s="58" t="s">
        <v>119</v>
      </c>
      <c r="R3784" s="58" t="s">
        <v>265</v>
      </c>
    </row>
    <row r="3785" spans="1:18" ht="69" customHeight="1">
      <c r="A3785" s="168"/>
      <c r="B3785" s="178">
        <v>6053</v>
      </c>
      <c r="C3785" s="178" t="s">
        <v>458</v>
      </c>
      <c r="D3785" s="575" t="s">
        <v>9733</v>
      </c>
      <c r="E3785" s="178" t="s">
        <v>741</v>
      </c>
      <c r="F3785" s="210" t="s">
        <v>9734</v>
      </c>
      <c r="G3785" s="58" t="s">
        <v>738</v>
      </c>
      <c r="H3785" s="546">
        <v>38695.22</v>
      </c>
      <c r="I3785" s="66">
        <v>44771</v>
      </c>
      <c r="J3785" s="411" t="s">
        <v>9735</v>
      </c>
      <c r="K3785" s="58" t="s">
        <v>9736</v>
      </c>
      <c r="L3785" s="99"/>
      <c r="M3785" s="70" t="s">
        <v>9737</v>
      </c>
      <c r="N3785" s="97" t="s">
        <v>741</v>
      </c>
      <c r="O3785" s="58" t="s">
        <v>8228</v>
      </c>
      <c r="P3785" s="58" t="s">
        <v>59</v>
      </c>
      <c r="Q3785" s="58" t="s">
        <v>119</v>
      </c>
      <c r="R3785" s="58" t="s">
        <v>272</v>
      </c>
    </row>
    <row r="3786" spans="1:18" ht="69" customHeight="1">
      <c r="A3786" s="168"/>
      <c r="B3786" s="178">
        <v>6054</v>
      </c>
      <c r="C3786" s="178" t="s">
        <v>458</v>
      </c>
      <c r="D3786" s="575" t="s">
        <v>2731</v>
      </c>
      <c r="E3786" s="178" t="s">
        <v>741</v>
      </c>
      <c r="F3786" s="210" t="s">
        <v>9738</v>
      </c>
      <c r="G3786" s="58" t="s">
        <v>738</v>
      </c>
      <c r="H3786" s="546">
        <v>154780.85999999999</v>
      </c>
      <c r="I3786" s="66">
        <v>44771</v>
      </c>
      <c r="J3786" s="411" t="s">
        <v>9739</v>
      </c>
      <c r="K3786" s="58" t="s">
        <v>9736</v>
      </c>
      <c r="L3786" s="99"/>
      <c r="M3786" s="70" t="s">
        <v>9737</v>
      </c>
      <c r="N3786" s="97" t="s">
        <v>741</v>
      </c>
      <c r="O3786" s="58" t="s">
        <v>8228</v>
      </c>
      <c r="P3786" s="58" t="s">
        <v>59</v>
      </c>
      <c r="Q3786" s="58" t="s">
        <v>119</v>
      </c>
      <c r="R3786" s="58" t="s">
        <v>272</v>
      </c>
    </row>
    <row r="3787" spans="1:18" ht="69" customHeight="1">
      <c r="A3787" s="168"/>
      <c r="B3787" s="178">
        <v>6049</v>
      </c>
      <c r="C3787" s="178" t="s">
        <v>458</v>
      </c>
      <c r="D3787" s="575" t="s">
        <v>2027</v>
      </c>
      <c r="E3787" s="178" t="s">
        <v>266</v>
      </c>
      <c r="F3787" s="210" t="s">
        <v>9740</v>
      </c>
      <c r="G3787" s="58" t="s">
        <v>1107</v>
      </c>
      <c r="H3787" s="546">
        <v>7293.34</v>
      </c>
      <c r="I3787" s="66" t="s">
        <v>96</v>
      </c>
      <c r="J3787" s="411" t="s">
        <v>9741</v>
      </c>
      <c r="K3787" s="58"/>
      <c r="L3787" s="99"/>
      <c r="M3787" s="70" t="s">
        <v>9704</v>
      </c>
      <c r="N3787" s="97" t="s">
        <v>970</v>
      </c>
      <c r="O3787" s="58" t="s">
        <v>9540</v>
      </c>
      <c r="P3787" s="58" t="s">
        <v>38</v>
      </c>
      <c r="Q3787" s="58" t="s">
        <v>119</v>
      </c>
      <c r="R3787" s="58" t="s">
        <v>272</v>
      </c>
    </row>
    <row r="3788" spans="1:18" ht="69" customHeight="1">
      <c r="A3788" s="168"/>
      <c r="B3788" s="178">
        <v>6064</v>
      </c>
      <c r="C3788" s="178" t="s">
        <v>458</v>
      </c>
      <c r="D3788" s="575" t="s">
        <v>966</v>
      </c>
      <c r="E3788" s="178" t="s">
        <v>266</v>
      </c>
      <c r="F3788" s="210" t="s">
        <v>9742</v>
      </c>
      <c r="G3788" s="58" t="s">
        <v>680</v>
      </c>
      <c r="H3788" s="546">
        <v>6206.9</v>
      </c>
      <c r="I3788" s="66" t="s">
        <v>96</v>
      </c>
      <c r="J3788" s="411" t="s">
        <v>9743</v>
      </c>
      <c r="K3788" s="58"/>
      <c r="L3788" s="99"/>
      <c r="M3788" s="70" t="s">
        <v>9744</v>
      </c>
      <c r="N3788" s="97" t="s">
        <v>683</v>
      </c>
      <c r="O3788" s="58" t="s">
        <v>149</v>
      </c>
      <c r="P3788" s="58" t="s">
        <v>46</v>
      </c>
      <c r="Q3788" s="58" t="s">
        <v>119</v>
      </c>
      <c r="R3788" s="58" t="s">
        <v>272</v>
      </c>
    </row>
    <row r="3789" spans="1:18" ht="69" customHeight="1">
      <c r="A3789" s="168"/>
      <c r="B3789" s="178">
        <v>6095</v>
      </c>
      <c r="C3789" s="178" t="s">
        <v>458</v>
      </c>
      <c r="D3789" s="575" t="s">
        <v>957</v>
      </c>
      <c r="E3789" s="178" t="s">
        <v>358</v>
      </c>
      <c r="F3789" s="210" t="s">
        <v>9745</v>
      </c>
      <c r="G3789" s="58" t="s">
        <v>529</v>
      </c>
      <c r="H3789" s="546">
        <v>250000</v>
      </c>
      <c r="I3789" s="66">
        <v>44769</v>
      </c>
      <c r="J3789" s="411" t="s">
        <v>9746</v>
      </c>
      <c r="K3789" s="58" t="s">
        <v>9680</v>
      </c>
      <c r="L3789" s="99"/>
      <c r="M3789" s="70" t="s">
        <v>9684</v>
      </c>
      <c r="N3789" s="97" t="s">
        <v>356</v>
      </c>
      <c r="O3789" s="58" t="s">
        <v>141</v>
      </c>
      <c r="P3789" s="58" t="s">
        <v>19</v>
      </c>
      <c r="Q3789" s="58" t="s">
        <v>119</v>
      </c>
      <c r="R3789" s="58" t="s">
        <v>272</v>
      </c>
    </row>
    <row r="3790" spans="1:18" ht="69" customHeight="1">
      <c r="A3790" s="168"/>
      <c r="B3790" s="178">
        <v>6143</v>
      </c>
      <c r="C3790" s="178" t="s">
        <v>458</v>
      </c>
      <c r="D3790" s="575" t="s">
        <v>9747</v>
      </c>
      <c r="E3790" s="178" t="s">
        <v>350</v>
      </c>
      <c r="F3790" s="210" t="s">
        <v>9748</v>
      </c>
      <c r="G3790" s="58" t="s">
        <v>352</v>
      </c>
      <c r="H3790" s="546">
        <v>50000</v>
      </c>
      <c r="I3790" s="66">
        <v>44778</v>
      </c>
      <c r="J3790" s="411" t="s">
        <v>9749</v>
      </c>
      <c r="K3790" s="58" t="s">
        <v>752</v>
      </c>
      <c r="L3790" s="99"/>
      <c r="M3790" s="70" t="s">
        <v>9681</v>
      </c>
      <c r="N3790" s="97" t="s">
        <v>356</v>
      </c>
      <c r="O3790" s="58" t="s">
        <v>141</v>
      </c>
      <c r="P3790" s="58" t="s">
        <v>19</v>
      </c>
      <c r="Q3790" s="58" t="s">
        <v>119</v>
      </c>
      <c r="R3790" s="58" t="s">
        <v>265</v>
      </c>
    </row>
    <row r="3791" spans="1:18" ht="69" customHeight="1">
      <c r="A3791" s="168"/>
      <c r="B3791" s="600">
        <v>6084</v>
      </c>
      <c r="C3791" s="600" t="s">
        <v>458</v>
      </c>
      <c r="D3791" s="601" t="s">
        <v>975</v>
      </c>
      <c r="E3791" s="600" t="s">
        <v>409</v>
      </c>
      <c r="F3791" s="602" t="s">
        <v>9750</v>
      </c>
      <c r="G3791" s="460" t="s">
        <v>7054</v>
      </c>
      <c r="H3791" s="546">
        <v>262253.63</v>
      </c>
      <c r="I3791" s="461">
        <v>44776</v>
      </c>
      <c r="J3791" s="603" t="s">
        <v>9751</v>
      </c>
      <c r="K3791" s="460" t="s">
        <v>752</v>
      </c>
      <c r="L3791" s="99"/>
      <c r="M3791" s="70" t="s">
        <v>9752</v>
      </c>
      <c r="N3791" s="97" t="s">
        <v>414</v>
      </c>
      <c r="O3791" s="460" t="s">
        <v>147</v>
      </c>
      <c r="P3791" s="460" t="s">
        <v>22</v>
      </c>
      <c r="Q3791" s="460" t="s">
        <v>119</v>
      </c>
      <c r="R3791" s="460" t="s">
        <v>272</v>
      </c>
    </row>
    <row r="3792" spans="1:18" ht="69" customHeight="1">
      <c r="A3792" s="168"/>
      <c r="B3792" s="178">
        <v>6135</v>
      </c>
      <c r="C3792" s="178" t="s">
        <v>458</v>
      </c>
      <c r="D3792" s="575" t="s">
        <v>2974</v>
      </c>
      <c r="E3792" s="178" t="s">
        <v>350</v>
      </c>
      <c r="F3792" s="210" t="s">
        <v>9753</v>
      </c>
      <c r="G3792" s="58" t="s">
        <v>352</v>
      </c>
      <c r="H3792" s="546">
        <v>3696</v>
      </c>
      <c r="I3792" s="66">
        <v>44784</v>
      </c>
      <c r="J3792" s="411" t="s">
        <v>9754</v>
      </c>
      <c r="K3792" s="58" t="s">
        <v>735</v>
      </c>
      <c r="L3792" s="99"/>
      <c r="M3792" s="70" t="s">
        <v>9681</v>
      </c>
      <c r="N3792" s="97" t="s">
        <v>356</v>
      </c>
      <c r="O3792" s="58" t="s">
        <v>141</v>
      </c>
      <c r="P3792" s="58" t="s">
        <v>19</v>
      </c>
      <c r="Q3792" s="58" t="s">
        <v>119</v>
      </c>
      <c r="R3792" s="58" t="s">
        <v>265</v>
      </c>
    </row>
    <row r="3793" spans="1:18" ht="69" customHeight="1">
      <c r="A3793" s="168"/>
      <c r="B3793" s="178">
        <v>6373</v>
      </c>
      <c r="C3793" s="178" t="s">
        <v>458</v>
      </c>
      <c r="D3793" s="575" t="s">
        <v>5696</v>
      </c>
      <c r="E3793" s="178" t="s">
        <v>270</v>
      </c>
      <c r="F3793" s="210" t="s">
        <v>9755</v>
      </c>
      <c r="G3793" s="58" t="s">
        <v>2775</v>
      </c>
      <c r="H3793" s="546">
        <v>5810</v>
      </c>
      <c r="I3793" s="66">
        <v>44799</v>
      </c>
      <c r="J3793" s="411" t="s">
        <v>9756</v>
      </c>
      <c r="K3793" s="58"/>
      <c r="L3793" s="99"/>
      <c r="M3793" s="70" t="s">
        <v>9699</v>
      </c>
      <c r="N3793" s="97" t="s">
        <v>270</v>
      </c>
      <c r="O3793" s="58"/>
      <c r="P3793" s="58" t="s">
        <v>44</v>
      </c>
      <c r="Q3793" s="58" t="s">
        <v>119</v>
      </c>
      <c r="R3793" s="58" t="s">
        <v>272</v>
      </c>
    </row>
    <row r="3794" spans="1:18" ht="69" customHeight="1">
      <c r="A3794" s="168"/>
      <c r="B3794" s="178">
        <v>6229</v>
      </c>
      <c r="C3794" s="178" t="s">
        <v>458</v>
      </c>
      <c r="D3794" s="575" t="s">
        <v>2493</v>
      </c>
      <c r="E3794" s="178" t="s">
        <v>266</v>
      </c>
      <c r="F3794" s="210" t="s">
        <v>9757</v>
      </c>
      <c r="G3794" s="58" t="s">
        <v>9758</v>
      </c>
      <c r="H3794" s="546">
        <v>4000</v>
      </c>
      <c r="I3794" s="66">
        <v>44783</v>
      </c>
      <c r="J3794" s="411" t="s">
        <v>9759</v>
      </c>
      <c r="K3794" s="58"/>
      <c r="L3794" s="99"/>
      <c r="M3794" s="70" t="s">
        <v>9699</v>
      </c>
      <c r="N3794" s="97" t="s">
        <v>270</v>
      </c>
      <c r="O3794" s="58"/>
      <c r="P3794" s="58" t="s">
        <v>44</v>
      </c>
      <c r="Q3794" s="58" t="s">
        <v>119</v>
      </c>
      <c r="R3794" s="58" t="s">
        <v>272</v>
      </c>
    </row>
    <row r="3795" spans="1:18" ht="69" customHeight="1">
      <c r="A3795" s="168"/>
      <c r="B3795" s="178">
        <v>6098</v>
      </c>
      <c r="C3795" s="178" t="s">
        <v>458</v>
      </c>
      <c r="D3795" s="575" t="s">
        <v>6660</v>
      </c>
      <c r="E3795" s="178" t="s">
        <v>350</v>
      </c>
      <c r="F3795" s="210" t="s">
        <v>9760</v>
      </c>
      <c r="G3795" s="58" t="s">
        <v>352</v>
      </c>
      <c r="H3795" s="546">
        <v>662712.43000000005</v>
      </c>
      <c r="I3795" s="66">
        <v>44781</v>
      </c>
      <c r="J3795" s="411" t="s">
        <v>9761</v>
      </c>
      <c r="K3795" s="58" t="s">
        <v>9762</v>
      </c>
      <c r="L3795" s="99"/>
      <c r="M3795" s="70" t="s">
        <v>9681</v>
      </c>
      <c r="N3795" s="97" t="s">
        <v>356</v>
      </c>
      <c r="O3795" s="58" t="s">
        <v>141</v>
      </c>
      <c r="P3795" s="58" t="s">
        <v>19</v>
      </c>
      <c r="Q3795" s="58" t="s">
        <v>119</v>
      </c>
      <c r="R3795" s="58" t="s">
        <v>265</v>
      </c>
    </row>
    <row r="3796" spans="1:18" ht="69" customHeight="1">
      <c r="A3796" s="168"/>
      <c r="B3796" s="178">
        <v>6099</v>
      </c>
      <c r="C3796" s="178" t="s">
        <v>458</v>
      </c>
      <c r="D3796" s="575" t="s">
        <v>5689</v>
      </c>
      <c r="E3796" s="178" t="s">
        <v>350</v>
      </c>
      <c r="F3796" s="210" t="s">
        <v>9760</v>
      </c>
      <c r="G3796" s="58" t="s">
        <v>352</v>
      </c>
      <c r="H3796" s="546">
        <v>124416.65</v>
      </c>
      <c r="I3796" s="66">
        <v>44782</v>
      </c>
      <c r="J3796" s="411" t="s">
        <v>9763</v>
      </c>
      <c r="K3796" s="58" t="s">
        <v>9762</v>
      </c>
      <c r="L3796" s="99"/>
      <c r="M3796" s="70" t="s">
        <v>9681</v>
      </c>
      <c r="N3796" s="97" t="s">
        <v>356</v>
      </c>
      <c r="O3796" s="58" t="s">
        <v>141</v>
      </c>
      <c r="P3796" s="58" t="s">
        <v>19</v>
      </c>
      <c r="Q3796" s="58" t="s">
        <v>119</v>
      </c>
      <c r="R3796" s="58" t="s">
        <v>265</v>
      </c>
    </row>
    <row r="3797" spans="1:18" ht="69" customHeight="1">
      <c r="A3797" s="168"/>
      <c r="B3797" s="59">
        <v>6436</v>
      </c>
      <c r="C3797" s="59" t="s">
        <v>458</v>
      </c>
      <c r="D3797" s="581" t="s">
        <v>370</v>
      </c>
      <c r="E3797" s="59" t="s">
        <v>432</v>
      </c>
      <c r="F3797" s="569" t="s">
        <v>9764</v>
      </c>
      <c r="G3797" s="45" t="s">
        <v>429</v>
      </c>
      <c r="H3797" s="546">
        <v>13959.486000000001</v>
      </c>
      <c r="I3797" s="47">
        <v>44802</v>
      </c>
      <c r="J3797" s="410" t="s">
        <v>9765</v>
      </c>
      <c r="K3797" s="58"/>
      <c r="L3797" s="99"/>
      <c r="M3797" s="70" t="s">
        <v>9766</v>
      </c>
      <c r="N3797" s="97" t="s">
        <v>432</v>
      </c>
      <c r="O3797" s="58"/>
      <c r="P3797" s="58" t="s">
        <v>53</v>
      </c>
      <c r="Q3797" s="58" t="s">
        <v>119</v>
      </c>
      <c r="R3797" s="58" t="s">
        <v>272</v>
      </c>
    </row>
    <row r="3798" spans="1:18" ht="69" customHeight="1">
      <c r="A3798" s="168"/>
      <c r="B3798" s="207">
        <v>6451</v>
      </c>
      <c r="C3798" s="207" t="s">
        <v>458</v>
      </c>
      <c r="D3798" s="301" t="s">
        <v>2756</v>
      </c>
      <c r="E3798" s="207" t="s">
        <v>350</v>
      </c>
      <c r="F3798" s="208" t="s">
        <v>9767</v>
      </c>
      <c r="G3798" s="160" t="s">
        <v>352</v>
      </c>
      <c r="H3798" s="300">
        <v>53065.599999999999</v>
      </c>
      <c r="I3798" s="209">
        <v>44804</v>
      </c>
      <c r="J3798" s="322" t="s">
        <v>9768</v>
      </c>
      <c r="K3798" s="160" t="s">
        <v>4128</v>
      </c>
      <c r="M3798" s="379"/>
      <c r="N3798" s="76" t="s">
        <v>356</v>
      </c>
      <c r="O3798" s="160" t="s">
        <v>141</v>
      </c>
      <c r="P3798" s="160" t="s">
        <v>67</v>
      </c>
      <c r="Q3798" s="160" t="s">
        <v>119</v>
      </c>
      <c r="R3798" s="160" t="s">
        <v>272</v>
      </c>
    </row>
    <row r="3799" spans="1:18" ht="69" customHeight="1">
      <c r="A3799" s="168"/>
      <c r="B3799" s="178">
        <v>7713</v>
      </c>
      <c r="C3799" s="178" t="s">
        <v>458</v>
      </c>
      <c r="D3799" s="575" t="s">
        <v>2080</v>
      </c>
      <c r="E3799" s="178" t="s">
        <v>350</v>
      </c>
      <c r="F3799" s="210" t="s">
        <v>9769</v>
      </c>
      <c r="G3799" s="58" t="s">
        <v>805</v>
      </c>
      <c r="H3799" s="546">
        <v>178290</v>
      </c>
      <c r="I3799" s="66">
        <v>44908</v>
      </c>
      <c r="J3799" s="411" t="s">
        <v>806</v>
      </c>
      <c r="K3799" s="58"/>
      <c r="L3799" s="99"/>
      <c r="M3799" s="70" t="s">
        <v>9681</v>
      </c>
      <c r="N3799" s="97" t="s">
        <v>356</v>
      </c>
      <c r="O3799" s="58" t="s">
        <v>141</v>
      </c>
      <c r="P3799" s="58" t="s">
        <v>19</v>
      </c>
      <c r="Q3799" s="58" t="s">
        <v>119</v>
      </c>
      <c r="R3799" s="58" t="s">
        <v>265</v>
      </c>
    </row>
    <row r="3800" spans="1:18" ht="69" customHeight="1">
      <c r="A3800" s="168"/>
      <c r="B3800" s="178">
        <v>6657</v>
      </c>
      <c r="C3800" s="178" t="s">
        <v>458</v>
      </c>
      <c r="D3800" s="575" t="s">
        <v>8868</v>
      </c>
      <c r="E3800" s="178" t="s">
        <v>266</v>
      </c>
      <c r="F3800" s="210" t="s">
        <v>9770</v>
      </c>
      <c r="G3800" s="58" t="s">
        <v>1107</v>
      </c>
      <c r="H3800" s="546">
        <v>7293.34</v>
      </c>
      <c r="I3800" s="66">
        <v>44820</v>
      </c>
      <c r="J3800" s="411" t="s">
        <v>9771</v>
      </c>
      <c r="K3800" s="58"/>
      <c r="L3800" s="99"/>
      <c r="M3800" s="70" t="s">
        <v>9704</v>
      </c>
      <c r="N3800" s="97" t="s">
        <v>970</v>
      </c>
      <c r="O3800" s="58" t="s">
        <v>9540</v>
      </c>
      <c r="P3800" s="58" t="s">
        <v>38</v>
      </c>
      <c r="Q3800" s="58" t="s">
        <v>119</v>
      </c>
      <c r="R3800" s="58" t="s">
        <v>272</v>
      </c>
    </row>
    <row r="3801" spans="1:18" ht="69" customHeight="1">
      <c r="A3801" s="168"/>
      <c r="B3801" s="178">
        <v>6672</v>
      </c>
      <c r="C3801" s="178" t="s">
        <v>458</v>
      </c>
      <c r="D3801" s="575" t="s">
        <v>8704</v>
      </c>
      <c r="E3801" s="178" t="s">
        <v>741</v>
      </c>
      <c r="F3801" s="210" t="s">
        <v>9772</v>
      </c>
      <c r="G3801" s="58" t="s">
        <v>738</v>
      </c>
      <c r="H3801" s="546">
        <v>11236.07</v>
      </c>
      <c r="I3801" s="66">
        <v>44820</v>
      </c>
      <c r="J3801" s="411" t="s">
        <v>9773</v>
      </c>
      <c r="K3801" s="58" t="s">
        <v>9736</v>
      </c>
      <c r="L3801" s="99"/>
      <c r="M3801" s="70" t="s">
        <v>9737</v>
      </c>
      <c r="N3801" s="97" t="s">
        <v>741</v>
      </c>
      <c r="O3801" s="58" t="s">
        <v>8228</v>
      </c>
      <c r="P3801" s="58" t="s">
        <v>59</v>
      </c>
      <c r="Q3801" s="58" t="s">
        <v>119</v>
      </c>
      <c r="R3801" s="58" t="s">
        <v>272</v>
      </c>
    </row>
    <row r="3802" spans="1:18" ht="69" customHeight="1">
      <c r="A3802" s="168"/>
      <c r="B3802" s="178">
        <v>6673</v>
      </c>
      <c r="C3802" s="178" t="s">
        <v>458</v>
      </c>
      <c r="D3802" s="575" t="s">
        <v>548</v>
      </c>
      <c r="E3802" s="178" t="s">
        <v>741</v>
      </c>
      <c r="F3802" s="210" t="s">
        <v>9774</v>
      </c>
      <c r="G3802" s="58" t="s">
        <v>738</v>
      </c>
      <c r="H3802" s="546">
        <v>44944.28</v>
      </c>
      <c r="I3802" s="66">
        <v>44820</v>
      </c>
      <c r="J3802" s="411" t="s">
        <v>9773</v>
      </c>
      <c r="K3802" s="58" t="s">
        <v>9736</v>
      </c>
      <c r="L3802" s="99"/>
      <c r="M3802" s="70" t="s">
        <v>9737</v>
      </c>
      <c r="N3802" s="97" t="s">
        <v>741</v>
      </c>
      <c r="O3802" s="58" t="s">
        <v>8228</v>
      </c>
      <c r="P3802" s="58" t="s">
        <v>59</v>
      </c>
      <c r="Q3802" s="58" t="s">
        <v>119</v>
      </c>
      <c r="R3802" s="58" t="s">
        <v>272</v>
      </c>
    </row>
    <row r="3803" spans="1:18" ht="69" customHeight="1">
      <c r="A3803" s="168"/>
      <c r="B3803" s="178">
        <v>6782</v>
      </c>
      <c r="C3803" s="178" t="s">
        <v>458</v>
      </c>
      <c r="D3803" s="575" t="s">
        <v>1021</v>
      </c>
      <c r="E3803" s="178" t="s">
        <v>741</v>
      </c>
      <c r="F3803" s="210" t="s">
        <v>9775</v>
      </c>
      <c r="G3803" s="58" t="s">
        <v>738</v>
      </c>
      <c r="H3803" s="546">
        <v>39151.921999999999</v>
      </c>
      <c r="I3803" s="66">
        <v>44830</v>
      </c>
      <c r="J3803" s="411" t="s">
        <v>9776</v>
      </c>
      <c r="K3803" s="58" t="s">
        <v>9777</v>
      </c>
      <c r="L3803" s="99"/>
      <c r="M3803" s="70" t="s">
        <v>9737</v>
      </c>
      <c r="N3803" s="97" t="s">
        <v>741</v>
      </c>
      <c r="O3803" s="58" t="s">
        <v>8228</v>
      </c>
      <c r="P3803" s="58" t="s">
        <v>59</v>
      </c>
      <c r="Q3803" s="58" t="s">
        <v>119</v>
      </c>
      <c r="R3803" s="58" t="s">
        <v>272</v>
      </c>
    </row>
    <row r="3804" spans="1:18" ht="69" customHeight="1">
      <c r="A3804" s="168"/>
      <c r="B3804" s="178">
        <v>6783</v>
      </c>
      <c r="C3804" s="178" t="s">
        <v>458</v>
      </c>
      <c r="D3804" s="575" t="s">
        <v>9442</v>
      </c>
      <c r="E3804" s="178" t="s">
        <v>741</v>
      </c>
      <c r="F3804" s="210" t="s">
        <v>9778</v>
      </c>
      <c r="G3804" s="58" t="s">
        <v>738</v>
      </c>
      <c r="H3804" s="546">
        <v>156607.68799999999</v>
      </c>
      <c r="I3804" s="66">
        <v>44830</v>
      </c>
      <c r="J3804" s="411" t="s">
        <v>9776</v>
      </c>
      <c r="K3804" s="58" t="s">
        <v>9777</v>
      </c>
      <c r="L3804" s="99"/>
      <c r="M3804" s="70" t="s">
        <v>9737</v>
      </c>
      <c r="N3804" s="97" t="s">
        <v>741</v>
      </c>
      <c r="O3804" s="58" t="s">
        <v>8228</v>
      </c>
      <c r="P3804" s="58" t="s">
        <v>59</v>
      </c>
      <c r="Q3804" s="58" t="s">
        <v>119</v>
      </c>
      <c r="R3804" s="58" t="s">
        <v>272</v>
      </c>
    </row>
    <row r="3805" spans="1:18" ht="69" customHeight="1">
      <c r="A3805" s="168"/>
      <c r="B3805" s="178">
        <v>6789</v>
      </c>
      <c r="C3805" s="178" t="s">
        <v>458</v>
      </c>
      <c r="D3805" s="575" t="s">
        <v>408</v>
      </c>
      <c r="E3805" s="178" t="s">
        <v>970</v>
      </c>
      <c r="F3805" s="210" t="s">
        <v>9779</v>
      </c>
      <c r="G3805" s="58" t="s">
        <v>1107</v>
      </c>
      <c r="H3805" s="546">
        <v>7293.34</v>
      </c>
      <c r="I3805" s="66">
        <v>44832</v>
      </c>
      <c r="J3805" s="411" t="s">
        <v>9780</v>
      </c>
      <c r="K3805" s="58"/>
      <c r="L3805" s="99"/>
      <c r="M3805" s="70" t="s">
        <v>9704</v>
      </c>
      <c r="N3805" s="97" t="s">
        <v>970</v>
      </c>
      <c r="O3805" s="58" t="s">
        <v>9540</v>
      </c>
      <c r="P3805" s="58" t="s">
        <v>38</v>
      </c>
      <c r="Q3805" s="58" t="s">
        <v>119</v>
      </c>
      <c r="R3805" s="58" t="s">
        <v>272</v>
      </c>
    </row>
    <row r="3806" spans="1:18" ht="69" customHeight="1">
      <c r="A3806" s="168"/>
      <c r="B3806" s="178">
        <v>6811</v>
      </c>
      <c r="C3806" s="178" t="s">
        <v>458</v>
      </c>
      <c r="D3806" s="575" t="s">
        <v>6235</v>
      </c>
      <c r="E3806" s="178" t="s">
        <v>7890</v>
      </c>
      <c r="F3806" s="210" t="s">
        <v>9781</v>
      </c>
      <c r="G3806" s="58" t="s">
        <v>9782</v>
      </c>
      <c r="H3806" s="546">
        <v>55006.7</v>
      </c>
      <c r="I3806" s="66">
        <v>44832</v>
      </c>
      <c r="J3806" s="411" t="s">
        <v>9783</v>
      </c>
      <c r="K3806" s="58"/>
      <c r="L3806" s="99"/>
      <c r="M3806" s="70" t="s">
        <v>9784</v>
      </c>
      <c r="N3806" s="97" t="s">
        <v>414</v>
      </c>
      <c r="O3806" s="45" t="s">
        <v>147</v>
      </c>
      <c r="P3806" s="58" t="s">
        <v>22</v>
      </c>
      <c r="Q3806" s="58" t="s">
        <v>119</v>
      </c>
      <c r="R3806" s="58" t="s">
        <v>265</v>
      </c>
    </row>
    <row r="3807" spans="1:18" ht="69" customHeight="1">
      <c r="A3807" s="168"/>
      <c r="B3807" s="178">
        <v>7572</v>
      </c>
      <c r="C3807" s="178" t="s">
        <v>458</v>
      </c>
      <c r="D3807" s="575" t="s">
        <v>8906</v>
      </c>
      <c r="E3807" s="178" t="s">
        <v>7890</v>
      </c>
      <c r="F3807" s="210" t="s">
        <v>9785</v>
      </c>
      <c r="G3807" s="58" t="s">
        <v>1048</v>
      </c>
      <c r="H3807" s="546">
        <v>22500</v>
      </c>
      <c r="I3807" s="66">
        <v>44897</v>
      </c>
      <c r="J3807" s="411" t="s">
        <v>9786</v>
      </c>
      <c r="K3807" s="58"/>
      <c r="L3807" s="99"/>
      <c r="M3807" s="70" t="s">
        <v>9784</v>
      </c>
      <c r="N3807" s="97" t="s">
        <v>414</v>
      </c>
      <c r="O3807" s="45" t="s">
        <v>147</v>
      </c>
      <c r="P3807" s="58" t="s">
        <v>22</v>
      </c>
      <c r="Q3807" s="58" t="s">
        <v>119</v>
      </c>
      <c r="R3807" s="58" t="s">
        <v>265</v>
      </c>
    </row>
    <row r="3808" spans="1:18" ht="69" customHeight="1">
      <c r="A3808" s="168"/>
      <c r="B3808" s="191">
        <v>7574</v>
      </c>
      <c r="C3808" s="191" t="s">
        <v>458</v>
      </c>
      <c r="D3808" s="533" t="s">
        <v>9787</v>
      </c>
      <c r="E3808" s="191" t="s">
        <v>7890</v>
      </c>
      <c r="F3808" s="211" t="s">
        <v>9788</v>
      </c>
      <c r="G3808" s="46" t="s">
        <v>1048</v>
      </c>
      <c r="H3808" s="534">
        <v>15890</v>
      </c>
      <c r="I3808" s="56">
        <v>44897</v>
      </c>
      <c r="J3808" s="412" t="s">
        <v>9786</v>
      </c>
      <c r="K3808" s="46" t="s">
        <v>167</v>
      </c>
      <c r="L3808" s="99"/>
      <c r="M3808" s="379"/>
      <c r="N3808" s="76" t="s">
        <v>414</v>
      </c>
      <c r="O3808" s="46"/>
      <c r="P3808" s="46" t="s">
        <v>65</v>
      </c>
      <c r="Q3808" s="46" t="s">
        <v>119</v>
      </c>
      <c r="R3808" s="46" t="s">
        <v>272</v>
      </c>
    </row>
    <row r="3809" spans="1:18" ht="69" customHeight="1">
      <c r="A3809" s="168"/>
      <c r="B3809" s="178">
        <v>6515</v>
      </c>
      <c r="C3809" s="178" t="s">
        <v>458</v>
      </c>
      <c r="D3809" s="575" t="s">
        <v>1010</v>
      </c>
      <c r="E3809" s="178" t="s">
        <v>358</v>
      </c>
      <c r="F3809" s="210" t="s">
        <v>9789</v>
      </c>
      <c r="G3809" s="58" t="s">
        <v>6974</v>
      </c>
      <c r="H3809" s="546">
        <v>50000</v>
      </c>
      <c r="I3809" s="66">
        <v>44806</v>
      </c>
      <c r="J3809" s="411" t="s">
        <v>9790</v>
      </c>
      <c r="K3809" s="58" t="s">
        <v>9683</v>
      </c>
      <c r="L3809" s="99"/>
      <c r="M3809" s="70" t="s">
        <v>9684</v>
      </c>
      <c r="N3809" s="97" t="s">
        <v>356</v>
      </c>
      <c r="O3809" s="58" t="s">
        <v>141</v>
      </c>
      <c r="P3809" s="58" t="s">
        <v>19</v>
      </c>
      <c r="Q3809" s="58" t="s">
        <v>119</v>
      </c>
      <c r="R3809" s="58" t="s">
        <v>272</v>
      </c>
    </row>
    <row r="3810" spans="1:18" ht="69" customHeight="1">
      <c r="A3810" s="168"/>
      <c r="B3810" s="178">
        <v>6921</v>
      </c>
      <c r="C3810" s="178" t="s">
        <v>458</v>
      </c>
      <c r="D3810" s="575" t="s">
        <v>785</v>
      </c>
      <c r="E3810" s="178" t="s">
        <v>1367</v>
      </c>
      <c r="F3810" s="210" t="s">
        <v>9791</v>
      </c>
      <c r="G3810" s="58" t="s">
        <v>1369</v>
      </c>
      <c r="H3810" s="546">
        <v>5380</v>
      </c>
      <c r="I3810" s="66">
        <v>44844</v>
      </c>
      <c r="J3810" s="411" t="s">
        <v>1370</v>
      </c>
      <c r="K3810" s="58"/>
      <c r="L3810" s="99"/>
      <c r="M3810" s="70" t="s">
        <v>9699</v>
      </c>
      <c r="N3810" s="97" t="s">
        <v>270</v>
      </c>
      <c r="O3810" s="58"/>
      <c r="P3810" s="58" t="s">
        <v>44</v>
      </c>
      <c r="Q3810" s="58" t="s">
        <v>119</v>
      </c>
      <c r="R3810" s="58" t="s">
        <v>272</v>
      </c>
    </row>
    <row r="3811" spans="1:18" ht="69" customHeight="1">
      <c r="A3811" s="168"/>
      <c r="B3811" s="178">
        <v>6712</v>
      </c>
      <c r="C3811" s="178" t="s">
        <v>458</v>
      </c>
      <c r="D3811" s="575" t="s">
        <v>6230</v>
      </c>
      <c r="E3811" s="178" t="s">
        <v>350</v>
      </c>
      <c r="F3811" s="210" t="s">
        <v>9792</v>
      </c>
      <c r="G3811" s="58" t="s">
        <v>744</v>
      </c>
      <c r="H3811" s="546">
        <v>5015.3</v>
      </c>
      <c r="I3811" s="66">
        <v>44845</v>
      </c>
      <c r="J3811" s="411" t="s">
        <v>9793</v>
      </c>
      <c r="K3811" s="58" t="s">
        <v>9762</v>
      </c>
      <c r="L3811" s="99"/>
      <c r="M3811" s="70" t="s">
        <v>9681</v>
      </c>
      <c r="N3811" s="97" t="s">
        <v>356</v>
      </c>
      <c r="O3811" s="58" t="s">
        <v>141</v>
      </c>
      <c r="P3811" s="58" t="s">
        <v>19</v>
      </c>
      <c r="Q3811" s="58" t="s">
        <v>119</v>
      </c>
      <c r="R3811" s="58" t="s">
        <v>265</v>
      </c>
    </row>
    <row r="3812" spans="1:18" ht="69" customHeight="1">
      <c r="A3812" s="168"/>
      <c r="B3812" s="178">
        <v>7361</v>
      </c>
      <c r="C3812" s="178" t="s">
        <v>458</v>
      </c>
      <c r="D3812" s="575" t="s">
        <v>6254</v>
      </c>
      <c r="E3812" s="178" t="s">
        <v>7890</v>
      </c>
      <c r="F3812" s="210" t="s">
        <v>9794</v>
      </c>
      <c r="G3812" s="58" t="s">
        <v>9795</v>
      </c>
      <c r="H3812" s="546">
        <v>32718.05</v>
      </c>
      <c r="I3812" s="66">
        <v>44881</v>
      </c>
      <c r="J3812" s="411" t="s">
        <v>9796</v>
      </c>
      <c r="K3812" s="58"/>
      <c r="L3812" s="99"/>
      <c r="M3812" s="70" t="s">
        <v>9784</v>
      </c>
      <c r="N3812" s="97" t="s">
        <v>414</v>
      </c>
      <c r="O3812" s="45" t="s">
        <v>147</v>
      </c>
      <c r="P3812" s="58" t="s">
        <v>22</v>
      </c>
      <c r="Q3812" s="58" t="s">
        <v>119</v>
      </c>
      <c r="R3812" s="58" t="s">
        <v>265</v>
      </c>
    </row>
    <row r="3813" spans="1:18" ht="69" customHeight="1">
      <c r="A3813" s="168"/>
      <c r="B3813" s="178">
        <v>7375</v>
      </c>
      <c r="C3813" s="178" t="s">
        <v>458</v>
      </c>
      <c r="D3813" s="575" t="s">
        <v>9797</v>
      </c>
      <c r="E3813" s="178" t="s">
        <v>432</v>
      </c>
      <c r="F3813" s="210" t="s">
        <v>9798</v>
      </c>
      <c r="G3813" s="58" t="s">
        <v>1121</v>
      </c>
      <c r="H3813" s="546">
        <v>34317.03</v>
      </c>
      <c r="I3813" s="66">
        <v>44876</v>
      </c>
      <c r="J3813" s="411" t="s">
        <v>1122</v>
      </c>
      <c r="K3813" s="58"/>
      <c r="L3813" s="99"/>
      <c r="M3813" s="70" t="s">
        <v>9766</v>
      </c>
      <c r="N3813" s="97" t="s">
        <v>432</v>
      </c>
      <c r="O3813" s="58"/>
      <c r="P3813" s="58" t="s">
        <v>53</v>
      </c>
      <c r="Q3813" s="58" t="s">
        <v>119</v>
      </c>
      <c r="R3813" s="58" t="s">
        <v>272</v>
      </c>
    </row>
    <row r="3814" spans="1:18" ht="69" customHeight="1">
      <c r="A3814" s="168"/>
      <c r="B3814" s="178">
        <v>7046</v>
      </c>
      <c r="C3814" s="178" t="s">
        <v>657</v>
      </c>
      <c r="D3814" s="575" t="s">
        <v>9799</v>
      </c>
      <c r="E3814" s="178" t="s">
        <v>350</v>
      </c>
      <c r="F3814" s="210" t="s">
        <v>9800</v>
      </c>
      <c r="G3814" s="58" t="s">
        <v>1048</v>
      </c>
      <c r="H3814" s="546">
        <v>11220</v>
      </c>
      <c r="I3814" s="66">
        <v>44848</v>
      </c>
      <c r="J3814" s="411" t="s">
        <v>9801</v>
      </c>
      <c r="K3814" s="58"/>
      <c r="L3814" s="99"/>
      <c r="M3814" s="70" t="s">
        <v>9802</v>
      </c>
      <c r="N3814" s="97" t="s">
        <v>356</v>
      </c>
      <c r="O3814" s="58" t="s">
        <v>141</v>
      </c>
      <c r="P3814" s="58" t="s">
        <v>19</v>
      </c>
      <c r="Q3814" s="58" t="s">
        <v>120</v>
      </c>
      <c r="R3814" s="58" t="s">
        <v>265</v>
      </c>
    </row>
    <row r="3815" spans="1:18" ht="69" customHeight="1">
      <c r="A3815" s="168"/>
      <c r="B3815" s="178">
        <v>7410</v>
      </c>
      <c r="C3815" s="178" t="s">
        <v>458</v>
      </c>
      <c r="D3815" s="575" t="s">
        <v>8854</v>
      </c>
      <c r="E3815" s="178" t="s">
        <v>350</v>
      </c>
      <c r="F3815" s="210" t="s">
        <v>9803</v>
      </c>
      <c r="G3815" s="58" t="s">
        <v>1048</v>
      </c>
      <c r="H3815" s="546">
        <v>49186.559999999998</v>
      </c>
      <c r="I3815" s="66">
        <v>44884</v>
      </c>
      <c r="J3815" s="411" t="s">
        <v>9804</v>
      </c>
      <c r="K3815" s="58" t="s">
        <v>9805</v>
      </c>
      <c r="L3815" s="99"/>
      <c r="M3815" s="70" t="s">
        <v>9681</v>
      </c>
      <c r="N3815" s="97" t="s">
        <v>356</v>
      </c>
      <c r="O3815" s="58" t="s">
        <v>141</v>
      </c>
      <c r="P3815" s="58" t="s">
        <v>19</v>
      </c>
      <c r="Q3815" s="58" t="s">
        <v>119</v>
      </c>
      <c r="R3815" s="58" t="s">
        <v>265</v>
      </c>
    </row>
    <row r="3816" spans="1:18" ht="69" customHeight="1">
      <c r="A3816" s="168"/>
      <c r="B3816" s="178">
        <v>7413</v>
      </c>
      <c r="C3816" s="178" t="s">
        <v>458</v>
      </c>
      <c r="D3816" s="575" t="s">
        <v>4193</v>
      </c>
      <c r="E3816" s="178" t="s">
        <v>350</v>
      </c>
      <c r="F3816" s="210" t="s">
        <v>9806</v>
      </c>
      <c r="G3816" s="58" t="s">
        <v>1048</v>
      </c>
      <c r="H3816" s="546">
        <v>44568.88</v>
      </c>
      <c r="I3816" s="66">
        <v>44915</v>
      </c>
      <c r="J3816" s="411" t="s">
        <v>9807</v>
      </c>
      <c r="K3816" s="58" t="s">
        <v>9805</v>
      </c>
      <c r="L3816" s="99"/>
      <c r="M3816" s="70" t="s">
        <v>9681</v>
      </c>
      <c r="N3816" s="97" t="s">
        <v>356</v>
      </c>
      <c r="O3816" s="58" t="s">
        <v>141</v>
      </c>
      <c r="P3816" s="58" t="s">
        <v>19</v>
      </c>
      <c r="Q3816" s="58" t="s">
        <v>119</v>
      </c>
      <c r="R3816" s="58" t="s">
        <v>265</v>
      </c>
    </row>
    <row r="3817" spans="1:18" ht="69" customHeight="1">
      <c r="A3817" s="168"/>
      <c r="B3817" s="178">
        <v>7454</v>
      </c>
      <c r="C3817" s="178" t="s">
        <v>458</v>
      </c>
      <c r="D3817" s="575" t="s">
        <v>446</v>
      </c>
      <c r="E3817" s="178" t="s">
        <v>9808</v>
      </c>
      <c r="F3817" s="210" t="s">
        <v>9809</v>
      </c>
      <c r="G3817" s="58" t="s">
        <v>1041</v>
      </c>
      <c r="H3817" s="546">
        <v>18903.3</v>
      </c>
      <c r="I3817" s="66">
        <v>44883</v>
      </c>
      <c r="J3817" s="411" t="s">
        <v>1042</v>
      </c>
      <c r="K3817" s="58"/>
      <c r="L3817" s="99"/>
      <c r="M3817" s="70" t="s">
        <v>9810</v>
      </c>
      <c r="N3817" s="97" t="s">
        <v>1044</v>
      </c>
      <c r="O3817" s="58"/>
      <c r="P3817" s="58" t="s">
        <v>26</v>
      </c>
      <c r="Q3817" s="58" t="s">
        <v>119</v>
      </c>
      <c r="R3817" s="58" t="s">
        <v>272</v>
      </c>
    </row>
    <row r="3818" spans="1:18" ht="69" customHeight="1">
      <c r="A3818" s="168"/>
      <c r="B3818" s="178">
        <v>7457</v>
      </c>
      <c r="C3818" s="178" t="s">
        <v>458</v>
      </c>
      <c r="D3818" s="575" t="s">
        <v>9811</v>
      </c>
      <c r="E3818" s="178" t="s">
        <v>9808</v>
      </c>
      <c r="F3818" s="210" t="s">
        <v>9812</v>
      </c>
      <c r="G3818" s="58" t="s">
        <v>1041</v>
      </c>
      <c r="H3818" s="546">
        <v>145280.21</v>
      </c>
      <c r="I3818" s="66">
        <v>44883</v>
      </c>
      <c r="J3818" s="411" t="s">
        <v>1042</v>
      </c>
      <c r="K3818" s="58"/>
      <c r="L3818" s="99"/>
      <c r="M3818" s="70" t="s">
        <v>9810</v>
      </c>
      <c r="N3818" s="97" t="s">
        <v>1044</v>
      </c>
      <c r="O3818" s="58"/>
      <c r="P3818" s="58" t="s">
        <v>26</v>
      </c>
      <c r="Q3818" s="58" t="s">
        <v>119</v>
      </c>
      <c r="R3818" s="58" t="s">
        <v>272</v>
      </c>
    </row>
    <row r="3819" spans="1:18" ht="69" customHeight="1">
      <c r="A3819" s="168"/>
      <c r="B3819" s="178">
        <v>7497</v>
      </c>
      <c r="C3819" s="178" t="s">
        <v>458</v>
      </c>
      <c r="D3819" s="575" t="s">
        <v>3739</v>
      </c>
      <c r="E3819" s="178" t="s">
        <v>409</v>
      </c>
      <c r="F3819" s="210" t="s">
        <v>9813</v>
      </c>
      <c r="G3819" s="58" t="s">
        <v>9814</v>
      </c>
      <c r="H3819" s="546">
        <v>59036.69</v>
      </c>
      <c r="I3819" s="66">
        <v>44881</v>
      </c>
      <c r="J3819" s="411" t="s">
        <v>9815</v>
      </c>
      <c r="K3819" s="58"/>
      <c r="L3819" s="99"/>
      <c r="M3819" s="70" t="s">
        <v>9752</v>
      </c>
      <c r="N3819" s="97" t="s">
        <v>414</v>
      </c>
      <c r="O3819" s="45" t="s">
        <v>147</v>
      </c>
      <c r="P3819" s="58" t="s">
        <v>22</v>
      </c>
      <c r="Q3819" s="58" t="s">
        <v>119</v>
      </c>
      <c r="R3819" s="58" t="s">
        <v>272</v>
      </c>
    </row>
    <row r="3820" spans="1:18" ht="69" customHeight="1">
      <c r="A3820" s="168"/>
      <c r="B3820" s="178">
        <v>7498</v>
      </c>
      <c r="C3820" s="178" t="s">
        <v>458</v>
      </c>
      <c r="D3820" s="575" t="s">
        <v>9816</v>
      </c>
      <c r="E3820" s="178" t="s">
        <v>409</v>
      </c>
      <c r="F3820" s="210" t="s">
        <v>9817</v>
      </c>
      <c r="G3820" s="58" t="s">
        <v>9818</v>
      </c>
      <c r="H3820" s="546">
        <v>31789</v>
      </c>
      <c r="I3820" s="66">
        <v>44881</v>
      </c>
      <c r="J3820" s="411" t="s">
        <v>9815</v>
      </c>
      <c r="K3820" s="58"/>
      <c r="L3820" s="99"/>
      <c r="M3820" s="70" t="s">
        <v>9752</v>
      </c>
      <c r="N3820" s="97" t="s">
        <v>414</v>
      </c>
      <c r="O3820" s="45" t="s">
        <v>147</v>
      </c>
      <c r="P3820" s="58" t="s">
        <v>22</v>
      </c>
      <c r="Q3820" s="58" t="s">
        <v>119</v>
      </c>
      <c r="R3820" s="58" t="s">
        <v>272</v>
      </c>
    </row>
    <row r="3821" spans="1:18" ht="69" customHeight="1">
      <c r="A3821" s="168"/>
      <c r="B3821" s="178">
        <v>7508</v>
      </c>
      <c r="C3821" s="178" t="s">
        <v>458</v>
      </c>
      <c r="D3821" s="575" t="s">
        <v>9819</v>
      </c>
      <c r="E3821" s="178" t="s">
        <v>741</v>
      </c>
      <c r="F3821" s="210" t="s">
        <v>9820</v>
      </c>
      <c r="G3821" s="58" t="s">
        <v>8330</v>
      </c>
      <c r="H3821" s="546">
        <v>12223.288</v>
      </c>
      <c r="I3821" s="66">
        <v>44883</v>
      </c>
      <c r="J3821" s="411" t="s">
        <v>9821</v>
      </c>
      <c r="K3821" s="58" t="s">
        <v>9822</v>
      </c>
      <c r="L3821" s="99"/>
      <c r="M3821" s="70" t="s">
        <v>9737</v>
      </c>
      <c r="N3821" s="97" t="s">
        <v>741</v>
      </c>
      <c r="O3821" s="58" t="s">
        <v>8228</v>
      </c>
      <c r="P3821" s="58" t="s">
        <v>59</v>
      </c>
      <c r="Q3821" s="58" t="s">
        <v>119</v>
      </c>
      <c r="R3821" s="58" t="s">
        <v>272</v>
      </c>
    </row>
    <row r="3822" spans="1:18" ht="69" customHeight="1">
      <c r="A3822" s="168"/>
      <c r="B3822" s="178">
        <v>7509</v>
      </c>
      <c r="C3822" s="178" t="s">
        <v>458</v>
      </c>
      <c r="D3822" s="575" t="s">
        <v>9823</v>
      </c>
      <c r="E3822" s="178" t="s">
        <v>741</v>
      </c>
      <c r="F3822" s="210" t="s">
        <v>9824</v>
      </c>
      <c r="G3822" s="58" t="s">
        <v>8330</v>
      </c>
      <c r="H3822" s="546">
        <v>48893.152000000002</v>
      </c>
      <c r="I3822" s="66">
        <v>44883</v>
      </c>
      <c r="J3822" s="411" t="s">
        <v>9821</v>
      </c>
      <c r="K3822" s="58" t="s">
        <v>9822</v>
      </c>
      <c r="L3822" s="99"/>
      <c r="M3822" s="70" t="s">
        <v>9737</v>
      </c>
      <c r="N3822" s="97" t="s">
        <v>741</v>
      </c>
      <c r="O3822" s="58" t="s">
        <v>8228</v>
      </c>
      <c r="P3822" s="58" t="s">
        <v>59</v>
      </c>
      <c r="Q3822" s="58" t="s">
        <v>119</v>
      </c>
      <c r="R3822" s="58" t="s">
        <v>272</v>
      </c>
    </row>
    <row r="3823" spans="1:18" ht="69" customHeight="1">
      <c r="A3823" s="168"/>
      <c r="B3823" s="191">
        <v>7552</v>
      </c>
      <c r="C3823" s="191" t="s">
        <v>458</v>
      </c>
      <c r="D3823" s="533" t="s">
        <v>6490</v>
      </c>
      <c r="E3823" s="191" t="s">
        <v>7890</v>
      </c>
      <c r="F3823" s="211" t="s">
        <v>9825</v>
      </c>
      <c r="G3823" s="46" t="s">
        <v>9826</v>
      </c>
      <c r="H3823" s="534">
        <v>5250</v>
      </c>
      <c r="I3823" s="56">
        <v>44888</v>
      </c>
      <c r="J3823" s="412" t="s">
        <v>9827</v>
      </c>
      <c r="K3823" s="46" t="s">
        <v>167</v>
      </c>
      <c r="L3823" s="99"/>
      <c r="M3823" s="379"/>
      <c r="N3823" s="76" t="s">
        <v>414</v>
      </c>
      <c r="O3823" s="46"/>
      <c r="P3823" s="46" t="s">
        <v>71</v>
      </c>
      <c r="Q3823" s="46" t="s">
        <v>119</v>
      </c>
      <c r="R3823" s="46" t="s">
        <v>272</v>
      </c>
    </row>
    <row r="3824" spans="1:18" ht="69" customHeight="1">
      <c r="A3824" s="168"/>
      <c r="B3824" s="178">
        <v>7556</v>
      </c>
      <c r="C3824" s="178" t="s">
        <v>458</v>
      </c>
      <c r="D3824" s="575" t="s">
        <v>3294</v>
      </c>
      <c r="E3824" s="178" t="s">
        <v>7890</v>
      </c>
      <c r="F3824" s="210" t="s">
        <v>9828</v>
      </c>
      <c r="G3824" s="58" t="s">
        <v>9829</v>
      </c>
      <c r="H3824" s="546">
        <v>19500</v>
      </c>
      <c r="I3824" s="66">
        <v>44888</v>
      </c>
      <c r="J3824" s="411" t="s">
        <v>9827</v>
      </c>
      <c r="K3824" s="58"/>
      <c r="L3824" s="99"/>
      <c r="M3824" s="70" t="s">
        <v>9784</v>
      </c>
      <c r="N3824" s="97" t="s">
        <v>414</v>
      </c>
      <c r="O3824" s="45" t="s">
        <v>147</v>
      </c>
      <c r="P3824" s="58" t="s">
        <v>22</v>
      </c>
      <c r="Q3824" s="58" t="s">
        <v>119</v>
      </c>
      <c r="R3824" s="58" t="s">
        <v>265</v>
      </c>
    </row>
    <row r="3825" spans="1:18" ht="69" customHeight="1">
      <c r="A3825" s="168"/>
      <c r="B3825" s="178">
        <v>8699</v>
      </c>
      <c r="C3825" s="178" t="s">
        <v>458</v>
      </c>
      <c r="D3825" s="575" t="s">
        <v>5195</v>
      </c>
      <c r="E3825" s="178" t="s">
        <v>260</v>
      </c>
      <c r="F3825" s="210" t="s">
        <v>9830</v>
      </c>
      <c r="G3825" s="58" t="s">
        <v>9831</v>
      </c>
      <c r="H3825" s="546">
        <v>67416.899999999994</v>
      </c>
      <c r="I3825" s="66">
        <v>44970</v>
      </c>
      <c r="J3825" s="411" t="s">
        <v>9832</v>
      </c>
      <c r="K3825" s="58"/>
      <c r="L3825" s="99"/>
      <c r="M3825" s="70" t="s">
        <v>9688</v>
      </c>
      <c r="N3825" s="97" t="s">
        <v>264</v>
      </c>
      <c r="O3825" s="58" t="s">
        <v>141</v>
      </c>
      <c r="P3825" s="58" t="s">
        <v>17</v>
      </c>
      <c r="Q3825" s="58" t="s">
        <v>119</v>
      </c>
      <c r="R3825" s="58" t="s">
        <v>265</v>
      </c>
    </row>
    <row r="3826" spans="1:18" ht="69" customHeight="1">
      <c r="A3826" s="168"/>
      <c r="B3826" s="178">
        <v>7452</v>
      </c>
      <c r="C3826" s="178" t="s">
        <v>458</v>
      </c>
      <c r="D3826" s="575" t="s">
        <v>7539</v>
      </c>
      <c r="E3826" s="178" t="s">
        <v>7890</v>
      </c>
      <c r="F3826" s="210" t="s">
        <v>9833</v>
      </c>
      <c r="G3826" s="58" t="s">
        <v>1048</v>
      </c>
      <c r="H3826" s="546">
        <v>14460.04</v>
      </c>
      <c r="I3826" s="66">
        <v>44888</v>
      </c>
      <c r="J3826" s="411" t="s">
        <v>9834</v>
      </c>
      <c r="K3826" s="58"/>
      <c r="L3826" s="99"/>
      <c r="M3826" s="70" t="s">
        <v>9784</v>
      </c>
      <c r="N3826" s="97" t="s">
        <v>414</v>
      </c>
      <c r="O3826" s="45" t="s">
        <v>147</v>
      </c>
      <c r="P3826" s="58" t="s">
        <v>22</v>
      </c>
      <c r="Q3826" s="58" t="s">
        <v>119</v>
      </c>
      <c r="R3826" s="58" t="s">
        <v>265</v>
      </c>
    </row>
    <row r="3827" spans="1:18" ht="69" customHeight="1">
      <c r="A3827" s="168"/>
      <c r="B3827" s="178">
        <v>7217</v>
      </c>
      <c r="C3827" s="178" t="s">
        <v>458</v>
      </c>
      <c r="D3827" s="575" t="s">
        <v>5288</v>
      </c>
      <c r="E3827" s="178" t="s">
        <v>409</v>
      </c>
      <c r="F3827" s="210" t="s">
        <v>9835</v>
      </c>
      <c r="G3827" s="58" t="s">
        <v>9836</v>
      </c>
      <c r="H3827" s="546">
        <v>239750.26</v>
      </c>
      <c r="I3827" s="66">
        <v>44860</v>
      </c>
      <c r="J3827" s="411" t="s">
        <v>9837</v>
      </c>
      <c r="K3827" s="58"/>
      <c r="L3827" s="99"/>
      <c r="M3827" s="70" t="s">
        <v>9752</v>
      </c>
      <c r="N3827" s="97" t="s">
        <v>414</v>
      </c>
      <c r="O3827" s="45" t="s">
        <v>147</v>
      </c>
      <c r="P3827" s="58" t="s">
        <v>22</v>
      </c>
      <c r="Q3827" s="58" t="s">
        <v>119</v>
      </c>
      <c r="R3827" s="58" t="s">
        <v>272</v>
      </c>
    </row>
    <row r="3828" spans="1:18" ht="69" customHeight="1">
      <c r="A3828" s="168"/>
      <c r="B3828" s="178">
        <v>7227</v>
      </c>
      <c r="C3828" s="178" t="s">
        <v>458</v>
      </c>
      <c r="D3828" s="575" t="s">
        <v>6860</v>
      </c>
      <c r="E3828" s="178" t="s">
        <v>409</v>
      </c>
      <c r="F3828" s="210" t="s">
        <v>9838</v>
      </c>
      <c r="G3828" s="58" t="s">
        <v>9836</v>
      </c>
      <c r="H3828" s="546">
        <v>129096.29</v>
      </c>
      <c r="I3828" s="66">
        <v>44860</v>
      </c>
      <c r="J3828" s="411" t="s">
        <v>9837</v>
      </c>
      <c r="K3828" s="58"/>
      <c r="L3828" s="99"/>
      <c r="M3828" s="70" t="s">
        <v>9752</v>
      </c>
      <c r="N3828" s="97" t="s">
        <v>414</v>
      </c>
      <c r="O3828" s="45" t="s">
        <v>147</v>
      </c>
      <c r="P3828" s="58" t="s">
        <v>22</v>
      </c>
      <c r="Q3828" s="58" t="s">
        <v>119</v>
      </c>
      <c r="R3828" s="58" t="s">
        <v>272</v>
      </c>
    </row>
    <row r="3829" spans="1:18" ht="69" customHeight="1">
      <c r="A3829" s="168"/>
      <c r="B3829" s="178">
        <v>7527</v>
      </c>
      <c r="C3829" s="178" t="s">
        <v>458</v>
      </c>
      <c r="D3829" s="575" t="s">
        <v>8873</v>
      </c>
      <c r="E3829" s="178" t="s">
        <v>7890</v>
      </c>
      <c r="F3829" s="210" t="s">
        <v>9839</v>
      </c>
      <c r="G3829" s="58" t="s">
        <v>1048</v>
      </c>
      <c r="H3829" s="546">
        <v>21860</v>
      </c>
      <c r="I3829" s="66">
        <v>44890</v>
      </c>
      <c r="J3829" s="411" t="s">
        <v>9840</v>
      </c>
      <c r="K3829" s="58"/>
      <c r="L3829" s="99"/>
      <c r="M3829" s="70" t="s">
        <v>9784</v>
      </c>
      <c r="N3829" s="97" t="s">
        <v>414</v>
      </c>
      <c r="O3829" s="45" t="s">
        <v>147</v>
      </c>
      <c r="P3829" s="58" t="s">
        <v>22</v>
      </c>
      <c r="Q3829" s="58" t="s">
        <v>119</v>
      </c>
      <c r="R3829" s="58" t="s">
        <v>265</v>
      </c>
    </row>
    <row r="3830" spans="1:18" ht="69" customHeight="1">
      <c r="A3830" s="168"/>
      <c r="B3830" s="178">
        <v>7785</v>
      </c>
      <c r="C3830" s="178" t="s">
        <v>458</v>
      </c>
      <c r="D3830" s="575" t="s">
        <v>4918</v>
      </c>
      <c r="E3830" s="178" t="s">
        <v>741</v>
      </c>
      <c r="F3830" s="210" t="s">
        <v>9841</v>
      </c>
      <c r="G3830" s="58" t="s">
        <v>9842</v>
      </c>
      <c r="H3830" s="546">
        <v>3678.36</v>
      </c>
      <c r="I3830" s="66">
        <v>44907</v>
      </c>
      <c r="J3830" s="411" t="s">
        <v>7686</v>
      </c>
      <c r="K3830" s="58" t="s">
        <v>9843</v>
      </c>
      <c r="L3830" s="99"/>
      <c r="M3830" s="70" t="s">
        <v>9737</v>
      </c>
      <c r="N3830" s="97" t="s">
        <v>741</v>
      </c>
      <c r="O3830" s="58" t="s">
        <v>8228</v>
      </c>
      <c r="P3830" s="58" t="s">
        <v>59</v>
      </c>
      <c r="Q3830" s="58" t="s">
        <v>119</v>
      </c>
      <c r="R3830" s="58" t="s">
        <v>272</v>
      </c>
    </row>
    <row r="3831" spans="1:18" ht="69" customHeight="1">
      <c r="A3831" s="168"/>
      <c r="B3831" s="178">
        <v>7786</v>
      </c>
      <c r="C3831" s="178" t="s">
        <v>458</v>
      </c>
      <c r="D3831" s="575" t="s">
        <v>3758</v>
      </c>
      <c r="E3831" s="178" t="s">
        <v>741</v>
      </c>
      <c r="F3831" s="210" t="s">
        <v>9844</v>
      </c>
      <c r="G3831" s="58" t="s">
        <v>9842</v>
      </c>
      <c r="H3831" s="546">
        <v>14713.42</v>
      </c>
      <c r="I3831" s="66">
        <v>44907</v>
      </c>
      <c r="J3831" s="411" t="s">
        <v>7686</v>
      </c>
      <c r="K3831" s="58" t="s">
        <v>9843</v>
      </c>
      <c r="L3831" s="99"/>
      <c r="M3831" s="70" t="s">
        <v>9737</v>
      </c>
      <c r="N3831" s="97" t="s">
        <v>741</v>
      </c>
      <c r="O3831" s="58" t="s">
        <v>8228</v>
      </c>
      <c r="P3831" s="58" t="s">
        <v>59</v>
      </c>
      <c r="Q3831" s="58" t="s">
        <v>119</v>
      </c>
      <c r="R3831" s="58" t="s">
        <v>272</v>
      </c>
    </row>
    <row r="3832" spans="1:18" ht="69" customHeight="1">
      <c r="A3832" s="168"/>
      <c r="B3832" s="178">
        <v>8013</v>
      </c>
      <c r="C3832" s="178" t="s">
        <v>458</v>
      </c>
      <c r="D3832" s="575" t="s">
        <v>2594</v>
      </c>
      <c r="E3832" s="178" t="s">
        <v>741</v>
      </c>
      <c r="F3832" s="210" t="s">
        <v>9845</v>
      </c>
      <c r="G3832" s="58" t="s">
        <v>9846</v>
      </c>
      <c r="H3832" s="546">
        <v>38698.550000000003</v>
      </c>
      <c r="I3832" s="66">
        <v>44909</v>
      </c>
      <c r="J3832" s="411" t="s">
        <v>9847</v>
      </c>
      <c r="K3832" s="58" t="s">
        <v>9848</v>
      </c>
      <c r="L3832" s="99"/>
      <c r="M3832" s="70" t="s">
        <v>9737</v>
      </c>
      <c r="N3832" s="97" t="s">
        <v>741</v>
      </c>
      <c r="O3832" s="58" t="s">
        <v>8228</v>
      </c>
      <c r="P3832" s="58" t="s">
        <v>59</v>
      </c>
      <c r="Q3832" s="58" t="s">
        <v>119</v>
      </c>
      <c r="R3832" s="58" t="s">
        <v>272</v>
      </c>
    </row>
    <row r="3833" spans="1:18" ht="69" customHeight="1">
      <c r="A3833" s="168"/>
      <c r="B3833" s="178">
        <v>8014</v>
      </c>
      <c r="C3833" s="178" t="s">
        <v>458</v>
      </c>
      <c r="D3833" s="575" t="s">
        <v>2354</v>
      </c>
      <c r="E3833" s="178" t="s">
        <v>741</v>
      </c>
      <c r="F3833" s="210" t="s">
        <v>9849</v>
      </c>
      <c r="G3833" s="58" t="s">
        <v>9846</v>
      </c>
      <c r="H3833" s="546">
        <v>154794.20000000001</v>
      </c>
      <c r="I3833" s="66">
        <v>44909</v>
      </c>
      <c r="J3833" s="411" t="s">
        <v>9847</v>
      </c>
      <c r="K3833" s="58" t="s">
        <v>9848</v>
      </c>
      <c r="L3833" s="99"/>
      <c r="M3833" s="70" t="s">
        <v>9737</v>
      </c>
      <c r="N3833" s="97" t="s">
        <v>741</v>
      </c>
      <c r="O3833" s="58" t="s">
        <v>8228</v>
      </c>
      <c r="P3833" s="58" t="s">
        <v>59</v>
      </c>
      <c r="Q3833" s="58" t="s">
        <v>119</v>
      </c>
      <c r="R3833" s="58" t="s">
        <v>272</v>
      </c>
    </row>
    <row r="3834" spans="1:18" ht="69" customHeight="1">
      <c r="A3834" s="168"/>
      <c r="B3834" s="178">
        <v>7575</v>
      </c>
      <c r="C3834" s="178" t="s">
        <v>458</v>
      </c>
      <c r="D3834" s="575" t="s">
        <v>8237</v>
      </c>
      <c r="E3834" s="178" t="s">
        <v>9808</v>
      </c>
      <c r="F3834" s="210" t="s">
        <v>9850</v>
      </c>
      <c r="G3834" s="58" t="s">
        <v>1041</v>
      </c>
      <c r="H3834" s="546">
        <v>8680</v>
      </c>
      <c r="I3834" s="66">
        <v>44904</v>
      </c>
      <c r="J3834" s="411" t="s">
        <v>1080</v>
      </c>
      <c r="K3834" s="58"/>
      <c r="L3834" s="99"/>
      <c r="M3834" s="70" t="s">
        <v>9810</v>
      </c>
      <c r="N3834" s="97" t="s">
        <v>1044</v>
      </c>
      <c r="O3834" s="58"/>
      <c r="P3834" s="58" t="s">
        <v>26</v>
      </c>
      <c r="Q3834" s="58" t="s">
        <v>119</v>
      </c>
      <c r="R3834" s="58" t="s">
        <v>272</v>
      </c>
    </row>
    <row r="3835" spans="1:18" ht="69" customHeight="1">
      <c r="A3835" s="168"/>
      <c r="B3835" s="178">
        <v>8189</v>
      </c>
      <c r="C3835" s="178" t="s">
        <v>458</v>
      </c>
      <c r="D3835" s="575" t="s">
        <v>2061</v>
      </c>
      <c r="E3835" s="178" t="s">
        <v>9851</v>
      </c>
      <c r="F3835" s="210" t="s">
        <v>9852</v>
      </c>
      <c r="G3835" s="58" t="s">
        <v>2138</v>
      </c>
      <c r="H3835" s="546">
        <v>76711.789999999994</v>
      </c>
      <c r="I3835" s="66">
        <v>44931</v>
      </c>
      <c r="J3835" s="411" t="s">
        <v>1118</v>
      </c>
      <c r="K3835" s="58"/>
      <c r="L3835" s="99"/>
      <c r="M3835" s="70" t="s">
        <v>9810</v>
      </c>
      <c r="N3835" s="97" t="s">
        <v>1044</v>
      </c>
      <c r="O3835" s="58"/>
      <c r="P3835" s="58" t="s">
        <v>26</v>
      </c>
      <c r="Q3835" s="58" t="s">
        <v>119</v>
      </c>
      <c r="R3835" s="58" t="s">
        <v>272</v>
      </c>
    </row>
    <row r="3836" spans="1:18" ht="69" customHeight="1">
      <c r="A3836" s="168"/>
      <c r="B3836" s="178">
        <v>7700</v>
      </c>
      <c r="C3836" s="178" t="s">
        <v>458</v>
      </c>
      <c r="D3836" s="575" t="s">
        <v>4207</v>
      </c>
      <c r="E3836" s="178" t="s">
        <v>409</v>
      </c>
      <c r="F3836" s="210" t="s">
        <v>9853</v>
      </c>
      <c r="G3836" s="58" t="s">
        <v>9854</v>
      </c>
      <c r="H3836" s="546">
        <v>97526.85</v>
      </c>
      <c r="I3836" s="66">
        <v>44902</v>
      </c>
      <c r="J3836" s="411" t="s">
        <v>9855</v>
      </c>
      <c r="K3836" s="58"/>
      <c r="L3836" s="99"/>
      <c r="M3836" s="70" t="s">
        <v>9752</v>
      </c>
      <c r="N3836" s="97" t="s">
        <v>414</v>
      </c>
      <c r="O3836" s="45" t="s">
        <v>147</v>
      </c>
      <c r="P3836" s="58" t="s">
        <v>22</v>
      </c>
      <c r="Q3836" s="58" t="s">
        <v>119</v>
      </c>
      <c r="R3836" s="58" t="s">
        <v>272</v>
      </c>
    </row>
    <row r="3837" spans="1:18" ht="69" customHeight="1">
      <c r="A3837" s="168"/>
      <c r="B3837" s="178">
        <v>7701</v>
      </c>
      <c r="C3837" s="178" t="s">
        <v>458</v>
      </c>
      <c r="D3837" s="575" t="s">
        <v>1599</v>
      </c>
      <c r="E3837" s="178" t="s">
        <v>409</v>
      </c>
      <c r="F3837" s="210" t="s">
        <v>9856</v>
      </c>
      <c r="G3837" s="58" t="s">
        <v>7673</v>
      </c>
      <c r="H3837" s="546">
        <v>52514.45</v>
      </c>
      <c r="I3837" s="66">
        <v>44902</v>
      </c>
      <c r="J3837" s="411" t="s">
        <v>9855</v>
      </c>
      <c r="K3837" s="58"/>
      <c r="L3837" s="99"/>
      <c r="M3837" s="70" t="s">
        <v>9752</v>
      </c>
      <c r="N3837" s="97" t="s">
        <v>414</v>
      </c>
      <c r="O3837" s="45" t="s">
        <v>147</v>
      </c>
      <c r="P3837" s="58" t="s">
        <v>22</v>
      </c>
      <c r="Q3837" s="58" t="s">
        <v>119</v>
      </c>
      <c r="R3837" s="58" t="s">
        <v>272</v>
      </c>
    </row>
    <row r="3838" spans="1:18" ht="69" customHeight="1">
      <c r="A3838" s="168"/>
      <c r="B3838" s="191">
        <v>8118</v>
      </c>
      <c r="C3838" s="191" t="s">
        <v>458</v>
      </c>
      <c r="D3838" s="533" t="s">
        <v>4964</v>
      </c>
      <c r="E3838" s="191" t="s">
        <v>7890</v>
      </c>
      <c r="F3838" s="211" t="s">
        <v>9857</v>
      </c>
      <c r="G3838" s="46" t="s">
        <v>1149</v>
      </c>
      <c r="H3838" s="534">
        <v>13883.61</v>
      </c>
      <c r="I3838" s="56">
        <v>44918</v>
      </c>
      <c r="J3838" s="412" t="s">
        <v>8355</v>
      </c>
      <c r="K3838" s="46" t="s">
        <v>167</v>
      </c>
      <c r="L3838" s="99"/>
      <c r="M3838" s="379"/>
      <c r="N3838" s="76" t="s">
        <v>414</v>
      </c>
      <c r="O3838" s="46"/>
      <c r="P3838" s="46" t="s">
        <v>65</v>
      </c>
      <c r="Q3838" s="46" t="s">
        <v>119</v>
      </c>
      <c r="R3838" s="46" t="s">
        <v>272</v>
      </c>
    </row>
    <row r="3839" spans="1:18" ht="69" customHeight="1">
      <c r="A3839" s="168"/>
      <c r="B3839" s="178">
        <v>8120</v>
      </c>
      <c r="C3839" s="178" t="s">
        <v>458</v>
      </c>
      <c r="D3839" s="575" t="s">
        <v>2322</v>
      </c>
      <c r="E3839" s="178" t="s">
        <v>7890</v>
      </c>
      <c r="F3839" s="210" t="s">
        <v>9858</v>
      </c>
      <c r="G3839" s="58" t="s">
        <v>1149</v>
      </c>
      <c r="H3839" s="546">
        <v>9454.0499999999993</v>
      </c>
      <c r="I3839" s="66">
        <v>44918</v>
      </c>
      <c r="J3839" s="411" t="s">
        <v>8355</v>
      </c>
      <c r="K3839" s="58"/>
      <c r="L3839" s="99"/>
      <c r="M3839" s="70" t="s">
        <v>9784</v>
      </c>
      <c r="N3839" s="97" t="s">
        <v>414</v>
      </c>
      <c r="O3839" s="45" t="s">
        <v>147</v>
      </c>
      <c r="P3839" s="58" t="s">
        <v>22</v>
      </c>
      <c r="Q3839" s="58" t="s">
        <v>119</v>
      </c>
      <c r="R3839" s="58" t="s">
        <v>265</v>
      </c>
    </row>
    <row r="3840" spans="1:18" ht="69" customHeight="1">
      <c r="A3840" s="168"/>
      <c r="B3840" s="178">
        <v>6669</v>
      </c>
      <c r="C3840" s="178" t="s">
        <v>458</v>
      </c>
      <c r="D3840" s="575" t="s">
        <v>1588</v>
      </c>
      <c r="E3840" s="178" t="s">
        <v>350</v>
      </c>
      <c r="F3840" s="210" t="s">
        <v>9859</v>
      </c>
      <c r="G3840" s="58" t="s">
        <v>744</v>
      </c>
      <c r="H3840" s="546">
        <v>96079.19</v>
      </c>
      <c r="I3840" s="66">
        <v>44841</v>
      </c>
      <c r="J3840" s="411" t="s">
        <v>9860</v>
      </c>
      <c r="K3840" s="58" t="s">
        <v>9762</v>
      </c>
      <c r="L3840" s="99"/>
      <c r="M3840" s="70" t="s">
        <v>9681</v>
      </c>
      <c r="N3840" s="97" t="s">
        <v>356</v>
      </c>
      <c r="O3840" s="58" t="s">
        <v>141</v>
      </c>
      <c r="P3840" s="58" t="s">
        <v>19</v>
      </c>
      <c r="Q3840" s="58" t="s">
        <v>119</v>
      </c>
      <c r="R3840" s="58" t="s">
        <v>265</v>
      </c>
    </row>
    <row r="3841" spans="1:18" ht="69" customHeight="1">
      <c r="A3841" s="168"/>
      <c r="B3841" s="191">
        <v>6796</v>
      </c>
      <c r="C3841" s="59" t="s">
        <v>3667</v>
      </c>
      <c r="D3841" s="533" t="s">
        <v>9861</v>
      </c>
      <c r="E3841" s="191" t="s">
        <v>1056</v>
      </c>
      <c r="F3841" s="211" t="s">
        <v>9862</v>
      </c>
      <c r="G3841" s="46" t="s">
        <v>9863</v>
      </c>
      <c r="H3841" s="546">
        <v>0</v>
      </c>
      <c r="I3841" s="56">
        <v>44834</v>
      </c>
      <c r="J3841" s="412" t="s">
        <v>9864</v>
      </c>
      <c r="K3841" s="46"/>
      <c r="L3841" s="99"/>
      <c r="M3841" s="70" t="s">
        <v>9865</v>
      </c>
      <c r="N3841" s="97" t="s">
        <v>814</v>
      </c>
      <c r="O3841" s="46" t="s">
        <v>1061</v>
      </c>
      <c r="P3841" s="46" t="s">
        <v>36</v>
      </c>
      <c r="Q3841" s="46" t="s">
        <v>49</v>
      </c>
      <c r="R3841" s="46" t="s">
        <v>272</v>
      </c>
    </row>
    <row r="3842" spans="1:18" ht="69" customHeight="1">
      <c r="A3842" s="168"/>
      <c r="B3842" s="191">
        <v>6797</v>
      </c>
      <c r="C3842" s="191" t="s">
        <v>458</v>
      </c>
      <c r="D3842" s="533" t="s">
        <v>5700</v>
      </c>
      <c r="E3842" s="191" t="s">
        <v>1056</v>
      </c>
      <c r="F3842" s="211" t="s">
        <v>9866</v>
      </c>
      <c r="G3842" s="46" t="s">
        <v>9863</v>
      </c>
      <c r="H3842" s="546">
        <v>0</v>
      </c>
      <c r="I3842" s="56">
        <v>44834</v>
      </c>
      <c r="J3842" s="412" t="s">
        <v>9864</v>
      </c>
      <c r="K3842" s="46"/>
      <c r="L3842" s="99"/>
      <c r="M3842" s="70" t="s">
        <v>9865</v>
      </c>
      <c r="N3842" s="97" t="s">
        <v>814</v>
      </c>
      <c r="O3842" s="46" t="s">
        <v>1061</v>
      </c>
      <c r="P3842" s="46" t="s">
        <v>36</v>
      </c>
      <c r="Q3842" s="46" t="s">
        <v>90</v>
      </c>
      <c r="R3842" s="46" t="s">
        <v>272</v>
      </c>
    </row>
    <row r="3843" spans="1:18" ht="69" customHeight="1">
      <c r="A3843" s="168"/>
      <c r="B3843" s="178">
        <v>8222</v>
      </c>
      <c r="C3843" s="178" t="s">
        <v>458</v>
      </c>
      <c r="D3843" s="575" t="s">
        <v>1334</v>
      </c>
      <c r="E3843" s="178" t="s">
        <v>409</v>
      </c>
      <c r="F3843" s="210" t="s">
        <v>9867</v>
      </c>
      <c r="G3843" s="58" t="s">
        <v>9868</v>
      </c>
      <c r="H3843" s="546">
        <v>70844.039999999994</v>
      </c>
      <c r="I3843" s="66">
        <v>44921</v>
      </c>
      <c r="J3843" s="411" t="s">
        <v>7702</v>
      </c>
      <c r="K3843" s="58"/>
      <c r="L3843" s="99"/>
      <c r="M3843" s="70" t="s">
        <v>9752</v>
      </c>
      <c r="N3843" s="97" t="s">
        <v>414</v>
      </c>
      <c r="O3843" s="45" t="s">
        <v>147</v>
      </c>
      <c r="P3843" s="58" t="s">
        <v>22</v>
      </c>
      <c r="Q3843" s="58" t="s">
        <v>119</v>
      </c>
      <c r="R3843" s="58" t="s">
        <v>272</v>
      </c>
    </row>
    <row r="3844" spans="1:18" ht="69" customHeight="1">
      <c r="A3844" s="168"/>
      <c r="B3844" s="178">
        <v>8223</v>
      </c>
      <c r="C3844" s="178" t="s">
        <v>458</v>
      </c>
      <c r="D3844" s="575" t="s">
        <v>9869</v>
      </c>
      <c r="E3844" s="178" t="s">
        <v>409</v>
      </c>
      <c r="F3844" s="210" t="s">
        <v>9870</v>
      </c>
      <c r="G3844" s="58" t="s">
        <v>9871</v>
      </c>
      <c r="H3844" s="546">
        <v>38146.79</v>
      </c>
      <c r="I3844" s="66">
        <v>44921</v>
      </c>
      <c r="J3844" s="411" t="s">
        <v>7702</v>
      </c>
      <c r="K3844" s="58"/>
      <c r="L3844" s="99"/>
      <c r="M3844" s="70" t="s">
        <v>9752</v>
      </c>
      <c r="N3844" s="97" t="s">
        <v>414</v>
      </c>
      <c r="O3844" s="45" t="s">
        <v>147</v>
      </c>
      <c r="P3844" s="58" t="s">
        <v>22</v>
      </c>
      <c r="Q3844" s="58" t="s">
        <v>119</v>
      </c>
      <c r="R3844" s="58" t="s">
        <v>272</v>
      </c>
    </row>
    <row r="3845" spans="1:18" ht="69" customHeight="1">
      <c r="A3845" s="168"/>
      <c r="B3845" s="178">
        <v>8226</v>
      </c>
      <c r="C3845" s="178" t="s">
        <v>458</v>
      </c>
      <c r="D3845" s="575" t="s">
        <v>1629</v>
      </c>
      <c r="E3845" s="178" t="s">
        <v>409</v>
      </c>
      <c r="F3845" s="210" t="s">
        <v>9872</v>
      </c>
      <c r="G3845" s="58" t="s">
        <v>9873</v>
      </c>
      <c r="H3845" s="546">
        <v>191151.86</v>
      </c>
      <c r="I3845" s="66">
        <v>44921</v>
      </c>
      <c r="J3845" s="411" t="s">
        <v>7702</v>
      </c>
      <c r="K3845" s="58"/>
      <c r="L3845" s="99"/>
      <c r="M3845" s="70" t="s">
        <v>9752</v>
      </c>
      <c r="N3845" s="97" t="s">
        <v>414</v>
      </c>
      <c r="O3845" s="45" t="s">
        <v>147</v>
      </c>
      <c r="P3845" s="58" t="s">
        <v>22</v>
      </c>
      <c r="Q3845" s="58" t="s">
        <v>119</v>
      </c>
      <c r="R3845" s="58" t="s">
        <v>272</v>
      </c>
    </row>
    <row r="3846" spans="1:18" ht="69" customHeight="1">
      <c r="A3846" s="168"/>
      <c r="B3846" s="178">
        <v>8227</v>
      </c>
      <c r="C3846" s="178" t="s">
        <v>458</v>
      </c>
      <c r="D3846" s="575" t="s">
        <v>3244</v>
      </c>
      <c r="E3846" s="178" t="s">
        <v>409</v>
      </c>
      <c r="F3846" s="210" t="s">
        <v>9874</v>
      </c>
      <c r="G3846" s="58" t="s">
        <v>9875</v>
      </c>
      <c r="H3846" s="546">
        <v>102927.92</v>
      </c>
      <c r="I3846" s="66">
        <v>44921</v>
      </c>
      <c r="J3846" s="411" t="s">
        <v>7702</v>
      </c>
      <c r="K3846" s="58"/>
      <c r="L3846" s="99"/>
      <c r="M3846" s="70" t="s">
        <v>9752</v>
      </c>
      <c r="N3846" s="97" t="s">
        <v>414</v>
      </c>
      <c r="O3846" s="45" t="s">
        <v>147</v>
      </c>
      <c r="P3846" s="58" t="s">
        <v>22</v>
      </c>
      <c r="Q3846" s="58" t="s">
        <v>119</v>
      </c>
      <c r="R3846" s="58" t="s">
        <v>272</v>
      </c>
    </row>
    <row r="3847" spans="1:18" ht="69" customHeight="1">
      <c r="A3847" s="168"/>
      <c r="B3847" s="178">
        <v>8331</v>
      </c>
      <c r="C3847" s="178" t="s">
        <v>458</v>
      </c>
      <c r="D3847" s="575" t="s">
        <v>4213</v>
      </c>
      <c r="E3847" s="178" t="s">
        <v>7890</v>
      </c>
      <c r="F3847" s="210" t="s">
        <v>9876</v>
      </c>
      <c r="G3847" s="58" t="s">
        <v>9877</v>
      </c>
      <c r="H3847" s="546">
        <v>34000</v>
      </c>
      <c r="I3847" s="66">
        <v>44564</v>
      </c>
      <c r="J3847" s="411" t="s">
        <v>463</v>
      </c>
      <c r="K3847" s="58"/>
      <c r="L3847" s="99"/>
      <c r="M3847" s="70" t="s">
        <v>9784</v>
      </c>
      <c r="N3847" s="97" t="s">
        <v>414</v>
      </c>
      <c r="O3847" s="45" t="s">
        <v>147</v>
      </c>
      <c r="P3847" s="58" t="s">
        <v>22</v>
      </c>
      <c r="Q3847" s="58" t="s">
        <v>119</v>
      </c>
      <c r="R3847" s="58" t="s">
        <v>265</v>
      </c>
    </row>
    <row r="3848" spans="1:18" ht="69" customHeight="1">
      <c r="A3848" s="168"/>
      <c r="B3848" s="178">
        <v>8334</v>
      </c>
      <c r="C3848" s="178" t="s">
        <v>458</v>
      </c>
      <c r="D3848" s="575" t="s">
        <v>9878</v>
      </c>
      <c r="E3848" s="178" t="s">
        <v>7890</v>
      </c>
      <c r="F3848" s="210" t="s">
        <v>9879</v>
      </c>
      <c r="G3848" s="58" t="s">
        <v>462</v>
      </c>
      <c r="H3848" s="546">
        <v>19500</v>
      </c>
      <c r="I3848" s="66">
        <v>44923</v>
      </c>
      <c r="J3848" s="411" t="s">
        <v>463</v>
      </c>
      <c r="K3848" s="58"/>
      <c r="L3848" s="99"/>
      <c r="M3848" s="70" t="s">
        <v>9784</v>
      </c>
      <c r="N3848" s="97" t="s">
        <v>414</v>
      </c>
      <c r="O3848" s="45" t="s">
        <v>147</v>
      </c>
      <c r="P3848" s="58" t="s">
        <v>22</v>
      </c>
      <c r="Q3848" s="58" t="s">
        <v>119</v>
      </c>
      <c r="R3848" s="58" t="s">
        <v>265</v>
      </c>
    </row>
    <row r="3849" spans="1:18" ht="69" customHeight="1">
      <c r="A3849" s="168"/>
      <c r="B3849" s="178">
        <v>7291</v>
      </c>
      <c r="C3849" s="178" t="s">
        <v>458</v>
      </c>
      <c r="D3849" s="575" t="s">
        <v>9880</v>
      </c>
      <c r="E3849" s="178" t="s">
        <v>9808</v>
      </c>
      <c r="F3849" s="210" t="s">
        <v>9881</v>
      </c>
      <c r="G3849" s="58" t="s">
        <v>1041</v>
      </c>
      <c r="H3849" s="546">
        <v>47548.22</v>
      </c>
      <c r="I3849" s="66">
        <v>44869</v>
      </c>
      <c r="J3849" s="411" t="s">
        <v>6099</v>
      </c>
      <c r="K3849" s="58"/>
      <c r="L3849" s="99"/>
      <c r="M3849" s="70" t="s">
        <v>9810</v>
      </c>
      <c r="N3849" s="97" t="s">
        <v>1044</v>
      </c>
      <c r="O3849" s="58"/>
      <c r="P3849" s="58" t="s">
        <v>26</v>
      </c>
      <c r="Q3849" s="58" t="s">
        <v>119</v>
      </c>
      <c r="R3849" s="58" t="s">
        <v>272</v>
      </c>
    </row>
    <row r="3850" spans="1:18" ht="69" customHeight="1">
      <c r="A3850" s="168"/>
      <c r="B3850" s="191">
        <v>8462</v>
      </c>
      <c r="C3850" s="191" t="s">
        <v>458</v>
      </c>
      <c r="D3850" s="533" t="s">
        <v>3089</v>
      </c>
      <c r="E3850" s="191" t="s">
        <v>7890</v>
      </c>
      <c r="F3850" s="211" t="s">
        <v>9882</v>
      </c>
      <c r="G3850" s="46" t="s">
        <v>7894</v>
      </c>
      <c r="H3850" s="534">
        <v>5250</v>
      </c>
      <c r="I3850" s="56">
        <v>44935</v>
      </c>
      <c r="J3850" s="412" t="s">
        <v>7895</v>
      </c>
      <c r="K3850" s="46" t="s">
        <v>167</v>
      </c>
      <c r="L3850" s="99"/>
      <c r="M3850" s="379"/>
      <c r="N3850" s="76" t="s">
        <v>414</v>
      </c>
      <c r="O3850" s="46"/>
      <c r="P3850" s="46" t="s">
        <v>71</v>
      </c>
      <c r="Q3850" s="46" t="s">
        <v>119</v>
      </c>
      <c r="R3850" s="46" t="s">
        <v>272</v>
      </c>
    </row>
    <row r="3851" spans="1:18" ht="69" customHeight="1">
      <c r="A3851" s="168"/>
      <c r="B3851" s="191">
        <v>8578</v>
      </c>
      <c r="C3851" s="191" t="s">
        <v>458</v>
      </c>
      <c r="D3851" s="533" t="s">
        <v>1067</v>
      </c>
      <c r="E3851" s="191" t="s">
        <v>7890</v>
      </c>
      <c r="F3851" s="211" t="s">
        <v>9883</v>
      </c>
      <c r="G3851" s="46" t="s">
        <v>9884</v>
      </c>
      <c r="H3851" s="534">
        <v>21205.85</v>
      </c>
      <c r="I3851" s="56">
        <v>44948</v>
      </c>
      <c r="J3851" s="412" t="s">
        <v>9885</v>
      </c>
      <c r="K3851" s="46" t="s">
        <v>167</v>
      </c>
      <c r="L3851" s="99"/>
      <c r="M3851" s="379"/>
      <c r="N3851" s="76" t="s">
        <v>414</v>
      </c>
      <c r="O3851" s="46"/>
      <c r="P3851" s="46" t="s">
        <v>65</v>
      </c>
      <c r="Q3851" s="46" t="s">
        <v>119</v>
      </c>
      <c r="R3851" s="46" t="s">
        <v>272</v>
      </c>
    </row>
    <row r="3852" spans="1:18" ht="69" customHeight="1">
      <c r="A3852" s="168"/>
      <c r="B3852" s="178">
        <v>8588</v>
      </c>
      <c r="C3852" s="178" t="s">
        <v>458</v>
      </c>
      <c r="D3852" s="575" t="s">
        <v>3019</v>
      </c>
      <c r="E3852" s="178" t="s">
        <v>409</v>
      </c>
      <c r="F3852" s="210" t="s">
        <v>9886</v>
      </c>
      <c r="G3852" s="58" t="s">
        <v>9887</v>
      </c>
      <c r="H3852" s="546">
        <v>36650.620000000003</v>
      </c>
      <c r="I3852" s="66">
        <v>44944</v>
      </c>
      <c r="J3852" s="411" t="s">
        <v>9888</v>
      </c>
      <c r="K3852" s="58"/>
      <c r="L3852" s="99"/>
      <c r="M3852" s="70" t="s">
        <v>9752</v>
      </c>
      <c r="N3852" s="97" t="s">
        <v>414</v>
      </c>
      <c r="O3852" s="45" t="s">
        <v>147</v>
      </c>
      <c r="P3852" s="58" t="s">
        <v>22</v>
      </c>
      <c r="Q3852" s="58" t="s">
        <v>119</v>
      </c>
      <c r="R3852" s="58" t="s">
        <v>272</v>
      </c>
    </row>
    <row r="3853" spans="1:18" ht="69" customHeight="1">
      <c r="A3853" s="168"/>
      <c r="B3853" s="178">
        <v>8589</v>
      </c>
      <c r="C3853" s="178" t="s">
        <v>458</v>
      </c>
      <c r="D3853" s="575" t="s">
        <v>4909</v>
      </c>
      <c r="E3853" s="178" t="s">
        <v>409</v>
      </c>
      <c r="F3853" s="210" t="s">
        <v>9889</v>
      </c>
      <c r="G3853" s="58" t="s">
        <v>9890</v>
      </c>
      <c r="H3853" s="546">
        <v>29986.880000000001</v>
      </c>
      <c r="I3853" s="66">
        <v>44944</v>
      </c>
      <c r="J3853" s="411" t="s">
        <v>9888</v>
      </c>
      <c r="K3853" s="58"/>
      <c r="L3853" s="99"/>
      <c r="M3853" s="70" t="s">
        <v>9752</v>
      </c>
      <c r="N3853" s="97" t="s">
        <v>414</v>
      </c>
      <c r="O3853" s="45" t="s">
        <v>147</v>
      </c>
      <c r="P3853" s="58" t="s">
        <v>22</v>
      </c>
      <c r="Q3853" s="58" t="s">
        <v>119</v>
      </c>
      <c r="R3853" s="58" t="s">
        <v>272</v>
      </c>
    </row>
    <row r="3854" spans="1:18" ht="69" customHeight="1">
      <c r="A3854" s="168"/>
      <c r="B3854" s="178">
        <v>8715</v>
      </c>
      <c r="C3854" s="178" t="s">
        <v>458</v>
      </c>
      <c r="D3854" s="575" t="s">
        <v>4938</v>
      </c>
      <c r="E3854" s="178" t="s">
        <v>7890</v>
      </c>
      <c r="F3854" s="210" t="s">
        <v>9891</v>
      </c>
      <c r="G3854" s="58" t="s">
        <v>9892</v>
      </c>
      <c r="H3854" s="546">
        <v>19500</v>
      </c>
      <c r="I3854" s="66">
        <v>44951</v>
      </c>
      <c r="J3854" s="411" t="s">
        <v>9893</v>
      </c>
      <c r="K3854" s="58"/>
      <c r="L3854" s="99"/>
      <c r="M3854" s="70" t="s">
        <v>9784</v>
      </c>
      <c r="N3854" s="97" t="s">
        <v>414</v>
      </c>
      <c r="O3854" s="45" t="s">
        <v>147</v>
      </c>
      <c r="P3854" s="58" t="s">
        <v>22</v>
      </c>
      <c r="Q3854" s="58" t="s">
        <v>119</v>
      </c>
      <c r="R3854" s="58" t="s">
        <v>265</v>
      </c>
    </row>
    <row r="3855" spans="1:18" ht="69" customHeight="1">
      <c r="A3855" s="168"/>
      <c r="B3855" s="178">
        <v>8784</v>
      </c>
      <c r="C3855" s="178" t="s">
        <v>458</v>
      </c>
      <c r="D3855" s="575" t="s">
        <v>1814</v>
      </c>
      <c r="E3855" s="178" t="s">
        <v>409</v>
      </c>
      <c r="F3855" s="210" t="s">
        <v>9894</v>
      </c>
      <c r="G3855" s="58" t="s">
        <v>7734</v>
      </c>
      <c r="H3855" s="546">
        <v>34220.550000000003</v>
      </c>
      <c r="I3855" s="66">
        <v>44953</v>
      </c>
      <c r="J3855" s="411" t="s">
        <v>7735</v>
      </c>
      <c r="K3855" s="58"/>
      <c r="L3855" s="99"/>
      <c r="M3855" s="70" t="s">
        <v>9752</v>
      </c>
      <c r="N3855" s="97" t="s">
        <v>414</v>
      </c>
      <c r="O3855" s="45" t="s">
        <v>147</v>
      </c>
      <c r="P3855" s="58" t="s">
        <v>22</v>
      </c>
      <c r="Q3855" s="58" t="s">
        <v>119</v>
      </c>
      <c r="R3855" s="58" t="s">
        <v>272</v>
      </c>
    </row>
    <row r="3856" spans="1:18" ht="69" customHeight="1">
      <c r="A3856" s="168"/>
      <c r="B3856" s="178">
        <v>8785</v>
      </c>
      <c r="C3856" s="178" t="s">
        <v>458</v>
      </c>
      <c r="D3856" s="575" t="s">
        <v>3032</v>
      </c>
      <c r="E3856" s="178" t="s">
        <v>409</v>
      </c>
      <c r="F3856" s="210" t="s">
        <v>9895</v>
      </c>
      <c r="G3856" s="58" t="s">
        <v>7737</v>
      </c>
      <c r="H3856" s="546">
        <v>18426.45</v>
      </c>
      <c r="I3856" s="66">
        <v>44953</v>
      </c>
      <c r="J3856" s="411" t="s">
        <v>7735</v>
      </c>
      <c r="K3856" s="58"/>
      <c r="L3856" s="99"/>
      <c r="M3856" s="70" t="s">
        <v>9752</v>
      </c>
      <c r="N3856" s="97" t="s">
        <v>414</v>
      </c>
      <c r="O3856" s="45" t="s">
        <v>147</v>
      </c>
      <c r="P3856" s="58" t="s">
        <v>22</v>
      </c>
      <c r="Q3856" s="58" t="s">
        <v>119</v>
      </c>
      <c r="R3856" s="58" t="s">
        <v>272</v>
      </c>
    </row>
    <row r="3857" spans="1:18" ht="69" customHeight="1">
      <c r="A3857" s="168"/>
      <c r="B3857" s="178">
        <v>8799</v>
      </c>
      <c r="C3857" s="178" t="s">
        <v>458</v>
      </c>
      <c r="D3857" s="575" t="s">
        <v>1843</v>
      </c>
      <c r="E3857" s="178" t="s">
        <v>283</v>
      </c>
      <c r="F3857" s="210" t="s">
        <v>9896</v>
      </c>
      <c r="G3857" s="58" t="s">
        <v>6167</v>
      </c>
      <c r="H3857" s="546">
        <v>118000</v>
      </c>
      <c r="I3857" s="66">
        <v>44974</v>
      </c>
      <c r="J3857" s="411" t="s">
        <v>6168</v>
      </c>
      <c r="K3857" s="58"/>
      <c r="L3857" s="99"/>
      <c r="M3857" s="70" t="s">
        <v>9707</v>
      </c>
      <c r="N3857" s="97" t="s">
        <v>264</v>
      </c>
      <c r="O3857" s="58" t="s">
        <v>141</v>
      </c>
      <c r="P3857" s="58" t="s">
        <v>17</v>
      </c>
      <c r="Q3857" s="58" t="s">
        <v>119</v>
      </c>
      <c r="R3857" s="58" t="s">
        <v>272</v>
      </c>
    </row>
    <row r="3858" spans="1:18" ht="69" customHeight="1">
      <c r="A3858" s="168"/>
      <c r="B3858" s="191">
        <v>8237</v>
      </c>
      <c r="C3858" s="191" t="s">
        <v>458</v>
      </c>
      <c r="D3858" s="533" t="s">
        <v>1824</v>
      </c>
      <c r="E3858" s="191" t="s">
        <v>7890</v>
      </c>
      <c r="F3858" s="211" t="s">
        <v>9897</v>
      </c>
      <c r="G3858" s="46" t="s">
        <v>7894</v>
      </c>
      <c r="H3858" s="534">
        <v>5250</v>
      </c>
      <c r="I3858" s="56">
        <v>44960</v>
      </c>
      <c r="J3858" s="412" t="s">
        <v>9898</v>
      </c>
      <c r="K3858" s="46" t="s">
        <v>167</v>
      </c>
      <c r="L3858" s="99"/>
      <c r="M3858" s="379"/>
      <c r="N3858" s="76" t="s">
        <v>414</v>
      </c>
      <c r="O3858" s="46"/>
      <c r="P3858" s="46" t="s">
        <v>71</v>
      </c>
      <c r="Q3858" s="46" t="s">
        <v>119</v>
      </c>
      <c r="R3858" s="46" t="s">
        <v>272</v>
      </c>
    </row>
    <row r="3859" spans="1:18" ht="69" customHeight="1">
      <c r="A3859" s="168"/>
      <c r="B3859" s="178">
        <v>8680</v>
      </c>
      <c r="C3859" s="178" t="s">
        <v>458</v>
      </c>
      <c r="D3859" s="575" t="s">
        <v>1114</v>
      </c>
      <c r="E3859" s="178" t="s">
        <v>7890</v>
      </c>
      <c r="F3859" s="210" t="s">
        <v>9899</v>
      </c>
      <c r="G3859" s="58" t="s">
        <v>3939</v>
      </c>
      <c r="H3859" s="546">
        <v>47619</v>
      </c>
      <c r="I3859" s="66">
        <v>44982</v>
      </c>
      <c r="J3859" s="411" t="s">
        <v>9900</v>
      </c>
      <c r="K3859" s="58"/>
      <c r="L3859" s="99"/>
      <c r="M3859" s="70" t="s">
        <v>9784</v>
      </c>
      <c r="N3859" s="97" t="s">
        <v>414</v>
      </c>
      <c r="O3859" s="45" t="s">
        <v>147</v>
      </c>
      <c r="P3859" s="58" t="s">
        <v>22</v>
      </c>
      <c r="Q3859" s="58" t="s">
        <v>119</v>
      </c>
      <c r="R3859" s="58" t="s">
        <v>265</v>
      </c>
    </row>
    <row r="3860" spans="1:18" ht="69" customHeight="1">
      <c r="A3860" s="168"/>
      <c r="B3860" s="191">
        <v>8682</v>
      </c>
      <c r="C3860" s="191" t="s">
        <v>458</v>
      </c>
      <c r="D3860" s="533" t="s">
        <v>2630</v>
      </c>
      <c r="E3860" s="191" t="s">
        <v>7890</v>
      </c>
      <c r="F3860" s="211" t="s">
        <v>9901</v>
      </c>
      <c r="G3860" s="46" t="s">
        <v>9902</v>
      </c>
      <c r="H3860" s="534">
        <v>2610</v>
      </c>
      <c r="I3860" s="56">
        <v>44967</v>
      </c>
      <c r="J3860" s="412" t="s">
        <v>9903</v>
      </c>
      <c r="K3860" s="46" t="s">
        <v>167</v>
      </c>
      <c r="L3860" s="99"/>
      <c r="M3860" s="379"/>
      <c r="N3860" s="76" t="s">
        <v>414</v>
      </c>
      <c r="O3860" s="46"/>
      <c r="P3860" s="46" t="s">
        <v>65</v>
      </c>
      <c r="Q3860" s="46" t="s">
        <v>119</v>
      </c>
      <c r="R3860" s="46" t="s">
        <v>272</v>
      </c>
    </row>
    <row r="3861" spans="1:18" ht="69" customHeight="1">
      <c r="A3861" s="168"/>
      <c r="B3861" s="178">
        <v>8681</v>
      </c>
      <c r="C3861" s="178" t="s">
        <v>458</v>
      </c>
      <c r="D3861" s="575" t="s">
        <v>2377</v>
      </c>
      <c r="E3861" s="178" t="s">
        <v>409</v>
      </c>
      <c r="F3861" s="210" t="s">
        <v>9904</v>
      </c>
      <c r="G3861" s="58" t="s">
        <v>9905</v>
      </c>
      <c r="H3861" s="546">
        <v>117992.9</v>
      </c>
      <c r="I3861" s="66">
        <v>44967</v>
      </c>
      <c r="J3861" s="411" t="s">
        <v>8401</v>
      </c>
      <c r="K3861" s="58"/>
      <c r="L3861" s="99"/>
      <c r="M3861" s="70" t="s">
        <v>9752</v>
      </c>
      <c r="N3861" s="97" t="s">
        <v>414</v>
      </c>
      <c r="O3861" s="45" t="s">
        <v>147</v>
      </c>
      <c r="P3861" s="58" t="s">
        <v>22</v>
      </c>
      <c r="Q3861" s="58" t="s">
        <v>119</v>
      </c>
      <c r="R3861" s="58" t="s">
        <v>272</v>
      </c>
    </row>
    <row r="3862" spans="1:18" ht="69" customHeight="1">
      <c r="A3862" s="168"/>
      <c r="B3862" s="178">
        <v>8682</v>
      </c>
      <c r="C3862" s="178" t="s">
        <v>458</v>
      </c>
      <c r="D3862" s="575" t="s">
        <v>1864</v>
      </c>
      <c r="E3862" s="178" t="s">
        <v>409</v>
      </c>
      <c r="F3862" s="210" t="s">
        <v>9906</v>
      </c>
      <c r="G3862" s="58" t="s">
        <v>9907</v>
      </c>
      <c r="H3862" s="546">
        <v>63534.64</v>
      </c>
      <c r="I3862" s="66">
        <v>44967</v>
      </c>
      <c r="J3862" s="411" t="s">
        <v>8401</v>
      </c>
      <c r="K3862" s="58"/>
      <c r="L3862" s="99"/>
      <c r="M3862" s="70" t="s">
        <v>9752</v>
      </c>
      <c r="N3862" s="97" t="s">
        <v>414</v>
      </c>
      <c r="O3862" s="45" t="s">
        <v>147</v>
      </c>
      <c r="P3862" s="58" t="s">
        <v>22</v>
      </c>
      <c r="Q3862" s="58" t="s">
        <v>119</v>
      </c>
      <c r="R3862" s="58" t="s">
        <v>272</v>
      </c>
    </row>
    <row r="3863" spans="1:18" ht="69" customHeight="1">
      <c r="A3863" s="168"/>
      <c r="B3863" s="178">
        <v>8683</v>
      </c>
      <c r="C3863" s="178" t="s">
        <v>458</v>
      </c>
      <c r="D3863" s="575" t="s">
        <v>3105</v>
      </c>
      <c r="E3863" s="178" t="s">
        <v>409</v>
      </c>
      <c r="F3863" s="210" t="s">
        <v>9908</v>
      </c>
      <c r="G3863" s="58" t="s">
        <v>9909</v>
      </c>
      <c r="H3863" s="546">
        <v>191151.86</v>
      </c>
      <c r="I3863" s="66">
        <v>44967</v>
      </c>
      <c r="J3863" s="411" t="s">
        <v>8401</v>
      </c>
      <c r="K3863" s="58"/>
      <c r="L3863" s="99"/>
      <c r="M3863" s="70" t="s">
        <v>9752</v>
      </c>
      <c r="N3863" s="97" t="s">
        <v>414</v>
      </c>
      <c r="O3863" s="45" t="s">
        <v>147</v>
      </c>
      <c r="P3863" s="58" t="s">
        <v>22</v>
      </c>
      <c r="Q3863" s="58" t="s">
        <v>119</v>
      </c>
      <c r="R3863" s="58" t="s">
        <v>272</v>
      </c>
    </row>
    <row r="3864" spans="1:18" ht="69" customHeight="1">
      <c r="A3864" s="168"/>
      <c r="B3864" s="178">
        <v>8684</v>
      </c>
      <c r="C3864" s="178" t="s">
        <v>458</v>
      </c>
      <c r="D3864" s="575" t="s">
        <v>9910</v>
      </c>
      <c r="E3864" s="178" t="s">
        <v>409</v>
      </c>
      <c r="F3864" s="210" t="s">
        <v>9911</v>
      </c>
      <c r="G3864" s="58" t="s">
        <v>9912</v>
      </c>
      <c r="H3864" s="546">
        <v>102927.93</v>
      </c>
      <c r="I3864" s="66">
        <v>44967</v>
      </c>
      <c r="J3864" s="411" t="s">
        <v>8401</v>
      </c>
      <c r="K3864" s="58"/>
      <c r="L3864" s="99"/>
      <c r="M3864" s="70" t="s">
        <v>9752</v>
      </c>
      <c r="N3864" s="97" t="s">
        <v>414</v>
      </c>
      <c r="O3864" s="45" t="s">
        <v>147</v>
      </c>
      <c r="P3864" s="58" t="s">
        <v>22</v>
      </c>
      <c r="Q3864" s="58" t="s">
        <v>119</v>
      </c>
      <c r="R3864" s="58" t="s">
        <v>272</v>
      </c>
    </row>
    <row r="3865" spans="1:18" ht="69" customHeight="1">
      <c r="A3865" s="168"/>
      <c r="B3865" s="178">
        <v>8745</v>
      </c>
      <c r="C3865" s="178" t="s">
        <v>458</v>
      </c>
      <c r="D3865" s="575" t="s">
        <v>6685</v>
      </c>
      <c r="E3865" s="178" t="s">
        <v>7890</v>
      </c>
      <c r="F3865" s="210" t="s">
        <v>9913</v>
      </c>
      <c r="G3865" s="58" t="s">
        <v>9914</v>
      </c>
      <c r="H3865" s="546">
        <v>30186</v>
      </c>
      <c r="I3865" s="66">
        <v>44982</v>
      </c>
      <c r="J3865" s="411" t="s">
        <v>9915</v>
      </c>
      <c r="K3865" s="58"/>
      <c r="L3865" s="99"/>
      <c r="M3865" s="70" t="s">
        <v>9784</v>
      </c>
      <c r="N3865" s="97" t="s">
        <v>414</v>
      </c>
      <c r="O3865" s="45" t="s">
        <v>147</v>
      </c>
      <c r="P3865" s="58" t="s">
        <v>22</v>
      </c>
      <c r="Q3865" s="58" t="s">
        <v>119</v>
      </c>
      <c r="R3865" s="58" t="s">
        <v>265</v>
      </c>
    </row>
    <row r="3866" spans="1:18" ht="69" customHeight="1">
      <c r="A3866" s="168"/>
      <c r="B3866" s="178">
        <v>8761</v>
      </c>
      <c r="C3866" s="178" t="s">
        <v>458</v>
      </c>
      <c r="D3866" s="575" t="s">
        <v>3283</v>
      </c>
      <c r="E3866" s="178" t="s">
        <v>7890</v>
      </c>
      <c r="F3866" s="210" t="s">
        <v>9916</v>
      </c>
      <c r="G3866" s="58" t="s">
        <v>3939</v>
      </c>
      <c r="H3866" s="546">
        <v>28000</v>
      </c>
      <c r="I3866" s="66">
        <v>44989</v>
      </c>
      <c r="J3866" s="411" t="s">
        <v>9917</v>
      </c>
      <c r="K3866" s="58"/>
      <c r="L3866" s="99"/>
      <c r="M3866" s="70" t="s">
        <v>9784</v>
      </c>
      <c r="N3866" s="97" t="s">
        <v>414</v>
      </c>
      <c r="O3866" s="45" t="s">
        <v>147</v>
      </c>
      <c r="P3866" s="58" t="s">
        <v>22</v>
      </c>
      <c r="Q3866" s="58" t="s">
        <v>119</v>
      </c>
      <c r="R3866" s="58" t="s">
        <v>265</v>
      </c>
    </row>
    <row r="3867" spans="1:18" ht="69" customHeight="1">
      <c r="A3867" s="168"/>
      <c r="B3867" s="178">
        <v>8802</v>
      </c>
      <c r="C3867" s="178" t="s">
        <v>458</v>
      </c>
      <c r="D3867" s="575" t="s">
        <v>1166</v>
      </c>
      <c r="E3867" s="178" t="s">
        <v>7890</v>
      </c>
      <c r="F3867" s="210" t="s">
        <v>9918</v>
      </c>
      <c r="G3867" s="58" t="s">
        <v>9919</v>
      </c>
      <c r="H3867" s="546">
        <v>18200</v>
      </c>
      <c r="I3867" s="66">
        <v>44982</v>
      </c>
      <c r="J3867" s="411" t="s">
        <v>9920</v>
      </c>
      <c r="K3867" s="58"/>
      <c r="L3867" s="99"/>
      <c r="M3867" s="70" t="s">
        <v>9784</v>
      </c>
      <c r="N3867" s="97" t="s">
        <v>414</v>
      </c>
      <c r="O3867" s="45" t="s">
        <v>147</v>
      </c>
      <c r="P3867" s="58" t="s">
        <v>22</v>
      </c>
      <c r="Q3867" s="58" t="s">
        <v>119</v>
      </c>
      <c r="R3867" s="58" t="s">
        <v>265</v>
      </c>
    </row>
    <row r="3868" spans="1:18" ht="69" customHeight="1">
      <c r="A3868" s="168"/>
      <c r="B3868" s="178">
        <v>8871</v>
      </c>
      <c r="C3868" s="178" t="s">
        <v>458</v>
      </c>
      <c r="D3868" s="575" t="s">
        <v>9921</v>
      </c>
      <c r="E3868" s="178" t="s">
        <v>409</v>
      </c>
      <c r="F3868" s="210" t="s">
        <v>9922</v>
      </c>
      <c r="G3868" s="58" t="s">
        <v>9923</v>
      </c>
      <c r="H3868" s="546">
        <v>193249.19</v>
      </c>
      <c r="I3868" s="66">
        <v>44981</v>
      </c>
      <c r="J3868" s="411" t="s">
        <v>9924</v>
      </c>
      <c r="K3868" s="58" t="s">
        <v>9925</v>
      </c>
      <c r="L3868" s="99"/>
      <c r="M3868" s="70" t="s">
        <v>9752</v>
      </c>
      <c r="N3868" s="97" t="s">
        <v>414</v>
      </c>
      <c r="O3868" s="45" t="s">
        <v>147</v>
      </c>
      <c r="P3868" s="58" t="s">
        <v>22</v>
      </c>
      <c r="Q3868" s="58" t="s">
        <v>119</v>
      </c>
      <c r="R3868" s="58" t="s">
        <v>272</v>
      </c>
    </row>
    <row r="3869" spans="1:18" ht="69" customHeight="1">
      <c r="A3869" s="168"/>
      <c r="B3869" s="178">
        <v>8872</v>
      </c>
      <c r="C3869" s="178" t="s">
        <v>458</v>
      </c>
      <c r="D3869" s="575" t="s">
        <v>9926</v>
      </c>
      <c r="E3869" s="178" t="s">
        <v>409</v>
      </c>
      <c r="F3869" s="210" t="s">
        <v>9927</v>
      </c>
      <c r="G3869" s="58" t="s">
        <v>9928</v>
      </c>
      <c r="H3869" s="546">
        <v>104057.25</v>
      </c>
      <c r="I3869" s="66">
        <v>44981</v>
      </c>
      <c r="J3869" s="411" t="s">
        <v>9924</v>
      </c>
      <c r="K3869" s="58" t="s">
        <v>9929</v>
      </c>
      <c r="L3869" s="99"/>
      <c r="M3869" s="70" t="s">
        <v>9752</v>
      </c>
      <c r="N3869" s="97" t="s">
        <v>414</v>
      </c>
      <c r="O3869" s="45" t="s">
        <v>147</v>
      </c>
      <c r="P3869" s="58" t="s">
        <v>22</v>
      </c>
      <c r="Q3869" s="58" t="s">
        <v>119</v>
      </c>
      <c r="R3869" s="58" t="s">
        <v>272</v>
      </c>
    </row>
    <row r="3870" spans="1:18" ht="69" customHeight="1">
      <c r="A3870" s="168"/>
      <c r="B3870" s="178">
        <v>8957</v>
      </c>
      <c r="C3870" s="178" t="s">
        <v>458</v>
      </c>
      <c r="D3870" s="575" t="s">
        <v>1627</v>
      </c>
      <c r="E3870" s="178" t="s">
        <v>7890</v>
      </c>
      <c r="F3870" s="210" t="s">
        <v>9930</v>
      </c>
      <c r="G3870" s="58" t="s">
        <v>6580</v>
      </c>
      <c r="H3870" s="546">
        <v>19500</v>
      </c>
      <c r="I3870" s="66">
        <v>44988</v>
      </c>
      <c r="J3870" s="411" t="s">
        <v>9931</v>
      </c>
      <c r="K3870" s="58"/>
      <c r="L3870" s="99"/>
      <c r="M3870" s="70" t="s">
        <v>9784</v>
      </c>
      <c r="N3870" s="97" t="s">
        <v>414</v>
      </c>
      <c r="O3870" s="45" t="s">
        <v>147</v>
      </c>
      <c r="P3870" s="58" t="s">
        <v>22</v>
      </c>
      <c r="Q3870" s="58" t="s">
        <v>119</v>
      </c>
      <c r="R3870" s="58" t="s">
        <v>265</v>
      </c>
    </row>
    <row r="3871" spans="1:18" ht="69" customHeight="1">
      <c r="A3871" s="168"/>
      <c r="B3871" s="191">
        <v>8958</v>
      </c>
      <c r="C3871" s="191" t="s">
        <v>458</v>
      </c>
      <c r="D3871" s="533" t="s">
        <v>3518</v>
      </c>
      <c r="E3871" s="191" t="s">
        <v>7890</v>
      </c>
      <c r="F3871" s="211" t="s">
        <v>9932</v>
      </c>
      <c r="G3871" s="46" t="s">
        <v>7943</v>
      </c>
      <c r="H3871" s="534">
        <v>5250</v>
      </c>
      <c r="I3871" s="56">
        <v>44988</v>
      </c>
      <c r="J3871" s="412" t="s">
        <v>9931</v>
      </c>
      <c r="K3871" s="46" t="s">
        <v>167</v>
      </c>
      <c r="L3871" s="99"/>
      <c r="M3871" s="379"/>
      <c r="N3871" s="76" t="s">
        <v>414</v>
      </c>
      <c r="O3871" s="46"/>
      <c r="P3871" s="46" t="s">
        <v>71</v>
      </c>
      <c r="Q3871" s="46" t="s">
        <v>119</v>
      </c>
      <c r="R3871" s="46" t="s">
        <v>272</v>
      </c>
    </row>
    <row r="3872" spans="1:18" ht="69" customHeight="1">
      <c r="A3872" s="168"/>
      <c r="B3872" s="178">
        <v>9059</v>
      </c>
      <c r="C3872" s="178" t="s">
        <v>458</v>
      </c>
      <c r="D3872" s="575" t="s">
        <v>9933</v>
      </c>
      <c r="E3872" s="178" t="s">
        <v>382</v>
      </c>
      <c r="F3872" s="210" t="s">
        <v>9934</v>
      </c>
      <c r="G3872" s="58" t="s">
        <v>857</v>
      </c>
      <c r="H3872" s="546">
        <v>3767.13</v>
      </c>
      <c r="I3872" s="66">
        <v>45000</v>
      </c>
      <c r="J3872" s="411" t="s">
        <v>858</v>
      </c>
      <c r="K3872" s="58"/>
      <c r="L3872" s="99"/>
      <c r="M3872" s="70" t="s">
        <v>9724</v>
      </c>
      <c r="N3872" s="97" t="s">
        <v>387</v>
      </c>
      <c r="O3872" s="45" t="s">
        <v>150</v>
      </c>
      <c r="P3872" s="58" t="s">
        <v>51</v>
      </c>
      <c r="Q3872" s="58" t="s">
        <v>119</v>
      </c>
      <c r="R3872" s="58" t="s">
        <v>272</v>
      </c>
    </row>
    <row r="3873" spans="1:18" ht="69" customHeight="1">
      <c r="A3873" s="168"/>
      <c r="B3873" s="178">
        <v>9024</v>
      </c>
      <c r="C3873" s="178" t="s">
        <v>458</v>
      </c>
      <c r="D3873" s="575" t="s">
        <v>9935</v>
      </c>
      <c r="E3873" s="178" t="s">
        <v>9851</v>
      </c>
      <c r="F3873" s="210" t="s">
        <v>9936</v>
      </c>
      <c r="G3873" s="58" t="s">
        <v>1231</v>
      </c>
      <c r="H3873" s="546">
        <v>32876.480000000003</v>
      </c>
      <c r="I3873" s="66">
        <v>45000</v>
      </c>
      <c r="J3873" s="411" t="s">
        <v>1232</v>
      </c>
      <c r="K3873" s="58"/>
      <c r="L3873" s="99"/>
      <c r="M3873" s="70" t="s">
        <v>9810</v>
      </c>
      <c r="N3873" s="97" t="s">
        <v>1044</v>
      </c>
      <c r="O3873" s="58"/>
      <c r="P3873" s="58" t="s">
        <v>26</v>
      </c>
      <c r="Q3873" s="58" t="s">
        <v>119</v>
      </c>
      <c r="R3873" s="58" t="s">
        <v>272</v>
      </c>
    </row>
    <row r="3874" spans="1:18" ht="69" customHeight="1">
      <c r="A3874" s="168"/>
      <c r="B3874" s="178">
        <v>9105</v>
      </c>
      <c r="C3874" s="178" t="s">
        <v>7415</v>
      </c>
      <c r="D3874" s="575" t="s">
        <v>9937</v>
      </c>
      <c r="E3874" s="178" t="s">
        <v>585</v>
      </c>
      <c r="F3874" s="210" t="s">
        <v>9938</v>
      </c>
      <c r="G3874" s="58" t="s">
        <v>9939</v>
      </c>
      <c r="H3874" s="546">
        <v>175000</v>
      </c>
      <c r="I3874" s="66">
        <v>45002</v>
      </c>
      <c r="J3874" s="411" t="s">
        <v>9940</v>
      </c>
      <c r="K3874" s="58"/>
      <c r="L3874" s="99"/>
      <c r="M3874" s="70" t="s">
        <v>9699</v>
      </c>
      <c r="N3874" s="97" t="s">
        <v>270</v>
      </c>
      <c r="O3874" s="58"/>
      <c r="P3874" s="58" t="s">
        <v>44</v>
      </c>
      <c r="Q3874" s="58" t="s">
        <v>119</v>
      </c>
      <c r="R3874" s="58" t="s">
        <v>272</v>
      </c>
    </row>
    <row r="3875" spans="1:18" ht="69" customHeight="1">
      <c r="A3875" s="168"/>
      <c r="B3875" s="178">
        <v>9357</v>
      </c>
      <c r="C3875" s="178" t="s">
        <v>458</v>
      </c>
      <c r="D3875" s="575" t="s">
        <v>9941</v>
      </c>
      <c r="E3875" s="178" t="s">
        <v>409</v>
      </c>
      <c r="F3875" s="210" t="s">
        <v>9942</v>
      </c>
      <c r="G3875" s="58" t="s">
        <v>9943</v>
      </c>
      <c r="H3875" s="546">
        <v>134586.54</v>
      </c>
      <c r="I3875" s="66">
        <v>45009</v>
      </c>
      <c r="J3875" s="411" t="s">
        <v>9944</v>
      </c>
      <c r="K3875" s="58"/>
      <c r="L3875" s="99"/>
      <c r="M3875" s="70" t="s">
        <v>9752</v>
      </c>
      <c r="N3875" s="97" t="s">
        <v>414</v>
      </c>
      <c r="O3875" s="45" t="s">
        <v>147</v>
      </c>
      <c r="P3875" s="58" t="s">
        <v>22</v>
      </c>
      <c r="Q3875" s="58" t="s">
        <v>119</v>
      </c>
      <c r="R3875" s="58" t="s">
        <v>272</v>
      </c>
    </row>
    <row r="3876" spans="1:18" ht="69" customHeight="1">
      <c r="A3876" s="168"/>
      <c r="B3876" s="178">
        <v>9358</v>
      </c>
      <c r="C3876" s="178" t="s">
        <v>458</v>
      </c>
      <c r="D3876" s="575" t="s">
        <v>6343</v>
      </c>
      <c r="E3876" s="178" t="s">
        <v>409</v>
      </c>
      <c r="F3876" s="210" t="s">
        <v>9945</v>
      </c>
      <c r="G3876" s="58" t="s">
        <v>9946</v>
      </c>
      <c r="H3876" s="546">
        <v>72469.67</v>
      </c>
      <c r="I3876" s="66">
        <v>45009</v>
      </c>
      <c r="J3876" s="411" t="s">
        <v>9944</v>
      </c>
      <c r="K3876" s="58"/>
      <c r="L3876" s="99"/>
      <c r="M3876" s="70" t="s">
        <v>9752</v>
      </c>
      <c r="N3876" s="97" t="s">
        <v>414</v>
      </c>
      <c r="O3876" s="45" t="s">
        <v>147</v>
      </c>
      <c r="P3876" s="58" t="s">
        <v>22</v>
      </c>
      <c r="Q3876" s="58" t="s">
        <v>119</v>
      </c>
      <c r="R3876" s="58" t="s">
        <v>272</v>
      </c>
    </row>
    <row r="3877" spans="1:18" ht="69" customHeight="1">
      <c r="A3877" s="168"/>
      <c r="B3877" s="178">
        <v>9658</v>
      </c>
      <c r="C3877" s="178" t="s">
        <v>458</v>
      </c>
      <c r="D3877" s="575" t="s">
        <v>9947</v>
      </c>
      <c r="E3877" s="178" t="s">
        <v>7890</v>
      </c>
      <c r="F3877" s="210" t="s">
        <v>9948</v>
      </c>
      <c r="G3877" s="58" t="s">
        <v>9949</v>
      </c>
      <c r="H3877" s="546">
        <v>19500</v>
      </c>
      <c r="I3877" s="66">
        <v>45014</v>
      </c>
      <c r="J3877" s="411" t="s">
        <v>9950</v>
      </c>
      <c r="K3877" s="58"/>
      <c r="L3877" s="99"/>
      <c r="M3877" s="70" t="s">
        <v>9784</v>
      </c>
      <c r="N3877" s="97" t="s">
        <v>414</v>
      </c>
      <c r="O3877" s="45" t="s">
        <v>147</v>
      </c>
      <c r="P3877" s="58" t="s">
        <v>22</v>
      </c>
      <c r="Q3877" s="58" t="s">
        <v>119</v>
      </c>
      <c r="R3877" s="58" t="s">
        <v>265</v>
      </c>
    </row>
    <row r="3878" spans="1:18" ht="69" customHeight="1">
      <c r="A3878" s="168"/>
      <c r="B3878" s="191">
        <v>9659</v>
      </c>
      <c r="C3878" s="191" t="s">
        <v>458</v>
      </c>
      <c r="D3878" s="533" t="s">
        <v>9951</v>
      </c>
      <c r="E3878" s="191" t="s">
        <v>7890</v>
      </c>
      <c r="F3878" s="211" t="s">
        <v>9952</v>
      </c>
      <c r="G3878" s="46" t="s">
        <v>7962</v>
      </c>
      <c r="H3878" s="534">
        <v>5250</v>
      </c>
      <c r="I3878" s="56">
        <v>45014</v>
      </c>
      <c r="J3878" s="412" t="s">
        <v>9950</v>
      </c>
      <c r="K3878" s="46" t="s">
        <v>167</v>
      </c>
      <c r="L3878" s="99"/>
      <c r="M3878" s="379"/>
      <c r="N3878" s="76" t="s">
        <v>414</v>
      </c>
      <c r="O3878" s="46"/>
      <c r="P3878" s="46" t="s">
        <v>71</v>
      </c>
      <c r="Q3878" s="46" t="s">
        <v>119</v>
      </c>
      <c r="R3878" s="46" t="s">
        <v>272</v>
      </c>
    </row>
    <row r="3879" spans="1:18" ht="69" customHeight="1">
      <c r="A3879" s="168"/>
      <c r="B3879" s="178">
        <v>9697</v>
      </c>
      <c r="C3879" s="178" t="s">
        <v>7415</v>
      </c>
      <c r="D3879" s="575" t="s">
        <v>9953</v>
      </c>
      <c r="E3879" s="178" t="s">
        <v>266</v>
      </c>
      <c r="F3879" s="210" t="s">
        <v>9954</v>
      </c>
      <c r="G3879" s="58" t="s">
        <v>7417</v>
      </c>
      <c r="H3879" s="546">
        <v>60.44</v>
      </c>
      <c r="I3879" s="66">
        <v>45019</v>
      </c>
      <c r="J3879" s="411" t="s">
        <v>7418</v>
      </c>
      <c r="K3879" s="58"/>
      <c r="L3879" s="99"/>
      <c r="M3879" s="70" t="s">
        <v>9699</v>
      </c>
      <c r="N3879" s="97" t="s">
        <v>270</v>
      </c>
      <c r="O3879" s="58"/>
      <c r="P3879" s="58" t="s">
        <v>44</v>
      </c>
      <c r="Q3879" s="58" t="s">
        <v>119</v>
      </c>
      <c r="R3879" s="58" t="s">
        <v>272</v>
      </c>
    </row>
    <row r="3880" spans="1:18" ht="69" customHeight="1">
      <c r="A3880" s="168"/>
      <c r="B3880" s="178">
        <v>9733</v>
      </c>
      <c r="C3880" s="178" t="s">
        <v>458</v>
      </c>
      <c r="D3880" s="575" t="s">
        <v>1873</v>
      </c>
      <c r="E3880" s="178" t="s">
        <v>382</v>
      </c>
      <c r="F3880" s="210" t="s">
        <v>9955</v>
      </c>
      <c r="G3880" s="58" t="s">
        <v>9956</v>
      </c>
      <c r="H3880" s="546">
        <v>5821.02</v>
      </c>
      <c r="I3880" s="66">
        <v>45026</v>
      </c>
      <c r="J3880" s="411" t="s">
        <v>9957</v>
      </c>
      <c r="K3880" s="58"/>
      <c r="L3880" s="99"/>
      <c r="M3880" s="70" t="s">
        <v>9724</v>
      </c>
      <c r="N3880" s="97" t="s">
        <v>387</v>
      </c>
      <c r="O3880" s="45" t="s">
        <v>150</v>
      </c>
      <c r="P3880" s="58" t="s">
        <v>51</v>
      </c>
      <c r="Q3880" s="58" t="s">
        <v>119</v>
      </c>
      <c r="R3880" s="58" t="s">
        <v>272</v>
      </c>
    </row>
    <row r="3881" spans="1:18" ht="69" customHeight="1">
      <c r="A3881" s="168"/>
      <c r="B3881" s="191">
        <v>9736</v>
      </c>
      <c r="C3881" s="191" t="s">
        <v>458</v>
      </c>
      <c r="D3881" s="533" t="s">
        <v>3116</v>
      </c>
      <c r="E3881" s="191" t="s">
        <v>6226</v>
      </c>
      <c r="F3881" s="211" t="s">
        <v>9958</v>
      </c>
      <c r="G3881" s="46" t="s">
        <v>9207</v>
      </c>
      <c r="H3881" s="534">
        <v>0</v>
      </c>
      <c r="I3881" s="56">
        <v>45041</v>
      </c>
      <c r="J3881" s="412" t="s">
        <v>9959</v>
      </c>
      <c r="K3881" s="46" t="s">
        <v>167</v>
      </c>
      <c r="L3881" s="99"/>
      <c r="M3881" s="379"/>
      <c r="N3881" s="76" t="s">
        <v>414</v>
      </c>
      <c r="O3881" s="46"/>
      <c r="P3881" s="46" t="s">
        <v>65</v>
      </c>
      <c r="Q3881" s="46" t="s">
        <v>119</v>
      </c>
      <c r="R3881" s="46" t="s">
        <v>272</v>
      </c>
    </row>
    <row r="3882" spans="1:18" ht="69" customHeight="1">
      <c r="A3882" s="168"/>
      <c r="B3882" s="178">
        <v>9739</v>
      </c>
      <c r="C3882" s="178" t="s">
        <v>458</v>
      </c>
      <c r="D3882" s="575" t="s">
        <v>2375</v>
      </c>
      <c r="E3882" s="178" t="s">
        <v>409</v>
      </c>
      <c r="F3882" s="210" t="s">
        <v>9960</v>
      </c>
      <c r="G3882" s="58" t="s">
        <v>8434</v>
      </c>
      <c r="H3882" s="546">
        <v>188385.31</v>
      </c>
      <c r="I3882" s="66" t="s">
        <v>96</v>
      </c>
      <c r="J3882" s="411" t="s">
        <v>8435</v>
      </c>
      <c r="K3882" s="58"/>
      <c r="L3882" s="99"/>
      <c r="M3882" s="70" t="s">
        <v>9752</v>
      </c>
      <c r="N3882" s="97" t="s">
        <v>414</v>
      </c>
      <c r="O3882" s="45" t="s">
        <v>147</v>
      </c>
      <c r="P3882" s="58" t="s">
        <v>22</v>
      </c>
      <c r="Q3882" s="58" t="s">
        <v>119</v>
      </c>
      <c r="R3882" s="58" t="s">
        <v>272</v>
      </c>
    </row>
    <row r="3883" spans="1:18" ht="69" customHeight="1">
      <c r="A3883" s="168"/>
      <c r="B3883" s="178">
        <v>9740</v>
      </c>
      <c r="C3883" s="178" t="s">
        <v>458</v>
      </c>
      <c r="D3883" s="575" t="s">
        <v>2624</v>
      </c>
      <c r="E3883" s="178" t="s">
        <v>409</v>
      </c>
      <c r="F3883" s="210" t="s">
        <v>9960</v>
      </c>
      <c r="G3883" s="58" t="s">
        <v>8437</v>
      </c>
      <c r="H3883" s="546">
        <v>230248.73</v>
      </c>
      <c r="I3883" s="66" t="s">
        <v>96</v>
      </c>
      <c r="J3883" s="411" t="s">
        <v>8435</v>
      </c>
      <c r="K3883" s="58"/>
      <c r="L3883" s="99"/>
      <c r="M3883" s="70" t="s">
        <v>9752</v>
      </c>
      <c r="N3883" s="97" t="s">
        <v>414</v>
      </c>
      <c r="O3883" s="45" t="s">
        <v>147</v>
      </c>
      <c r="P3883" s="58" t="s">
        <v>22</v>
      </c>
      <c r="Q3883" s="58" t="s">
        <v>119</v>
      </c>
      <c r="R3883" s="58" t="s">
        <v>272</v>
      </c>
    </row>
    <row r="3884" spans="1:18" ht="69" customHeight="1">
      <c r="A3884" s="168"/>
      <c r="B3884" s="178">
        <v>9851</v>
      </c>
      <c r="C3884" s="178" t="s">
        <v>458</v>
      </c>
      <c r="D3884" s="575" t="s">
        <v>2861</v>
      </c>
      <c r="E3884" s="178" t="s">
        <v>409</v>
      </c>
      <c r="F3884" s="210" t="s">
        <v>9961</v>
      </c>
      <c r="G3884" s="58" t="s">
        <v>9962</v>
      </c>
      <c r="H3884" s="546">
        <v>75975.199999999997</v>
      </c>
      <c r="I3884" s="66">
        <v>45033</v>
      </c>
      <c r="J3884" s="411" t="s">
        <v>7196</v>
      </c>
      <c r="K3884" s="58"/>
      <c r="L3884" s="99"/>
      <c r="M3884" s="70" t="s">
        <v>9752</v>
      </c>
      <c r="N3884" s="97" t="s">
        <v>414</v>
      </c>
      <c r="O3884" s="45" t="s">
        <v>147</v>
      </c>
      <c r="P3884" s="58" t="s">
        <v>22</v>
      </c>
      <c r="Q3884" s="58" t="s">
        <v>119</v>
      </c>
      <c r="R3884" s="58" t="s">
        <v>272</v>
      </c>
    </row>
    <row r="3885" spans="1:18" ht="69" customHeight="1">
      <c r="A3885" s="168"/>
      <c r="B3885" s="178">
        <v>9852</v>
      </c>
      <c r="C3885" s="178" t="s">
        <v>458</v>
      </c>
      <c r="D3885" s="575" t="s">
        <v>3224</v>
      </c>
      <c r="E3885" s="178" t="s">
        <v>409</v>
      </c>
      <c r="F3885" s="210" t="s">
        <v>9963</v>
      </c>
      <c r="G3885" s="58" t="s">
        <v>9964</v>
      </c>
      <c r="H3885" s="546">
        <v>40909.72</v>
      </c>
      <c r="I3885" s="66">
        <v>45033</v>
      </c>
      <c r="J3885" s="411" t="s">
        <v>7196</v>
      </c>
      <c r="K3885" s="58"/>
      <c r="L3885" s="99"/>
      <c r="M3885" s="70" t="s">
        <v>9752</v>
      </c>
      <c r="N3885" s="97" t="s">
        <v>414</v>
      </c>
      <c r="O3885" s="45" t="s">
        <v>147</v>
      </c>
      <c r="P3885" s="58" t="s">
        <v>22</v>
      </c>
      <c r="Q3885" s="58" t="s">
        <v>119</v>
      </c>
      <c r="R3885" s="58" t="s">
        <v>272</v>
      </c>
    </row>
    <row r="3886" spans="1:18" ht="69" customHeight="1">
      <c r="A3886" s="168"/>
      <c r="B3886" s="178">
        <v>9814</v>
      </c>
      <c r="C3886" s="178" t="s">
        <v>458</v>
      </c>
      <c r="D3886" s="575" t="s">
        <v>1229</v>
      </c>
      <c r="E3886" s="178" t="s">
        <v>7890</v>
      </c>
      <c r="F3886" s="210" t="s">
        <v>9965</v>
      </c>
      <c r="G3886" s="58" t="s">
        <v>4115</v>
      </c>
      <c r="H3886" s="546">
        <v>19500</v>
      </c>
      <c r="I3886" s="66">
        <v>45041</v>
      </c>
      <c r="J3886" s="411" t="s">
        <v>9966</v>
      </c>
      <c r="K3886" s="58"/>
      <c r="L3886" s="99"/>
      <c r="M3886" s="70" t="s">
        <v>9784</v>
      </c>
      <c r="N3886" s="97" t="s">
        <v>414</v>
      </c>
      <c r="O3886" s="45" t="s">
        <v>147</v>
      </c>
      <c r="P3886" s="58" t="s">
        <v>22</v>
      </c>
      <c r="Q3886" s="58" t="s">
        <v>119</v>
      </c>
      <c r="R3886" s="58" t="s">
        <v>265</v>
      </c>
    </row>
    <row r="3887" spans="1:18" ht="69" customHeight="1">
      <c r="A3887" s="168"/>
      <c r="B3887" s="178">
        <v>9863</v>
      </c>
      <c r="C3887" s="178" t="s">
        <v>9967</v>
      </c>
      <c r="D3887" s="575" t="s">
        <v>2388</v>
      </c>
      <c r="E3887" s="178"/>
      <c r="F3887" s="210" t="s">
        <v>9968</v>
      </c>
      <c r="G3887" s="58" t="s">
        <v>9969</v>
      </c>
      <c r="H3887" s="546">
        <v>38000</v>
      </c>
      <c r="I3887" s="66">
        <v>45051</v>
      </c>
      <c r="J3887" s="411" t="s">
        <v>9970</v>
      </c>
      <c r="K3887" s="58"/>
      <c r="L3887" s="99"/>
      <c r="M3887" s="379"/>
      <c r="N3887" s="76"/>
      <c r="O3887" s="45" t="s">
        <v>9971</v>
      </c>
      <c r="P3887" s="58" t="s">
        <v>61</v>
      </c>
      <c r="Q3887" s="58" t="s">
        <v>119</v>
      </c>
      <c r="R3887" s="58" t="s">
        <v>272</v>
      </c>
    </row>
    <row r="3888" spans="1:18" ht="69" customHeight="1">
      <c r="A3888" s="168"/>
      <c r="B3888" s="178">
        <v>2347</v>
      </c>
      <c r="C3888" s="178" t="s">
        <v>309</v>
      </c>
      <c r="D3888" s="575" t="s">
        <v>7260</v>
      </c>
      <c r="E3888" s="178" t="s">
        <v>266</v>
      </c>
      <c r="F3888" s="210" t="s">
        <v>9972</v>
      </c>
      <c r="G3888" s="58"/>
      <c r="H3888" s="546">
        <v>7060</v>
      </c>
      <c r="I3888" s="66">
        <v>44524</v>
      </c>
      <c r="J3888" s="411" t="s">
        <v>9973</v>
      </c>
      <c r="K3888" s="58"/>
      <c r="L3888" s="99"/>
      <c r="M3888" s="70" t="s">
        <v>9974</v>
      </c>
      <c r="N3888" s="97" t="s">
        <v>270</v>
      </c>
      <c r="O3888" s="58"/>
      <c r="P3888" s="58" t="s">
        <v>44</v>
      </c>
      <c r="Q3888" s="58" t="s">
        <v>120</v>
      </c>
      <c r="R3888" s="58" t="s">
        <v>272</v>
      </c>
    </row>
    <row r="3889" spans="1:18" ht="69" customHeight="1">
      <c r="A3889" s="168"/>
      <c r="B3889" s="178" t="s">
        <v>9975</v>
      </c>
      <c r="C3889" s="178" t="s">
        <v>657</v>
      </c>
      <c r="D3889" s="575"/>
      <c r="E3889" s="178" t="s">
        <v>350</v>
      </c>
      <c r="F3889" s="210" t="s">
        <v>9976</v>
      </c>
      <c r="G3889" s="58" t="s">
        <v>7080</v>
      </c>
      <c r="H3889" s="546">
        <v>5362.8</v>
      </c>
      <c r="I3889" s="66" t="s">
        <v>96</v>
      </c>
      <c r="J3889" s="411" t="s">
        <v>7081</v>
      </c>
      <c r="K3889" s="58" t="s">
        <v>9977</v>
      </c>
      <c r="L3889" s="99"/>
      <c r="M3889" s="70" t="s">
        <v>9802</v>
      </c>
      <c r="N3889" s="97" t="s">
        <v>356</v>
      </c>
      <c r="O3889" s="58" t="s">
        <v>141</v>
      </c>
      <c r="P3889" s="58" t="s">
        <v>19</v>
      </c>
      <c r="Q3889" s="58" t="s">
        <v>120</v>
      </c>
      <c r="R3889" s="58" t="s">
        <v>265</v>
      </c>
    </row>
    <row r="3890" spans="1:18" ht="69" customHeight="1">
      <c r="A3890" s="168"/>
      <c r="B3890" s="178" t="s">
        <v>9978</v>
      </c>
      <c r="C3890" s="178" t="s">
        <v>657</v>
      </c>
      <c r="D3890" s="575"/>
      <c r="E3890" s="178" t="s">
        <v>260</v>
      </c>
      <c r="F3890" s="210" t="s">
        <v>9979</v>
      </c>
      <c r="G3890" s="58" t="s">
        <v>7080</v>
      </c>
      <c r="H3890" s="546">
        <v>1711</v>
      </c>
      <c r="I3890" s="66" t="s">
        <v>96</v>
      </c>
      <c r="J3890" s="411" t="s">
        <v>7081</v>
      </c>
      <c r="K3890" s="58" t="s">
        <v>9980</v>
      </c>
      <c r="L3890" s="99"/>
      <c r="M3890" s="70" t="s">
        <v>9090</v>
      </c>
      <c r="N3890" s="97" t="s">
        <v>264</v>
      </c>
      <c r="O3890" s="58" t="s">
        <v>141</v>
      </c>
      <c r="P3890" s="58" t="s">
        <v>17</v>
      </c>
      <c r="Q3890" s="58" t="s">
        <v>120</v>
      </c>
      <c r="R3890" s="58" t="s">
        <v>265</v>
      </c>
    </row>
    <row r="3891" spans="1:18" ht="69" customHeight="1">
      <c r="A3891" s="168"/>
      <c r="B3891" s="178" t="s">
        <v>9981</v>
      </c>
      <c r="C3891" s="178" t="s">
        <v>657</v>
      </c>
      <c r="D3891" s="575"/>
      <c r="E3891" s="178" t="s">
        <v>260</v>
      </c>
      <c r="F3891" s="210" t="s">
        <v>9982</v>
      </c>
      <c r="G3891" s="58" t="s">
        <v>7080</v>
      </c>
      <c r="H3891" s="546">
        <v>5086.4799999999996</v>
      </c>
      <c r="I3891" s="66" t="s">
        <v>96</v>
      </c>
      <c r="J3891" s="411" t="s">
        <v>7081</v>
      </c>
      <c r="K3891" s="58" t="s">
        <v>9980</v>
      </c>
      <c r="L3891" s="99"/>
      <c r="M3891" s="70" t="s">
        <v>9090</v>
      </c>
      <c r="N3891" s="97" t="s">
        <v>264</v>
      </c>
      <c r="O3891" s="58" t="s">
        <v>141</v>
      </c>
      <c r="P3891" s="58" t="s">
        <v>17</v>
      </c>
      <c r="Q3891" s="58" t="s">
        <v>120</v>
      </c>
      <c r="R3891" s="58" t="s">
        <v>265</v>
      </c>
    </row>
    <row r="3892" spans="1:18" ht="69" customHeight="1">
      <c r="A3892" s="168"/>
      <c r="B3892" s="178" t="s">
        <v>9983</v>
      </c>
      <c r="C3892" s="178" t="s">
        <v>657</v>
      </c>
      <c r="D3892" s="575"/>
      <c r="E3892" s="178" t="s">
        <v>260</v>
      </c>
      <c r="F3892" s="210" t="s">
        <v>9984</v>
      </c>
      <c r="G3892" s="58" t="s">
        <v>7080</v>
      </c>
      <c r="H3892" s="546">
        <v>22327.8</v>
      </c>
      <c r="I3892" s="66" t="s">
        <v>96</v>
      </c>
      <c r="J3892" s="411" t="s">
        <v>7081</v>
      </c>
      <c r="K3892" s="58" t="s">
        <v>9980</v>
      </c>
      <c r="L3892" s="99"/>
      <c r="M3892" s="70" t="s">
        <v>9090</v>
      </c>
      <c r="N3892" s="97" t="s">
        <v>264</v>
      </c>
      <c r="O3892" s="58" t="s">
        <v>141</v>
      </c>
      <c r="P3892" s="58" t="s">
        <v>17</v>
      </c>
      <c r="Q3892" s="58" t="s">
        <v>120</v>
      </c>
      <c r="R3892" s="58" t="s">
        <v>265</v>
      </c>
    </row>
    <row r="3893" spans="1:18" ht="69" customHeight="1">
      <c r="A3893" s="168"/>
      <c r="B3893" s="178" t="s">
        <v>9985</v>
      </c>
      <c r="C3893" s="178" t="s">
        <v>657</v>
      </c>
      <c r="D3893" s="575"/>
      <c r="E3893" s="178" t="s">
        <v>260</v>
      </c>
      <c r="F3893" s="210" t="s">
        <v>9986</v>
      </c>
      <c r="G3893" s="58" t="s">
        <v>7080</v>
      </c>
      <c r="H3893" s="546">
        <v>5403.15</v>
      </c>
      <c r="I3893" s="66" t="s">
        <v>96</v>
      </c>
      <c r="J3893" s="411" t="s">
        <v>7081</v>
      </c>
      <c r="K3893" s="58" t="s">
        <v>9980</v>
      </c>
      <c r="L3893" s="99"/>
      <c r="M3893" s="70" t="s">
        <v>9090</v>
      </c>
      <c r="N3893" s="97" t="s">
        <v>264</v>
      </c>
      <c r="O3893" s="58" t="s">
        <v>141</v>
      </c>
      <c r="P3893" s="58" t="s">
        <v>17</v>
      </c>
      <c r="Q3893" s="58" t="s">
        <v>120</v>
      </c>
      <c r="R3893" s="58" t="s">
        <v>265</v>
      </c>
    </row>
    <row r="3894" spans="1:18" ht="69" customHeight="1">
      <c r="A3894" s="168"/>
      <c r="B3894" s="178" t="s">
        <v>9987</v>
      </c>
      <c r="C3894" s="178" t="s">
        <v>657</v>
      </c>
      <c r="D3894" s="575"/>
      <c r="E3894" s="178" t="s">
        <v>260</v>
      </c>
      <c r="F3894" s="210" t="s">
        <v>9988</v>
      </c>
      <c r="G3894" s="58" t="s">
        <v>7080</v>
      </c>
      <c r="H3894" s="546">
        <v>1200</v>
      </c>
      <c r="I3894" s="66" t="s">
        <v>96</v>
      </c>
      <c r="J3894" s="411" t="s">
        <v>7081</v>
      </c>
      <c r="K3894" s="58" t="s">
        <v>9980</v>
      </c>
      <c r="L3894" s="99"/>
      <c r="M3894" s="70" t="s">
        <v>9090</v>
      </c>
      <c r="N3894" s="97" t="s">
        <v>264</v>
      </c>
      <c r="O3894" s="58" t="s">
        <v>141</v>
      </c>
      <c r="P3894" s="58" t="s">
        <v>17</v>
      </c>
      <c r="Q3894" s="58" t="s">
        <v>120</v>
      </c>
      <c r="R3894" s="58" t="s">
        <v>265</v>
      </c>
    </row>
    <row r="3895" spans="1:18" ht="69" customHeight="1">
      <c r="A3895" s="168"/>
      <c r="B3895" s="178" t="s">
        <v>9989</v>
      </c>
      <c r="C3895" s="178" t="s">
        <v>657</v>
      </c>
      <c r="D3895" s="575"/>
      <c r="E3895" s="178" t="s">
        <v>260</v>
      </c>
      <c r="F3895" s="210" t="s">
        <v>9990</v>
      </c>
      <c r="G3895" s="58" t="s">
        <v>7080</v>
      </c>
      <c r="H3895" s="546">
        <v>1039.77</v>
      </c>
      <c r="I3895" s="66" t="s">
        <v>96</v>
      </c>
      <c r="J3895" s="411" t="s">
        <v>7081</v>
      </c>
      <c r="K3895" s="58" t="s">
        <v>9980</v>
      </c>
      <c r="L3895" s="99"/>
      <c r="M3895" s="70" t="s">
        <v>9090</v>
      </c>
      <c r="N3895" s="97" t="s">
        <v>264</v>
      </c>
      <c r="O3895" s="58" t="s">
        <v>141</v>
      </c>
      <c r="P3895" s="58" t="s">
        <v>17</v>
      </c>
      <c r="Q3895" s="58" t="s">
        <v>120</v>
      </c>
      <c r="R3895" s="58" t="s">
        <v>265</v>
      </c>
    </row>
    <row r="3896" spans="1:18" ht="69" customHeight="1">
      <c r="A3896" s="168"/>
      <c r="B3896" s="178" t="s">
        <v>9991</v>
      </c>
      <c r="C3896" s="178" t="s">
        <v>657</v>
      </c>
      <c r="D3896" s="575"/>
      <c r="E3896" s="178" t="s">
        <v>260</v>
      </c>
      <c r="F3896" s="210" t="s">
        <v>9992</v>
      </c>
      <c r="G3896" s="58" t="s">
        <v>7080</v>
      </c>
      <c r="H3896" s="546">
        <v>1470</v>
      </c>
      <c r="I3896" s="66" t="s">
        <v>96</v>
      </c>
      <c r="J3896" s="411" t="s">
        <v>7081</v>
      </c>
      <c r="K3896" s="58" t="s">
        <v>9980</v>
      </c>
      <c r="L3896" s="99"/>
      <c r="M3896" s="70" t="s">
        <v>9090</v>
      </c>
      <c r="N3896" s="97" t="s">
        <v>264</v>
      </c>
      <c r="O3896" s="58" t="s">
        <v>141</v>
      </c>
      <c r="P3896" s="58" t="s">
        <v>17</v>
      </c>
      <c r="Q3896" s="58" t="s">
        <v>120</v>
      </c>
      <c r="R3896" s="58" t="s">
        <v>265</v>
      </c>
    </row>
    <row r="3897" spans="1:18" ht="69" customHeight="1">
      <c r="A3897" s="168"/>
      <c r="B3897" s="178" t="s">
        <v>9993</v>
      </c>
      <c r="C3897" s="178" t="s">
        <v>657</v>
      </c>
      <c r="D3897" s="575"/>
      <c r="E3897" s="178" t="s">
        <v>260</v>
      </c>
      <c r="F3897" s="210" t="s">
        <v>9994</v>
      </c>
      <c r="G3897" s="58" t="s">
        <v>7080</v>
      </c>
      <c r="H3897" s="546">
        <v>118.54</v>
      </c>
      <c r="I3897" s="66" t="s">
        <v>96</v>
      </c>
      <c r="J3897" s="411" t="s">
        <v>7081</v>
      </c>
      <c r="K3897" s="58" t="s">
        <v>9980</v>
      </c>
      <c r="L3897" s="99"/>
      <c r="M3897" s="70" t="s">
        <v>9090</v>
      </c>
      <c r="N3897" s="97" t="s">
        <v>264</v>
      </c>
      <c r="O3897" s="58" t="s">
        <v>141</v>
      </c>
      <c r="P3897" s="58" t="s">
        <v>17</v>
      </c>
      <c r="Q3897" s="58" t="s">
        <v>120</v>
      </c>
      <c r="R3897" s="58" t="s">
        <v>265</v>
      </c>
    </row>
    <row r="3898" spans="1:18" ht="69" customHeight="1">
      <c r="A3898" s="168"/>
      <c r="B3898" s="178" t="s">
        <v>9995</v>
      </c>
      <c r="C3898" s="178" t="s">
        <v>657</v>
      </c>
      <c r="D3898" s="575"/>
      <c r="E3898" s="178" t="s">
        <v>260</v>
      </c>
      <c r="F3898" s="210" t="s">
        <v>9996</v>
      </c>
      <c r="G3898" s="58" t="s">
        <v>7080</v>
      </c>
      <c r="H3898" s="546">
        <v>5706.96</v>
      </c>
      <c r="I3898" s="66" t="s">
        <v>96</v>
      </c>
      <c r="J3898" s="411" t="s">
        <v>7081</v>
      </c>
      <c r="K3898" s="58" t="s">
        <v>9980</v>
      </c>
      <c r="L3898" s="99"/>
      <c r="M3898" s="70" t="s">
        <v>9090</v>
      </c>
      <c r="N3898" s="97" t="s">
        <v>264</v>
      </c>
      <c r="O3898" s="58" t="s">
        <v>141</v>
      </c>
      <c r="P3898" s="58" t="s">
        <v>17</v>
      </c>
      <c r="Q3898" s="58" t="s">
        <v>120</v>
      </c>
      <c r="R3898" s="58" t="s">
        <v>265</v>
      </c>
    </row>
    <row r="3899" spans="1:18" ht="69" customHeight="1">
      <c r="A3899" s="168"/>
      <c r="B3899" s="178"/>
      <c r="C3899" s="178" t="s">
        <v>657</v>
      </c>
      <c r="D3899" s="575"/>
      <c r="E3899" s="178" t="s">
        <v>260</v>
      </c>
      <c r="F3899" s="210" t="s">
        <v>9997</v>
      </c>
      <c r="G3899" s="58" t="s">
        <v>9998</v>
      </c>
      <c r="H3899" s="546">
        <v>400</v>
      </c>
      <c r="I3899" s="66" t="s">
        <v>96</v>
      </c>
      <c r="J3899" s="411"/>
      <c r="K3899" s="58" t="s">
        <v>9999</v>
      </c>
      <c r="L3899" s="99"/>
      <c r="M3899" s="70" t="s">
        <v>9090</v>
      </c>
      <c r="N3899" s="97" t="s">
        <v>264</v>
      </c>
      <c r="O3899" s="58" t="s">
        <v>141</v>
      </c>
      <c r="P3899" s="58" t="s">
        <v>17</v>
      </c>
      <c r="Q3899" s="58" t="s">
        <v>120</v>
      </c>
      <c r="R3899" s="58" t="s">
        <v>265</v>
      </c>
    </row>
    <row r="3900" spans="1:18" ht="69" customHeight="1">
      <c r="A3900" s="168"/>
      <c r="B3900" s="191">
        <v>3011</v>
      </c>
      <c r="C3900" s="191" t="s">
        <v>657</v>
      </c>
      <c r="D3900" s="533" t="s">
        <v>2473</v>
      </c>
      <c r="E3900" s="191" t="s">
        <v>331</v>
      </c>
      <c r="F3900" s="211" t="s">
        <v>10000</v>
      </c>
      <c r="G3900" s="46" t="s">
        <v>4416</v>
      </c>
      <c r="H3900" s="534">
        <v>0</v>
      </c>
      <c r="I3900" s="56" t="s">
        <v>96</v>
      </c>
      <c r="J3900" s="412" t="s">
        <v>334</v>
      </c>
      <c r="K3900" s="46"/>
      <c r="L3900" s="99"/>
      <c r="M3900" s="379"/>
      <c r="N3900" s="76" t="s">
        <v>69</v>
      </c>
      <c r="O3900" s="46"/>
      <c r="P3900" s="46" t="s">
        <v>69</v>
      </c>
      <c r="Q3900" s="46" t="s">
        <v>120</v>
      </c>
      <c r="R3900" s="46" t="s">
        <v>272</v>
      </c>
    </row>
    <row r="3901" spans="1:18" ht="69" customHeight="1">
      <c r="A3901" s="168"/>
      <c r="B3901" s="178">
        <v>4131</v>
      </c>
      <c r="C3901" s="178" t="s">
        <v>657</v>
      </c>
      <c r="D3901" s="575" t="s">
        <v>1970</v>
      </c>
      <c r="E3901" s="178" t="s">
        <v>266</v>
      </c>
      <c r="F3901" s="210" t="s">
        <v>10001</v>
      </c>
      <c r="G3901" s="58" t="s">
        <v>1107</v>
      </c>
      <c r="H3901" s="546">
        <v>7293.34</v>
      </c>
      <c r="I3901" s="66">
        <v>44643</v>
      </c>
      <c r="J3901" s="411" t="s">
        <v>10002</v>
      </c>
      <c r="K3901" s="58"/>
      <c r="L3901" s="99"/>
      <c r="M3901" s="70" t="s">
        <v>10003</v>
      </c>
      <c r="N3901" s="97" t="s">
        <v>970</v>
      </c>
      <c r="O3901" s="58" t="s">
        <v>9540</v>
      </c>
      <c r="P3901" s="58" t="s">
        <v>38</v>
      </c>
      <c r="Q3901" s="58" t="s">
        <v>120</v>
      </c>
      <c r="R3901" s="58" t="s">
        <v>272</v>
      </c>
    </row>
    <row r="3902" spans="1:18" ht="69" customHeight="1">
      <c r="A3902" s="168"/>
      <c r="B3902" s="178">
        <v>4709</v>
      </c>
      <c r="C3902" s="178" t="s">
        <v>657</v>
      </c>
      <c r="D3902" s="575" t="s">
        <v>300</v>
      </c>
      <c r="E3902" s="178" t="s">
        <v>331</v>
      </c>
      <c r="F3902" s="210" t="s">
        <v>10004</v>
      </c>
      <c r="G3902" s="58"/>
      <c r="H3902" s="546">
        <v>3389.12</v>
      </c>
      <c r="I3902" s="66">
        <v>44678</v>
      </c>
      <c r="J3902" s="411" t="s">
        <v>10005</v>
      </c>
      <c r="K3902" s="58"/>
      <c r="L3902" s="99"/>
      <c r="M3902" s="70" t="s">
        <v>9974</v>
      </c>
      <c r="N3902" s="97" t="s">
        <v>270</v>
      </c>
      <c r="O3902" s="58"/>
      <c r="P3902" s="58" t="s">
        <v>44</v>
      </c>
      <c r="Q3902" s="58" t="s">
        <v>120</v>
      </c>
      <c r="R3902" s="58" t="s">
        <v>272</v>
      </c>
    </row>
    <row r="3903" spans="1:18" ht="69" customHeight="1">
      <c r="A3903" s="168"/>
      <c r="B3903" s="178">
        <v>4105</v>
      </c>
      <c r="C3903" s="178" t="s">
        <v>657</v>
      </c>
      <c r="D3903" s="575" t="s">
        <v>481</v>
      </c>
      <c r="E3903" s="178" t="s">
        <v>266</v>
      </c>
      <c r="F3903" s="210" t="s">
        <v>10006</v>
      </c>
      <c r="G3903" s="58" t="s">
        <v>3674</v>
      </c>
      <c r="H3903" s="546">
        <v>6190</v>
      </c>
      <c r="I3903" s="66">
        <v>44676</v>
      </c>
      <c r="J3903" s="411" t="s">
        <v>10007</v>
      </c>
      <c r="K3903" s="58"/>
      <c r="L3903" s="99"/>
      <c r="M3903" s="70" t="s">
        <v>9974</v>
      </c>
      <c r="N3903" s="97" t="s">
        <v>270</v>
      </c>
      <c r="O3903" s="58"/>
      <c r="P3903" s="58" t="s">
        <v>44</v>
      </c>
      <c r="Q3903" s="58" t="s">
        <v>120</v>
      </c>
      <c r="R3903" s="58" t="s">
        <v>272</v>
      </c>
    </row>
    <row r="3904" spans="1:18" ht="69" customHeight="1">
      <c r="A3904" s="168"/>
      <c r="B3904" s="178">
        <v>4709</v>
      </c>
      <c r="C3904" s="178" t="s">
        <v>657</v>
      </c>
      <c r="D3904" s="575" t="s">
        <v>5563</v>
      </c>
      <c r="E3904" s="178" t="s">
        <v>331</v>
      </c>
      <c r="F3904" s="210" t="s">
        <v>10008</v>
      </c>
      <c r="G3904" s="58" t="s">
        <v>372</v>
      </c>
      <c r="H3904" s="546">
        <v>30502.09</v>
      </c>
      <c r="I3904" s="66">
        <v>44701</v>
      </c>
      <c r="J3904" s="411" t="s">
        <v>10009</v>
      </c>
      <c r="K3904" s="58"/>
      <c r="L3904" s="99"/>
      <c r="M3904" s="70" t="s">
        <v>9974</v>
      </c>
      <c r="N3904" s="97" t="s">
        <v>270</v>
      </c>
      <c r="O3904" s="58"/>
      <c r="P3904" s="58" t="s">
        <v>44</v>
      </c>
      <c r="Q3904" s="58" t="s">
        <v>120</v>
      </c>
      <c r="R3904" s="58" t="s">
        <v>272</v>
      </c>
    </row>
    <row r="3905" spans="1:18" ht="69" customHeight="1">
      <c r="A3905" s="168"/>
      <c r="B3905" s="178">
        <v>4322</v>
      </c>
      <c r="C3905" s="178" t="s">
        <v>657</v>
      </c>
      <c r="D3905" s="575" t="s">
        <v>645</v>
      </c>
      <c r="E3905" s="178" t="s">
        <v>358</v>
      </c>
      <c r="F3905" s="210" t="s">
        <v>10010</v>
      </c>
      <c r="G3905" s="58" t="s">
        <v>8761</v>
      </c>
      <c r="H3905" s="546">
        <v>279189.21000000002</v>
      </c>
      <c r="I3905" s="66">
        <v>44706</v>
      </c>
      <c r="J3905" s="411" t="s">
        <v>10011</v>
      </c>
      <c r="K3905" s="58" t="s">
        <v>9977</v>
      </c>
      <c r="L3905" s="99"/>
      <c r="M3905" s="70" t="s">
        <v>10012</v>
      </c>
      <c r="N3905" s="97" t="s">
        <v>356</v>
      </c>
      <c r="O3905" s="58" t="s">
        <v>141</v>
      </c>
      <c r="P3905" s="58" t="s">
        <v>19</v>
      </c>
      <c r="Q3905" s="58" t="s">
        <v>120</v>
      </c>
      <c r="R3905" s="58" t="s">
        <v>272</v>
      </c>
    </row>
    <row r="3906" spans="1:18" ht="69" customHeight="1">
      <c r="A3906" s="168"/>
      <c r="B3906" s="178">
        <v>4131</v>
      </c>
      <c r="C3906" s="178" t="s">
        <v>657</v>
      </c>
      <c r="D3906" s="575" t="s">
        <v>588</v>
      </c>
      <c r="E3906" s="178" t="s">
        <v>266</v>
      </c>
      <c r="F3906" s="210" t="s">
        <v>10013</v>
      </c>
      <c r="G3906" s="58" t="s">
        <v>1107</v>
      </c>
      <c r="H3906" s="546">
        <v>7293.34</v>
      </c>
      <c r="I3906" s="66">
        <v>44725</v>
      </c>
      <c r="J3906" s="411" t="s">
        <v>10014</v>
      </c>
      <c r="K3906" s="58"/>
      <c r="L3906" s="99"/>
      <c r="M3906" s="70" t="s">
        <v>10003</v>
      </c>
      <c r="N3906" s="97" t="s">
        <v>970</v>
      </c>
      <c r="O3906" s="58" t="s">
        <v>9540</v>
      </c>
      <c r="P3906" s="58" t="s">
        <v>38</v>
      </c>
      <c r="Q3906" s="58" t="s">
        <v>120</v>
      </c>
      <c r="R3906" s="58" t="s">
        <v>272</v>
      </c>
    </row>
    <row r="3907" spans="1:18" ht="69" customHeight="1">
      <c r="A3907" s="168"/>
      <c r="B3907" s="178">
        <v>5014</v>
      </c>
      <c r="C3907" s="178" t="s">
        <v>657</v>
      </c>
      <c r="D3907" s="575" t="s">
        <v>2940</v>
      </c>
      <c r="E3907" s="178" t="s">
        <v>266</v>
      </c>
      <c r="F3907" s="210" t="s">
        <v>10015</v>
      </c>
      <c r="G3907" s="58" t="s">
        <v>1753</v>
      </c>
      <c r="H3907" s="546">
        <v>5390</v>
      </c>
      <c r="I3907" s="66">
        <v>44727</v>
      </c>
      <c r="J3907" s="411" t="s">
        <v>10016</v>
      </c>
      <c r="K3907" s="58"/>
      <c r="L3907" s="99"/>
      <c r="M3907" s="70" t="s">
        <v>9974</v>
      </c>
      <c r="N3907" s="97" t="s">
        <v>270</v>
      </c>
      <c r="O3907" s="58"/>
      <c r="P3907" s="58" t="s">
        <v>44</v>
      </c>
      <c r="Q3907" s="58" t="s">
        <v>120</v>
      </c>
      <c r="R3907" s="58" t="s">
        <v>272</v>
      </c>
    </row>
    <row r="3908" spans="1:18" ht="69" customHeight="1">
      <c r="A3908" s="168"/>
      <c r="B3908" s="178">
        <v>5015</v>
      </c>
      <c r="C3908" s="178" t="s">
        <v>657</v>
      </c>
      <c r="D3908" s="575" t="s">
        <v>5903</v>
      </c>
      <c r="E3908" s="178" t="s">
        <v>382</v>
      </c>
      <c r="F3908" s="210" t="s">
        <v>10017</v>
      </c>
      <c r="G3908" s="58" t="s">
        <v>384</v>
      </c>
      <c r="H3908" s="546">
        <v>27761.33</v>
      </c>
      <c r="I3908" s="66">
        <v>44736</v>
      </c>
      <c r="J3908" s="411" t="s">
        <v>10018</v>
      </c>
      <c r="K3908" s="58"/>
      <c r="L3908" s="99"/>
      <c r="M3908" s="70" t="s">
        <v>10019</v>
      </c>
      <c r="N3908" s="97" t="s">
        <v>387</v>
      </c>
      <c r="O3908" s="45" t="s">
        <v>150</v>
      </c>
      <c r="P3908" s="58" t="s">
        <v>51</v>
      </c>
      <c r="Q3908" s="58" t="s">
        <v>120</v>
      </c>
      <c r="R3908" s="58" t="s">
        <v>272</v>
      </c>
    </row>
    <row r="3909" spans="1:18" ht="69" customHeight="1">
      <c r="A3909" s="168"/>
      <c r="B3909" s="178">
        <v>5016</v>
      </c>
      <c r="C3909" s="178" t="s">
        <v>657</v>
      </c>
      <c r="D3909" s="575" t="s">
        <v>2921</v>
      </c>
      <c r="E3909" s="178" t="s">
        <v>382</v>
      </c>
      <c r="F3909" s="210" t="s">
        <v>10017</v>
      </c>
      <c r="G3909" s="58" t="s">
        <v>384</v>
      </c>
      <c r="H3909" s="546">
        <v>39819.519999999997</v>
      </c>
      <c r="I3909" s="66">
        <v>44736</v>
      </c>
      <c r="J3909" s="411" t="s">
        <v>10020</v>
      </c>
      <c r="K3909" s="58"/>
      <c r="L3909" s="99"/>
      <c r="M3909" s="70" t="s">
        <v>10019</v>
      </c>
      <c r="N3909" s="97" t="s">
        <v>387</v>
      </c>
      <c r="O3909" s="45" t="s">
        <v>150</v>
      </c>
      <c r="P3909" s="58" t="s">
        <v>51</v>
      </c>
      <c r="Q3909" s="58" t="s">
        <v>120</v>
      </c>
      <c r="R3909" s="58" t="s">
        <v>272</v>
      </c>
    </row>
    <row r="3910" spans="1:18" ht="69" customHeight="1">
      <c r="A3910" s="168"/>
      <c r="B3910" s="178">
        <v>5140</v>
      </c>
      <c r="C3910" s="178" t="s">
        <v>657</v>
      </c>
      <c r="D3910" s="575" t="s">
        <v>9696</v>
      </c>
      <c r="E3910" s="178" t="s">
        <v>266</v>
      </c>
      <c r="F3910" s="210" t="s">
        <v>10021</v>
      </c>
      <c r="G3910" s="58" t="s">
        <v>10022</v>
      </c>
      <c r="H3910" s="546">
        <v>4932</v>
      </c>
      <c r="I3910" s="66">
        <v>44746</v>
      </c>
      <c r="J3910" s="411" t="s">
        <v>10023</v>
      </c>
      <c r="K3910" s="58"/>
      <c r="L3910" s="99"/>
      <c r="M3910" s="70" t="s">
        <v>9974</v>
      </c>
      <c r="N3910" s="97" t="s">
        <v>270</v>
      </c>
      <c r="O3910" s="58"/>
      <c r="P3910" s="58" t="s">
        <v>44</v>
      </c>
      <c r="Q3910" s="58" t="s">
        <v>120</v>
      </c>
      <c r="R3910" s="58" t="s">
        <v>272</v>
      </c>
    </row>
    <row r="3911" spans="1:18" ht="69" customHeight="1">
      <c r="A3911" s="168"/>
      <c r="B3911" s="178">
        <v>6274</v>
      </c>
      <c r="C3911" s="178" t="s">
        <v>657</v>
      </c>
      <c r="D3911" s="575" t="s">
        <v>1996</v>
      </c>
      <c r="E3911" s="178" t="s">
        <v>350</v>
      </c>
      <c r="F3911" s="210" t="s">
        <v>10024</v>
      </c>
      <c r="G3911" s="58" t="s">
        <v>352</v>
      </c>
      <c r="H3911" s="546">
        <v>32315</v>
      </c>
      <c r="I3911" s="66">
        <v>44751</v>
      </c>
      <c r="J3911" s="411" t="s">
        <v>10025</v>
      </c>
      <c r="K3911" s="58" t="s">
        <v>9977</v>
      </c>
      <c r="L3911" s="99"/>
      <c r="M3911" s="70" t="s">
        <v>9802</v>
      </c>
      <c r="N3911" s="97" t="s">
        <v>356</v>
      </c>
      <c r="O3911" s="58" t="s">
        <v>141</v>
      </c>
      <c r="P3911" s="58" t="s">
        <v>19</v>
      </c>
      <c r="Q3911" s="58" t="s">
        <v>120</v>
      </c>
      <c r="R3911" s="58" t="s">
        <v>265</v>
      </c>
    </row>
    <row r="3912" spans="1:18" ht="69" customHeight="1">
      <c r="A3912" s="168"/>
      <c r="B3912" s="178">
        <v>6286</v>
      </c>
      <c r="C3912" s="178" t="s">
        <v>657</v>
      </c>
      <c r="D3912" s="575" t="s">
        <v>2006</v>
      </c>
      <c r="E3912" s="178" t="s">
        <v>350</v>
      </c>
      <c r="F3912" s="210" t="s">
        <v>10026</v>
      </c>
      <c r="G3912" s="58" t="s">
        <v>352</v>
      </c>
      <c r="H3912" s="546">
        <v>314908.25</v>
      </c>
      <c r="I3912" s="66">
        <v>44742</v>
      </c>
      <c r="J3912" s="411" t="s">
        <v>10027</v>
      </c>
      <c r="K3912" s="58" t="s">
        <v>9977</v>
      </c>
      <c r="L3912" s="99"/>
      <c r="M3912" s="70" t="s">
        <v>9802</v>
      </c>
      <c r="N3912" s="97" t="s">
        <v>356</v>
      </c>
      <c r="O3912" s="58" t="s">
        <v>141</v>
      </c>
      <c r="P3912" s="58" t="s">
        <v>19</v>
      </c>
      <c r="Q3912" s="58" t="s">
        <v>120</v>
      </c>
      <c r="R3912" s="58" t="s">
        <v>265</v>
      </c>
    </row>
    <row r="3913" spans="1:18" ht="69" customHeight="1">
      <c r="A3913" s="168"/>
      <c r="B3913" s="600">
        <v>5357</v>
      </c>
      <c r="C3913" s="600" t="s">
        <v>657</v>
      </c>
      <c r="D3913" s="601" t="s">
        <v>6839</v>
      </c>
      <c r="E3913" s="600" t="s">
        <v>10028</v>
      </c>
      <c r="F3913" s="602" t="s">
        <v>10029</v>
      </c>
      <c r="G3913" s="460" t="s">
        <v>7135</v>
      </c>
      <c r="H3913" s="546">
        <v>403650</v>
      </c>
      <c r="I3913" s="461">
        <v>44760</v>
      </c>
      <c r="J3913" s="603" t="s">
        <v>10030</v>
      </c>
      <c r="K3913" s="460" t="s">
        <v>705</v>
      </c>
      <c r="L3913" s="99"/>
      <c r="M3913" s="70" t="s">
        <v>10031</v>
      </c>
      <c r="N3913" s="97" t="s">
        <v>414</v>
      </c>
      <c r="O3913" s="58"/>
      <c r="P3913" s="58" t="s">
        <v>22</v>
      </c>
      <c r="Q3913" s="58" t="s">
        <v>120</v>
      </c>
      <c r="R3913" s="58" t="s">
        <v>272</v>
      </c>
    </row>
    <row r="3914" spans="1:18" ht="69" customHeight="1">
      <c r="A3914" s="168"/>
      <c r="B3914" s="178">
        <v>6007</v>
      </c>
      <c r="C3914" s="178" t="s">
        <v>657</v>
      </c>
      <c r="D3914" s="575" t="s">
        <v>4426</v>
      </c>
      <c r="E3914" s="178" t="s">
        <v>350</v>
      </c>
      <c r="F3914" s="210" t="s">
        <v>10032</v>
      </c>
      <c r="G3914" s="58" t="s">
        <v>352</v>
      </c>
      <c r="H3914" s="546">
        <v>9890.48</v>
      </c>
      <c r="I3914" s="66">
        <v>44768</v>
      </c>
      <c r="J3914" s="411" t="s">
        <v>10033</v>
      </c>
      <c r="K3914" s="58" t="s">
        <v>10034</v>
      </c>
      <c r="L3914" s="99"/>
      <c r="M3914" s="70" t="s">
        <v>9802</v>
      </c>
      <c r="N3914" s="97" t="s">
        <v>356</v>
      </c>
      <c r="O3914" s="58" t="s">
        <v>141</v>
      </c>
      <c r="P3914" s="58" t="s">
        <v>19</v>
      </c>
      <c r="Q3914" s="58" t="s">
        <v>120</v>
      </c>
      <c r="R3914" s="58" t="s">
        <v>265</v>
      </c>
    </row>
    <row r="3915" spans="1:18" ht="69" customHeight="1">
      <c r="A3915" s="168"/>
      <c r="B3915" s="178">
        <v>6050</v>
      </c>
      <c r="C3915" s="178" t="s">
        <v>657</v>
      </c>
      <c r="D3915" s="575" t="s">
        <v>1509</v>
      </c>
      <c r="E3915" s="178" t="s">
        <v>266</v>
      </c>
      <c r="F3915" s="210" t="s">
        <v>10035</v>
      </c>
      <c r="G3915" s="58" t="s">
        <v>1107</v>
      </c>
      <c r="H3915" s="546">
        <v>7293.34</v>
      </c>
      <c r="I3915" s="66" t="s">
        <v>96</v>
      </c>
      <c r="J3915" s="411" t="s">
        <v>10036</v>
      </c>
      <c r="K3915" s="58"/>
      <c r="L3915" s="99"/>
      <c r="M3915" s="70" t="s">
        <v>10003</v>
      </c>
      <c r="N3915" s="97" t="s">
        <v>970</v>
      </c>
      <c r="O3915" s="58" t="s">
        <v>9540</v>
      </c>
      <c r="P3915" s="58" t="s">
        <v>38</v>
      </c>
      <c r="Q3915" s="58" t="s">
        <v>120</v>
      </c>
      <c r="R3915" s="58" t="s">
        <v>272</v>
      </c>
    </row>
    <row r="3916" spans="1:18" ht="69" customHeight="1">
      <c r="A3916" s="168"/>
      <c r="B3916" s="178">
        <v>6067</v>
      </c>
      <c r="C3916" s="178" t="s">
        <v>657</v>
      </c>
      <c r="D3916" s="575" t="s">
        <v>349</v>
      </c>
      <c r="E3916" s="178" t="s">
        <v>266</v>
      </c>
      <c r="F3916" s="210" t="s">
        <v>10037</v>
      </c>
      <c r="G3916" s="58" t="s">
        <v>680</v>
      </c>
      <c r="H3916" s="546">
        <v>6206.9</v>
      </c>
      <c r="I3916" s="66" t="s">
        <v>96</v>
      </c>
      <c r="J3916" s="411" t="s">
        <v>10038</v>
      </c>
      <c r="K3916" s="58"/>
      <c r="L3916" s="99"/>
      <c r="M3916" s="70" t="s">
        <v>10039</v>
      </c>
      <c r="N3916" s="97" t="s">
        <v>683</v>
      </c>
      <c r="O3916" s="58" t="s">
        <v>149</v>
      </c>
      <c r="P3916" s="58" t="s">
        <v>46</v>
      </c>
      <c r="Q3916" s="58" t="s">
        <v>120</v>
      </c>
      <c r="R3916" s="58" t="s">
        <v>272</v>
      </c>
    </row>
    <row r="3917" spans="1:18" ht="69" customHeight="1">
      <c r="A3917" s="168"/>
      <c r="B3917" s="178">
        <v>6096</v>
      </c>
      <c r="C3917" s="178" t="s">
        <v>657</v>
      </c>
      <c r="D3917" s="575" t="s">
        <v>2014</v>
      </c>
      <c r="E3917" s="178" t="s">
        <v>358</v>
      </c>
      <c r="F3917" s="210" t="s">
        <v>10040</v>
      </c>
      <c r="G3917" s="58" t="s">
        <v>529</v>
      </c>
      <c r="H3917" s="546">
        <v>250000</v>
      </c>
      <c r="I3917" s="66">
        <v>44769</v>
      </c>
      <c r="J3917" s="411" t="s">
        <v>10041</v>
      </c>
      <c r="K3917" s="58" t="s">
        <v>9977</v>
      </c>
      <c r="L3917" s="99"/>
      <c r="M3917" s="70" t="s">
        <v>10012</v>
      </c>
      <c r="N3917" s="97" t="s">
        <v>356</v>
      </c>
      <c r="O3917" s="58" t="s">
        <v>141</v>
      </c>
      <c r="P3917" s="58" t="s">
        <v>19</v>
      </c>
      <c r="Q3917" s="58" t="s">
        <v>120</v>
      </c>
      <c r="R3917" s="58" t="s">
        <v>272</v>
      </c>
    </row>
    <row r="3918" spans="1:18" ht="69" customHeight="1">
      <c r="A3918" s="168"/>
      <c r="B3918" s="178">
        <v>6144</v>
      </c>
      <c r="C3918" s="178" t="s">
        <v>657</v>
      </c>
      <c r="D3918" s="575" t="s">
        <v>665</v>
      </c>
      <c r="E3918" s="178" t="s">
        <v>350</v>
      </c>
      <c r="F3918" s="210" t="s">
        <v>10042</v>
      </c>
      <c r="G3918" s="58" t="s">
        <v>352</v>
      </c>
      <c r="H3918" s="546">
        <v>50000</v>
      </c>
      <c r="I3918" s="66">
        <v>44686</v>
      </c>
      <c r="J3918" s="411" t="s">
        <v>9749</v>
      </c>
      <c r="K3918" s="58" t="s">
        <v>752</v>
      </c>
      <c r="L3918" s="99"/>
      <c r="M3918" s="70" t="s">
        <v>9802</v>
      </c>
      <c r="N3918" s="97" t="s">
        <v>356</v>
      </c>
      <c r="O3918" s="58" t="s">
        <v>141</v>
      </c>
      <c r="P3918" s="58" t="s">
        <v>19</v>
      </c>
      <c r="Q3918" s="58" t="s">
        <v>120</v>
      </c>
      <c r="R3918" s="58" t="s">
        <v>265</v>
      </c>
    </row>
    <row r="3919" spans="1:18" ht="69" customHeight="1">
      <c r="A3919" s="168"/>
      <c r="B3919" s="178">
        <v>6138</v>
      </c>
      <c r="C3919" s="178" t="s">
        <v>657</v>
      </c>
      <c r="D3919" s="575" t="s">
        <v>3477</v>
      </c>
      <c r="E3919" s="178" t="s">
        <v>350</v>
      </c>
      <c r="F3919" s="210" t="s">
        <v>10043</v>
      </c>
      <c r="G3919" s="58" t="s">
        <v>352</v>
      </c>
      <c r="H3919" s="546">
        <v>2217.6</v>
      </c>
      <c r="I3919" s="66">
        <v>44784</v>
      </c>
      <c r="J3919" s="411" t="s">
        <v>10044</v>
      </c>
      <c r="K3919" s="58" t="s">
        <v>735</v>
      </c>
      <c r="L3919" s="99"/>
      <c r="M3919" s="70" t="s">
        <v>9802</v>
      </c>
      <c r="N3919" s="97" t="s">
        <v>356</v>
      </c>
      <c r="O3919" s="58" t="s">
        <v>141</v>
      </c>
      <c r="P3919" s="58" t="s">
        <v>19</v>
      </c>
      <c r="Q3919" s="58" t="s">
        <v>120</v>
      </c>
      <c r="R3919" s="58" t="s">
        <v>265</v>
      </c>
    </row>
    <row r="3920" spans="1:18" ht="69" customHeight="1">
      <c r="A3920" s="168"/>
      <c r="B3920" s="178">
        <v>6374</v>
      </c>
      <c r="C3920" s="178" t="s">
        <v>657</v>
      </c>
      <c r="D3920" s="575" t="s">
        <v>9733</v>
      </c>
      <c r="E3920" s="178" t="s">
        <v>741</v>
      </c>
      <c r="F3920" s="210" t="s">
        <v>10045</v>
      </c>
      <c r="G3920" s="58" t="s">
        <v>2775</v>
      </c>
      <c r="H3920" s="546">
        <v>5810</v>
      </c>
      <c r="I3920" s="66">
        <v>44799</v>
      </c>
      <c r="J3920" s="411" t="s">
        <v>10046</v>
      </c>
      <c r="K3920" s="58"/>
      <c r="L3920" s="99"/>
      <c r="M3920" s="70" t="s">
        <v>10047</v>
      </c>
      <c r="N3920" s="97" t="s">
        <v>741</v>
      </c>
      <c r="O3920" s="58" t="s">
        <v>10048</v>
      </c>
      <c r="P3920" s="58" t="s">
        <v>44</v>
      </c>
      <c r="Q3920" s="58" t="s">
        <v>120</v>
      </c>
      <c r="R3920" s="58" t="s">
        <v>272</v>
      </c>
    </row>
    <row r="3921" spans="1:18" ht="69" customHeight="1">
      <c r="A3921" s="168"/>
      <c r="B3921" s="178">
        <v>6389</v>
      </c>
      <c r="C3921" s="178" t="s">
        <v>657</v>
      </c>
      <c r="D3921" s="575" t="s">
        <v>2731</v>
      </c>
      <c r="E3921" s="178" t="s">
        <v>266</v>
      </c>
      <c r="F3921" s="210" t="s">
        <v>10049</v>
      </c>
      <c r="G3921" s="58" t="s">
        <v>1107</v>
      </c>
      <c r="H3921" s="546">
        <v>7293.34</v>
      </c>
      <c r="I3921" s="66">
        <v>44799</v>
      </c>
      <c r="J3921" s="411" t="s">
        <v>10050</v>
      </c>
      <c r="K3921" s="58"/>
      <c r="L3921" s="99"/>
      <c r="M3921" s="70" t="s">
        <v>10003</v>
      </c>
      <c r="N3921" s="97" t="s">
        <v>970</v>
      </c>
      <c r="O3921" s="58" t="s">
        <v>9540</v>
      </c>
      <c r="P3921" s="58" t="s">
        <v>38</v>
      </c>
      <c r="Q3921" s="58" t="s">
        <v>120</v>
      </c>
      <c r="R3921" s="58" t="s">
        <v>272</v>
      </c>
    </row>
    <row r="3922" spans="1:18" ht="69" customHeight="1">
      <c r="A3922" s="168"/>
      <c r="B3922" s="178">
        <v>6463</v>
      </c>
      <c r="C3922" s="178" t="s">
        <v>657</v>
      </c>
      <c r="D3922" s="575" t="s">
        <v>6660</v>
      </c>
      <c r="E3922" s="178" t="s">
        <v>8347</v>
      </c>
      <c r="F3922" s="210" t="s">
        <v>10051</v>
      </c>
      <c r="G3922" s="58" t="s">
        <v>352</v>
      </c>
      <c r="H3922" s="546">
        <v>32146</v>
      </c>
      <c r="I3922" s="66">
        <v>44806</v>
      </c>
      <c r="J3922" s="411" t="s">
        <v>10052</v>
      </c>
      <c r="K3922" s="58"/>
      <c r="L3922" s="99"/>
      <c r="M3922" s="70" t="s">
        <v>8358</v>
      </c>
      <c r="N3922" s="97" t="s">
        <v>414</v>
      </c>
      <c r="O3922" s="58"/>
      <c r="P3922" s="58" t="s">
        <v>22</v>
      </c>
      <c r="Q3922" s="58" t="s">
        <v>120</v>
      </c>
      <c r="R3922" s="58" t="s">
        <v>265</v>
      </c>
    </row>
    <row r="3923" spans="1:18" ht="69" customHeight="1">
      <c r="A3923" s="168"/>
      <c r="B3923" s="191">
        <v>7575</v>
      </c>
      <c r="C3923" s="191" t="s">
        <v>657</v>
      </c>
      <c r="D3923" s="533" t="s">
        <v>10053</v>
      </c>
      <c r="E3923" s="191" t="s">
        <v>7890</v>
      </c>
      <c r="F3923" s="211" t="s">
        <v>10054</v>
      </c>
      <c r="G3923" s="46" t="s">
        <v>1048</v>
      </c>
      <c r="H3923" s="534">
        <v>15890</v>
      </c>
      <c r="I3923" s="56">
        <v>44897</v>
      </c>
      <c r="J3923" s="412" t="s">
        <v>9786</v>
      </c>
      <c r="K3923" s="46" t="s">
        <v>10055</v>
      </c>
      <c r="L3923" s="99"/>
      <c r="M3923" s="379"/>
      <c r="N3923" s="76" t="s">
        <v>414</v>
      </c>
      <c r="O3923" s="46"/>
      <c r="P3923" s="46" t="s">
        <v>65</v>
      </c>
      <c r="Q3923" s="46" t="s">
        <v>120</v>
      </c>
      <c r="R3923" s="46" t="s">
        <v>272</v>
      </c>
    </row>
    <row r="3924" spans="1:18" ht="69" customHeight="1">
      <c r="A3924" s="168"/>
      <c r="B3924" s="178">
        <v>6481</v>
      </c>
      <c r="C3924" s="178" t="s">
        <v>657</v>
      </c>
      <c r="D3924" s="575" t="s">
        <v>2490</v>
      </c>
      <c r="E3924" s="178" t="s">
        <v>8347</v>
      </c>
      <c r="F3924" s="210" t="s">
        <v>10056</v>
      </c>
      <c r="G3924" s="58" t="s">
        <v>352</v>
      </c>
      <c r="H3924" s="546">
        <v>14664</v>
      </c>
      <c r="I3924" s="66">
        <v>44806</v>
      </c>
      <c r="J3924" s="411" t="s">
        <v>10052</v>
      </c>
      <c r="K3924" s="58"/>
      <c r="L3924" s="99"/>
      <c r="M3924" s="70" t="s">
        <v>8358</v>
      </c>
      <c r="N3924" s="97" t="s">
        <v>414</v>
      </c>
      <c r="O3924" s="58"/>
      <c r="P3924" s="58" t="s">
        <v>22</v>
      </c>
      <c r="Q3924" s="58" t="s">
        <v>120</v>
      </c>
      <c r="R3924" s="58" t="s">
        <v>265</v>
      </c>
    </row>
    <row r="3925" spans="1:18" ht="69" customHeight="1">
      <c r="A3925" s="168"/>
      <c r="B3925" s="178">
        <v>6228</v>
      </c>
      <c r="C3925" s="178" t="s">
        <v>657</v>
      </c>
      <c r="D3925" s="575" t="s">
        <v>669</v>
      </c>
      <c r="E3925" s="178" t="s">
        <v>266</v>
      </c>
      <c r="F3925" s="210" t="s">
        <v>10057</v>
      </c>
      <c r="G3925" s="58" t="s">
        <v>9758</v>
      </c>
      <c r="H3925" s="546">
        <v>4500</v>
      </c>
      <c r="I3925" s="66">
        <v>44783</v>
      </c>
      <c r="J3925" s="411" t="s">
        <v>9759</v>
      </c>
      <c r="K3925" s="58"/>
      <c r="L3925" s="99"/>
      <c r="M3925" s="70" t="s">
        <v>9974</v>
      </c>
      <c r="N3925" s="97" t="s">
        <v>270</v>
      </c>
      <c r="O3925" s="58"/>
      <c r="P3925" s="58" t="s">
        <v>44</v>
      </c>
      <c r="Q3925" s="58" t="s">
        <v>120</v>
      </c>
      <c r="R3925" s="58" t="s">
        <v>272</v>
      </c>
    </row>
    <row r="3926" spans="1:18" ht="69" customHeight="1">
      <c r="A3926" s="168"/>
      <c r="B3926" s="178">
        <v>6230</v>
      </c>
      <c r="C3926" s="178" t="s">
        <v>657</v>
      </c>
      <c r="D3926" s="575" t="s">
        <v>1293</v>
      </c>
      <c r="E3926" s="178" t="s">
        <v>266</v>
      </c>
      <c r="F3926" s="210" t="s">
        <v>10058</v>
      </c>
      <c r="G3926" s="58" t="s">
        <v>9758</v>
      </c>
      <c r="H3926" s="546">
        <v>5000</v>
      </c>
      <c r="I3926" s="66">
        <v>44783</v>
      </c>
      <c r="J3926" s="411" t="s">
        <v>9759</v>
      </c>
      <c r="K3926" s="58"/>
      <c r="L3926" s="99"/>
      <c r="M3926" s="70" t="s">
        <v>9974</v>
      </c>
      <c r="N3926" s="97" t="s">
        <v>270</v>
      </c>
      <c r="O3926" s="58"/>
      <c r="P3926" s="58" t="s">
        <v>44</v>
      </c>
      <c r="Q3926" s="58" t="s">
        <v>120</v>
      </c>
      <c r="R3926" s="58" t="s">
        <v>272</v>
      </c>
    </row>
    <row r="3927" spans="1:18" ht="69" customHeight="1">
      <c r="A3927" s="168"/>
      <c r="B3927" s="178">
        <v>6265</v>
      </c>
      <c r="C3927" s="178" t="s">
        <v>657</v>
      </c>
      <c r="D3927" s="575" t="s">
        <v>1514</v>
      </c>
      <c r="E3927" s="178" t="s">
        <v>741</v>
      </c>
      <c r="F3927" s="210" t="s">
        <v>10059</v>
      </c>
      <c r="G3927" s="58" t="s">
        <v>738</v>
      </c>
      <c r="H3927" s="546">
        <v>109100.41</v>
      </c>
      <c r="I3927" s="66" t="s">
        <v>96</v>
      </c>
      <c r="J3927" s="411" t="s">
        <v>10060</v>
      </c>
      <c r="K3927" s="58"/>
      <c r="L3927" s="99"/>
      <c r="M3927" s="70" t="s">
        <v>10047</v>
      </c>
      <c r="N3927" s="97" t="s">
        <v>741</v>
      </c>
      <c r="O3927" s="58" t="s">
        <v>8228</v>
      </c>
      <c r="P3927" s="58" t="s">
        <v>59</v>
      </c>
      <c r="Q3927" s="58" t="s">
        <v>120</v>
      </c>
      <c r="R3927" s="58" t="s">
        <v>272</v>
      </c>
    </row>
    <row r="3928" spans="1:18" ht="69" customHeight="1">
      <c r="A3928" s="168"/>
      <c r="B3928" s="178">
        <v>6266</v>
      </c>
      <c r="C3928" s="178" t="s">
        <v>657</v>
      </c>
      <c r="D3928" s="575" t="s">
        <v>2961</v>
      </c>
      <c r="E3928" s="178" t="s">
        <v>741</v>
      </c>
      <c r="F3928" s="210" t="s">
        <v>10061</v>
      </c>
      <c r="G3928" s="58" t="s">
        <v>738</v>
      </c>
      <c r="H3928" s="546">
        <v>25124.2</v>
      </c>
      <c r="I3928" s="66" t="s">
        <v>96</v>
      </c>
      <c r="J3928" s="411" t="s">
        <v>10062</v>
      </c>
      <c r="K3928" s="58"/>
      <c r="L3928" s="99"/>
      <c r="M3928" s="70" t="s">
        <v>10047</v>
      </c>
      <c r="N3928" s="97" t="s">
        <v>741</v>
      </c>
      <c r="O3928" s="58" t="s">
        <v>8228</v>
      </c>
      <c r="P3928" s="58" t="s">
        <v>59</v>
      </c>
      <c r="Q3928" s="58" t="s">
        <v>120</v>
      </c>
      <c r="R3928" s="58" t="s">
        <v>272</v>
      </c>
    </row>
    <row r="3929" spans="1:18" ht="69" customHeight="1">
      <c r="A3929" s="168"/>
      <c r="B3929" s="178">
        <v>6438</v>
      </c>
      <c r="C3929" s="178" t="s">
        <v>657</v>
      </c>
      <c r="D3929" s="575" t="s">
        <v>951</v>
      </c>
      <c r="E3929" s="178" t="s">
        <v>432</v>
      </c>
      <c r="F3929" s="210" t="s">
        <v>10063</v>
      </c>
      <c r="G3929" s="58" t="s">
        <v>429</v>
      </c>
      <c r="H3929" s="546">
        <v>13959.486000000001</v>
      </c>
      <c r="I3929" s="66">
        <v>44802</v>
      </c>
      <c r="J3929" s="411" t="s">
        <v>9765</v>
      </c>
      <c r="K3929" s="58"/>
      <c r="L3929" s="99"/>
      <c r="M3929" s="70" t="s">
        <v>10064</v>
      </c>
      <c r="N3929" s="97" t="s">
        <v>432</v>
      </c>
      <c r="O3929" s="58"/>
      <c r="P3929" s="58" t="s">
        <v>53</v>
      </c>
      <c r="Q3929" s="58" t="s">
        <v>120</v>
      </c>
      <c r="R3929" s="58" t="s">
        <v>272</v>
      </c>
    </row>
    <row r="3930" spans="1:18" ht="69" customHeight="1">
      <c r="A3930" s="168"/>
      <c r="B3930" s="178">
        <v>6452</v>
      </c>
      <c r="C3930" s="178" t="s">
        <v>657</v>
      </c>
      <c r="D3930" s="575" t="s">
        <v>3599</v>
      </c>
      <c r="E3930" s="178" t="s">
        <v>350</v>
      </c>
      <c r="F3930" s="210" t="s">
        <v>10065</v>
      </c>
      <c r="G3930" s="58" t="s">
        <v>352</v>
      </c>
      <c r="H3930" s="546">
        <v>0</v>
      </c>
      <c r="I3930" s="66">
        <v>44804</v>
      </c>
      <c r="J3930" s="411" t="s">
        <v>10066</v>
      </c>
      <c r="K3930" s="58" t="s">
        <v>10067</v>
      </c>
      <c r="L3930" s="99"/>
      <c r="M3930" s="70" t="s">
        <v>9802</v>
      </c>
      <c r="N3930" s="97" t="s">
        <v>356</v>
      </c>
      <c r="O3930" s="58" t="s">
        <v>141</v>
      </c>
      <c r="P3930" s="58" t="s">
        <v>19</v>
      </c>
      <c r="Q3930" s="58" t="s">
        <v>120</v>
      </c>
      <c r="R3930" s="58" t="s">
        <v>265</v>
      </c>
    </row>
    <row r="3931" spans="1:18" ht="69" customHeight="1">
      <c r="A3931" s="168"/>
      <c r="B3931" s="191">
        <v>6482</v>
      </c>
      <c r="C3931" s="191" t="s">
        <v>657</v>
      </c>
      <c r="D3931" s="533" t="s">
        <v>363</v>
      </c>
      <c r="E3931" s="191" t="s">
        <v>7890</v>
      </c>
      <c r="F3931" s="211" t="s">
        <v>10068</v>
      </c>
      <c r="G3931" s="46" t="s">
        <v>352</v>
      </c>
      <c r="H3931" s="534">
        <v>19450</v>
      </c>
      <c r="I3931" s="56">
        <v>44809</v>
      </c>
      <c r="J3931" s="412" t="s">
        <v>10052</v>
      </c>
      <c r="K3931" s="46" t="s">
        <v>10069</v>
      </c>
      <c r="L3931" s="99"/>
      <c r="M3931" s="379"/>
      <c r="N3931" s="76" t="s">
        <v>414</v>
      </c>
      <c r="O3931" s="46"/>
      <c r="P3931" s="46" t="s">
        <v>65</v>
      </c>
      <c r="Q3931" s="46" t="s">
        <v>120</v>
      </c>
      <c r="R3931" s="46" t="s">
        <v>272</v>
      </c>
    </row>
    <row r="3932" spans="1:18" ht="69" customHeight="1">
      <c r="A3932" s="168"/>
      <c r="B3932" s="178">
        <v>6284</v>
      </c>
      <c r="C3932" s="178" t="s">
        <v>657</v>
      </c>
      <c r="D3932" s="575" t="s">
        <v>975</v>
      </c>
      <c r="E3932" s="178" t="s">
        <v>741</v>
      </c>
      <c r="F3932" s="210" t="s">
        <v>10070</v>
      </c>
      <c r="G3932" s="58" t="s">
        <v>738</v>
      </c>
      <c r="H3932" s="546">
        <v>7975.52</v>
      </c>
      <c r="I3932" s="66">
        <v>44799</v>
      </c>
      <c r="J3932" s="411" t="s">
        <v>10071</v>
      </c>
      <c r="K3932" s="58"/>
      <c r="L3932" s="99"/>
      <c r="M3932" s="70" t="s">
        <v>10047</v>
      </c>
      <c r="N3932" s="97" t="s">
        <v>741</v>
      </c>
      <c r="O3932" s="58" t="s">
        <v>8228</v>
      </c>
      <c r="P3932" s="58" t="s">
        <v>59</v>
      </c>
      <c r="Q3932" s="58" t="s">
        <v>120</v>
      </c>
      <c r="R3932" s="58" t="s">
        <v>272</v>
      </c>
    </row>
    <row r="3933" spans="1:18" ht="69" customHeight="1">
      <c r="A3933" s="168"/>
      <c r="B3933" s="178">
        <v>6514</v>
      </c>
      <c r="C3933" s="178" t="s">
        <v>657</v>
      </c>
      <c r="D3933" s="575" t="s">
        <v>8559</v>
      </c>
      <c r="E3933" s="178" t="s">
        <v>358</v>
      </c>
      <c r="F3933" s="210" t="s">
        <v>10072</v>
      </c>
      <c r="G3933" s="58" t="s">
        <v>6974</v>
      </c>
      <c r="H3933" s="546">
        <v>50000</v>
      </c>
      <c r="I3933" s="66">
        <v>44806</v>
      </c>
      <c r="J3933" s="411" t="s">
        <v>10073</v>
      </c>
      <c r="K3933" s="58"/>
      <c r="L3933" s="99"/>
      <c r="M3933" s="70" t="s">
        <v>10012</v>
      </c>
      <c r="N3933" s="97" t="s">
        <v>356</v>
      </c>
      <c r="O3933" s="58" t="s">
        <v>141</v>
      </c>
      <c r="P3933" s="58" t="s">
        <v>19</v>
      </c>
      <c r="Q3933" s="58" t="s">
        <v>120</v>
      </c>
      <c r="R3933" s="58" t="s">
        <v>272</v>
      </c>
    </row>
    <row r="3934" spans="1:18" ht="69" customHeight="1">
      <c r="A3934" s="168"/>
      <c r="B3934" s="178">
        <v>6658</v>
      </c>
      <c r="C3934" s="178" t="s">
        <v>657</v>
      </c>
      <c r="D3934" s="575" t="s">
        <v>995</v>
      </c>
      <c r="E3934" s="178" t="s">
        <v>266</v>
      </c>
      <c r="F3934" s="210" t="s">
        <v>10074</v>
      </c>
      <c r="G3934" s="58" t="s">
        <v>1107</v>
      </c>
      <c r="H3934" s="546">
        <v>7293.34</v>
      </c>
      <c r="I3934" s="66">
        <v>44820</v>
      </c>
      <c r="J3934" s="411" t="s">
        <v>10075</v>
      </c>
      <c r="K3934" s="58"/>
      <c r="L3934" s="99"/>
      <c r="M3934" s="70" t="s">
        <v>10003</v>
      </c>
      <c r="N3934" s="97" t="s">
        <v>970</v>
      </c>
      <c r="O3934" s="58" t="s">
        <v>9540</v>
      </c>
      <c r="P3934" s="58" t="s">
        <v>38</v>
      </c>
      <c r="Q3934" s="58" t="s">
        <v>120</v>
      </c>
      <c r="R3934" s="58" t="s">
        <v>272</v>
      </c>
    </row>
    <row r="3935" spans="1:18" ht="69" customHeight="1">
      <c r="A3935" s="168"/>
      <c r="B3935" s="178">
        <v>6474</v>
      </c>
      <c r="C3935" s="178" t="s">
        <v>657</v>
      </c>
      <c r="D3935" s="575" t="s">
        <v>10076</v>
      </c>
      <c r="E3935" s="178" t="s">
        <v>741</v>
      </c>
      <c r="F3935" s="210" t="s">
        <v>10077</v>
      </c>
      <c r="G3935" s="58" t="s">
        <v>738</v>
      </c>
      <c r="H3935" s="546">
        <v>33184.836000000003</v>
      </c>
      <c r="I3935" s="66">
        <v>44820</v>
      </c>
      <c r="J3935" s="411" t="s">
        <v>10078</v>
      </c>
      <c r="K3935" s="58"/>
      <c r="L3935" s="99"/>
      <c r="M3935" s="70" t="s">
        <v>10047</v>
      </c>
      <c r="N3935" s="97" t="s">
        <v>741</v>
      </c>
      <c r="O3935" s="58" t="s">
        <v>8228</v>
      </c>
      <c r="P3935" s="58" t="s">
        <v>59</v>
      </c>
      <c r="Q3935" s="58" t="s">
        <v>120</v>
      </c>
      <c r="R3935" s="58" t="s">
        <v>272</v>
      </c>
    </row>
    <row r="3936" spans="1:18" ht="69" customHeight="1">
      <c r="A3936" s="168"/>
      <c r="B3936" s="178">
        <v>6675</v>
      </c>
      <c r="C3936" s="178" t="s">
        <v>657</v>
      </c>
      <c r="D3936" s="575" t="s">
        <v>2039</v>
      </c>
      <c r="E3936" s="178" t="s">
        <v>741</v>
      </c>
      <c r="F3936" s="210" t="s">
        <v>10079</v>
      </c>
      <c r="G3936" s="58" t="s">
        <v>738</v>
      </c>
      <c r="H3936" s="546">
        <v>132739.34400000001</v>
      </c>
      <c r="I3936" s="66">
        <v>44820</v>
      </c>
      <c r="J3936" s="411" t="s">
        <v>10078</v>
      </c>
      <c r="K3936" s="58"/>
      <c r="L3936" s="99"/>
      <c r="M3936" s="70" t="s">
        <v>10047</v>
      </c>
      <c r="N3936" s="97" t="s">
        <v>741</v>
      </c>
      <c r="O3936" s="58" t="s">
        <v>8228</v>
      </c>
      <c r="P3936" s="58" t="s">
        <v>59</v>
      </c>
      <c r="Q3936" s="58" t="s">
        <v>120</v>
      </c>
      <c r="R3936" s="58" t="s">
        <v>272</v>
      </c>
    </row>
    <row r="3937" spans="1:18" ht="69" customHeight="1">
      <c r="A3937" s="168"/>
      <c r="B3937" s="178">
        <v>7571</v>
      </c>
      <c r="C3937" s="178" t="s">
        <v>657</v>
      </c>
      <c r="D3937" s="575" t="s">
        <v>10080</v>
      </c>
      <c r="E3937" s="178" t="s">
        <v>8347</v>
      </c>
      <c r="F3937" s="210" t="s">
        <v>10081</v>
      </c>
      <c r="G3937" s="58" t="s">
        <v>1048</v>
      </c>
      <c r="H3937" s="546">
        <v>22500</v>
      </c>
      <c r="I3937" s="66">
        <v>44897</v>
      </c>
      <c r="J3937" s="411" t="s">
        <v>9786</v>
      </c>
      <c r="K3937" s="58"/>
      <c r="L3937" s="99"/>
      <c r="M3937" s="70" t="s">
        <v>8358</v>
      </c>
      <c r="N3937" s="97" t="s">
        <v>414</v>
      </c>
      <c r="O3937" s="58"/>
      <c r="P3937" s="58" t="s">
        <v>22</v>
      </c>
      <c r="Q3937" s="58" t="s">
        <v>120</v>
      </c>
      <c r="R3937" s="58" t="s">
        <v>265</v>
      </c>
    </row>
    <row r="3938" spans="1:18" ht="69" customHeight="1">
      <c r="A3938" s="168"/>
      <c r="B3938" s="178">
        <v>6784</v>
      </c>
      <c r="C3938" s="178" t="s">
        <v>657</v>
      </c>
      <c r="D3938" s="575" t="s">
        <v>1002</v>
      </c>
      <c r="E3938" s="178" t="s">
        <v>741</v>
      </c>
      <c r="F3938" s="210" t="s">
        <v>10082</v>
      </c>
      <c r="G3938" s="58" t="s">
        <v>738</v>
      </c>
      <c r="H3938" s="546">
        <v>46395.947999999997</v>
      </c>
      <c r="I3938" s="66">
        <v>44830</v>
      </c>
      <c r="J3938" s="411" t="s">
        <v>10083</v>
      </c>
      <c r="K3938" s="58"/>
      <c r="L3938" s="99"/>
      <c r="M3938" s="70" t="s">
        <v>10047</v>
      </c>
      <c r="N3938" s="97" t="s">
        <v>741</v>
      </c>
      <c r="O3938" s="58" t="s">
        <v>8228</v>
      </c>
      <c r="P3938" s="58" t="s">
        <v>59</v>
      </c>
      <c r="Q3938" s="58" t="s">
        <v>120</v>
      </c>
      <c r="R3938" s="58" t="s">
        <v>272</v>
      </c>
    </row>
    <row r="3939" spans="1:18" ht="69" customHeight="1">
      <c r="A3939" s="168"/>
      <c r="B3939" s="178">
        <v>6785</v>
      </c>
      <c r="C3939" s="178" t="s">
        <v>657</v>
      </c>
      <c r="D3939" s="575" t="s">
        <v>1738</v>
      </c>
      <c r="E3939" s="178" t="s">
        <v>741</v>
      </c>
      <c r="F3939" s="210" t="s">
        <v>10084</v>
      </c>
      <c r="G3939" s="58" t="s">
        <v>738</v>
      </c>
      <c r="H3939" s="546">
        <v>185583.79199999999</v>
      </c>
      <c r="I3939" s="66">
        <v>44830</v>
      </c>
      <c r="J3939" s="411" t="s">
        <v>10083</v>
      </c>
      <c r="K3939" s="58"/>
      <c r="L3939" s="99"/>
      <c r="M3939" s="70" t="s">
        <v>10047</v>
      </c>
      <c r="N3939" s="97" t="s">
        <v>741</v>
      </c>
      <c r="O3939" s="58" t="s">
        <v>8228</v>
      </c>
      <c r="P3939" s="58" t="s">
        <v>59</v>
      </c>
      <c r="Q3939" s="58" t="s">
        <v>120</v>
      </c>
      <c r="R3939" s="58" t="s">
        <v>272</v>
      </c>
    </row>
    <row r="3940" spans="1:18" ht="69" customHeight="1">
      <c r="A3940" s="168"/>
      <c r="B3940" s="178">
        <v>6295</v>
      </c>
      <c r="C3940" s="178" t="s">
        <v>657</v>
      </c>
      <c r="D3940" s="581" t="s">
        <v>5686</v>
      </c>
      <c r="E3940" s="178" t="s">
        <v>266</v>
      </c>
      <c r="F3940" s="210" t="s">
        <v>10085</v>
      </c>
      <c r="G3940" s="58" t="s">
        <v>790</v>
      </c>
      <c r="H3940" s="546">
        <v>2281.25</v>
      </c>
      <c r="I3940" s="66">
        <v>44834</v>
      </c>
      <c r="J3940" s="411" t="s">
        <v>10086</v>
      </c>
      <c r="K3940" s="58"/>
      <c r="L3940" s="99"/>
      <c r="M3940" s="70" t="s">
        <v>10039</v>
      </c>
      <c r="N3940" s="97" t="s">
        <v>683</v>
      </c>
      <c r="O3940" s="58" t="s">
        <v>149</v>
      </c>
      <c r="P3940" s="58" t="s">
        <v>46</v>
      </c>
      <c r="Q3940" s="58" t="s">
        <v>120</v>
      </c>
      <c r="R3940" s="58" t="s">
        <v>272</v>
      </c>
    </row>
    <row r="3941" spans="1:18" ht="69" customHeight="1">
      <c r="A3941" s="168"/>
      <c r="B3941" s="178">
        <v>7362</v>
      </c>
      <c r="C3941" s="178" t="s">
        <v>657</v>
      </c>
      <c r="D3941" s="575" t="s">
        <v>5797</v>
      </c>
      <c r="E3941" s="178" t="s">
        <v>8347</v>
      </c>
      <c r="F3941" s="210" t="s">
        <v>10087</v>
      </c>
      <c r="G3941" s="58" t="s">
        <v>9795</v>
      </c>
      <c r="H3941" s="546">
        <v>32881.129999999997</v>
      </c>
      <c r="I3941" s="66">
        <v>44881</v>
      </c>
      <c r="J3941" s="411" t="s">
        <v>10088</v>
      </c>
      <c r="K3941" s="58"/>
      <c r="L3941" s="99"/>
      <c r="M3941" s="70" t="s">
        <v>8358</v>
      </c>
      <c r="N3941" s="97" t="s">
        <v>414</v>
      </c>
      <c r="O3941" s="58"/>
      <c r="P3941" s="58" t="s">
        <v>22</v>
      </c>
      <c r="Q3941" s="58" t="s">
        <v>120</v>
      </c>
      <c r="R3941" s="58" t="s">
        <v>265</v>
      </c>
    </row>
    <row r="3942" spans="1:18" ht="69" customHeight="1">
      <c r="A3942" s="168"/>
      <c r="B3942" s="178">
        <v>7365</v>
      </c>
      <c r="C3942" s="178" t="s">
        <v>657</v>
      </c>
      <c r="D3942" s="575" t="s">
        <v>5792</v>
      </c>
      <c r="E3942" s="178" t="s">
        <v>8347</v>
      </c>
      <c r="F3942" s="210" t="s">
        <v>10089</v>
      </c>
      <c r="G3942" s="58" t="s">
        <v>10090</v>
      </c>
      <c r="H3942" s="546">
        <v>14245</v>
      </c>
      <c r="I3942" s="66">
        <v>44883</v>
      </c>
      <c r="J3942" s="411" t="s">
        <v>10091</v>
      </c>
      <c r="K3942" s="58"/>
      <c r="L3942" s="99"/>
      <c r="M3942" s="70" t="s">
        <v>8358</v>
      </c>
      <c r="N3942" s="97" t="s">
        <v>414</v>
      </c>
      <c r="O3942" s="58"/>
      <c r="P3942" s="58" t="s">
        <v>22</v>
      </c>
      <c r="Q3942" s="58" t="s">
        <v>120</v>
      </c>
      <c r="R3942" s="58" t="s">
        <v>265</v>
      </c>
    </row>
    <row r="3943" spans="1:18" ht="69" customHeight="1">
      <c r="A3943" s="168"/>
      <c r="B3943" s="178">
        <v>7376</v>
      </c>
      <c r="C3943" s="178" t="s">
        <v>657</v>
      </c>
      <c r="D3943" s="575" t="s">
        <v>6056</v>
      </c>
      <c r="E3943" s="178" t="s">
        <v>432</v>
      </c>
      <c r="F3943" s="210" t="s">
        <v>10092</v>
      </c>
      <c r="G3943" s="58" t="s">
        <v>1121</v>
      </c>
      <c r="H3943" s="546">
        <v>34317.03</v>
      </c>
      <c r="I3943" s="66">
        <v>44876</v>
      </c>
      <c r="J3943" s="411" t="s">
        <v>1122</v>
      </c>
      <c r="K3943" s="58"/>
      <c r="L3943" s="99"/>
      <c r="M3943" s="70" t="s">
        <v>10064</v>
      </c>
      <c r="N3943" s="97" t="s">
        <v>432</v>
      </c>
      <c r="O3943" s="58"/>
      <c r="P3943" s="58" t="s">
        <v>53</v>
      </c>
      <c r="Q3943" s="58" t="s">
        <v>120</v>
      </c>
      <c r="R3943" s="58" t="s">
        <v>272</v>
      </c>
    </row>
    <row r="3944" spans="1:18" ht="69" customHeight="1">
      <c r="A3944" s="168"/>
      <c r="B3944" s="600">
        <v>6606</v>
      </c>
      <c r="C3944" s="600" t="s">
        <v>3667</v>
      </c>
      <c r="D3944" s="601" t="s">
        <v>10093</v>
      </c>
      <c r="E3944" s="600" t="s">
        <v>5708</v>
      </c>
      <c r="F3944" s="602" t="s">
        <v>10094</v>
      </c>
      <c r="G3944" s="460" t="s">
        <v>5710</v>
      </c>
      <c r="H3944" s="605">
        <v>160521.94</v>
      </c>
      <c r="I3944" s="461">
        <v>44816</v>
      </c>
      <c r="J3944" s="603" t="s">
        <v>10095</v>
      </c>
      <c r="K3944" s="58"/>
      <c r="L3944" s="99"/>
      <c r="M3944" s="70" t="s">
        <v>10096</v>
      </c>
      <c r="N3944" s="106" t="s">
        <v>414</v>
      </c>
      <c r="O3944" s="58" t="s">
        <v>5713</v>
      </c>
      <c r="P3944" s="58" t="s">
        <v>24</v>
      </c>
      <c r="Q3944" s="58" t="s">
        <v>70</v>
      </c>
      <c r="R3944" s="58" t="s">
        <v>265</v>
      </c>
    </row>
    <row r="3945" spans="1:18" ht="69" customHeight="1">
      <c r="A3945" s="168"/>
      <c r="B3945" s="178">
        <v>7468</v>
      </c>
      <c r="C3945" s="178" t="s">
        <v>657</v>
      </c>
      <c r="D3945" s="575" t="s">
        <v>3213</v>
      </c>
      <c r="E3945" s="178" t="s">
        <v>1044</v>
      </c>
      <c r="F3945" s="210" t="s">
        <v>10097</v>
      </c>
      <c r="G3945" s="58" t="s">
        <v>1041</v>
      </c>
      <c r="H3945" s="546">
        <v>137308.81</v>
      </c>
      <c r="I3945" s="66">
        <v>44886</v>
      </c>
      <c r="J3945" s="411" t="s">
        <v>1042</v>
      </c>
      <c r="K3945" s="58"/>
      <c r="L3945" s="99"/>
      <c r="M3945" s="70" t="s">
        <v>10098</v>
      </c>
      <c r="N3945" s="97" t="s">
        <v>1044</v>
      </c>
      <c r="O3945" s="58"/>
      <c r="P3945" s="58" t="s">
        <v>26</v>
      </c>
      <c r="Q3945" s="58" t="s">
        <v>120</v>
      </c>
      <c r="R3945" s="58" t="s">
        <v>272</v>
      </c>
    </row>
    <row r="3946" spans="1:18" ht="69" customHeight="1">
      <c r="A3946" s="168"/>
      <c r="B3946" s="178">
        <v>7470</v>
      </c>
      <c r="C3946" s="178" t="s">
        <v>657</v>
      </c>
      <c r="D3946" s="575" t="s">
        <v>1357</v>
      </c>
      <c r="E3946" s="178" t="s">
        <v>1044</v>
      </c>
      <c r="F3946" s="210" t="s">
        <v>10099</v>
      </c>
      <c r="G3946" s="58" t="s">
        <v>1041</v>
      </c>
      <c r="H3946" s="546">
        <v>12910.05</v>
      </c>
      <c r="I3946" s="66">
        <v>44886</v>
      </c>
      <c r="J3946" s="411" t="s">
        <v>1042</v>
      </c>
      <c r="K3946" s="58"/>
      <c r="L3946" s="99"/>
      <c r="M3946" s="70" t="s">
        <v>10098</v>
      </c>
      <c r="N3946" s="97" t="s">
        <v>1044</v>
      </c>
      <c r="O3946" s="58"/>
      <c r="P3946" s="58" t="s">
        <v>26</v>
      </c>
      <c r="Q3946" s="58" t="s">
        <v>120</v>
      </c>
      <c r="R3946" s="58" t="s">
        <v>272</v>
      </c>
    </row>
    <row r="3947" spans="1:18" ht="69" customHeight="1">
      <c r="A3947" s="168"/>
      <c r="B3947" s="178">
        <v>7512</v>
      </c>
      <c r="C3947" s="178" t="s">
        <v>657</v>
      </c>
      <c r="D3947" s="575" t="s">
        <v>10100</v>
      </c>
      <c r="E3947" s="178" t="s">
        <v>10028</v>
      </c>
      <c r="F3947" s="210" t="s">
        <v>10101</v>
      </c>
      <c r="G3947" s="58" t="s">
        <v>10102</v>
      </c>
      <c r="H3947" s="546">
        <v>26237.25</v>
      </c>
      <c r="I3947" s="66">
        <v>44883</v>
      </c>
      <c r="J3947" s="411" t="s">
        <v>9815</v>
      </c>
      <c r="K3947" s="58"/>
      <c r="L3947" s="99"/>
      <c r="M3947" s="70" t="s">
        <v>10031</v>
      </c>
      <c r="N3947" s="97" t="s">
        <v>414</v>
      </c>
      <c r="O3947" s="58"/>
      <c r="P3947" s="58" t="s">
        <v>22</v>
      </c>
      <c r="Q3947" s="58" t="s">
        <v>120</v>
      </c>
      <c r="R3947" s="58" t="s">
        <v>272</v>
      </c>
    </row>
    <row r="3948" spans="1:18" ht="69" customHeight="1">
      <c r="A3948" s="168"/>
      <c r="B3948" s="178">
        <v>7513</v>
      </c>
      <c r="C3948" s="178" t="s">
        <v>657</v>
      </c>
      <c r="D3948" s="575" t="s">
        <v>1027</v>
      </c>
      <c r="E3948" s="178" t="s">
        <v>10028</v>
      </c>
      <c r="F3948" s="210" t="s">
        <v>10103</v>
      </c>
      <c r="G3948" s="58" t="s">
        <v>7673</v>
      </c>
      <c r="H3948" s="546">
        <v>14127.75</v>
      </c>
      <c r="I3948" s="66">
        <v>44883</v>
      </c>
      <c r="J3948" s="411" t="s">
        <v>9815</v>
      </c>
      <c r="K3948" s="58"/>
      <c r="L3948" s="99"/>
      <c r="M3948" s="70" t="s">
        <v>10031</v>
      </c>
      <c r="N3948" s="97" t="s">
        <v>414</v>
      </c>
      <c r="O3948" s="58"/>
      <c r="P3948" s="58" t="s">
        <v>22</v>
      </c>
      <c r="Q3948" s="58" t="s">
        <v>120</v>
      </c>
      <c r="R3948" s="58" t="s">
        <v>272</v>
      </c>
    </row>
    <row r="3949" spans="1:18" ht="69" customHeight="1">
      <c r="A3949" s="168"/>
      <c r="B3949" s="191">
        <v>7553</v>
      </c>
      <c r="C3949" s="191" t="s">
        <v>657</v>
      </c>
      <c r="D3949" s="533" t="s">
        <v>1349</v>
      </c>
      <c r="E3949" s="191" t="s">
        <v>7890</v>
      </c>
      <c r="F3949" s="211" t="s">
        <v>10104</v>
      </c>
      <c r="G3949" s="46" t="s">
        <v>9826</v>
      </c>
      <c r="H3949" s="534">
        <v>5250</v>
      </c>
      <c r="I3949" s="56">
        <v>44888</v>
      </c>
      <c r="J3949" s="412" t="s">
        <v>9827</v>
      </c>
      <c r="K3949" s="46" t="s">
        <v>5103</v>
      </c>
      <c r="L3949" s="99"/>
      <c r="M3949" s="379"/>
      <c r="N3949" s="76" t="s">
        <v>414</v>
      </c>
      <c r="O3949" s="46"/>
      <c r="P3949" s="46" t="s">
        <v>71</v>
      </c>
      <c r="Q3949" s="46" t="s">
        <v>120</v>
      </c>
      <c r="R3949" s="46" t="s">
        <v>272</v>
      </c>
    </row>
    <row r="3950" spans="1:18" ht="69" customHeight="1">
      <c r="A3950" s="168"/>
      <c r="B3950" s="178">
        <v>7557</v>
      </c>
      <c r="C3950" s="178" t="s">
        <v>657</v>
      </c>
      <c r="D3950" s="575" t="s">
        <v>3015</v>
      </c>
      <c r="E3950" s="178" t="s">
        <v>8347</v>
      </c>
      <c r="F3950" s="210" t="s">
        <v>10105</v>
      </c>
      <c r="G3950" s="58" t="s">
        <v>10106</v>
      </c>
      <c r="H3950" s="546">
        <v>19500</v>
      </c>
      <c r="I3950" s="66">
        <v>44888</v>
      </c>
      <c r="J3950" s="411" t="s">
        <v>9827</v>
      </c>
      <c r="K3950" s="58"/>
      <c r="L3950" s="99"/>
      <c r="M3950" s="70" t="s">
        <v>8358</v>
      </c>
      <c r="N3950" s="97" t="s">
        <v>414</v>
      </c>
      <c r="O3950" s="58"/>
      <c r="P3950" s="58" t="s">
        <v>22</v>
      </c>
      <c r="Q3950" s="58" t="s">
        <v>120</v>
      </c>
      <c r="R3950" s="58" t="s">
        <v>265</v>
      </c>
    </row>
    <row r="3951" spans="1:18" ht="69" customHeight="1">
      <c r="A3951" s="168"/>
      <c r="B3951" s="178">
        <v>7558</v>
      </c>
      <c r="C3951" s="178" t="s">
        <v>657</v>
      </c>
      <c r="D3951" s="575" t="s">
        <v>3217</v>
      </c>
      <c r="E3951" s="178" t="s">
        <v>10028</v>
      </c>
      <c r="F3951" s="210" t="s">
        <v>10107</v>
      </c>
      <c r="G3951" s="58" t="s">
        <v>10108</v>
      </c>
      <c r="H3951" s="546">
        <v>191151.86</v>
      </c>
      <c r="I3951" s="66">
        <v>44888</v>
      </c>
      <c r="J3951" s="411" t="s">
        <v>10109</v>
      </c>
      <c r="K3951" s="58" t="s">
        <v>10110</v>
      </c>
      <c r="L3951" s="99"/>
      <c r="M3951" s="70" t="s">
        <v>10031</v>
      </c>
      <c r="N3951" s="97" t="s">
        <v>414</v>
      </c>
      <c r="O3951" s="58"/>
      <c r="P3951" s="58" t="s">
        <v>22</v>
      </c>
      <c r="Q3951" s="58" t="s">
        <v>120</v>
      </c>
      <c r="R3951" s="58" t="s">
        <v>272</v>
      </c>
    </row>
    <row r="3952" spans="1:18" ht="69" customHeight="1">
      <c r="A3952" s="168"/>
      <c r="B3952" s="178">
        <v>7559</v>
      </c>
      <c r="C3952" s="178" t="s">
        <v>657</v>
      </c>
      <c r="D3952" s="575" t="s">
        <v>438</v>
      </c>
      <c r="E3952" s="178" t="s">
        <v>10028</v>
      </c>
      <c r="F3952" s="210" t="s">
        <v>10111</v>
      </c>
      <c r="G3952" s="58" t="s">
        <v>10102</v>
      </c>
      <c r="H3952" s="546">
        <v>102927.93</v>
      </c>
      <c r="I3952" s="66">
        <v>44888</v>
      </c>
      <c r="J3952" s="411" t="s">
        <v>10109</v>
      </c>
      <c r="K3952" s="58" t="s">
        <v>10110</v>
      </c>
      <c r="L3952" s="99"/>
      <c r="M3952" s="70" t="s">
        <v>10031</v>
      </c>
      <c r="N3952" s="97" t="s">
        <v>414</v>
      </c>
      <c r="O3952" s="58"/>
      <c r="P3952" s="58" t="s">
        <v>22</v>
      </c>
      <c r="Q3952" s="58" t="s">
        <v>120</v>
      </c>
      <c r="R3952" s="58" t="s">
        <v>272</v>
      </c>
    </row>
    <row r="3953" spans="1:18" s="120" customFormat="1" ht="69" customHeight="1">
      <c r="A3953" s="168"/>
      <c r="B3953" s="178">
        <v>9834</v>
      </c>
      <c r="C3953" s="178" t="s">
        <v>657</v>
      </c>
      <c r="D3953" s="575" t="s">
        <v>455</v>
      </c>
      <c r="E3953" s="178" t="s">
        <v>96</v>
      </c>
      <c r="F3953" s="210" t="s">
        <v>10112</v>
      </c>
      <c r="G3953" s="58" t="s">
        <v>4712</v>
      </c>
      <c r="H3953" s="546">
        <v>150000</v>
      </c>
      <c r="I3953" s="66">
        <v>45041</v>
      </c>
      <c r="J3953" s="411" t="s">
        <v>4713</v>
      </c>
      <c r="K3953" s="58" t="s">
        <v>10113</v>
      </c>
      <c r="L3953" s="99"/>
      <c r="M3953" s="384" t="s">
        <v>10012</v>
      </c>
      <c r="N3953" s="106" t="s">
        <v>356</v>
      </c>
      <c r="O3953" s="58" t="s">
        <v>221</v>
      </c>
      <c r="P3953" s="58" t="s">
        <v>19</v>
      </c>
      <c r="Q3953" s="58" t="s">
        <v>120</v>
      </c>
      <c r="R3953" s="58" t="s">
        <v>272</v>
      </c>
    </row>
    <row r="3954" spans="1:18" ht="69" customHeight="1">
      <c r="A3954" s="168"/>
      <c r="B3954" s="178">
        <v>7451</v>
      </c>
      <c r="C3954" s="178" t="s">
        <v>657</v>
      </c>
      <c r="D3954" s="575" t="s">
        <v>1588</v>
      </c>
      <c r="E3954" s="178" t="s">
        <v>8347</v>
      </c>
      <c r="F3954" s="210" t="s">
        <v>10114</v>
      </c>
      <c r="G3954" s="58" t="s">
        <v>1048</v>
      </c>
      <c r="H3954" s="546">
        <v>9010</v>
      </c>
      <c r="I3954" s="66">
        <v>44891</v>
      </c>
      <c r="J3954" s="411" t="s">
        <v>9834</v>
      </c>
      <c r="K3954" s="58"/>
      <c r="L3954" s="99"/>
      <c r="M3954" s="70" t="s">
        <v>8358</v>
      </c>
      <c r="N3954" s="97" t="s">
        <v>414</v>
      </c>
      <c r="O3954" s="58"/>
      <c r="P3954" s="58" t="s">
        <v>22</v>
      </c>
      <c r="Q3954" s="58" t="s">
        <v>120</v>
      </c>
      <c r="R3954" s="58" t="s">
        <v>265</v>
      </c>
    </row>
    <row r="3955" spans="1:18" ht="69" customHeight="1">
      <c r="A3955" s="168"/>
      <c r="B3955" s="178">
        <v>7578</v>
      </c>
      <c r="C3955" s="178" t="s">
        <v>657</v>
      </c>
      <c r="D3955" s="575" t="s">
        <v>4179</v>
      </c>
      <c r="E3955" s="178" t="s">
        <v>1044</v>
      </c>
      <c r="F3955" s="210" t="s">
        <v>10115</v>
      </c>
      <c r="G3955" s="58" t="s">
        <v>1041</v>
      </c>
      <c r="H3955" s="546">
        <v>8680</v>
      </c>
      <c r="I3955" s="66">
        <v>44904</v>
      </c>
      <c r="J3955" s="411" t="s">
        <v>1080</v>
      </c>
      <c r="K3955" s="58"/>
      <c r="L3955" s="99"/>
      <c r="M3955" s="70" t="s">
        <v>10098</v>
      </c>
      <c r="N3955" s="97" t="s">
        <v>1044</v>
      </c>
      <c r="O3955" s="58"/>
      <c r="P3955" s="58" t="s">
        <v>26</v>
      </c>
      <c r="Q3955" s="58" t="s">
        <v>120</v>
      </c>
      <c r="R3955" s="58" t="s">
        <v>272</v>
      </c>
    </row>
    <row r="3956" spans="1:18" ht="69" customHeight="1">
      <c r="A3956" s="168"/>
      <c r="B3956" s="178">
        <v>8190</v>
      </c>
      <c r="C3956" s="178" t="s">
        <v>657</v>
      </c>
      <c r="D3956" s="575" t="s">
        <v>2780</v>
      </c>
      <c r="E3956" s="178" t="s">
        <v>1044</v>
      </c>
      <c r="F3956" s="210" t="s">
        <v>10116</v>
      </c>
      <c r="G3956" s="58" t="s">
        <v>2138</v>
      </c>
      <c r="H3956" s="546">
        <v>95748.96</v>
      </c>
      <c r="I3956" s="66">
        <v>44931</v>
      </c>
      <c r="J3956" s="411" t="s">
        <v>1118</v>
      </c>
      <c r="K3956" s="58"/>
      <c r="L3956" s="99"/>
      <c r="M3956" s="70" t="s">
        <v>10098</v>
      </c>
      <c r="N3956" s="97" t="s">
        <v>1044</v>
      </c>
      <c r="O3956" s="58"/>
      <c r="P3956" s="58" t="s">
        <v>26</v>
      </c>
      <c r="Q3956" s="58" t="s">
        <v>120</v>
      </c>
      <c r="R3956" s="58" t="s">
        <v>272</v>
      </c>
    </row>
    <row r="3957" spans="1:18" ht="69" customHeight="1">
      <c r="A3957" s="168"/>
      <c r="B3957" s="178">
        <v>7506</v>
      </c>
      <c r="C3957" s="178" t="s">
        <v>657</v>
      </c>
      <c r="D3957" s="575" t="s">
        <v>736</v>
      </c>
      <c r="E3957" s="178" t="s">
        <v>409</v>
      </c>
      <c r="F3957" s="210" t="s">
        <v>10117</v>
      </c>
      <c r="G3957" s="58" t="s">
        <v>10118</v>
      </c>
      <c r="H3957" s="546">
        <v>9097.7440000000006</v>
      </c>
      <c r="I3957" s="66">
        <v>44886</v>
      </c>
      <c r="J3957" s="411" t="s">
        <v>10119</v>
      </c>
      <c r="K3957" s="58"/>
      <c r="L3957" s="99"/>
      <c r="M3957" s="70" t="s">
        <v>10047</v>
      </c>
      <c r="N3957" s="97" t="s">
        <v>741</v>
      </c>
      <c r="O3957" s="58" t="s">
        <v>8228</v>
      </c>
      <c r="P3957" s="58" t="s">
        <v>59</v>
      </c>
      <c r="Q3957" s="58" t="s">
        <v>120</v>
      </c>
      <c r="R3957" s="58" t="s">
        <v>272</v>
      </c>
    </row>
    <row r="3958" spans="1:18" ht="69" customHeight="1">
      <c r="A3958" s="168"/>
      <c r="B3958" s="178">
        <v>7507</v>
      </c>
      <c r="C3958" s="178" t="s">
        <v>657</v>
      </c>
      <c r="D3958" s="575" t="s">
        <v>6249</v>
      </c>
      <c r="E3958" s="178" t="s">
        <v>409</v>
      </c>
      <c r="F3958" s="210" t="s">
        <v>10120</v>
      </c>
      <c r="G3958" s="58" t="s">
        <v>10118</v>
      </c>
      <c r="H3958" s="546">
        <v>36390.976000000002</v>
      </c>
      <c r="I3958" s="66">
        <v>44886</v>
      </c>
      <c r="J3958" s="411" t="s">
        <v>10119</v>
      </c>
      <c r="K3958" s="58"/>
      <c r="L3958" s="99"/>
      <c r="M3958" s="70" t="s">
        <v>10047</v>
      </c>
      <c r="N3958" s="97" t="s">
        <v>741</v>
      </c>
      <c r="O3958" s="58" t="s">
        <v>8228</v>
      </c>
      <c r="P3958" s="58" t="s">
        <v>59</v>
      </c>
      <c r="Q3958" s="58" t="s">
        <v>120</v>
      </c>
      <c r="R3958" s="58" t="s">
        <v>272</v>
      </c>
    </row>
    <row r="3959" spans="1:18" ht="69" customHeight="1">
      <c r="A3959" s="168"/>
      <c r="B3959" s="178">
        <v>7216</v>
      </c>
      <c r="C3959" s="178" t="s">
        <v>657</v>
      </c>
      <c r="D3959" s="575" t="s">
        <v>415</v>
      </c>
      <c r="E3959" s="178" t="s">
        <v>10028</v>
      </c>
      <c r="F3959" s="210" t="s">
        <v>10121</v>
      </c>
      <c r="G3959" s="58" t="s">
        <v>10122</v>
      </c>
      <c r="H3959" s="546">
        <v>235956.59</v>
      </c>
      <c r="I3959" s="66">
        <v>44860</v>
      </c>
      <c r="J3959" s="411" t="s">
        <v>9837</v>
      </c>
      <c r="K3959" s="58"/>
      <c r="L3959" s="99"/>
      <c r="M3959" s="70" t="s">
        <v>10031</v>
      </c>
      <c r="N3959" s="97" t="s">
        <v>414</v>
      </c>
      <c r="O3959" s="58"/>
      <c r="P3959" s="58" t="s">
        <v>22</v>
      </c>
      <c r="Q3959" s="58" t="s">
        <v>120</v>
      </c>
      <c r="R3959" s="58" t="s">
        <v>272</v>
      </c>
    </row>
    <row r="3960" spans="1:18" ht="69" customHeight="1">
      <c r="A3960" s="168"/>
      <c r="B3960" s="178">
        <v>7226</v>
      </c>
      <c r="C3960" s="178" t="s">
        <v>657</v>
      </c>
      <c r="D3960" s="575" t="s">
        <v>1755</v>
      </c>
      <c r="E3960" s="178" t="s">
        <v>10028</v>
      </c>
      <c r="F3960" s="210" t="s">
        <v>10123</v>
      </c>
      <c r="G3960" s="58" t="s">
        <v>10122</v>
      </c>
      <c r="H3960" s="546">
        <v>127053.55</v>
      </c>
      <c r="I3960" s="66">
        <v>44860</v>
      </c>
      <c r="J3960" s="411" t="s">
        <v>9837</v>
      </c>
      <c r="K3960" s="58"/>
      <c r="L3960" s="99"/>
      <c r="M3960" s="70" t="s">
        <v>10031</v>
      </c>
      <c r="N3960" s="97" t="s">
        <v>414</v>
      </c>
      <c r="O3960" s="58"/>
      <c r="P3960" s="58" t="s">
        <v>22</v>
      </c>
      <c r="Q3960" s="58" t="s">
        <v>120</v>
      </c>
      <c r="R3960" s="58" t="s">
        <v>272</v>
      </c>
    </row>
    <row r="3961" spans="1:18" ht="69" customHeight="1">
      <c r="A3961" s="168"/>
      <c r="B3961" s="178">
        <v>7524</v>
      </c>
      <c r="C3961" s="178" t="s">
        <v>657</v>
      </c>
      <c r="D3961" s="575" t="s">
        <v>423</v>
      </c>
      <c r="E3961" s="178" t="s">
        <v>8347</v>
      </c>
      <c r="F3961" s="210" t="s">
        <v>10124</v>
      </c>
      <c r="G3961" s="58" t="s">
        <v>1048</v>
      </c>
      <c r="H3961" s="546">
        <v>16100</v>
      </c>
      <c r="I3961" s="66">
        <v>44890</v>
      </c>
      <c r="J3961" s="411" t="s">
        <v>9840</v>
      </c>
      <c r="K3961" s="58"/>
      <c r="L3961" s="99"/>
      <c r="M3961" s="70" t="s">
        <v>8358</v>
      </c>
      <c r="N3961" s="97" t="s">
        <v>414</v>
      </c>
      <c r="O3961" s="58"/>
      <c r="P3961" s="58" t="s">
        <v>22</v>
      </c>
      <c r="Q3961" s="58" t="s">
        <v>120</v>
      </c>
      <c r="R3961" s="58" t="s">
        <v>265</v>
      </c>
    </row>
    <row r="3962" spans="1:18" ht="69" customHeight="1">
      <c r="A3962" s="168"/>
      <c r="B3962" s="178">
        <v>7526</v>
      </c>
      <c r="C3962" s="178" t="s">
        <v>657</v>
      </c>
      <c r="D3962" s="575" t="s">
        <v>561</v>
      </c>
      <c r="E3962" s="178" t="s">
        <v>8347</v>
      </c>
      <c r="F3962" s="210" t="s">
        <v>10125</v>
      </c>
      <c r="G3962" s="58" t="s">
        <v>1048</v>
      </c>
      <c r="H3962" s="546">
        <v>21860</v>
      </c>
      <c r="I3962" s="66">
        <v>44890</v>
      </c>
      <c r="J3962" s="411" t="s">
        <v>9840</v>
      </c>
      <c r="K3962" s="58"/>
      <c r="L3962" s="99"/>
      <c r="M3962" s="70" t="s">
        <v>8358</v>
      </c>
      <c r="N3962" s="97" t="s">
        <v>414</v>
      </c>
      <c r="O3962" s="58"/>
      <c r="P3962" s="58" t="s">
        <v>22</v>
      </c>
      <c r="Q3962" s="58" t="s">
        <v>120</v>
      </c>
      <c r="R3962" s="58" t="s">
        <v>265</v>
      </c>
    </row>
    <row r="3963" spans="1:18" ht="69" customHeight="1">
      <c r="A3963" s="168"/>
      <c r="B3963" s="178">
        <v>6812</v>
      </c>
      <c r="C3963" s="178" t="s">
        <v>657</v>
      </c>
      <c r="D3963" s="575" t="s">
        <v>381</v>
      </c>
      <c r="E3963" s="178" t="s">
        <v>8347</v>
      </c>
      <c r="F3963" s="210" t="s">
        <v>10126</v>
      </c>
      <c r="G3963" s="58" t="s">
        <v>9782</v>
      </c>
      <c r="H3963" s="546">
        <v>50731.11</v>
      </c>
      <c r="I3963" s="66">
        <v>44832</v>
      </c>
      <c r="J3963" s="411" t="s">
        <v>9783</v>
      </c>
      <c r="K3963" s="58"/>
      <c r="L3963" s="99"/>
      <c r="M3963" s="70" t="s">
        <v>8358</v>
      </c>
      <c r="N3963" s="97" t="s">
        <v>414</v>
      </c>
      <c r="O3963" s="58"/>
      <c r="P3963" s="58" t="s">
        <v>22</v>
      </c>
      <c r="Q3963" s="58" t="s">
        <v>120</v>
      </c>
      <c r="R3963" s="58" t="s">
        <v>265</v>
      </c>
    </row>
    <row r="3964" spans="1:18" ht="69" customHeight="1">
      <c r="A3964" s="168"/>
      <c r="B3964" s="178">
        <v>6760</v>
      </c>
      <c r="C3964" s="178" t="s">
        <v>657</v>
      </c>
      <c r="D3964" s="575" t="s">
        <v>3198</v>
      </c>
      <c r="E3964" s="178" t="s">
        <v>10028</v>
      </c>
      <c r="F3964" s="210" t="s">
        <v>10127</v>
      </c>
      <c r="G3964" s="58" t="s">
        <v>10128</v>
      </c>
      <c r="H3964" s="546">
        <v>110613.5</v>
      </c>
      <c r="I3964" s="66">
        <v>44827</v>
      </c>
      <c r="J3964" s="411" t="s">
        <v>10129</v>
      </c>
      <c r="K3964" s="58"/>
      <c r="L3964" s="99"/>
      <c r="M3964" s="70" t="s">
        <v>10031</v>
      </c>
      <c r="N3964" s="97" t="s">
        <v>414</v>
      </c>
      <c r="O3964" s="58"/>
      <c r="P3964" s="58" t="s">
        <v>22</v>
      </c>
      <c r="Q3964" s="58" t="s">
        <v>120</v>
      </c>
      <c r="R3964" s="58" t="s">
        <v>272</v>
      </c>
    </row>
    <row r="3965" spans="1:18" ht="69" customHeight="1">
      <c r="A3965" s="168"/>
      <c r="B3965" s="178">
        <v>6106</v>
      </c>
      <c r="C3965" s="178" t="s">
        <v>657</v>
      </c>
      <c r="D3965" s="575" t="s">
        <v>10130</v>
      </c>
      <c r="E3965" s="178" t="s">
        <v>350</v>
      </c>
      <c r="F3965" s="210" t="s">
        <v>10131</v>
      </c>
      <c r="G3965" s="58" t="s">
        <v>352</v>
      </c>
      <c r="H3965" s="546">
        <v>69886.039999999994</v>
      </c>
      <c r="I3965" s="66">
        <v>44790</v>
      </c>
      <c r="J3965" s="411" t="s">
        <v>10132</v>
      </c>
      <c r="K3965" s="58"/>
      <c r="L3965" s="99"/>
      <c r="M3965" s="70" t="s">
        <v>9802</v>
      </c>
      <c r="N3965" s="97" t="s">
        <v>356</v>
      </c>
      <c r="O3965" s="58" t="s">
        <v>141</v>
      </c>
      <c r="P3965" s="58" t="s">
        <v>19</v>
      </c>
      <c r="Q3965" s="58" t="s">
        <v>120</v>
      </c>
      <c r="R3965" s="58" t="s">
        <v>265</v>
      </c>
    </row>
    <row r="3966" spans="1:18" ht="69" customHeight="1">
      <c r="A3966" s="168"/>
      <c r="B3966" s="178">
        <v>6145</v>
      </c>
      <c r="C3966" s="178" t="s">
        <v>657</v>
      </c>
      <c r="D3966" s="575" t="s">
        <v>2486</v>
      </c>
      <c r="E3966" s="178" t="s">
        <v>350</v>
      </c>
      <c r="F3966" s="210" t="s">
        <v>10131</v>
      </c>
      <c r="G3966" s="58" t="s">
        <v>352</v>
      </c>
      <c r="H3966" s="546">
        <v>669450.80000000005</v>
      </c>
      <c r="I3966" s="66">
        <v>44788</v>
      </c>
      <c r="J3966" s="411" t="s">
        <v>10133</v>
      </c>
      <c r="K3966" s="58"/>
      <c r="L3966" s="99"/>
      <c r="M3966" s="70" t="s">
        <v>9802</v>
      </c>
      <c r="N3966" s="97" t="s">
        <v>356</v>
      </c>
      <c r="O3966" s="58" t="s">
        <v>141</v>
      </c>
      <c r="P3966" s="58" t="s">
        <v>19</v>
      </c>
      <c r="Q3966" s="58" t="s">
        <v>120</v>
      </c>
      <c r="R3966" s="58" t="s">
        <v>265</v>
      </c>
    </row>
    <row r="3967" spans="1:18" ht="69" customHeight="1">
      <c r="A3967" s="168"/>
      <c r="B3967" s="178">
        <v>6922</v>
      </c>
      <c r="C3967" s="178" t="s">
        <v>657</v>
      </c>
      <c r="D3967" s="575" t="s">
        <v>545</v>
      </c>
      <c r="E3967" s="178" t="s">
        <v>1367</v>
      </c>
      <c r="F3967" s="210" t="s">
        <v>10134</v>
      </c>
      <c r="G3967" s="58" t="s">
        <v>1369</v>
      </c>
      <c r="H3967" s="546">
        <v>3500</v>
      </c>
      <c r="I3967" s="66">
        <v>44844</v>
      </c>
      <c r="J3967" s="411" t="s">
        <v>1370</v>
      </c>
      <c r="K3967" s="58"/>
      <c r="L3967" s="99"/>
      <c r="M3967" s="70" t="s">
        <v>9974</v>
      </c>
      <c r="N3967" s="97" t="s">
        <v>270</v>
      </c>
      <c r="O3967" s="58"/>
      <c r="P3967" s="58" t="s">
        <v>44</v>
      </c>
      <c r="Q3967" s="58" t="s">
        <v>120</v>
      </c>
      <c r="R3967" s="58" t="s">
        <v>272</v>
      </c>
    </row>
    <row r="3968" spans="1:18" ht="69" customHeight="1">
      <c r="A3968" s="168"/>
      <c r="B3968" s="191">
        <v>6957</v>
      </c>
      <c r="C3968" s="191" t="s">
        <v>657</v>
      </c>
      <c r="D3968" s="533" t="s">
        <v>698</v>
      </c>
      <c r="E3968" s="191" t="s">
        <v>1056</v>
      </c>
      <c r="F3968" s="211" t="s">
        <v>10135</v>
      </c>
      <c r="G3968" s="46" t="s">
        <v>1058</v>
      </c>
      <c r="H3968" s="546">
        <v>16416</v>
      </c>
      <c r="I3968" s="56">
        <v>44846</v>
      </c>
      <c r="J3968" s="412" t="s">
        <v>1059</v>
      </c>
      <c r="K3968" s="46"/>
      <c r="L3968" s="99"/>
      <c r="M3968" s="70" t="s">
        <v>10136</v>
      </c>
      <c r="N3968" s="97" t="s">
        <v>814</v>
      </c>
      <c r="O3968" s="46" t="s">
        <v>1061</v>
      </c>
      <c r="P3968" s="46" t="s">
        <v>36</v>
      </c>
      <c r="Q3968" s="46" t="s">
        <v>99</v>
      </c>
      <c r="R3968" s="46" t="s">
        <v>272</v>
      </c>
    </row>
    <row r="3969" spans="1:18" ht="69" customHeight="1">
      <c r="A3969" s="168"/>
      <c r="B3969" s="178">
        <v>7715</v>
      </c>
      <c r="C3969" s="178" t="s">
        <v>657</v>
      </c>
      <c r="D3969" s="575" t="s">
        <v>4887</v>
      </c>
      <c r="E3969" s="178" t="s">
        <v>350</v>
      </c>
      <c r="F3969" s="210" t="s">
        <v>10137</v>
      </c>
      <c r="G3969" s="58" t="s">
        <v>805</v>
      </c>
      <c r="H3969" s="546">
        <v>178290</v>
      </c>
      <c r="I3969" s="66">
        <v>44908</v>
      </c>
      <c r="J3969" s="411" t="s">
        <v>806</v>
      </c>
      <c r="K3969" s="58"/>
      <c r="L3969" s="99"/>
      <c r="M3969" s="70" t="s">
        <v>9802</v>
      </c>
      <c r="N3969" s="97" t="s">
        <v>356</v>
      </c>
      <c r="O3969" s="58" t="s">
        <v>141</v>
      </c>
      <c r="P3969" s="58" t="s">
        <v>19</v>
      </c>
      <c r="Q3969" s="58" t="s">
        <v>120</v>
      </c>
      <c r="R3969" s="58" t="s">
        <v>265</v>
      </c>
    </row>
    <row r="3970" spans="1:18" ht="69" customHeight="1">
      <c r="A3970" s="168"/>
      <c r="B3970" s="191">
        <v>6798</v>
      </c>
      <c r="C3970" s="191" t="s">
        <v>657</v>
      </c>
      <c r="D3970" s="533" t="s">
        <v>4158</v>
      </c>
      <c r="E3970" s="191" t="s">
        <v>1056</v>
      </c>
      <c r="F3970" s="211" t="s">
        <v>10138</v>
      </c>
      <c r="G3970" s="46" t="s">
        <v>9863</v>
      </c>
      <c r="H3970" s="546">
        <v>0</v>
      </c>
      <c r="I3970" s="56">
        <v>44834</v>
      </c>
      <c r="J3970" s="412" t="s">
        <v>9864</v>
      </c>
      <c r="K3970" s="46"/>
      <c r="L3970" s="99"/>
      <c r="M3970" s="70" t="s">
        <v>10136</v>
      </c>
      <c r="N3970" s="97" t="s">
        <v>814</v>
      </c>
      <c r="O3970" s="46" t="s">
        <v>1061</v>
      </c>
      <c r="P3970" s="46" t="s">
        <v>36</v>
      </c>
      <c r="Q3970" s="46" t="s">
        <v>99</v>
      </c>
      <c r="R3970" s="46" t="s">
        <v>272</v>
      </c>
    </row>
    <row r="3971" spans="1:18" ht="69" customHeight="1">
      <c r="A3971" s="168"/>
      <c r="B3971" s="191">
        <v>6799</v>
      </c>
      <c r="C3971" s="191" t="s">
        <v>309</v>
      </c>
      <c r="D3971" s="533" t="s">
        <v>6805</v>
      </c>
      <c r="E3971" s="191" t="s">
        <v>1056</v>
      </c>
      <c r="F3971" s="211" t="s">
        <v>10139</v>
      </c>
      <c r="G3971" s="46" t="s">
        <v>9863</v>
      </c>
      <c r="H3971" s="534">
        <v>0</v>
      </c>
      <c r="I3971" s="56">
        <v>44834</v>
      </c>
      <c r="J3971" s="412" t="s">
        <v>9864</v>
      </c>
      <c r="K3971" s="46"/>
      <c r="L3971" s="99"/>
      <c r="M3971" s="70" t="s">
        <v>10136</v>
      </c>
      <c r="N3971" s="97" t="s">
        <v>814</v>
      </c>
      <c r="O3971" s="46" t="s">
        <v>1061</v>
      </c>
      <c r="P3971" s="46" t="s">
        <v>36</v>
      </c>
      <c r="Q3971" s="46" t="s">
        <v>15</v>
      </c>
      <c r="R3971" s="46" t="s">
        <v>272</v>
      </c>
    </row>
    <row r="3972" spans="1:18" ht="69" customHeight="1">
      <c r="A3972" s="168"/>
      <c r="B3972" s="178">
        <v>7633</v>
      </c>
      <c r="C3972" s="178" t="s">
        <v>657</v>
      </c>
      <c r="D3972" s="575" t="s">
        <v>10140</v>
      </c>
      <c r="E3972" s="178" t="s">
        <v>8347</v>
      </c>
      <c r="F3972" s="210" t="s">
        <v>10141</v>
      </c>
      <c r="G3972" s="58" t="s">
        <v>1048</v>
      </c>
      <c r="H3972" s="546">
        <v>16800</v>
      </c>
      <c r="I3972" s="66">
        <v>44901</v>
      </c>
      <c r="J3972" s="411" t="s">
        <v>10142</v>
      </c>
      <c r="K3972" s="58"/>
      <c r="L3972" s="99"/>
      <c r="M3972" s="70" t="s">
        <v>8358</v>
      </c>
      <c r="N3972" s="97" t="s">
        <v>414</v>
      </c>
      <c r="O3972" s="58"/>
      <c r="P3972" s="58" t="s">
        <v>22</v>
      </c>
      <c r="Q3972" s="58" t="s">
        <v>120</v>
      </c>
      <c r="R3972" s="58" t="s">
        <v>265</v>
      </c>
    </row>
    <row r="3973" spans="1:18" ht="69" customHeight="1">
      <c r="A3973" s="168"/>
      <c r="B3973" s="178">
        <v>7694</v>
      </c>
      <c r="C3973" s="178" t="s">
        <v>657</v>
      </c>
      <c r="D3973" s="575" t="s">
        <v>10143</v>
      </c>
      <c r="E3973" s="178" t="s">
        <v>741</v>
      </c>
      <c r="F3973" s="210" t="s">
        <v>10144</v>
      </c>
      <c r="G3973" s="58" t="s">
        <v>10145</v>
      </c>
      <c r="H3973" s="546">
        <v>24179.32</v>
      </c>
      <c r="I3973" s="66">
        <v>44904</v>
      </c>
      <c r="J3973" s="411" t="s">
        <v>10146</v>
      </c>
      <c r="K3973" s="58"/>
      <c r="L3973" s="99"/>
      <c r="M3973" s="70" t="s">
        <v>10047</v>
      </c>
      <c r="N3973" s="97" t="s">
        <v>741</v>
      </c>
      <c r="O3973" s="58" t="s">
        <v>8228</v>
      </c>
      <c r="P3973" s="58" t="s">
        <v>59</v>
      </c>
      <c r="Q3973" s="58" t="s">
        <v>120</v>
      </c>
      <c r="R3973" s="58" t="s">
        <v>272</v>
      </c>
    </row>
    <row r="3974" spans="1:18" ht="69" customHeight="1">
      <c r="A3974" s="168"/>
      <c r="B3974" s="178">
        <v>7695</v>
      </c>
      <c r="C3974" s="178" t="s">
        <v>657</v>
      </c>
      <c r="D3974" s="575" t="s">
        <v>1035</v>
      </c>
      <c r="E3974" s="178" t="s">
        <v>741</v>
      </c>
      <c r="F3974" s="210" t="s">
        <v>10147</v>
      </c>
      <c r="G3974" s="58" t="s">
        <v>10145</v>
      </c>
      <c r="H3974" s="546">
        <v>96717.28</v>
      </c>
      <c r="I3974" s="66">
        <v>44904</v>
      </c>
      <c r="J3974" s="411" t="s">
        <v>10146</v>
      </c>
      <c r="K3974" s="58"/>
      <c r="L3974" s="99"/>
      <c r="M3974" s="70" t="s">
        <v>10047</v>
      </c>
      <c r="N3974" s="97" t="s">
        <v>741</v>
      </c>
      <c r="O3974" s="58" t="s">
        <v>8228</v>
      </c>
      <c r="P3974" s="58" t="s">
        <v>59</v>
      </c>
      <c r="Q3974" s="58" t="s">
        <v>120</v>
      </c>
      <c r="R3974" s="58" t="s">
        <v>272</v>
      </c>
    </row>
    <row r="3975" spans="1:18" ht="69" customHeight="1">
      <c r="A3975" s="168"/>
      <c r="B3975" s="178">
        <v>7698</v>
      </c>
      <c r="C3975" s="178" t="s">
        <v>657</v>
      </c>
      <c r="D3975" s="575" t="s">
        <v>10148</v>
      </c>
      <c r="E3975" s="178" t="s">
        <v>10028</v>
      </c>
      <c r="F3975" s="210" t="s">
        <v>10149</v>
      </c>
      <c r="G3975" s="58" t="s">
        <v>10150</v>
      </c>
      <c r="H3975" s="546">
        <v>191151.86</v>
      </c>
      <c r="I3975" s="66">
        <v>44902</v>
      </c>
      <c r="J3975" s="411" t="s">
        <v>9855</v>
      </c>
      <c r="K3975" s="58"/>
      <c r="L3975" s="99"/>
      <c r="M3975" s="70" t="s">
        <v>10031</v>
      </c>
      <c r="N3975" s="97" t="s">
        <v>414</v>
      </c>
      <c r="O3975" s="58"/>
      <c r="P3975" s="58" t="s">
        <v>22</v>
      </c>
      <c r="Q3975" s="58" t="s">
        <v>120</v>
      </c>
      <c r="R3975" s="58" t="s">
        <v>272</v>
      </c>
    </row>
    <row r="3976" spans="1:18" ht="69" customHeight="1">
      <c r="A3976" s="168"/>
      <c r="B3976" s="178">
        <v>7699</v>
      </c>
      <c r="C3976" s="178" t="s">
        <v>657</v>
      </c>
      <c r="D3976" s="575" t="s">
        <v>10151</v>
      </c>
      <c r="E3976" s="178" t="s">
        <v>10028</v>
      </c>
      <c r="F3976" s="210" t="s">
        <v>10152</v>
      </c>
      <c r="G3976" s="58" t="s">
        <v>10153</v>
      </c>
      <c r="H3976" s="546">
        <v>102927.92</v>
      </c>
      <c r="I3976" s="66">
        <v>44902</v>
      </c>
      <c r="J3976" s="411" t="s">
        <v>9855</v>
      </c>
      <c r="K3976" s="58"/>
      <c r="L3976" s="99"/>
      <c r="M3976" s="70" t="s">
        <v>10031</v>
      </c>
      <c r="N3976" s="97" t="s">
        <v>414</v>
      </c>
      <c r="O3976" s="58"/>
      <c r="P3976" s="58" t="s">
        <v>22</v>
      </c>
      <c r="Q3976" s="58" t="s">
        <v>120</v>
      </c>
      <c r="R3976" s="58" t="s">
        <v>272</v>
      </c>
    </row>
    <row r="3977" spans="1:18" ht="69" customHeight="1">
      <c r="A3977" s="168"/>
      <c r="B3977" s="178">
        <v>7720</v>
      </c>
      <c r="C3977" s="178" t="s">
        <v>657</v>
      </c>
      <c r="D3977" s="575" t="s">
        <v>5707</v>
      </c>
      <c r="E3977" s="178" t="s">
        <v>10028</v>
      </c>
      <c r="F3977" s="210" t="s">
        <v>10154</v>
      </c>
      <c r="G3977" s="58" t="s">
        <v>10155</v>
      </c>
      <c r="H3977" s="546">
        <v>148128.42000000001</v>
      </c>
      <c r="I3977" s="66">
        <v>44909</v>
      </c>
      <c r="J3977" s="411" t="s">
        <v>10156</v>
      </c>
      <c r="K3977" s="58"/>
      <c r="L3977" s="99"/>
      <c r="M3977" s="70" t="s">
        <v>10031</v>
      </c>
      <c r="N3977" s="97" t="s">
        <v>414</v>
      </c>
      <c r="O3977" s="58"/>
      <c r="P3977" s="58" t="s">
        <v>22</v>
      </c>
      <c r="Q3977" s="58" t="s">
        <v>120</v>
      </c>
      <c r="R3977" s="58" t="s">
        <v>272</v>
      </c>
    </row>
    <row r="3978" spans="1:18" ht="69" customHeight="1">
      <c r="A3978" s="168"/>
      <c r="B3978" s="178">
        <v>7721</v>
      </c>
      <c r="C3978" s="178" t="s">
        <v>657</v>
      </c>
      <c r="D3978" s="575" t="s">
        <v>6793</v>
      </c>
      <c r="E3978" s="178" t="s">
        <v>10028</v>
      </c>
      <c r="F3978" s="210" t="s">
        <v>10157</v>
      </c>
      <c r="G3978" s="58" t="s">
        <v>7673</v>
      </c>
      <c r="H3978" s="546">
        <v>79761.45</v>
      </c>
      <c r="I3978" s="66">
        <v>44909</v>
      </c>
      <c r="J3978" s="411" t="s">
        <v>10156</v>
      </c>
      <c r="K3978" s="58"/>
      <c r="L3978" s="99"/>
      <c r="M3978" s="70" t="s">
        <v>10031</v>
      </c>
      <c r="N3978" s="97" t="s">
        <v>414</v>
      </c>
      <c r="O3978" s="58"/>
      <c r="P3978" s="58" t="s">
        <v>22</v>
      </c>
      <c r="Q3978" s="58" t="s">
        <v>120</v>
      </c>
      <c r="R3978" s="58" t="s">
        <v>272</v>
      </c>
    </row>
    <row r="3979" spans="1:18" ht="69" customHeight="1">
      <c r="A3979" s="168"/>
      <c r="B3979" s="178">
        <v>7735</v>
      </c>
      <c r="C3979" s="178" t="s">
        <v>657</v>
      </c>
      <c r="D3979" s="575" t="s">
        <v>9251</v>
      </c>
      <c r="E3979" s="178" t="s">
        <v>8347</v>
      </c>
      <c r="F3979" s="210" t="s">
        <v>10158</v>
      </c>
      <c r="G3979" s="58" t="s">
        <v>7694</v>
      </c>
      <c r="H3979" s="546">
        <v>15000</v>
      </c>
      <c r="I3979" s="66">
        <v>44907</v>
      </c>
      <c r="J3979" s="411" t="s">
        <v>7695</v>
      </c>
      <c r="K3979" s="58"/>
      <c r="L3979" s="99"/>
      <c r="M3979" s="70" t="s">
        <v>8358</v>
      </c>
      <c r="N3979" s="97" t="s">
        <v>414</v>
      </c>
      <c r="O3979" s="58" t="s">
        <v>10159</v>
      </c>
      <c r="P3979" s="58" t="s">
        <v>22</v>
      </c>
      <c r="Q3979" s="58" t="s">
        <v>120</v>
      </c>
      <c r="R3979" s="58" t="s">
        <v>265</v>
      </c>
    </row>
    <row r="3980" spans="1:18" ht="69" customHeight="1">
      <c r="A3980" s="168"/>
      <c r="B3980" s="178">
        <v>8025</v>
      </c>
      <c r="C3980" s="178" t="s">
        <v>657</v>
      </c>
      <c r="D3980" s="575" t="s">
        <v>6254</v>
      </c>
      <c r="E3980" s="178" t="s">
        <v>8347</v>
      </c>
      <c r="F3980" s="210" t="s">
        <v>10160</v>
      </c>
      <c r="G3980" s="58" t="s">
        <v>1149</v>
      </c>
      <c r="H3980" s="546">
        <v>16680</v>
      </c>
      <c r="I3980" s="66">
        <v>44909</v>
      </c>
      <c r="J3980" s="411" t="s">
        <v>8353</v>
      </c>
      <c r="K3980" s="58"/>
      <c r="L3980" s="99"/>
      <c r="M3980" s="70" t="s">
        <v>8358</v>
      </c>
      <c r="N3980" s="97" t="s">
        <v>414</v>
      </c>
      <c r="O3980" s="58"/>
      <c r="P3980" s="58" t="s">
        <v>22</v>
      </c>
      <c r="Q3980" s="58" t="s">
        <v>120</v>
      </c>
      <c r="R3980" s="58" t="s">
        <v>265</v>
      </c>
    </row>
    <row r="3981" spans="1:18" ht="69" customHeight="1">
      <c r="A3981" s="168"/>
      <c r="B3981" s="191">
        <v>6963</v>
      </c>
      <c r="C3981" s="191" t="s">
        <v>657</v>
      </c>
      <c r="D3981" s="533" t="s">
        <v>1551</v>
      </c>
      <c r="E3981" s="191" t="s">
        <v>1056</v>
      </c>
      <c r="F3981" s="211" t="s">
        <v>10161</v>
      </c>
      <c r="G3981" s="46" t="s">
        <v>1058</v>
      </c>
      <c r="H3981" s="546">
        <v>12041.58</v>
      </c>
      <c r="I3981" s="56">
        <v>44846</v>
      </c>
      <c r="J3981" s="412" t="s">
        <v>1059</v>
      </c>
      <c r="K3981" s="46"/>
      <c r="L3981" s="99"/>
      <c r="M3981" s="70" t="s">
        <v>10136</v>
      </c>
      <c r="N3981" s="97" t="s">
        <v>814</v>
      </c>
      <c r="O3981" s="46" t="s">
        <v>1061</v>
      </c>
      <c r="P3981" s="46" t="s">
        <v>36</v>
      </c>
      <c r="Q3981" s="46" t="s">
        <v>99</v>
      </c>
      <c r="R3981" s="46" t="s">
        <v>272</v>
      </c>
    </row>
    <row r="3982" spans="1:18" ht="69" customHeight="1">
      <c r="A3982" s="168"/>
      <c r="B3982" s="600">
        <v>6614</v>
      </c>
      <c r="C3982" s="600" t="s">
        <v>3667</v>
      </c>
      <c r="D3982" s="601" t="s">
        <v>10162</v>
      </c>
      <c r="E3982" s="600" t="s">
        <v>5708</v>
      </c>
      <c r="F3982" s="602" t="s">
        <v>10163</v>
      </c>
      <c r="G3982" s="460" t="s">
        <v>5710</v>
      </c>
      <c r="H3982" s="605">
        <v>339577.59999999998</v>
      </c>
      <c r="I3982" s="461">
        <v>44820</v>
      </c>
      <c r="J3982" s="603" t="s">
        <v>10095</v>
      </c>
      <c r="K3982" s="58"/>
      <c r="L3982" s="99"/>
      <c r="M3982" s="70" t="s">
        <v>10096</v>
      </c>
      <c r="N3982" s="97" t="s">
        <v>414</v>
      </c>
      <c r="O3982" s="58" t="s">
        <v>5713</v>
      </c>
      <c r="P3982" s="58" t="s">
        <v>24</v>
      </c>
      <c r="Q3982" s="58" t="s">
        <v>70</v>
      </c>
      <c r="R3982" s="58" t="s">
        <v>265</v>
      </c>
    </row>
    <row r="3983" spans="1:18" ht="69" customHeight="1">
      <c r="A3983" s="168"/>
      <c r="B3983" s="178">
        <v>8224</v>
      </c>
      <c r="C3983" s="178" t="s">
        <v>657</v>
      </c>
      <c r="D3983" s="575" t="s">
        <v>6084</v>
      </c>
      <c r="E3983" s="178" t="s">
        <v>10028</v>
      </c>
      <c r="F3983" s="210" t="s">
        <v>10164</v>
      </c>
      <c r="G3983" s="58" t="s">
        <v>9868</v>
      </c>
      <c r="H3983" s="546">
        <v>368574.7</v>
      </c>
      <c r="I3983" s="66">
        <v>44921</v>
      </c>
      <c r="J3983" s="411" t="s">
        <v>7702</v>
      </c>
      <c r="K3983" s="58"/>
      <c r="L3983" s="99"/>
      <c r="M3983" s="70" t="s">
        <v>10031</v>
      </c>
      <c r="N3983" s="97" t="s">
        <v>414</v>
      </c>
      <c r="O3983" s="58"/>
      <c r="P3983" s="58" t="s">
        <v>22</v>
      </c>
      <c r="Q3983" s="58" t="s">
        <v>120</v>
      </c>
      <c r="R3983" s="58" t="s">
        <v>272</v>
      </c>
    </row>
    <row r="3984" spans="1:18" ht="69" customHeight="1">
      <c r="A3984" s="168"/>
      <c r="B3984" s="178">
        <v>8225</v>
      </c>
      <c r="C3984" s="178" t="s">
        <v>657</v>
      </c>
      <c r="D3984" s="575" t="s">
        <v>3291</v>
      </c>
      <c r="E3984" s="178" t="s">
        <v>10028</v>
      </c>
      <c r="F3984" s="210" t="s">
        <v>10165</v>
      </c>
      <c r="G3984" s="58" t="s">
        <v>9871</v>
      </c>
      <c r="H3984" s="546">
        <v>198463.3</v>
      </c>
      <c r="I3984" s="66">
        <v>44921</v>
      </c>
      <c r="J3984" s="411" t="s">
        <v>7702</v>
      </c>
      <c r="K3984" s="58"/>
      <c r="L3984" s="99"/>
      <c r="M3984" s="70" t="s">
        <v>10031</v>
      </c>
      <c r="N3984" s="97" t="s">
        <v>414</v>
      </c>
      <c r="O3984" s="58"/>
      <c r="P3984" s="58" t="s">
        <v>22</v>
      </c>
      <c r="Q3984" s="58" t="s">
        <v>120</v>
      </c>
      <c r="R3984" s="58" t="s">
        <v>272</v>
      </c>
    </row>
    <row r="3985" spans="1:18" ht="69" customHeight="1">
      <c r="A3985" s="168"/>
      <c r="B3985" s="178">
        <v>8332</v>
      </c>
      <c r="C3985" s="178" t="s">
        <v>657</v>
      </c>
      <c r="D3985" s="575" t="s">
        <v>2356</v>
      </c>
      <c r="E3985" s="178" t="s">
        <v>8347</v>
      </c>
      <c r="F3985" s="210" t="s">
        <v>10166</v>
      </c>
      <c r="G3985" s="58" t="s">
        <v>9877</v>
      </c>
      <c r="H3985" s="546">
        <v>34000</v>
      </c>
      <c r="I3985" s="66">
        <v>44564</v>
      </c>
      <c r="J3985" s="411" t="s">
        <v>463</v>
      </c>
      <c r="K3985" s="58"/>
      <c r="L3985" s="99"/>
      <c r="M3985" s="70" t="s">
        <v>8358</v>
      </c>
      <c r="N3985" s="97" t="s">
        <v>414</v>
      </c>
      <c r="O3985" s="58"/>
      <c r="P3985" s="58" t="s">
        <v>22</v>
      </c>
      <c r="Q3985" s="58" t="s">
        <v>120</v>
      </c>
      <c r="R3985" s="58" t="s">
        <v>265</v>
      </c>
    </row>
    <row r="3986" spans="1:18" ht="69" customHeight="1">
      <c r="A3986" s="168"/>
      <c r="B3986" s="178">
        <v>7294</v>
      </c>
      <c r="C3986" s="178" t="s">
        <v>657</v>
      </c>
      <c r="D3986" s="575" t="s">
        <v>1346</v>
      </c>
      <c r="E3986" s="178" t="s">
        <v>2075</v>
      </c>
      <c r="F3986" s="210" t="s">
        <v>10167</v>
      </c>
      <c r="G3986" s="58" t="s">
        <v>1041</v>
      </c>
      <c r="H3986" s="546">
        <v>34316.910000000003</v>
      </c>
      <c r="I3986" s="66">
        <v>44869</v>
      </c>
      <c r="J3986" s="411" t="s">
        <v>6099</v>
      </c>
      <c r="K3986" s="58"/>
      <c r="L3986" s="99"/>
      <c r="M3986" s="70" t="s">
        <v>10098</v>
      </c>
      <c r="N3986" s="97" t="s">
        <v>1044</v>
      </c>
      <c r="O3986" s="58"/>
      <c r="P3986" s="58" t="s">
        <v>26</v>
      </c>
      <c r="Q3986" s="58" t="s">
        <v>120</v>
      </c>
      <c r="R3986" s="58" t="s">
        <v>272</v>
      </c>
    </row>
    <row r="3987" spans="1:18" ht="69" customHeight="1">
      <c r="A3987" s="168"/>
      <c r="B3987" s="178" t="s">
        <v>10168</v>
      </c>
      <c r="C3987" s="178" t="s">
        <v>657</v>
      </c>
      <c r="D3987" s="575"/>
      <c r="E3987" s="178" t="s">
        <v>260</v>
      </c>
      <c r="F3987" s="210" t="s">
        <v>9982</v>
      </c>
      <c r="G3987" s="58" t="s">
        <v>7080</v>
      </c>
      <c r="H3987" s="546">
        <v>47822.63</v>
      </c>
      <c r="I3987" s="66" t="s">
        <v>96</v>
      </c>
      <c r="J3987" s="411" t="s">
        <v>7081</v>
      </c>
      <c r="K3987" s="58" t="s">
        <v>10169</v>
      </c>
      <c r="L3987" s="99"/>
      <c r="M3987" s="70" t="s">
        <v>9090</v>
      </c>
      <c r="N3987" s="97" t="s">
        <v>264</v>
      </c>
      <c r="O3987" s="58" t="s">
        <v>141</v>
      </c>
      <c r="P3987" s="58" t="s">
        <v>17</v>
      </c>
      <c r="Q3987" s="58" t="s">
        <v>120</v>
      </c>
      <c r="R3987" s="58" t="s">
        <v>265</v>
      </c>
    </row>
    <row r="3988" spans="1:18" ht="69" customHeight="1">
      <c r="A3988" s="168"/>
      <c r="B3988" s="178">
        <v>8333</v>
      </c>
      <c r="C3988" s="178" t="s">
        <v>657</v>
      </c>
      <c r="D3988" s="575" t="s">
        <v>5807</v>
      </c>
      <c r="E3988" s="178" t="s">
        <v>8347</v>
      </c>
      <c r="F3988" s="210" t="s">
        <v>10170</v>
      </c>
      <c r="G3988" s="58" t="s">
        <v>462</v>
      </c>
      <c r="H3988" s="546">
        <v>19500</v>
      </c>
      <c r="I3988" s="66">
        <v>44923</v>
      </c>
      <c r="J3988" s="411" t="s">
        <v>463</v>
      </c>
      <c r="K3988" s="58"/>
      <c r="L3988" s="99"/>
      <c r="M3988" s="70" t="s">
        <v>8358</v>
      </c>
      <c r="N3988" s="97" t="s">
        <v>414</v>
      </c>
      <c r="O3988" s="58"/>
      <c r="P3988" s="58" t="s">
        <v>22</v>
      </c>
      <c r="Q3988" s="58" t="s">
        <v>120</v>
      </c>
      <c r="R3988" s="58" t="s">
        <v>265</v>
      </c>
    </row>
    <row r="3989" spans="1:18" ht="69" customHeight="1">
      <c r="A3989" s="168"/>
      <c r="B3989" s="178" t="s">
        <v>10171</v>
      </c>
      <c r="C3989" s="178" t="s">
        <v>657</v>
      </c>
      <c r="D3989" s="575"/>
      <c r="E3989" s="178" t="s">
        <v>260</v>
      </c>
      <c r="F3989" s="210" t="s">
        <v>10172</v>
      </c>
      <c r="G3989" s="58" t="s">
        <v>7080</v>
      </c>
      <c r="H3989" s="546">
        <v>426.1</v>
      </c>
      <c r="I3989" s="66" t="s">
        <v>96</v>
      </c>
      <c r="J3989" s="411" t="s">
        <v>7081</v>
      </c>
      <c r="K3989" s="58" t="s">
        <v>10169</v>
      </c>
      <c r="L3989" s="99"/>
      <c r="M3989" s="70" t="s">
        <v>9090</v>
      </c>
      <c r="N3989" s="97" t="s">
        <v>264</v>
      </c>
      <c r="O3989" s="58" t="s">
        <v>141</v>
      </c>
      <c r="P3989" s="58" t="s">
        <v>17</v>
      </c>
      <c r="Q3989" s="58" t="s">
        <v>120</v>
      </c>
      <c r="R3989" s="58" t="s">
        <v>265</v>
      </c>
    </row>
    <row r="3990" spans="1:18" ht="69" customHeight="1">
      <c r="A3990" s="168"/>
      <c r="B3990" s="178">
        <v>7607</v>
      </c>
      <c r="C3990" s="178" t="s">
        <v>657</v>
      </c>
      <c r="D3990" s="575" t="s">
        <v>7674</v>
      </c>
      <c r="E3990" s="178" t="s">
        <v>358</v>
      </c>
      <c r="F3990" s="210" t="s">
        <v>10173</v>
      </c>
      <c r="G3990" s="58" t="s">
        <v>7867</v>
      </c>
      <c r="H3990" s="546">
        <v>80000</v>
      </c>
      <c r="I3990" s="66">
        <v>44890</v>
      </c>
      <c r="J3990" s="411" t="s">
        <v>795</v>
      </c>
      <c r="K3990" s="58" t="s">
        <v>10174</v>
      </c>
      <c r="L3990" s="99"/>
      <c r="M3990" s="70" t="s">
        <v>10012</v>
      </c>
      <c r="N3990" s="97" t="s">
        <v>356</v>
      </c>
      <c r="O3990" s="58" t="s">
        <v>141</v>
      </c>
      <c r="P3990" s="58" t="s">
        <v>19</v>
      </c>
      <c r="Q3990" s="58" t="s">
        <v>120</v>
      </c>
      <c r="R3990" s="58" t="s">
        <v>272</v>
      </c>
    </row>
    <row r="3991" spans="1:18" ht="69" customHeight="1">
      <c r="A3991" s="168"/>
      <c r="B3991" s="191">
        <v>8463</v>
      </c>
      <c r="C3991" s="191" t="s">
        <v>657</v>
      </c>
      <c r="D3991" s="533" t="s">
        <v>2564</v>
      </c>
      <c r="E3991" s="191" t="s">
        <v>7890</v>
      </c>
      <c r="F3991" s="211" t="s">
        <v>10175</v>
      </c>
      <c r="G3991" s="46" t="s">
        <v>7894</v>
      </c>
      <c r="H3991" s="534">
        <v>5250</v>
      </c>
      <c r="I3991" s="56">
        <v>44935</v>
      </c>
      <c r="J3991" s="412" t="s">
        <v>7895</v>
      </c>
      <c r="K3991" s="46" t="s">
        <v>167</v>
      </c>
      <c r="L3991" s="99"/>
      <c r="M3991" s="379"/>
      <c r="N3991" s="76" t="s">
        <v>414</v>
      </c>
      <c r="O3991" s="46"/>
      <c r="P3991" s="46" t="s">
        <v>71</v>
      </c>
      <c r="Q3991" s="46" t="s">
        <v>120</v>
      </c>
      <c r="R3991" s="46" t="s">
        <v>272</v>
      </c>
    </row>
    <row r="3992" spans="1:18" ht="69" customHeight="1">
      <c r="A3992" s="168"/>
      <c r="B3992" s="178">
        <v>8629</v>
      </c>
      <c r="C3992" s="178" t="s">
        <v>657</v>
      </c>
      <c r="D3992" s="575" t="s">
        <v>10176</v>
      </c>
      <c r="E3992" s="178" t="s">
        <v>8347</v>
      </c>
      <c r="F3992" s="210" t="s">
        <v>10177</v>
      </c>
      <c r="G3992" s="58" t="s">
        <v>3891</v>
      </c>
      <c r="H3992" s="546">
        <v>19500</v>
      </c>
      <c r="I3992" s="66">
        <v>44946</v>
      </c>
      <c r="J3992" s="411" t="s">
        <v>10178</v>
      </c>
      <c r="K3992" s="58"/>
      <c r="L3992" s="99"/>
      <c r="M3992" s="70" t="s">
        <v>8358</v>
      </c>
      <c r="N3992" s="97" t="s">
        <v>414</v>
      </c>
      <c r="O3992" s="58"/>
      <c r="P3992" s="58" t="s">
        <v>22</v>
      </c>
      <c r="Q3992" s="58" t="s">
        <v>120</v>
      </c>
      <c r="R3992" s="58" t="s">
        <v>265</v>
      </c>
    </row>
    <row r="3993" spans="1:18" ht="69" customHeight="1">
      <c r="A3993" s="168"/>
      <c r="B3993" s="178">
        <v>8791</v>
      </c>
      <c r="C3993" s="178" t="s">
        <v>657</v>
      </c>
      <c r="D3993" s="575" t="s">
        <v>7346</v>
      </c>
      <c r="E3993" s="178" t="s">
        <v>10028</v>
      </c>
      <c r="F3993" s="210" t="s">
        <v>10179</v>
      </c>
      <c r="G3993" s="58" t="s">
        <v>7916</v>
      </c>
      <c r="H3993" s="546">
        <v>34220.550000000003</v>
      </c>
      <c r="I3993" s="66">
        <v>44953</v>
      </c>
      <c r="J3993" s="411" t="s">
        <v>7917</v>
      </c>
      <c r="K3993" s="58"/>
      <c r="L3993" s="99"/>
      <c r="M3993" s="70" t="s">
        <v>10031</v>
      </c>
      <c r="N3993" s="97" t="s">
        <v>414</v>
      </c>
      <c r="O3993" s="58"/>
      <c r="P3993" s="58" t="s">
        <v>22</v>
      </c>
      <c r="Q3993" s="58" t="s">
        <v>120</v>
      </c>
      <c r="R3993" s="58" t="s">
        <v>272</v>
      </c>
    </row>
    <row r="3994" spans="1:18" ht="69" customHeight="1">
      <c r="A3994" s="168"/>
      <c r="B3994" s="178">
        <v>8792</v>
      </c>
      <c r="C3994" s="178" t="s">
        <v>657</v>
      </c>
      <c r="D3994" s="575" t="s">
        <v>7348</v>
      </c>
      <c r="E3994" s="178" t="s">
        <v>10028</v>
      </c>
      <c r="F3994" s="210" t="s">
        <v>10180</v>
      </c>
      <c r="G3994" s="58" t="s">
        <v>7737</v>
      </c>
      <c r="H3994" s="546">
        <v>18426.45</v>
      </c>
      <c r="I3994" s="66">
        <v>44953</v>
      </c>
      <c r="J3994" s="411" t="s">
        <v>7917</v>
      </c>
      <c r="K3994" s="58"/>
      <c r="L3994" s="99"/>
      <c r="M3994" s="70" t="s">
        <v>10031</v>
      </c>
      <c r="N3994" s="97" t="s">
        <v>414</v>
      </c>
      <c r="O3994" s="58"/>
      <c r="P3994" s="58" t="s">
        <v>22</v>
      </c>
      <c r="Q3994" s="58" t="s">
        <v>120</v>
      </c>
      <c r="R3994" s="58" t="s">
        <v>272</v>
      </c>
    </row>
    <row r="3995" spans="1:18" ht="69" customHeight="1">
      <c r="A3995" s="168"/>
      <c r="B3995" s="191">
        <v>8235</v>
      </c>
      <c r="C3995" s="191" t="s">
        <v>657</v>
      </c>
      <c r="D3995" s="533" t="s">
        <v>1599</v>
      </c>
      <c r="E3995" s="191" t="s">
        <v>7890</v>
      </c>
      <c r="F3995" s="211" t="s">
        <v>10181</v>
      </c>
      <c r="G3995" s="46" t="s">
        <v>7894</v>
      </c>
      <c r="H3995" s="534">
        <v>5250</v>
      </c>
      <c r="I3995" s="56">
        <v>44960</v>
      </c>
      <c r="J3995" s="412" t="s">
        <v>9898</v>
      </c>
      <c r="K3995" s="46" t="s">
        <v>167</v>
      </c>
      <c r="L3995" s="99"/>
      <c r="M3995" s="379"/>
      <c r="N3995" s="76" t="s">
        <v>414</v>
      </c>
      <c r="O3995" s="46"/>
      <c r="P3995" s="46" t="s">
        <v>71</v>
      </c>
      <c r="Q3995" s="46" t="s">
        <v>120</v>
      </c>
      <c r="R3995" s="46" t="s">
        <v>272</v>
      </c>
    </row>
    <row r="3996" spans="1:18" ht="69" customHeight="1">
      <c r="A3996" s="168"/>
      <c r="B3996" s="178">
        <v>8687</v>
      </c>
      <c r="C3996" s="178" t="s">
        <v>657</v>
      </c>
      <c r="D3996" s="575" t="s">
        <v>10182</v>
      </c>
      <c r="E3996" s="178" t="s">
        <v>10028</v>
      </c>
      <c r="F3996" s="210" t="s">
        <v>10183</v>
      </c>
      <c r="G3996" s="58" t="s">
        <v>9923</v>
      </c>
      <c r="H3996" s="546">
        <v>150843.44</v>
      </c>
      <c r="I3996" s="66">
        <v>44967</v>
      </c>
      <c r="J3996" s="411" t="s">
        <v>8401</v>
      </c>
      <c r="K3996" s="58"/>
      <c r="L3996" s="99"/>
      <c r="M3996" s="70" t="s">
        <v>10031</v>
      </c>
      <c r="N3996" s="97" t="s">
        <v>414</v>
      </c>
      <c r="O3996" s="58"/>
      <c r="P3996" s="58" t="s">
        <v>22</v>
      </c>
      <c r="Q3996" s="58" t="s">
        <v>120</v>
      </c>
      <c r="R3996" s="58" t="s">
        <v>272</v>
      </c>
    </row>
    <row r="3997" spans="1:18" ht="69" customHeight="1">
      <c r="A3997" s="168"/>
      <c r="B3997" s="178">
        <v>8688</v>
      </c>
      <c r="C3997" s="178" t="s">
        <v>657</v>
      </c>
      <c r="D3997" s="575" t="s">
        <v>3302</v>
      </c>
      <c r="E3997" s="178" t="s">
        <v>10028</v>
      </c>
      <c r="F3997" s="210" t="s">
        <v>10184</v>
      </c>
      <c r="G3997" s="58" t="s">
        <v>10185</v>
      </c>
      <c r="H3997" s="546">
        <v>81223.39</v>
      </c>
      <c r="I3997" s="66">
        <v>44967</v>
      </c>
      <c r="J3997" s="411" t="s">
        <v>8401</v>
      </c>
      <c r="K3997" s="58"/>
      <c r="L3997" s="99"/>
      <c r="M3997" s="70" t="s">
        <v>10031</v>
      </c>
      <c r="N3997" s="97" t="s">
        <v>414</v>
      </c>
      <c r="O3997" s="58"/>
      <c r="P3997" s="58" t="s">
        <v>22</v>
      </c>
      <c r="Q3997" s="58" t="s">
        <v>120</v>
      </c>
      <c r="R3997" s="58" t="s">
        <v>272</v>
      </c>
    </row>
    <row r="3998" spans="1:18" ht="69" customHeight="1">
      <c r="A3998" s="168"/>
      <c r="B3998" s="191">
        <v>8747</v>
      </c>
      <c r="C3998" s="191" t="s">
        <v>657</v>
      </c>
      <c r="D3998" s="533" t="s">
        <v>2367</v>
      </c>
      <c r="E3998" s="191" t="s">
        <v>7890</v>
      </c>
      <c r="F3998" s="211" t="s">
        <v>10186</v>
      </c>
      <c r="G3998" s="46" t="s">
        <v>10187</v>
      </c>
      <c r="H3998" s="534">
        <v>2610</v>
      </c>
      <c r="I3998" s="56">
        <v>44982</v>
      </c>
      <c r="J3998" s="412" t="s">
        <v>10188</v>
      </c>
      <c r="K3998" s="46" t="s">
        <v>167</v>
      </c>
      <c r="L3998" s="99"/>
      <c r="M3998" s="379"/>
      <c r="N3998" s="76" t="s">
        <v>414</v>
      </c>
      <c r="O3998" s="46"/>
      <c r="P3998" s="46" t="s">
        <v>65</v>
      </c>
      <c r="Q3998" s="46" t="s">
        <v>120</v>
      </c>
      <c r="R3998" s="46" t="s">
        <v>272</v>
      </c>
    </row>
    <row r="3999" spans="1:18" ht="69" customHeight="1">
      <c r="A3999" s="168"/>
      <c r="B3999" s="178">
        <v>8883</v>
      </c>
      <c r="C3999" s="178" t="s">
        <v>657</v>
      </c>
      <c r="D3999" s="575" t="s">
        <v>2592</v>
      </c>
      <c r="E3999" s="178" t="s">
        <v>10028</v>
      </c>
      <c r="F3999" s="210" t="s">
        <v>10189</v>
      </c>
      <c r="G3999" s="58" t="s">
        <v>9943</v>
      </c>
      <c r="H3999" s="546">
        <v>59033.81</v>
      </c>
      <c r="I3999" s="66">
        <v>44981</v>
      </c>
      <c r="J3999" s="411" t="s">
        <v>9225</v>
      </c>
      <c r="K3999" s="58" t="s">
        <v>10190</v>
      </c>
      <c r="L3999" s="99"/>
      <c r="M3999" s="70" t="s">
        <v>10031</v>
      </c>
      <c r="N3999" s="97" t="s">
        <v>414</v>
      </c>
      <c r="O3999" s="58"/>
      <c r="P3999" s="58" t="s">
        <v>22</v>
      </c>
      <c r="Q3999" s="58" t="s">
        <v>120</v>
      </c>
      <c r="R3999" s="58" t="s">
        <v>272</v>
      </c>
    </row>
    <row r="4000" spans="1:18" ht="69" customHeight="1">
      <c r="A4000" s="168"/>
      <c r="B4000" s="178">
        <v>8884</v>
      </c>
      <c r="C4000" s="178" t="s">
        <v>657</v>
      </c>
      <c r="D4000" s="575" t="s">
        <v>2594</v>
      </c>
      <c r="E4000" s="178" t="s">
        <v>10028</v>
      </c>
      <c r="F4000" s="210" t="s">
        <v>10191</v>
      </c>
      <c r="G4000" s="58" t="s">
        <v>10192</v>
      </c>
      <c r="H4000" s="546">
        <v>31787.439999999999</v>
      </c>
      <c r="I4000" s="66">
        <v>44981</v>
      </c>
      <c r="J4000" s="411" t="s">
        <v>9225</v>
      </c>
      <c r="K4000" s="58" t="s">
        <v>10193</v>
      </c>
      <c r="L4000" s="99"/>
      <c r="M4000" s="70" t="s">
        <v>10031</v>
      </c>
      <c r="N4000" s="97" t="s">
        <v>414</v>
      </c>
      <c r="O4000" s="58"/>
      <c r="P4000" s="58" t="s">
        <v>22</v>
      </c>
      <c r="Q4000" s="58" t="s">
        <v>120</v>
      </c>
      <c r="R4000" s="58" t="s">
        <v>272</v>
      </c>
    </row>
    <row r="4001" spans="1:18" ht="69" customHeight="1">
      <c r="A4001" s="168"/>
      <c r="B4001" s="191">
        <v>8955</v>
      </c>
      <c r="C4001" s="191" t="s">
        <v>7941</v>
      </c>
      <c r="D4001" s="533" t="s">
        <v>4639</v>
      </c>
      <c r="E4001" s="191" t="s">
        <v>7890</v>
      </c>
      <c r="F4001" s="211" t="s">
        <v>10194</v>
      </c>
      <c r="G4001" s="46" t="s">
        <v>7943</v>
      </c>
      <c r="H4001" s="534">
        <v>5250</v>
      </c>
      <c r="I4001" s="56">
        <v>44988</v>
      </c>
      <c r="J4001" s="412" t="s">
        <v>9931</v>
      </c>
      <c r="K4001" s="46" t="s">
        <v>167</v>
      </c>
      <c r="L4001" s="99"/>
      <c r="M4001" s="379"/>
      <c r="N4001" s="76" t="s">
        <v>414</v>
      </c>
      <c r="O4001" s="46"/>
      <c r="P4001" s="46" t="s">
        <v>71</v>
      </c>
      <c r="Q4001" s="46" t="s">
        <v>120</v>
      </c>
      <c r="R4001" s="46" t="s">
        <v>272</v>
      </c>
    </row>
    <row r="4002" spans="1:18" ht="69" customHeight="1">
      <c r="A4002" s="168"/>
      <c r="B4002" s="178">
        <v>8956</v>
      </c>
      <c r="C4002" s="178" t="s">
        <v>7941</v>
      </c>
      <c r="D4002" s="575" t="s">
        <v>10195</v>
      </c>
      <c r="E4002" s="178" t="s">
        <v>8347</v>
      </c>
      <c r="F4002" s="210" t="s">
        <v>10196</v>
      </c>
      <c r="G4002" s="58" t="s">
        <v>6580</v>
      </c>
      <c r="H4002" s="546">
        <v>19500</v>
      </c>
      <c r="I4002" s="66">
        <v>44988</v>
      </c>
      <c r="J4002" s="411" t="s">
        <v>9931</v>
      </c>
      <c r="K4002" s="58"/>
      <c r="L4002" s="99"/>
      <c r="M4002" s="70" t="s">
        <v>8358</v>
      </c>
      <c r="N4002" s="97" t="s">
        <v>414</v>
      </c>
      <c r="O4002" s="58"/>
      <c r="P4002" s="58" t="s">
        <v>22</v>
      </c>
      <c r="Q4002" s="58" t="s">
        <v>120</v>
      </c>
      <c r="R4002" s="58" t="s">
        <v>265</v>
      </c>
    </row>
    <row r="4003" spans="1:18" ht="69" customHeight="1">
      <c r="A4003" s="168"/>
      <c r="B4003" s="178">
        <v>9061</v>
      </c>
      <c r="C4003" s="178" t="s">
        <v>7941</v>
      </c>
      <c r="D4003" s="575" t="s">
        <v>808</v>
      </c>
      <c r="E4003" s="178" t="s">
        <v>382</v>
      </c>
      <c r="F4003" s="210" t="s">
        <v>10197</v>
      </c>
      <c r="G4003" s="58" t="s">
        <v>857</v>
      </c>
      <c r="H4003" s="546">
        <v>3767.13</v>
      </c>
      <c r="I4003" s="66">
        <v>45000</v>
      </c>
      <c r="J4003" s="411" t="s">
        <v>858</v>
      </c>
      <c r="K4003" s="58"/>
      <c r="L4003" s="99"/>
      <c r="M4003" s="70" t="s">
        <v>10019</v>
      </c>
      <c r="N4003" s="97" t="s">
        <v>387</v>
      </c>
      <c r="O4003" s="45" t="s">
        <v>150</v>
      </c>
      <c r="P4003" s="58" t="s">
        <v>51</v>
      </c>
      <c r="Q4003" s="58" t="s">
        <v>120</v>
      </c>
      <c r="R4003" s="58" t="s">
        <v>272</v>
      </c>
    </row>
    <row r="4004" spans="1:18" ht="69" customHeight="1">
      <c r="A4004" s="168"/>
      <c r="B4004" s="178">
        <v>9025</v>
      </c>
      <c r="C4004" s="178" t="s">
        <v>657</v>
      </c>
      <c r="D4004" s="575" t="s">
        <v>1798</v>
      </c>
      <c r="E4004" s="178" t="s">
        <v>1044</v>
      </c>
      <c r="F4004" s="210" t="s">
        <v>10198</v>
      </c>
      <c r="G4004" s="58" t="s">
        <v>1231</v>
      </c>
      <c r="H4004" s="546">
        <v>41035.269999999997</v>
      </c>
      <c r="I4004" s="66">
        <v>45000</v>
      </c>
      <c r="J4004" s="411" t="s">
        <v>1232</v>
      </c>
      <c r="K4004" s="58"/>
      <c r="L4004" s="99"/>
      <c r="M4004" s="70" t="s">
        <v>10098</v>
      </c>
      <c r="N4004" s="97" t="s">
        <v>1044</v>
      </c>
      <c r="O4004" s="58"/>
      <c r="P4004" s="58" t="s">
        <v>26</v>
      </c>
      <c r="Q4004" s="58" t="s">
        <v>120</v>
      </c>
      <c r="R4004" s="58" t="s">
        <v>272</v>
      </c>
    </row>
    <row r="4005" spans="1:18" ht="69" customHeight="1">
      <c r="A4005" s="168"/>
      <c r="B4005" s="178">
        <v>9230</v>
      </c>
      <c r="C4005" s="178" t="s">
        <v>657</v>
      </c>
      <c r="D4005" s="575" t="s">
        <v>1629</v>
      </c>
      <c r="E4005" s="178" t="s">
        <v>10028</v>
      </c>
      <c r="F4005" s="210" t="s">
        <v>10199</v>
      </c>
      <c r="G4005" s="58" t="s">
        <v>10200</v>
      </c>
      <c r="H4005" s="546">
        <v>98450</v>
      </c>
      <c r="I4005" s="66" t="s">
        <v>96</v>
      </c>
      <c r="J4005" s="411" t="s">
        <v>10201</v>
      </c>
      <c r="K4005" s="58" t="s">
        <v>10202</v>
      </c>
      <c r="L4005" s="99"/>
      <c r="M4005" s="70" t="s">
        <v>10031</v>
      </c>
      <c r="N4005" s="97" t="s">
        <v>414</v>
      </c>
      <c r="O4005" s="58"/>
      <c r="P4005" s="58" t="s">
        <v>22</v>
      </c>
      <c r="Q4005" s="58" t="s">
        <v>120</v>
      </c>
      <c r="R4005" s="58" t="s">
        <v>272</v>
      </c>
    </row>
    <row r="4006" spans="1:18" ht="69" customHeight="1">
      <c r="A4006" s="168"/>
      <c r="B4006" s="178">
        <v>9231</v>
      </c>
      <c r="C4006" s="178" t="s">
        <v>657</v>
      </c>
      <c r="D4006" s="575" t="s">
        <v>3244</v>
      </c>
      <c r="E4006" s="178" t="s">
        <v>10028</v>
      </c>
      <c r="F4006" s="210" t="s">
        <v>10203</v>
      </c>
      <c r="G4006" s="58" t="s">
        <v>10204</v>
      </c>
      <c r="H4006" s="546">
        <v>80550</v>
      </c>
      <c r="I4006" s="66" t="s">
        <v>96</v>
      </c>
      <c r="J4006" s="411" t="s">
        <v>10201</v>
      </c>
      <c r="K4006" s="58" t="s">
        <v>10202</v>
      </c>
      <c r="L4006" s="99"/>
      <c r="M4006" s="70" t="s">
        <v>10031</v>
      </c>
      <c r="N4006" s="97" t="s">
        <v>414</v>
      </c>
      <c r="O4006" s="58"/>
      <c r="P4006" s="58" t="s">
        <v>22</v>
      </c>
      <c r="Q4006" s="58" t="s">
        <v>120</v>
      </c>
      <c r="R4006" s="58" t="s">
        <v>272</v>
      </c>
    </row>
    <row r="4007" spans="1:18" ht="69" customHeight="1">
      <c r="A4007" s="168"/>
      <c r="B4007" s="178">
        <v>9233</v>
      </c>
      <c r="C4007" s="178" t="s">
        <v>10205</v>
      </c>
      <c r="D4007" s="575" t="s">
        <v>1254</v>
      </c>
      <c r="E4007" s="178" t="s">
        <v>585</v>
      </c>
      <c r="F4007" s="210" t="s">
        <v>10206</v>
      </c>
      <c r="G4007" s="58" t="s">
        <v>10207</v>
      </c>
      <c r="H4007" s="546">
        <v>6000</v>
      </c>
      <c r="I4007" s="66">
        <v>45005</v>
      </c>
      <c r="J4007" s="411" t="s">
        <v>10208</v>
      </c>
      <c r="K4007" s="58"/>
      <c r="L4007" s="99"/>
      <c r="M4007" s="70" t="s">
        <v>9974</v>
      </c>
      <c r="N4007" s="97" t="s">
        <v>270</v>
      </c>
      <c r="O4007" s="58"/>
      <c r="P4007" s="58" t="s">
        <v>44</v>
      </c>
      <c r="Q4007" s="58" t="s">
        <v>120</v>
      </c>
      <c r="R4007" s="58" t="s">
        <v>272</v>
      </c>
    </row>
    <row r="4008" spans="1:18" ht="69" customHeight="1">
      <c r="A4008" s="168"/>
      <c r="B4008" s="178">
        <v>9359</v>
      </c>
      <c r="C4008" s="178" t="s">
        <v>657</v>
      </c>
      <c r="D4008" s="575" t="s">
        <v>10209</v>
      </c>
      <c r="E4008" s="178" t="s">
        <v>10028</v>
      </c>
      <c r="F4008" s="210" t="s">
        <v>10210</v>
      </c>
      <c r="G4008" s="58" t="s">
        <v>10211</v>
      </c>
      <c r="H4008" s="546">
        <v>75866.31</v>
      </c>
      <c r="I4008" s="66">
        <v>45009</v>
      </c>
      <c r="J4008" s="411" t="s">
        <v>10212</v>
      </c>
      <c r="K4008" s="58"/>
      <c r="L4008" s="99"/>
      <c r="M4008" s="70" t="s">
        <v>10031</v>
      </c>
      <c r="N4008" s="97" t="s">
        <v>414</v>
      </c>
      <c r="O4008" s="58"/>
      <c r="P4008" s="58" t="s">
        <v>22</v>
      </c>
      <c r="Q4008" s="58" t="s">
        <v>120</v>
      </c>
      <c r="R4008" s="58" t="s">
        <v>272</v>
      </c>
    </row>
    <row r="4009" spans="1:18" ht="69" customHeight="1">
      <c r="A4009" s="168"/>
      <c r="B4009" s="178">
        <v>9360</v>
      </c>
      <c r="C4009" s="178" t="s">
        <v>657</v>
      </c>
      <c r="D4009" s="575" t="s">
        <v>2547</v>
      </c>
      <c r="E4009" s="178" t="s">
        <v>10028</v>
      </c>
      <c r="F4009" s="210" t="s">
        <v>10213</v>
      </c>
      <c r="G4009" s="58" t="s">
        <v>10214</v>
      </c>
      <c r="H4009" s="546">
        <v>40851.1</v>
      </c>
      <c r="I4009" s="66">
        <v>45009</v>
      </c>
      <c r="J4009" s="411" t="s">
        <v>10212</v>
      </c>
      <c r="K4009" s="58"/>
      <c r="L4009" s="99"/>
      <c r="M4009" s="70" t="s">
        <v>10031</v>
      </c>
      <c r="N4009" s="97" t="s">
        <v>414</v>
      </c>
      <c r="O4009" s="58"/>
      <c r="P4009" s="58" t="s">
        <v>22</v>
      </c>
      <c r="Q4009" s="58" t="s">
        <v>120</v>
      </c>
      <c r="R4009" s="58" t="s">
        <v>272</v>
      </c>
    </row>
    <row r="4010" spans="1:18" ht="69" customHeight="1">
      <c r="A4010" s="168"/>
      <c r="B4010" s="178">
        <v>9660</v>
      </c>
      <c r="C4010" s="178" t="s">
        <v>657</v>
      </c>
      <c r="D4010" s="575" t="s">
        <v>1786</v>
      </c>
      <c r="E4010" s="178" t="s">
        <v>8347</v>
      </c>
      <c r="F4010" s="210" t="s">
        <v>10215</v>
      </c>
      <c r="G4010" s="58" t="s">
        <v>9949</v>
      </c>
      <c r="H4010" s="546">
        <v>19500</v>
      </c>
      <c r="I4010" s="66">
        <v>45014</v>
      </c>
      <c r="J4010" s="411" t="s">
        <v>9950</v>
      </c>
      <c r="K4010" s="58"/>
      <c r="L4010" s="99"/>
      <c r="M4010" s="70" t="s">
        <v>8358</v>
      </c>
      <c r="N4010" s="97" t="s">
        <v>414</v>
      </c>
      <c r="O4010" s="58"/>
      <c r="P4010" s="58" t="s">
        <v>22</v>
      </c>
      <c r="Q4010" s="58" t="s">
        <v>120</v>
      </c>
      <c r="R4010" s="58" t="s">
        <v>265</v>
      </c>
    </row>
    <row r="4011" spans="1:18" ht="69" customHeight="1">
      <c r="A4011" s="168"/>
      <c r="B4011" s="191">
        <v>9661</v>
      </c>
      <c r="C4011" s="191" t="s">
        <v>657</v>
      </c>
      <c r="D4011" s="533" t="s">
        <v>792</v>
      </c>
      <c r="E4011" s="191" t="s">
        <v>7890</v>
      </c>
      <c r="F4011" s="211" t="s">
        <v>10216</v>
      </c>
      <c r="G4011" s="46" t="s">
        <v>7962</v>
      </c>
      <c r="H4011" s="534">
        <v>5250</v>
      </c>
      <c r="I4011" s="56">
        <v>45014</v>
      </c>
      <c r="J4011" s="412" t="s">
        <v>9950</v>
      </c>
      <c r="K4011" s="46" t="s">
        <v>167</v>
      </c>
      <c r="L4011" s="99"/>
      <c r="M4011" s="379"/>
      <c r="N4011" s="76" t="s">
        <v>414</v>
      </c>
      <c r="O4011" s="46"/>
      <c r="P4011" s="46" t="s">
        <v>71</v>
      </c>
      <c r="Q4011" s="46" t="s">
        <v>120</v>
      </c>
      <c r="R4011" s="46" t="s">
        <v>272</v>
      </c>
    </row>
    <row r="4012" spans="1:18" ht="69" customHeight="1">
      <c r="A4012" s="168"/>
      <c r="B4012" s="178">
        <v>9735</v>
      </c>
      <c r="C4012" s="178" t="s">
        <v>10205</v>
      </c>
      <c r="D4012" s="575" t="s">
        <v>886</v>
      </c>
      <c r="E4012" s="178" t="s">
        <v>382</v>
      </c>
      <c r="F4012" s="210" t="s">
        <v>10217</v>
      </c>
      <c r="G4012" s="58" t="s">
        <v>9956</v>
      </c>
      <c r="H4012" s="546">
        <v>5821.02</v>
      </c>
      <c r="I4012" s="66">
        <v>45026</v>
      </c>
      <c r="J4012" s="411" t="s">
        <v>9957</v>
      </c>
      <c r="K4012" s="58"/>
      <c r="L4012" s="99"/>
      <c r="M4012" s="70" t="s">
        <v>10019</v>
      </c>
      <c r="N4012" s="97" t="s">
        <v>387</v>
      </c>
      <c r="O4012" s="45" t="s">
        <v>150</v>
      </c>
      <c r="P4012" s="58" t="s">
        <v>51</v>
      </c>
      <c r="Q4012" s="58" t="s">
        <v>120</v>
      </c>
      <c r="R4012" s="58" t="s">
        <v>272</v>
      </c>
    </row>
    <row r="4013" spans="1:18" ht="69" customHeight="1">
      <c r="A4013" s="168"/>
      <c r="B4013" s="191">
        <v>9737</v>
      </c>
      <c r="C4013" s="191" t="s">
        <v>657</v>
      </c>
      <c r="D4013" s="533" t="s">
        <v>10218</v>
      </c>
      <c r="E4013" s="191" t="s">
        <v>6226</v>
      </c>
      <c r="F4013" s="211" t="s">
        <v>10219</v>
      </c>
      <c r="G4013" s="46" t="s">
        <v>9207</v>
      </c>
      <c r="H4013" s="534">
        <v>1243</v>
      </c>
      <c r="I4013" s="56">
        <v>45041</v>
      </c>
      <c r="J4013" s="412" t="s">
        <v>9959</v>
      </c>
      <c r="K4013" s="46" t="s">
        <v>167</v>
      </c>
      <c r="L4013" s="99"/>
      <c r="M4013" s="379"/>
      <c r="N4013" s="76" t="s">
        <v>414</v>
      </c>
      <c r="O4013" s="46"/>
      <c r="P4013" s="46" t="s">
        <v>65</v>
      </c>
      <c r="Q4013" s="46" t="s">
        <v>120</v>
      </c>
      <c r="R4013" s="46" t="s">
        <v>272</v>
      </c>
    </row>
    <row r="4014" spans="1:18" ht="69" customHeight="1">
      <c r="A4014" s="168"/>
      <c r="B4014" s="178">
        <v>9743</v>
      </c>
      <c r="C4014" s="178" t="s">
        <v>657</v>
      </c>
      <c r="D4014" s="575" t="s">
        <v>3810</v>
      </c>
      <c r="E4014" s="178" t="s">
        <v>10028</v>
      </c>
      <c r="F4014" s="210" t="s">
        <v>10220</v>
      </c>
      <c r="G4014" s="58" t="s">
        <v>10221</v>
      </c>
      <c r="H4014" s="546">
        <v>251522.36</v>
      </c>
      <c r="I4014" s="66" t="s">
        <v>96</v>
      </c>
      <c r="J4014" s="411" t="s">
        <v>8435</v>
      </c>
      <c r="K4014" s="58"/>
      <c r="L4014" s="99"/>
      <c r="M4014" s="70" t="s">
        <v>10031</v>
      </c>
      <c r="N4014" s="97" t="s">
        <v>414</v>
      </c>
      <c r="O4014" s="58"/>
      <c r="P4014" s="58" t="s">
        <v>22</v>
      </c>
      <c r="Q4014" s="58" t="s">
        <v>120</v>
      </c>
      <c r="R4014" s="58" t="s">
        <v>272</v>
      </c>
    </row>
    <row r="4015" spans="1:18" ht="69" customHeight="1">
      <c r="A4015" s="168"/>
      <c r="B4015" s="178">
        <v>9744</v>
      </c>
      <c r="C4015" s="178" t="s">
        <v>657</v>
      </c>
      <c r="D4015" s="575" t="s">
        <v>10222</v>
      </c>
      <c r="E4015" s="178" t="s">
        <v>10028</v>
      </c>
      <c r="F4015" s="210" t="s">
        <v>10220</v>
      </c>
      <c r="G4015" s="58" t="s">
        <v>8437</v>
      </c>
      <c r="H4015" s="546">
        <v>307416.21999999997</v>
      </c>
      <c r="I4015" s="66" t="s">
        <v>96</v>
      </c>
      <c r="J4015" s="411" t="s">
        <v>8435</v>
      </c>
      <c r="K4015" s="58"/>
      <c r="L4015" s="99"/>
      <c r="M4015" s="70" t="s">
        <v>10031</v>
      </c>
      <c r="N4015" s="97" t="s">
        <v>414</v>
      </c>
      <c r="O4015" s="58"/>
      <c r="P4015" s="58" t="s">
        <v>22</v>
      </c>
      <c r="Q4015" s="58" t="s">
        <v>120</v>
      </c>
      <c r="R4015" s="58" t="s">
        <v>272</v>
      </c>
    </row>
    <row r="4016" spans="1:18" ht="69" customHeight="1">
      <c r="A4016" s="168"/>
      <c r="B4016" s="178">
        <v>9798</v>
      </c>
      <c r="C4016" s="178" t="s">
        <v>657</v>
      </c>
      <c r="D4016" s="575" t="s">
        <v>1806</v>
      </c>
      <c r="E4016" s="178" t="s">
        <v>8347</v>
      </c>
      <c r="F4016" s="210" t="s">
        <v>10223</v>
      </c>
      <c r="G4016" s="58" t="s">
        <v>597</v>
      </c>
      <c r="H4016" s="546">
        <v>31863</v>
      </c>
      <c r="I4016" s="66">
        <v>45041</v>
      </c>
      <c r="J4016" s="411" t="s">
        <v>7209</v>
      </c>
      <c r="K4016" s="58"/>
      <c r="L4016" s="99"/>
      <c r="M4016" s="70" t="s">
        <v>8358</v>
      </c>
      <c r="N4016" s="97" t="s">
        <v>414</v>
      </c>
      <c r="O4016" s="58"/>
      <c r="P4016" s="58" t="s">
        <v>22</v>
      </c>
      <c r="Q4016" s="58" t="s">
        <v>120</v>
      </c>
      <c r="R4016" s="58" t="s">
        <v>265</v>
      </c>
    </row>
    <row r="4017" spans="1:18" ht="69" customHeight="1">
      <c r="A4017" s="168"/>
      <c r="B4017" s="178">
        <v>9806</v>
      </c>
      <c r="C4017" s="178" t="s">
        <v>657</v>
      </c>
      <c r="D4017" s="575" t="s">
        <v>2550</v>
      </c>
      <c r="E4017" s="178" t="s">
        <v>8347</v>
      </c>
      <c r="F4017" s="210" t="s">
        <v>10224</v>
      </c>
      <c r="G4017" s="58" t="s">
        <v>10225</v>
      </c>
      <c r="H4017" s="546">
        <v>56225</v>
      </c>
      <c r="I4017" s="66">
        <v>45041</v>
      </c>
      <c r="J4017" s="411" t="s">
        <v>10226</v>
      </c>
      <c r="K4017" s="58"/>
      <c r="L4017" s="99"/>
      <c r="M4017" s="70" t="s">
        <v>8358</v>
      </c>
      <c r="N4017" s="97" t="s">
        <v>414</v>
      </c>
      <c r="O4017" s="58"/>
      <c r="P4017" s="58" t="s">
        <v>22</v>
      </c>
      <c r="Q4017" s="58" t="s">
        <v>120</v>
      </c>
      <c r="R4017" s="58" t="s">
        <v>265</v>
      </c>
    </row>
    <row r="4018" spans="1:18" ht="69" customHeight="1">
      <c r="A4018" s="168"/>
      <c r="B4018" s="178">
        <v>9815</v>
      </c>
      <c r="C4018" s="178" t="s">
        <v>657</v>
      </c>
      <c r="D4018" s="575" t="s">
        <v>3022</v>
      </c>
      <c r="E4018" s="178" t="s">
        <v>8347</v>
      </c>
      <c r="F4018" s="210" t="s">
        <v>10227</v>
      </c>
      <c r="G4018" s="58" t="s">
        <v>4115</v>
      </c>
      <c r="H4018" s="546">
        <v>19500</v>
      </c>
      <c r="I4018" s="66">
        <v>45041</v>
      </c>
      <c r="J4018" s="411" t="s">
        <v>9966</v>
      </c>
      <c r="K4018" s="58"/>
      <c r="L4018" s="99"/>
      <c r="M4018" s="70" t="s">
        <v>8358</v>
      </c>
      <c r="N4018" s="97" t="s">
        <v>414</v>
      </c>
      <c r="O4018" s="58"/>
      <c r="P4018" s="58" t="s">
        <v>22</v>
      </c>
      <c r="Q4018" s="58" t="s">
        <v>120</v>
      </c>
      <c r="R4018" s="58" t="s">
        <v>265</v>
      </c>
    </row>
    <row r="4019" spans="1:18" ht="69" customHeight="1">
      <c r="A4019" s="168"/>
      <c r="B4019" s="178">
        <v>2349</v>
      </c>
      <c r="C4019" s="178" t="s">
        <v>259</v>
      </c>
      <c r="D4019" s="575" t="s">
        <v>3651</v>
      </c>
      <c r="E4019" s="178" t="s">
        <v>266</v>
      </c>
      <c r="F4019" s="210" t="s">
        <v>10228</v>
      </c>
      <c r="G4019" s="58"/>
      <c r="H4019" s="546">
        <v>7060</v>
      </c>
      <c r="I4019" s="66">
        <v>44503</v>
      </c>
      <c r="J4019" s="411" t="s">
        <v>10229</v>
      </c>
      <c r="K4019" s="58"/>
      <c r="L4019" s="99"/>
      <c r="M4019" s="70" t="s">
        <v>10230</v>
      </c>
      <c r="N4019" s="97" t="s">
        <v>270</v>
      </c>
      <c r="O4019" s="58"/>
      <c r="P4019" s="58" t="s">
        <v>44</v>
      </c>
      <c r="Q4019" s="58" t="s">
        <v>121</v>
      </c>
      <c r="R4019" s="58" t="s">
        <v>272</v>
      </c>
    </row>
    <row r="4020" spans="1:18" ht="69" customHeight="1">
      <c r="A4020" s="168"/>
      <c r="B4020" s="191">
        <v>3012</v>
      </c>
      <c r="C4020" s="191" t="s">
        <v>458</v>
      </c>
      <c r="D4020" s="533" t="s">
        <v>2719</v>
      </c>
      <c r="E4020" s="191" t="s">
        <v>331</v>
      </c>
      <c r="F4020" s="211" t="s">
        <v>10231</v>
      </c>
      <c r="G4020" s="46" t="s">
        <v>4416</v>
      </c>
      <c r="H4020" s="534">
        <v>0</v>
      </c>
      <c r="I4020" s="56" t="s">
        <v>96</v>
      </c>
      <c r="J4020" s="412" t="s">
        <v>334</v>
      </c>
      <c r="K4020" s="46"/>
      <c r="L4020" s="99"/>
      <c r="M4020" s="379"/>
      <c r="N4020" s="76" t="s">
        <v>69</v>
      </c>
      <c r="O4020" s="46"/>
      <c r="P4020" s="46" t="s">
        <v>69</v>
      </c>
      <c r="Q4020" s="46" t="s">
        <v>121</v>
      </c>
      <c r="R4020" s="46" t="s">
        <v>272</v>
      </c>
    </row>
    <row r="4021" spans="1:18" ht="69" customHeight="1">
      <c r="A4021" s="168"/>
      <c r="B4021" s="178">
        <v>4126</v>
      </c>
      <c r="C4021" s="178" t="s">
        <v>458</v>
      </c>
      <c r="D4021" s="575" t="s">
        <v>10232</v>
      </c>
      <c r="E4021" s="178" t="s">
        <v>266</v>
      </c>
      <c r="F4021" s="210" t="s">
        <v>10233</v>
      </c>
      <c r="G4021" s="58" t="s">
        <v>1107</v>
      </c>
      <c r="H4021" s="546">
        <v>7293.34</v>
      </c>
      <c r="I4021" s="66">
        <v>44643</v>
      </c>
      <c r="J4021" s="411" t="s">
        <v>10234</v>
      </c>
      <c r="K4021" s="58"/>
      <c r="L4021" s="99"/>
      <c r="M4021" s="70" t="s">
        <v>10235</v>
      </c>
      <c r="N4021" s="97" t="s">
        <v>970</v>
      </c>
      <c r="O4021" s="58" t="s">
        <v>9540</v>
      </c>
      <c r="P4021" s="58" t="s">
        <v>38</v>
      </c>
      <c r="Q4021" s="58" t="s">
        <v>121</v>
      </c>
      <c r="R4021" s="58" t="s">
        <v>272</v>
      </c>
    </row>
    <row r="4022" spans="1:18" ht="69" customHeight="1">
      <c r="A4022" s="168"/>
      <c r="B4022" s="178">
        <v>4710</v>
      </c>
      <c r="C4022" s="178" t="s">
        <v>458</v>
      </c>
      <c r="D4022" s="575" t="s">
        <v>5671</v>
      </c>
      <c r="E4022" s="178" t="s">
        <v>331</v>
      </c>
      <c r="F4022" s="210" t="s">
        <v>10236</v>
      </c>
      <c r="G4022" s="58"/>
      <c r="H4022" s="546">
        <v>3389.12</v>
      </c>
      <c r="I4022" s="66">
        <v>44678</v>
      </c>
      <c r="J4022" s="411" t="s">
        <v>10237</v>
      </c>
      <c r="K4022" s="58"/>
      <c r="L4022" s="99"/>
      <c r="M4022" s="70" t="s">
        <v>10230</v>
      </c>
      <c r="N4022" s="97" t="s">
        <v>270</v>
      </c>
      <c r="O4022" s="58"/>
      <c r="P4022" s="58" t="s">
        <v>44</v>
      </c>
      <c r="Q4022" s="58" t="s">
        <v>121</v>
      </c>
      <c r="R4022" s="58" t="s">
        <v>272</v>
      </c>
    </row>
    <row r="4023" spans="1:18" ht="69" customHeight="1">
      <c r="A4023" s="168"/>
      <c r="B4023" s="178">
        <v>4104</v>
      </c>
      <c r="C4023" s="178" t="s">
        <v>458</v>
      </c>
      <c r="D4023" s="575" t="s">
        <v>5241</v>
      </c>
      <c r="E4023" s="178" t="s">
        <v>266</v>
      </c>
      <c r="F4023" s="210" t="s">
        <v>10238</v>
      </c>
      <c r="G4023" s="58" t="s">
        <v>3674</v>
      </c>
      <c r="H4023" s="546">
        <v>6190</v>
      </c>
      <c r="I4023" s="66">
        <v>44676</v>
      </c>
      <c r="J4023" s="411" t="s">
        <v>10239</v>
      </c>
      <c r="K4023" s="58"/>
      <c r="L4023" s="99"/>
      <c r="M4023" s="70" t="s">
        <v>10230</v>
      </c>
      <c r="N4023" s="97" t="s">
        <v>270</v>
      </c>
      <c r="O4023" s="58"/>
      <c r="P4023" s="58" t="s">
        <v>44</v>
      </c>
      <c r="Q4023" s="58" t="s">
        <v>121</v>
      </c>
      <c r="R4023" s="58" t="s">
        <v>272</v>
      </c>
    </row>
    <row r="4024" spans="1:18" ht="69" customHeight="1">
      <c r="A4024" s="168"/>
      <c r="B4024" s="178">
        <v>4710</v>
      </c>
      <c r="C4024" s="178" t="s">
        <v>458</v>
      </c>
      <c r="D4024" s="575" t="s">
        <v>2221</v>
      </c>
      <c r="E4024" s="178" t="s">
        <v>331</v>
      </c>
      <c r="F4024" s="210" t="s">
        <v>10240</v>
      </c>
      <c r="G4024" s="58" t="s">
        <v>372</v>
      </c>
      <c r="H4024" s="546">
        <v>30502.09</v>
      </c>
      <c r="I4024" s="66">
        <v>44701</v>
      </c>
      <c r="J4024" s="411" t="s">
        <v>10241</v>
      </c>
      <c r="K4024" s="58"/>
      <c r="L4024" s="99"/>
      <c r="M4024" s="70" t="s">
        <v>10230</v>
      </c>
      <c r="N4024" s="97" t="s">
        <v>270</v>
      </c>
      <c r="O4024" s="58"/>
      <c r="P4024" s="58" t="s">
        <v>44</v>
      </c>
      <c r="Q4024" s="58" t="s">
        <v>121</v>
      </c>
      <c r="R4024" s="58" t="s">
        <v>272</v>
      </c>
    </row>
    <row r="4025" spans="1:18" ht="69" customHeight="1">
      <c r="A4025" s="168"/>
      <c r="B4025" s="178">
        <v>4126</v>
      </c>
      <c r="C4025" s="178" t="s">
        <v>458</v>
      </c>
      <c r="D4025" s="575" t="s">
        <v>7839</v>
      </c>
      <c r="E4025" s="178" t="s">
        <v>266</v>
      </c>
      <c r="F4025" s="210" t="s">
        <v>10242</v>
      </c>
      <c r="G4025" s="58" t="s">
        <v>1107</v>
      </c>
      <c r="H4025" s="546">
        <v>7293.34</v>
      </c>
      <c r="I4025" s="66">
        <v>44725</v>
      </c>
      <c r="J4025" s="411" t="s">
        <v>10243</v>
      </c>
      <c r="K4025" s="58"/>
      <c r="L4025" s="99"/>
      <c r="M4025" s="70" t="s">
        <v>10235</v>
      </c>
      <c r="N4025" s="97" t="s">
        <v>970</v>
      </c>
      <c r="O4025" s="58" t="s">
        <v>9540</v>
      </c>
      <c r="P4025" s="58" t="s">
        <v>38</v>
      </c>
      <c r="Q4025" s="58" t="s">
        <v>121</v>
      </c>
      <c r="R4025" s="58" t="s">
        <v>272</v>
      </c>
    </row>
    <row r="4026" spans="1:18" ht="69" customHeight="1">
      <c r="A4026" s="168"/>
      <c r="B4026" s="178">
        <v>5015</v>
      </c>
      <c r="C4026" s="178" t="s">
        <v>458</v>
      </c>
      <c r="D4026" s="575" t="s">
        <v>4850</v>
      </c>
      <c r="E4026" s="178" t="s">
        <v>266</v>
      </c>
      <c r="F4026" s="210" t="s">
        <v>10244</v>
      </c>
      <c r="G4026" s="58" t="s">
        <v>1753</v>
      </c>
      <c r="H4026" s="546">
        <v>5390</v>
      </c>
      <c r="I4026" s="66">
        <v>44727</v>
      </c>
      <c r="J4026" s="411" t="s">
        <v>10245</v>
      </c>
      <c r="K4026" s="58"/>
      <c r="L4026" s="99"/>
      <c r="M4026" s="70" t="s">
        <v>10230</v>
      </c>
      <c r="N4026" s="97" t="s">
        <v>270</v>
      </c>
      <c r="O4026" s="58"/>
      <c r="P4026" s="58" t="s">
        <v>44</v>
      </c>
      <c r="Q4026" s="58" t="s">
        <v>121</v>
      </c>
      <c r="R4026" s="58" t="s">
        <v>272</v>
      </c>
    </row>
    <row r="4027" spans="1:18" ht="69" customHeight="1">
      <c r="A4027" s="168"/>
      <c r="B4027" s="178">
        <v>4998</v>
      </c>
      <c r="C4027" s="178" t="s">
        <v>458</v>
      </c>
      <c r="D4027" s="575" t="s">
        <v>2456</v>
      </c>
      <c r="E4027" s="178" t="s">
        <v>10246</v>
      </c>
      <c r="F4027" s="210" t="s">
        <v>10247</v>
      </c>
      <c r="G4027" s="58" t="s">
        <v>352</v>
      </c>
      <c r="H4027" s="546">
        <v>20006.310000000001</v>
      </c>
      <c r="I4027" s="66">
        <v>44741</v>
      </c>
      <c r="J4027" s="411" t="s">
        <v>10248</v>
      </c>
      <c r="K4027" s="58" t="s">
        <v>10249</v>
      </c>
      <c r="L4027" s="99"/>
      <c r="M4027" s="70" t="s">
        <v>10250</v>
      </c>
      <c r="N4027" s="97" t="s">
        <v>356</v>
      </c>
      <c r="O4027" s="58" t="s">
        <v>221</v>
      </c>
      <c r="P4027" s="58" t="s">
        <v>19</v>
      </c>
      <c r="Q4027" s="58" t="s">
        <v>121</v>
      </c>
      <c r="R4027" s="58" t="s">
        <v>265</v>
      </c>
    </row>
    <row r="4028" spans="1:18" ht="69" customHeight="1">
      <c r="A4028" s="168"/>
      <c r="B4028" s="178">
        <v>4999</v>
      </c>
      <c r="C4028" s="178" t="s">
        <v>458</v>
      </c>
      <c r="D4028" s="575" t="s">
        <v>4426</v>
      </c>
      <c r="E4028" s="178" t="s">
        <v>382</v>
      </c>
      <c r="F4028" s="210" t="s">
        <v>10251</v>
      </c>
      <c r="G4028" s="58" t="s">
        <v>384</v>
      </c>
      <c r="H4028" s="546">
        <v>27761.33</v>
      </c>
      <c r="I4028" s="66">
        <v>44736</v>
      </c>
      <c r="J4028" s="411" t="s">
        <v>10252</v>
      </c>
      <c r="K4028" s="58"/>
      <c r="L4028" s="99"/>
      <c r="M4028" s="70" t="s">
        <v>10253</v>
      </c>
      <c r="N4028" s="97" t="s">
        <v>387</v>
      </c>
      <c r="O4028" s="45" t="s">
        <v>150</v>
      </c>
      <c r="P4028" s="58" t="s">
        <v>51</v>
      </c>
      <c r="Q4028" s="58" t="s">
        <v>121</v>
      </c>
      <c r="R4028" s="58" t="s">
        <v>272</v>
      </c>
    </row>
    <row r="4029" spans="1:18" ht="69" customHeight="1">
      <c r="A4029" s="168"/>
      <c r="B4029" s="178">
        <v>5000</v>
      </c>
      <c r="C4029" s="178" t="s">
        <v>458</v>
      </c>
      <c r="D4029" s="575" t="s">
        <v>2937</v>
      </c>
      <c r="E4029" s="178" t="s">
        <v>382</v>
      </c>
      <c r="F4029" s="210" t="s">
        <v>10254</v>
      </c>
      <c r="G4029" s="58" t="s">
        <v>384</v>
      </c>
      <c r="H4029" s="546">
        <v>39819.519999999997</v>
      </c>
      <c r="I4029" s="66">
        <v>44736</v>
      </c>
      <c r="J4029" s="411" t="s">
        <v>10255</v>
      </c>
      <c r="K4029" s="58"/>
      <c r="L4029" s="99"/>
      <c r="M4029" s="70" t="s">
        <v>10253</v>
      </c>
      <c r="N4029" s="97" t="s">
        <v>387</v>
      </c>
      <c r="O4029" s="45" t="s">
        <v>150</v>
      </c>
      <c r="P4029" s="58" t="s">
        <v>51</v>
      </c>
      <c r="Q4029" s="58" t="s">
        <v>121</v>
      </c>
      <c r="R4029" s="58" t="s">
        <v>272</v>
      </c>
    </row>
    <row r="4030" spans="1:18" ht="69" customHeight="1">
      <c r="A4030" s="168"/>
      <c r="B4030" s="178">
        <v>9324</v>
      </c>
      <c r="C4030" s="178" t="s">
        <v>10256</v>
      </c>
      <c r="D4030" s="575" t="s">
        <v>6524</v>
      </c>
      <c r="E4030" s="178" t="s">
        <v>266</v>
      </c>
      <c r="F4030" s="210" t="s">
        <v>10257</v>
      </c>
      <c r="G4030" s="58" t="s">
        <v>10258</v>
      </c>
      <c r="H4030" s="552">
        <v>12000</v>
      </c>
      <c r="I4030" s="66">
        <v>45005</v>
      </c>
      <c r="J4030" s="411" t="s">
        <v>10259</v>
      </c>
      <c r="K4030" s="58"/>
      <c r="L4030" s="99"/>
      <c r="M4030" s="70" t="s">
        <v>10230</v>
      </c>
      <c r="N4030" s="97" t="s">
        <v>270</v>
      </c>
      <c r="O4030" s="62" t="s">
        <v>6918</v>
      </c>
      <c r="P4030" s="58" t="s">
        <v>44</v>
      </c>
      <c r="Q4030" s="58" t="s">
        <v>121</v>
      </c>
      <c r="R4030" s="58" t="s">
        <v>272</v>
      </c>
    </row>
    <row r="4031" spans="1:18" ht="69" customHeight="1">
      <c r="A4031" s="168"/>
      <c r="B4031" s="178">
        <v>5137</v>
      </c>
      <c r="C4031" s="178" t="s">
        <v>458</v>
      </c>
      <c r="D4031" s="575" t="s">
        <v>3483</v>
      </c>
      <c r="E4031" s="178" t="s">
        <v>741</v>
      </c>
      <c r="F4031" s="210" t="s">
        <v>10260</v>
      </c>
      <c r="G4031" s="58" t="s">
        <v>738</v>
      </c>
      <c r="H4031" s="546">
        <v>29445.41</v>
      </c>
      <c r="I4031" s="66">
        <v>44760</v>
      </c>
      <c r="J4031" s="411" t="s">
        <v>10261</v>
      </c>
      <c r="K4031" s="58" t="s">
        <v>705</v>
      </c>
      <c r="L4031" s="99"/>
      <c r="M4031" s="70" t="s">
        <v>10262</v>
      </c>
      <c r="N4031" s="97" t="s">
        <v>741</v>
      </c>
      <c r="O4031" s="58"/>
      <c r="P4031" s="58" t="s">
        <v>59</v>
      </c>
      <c r="Q4031" s="58" t="s">
        <v>121</v>
      </c>
      <c r="R4031" s="58" t="s">
        <v>272</v>
      </c>
    </row>
    <row r="4032" spans="1:18" ht="69" customHeight="1">
      <c r="A4032" s="168"/>
      <c r="B4032" s="178">
        <v>5138</v>
      </c>
      <c r="C4032" s="178" t="s">
        <v>458</v>
      </c>
      <c r="D4032" s="575" t="s">
        <v>3485</v>
      </c>
      <c r="E4032" s="178" t="s">
        <v>741</v>
      </c>
      <c r="F4032" s="210" t="s">
        <v>10263</v>
      </c>
      <c r="G4032" s="58" t="s">
        <v>738</v>
      </c>
      <c r="H4032" s="546">
        <v>117781.63</v>
      </c>
      <c r="I4032" s="66">
        <v>44760</v>
      </c>
      <c r="J4032" s="411" t="s">
        <v>10264</v>
      </c>
      <c r="K4032" s="58" t="s">
        <v>705</v>
      </c>
      <c r="L4032" s="99"/>
      <c r="M4032" s="70" t="s">
        <v>10262</v>
      </c>
      <c r="N4032" s="97" t="s">
        <v>741</v>
      </c>
      <c r="O4032" s="58"/>
      <c r="P4032" s="58" t="s">
        <v>59</v>
      </c>
      <c r="Q4032" s="58" t="s">
        <v>121</v>
      </c>
      <c r="R4032" s="58" t="s">
        <v>272</v>
      </c>
    </row>
    <row r="4033" spans="1:18" ht="69" customHeight="1">
      <c r="A4033" s="168"/>
      <c r="B4033" s="178">
        <v>6065</v>
      </c>
      <c r="C4033" s="178" t="s">
        <v>458</v>
      </c>
      <c r="D4033" s="575" t="s">
        <v>1717</v>
      </c>
      <c r="E4033" s="178" t="s">
        <v>266</v>
      </c>
      <c r="F4033" s="210" t="s">
        <v>10265</v>
      </c>
      <c r="G4033" s="58" t="s">
        <v>680</v>
      </c>
      <c r="H4033" s="546">
        <v>6206.9</v>
      </c>
      <c r="I4033" s="66" t="s">
        <v>96</v>
      </c>
      <c r="J4033" s="411" t="s">
        <v>10266</v>
      </c>
      <c r="K4033" s="58"/>
      <c r="L4033" s="99"/>
      <c r="M4033" s="70" t="s">
        <v>10267</v>
      </c>
      <c r="N4033" s="97" t="s">
        <v>683</v>
      </c>
      <c r="O4033" s="58" t="s">
        <v>149</v>
      </c>
      <c r="P4033" s="58" t="s">
        <v>46</v>
      </c>
      <c r="Q4033" s="58" t="s">
        <v>121</v>
      </c>
      <c r="R4033" s="58" t="s">
        <v>272</v>
      </c>
    </row>
    <row r="4034" spans="1:18" ht="69" customHeight="1">
      <c r="A4034" s="168"/>
      <c r="B4034" s="600">
        <v>6085</v>
      </c>
      <c r="C4034" s="600" t="s">
        <v>458</v>
      </c>
      <c r="D4034" s="601" t="s">
        <v>2983</v>
      </c>
      <c r="E4034" s="600" t="s">
        <v>10268</v>
      </c>
      <c r="F4034" s="602" t="s">
        <v>10269</v>
      </c>
      <c r="G4034" s="460" t="s">
        <v>7054</v>
      </c>
      <c r="H4034" s="546">
        <v>262253.63</v>
      </c>
      <c r="I4034" s="461">
        <v>44776</v>
      </c>
      <c r="J4034" s="603" t="s">
        <v>10270</v>
      </c>
      <c r="K4034" s="460" t="s">
        <v>714</v>
      </c>
      <c r="L4034" s="99"/>
      <c r="M4034" s="70" t="s">
        <v>10271</v>
      </c>
      <c r="N4034" s="97" t="s">
        <v>414</v>
      </c>
      <c r="O4034" s="58"/>
      <c r="P4034" s="58" t="s">
        <v>22</v>
      </c>
      <c r="Q4034" s="46" t="s">
        <v>121</v>
      </c>
      <c r="R4034" s="58" t="s">
        <v>272</v>
      </c>
    </row>
    <row r="4035" spans="1:18" ht="69" customHeight="1">
      <c r="A4035" s="168"/>
      <c r="B4035" s="178">
        <v>6312</v>
      </c>
      <c r="C4035" s="178" t="s">
        <v>458</v>
      </c>
      <c r="D4035" s="575" t="s">
        <v>1523</v>
      </c>
      <c r="E4035" s="178" t="s">
        <v>741</v>
      </c>
      <c r="F4035" s="210" t="s">
        <v>10272</v>
      </c>
      <c r="G4035" s="58" t="s">
        <v>738</v>
      </c>
      <c r="H4035" s="546">
        <v>216649.1</v>
      </c>
      <c r="I4035" s="66">
        <v>44790</v>
      </c>
      <c r="J4035" s="411" t="s">
        <v>10273</v>
      </c>
      <c r="K4035" s="58"/>
      <c r="L4035" s="99"/>
      <c r="M4035" s="70" t="s">
        <v>10262</v>
      </c>
      <c r="N4035" s="97" t="s">
        <v>741</v>
      </c>
      <c r="O4035" s="58"/>
      <c r="P4035" s="58" t="s">
        <v>59</v>
      </c>
      <c r="Q4035" s="58" t="s">
        <v>121</v>
      </c>
      <c r="R4035" s="58" t="s">
        <v>272</v>
      </c>
    </row>
    <row r="4036" spans="1:18" ht="69" customHeight="1">
      <c r="A4036" s="168"/>
      <c r="B4036" s="178">
        <v>6313</v>
      </c>
      <c r="C4036" s="178" t="s">
        <v>458</v>
      </c>
      <c r="D4036" s="575" t="s">
        <v>3187</v>
      </c>
      <c r="E4036" s="178" t="s">
        <v>741</v>
      </c>
      <c r="F4036" s="210" t="s">
        <v>10274</v>
      </c>
      <c r="G4036" s="58" t="s">
        <v>738</v>
      </c>
      <c r="H4036" s="546">
        <v>54162.27</v>
      </c>
      <c r="I4036" s="66">
        <v>44790</v>
      </c>
      <c r="J4036" s="411" t="s">
        <v>10273</v>
      </c>
      <c r="K4036" s="58"/>
      <c r="L4036" s="99"/>
      <c r="M4036" s="70" t="s">
        <v>10262</v>
      </c>
      <c r="N4036" s="97" t="s">
        <v>741</v>
      </c>
      <c r="O4036" s="58"/>
      <c r="P4036" s="58" t="s">
        <v>59</v>
      </c>
      <c r="Q4036" s="58" t="s">
        <v>121</v>
      </c>
      <c r="R4036" s="58" t="s">
        <v>272</v>
      </c>
    </row>
    <row r="4037" spans="1:18" ht="69" customHeight="1">
      <c r="A4037" s="168"/>
      <c r="B4037" s="178">
        <v>6375</v>
      </c>
      <c r="C4037" s="178" t="s">
        <v>458</v>
      </c>
      <c r="D4037" s="575" t="s">
        <v>8834</v>
      </c>
      <c r="E4037" s="178" t="s">
        <v>409</v>
      </c>
      <c r="F4037" s="210" t="s">
        <v>10275</v>
      </c>
      <c r="G4037" s="58" t="s">
        <v>2775</v>
      </c>
      <c r="H4037" s="546">
        <v>5810</v>
      </c>
      <c r="I4037" s="66">
        <v>44799</v>
      </c>
      <c r="J4037" s="411" t="s">
        <v>10276</v>
      </c>
      <c r="K4037" s="58"/>
      <c r="L4037" s="99"/>
      <c r="M4037" s="70" t="s">
        <v>10230</v>
      </c>
      <c r="N4037" s="97" t="s">
        <v>270</v>
      </c>
      <c r="O4037" s="58"/>
      <c r="P4037" s="58" t="s">
        <v>44</v>
      </c>
      <c r="Q4037" s="58" t="s">
        <v>121</v>
      </c>
      <c r="R4037" s="58" t="s">
        <v>272</v>
      </c>
    </row>
    <row r="4038" spans="1:18" ht="69" customHeight="1">
      <c r="A4038" s="168"/>
      <c r="B4038" s="178">
        <v>6390</v>
      </c>
      <c r="C4038" s="178" t="s">
        <v>458</v>
      </c>
      <c r="D4038" s="575" t="s">
        <v>1534</v>
      </c>
      <c r="E4038" s="178" t="s">
        <v>266</v>
      </c>
      <c r="F4038" s="210" t="s">
        <v>10277</v>
      </c>
      <c r="G4038" s="58" t="s">
        <v>1107</v>
      </c>
      <c r="H4038" s="546">
        <v>7293.34</v>
      </c>
      <c r="I4038" s="66">
        <v>44799</v>
      </c>
      <c r="J4038" s="411" t="s">
        <v>10278</v>
      </c>
      <c r="K4038" s="58"/>
      <c r="L4038" s="99"/>
      <c r="M4038" s="70" t="s">
        <v>10235</v>
      </c>
      <c r="N4038" s="97" t="s">
        <v>970</v>
      </c>
      <c r="O4038" s="58" t="s">
        <v>9540</v>
      </c>
      <c r="P4038" s="58" t="s">
        <v>38</v>
      </c>
      <c r="Q4038" s="58" t="s">
        <v>121</v>
      </c>
      <c r="R4038" s="58" t="s">
        <v>272</v>
      </c>
    </row>
    <row r="4039" spans="1:18" ht="69" customHeight="1">
      <c r="A4039" s="168"/>
      <c r="B4039" s="178">
        <v>6391</v>
      </c>
      <c r="C4039" s="178" t="s">
        <v>458</v>
      </c>
      <c r="D4039" s="575" t="s">
        <v>5604</v>
      </c>
      <c r="E4039" s="178" t="s">
        <v>266</v>
      </c>
      <c r="F4039" s="210" t="s">
        <v>10279</v>
      </c>
      <c r="G4039" s="58" t="s">
        <v>1107</v>
      </c>
      <c r="H4039" s="546">
        <v>7293.34</v>
      </c>
      <c r="I4039" s="66">
        <v>44799</v>
      </c>
      <c r="J4039" s="411" t="s">
        <v>10278</v>
      </c>
      <c r="K4039" s="58"/>
      <c r="L4039" s="99"/>
      <c r="M4039" s="70" t="s">
        <v>10235</v>
      </c>
      <c r="N4039" s="97" t="s">
        <v>970</v>
      </c>
      <c r="O4039" s="58" t="s">
        <v>9540</v>
      </c>
      <c r="P4039" s="58" t="s">
        <v>38</v>
      </c>
      <c r="Q4039" s="58" t="s">
        <v>121</v>
      </c>
      <c r="R4039" s="58" t="s">
        <v>272</v>
      </c>
    </row>
    <row r="4040" spans="1:18" ht="69" customHeight="1">
      <c r="A4040" s="168"/>
      <c r="B4040" s="178">
        <v>6539</v>
      </c>
      <c r="C4040" s="178" t="s">
        <v>458</v>
      </c>
      <c r="D4040" s="575" t="s">
        <v>1542</v>
      </c>
      <c r="E4040" s="178" t="s">
        <v>10280</v>
      </c>
      <c r="F4040" s="210" t="s">
        <v>10281</v>
      </c>
      <c r="G4040" s="58" t="s">
        <v>352</v>
      </c>
      <c r="H4040" s="546">
        <v>53487</v>
      </c>
      <c r="I4040" s="66">
        <v>44804</v>
      </c>
      <c r="J4040" s="411" t="s">
        <v>10282</v>
      </c>
      <c r="K4040" s="58"/>
      <c r="L4040" s="99"/>
      <c r="M4040" s="70" t="s">
        <v>10250</v>
      </c>
      <c r="N4040" s="97" t="s">
        <v>356</v>
      </c>
      <c r="O4040" s="58" t="s">
        <v>221</v>
      </c>
      <c r="P4040" s="58" t="s">
        <v>19</v>
      </c>
      <c r="Q4040" s="58" t="s">
        <v>121</v>
      </c>
      <c r="R4040" s="58" t="s">
        <v>265</v>
      </c>
    </row>
    <row r="4041" spans="1:18" ht="69" customHeight="1">
      <c r="A4041" s="168"/>
      <c r="B4041" s="178">
        <v>6437</v>
      </c>
      <c r="C4041" s="178" t="s">
        <v>458</v>
      </c>
      <c r="D4041" s="575" t="s">
        <v>538</v>
      </c>
      <c r="E4041" s="178" t="s">
        <v>432</v>
      </c>
      <c r="F4041" s="210" t="s">
        <v>10283</v>
      </c>
      <c r="G4041" s="58" t="s">
        <v>429</v>
      </c>
      <c r="H4041" s="546">
        <v>13959.486000000001</v>
      </c>
      <c r="I4041" s="66">
        <v>44802</v>
      </c>
      <c r="J4041" s="411" t="s">
        <v>9765</v>
      </c>
      <c r="K4041" s="58"/>
      <c r="L4041" s="99"/>
      <c r="M4041" s="70" t="s">
        <v>10284</v>
      </c>
      <c r="N4041" s="97" t="s">
        <v>432</v>
      </c>
      <c r="O4041" s="58"/>
      <c r="P4041" s="58" t="s">
        <v>53</v>
      </c>
      <c r="Q4041" s="58" t="s">
        <v>121</v>
      </c>
      <c r="R4041" s="58" t="s">
        <v>272</v>
      </c>
    </row>
    <row r="4042" spans="1:18" ht="69" customHeight="1">
      <c r="A4042" s="168"/>
      <c r="B4042" s="191">
        <v>6483</v>
      </c>
      <c r="C4042" s="191" t="s">
        <v>458</v>
      </c>
      <c r="D4042" s="533" t="s">
        <v>10285</v>
      </c>
      <c r="E4042" s="191" t="s">
        <v>7890</v>
      </c>
      <c r="F4042" s="211" t="s">
        <v>10286</v>
      </c>
      <c r="G4042" s="46" t="s">
        <v>352</v>
      </c>
      <c r="H4042" s="534">
        <v>19450</v>
      </c>
      <c r="I4042" s="56">
        <v>44809</v>
      </c>
      <c r="J4042" s="412" t="s">
        <v>10287</v>
      </c>
      <c r="K4042" s="46" t="s">
        <v>167</v>
      </c>
      <c r="L4042" s="99"/>
      <c r="M4042" s="379"/>
      <c r="N4042" s="76" t="s">
        <v>414</v>
      </c>
      <c r="O4042" s="46"/>
      <c r="P4042" s="46" t="s">
        <v>65</v>
      </c>
      <c r="Q4042" s="46" t="s">
        <v>121</v>
      </c>
      <c r="R4042" s="46" t="s">
        <v>272</v>
      </c>
    </row>
    <row r="4043" spans="1:18" ht="69" customHeight="1">
      <c r="A4043" s="168"/>
      <c r="B4043" s="178">
        <v>6484</v>
      </c>
      <c r="C4043" s="178" t="s">
        <v>458</v>
      </c>
      <c r="D4043" s="575" t="s">
        <v>2276</v>
      </c>
      <c r="E4043" s="178" t="s">
        <v>7890</v>
      </c>
      <c r="F4043" s="210" t="s">
        <v>10288</v>
      </c>
      <c r="G4043" s="58" t="s">
        <v>352</v>
      </c>
      <c r="H4043" s="546">
        <v>35403.89</v>
      </c>
      <c r="I4043" s="66">
        <v>44809</v>
      </c>
      <c r="J4043" s="411" t="s">
        <v>10287</v>
      </c>
      <c r="K4043" s="58" t="s">
        <v>10289</v>
      </c>
      <c r="L4043" s="99"/>
      <c r="M4043" s="70" t="s">
        <v>10290</v>
      </c>
      <c r="N4043" s="97" t="s">
        <v>414</v>
      </c>
      <c r="O4043" s="58"/>
      <c r="P4043" s="58" t="s">
        <v>22</v>
      </c>
      <c r="Q4043" s="58" t="s">
        <v>121</v>
      </c>
      <c r="R4043" s="58" t="s">
        <v>265</v>
      </c>
    </row>
    <row r="4044" spans="1:18" ht="69" customHeight="1">
      <c r="A4044" s="168"/>
      <c r="B4044" s="178">
        <v>6281</v>
      </c>
      <c r="C4044" s="178" t="s">
        <v>458</v>
      </c>
      <c r="D4044" s="575" t="s">
        <v>10291</v>
      </c>
      <c r="E4044" s="178" t="s">
        <v>741</v>
      </c>
      <c r="F4044" s="210" t="s">
        <v>10292</v>
      </c>
      <c r="G4044" s="58" t="s">
        <v>738</v>
      </c>
      <c r="H4044" s="546">
        <v>175346.27</v>
      </c>
      <c r="I4044" s="66">
        <v>44799</v>
      </c>
      <c r="J4044" s="411" t="s">
        <v>10287</v>
      </c>
      <c r="K4044" s="58"/>
      <c r="L4044" s="99"/>
      <c r="M4044" s="70" t="s">
        <v>10262</v>
      </c>
      <c r="N4044" s="97" t="s">
        <v>741</v>
      </c>
      <c r="O4044" s="58"/>
      <c r="P4044" s="58" t="s">
        <v>59</v>
      </c>
      <c r="Q4044" s="58" t="s">
        <v>121</v>
      </c>
      <c r="R4044" s="58" t="s">
        <v>272</v>
      </c>
    </row>
    <row r="4045" spans="1:18" ht="69" customHeight="1">
      <c r="A4045" s="168"/>
      <c r="B4045" s="178">
        <v>6282</v>
      </c>
      <c r="C4045" s="178" t="s">
        <v>458</v>
      </c>
      <c r="D4045" s="575" t="s">
        <v>2750</v>
      </c>
      <c r="E4045" s="178" t="s">
        <v>741</v>
      </c>
      <c r="F4045" s="210" t="s">
        <v>10293</v>
      </c>
      <c r="G4045" s="58" t="s">
        <v>738</v>
      </c>
      <c r="H4045" s="546">
        <v>43836.57</v>
      </c>
      <c r="I4045" s="66">
        <v>44799</v>
      </c>
      <c r="J4045" s="411" t="s">
        <v>10287</v>
      </c>
      <c r="K4045" s="58"/>
      <c r="L4045" s="99"/>
      <c r="M4045" s="70" t="s">
        <v>10262</v>
      </c>
      <c r="N4045" s="97" t="s">
        <v>741</v>
      </c>
      <c r="O4045" s="58"/>
      <c r="P4045" s="58" t="s">
        <v>59</v>
      </c>
      <c r="Q4045" s="58" t="s">
        <v>121</v>
      </c>
      <c r="R4045" s="58" t="s">
        <v>272</v>
      </c>
    </row>
    <row r="4046" spans="1:18" ht="69" customHeight="1">
      <c r="A4046" s="168"/>
      <c r="B4046" s="178">
        <v>6566</v>
      </c>
      <c r="C4046" s="178" t="s">
        <v>458</v>
      </c>
      <c r="D4046" s="575" t="s">
        <v>5610</v>
      </c>
      <c r="E4046" s="178" t="s">
        <v>266</v>
      </c>
      <c r="F4046" s="210" t="s">
        <v>10294</v>
      </c>
      <c r="G4046" s="58" t="s">
        <v>392</v>
      </c>
      <c r="H4046" s="546">
        <v>10496.25</v>
      </c>
      <c r="I4046" s="66">
        <v>44820</v>
      </c>
      <c r="J4046" s="411" t="s">
        <v>10295</v>
      </c>
      <c r="K4046" s="58"/>
      <c r="L4046" s="99"/>
      <c r="M4046" s="70" t="s">
        <v>10230</v>
      </c>
      <c r="N4046" s="97" t="s">
        <v>270</v>
      </c>
      <c r="O4046" s="58"/>
      <c r="P4046" s="58" t="s">
        <v>44</v>
      </c>
      <c r="Q4046" s="58" t="s">
        <v>121</v>
      </c>
      <c r="R4046" s="58" t="s">
        <v>272</v>
      </c>
    </row>
    <row r="4047" spans="1:18" ht="69" customHeight="1">
      <c r="A4047" s="168"/>
      <c r="B4047" s="178">
        <v>6567</v>
      </c>
      <c r="C4047" s="178" t="s">
        <v>458</v>
      </c>
      <c r="D4047" s="575" t="s">
        <v>388</v>
      </c>
      <c r="E4047" s="178" t="s">
        <v>266</v>
      </c>
      <c r="F4047" s="210" t="s">
        <v>10296</v>
      </c>
      <c r="G4047" s="58" t="s">
        <v>392</v>
      </c>
      <c r="H4047" s="546">
        <v>8397</v>
      </c>
      <c r="I4047" s="66">
        <v>44820</v>
      </c>
      <c r="J4047" s="411" t="s">
        <v>10295</v>
      </c>
      <c r="K4047" s="58"/>
      <c r="L4047" s="99"/>
      <c r="M4047" s="70" t="s">
        <v>10230</v>
      </c>
      <c r="N4047" s="97" t="s">
        <v>270</v>
      </c>
      <c r="O4047" s="58"/>
      <c r="P4047" s="58" t="s">
        <v>44</v>
      </c>
      <c r="Q4047" s="58" t="s">
        <v>121</v>
      </c>
      <c r="R4047" s="58" t="s">
        <v>272</v>
      </c>
    </row>
    <row r="4048" spans="1:18" ht="69" customHeight="1">
      <c r="A4048" s="168"/>
      <c r="B4048" s="178">
        <v>6658</v>
      </c>
      <c r="C4048" s="178" t="s">
        <v>458</v>
      </c>
      <c r="D4048" s="575" t="s">
        <v>10297</v>
      </c>
      <c r="E4048" s="178" t="s">
        <v>266</v>
      </c>
      <c r="F4048" s="210" t="s">
        <v>10298</v>
      </c>
      <c r="G4048" s="58" t="s">
        <v>1107</v>
      </c>
      <c r="H4048" s="546">
        <v>7293.34</v>
      </c>
      <c r="I4048" s="66">
        <v>44820</v>
      </c>
      <c r="J4048" s="411" t="s">
        <v>10299</v>
      </c>
      <c r="K4048" s="58"/>
      <c r="L4048" s="99"/>
      <c r="M4048" s="70" t="s">
        <v>10235</v>
      </c>
      <c r="N4048" s="97" t="s">
        <v>970</v>
      </c>
      <c r="O4048" s="58" t="s">
        <v>9540</v>
      </c>
      <c r="P4048" s="58" t="s">
        <v>38</v>
      </c>
      <c r="Q4048" s="58" t="s">
        <v>121</v>
      </c>
      <c r="R4048" s="58" t="s">
        <v>272</v>
      </c>
    </row>
    <row r="4049" spans="1:18" ht="69" customHeight="1">
      <c r="A4049" s="168"/>
      <c r="B4049" s="178">
        <v>6670</v>
      </c>
      <c r="C4049" s="178" t="s">
        <v>458</v>
      </c>
      <c r="D4049" s="575" t="s">
        <v>4764</v>
      </c>
      <c r="E4049" s="178" t="s">
        <v>741</v>
      </c>
      <c r="F4049" s="210" t="s">
        <v>10300</v>
      </c>
      <c r="G4049" s="58" t="s">
        <v>738</v>
      </c>
      <c r="H4049" s="546">
        <v>7484.5420000000004</v>
      </c>
      <c r="I4049" s="66">
        <v>44820</v>
      </c>
      <c r="J4049" s="411" t="s">
        <v>10301</v>
      </c>
      <c r="K4049" s="58"/>
      <c r="L4049" s="99"/>
      <c r="M4049" s="70" t="s">
        <v>10262</v>
      </c>
      <c r="N4049" s="97" t="s">
        <v>741</v>
      </c>
      <c r="O4049" s="58"/>
      <c r="P4049" s="58" t="s">
        <v>59</v>
      </c>
      <c r="Q4049" s="58" t="s">
        <v>121</v>
      </c>
      <c r="R4049" s="58" t="s">
        <v>272</v>
      </c>
    </row>
    <row r="4050" spans="1:18" ht="69" customHeight="1">
      <c r="A4050" s="168"/>
      <c r="B4050" s="178">
        <v>6671</v>
      </c>
      <c r="C4050" s="178" t="s">
        <v>458</v>
      </c>
      <c r="D4050" s="575" t="s">
        <v>394</v>
      </c>
      <c r="E4050" s="178" t="s">
        <v>741</v>
      </c>
      <c r="F4050" s="210" t="s">
        <v>10302</v>
      </c>
      <c r="G4050" s="58" t="s">
        <v>738</v>
      </c>
      <c r="H4050" s="546">
        <v>29938.168000000001</v>
      </c>
      <c r="I4050" s="66">
        <v>44820</v>
      </c>
      <c r="J4050" s="411" t="s">
        <v>10301</v>
      </c>
      <c r="K4050" s="58"/>
      <c r="L4050" s="99"/>
      <c r="M4050" s="70" t="s">
        <v>10262</v>
      </c>
      <c r="N4050" s="97" t="s">
        <v>741</v>
      </c>
      <c r="O4050" s="58"/>
      <c r="P4050" s="58" t="s">
        <v>59</v>
      </c>
      <c r="Q4050" s="58" t="s">
        <v>121</v>
      </c>
      <c r="R4050" s="58" t="s">
        <v>272</v>
      </c>
    </row>
    <row r="4051" spans="1:18" ht="69" customHeight="1">
      <c r="A4051" s="168"/>
      <c r="B4051" s="178">
        <v>6761</v>
      </c>
      <c r="C4051" s="178" t="s">
        <v>458</v>
      </c>
      <c r="D4051" s="575" t="s">
        <v>10303</v>
      </c>
      <c r="E4051" s="178" t="s">
        <v>10268</v>
      </c>
      <c r="F4051" s="210" t="s">
        <v>10304</v>
      </c>
      <c r="G4051" s="58" t="s">
        <v>10128</v>
      </c>
      <c r="H4051" s="546">
        <v>485330.1</v>
      </c>
      <c r="I4051" s="66">
        <v>44827</v>
      </c>
      <c r="J4051" s="411" t="s">
        <v>10305</v>
      </c>
      <c r="K4051" s="58" t="s">
        <v>10306</v>
      </c>
      <c r="L4051" s="99"/>
      <c r="M4051" s="70" t="s">
        <v>10271</v>
      </c>
      <c r="N4051" s="97" t="s">
        <v>414</v>
      </c>
      <c r="O4051" s="58"/>
      <c r="P4051" s="58" t="s">
        <v>22</v>
      </c>
      <c r="Q4051" s="58" t="s">
        <v>121</v>
      </c>
      <c r="R4051" s="58" t="s">
        <v>272</v>
      </c>
    </row>
    <row r="4052" spans="1:18" ht="69" customHeight="1">
      <c r="A4052" s="168"/>
      <c r="B4052" s="178">
        <v>7704</v>
      </c>
      <c r="C4052" s="178" t="s">
        <v>458</v>
      </c>
      <c r="D4052" s="575" t="s">
        <v>3776</v>
      </c>
      <c r="E4052" s="178" t="s">
        <v>10268</v>
      </c>
      <c r="F4052" s="210" t="s">
        <v>10307</v>
      </c>
      <c r="G4052" s="58" t="s">
        <v>9871</v>
      </c>
      <c r="H4052" s="546">
        <v>311527.99</v>
      </c>
      <c r="I4052" s="66">
        <v>44902</v>
      </c>
      <c r="J4052" s="411" t="s">
        <v>9855</v>
      </c>
      <c r="K4052" s="58" t="s">
        <v>10308</v>
      </c>
      <c r="L4052" s="99"/>
      <c r="M4052" s="70" t="s">
        <v>10271</v>
      </c>
      <c r="N4052" s="97" t="s">
        <v>414</v>
      </c>
      <c r="O4052" s="58"/>
      <c r="P4052" s="58" t="s">
        <v>22</v>
      </c>
      <c r="Q4052" s="58" t="s">
        <v>121</v>
      </c>
      <c r="R4052" s="58" t="s">
        <v>272</v>
      </c>
    </row>
    <row r="4053" spans="1:18" ht="69" customHeight="1">
      <c r="A4053" s="168"/>
      <c r="B4053" s="178">
        <v>7703</v>
      </c>
      <c r="C4053" s="178" t="s">
        <v>458</v>
      </c>
      <c r="D4053" s="575" t="s">
        <v>4209</v>
      </c>
      <c r="E4053" s="178" t="s">
        <v>10268</v>
      </c>
      <c r="F4053" s="210" t="s">
        <v>10309</v>
      </c>
      <c r="G4053" s="58" t="s">
        <v>10310</v>
      </c>
      <c r="H4053" s="546">
        <v>578551.97</v>
      </c>
      <c r="I4053" s="66">
        <v>44902</v>
      </c>
      <c r="J4053" s="411" t="s">
        <v>9855</v>
      </c>
      <c r="K4053" s="58" t="s">
        <v>10308</v>
      </c>
      <c r="L4053" s="99"/>
      <c r="M4053" s="70" t="s">
        <v>10271</v>
      </c>
      <c r="N4053" s="97" t="s">
        <v>414</v>
      </c>
      <c r="O4053" s="58"/>
      <c r="P4053" s="58" t="s">
        <v>22</v>
      </c>
      <c r="Q4053" s="58" t="s">
        <v>121</v>
      </c>
      <c r="R4053" s="58" t="s">
        <v>272</v>
      </c>
    </row>
    <row r="4054" spans="1:18" ht="69" customHeight="1">
      <c r="A4054" s="168"/>
      <c r="B4054" s="178">
        <v>6294</v>
      </c>
      <c r="C4054" s="178" t="s">
        <v>458</v>
      </c>
      <c r="D4054" s="575" t="s">
        <v>1527</v>
      </c>
      <c r="E4054" s="178" t="s">
        <v>266</v>
      </c>
      <c r="F4054" s="210" t="s">
        <v>10311</v>
      </c>
      <c r="G4054" s="58" t="s">
        <v>790</v>
      </c>
      <c r="H4054" s="546">
        <v>2281.25</v>
      </c>
      <c r="I4054" s="66">
        <v>44834</v>
      </c>
      <c r="J4054" s="411" t="s">
        <v>10312</v>
      </c>
      <c r="K4054" s="58"/>
      <c r="L4054" s="99"/>
      <c r="M4054" s="70" t="s">
        <v>10267</v>
      </c>
      <c r="N4054" s="97" t="s">
        <v>683</v>
      </c>
      <c r="O4054" s="58" t="s">
        <v>149</v>
      </c>
      <c r="P4054" s="58" t="s">
        <v>46</v>
      </c>
      <c r="Q4054" s="58" t="s">
        <v>121</v>
      </c>
      <c r="R4054" s="58" t="s">
        <v>272</v>
      </c>
    </row>
    <row r="4055" spans="1:18" ht="69" customHeight="1">
      <c r="A4055" s="168"/>
      <c r="B4055" s="178">
        <v>7455</v>
      </c>
      <c r="C4055" s="178" t="s">
        <v>458</v>
      </c>
      <c r="D4055" s="575" t="s">
        <v>576</v>
      </c>
      <c r="E4055" s="178" t="s">
        <v>10313</v>
      </c>
      <c r="F4055" s="210" t="s">
        <v>10314</v>
      </c>
      <c r="G4055" s="58" t="s">
        <v>1041</v>
      </c>
      <c r="H4055" s="546">
        <v>22440.3</v>
      </c>
      <c r="I4055" s="66">
        <v>44883</v>
      </c>
      <c r="J4055" s="411" t="s">
        <v>1042</v>
      </c>
      <c r="K4055" s="58"/>
      <c r="L4055" s="99"/>
      <c r="M4055" s="70" t="s">
        <v>10315</v>
      </c>
      <c r="N4055" s="97" t="s">
        <v>1044</v>
      </c>
      <c r="O4055" s="58"/>
      <c r="P4055" s="58" t="s">
        <v>26</v>
      </c>
      <c r="Q4055" s="58" t="s">
        <v>121</v>
      </c>
      <c r="R4055" s="58" t="s">
        <v>272</v>
      </c>
    </row>
    <row r="4056" spans="1:18" ht="69" customHeight="1">
      <c r="A4056" s="168"/>
      <c r="B4056" s="178">
        <v>7458</v>
      </c>
      <c r="C4056" s="178" t="s">
        <v>458</v>
      </c>
      <c r="D4056" s="575" t="s">
        <v>10316</v>
      </c>
      <c r="E4056" s="178" t="s">
        <v>10313</v>
      </c>
      <c r="F4056" s="210" t="s">
        <v>10317</v>
      </c>
      <c r="G4056" s="58" t="s">
        <v>1041</v>
      </c>
      <c r="H4056" s="546">
        <v>158319.56</v>
      </c>
      <c r="I4056" s="66">
        <v>44886</v>
      </c>
      <c r="J4056" s="411" t="s">
        <v>1042</v>
      </c>
      <c r="K4056" s="58"/>
      <c r="L4056" s="99"/>
      <c r="M4056" s="70" t="s">
        <v>10315</v>
      </c>
      <c r="N4056" s="97" t="s">
        <v>1044</v>
      </c>
      <c r="O4056" s="58"/>
      <c r="P4056" s="58" t="s">
        <v>26</v>
      </c>
      <c r="Q4056" s="58" t="s">
        <v>121</v>
      </c>
      <c r="R4056" s="58" t="s">
        <v>272</v>
      </c>
    </row>
    <row r="4057" spans="1:18" ht="69" customHeight="1">
      <c r="A4057" s="168"/>
      <c r="B4057" s="178">
        <v>7377</v>
      </c>
      <c r="C4057" s="178" t="s">
        <v>458</v>
      </c>
      <c r="D4057" s="575" t="s">
        <v>10318</v>
      </c>
      <c r="E4057" s="178" t="s">
        <v>432</v>
      </c>
      <c r="F4057" s="210" t="s">
        <v>10319</v>
      </c>
      <c r="G4057" s="58" t="s">
        <v>1121</v>
      </c>
      <c r="H4057" s="546">
        <v>34317.03</v>
      </c>
      <c r="I4057" s="66">
        <v>44876</v>
      </c>
      <c r="J4057" s="411" t="s">
        <v>1122</v>
      </c>
      <c r="K4057" s="58"/>
      <c r="L4057" s="99"/>
      <c r="M4057" s="70" t="s">
        <v>10284</v>
      </c>
      <c r="N4057" s="97" t="s">
        <v>432</v>
      </c>
      <c r="O4057" s="58"/>
      <c r="P4057" s="58" t="s">
        <v>53</v>
      </c>
      <c r="Q4057" s="58" t="s">
        <v>121</v>
      </c>
      <c r="R4057" s="58" t="s">
        <v>272</v>
      </c>
    </row>
    <row r="4058" spans="1:18" ht="69" customHeight="1">
      <c r="A4058" s="168"/>
      <c r="B4058" s="191">
        <v>6875</v>
      </c>
      <c r="C4058" s="59" t="s">
        <v>3667</v>
      </c>
      <c r="D4058" s="533" t="s">
        <v>9337</v>
      </c>
      <c r="E4058" s="191" t="s">
        <v>1056</v>
      </c>
      <c r="F4058" s="211" t="s">
        <v>10320</v>
      </c>
      <c r="G4058" s="46" t="s">
        <v>9863</v>
      </c>
      <c r="H4058" s="546">
        <v>19296.900000000001</v>
      </c>
      <c r="I4058" s="56">
        <v>44834</v>
      </c>
      <c r="J4058" s="412" t="s">
        <v>9864</v>
      </c>
      <c r="K4058" s="46"/>
      <c r="L4058" s="99"/>
      <c r="M4058" s="70" t="s">
        <v>10321</v>
      </c>
      <c r="N4058" s="97" t="s">
        <v>814</v>
      </c>
      <c r="O4058" s="46" t="s">
        <v>1061</v>
      </c>
      <c r="P4058" s="46" t="s">
        <v>36</v>
      </c>
      <c r="Q4058" s="46" t="s">
        <v>49</v>
      </c>
      <c r="R4058" s="46" t="s">
        <v>272</v>
      </c>
    </row>
    <row r="4059" spans="1:18" ht="69" customHeight="1">
      <c r="A4059" s="168"/>
      <c r="B4059" s="178">
        <v>7510</v>
      </c>
      <c r="C4059" s="178" t="s">
        <v>458</v>
      </c>
      <c r="D4059" s="575" t="s">
        <v>8201</v>
      </c>
      <c r="E4059" s="178" t="s">
        <v>10268</v>
      </c>
      <c r="F4059" s="210" t="s">
        <v>10322</v>
      </c>
      <c r="G4059" s="58" t="s">
        <v>10323</v>
      </c>
      <c r="H4059" s="546">
        <v>270566.82</v>
      </c>
      <c r="I4059" s="66">
        <v>44883</v>
      </c>
      <c r="J4059" s="411" t="s">
        <v>8331</v>
      </c>
      <c r="K4059" s="58" t="s">
        <v>10324</v>
      </c>
      <c r="L4059" s="99"/>
      <c r="M4059" s="70" t="s">
        <v>10271</v>
      </c>
      <c r="N4059" s="97" t="s">
        <v>414</v>
      </c>
      <c r="O4059" s="58"/>
      <c r="P4059" s="58" t="s">
        <v>22</v>
      </c>
      <c r="Q4059" s="58" t="s">
        <v>121</v>
      </c>
      <c r="R4059" s="58" t="s">
        <v>272</v>
      </c>
    </row>
    <row r="4060" spans="1:18" ht="69" customHeight="1">
      <c r="A4060" s="168"/>
      <c r="B4060" s="178">
        <v>7511</v>
      </c>
      <c r="C4060" s="178" t="s">
        <v>458</v>
      </c>
      <c r="D4060" s="575" t="s">
        <v>2780</v>
      </c>
      <c r="E4060" s="178" t="s">
        <v>10268</v>
      </c>
      <c r="F4060" s="210" t="s">
        <v>10325</v>
      </c>
      <c r="G4060" s="58" t="s">
        <v>10323</v>
      </c>
      <c r="H4060" s="546">
        <v>145689.82</v>
      </c>
      <c r="I4060" s="66">
        <v>44883</v>
      </c>
      <c r="J4060" s="411" t="s">
        <v>8331</v>
      </c>
      <c r="K4060" s="58" t="s">
        <v>10324</v>
      </c>
      <c r="L4060" s="99"/>
      <c r="M4060" s="70" t="s">
        <v>10271</v>
      </c>
      <c r="N4060" s="97" t="s">
        <v>414</v>
      </c>
      <c r="O4060" s="58"/>
      <c r="P4060" s="58" t="s">
        <v>22</v>
      </c>
      <c r="Q4060" s="58" t="s">
        <v>121</v>
      </c>
      <c r="R4060" s="58" t="s">
        <v>272</v>
      </c>
    </row>
    <row r="4061" spans="1:18" ht="69" customHeight="1">
      <c r="A4061" s="168"/>
      <c r="B4061" s="191">
        <v>7554</v>
      </c>
      <c r="C4061" s="191" t="s">
        <v>458</v>
      </c>
      <c r="D4061" s="533" t="s">
        <v>6683</v>
      </c>
      <c r="E4061" s="191" t="s">
        <v>7890</v>
      </c>
      <c r="F4061" s="211" t="s">
        <v>10326</v>
      </c>
      <c r="G4061" s="46" t="s">
        <v>9826</v>
      </c>
      <c r="H4061" s="534">
        <v>0</v>
      </c>
      <c r="I4061" s="56">
        <v>44888</v>
      </c>
      <c r="J4061" s="412" t="s">
        <v>9827</v>
      </c>
      <c r="K4061" s="46" t="s">
        <v>167</v>
      </c>
      <c r="L4061" s="99"/>
      <c r="M4061" s="379"/>
      <c r="N4061" s="76" t="s">
        <v>414</v>
      </c>
      <c r="O4061" s="46"/>
      <c r="P4061" s="46" t="s">
        <v>71</v>
      </c>
      <c r="Q4061" s="46" t="s">
        <v>121</v>
      </c>
      <c r="R4061" s="46" t="s">
        <v>272</v>
      </c>
    </row>
    <row r="4062" spans="1:18" ht="69" customHeight="1">
      <c r="A4062" s="168"/>
      <c r="B4062" s="191">
        <v>7573</v>
      </c>
      <c r="C4062" s="191" t="s">
        <v>458</v>
      </c>
      <c r="D4062" s="533" t="s">
        <v>10327</v>
      </c>
      <c r="E4062" s="191" t="s">
        <v>7890</v>
      </c>
      <c r="F4062" s="211" t="s">
        <v>10328</v>
      </c>
      <c r="G4062" s="46" t="s">
        <v>1048</v>
      </c>
      <c r="H4062" s="534">
        <v>0</v>
      </c>
      <c r="I4062" s="56">
        <v>44897</v>
      </c>
      <c r="J4062" s="412" t="s">
        <v>9786</v>
      </c>
      <c r="K4062" s="46" t="s">
        <v>167</v>
      </c>
      <c r="L4062" s="99"/>
      <c r="M4062" s="379"/>
      <c r="N4062" s="76" t="s">
        <v>414</v>
      </c>
      <c r="O4062" s="46"/>
      <c r="P4062" s="46" t="s">
        <v>65</v>
      </c>
      <c r="Q4062" s="46" t="s">
        <v>121</v>
      </c>
      <c r="R4062" s="46" t="s">
        <v>272</v>
      </c>
    </row>
    <row r="4063" spans="1:18" ht="69" customHeight="1">
      <c r="A4063" s="168"/>
      <c r="B4063" s="178">
        <v>7555</v>
      </c>
      <c r="C4063" s="178" t="s">
        <v>458</v>
      </c>
      <c r="D4063" s="575" t="s">
        <v>6984</v>
      </c>
      <c r="E4063" s="178" t="s">
        <v>7890</v>
      </c>
      <c r="F4063" s="210" t="s">
        <v>10329</v>
      </c>
      <c r="G4063" s="58" t="s">
        <v>10330</v>
      </c>
      <c r="H4063" s="546">
        <v>17200</v>
      </c>
      <c r="I4063" s="66">
        <v>44888</v>
      </c>
      <c r="J4063" s="411" t="s">
        <v>9827</v>
      </c>
      <c r="K4063" s="58" t="s">
        <v>10289</v>
      </c>
      <c r="L4063" s="99"/>
      <c r="M4063" s="70" t="s">
        <v>10290</v>
      </c>
      <c r="N4063" s="97" t="s">
        <v>414</v>
      </c>
      <c r="O4063" s="58"/>
      <c r="P4063" s="58" t="s">
        <v>22</v>
      </c>
      <c r="Q4063" s="58" t="s">
        <v>121</v>
      </c>
      <c r="R4063" s="58" t="s">
        <v>265</v>
      </c>
    </row>
    <row r="4064" spans="1:18" ht="69" customHeight="1">
      <c r="A4064" s="168"/>
      <c r="B4064" s="178">
        <v>7516</v>
      </c>
      <c r="C4064" s="178" t="s">
        <v>458</v>
      </c>
      <c r="D4064" s="575" t="s">
        <v>7160</v>
      </c>
      <c r="E4064" s="178" t="s">
        <v>10268</v>
      </c>
      <c r="F4064" s="210" t="s">
        <v>10331</v>
      </c>
      <c r="G4064" s="58" t="s">
        <v>10102</v>
      </c>
      <c r="H4064" s="546">
        <v>306990.84999999998</v>
      </c>
      <c r="I4064" s="66">
        <v>44883</v>
      </c>
      <c r="J4064" s="411" t="s">
        <v>10332</v>
      </c>
      <c r="K4064" s="58" t="s">
        <v>9777</v>
      </c>
      <c r="L4064" s="99"/>
      <c r="M4064" s="70" t="s">
        <v>10271</v>
      </c>
      <c r="N4064" s="97" t="s">
        <v>414</v>
      </c>
      <c r="O4064" s="58"/>
      <c r="P4064" s="58" t="s">
        <v>22</v>
      </c>
      <c r="Q4064" s="58" t="s">
        <v>121</v>
      </c>
      <c r="R4064" s="58" t="s">
        <v>272</v>
      </c>
    </row>
    <row r="4065" spans="1:18" ht="69" customHeight="1">
      <c r="A4065" s="168"/>
      <c r="B4065" s="178">
        <v>7517</v>
      </c>
      <c r="C4065" s="178" t="s">
        <v>458</v>
      </c>
      <c r="D4065" s="575" t="s">
        <v>2537</v>
      </c>
      <c r="E4065" s="178" t="s">
        <v>10268</v>
      </c>
      <c r="F4065" s="210" t="s">
        <v>10333</v>
      </c>
      <c r="G4065" s="58" t="s">
        <v>7673</v>
      </c>
      <c r="H4065" s="546">
        <v>165302.76</v>
      </c>
      <c r="I4065" s="66">
        <v>44883</v>
      </c>
      <c r="J4065" s="411" t="s">
        <v>10332</v>
      </c>
      <c r="K4065" s="58" t="s">
        <v>9777</v>
      </c>
      <c r="L4065" s="99"/>
      <c r="M4065" s="70" t="s">
        <v>10271</v>
      </c>
      <c r="N4065" s="97" t="s">
        <v>414</v>
      </c>
      <c r="O4065" s="58"/>
      <c r="P4065" s="58" t="s">
        <v>22</v>
      </c>
      <c r="Q4065" s="58" t="s">
        <v>121</v>
      </c>
      <c r="R4065" s="58" t="s">
        <v>272</v>
      </c>
    </row>
    <row r="4066" spans="1:18" ht="69" customHeight="1">
      <c r="A4066" s="168"/>
      <c r="B4066" s="178">
        <v>6872</v>
      </c>
      <c r="C4066" s="191" t="s">
        <v>309</v>
      </c>
      <c r="D4066" s="533" t="s">
        <v>6984</v>
      </c>
      <c r="E4066" s="191" t="s">
        <v>1056</v>
      </c>
      <c r="F4066" s="211" t="s">
        <v>10334</v>
      </c>
      <c r="G4066" s="46" t="s">
        <v>9863</v>
      </c>
      <c r="H4066" s="546">
        <v>15075.7</v>
      </c>
      <c r="I4066" s="56">
        <v>44834</v>
      </c>
      <c r="J4066" s="412" t="s">
        <v>9864</v>
      </c>
      <c r="K4066" s="46"/>
      <c r="L4066" s="99"/>
      <c r="M4066" s="70" t="s">
        <v>10321</v>
      </c>
      <c r="N4066" s="97" t="s">
        <v>814</v>
      </c>
      <c r="O4066" s="46" t="s">
        <v>1061</v>
      </c>
      <c r="P4066" s="46" t="s">
        <v>36</v>
      </c>
      <c r="Q4066" s="46" t="s">
        <v>15</v>
      </c>
      <c r="R4066" s="46" t="s">
        <v>272</v>
      </c>
    </row>
    <row r="4067" spans="1:18" ht="69" customHeight="1">
      <c r="A4067" s="168"/>
      <c r="B4067" s="191">
        <v>6873</v>
      </c>
      <c r="C4067" s="191" t="s">
        <v>458</v>
      </c>
      <c r="D4067" s="533" t="s">
        <v>6053</v>
      </c>
      <c r="E4067" s="191" t="s">
        <v>1056</v>
      </c>
      <c r="F4067" s="211" t="s">
        <v>10335</v>
      </c>
      <c r="G4067" s="46" t="s">
        <v>9863</v>
      </c>
      <c r="H4067" s="546">
        <v>15075.7</v>
      </c>
      <c r="I4067" s="56">
        <v>44834</v>
      </c>
      <c r="J4067" s="412" t="s">
        <v>9864</v>
      </c>
      <c r="K4067" s="46"/>
      <c r="L4067" s="99"/>
      <c r="M4067" s="70" t="s">
        <v>10321</v>
      </c>
      <c r="N4067" s="97" t="s">
        <v>814</v>
      </c>
      <c r="O4067" s="46" t="s">
        <v>1061</v>
      </c>
      <c r="P4067" s="46" t="s">
        <v>36</v>
      </c>
      <c r="Q4067" s="46" t="s">
        <v>90</v>
      </c>
      <c r="R4067" s="46" t="s">
        <v>272</v>
      </c>
    </row>
    <row r="4068" spans="1:18" ht="69" customHeight="1">
      <c r="A4068" s="168"/>
      <c r="B4068" s="178">
        <v>7296</v>
      </c>
      <c r="C4068" s="178" t="s">
        <v>458</v>
      </c>
      <c r="D4068" s="575" t="s">
        <v>10336</v>
      </c>
      <c r="E4068" s="178" t="s">
        <v>10313</v>
      </c>
      <c r="F4068" s="210" t="s">
        <v>10337</v>
      </c>
      <c r="G4068" s="58" t="s">
        <v>1041</v>
      </c>
      <c r="H4068" s="546">
        <v>48302.45</v>
      </c>
      <c r="I4068" s="66">
        <v>44869</v>
      </c>
      <c r="J4068" s="411" t="s">
        <v>6099</v>
      </c>
      <c r="K4068" s="58"/>
      <c r="L4068" s="99"/>
      <c r="M4068" s="70" t="s">
        <v>10315</v>
      </c>
      <c r="N4068" s="97" t="s">
        <v>1044</v>
      </c>
      <c r="O4068" s="58"/>
      <c r="P4068" s="58" t="s">
        <v>26</v>
      </c>
      <c r="Q4068" s="58" t="s">
        <v>121</v>
      </c>
      <c r="R4068" s="58" t="s">
        <v>272</v>
      </c>
    </row>
    <row r="4069" spans="1:18" ht="69" customHeight="1">
      <c r="A4069" s="168"/>
      <c r="B4069" s="178">
        <v>7576</v>
      </c>
      <c r="C4069" s="178" t="s">
        <v>458</v>
      </c>
      <c r="D4069" s="575" t="s">
        <v>3755</v>
      </c>
      <c r="E4069" s="178" t="s">
        <v>10313</v>
      </c>
      <c r="F4069" s="210" t="s">
        <v>10338</v>
      </c>
      <c r="G4069" s="58" t="s">
        <v>1041</v>
      </c>
      <c r="H4069" s="546">
        <v>8680</v>
      </c>
      <c r="I4069" s="66">
        <v>44904</v>
      </c>
      <c r="J4069" s="411" t="s">
        <v>1080</v>
      </c>
      <c r="K4069" s="58"/>
      <c r="L4069" s="99"/>
      <c r="M4069" s="70" t="s">
        <v>10315</v>
      </c>
      <c r="N4069" s="97" t="s">
        <v>1044</v>
      </c>
      <c r="O4069" s="58"/>
      <c r="P4069" s="58" t="s">
        <v>26</v>
      </c>
      <c r="Q4069" s="58" t="s">
        <v>121</v>
      </c>
      <c r="R4069" s="58" t="s">
        <v>272</v>
      </c>
    </row>
    <row r="4070" spans="1:18" ht="69" customHeight="1">
      <c r="A4070" s="168"/>
      <c r="B4070" s="178">
        <v>7669</v>
      </c>
      <c r="C4070" s="178" t="s">
        <v>458</v>
      </c>
      <c r="D4070" s="575" t="s">
        <v>5630</v>
      </c>
      <c r="E4070" s="178" t="s">
        <v>10313</v>
      </c>
      <c r="F4070" s="210" t="s">
        <v>10339</v>
      </c>
      <c r="G4070" s="58" t="s">
        <v>10340</v>
      </c>
      <c r="H4070" s="546">
        <v>71855.45</v>
      </c>
      <c r="I4070" s="66">
        <v>44895</v>
      </c>
      <c r="J4070" s="411" t="s">
        <v>10341</v>
      </c>
      <c r="K4070" s="58"/>
      <c r="L4070" s="99"/>
      <c r="M4070" s="70" t="s">
        <v>10315</v>
      </c>
      <c r="N4070" s="97" t="s">
        <v>1044</v>
      </c>
      <c r="O4070" s="58"/>
      <c r="P4070" s="58" t="s">
        <v>26</v>
      </c>
      <c r="Q4070" s="58" t="s">
        <v>121</v>
      </c>
      <c r="R4070" s="58" t="s">
        <v>272</v>
      </c>
    </row>
    <row r="4071" spans="1:18" ht="69" customHeight="1">
      <c r="A4071" s="168"/>
      <c r="B4071" s="178">
        <v>8191</v>
      </c>
      <c r="C4071" s="178" t="s">
        <v>458</v>
      </c>
      <c r="D4071" s="575" t="s">
        <v>3350</v>
      </c>
      <c r="E4071" s="178" t="s">
        <v>10342</v>
      </c>
      <c r="F4071" s="210" t="s">
        <v>10343</v>
      </c>
      <c r="G4071" s="58" t="s">
        <v>10344</v>
      </c>
      <c r="H4071" s="546">
        <v>128366.94</v>
      </c>
      <c r="I4071" s="66">
        <v>44931</v>
      </c>
      <c r="J4071" s="411" t="s">
        <v>1118</v>
      </c>
      <c r="K4071" s="58"/>
      <c r="L4071" s="99"/>
      <c r="M4071" s="70" t="s">
        <v>10315</v>
      </c>
      <c r="N4071" s="97" t="s">
        <v>1044</v>
      </c>
      <c r="O4071" s="58"/>
      <c r="P4071" s="58" t="s">
        <v>26</v>
      </c>
      <c r="Q4071" s="58" t="s">
        <v>121</v>
      </c>
      <c r="R4071" s="58" t="s">
        <v>272</v>
      </c>
    </row>
    <row r="4072" spans="1:18" ht="69" customHeight="1">
      <c r="A4072" s="168"/>
      <c r="B4072" s="191">
        <v>8117</v>
      </c>
      <c r="C4072" s="191" t="s">
        <v>458</v>
      </c>
      <c r="D4072" s="533" t="s">
        <v>4961</v>
      </c>
      <c r="E4072" s="191" t="s">
        <v>7890</v>
      </c>
      <c r="F4072" s="211" t="s">
        <v>10345</v>
      </c>
      <c r="G4072" s="46" t="s">
        <v>1149</v>
      </c>
      <c r="H4072" s="534">
        <v>13883.61</v>
      </c>
      <c r="I4072" s="56">
        <v>44918</v>
      </c>
      <c r="J4072" s="412" t="s">
        <v>8355</v>
      </c>
      <c r="K4072" s="46" t="s">
        <v>167</v>
      </c>
      <c r="L4072" s="99"/>
      <c r="M4072" s="379"/>
      <c r="N4072" s="76" t="s">
        <v>414</v>
      </c>
      <c r="O4072" s="46"/>
      <c r="P4072" s="46" t="s">
        <v>65</v>
      </c>
      <c r="Q4072" s="46" t="s">
        <v>121</v>
      </c>
      <c r="R4072" s="46" t="s">
        <v>272</v>
      </c>
    </row>
    <row r="4073" spans="1:18" ht="69" customHeight="1">
      <c r="A4073" s="168"/>
      <c r="B4073" s="191">
        <v>6874</v>
      </c>
      <c r="C4073" s="191" t="s">
        <v>657</v>
      </c>
      <c r="D4073" s="533" t="s">
        <v>10285</v>
      </c>
      <c r="E4073" s="191" t="s">
        <v>1056</v>
      </c>
      <c r="F4073" s="211" t="s">
        <v>10346</v>
      </c>
      <c r="G4073" s="46" t="s">
        <v>9863</v>
      </c>
      <c r="H4073" s="546">
        <v>10854.5</v>
      </c>
      <c r="I4073" s="56">
        <v>44834</v>
      </c>
      <c r="J4073" s="412" t="s">
        <v>9864</v>
      </c>
      <c r="K4073" s="46"/>
      <c r="L4073" s="99"/>
      <c r="M4073" s="70" t="s">
        <v>10321</v>
      </c>
      <c r="N4073" s="97" t="s">
        <v>814</v>
      </c>
      <c r="O4073" s="46" t="s">
        <v>1061</v>
      </c>
      <c r="P4073" s="46" t="s">
        <v>36</v>
      </c>
      <c r="Q4073" s="46" t="s">
        <v>99</v>
      </c>
      <c r="R4073" s="46" t="s">
        <v>272</v>
      </c>
    </row>
    <row r="4074" spans="1:18" ht="69" customHeight="1">
      <c r="A4074" s="168"/>
      <c r="B4074" s="178">
        <v>8220</v>
      </c>
      <c r="C4074" s="178" t="s">
        <v>458</v>
      </c>
      <c r="D4074" s="575" t="s">
        <v>2318</v>
      </c>
      <c r="E4074" s="178" t="s">
        <v>10268</v>
      </c>
      <c r="F4074" s="210" t="s">
        <v>10347</v>
      </c>
      <c r="G4074" s="58" t="s">
        <v>9868</v>
      </c>
      <c r="H4074" s="546">
        <v>39357.800000000003</v>
      </c>
      <c r="I4074" s="66">
        <v>44921</v>
      </c>
      <c r="J4074" s="411" t="s">
        <v>7702</v>
      </c>
      <c r="K4074" s="58" t="s">
        <v>10348</v>
      </c>
      <c r="L4074" s="99"/>
      <c r="M4074" s="70" t="s">
        <v>10271</v>
      </c>
      <c r="N4074" s="97" t="s">
        <v>414</v>
      </c>
      <c r="O4074" s="58"/>
      <c r="P4074" s="58" t="s">
        <v>22</v>
      </c>
      <c r="Q4074" s="58" t="s">
        <v>121</v>
      </c>
      <c r="R4074" s="58" t="s">
        <v>272</v>
      </c>
    </row>
    <row r="4075" spans="1:18" ht="69" customHeight="1">
      <c r="A4075" s="168"/>
      <c r="B4075" s="178">
        <v>8221</v>
      </c>
      <c r="C4075" s="178" t="s">
        <v>458</v>
      </c>
      <c r="D4075" s="575" t="s">
        <v>9660</v>
      </c>
      <c r="E4075" s="178" t="s">
        <v>10268</v>
      </c>
      <c r="F4075" s="210" t="s">
        <v>10349</v>
      </c>
      <c r="G4075" s="58" t="s">
        <v>9871</v>
      </c>
      <c r="H4075" s="546">
        <v>21192.66</v>
      </c>
      <c r="I4075" s="66">
        <v>44921</v>
      </c>
      <c r="J4075" s="411" t="s">
        <v>7702</v>
      </c>
      <c r="K4075" s="58" t="s">
        <v>10348</v>
      </c>
      <c r="L4075" s="99"/>
      <c r="M4075" s="70" t="s">
        <v>10271</v>
      </c>
      <c r="N4075" s="97" t="s">
        <v>414</v>
      </c>
      <c r="O4075" s="58"/>
      <c r="P4075" s="58" t="s">
        <v>22</v>
      </c>
      <c r="Q4075" s="58" t="s">
        <v>121</v>
      </c>
      <c r="R4075" s="58" t="s">
        <v>272</v>
      </c>
    </row>
    <row r="4076" spans="1:18" ht="69" customHeight="1">
      <c r="A4076" s="168"/>
      <c r="B4076" s="178">
        <v>8338</v>
      </c>
      <c r="C4076" s="178" t="s">
        <v>458</v>
      </c>
      <c r="D4076" s="575" t="s">
        <v>799</v>
      </c>
      <c r="E4076" s="178" t="s">
        <v>7890</v>
      </c>
      <c r="F4076" s="210" t="s">
        <v>10350</v>
      </c>
      <c r="G4076" s="58" t="s">
        <v>462</v>
      </c>
      <c r="H4076" s="546">
        <v>17200</v>
      </c>
      <c r="I4076" s="66">
        <v>44923</v>
      </c>
      <c r="J4076" s="411" t="s">
        <v>463</v>
      </c>
      <c r="K4076" s="58" t="s">
        <v>10289</v>
      </c>
      <c r="L4076" s="99"/>
      <c r="M4076" s="70" t="s">
        <v>10290</v>
      </c>
      <c r="N4076" s="97" t="s">
        <v>414</v>
      </c>
      <c r="O4076" s="58"/>
      <c r="P4076" s="58" t="s">
        <v>22</v>
      </c>
      <c r="Q4076" s="58" t="s">
        <v>121</v>
      </c>
      <c r="R4076" s="58" t="s">
        <v>265</v>
      </c>
    </row>
    <row r="4077" spans="1:18" ht="69" customHeight="1">
      <c r="A4077" s="168"/>
      <c r="B4077" s="178">
        <v>8380</v>
      </c>
      <c r="C4077" s="178" t="s">
        <v>458</v>
      </c>
      <c r="D4077" s="575" t="s">
        <v>1038</v>
      </c>
      <c r="E4077" s="178" t="s">
        <v>291</v>
      </c>
      <c r="F4077" s="210" t="s">
        <v>10351</v>
      </c>
      <c r="G4077" s="58" t="s">
        <v>10352</v>
      </c>
      <c r="H4077" s="546">
        <v>372805.68</v>
      </c>
      <c r="I4077" s="66">
        <v>44923</v>
      </c>
      <c r="J4077" s="411" t="s">
        <v>10353</v>
      </c>
      <c r="K4077" s="58"/>
      <c r="L4077" s="99"/>
      <c r="M4077" s="70" t="s">
        <v>10354</v>
      </c>
      <c r="N4077" s="97" t="s">
        <v>356</v>
      </c>
      <c r="O4077" s="58" t="s">
        <v>221</v>
      </c>
      <c r="P4077" s="58" t="s">
        <v>19</v>
      </c>
      <c r="Q4077" s="58" t="s">
        <v>121</v>
      </c>
      <c r="R4077" s="58" t="s">
        <v>272</v>
      </c>
    </row>
    <row r="4078" spans="1:18" ht="69" customHeight="1">
      <c r="A4078" s="168"/>
      <c r="B4078" s="178">
        <v>7409</v>
      </c>
      <c r="C4078" s="178" t="s">
        <v>458</v>
      </c>
      <c r="D4078" s="575" t="s">
        <v>10355</v>
      </c>
      <c r="E4078" s="178" t="s">
        <v>7890</v>
      </c>
      <c r="F4078" s="210" t="s">
        <v>10356</v>
      </c>
      <c r="G4078" s="58" t="s">
        <v>9795</v>
      </c>
      <c r="H4078" s="546">
        <v>9454.0499999999993</v>
      </c>
      <c r="I4078" s="66">
        <v>44890</v>
      </c>
      <c r="J4078" s="411" t="s">
        <v>10357</v>
      </c>
      <c r="K4078" s="58"/>
      <c r="L4078" s="99"/>
      <c r="M4078" s="70" t="s">
        <v>10290</v>
      </c>
      <c r="N4078" s="97" t="s">
        <v>414</v>
      </c>
      <c r="O4078" s="58"/>
      <c r="P4078" s="58" t="s">
        <v>22</v>
      </c>
      <c r="Q4078" s="58" t="s">
        <v>121</v>
      </c>
      <c r="R4078" s="58" t="s">
        <v>265</v>
      </c>
    </row>
    <row r="4079" spans="1:18" ht="69" customHeight="1">
      <c r="A4079" s="168"/>
      <c r="B4079" s="178">
        <v>7143</v>
      </c>
      <c r="C4079" s="178" t="s">
        <v>657</v>
      </c>
      <c r="D4079" s="575" t="s">
        <v>5944</v>
      </c>
      <c r="E4079" s="178" t="s">
        <v>10268</v>
      </c>
      <c r="F4079" s="210" t="s">
        <v>10358</v>
      </c>
      <c r="G4079" s="58" t="s">
        <v>10359</v>
      </c>
      <c r="H4079" s="546">
        <v>416266.63</v>
      </c>
      <c r="I4079" s="66">
        <v>44858</v>
      </c>
      <c r="J4079" s="411" t="s">
        <v>10360</v>
      </c>
      <c r="K4079" s="58" t="s">
        <v>10110</v>
      </c>
      <c r="L4079" s="99"/>
      <c r="M4079" s="70" t="s">
        <v>10271</v>
      </c>
      <c r="N4079" s="97" t="s">
        <v>414</v>
      </c>
      <c r="O4079" s="58"/>
      <c r="P4079" s="58" t="s">
        <v>22</v>
      </c>
      <c r="Q4079" s="58" t="s">
        <v>121</v>
      </c>
      <c r="R4079" s="58" t="s">
        <v>272</v>
      </c>
    </row>
    <row r="4080" spans="1:18" ht="69" customHeight="1">
      <c r="A4080" s="168"/>
      <c r="B4080" s="178">
        <v>7218</v>
      </c>
      <c r="C4080" s="178" t="s">
        <v>458</v>
      </c>
      <c r="D4080" s="575" t="s">
        <v>8832</v>
      </c>
      <c r="E4080" s="178" t="s">
        <v>10268</v>
      </c>
      <c r="F4080" s="210" t="s">
        <v>10361</v>
      </c>
      <c r="G4080" s="58" t="s">
        <v>10122</v>
      </c>
      <c r="H4080" s="546">
        <v>137752.29999999999</v>
      </c>
      <c r="I4080" s="66">
        <v>44860</v>
      </c>
      <c r="J4080" s="411" t="s">
        <v>9837</v>
      </c>
      <c r="K4080" s="58" t="s">
        <v>10362</v>
      </c>
      <c r="L4080" s="99"/>
      <c r="M4080" s="70" t="s">
        <v>10271</v>
      </c>
      <c r="N4080" s="97" t="s">
        <v>414</v>
      </c>
      <c r="O4080" s="58"/>
      <c r="P4080" s="58" t="s">
        <v>22</v>
      </c>
      <c r="Q4080" s="58" t="s">
        <v>121</v>
      </c>
      <c r="R4080" s="58" t="s">
        <v>272</v>
      </c>
    </row>
    <row r="4081" spans="1:18" ht="69" customHeight="1">
      <c r="A4081" s="168"/>
      <c r="B4081" s="178">
        <v>7228</v>
      </c>
      <c r="C4081" s="178" t="s">
        <v>458</v>
      </c>
      <c r="D4081" s="575" t="s">
        <v>10093</v>
      </c>
      <c r="E4081" s="178" t="s">
        <v>10268</v>
      </c>
      <c r="F4081" s="210" t="s">
        <v>10363</v>
      </c>
      <c r="G4081" s="58" t="s">
        <v>10122</v>
      </c>
      <c r="H4081" s="546">
        <v>74174.320000000007</v>
      </c>
      <c r="I4081" s="66">
        <v>44860</v>
      </c>
      <c r="J4081" s="411" t="s">
        <v>9837</v>
      </c>
      <c r="K4081" s="58" t="s">
        <v>10362</v>
      </c>
      <c r="L4081" s="99"/>
      <c r="M4081" s="70" t="s">
        <v>10271</v>
      </c>
      <c r="N4081" s="97" t="s">
        <v>414</v>
      </c>
      <c r="O4081" s="58"/>
      <c r="P4081" s="58" t="s">
        <v>22</v>
      </c>
      <c r="Q4081" s="58" t="s">
        <v>121</v>
      </c>
      <c r="R4081" s="58" t="s">
        <v>272</v>
      </c>
    </row>
    <row r="4082" spans="1:18" ht="69" customHeight="1">
      <c r="A4082" s="168"/>
      <c r="B4082" s="178">
        <v>7560</v>
      </c>
      <c r="C4082" s="178" t="s">
        <v>458</v>
      </c>
      <c r="D4082" s="575" t="s">
        <v>10364</v>
      </c>
      <c r="E4082" s="178" t="s">
        <v>10313</v>
      </c>
      <c r="F4082" s="210" t="s">
        <v>10365</v>
      </c>
      <c r="G4082" s="58" t="s">
        <v>1838</v>
      </c>
      <c r="H4082" s="546">
        <v>9071.34</v>
      </c>
      <c r="I4082" s="66">
        <v>44898</v>
      </c>
      <c r="J4082" s="411" t="s">
        <v>10366</v>
      </c>
      <c r="K4082" s="58" t="s">
        <v>10367</v>
      </c>
      <c r="L4082" s="99"/>
      <c r="M4082" s="70" t="s">
        <v>10315</v>
      </c>
      <c r="N4082" s="97" t="s">
        <v>1044</v>
      </c>
      <c r="O4082" s="58"/>
      <c r="P4082" s="58" t="s">
        <v>26</v>
      </c>
      <c r="Q4082" s="58" t="s">
        <v>121</v>
      </c>
      <c r="R4082" s="58" t="s">
        <v>272</v>
      </c>
    </row>
    <row r="4083" spans="1:18" ht="69" customHeight="1">
      <c r="A4083" s="168"/>
      <c r="B4083" s="191">
        <v>8464</v>
      </c>
      <c r="C4083" s="191" t="s">
        <v>458</v>
      </c>
      <c r="D4083" s="533" t="s">
        <v>10368</v>
      </c>
      <c r="E4083" s="191" t="s">
        <v>7890</v>
      </c>
      <c r="F4083" s="211" t="s">
        <v>10369</v>
      </c>
      <c r="G4083" s="46" t="s">
        <v>7894</v>
      </c>
      <c r="H4083" s="534">
        <v>10500</v>
      </c>
      <c r="I4083" s="56">
        <v>44935</v>
      </c>
      <c r="J4083" s="412" t="s">
        <v>7895</v>
      </c>
      <c r="K4083" s="46" t="s">
        <v>10370</v>
      </c>
      <c r="L4083" s="99"/>
      <c r="M4083" s="379"/>
      <c r="N4083" s="76" t="s">
        <v>414</v>
      </c>
      <c r="O4083" s="46"/>
      <c r="P4083" s="46" t="s">
        <v>71</v>
      </c>
      <c r="Q4083" s="46" t="s">
        <v>121</v>
      </c>
      <c r="R4083" s="46" t="s">
        <v>272</v>
      </c>
    </row>
    <row r="4084" spans="1:18" ht="69" customHeight="1">
      <c r="A4084" s="168"/>
      <c r="B4084" s="178">
        <v>8590</v>
      </c>
      <c r="C4084" s="178" t="s">
        <v>458</v>
      </c>
      <c r="D4084" s="575" t="s">
        <v>3254</v>
      </c>
      <c r="E4084" s="178" t="s">
        <v>10268</v>
      </c>
      <c r="F4084" s="210" t="s">
        <v>10371</v>
      </c>
      <c r="G4084" s="58" t="s">
        <v>9887</v>
      </c>
      <c r="H4084" s="546">
        <v>39644.629999999997</v>
      </c>
      <c r="I4084" s="66">
        <v>44944</v>
      </c>
      <c r="J4084" s="411" t="s">
        <v>9888</v>
      </c>
      <c r="K4084" s="58" t="s">
        <v>10372</v>
      </c>
      <c r="L4084" s="99"/>
      <c r="M4084" s="70" t="s">
        <v>10271</v>
      </c>
      <c r="N4084" s="97" t="s">
        <v>414</v>
      </c>
      <c r="O4084" s="58"/>
      <c r="P4084" s="58" t="s">
        <v>22</v>
      </c>
      <c r="Q4084" s="58" t="s">
        <v>121</v>
      </c>
      <c r="R4084" s="58" t="s">
        <v>272</v>
      </c>
    </row>
    <row r="4085" spans="1:18" ht="69" customHeight="1">
      <c r="A4085" s="168"/>
      <c r="B4085" s="178">
        <v>8591</v>
      </c>
      <c r="C4085" s="178" t="s">
        <v>458</v>
      </c>
      <c r="D4085" s="575" t="s">
        <v>10373</v>
      </c>
      <c r="E4085" s="178" t="s">
        <v>10268</v>
      </c>
      <c r="F4085" s="210" t="s">
        <v>10374</v>
      </c>
      <c r="G4085" s="58" t="s">
        <v>9890</v>
      </c>
      <c r="H4085" s="546">
        <v>32436.52</v>
      </c>
      <c r="I4085" s="66">
        <v>44944</v>
      </c>
      <c r="J4085" s="411" t="s">
        <v>9888</v>
      </c>
      <c r="K4085" s="58" t="s">
        <v>10372</v>
      </c>
      <c r="L4085" s="99"/>
      <c r="M4085" s="70" t="s">
        <v>10271</v>
      </c>
      <c r="N4085" s="97" t="s">
        <v>414</v>
      </c>
      <c r="O4085" s="58"/>
      <c r="P4085" s="58" t="s">
        <v>22</v>
      </c>
      <c r="Q4085" s="58" t="s">
        <v>121</v>
      </c>
      <c r="R4085" s="58" t="s">
        <v>272</v>
      </c>
    </row>
    <row r="4086" spans="1:18" ht="69" customHeight="1">
      <c r="A4086" s="168"/>
      <c r="B4086" s="178">
        <v>8630</v>
      </c>
      <c r="C4086" s="178" t="s">
        <v>458</v>
      </c>
      <c r="D4086" s="575" t="s">
        <v>10375</v>
      </c>
      <c r="E4086" s="178" t="s">
        <v>7890</v>
      </c>
      <c r="F4086" s="210" t="s">
        <v>10376</v>
      </c>
      <c r="G4086" s="58" t="s">
        <v>3891</v>
      </c>
      <c r="H4086" s="546">
        <v>17200</v>
      </c>
      <c r="I4086" s="66">
        <v>44946</v>
      </c>
      <c r="J4086" s="411" t="s">
        <v>10178</v>
      </c>
      <c r="K4086" s="58"/>
      <c r="L4086" s="99"/>
      <c r="M4086" s="70" t="s">
        <v>10290</v>
      </c>
      <c r="N4086" s="97" t="s">
        <v>414</v>
      </c>
      <c r="O4086" s="58"/>
      <c r="P4086" s="58" t="s">
        <v>22</v>
      </c>
      <c r="Q4086" s="58" t="s">
        <v>121</v>
      </c>
      <c r="R4086" s="58" t="s">
        <v>265</v>
      </c>
    </row>
    <row r="4087" spans="1:18" ht="69" customHeight="1">
      <c r="A4087" s="168"/>
      <c r="B4087" s="191">
        <v>8640</v>
      </c>
      <c r="C4087" s="191" t="s">
        <v>458</v>
      </c>
      <c r="D4087" s="533" t="s">
        <v>4783</v>
      </c>
      <c r="E4087" s="191" t="s">
        <v>7890</v>
      </c>
      <c r="F4087" s="211" t="s">
        <v>10377</v>
      </c>
      <c r="G4087" s="46" t="s">
        <v>10378</v>
      </c>
      <c r="H4087" s="534">
        <v>788.32</v>
      </c>
      <c r="I4087" s="56">
        <v>44970</v>
      </c>
      <c r="J4087" s="412" t="s">
        <v>10379</v>
      </c>
      <c r="K4087" s="46" t="s">
        <v>10370</v>
      </c>
      <c r="L4087" s="99"/>
      <c r="M4087" s="379"/>
      <c r="N4087" s="76" t="s">
        <v>414</v>
      </c>
      <c r="O4087" s="46"/>
      <c r="P4087" s="46" t="s">
        <v>65</v>
      </c>
      <c r="Q4087" s="46" t="s">
        <v>121</v>
      </c>
      <c r="R4087" s="46" t="s">
        <v>272</v>
      </c>
    </row>
    <row r="4088" spans="1:18" ht="69" customHeight="1">
      <c r="A4088" s="168"/>
      <c r="B4088" s="178">
        <v>8692</v>
      </c>
      <c r="C4088" s="178" t="s">
        <v>458</v>
      </c>
      <c r="D4088" s="575" t="s">
        <v>2793</v>
      </c>
      <c r="E4088" s="178" t="s">
        <v>270</v>
      </c>
      <c r="F4088" s="210" t="s">
        <v>10380</v>
      </c>
      <c r="G4088" s="58" t="s">
        <v>6183</v>
      </c>
      <c r="H4088" s="546">
        <v>11200</v>
      </c>
      <c r="I4088" s="66">
        <v>44949</v>
      </c>
      <c r="J4088" s="411" t="s">
        <v>6184</v>
      </c>
      <c r="K4088" s="58"/>
      <c r="L4088" s="99"/>
      <c r="M4088" s="70" t="s">
        <v>10230</v>
      </c>
      <c r="N4088" s="97" t="s">
        <v>270</v>
      </c>
      <c r="O4088" s="58"/>
      <c r="P4088" s="58" t="s">
        <v>44</v>
      </c>
      <c r="Q4088" s="58" t="s">
        <v>121</v>
      </c>
      <c r="R4088" s="58" t="s">
        <v>272</v>
      </c>
    </row>
    <row r="4089" spans="1:18" ht="69" customHeight="1">
      <c r="A4089" s="168"/>
      <c r="B4089" s="178">
        <v>8751</v>
      </c>
      <c r="C4089" s="178" t="s">
        <v>458</v>
      </c>
      <c r="D4089" s="575" t="s">
        <v>3259</v>
      </c>
      <c r="E4089" s="178" t="s">
        <v>10313</v>
      </c>
      <c r="F4089" s="210" t="s">
        <v>10381</v>
      </c>
      <c r="G4089" s="58" t="s">
        <v>2145</v>
      </c>
      <c r="H4089" s="546">
        <v>105.08</v>
      </c>
      <c r="I4089" s="66">
        <v>44970</v>
      </c>
      <c r="J4089" s="411" t="s">
        <v>2146</v>
      </c>
      <c r="K4089" s="58"/>
      <c r="L4089" s="99"/>
      <c r="M4089" s="70" t="s">
        <v>10315</v>
      </c>
      <c r="N4089" s="97" t="s">
        <v>1044</v>
      </c>
      <c r="O4089" s="58"/>
      <c r="P4089" s="58" t="s">
        <v>26</v>
      </c>
      <c r="Q4089" s="58" t="s">
        <v>121</v>
      </c>
      <c r="R4089" s="58" t="s">
        <v>272</v>
      </c>
    </row>
    <row r="4090" spans="1:18" ht="69" customHeight="1">
      <c r="A4090" s="168"/>
      <c r="B4090" s="178">
        <v>8782</v>
      </c>
      <c r="C4090" s="178" t="s">
        <v>458</v>
      </c>
      <c r="D4090" s="575" t="s">
        <v>1821</v>
      </c>
      <c r="E4090" s="178" t="s">
        <v>10268</v>
      </c>
      <c r="F4090" s="210" t="s">
        <v>10382</v>
      </c>
      <c r="G4090" s="58" t="s">
        <v>7734</v>
      </c>
      <c r="H4090" s="546">
        <v>34220.550000000003</v>
      </c>
      <c r="I4090" s="66">
        <v>44953</v>
      </c>
      <c r="J4090" s="411" t="s">
        <v>7735</v>
      </c>
      <c r="K4090" s="58" t="s">
        <v>10383</v>
      </c>
      <c r="L4090" s="99"/>
      <c r="M4090" s="70" t="s">
        <v>10271</v>
      </c>
      <c r="N4090" s="97" t="s">
        <v>414</v>
      </c>
      <c r="O4090" s="58"/>
      <c r="P4090" s="58" t="s">
        <v>22</v>
      </c>
      <c r="Q4090" s="58" t="s">
        <v>121</v>
      </c>
      <c r="R4090" s="58" t="s">
        <v>272</v>
      </c>
    </row>
    <row r="4091" spans="1:18" ht="69" customHeight="1">
      <c r="A4091" s="168"/>
      <c r="B4091" s="178">
        <v>8783</v>
      </c>
      <c r="C4091" s="178" t="s">
        <v>458</v>
      </c>
      <c r="D4091" s="575" t="s">
        <v>2556</v>
      </c>
      <c r="E4091" s="178" t="s">
        <v>10268</v>
      </c>
      <c r="F4091" s="210" t="s">
        <v>10384</v>
      </c>
      <c r="G4091" s="58" t="s">
        <v>7737</v>
      </c>
      <c r="H4091" s="546">
        <v>18426.45</v>
      </c>
      <c r="I4091" s="66">
        <v>44953</v>
      </c>
      <c r="J4091" s="411" t="s">
        <v>7735</v>
      </c>
      <c r="K4091" s="58" t="s">
        <v>10383</v>
      </c>
      <c r="L4091" s="99"/>
      <c r="M4091" s="70" t="s">
        <v>10271</v>
      </c>
      <c r="N4091" s="97" t="s">
        <v>414</v>
      </c>
      <c r="O4091" s="58"/>
      <c r="P4091" s="58" t="s">
        <v>22</v>
      </c>
      <c r="Q4091" s="58" t="s">
        <v>121</v>
      </c>
      <c r="R4091" s="58" t="s">
        <v>272</v>
      </c>
    </row>
    <row r="4092" spans="1:18" ht="69" customHeight="1">
      <c r="A4092" s="168"/>
      <c r="B4092" s="178">
        <v>8795</v>
      </c>
      <c r="C4092" s="178" t="s">
        <v>458</v>
      </c>
      <c r="D4092" s="575" t="s">
        <v>4978</v>
      </c>
      <c r="E4092" s="178" t="s">
        <v>10268</v>
      </c>
      <c r="F4092" s="210" t="s">
        <v>10385</v>
      </c>
      <c r="G4092" s="58" t="s">
        <v>10386</v>
      </c>
      <c r="H4092" s="546">
        <v>28177.8</v>
      </c>
      <c r="I4092" s="66">
        <v>44953</v>
      </c>
      <c r="J4092" s="411" t="s">
        <v>10387</v>
      </c>
      <c r="K4092" s="58" t="s">
        <v>10388</v>
      </c>
      <c r="L4092" s="99"/>
      <c r="M4092" s="70" t="s">
        <v>10271</v>
      </c>
      <c r="N4092" s="97" t="s">
        <v>414</v>
      </c>
      <c r="O4092" s="58"/>
      <c r="P4092" s="58" t="s">
        <v>22</v>
      </c>
      <c r="Q4092" s="58" t="s">
        <v>121</v>
      </c>
      <c r="R4092" s="58" t="s">
        <v>272</v>
      </c>
    </row>
    <row r="4093" spans="1:18" ht="69" customHeight="1">
      <c r="A4093" s="168"/>
      <c r="B4093" s="178">
        <v>8796</v>
      </c>
      <c r="C4093" s="178" t="s">
        <v>458</v>
      </c>
      <c r="D4093" s="575" t="s">
        <v>1140</v>
      </c>
      <c r="E4093" s="178" t="s">
        <v>10268</v>
      </c>
      <c r="F4093" s="210" t="s">
        <v>10389</v>
      </c>
      <c r="G4093" s="58" t="s">
        <v>10390</v>
      </c>
      <c r="H4093" s="546">
        <v>15172.66</v>
      </c>
      <c r="I4093" s="66">
        <v>44953</v>
      </c>
      <c r="J4093" s="411" t="s">
        <v>10387</v>
      </c>
      <c r="K4093" s="58" t="s">
        <v>10388</v>
      </c>
      <c r="L4093" s="99"/>
      <c r="M4093" s="70" t="s">
        <v>10271</v>
      </c>
      <c r="N4093" s="97" t="s">
        <v>414</v>
      </c>
      <c r="O4093" s="58"/>
      <c r="P4093" s="58" t="s">
        <v>22</v>
      </c>
      <c r="Q4093" s="58" t="s">
        <v>121</v>
      </c>
      <c r="R4093" s="58" t="s">
        <v>272</v>
      </c>
    </row>
    <row r="4094" spans="1:18" ht="69" customHeight="1">
      <c r="A4094" s="168"/>
      <c r="B4094" s="178">
        <v>9846</v>
      </c>
      <c r="C4094" s="178" t="s">
        <v>458</v>
      </c>
      <c r="D4094" s="575" t="s">
        <v>2637</v>
      </c>
      <c r="E4094" s="178" t="s">
        <v>10268</v>
      </c>
      <c r="F4094" s="210" t="s">
        <v>10391</v>
      </c>
      <c r="G4094" s="58" t="s">
        <v>10392</v>
      </c>
      <c r="H4094" s="546">
        <v>17738.47</v>
      </c>
      <c r="I4094" s="66">
        <v>45033</v>
      </c>
      <c r="J4094" s="411" t="s">
        <v>7966</v>
      </c>
      <c r="K4094" s="58" t="s">
        <v>10393</v>
      </c>
      <c r="L4094" s="99"/>
      <c r="M4094" s="70" t="s">
        <v>10271</v>
      </c>
      <c r="N4094" s="97" t="s">
        <v>414</v>
      </c>
      <c r="O4094" s="58"/>
      <c r="P4094" s="58" t="s">
        <v>22</v>
      </c>
      <c r="Q4094" s="58" t="s">
        <v>121</v>
      </c>
      <c r="R4094" s="58" t="s">
        <v>272</v>
      </c>
    </row>
    <row r="4095" spans="1:18" ht="69" customHeight="1">
      <c r="A4095" s="168"/>
      <c r="B4095" s="191">
        <v>8694</v>
      </c>
      <c r="C4095" s="191" t="s">
        <v>458</v>
      </c>
      <c r="D4095" s="533" t="s">
        <v>2802</v>
      </c>
      <c r="E4095" s="191" t="s">
        <v>10394</v>
      </c>
      <c r="F4095" s="211" t="s">
        <v>10395</v>
      </c>
      <c r="G4095" s="46" t="s">
        <v>7494</v>
      </c>
      <c r="H4095" s="534">
        <v>101000</v>
      </c>
      <c r="I4095" s="56">
        <v>44967</v>
      </c>
      <c r="J4095" s="412" t="s">
        <v>7495</v>
      </c>
      <c r="K4095" s="46" t="s">
        <v>10396</v>
      </c>
      <c r="L4095" s="99"/>
      <c r="M4095" s="379" t="s">
        <v>10397</v>
      </c>
      <c r="N4095" s="76" t="s">
        <v>356</v>
      </c>
      <c r="O4095" s="46"/>
      <c r="P4095" s="46" t="s">
        <v>63</v>
      </c>
      <c r="Q4095" s="46" t="s">
        <v>121</v>
      </c>
      <c r="R4095" s="46" t="s">
        <v>265</v>
      </c>
    </row>
    <row r="4096" spans="1:18" ht="69" customHeight="1">
      <c r="A4096" s="168"/>
      <c r="B4096" s="191">
        <v>8236</v>
      </c>
      <c r="C4096" s="191" t="s">
        <v>458</v>
      </c>
      <c r="D4096" s="533" t="s">
        <v>3042</v>
      </c>
      <c r="E4096" s="191" t="s">
        <v>7890</v>
      </c>
      <c r="F4096" s="211" t="s">
        <v>10398</v>
      </c>
      <c r="G4096" s="46" t="s">
        <v>7894</v>
      </c>
      <c r="H4096" s="534">
        <v>10500</v>
      </c>
      <c r="I4096" s="56">
        <v>44960</v>
      </c>
      <c r="J4096" s="412" t="s">
        <v>9898</v>
      </c>
      <c r="K4096" s="46" t="s">
        <v>10370</v>
      </c>
      <c r="L4096" s="99"/>
      <c r="M4096" s="379"/>
      <c r="N4096" s="76" t="s">
        <v>414</v>
      </c>
      <c r="O4096" s="46"/>
      <c r="P4096" s="46" t="s">
        <v>71</v>
      </c>
      <c r="Q4096" s="46" t="s">
        <v>121</v>
      </c>
      <c r="R4096" s="46" t="s">
        <v>272</v>
      </c>
    </row>
    <row r="4097" spans="1:18" ht="69" customHeight="1">
      <c r="A4097" s="168"/>
      <c r="B4097" s="178">
        <v>8681</v>
      </c>
      <c r="C4097" s="178" t="s">
        <v>458</v>
      </c>
      <c r="D4097" s="575" t="s">
        <v>2578</v>
      </c>
      <c r="E4097" s="178" t="s">
        <v>7890</v>
      </c>
      <c r="F4097" s="210" t="s">
        <v>10399</v>
      </c>
      <c r="G4097" s="58" t="s">
        <v>3939</v>
      </c>
      <c r="H4097" s="546">
        <v>38034</v>
      </c>
      <c r="I4097" s="66">
        <v>44982</v>
      </c>
      <c r="J4097" s="411" t="s">
        <v>9900</v>
      </c>
      <c r="K4097" s="58"/>
      <c r="L4097" s="99"/>
      <c r="M4097" s="70" t="s">
        <v>10290</v>
      </c>
      <c r="N4097" s="97" t="s">
        <v>414</v>
      </c>
      <c r="O4097" s="58"/>
      <c r="P4097" s="58" t="s">
        <v>22</v>
      </c>
      <c r="Q4097" s="58" t="s">
        <v>121</v>
      </c>
      <c r="R4097" s="58" t="s">
        <v>265</v>
      </c>
    </row>
    <row r="4098" spans="1:18" ht="69" customHeight="1">
      <c r="A4098" s="168"/>
      <c r="B4098" s="191">
        <v>8683</v>
      </c>
      <c r="C4098" s="191" t="s">
        <v>458</v>
      </c>
      <c r="D4098" s="533" t="s">
        <v>1849</v>
      </c>
      <c r="E4098" s="191" t="s">
        <v>7890</v>
      </c>
      <c r="F4098" s="211" t="s">
        <v>10400</v>
      </c>
      <c r="G4098" s="46" t="s">
        <v>9902</v>
      </c>
      <c r="H4098" s="534">
        <v>2610</v>
      </c>
      <c r="I4098" s="56">
        <v>44967</v>
      </c>
      <c r="J4098" s="412" t="s">
        <v>9903</v>
      </c>
      <c r="K4098" s="46" t="s">
        <v>10370</v>
      </c>
      <c r="L4098" s="99"/>
      <c r="M4098" s="379"/>
      <c r="N4098" s="76" t="s">
        <v>414</v>
      </c>
      <c r="O4098" s="46"/>
      <c r="P4098" s="46" t="s">
        <v>65</v>
      </c>
      <c r="Q4098" s="46" t="s">
        <v>121</v>
      </c>
      <c r="R4098" s="46" t="s">
        <v>272</v>
      </c>
    </row>
    <row r="4099" spans="1:18" ht="69" customHeight="1">
      <c r="A4099" s="168"/>
      <c r="B4099" s="178">
        <v>8679</v>
      </c>
      <c r="C4099" s="178" t="s">
        <v>458</v>
      </c>
      <c r="D4099" s="575" t="s">
        <v>1225</v>
      </c>
      <c r="E4099" s="178" t="s">
        <v>10268</v>
      </c>
      <c r="F4099" s="210" t="s">
        <v>10401</v>
      </c>
      <c r="G4099" s="58" t="s">
        <v>10402</v>
      </c>
      <c r="H4099" s="546">
        <v>3148.63</v>
      </c>
      <c r="I4099" s="66">
        <v>44967</v>
      </c>
      <c r="J4099" s="411" t="s">
        <v>8401</v>
      </c>
      <c r="K4099" s="58" t="s">
        <v>10403</v>
      </c>
      <c r="L4099" s="99"/>
      <c r="M4099" s="70" t="s">
        <v>10271</v>
      </c>
      <c r="N4099" s="97" t="s">
        <v>414</v>
      </c>
      <c r="O4099" s="58"/>
      <c r="P4099" s="58" t="s">
        <v>22</v>
      </c>
      <c r="Q4099" s="58" t="s">
        <v>121</v>
      </c>
      <c r="R4099" s="58" t="s">
        <v>272</v>
      </c>
    </row>
    <row r="4100" spans="1:18" ht="69" customHeight="1">
      <c r="A4100" s="168"/>
      <c r="B4100" s="178">
        <v>8680</v>
      </c>
      <c r="C4100" s="178" t="s">
        <v>458</v>
      </c>
      <c r="D4100" s="575" t="s">
        <v>1221</v>
      </c>
      <c r="E4100" s="178" t="s">
        <v>10268</v>
      </c>
      <c r="F4100" s="210" t="s">
        <v>10404</v>
      </c>
      <c r="G4100" s="58" t="s">
        <v>10405</v>
      </c>
      <c r="H4100" s="546">
        <v>1695.41</v>
      </c>
      <c r="I4100" s="66">
        <v>44967</v>
      </c>
      <c r="J4100" s="411" t="s">
        <v>8401</v>
      </c>
      <c r="K4100" s="58" t="s">
        <v>10403</v>
      </c>
      <c r="L4100" s="99"/>
      <c r="M4100" s="70" t="s">
        <v>10271</v>
      </c>
      <c r="N4100" s="97" t="s">
        <v>414</v>
      </c>
      <c r="O4100" s="58"/>
      <c r="P4100" s="58" t="s">
        <v>22</v>
      </c>
      <c r="Q4100" s="58" t="s">
        <v>121</v>
      </c>
      <c r="R4100" s="58" t="s">
        <v>272</v>
      </c>
    </row>
    <row r="4101" spans="1:18" ht="69" customHeight="1">
      <c r="A4101" s="168"/>
      <c r="B4101" s="178">
        <v>8745</v>
      </c>
      <c r="C4101" s="178" t="s">
        <v>458</v>
      </c>
      <c r="D4101" s="575" t="s">
        <v>6503</v>
      </c>
      <c r="E4101" s="178" t="s">
        <v>7890</v>
      </c>
      <c r="F4101" s="210" t="s">
        <v>10406</v>
      </c>
      <c r="G4101" s="58" t="s">
        <v>9914</v>
      </c>
      <c r="H4101" s="546">
        <v>31443.75</v>
      </c>
      <c r="I4101" s="66">
        <v>44982</v>
      </c>
      <c r="J4101" s="411" t="s">
        <v>9915</v>
      </c>
      <c r="K4101" s="58"/>
      <c r="L4101" s="99"/>
      <c r="M4101" s="70" t="s">
        <v>10290</v>
      </c>
      <c r="N4101" s="97" t="s">
        <v>414</v>
      </c>
      <c r="O4101" s="58"/>
      <c r="P4101" s="58" t="s">
        <v>22</v>
      </c>
      <c r="Q4101" s="58" t="s">
        <v>121</v>
      </c>
      <c r="R4101" s="58" t="s">
        <v>265</v>
      </c>
    </row>
    <row r="4102" spans="1:18" ht="69" customHeight="1">
      <c r="A4102" s="168"/>
      <c r="B4102" s="178">
        <v>8803</v>
      </c>
      <c r="C4102" s="178" t="s">
        <v>458</v>
      </c>
      <c r="D4102" s="575" t="s">
        <v>3059</v>
      </c>
      <c r="E4102" s="178" t="s">
        <v>7890</v>
      </c>
      <c r="F4102" s="210" t="s">
        <v>10407</v>
      </c>
      <c r="G4102" s="58" t="s">
        <v>9919</v>
      </c>
      <c r="H4102" s="546">
        <v>18200</v>
      </c>
      <c r="I4102" s="66">
        <v>44982</v>
      </c>
      <c r="J4102" s="411" t="s">
        <v>9920</v>
      </c>
      <c r="K4102" s="58"/>
      <c r="L4102" s="99"/>
      <c r="M4102" s="70" t="s">
        <v>10290</v>
      </c>
      <c r="N4102" s="97" t="s">
        <v>414</v>
      </c>
      <c r="O4102" s="58"/>
      <c r="P4102" s="58" t="s">
        <v>22</v>
      </c>
      <c r="Q4102" s="58" t="s">
        <v>121</v>
      </c>
      <c r="R4102" s="58" t="s">
        <v>265</v>
      </c>
    </row>
    <row r="4103" spans="1:18" ht="69" customHeight="1">
      <c r="A4103" s="168"/>
      <c r="B4103" s="178">
        <v>8953</v>
      </c>
      <c r="C4103" s="178" t="s">
        <v>458</v>
      </c>
      <c r="D4103" s="575" t="s">
        <v>821</v>
      </c>
      <c r="E4103" s="178" t="s">
        <v>7890</v>
      </c>
      <c r="F4103" s="210" t="s">
        <v>10408</v>
      </c>
      <c r="G4103" s="58" t="s">
        <v>6580</v>
      </c>
      <c r="H4103" s="546">
        <v>17200</v>
      </c>
      <c r="I4103" s="66">
        <v>44988</v>
      </c>
      <c r="J4103" s="411" t="s">
        <v>9931</v>
      </c>
      <c r="K4103" s="58"/>
      <c r="L4103" s="99"/>
      <c r="M4103" s="70" t="s">
        <v>10290</v>
      </c>
      <c r="N4103" s="97" t="s">
        <v>414</v>
      </c>
      <c r="O4103" s="58"/>
      <c r="P4103" s="58" t="s">
        <v>22</v>
      </c>
      <c r="Q4103" s="58" t="s">
        <v>121</v>
      </c>
      <c r="R4103" s="58" t="s">
        <v>265</v>
      </c>
    </row>
    <row r="4104" spans="1:18" ht="69" customHeight="1">
      <c r="A4104" s="168"/>
      <c r="B4104" s="191">
        <v>8954</v>
      </c>
      <c r="C4104" s="191" t="s">
        <v>458</v>
      </c>
      <c r="D4104" s="533" t="s">
        <v>1396</v>
      </c>
      <c r="E4104" s="191" t="s">
        <v>7890</v>
      </c>
      <c r="F4104" s="211" t="s">
        <v>10409</v>
      </c>
      <c r="G4104" s="46" t="s">
        <v>7943</v>
      </c>
      <c r="H4104" s="534">
        <v>10500</v>
      </c>
      <c r="I4104" s="56">
        <v>44988</v>
      </c>
      <c r="J4104" s="412" t="s">
        <v>9931</v>
      </c>
      <c r="K4104" s="46" t="s">
        <v>10370</v>
      </c>
      <c r="L4104" s="99"/>
      <c r="M4104" s="379"/>
      <c r="N4104" s="76" t="s">
        <v>414</v>
      </c>
      <c r="O4104" s="46"/>
      <c r="P4104" s="46" t="s">
        <v>71</v>
      </c>
      <c r="Q4104" s="46" t="s">
        <v>121</v>
      </c>
      <c r="R4104" s="46" t="s">
        <v>272</v>
      </c>
    </row>
    <row r="4105" spans="1:18" ht="69" customHeight="1">
      <c r="A4105" s="168"/>
      <c r="B4105" s="178">
        <v>9060</v>
      </c>
      <c r="C4105" s="178" t="s">
        <v>458</v>
      </c>
      <c r="D4105" s="575" t="s">
        <v>10410</v>
      </c>
      <c r="E4105" s="178" t="s">
        <v>382</v>
      </c>
      <c r="F4105" s="210" t="s">
        <v>10411</v>
      </c>
      <c r="G4105" s="58" t="s">
        <v>857</v>
      </c>
      <c r="H4105" s="546">
        <v>3767.13</v>
      </c>
      <c r="I4105" s="66">
        <v>45000</v>
      </c>
      <c r="J4105" s="411" t="s">
        <v>858</v>
      </c>
      <c r="K4105" s="58"/>
      <c r="L4105" s="99"/>
      <c r="M4105" s="70" t="s">
        <v>10253</v>
      </c>
      <c r="N4105" s="97" t="s">
        <v>387</v>
      </c>
      <c r="O4105" s="45" t="s">
        <v>150</v>
      </c>
      <c r="P4105" s="58" t="s">
        <v>51</v>
      </c>
      <c r="Q4105" s="58" t="s">
        <v>121</v>
      </c>
      <c r="R4105" s="58" t="s">
        <v>272</v>
      </c>
    </row>
    <row r="4106" spans="1:18" ht="69" customHeight="1">
      <c r="A4106" s="168"/>
      <c r="B4106" s="178">
        <v>9026</v>
      </c>
      <c r="C4106" s="178" t="s">
        <v>458</v>
      </c>
      <c r="D4106" s="575" t="s">
        <v>3107</v>
      </c>
      <c r="E4106" s="178" t="s">
        <v>10313</v>
      </c>
      <c r="F4106" s="210" t="s">
        <v>10412</v>
      </c>
      <c r="G4106" s="58" t="s">
        <v>1231</v>
      </c>
      <c r="H4106" s="546">
        <v>55014.400000000001</v>
      </c>
      <c r="I4106" s="66">
        <v>45000</v>
      </c>
      <c r="J4106" s="411" t="s">
        <v>1232</v>
      </c>
      <c r="K4106" s="58"/>
      <c r="L4106" s="99"/>
      <c r="M4106" s="70" t="s">
        <v>10315</v>
      </c>
      <c r="N4106" s="97" t="s">
        <v>1044</v>
      </c>
      <c r="O4106" s="58"/>
      <c r="P4106" s="58" t="s">
        <v>26</v>
      </c>
      <c r="Q4106" s="58" t="s">
        <v>121</v>
      </c>
      <c r="R4106" s="58" t="s">
        <v>272</v>
      </c>
    </row>
    <row r="4107" spans="1:18" ht="69" customHeight="1">
      <c r="A4107" s="168"/>
      <c r="B4107" s="178">
        <v>9662</v>
      </c>
      <c r="C4107" s="178" t="s">
        <v>458</v>
      </c>
      <c r="D4107" s="575" t="s">
        <v>10413</v>
      </c>
      <c r="E4107" s="178" t="s">
        <v>7890</v>
      </c>
      <c r="F4107" s="210" t="s">
        <v>10414</v>
      </c>
      <c r="G4107" s="58" t="s">
        <v>9949</v>
      </c>
      <c r="H4107" s="546">
        <v>17200</v>
      </c>
      <c r="I4107" s="66">
        <v>45014</v>
      </c>
      <c r="J4107" s="411" t="s">
        <v>10415</v>
      </c>
      <c r="K4107" s="58"/>
      <c r="L4107" s="99"/>
      <c r="M4107" s="70" t="s">
        <v>10290</v>
      </c>
      <c r="N4107" s="97" t="s">
        <v>414</v>
      </c>
      <c r="O4107" s="58"/>
      <c r="P4107" s="58" t="s">
        <v>22</v>
      </c>
      <c r="Q4107" s="58" t="s">
        <v>121</v>
      </c>
      <c r="R4107" s="58" t="s">
        <v>265</v>
      </c>
    </row>
    <row r="4108" spans="1:18" ht="69" customHeight="1">
      <c r="A4108" s="168"/>
      <c r="B4108" s="191">
        <v>9663</v>
      </c>
      <c r="C4108" s="191" t="s">
        <v>458</v>
      </c>
      <c r="D4108" s="533" t="s">
        <v>10416</v>
      </c>
      <c r="E4108" s="191" t="s">
        <v>7890</v>
      </c>
      <c r="F4108" s="211" t="s">
        <v>10417</v>
      </c>
      <c r="G4108" s="46" t="s">
        <v>7962</v>
      </c>
      <c r="H4108" s="534">
        <v>10500</v>
      </c>
      <c r="I4108" s="56">
        <v>45014</v>
      </c>
      <c r="J4108" s="412" t="s">
        <v>10415</v>
      </c>
      <c r="K4108" s="46" t="s">
        <v>10370</v>
      </c>
      <c r="L4108" s="99"/>
      <c r="M4108" s="379"/>
      <c r="N4108" s="76" t="s">
        <v>414</v>
      </c>
      <c r="O4108" s="46"/>
      <c r="P4108" s="46" t="s">
        <v>71</v>
      </c>
      <c r="Q4108" s="46" t="s">
        <v>121</v>
      </c>
      <c r="R4108" s="46" t="s">
        <v>272</v>
      </c>
    </row>
    <row r="4109" spans="1:18" ht="69" customHeight="1">
      <c r="A4109" s="168"/>
      <c r="B4109" s="178">
        <v>9734</v>
      </c>
      <c r="C4109" s="178" t="s">
        <v>10418</v>
      </c>
      <c r="D4109" s="575" t="s">
        <v>10419</v>
      </c>
      <c r="E4109" s="178" t="s">
        <v>382</v>
      </c>
      <c r="F4109" s="210" t="s">
        <v>10420</v>
      </c>
      <c r="G4109" s="58" t="s">
        <v>9956</v>
      </c>
      <c r="H4109" s="546">
        <v>5821.02</v>
      </c>
      <c r="I4109" s="66">
        <v>45026</v>
      </c>
      <c r="J4109" s="411" t="s">
        <v>9957</v>
      </c>
      <c r="K4109" s="58"/>
      <c r="L4109" s="99"/>
      <c r="M4109" s="70" t="s">
        <v>10253</v>
      </c>
      <c r="N4109" s="97" t="s">
        <v>387</v>
      </c>
      <c r="O4109" s="45" t="s">
        <v>150</v>
      </c>
      <c r="P4109" s="58" t="s">
        <v>51</v>
      </c>
      <c r="Q4109" s="58" t="s">
        <v>121</v>
      </c>
      <c r="R4109" s="58" t="s">
        <v>272</v>
      </c>
    </row>
    <row r="4110" spans="1:18" ht="69" customHeight="1">
      <c r="A4110" s="168"/>
      <c r="B4110" s="191">
        <v>9738</v>
      </c>
      <c r="C4110" s="191" t="s">
        <v>458</v>
      </c>
      <c r="D4110" s="533" t="s">
        <v>3307</v>
      </c>
      <c r="E4110" s="191" t="s">
        <v>6226</v>
      </c>
      <c r="F4110" s="211" t="s">
        <v>10421</v>
      </c>
      <c r="G4110" s="46" t="s">
        <v>9207</v>
      </c>
      <c r="H4110" s="534">
        <v>1243</v>
      </c>
      <c r="I4110" s="56">
        <v>45041</v>
      </c>
      <c r="J4110" s="412" t="s">
        <v>9959</v>
      </c>
      <c r="K4110" s="46" t="s">
        <v>10370</v>
      </c>
      <c r="L4110" s="99"/>
      <c r="M4110" s="379"/>
      <c r="N4110" s="76" t="s">
        <v>414</v>
      </c>
      <c r="O4110" s="46"/>
      <c r="P4110" s="46" t="s">
        <v>65</v>
      </c>
      <c r="Q4110" s="46" t="s">
        <v>121</v>
      </c>
      <c r="R4110" s="46" t="s">
        <v>272</v>
      </c>
    </row>
    <row r="4111" spans="1:18" ht="69" customHeight="1">
      <c r="A4111" s="168"/>
      <c r="B4111" s="178">
        <v>9741</v>
      </c>
      <c r="C4111" s="178" t="s">
        <v>458</v>
      </c>
      <c r="D4111" s="575" t="s">
        <v>2852</v>
      </c>
      <c r="E4111" s="178" t="s">
        <v>10268</v>
      </c>
      <c r="F4111" s="210" t="s">
        <v>10422</v>
      </c>
      <c r="G4111" s="58" t="s">
        <v>8434</v>
      </c>
      <c r="H4111" s="546">
        <v>200141.01</v>
      </c>
      <c r="I4111" s="66" t="s">
        <v>96</v>
      </c>
      <c r="J4111" s="411" t="s">
        <v>8435</v>
      </c>
      <c r="K4111" s="58" t="s">
        <v>10423</v>
      </c>
      <c r="L4111" s="99"/>
      <c r="M4111" s="70" t="s">
        <v>10271</v>
      </c>
      <c r="N4111" s="97" t="s">
        <v>414</v>
      </c>
      <c r="O4111" s="58"/>
      <c r="P4111" s="58" t="s">
        <v>22</v>
      </c>
      <c r="Q4111" s="58" t="s">
        <v>121</v>
      </c>
      <c r="R4111" s="58" t="s">
        <v>272</v>
      </c>
    </row>
    <row r="4112" spans="1:18" ht="69" customHeight="1">
      <c r="A4112" s="168"/>
      <c r="B4112" s="178">
        <v>9742</v>
      </c>
      <c r="C4112" s="178" t="s">
        <v>458</v>
      </c>
      <c r="D4112" s="575" t="s">
        <v>1214</v>
      </c>
      <c r="E4112" s="178" t="s">
        <v>10268</v>
      </c>
      <c r="F4112" s="210" t="s">
        <v>10422</v>
      </c>
      <c r="G4112" s="58" t="s">
        <v>8437</v>
      </c>
      <c r="H4112" s="546">
        <v>244616.8</v>
      </c>
      <c r="I4112" s="66" t="s">
        <v>96</v>
      </c>
      <c r="J4112" s="411" t="s">
        <v>8435</v>
      </c>
      <c r="K4112" s="58" t="s">
        <v>10423</v>
      </c>
      <c r="L4112" s="99"/>
      <c r="M4112" s="70" t="s">
        <v>10271</v>
      </c>
      <c r="N4112" s="97" t="s">
        <v>414</v>
      </c>
      <c r="O4112" s="58"/>
      <c r="P4112" s="58" t="s">
        <v>22</v>
      </c>
      <c r="Q4112" s="58" t="s">
        <v>121</v>
      </c>
      <c r="R4112" s="58" t="s">
        <v>272</v>
      </c>
    </row>
    <row r="4113" spans="1:18" ht="69" customHeight="1">
      <c r="A4113" s="168"/>
      <c r="B4113" s="178">
        <v>9845</v>
      </c>
      <c r="C4113" s="178" t="s">
        <v>458</v>
      </c>
      <c r="D4113" s="575" t="s">
        <v>3123</v>
      </c>
      <c r="E4113" s="178" t="s">
        <v>10268</v>
      </c>
      <c r="F4113" s="210" t="s">
        <v>10424</v>
      </c>
      <c r="G4113" s="58" t="s">
        <v>10425</v>
      </c>
      <c r="H4113" s="546">
        <v>32942.870000000003</v>
      </c>
      <c r="I4113" s="66">
        <v>45033</v>
      </c>
      <c r="J4113" s="411" t="s">
        <v>7966</v>
      </c>
      <c r="K4113" s="58" t="s">
        <v>10393</v>
      </c>
      <c r="L4113" s="99"/>
      <c r="M4113" s="70" t="s">
        <v>10271</v>
      </c>
      <c r="N4113" s="97" t="s">
        <v>414</v>
      </c>
      <c r="O4113" s="58"/>
      <c r="P4113" s="58" t="s">
        <v>22</v>
      </c>
      <c r="Q4113" s="58" t="s">
        <v>121</v>
      </c>
      <c r="R4113" s="58" t="s">
        <v>272</v>
      </c>
    </row>
    <row r="4114" spans="1:18" ht="69" customHeight="1">
      <c r="A4114" s="168"/>
      <c r="B4114" s="178">
        <v>9807</v>
      </c>
      <c r="C4114" s="178" t="s">
        <v>458</v>
      </c>
      <c r="D4114" s="575" t="s">
        <v>10426</v>
      </c>
      <c r="E4114" s="178" t="s">
        <v>7890</v>
      </c>
      <c r="F4114" s="210" t="s">
        <v>10427</v>
      </c>
      <c r="G4114" s="58" t="s">
        <v>10225</v>
      </c>
      <c r="H4114" s="546">
        <v>37800</v>
      </c>
      <c r="I4114" s="66">
        <v>45041</v>
      </c>
      <c r="J4114" s="411" t="s">
        <v>10226</v>
      </c>
      <c r="K4114" s="58"/>
      <c r="L4114" s="99"/>
      <c r="M4114" s="70" t="s">
        <v>10290</v>
      </c>
      <c r="N4114" s="97" t="s">
        <v>414</v>
      </c>
      <c r="O4114" s="58"/>
      <c r="P4114" s="58" t="s">
        <v>22</v>
      </c>
      <c r="Q4114" s="58" t="s">
        <v>121</v>
      </c>
      <c r="R4114" s="58" t="s">
        <v>265</v>
      </c>
    </row>
    <row r="4115" spans="1:18" ht="69" customHeight="1">
      <c r="A4115" s="168"/>
      <c r="B4115" s="178">
        <v>9813</v>
      </c>
      <c r="C4115" s="178" t="s">
        <v>458</v>
      </c>
      <c r="D4115" s="575" t="s">
        <v>3869</v>
      </c>
      <c r="E4115" s="178" t="s">
        <v>7890</v>
      </c>
      <c r="F4115" s="210" t="s">
        <v>10428</v>
      </c>
      <c r="G4115" s="58" t="s">
        <v>4115</v>
      </c>
      <c r="H4115" s="546">
        <v>17200</v>
      </c>
      <c r="I4115" s="66">
        <v>45041</v>
      </c>
      <c r="J4115" s="411" t="s">
        <v>9966</v>
      </c>
      <c r="K4115" s="58"/>
      <c r="L4115" s="99"/>
      <c r="M4115" s="70" t="s">
        <v>10290</v>
      </c>
      <c r="N4115" s="97" t="s">
        <v>414</v>
      </c>
      <c r="O4115" s="58"/>
      <c r="P4115" s="58" t="s">
        <v>22</v>
      </c>
      <c r="Q4115" s="58" t="s">
        <v>121</v>
      </c>
      <c r="R4115" s="58" t="s">
        <v>265</v>
      </c>
    </row>
    <row r="4116" spans="1:18" ht="69" customHeight="1">
      <c r="A4116" s="168"/>
      <c r="B4116" s="178">
        <v>9839</v>
      </c>
      <c r="C4116" s="178" t="s">
        <v>458</v>
      </c>
      <c r="D4116" s="575" t="s">
        <v>10429</v>
      </c>
      <c r="E4116" s="178" t="s">
        <v>382</v>
      </c>
      <c r="F4116" s="210" t="s">
        <v>10430</v>
      </c>
      <c r="G4116" s="58" t="s">
        <v>884</v>
      </c>
      <c r="H4116" s="546">
        <v>29180</v>
      </c>
      <c r="I4116" s="66">
        <v>45040</v>
      </c>
      <c r="J4116" s="411" t="s">
        <v>885</v>
      </c>
      <c r="K4116" s="58"/>
      <c r="L4116" s="99"/>
      <c r="M4116" s="70" t="s">
        <v>10253</v>
      </c>
      <c r="N4116" s="97" t="s">
        <v>387</v>
      </c>
      <c r="O4116" s="45" t="s">
        <v>150</v>
      </c>
      <c r="P4116" s="58" t="s">
        <v>51</v>
      </c>
      <c r="Q4116" s="58" t="s">
        <v>121</v>
      </c>
      <c r="R4116" s="58" t="s">
        <v>272</v>
      </c>
    </row>
    <row r="4117" spans="1:18" ht="69" customHeight="1">
      <c r="A4117" s="168"/>
      <c r="B4117" s="178">
        <v>2615</v>
      </c>
      <c r="C4117" s="178" t="s">
        <v>458</v>
      </c>
      <c r="D4117" s="575"/>
      <c r="E4117" s="178" t="s">
        <v>260</v>
      </c>
      <c r="F4117" s="210" t="s">
        <v>10431</v>
      </c>
      <c r="G4117" s="58"/>
      <c r="H4117" s="546">
        <v>15800</v>
      </c>
      <c r="I4117" s="66">
        <v>44561</v>
      </c>
      <c r="J4117" s="411" t="s">
        <v>10432</v>
      </c>
      <c r="K4117" s="58" t="s">
        <v>10433</v>
      </c>
      <c r="L4117" s="99"/>
      <c r="M4117" s="70" t="s">
        <v>10434</v>
      </c>
      <c r="N4117" s="97" t="s">
        <v>264</v>
      </c>
      <c r="O4117" s="58" t="s">
        <v>141</v>
      </c>
      <c r="P4117" s="58" t="s">
        <v>17</v>
      </c>
      <c r="Q4117" s="58" t="s">
        <v>122</v>
      </c>
      <c r="R4117" s="58" t="s">
        <v>265</v>
      </c>
    </row>
    <row r="4118" spans="1:18" ht="69" customHeight="1">
      <c r="A4118" s="168"/>
      <c r="B4118" s="178">
        <v>2630</v>
      </c>
      <c r="C4118" s="178" t="s">
        <v>458</v>
      </c>
      <c r="D4118" s="575"/>
      <c r="E4118" s="178" t="s">
        <v>260</v>
      </c>
      <c r="F4118" s="210" t="s">
        <v>10431</v>
      </c>
      <c r="G4118" s="58"/>
      <c r="H4118" s="546">
        <v>9750</v>
      </c>
      <c r="I4118" s="66">
        <v>44561</v>
      </c>
      <c r="J4118" s="411" t="s">
        <v>10435</v>
      </c>
      <c r="K4118" s="58" t="s">
        <v>10433</v>
      </c>
      <c r="L4118" s="99"/>
      <c r="M4118" s="70" t="s">
        <v>10434</v>
      </c>
      <c r="N4118" s="97" t="s">
        <v>264</v>
      </c>
      <c r="O4118" s="58" t="s">
        <v>141</v>
      </c>
      <c r="P4118" s="58" t="s">
        <v>17</v>
      </c>
      <c r="Q4118" s="58" t="s">
        <v>122</v>
      </c>
      <c r="R4118" s="58" t="s">
        <v>265</v>
      </c>
    </row>
    <row r="4119" spans="1:18" ht="69" customHeight="1">
      <c r="A4119" s="168"/>
      <c r="B4119" s="256" t="s">
        <v>10436</v>
      </c>
      <c r="C4119" s="256" t="s">
        <v>458</v>
      </c>
      <c r="D4119" s="299"/>
      <c r="E4119" s="256" t="s">
        <v>350</v>
      </c>
      <c r="F4119" s="263" t="s">
        <v>10437</v>
      </c>
      <c r="G4119" s="118" t="s">
        <v>7080</v>
      </c>
      <c r="H4119" s="300">
        <v>5362.8</v>
      </c>
      <c r="I4119" s="209" t="s">
        <v>96</v>
      </c>
      <c r="J4119" s="409" t="s">
        <v>7081</v>
      </c>
      <c r="K4119" s="118" t="s">
        <v>10438</v>
      </c>
      <c r="L4119" s="99"/>
      <c r="M4119" s="70" t="s">
        <v>10439</v>
      </c>
      <c r="N4119" s="97" t="s">
        <v>356</v>
      </c>
      <c r="O4119" s="118" t="s">
        <v>141</v>
      </c>
      <c r="P4119" s="118" t="s">
        <v>67</v>
      </c>
      <c r="Q4119" s="118" t="s">
        <v>122</v>
      </c>
      <c r="R4119" s="118" t="s">
        <v>265</v>
      </c>
    </row>
    <row r="4120" spans="1:18" ht="69" customHeight="1">
      <c r="A4120" s="168"/>
      <c r="B4120" s="207" t="s">
        <v>10440</v>
      </c>
      <c r="C4120" s="207" t="s">
        <v>458</v>
      </c>
      <c r="D4120" s="301"/>
      <c r="E4120" s="207" t="s">
        <v>350</v>
      </c>
      <c r="F4120" s="208" t="s">
        <v>10441</v>
      </c>
      <c r="G4120" s="160" t="s">
        <v>7080</v>
      </c>
      <c r="H4120" s="300">
        <v>102060</v>
      </c>
      <c r="I4120" s="209" t="s">
        <v>96</v>
      </c>
      <c r="J4120" s="322" t="s">
        <v>7081</v>
      </c>
      <c r="K4120" s="160" t="s">
        <v>10442</v>
      </c>
      <c r="L4120" s="99"/>
      <c r="M4120" s="70" t="s">
        <v>10439</v>
      </c>
      <c r="N4120" s="97" t="s">
        <v>356</v>
      </c>
      <c r="O4120" s="160" t="s">
        <v>141</v>
      </c>
      <c r="P4120" s="118" t="s">
        <v>67</v>
      </c>
      <c r="Q4120" s="160" t="s">
        <v>122</v>
      </c>
      <c r="R4120" s="160" t="s">
        <v>265</v>
      </c>
    </row>
    <row r="4121" spans="1:18" ht="69" customHeight="1">
      <c r="A4121" s="168"/>
      <c r="B4121" s="178" t="s">
        <v>10443</v>
      </c>
      <c r="C4121" s="178" t="s">
        <v>657</v>
      </c>
      <c r="D4121" s="575"/>
      <c r="E4121" s="178" t="s">
        <v>260</v>
      </c>
      <c r="F4121" s="210" t="s">
        <v>10444</v>
      </c>
      <c r="G4121" s="58" t="s">
        <v>7080</v>
      </c>
      <c r="H4121" s="546">
        <v>1711</v>
      </c>
      <c r="I4121" s="66" t="s">
        <v>96</v>
      </c>
      <c r="J4121" s="411" t="s">
        <v>7081</v>
      </c>
      <c r="K4121" s="58" t="s">
        <v>10433</v>
      </c>
      <c r="L4121" s="99"/>
      <c r="M4121" s="70" t="s">
        <v>10434</v>
      </c>
      <c r="N4121" s="97" t="s">
        <v>264</v>
      </c>
      <c r="O4121" s="58" t="s">
        <v>141</v>
      </c>
      <c r="P4121" s="58" t="s">
        <v>17</v>
      </c>
      <c r="Q4121" s="58" t="s">
        <v>122</v>
      </c>
      <c r="R4121" s="58" t="s">
        <v>265</v>
      </c>
    </row>
    <row r="4122" spans="1:18" ht="69" customHeight="1">
      <c r="A4122" s="168"/>
      <c r="B4122" s="178" t="s">
        <v>10445</v>
      </c>
      <c r="C4122" s="178" t="s">
        <v>657</v>
      </c>
      <c r="D4122" s="575"/>
      <c r="E4122" s="178" t="s">
        <v>260</v>
      </c>
      <c r="F4122" s="210" t="s">
        <v>10446</v>
      </c>
      <c r="G4122" s="58" t="s">
        <v>7080</v>
      </c>
      <c r="H4122" s="546">
        <v>52909.11</v>
      </c>
      <c r="I4122" s="66" t="s">
        <v>96</v>
      </c>
      <c r="J4122" s="411" t="s">
        <v>7081</v>
      </c>
      <c r="K4122" s="58" t="s">
        <v>10433</v>
      </c>
      <c r="L4122" s="99"/>
      <c r="M4122" s="70" t="s">
        <v>10434</v>
      </c>
      <c r="N4122" s="97" t="s">
        <v>264</v>
      </c>
      <c r="O4122" s="58" t="s">
        <v>141</v>
      </c>
      <c r="P4122" s="58" t="s">
        <v>17</v>
      </c>
      <c r="Q4122" s="58" t="s">
        <v>122</v>
      </c>
      <c r="R4122" s="58" t="s">
        <v>265</v>
      </c>
    </row>
    <row r="4123" spans="1:18" ht="69" customHeight="1">
      <c r="A4123" s="168"/>
      <c r="B4123" s="178" t="s">
        <v>10447</v>
      </c>
      <c r="C4123" s="178" t="s">
        <v>657</v>
      </c>
      <c r="D4123" s="575"/>
      <c r="E4123" s="178" t="s">
        <v>260</v>
      </c>
      <c r="F4123" s="210" t="s">
        <v>10448</v>
      </c>
      <c r="G4123" s="58" t="s">
        <v>7080</v>
      </c>
      <c r="H4123" s="546">
        <v>22327.8</v>
      </c>
      <c r="I4123" s="66" t="s">
        <v>96</v>
      </c>
      <c r="J4123" s="411" t="s">
        <v>7081</v>
      </c>
      <c r="K4123" s="58" t="s">
        <v>10433</v>
      </c>
      <c r="L4123" s="99"/>
      <c r="M4123" s="70" t="s">
        <v>10434</v>
      </c>
      <c r="N4123" s="97" t="s">
        <v>264</v>
      </c>
      <c r="O4123" s="58" t="s">
        <v>141</v>
      </c>
      <c r="P4123" s="58" t="s">
        <v>17</v>
      </c>
      <c r="Q4123" s="58" t="s">
        <v>122</v>
      </c>
      <c r="R4123" s="58" t="s">
        <v>265</v>
      </c>
    </row>
    <row r="4124" spans="1:18" ht="69" customHeight="1">
      <c r="A4124" s="168"/>
      <c r="B4124" s="178" t="s">
        <v>10449</v>
      </c>
      <c r="C4124" s="178" t="s">
        <v>657</v>
      </c>
      <c r="D4124" s="575"/>
      <c r="E4124" s="178" t="s">
        <v>260</v>
      </c>
      <c r="F4124" s="210" t="s">
        <v>10450</v>
      </c>
      <c r="G4124" s="58" t="s">
        <v>7080</v>
      </c>
      <c r="H4124" s="546">
        <v>15000</v>
      </c>
      <c r="I4124" s="66" t="s">
        <v>96</v>
      </c>
      <c r="J4124" s="411" t="s">
        <v>7081</v>
      </c>
      <c r="K4124" s="58" t="s">
        <v>10433</v>
      </c>
      <c r="L4124" s="99"/>
      <c r="M4124" s="70" t="s">
        <v>10434</v>
      </c>
      <c r="N4124" s="97" t="s">
        <v>264</v>
      </c>
      <c r="O4124" s="58" t="s">
        <v>141</v>
      </c>
      <c r="P4124" s="58" t="s">
        <v>17</v>
      </c>
      <c r="Q4124" s="58" t="s">
        <v>122</v>
      </c>
      <c r="R4124" s="58" t="s">
        <v>265</v>
      </c>
    </row>
    <row r="4125" spans="1:18" ht="69" customHeight="1">
      <c r="A4125" s="168"/>
      <c r="B4125" s="178" t="s">
        <v>10451</v>
      </c>
      <c r="C4125" s="178" t="s">
        <v>657</v>
      </c>
      <c r="D4125" s="575"/>
      <c r="E4125" s="178" t="s">
        <v>260</v>
      </c>
      <c r="F4125" s="210" t="s">
        <v>10452</v>
      </c>
      <c r="G4125" s="58" t="s">
        <v>7080</v>
      </c>
      <c r="H4125" s="546">
        <v>5403.15</v>
      </c>
      <c r="I4125" s="66" t="s">
        <v>96</v>
      </c>
      <c r="J4125" s="411" t="s">
        <v>7081</v>
      </c>
      <c r="K4125" s="58" t="s">
        <v>10433</v>
      </c>
      <c r="L4125" s="99"/>
      <c r="M4125" s="70" t="s">
        <v>10434</v>
      </c>
      <c r="N4125" s="97" t="s">
        <v>264</v>
      </c>
      <c r="O4125" s="58" t="s">
        <v>141</v>
      </c>
      <c r="P4125" s="58" t="s">
        <v>17</v>
      </c>
      <c r="Q4125" s="58" t="s">
        <v>122</v>
      </c>
      <c r="R4125" s="58" t="s">
        <v>265</v>
      </c>
    </row>
    <row r="4126" spans="1:18" ht="69" customHeight="1">
      <c r="A4126" s="168"/>
      <c r="B4126" s="178" t="s">
        <v>10453</v>
      </c>
      <c r="C4126" s="178" t="s">
        <v>657</v>
      </c>
      <c r="D4126" s="575"/>
      <c r="E4126" s="178" t="s">
        <v>260</v>
      </c>
      <c r="F4126" s="210" t="s">
        <v>10454</v>
      </c>
      <c r="G4126" s="58" t="s">
        <v>7080</v>
      </c>
      <c r="H4126" s="546">
        <v>1600</v>
      </c>
      <c r="I4126" s="66" t="s">
        <v>96</v>
      </c>
      <c r="J4126" s="411" t="s">
        <v>7081</v>
      </c>
      <c r="K4126" s="58" t="s">
        <v>10433</v>
      </c>
      <c r="L4126" s="99"/>
      <c r="M4126" s="70" t="s">
        <v>10434</v>
      </c>
      <c r="N4126" s="97" t="s">
        <v>264</v>
      </c>
      <c r="O4126" s="58" t="s">
        <v>141</v>
      </c>
      <c r="P4126" s="58" t="s">
        <v>17</v>
      </c>
      <c r="Q4126" s="58" t="s">
        <v>122</v>
      </c>
      <c r="R4126" s="58" t="s">
        <v>265</v>
      </c>
    </row>
    <row r="4127" spans="1:18" ht="69" customHeight="1">
      <c r="A4127" s="168"/>
      <c r="B4127" s="178" t="s">
        <v>10455</v>
      </c>
      <c r="C4127" s="178" t="s">
        <v>657</v>
      </c>
      <c r="D4127" s="575"/>
      <c r="E4127" s="178" t="s">
        <v>260</v>
      </c>
      <c r="F4127" s="210" t="s">
        <v>10456</v>
      </c>
      <c r="G4127" s="58" t="s">
        <v>7080</v>
      </c>
      <c r="H4127" s="546">
        <v>1039.77</v>
      </c>
      <c r="I4127" s="66" t="s">
        <v>96</v>
      </c>
      <c r="J4127" s="411" t="s">
        <v>7081</v>
      </c>
      <c r="K4127" s="58" t="s">
        <v>10433</v>
      </c>
      <c r="L4127" s="99"/>
      <c r="M4127" s="70" t="s">
        <v>10434</v>
      </c>
      <c r="N4127" s="97" t="s">
        <v>264</v>
      </c>
      <c r="O4127" s="58" t="s">
        <v>141</v>
      </c>
      <c r="P4127" s="58" t="s">
        <v>17</v>
      </c>
      <c r="Q4127" s="58" t="s">
        <v>122</v>
      </c>
      <c r="R4127" s="58" t="s">
        <v>265</v>
      </c>
    </row>
    <row r="4128" spans="1:18" ht="69" customHeight="1">
      <c r="A4128" s="168"/>
      <c r="B4128" s="178" t="s">
        <v>10457</v>
      </c>
      <c r="C4128" s="178" t="s">
        <v>657</v>
      </c>
      <c r="D4128" s="575"/>
      <c r="E4128" s="178" t="s">
        <v>260</v>
      </c>
      <c r="F4128" s="210" t="s">
        <v>10458</v>
      </c>
      <c r="G4128" s="58" t="s">
        <v>7080</v>
      </c>
      <c r="H4128" s="546">
        <v>1470</v>
      </c>
      <c r="I4128" s="66" t="s">
        <v>96</v>
      </c>
      <c r="J4128" s="411" t="s">
        <v>7081</v>
      </c>
      <c r="K4128" s="58" t="s">
        <v>10433</v>
      </c>
      <c r="L4128" s="99"/>
      <c r="M4128" s="70" t="s">
        <v>10434</v>
      </c>
      <c r="N4128" s="97" t="s">
        <v>264</v>
      </c>
      <c r="O4128" s="58" t="s">
        <v>141</v>
      </c>
      <c r="P4128" s="58" t="s">
        <v>17</v>
      </c>
      <c r="Q4128" s="58" t="s">
        <v>122</v>
      </c>
      <c r="R4128" s="58" t="s">
        <v>265</v>
      </c>
    </row>
    <row r="4129" spans="1:18" ht="69" customHeight="1">
      <c r="A4129" s="168"/>
      <c r="B4129" s="178" t="s">
        <v>10459</v>
      </c>
      <c r="C4129" s="178" t="s">
        <v>657</v>
      </c>
      <c r="D4129" s="575"/>
      <c r="E4129" s="178" t="s">
        <v>260</v>
      </c>
      <c r="F4129" s="210" t="s">
        <v>10460</v>
      </c>
      <c r="G4129" s="58" t="s">
        <v>7080</v>
      </c>
      <c r="H4129" s="546">
        <v>73.47</v>
      </c>
      <c r="I4129" s="66" t="s">
        <v>96</v>
      </c>
      <c r="J4129" s="411" t="s">
        <v>7081</v>
      </c>
      <c r="K4129" s="58" t="s">
        <v>10433</v>
      </c>
      <c r="L4129" s="99"/>
      <c r="M4129" s="70" t="s">
        <v>10434</v>
      </c>
      <c r="N4129" s="97" t="s">
        <v>264</v>
      </c>
      <c r="O4129" s="58" t="s">
        <v>141</v>
      </c>
      <c r="P4129" s="58" t="s">
        <v>17</v>
      </c>
      <c r="Q4129" s="58" t="s">
        <v>122</v>
      </c>
      <c r="R4129" s="58" t="s">
        <v>265</v>
      </c>
    </row>
    <row r="4130" spans="1:18" ht="69" customHeight="1">
      <c r="A4130" s="168"/>
      <c r="B4130" s="178" t="s">
        <v>10461</v>
      </c>
      <c r="C4130" s="178" t="s">
        <v>657</v>
      </c>
      <c r="D4130" s="575"/>
      <c r="E4130" s="178" t="s">
        <v>260</v>
      </c>
      <c r="F4130" s="210" t="s">
        <v>10462</v>
      </c>
      <c r="G4130" s="58" t="s">
        <v>7080</v>
      </c>
      <c r="H4130" s="546">
        <v>5706.96</v>
      </c>
      <c r="I4130" s="66" t="s">
        <v>96</v>
      </c>
      <c r="J4130" s="411" t="s">
        <v>7081</v>
      </c>
      <c r="K4130" s="58" t="s">
        <v>10433</v>
      </c>
      <c r="L4130" s="99"/>
      <c r="M4130" s="70" t="s">
        <v>10434</v>
      </c>
      <c r="N4130" s="97" t="s">
        <v>264</v>
      </c>
      <c r="O4130" s="58" t="s">
        <v>141</v>
      </c>
      <c r="P4130" s="58" t="s">
        <v>17</v>
      </c>
      <c r="Q4130" s="58" t="s">
        <v>122</v>
      </c>
      <c r="R4130" s="58" t="s">
        <v>265</v>
      </c>
    </row>
    <row r="4131" spans="1:18" ht="69" customHeight="1">
      <c r="A4131" s="168"/>
      <c r="B4131" s="178" t="s">
        <v>10463</v>
      </c>
      <c r="C4131" s="178" t="s">
        <v>657</v>
      </c>
      <c r="D4131" s="575"/>
      <c r="E4131" s="178" t="s">
        <v>260</v>
      </c>
      <c r="F4131" s="210" t="s">
        <v>10464</v>
      </c>
      <c r="G4131" s="58" t="s">
        <v>7080</v>
      </c>
      <c r="H4131" s="546">
        <v>426.1</v>
      </c>
      <c r="I4131" s="66" t="s">
        <v>96</v>
      </c>
      <c r="J4131" s="411" t="s">
        <v>7081</v>
      </c>
      <c r="K4131" s="58" t="s">
        <v>10433</v>
      </c>
      <c r="L4131" s="99"/>
      <c r="M4131" s="70" t="s">
        <v>10434</v>
      </c>
      <c r="N4131" s="97" t="s">
        <v>264</v>
      </c>
      <c r="O4131" s="58" t="s">
        <v>141</v>
      </c>
      <c r="P4131" s="58" t="s">
        <v>17</v>
      </c>
      <c r="Q4131" s="58" t="s">
        <v>122</v>
      </c>
      <c r="R4131" s="58" t="s">
        <v>265</v>
      </c>
    </row>
    <row r="4132" spans="1:18" ht="69" customHeight="1">
      <c r="A4132" s="168"/>
      <c r="B4132" s="191">
        <v>3014</v>
      </c>
      <c r="C4132" s="191" t="s">
        <v>458</v>
      </c>
      <c r="D4132" s="533" t="s">
        <v>3173</v>
      </c>
      <c r="E4132" s="191" t="s">
        <v>331</v>
      </c>
      <c r="F4132" s="211" t="s">
        <v>10465</v>
      </c>
      <c r="G4132" s="46" t="s">
        <v>4416</v>
      </c>
      <c r="H4132" s="534">
        <v>0</v>
      </c>
      <c r="I4132" s="56" t="s">
        <v>96</v>
      </c>
      <c r="J4132" s="412" t="s">
        <v>334</v>
      </c>
      <c r="K4132" s="46"/>
      <c r="L4132" s="99"/>
      <c r="M4132" s="379"/>
      <c r="N4132" s="76" t="s">
        <v>69</v>
      </c>
      <c r="O4132" s="46"/>
      <c r="P4132" s="46" t="s">
        <v>69</v>
      </c>
      <c r="Q4132" s="46" t="s">
        <v>122</v>
      </c>
      <c r="R4132" s="46" t="s">
        <v>272</v>
      </c>
    </row>
    <row r="4133" spans="1:18" ht="69" customHeight="1">
      <c r="A4133" s="168"/>
      <c r="B4133" s="178">
        <v>3055</v>
      </c>
      <c r="C4133" s="178" t="s">
        <v>309</v>
      </c>
      <c r="D4133" s="575" t="s">
        <v>8542</v>
      </c>
      <c r="E4133" s="178" t="s">
        <v>266</v>
      </c>
      <c r="F4133" s="210" t="s">
        <v>10466</v>
      </c>
      <c r="G4133" s="58" t="s">
        <v>1753</v>
      </c>
      <c r="H4133" s="546">
        <v>7060</v>
      </c>
      <c r="I4133" s="66">
        <v>44608</v>
      </c>
      <c r="J4133" s="411" t="s">
        <v>10467</v>
      </c>
      <c r="K4133" s="58"/>
      <c r="L4133" s="99"/>
      <c r="M4133" s="70" t="s">
        <v>10468</v>
      </c>
      <c r="N4133" s="97" t="s">
        <v>270</v>
      </c>
      <c r="O4133" s="58"/>
      <c r="P4133" s="58" t="s">
        <v>44</v>
      </c>
      <c r="Q4133" s="58" t="s">
        <v>122</v>
      </c>
      <c r="R4133" s="58" t="s">
        <v>272</v>
      </c>
    </row>
    <row r="4134" spans="1:18" ht="69" customHeight="1">
      <c r="A4134" s="168"/>
      <c r="B4134" s="178">
        <v>4186</v>
      </c>
      <c r="C4134" s="178" t="s">
        <v>458</v>
      </c>
      <c r="D4134" s="575" t="s">
        <v>2685</v>
      </c>
      <c r="E4134" s="178" t="s">
        <v>283</v>
      </c>
      <c r="F4134" s="210" t="s">
        <v>10469</v>
      </c>
      <c r="G4134" s="58" t="s">
        <v>10470</v>
      </c>
      <c r="H4134" s="546">
        <v>313909.7</v>
      </c>
      <c r="I4134" s="66">
        <v>44648</v>
      </c>
      <c r="J4134" s="411" t="s">
        <v>10471</v>
      </c>
      <c r="K4134" s="58" t="s">
        <v>10433</v>
      </c>
      <c r="L4134" s="99"/>
      <c r="M4134" s="70" t="s">
        <v>10472</v>
      </c>
      <c r="N4134" s="97" t="s">
        <v>264</v>
      </c>
      <c r="O4134" s="58" t="s">
        <v>141</v>
      </c>
      <c r="P4134" s="58" t="s">
        <v>17</v>
      </c>
      <c r="Q4134" s="58" t="s">
        <v>122</v>
      </c>
      <c r="R4134" s="58" t="s">
        <v>272</v>
      </c>
    </row>
    <row r="4135" spans="1:18" ht="69" customHeight="1">
      <c r="A4135" s="168"/>
      <c r="B4135" s="178">
        <v>4139</v>
      </c>
      <c r="C4135" s="59" t="s">
        <v>3667</v>
      </c>
      <c r="D4135" s="575">
        <v>76</v>
      </c>
      <c r="E4135" s="178" t="s">
        <v>260</v>
      </c>
      <c r="F4135" s="210" t="s">
        <v>10473</v>
      </c>
      <c r="G4135" s="604" t="s">
        <v>2913</v>
      </c>
      <c r="H4135" s="546">
        <v>2000</v>
      </c>
      <c r="I4135" s="66">
        <v>44643</v>
      </c>
      <c r="J4135" s="411" t="s">
        <v>4477</v>
      </c>
      <c r="K4135" s="58"/>
      <c r="L4135" s="99"/>
      <c r="M4135" s="70" t="s">
        <v>10472</v>
      </c>
      <c r="N4135" s="97" t="s">
        <v>264</v>
      </c>
      <c r="O4135" s="58" t="s">
        <v>141</v>
      </c>
      <c r="P4135" s="58" t="s">
        <v>17</v>
      </c>
      <c r="Q4135" s="58" t="s">
        <v>122</v>
      </c>
      <c r="R4135" s="58" t="s">
        <v>265</v>
      </c>
    </row>
    <row r="4136" spans="1:18" ht="69" customHeight="1">
      <c r="A4136" s="168"/>
      <c r="B4136" s="178">
        <v>4410</v>
      </c>
      <c r="C4136" s="178" t="s">
        <v>458</v>
      </c>
      <c r="D4136" s="575"/>
      <c r="E4136" s="178" t="s">
        <v>358</v>
      </c>
      <c r="F4136" s="210" t="s">
        <v>10474</v>
      </c>
      <c r="G4136" s="58"/>
      <c r="H4136" s="546">
        <v>5362.8</v>
      </c>
      <c r="I4136" s="66">
        <v>44508</v>
      </c>
      <c r="J4136" s="411" t="s">
        <v>294</v>
      </c>
      <c r="K4136" s="58" t="s">
        <v>10475</v>
      </c>
      <c r="L4136" s="99"/>
      <c r="M4136" s="70" t="s">
        <v>10476</v>
      </c>
      <c r="N4136" s="97" t="s">
        <v>356</v>
      </c>
      <c r="O4136" s="58" t="s">
        <v>141</v>
      </c>
      <c r="P4136" s="58" t="s">
        <v>19</v>
      </c>
      <c r="Q4136" s="58" t="s">
        <v>122</v>
      </c>
      <c r="R4136" s="58" t="s">
        <v>272</v>
      </c>
    </row>
    <row r="4137" spans="1:18" ht="69" customHeight="1">
      <c r="A4137" s="168"/>
      <c r="B4137" s="178">
        <v>4712</v>
      </c>
      <c r="C4137" s="178" t="s">
        <v>458</v>
      </c>
      <c r="D4137" s="575" t="s">
        <v>2911</v>
      </c>
      <c r="E4137" s="178" t="s">
        <v>331</v>
      </c>
      <c r="F4137" s="210" t="s">
        <v>10477</v>
      </c>
      <c r="G4137" s="58"/>
      <c r="H4137" s="546">
        <v>3389.12</v>
      </c>
      <c r="I4137" s="66">
        <v>44678</v>
      </c>
      <c r="J4137" s="411" t="s">
        <v>10478</v>
      </c>
      <c r="K4137" s="58"/>
      <c r="L4137" s="99"/>
      <c r="M4137" s="70" t="s">
        <v>10468</v>
      </c>
      <c r="N4137" s="97" t="s">
        <v>270</v>
      </c>
      <c r="O4137" s="58"/>
      <c r="P4137" s="58" t="s">
        <v>44</v>
      </c>
      <c r="Q4137" s="58" t="s">
        <v>122</v>
      </c>
      <c r="R4137" s="58" t="s">
        <v>272</v>
      </c>
    </row>
    <row r="4138" spans="1:18" ht="69" customHeight="1">
      <c r="A4138" s="168"/>
      <c r="B4138" s="178">
        <v>4712</v>
      </c>
      <c r="C4138" s="178" t="s">
        <v>458</v>
      </c>
      <c r="D4138" s="575" t="s">
        <v>2223</v>
      </c>
      <c r="E4138" s="178" t="s">
        <v>331</v>
      </c>
      <c r="F4138" s="210" t="s">
        <v>10479</v>
      </c>
      <c r="G4138" s="58" t="s">
        <v>372</v>
      </c>
      <c r="H4138" s="546">
        <v>30502.09</v>
      </c>
      <c r="I4138" s="66">
        <v>44701</v>
      </c>
      <c r="J4138" s="411" t="s">
        <v>10480</v>
      </c>
      <c r="K4138" s="58"/>
      <c r="L4138" s="99"/>
      <c r="M4138" s="70" t="s">
        <v>10468</v>
      </c>
      <c r="N4138" s="97" t="s">
        <v>270</v>
      </c>
      <c r="O4138" s="58"/>
      <c r="P4138" s="58" t="s">
        <v>44</v>
      </c>
      <c r="Q4138" s="58" t="s">
        <v>122</v>
      </c>
      <c r="R4138" s="58" t="s">
        <v>272</v>
      </c>
    </row>
    <row r="4139" spans="1:18" ht="69" customHeight="1">
      <c r="A4139" s="168"/>
      <c r="B4139" s="178">
        <v>4952</v>
      </c>
      <c r="C4139" s="178" t="s">
        <v>458</v>
      </c>
      <c r="D4139" s="575" t="s">
        <v>1490</v>
      </c>
      <c r="E4139" s="178" t="s">
        <v>266</v>
      </c>
      <c r="F4139" s="210" t="s">
        <v>10481</v>
      </c>
      <c r="G4139" s="58" t="s">
        <v>376</v>
      </c>
      <c r="H4139" s="546">
        <v>2465.06</v>
      </c>
      <c r="I4139" s="66">
        <v>44706</v>
      </c>
      <c r="J4139" s="411" t="s">
        <v>10482</v>
      </c>
      <c r="K4139" s="58"/>
      <c r="L4139" s="99"/>
      <c r="M4139" s="70" t="s">
        <v>10468</v>
      </c>
      <c r="N4139" s="97" t="s">
        <v>270</v>
      </c>
      <c r="O4139" s="58"/>
      <c r="P4139" s="58" t="s">
        <v>44</v>
      </c>
      <c r="Q4139" s="58" t="s">
        <v>122</v>
      </c>
      <c r="R4139" s="58" t="s">
        <v>272</v>
      </c>
    </row>
    <row r="4140" spans="1:18" ht="69" customHeight="1">
      <c r="A4140" s="168"/>
      <c r="B4140" s="178">
        <v>4953</v>
      </c>
      <c r="C4140" s="178" t="s">
        <v>458</v>
      </c>
      <c r="D4140" s="575" t="s">
        <v>4143</v>
      </c>
      <c r="E4140" s="178" t="s">
        <v>382</v>
      </c>
      <c r="F4140" s="210" t="s">
        <v>10483</v>
      </c>
      <c r="G4140" s="58" t="s">
        <v>384</v>
      </c>
      <c r="H4140" s="546">
        <v>27761.33</v>
      </c>
      <c r="I4140" s="66">
        <v>44736</v>
      </c>
      <c r="J4140" s="411" t="s">
        <v>10484</v>
      </c>
      <c r="K4140" s="58"/>
      <c r="L4140" s="99"/>
      <c r="M4140" s="70" t="s">
        <v>10485</v>
      </c>
      <c r="N4140" s="97" t="s">
        <v>387</v>
      </c>
      <c r="O4140" s="45" t="s">
        <v>150</v>
      </c>
      <c r="P4140" s="58" t="s">
        <v>51</v>
      </c>
      <c r="Q4140" s="58" t="s">
        <v>122</v>
      </c>
      <c r="R4140" s="58" t="s">
        <v>272</v>
      </c>
    </row>
    <row r="4141" spans="1:18" ht="69" customHeight="1">
      <c r="A4141" s="168"/>
      <c r="B4141" s="178">
        <v>4954</v>
      </c>
      <c r="C4141" s="178" t="s">
        <v>458</v>
      </c>
      <c r="D4141" s="575" t="s">
        <v>2250</v>
      </c>
      <c r="E4141" s="178" t="s">
        <v>382</v>
      </c>
      <c r="F4141" s="210" t="s">
        <v>10486</v>
      </c>
      <c r="G4141" s="58" t="s">
        <v>384</v>
      </c>
      <c r="H4141" s="546">
        <v>39819.519999999997</v>
      </c>
      <c r="I4141" s="66">
        <v>44736</v>
      </c>
      <c r="J4141" s="411" t="s">
        <v>10487</v>
      </c>
      <c r="K4141" s="58"/>
      <c r="L4141" s="99"/>
      <c r="M4141" s="70" t="s">
        <v>10485</v>
      </c>
      <c r="N4141" s="97" t="s">
        <v>387</v>
      </c>
      <c r="O4141" s="45" t="s">
        <v>150</v>
      </c>
      <c r="P4141" s="58" t="s">
        <v>51</v>
      </c>
      <c r="Q4141" s="58" t="s">
        <v>122</v>
      </c>
      <c r="R4141" s="58" t="s">
        <v>272</v>
      </c>
    </row>
    <row r="4142" spans="1:18" ht="69" customHeight="1">
      <c r="A4142" s="168"/>
      <c r="B4142" s="178">
        <v>5143</v>
      </c>
      <c r="C4142" s="178" t="s">
        <v>458</v>
      </c>
      <c r="D4142" s="575" t="s">
        <v>2944</v>
      </c>
      <c r="E4142" s="178" t="s">
        <v>266</v>
      </c>
      <c r="F4142" s="210" t="s">
        <v>10488</v>
      </c>
      <c r="G4142" s="58" t="s">
        <v>376</v>
      </c>
      <c r="H4142" s="546">
        <v>3697.58</v>
      </c>
      <c r="I4142" s="66">
        <v>44755</v>
      </c>
      <c r="J4142" s="411" t="s">
        <v>10489</v>
      </c>
      <c r="K4142" s="58" t="s">
        <v>705</v>
      </c>
      <c r="L4142" s="99"/>
      <c r="M4142" s="70" t="s">
        <v>10468</v>
      </c>
      <c r="N4142" s="97" t="s">
        <v>270</v>
      </c>
      <c r="O4142" s="58"/>
      <c r="P4142" s="58" t="s">
        <v>44</v>
      </c>
      <c r="Q4142" s="58" t="s">
        <v>122</v>
      </c>
      <c r="R4142" s="58" t="s">
        <v>272</v>
      </c>
    </row>
    <row r="4143" spans="1:18" ht="69" customHeight="1">
      <c r="A4143" s="168"/>
      <c r="B4143" s="178">
        <v>5212</v>
      </c>
      <c r="C4143" s="178" t="s">
        <v>458</v>
      </c>
      <c r="D4143" s="575" t="s">
        <v>5585</v>
      </c>
      <c r="E4143" s="178" t="s">
        <v>266</v>
      </c>
      <c r="F4143" s="210" t="s">
        <v>10490</v>
      </c>
      <c r="G4143" s="58" t="s">
        <v>396</v>
      </c>
      <c r="H4143" s="546">
        <v>3500</v>
      </c>
      <c r="I4143" s="66">
        <v>44753</v>
      </c>
      <c r="J4143" s="411" t="s">
        <v>10491</v>
      </c>
      <c r="K4143" s="58"/>
      <c r="L4143" s="99"/>
      <c r="M4143" s="70" t="s">
        <v>10492</v>
      </c>
      <c r="N4143" s="97" t="s">
        <v>552</v>
      </c>
      <c r="O4143" s="62" t="s">
        <v>147</v>
      </c>
      <c r="P4143" s="58" t="s">
        <v>42</v>
      </c>
      <c r="Q4143" s="58" t="s">
        <v>122</v>
      </c>
      <c r="R4143" s="58" t="s">
        <v>272</v>
      </c>
    </row>
    <row r="4144" spans="1:18" ht="69" customHeight="1">
      <c r="A4144" s="168"/>
      <c r="B4144" s="178">
        <v>5217</v>
      </c>
      <c r="C4144" s="178" t="s">
        <v>458</v>
      </c>
      <c r="D4144" s="575" t="s">
        <v>2036</v>
      </c>
      <c r="E4144" s="178" t="s">
        <v>266</v>
      </c>
      <c r="F4144" s="210" t="s">
        <v>10493</v>
      </c>
      <c r="G4144" s="58" t="s">
        <v>396</v>
      </c>
      <c r="H4144" s="546">
        <v>5878.3</v>
      </c>
      <c r="I4144" s="66">
        <v>44753</v>
      </c>
      <c r="J4144" s="411" t="s">
        <v>10494</v>
      </c>
      <c r="K4144" s="58"/>
      <c r="L4144" s="99"/>
      <c r="M4144" s="70" t="s">
        <v>10492</v>
      </c>
      <c r="N4144" s="97" t="s">
        <v>552</v>
      </c>
      <c r="O4144" s="62" t="s">
        <v>147</v>
      </c>
      <c r="P4144" s="58" t="s">
        <v>42</v>
      </c>
      <c r="Q4144" s="58" t="s">
        <v>122</v>
      </c>
      <c r="R4144" s="58" t="s">
        <v>272</v>
      </c>
    </row>
    <row r="4145" spans="1:18" ht="69" customHeight="1">
      <c r="A4145" s="168"/>
      <c r="B4145" s="600">
        <v>6092</v>
      </c>
      <c r="C4145" s="600" t="s">
        <v>458</v>
      </c>
      <c r="D4145" s="601" t="s">
        <v>367</v>
      </c>
      <c r="E4145" s="460" t="s">
        <v>10495</v>
      </c>
      <c r="F4145" s="602" t="s">
        <v>10496</v>
      </c>
      <c r="G4145" s="460" t="s">
        <v>7054</v>
      </c>
      <c r="H4145" s="605">
        <v>262253.63</v>
      </c>
      <c r="I4145" s="461">
        <v>44776</v>
      </c>
      <c r="J4145" s="603" t="s">
        <v>10497</v>
      </c>
      <c r="K4145" s="460" t="s">
        <v>4277</v>
      </c>
      <c r="L4145" s="99"/>
      <c r="M4145" s="70" t="s">
        <v>10498</v>
      </c>
      <c r="N4145" s="97" t="s">
        <v>414</v>
      </c>
      <c r="O4145" s="45" t="s">
        <v>147</v>
      </c>
      <c r="P4145" s="58" t="s">
        <v>22</v>
      </c>
      <c r="Q4145" s="46" t="s">
        <v>122</v>
      </c>
      <c r="R4145" s="58" t="s">
        <v>272</v>
      </c>
    </row>
    <row r="4146" spans="1:18" ht="69" customHeight="1">
      <c r="A4146" s="168"/>
      <c r="B4146" s="178">
        <v>6435</v>
      </c>
      <c r="C4146" s="59" t="s">
        <v>458</v>
      </c>
      <c r="D4146" s="581" t="s">
        <v>685</v>
      </c>
      <c r="E4146" s="59" t="s">
        <v>432</v>
      </c>
      <c r="F4146" s="569" t="s">
        <v>10499</v>
      </c>
      <c r="G4146" s="45" t="s">
        <v>429</v>
      </c>
      <c r="H4146" s="546">
        <v>13959.486000000001</v>
      </c>
      <c r="I4146" s="47">
        <v>44802</v>
      </c>
      <c r="J4146" s="410" t="s">
        <v>10500</v>
      </c>
      <c r="K4146" s="58"/>
      <c r="L4146" s="99"/>
      <c r="M4146" s="70" t="s">
        <v>10501</v>
      </c>
      <c r="N4146" s="97" t="s">
        <v>432</v>
      </c>
      <c r="O4146" s="58"/>
      <c r="P4146" s="58" t="s">
        <v>53</v>
      </c>
      <c r="Q4146" s="58" t="s">
        <v>122</v>
      </c>
      <c r="R4146" s="58" t="s">
        <v>272</v>
      </c>
    </row>
    <row r="4147" spans="1:18" ht="69" customHeight="1">
      <c r="A4147" s="168"/>
      <c r="B4147" s="178">
        <v>7490</v>
      </c>
      <c r="C4147" s="178" t="s">
        <v>458</v>
      </c>
      <c r="D4147" s="575" t="s">
        <v>8861</v>
      </c>
      <c r="E4147" s="178" t="s">
        <v>266</v>
      </c>
      <c r="F4147" s="210" t="s">
        <v>10502</v>
      </c>
      <c r="G4147" s="58" t="s">
        <v>444</v>
      </c>
      <c r="H4147" s="546">
        <v>5334.67</v>
      </c>
      <c r="I4147" s="66">
        <v>44879</v>
      </c>
      <c r="J4147" s="411" t="s">
        <v>445</v>
      </c>
      <c r="K4147" s="58"/>
      <c r="L4147" s="99"/>
      <c r="M4147" s="70" t="s">
        <v>10468</v>
      </c>
      <c r="N4147" s="97" t="s">
        <v>270</v>
      </c>
      <c r="O4147" s="58"/>
      <c r="P4147" s="58" t="s">
        <v>44</v>
      </c>
      <c r="Q4147" s="58" t="s">
        <v>122</v>
      </c>
      <c r="R4147" s="58" t="s">
        <v>272</v>
      </c>
    </row>
    <row r="4148" spans="1:18" ht="69" customHeight="1">
      <c r="A4148" s="168"/>
      <c r="B4148" s="178">
        <v>9681</v>
      </c>
      <c r="C4148" s="178" t="s">
        <v>458</v>
      </c>
      <c r="D4148" s="575" t="s">
        <v>10503</v>
      </c>
      <c r="E4148" s="178" t="s">
        <v>4651</v>
      </c>
      <c r="F4148" s="210" t="s">
        <v>10504</v>
      </c>
      <c r="G4148" s="58" t="s">
        <v>7067</v>
      </c>
      <c r="H4148" s="546">
        <v>67950</v>
      </c>
      <c r="I4148" s="66">
        <v>45019</v>
      </c>
      <c r="J4148" s="411" t="s">
        <v>7068</v>
      </c>
      <c r="K4148" s="58" t="s">
        <v>9018</v>
      </c>
      <c r="L4148" s="99"/>
      <c r="M4148" s="70" t="s">
        <v>10439</v>
      </c>
      <c r="N4148" s="97" t="s">
        <v>356</v>
      </c>
      <c r="O4148" s="58" t="s">
        <v>141</v>
      </c>
      <c r="P4148" s="58" t="s">
        <v>19</v>
      </c>
      <c r="Q4148" s="58" t="s">
        <v>122</v>
      </c>
      <c r="R4148" s="58" t="s">
        <v>265</v>
      </c>
    </row>
    <row r="4149" spans="1:18" ht="69" customHeight="1">
      <c r="A4149" s="168"/>
      <c r="B4149" s="178" t="s">
        <v>10505</v>
      </c>
      <c r="C4149" s="178" t="s">
        <v>458</v>
      </c>
      <c r="D4149" s="575"/>
      <c r="E4149" s="178" t="s">
        <v>350</v>
      </c>
      <c r="F4149" s="210" t="s">
        <v>10506</v>
      </c>
      <c r="G4149" s="58" t="s">
        <v>7080</v>
      </c>
      <c r="H4149" s="546">
        <v>5362.8</v>
      </c>
      <c r="I4149" s="66" t="s">
        <v>96</v>
      </c>
      <c r="J4149" s="411" t="s">
        <v>7081</v>
      </c>
      <c r="K4149" s="58" t="s">
        <v>10507</v>
      </c>
      <c r="L4149" s="99"/>
      <c r="M4149" s="70" t="s">
        <v>10508</v>
      </c>
      <c r="N4149" s="97" t="s">
        <v>356</v>
      </c>
      <c r="O4149" s="58" t="s">
        <v>141</v>
      </c>
      <c r="P4149" s="58" t="s">
        <v>19</v>
      </c>
      <c r="Q4149" s="58" t="s">
        <v>123</v>
      </c>
      <c r="R4149" s="58" t="s">
        <v>265</v>
      </c>
    </row>
    <row r="4150" spans="1:18" ht="69" customHeight="1">
      <c r="A4150" s="168"/>
      <c r="B4150" s="178" t="s">
        <v>10509</v>
      </c>
      <c r="C4150" s="178" t="s">
        <v>657</v>
      </c>
      <c r="D4150" s="575"/>
      <c r="E4150" s="178" t="s">
        <v>260</v>
      </c>
      <c r="F4150" s="210" t="s">
        <v>10510</v>
      </c>
      <c r="G4150" s="58" t="s">
        <v>7080</v>
      </c>
      <c r="H4150" s="546">
        <v>20000</v>
      </c>
      <c r="I4150" s="66" t="s">
        <v>96</v>
      </c>
      <c r="J4150" s="411" t="s">
        <v>7081</v>
      </c>
      <c r="K4150" s="58"/>
      <c r="L4150" s="99"/>
      <c r="M4150" s="70" t="s">
        <v>10511</v>
      </c>
      <c r="N4150" s="97" t="s">
        <v>264</v>
      </c>
      <c r="O4150" s="58" t="s">
        <v>141</v>
      </c>
      <c r="P4150" s="58" t="s">
        <v>17</v>
      </c>
      <c r="Q4150" s="58" t="s">
        <v>123</v>
      </c>
      <c r="R4150" s="58" t="s">
        <v>265</v>
      </c>
    </row>
    <row r="4151" spans="1:18" ht="69" customHeight="1">
      <c r="A4151" s="168"/>
      <c r="B4151" s="191" t="s">
        <v>10512</v>
      </c>
      <c r="C4151" s="191" t="s">
        <v>657</v>
      </c>
      <c r="D4151" s="533"/>
      <c r="E4151" s="191" t="s">
        <v>260</v>
      </c>
      <c r="F4151" s="211" t="s">
        <v>10513</v>
      </c>
      <c r="G4151" s="46" t="s">
        <v>7080</v>
      </c>
      <c r="H4151" s="534">
        <v>17000</v>
      </c>
      <c r="I4151" s="56" t="s">
        <v>96</v>
      </c>
      <c r="J4151" s="412" t="s">
        <v>7081</v>
      </c>
      <c r="K4151" s="46" t="s">
        <v>167</v>
      </c>
      <c r="L4151" s="99"/>
      <c r="M4151" s="379"/>
      <c r="N4151" s="76" t="s">
        <v>264</v>
      </c>
      <c r="O4151" s="46" t="s">
        <v>141</v>
      </c>
      <c r="P4151" s="46" t="s">
        <v>65</v>
      </c>
      <c r="Q4151" s="46" t="s">
        <v>123</v>
      </c>
      <c r="R4151" s="46" t="s">
        <v>272</v>
      </c>
    </row>
    <row r="4152" spans="1:18" ht="69" customHeight="1">
      <c r="A4152" s="168"/>
      <c r="B4152" s="178" t="s">
        <v>10514</v>
      </c>
      <c r="C4152" s="178" t="s">
        <v>657</v>
      </c>
      <c r="D4152" s="575"/>
      <c r="E4152" s="178" t="s">
        <v>260</v>
      </c>
      <c r="F4152" s="210" t="s">
        <v>10515</v>
      </c>
      <c r="G4152" s="58" t="s">
        <v>7080</v>
      </c>
      <c r="H4152" s="546">
        <v>19050.93</v>
      </c>
      <c r="I4152" s="66" t="s">
        <v>96</v>
      </c>
      <c r="J4152" s="411" t="s">
        <v>7081</v>
      </c>
      <c r="K4152" s="58"/>
      <c r="L4152" s="99"/>
      <c r="M4152" s="70" t="s">
        <v>10511</v>
      </c>
      <c r="N4152" s="97" t="s">
        <v>264</v>
      </c>
      <c r="O4152" s="58" t="s">
        <v>141</v>
      </c>
      <c r="P4152" s="58" t="s">
        <v>17</v>
      </c>
      <c r="Q4152" s="58" t="s">
        <v>123</v>
      </c>
      <c r="R4152" s="58" t="s">
        <v>265</v>
      </c>
    </row>
    <row r="4153" spans="1:18" ht="69" customHeight="1">
      <c r="A4153" s="168"/>
      <c r="B4153" s="178" t="s">
        <v>10516</v>
      </c>
      <c r="C4153" s="178" t="s">
        <v>657</v>
      </c>
      <c r="D4153" s="575"/>
      <c r="E4153" s="178" t="s">
        <v>260</v>
      </c>
      <c r="F4153" s="210" t="s">
        <v>10517</v>
      </c>
      <c r="G4153" s="58" t="s">
        <v>7080</v>
      </c>
      <c r="H4153" s="546">
        <v>7905</v>
      </c>
      <c r="I4153" s="66" t="s">
        <v>96</v>
      </c>
      <c r="J4153" s="411" t="s">
        <v>7081</v>
      </c>
      <c r="K4153" s="58"/>
      <c r="L4153" s="99"/>
      <c r="M4153" s="70" t="s">
        <v>10511</v>
      </c>
      <c r="N4153" s="97" t="s">
        <v>264</v>
      </c>
      <c r="O4153" s="58" t="s">
        <v>141</v>
      </c>
      <c r="P4153" s="58" t="s">
        <v>17</v>
      </c>
      <c r="Q4153" s="58" t="s">
        <v>123</v>
      </c>
      <c r="R4153" s="58" t="s">
        <v>265</v>
      </c>
    </row>
    <row r="4154" spans="1:18" ht="69" customHeight="1">
      <c r="A4154" s="168"/>
      <c r="B4154" s="178" t="s">
        <v>10518</v>
      </c>
      <c r="C4154" s="178" t="s">
        <v>657</v>
      </c>
      <c r="D4154" s="575"/>
      <c r="E4154" s="178" t="s">
        <v>260</v>
      </c>
      <c r="F4154" s="210" t="s">
        <v>10519</v>
      </c>
      <c r="G4154" s="58" t="s">
        <v>7080</v>
      </c>
      <c r="H4154" s="546">
        <v>426.1</v>
      </c>
      <c r="I4154" s="66" t="s">
        <v>96</v>
      </c>
      <c r="J4154" s="411" t="s">
        <v>7081</v>
      </c>
      <c r="K4154" s="58"/>
      <c r="L4154" s="99"/>
      <c r="M4154" s="70" t="s">
        <v>10511</v>
      </c>
      <c r="N4154" s="97" t="s">
        <v>264</v>
      </c>
      <c r="O4154" s="58" t="s">
        <v>141</v>
      </c>
      <c r="P4154" s="58" t="s">
        <v>17</v>
      </c>
      <c r="Q4154" s="58" t="s">
        <v>123</v>
      </c>
      <c r="R4154" s="58" t="s">
        <v>265</v>
      </c>
    </row>
    <row r="4155" spans="1:18" ht="69" customHeight="1">
      <c r="A4155" s="168"/>
      <c r="B4155" s="191">
        <v>3015</v>
      </c>
      <c r="C4155" s="191" t="s">
        <v>458</v>
      </c>
      <c r="D4155" s="533" t="s">
        <v>6642</v>
      </c>
      <c r="E4155" s="191" t="s">
        <v>331</v>
      </c>
      <c r="F4155" s="211" t="s">
        <v>10520</v>
      </c>
      <c r="G4155" s="46" t="s">
        <v>4416</v>
      </c>
      <c r="H4155" s="534">
        <v>0</v>
      </c>
      <c r="I4155" s="56" t="s">
        <v>96</v>
      </c>
      <c r="J4155" s="412" t="s">
        <v>334</v>
      </c>
      <c r="K4155" s="46"/>
      <c r="L4155" s="99"/>
      <c r="M4155" s="379"/>
      <c r="N4155" s="76" t="s">
        <v>69</v>
      </c>
      <c r="O4155" s="46"/>
      <c r="P4155" s="46" t="s">
        <v>69</v>
      </c>
      <c r="Q4155" s="46" t="s">
        <v>123</v>
      </c>
      <c r="R4155" s="46" t="s">
        <v>272</v>
      </c>
    </row>
    <row r="4156" spans="1:18" ht="69" customHeight="1">
      <c r="A4156" s="168"/>
      <c r="B4156" s="178">
        <v>4108</v>
      </c>
      <c r="C4156" s="178" t="s">
        <v>259</v>
      </c>
      <c r="D4156" s="575"/>
      <c r="E4156" s="178" t="s">
        <v>266</v>
      </c>
      <c r="F4156" s="210" t="s">
        <v>10521</v>
      </c>
      <c r="G4156" s="58" t="s">
        <v>5560</v>
      </c>
      <c r="H4156" s="546">
        <v>7060</v>
      </c>
      <c r="I4156" s="66" t="s">
        <v>96</v>
      </c>
      <c r="J4156" s="411" t="s">
        <v>10522</v>
      </c>
      <c r="K4156" s="58"/>
      <c r="L4156" s="99"/>
      <c r="M4156" s="70" t="s">
        <v>10523</v>
      </c>
      <c r="N4156" s="97" t="s">
        <v>270</v>
      </c>
      <c r="O4156" s="58"/>
      <c r="P4156" s="58" t="s">
        <v>44</v>
      </c>
      <c r="Q4156" s="58" t="s">
        <v>123</v>
      </c>
      <c r="R4156" s="58" t="s">
        <v>272</v>
      </c>
    </row>
    <row r="4157" spans="1:18" ht="69" customHeight="1">
      <c r="A4157" s="168"/>
      <c r="B4157" s="207">
        <v>4395</v>
      </c>
      <c r="C4157" s="207" t="s">
        <v>458</v>
      </c>
      <c r="D4157" s="301"/>
      <c r="E4157" s="207" t="s">
        <v>283</v>
      </c>
      <c r="F4157" s="208" t="s">
        <v>10524</v>
      </c>
      <c r="G4157" s="160"/>
      <c r="H4157" s="300">
        <v>14000</v>
      </c>
      <c r="I4157" s="209">
        <v>44488</v>
      </c>
      <c r="J4157" s="322" t="s">
        <v>294</v>
      </c>
      <c r="K4157" s="160" t="s">
        <v>727</v>
      </c>
      <c r="M4157" s="380"/>
      <c r="N4157" s="82" t="s">
        <v>264</v>
      </c>
      <c r="O4157" s="160" t="s">
        <v>141</v>
      </c>
      <c r="P4157" s="160" t="s">
        <v>67</v>
      </c>
      <c r="Q4157" s="160" t="s">
        <v>123</v>
      </c>
      <c r="R4157" s="160" t="s">
        <v>272</v>
      </c>
    </row>
    <row r="4158" spans="1:18" ht="69" customHeight="1">
      <c r="A4158" s="168"/>
      <c r="B4158" s="178">
        <v>4705</v>
      </c>
      <c r="C4158" s="178" t="s">
        <v>458</v>
      </c>
      <c r="D4158" s="575" t="s">
        <v>10525</v>
      </c>
      <c r="E4158" s="178" t="s">
        <v>331</v>
      </c>
      <c r="F4158" s="210" t="s">
        <v>10526</v>
      </c>
      <c r="G4158" s="58"/>
      <c r="H4158" s="546">
        <v>3389.12</v>
      </c>
      <c r="I4158" s="66">
        <v>44678</v>
      </c>
      <c r="J4158" s="411" t="s">
        <v>10527</v>
      </c>
      <c r="K4158" s="58"/>
      <c r="L4158" s="99"/>
      <c r="M4158" s="70" t="s">
        <v>10523</v>
      </c>
      <c r="N4158" s="97" t="s">
        <v>270</v>
      </c>
      <c r="O4158" s="58"/>
      <c r="P4158" s="58" t="s">
        <v>44</v>
      </c>
      <c r="Q4158" s="58" t="s">
        <v>123</v>
      </c>
      <c r="R4158" s="58" t="s">
        <v>272</v>
      </c>
    </row>
    <row r="4159" spans="1:18" ht="69" customHeight="1">
      <c r="A4159" s="168"/>
      <c r="B4159" s="178">
        <v>4894</v>
      </c>
      <c r="C4159" s="178" t="s">
        <v>458</v>
      </c>
      <c r="D4159" s="575" t="s">
        <v>642</v>
      </c>
      <c r="E4159" s="178" t="s">
        <v>266</v>
      </c>
      <c r="F4159" s="210" t="s">
        <v>10528</v>
      </c>
      <c r="G4159" s="58" t="s">
        <v>7109</v>
      </c>
      <c r="H4159" s="546">
        <v>1632.75</v>
      </c>
      <c r="I4159" s="66">
        <v>44698</v>
      </c>
      <c r="J4159" s="411" t="s">
        <v>10529</v>
      </c>
      <c r="K4159" s="58"/>
      <c r="L4159" s="99"/>
      <c r="M4159" s="70" t="s">
        <v>10523</v>
      </c>
      <c r="N4159" s="97" t="s">
        <v>270</v>
      </c>
      <c r="O4159" s="58"/>
      <c r="P4159" s="58" t="s">
        <v>44</v>
      </c>
      <c r="Q4159" s="58" t="s">
        <v>123</v>
      </c>
      <c r="R4159" s="58" t="s">
        <v>272</v>
      </c>
    </row>
    <row r="4160" spans="1:18" ht="69" customHeight="1">
      <c r="A4160" s="168"/>
      <c r="B4160" s="178">
        <v>4705</v>
      </c>
      <c r="C4160" s="178" t="s">
        <v>458</v>
      </c>
      <c r="D4160" s="575" t="s">
        <v>4839</v>
      </c>
      <c r="E4160" s="178" t="s">
        <v>331</v>
      </c>
      <c r="F4160" s="210" t="s">
        <v>10530</v>
      </c>
      <c r="G4160" s="58" t="s">
        <v>372</v>
      </c>
      <c r="H4160" s="546">
        <v>30502.09</v>
      </c>
      <c r="I4160" s="66">
        <v>44701</v>
      </c>
      <c r="J4160" s="411" t="s">
        <v>10531</v>
      </c>
      <c r="K4160" s="58"/>
      <c r="L4160" s="99"/>
      <c r="M4160" s="70" t="s">
        <v>10523</v>
      </c>
      <c r="N4160" s="97" t="s">
        <v>270</v>
      </c>
      <c r="O4160" s="58"/>
      <c r="P4160" s="58" t="s">
        <v>44</v>
      </c>
      <c r="Q4160" s="58" t="s">
        <v>123</v>
      </c>
      <c r="R4160" s="58" t="s">
        <v>272</v>
      </c>
    </row>
    <row r="4161" spans="1:18" ht="69" customHeight="1">
      <c r="A4161" s="168"/>
      <c r="B4161" s="178">
        <v>4949</v>
      </c>
      <c r="C4161" s="178" t="s">
        <v>458</v>
      </c>
      <c r="D4161" s="575" t="s">
        <v>647</v>
      </c>
      <c r="E4161" s="178" t="s">
        <v>266</v>
      </c>
      <c r="F4161" s="210" t="s">
        <v>10532</v>
      </c>
      <c r="G4161" s="58" t="s">
        <v>376</v>
      </c>
      <c r="H4161" s="546">
        <v>2465.06</v>
      </c>
      <c r="I4161" s="66">
        <v>44706</v>
      </c>
      <c r="J4161" s="411" t="s">
        <v>10533</v>
      </c>
      <c r="K4161" s="58"/>
      <c r="L4161" s="99"/>
      <c r="M4161" s="70" t="s">
        <v>10523</v>
      </c>
      <c r="N4161" s="97" t="s">
        <v>270</v>
      </c>
      <c r="O4161" s="58"/>
      <c r="P4161" s="58" t="s">
        <v>44</v>
      </c>
      <c r="Q4161" s="58" t="s">
        <v>123</v>
      </c>
      <c r="R4161" s="58" t="s">
        <v>272</v>
      </c>
    </row>
    <row r="4162" spans="1:18" ht="69" customHeight="1">
      <c r="A4162" s="168"/>
      <c r="B4162" s="178">
        <v>5027</v>
      </c>
      <c r="C4162" s="178" t="s">
        <v>458</v>
      </c>
      <c r="D4162" s="575" t="s">
        <v>3170</v>
      </c>
      <c r="E4162" s="178" t="s">
        <v>266</v>
      </c>
      <c r="F4162" s="210" t="s">
        <v>10534</v>
      </c>
      <c r="G4162" s="58" t="s">
        <v>7109</v>
      </c>
      <c r="H4162" s="546">
        <v>1632.75</v>
      </c>
      <c r="I4162" s="66">
        <v>44728</v>
      </c>
      <c r="J4162" s="411" t="s">
        <v>10535</v>
      </c>
      <c r="K4162" s="58"/>
      <c r="L4162" s="99"/>
      <c r="M4162" s="70" t="s">
        <v>10523</v>
      </c>
      <c r="N4162" s="97" t="s">
        <v>270</v>
      </c>
      <c r="O4162" s="58"/>
      <c r="P4162" s="58" t="s">
        <v>44</v>
      </c>
      <c r="Q4162" s="58" t="s">
        <v>123</v>
      </c>
      <c r="R4162" s="58" t="s">
        <v>272</v>
      </c>
    </row>
    <row r="4163" spans="1:18" ht="69" customHeight="1">
      <c r="A4163" s="168"/>
      <c r="B4163" s="178">
        <v>5121</v>
      </c>
      <c r="C4163" s="178" t="s">
        <v>458</v>
      </c>
      <c r="D4163" s="575" t="s">
        <v>2003</v>
      </c>
      <c r="E4163" s="178" t="s">
        <v>283</v>
      </c>
      <c r="F4163" s="210" t="s">
        <v>10536</v>
      </c>
      <c r="G4163" s="58" t="s">
        <v>718</v>
      </c>
      <c r="H4163" s="546">
        <v>114694.38</v>
      </c>
      <c r="I4163" s="66">
        <v>44732</v>
      </c>
      <c r="J4163" s="411" t="s">
        <v>10537</v>
      </c>
      <c r="K4163" s="58"/>
      <c r="L4163" s="99"/>
      <c r="M4163" s="70" t="s">
        <v>10538</v>
      </c>
      <c r="N4163" s="97" t="s">
        <v>264</v>
      </c>
      <c r="O4163" s="58" t="s">
        <v>141</v>
      </c>
      <c r="P4163" s="58" t="s">
        <v>17</v>
      </c>
      <c r="Q4163" s="58" t="s">
        <v>123</v>
      </c>
      <c r="R4163" s="58" t="s">
        <v>272</v>
      </c>
    </row>
    <row r="4164" spans="1:18" ht="69" customHeight="1">
      <c r="A4164" s="168"/>
      <c r="B4164" s="178">
        <v>5124</v>
      </c>
      <c r="C4164" s="178" t="s">
        <v>458</v>
      </c>
      <c r="D4164" s="575" t="s">
        <v>2467</v>
      </c>
      <c r="E4164" s="178" t="s">
        <v>358</v>
      </c>
      <c r="F4164" s="210" t="s">
        <v>10539</v>
      </c>
      <c r="G4164" s="58" t="s">
        <v>529</v>
      </c>
      <c r="H4164" s="546">
        <v>380454.85</v>
      </c>
      <c r="I4164" s="66">
        <v>44732</v>
      </c>
      <c r="J4164" s="411" t="s">
        <v>10540</v>
      </c>
      <c r="K4164" s="58" t="s">
        <v>10507</v>
      </c>
      <c r="L4164" s="99"/>
      <c r="M4164" s="70" t="s">
        <v>10541</v>
      </c>
      <c r="N4164" s="97" t="s">
        <v>356</v>
      </c>
      <c r="O4164" s="58" t="s">
        <v>141</v>
      </c>
      <c r="P4164" s="58" t="s">
        <v>19</v>
      </c>
      <c r="Q4164" s="58" t="s">
        <v>123</v>
      </c>
      <c r="R4164" s="58" t="s">
        <v>272</v>
      </c>
    </row>
    <row r="4165" spans="1:18" ht="69" customHeight="1">
      <c r="A4165" s="168"/>
      <c r="B4165" s="178">
        <v>6180</v>
      </c>
      <c r="C4165" s="178" t="s">
        <v>458</v>
      </c>
      <c r="D4165" s="575" t="s">
        <v>3175</v>
      </c>
      <c r="E4165" s="178" t="s">
        <v>382</v>
      </c>
      <c r="F4165" s="210" t="s">
        <v>10542</v>
      </c>
      <c r="G4165" s="58" t="s">
        <v>384</v>
      </c>
      <c r="H4165" s="546">
        <v>27761.33</v>
      </c>
      <c r="I4165" s="66">
        <v>44736</v>
      </c>
      <c r="J4165" s="411" t="s">
        <v>10543</v>
      </c>
      <c r="K4165" s="58"/>
      <c r="L4165" s="99"/>
      <c r="M4165" s="70" t="s">
        <v>10544</v>
      </c>
      <c r="N4165" s="97" t="s">
        <v>387</v>
      </c>
      <c r="O4165" s="45" t="s">
        <v>150</v>
      </c>
      <c r="P4165" s="58" t="s">
        <v>51</v>
      </c>
      <c r="Q4165" s="58" t="s">
        <v>123</v>
      </c>
      <c r="R4165" s="58" t="s">
        <v>272</v>
      </c>
    </row>
    <row r="4166" spans="1:18" ht="69" customHeight="1">
      <c r="A4166" s="168"/>
      <c r="B4166" s="178">
        <v>6181</v>
      </c>
      <c r="C4166" s="178" t="s">
        <v>458</v>
      </c>
      <c r="D4166" s="575" t="s">
        <v>4431</v>
      </c>
      <c r="E4166" s="178" t="s">
        <v>382</v>
      </c>
      <c r="F4166" s="210" t="s">
        <v>10545</v>
      </c>
      <c r="G4166" s="58" t="s">
        <v>384</v>
      </c>
      <c r="H4166" s="546">
        <v>39819.519999999997</v>
      </c>
      <c r="I4166" s="66">
        <v>44736</v>
      </c>
      <c r="J4166" s="411" t="s">
        <v>10546</v>
      </c>
      <c r="K4166" s="58"/>
      <c r="L4166" s="99"/>
      <c r="M4166" s="70" t="s">
        <v>10544</v>
      </c>
      <c r="N4166" s="97" t="s">
        <v>387</v>
      </c>
      <c r="O4166" s="45" t="s">
        <v>150</v>
      </c>
      <c r="P4166" s="58" t="s">
        <v>51</v>
      </c>
      <c r="Q4166" s="58" t="s">
        <v>123</v>
      </c>
      <c r="R4166" s="58" t="s">
        <v>272</v>
      </c>
    </row>
    <row r="4167" spans="1:18" ht="69" customHeight="1">
      <c r="A4167" s="168"/>
      <c r="B4167" s="178">
        <v>7332</v>
      </c>
      <c r="C4167" s="178" t="s">
        <v>458</v>
      </c>
      <c r="D4167" s="575" t="s">
        <v>10547</v>
      </c>
      <c r="E4167" s="178" t="s">
        <v>266</v>
      </c>
      <c r="F4167" s="210" t="s">
        <v>10548</v>
      </c>
      <c r="G4167" s="58" t="s">
        <v>448</v>
      </c>
      <c r="H4167" s="546">
        <v>17500</v>
      </c>
      <c r="I4167" s="66">
        <v>44867</v>
      </c>
      <c r="J4167" s="411" t="s">
        <v>10549</v>
      </c>
      <c r="K4167" s="58"/>
      <c r="L4167" s="99"/>
      <c r="M4167" s="70" t="s">
        <v>10550</v>
      </c>
      <c r="N4167" s="97" t="s">
        <v>552</v>
      </c>
      <c r="O4167" s="62" t="s">
        <v>147</v>
      </c>
      <c r="P4167" s="45" t="s">
        <v>42</v>
      </c>
      <c r="Q4167" s="58" t="s">
        <v>123</v>
      </c>
      <c r="R4167" s="58" t="s">
        <v>272</v>
      </c>
    </row>
    <row r="4168" spans="1:18" ht="69" customHeight="1">
      <c r="A4168" s="168"/>
      <c r="B4168" s="178">
        <v>7491</v>
      </c>
      <c r="C4168" s="178" t="s">
        <v>458</v>
      </c>
      <c r="D4168" s="575" t="s">
        <v>10551</v>
      </c>
      <c r="E4168" s="178" t="s">
        <v>266</v>
      </c>
      <c r="F4168" s="210" t="s">
        <v>10552</v>
      </c>
      <c r="G4168" s="58" t="s">
        <v>444</v>
      </c>
      <c r="H4168" s="546">
        <v>5334.67</v>
      </c>
      <c r="I4168" s="66">
        <v>44879</v>
      </c>
      <c r="J4168" s="411" t="s">
        <v>445</v>
      </c>
      <c r="K4168" s="58"/>
      <c r="L4168" s="99"/>
      <c r="M4168" s="70" t="s">
        <v>10523</v>
      </c>
      <c r="N4168" s="97" t="s">
        <v>270</v>
      </c>
      <c r="O4168" s="58"/>
      <c r="P4168" s="58" t="s">
        <v>44</v>
      </c>
      <c r="Q4168" s="58" t="s">
        <v>123</v>
      </c>
      <c r="R4168" s="58" t="s">
        <v>272</v>
      </c>
    </row>
    <row r="4169" spans="1:18" ht="69" customHeight="1">
      <c r="A4169" s="168"/>
      <c r="B4169" s="600">
        <v>6088</v>
      </c>
      <c r="C4169" s="600" t="s">
        <v>458</v>
      </c>
      <c r="D4169" s="601" t="s">
        <v>675</v>
      </c>
      <c r="E4169" s="600" t="s">
        <v>10553</v>
      </c>
      <c r="F4169" s="602" t="s">
        <v>10554</v>
      </c>
      <c r="G4169" s="460" t="s">
        <v>7054</v>
      </c>
      <c r="H4169" s="605">
        <v>262253.63</v>
      </c>
      <c r="I4169" s="461">
        <v>44776</v>
      </c>
      <c r="J4169" s="603" t="s">
        <v>10555</v>
      </c>
      <c r="K4169" s="460" t="s">
        <v>3647</v>
      </c>
      <c r="L4169" s="99"/>
      <c r="M4169" s="70" t="s">
        <v>10556</v>
      </c>
      <c r="N4169" s="97" t="s">
        <v>414</v>
      </c>
      <c r="O4169" s="58"/>
      <c r="P4169" s="58" t="s">
        <v>22</v>
      </c>
      <c r="Q4169" s="46" t="s">
        <v>123</v>
      </c>
      <c r="R4169" s="58" t="s">
        <v>272</v>
      </c>
    </row>
    <row r="4170" spans="1:18" ht="69" customHeight="1">
      <c r="A4170" s="168"/>
      <c r="B4170" s="178">
        <v>6415</v>
      </c>
      <c r="C4170" s="59" t="s">
        <v>458</v>
      </c>
      <c r="D4170" s="581" t="s">
        <v>999</v>
      </c>
      <c r="E4170" s="59" t="s">
        <v>432</v>
      </c>
      <c r="F4170" s="569" t="s">
        <v>10557</v>
      </c>
      <c r="G4170" s="45" t="s">
        <v>429</v>
      </c>
      <c r="H4170" s="546">
        <v>13959.486000000001</v>
      </c>
      <c r="I4170" s="47">
        <v>44802</v>
      </c>
      <c r="J4170" s="410" t="s">
        <v>10558</v>
      </c>
      <c r="K4170" s="58"/>
      <c r="L4170" s="99"/>
      <c r="M4170" s="70" t="s">
        <v>10559</v>
      </c>
      <c r="N4170" s="97" t="s">
        <v>432</v>
      </c>
      <c r="O4170" s="58"/>
      <c r="P4170" s="58" t="s">
        <v>53</v>
      </c>
      <c r="Q4170" s="58" t="s">
        <v>123</v>
      </c>
      <c r="R4170" s="58" t="s">
        <v>272</v>
      </c>
    </row>
    <row r="4171" spans="1:18" ht="69" customHeight="1">
      <c r="A4171" s="168"/>
      <c r="B4171" s="178">
        <v>9682</v>
      </c>
      <c r="C4171" s="178" t="s">
        <v>458</v>
      </c>
      <c r="D4171" s="575" t="s">
        <v>10560</v>
      </c>
      <c r="E4171" s="178" t="s">
        <v>260</v>
      </c>
      <c r="F4171" s="210" t="s">
        <v>10561</v>
      </c>
      <c r="G4171" s="58" t="s">
        <v>7067</v>
      </c>
      <c r="H4171" s="546">
        <v>67950</v>
      </c>
      <c r="I4171" s="66">
        <v>45019</v>
      </c>
      <c r="J4171" s="411" t="s">
        <v>7068</v>
      </c>
      <c r="K4171" s="58" t="s">
        <v>9018</v>
      </c>
      <c r="L4171" s="99"/>
      <c r="M4171" s="70" t="s">
        <v>10508</v>
      </c>
      <c r="N4171" s="97" t="s">
        <v>356</v>
      </c>
      <c r="O4171" s="58" t="s">
        <v>141</v>
      </c>
      <c r="P4171" s="58" t="s">
        <v>19</v>
      </c>
      <c r="Q4171" s="58" t="s">
        <v>123</v>
      </c>
      <c r="R4171" s="58" t="s">
        <v>265</v>
      </c>
    </row>
    <row r="4172" spans="1:18" ht="69" customHeight="1">
      <c r="A4172" s="168"/>
      <c r="B4172" s="178">
        <v>9966</v>
      </c>
      <c r="C4172" s="59" t="s">
        <v>3667</v>
      </c>
      <c r="D4172" s="575" t="s">
        <v>10562</v>
      </c>
      <c r="E4172" s="178" t="s">
        <v>10563</v>
      </c>
      <c r="F4172" s="210" t="s">
        <v>10564</v>
      </c>
      <c r="G4172" s="58" t="s">
        <v>10565</v>
      </c>
      <c r="H4172" s="546">
        <v>103350.45</v>
      </c>
      <c r="I4172" s="66">
        <v>45049</v>
      </c>
      <c r="J4172" s="411" t="s">
        <v>10566</v>
      </c>
      <c r="K4172" s="58"/>
      <c r="L4172" s="99"/>
      <c r="M4172" s="70" t="s">
        <v>7005</v>
      </c>
      <c r="N4172" s="97" t="s">
        <v>741</v>
      </c>
      <c r="O4172" s="58"/>
      <c r="P4172" s="58" t="s">
        <v>59</v>
      </c>
      <c r="Q4172" s="58" t="s">
        <v>86</v>
      </c>
      <c r="R4172" s="58" t="s">
        <v>272</v>
      </c>
    </row>
    <row r="4173" spans="1:18" ht="69" customHeight="1">
      <c r="A4173" s="168"/>
      <c r="B4173" s="178">
        <v>9967</v>
      </c>
      <c r="C4173" s="59" t="s">
        <v>3667</v>
      </c>
      <c r="D4173" s="575" t="s">
        <v>10567</v>
      </c>
      <c r="E4173" s="178" t="s">
        <v>10563</v>
      </c>
      <c r="F4173" s="210" t="s">
        <v>10568</v>
      </c>
      <c r="G4173" s="58" t="s">
        <v>10565</v>
      </c>
      <c r="H4173" s="546">
        <v>100000</v>
      </c>
      <c r="I4173" s="66">
        <v>45049</v>
      </c>
      <c r="J4173" s="411" t="s">
        <v>10566</v>
      </c>
      <c r="K4173" s="58"/>
      <c r="L4173" s="99"/>
      <c r="M4173" s="70" t="s">
        <v>7005</v>
      </c>
      <c r="N4173" s="97" t="s">
        <v>741</v>
      </c>
      <c r="O4173" s="58"/>
      <c r="P4173" s="58" t="s">
        <v>59</v>
      </c>
      <c r="Q4173" s="58" t="s">
        <v>86</v>
      </c>
      <c r="R4173" s="58" t="s">
        <v>272</v>
      </c>
    </row>
    <row r="4174" spans="1:18" ht="69" customHeight="1">
      <c r="A4174" s="168"/>
      <c r="B4174" s="178">
        <v>9968</v>
      </c>
      <c r="C4174" s="178" t="s">
        <v>458</v>
      </c>
      <c r="D4174" s="575" t="s">
        <v>3139</v>
      </c>
      <c r="E4174" s="178" t="s">
        <v>6578</v>
      </c>
      <c r="F4174" s="210" t="s">
        <v>10569</v>
      </c>
      <c r="G4174" s="58" t="s">
        <v>5225</v>
      </c>
      <c r="H4174" s="546">
        <v>31608</v>
      </c>
      <c r="I4174" s="66">
        <v>45061</v>
      </c>
      <c r="J4174" s="411" t="s">
        <v>10570</v>
      </c>
      <c r="K4174" s="58"/>
      <c r="L4174" s="99"/>
      <c r="M4174" s="70" t="s">
        <v>7389</v>
      </c>
      <c r="N4174" s="97" t="s">
        <v>6197</v>
      </c>
      <c r="O4174" s="58"/>
      <c r="P4174" s="58" t="s">
        <v>22</v>
      </c>
      <c r="Q4174" s="58" t="s">
        <v>100</v>
      </c>
      <c r="R4174" s="58" t="s">
        <v>265</v>
      </c>
    </row>
    <row r="4175" spans="1:18" ht="69" customHeight="1">
      <c r="A4175" s="168"/>
      <c r="B4175" s="178">
        <v>9969</v>
      </c>
      <c r="C4175" s="59" t="s">
        <v>3667</v>
      </c>
      <c r="D4175" s="575" t="s">
        <v>10571</v>
      </c>
      <c r="E4175" s="178" t="s">
        <v>6578</v>
      </c>
      <c r="F4175" s="210" t="s">
        <v>10572</v>
      </c>
      <c r="G4175" s="58" t="s">
        <v>5225</v>
      </c>
      <c r="H4175" s="546">
        <v>31836</v>
      </c>
      <c r="I4175" s="66">
        <v>45061</v>
      </c>
      <c r="J4175" s="411" t="s">
        <v>10573</v>
      </c>
      <c r="K4175" s="58"/>
      <c r="L4175" s="99"/>
      <c r="M4175" s="70" t="s">
        <v>6582</v>
      </c>
      <c r="N4175" s="97" t="s">
        <v>6197</v>
      </c>
      <c r="O4175" s="58"/>
      <c r="P4175" s="58" t="s">
        <v>22</v>
      </c>
      <c r="Q4175" s="58" t="s">
        <v>76</v>
      </c>
      <c r="R4175" s="58" t="s">
        <v>265</v>
      </c>
    </row>
    <row r="4176" spans="1:18" ht="69" customHeight="1">
      <c r="A4176" s="168"/>
      <c r="B4176" s="178">
        <v>1019</v>
      </c>
      <c r="C4176" s="178" t="s">
        <v>1333</v>
      </c>
      <c r="D4176" s="575" t="s">
        <v>5349</v>
      </c>
      <c r="E4176" s="178" t="s">
        <v>755</v>
      </c>
      <c r="F4176" s="210" t="s">
        <v>10574</v>
      </c>
      <c r="G4176" s="58" t="s">
        <v>9472</v>
      </c>
      <c r="H4176" s="546">
        <v>714407.41</v>
      </c>
      <c r="I4176" s="66">
        <v>45051</v>
      </c>
      <c r="J4176" s="411" t="s">
        <v>10575</v>
      </c>
      <c r="K4176" s="58"/>
      <c r="L4176" s="99"/>
      <c r="M4176" s="70" t="s">
        <v>1328</v>
      </c>
      <c r="N4176" s="97" t="s">
        <v>716</v>
      </c>
      <c r="O4176" s="58"/>
      <c r="P4176" s="58" t="s">
        <v>28</v>
      </c>
      <c r="Q4176" s="58" t="s">
        <v>25</v>
      </c>
      <c r="R4176" s="58" t="s">
        <v>272</v>
      </c>
    </row>
    <row r="4177" spans="1:18" ht="69" customHeight="1">
      <c r="A4177" s="168"/>
      <c r="B4177" s="178">
        <v>1020</v>
      </c>
      <c r="C4177" s="178" t="s">
        <v>3647</v>
      </c>
      <c r="D4177" s="575" t="s">
        <v>10576</v>
      </c>
      <c r="E4177" s="178" t="s">
        <v>3833</v>
      </c>
      <c r="F4177" s="210" t="s">
        <v>10577</v>
      </c>
      <c r="G4177" s="58" t="s">
        <v>10578</v>
      </c>
      <c r="H4177" s="546">
        <v>333631.73</v>
      </c>
      <c r="I4177" s="66">
        <v>45048</v>
      </c>
      <c r="J4177" s="411" t="s">
        <v>10579</v>
      </c>
      <c r="K4177" s="58"/>
      <c r="L4177" s="99"/>
      <c r="M4177" s="70" t="s">
        <v>3836</v>
      </c>
      <c r="N4177" s="97" t="s">
        <v>414</v>
      </c>
      <c r="O4177" s="45" t="s">
        <v>195</v>
      </c>
      <c r="P4177" s="58" t="s">
        <v>19</v>
      </c>
      <c r="Q4177" s="58" t="s">
        <v>47</v>
      </c>
      <c r="R4177" s="58" t="s">
        <v>265</v>
      </c>
    </row>
    <row r="4178" spans="1:18" ht="69" customHeight="1">
      <c r="A4178" s="168"/>
      <c r="B4178" s="178">
        <v>1021</v>
      </c>
      <c r="C4178" s="178" t="s">
        <v>3933</v>
      </c>
      <c r="D4178" s="575" t="s">
        <v>10580</v>
      </c>
      <c r="E4178" s="178" t="s">
        <v>3833</v>
      </c>
      <c r="F4178" s="210" t="s">
        <v>10581</v>
      </c>
      <c r="G4178" s="58" t="s">
        <v>10578</v>
      </c>
      <c r="H4178" s="546">
        <v>354075.23</v>
      </c>
      <c r="I4178" s="66">
        <v>45048</v>
      </c>
      <c r="J4178" s="411" t="s">
        <v>10579</v>
      </c>
      <c r="K4178" s="58"/>
      <c r="L4178" s="99"/>
      <c r="M4178" s="70" t="s">
        <v>4240</v>
      </c>
      <c r="N4178" s="97" t="s">
        <v>414</v>
      </c>
      <c r="O4178" s="45" t="s">
        <v>195</v>
      </c>
      <c r="P4178" s="58" t="s">
        <v>19</v>
      </c>
      <c r="Q4178" s="58" t="s">
        <v>52</v>
      </c>
      <c r="R4178" s="58" t="s">
        <v>265</v>
      </c>
    </row>
    <row r="4179" spans="1:18" ht="69" customHeight="1">
      <c r="A4179" s="168"/>
      <c r="B4179" s="191">
        <v>1026</v>
      </c>
      <c r="C4179" s="191" t="s">
        <v>3667</v>
      </c>
      <c r="D4179" s="533" t="s">
        <v>10582</v>
      </c>
      <c r="E4179" s="191" t="s">
        <v>6192</v>
      </c>
      <c r="F4179" s="211" t="s">
        <v>10583</v>
      </c>
      <c r="G4179" s="46" t="s">
        <v>10565</v>
      </c>
      <c r="H4179" s="534">
        <v>20000</v>
      </c>
      <c r="I4179" s="56">
        <v>45054</v>
      </c>
      <c r="J4179" s="412" t="s">
        <v>10584</v>
      </c>
      <c r="K4179" s="46" t="s">
        <v>65</v>
      </c>
      <c r="L4179" s="99"/>
      <c r="M4179" s="70" t="s">
        <v>6737</v>
      </c>
      <c r="N4179" s="97" t="s">
        <v>6197</v>
      </c>
      <c r="O4179" s="46"/>
      <c r="P4179" s="46" t="s">
        <v>65</v>
      </c>
      <c r="Q4179" s="46" t="s">
        <v>78</v>
      </c>
      <c r="R4179" s="46" t="s">
        <v>272</v>
      </c>
    </row>
    <row r="4180" spans="1:18" ht="69" customHeight="1">
      <c r="A4180" s="168"/>
      <c r="B4180" s="178">
        <v>1030</v>
      </c>
      <c r="C4180" s="59" t="s">
        <v>3667</v>
      </c>
      <c r="D4180" s="575" t="s">
        <v>10585</v>
      </c>
      <c r="E4180" s="178" t="s">
        <v>266</v>
      </c>
      <c r="F4180" s="210" t="s">
        <v>10586</v>
      </c>
      <c r="G4180" s="58" t="s">
        <v>8451</v>
      </c>
      <c r="H4180" s="546">
        <v>9400</v>
      </c>
      <c r="I4180" s="66">
        <v>45054</v>
      </c>
      <c r="J4180" s="411" t="s">
        <v>10587</v>
      </c>
      <c r="K4180" s="58"/>
      <c r="L4180" s="99"/>
      <c r="M4180" s="70" t="s">
        <v>6646</v>
      </c>
      <c r="N4180" s="97" t="s">
        <v>270</v>
      </c>
      <c r="O4180" s="58"/>
      <c r="P4180" s="58" t="s">
        <v>44</v>
      </c>
      <c r="Q4180" s="58" t="s">
        <v>78</v>
      </c>
      <c r="R4180" s="58" t="s">
        <v>272</v>
      </c>
    </row>
    <row r="4181" spans="1:18" ht="69" customHeight="1">
      <c r="A4181" s="168"/>
      <c r="B4181" s="178">
        <v>1031</v>
      </c>
      <c r="C4181" s="59" t="s">
        <v>3667</v>
      </c>
      <c r="D4181" s="575" t="s">
        <v>10588</v>
      </c>
      <c r="E4181" s="178" t="s">
        <v>266</v>
      </c>
      <c r="F4181" s="210" t="s">
        <v>10586</v>
      </c>
      <c r="G4181" s="58" t="s">
        <v>8454</v>
      </c>
      <c r="H4181" s="546">
        <v>14800</v>
      </c>
      <c r="I4181" s="66">
        <v>45054</v>
      </c>
      <c r="J4181" s="411" t="s">
        <v>10587</v>
      </c>
      <c r="K4181" s="58"/>
      <c r="L4181" s="99"/>
      <c r="M4181" s="70" t="s">
        <v>6646</v>
      </c>
      <c r="N4181" s="97" t="s">
        <v>270</v>
      </c>
      <c r="O4181" s="58"/>
      <c r="P4181" s="58" t="s">
        <v>44</v>
      </c>
      <c r="Q4181" s="58" t="s">
        <v>78</v>
      </c>
      <c r="R4181" s="58" t="s">
        <v>272</v>
      </c>
    </row>
    <row r="4182" spans="1:18" ht="69" customHeight="1">
      <c r="A4182" s="168"/>
      <c r="B4182" s="178">
        <v>1033</v>
      </c>
      <c r="C4182" s="178" t="s">
        <v>4411</v>
      </c>
      <c r="D4182" s="575" t="s">
        <v>10589</v>
      </c>
      <c r="E4182" s="178" t="s">
        <v>755</v>
      </c>
      <c r="F4182" s="210" t="s">
        <v>10590</v>
      </c>
      <c r="G4182" s="58" t="s">
        <v>4521</v>
      </c>
      <c r="H4182" s="546">
        <v>373273.25</v>
      </c>
      <c r="I4182" s="66">
        <v>45054</v>
      </c>
      <c r="J4182" s="411" t="s">
        <v>10591</v>
      </c>
      <c r="K4182" s="58"/>
      <c r="L4182" s="99"/>
      <c r="M4182" s="70" t="s">
        <v>4438</v>
      </c>
      <c r="N4182" s="97" t="s">
        <v>716</v>
      </c>
      <c r="O4182" s="58"/>
      <c r="P4182" s="58" t="s">
        <v>28</v>
      </c>
      <c r="Q4182" s="58" t="s">
        <v>54</v>
      </c>
      <c r="R4182" s="58" t="s">
        <v>272</v>
      </c>
    </row>
    <row r="4183" spans="1:18" ht="69" customHeight="1">
      <c r="A4183" s="168"/>
      <c r="B4183" s="178">
        <v>9784</v>
      </c>
      <c r="C4183" s="178" t="s">
        <v>657</v>
      </c>
      <c r="D4183" s="575" t="s">
        <v>6354</v>
      </c>
      <c r="E4183" s="178" t="s">
        <v>6192</v>
      </c>
      <c r="F4183" s="210" t="s">
        <v>10592</v>
      </c>
      <c r="G4183" s="58" t="s">
        <v>10593</v>
      </c>
      <c r="H4183" s="546">
        <v>12743</v>
      </c>
      <c r="I4183" s="66">
        <v>45035</v>
      </c>
      <c r="J4183" s="411" t="s">
        <v>10594</v>
      </c>
      <c r="K4183" s="58" t="s">
        <v>10595</v>
      </c>
      <c r="L4183" s="99"/>
      <c r="M4183" s="379"/>
      <c r="N4183" s="76" t="s">
        <v>6197</v>
      </c>
      <c r="O4183" s="58" t="s">
        <v>147</v>
      </c>
      <c r="P4183" s="58" t="s">
        <v>40</v>
      </c>
      <c r="Q4183" s="58" t="s">
        <v>111</v>
      </c>
      <c r="R4183" s="58" t="s">
        <v>272</v>
      </c>
    </row>
    <row r="4184" spans="1:18" ht="69" customHeight="1">
      <c r="A4184" s="168"/>
      <c r="B4184" s="178">
        <v>9785</v>
      </c>
      <c r="C4184" s="178" t="s">
        <v>458</v>
      </c>
      <c r="D4184" s="575" t="s">
        <v>3611</v>
      </c>
      <c r="E4184" s="178" t="s">
        <v>6192</v>
      </c>
      <c r="F4184" s="210" t="s">
        <v>10596</v>
      </c>
      <c r="G4184" s="58" t="s">
        <v>10593</v>
      </c>
      <c r="H4184" s="546">
        <v>7000</v>
      </c>
      <c r="I4184" s="66">
        <v>45035</v>
      </c>
      <c r="J4184" s="411" t="s">
        <v>10594</v>
      </c>
      <c r="K4184" s="58" t="s">
        <v>10597</v>
      </c>
      <c r="L4184" s="99"/>
      <c r="M4184" s="379"/>
      <c r="N4184" s="76"/>
      <c r="O4184" s="58" t="s">
        <v>147</v>
      </c>
      <c r="P4184" s="58" t="s">
        <v>42</v>
      </c>
      <c r="Q4184" s="58" t="s">
        <v>122</v>
      </c>
      <c r="R4184" s="58" t="s">
        <v>272</v>
      </c>
    </row>
    <row r="4185" spans="1:18" ht="69" customHeight="1">
      <c r="A4185" s="168"/>
      <c r="B4185" s="178">
        <v>9785</v>
      </c>
      <c r="C4185" s="178" t="s">
        <v>458</v>
      </c>
      <c r="D4185" s="575" t="s">
        <v>3611</v>
      </c>
      <c r="E4185" s="178" t="s">
        <v>6192</v>
      </c>
      <c r="F4185" s="210" t="s">
        <v>10596</v>
      </c>
      <c r="G4185" s="58" t="s">
        <v>10593</v>
      </c>
      <c r="H4185" s="546">
        <v>16378</v>
      </c>
      <c r="I4185" s="66">
        <v>45035</v>
      </c>
      <c r="J4185" s="411" t="s">
        <v>10594</v>
      </c>
      <c r="K4185" s="58" t="s">
        <v>10597</v>
      </c>
      <c r="L4185" s="99"/>
      <c r="M4185" s="379"/>
      <c r="N4185" s="76" t="s">
        <v>6197</v>
      </c>
      <c r="O4185" s="58" t="s">
        <v>147</v>
      </c>
      <c r="P4185" s="58" t="s">
        <v>42</v>
      </c>
      <c r="Q4185" s="58" t="s">
        <v>123</v>
      </c>
      <c r="R4185" s="58" t="s">
        <v>272</v>
      </c>
    </row>
    <row r="4186" spans="1:18" ht="69" customHeight="1">
      <c r="A4186" s="168"/>
      <c r="B4186" s="178">
        <v>9786</v>
      </c>
      <c r="C4186" s="178" t="s">
        <v>309</v>
      </c>
      <c r="D4186" s="575" t="s">
        <v>6390</v>
      </c>
      <c r="E4186" s="178" t="s">
        <v>6192</v>
      </c>
      <c r="F4186" s="210" t="s">
        <v>10598</v>
      </c>
      <c r="G4186" s="58" t="s">
        <v>10593</v>
      </c>
      <c r="H4186" s="546">
        <v>3500</v>
      </c>
      <c r="I4186" s="66">
        <v>45035</v>
      </c>
      <c r="J4186" s="411" t="s">
        <v>10594</v>
      </c>
      <c r="K4186" s="58"/>
      <c r="L4186" s="99"/>
      <c r="M4186" s="379"/>
      <c r="N4186" s="76"/>
      <c r="O4186" s="58" t="s">
        <v>147</v>
      </c>
      <c r="P4186" s="58" t="s">
        <v>40</v>
      </c>
      <c r="Q4186" s="58" t="s">
        <v>31</v>
      </c>
      <c r="R4186" s="58" t="s">
        <v>272</v>
      </c>
    </row>
    <row r="4187" spans="1:18" ht="69" customHeight="1">
      <c r="A4187" s="168"/>
      <c r="B4187" s="178">
        <v>9786</v>
      </c>
      <c r="C4187" s="178" t="s">
        <v>309</v>
      </c>
      <c r="D4187" s="575" t="s">
        <v>6390</v>
      </c>
      <c r="E4187" s="178" t="s">
        <v>6192</v>
      </c>
      <c r="F4187" s="210" t="s">
        <v>10598</v>
      </c>
      <c r="G4187" s="58" t="s">
        <v>10593</v>
      </c>
      <c r="H4187" s="546">
        <v>21000</v>
      </c>
      <c r="I4187" s="66">
        <v>45035</v>
      </c>
      <c r="J4187" s="411" t="s">
        <v>10594</v>
      </c>
      <c r="K4187" s="58"/>
      <c r="L4187" s="99"/>
      <c r="M4187" s="379"/>
      <c r="N4187" s="76" t="s">
        <v>6197</v>
      </c>
      <c r="O4187" s="58" t="s">
        <v>147</v>
      </c>
      <c r="P4187" s="58" t="s">
        <v>40</v>
      </c>
      <c r="Q4187" s="58" t="s">
        <v>45</v>
      </c>
      <c r="R4187" s="58" t="s">
        <v>272</v>
      </c>
    </row>
    <row r="4188" spans="1:18" ht="69" customHeight="1">
      <c r="A4188" s="168"/>
      <c r="B4188" s="178">
        <v>9787</v>
      </c>
      <c r="C4188" s="59" t="s">
        <v>3667</v>
      </c>
      <c r="D4188" s="575" t="s">
        <v>10599</v>
      </c>
      <c r="E4188" s="178" t="s">
        <v>6192</v>
      </c>
      <c r="F4188" s="210" t="s">
        <v>10600</v>
      </c>
      <c r="G4188" s="58" t="s">
        <v>10593</v>
      </c>
      <c r="H4188" s="546">
        <v>28000</v>
      </c>
      <c r="I4188" s="66">
        <v>45035</v>
      </c>
      <c r="J4188" s="411" t="s">
        <v>10594</v>
      </c>
      <c r="K4188" s="58"/>
      <c r="L4188" s="99"/>
      <c r="M4188" s="379"/>
      <c r="N4188" s="76"/>
      <c r="O4188" s="58" t="s">
        <v>147</v>
      </c>
      <c r="P4188" s="58" t="s">
        <v>40</v>
      </c>
      <c r="Q4188" s="58" t="s">
        <v>86</v>
      </c>
      <c r="R4188" s="58" t="s">
        <v>272</v>
      </c>
    </row>
    <row r="4189" spans="1:18" ht="69" customHeight="1">
      <c r="A4189" s="168"/>
      <c r="B4189" s="178">
        <v>9787</v>
      </c>
      <c r="C4189" s="59" t="s">
        <v>3667</v>
      </c>
      <c r="D4189" s="575" t="s">
        <v>10599</v>
      </c>
      <c r="E4189" s="178" t="s">
        <v>6192</v>
      </c>
      <c r="F4189" s="210" t="s">
        <v>10600</v>
      </c>
      <c r="G4189" s="58" t="s">
        <v>10593</v>
      </c>
      <c r="H4189" s="546">
        <v>7000</v>
      </c>
      <c r="I4189" s="66">
        <v>45035</v>
      </c>
      <c r="J4189" s="411" t="s">
        <v>10594</v>
      </c>
      <c r="K4189" s="58"/>
      <c r="L4189" s="99"/>
      <c r="M4189" s="379"/>
      <c r="N4189" s="76"/>
      <c r="O4189" s="58" t="s">
        <v>147</v>
      </c>
      <c r="P4189" s="58" t="s">
        <v>40</v>
      </c>
      <c r="Q4189" s="58" t="s">
        <v>84</v>
      </c>
      <c r="R4189" s="58" t="s">
        <v>272</v>
      </c>
    </row>
    <row r="4190" spans="1:18" ht="69" customHeight="1">
      <c r="A4190" s="168"/>
      <c r="B4190" s="178">
        <v>9787</v>
      </c>
      <c r="C4190" s="59" t="s">
        <v>3667</v>
      </c>
      <c r="D4190" s="575" t="s">
        <v>10599</v>
      </c>
      <c r="E4190" s="178" t="s">
        <v>6192</v>
      </c>
      <c r="F4190" s="210" t="s">
        <v>10600</v>
      </c>
      <c r="G4190" s="58" t="s">
        <v>10593</v>
      </c>
      <c r="H4190" s="546">
        <v>7000</v>
      </c>
      <c r="I4190" s="66">
        <v>45035</v>
      </c>
      <c r="J4190" s="411" t="s">
        <v>10594</v>
      </c>
      <c r="K4190" s="58"/>
      <c r="L4190" s="99"/>
      <c r="M4190" s="379"/>
      <c r="N4190" s="76"/>
      <c r="O4190" s="58" t="s">
        <v>147</v>
      </c>
      <c r="P4190" s="58" t="s">
        <v>40</v>
      </c>
      <c r="Q4190" s="58" t="s">
        <v>82</v>
      </c>
      <c r="R4190" s="58" t="s">
        <v>272</v>
      </c>
    </row>
    <row r="4191" spans="1:18" ht="69" customHeight="1">
      <c r="A4191" s="168"/>
      <c r="B4191" s="178">
        <v>9787</v>
      </c>
      <c r="C4191" s="59" t="s">
        <v>3667</v>
      </c>
      <c r="D4191" s="575" t="s">
        <v>10599</v>
      </c>
      <c r="E4191" s="178" t="s">
        <v>6192</v>
      </c>
      <c r="F4191" s="210" t="s">
        <v>10600</v>
      </c>
      <c r="G4191" s="58" t="s">
        <v>10593</v>
      </c>
      <c r="H4191" s="546">
        <v>7000</v>
      </c>
      <c r="I4191" s="66">
        <v>45035</v>
      </c>
      <c r="J4191" s="411" t="s">
        <v>10594</v>
      </c>
      <c r="K4191" s="58"/>
      <c r="L4191" s="99"/>
      <c r="M4191" s="379"/>
      <c r="N4191" s="76"/>
      <c r="O4191" s="58" t="s">
        <v>147</v>
      </c>
      <c r="P4191" s="58" t="s">
        <v>40</v>
      </c>
      <c r="Q4191" s="58" t="s">
        <v>80</v>
      </c>
      <c r="R4191" s="58" t="s">
        <v>272</v>
      </c>
    </row>
    <row r="4192" spans="1:18" ht="69" customHeight="1">
      <c r="A4192" s="168"/>
      <c r="B4192" s="178">
        <v>9787</v>
      </c>
      <c r="C4192" s="59" t="s">
        <v>3667</v>
      </c>
      <c r="D4192" s="575" t="s">
        <v>10599</v>
      </c>
      <c r="E4192" s="178" t="s">
        <v>6192</v>
      </c>
      <c r="F4192" s="210" t="s">
        <v>10600</v>
      </c>
      <c r="G4192" s="58" t="s">
        <v>10593</v>
      </c>
      <c r="H4192" s="546">
        <v>10500</v>
      </c>
      <c r="I4192" s="66">
        <v>45035</v>
      </c>
      <c r="J4192" s="411" t="s">
        <v>10594</v>
      </c>
      <c r="K4192" s="58"/>
      <c r="L4192" s="99"/>
      <c r="M4192" s="379"/>
      <c r="N4192" s="76"/>
      <c r="O4192" s="58" t="s">
        <v>147</v>
      </c>
      <c r="P4192" s="58" t="s">
        <v>40</v>
      </c>
      <c r="Q4192" s="58" t="s">
        <v>70</v>
      </c>
      <c r="R4192" s="58" t="s">
        <v>272</v>
      </c>
    </row>
    <row r="4193" spans="1:18" ht="69" customHeight="1">
      <c r="A4193" s="168"/>
      <c r="B4193" s="178">
        <v>9787</v>
      </c>
      <c r="C4193" s="59" t="s">
        <v>3667</v>
      </c>
      <c r="D4193" s="575" t="s">
        <v>10599</v>
      </c>
      <c r="E4193" s="178" t="s">
        <v>6192</v>
      </c>
      <c r="F4193" s="210" t="s">
        <v>10600</v>
      </c>
      <c r="G4193" s="58" t="s">
        <v>10593</v>
      </c>
      <c r="H4193" s="546">
        <v>28000</v>
      </c>
      <c r="I4193" s="66">
        <v>45035</v>
      </c>
      <c r="J4193" s="411" t="s">
        <v>10594</v>
      </c>
      <c r="K4193" s="58"/>
      <c r="L4193" s="99"/>
      <c r="M4193" s="379"/>
      <c r="N4193" s="76"/>
      <c r="O4193" s="58" t="s">
        <v>147</v>
      </c>
      <c r="P4193" s="58" t="s">
        <v>40</v>
      </c>
      <c r="Q4193" s="58" t="s">
        <v>68</v>
      </c>
      <c r="R4193" s="58" t="s">
        <v>272</v>
      </c>
    </row>
    <row r="4194" spans="1:18" ht="69" customHeight="1">
      <c r="A4194" s="168"/>
      <c r="B4194" s="178">
        <v>9787</v>
      </c>
      <c r="C4194" s="59" t="s">
        <v>3667</v>
      </c>
      <c r="D4194" s="575" t="s">
        <v>10599</v>
      </c>
      <c r="E4194" s="178" t="s">
        <v>6192</v>
      </c>
      <c r="F4194" s="210" t="s">
        <v>10600</v>
      </c>
      <c r="G4194" s="58" t="s">
        <v>10593</v>
      </c>
      <c r="H4194" s="546">
        <v>24500</v>
      </c>
      <c r="I4194" s="66">
        <v>45035</v>
      </c>
      <c r="J4194" s="411" t="s">
        <v>10594</v>
      </c>
      <c r="K4194" s="58"/>
      <c r="L4194" s="99"/>
      <c r="M4194" s="379"/>
      <c r="N4194" s="76"/>
      <c r="O4194" s="58" t="s">
        <v>147</v>
      </c>
      <c r="P4194" s="58" t="s">
        <v>40</v>
      </c>
      <c r="Q4194" s="58" t="s">
        <v>66</v>
      </c>
      <c r="R4194" s="58" t="s">
        <v>272</v>
      </c>
    </row>
    <row r="4195" spans="1:18" ht="69" customHeight="1">
      <c r="A4195" s="168"/>
      <c r="B4195" s="178">
        <v>9787</v>
      </c>
      <c r="C4195" s="59" t="s">
        <v>3667</v>
      </c>
      <c r="D4195" s="575" t="s">
        <v>10599</v>
      </c>
      <c r="E4195" s="178" t="s">
        <v>6192</v>
      </c>
      <c r="F4195" s="210" t="s">
        <v>10600</v>
      </c>
      <c r="G4195" s="58" t="s">
        <v>10593</v>
      </c>
      <c r="H4195" s="546">
        <v>7000</v>
      </c>
      <c r="I4195" s="66">
        <v>45035</v>
      </c>
      <c r="J4195" s="411" t="s">
        <v>10594</v>
      </c>
      <c r="K4195" s="58"/>
      <c r="L4195" s="99"/>
      <c r="M4195" s="379"/>
      <c r="N4195" s="76" t="s">
        <v>6197</v>
      </c>
      <c r="O4195" s="58" t="s">
        <v>147</v>
      </c>
      <c r="P4195" s="58" t="s">
        <v>42</v>
      </c>
      <c r="Q4195" s="58" t="s">
        <v>64</v>
      </c>
      <c r="R4195" s="58" t="s">
        <v>272</v>
      </c>
    </row>
    <row r="4196" spans="1:18" s="98" customFormat="1" ht="69" customHeight="1">
      <c r="A4196" s="169"/>
      <c r="B4196" s="59">
        <v>9809</v>
      </c>
      <c r="C4196" s="59" t="s">
        <v>5832</v>
      </c>
      <c r="D4196" s="581" t="s">
        <v>10601</v>
      </c>
      <c r="E4196" s="59" t="s">
        <v>10602</v>
      </c>
      <c r="F4196" s="569" t="s">
        <v>10603</v>
      </c>
      <c r="G4196" s="45" t="s">
        <v>10604</v>
      </c>
      <c r="H4196" s="546">
        <v>411482.23</v>
      </c>
      <c r="I4196" s="47">
        <v>45035</v>
      </c>
      <c r="J4196" s="410" t="s">
        <v>10605</v>
      </c>
      <c r="K4196" s="45"/>
      <c r="M4196" s="385" t="s">
        <v>10606</v>
      </c>
      <c r="N4196" s="75" t="s">
        <v>6197</v>
      </c>
      <c r="O4196" s="45" t="s">
        <v>10607</v>
      </c>
      <c r="P4196" s="45" t="s">
        <v>22</v>
      </c>
      <c r="Q4196" s="45" t="s">
        <v>68</v>
      </c>
      <c r="R4196" s="45" t="s">
        <v>272</v>
      </c>
    </row>
    <row r="4197" spans="1:18" s="98" customFormat="1" ht="69" customHeight="1">
      <c r="A4197" s="169"/>
      <c r="B4197" s="59">
        <v>9810</v>
      </c>
      <c r="C4197" s="44" t="s">
        <v>10608</v>
      </c>
      <c r="D4197" s="581" t="s">
        <v>10609</v>
      </c>
      <c r="E4197" s="59" t="s">
        <v>10602</v>
      </c>
      <c r="F4197" s="569" t="s">
        <v>10610</v>
      </c>
      <c r="G4197" s="45" t="s">
        <v>10604</v>
      </c>
      <c r="H4197" s="546">
        <v>411482.23</v>
      </c>
      <c r="I4197" s="47">
        <v>45035</v>
      </c>
      <c r="J4197" s="410" t="s">
        <v>10605</v>
      </c>
      <c r="K4197" s="45"/>
      <c r="M4197" s="385" t="s">
        <v>10611</v>
      </c>
      <c r="N4197" s="75" t="s">
        <v>6197</v>
      </c>
      <c r="O4197" s="45" t="s">
        <v>10607</v>
      </c>
      <c r="P4197" s="45" t="s">
        <v>22</v>
      </c>
      <c r="Q4197" s="45" t="s">
        <v>70</v>
      </c>
      <c r="R4197" s="45" t="s">
        <v>272</v>
      </c>
    </row>
    <row r="4198" spans="1:18" s="98" customFormat="1" ht="69" customHeight="1">
      <c r="A4198" s="169"/>
      <c r="B4198" s="59">
        <v>9811</v>
      </c>
      <c r="C4198" s="59" t="s">
        <v>10612</v>
      </c>
      <c r="D4198" s="581" t="s">
        <v>10613</v>
      </c>
      <c r="E4198" s="59" t="s">
        <v>10602</v>
      </c>
      <c r="F4198" s="569" t="s">
        <v>10614</v>
      </c>
      <c r="G4198" s="45" t="s">
        <v>10615</v>
      </c>
      <c r="H4198" s="546">
        <v>423327.82</v>
      </c>
      <c r="I4198" s="47">
        <v>45035</v>
      </c>
      <c r="J4198" s="410" t="s">
        <v>10605</v>
      </c>
      <c r="K4198" s="45"/>
      <c r="M4198" s="385" t="s">
        <v>10616</v>
      </c>
      <c r="N4198" s="75" t="s">
        <v>6197</v>
      </c>
      <c r="O4198" s="45" t="s">
        <v>10607</v>
      </c>
      <c r="P4198" s="45" t="s">
        <v>22</v>
      </c>
      <c r="Q4198" s="45" t="s">
        <v>86</v>
      </c>
      <c r="R4198" s="45" t="s">
        <v>272</v>
      </c>
    </row>
    <row r="4199" spans="1:18" ht="69" customHeight="1">
      <c r="A4199" s="168"/>
      <c r="B4199" s="59">
        <v>9812</v>
      </c>
      <c r="C4199" s="59" t="s">
        <v>9545</v>
      </c>
      <c r="D4199" s="581" t="s">
        <v>10617</v>
      </c>
      <c r="E4199" s="59" t="s">
        <v>10602</v>
      </c>
      <c r="F4199" s="569" t="s">
        <v>10618</v>
      </c>
      <c r="G4199" s="45" t="s">
        <v>10619</v>
      </c>
      <c r="H4199" s="546">
        <v>450687.95</v>
      </c>
      <c r="I4199" s="47">
        <v>45035</v>
      </c>
      <c r="J4199" s="410" t="s">
        <v>10605</v>
      </c>
      <c r="K4199" s="45">
        <v>450687.05</v>
      </c>
      <c r="L4199" s="99"/>
      <c r="M4199" s="70" t="s">
        <v>10620</v>
      </c>
      <c r="N4199" s="97" t="s">
        <v>6197</v>
      </c>
      <c r="O4199" s="45" t="s">
        <v>10607</v>
      </c>
      <c r="P4199" s="58" t="s">
        <v>22</v>
      </c>
      <c r="Q4199" s="58" t="s">
        <v>117</v>
      </c>
      <c r="R4199" s="58" t="s">
        <v>272</v>
      </c>
    </row>
    <row r="4200" spans="1:18" ht="69" customHeight="1">
      <c r="A4200" s="168"/>
      <c r="B4200" s="59">
        <v>9813</v>
      </c>
      <c r="C4200" s="59" t="s">
        <v>10621</v>
      </c>
      <c r="D4200" s="581" t="s">
        <v>10622</v>
      </c>
      <c r="E4200" s="59" t="s">
        <v>10602</v>
      </c>
      <c r="F4200" s="569" t="s">
        <v>10623</v>
      </c>
      <c r="G4200" s="45" t="s">
        <v>10624</v>
      </c>
      <c r="H4200" s="546">
        <v>489821.45</v>
      </c>
      <c r="I4200" s="47">
        <v>45035</v>
      </c>
      <c r="J4200" s="410" t="s">
        <v>10605</v>
      </c>
      <c r="K4200" s="45"/>
      <c r="L4200" s="99"/>
      <c r="M4200" s="70" t="s">
        <v>10625</v>
      </c>
      <c r="N4200" s="97" t="s">
        <v>6197</v>
      </c>
      <c r="O4200" s="45" t="s">
        <v>10607</v>
      </c>
      <c r="P4200" s="58" t="s">
        <v>22</v>
      </c>
      <c r="Q4200" s="58" t="s">
        <v>66</v>
      </c>
      <c r="R4200" s="58" t="s">
        <v>272</v>
      </c>
    </row>
    <row r="4201" spans="1:18" ht="69" customHeight="1">
      <c r="A4201" s="168"/>
      <c r="B4201" s="59">
        <v>9814</v>
      </c>
      <c r="C4201" s="59" t="s">
        <v>9004</v>
      </c>
      <c r="D4201" s="581" t="s">
        <v>8375</v>
      </c>
      <c r="E4201" s="59" t="s">
        <v>10602</v>
      </c>
      <c r="F4201" s="569" t="s">
        <v>10626</v>
      </c>
      <c r="G4201" s="45" t="s">
        <v>10627</v>
      </c>
      <c r="H4201" s="546">
        <v>557734.25</v>
      </c>
      <c r="I4201" s="47">
        <v>45035</v>
      </c>
      <c r="J4201" s="410" t="s">
        <v>10605</v>
      </c>
      <c r="K4201" s="45" t="s">
        <v>10628</v>
      </c>
      <c r="L4201" s="99"/>
      <c r="M4201" s="70" t="s">
        <v>10629</v>
      </c>
      <c r="N4201" s="97" t="s">
        <v>6197</v>
      </c>
      <c r="O4201" s="45" t="s">
        <v>10607</v>
      </c>
      <c r="P4201" s="58" t="s">
        <v>22</v>
      </c>
      <c r="Q4201" s="58" t="s">
        <v>111</v>
      </c>
      <c r="R4201" s="58" t="s">
        <v>272</v>
      </c>
    </row>
    <row r="4202" spans="1:18" s="98" customFormat="1" ht="69" customHeight="1">
      <c r="A4202" s="169"/>
      <c r="B4202" s="59">
        <v>9815</v>
      </c>
      <c r="C4202" s="59" t="s">
        <v>6888</v>
      </c>
      <c r="D4202" s="581" t="s">
        <v>10630</v>
      </c>
      <c r="E4202" s="59" t="s">
        <v>10602</v>
      </c>
      <c r="F4202" s="569" t="s">
        <v>10631</v>
      </c>
      <c r="G4202" s="45" t="s">
        <v>10632</v>
      </c>
      <c r="H4202" s="546">
        <v>546491.67000000004</v>
      </c>
      <c r="I4202" s="47">
        <v>45035</v>
      </c>
      <c r="J4202" s="410" t="s">
        <v>10605</v>
      </c>
      <c r="K4202" s="45" t="s">
        <v>10628</v>
      </c>
      <c r="M4202" s="385" t="s">
        <v>10633</v>
      </c>
      <c r="N4202" s="75" t="s">
        <v>6197</v>
      </c>
      <c r="O4202" s="45" t="s">
        <v>10607</v>
      </c>
      <c r="P4202" s="45" t="s">
        <v>22</v>
      </c>
      <c r="Q4202" s="45" t="s">
        <v>84</v>
      </c>
      <c r="R4202" s="45" t="s">
        <v>272</v>
      </c>
    </row>
    <row r="4203" spans="1:18" s="98" customFormat="1" ht="69" customHeight="1">
      <c r="A4203" s="169"/>
      <c r="B4203" s="59">
        <v>9816</v>
      </c>
      <c r="C4203" s="59" t="s">
        <v>10634</v>
      </c>
      <c r="D4203" s="581" t="s">
        <v>10635</v>
      </c>
      <c r="E4203" s="59" t="s">
        <v>10602</v>
      </c>
      <c r="F4203" s="569" t="s">
        <v>10636</v>
      </c>
      <c r="G4203" s="45" t="s">
        <v>10637</v>
      </c>
      <c r="H4203" s="546">
        <v>441473.2</v>
      </c>
      <c r="I4203" s="47">
        <v>45040</v>
      </c>
      <c r="J4203" s="410" t="s">
        <v>10605</v>
      </c>
      <c r="K4203" s="45" t="s">
        <v>10628</v>
      </c>
      <c r="M4203" s="385" t="s">
        <v>10638</v>
      </c>
      <c r="N4203" s="75" t="s">
        <v>6197</v>
      </c>
      <c r="O4203" s="45" t="s">
        <v>10607</v>
      </c>
      <c r="P4203" s="45" t="s">
        <v>22</v>
      </c>
      <c r="Q4203" s="45" t="s">
        <v>93</v>
      </c>
      <c r="R4203" s="45" t="s">
        <v>272</v>
      </c>
    </row>
    <row r="4204" spans="1:18" s="98" customFormat="1" ht="69" customHeight="1">
      <c r="A4204" s="169"/>
      <c r="B4204" s="59">
        <v>9817</v>
      </c>
      <c r="C4204" s="59" t="s">
        <v>10639</v>
      </c>
      <c r="D4204" s="581" t="s">
        <v>10640</v>
      </c>
      <c r="E4204" s="59" t="s">
        <v>10602</v>
      </c>
      <c r="F4204" s="569" t="s">
        <v>10641</v>
      </c>
      <c r="G4204" s="45" t="s">
        <v>10642</v>
      </c>
      <c r="H4204" s="546">
        <v>441473.2</v>
      </c>
      <c r="I4204" s="47">
        <v>45040</v>
      </c>
      <c r="J4204" s="410" t="s">
        <v>10605</v>
      </c>
      <c r="K4204" s="45" t="s">
        <v>10628</v>
      </c>
      <c r="M4204" s="385" t="s">
        <v>10643</v>
      </c>
      <c r="N4204" s="75" t="s">
        <v>6197</v>
      </c>
      <c r="O4204" s="45" t="s">
        <v>10607</v>
      </c>
      <c r="P4204" s="45" t="s">
        <v>22</v>
      </c>
      <c r="Q4204" s="45" t="s">
        <v>95</v>
      </c>
      <c r="R4204" s="45" t="s">
        <v>272</v>
      </c>
    </row>
    <row r="4205" spans="1:18" ht="69" customHeight="1">
      <c r="A4205" s="168"/>
      <c r="B4205" s="191">
        <v>9970</v>
      </c>
      <c r="C4205" s="191" t="s">
        <v>458</v>
      </c>
      <c r="D4205" s="533" t="s">
        <v>2658</v>
      </c>
      <c r="E4205" s="191" t="s">
        <v>10644</v>
      </c>
      <c r="F4205" s="211" t="s">
        <v>10645</v>
      </c>
      <c r="G4205" s="46" t="s">
        <v>10646</v>
      </c>
      <c r="H4205" s="534">
        <v>4000</v>
      </c>
      <c r="I4205" s="56">
        <v>45061</v>
      </c>
      <c r="J4205" s="412" t="s">
        <v>10647</v>
      </c>
      <c r="K4205" s="46" t="s">
        <v>10648</v>
      </c>
      <c r="L4205" s="99"/>
      <c r="M4205" s="70" t="s">
        <v>8308</v>
      </c>
      <c r="N4205" s="97" t="s">
        <v>414</v>
      </c>
      <c r="O4205" s="46"/>
      <c r="P4205" s="46" t="s">
        <v>65</v>
      </c>
      <c r="Q4205" s="46" t="s">
        <v>107</v>
      </c>
      <c r="R4205" s="46" t="s">
        <v>272</v>
      </c>
    </row>
    <row r="4206" spans="1:18" ht="69" customHeight="1">
      <c r="A4206" s="168"/>
      <c r="B4206" s="178">
        <v>9971</v>
      </c>
      <c r="C4206" s="178" t="s">
        <v>458</v>
      </c>
      <c r="D4206" s="575" t="s">
        <v>2887</v>
      </c>
      <c r="E4206" s="178" t="s">
        <v>4651</v>
      </c>
      <c r="F4206" s="210" t="s">
        <v>10649</v>
      </c>
      <c r="G4206" s="58" t="s">
        <v>10650</v>
      </c>
      <c r="H4206" s="546">
        <v>131600</v>
      </c>
      <c r="I4206" s="66">
        <v>45051</v>
      </c>
      <c r="J4206" s="411" t="s">
        <v>10651</v>
      </c>
      <c r="K4206" s="58" t="s">
        <v>10652</v>
      </c>
      <c r="L4206" s="99"/>
      <c r="M4206" s="70" t="s">
        <v>8378</v>
      </c>
      <c r="N4206" s="97" t="s">
        <v>356</v>
      </c>
      <c r="O4206" s="58" t="s">
        <v>141</v>
      </c>
      <c r="P4206" s="58" t="s">
        <v>19</v>
      </c>
      <c r="Q4206" s="58" t="s">
        <v>107</v>
      </c>
      <c r="R4206" s="58" t="s">
        <v>265</v>
      </c>
    </row>
    <row r="4207" spans="1:18" ht="69" customHeight="1">
      <c r="A4207" s="168"/>
      <c r="B4207" s="178">
        <v>9972</v>
      </c>
      <c r="C4207" s="178" t="s">
        <v>458</v>
      </c>
      <c r="D4207" s="575" t="s">
        <v>3328</v>
      </c>
      <c r="E4207" s="178" t="s">
        <v>350</v>
      </c>
      <c r="F4207" s="210" t="s">
        <v>10653</v>
      </c>
      <c r="G4207" s="58" t="s">
        <v>10650</v>
      </c>
      <c r="H4207" s="546">
        <v>131600</v>
      </c>
      <c r="I4207" s="66">
        <v>45051</v>
      </c>
      <c r="J4207" s="411" t="s">
        <v>10651</v>
      </c>
      <c r="K4207" s="58" t="s">
        <v>10652</v>
      </c>
      <c r="L4207" s="99"/>
      <c r="M4207" s="70" t="s">
        <v>7996</v>
      </c>
      <c r="N4207" s="97" t="s">
        <v>356</v>
      </c>
      <c r="O4207" s="58" t="s">
        <v>141</v>
      </c>
      <c r="P4207" s="58" t="s">
        <v>19</v>
      </c>
      <c r="Q4207" s="58" t="s">
        <v>105</v>
      </c>
      <c r="R4207" s="58" t="s">
        <v>265</v>
      </c>
    </row>
    <row r="4208" spans="1:18" ht="69" customHeight="1">
      <c r="A4208" s="168"/>
      <c r="B4208" s="178">
        <v>9973</v>
      </c>
      <c r="C4208" s="178" t="s">
        <v>458</v>
      </c>
      <c r="D4208" s="575" t="s">
        <v>3871</v>
      </c>
      <c r="E4208" s="178" t="s">
        <v>350</v>
      </c>
      <c r="F4208" s="210" t="s">
        <v>10654</v>
      </c>
      <c r="G4208" s="58" t="s">
        <v>10650</v>
      </c>
      <c r="H4208" s="546">
        <v>131600</v>
      </c>
      <c r="I4208" s="66">
        <v>45051</v>
      </c>
      <c r="J4208" s="411" t="s">
        <v>10651</v>
      </c>
      <c r="K4208" s="58" t="s">
        <v>10652</v>
      </c>
      <c r="L4208" s="99"/>
      <c r="M4208" s="70" t="s">
        <v>9499</v>
      </c>
      <c r="N4208" s="97" t="s">
        <v>356</v>
      </c>
      <c r="O4208" s="58" t="s">
        <v>141</v>
      </c>
      <c r="P4208" s="58" t="s">
        <v>19</v>
      </c>
      <c r="Q4208" s="58" t="s">
        <v>117</v>
      </c>
      <c r="R4208" s="58" t="s">
        <v>265</v>
      </c>
    </row>
    <row r="4209" spans="1:18" ht="69" customHeight="1">
      <c r="A4209" s="168"/>
      <c r="B4209" s="178">
        <v>9974</v>
      </c>
      <c r="C4209" s="178" t="s">
        <v>657</v>
      </c>
      <c r="D4209" s="575" t="s">
        <v>3395</v>
      </c>
      <c r="E4209" s="178" t="s">
        <v>350</v>
      </c>
      <c r="F4209" s="210" t="s">
        <v>10655</v>
      </c>
      <c r="G4209" s="58" t="s">
        <v>10650</v>
      </c>
      <c r="H4209" s="546">
        <v>131600</v>
      </c>
      <c r="I4209" s="66">
        <v>45051</v>
      </c>
      <c r="J4209" s="411" t="s">
        <v>10651</v>
      </c>
      <c r="K4209" s="58" t="s">
        <v>10652</v>
      </c>
      <c r="L4209" s="99"/>
      <c r="M4209" s="70" t="s">
        <v>7083</v>
      </c>
      <c r="N4209" s="97" t="s">
        <v>356</v>
      </c>
      <c r="O4209" s="58" t="s">
        <v>141</v>
      </c>
      <c r="P4209" s="58" t="s">
        <v>19</v>
      </c>
      <c r="Q4209" s="58" t="s">
        <v>97</v>
      </c>
      <c r="R4209" s="58" t="s">
        <v>265</v>
      </c>
    </row>
    <row r="4210" spans="1:18" ht="69" customHeight="1">
      <c r="A4210" s="168"/>
      <c r="B4210" s="178">
        <v>9975</v>
      </c>
      <c r="C4210" s="178" t="s">
        <v>657</v>
      </c>
      <c r="D4210" s="575" t="s">
        <v>4998</v>
      </c>
      <c r="E4210" s="178" t="s">
        <v>350</v>
      </c>
      <c r="F4210" s="210" t="s">
        <v>10656</v>
      </c>
      <c r="G4210" s="58" t="s">
        <v>10650</v>
      </c>
      <c r="H4210" s="546">
        <v>131600</v>
      </c>
      <c r="I4210" s="66">
        <v>45051</v>
      </c>
      <c r="J4210" s="411" t="s">
        <v>10651</v>
      </c>
      <c r="K4210" s="58" t="s">
        <v>10652</v>
      </c>
      <c r="L4210" s="99"/>
      <c r="M4210" s="70" t="s">
        <v>7807</v>
      </c>
      <c r="N4210" s="97" t="s">
        <v>356</v>
      </c>
      <c r="O4210" s="58" t="s">
        <v>141</v>
      </c>
      <c r="P4210" s="58" t="s">
        <v>19</v>
      </c>
      <c r="Q4210" s="58" t="s">
        <v>104</v>
      </c>
      <c r="R4210" s="58" t="s">
        <v>265</v>
      </c>
    </row>
    <row r="4211" spans="1:18" ht="69" customHeight="1">
      <c r="A4211" s="168"/>
      <c r="B4211" s="207">
        <v>9976</v>
      </c>
      <c r="C4211" s="207" t="s">
        <v>3647</v>
      </c>
      <c r="D4211" s="301" t="s">
        <v>10657</v>
      </c>
      <c r="E4211" s="207" t="s">
        <v>3833</v>
      </c>
      <c r="F4211" s="208" t="s">
        <v>10658</v>
      </c>
      <c r="G4211" s="160" t="s">
        <v>10659</v>
      </c>
      <c r="H4211" s="300">
        <v>41433</v>
      </c>
      <c r="I4211" s="209">
        <v>45061</v>
      </c>
      <c r="J4211" s="322" t="s">
        <v>10660</v>
      </c>
      <c r="K4211" s="160" t="s">
        <v>4128</v>
      </c>
      <c r="M4211" s="379"/>
      <c r="N4211" s="76" t="s">
        <v>6197</v>
      </c>
      <c r="O4211" s="160"/>
      <c r="P4211" s="160" t="s">
        <v>67</v>
      </c>
      <c r="Q4211" s="160" t="s">
        <v>52</v>
      </c>
      <c r="R4211" s="160" t="s">
        <v>272</v>
      </c>
    </row>
    <row r="4212" spans="1:18" ht="69" customHeight="1">
      <c r="A4212" s="168"/>
      <c r="B4212" s="207">
        <v>9977</v>
      </c>
      <c r="C4212" s="207" t="s">
        <v>4277</v>
      </c>
      <c r="D4212" s="301" t="s">
        <v>10661</v>
      </c>
      <c r="E4212" s="207" t="s">
        <v>10662</v>
      </c>
      <c r="F4212" s="208" t="s">
        <v>10663</v>
      </c>
      <c r="G4212" s="160" t="s">
        <v>10659</v>
      </c>
      <c r="H4212" s="300">
        <v>30364</v>
      </c>
      <c r="I4212" s="209">
        <v>45066</v>
      </c>
      <c r="J4212" s="322" t="s">
        <v>10664</v>
      </c>
      <c r="K4212" s="160" t="s">
        <v>4128</v>
      </c>
      <c r="M4212" s="379"/>
      <c r="N4212" s="76" t="s">
        <v>356</v>
      </c>
      <c r="O4212" s="160" t="s">
        <v>141</v>
      </c>
      <c r="P4212" s="160" t="s">
        <v>67</v>
      </c>
      <c r="Q4212" s="160" t="s">
        <v>56</v>
      </c>
      <c r="R4212" s="160" t="s">
        <v>272</v>
      </c>
    </row>
    <row r="4213" spans="1:18" ht="69" customHeight="1">
      <c r="A4213" s="168"/>
      <c r="B4213" s="207">
        <v>9978</v>
      </c>
      <c r="C4213" s="207" t="s">
        <v>4277</v>
      </c>
      <c r="D4213" s="301" t="s">
        <v>10665</v>
      </c>
      <c r="E4213" s="207" t="s">
        <v>10662</v>
      </c>
      <c r="F4213" s="208" t="s">
        <v>10666</v>
      </c>
      <c r="G4213" s="160" t="s">
        <v>10659</v>
      </c>
      <c r="H4213" s="300">
        <v>28650</v>
      </c>
      <c r="I4213" s="209">
        <v>45066</v>
      </c>
      <c r="J4213" s="322" t="s">
        <v>10664</v>
      </c>
      <c r="K4213" s="160" t="s">
        <v>4128</v>
      </c>
      <c r="M4213" s="379"/>
      <c r="N4213" s="76" t="s">
        <v>356</v>
      </c>
      <c r="O4213" s="160" t="s">
        <v>141</v>
      </c>
      <c r="P4213" s="160" t="s">
        <v>67</v>
      </c>
      <c r="Q4213" s="160" t="s">
        <v>56</v>
      </c>
      <c r="R4213" s="160" t="s">
        <v>272</v>
      </c>
    </row>
    <row r="4214" spans="1:18" ht="69" customHeight="1">
      <c r="A4214" s="168"/>
      <c r="B4214" s="207">
        <v>9979</v>
      </c>
      <c r="C4214" s="207" t="s">
        <v>4277</v>
      </c>
      <c r="D4214" s="301" t="s">
        <v>10667</v>
      </c>
      <c r="E4214" s="207" t="s">
        <v>10662</v>
      </c>
      <c r="F4214" s="208" t="s">
        <v>10668</v>
      </c>
      <c r="G4214" s="160" t="s">
        <v>10659</v>
      </c>
      <c r="H4214" s="300">
        <v>29348</v>
      </c>
      <c r="I4214" s="209">
        <v>45066</v>
      </c>
      <c r="J4214" s="322" t="s">
        <v>10664</v>
      </c>
      <c r="K4214" s="160" t="s">
        <v>4128</v>
      </c>
      <c r="M4214" s="379"/>
      <c r="N4214" s="76" t="s">
        <v>356</v>
      </c>
      <c r="O4214" s="160" t="s">
        <v>141</v>
      </c>
      <c r="P4214" s="160" t="s">
        <v>67</v>
      </c>
      <c r="Q4214" s="160" t="s">
        <v>56</v>
      </c>
      <c r="R4214" s="160" t="s">
        <v>272</v>
      </c>
    </row>
    <row r="4215" spans="1:18" ht="69" customHeight="1">
      <c r="A4215" s="168"/>
      <c r="B4215" s="207">
        <v>9980</v>
      </c>
      <c r="C4215" s="207" t="s">
        <v>4277</v>
      </c>
      <c r="D4215" s="301" t="s">
        <v>10669</v>
      </c>
      <c r="E4215" s="207" t="s">
        <v>10662</v>
      </c>
      <c r="F4215" s="208" t="s">
        <v>10670</v>
      </c>
      <c r="G4215" s="160" t="s">
        <v>10659</v>
      </c>
      <c r="H4215" s="300">
        <v>50710</v>
      </c>
      <c r="I4215" s="209">
        <v>45066</v>
      </c>
      <c r="J4215" s="322" t="s">
        <v>10664</v>
      </c>
      <c r="K4215" s="160" t="s">
        <v>4128</v>
      </c>
      <c r="M4215" s="379"/>
      <c r="N4215" s="76" t="s">
        <v>356</v>
      </c>
      <c r="O4215" s="160" t="s">
        <v>141</v>
      </c>
      <c r="P4215" s="160" t="s">
        <v>67</v>
      </c>
      <c r="Q4215" s="160" t="s">
        <v>56</v>
      </c>
      <c r="R4215" s="160" t="s">
        <v>272</v>
      </c>
    </row>
    <row r="4216" spans="1:18" ht="69" customHeight="1">
      <c r="A4216" s="168"/>
      <c r="B4216" s="207">
        <v>9981</v>
      </c>
      <c r="C4216" s="207" t="s">
        <v>309</v>
      </c>
      <c r="D4216" s="301" t="s">
        <v>3917</v>
      </c>
      <c r="E4216" s="207" t="s">
        <v>10671</v>
      </c>
      <c r="F4216" s="208" t="s">
        <v>10672</v>
      </c>
      <c r="G4216" s="160" t="s">
        <v>10659</v>
      </c>
      <c r="H4216" s="300">
        <v>20664.62</v>
      </c>
      <c r="I4216" s="209">
        <v>45066</v>
      </c>
      <c r="J4216" s="322" t="s">
        <v>10673</v>
      </c>
      <c r="K4216" s="160" t="s">
        <v>4128</v>
      </c>
      <c r="M4216" s="379"/>
      <c r="N4216" s="76" t="s">
        <v>387</v>
      </c>
      <c r="O4216" s="160"/>
      <c r="P4216" s="160" t="s">
        <v>67</v>
      </c>
      <c r="Q4216" s="160" t="s">
        <v>20</v>
      </c>
      <c r="R4216" s="160" t="s">
        <v>272</v>
      </c>
    </row>
    <row r="4217" spans="1:18" ht="69" customHeight="1">
      <c r="A4217" s="168"/>
      <c r="B4217" s="207">
        <v>9982</v>
      </c>
      <c r="C4217" s="207" t="s">
        <v>309</v>
      </c>
      <c r="D4217" s="301" t="s">
        <v>3921</v>
      </c>
      <c r="E4217" s="207" t="s">
        <v>10671</v>
      </c>
      <c r="F4217" s="208" t="s">
        <v>10674</v>
      </c>
      <c r="G4217" s="160" t="s">
        <v>10659</v>
      </c>
      <c r="H4217" s="300">
        <v>16783.97</v>
      </c>
      <c r="I4217" s="209">
        <v>45066</v>
      </c>
      <c r="J4217" s="322" t="s">
        <v>10673</v>
      </c>
      <c r="K4217" s="160" t="s">
        <v>4128</v>
      </c>
      <c r="M4217" s="379"/>
      <c r="N4217" s="76" t="s">
        <v>387</v>
      </c>
      <c r="O4217" s="160"/>
      <c r="P4217" s="160" t="s">
        <v>67</v>
      </c>
      <c r="Q4217" s="160" t="s">
        <v>20</v>
      </c>
      <c r="R4217" s="160" t="s">
        <v>272</v>
      </c>
    </row>
    <row r="4218" spans="1:18" ht="69" customHeight="1">
      <c r="A4218" s="168"/>
      <c r="B4218" s="207">
        <v>9983</v>
      </c>
      <c r="C4218" s="207" t="s">
        <v>458</v>
      </c>
      <c r="D4218" s="301" t="s">
        <v>2165</v>
      </c>
      <c r="E4218" s="207" t="s">
        <v>10671</v>
      </c>
      <c r="F4218" s="208" t="s">
        <v>10675</v>
      </c>
      <c r="G4218" s="160" t="s">
        <v>10659</v>
      </c>
      <c r="H4218" s="300">
        <v>25295.05</v>
      </c>
      <c r="I4218" s="209">
        <v>45066</v>
      </c>
      <c r="J4218" s="322" t="s">
        <v>10673</v>
      </c>
      <c r="K4218" s="160" t="s">
        <v>4128</v>
      </c>
      <c r="M4218" s="379"/>
      <c r="N4218" s="76" t="s">
        <v>387</v>
      </c>
      <c r="O4218" s="160"/>
      <c r="P4218" s="160" t="s">
        <v>67</v>
      </c>
      <c r="Q4218" s="160" t="s">
        <v>119</v>
      </c>
      <c r="R4218" s="160" t="s">
        <v>272</v>
      </c>
    </row>
    <row r="4219" spans="1:18" ht="69" customHeight="1">
      <c r="A4219" s="168"/>
      <c r="B4219" s="207">
        <v>9984</v>
      </c>
      <c r="C4219" s="207" t="s">
        <v>458</v>
      </c>
      <c r="D4219" s="301" t="s">
        <v>6546</v>
      </c>
      <c r="E4219" s="207" t="s">
        <v>10671</v>
      </c>
      <c r="F4219" s="208" t="s">
        <v>10676</v>
      </c>
      <c r="G4219" s="160" t="s">
        <v>10659</v>
      </c>
      <c r="H4219" s="300">
        <v>39819.519999999997</v>
      </c>
      <c r="I4219" s="209">
        <v>45066</v>
      </c>
      <c r="J4219" s="322" t="s">
        <v>10673</v>
      </c>
      <c r="K4219" s="160" t="s">
        <v>4128</v>
      </c>
      <c r="M4219" s="379"/>
      <c r="N4219" s="76" t="s">
        <v>387</v>
      </c>
      <c r="O4219" s="160"/>
      <c r="P4219" s="160" t="s">
        <v>67</v>
      </c>
      <c r="Q4219" s="160" t="s">
        <v>119</v>
      </c>
      <c r="R4219" s="160" t="s">
        <v>272</v>
      </c>
    </row>
    <row r="4220" spans="1:18" ht="69" customHeight="1">
      <c r="A4220" s="168"/>
      <c r="B4220" s="207">
        <v>9985</v>
      </c>
      <c r="C4220" s="207" t="s">
        <v>458</v>
      </c>
      <c r="D4220" s="301" t="s">
        <v>6159</v>
      </c>
      <c r="E4220" s="207" t="s">
        <v>10671</v>
      </c>
      <c r="F4220" s="208" t="s">
        <v>10677</v>
      </c>
      <c r="G4220" s="160" t="s">
        <v>10659</v>
      </c>
      <c r="H4220" s="300">
        <v>25295.05</v>
      </c>
      <c r="I4220" s="209">
        <v>45066</v>
      </c>
      <c r="J4220" s="322" t="s">
        <v>10673</v>
      </c>
      <c r="K4220" s="160" t="s">
        <v>4128</v>
      </c>
      <c r="M4220" s="379"/>
      <c r="N4220" s="76" t="s">
        <v>387</v>
      </c>
      <c r="O4220" s="160"/>
      <c r="P4220" s="160" t="s">
        <v>67</v>
      </c>
      <c r="Q4220" s="160" t="s">
        <v>121</v>
      </c>
      <c r="R4220" s="160" t="s">
        <v>272</v>
      </c>
    </row>
    <row r="4221" spans="1:18" ht="69" customHeight="1">
      <c r="A4221" s="168"/>
      <c r="B4221" s="207">
        <v>9986</v>
      </c>
      <c r="C4221" s="207" t="s">
        <v>458</v>
      </c>
      <c r="D4221" s="301" t="s">
        <v>1413</v>
      </c>
      <c r="E4221" s="207" t="s">
        <v>10671</v>
      </c>
      <c r="F4221" s="208" t="s">
        <v>10678</v>
      </c>
      <c r="G4221" s="160" t="s">
        <v>10659</v>
      </c>
      <c r="H4221" s="300">
        <v>39819.519999999997</v>
      </c>
      <c r="I4221" s="209">
        <v>45066</v>
      </c>
      <c r="J4221" s="322" t="s">
        <v>10673</v>
      </c>
      <c r="K4221" s="160" t="s">
        <v>4128</v>
      </c>
      <c r="M4221" s="379"/>
      <c r="N4221" s="76" t="s">
        <v>387</v>
      </c>
      <c r="O4221" s="160"/>
      <c r="P4221" s="160" t="s">
        <v>67</v>
      </c>
      <c r="Q4221" s="160" t="s">
        <v>121</v>
      </c>
      <c r="R4221" s="160" t="s">
        <v>272</v>
      </c>
    </row>
    <row r="4222" spans="1:18" ht="69" customHeight="1">
      <c r="A4222" s="168"/>
      <c r="B4222" s="207">
        <v>9987</v>
      </c>
      <c r="C4222" s="207" t="s">
        <v>657</v>
      </c>
      <c r="D4222" s="301" t="s">
        <v>6501</v>
      </c>
      <c r="E4222" s="207" t="s">
        <v>10671</v>
      </c>
      <c r="F4222" s="208" t="s">
        <v>10679</v>
      </c>
      <c r="G4222" s="160" t="s">
        <v>10659</v>
      </c>
      <c r="H4222" s="300">
        <v>25295.05</v>
      </c>
      <c r="I4222" s="209">
        <v>45066</v>
      </c>
      <c r="J4222" s="322" t="s">
        <v>10673</v>
      </c>
      <c r="K4222" s="160" t="s">
        <v>4128</v>
      </c>
      <c r="M4222" s="379"/>
      <c r="N4222" s="76" t="s">
        <v>387</v>
      </c>
      <c r="O4222" s="160"/>
      <c r="P4222" s="160" t="s">
        <v>67</v>
      </c>
      <c r="Q4222" s="160" t="s">
        <v>120</v>
      </c>
      <c r="R4222" s="160" t="s">
        <v>272</v>
      </c>
    </row>
    <row r="4223" spans="1:18" ht="69" customHeight="1">
      <c r="A4223" s="168"/>
      <c r="B4223" s="207">
        <v>9988</v>
      </c>
      <c r="C4223" s="207" t="s">
        <v>458</v>
      </c>
      <c r="D4223" s="301" t="s">
        <v>3332</v>
      </c>
      <c r="E4223" s="207" t="s">
        <v>10662</v>
      </c>
      <c r="F4223" s="208" t="s">
        <v>10680</v>
      </c>
      <c r="G4223" s="160" t="s">
        <v>10659</v>
      </c>
      <c r="H4223" s="300">
        <v>22230</v>
      </c>
      <c r="I4223" s="209">
        <v>45066</v>
      </c>
      <c r="J4223" s="322" t="s">
        <v>10681</v>
      </c>
      <c r="K4223" s="160" t="s">
        <v>4128</v>
      </c>
      <c r="M4223" s="379"/>
      <c r="N4223" s="76" t="s">
        <v>356</v>
      </c>
      <c r="O4223" s="160" t="s">
        <v>141</v>
      </c>
      <c r="P4223" s="160" t="s">
        <v>67</v>
      </c>
      <c r="Q4223" s="160" t="s">
        <v>105</v>
      </c>
      <c r="R4223" s="160" t="s">
        <v>272</v>
      </c>
    </row>
    <row r="4224" spans="1:18" ht="69" customHeight="1">
      <c r="A4224" s="168"/>
      <c r="B4224" s="207">
        <v>9989</v>
      </c>
      <c r="C4224" s="207" t="s">
        <v>458</v>
      </c>
      <c r="D4224" s="301" t="s">
        <v>873</v>
      </c>
      <c r="E4224" s="207" t="s">
        <v>10662</v>
      </c>
      <c r="F4224" s="208" t="s">
        <v>10682</v>
      </c>
      <c r="G4224" s="160" t="s">
        <v>10659</v>
      </c>
      <c r="H4224" s="300">
        <v>8098</v>
      </c>
      <c r="I4224" s="209">
        <v>45066</v>
      </c>
      <c r="J4224" s="322" t="s">
        <v>10681</v>
      </c>
      <c r="K4224" s="160" t="s">
        <v>4128</v>
      </c>
      <c r="M4224" s="379"/>
      <c r="N4224" s="76" t="s">
        <v>356</v>
      </c>
      <c r="O4224" s="160" t="s">
        <v>141</v>
      </c>
      <c r="P4224" s="160" t="s">
        <v>67</v>
      </c>
      <c r="Q4224" s="160" t="s">
        <v>105</v>
      </c>
      <c r="R4224" s="160" t="s">
        <v>272</v>
      </c>
    </row>
    <row r="4225" spans="1:18" ht="69" customHeight="1">
      <c r="A4225" s="168"/>
      <c r="B4225" s="207">
        <v>9990</v>
      </c>
      <c r="C4225" s="207" t="s">
        <v>458</v>
      </c>
      <c r="D4225" s="301" t="s">
        <v>1421</v>
      </c>
      <c r="E4225" s="207" t="s">
        <v>10662</v>
      </c>
      <c r="F4225" s="208" t="s">
        <v>10683</v>
      </c>
      <c r="G4225" s="160" t="s">
        <v>10659</v>
      </c>
      <c r="H4225" s="300">
        <v>2230</v>
      </c>
      <c r="I4225" s="209">
        <v>45066</v>
      </c>
      <c r="J4225" s="322" t="s">
        <v>10681</v>
      </c>
      <c r="K4225" s="160" t="s">
        <v>4128</v>
      </c>
      <c r="M4225" s="379"/>
      <c r="N4225" s="76" t="s">
        <v>356</v>
      </c>
      <c r="O4225" s="160" t="s">
        <v>141</v>
      </c>
      <c r="P4225" s="160" t="s">
        <v>67</v>
      </c>
      <c r="Q4225" s="160" t="s">
        <v>105</v>
      </c>
      <c r="R4225" s="160" t="s">
        <v>272</v>
      </c>
    </row>
    <row r="4226" spans="1:18" ht="69" customHeight="1">
      <c r="A4226" s="168"/>
      <c r="B4226" s="207">
        <v>9991</v>
      </c>
      <c r="C4226" s="207" t="s">
        <v>458</v>
      </c>
      <c r="D4226" s="301" t="s">
        <v>1650</v>
      </c>
      <c r="E4226" s="207" t="s">
        <v>10662</v>
      </c>
      <c r="F4226" s="208" t="s">
        <v>10684</v>
      </c>
      <c r="G4226" s="160" t="s">
        <v>10659</v>
      </c>
      <c r="H4226" s="300">
        <v>22230</v>
      </c>
      <c r="I4226" s="209">
        <v>45066</v>
      </c>
      <c r="J4226" s="322" t="s">
        <v>10685</v>
      </c>
      <c r="K4226" s="160" t="s">
        <v>4128</v>
      </c>
      <c r="M4226" s="379"/>
      <c r="N4226" s="76" t="s">
        <v>356</v>
      </c>
      <c r="O4226" s="160" t="s">
        <v>141</v>
      </c>
      <c r="P4226" s="160" t="s">
        <v>67</v>
      </c>
      <c r="Q4226" s="160" t="s">
        <v>103</v>
      </c>
      <c r="R4226" s="160" t="s">
        <v>272</v>
      </c>
    </row>
    <row r="4227" spans="1:18" ht="69" customHeight="1">
      <c r="A4227" s="168"/>
      <c r="B4227" s="207">
        <v>9992</v>
      </c>
      <c r="C4227" s="207" t="s">
        <v>458</v>
      </c>
      <c r="D4227" s="301" t="s">
        <v>3542</v>
      </c>
      <c r="E4227" s="207" t="s">
        <v>10662</v>
      </c>
      <c r="F4227" s="208" t="s">
        <v>10686</v>
      </c>
      <c r="G4227" s="160" t="s">
        <v>10659</v>
      </c>
      <c r="H4227" s="300">
        <v>25454</v>
      </c>
      <c r="I4227" s="209">
        <v>45066</v>
      </c>
      <c r="J4227" s="322" t="s">
        <v>10685</v>
      </c>
      <c r="K4227" s="160" t="s">
        <v>4128</v>
      </c>
      <c r="M4227" s="379"/>
      <c r="N4227" s="76" t="s">
        <v>356</v>
      </c>
      <c r="O4227" s="160" t="s">
        <v>141</v>
      </c>
      <c r="P4227" s="160" t="s">
        <v>67</v>
      </c>
      <c r="Q4227" s="160" t="s">
        <v>103</v>
      </c>
      <c r="R4227" s="160" t="s">
        <v>272</v>
      </c>
    </row>
    <row r="4228" spans="1:18" ht="69" customHeight="1">
      <c r="A4228" s="168"/>
      <c r="B4228" s="207">
        <v>9993</v>
      </c>
      <c r="C4228" s="207" t="s">
        <v>458</v>
      </c>
      <c r="D4228" s="301" t="s">
        <v>10687</v>
      </c>
      <c r="E4228" s="207" t="s">
        <v>10662</v>
      </c>
      <c r="F4228" s="208" t="s">
        <v>10688</v>
      </c>
      <c r="G4228" s="160" t="s">
        <v>10659</v>
      </c>
      <c r="H4228" s="300">
        <v>34308</v>
      </c>
      <c r="I4228" s="209">
        <v>45066</v>
      </c>
      <c r="J4228" s="322" t="s">
        <v>10685</v>
      </c>
      <c r="K4228" s="160" t="s">
        <v>4128</v>
      </c>
      <c r="M4228" s="379"/>
      <c r="N4228" s="76" t="s">
        <v>356</v>
      </c>
      <c r="O4228" s="160" t="s">
        <v>141</v>
      </c>
      <c r="P4228" s="160" t="s">
        <v>67</v>
      </c>
      <c r="Q4228" s="160" t="s">
        <v>103</v>
      </c>
      <c r="R4228" s="160" t="s">
        <v>272</v>
      </c>
    </row>
    <row r="4229" spans="1:18" ht="69" customHeight="1">
      <c r="A4229" s="168"/>
      <c r="B4229" s="207">
        <v>9994</v>
      </c>
      <c r="C4229" s="207" t="s">
        <v>458</v>
      </c>
      <c r="D4229" s="301" t="s">
        <v>5397</v>
      </c>
      <c r="E4229" s="207" t="s">
        <v>10662</v>
      </c>
      <c r="F4229" s="208" t="s">
        <v>10689</v>
      </c>
      <c r="G4229" s="160" t="s">
        <v>10659</v>
      </c>
      <c r="H4229" s="300">
        <v>23528</v>
      </c>
      <c r="I4229" s="209">
        <v>45066</v>
      </c>
      <c r="J4229" s="322" t="s">
        <v>10685</v>
      </c>
      <c r="K4229" s="160" t="s">
        <v>4128</v>
      </c>
      <c r="M4229" s="379"/>
      <c r="N4229" s="76" t="s">
        <v>356</v>
      </c>
      <c r="O4229" s="160" t="s">
        <v>141</v>
      </c>
      <c r="P4229" s="160" t="s">
        <v>67</v>
      </c>
      <c r="Q4229" s="160" t="s">
        <v>103</v>
      </c>
      <c r="R4229" s="160" t="s">
        <v>272</v>
      </c>
    </row>
    <row r="4230" spans="1:18" ht="69" customHeight="1">
      <c r="A4230" s="168"/>
      <c r="B4230" s="207">
        <v>9995</v>
      </c>
      <c r="C4230" s="207" t="s">
        <v>458</v>
      </c>
      <c r="D4230" s="301" t="s">
        <v>5095</v>
      </c>
      <c r="E4230" s="207" t="s">
        <v>10662</v>
      </c>
      <c r="F4230" s="208" t="s">
        <v>10690</v>
      </c>
      <c r="G4230" s="160" t="s">
        <v>10659</v>
      </c>
      <c r="H4230" s="300">
        <v>20013</v>
      </c>
      <c r="I4230" s="209">
        <v>45066</v>
      </c>
      <c r="J4230" s="322" t="s">
        <v>10685</v>
      </c>
      <c r="K4230" s="160" t="s">
        <v>4128</v>
      </c>
      <c r="M4230" s="379"/>
      <c r="N4230" s="76" t="s">
        <v>356</v>
      </c>
      <c r="O4230" s="160" t="s">
        <v>141</v>
      </c>
      <c r="P4230" s="160" t="s">
        <v>67</v>
      </c>
      <c r="Q4230" s="160" t="s">
        <v>103</v>
      </c>
      <c r="R4230" s="160" t="s">
        <v>272</v>
      </c>
    </row>
    <row r="4231" spans="1:18" ht="69" customHeight="1">
      <c r="A4231" s="168"/>
      <c r="B4231" s="207">
        <v>9996</v>
      </c>
      <c r="C4231" s="207" t="s">
        <v>458</v>
      </c>
      <c r="D4231" s="301" t="s">
        <v>869</v>
      </c>
      <c r="E4231" s="207" t="s">
        <v>10662</v>
      </c>
      <c r="F4231" s="208" t="s">
        <v>10691</v>
      </c>
      <c r="G4231" s="160" t="s">
        <v>10659</v>
      </c>
      <c r="H4231" s="300">
        <v>5874</v>
      </c>
      <c r="I4231" s="209">
        <v>45066</v>
      </c>
      <c r="J4231" s="322" t="s">
        <v>10692</v>
      </c>
      <c r="K4231" s="160" t="s">
        <v>4128</v>
      </c>
      <c r="M4231" s="379"/>
      <c r="N4231" s="76" t="s">
        <v>356</v>
      </c>
      <c r="O4231" s="160" t="s">
        <v>141</v>
      </c>
      <c r="P4231" s="160" t="s">
        <v>67</v>
      </c>
      <c r="Q4231" s="160" t="s">
        <v>107</v>
      </c>
      <c r="R4231" s="160" t="s">
        <v>272</v>
      </c>
    </row>
    <row r="4232" spans="1:18" ht="69" customHeight="1">
      <c r="A4232" s="168"/>
      <c r="B4232" s="207">
        <v>9997</v>
      </c>
      <c r="C4232" s="207" t="s">
        <v>458</v>
      </c>
      <c r="D4232" s="301" t="s">
        <v>1417</v>
      </c>
      <c r="E4232" s="207" t="s">
        <v>10662</v>
      </c>
      <c r="F4232" s="208" t="s">
        <v>10693</v>
      </c>
      <c r="G4232" s="160" t="s">
        <v>10659</v>
      </c>
      <c r="H4232" s="300">
        <v>2859</v>
      </c>
      <c r="I4232" s="209">
        <v>45066</v>
      </c>
      <c r="J4232" s="322" t="s">
        <v>10692</v>
      </c>
      <c r="K4232" s="160" t="s">
        <v>4128</v>
      </c>
      <c r="M4232" s="379"/>
      <c r="N4232" s="76" t="s">
        <v>356</v>
      </c>
      <c r="O4232" s="160" t="s">
        <v>141</v>
      </c>
      <c r="P4232" s="160" t="s">
        <v>67</v>
      </c>
      <c r="Q4232" s="160" t="s">
        <v>107</v>
      </c>
      <c r="R4232" s="160" t="s">
        <v>272</v>
      </c>
    </row>
    <row r="4233" spans="1:18" ht="69" customHeight="1">
      <c r="A4233" s="168"/>
      <c r="B4233" s="207">
        <v>9998</v>
      </c>
      <c r="C4233" s="207" t="s">
        <v>458</v>
      </c>
      <c r="D4233" s="301" t="s">
        <v>5099</v>
      </c>
      <c r="E4233" s="207" t="s">
        <v>10662</v>
      </c>
      <c r="F4233" s="208" t="s">
        <v>10694</v>
      </c>
      <c r="G4233" s="160" t="s">
        <v>10659</v>
      </c>
      <c r="H4233" s="300">
        <v>11700</v>
      </c>
      <c r="I4233" s="209">
        <v>45066</v>
      </c>
      <c r="J4233" s="322" t="s">
        <v>10695</v>
      </c>
      <c r="K4233" s="160" t="s">
        <v>4128</v>
      </c>
      <c r="M4233" s="379"/>
      <c r="N4233" s="76" t="s">
        <v>356</v>
      </c>
      <c r="O4233" s="160" t="s">
        <v>141</v>
      </c>
      <c r="P4233" s="160" t="s">
        <v>67</v>
      </c>
      <c r="Q4233" s="160" t="s">
        <v>103</v>
      </c>
      <c r="R4233" s="160" t="s">
        <v>272</v>
      </c>
    </row>
    <row r="4234" spans="1:18" ht="69" customHeight="1">
      <c r="A4234" s="168"/>
      <c r="B4234" s="207">
        <v>9999</v>
      </c>
      <c r="C4234" s="207" t="s">
        <v>458</v>
      </c>
      <c r="D4234" s="301" t="s">
        <v>10696</v>
      </c>
      <c r="E4234" s="207" t="s">
        <v>10662</v>
      </c>
      <c r="F4234" s="208" t="s">
        <v>10697</v>
      </c>
      <c r="G4234" s="160" t="s">
        <v>10659</v>
      </c>
      <c r="H4234" s="300">
        <v>31192</v>
      </c>
      <c r="I4234" s="209">
        <v>45066</v>
      </c>
      <c r="J4234" s="322" t="s">
        <v>10695</v>
      </c>
      <c r="K4234" s="160" t="s">
        <v>4128</v>
      </c>
      <c r="M4234" s="379"/>
      <c r="N4234" s="76" t="s">
        <v>356</v>
      </c>
      <c r="O4234" s="160" t="s">
        <v>141</v>
      </c>
      <c r="P4234" s="160" t="s">
        <v>67</v>
      </c>
      <c r="Q4234" s="160" t="s">
        <v>103</v>
      </c>
      <c r="R4234" s="160" t="s">
        <v>272</v>
      </c>
    </row>
    <row r="4235" spans="1:18" ht="69" customHeight="1">
      <c r="A4235" s="168"/>
      <c r="B4235" s="207">
        <v>1000</v>
      </c>
      <c r="C4235" s="207" t="s">
        <v>458</v>
      </c>
      <c r="D4235" s="301" t="s">
        <v>10698</v>
      </c>
      <c r="E4235" s="207" t="s">
        <v>10662</v>
      </c>
      <c r="F4235" s="208" t="s">
        <v>10699</v>
      </c>
      <c r="G4235" s="160" t="s">
        <v>10659</v>
      </c>
      <c r="H4235" s="300">
        <v>23528</v>
      </c>
      <c r="I4235" s="209">
        <v>45066</v>
      </c>
      <c r="J4235" s="322" t="s">
        <v>10695</v>
      </c>
      <c r="K4235" s="160" t="s">
        <v>4128</v>
      </c>
      <c r="M4235" s="379"/>
      <c r="N4235" s="76" t="s">
        <v>356</v>
      </c>
      <c r="O4235" s="160" t="s">
        <v>141</v>
      </c>
      <c r="P4235" s="160" t="s">
        <v>67</v>
      </c>
      <c r="Q4235" s="160" t="s">
        <v>103</v>
      </c>
      <c r="R4235" s="160" t="s">
        <v>272</v>
      </c>
    </row>
    <row r="4236" spans="1:18" ht="69" customHeight="1">
      <c r="A4236" s="168"/>
      <c r="B4236" s="207">
        <v>1001</v>
      </c>
      <c r="C4236" s="207" t="s">
        <v>458</v>
      </c>
      <c r="D4236" s="301" t="s">
        <v>3625</v>
      </c>
      <c r="E4236" s="207" t="s">
        <v>10662</v>
      </c>
      <c r="F4236" s="208" t="s">
        <v>10700</v>
      </c>
      <c r="G4236" s="160" t="s">
        <v>10659</v>
      </c>
      <c r="H4236" s="300">
        <v>10530</v>
      </c>
      <c r="I4236" s="209">
        <v>45066</v>
      </c>
      <c r="J4236" s="322" t="s">
        <v>10695</v>
      </c>
      <c r="K4236" s="160" t="s">
        <v>4128</v>
      </c>
      <c r="M4236" s="379"/>
      <c r="N4236" s="76" t="s">
        <v>356</v>
      </c>
      <c r="O4236" s="160" t="s">
        <v>141</v>
      </c>
      <c r="P4236" s="160" t="s">
        <v>67</v>
      </c>
      <c r="Q4236" s="160" t="s">
        <v>107</v>
      </c>
      <c r="R4236" s="160" t="s">
        <v>272</v>
      </c>
    </row>
    <row r="4237" spans="1:18" ht="69" customHeight="1">
      <c r="A4237" s="168"/>
      <c r="B4237" s="207">
        <v>1002</v>
      </c>
      <c r="C4237" s="207" t="s">
        <v>458</v>
      </c>
      <c r="D4237" s="301" t="s">
        <v>2406</v>
      </c>
      <c r="E4237" s="207" t="s">
        <v>10662</v>
      </c>
      <c r="F4237" s="208" t="s">
        <v>10701</v>
      </c>
      <c r="G4237" s="160" t="s">
        <v>10659</v>
      </c>
      <c r="H4237" s="300">
        <v>4152</v>
      </c>
      <c r="I4237" s="209">
        <v>45066</v>
      </c>
      <c r="J4237" s="322" t="s">
        <v>10702</v>
      </c>
      <c r="K4237" s="160" t="s">
        <v>4128</v>
      </c>
      <c r="M4237" s="379"/>
      <c r="N4237" s="76" t="s">
        <v>356</v>
      </c>
      <c r="O4237" s="160" t="s">
        <v>141</v>
      </c>
      <c r="P4237" s="160" t="s">
        <v>67</v>
      </c>
      <c r="Q4237" s="160" t="s">
        <v>105</v>
      </c>
      <c r="R4237" s="160" t="s">
        <v>272</v>
      </c>
    </row>
    <row r="4238" spans="1:18" ht="69" customHeight="1">
      <c r="A4238" s="168"/>
      <c r="B4238" s="207">
        <v>1003</v>
      </c>
      <c r="C4238" s="207" t="s">
        <v>458</v>
      </c>
      <c r="D4238" s="301" t="s">
        <v>3142</v>
      </c>
      <c r="E4238" s="207" t="s">
        <v>10662</v>
      </c>
      <c r="F4238" s="208" t="s">
        <v>10703</v>
      </c>
      <c r="G4238" s="160" t="s">
        <v>10659</v>
      </c>
      <c r="H4238" s="300">
        <v>23528</v>
      </c>
      <c r="I4238" s="209">
        <v>45066</v>
      </c>
      <c r="J4238" s="322" t="s">
        <v>10702</v>
      </c>
      <c r="K4238" s="160" t="s">
        <v>4128</v>
      </c>
      <c r="M4238" s="379"/>
      <c r="N4238" s="76" t="s">
        <v>356</v>
      </c>
      <c r="O4238" s="160" t="s">
        <v>141</v>
      </c>
      <c r="P4238" s="160" t="s">
        <v>67</v>
      </c>
      <c r="Q4238" s="160" t="s">
        <v>105</v>
      </c>
      <c r="R4238" s="160" t="s">
        <v>272</v>
      </c>
    </row>
    <row r="4239" spans="1:18" ht="69" customHeight="1">
      <c r="A4239" s="168"/>
      <c r="B4239" s="207">
        <v>1004</v>
      </c>
      <c r="C4239" s="207" t="s">
        <v>458</v>
      </c>
      <c r="D4239" s="301" t="s">
        <v>3147</v>
      </c>
      <c r="E4239" s="207" t="s">
        <v>10662</v>
      </c>
      <c r="F4239" s="208" t="s">
        <v>10704</v>
      </c>
      <c r="G4239" s="160" t="s">
        <v>10659</v>
      </c>
      <c r="H4239" s="300">
        <v>21748</v>
      </c>
      <c r="I4239" s="209">
        <v>45066</v>
      </c>
      <c r="J4239" s="322" t="s">
        <v>10702</v>
      </c>
      <c r="K4239" s="160" t="s">
        <v>4128</v>
      </c>
      <c r="M4239" s="379"/>
      <c r="N4239" s="76" t="s">
        <v>356</v>
      </c>
      <c r="O4239" s="160" t="s">
        <v>141</v>
      </c>
      <c r="P4239" s="160" t="s">
        <v>67</v>
      </c>
      <c r="Q4239" s="160" t="s">
        <v>105</v>
      </c>
      <c r="R4239" s="160" t="s">
        <v>272</v>
      </c>
    </row>
    <row r="4240" spans="1:18" ht="69" customHeight="1">
      <c r="A4240" s="168"/>
      <c r="B4240" s="207">
        <v>1005</v>
      </c>
      <c r="C4240" s="207" t="s">
        <v>657</v>
      </c>
      <c r="D4240" s="301" t="s">
        <v>1817</v>
      </c>
      <c r="E4240" s="207" t="s">
        <v>10671</v>
      </c>
      <c r="F4240" s="208" t="s">
        <v>10705</v>
      </c>
      <c r="G4240" s="160" t="s">
        <v>10659</v>
      </c>
      <c r="H4240" s="300">
        <v>39819.519999999997</v>
      </c>
      <c r="I4240" s="209">
        <v>45066</v>
      </c>
      <c r="J4240" s="322" t="s">
        <v>10706</v>
      </c>
      <c r="K4240" s="160" t="s">
        <v>4128</v>
      </c>
      <c r="M4240" s="379"/>
      <c r="N4240" s="76" t="s">
        <v>387</v>
      </c>
      <c r="O4240" s="160"/>
      <c r="P4240" s="160" t="s">
        <v>67</v>
      </c>
      <c r="Q4240" s="160" t="s">
        <v>120</v>
      </c>
      <c r="R4240" s="160" t="s">
        <v>272</v>
      </c>
    </row>
    <row r="4241" spans="1:18" ht="69" customHeight="1">
      <c r="A4241" s="168"/>
      <c r="B4241" s="207">
        <v>1006</v>
      </c>
      <c r="C4241" s="207" t="s">
        <v>657</v>
      </c>
      <c r="D4241" s="301" t="s">
        <v>1821</v>
      </c>
      <c r="E4241" s="207" t="s">
        <v>10671</v>
      </c>
      <c r="F4241" s="208" t="s">
        <v>10707</v>
      </c>
      <c r="G4241" s="160" t="s">
        <v>10659</v>
      </c>
      <c r="H4241" s="300">
        <v>25295.05</v>
      </c>
      <c r="I4241" s="209">
        <v>45066</v>
      </c>
      <c r="J4241" s="322" t="s">
        <v>10706</v>
      </c>
      <c r="K4241" s="160" t="s">
        <v>4128</v>
      </c>
      <c r="M4241" s="379"/>
      <c r="N4241" s="76" t="s">
        <v>387</v>
      </c>
      <c r="O4241" s="160"/>
      <c r="P4241" s="160" t="s">
        <v>67</v>
      </c>
      <c r="Q4241" s="160" t="s">
        <v>118</v>
      </c>
      <c r="R4241" s="160" t="s">
        <v>272</v>
      </c>
    </row>
    <row r="4242" spans="1:18" ht="69" customHeight="1">
      <c r="A4242" s="168"/>
      <c r="B4242" s="207">
        <v>1007</v>
      </c>
      <c r="C4242" s="207" t="s">
        <v>657</v>
      </c>
      <c r="D4242" s="301" t="s">
        <v>2556</v>
      </c>
      <c r="E4242" s="207" t="s">
        <v>10671</v>
      </c>
      <c r="F4242" s="208" t="s">
        <v>10708</v>
      </c>
      <c r="G4242" s="160" t="s">
        <v>10659</v>
      </c>
      <c r="H4242" s="300">
        <v>18299.52</v>
      </c>
      <c r="I4242" s="209">
        <v>45066</v>
      </c>
      <c r="J4242" s="322" t="s">
        <v>10706</v>
      </c>
      <c r="K4242" s="160" t="s">
        <v>4128</v>
      </c>
      <c r="M4242" s="379"/>
      <c r="N4242" s="76" t="s">
        <v>387</v>
      </c>
      <c r="O4242" s="160"/>
      <c r="P4242" s="160" t="s">
        <v>67</v>
      </c>
      <c r="Q4242" s="160" t="s">
        <v>118</v>
      </c>
      <c r="R4242" s="160" t="s">
        <v>272</v>
      </c>
    </row>
    <row r="4243" spans="1:18" ht="69" customHeight="1">
      <c r="A4243" s="168"/>
      <c r="B4243" s="207">
        <v>1008</v>
      </c>
      <c r="C4243" s="207" t="s">
        <v>3667</v>
      </c>
      <c r="D4243" s="301" t="s">
        <v>10709</v>
      </c>
      <c r="E4243" s="207" t="s">
        <v>10671</v>
      </c>
      <c r="F4243" s="208" t="s">
        <v>10710</v>
      </c>
      <c r="G4243" s="160" t="s">
        <v>10659</v>
      </c>
      <c r="H4243" s="300">
        <v>25295.05</v>
      </c>
      <c r="I4243" s="209">
        <v>45066</v>
      </c>
      <c r="J4243" s="322" t="s">
        <v>10706</v>
      </c>
      <c r="K4243" s="160" t="s">
        <v>4128</v>
      </c>
      <c r="M4243" s="379"/>
      <c r="N4243" s="76" t="s">
        <v>387</v>
      </c>
      <c r="O4243" s="160"/>
      <c r="P4243" s="160" t="s">
        <v>67</v>
      </c>
      <c r="Q4243" s="160" t="s">
        <v>56</v>
      </c>
      <c r="R4243" s="160" t="s">
        <v>272</v>
      </c>
    </row>
    <row r="4244" spans="1:18" ht="69" customHeight="1">
      <c r="A4244" s="168"/>
      <c r="B4244" s="207">
        <v>1009</v>
      </c>
      <c r="C4244" s="207" t="s">
        <v>3667</v>
      </c>
      <c r="D4244" s="301" t="s">
        <v>10711</v>
      </c>
      <c r="E4244" s="207" t="s">
        <v>10671</v>
      </c>
      <c r="F4244" s="208" t="s">
        <v>10712</v>
      </c>
      <c r="G4244" s="160" t="s">
        <v>10659</v>
      </c>
      <c r="H4244" s="300">
        <v>18299.52</v>
      </c>
      <c r="I4244" s="209">
        <v>45066</v>
      </c>
      <c r="J4244" s="322" t="s">
        <v>10706</v>
      </c>
      <c r="K4244" s="160" t="s">
        <v>4128</v>
      </c>
      <c r="M4244" s="379"/>
      <c r="N4244" s="76" t="s">
        <v>387</v>
      </c>
      <c r="O4244" s="160"/>
      <c r="P4244" s="160" t="s">
        <v>67</v>
      </c>
      <c r="Q4244" s="160" t="s">
        <v>56</v>
      </c>
      <c r="R4244" s="160" t="s">
        <v>272</v>
      </c>
    </row>
    <row r="4245" spans="1:18" ht="69" customHeight="1">
      <c r="A4245" s="168"/>
      <c r="B4245" s="207">
        <v>1010</v>
      </c>
      <c r="C4245" s="207" t="s">
        <v>3667</v>
      </c>
      <c r="D4245" s="301" t="s">
        <v>10713</v>
      </c>
      <c r="E4245" s="207" t="s">
        <v>10671</v>
      </c>
      <c r="F4245" s="208" t="s">
        <v>10714</v>
      </c>
      <c r="G4245" s="160" t="s">
        <v>10659</v>
      </c>
      <c r="H4245" s="300">
        <v>25295.05</v>
      </c>
      <c r="I4245" s="209">
        <v>45066</v>
      </c>
      <c r="J4245" s="322" t="s">
        <v>10706</v>
      </c>
      <c r="K4245" s="160" t="s">
        <v>4128</v>
      </c>
      <c r="M4245" s="379"/>
      <c r="N4245" s="76" t="s">
        <v>387</v>
      </c>
      <c r="O4245" s="160"/>
      <c r="P4245" s="160" t="s">
        <v>67</v>
      </c>
      <c r="Q4245" s="160" t="s">
        <v>58</v>
      </c>
      <c r="R4245" s="160" t="s">
        <v>272</v>
      </c>
    </row>
    <row r="4246" spans="1:18" ht="69" customHeight="1">
      <c r="A4246" s="168"/>
      <c r="B4246" s="207">
        <v>1011</v>
      </c>
      <c r="C4246" s="207" t="s">
        <v>3667</v>
      </c>
      <c r="D4246" s="301" t="s">
        <v>10715</v>
      </c>
      <c r="E4246" s="207" t="s">
        <v>10671</v>
      </c>
      <c r="F4246" s="208" t="s">
        <v>10716</v>
      </c>
      <c r="G4246" s="160" t="s">
        <v>10659</v>
      </c>
      <c r="H4246" s="300">
        <v>18299.52</v>
      </c>
      <c r="I4246" s="209">
        <v>45066</v>
      </c>
      <c r="J4246" s="322" t="s">
        <v>10706</v>
      </c>
      <c r="K4246" s="160" t="s">
        <v>4128</v>
      </c>
      <c r="M4246" s="379"/>
      <c r="N4246" s="76" t="s">
        <v>387</v>
      </c>
      <c r="O4246" s="345"/>
      <c r="P4246" s="160" t="s">
        <v>67</v>
      </c>
      <c r="Q4246" s="160" t="s">
        <v>58</v>
      </c>
      <c r="R4246" s="160" t="s">
        <v>272</v>
      </c>
    </row>
    <row r="4247" spans="1:18" ht="69" customHeight="1">
      <c r="A4247" s="168"/>
      <c r="B4247" s="680">
        <v>1012</v>
      </c>
      <c r="C4247" s="680" t="s">
        <v>309</v>
      </c>
      <c r="D4247" s="810" t="s">
        <v>3924</v>
      </c>
      <c r="E4247" s="680" t="s">
        <v>2156</v>
      </c>
      <c r="F4247" s="723" t="s">
        <v>10717</v>
      </c>
      <c r="G4247" s="681" t="s">
        <v>10718</v>
      </c>
      <c r="H4247" s="811">
        <v>41243.800000000003</v>
      </c>
      <c r="I4247" s="766">
        <v>45049</v>
      </c>
      <c r="J4247" s="812" t="s">
        <v>10719</v>
      </c>
      <c r="K4247" s="681"/>
      <c r="L4247" s="103"/>
      <c r="M4247" s="813"/>
      <c r="N4247" s="814" t="s">
        <v>414</v>
      </c>
      <c r="O4247" s="815" t="s">
        <v>10720</v>
      </c>
      <c r="P4247" s="816" t="s">
        <v>24</v>
      </c>
      <c r="Q4247" s="681" t="s">
        <v>33</v>
      </c>
      <c r="R4247" s="681" t="s">
        <v>265</v>
      </c>
    </row>
    <row r="4248" spans="1:18" ht="69" customHeight="1">
      <c r="A4248" s="168"/>
      <c r="B4248" s="207">
        <v>1013</v>
      </c>
      <c r="C4248" s="207" t="s">
        <v>309</v>
      </c>
      <c r="D4248" s="301" t="s">
        <v>3927</v>
      </c>
      <c r="E4248" s="207" t="s">
        <v>10671</v>
      </c>
      <c r="F4248" s="208" t="s">
        <v>10721</v>
      </c>
      <c r="G4248" s="160" t="s">
        <v>10659</v>
      </c>
      <c r="H4248" s="300">
        <v>16034.19</v>
      </c>
      <c r="I4248" s="209">
        <v>45066</v>
      </c>
      <c r="J4248" s="322" t="s">
        <v>10722</v>
      </c>
      <c r="K4248" s="160" t="s">
        <v>4128</v>
      </c>
      <c r="M4248" s="379"/>
      <c r="N4248" s="76" t="s">
        <v>387</v>
      </c>
      <c r="O4248" s="336"/>
      <c r="P4248" s="160" t="s">
        <v>67</v>
      </c>
      <c r="Q4248" s="160" t="s">
        <v>43</v>
      </c>
      <c r="R4248" s="160" t="s">
        <v>272</v>
      </c>
    </row>
    <row r="4249" spans="1:18" ht="69" customHeight="1">
      <c r="A4249" s="168"/>
      <c r="B4249" s="207">
        <v>1014</v>
      </c>
      <c r="C4249" s="207" t="s">
        <v>309</v>
      </c>
      <c r="D4249" s="301" t="s">
        <v>4275</v>
      </c>
      <c r="E4249" s="207" t="s">
        <v>10671</v>
      </c>
      <c r="F4249" s="208" t="s">
        <v>10723</v>
      </c>
      <c r="G4249" s="160" t="s">
        <v>10659</v>
      </c>
      <c r="H4249" s="300">
        <v>15080.67</v>
      </c>
      <c r="I4249" s="209">
        <v>45066</v>
      </c>
      <c r="J4249" s="322" t="s">
        <v>10722</v>
      </c>
      <c r="K4249" s="160" t="s">
        <v>4128</v>
      </c>
      <c r="M4249" s="379"/>
      <c r="N4249" s="76" t="s">
        <v>387</v>
      </c>
      <c r="O4249" s="160"/>
      <c r="P4249" s="160" t="s">
        <v>67</v>
      </c>
      <c r="Q4249" s="160" t="s">
        <v>43</v>
      </c>
      <c r="R4249" s="160" t="s">
        <v>272</v>
      </c>
    </row>
    <row r="4250" spans="1:18" ht="69" customHeight="1">
      <c r="A4250" s="168"/>
      <c r="B4250" s="207">
        <v>1015</v>
      </c>
      <c r="C4250" s="207" t="s">
        <v>3667</v>
      </c>
      <c r="D4250" s="301" t="s">
        <v>10724</v>
      </c>
      <c r="E4250" s="207" t="s">
        <v>10671</v>
      </c>
      <c r="F4250" s="208" t="s">
        <v>10725</v>
      </c>
      <c r="G4250" s="160" t="s">
        <v>10659</v>
      </c>
      <c r="H4250" s="300">
        <v>25295.05</v>
      </c>
      <c r="I4250" s="209">
        <v>45066</v>
      </c>
      <c r="J4250" s="322" t="s">
        <v>10722</v>
      </c>
      <c r="K4250" s="160" t="s">
        <v>4128</v>
      </c>
      <c r="M4250" s="379"/>
      <c r="N4250" s="76" t="s">
        <v>387</v>
      </c>
      <c r="O4250" s="160"/>
      <c r="P4250" s="160" t="s">
        <v>67</v>
      </c>
      <c r="Q4250" s="160" t="s">
        <v>54</v>
      </c>
      <c r="R4250" s="160" t="s">
        <v>272</v>
      </c>
    </row>
    <row r="4251" spans="1:18" ht="69" customHeight="1">
      <c r="A4251" s="168"/>
      <c r="B4251" s="207">
        <v>1016</v>
      </c>
      <c r="C4251" s="207" t="s">
        <v>3667</v>
      </c>
      <c r="D4251" s="301" t="s">
        <v>10726</v>
      </c>
      <c r="E4251" s="207" t="s">
        <v>10671</v>
      </c>
      <c r="F4251" s="208" t="s">
        <v>10727</v>
      </c>
      <c r="G4251" s="160" t="s">
        <v>10659</v>
      </c>
      <c r="H4251" s="300">
        <v>18299.52</v>
      </c>
      <c r="I4251" s="209">
        <v>45066</v>
      </c>
      <c r="J4251" s="322" t="s">
        <v>10722</v>
      </c>
      <c r="K4251" s="160" t="s">
        <v>4128</v>
      </c>
      <c r="M4251" s="379"/>
      <c r="N4251" s="76" t="s">
        <v>387</v>
      </c>
      <c r="O4251" s="160"/>
      <c r="P4251" s="160" t="s">
        <v>67</v>
      </c>
      <c r="Q4251" s="160" t="s">
        <v>54</v>
      </c>
      <c r="R4251" s="160" t="s">
        <v>272</v>
      </c>
    </row>
    <row r="4252" spans="1:18" ht="69" customHeight="1">
      <c r="A4252" s="168"/>
      <c r="B4252" s="178">
        <v>1143</v>
      </c>
      <c r="C4252" s="178" t="s">
        <v>9441</v>
      </c>
      <c r="D4252" s="575" t="s">
        <v>3277</v>
      </c>
      <c r="E4252" s="178" t="s">
        <v>7985</v>
      </c>
      <c r="F4252" s="210" t="s">
        <v>10728</v>
      </c>
      <c r="G4252" s="58" t="s">
        <v>10729</v>
      </c>
      <c r="H4252" s="546">
        <v>548.5</v>
      </c>
      <c r="I4252" s="66">
        <v>45082</v>
      </c>
      <c r="J4252" s="411" t="s">
        <v>10730</v>
      </c>
      <c r="K4252" s="58"/>
      <c r="L4252" s="99"/>
      <c r="M4252" s="70" t="s">
        <v>9384</v>
      </c>
      <c r="N4252" s="97" t="s">
        <v>270</v>
      </c>
      <c r="O4252" s="58"/>
      <c r="P4252" s="58" t="s">
        <v>44</v>
      </c>
      <c r="Q4252" s="58" t="s">
        <v>116</v>
      </c>
      <c r="R4252" s="58" t="s">
        <v>272</v>
      </c>
    </row>
    <row r="4253" spans="1:18" ht="69" customHeight="1">
      <c r="A4253" s="168"/>
      <c r="B4253" s="178">
        <v>1164</v>
      </c>
      <c r="C4253" s="178" t="s">
        <v>657</v>
      </c>
      <c r="D4253" s="575" t="s">
        <v>3373</v>
      </c>
      <c r="E4253" s="178" t="s">
        <v>382</v>
      </c>
      <c r="F4253" s="210" t="s">
        <v>10731</v>
      </c>
      <c r="G4253" s="58" t="s">
        <v>10732</v>
      </c>
      <c r="H4253" s="546">
        <v>2478</v>
      </c>
      <c r="I4253" s="66">
        <v>45082</v>
      </c>
      <c r="J4253" s="411" t="s">
        <v>10733</v>
      </c>
      <c r="K4253" s="58"/>
      <c r="L4253" s="99"/>
      <c r="M4253" s="70" t="s">
        <v>9412</v>
      </c>
      <c r="N4253" s="97" t="s">
        <v>387</v>
      </c>
      <c r="O4253" s="58" t="s">
        <v>9487</v>
      </c>
      <c r="P4253" s="58" t="s">
        <v>51</v>
      </c>
      <c r="Q4253" s="58" t="s">
        <v>116</v>
      </c>
      <c r="R4253" s="58" t="s">
        <v>272</v>
      </c>
    </row>
    <row r="4254" spans="1:18" ht="69" customHeight="1">
      <c r="A4254" s="168"/>
      <c r="B4254" s="207">
        <v>1027</v>
      </c>
      <c r="C4254" s="207" t="s">
        <v>458</v>
      </c>
      <c r="D4254" s="301" t="s">
        <v>3338</v>
      </c>
      <c r="E4254" s="207" t="s">
        <v>10662</v>
      </c>
      <c r="F4254" s="208" t="s">
        <v>10734</v>
      </c>
      <c r="G4254" s="160" t="s">
        <v>10659</v>
      </c>
      <c r="H4254" s="300">
        <v>19091</v>
      </c>
      <c r="I4254" s="209">
        <v>45066</v>
      </c>
      <c r="J4254" s="322" t="s">
        <v>10735</v>
      </c>
      <c r="K4254" s="160" t="s">
        <v>4128</v>
      </c>
      <c r="M4254" s="379" t="s">
        <v>7241</v>
      </c>
      <c r="N4254" s="76" t="s">
        <v>356</v>
      </c>
      <c r="O4254" s="160" t="s">
        <v>141</v>
      </c>
      <c r="P4254" s="160" t="s">
        <v>67</v>
      </c>
      <c r="Q4254" s="160" t="s">
        <v>100</v>
      </c>
      <c r="R4254" s="160" t="s">
        <v>265</v>
      </c>
    </row>
    <row r="4255" spans="1:18" ht="69" customHeight="1">
      <c r="A4255" s="168"/>
      <c r="B4255" s="207">
        <v>1028</v>
      </c>
      <c r="C4255" s="207" t="s">
        <v>309</v>
      </c>
      <c r="D4255" s="301" t="s">
        <v>5358</v>
      </c>
      <c r="E4255" s="207" t="s">
        <v>10662</v>
      </c>
      <c r="F4255" s="208" t="s">
        <v>10736</v>
      </c>
      <c r="G4255" s="160" t="s">
        <v>10659</v>
      </c>
      <c r="H4255" s="300">
        <v>1976</v>
      </c>
      <c r="I4255" s="209">
        <v>45066</v>
      </c>
      <c r="J4255" s="322" t="s">
        <v>10735</v>
      </c>
      <c r="K4255" s="160" t="s">
        <v>4128</v>
      </c>
      <c r="M4255" s="379" t="s">
        <v>7241</v>
      </c>
      <c r="N4255" s="76" t="s">
        <v>356</v>
      </c>
      <c r="O4255" s="160" t="s">
        <v>141</v>
      </c>
      <c r="P4255" s="160" t="s">
        <v>67</v>
      </c>
      <c r="Q4255" s="160" t="s">
        <v>100</v>
      </c>
      <c r="R4255" s="160" t="s">
        <v>265</v>
      </c>
    </row>
    <row r="4256" spans="1:18" ht="69" customHeight="1">
      <c r="A4256" s="168"/>
      <c r="B4256" s="178">
        <v>1029</v>
      </c>
      <c r="C4256" s="178" t="s">
        <v>3647</v>
      </c>
      <c r="D4256" s="575" t="s">
        <v>10737</v>
      </c>
      <c r="E4256" s="178" t="s">
        <v>3833</v>
      </c>
      <c r="F4256" s="210" t="s">
        <v>10738</v>
      </c>
      <c r="G4256" s="58" t="s">
        <v>10739</v>
      </c>
      <c r="H4256" s="546">
        <v>41433</v>
      </c>
      <c r="I4256" s="66">
        <v>45066</v>
      </c>
      <c r="J4256" s="411" t="s">
        <v>10740</v>
      </c>
      <c r="K4256" s="58"/>
      <c r="L4256" s="99"/>
      <c r="M4256" s="70" t="s">
        <v>3836</v>
      </c>
      <c r="N4256" s="97" t="s">
        <v>356</v>
      </c>
      <c r="O4256" s="45" t="s">
        <v>195</v>
      </c>
      <c r="P4256" s="58" t="s">
        <v>19</v>
      </c>
      <c r="Q4256" s="58" t="s">
        <v>47</v>
      </c>
      <c r="R4256" s="58" t="s">
        <v>265</v>
      </c>
    </row>
    <row r="4257" spans="1:18" ht="69" customHeight="1">
      <c r="A4257" s="168"/>
      <c r="B4257" s="207">
        <v>1032</v>
      </c>
      <c r="C4257" s="207" t="s">
        <v>458</v>
      </c>
      <c r="D4257" s="301" t="s">
        <v>1947</v>
      </c>
      <c r="E4257" s="208" t="s">
        <v>7181</v>
      </c>
      <c r="F4257" s="208" t="s">
        <v>10741</v>
      </c>
      <c r="G4257" s="160" t="s">
        <v>10659</v>
      </c>
      <c r="H4257" s="300">
        <v>46001</v>
      </c>
      <c r="I4257" s="209">
        <v>45071</v>
      </c>
      <c r="J4257" s="322" t="s">
        <v>10742</v>
      </c>
      <c r="K4257" s="160" t="s">
        <v>4128</v>
      </c>
      <c r="M4257" s="383" t="s">
        <v>9233</v>
      </c>
      <c r="N4257" s="54" t="s">
        <v>414</v>
      </c>
      <c r="O4257" s="160"/>
      <c r="P4257" s="160" t="s">
        <v>67</v>
      </c>
      <c r="Q4257" s="160" t="s">
        <v>113</v>
      </c>
      <c r="R4257" s="160" t="s">
        <v>265</v>
      </c>
    </row>
    <row r="4258" spans="1:18" ht="69" customHeight="1">
      <c r="A4258" s="168"/>
      <c r="B4258" s="178">
        <v>1036</v>
      </c>
      <c r="C4258" s="59" t="s">
        <v>3667</v>
      </c>
      <c r="D4258" s="575" t="s">
        <v>10743</v>
      </c>
      <c r="E4258" s="178" t="s">
        <v>877</v>
      </c>
      <c r="F4258" s="210" t="s">
        <v>10744</v>
      </c>
      <c r="G4258" s="58" t="s">
        <v>10745</v>
      </c>
      <c r="H4258" s="546">
        <v>50000</v>
      </c>
      <c r="I4258" s="66" t="s">
        <v>96</v>
      </c>
      <c r="J4258" s="411" t="s">
        <v>10746</v>
      </c>
      <c r="K4258" s="58"/>
      <c r="L4258" s="99"/>
      <c r="M4258" s="70" t="s">
        <v>4603</v>
      </c>
      <c r="N4258" s="97" t="s">
        <v>741</v>
      </c>
      <c r="O4258" s="58" t="s">
        <v>154</v>
      </c>
      <c r="P4258" s="58" t="s">
        <v>59</v>
      </c>
      <c r="Q4258" s="58" t="s">
        <v>56</v>
      </c>
      <c r="R4258" s="58" t="s">
        <v>272</v>
      </c>
    </row>
    <row r="4259" spans="1:18" ht="69" customHeight="1">
      <c r="A4259" s="168"/>
      <c r="B4259" s="178">
        <v>1037</v>
      </c>
      <c r="C4259" s="59" t="s">
        <v>3667</v>
      </c>
      <c r="D4259" s="575" t="s">
        <v>10747</v>
      </c>
      <c r="E4259" s="178" t="s">
        <v>877</v>
      </c>
      <c r="F4259" s="210" t="s">
        <v>10748</v>
      </c>
      <c r="G4259" s="58" t="s">
        <v>10745</v>
      </c>
      <c r="H4259" s="546">
        <v>50000</v>
      </c>
      <c r="I4259" s="66" t="s">
        <v>96</v>
      </c>
      <c r="J4259" s="411" t="s">
        <v>10746</v>
      </c>
      <c r="K4259" s="58"/>
      <c r="L4259" s="99"/>
      <c r="M4259" s="70" t="s">
        <v>4775</v>
      </c>
      <c r="N4259" s="97" t="s">
        <v>741</v>
      </c>
      <c r="O4259" s="58" t="s">
        <v>154</v>
      </c>
      <c r="P4259" s="58" t="s">
        <v>59</v>
      </c>
      <c r="Q4259" s="58" t="s">
        <v>58</v>
      </c>
      <c r="R4259" s="58" t="s">
        <v>272</v>
      </c>
    </row>
    <row r="4260" spans="1:18" ht="69" customHeight="1">
      <c r="A4260" s="168"/>
      <c r="B4260" s="178">
        <v>1038</v>
      </c>
      <c r="C4260" s="178" t="s">
        <v>458</v>
      </c>
      <c r="D4260" s="575" t="s">
        <v>3547</v>
      </c>
      <c r="E4260" s="178" t="s">
        <v>877</v>
      </c>
      <c r="F4260" s="210" t="s">
        <v>10749</v>
      </c>
      <c r="G4260" s="58" t="s">
        <v>10745</v>
      </c>
      <c r="H4260" s="546">
        <v>50000</v>
      </c>
      <c r="I4260" s="66" t="s">
        <v>96</v>
      </c>
      <c r="J4260" s="411" t="s">
        <v>10746</v>
      </c>
      <c r="K4260" s="58"/>
      <c r="L4260" s="99"/>
      <c r="M4260" s="70" t="s">
        <v>9326</v>
      </c>
      <c r="N4260" s="97" t="s">
        <v>741</v>
      </c>
      <c r="O4260" s="45" t="s">
        <v>154</v>
      </c>
      <c r="P4260" s="58" t="s">
        <v>59</v>
      </c>
      <c r="Q4260" s="58" t="s">
        <v>114</v>
      </c>
      <c r="R4260" s="58" t="s">
        <v>272</v>
      </c>
    </row>
    <row r="4261" spans="1:18" ht="69" customHeight="1">
      <c r="A4261" s="168"/>
      <c r="B4261" s="178">
        <v>1039</v>
      </c>
      <c r="C4261" s="178" t="s">
        <v>458</v>
      </c>
      <c r="D4261" s="575" t="s">
        <v>10750</v>
      </c>
      <c r="E4261" s="178" t="s">
        <v>7181</v>
      </c>
      <c r="F4261" s="210" t="s">
        <v>10751</v>
      </c>
      <c r="G4261" s="58" t="s">
        <v>10739</v>
      </c>
      <c r="H4261" s="546">
        <v>25327.58</v>
      </c>
      <c r="I4261" s="66">
        <v>45071</v>
      </c>
      <c r="J4261" s="411" t="s">
        <v>10752</v>
      </c>
      <c r="K4261" s="58"/>
      <c r="L4261" s="99"/>
      <c r="M4261" s="70" t="s">
        <v>9233</v>
      </c>
      <c r="N4261" s="97" t="s">
        <v>414</v>
      </c>
      <c r="O4261" s="58"/>
      <c r="P4261" s="58" t="s">
        <v>22</v>
      </c>
      <c r="Q4261" s="58" t="s">
        <v>113</v>
      </c>
      <c r="R4261" s="58" t="s">
        <v>265</v>
      </c>
    </row>
    <row r="4262" spans="1:18" ht="69" customHeight="1">
      <c r="A4262" s="168"/>
      <c r="B4262" s="178">
        <v>1040</v>
      </c>
      <c r="C4262" s="178" t="s">
        <v>657</v>
      </c>
      <c r="D4262" s="575" t="s">
        <v>2598</v>
      </c>
      <c r="E4262" s="178" t="s">
        <v>10753</v>
      </c>
      <c r="F4262" s="210" t="s">
        <v>10754</v>
      </c>
      <c r="G4262" s="58" t="s">
        <v>10739</v>
      </c>
      <c r="H4262" s="546">
        <v>25297.68</v>
      </c>
      <c r="I4262" s="66">
        <v>45071</v>
      </c>
      <c r="J4262" s="411" t="s">
        <v>10752</v>
      </c>
      <c r="K4262" s="58"/>
      <c r="L4262" s="99"/>
      <c r="M4262" s="70" t="s">
        <v>7137</v>
      </c>
      <c r="N4262" s="97" t="s">
        <v>414</v>
      </c>
      <c r="O4262" s="58"/>
      <c r="P4262" s="58" t="s">
        <v>22</v>
      </c>
      <c r="Q4262" s="58" t="s">
        <v>97</v>
      </c>
      <c r="R4262" s="58" t="s">
        <v>265</v>
      </c>
    </row>
    <row r="4263" spans="1:18" ht="69" customHeight="1">
      <c r="A4263" s="168"/>
      <c r="B4263" s="178">
        <v>8866</v>
      </c>
      <c r="C4263" s="59" t="s">
        <v>3667</v>
      </c>
      <c r="D4263" s="575" t="s">
        <v>10755</v>
      </c>
      <c r="E4263" s="178" t="s">
        <v>10756</v>
      </c>
      <c r="F4263" s="210" t="s">
        <v>10757</v>
      </c>
      <c r="G4263" s="58" t="s">
        <v>10758</v>
      </c>
      <c r="H4263" s="546">
        <v>316360</v>
      </c>
      <c r="I4263" s="66">
        <v>44991</v>
      </c>
      <c r="J4263" s="411" t="s">
        <v>10759</v>
      </c>
      <c r="K4263" s="58"/>
      <c r="L4263" s="99"/>
      <c r="M4263" s="70" t="s">
        <v>10760</v>
      </c>
      <c r="N4263" s="97" t="s">
        <v>356</v>
      </c>
      <c r="O4263" s="58" t="s">
        <v>156</v>
      </c>
      <c r="P4263" s="58" t="s">
        <v>19</v>
      </c>
      <c r="Q4263" s="58" t="s">
        <v>93</v>
      </c>
      <c r="R4263" s="58" t="s">
        <v>265</v>
      </c>
    </row>
    <row r="4264" spans="1:18" ht="69" customHeight="1">
      <c r="A4264" s="168"/>
      <c r="B4264" s="178">
        <v>8867</v>
      </c>
      <c r="C4264" s="59" t="s">
        <v>3667</v>
      </c>
      <c r="D4264" s="575" t="s">
        <v>10761</v>
      </c>
      <c r="E4264" s="178" t="s">
        <v>10756</v>
      </c>
      <c r="F4264" s="210" t="s">
        <v>10762</v>
      </c>
      <c r="G4264" s="58" t="s">
        <v>10758</v>
      </c>
      <c r="H4264" s="546">
        <v>303475.39</v>
      </c>
      <c r="I4264" s="66">
        <v>44984</v>
      </c>
      <c r="J4264" s="411" t="s">
        <v>10759</v>
      </c>
      <c r="K4264" s="58"/>
      <c r="L4264" s="99"/>
      <c r="M4264" s="70" t="s">
        <v>10760</v>
      </c>
      <c r="N4264" s="97" t="s">
        <v>356</v>
      </c>
      <c r="O4264" s="58" t="s">
        <v>156</v>
      </c>
      <c r="P4264" s="58" t="s">
        <v>19</v>
      </c>
      <c r="Q4264" s="58" t="s">
        <v>93</v>
      </c>
      <c r="R4264" s="58" t="s">
        <v>265</v>
      </c>
    </row>
    <row r="4265" spans="1:18" ht="69" customHeight="1">
      <c r="A4265" s="168"/>
      <c r="B4265" s="178">
        <v>8868</v>
      </c>
      <c r="C4265" s="59" t="s">
        <v>3667</v>
      </c>
      <c r="D4265" s="575">
        <v>1805</v>
      </c>
      <c r="E4265" s="178" t="s">
        <v>10756</v>
      </c>
      <c r="F4265" s="210" t="s">
        <v>10763</v>
      </c>
      <c r="G4265" s="58" t="s">
        <v>10758</v>
      </c>
      <c r="H4265" s="546">
        <v>668395.77</v>
      </c>
      <c r="I4265" s="66">
        <v>44985</v>
      </c>
      <c r="J4265" s="411" t="s">
        <v>10759</v>
      </c>
      <c r="K4265" s="58"/>
      <c r="L4265" s="99"/>
      <c r="M4265" s="70" t="s">
        <v>10760</v>
      </c>
      <c r="N4265" s="97" t="s">
        <v>356</v>
      </c>
      <c r="O4265" s="58" t="s">
        <v>156</v>
      </c>
      <c r="P4265" s="58" t="s">
        <v>19</v>
      </c>
      <c r="Q4265" s="58" t="s">
        <v>93</v>
      </c>
      <c r="R4265" s="58" t="s">
        <v>265</v>
      </c>
    </row>
    <row r="4266" spans="1:18" ht="69" customHeight="1">
      <c r="A4266" s="168"/>
      <c r="B4266" s="178">
        <v>8872</v>
      </c>
      <c r="C4266" s="178" t="s">
        <v>8901</v>
      </c>
      <c r="D4266" s="575" t="s">
        <v>10764</v>
      </c>
      <c r="E4266" s="178" t="s">
        <v>10765</v>
      </c>
      <c r="F4266" s="210" t="s">
        <v>10766</v>
      </c>
      <c r="G4266" s="58" t="s">
        <v>10767</v>
      </c>
      <c r="H4266" s="546">
        <v>300000</v>
      </c>
      <c r="I4266" s="66">
        <v>44986</v>
      </c>
      <c r="J4266" s="411" t="s">
        <v>10768</v>
      </c>
      <c r="K4266" s="58"/>
      <c r="L4266" s="99"/>
      <c r="M4266" s="70" t="s">
        <v>10769</v>
      </c>
      <c r="N4266" s="97" t="s">
        <v>356</v>
      </c>
      <c r="O4266" s="58" t="s">
        <v>156</v>
      </c>
      <c r="P4266" s="58" t="s">
        <v>19</v>
      </c>
      <c r="Q4266" s="58" t="s">
        <v>93</v>
      </c>
      <c r="R4266" s="58" t="s">
        <v>272</v>
      </c>
    </row>
    <row r="4267" spans="1:18" ht="69" customHeight="1">
      <c r="A4267" s="168"/>
      <c r="B4267" s="178">
        <v>9345</v>
      </c>
      <c r="C4267" s="59" t="s">
        <v>3667</v>
      </c>
      <c r="D4267" s="575" t="s">
        <v>10770</v>
      </c>
      <c r="E4267" s="178" t="s">
        <v>266</v>
      </c>
      <c r="F4267" s="210" t="s">
        <v>10771</v>
      </c>
      <c r="G4267" s="58" t="s">
        <v>10772</v>
      </c>
      <c r="H4267" s="546">
        <v>19698.82</v>
      </c>
      <c r="I4267" s="66">
        <v>45009</v>
      </c>
      <c r="J4267" s="411" t="s">
        <v>10773</v>
      </c>
      <c r="K4267" s="58">
        <v>39397.64</v>
      </c>
      <c r="L4267" s="99"/>
      <c r="M4267" s="70" t="s">
        <v>10774</v>
      </c>
      <c r="N4267" s="97" t="s">
        <v>270</v>
      </c>
      <c r="O4267" s="58"/>
      <c r="P4267" s="58" t="s">
        <v>44</v>
      </c>
      <c r="Q4267" s="58" t="s">
        <v>93</v>
      </c>
      <c r="R4267" s="58" t="s">
        <v>272</v>
      </c>
    </row>
    <row r="4268" spans="1:18" ht="69" customHeight="1">
      <c r="A4268" s="168"/>
      <c r="B4268" s="178">
        <v>9790</v>
      </c>
      <c r="C4268" s="59" t="s">
        <v>3667</v>
      </c>
      <c r="D4268" s="575" t="s">
        <v>10775</v>
      </c>
      <c r="E4268" s="178" t="s">
        <v>10765</v>
      </c>
      <c r="F4268" s="210" t="s">
        <v>10776</v>
      </c>
      <c r="G4268" s="58" t="s">
        <v>3627</v>
      </c>
      <c r="H4268" s="546">
        <v>400000</v>
      </c>
      <c r="I4268" s="66">
        <v>45041</v>
      </c>
      <c r="J4268" s="411" t="s">
        <v>1950</v>
      </c>
      <c r="K4268" s="58"/>
      <c r="L4268" s="99"/>
      <c r="M4268" s="70" t="s">
        <v>10769</v>
      </c>
      <c r="N4268" s="97" t="s">
        <v>6197</v>
      </c>
      <c r="O4268" s="58" t="s">
        <v>10777</v>
      </c>
      <c r="P4268" s="58" t="s">
        <v>19</v>
      </c>
      <c r="Q4268" s="58" t="s">
        <v>93</v>
      </c>
      <c r="R4268" s="58" t="s">
        <v>272</v>
      </c>
    </row>
    <row r="4269" spans="1:18" ht="69" customHeight="1">
      <c r="A4269" s="168"/>
      <c r="B4269" s="178">
        <v>1035</v>
      </c>
      <c r="C4269" s="59" t="s">
        <v>3667</v>
      </c>
      <c r="D4269" s="575" t="s">
        <v>10778</v>
      </c>
      <c r="E4269" s="178" t="s">
        <v>266</v>
      </c>
      <c r="F4269" s="210" t="s">
        <v>10779</v>
      </c>
      <c r="G4269" s="58" t="s">
        <v>10780</v>
      </c>
      <c r="H4269" s="546">
        <v>29548.224999999999</v>
      </c>
      <c r="I4269" s="66">
        <v>45071</v>
      </c>
      <c r="J4269" s="411" t="s">
        <v>10781</v>
      </c>
      <c r="K4269" s="58" t="s">
        <v>10782</v>
      </c>
      <c r="L4269" s="99"/>
      <c r="M4269" s="70" t="s">
        <v>10774</v>
      </c>
      <c r="N4269" s="97" t="s">
        <v>270</v>
      </c>
      <c r="O4269" s="58"/>
      <c r="P4269" s="58" t="s">
        <v>44</v>
      </c>
      <c r="Q4269" s="58" t="s">
        <v>93</v>
      </c>
      <c r="R4269" s="58" t="s">
        <v>272</v>
      </c>
    </row>
    <row r="4270" spans="1:18" ht="69" customHeight="1">
      <c r="A4270" s="168"/>
      <c r="B4270" s="178">
        <v>8869</v>
      </c>
      <c r="C4270" s="59" t="s">
        <v>3667</v>
      </c>
      <c r="D4270" s="575" t="s">
        <v>10783</v>
      </c>
      <c r="E4270" s="178" t="s">
        <v>10756</v>
      </c>
      <c r="F4270" s="210" t="s">
        <v>10784</v>
      </c>
      <c r="G4270" s="58" t="s">
        <v>10758</v>
      </c>
      <c r="H4270" s="546">
        <v>89480.1</v>
      </c>
      <c r="I4270" s="66">
        <v>44984</v>
      </c>
      <c r="J4270" s="411" t="s">
        <v>10785</v>
      </c>
      <c r="K4270" s="58"/>
      <c r="L4270" s="99"/>
      <c r="M4270" s="70" t="s">
        <v>10786</v>
      </c>
      <c r="N4270" s="97" t="s">
        <v>356</v>
      </c>
      <c r="O4270" s="58" t="s">
        <v>156</v>
      </c>
      <c r="P4270" s="58" t="s">
        <v>19</v>
      </c>
      <c r="Q4270" s="58" t="s">
        <v>95</v>
      </c>
      <c r="R4270" s="58" t="s">
        <v>265</v>
      </c>
    </row>
    <row r="4271" spans="1:18" ht="69" customHeight="1">
      <c r="A4271" s="168"/>
      <c r="B4271" s="178">
        <v>8870</v>
      </c>
      <c r="C4271" s="59" t="s">
        <v>3667</v>
      </c>
      <c r="D4271" s="575" t="s">
        <v>10787</v>
      </c>
      <c r="E4271" s="178" t="s">
        <v>10756</v>
      </c>
      <c r="F4271" s="210" t="s">
        <v>10788</v>
      </c>
      <c r="G4271" s="58" t="s">
        <v>10758</v>
      </c>
      <c r="H4271" s="546">
        <v>390977.19</v>
      </c>
      <c r="I4271" s="66">
        <v>44984</v>
      </c>
      <c r="J4271" s="411" t="s">
        <v>10785</v>
      </c>
      <c r="K4271" s="58"/>
      <c r="L4271" s="99"/>
      <c r="M4271" s="70" t="s">
        <v>10786</v>
      </c>
      <c r="N4271" s="97" t="s">
        <v>356</v>
      </c>
      <c r="O4271" s="58" t="s">
        <v>156</v>
      </c>
      <c r="P4271" s="58" t="s">
        <v>19</v>
      </c>
      <c r="Q4271" s="58" t="s">
        <v>95</v>
      </c>
      <c r="R4271" s="58" t="s">
        <v>265</v>
      </c>
    </row>
    <row r="4272" spans="1:18" ht="69" customHeight="1">
      <c r="A4272" s="168"/>
      <c r="B4272" s="178">
        <v>8871</v>
      </c>
      <c r="C4272" s="59" t="s">
        <v>3667</v>
      </c>
      <c r="D4272" s="575" t="s">
        <v>10789</v>
      </c>
      <c r="E4272" s="178" t="s">
        <v>10756</v>
      </c>
      <c r="F4272" s="210" t="s">
        <v>10790</v>
      </c>
      <c r="G4272" s="58" t="s">
        <v>10758</v>
      </c>
      <c r="H4272" s="546">
        <v>585898.41</v>
      </c>
      <c r="I4272" s="66">
        <v>44985</v>
      </c>
      <c r="J4272" s="411" t="s">
        <v>10785</v>
      </c>
      <c r="K4272" s="58"/>
      <c r="L4272" s="99"/>
      <c r="M4272" s="70" t="s">
        <v>10786</v>
      </c>
      <c r="N4272" s="97" t="s">
        <v>356</v>
      </c>
      <c r="O4272" s="58" t="s">
        <v>156</v>
      </c>
      <c r="P4272" s="58" t="s">
        <v>19</v>
      </c>
      <c r="Q4272" s="58" t="s">
        <v>95</v>
      </c>
      <c r="R4272" s="58" t="s">
        <v>265</v>
      </c>
    </row>
    <row r="4273" spans="1:18" ht="69" customHeight="1">
      <c r="A4273" s="168"/>
      <c r="B4273" s="178">
        <v>8873</v>
      </c>
      <c r="C4273" s="178" t="s">
        <v>8901</v>
      </c>
      <c r="D4273" s="575" t="s">
        <v>10791</v>
      </c>
      <c r="E4273" s="178" t="s">
        <v>10765</v>
      </c>
      <c r="F4273" s="210" t="s">
        <v>10792</v>
      </c>
      <c r="G4273" s="58" t="s">
        <v>10767</v>
      </c>
      <c r="H4273" s="546">
        <v>300000</v>
      </c>
      <c r="I4273" s="66">
        <v>44986</v>
      </c>
      <c r="J4273" s="411" t="s">
        <v>10768</v>
      </c>
      <c r="K4273" s="58"/>
      <c r="L4273" s="99"/>
      <c r="M4273" s="70" t="s">
        <v>10793</v>
      </c>
      <c r="N4273" s="97" t="s">
        <v>356</v>
      </c>
      <c r="O4273" s="58" t="s">
        <v>156</v>
      </c>
      <c r="P4273" s="58" t="s">
        <v>19</v>
      </c>
      <c r="Q4273" s="58" t="s">
        <v>95</v>
      </c>
      <c r="R4273" s="58" t="s">
        <v>272</v>
      </c>
    </row>
    <row r="4274" spans="1:18" ht="69" customHeight="1">
      <c r="A4274" s="168"/>
      <c r="B4274" s="178">
        <v>9345</v>
      </c>
      <c r="C4274" s="59" t="s">
        <v>3667</v>
      </c>
      <c r="D4274" s="575" t="s">
        <v>10770</v>
      </c>
      <c r="E4274" s="178" t="s">
        <v>266</v>
      </c>
      <c r="F4274" s="210" t="s">
        <v>10771</v>
      </c>
      <c r="G4274" s="58" t="s">
        <v>10772</v>
      </c>
      <c r="H4274" s="546">
        <v>19698.82</v>
      </c>
      <c r="I4274" s="66">
        <v>45009</v>
      </c>
      <c r="J4274" s="411" t="s">
        <v>10773</v>
      </c>
      <c r="K4274" s="58">
        <v>39397.64</v>
      </c>
      <c r="L4274" s="99"/>
      <c r="M4274" s="70" t="s">
        <v>10794</v>
      </c>
      <c r="N4274" s="97" t="s">
        <v>270</v>
      </c>
      <c r="O4274" s="58"/>
      <c r="P4274" s="58" t="s">
        <v>44</v>
      </c>
      <c r="Q4274" s="58" t="s">
        <v>95</v>
      </c>
      <c r="R4274" s="58" t="s">
        <v>272</v>
      </c>
    </row>
    <row r="4275" spans="1:18" ht="69" customHeight="1">
      <c r="A4275" s="168"/>
      <c r="B4275" s="178">
        <v>9789</v>
      </c>
      <c r="C4275" s="59" t="s">
        <v>3667</v>
      </c>
      <c r="D4275" s="575" t="s">
        <v>10795</v>
      </c>
      <c r="E4275" s="178" t="s">
        <v>10765</v>
      </c>
      <c r="F4275" s="210" t="s">
        <v>10796</v>
      </c>
      <c r="G4275" s="58" t="s">
        <v>3627</v>
      </c>
      <c r="H4275" s="546">
        <v>400000</v>
      </c>
      <c r="I4275" s="66">
        <v>45041</v>
      </c>
      <c r="J4275" s="411" t="s">
        <v>1950</v>
      </c>
      <c r="K4275" s="58"/>
      <c r="L4275" s="99"/>
      <c r="M4275" s="70" t="s">
        <v>10793</v>
      </c>
      <c r="N4275" s="97" t="s">
        <v>356</v>
      </c>
      <c r="O4275" s="58" t="s">
        <v>156</v>
      </c>
      <c r="P4275" s="58" t="s">
        <v>19</v>
      </c>
      <c r="Q4275" s="58" t="s">
        <v>95</v>
      </c>
      <c r="R4275" s="58" t="s">
        <v>272</v>
      </c>
    </row>
    <row r="4276" spans="1:18" ht="69" customHeight="1">
      <c r="A4276" s="168"/>
      <c r="B4276" s="178">
        <v>1035</v>
      </c>
      <c r="C4276" s="59" t="s">
        <v>3667</v>
      </c>
      <c r="D4276" s="575" t="s">
        <v>10778</v>
      </c>
      <c r="E4276" s="178" t="s">
        <v>266</v>
      </c>
      <c r="F4276" s="210" t="s">
        <v>10779</v>
      </c>
      <c r="G4276" s="58" t="s">
        <v>10780</v>
      </c>
      <c r="H4276" s="546">
        <v>29548.224999999999</v>
      </c>
      <c r="I4276" s="66">
        <v>45071</v>
      </c>
      <c r="J4276" s="411" t="s">
        <v>10781</v>
      </c>
      <c r="K4276" s="58" t="s">
        <v>10782</v>
      </c>
      <c r="L4276" s="99"/>
      <c r="M4276" s="70" t="s">
        <v>10794</v>
      </c>
      <c r="N4276" s="97" t="s">
        <v>270</v>
      </c>
      <c r="O4276" s="58"/>
      <c r="P4276" s="58" t="s">
        <v>44</v>
      </c>
      <c r="Q4276" s="58" t="s">
        <v>95</v>
      </c>
      <c r="R4276" s="58" t="s">
        <v>272</v>
      </c>
    </row>
    <row r="4277" spans="1:18" ht="69" customHeight="1">
      <c r="A4277" s="168"/>
      <c r="B4277" s="178">
        <v>1041</v>
      </c>
      <c r="C4277" s="59" t="s">
        <v>3667</v>
      </c>
      <c r="D4277" s="575" t="s">
        <v>10797</v>
      </c>
      <c r="E4277" s="178" t="s">
        <v>741</v>
      </c>
      <c r="F4277" s="210" t="s">
        <v>10798</v>
      </c>
      <c r="G4277" s="58" t="s">
        <v>10799</v>
      </c>
      <c r="H4277" s="546">
        <v>146755.28</v>
      </c>
      <c r="I4277" s="66">
        <v>45058</v>
      </c>
      <c r="J4277" s="411" t="s">
        <v>10800</v>
      </c>
      <c r="K4277" s="58"/>
      <c r="L4277" s="99"/>
      <c r="M4277" s="70" t="s">
        <v>6177</v>
      </c>
      <c r="N4277" s="97" t="s">
        <v>741</v>
      </c>
      <c r="O4277" s="58"/>
      <c r="P4277" s="58" t="s">
        <v>59</v>
      </c>
      <c r="Q4277" s="58" t="s">
        <v>72</v>
      </c>
      <c r="R4277" s="58" t="s">
        <v>272</v>
      </c>
    </row>
    <row r="4278" spans="1:18" ht="69" customHeight="1">
      <c r="A4278" s="168"/>
      <c r="B4278" s="207">
        <v>1042</v>
      </c>
      <c r="C4278" s="207" t="s">
        <v>3647</v>
      </c>
      <c r="D4278" s="301" t="s">
        <v>10801</v>
      </c>
      <c r="E4278" s="207" t="s">
        <v>266</v>
      </c>
      <c r="F4278" s="208" t="s">
        <v>10802</v>
      </c>
      <c r="G4278" s="160" t="s">
        <v>10659</v>
      </c>
      <c r="H4278" s="300">
        <v>41433</v>
      </c>
      <c r="I4278" s="209">
        <v>45066</v>
      </c>
      <c r="J4278" s="322" t="s">
        <v>10803</v>
      </c>
      <c r="K4278" s="160" t="s">
        <v>10804</v>
      </c>
      <c r="L4278" s="99"/>
      <c r="M4278" s="379"/>
      <c r="N4278" s="76" t="s">
        <v>6197</v>
      </c>
      <c r="O4278" s="160" t="s">
        <v>10805</v>
      </c>
      <c r="P4278" s="160" t="s">
        <v>67</v>
      </c>
      <c r="Q4278" s="160" t="s">
        <v>96</v>
      </c>
      <c r="R4278" s="160" t="s">
        <v>272</v>
      </c>
    </row>
    <row r="4279" spans="1:18" ht="69" customHeight="1">
      <c r="A4279" s="168"/>
      <c r="B4279" s="207">
        <v>1043</v>
      </c>
      <c r="C4279" s="207" t="s">
        <v>3667</v>
      </c>
      <c r="D4279" s="301" t="s">
        <v>10806</v>
      </c>
      <c r="E4279" s="207" t="s">
        <v>266</v>
      </c>
      <c r="F4279" s="208" t="s">
        <v>10807</v>
      </c>
      <c r="G4279" s="160" t="s">
        <v>10808</v>
      </c>
      <c r="H4279" s="300">
        <v>12320</v>
      </c>
      <c r="I4279" s="209">
        <v>45071</v>
      </c>
      <c r="J4279" s="322" t="s">
        <v>10809</v>
      </c>
      <c r="K4279" s="160" t="s">
        <v>10804</v>
      </c>
      <c r="L4279" s="99"/>
      <c r="M4279" s="379"/>
      <c r="N4279" s="76" t="s">
        <v>6197</v>
      </c>
      <c r="O4279" s="160" t="s">
        <v>10810</v>
      </c>
      <c r="P4279" s="160" t="s">
        <v>67</v>
      </c>
      <c r="Q4279" s="160" t="s">
        <v>96</v>
      </c>
      <c r="R4279" s="160" t="s">
        <v>272</v>
      </c>
    </row>
    <row r="4280" spans="1:18" ht="69" customHeight="1">
      <c r="A4280" s="168"/>
      <c r="B4280" s="207">
        <v>1044</v>
      </c>
      <c r="C4280" s="207" t="s">
        <v>309</v>
      </c>
      <c r="D4280" s="301" t="s">
        <v>6570</v>
      </c>
      <c r="E4280" s="207" t="s">
        <v>266</v>
      </c>
      <c r="F4280" s="208" t="s">
        <v>10811</v>
      </c>
      <c r="G4280" s="160" t="s">
        <v>10808</v>
      </c>
      <c r="H4280" s="300">
        <v>9625</v>
      </c>
      <c r="I4280" s="209">
        <v>45071</v>
      </c>
      <c r="J4280" s="322" t="s">
        <v>10809</v>
      </c>
      <c r="K4280" s="160" t="s">
        <v>10804</v>
      </c>
      <c r="L4280" s="99"/>
      <c r="M4280" s="379"/>
      <c r="N4280" s="76" t="s">
        <v>6197</v>
      </c>
      <c r="O4280" s="160" t="s">
        <v>10810</v>
      </c>
      <c r="P4280" s="160" t="s">
        <v>67</v>
      </c>
      <c r="Q4280" s="160" t="s">
        <v>96</v>
      </c>
      <c r="R4280" s="160" t="s">
        <v>272</v>
      </c>
    </row>
    <row r="4281" spans="1:18" ht="69" customHeight="1">
      <c r="A4281" s="168"/>
      <c r="B4281" s="207">
        <v>1045</v>
      </c>
      <c r="C4281" s="207" t="s">
        <v>458</v>
      </c>
      <c r="D4281" s="301" t="s">
        <v>6562</v>
      </c>
      <c r="E4281" s="207" t="s">
        <v>266</v>
      </c>
      <c r="F4281" s="208" t="s">
        <v>10812</v>
      </c>
      <c r="G4281" s="160" t="s">
        <v>10808</v>
      </c>
      <c r="H4281" s="300">
        <v>9625</v>
      </c>
      <c r="I4281" s="209">
        <v>45071</v>
      </c>
      <c r="J4281" s="322" t="s">
        <v>10809</v>
      </c>
      <c r="K4281" s="160" t="s">
        <v>10804</v>
      </c>
      <c r="L4281" s="99"/>
      <c r="M4281" s="379"/>
      <c r="N4281" s="76" t="s">
        <v>6197</v>
      </c>
      <c r="O4281" s="160" t="s">
        <v>10810</v>
      </c>
      <c r="P4281" s="160" t="s">
        <v>67</v>
      </c>
      <c r="Q4281" s="160" t="s">
        <v>96</v>
      </c>
      <c r="R4281" s="160" t="s">
        <v>272</v>
      </c>
    </row>
    <row r="4282" spans="1:18" ht="69" customHeight="1">
      <c r="A4282" s="168"/>
      <c r="B4282" s="207">
        <v>1046</v>
      </c>
      <c r="C4282" s="207" t="s">
        <v>657</v>
      </c>
      <c r="D4282" s="301" t="s">
        <v>6745</v>
      </c>
      <c r="E4282" s="207" t="s">
        <v>266</v>
      </c>
      <c r="F4282" s="208" t="s">
        <v>10813</v>
      </c>
      <c r="G4282" s="160" t="s">
        <v>10808</v>
      </c>
      <c r="H4282" s="300">
        <v>6930</v>
      </c>
      <c r="I4282" s="209">
        <v>45071</v>
      </c>
      <c r="J4282" s="322" t="s">
        <v>10809</v>
      </c>
      <c r="K4282" s="160" t="s">
        <v>10804</v>
      </c>
      <c r="L4282" s="99"/>
      <c r="M4282" s="379"/>
      <c r="N4282" s="76" t="s">
        <v>6197</v>
      </c>
      <c r="O4282" s="160" t="s">
        <v>10810</v>
      </c>
      <c r="P4282" s="160" t="s">
        <v>67</v>
      </c>
      <c r="Q4282" s="160" t="s">
        <v>96</v>
      </c>
      <c r="R4282" s="160" t="s">
        <v>272</v>
      </c>
    </row>
    <row r="4283" spans="1:18" ht="69" customHeight="1">
      <c r="A4283" s="168"/>
      <c r="B4283" s="178">
        <v>1047</v>
      </c>
      <c r="C4283" s="178" t="s">
        <v>10621</v>
      </c>
      <c r="D4283" s="575" t="s">
        <v>10814</v>
      </c>
      <c r="E4283" s="178" t="s">
        <v>266</v>
      </c>
      <c r="F4283" s="210" t="s">
        <v>10815</v>
      </c>
      <c r="G4283" s="58" t="s">
        <v>5654</v>
      </c>
      <c r="H4283" s="546">
        <v>6625.46</v>
      </c>
      <c r="I4283" s="66">
        <v>45068</v>
      </c>
      <c r="J4283" s="411" t="s">
        <v>10816</v>
      </c>
      <c r="K4283" s="58"/>
      <c r="L4283" s="99"/>
      <c r="M4283" s="70" t="s">
        <v>5674</v>
      </c>
      <c r="N4283" s="97" t="s">
        <v>270</v>
      </c>
      <c r="O4283" s="58"/>
      <c r="P4283" s="58" t="s">
        <v>44</v>
      </c>
      <c r="Q4283" s="58" t="s">
        <v>66</v>
      </c>
      <c r="R4283" s="58" t="s">
        <v>272</v>
      </c>
    </row>
    <row r="4284" spans="1:18" ht="69" customHeight="1">
      <c r="A4284" s="168"/>
      <c r="B4284" s="178">
        <v>1048</v>
      </c>
      <c r="C4284" s="178" t="s">
        <v>309</v>
      </c>
      <c r="D4284" s="575" t="s">
        <v>5362</v>
      </c>
      <c r="E4284" s="178" t="s">
        <v>266</v>
      </c>
      <c r="F4284" s="210" t="s">
        <v>10817</v>
      </c>
      <c r="G4284" s="58" t="s">
        <v>5654</v>
      </c>
      <c r="H4284" s="546">
        <v>1150</v>
      </c>
      <c r="I4284" s="66">
        <v>45068</v>
      </c>
      <c r="J4284" s="411" t="s">
        <v>10816</v>
      </c>
      <c r="K4284" s="58"/>
      <c r="L4284" s="99"/>
      <c r="M4284" s="70" t="s">
        <v>3152</v>
      </c>
      <c r="N4284" s="97" t="s">
        <v>270</v>
      </c>
      <c r="O4284" s="58"/>
      <c r="P4284" s="58" t="s">
        <v>44</v>
      </c>
      <c r="Q4284" s="58" t="s">
        <v>41</v>
      </c>
      <c r="R4284" s="58" t="s">
        <v>272</v>
      </c>
    </row>
    <row r="4285" spans="1:18" ht="69" customHeight="1">
      <c r="A4285" s="168"/>
      <c r="B4285" s="178">
        <v>1049</v>
      </c>
      <c r="C4285" s="178" t="s">
        <v>458</v>
      </c>
      <c r="D4285" s="575" t="s">
        <v>1422</v>
      </c>
      <c r="E4285" s="178" t="s">
        <v>266</v>
      </c>
      <c r="F4285" s="210" t="s">
        <v>10818</v>
      </c>
      <c r="G4285" s="58" t="s">
        <v>5654</v>
      </c>
      <c r="H4285" s="546">
        <v>1150</v>
      </c>
      <c r="I4285" s="66">
        <v>45068</v>
      </c>
      <c r="J4285" s="411" t="s">
        <v>10816</v>
      </c>
      <c r="K4285" s="58"/>
      <c r="L4285" s="99"/>
      <c r="M4285" s="70" t="s">
        <v>7231</v>
      </c>
      <c r="N4285" s="97" t="s">
        <v>270</v>
      </c>
      <c r="O4285" s="58"/>
      <c r="P4285" s="58" t="s">
        <v>44</v>
      </c>
      <c r="Q4285" s="58" t="s">
        <v>100</v>
      </c>
      <c r="R4285" s="58" t="s">
        <v>272</v>
      </c>
    </row>
    <row r="4286" spans="1:18" ht="69" customHeight="1">
      <c r="A4286" s="168"/>
      <c r="B4286" s="178">
        <v>1050</v>
      </c>
      <c r="C4286" s="178" t="s">
        <v>458</v>
      </c>
      <c r="D4286" s="575" t="s">
        <v>3639</v>
      </c>
      <c r="E4286" s="178" t="s">
        <v>266</v>
      </c>
      <c r="F4286" s="210" t="s">
        <v>10819</v>
      </c>
      <c r="G4286" s="58" t="s">
        <v>5654</v>
      </c>
      <c r="H4286" s="546">
        <v>1150</v>
      </c>
      <c r="I4286" s="66">
        <v>45068</v>
      </c>
      <c r="J4286" s="411" t="s">
        <v>10816</v>
      </c>
      <c r="K4286" s="58"/>
      <c r="L4286" s="99"/>
      <c r="M4286" s="70" t="s">
        <v>9699</v>
      </c>
      <c r="N4286" s="97" t="s">
        <v>270</v>
      </c>
      <c r="O4286" s="58"/>
      <c r="P4286" s="58" t="s">
        <v>44</v>
      </c>
      <c r="Q4286" s="58" t="s">
        <v>119</v>
      </c>
      <c r="R4286" s="58" t="s">
        <v>272</v>
      </c>
    </row>
    <row r="4287" spans="1:18" ht="69" customHeight="1">
      <c r="A4287" s="168"/>
      <c r="B4287" s="178">
        <v>1051</v>
      </c>
      <c r="C4287" s="178" t="s">
        <v>1593</v>
      </c>
      <c r="D4287" s="575" t="s">
        <v>5364</v>
      </c>
      <c r="E4287" s="178" t="s">
        <v>809</v>
      </c>
      <c r="F4287" s="210" t="s">
        <v>10820</v>
      </c>
      <c r="G4287" s="58" t="s">
        <v>10821</v>
      </c>
      <c r="H4287" s="546">
        <v>34400</v>
      </c>
      <c r="I4287" s="66">
        <v>45071</v>
      </c>
      <c r="J4287" s="411" t="s">
        <v>9495</v>
      </c>
      <c r="K4287" s="58"/>
      <c r="L4287" s="99"/>
      <c r="M4287" s="70" t="s">
        <v>1610</v>
      </c>
      <c r="N4287" s="97" t="s">
        <v>814</v>
      </c>
      <c r="O4287" s="58"/>
      <c r="P4287" s="58" t="s">
        <v>36</v>
      </c>
      <c r="Q4287" s="58" t="s">
        <v>27</v>
      </c>
      <c r="R4287" s="58" t="s">
        <v>272</v>
      </c>
    </row>
    <row r="4288" spans="1:18" ht="69" customHeight="1">
      <c r="A4288" s="168"/>
      <c r="B4288" s="178">
        <v>1052</v>
      </c>
      <c r="C4288" s="178" t="s">
        <v>4277</v>
      </c>
      <c r="D4288" s="575" t="s">
        <v>10822</v>
      </c>
      <c r="E4288" s="178" t="s">
        <v>809</v>
      </c>
      <c r="F4288" s="210" t="s">
        <v>10823</v>
      </c>
      <c r="G4288" s="58" t="s">
        <v>9494</v>
      </c>
      <c r="H4288" s="546">
        <v>12999.7</v>
      </c>
      <c r="I4288" s="66">
        <v>45071</v>
      </c>
      <c r="J4288" s="411" t="s">
        <v>9495</v>
      </c>
      <c r="K4288" s="58"/>
      <c r="L4288" s="99"/>
      <c r="M4288" s="70" t="s">
        <v>4622</v>
      </c>
      <c r="N4288" s="97" t="s">
        <v>814</v>
      </c>
      <c r="O4288" s="58"/>
      <c r="P4288" s="58" t="s">
        <v>36</v>
      </c>
      <c r="Q4288" s="58" t="s">
        <v>56</v>
      </c>
      <c r="R4288" s="58" t="s">
        <v>272</v>
      </c>
    </row>
    <row r="4289" spans="1:18" ht="69" customHeight="1">
      <c r="A4289" s="168"/>
      <c r="B4289" s="178">
        <v>1053</v>
      </c>
      <c r="C4289" s="178" t="s">
        <v>4277</v>
      </c>
      <c r="D4289" s="575" t="s">
        <v>10824</v>
      </c>
      <c r="E4289" s="178" t="s">
        <v>809</v>
      </c>
      <c r="F4289" s="210" t="s">
        <v>10825</v>
      </c>
      <c r="G4289" s="58" t="s">
        <v>9494</v>
      </c>
      <c r="H4289" s="546">
        <v>15000.3</v>
      </c>
      <c r="I4289" s="66">
        <v>45071</v>
      </c>
      <c r="J4289" s="411" t="s">
        <v>9495</v>
      </c>
      <c r="K4289" s="58"/>
      <c r="L4289" s="99"/>
      <c r="M4289" s="70" t="s">
        <v>4779</v>
      </c>
      <c r="N4289" s="97" t="s">
        <v>814</v>
      </c>
      <c r="O4289" s="58" t="s">
        <v>8711</v>
      </c>
      <c r="P4289" s="58" t="s">
        <v>36</v>
      </c>
      <c r="Q4289" s="58" t="s">
        <v>58</v>
      </c>
      <c r="R4289" s="58" t="s">
        <v>272</v>
      </c>
    </row>
    <row r="4290" spans="1:18" ht="69" customHeight="1">
      <c r="A4290" s="168"/>
      <c r="B4290" s="178">
        <v>1054</v>
      </c>
      <c r="C4290" s="178" t="s">
        <v>8057</v>
      </c>
      <c r="D4290" s="575" t="s">
        <v>5104</v>
      </c>
      <c r="E4290" s="178" t="s">
        <v>809</v>
      </c>
      <c r="F4290" s="210" t="s">
        <v>10826</v>
      </c>
      <c r="G4290" s="58" t="s">
        <v>9494</v>
      </c>
      <c r="H4290" s="546">
        <v>15971.06</v>
      </c>
      <c r="I4290" s="66">
        <v>45071</v>
      </c>
      <c r="J4290" s="411" t="s">
        <v>9495</v>
      </c>
      <c r="K4290" s="58"/>
      <c r="L4290" s="99"/>
      <c r="M4290" s="70" t="s">
        <v>8059</v>
      </c>
      <c r="N4290" s="97" t="s">
        <v>814</v>
      </c>
      <c r="O4290" s="58"/>
      <c r="P4290" s="58" t="s">
        <v>36</v>
      </c>
      <c r="Q4290" s="58" t="s">
        <v>105</v>
      </c>
      <c r="R4290" s="58" t="s">
        <v>272</v>
      </c>
    </row>
    <row r="4291" spans="1:18" ht="69" customHeight="1">
      <c r="A4291" s="168"/>
      <c r="B4291" s="178">
        <v>1055</v>
      </c>
      <c r="C4291" s="178" t="s">
        <v>9322</v>
      </c>
      <c r="D4291" s="575" t="s">
        <v>3556</v>
      </c>
      <c r="E4291" s="178" t="s">
        <v>809</v>
      </c>
      <c r="F4291" s="210" t="s">
        <v>10827</v>
      </c>
      <c r="G4291" s="58" t="s">
        <v>9494</v>
      </c>
      <c r="H4291" s="546">
        <v>12285.96</v>
      </c>
      <c r="I4291" s="66">
        <v>45071</v>
      </c>
      <c r="J4291" s="411" t="s">
        <v>9495</v>
      </c>
      <c r="K4291" s="58"/>
      <c r="L4291" s="99"/>
      <c r="M4291" s="70" t="s">
        <v>9342</v>
      </c>
      <c r="N4291" s="97" t="s">
        <v>814</v>
      </c>
      <c r="O4291" s="58"/>
      <c r="P4291" s="58" t="s">
        <v>36</v>
      </c>
      <c r="Q4291" s="58" t="s">
        <v>114</v>
      </c>
      <c r="R4291" s="58" t="s">
        <v>272</v>
      </c>
    </row>
    <row r="4292" spans="1:18" ht="69" customHeight="1">
      <c r="A4292" s="168"/>
      <c r="B4292" s="178">
        <v>1056</v>
      </c>
      <c r="C4292" s="178" t="s">
        <v>8080</v>
      </c>
      <c r="D4292" s="575" t="s">
        <v>1140</v>
      </c>
      <c r="E4292" s="178" t="s">
        <v>809</v>
      </c>
      <c r="F4292" s="210" t="s">
        <v>10828</v>
      </c>
      <c r="G4292" s="58" t="s">
        <v>9494</v>
      </c>
      <c r="H4292" s="546">
        <v>18428.939999999999</v>
      </c>
      <c r="I4292" s="66">
        <v>45071</v>
      </c>
      <c r="J4292" s="411" t="s">
        <v>9495</v>
      </c>
      <c r="K4292" s="58"/>
      <c r="L4292" s="99"/>
      <c r="M4292" s="70" t="s">
        <v>8211</v>
      </c>
      <c r="N4292" s="97" t="s">
        <v>814</v>
      </c>
      <c r="O4292" s="58"/>
      <c r="P4292" s="58" t="s">
        <v>36</v>
      </c>
      <c r="Q4292" s="58" t="s">
        <v>106</v>
      </c>
      <c r="R4292" s="58" t="s">
        <v>272</v>
      </c>
    </row>
    <row r="4293" spans="1:18" ht="69" customHeight="1">
      <c r="A4293" s="168"/>
      <c r="B4293" s="178">
        <v>1412</v>
      </c>
      <c r="C4293" s="178" t="s">
        <v>9441</v>
      </c>
      <c r="D4293" s="575" t="s">
        <v>1984</v>
      </c>
      <c r="E4293" s="178" t="s">
        <v>809</v>
      </c>
      <c r="F4293" s="210" t="s">
        <v>10829</v>
      </c>
      <c r="G4293" s="58" t="s">
        <v>10830</v>
      </c>
      <c r="H4293" s="546">
        <v>7371.06</v>
      </c>
      <c r="I4293" s="66">
        <v>45112</v>
      </c>
      <c r="J4293" s="411" t="s">
        <v>10831</v>
      </c>
      <c r="K4293" s="58"/>
      <c r="L4293" s="99"/>
      <c r="M4293" s="70" t="s">
        <v>9447</v>
      </c>
      <c r="N4293" s="97" t="s">
        <v>814</v>
      </c>
      <c r="O4293" s="58"/>
      <c r="P4293" s="58" t="s">
        <v>36</v>
      </c>
      <c r="Q4293" s="58" t="s">
        <v>116</v>
      </c>
      <c r="R4293" s="58" t="s">
        <v>272</v>
      </c>
    </row>
    <row r="4294" spans="1:18" ht="69" customHeight="1">
      <c r="A4294" s="168"/>
      <c r="B4294" s="178">
        <v>1058</v>
      </c>
      <c r="C4294" s="178" t="s">
        <v>9596</v>
      </c>
      <c r="D4294" s="575" t="s">
        <v>3035</v>
      </c>
      <c r="E4294" s="178" t="s">
        <v>809</v>
      </c>
      <c r="F4294" s="210" t="s">
        <v>10832</v>
      </c>
      <c r="G4294" s="58" t="s">
        <v>9494</v>
      </c>
      <c r="H4294" s="546">
        <v>14742.98</v>
      </c>
      <c r="I4294" s="66">
        <v>45071</v>
      </c>
      <c r="J4294" s="411" t="s">
        <v>9495</v>
      </c>
      <c r="K4294" s="58"/>
      <c r="L4294" s="99"/>
      <c r="M4294" s="70" t="s">
        <v>9625</v>
      </c>
      <c r="N4294" s="97" t="s">
        <v>814</v>
      </c>
      <c r="O4294" s="58"/>
      <c r="P4294" s="58" t="s">
        <v>36</v>
      </c>
      <c r="Q4294" s="58" t="s">
        <v>118</v>
      </c>
      <c r="R4294" s="58" t="s">
        <v>272</v>
      </c>
    </row>
    <row r="4295" spans="1:18" ht="69" customHeight="1">
      <c r="A4295" s="168"/>
      <c r="B4295" s="191">
        <v>1059</v>
      </c>
      <c r="C4295" s="191" t="s">
        <v>309</v>
      </c>
      <c r="D4295" s="533" t="s">
        <v>3929</v>
      </c>
      <c r="E4295" s="191" t="s">
        <v>10662</v>
      </c>
      <c r="F4295" s="211" t="s">
        <v>10833</v>
      </c>
      <c r="G4295" s="46" t="s">
        <v>10834</v>
      </c>
      <c r="H4295" s="534">
        <v>34384</v>
      </c>
      <c r="I4295" s="56">
        <v>45071</v>
      </c>
      <c r="J4295" s="412" t="s">
        <v>10835</v>
      </c>
      <c r="K4295" s="46" t="s">
        <v>10370</v>
      </c>
      <c r="L4295" s="99"/>
      <c r="M4295" s="379"/>
      <c r="N4295" s="76" t="s">
        <v>356</v>
      </c>
      <c r="O4295" s="46" t="s">
        <v>141</v>
      </c>
      <c r="P4295" s="46" t="s">
        <v>65</v>
      </c>
      <c r="Q4295" s="46" t="s">
        <v>13</v>
      </c>
      <c r="R4295" s="46" t="s">
        <v>272</v>
      </c>
    </row>
    <row r="4296" spans="1:18" ht="69" customHeight="1">
      <c r="A4296" s="168"/>
      <c r="B4296" s="178">
        <v>1060</v>
      </c>
      <c r="C4296" s="178" t="s">
        <v>4277</v>
      </c>
      <c r="D4296" s="575" t="s">
        <v>10836</v>
      </c>
      <c r="E4296" s="178" t="s">
        <v>755</v>
      </c>
      <c r="F4296" s="210" t="s">
        <v>10837</v>
      </c>
      <c r="G4296" s="58" t="s">
        <v>10838</v>
      </c>
      <c r="H4296" s="546">
        <v>167474.29999999999</v>
      </c>
      <c r="I4296" s="66">
        <v>45058</v>
      </c>
      <c r="J4296" s="411" t="s">
        <v>10839</v>
      </c>
      <c r="K4296" s="58"/>
      <c r="L4296" s="99"/>
      <c r="M4296" s="70"/>
      <c r="N4296" s="97" t="s">
        <v>1372</v>
      </c>
      <c r="O4296" s="58"/>
      <c r="P4296" s="58" t="s">
        <v>57</v>
      </c>
      <c r="Q4296" s="58" t="s">
        <v>56</v>
      </c>
      <c r="R4296" s="58" t="s">
        <v>272</v>
      </c>
    </row>
    <row r="4297" spans="1:18" ht="69" customHeight="1">
      <c r="A4297" s="168"/>
      <c r="B4297" s="178">
        <v>1061</v>
      </c>
      <c r="C4297" s="178" t="s">
        <v>4277</v>
      </c>
      <c r="D4297" s="575" t="s">
        <v>10840</v>
      </c>
      <c r="E4297" s="178" t="s">
        <v>755</v>
      </c>
      <c r="F4297" s="210" t="s">
        <v>10841</v>
      </c>
      <c r="G4297" s="58" t="s">
        <v>10838</v>
      </c>
      <c r="H4297" s="546">
        <v>35133.620000000003</v>
      </c>
      <c r="I4297" s="66">
        <v>45058</v>
      </c>
      <c r="J4297" s="411" t="s">
        <v>10839</v>
      </c>
      <c r="K4297" s="58"/>
      <c r="L4297" s="99"/>
      <c r="M4297" s="70" t="s">
        <v>4817</v>
      </c>
      <c r="N4297" s="97" t="s">
        <v>1372</v>
      </c>
      <c r="O4297" s="58"/>
      <c r="P4297" s="58" t="s">
        <v>57</v>
      </c>
      <c r="Q4297" s="58" t="s">
        <v>58</v>
      </c>
      <c r="R4297" s="58" t="s">
        <v>272</v>
      </c>
    </row>
    <row r="4298" spans="1:18" ht="69" customHeight="1">
      <c r="A4298" s="168"/>
      <c r="B4298" s="178">
        <v>1062</v>
      </c>
      <c r="C4298" s="178" t="s">
        <v>458</v>
      </c>
      <c r="D4298" s="575" t="s">
        <v>5107</v>
      </c>
      <c r="E4298" s="178" t="s">
        <v>7692</v>
      </c>
      <c r="F4298" s="210" t="s">
        <v>10842</v>
      </c>
      <c r="G4298" s="58" t="s">
        <v>10739</v>
      </c>
      <c r="H4298" s="546">
        <v>56067</v>
      </c>
      <c r="I4298" s="66">
        <v>45071</v>
      </c>
      <c r="J4298" s="411" t="s">
        <v>10843</v>
      </c>
      <c r="K4298" s="58"/>
      <c r="L4298" s="99"/>
      <c r="M4298" s="70" t="s">
        <v>7696</v>
      </c>
      <c r="N4298" s="97" t="s">
        <v>414</v>
      </c>
      <c r="O4298" s="45" t="s">
        <v>147</v>
      </c>
      <c r="P4298" s="58" t="s">
        <v>22</v>
      </c>
      <c r="Q4298" s="58" t="s">
        <v>103</v>
      </c>
      <c r="R4298" s="58" t="s">
        <v>265</v>
      </c>
    </row>
    <row r="4299" spans="1:18" ht="69" customHeight="1">
      <c r="A4299" s="168"/>
      <c r="B4299" s="178">
        <v>1063</v>
      </c>
      <c r="C4299" s="178" t="s">
        <v>6888</v>
      </c>
      <c r="D4299" s="575" t="s">
        <v>10844</v>
      </c>
      <c r="E4299" s="178" t="s">
        <v>10845</v>
      </c>
      <c r="F4299" s="210" t="s">
        <v>10846</v>
      </c>
      <c r="G4299" s="58" t="s">
        <v>10847</v>
      </c>
      <c r="H4299" s="546">
        <v>250000</v>
      </c>
      <c r="I4299" s="66">
        <v>45071</v>
      </c>
      <c r="J4299" s="411" t="s">
        <v>10848</v>
      </c>
      <c r="K4299" s="58"/>
      <c r="L4299" s="99"/>
      <c r="M4299" s="70" t="s">
        <v>6896</v>
      </c>
      <c r="N4299" s="97" t="s">
        <v>356</v>
      </c>
      <c r="O4299" s="58" t="s">
        <v>156</v>
      </c>
      <c r="P4299" s="58" t="s">
        <v>19</v>
      </c>
      <c r="Q4299" s="58" t="s">
        <v>84</v>
      </c>
      <c r="R4299" s="58" t="s">
        <v>272</v>
      </c>
    </row>
    <row r="4300" spans="1:18" ht="69" customHeight="1">
      <c r="A4300" s="168"/>
      <c r="B4300" s="178">
        <v>1064</v>
      </c>
      <c r="C4300" s="178" t="s">
        <v>3647</v>
      </c>
      <c r="D4300" s="575" t="s">
        <v>10849</v>
      </c>
      <c r="E4300" s="178" t="s">
        <v>10850</v>
      </c>
      <c r="F4300" s="210" t="s">
        <v>10851</v>
      </c>
      <c r="G4300" s="58" t="s">
        <v>10852</v>
      </c>
      <c r="H4300" s="546">
        <v>109597.4</v>
      </c>
      <c r="I4300" s="66">
        <v>45071</v>
      </c>
      <c r="J4300" s="411" t="s">
        <v>10853</v>
      </c>
      <c r="K4300" s="58"/>
      <c r="L4300" s="99"/>
      <c r="M4300" s="70" t="s">
        <v>3847</v>
      </c>
      <c r="N4300" s="97" t="s">
        <v>1044</v>
      </c>
      <c r="O4300" s="58"/>
      <c r="P4300" s="58" t="s">
        <v>26</v>
      </c>
      <c r="Q4300" s="58" t="s">
        <v>47</v>
      </c>
      <c r="R4300" s="58" t="s">
        <v>272</v>
      </c>
    </row>
    <row r="4301" spans="1:18" ht="69" customHeight="1">
      <c r="A4301" s="168"/>
      <c r="B4301" s="178">
        <v>1065</v>
      </c>
      <c r="C4301" s="178" t="s">
        <v>3933</v>
      </c>
      <c r="D4301" s="575" t="s">
        <v>10854</v>
      </c>
      <c r="E4301" s="178" t="s">
        <v>10850</v>
      </c>
      <c r="F4301" s="210" t="s">
        <v>10855</v>
      </c>
      <c r="G4301" s="58" t="s">
        <v>10852</v>
      </c>
      <c r="H4301" s="546">
        <v>79656.3</v>
      </c>
      <c r="I4301" s="66">
        <v>45071</v>
      </c>
      <c r="J4301" s="411" t="s">
        <v>10853</v>
      </c>
      <c r="K4301" s="58"/>
      <c r="L4301" s="99"/>
      <c r="M4301" s="70" t="s">
        <v>4248</v>
      </c>
      <c r="N4301" s="97" t="s">
        <v>1044</v>
      </c>
      <c r="O4301" s="58"/>
      <c r="P4301" s="58" t="s">
        <v>26</v>
      </c>
      <c r="Q4301" s="58" t="s">
        <v>52</v>
      </c>
      <c r="R4301" s="58" t="s">
        <v>272</v>
      </c>
    </row>
    <row r="4302" spans="1:18" ht="69" customHeight="1">
      <c r="A4302" s="168"/>
      <c r="B4302" s="178">
        <v>1066</v>
      </c>
      <c r="C4302" s="178" t="s">
        <v>10856</v>
      </c>
      <c r="D4302" s="575" t="s">
        <v>5372</v>
      </c>
      <c r="E4302" s="178" t="s">
        <v>10857</v>
      </c>
      <c r="F4302" s="210" t="s">
        <v>10858</v>
      </c>
      <c r="G4302" s="58" t="s">
        <v>10852</v>
      </c>
      <c r="H4302" s="546">
        <v>58753.29</v>
      </c>
      <c r="I4302" s="66">
        <v>45071</v>
      </c>
      <c r="J4302" s="411" t="s">
        <v>10859</v>
      </c>
      <c r="K4302" s="58"/>
      <c r="L4302" s="99"/>
      <c r="M4302" s="70" t="s">
        <v>3024</v>
      </c>
      <c r="N4302" s="97" t="s">
        <v>1044</v>
      </c>
      <c r="O4302" s="58"/>
      <c r="P4302" s="58" t="s">
        <v>26</v>
      </c>
      <c r="Q4302" s="58" t="s">
        <v>39</v>
      </c>
      <c r="R4302" s="58" t="s">
        <v>272</v>
      </c>
    </row>
    <row r="4303" spans="1:18" ht="69" customHeight="1">
      <c r="A4303" s="168"/>
      <c r="B4303" s="178">
        <v>1067</v>
      </c>
      <c r="C4303" s="178" t="s">
        <v>3331</v>
      </c>
      <c r="D4303" s="575" t="s">
        <v>5375</v>
      </c>
      <c r="E4303" s="178" t="s">
        <v>10857</v>
      </c>
      <c r="F4303" s="210" t="s">
        <v>10860</v>
      </c>
      <c r="G4303" s="58" t="s">
        <v>10852</v>
      </c>
      <c r="H4303" s="546">
        <v>58135.82</v>
      </c>
      <c r="I4303" s="66">
        <v>45071</v>
      </c>
      <c r="J4303" s="411" t="s">
        <v>10859</v>
      </c>
      <c r="K4303" s="58"/>
      <c r="L4303" s="99"/>
      <c r="M4303" s="70" t="s">
        <v>3233</v>
      </c>
      <c r="N4303" s="97" t="s">
        <v>1044</v>
      </c>
      <c r="O4303" s="58"/>
      <c r="P4303" s="58" t="s">
        <v>26</v>
      </c>
      <c r="Q4303" s="58" t="s">
        <v>41</v>
      </c>
      <c r="R4303" s="58" t="s">
        <v>272</v>
      </c>
    </row>
    <row r="4304" spans="1:18" ht="69" customHeight="1">
      <c r="A4304" s="168"/>
      <c r="B4304" s="191">
        <v>1068</v>
      </c>
      <c r="C4304" s="191" t="s">
        <v>657</v>
      </c>
      <c r="D4304" s="533" t="s">
        <v>10861</v>
      </c>
      <c r="E4304" s="191" t="s">
        <v>10862</v>
      </c>
      <c r="F4304" s="211" t="s">
        <v>10863</v>
      </c>
      <c r="G4304" s="46" t="s">
        <v>10864</v>
      </c>
      <c r="H4304" s="534">
        <v>13298.45</v>
      </c>
      <c r="I4304" s="56">
        <v>45071</v>
      </c>
      <c r="J4304" s="412" t="s">
        <v>10865</v>
      </c>
      <c r="K4304" s="46"/>
      <c r="L4304" s="99"/>
      <c r="M4304" s="379"/>
      <c r="N4304" s="76" t="s">
        <v>414</v>
      </c>
      <c r="O4304" s="46" t="s">
        <v>1171</v>
      </c>
      <c r="P4304" s="46" t="s">
        <v>71</v>
      </c>
      <c r="Q4304" s="46" t="s">
        <v>97</v>
      </c>
      <c r="R4304" s="46" t="s">
        <v>272</v>
      </c>
    </row>
    <row r="4305" spans="1:18" ht="69" customHeight="1">
      <c r="A4305" s="168"/>
      <c r="B4305" s="191">
        <v>1069</v>
      </c>
      <c r="C4305" s="191" t="s">
        <v>458</v>
      </c>
      <c r="D4305" s="533" t="s">
        <v>3632</v>
      </c>
      <c r="E4305" s="191" t="s">
        <v>10862</v>
      </c>
      <c r="F4305" s="211" t="s">
        <v>10866</v>
      </c>
      <c r="G4305" s="46" t="s">
        <v>10864</v>
      </c>
      <c r="H4305" s="534">
        <v>11687.04</v>
      </c>
      <c r="I4305" s="56">
        <v>45071</v>
      </c>
      <c r="J4305" s="412" t="s">
        <v>10865</v>
      </c>
      <c r="K4305" s="46" t="s">
        <v>167</v>
      </c>
      <c r="L4305" s="99"/>
      <c r="M4305" s="379"/>
      <c r="N4305" s="76" t="s">
        <v>414</v>
      </c>
      <c r="O4305" s="46" t="s">
        <v>1171</v>
      </c>
      <c r="P4305" s="46" t="s">
        <v>71</v>
      </c>
      <c r="Q4305" s="46" t="s">
        <v>103</v>
      </c>
      <c r="R4305" s="46" t="s">
        <v>272</v>
      </c>
    </row>
    <row r="4306" spans="1:18" ht="69" customHeight="1">
      <c r="A4306" s="168"/>
      <c r="B4306" s="191">
        <v>1070</v>
      </c>
      <c r="C4306" s="191" t="s">
        <v>657</v>
      </c>
      <c r="D4306" s="533" t="s">
        <v>6497</v>
      </c>
      <c r="E4306" s="191" t="s">
        <v>10862</v>
      </c>
      <c r="F4306" s="211" t="s">
        <v>10867</v>
      </c>
      <c r="G4306" s="46" t="s">
        <v>10864</v>
      </c>
      <c r="H4306" s="534">
        <v>10878.8</v>
      </c>
      <c r="I4306" s="56">
        <v>45071</v>
      </c>
      <c r="J4306" s="412" t="s">
        <v>10868</v>
      </c>
      <c r="K4306" s="46" t="s">
        <v>167</v>
      </c>
      <c r="L4306" s="99"/>
      <c r="M4306" s="379"/>
      <c r="N4306" s="76" t="s">
        <v>414</v>
      </c>
      <c r="O4306" s="46" t="s">
        <v>1171</v>
      </c>
      <c r="P4306" s="46" t="s">
        <v>71</v>
      </c>
      <c r="Q4306" s="46" t="s">
        <v>104</v>
      </c>
      <c r="R4306" s="46" t="s">
        <v>272</v>
      </c>
    </row>
    <row r="4307" spans="1:18" ht="69" customHeight="1">
      <c r="A4307" s="168"/>
      <c r="B4307" s="191">
        <v>1071</v>
      </c>
      <c r="C4307" s="191" t="s">
        <v>458</v>
      </c>
      <c r="D4307" s="533" t="s">
        <v>2409</v>
      </c>
      <c r="E4307" s="191" t="s">
        <v>10644</v>
      </c>
      <c r="F4307" s="211" t="s">
        <v>10869</v>
      </c>
      <c r="G4307" s="46" t="s">
        <v>10864</v>
      </c>
      <c r="H4307" s="534">
        <v>10878.8</v>
      </c>
      <c r="I4307" s="56">
        <v>45071</v>
      </c>
      <c r="J4307" s="412" t="s">
        <v>10868</v>
      </c>
      <c r="K4307" s="46" t="s">
        <v>167</v>
      </c>
      <c r="L4307" s="99"/>
      <c r="M4307" s="379"/>
      <c r="N4307" s="76" t="s">
        <v>414</v>
      </c>
      <c r="O4307" s="46" t="s">
        <v>1171</v>
      </c>
      <c r="P4307" s="46" t="s">
        <v>71</v>
      </c>
      <c r="Q4307" s="46" t="s">
        <v>107</v>
      </c>
      <c r="R4307" s="46" t="s">
        <v>272</v>
      </c>
    </row>
    <row r="4308" spans="1:18" ht="69" customHeight="1">
      <c r="A4308" s="168"/>
      <c r="B4308" s="191">
        <v>1072</v>
      </c>
      <c r="C4308" s="191" t="s">
        <v>458</v>
      </c>
      <c r="D4308" s="533" t="s">
        <v>2170</v>
      </c>
      <c r="E4308" s="191" t="s">
        <v>10862</v>
      </c>
      <c r="F4308" s="211" t="s">
        <v>10870</v>
      </c>
      <c r="G4308" s="46" t="s">
        <v>10864</v>
      </c>
      <c r="H4308" s="534">
        <v>23374.080000000002</v>
      </c>
      <c r="I4308" s="56">
        <v>45071</v>
      </c>
      <c r="J4308" s="412" t="s">
        <v>10868</v>
      </c>
      <c r="K4308" s="46" t="s">
        <v>167</v>
      </c>
      <c r="L4308" s="99"/>
      <c r="M4308" s="379"/>
      <c r="N4308" s="76" t="s">
        <v>414</v>
      </c>
      <c r="O4308" s="46" t="s">
        <v>1171</v>
      </c>
      <c r="P4308" s="46" t="s">
        <v>71</v>
      </c>
      <c r="Q4308" s="46" t="s">
        <v>113</v>
      </c>
      <c r="R4308" s="46" t="s">
        <v>272</v>
      </c>
    </row>
    <row r="4309" spans="1:18" ht="69" customHeight="1">
      <c r="A4309" s="168"/>
      <c r="B4309" s="207">
        <v>1073</v>
      </c>
      <c r="C4309" s="207" t="s">
        <v>458</v>
      </c>
      <c r="D4309" s="301" t="s">
        <v>2174</v>
      </c>
      <c r="E4309" s="207" t="s">
        <v>10871</v>
      </c>
      <c r="F4309" s="208" t="s">
        <v>10872</v>
      </c>
      <c r="G4309" s="160" t="s">
        <v>10873</v>
      </c>
      <c r="H4309" s="300">
        <v>13811</v>
      </c>
      <c r="I4309" s="209">
        <v>45066</v>
      </c>
      <c r="J4309" s="322" t="s">
        <v>10874</v>
      </c>
      <c r="K4309" s="160" t="s">
        <v>4128</v>
      </c>
      <c r="M4309" s="379"/>
      <c r="N4309" s="76" t="s">
        <v>414</v>
      </c>
      <c r="O4309" s="160"/>
      <c r="P4309" s="160" t="s">
        <v>67</v>
      </c>
      <c r="Q4309" s="160" t="s">
        <v>47</v>
      </c>
      <c r="R4309" s="160" t="s">
        <v>272</v>
      </c>
    </row>
    <row r="4310" spans="1:18" ht="69" customHeight="1">
      <c r="A4310" s="168"/>
      <c r="B4310" s="207">
        <v>1074</v>
      </c>
      <c r="C4310" s="207" t="s">
        <v>458</v>
      </c>
      <c r="D4310" s="301" t="s">
        <v>3552</v>
      </c>
      <c r="E4310" s="207" t="s">
        <v>10871</v>
      </c>
      <c r="F4310" s="208" t="s">
        <v>10875</v>
      </c>
      <c r="G4310" s="160" t="s">
        <v>10873</v>
      </c>
      <c r="H4310" s="300">
        <v>27034</v>
      </c>
      <c r="I4310" s="209">
        <v>45066</v>
      </c>
      <c r="J4310" s="322" t="s">
        <v>10874</v>
      </c>
      <c r="K4310" s="160" t="s">
        <v>4128</v>
      </c>
      <c r="M4310" s="379"/>
      <c r="N4310" s="76" t="s">
        <v>414</v>
      </c>
      <c r="O4310" s="160"/>
      <c r="P4310" s="160" t="s">
        <v>67</v>
      </c>
      <c r="Q4310" s="160" t="s">
        <v>47</v>
      </c>
      <c r="R4310" s="160" t="s">
        <v>272</v>
      </c>
    </row>
    <row r="4311" spans="1:18" ht="69" customHeight="1">
      <c r="A4311" s="168"/>
      <c r="B4311" s="178">
        <v>1443</v>
      </c>
      <c r="C4311" s="178" t="s">
        <v>657</v>
      </c>
      <c r="D4311" s="575" t="s">
        <v>6512</v>
      </c>
      <c r="E4311" s="178" t="s">
        <v>382</v>
      </c>
      <c r="F4311" s="210" t="s">
        <v>10876</v>
      </c>
      <c r="G4311" s="58" t="s">
        <v>10877</v>
      </c>
      <c r="H4311" s="546">
        <v>2000</v>
      </c>
      <c r="I4311" s="66">
        <v>45112</v>
      </c>
      <c r="J4311" s="411" t="s">
        <v>10878</v>
      </c>
      <c r="K4311" s="58"/>
      <c r="L4311" s="99"/>
      <c r="M4311" s="70" t="s">
        <v>9412</v>
      </c>
      <c r="N4311" s="97" t="s">
        <v>387</v>
      </c>
      <c r="O4311" s="58" t="s">
        <v>9487</v>
      </c>
      <c r="P4311" s="58" t="s">
        <v>51</v>
      </c>
      <c r="Q4311" s="58" t="s">
        <v>116</v>
      </c>
      <c r="R4311" s="58" t="s">
        <v>272</v>
      </c>
    </row>
    <row r="4312" spans="1:18" ht="69" customHeight="1">
      <c r="A4312" s="168"/>
      <c r="B4312" s="191">
        <v>1076</v>
      </c>
      <c r="C4312" s="191" t="s">
        <v>9596</v>
      </c>
      <c r="D4312" s="533" t="s">
        <v>5009</v>
      </c>
      <c r="E4312" s="191" t="s">
        <v>877</v>
      </c>
      <c r="F4312" s="211" t="s">
        <v>10879</v>
      </c>
      <c r="G4312" s="46" t="s">
        <v>879</v>
      </c>
      <c r="H4312" s="534">
        <v>22211.07</v>
      </c>
      <c r="I4312" s="56">
        <v>45061</v>
      </c>
      <c r="J4312" s="412" t="s">
        <v>10880</v>
      </c>
      <c r="K4312" s="46" t="s">
        <v>167</v>
      </c>
      <c r="L4312" s="99"/>
      <c r="M4312" s="379"/>
      <c r="N4312" s="76" t="s">
        <v>716</v>
      </c>
      <c r="O4312" s="46" t="s">
        <v>1171</v>
      </c>
      <c r="P4312" s="46" t="s">
        <v>71</v>
      </c>
      <c r="Q4312" s="46" t="s">
        <v>118</v>
      </c>
      <c r="R4312" s="46" t="s">
        <v>272</v>
      </c>
    </row>
    <row r="4313" spans="1:18" ht="69" customHeight="1">
      <c r="A4313" s="168"/>
      <c r="B4313" s="191">
        <v>1077</v>
      </c>
      <c r="C4313" s="191" t="s">
        <v>7452</v>
      </c>
      <c r="D4313" s="533" t="s">
        <v>10881</v>
      </c>
      <c r="E4313" s="191" t="s">
        <v>877</v>
      </c>
      <c r="F4313" s="211" t="s">
        <v>10882</v>
      </c>
      <c r="G4313" s="46" t="s">
        <v>879</v>
      </c>
      <c r="H4313" s="534">
        <v>29924.89</v>
      </c>
      <c r="I4313" s="56">
        <v>45061</v>
      </c>
      <c r="J4313" s="412" t="s">
        <v>10880</v>
      </c>
      <c r="K4313" s="46" t="s">
        <v>167</v>
      </c>
      <c r="L4313" s="99"/>
      <c r="M4313" s="379"/>
      <c r="N4313" s="76" t="s">
        <v>716</v>
      </c>
      <c r="O4313" s="46" t="s">
        <v>1171</v>
      </c>
      <c r="P4313" s="46" t="s">
        <v>71</v>
      </c>
      <c r="Q4313" s="46" t="s">
        <v>101</v>
      </c>
      <c r="R4313" s="46" t="s">
        <v>272</v>
      </c>
    </row>
    <row r="4314" spans="1:18" ht="69" customHeight="1">
      <c r="A4314" s="168"/>
      <c r="B4314" s="191">
        <v>1078</v>
      </c>
      <c r="C4314" s="191" t="s">
        <v>4277</v>
      </c>
      <c r="D4314" s="533" t="s">
        <v>10883</v>
      </c>
      <c r="E4314" s="191" t="s">
        <v>877</v>
      </c>
      <c r="F4314" s="211" t="s">
        <v>10884</v>
      </c>
      <c r="G4314" s="46" t="s">
        <v>879</v>
      </c>
      <c r="H4314" s="534">
        <v>29924.89</v>
      </c>
      <c r="I4314" s="56">
        <v>45061</v>
      </c>
      <c r="J4314" s="412" t="s">
        <v>10880</v>
      </c>
      <c r="K4314" s="46" t="s">
        <v>167</v>
      </c>
      <c r="L4314" s="99"/>
      <c r="M4314" s="379"/>
      <c r="N4314" s="76" t="s">
        <v>716</v>
      </c>
      <c r="O4314" s="46" t="s">
        <v>1171</v>
      </c>
      <c r="P4314" s="46" t="s">
        <v>71</v>
      </c>
      <c r="Q4314" s="46" t="s">
        <v>56</v>
      </c>
      <c r="R4314" s="46" t="s">
        <v>272</v>
      </c>
    </row>
    <row r="4315" spans="1:18" ht="69" customHeight="1">
      <c r="A4315" s="168"/>
      <c r="B4315" s="191">
        <v>1079</v>
      </c>
      <c r="C4315" s="191" t="s">
        <v>4411</v>
      </c>
      <c r="D4315" s="533" t="s">
        <v>10885</v>
      </c>
      <c r="E4315" s="191" t="s">
        <v>877</v>
      </c>
      <c r="F4315" s="211" t="s">
        <v>10886</v>
      </c>
      <c r="G4315" s="46" t="s">
        <v>879</v>
      </c>
      <c r="H4315" s="534">
        <v>21654.19</v>
      </c>
      <c r="I4315" s="56">
        <v>45061</v>
      </c>
      <c r="J4315" s="412" t="s">
        <v>10880</v>
      </c>
      <c r="K4315" s="46" t="s">
        <v>5103</v>
      </c>
      <c r="L4315" s="99"/>
      <c r="M4315" s="379"/>
      <c r="N4315" s="76" t="s">
        <v>716</v>
      </c>
      <c r="O4315" s="46" t="s">
        <v>1171</v>
      </c>
      <c r="P4315" s="46" t="s">
        <v>71</v>
      </c>
      <c r="Q4315" s="46" t="s">
        <v>54</v>
      </c>
      <c r="R4315" s="46" t="s">
        <v>272</v>
      </c>
    </row>
    <row r="4316" spans="1:18" ht="69" customHeight="1">
      <c r="A4316" s="168"/>
      <c r="B4316" s="191">
        <v>1080</v>
      </c>
      <c r="C4316" s="191" t="s">
        <v>3368</v>
      </c>
      <c r="D4316" s="533" t="s">
        <v>5378</v>
      </c>
      <c r="E4316" s="191" t="s">
        <v>877</v>
      </c>
      <c r="F4316" s="211" t="s">
        <v>10887</v>
      </c>
      <c r="G4316" s="46" t="s">
        <v>879</v>
      </c>
      <c r="H4316" s="534">
        <v>21654.19</v>
      </c>
      <c r="I4316" s="56">
        <v>45061</v>
      </c>
      <c r="J4316" s="412" t="s">
        <v>10880</v>
      </c>
      <c r="K4316" s="46" t="s">
        <v>167</v>
      </c>
      <c r="L4316" s="99"/>
      <c r="M4316" s="379"/>
      <c r="N4316" s="76" t="s">
        <v>716</v>
      </c>
      <c r="O4316" s="46" t="s">
        <v>1171</v>
      </c>
      <c r="P4316" s="46" t="s">
        <v>71</v>
      </c>
      <c r="Q4316" s="46" t="s">
        <v>43</v>
      </c>
      <c r="R4316" s="46" t="s">
        <v>272</v>
      </c>
    </row>
    <row r="4317" spans="1:18" ht="69" customHeight="1">
      <c r="A4317" s="168"/>
      <c r="B4317" s="191">
        <v>1081</v>
      </c>
      <c r="C4317" s="191" t="s">
        <v>753</v>
      </c>
      <c r="D4317" s="533" t="s">
        <v>5382</v>
      </c>
      <c r="E4317" s="191" t="s">
        <v>877</v>
      </c>
      <c r="F4317" s="211" t="s">
        <v>10888</v>
      </c>
      <c r="G4317" s="46" t="s">
        <v>879</v>
      </c>
      <c r="H4317" s="534">
        <v>25241.9</v>
      </c>
      <c r="I4317" s="56">
        <v>45061</v>
      </c>
      <c r="J4317" s="412" t="s">
        <v>10880</v>
      </c>
      <c r="K4317" s="46" t="s">
        <v>5103</v>
      </c>
      <c r="L4317" s="99"/>
      <c r="M4317" s="379"/>
      <c r="N4317" s="76" t="s">
        <v>716</v>
      </c>
      <c r="O4317" s="46" t="s">
        <v>1171</v>
      </c>
      <c r="P4317" s="46" t="s">
        <v>71</v>
      </c>
      <c r="Q4317" s="46" t="s">
        <v>20</v>
      </c>
      <c r="R4317" s="46" t="s">
        <v>272</v>
      </c>
    </row>
    <row r="4318" spans="1:18" ht="69" customHeight="1">
      <c r="A4318" s="168"/>
      <c r="B4318" s="191">
        <v>1082</v>
      </c>
      <c r="C4318" s="191" t="s">
        <v>10418</v>
      </c>
      <c r="D4318" s="533" t="s">
        <v>876</v>
      </c>
      <c r="E4318" s="191" t="s">
        <v>6226</v>
      </c>
      <c r="F4318" s="211" t="s">
        <v>10889</v>
      </c>
      <c r="G4318" s="46" t="s">
        <v>879</v>
      </c>
      <c r="H4318" s="534">
        <v>21046.560000000001</v>
      </c>
      <c r="I4318" s="56">
        <v>45071</v>
      </c>
      <c r="J4318" s="412" t="s">
        <v>10890</v>
      </c>
      <c r="K4318" s="46" t="s">
        <v>5103</v>
      </c>
      <c r="L4318" s="99"/>
      <c r="M4318" s="379"/>
      <c r="N4318" s="76" t="s">
        <v>414</v>
      </c>
      <c r="O4318" s="46" t="s">
        <v>1171</v>
      </c>
      <c r="P4318" s="46" t="s">
        <v>71</v>
      </c>
      <c r="Q4318" s="46" t="s">
        <v>121</v>
      </c>
      <c r="R4318" s="46" t="s">
        <v>272</v>
      </c>
    </row>
    <row r="4319" spans="1:18" ht="69" customHeight="1">
      <c r="A4319" s="168"/>
      <c r="B4319" s="178">
        <v>1083</v>
      </c>
      <c r="C4319" s="178" t="s">
        <v>8529</v>
      </c>
      <c r="D4319" s="575" t="s">
        <v>3554</v>
      </c>
      <c r="E4319" s="178" t="s">
        <v>755</v>
      </c>
      <c r="F4319" s="210" t="s">
        <v>10891</v>
      </c>
      <c r="G4319" s="58" t="s">
        <v>10892</v>
      </c>
      <c r="H4319" s="546">
        <v>823145.95</v>
      </c>
      <c r="I4319" s="66">
        <v>45061</v>
      </c>
      <c r="J4319" s="411" t="s">
        <v>10893</v>
      </c>
      <c r="K4319" s="58"/>
      <c r="L4319" s="99"/>
      <c r="M4319" s="70" t="s">
        <v>8548</v>
      </c>
      <c r="N4319" s="97" t="s">
        <v>716</v>
      </c>
      <c r="O4319" s="58"/>
      <c r="P4319" s="58" t="s">
        <v>28</v>
      </c>
      <c r="Q4319" s="58" t="s">
        <v>108</v>
      </c>
      <c r="R4319" s="58" t="s">
        <v>272</v>
      </c>
    </row>
    <row r="4320" spans="1:18" s="117" customFormat="1" ht="69" customHeight="1">
      <c r="A4320" s="168"/>
      <c r="B4320" s="178">
        <v>1084</v>
      </c>
      <c r="C4320" s="178" t="s">
        <v>8721</v>
      </c>
      <c r="D4320" s="575" t="s">
        <v>10894</v>
      </c>
      <c r="E4320" s="178" t="s">
        <v>755</v>
      </c>
      <c r="F4320" s="210" t="s">
        <v>10895</v>
      </c>
      <c r="G4320" s="58" t="s">
        <v>1636</v>
      </c>
      <c r="H4320" s="546">
        <v>650838.6</v>
      </c>
      <c r="I4320" s="66">
        <v>45061</v>
      </c>
      <c r="J4320" s="411" t="s">
        <v>10893</v>
      </c>
      <c r="K4320" s="58"/>
      <c r="L4320" s="99"/>
      <c r="M4320" s="70" t="s">
        <v>8684</v>
      </c>
      <c r="N4320" s="97" t="s">
        <v>716</v>
      </c>
      <c r="O4320" s="58"/>
      <c r="P4320" s="58" t="s">
        <v>28</v>
      </c>
      <c r="Q4320" s="58" t="s">
        <v>109</v>
      </c>
      <c r="R4320" s="58" t="s">
        <v>272</v>
      </c>
    </row>
    <row r="4321" spans="1:18" ht="69" customHeight="1">
      <c r="A4321" s="168"/>
      <c r="B4321" s="178">
        <v>1085</v>
      </c>
      <c r="C4321" s="178" t="s">
        <v>7521</v>
      </c>
      <c r="D4321" s="575" t="s">
        <v>3816</v>
      </c>
      <c r="E4321" s="178" t="s">
        <v>755</v>
      </c>
      <c r="F4321" s="210" t="s">
        <v>10896</v>
      </c>
      <c r="G4321" s="58" t="s">
        <v>867</v>
      </c>
      <c r="H4321" s="546">
        <v>1122442.01</v>
      </c>
      <c r="I4321" s="66">
        <v>45063</v>
      </c>
      <c r="J4321" s="411" t="s">
        <v>10897</v>
      </c>
      <c r="K4321" s="58"/>
      <c r="L4321" s="99"/>
      <c r="M4321" s="70" t="s">
        <v>7526</v>
      </c>
      <c r="N4321" s="97" t="s">
        <v>716</v>
      </c>
      <c r="O4321" s="58"/>
      <c r="P4321" s="58" t="s">
        <v>28</v>
      </c>
      <c r="Q4321" s="58" t="s">
        <v>102</v>
      </c>
      <c r="R4321" s="58" t="s">
        <v>272</v>
      </c>
    </row>
    <row r="4322" spans="1:18" ht="69" customHeight="1">
      <c r="A4322" s="168"/>
      <c r="B4322" s="59">
        <v>1086</v>
      </c>
      <c r="C4322" s="59" t="s">
        <v>7452</v>
      </c>
      <c r="D4322" s="581" t="s">
        <v>2178</v>
      </c>
      <c r="E4322" s="59" t="s">
        <v>755</v>
      </c>
      <c r="F4322" s="569" t="s">
        <v>10898</v>
      </c>
      <c r="G4322" s="45" t="s">
        <v>10899</v>
      </c>
      <c r="H4322" s="546">
        <v>1122442.01</v>
      </c>
      <c r="I4322" s="47">
        <v>45063</v>
      </c>
      <c r="J4322" s="410" t="s">
        <v>10897</v>
      </c>
      <c r="K4322" s="58"/>
      <c r="L4322" s="99"/>
      <c r="M4322" s="70" t="s">
        <v>7457</v>
      </c>
      <c r="N4322" s="97" t="s">
        <v>716</v>
      </c>
      <c r="O4322" s="58"/>
      <c r="P4322" s="58" t="s">
        <v>28</v>
      </c>
      <c r="Q4322" s="58" t="s">
        <v>101</v>
      </c>
      <c r="R4322" s="58" t="s">
        <v>272</v>
      </c>
    </row>
    <row r="4323" spans="1:18" ht="69" customHeight="1">
      <c r="A4323" s="168"/>
      <c r="B4323" s="59">
        <v>1087</v>
      </c>
      <c r="C4323" s="59" t="s">
        <v>7452</v>
      </c>
      <c r="D4323" s="581" t="s">
        <v>3635</v>
      </c>
      <c r="E4323" s="59" t="s">
        <v>755</v>
      </c>
      <c r="F4323" s="569" t="s">
        <v>10900</v>
      </c>
      <c r="G4323" s="45" t="s">
        <v>10901</v>
      </c>
      <c r="H4323" s="546">
        <v>645486.73</v>
      </c>
      <c r="I4323" s="47">
        <v>45063</v>
      </c>
      <c r="J4323" s="410" t="s">
        <v>10902</v>
      </c>
      <c r="K4323" s="45"/>
      <c r="L4323" s="99"/>
      <c r="M4323" s="70" t="s">
        <v>7457</v>
      </c>
      <c r="N4323" s="97" t="s">
        <v>716</v>
      </c>
      <c r="O4323" s="58"/>
      <c r="P4323" s="58" t="s">
        <v>28</v>
      </c>
      <c r="Q4323" s="58" t="s">
        <v>101</v>
      </c>
      <c r="R4323" s="58" t="s">
        <v>272</v>
      </c>
    </row>
    <row r="4324" spans="1:18" ht="69" customHeight="1">
      <c r="A4324" s="168"/>
      <c r="B4324" s="178">
        <v>1088</v>
      </c>
      <c r="C4324" s="178" t="s">
        <v>8529</v>
      </c>
      <c r="D4324" s="575" t="s">
        <v>6181</v>
      </c>
      <c r="E4324" s="178" t="s">
        <v>755</v>
      </c>
      <c r="F4324" s="210" t="s">
        <v>10903</v>
      </c>
      <c r="G4324" s="58" t="s">
        <v>10904</v>
      </c>
      <c r="H4324" s="546">
        <v>1281376.1599999999</v>
      </c>
      <c r="I4324" s="66">
        <v>45063</v>
      </c>
      <c r="J4324" s="411" t="s">
        <v>10905</v>
      </c>
      <c r="K4324" s="58"/>
      <c r="L4324" s="99"/>
      <c r="M4324" s="70" t="s">
        <v>8548</v>
      </c>
      <c r="N4324" s="97" t="s">
        <v>716</v>
      </c>
      <c r="O4324" s="58"/>
      <c r="P4324" s="58" t="s">
        <v>28</v>
      </c>
      <c r="Q4324" s="58" t="s">
        <v>108</v>
      </c>
      <c r="R4324" s="58" t="s">
        <v>272</v>
      </c>
    </row>
    <row r="4325" spans="1:18" s="117" customFormat="1" ht="69" customHeight="1">
      <c r="A4325" s="168"/>
      <c r="B4325" s="178">
        <v>1089</v>
      </c>
      <c r="C4325" s="178" t="s">
        <v>8721</v>
      </c>
      <c r="D4325" s="575" t="s">
        <v>10906</v>
      </c>
      <c r="E4325" s="178" t="s">
        <v>755</v>
      </c>
      <c r="F4325" s="210" t="s">
        <v>10907</v>
      </c>
      <c r="G4325" s="58" t="s">
        <v>867</v>
      </c>
      <c r="H4325" s="546">
        <v>1027663.77</v>
      </c>
      <c r="I4325" s="66">
        <v>45063</v>
      </c>
      <c r="J4325" s="411" t="s">
        <v>10905</v>
      </c>
      <c r="K4325" s="58"/>
      <c r="L4325" s="99"/>
      <c r="M4325" s="70" t="s">
        <v>8684</v>
      </c>
      <c r="N4325" s="97" t="s">
        <v>716</v>
      </c>
      <c r="O4325" s="58"/>
      <c r="P4325" s="58" t="s">
        <v>28</v>
      </c>
      <c r="Q4325" s="58" t="s">
        <v>109</v>
      </c>
      <c r="R4325" s="58" t="s">
        <v>272</v>
      </c>
    </row>
    <row r="4326" spans="1:18" s="117" customFormat="1" ht="69" customHeight="1">
      <c r="A4326" s="168"/>
      <c r="B4326" s="178">
        <v>1090</v>
      </c>
      <c r="C4326" s="178" t="s">
        <v>9322</v>
      </c>
      <c r="D4326" s="575" t="s">
        <v>6732</v>
      </c>
      <c r="E4326" s="178" t="s">
        <v>755</v>
      </c>
      <c r="F4326" s="210" t="s">
        <v>10908</v>
      </c>
      <c r="G4326" s="58" t="s">
        <v>9472</v>
      </c>
      <c r="H4326" s="546">
        <v>1179546.6299999999</v>
      </c>
      <c r="I4326" s="66">
        <v>45063</v>
      </c>
      <c r="J4326" s="411" t="s">
        <v>10909</v>
      </c>
      <c r="K4326" s="58"/>
      <c r="L4326" s="99"/>
      <c r="M4326" s="70" t="s">
        <v>9314</v>
      </c>
      <c r="N4326" s="97" t="s">
        <v>716</v>
      </c>
      <c r="O4326" s="58"/>
      <c r="P4326" s="58" t="s">
        <v>28</v>
      </c>
      <c r="Q4326" s="58" t="s">
        <v>114</v>
      </c>
      <c r="R4326" s="58" t="s">
        <v>272</v>
      </c>
    </row>
    <row r="4327" spans="1:18" s="117" customFormat="1" ht="69" customHeight="1">
      <c r="A4327" s="168"/>
      <c r="B4327" s="178">
        <v>1091</v>
      </c>
      <c r="C4327" s="178" t="s">
        <v>9322</v>
      </c>
      <c r="D4327" s="575" t="s">
        <v>10910</v>
      </c>
      <c r="E4327" s="178" t="s">
        <v>755</v>
      </c>
      <c r="F4327" s="210" t="s">
        <v>10911</v>
      </c>
      <c r="G4327" s="58" t="s">
        <v>867</v>
      </c>
      <c r="H4327" s="546">
        <v>894425.01</v>
      </c>
      <c r="I4327" s="66">
        <v>45063</v>
      </c>
      <c r="J4327" s="411" t="s">
        <v>10909</v>
      </c>
      <c r="K4327" s="58"/>
      <c r="L4327" s="99"/>
      <c r="M4327" s="70" t="s">
        <v>9314</v>
      </c>
      <c r="N4327" s="97" t="s">
        <v>716</v>
      </c>
      <c r="O4327" s="58"/>
      <c r="P4327" s="58" t="s">
        <v>28</v>
      </c>
      <c r="Q4327" s="58" t="s">
        <v>114</v>
      </c>
      <c r="R4327" s="58" t="s">
        <v>272</v>
      </c>
    </row>
    <row r="4328" spans="1:18" ht="69" customHeight="1">
      <c r="A4328" s="168"/>
      <c r="B4328" s="178">
        <v>1092</v>
      </c>
      <c r="C4328" s="178" t="s">
        <v>9215</v>
      </c>
      <c r="D4328" s="575" t="s">
        <v>10912</v>
      </c>
      <c r="E4328" s="178" t="s">
        <v>409</v>
      </c>
      <c r="F4328" s="210" t="s">
        <v>10913</v>
      </c>
      <c r="G4328" s="58" t="s">
        <v>7948</v>
      </c>
      <c r="H4328" s="546">
        <v>84521.45</v>
      </c>
      <c r="I4328" s="66">
        <v>45061</v>
      </c>
      <c r="J4328" s="411" t="s">
        <v>10914</v>
      </c>
      <c r="K4328" s="58"/>
      <c r="L4328" s="99"/>
      <c r="M4328" s="70" t="s">
        <v>9213</v>
      </c>
      <c r="N4328" s="97" t="s">
        <v>741</v>
      </c>
      <c r="O4328" s="58"/>
      <c r="P4328" s="58" t="s">
        <v>59</v>
      </c>
      <c r="Q4328" s="58" t="s">
        <v>113</v>
      </c>
      <c r="R4328" s="58" t="s">
        <v>272</v>
      </c>
    </row>
    <row r="4329" spans="1:18" ht="69" customHeight="1">
      <c r="A4329" s="168"/>
      <c r="B4329" s="178">
        <v>1093</v>
      </c>
      <c r="C4329" s="178" t="s">
        <v>9215</v>
      </c>
      <c r="D4329" s="575" t="s">
        <v>10915</v>
      </c>
      <c r="E4329" s="178" t="s">
        <v>409</v>
      </c>
      <c r="F4329" s="210" t="s">
        <v>10916</v>
      </c>
      <c r="G4329" s="58" t="s">
        <v>7948</v>
      </c>
      <c r="H4329" s="546">
        <v>338085.78</v>
      </c>
      <c r="I4329" s="66">
        <v>45061</v>
      </c>
      <c r="J4329" s="411" t="s">
        <v>10914</v>
      </c>
      <c r="K4329" s="58"/>
      <c r="L4329" s="99"/>
      <c r="M4329" s="70" t="s">
        <v>9213</v>
      </c>
      <c r="N4329" s="97" t="s">
        <v>741</v>
      </c>
      <c r="O4329" s="58"/>
      <c r="P4329" s="58" t="s">
        <v>59</v>
      </c>
      <c r="Q4329" s="58" t="s">
        <v>113</v>
      </c>
      <c r="R4329" s="58" t="s">
        <v>272</v>
      </c>
    </row>
    <row r="4330" spans="1:18" ht="69" customHeight="1">
      <c r="A4330" s="168"/>
      <c r="B4330" s="178">
        <v>1094</v>
      </c>
      <c r="C4330" s="178" t="s">
        <v>458</v>
      </c>
      <c r="D4330" s="575" t="s">
        <v>10917</v>
      </c>
      <c r="E4330" s="178" t="s">
        <v>409</v>
      </c>
      <c r="F4330" s="210" t="s">
        <v>10918</v>
      </c>
      <c r="G4330" s="58" t="s">
        <v>10919</v>
      </c>
      <c r="H4330" s="546">
        <v>26176.86</v>
      </c>
      <c r="I4330" s="66">
        <v>45061</v>
      </c>
      <c r="J4330" s="411" t="s">
        <v>10920</v>
      </c>
      <c r="K4330" s="58"/>
      <c r="L4330" s="99"/>
      <c r="M4330" s="70" t="s">
        <v>7687</v>
      </c>
      <c r="N4330" s="97" t="s">
        <v>741</v>
      </c>
      <c r="O4330" s="58"/>
      <c r="P4330" s="58" t="s">
        <v>59</v>
      </c>
      <c r="Q4330" s="58" t="s">
        <v>103</v>
      </c>
      <c r="R4330" s="58" t="s">
        <v>272</v>
      </c>
    </row>
    <row r="4331" spans="1:18" ht="69" customHeight="1">
      <c r="A4331" s="168"/>
      <c r="B4331" s="178">
        <v>1095</v>
      </c>
      <c r="C4331" s="178" t="s">
        <v>458</v>
      </c>
      <c r="D4331" s="575" t="s">
        <v>10921</v>
      </c>
      <c r="E4331" s="178" t="s">
        <v>409</v>
      </c>
      <c r="F4331" s="210" t="s">
        <v>10922</v>
      </c>
      <c r="G4331" s="58" t="s">
        <v>10919</v>
      </c>
      <c r="H4331" s="546">
        <v>104707.44</v>
      </c>
      <c r="I4331" s="66">
        <v>45061</v>
      </c>
      <c r="J4331" s="411" t="s">
        <v>10920</v>
      </c>
      <c r="K4331" s="58"/>
      <c r="L4331" s="99"/>
      <c r="M4331" s="70" t="s">
        <v>7687</v>
      </c>
      <c r="N4331" s="97" t="s">
        <v>741</v>
      </c>
      <c r="O4331" s="58"/>
      <c r="P4331" s="58" t="s">
        <v>59</v>
      </c>
      <c r="Q4331" s="58" t="s">
        <v>103</v>
      </c>
      <c r="R4331" s="58" t="s">
        <v>272</v>
      </c>
    </row>
    <row r="4332" spans="1:18" ht="69" customHeight="1">
      <c r="A4332" s="168"/>
      <c r="B4332" s="178">
        <v>1096</v>
      </c>
      <c r="C4332" s="178" t="s">
        <v>657</v>
      </c>
      <c r="D4332" s="575" t="s">
        <v>1854</v>
      </c>
      <c r="E4332" s="178" t="s">
        <v>7985</v>
      </c>
      <c r="F4332" s="210" t="s">
        <v>10923</v>
      </c>
      <c r="G4332" s="58" t="s">
        <v>10924</v>
      </c>
      <c r="H4332" s="546">
        <v>17622.560000000001</v>
      </c>
      <c r="I4332" s="66">
        <v>45061</v>
      </c>
      <c r="J4332" s="411" t="s">
        <v>10925</v>
      </c>
      <c r="K4332" s="58"/>
      <c r="L4332" s="99"/>
      <c r="M4332" s="70" t="s">
        <v>7819</v>
      </c>
      <c r="N4332" s="97" t="s">
        <v>741</v>
      </c>
      <c r="O4332" s="58"/>
      <c r="P4332" s="58" t="s">
        <v>59</v>
      </c>
      <c r="Q4332" s="58" t="s">
        <v>104</v>
      </c>
      <c r="R4332" s="58" t="s">
        <v>272</v>
      </c>
    </row>
    <row r="4333" spans="1:18" ht="69" customHeight="1">
      <c r="A4333" s="168"/>
      <c r="B4333" s="178">
        <v>1097</v>
      </c>
      <c r="C4333" s="178" t="s">
        <v>657</v>
      </c>
      <c r="D4333" s="575" t="s">
        <v>2132</v>
      </c>
      <c r="E4333" s="178" t="s">
        <v>7985</v>
      </c>
      <c r="F4333" s="210" t="s">
        <v>10926</v>
      </c>
      <c r="G4333" s="58" t="s">
        <v>10927</v>
      </c>
      <c r="H4333" s="546">
        <v>70490.259999999995</v>
      </c>
      <c r="I4333" s="66">
        <v>45061</v>
      </c>
      <c r="J4333" s="411" t="s">
        <v>10925</v>
      </c>
      <c r="K4333" s="58"/>
      <c r="L4333" s="99"/>
      <c r="M4333" s="70" t="s">
        <v>7819</v>
      </c>
      <c r="N4333" s="97" t="s">
        <v>741</v>
      </c>
      <c r="O4333" s="58"/>
      <c r="P4333" s="58" t="s">
        <v>59</v>
      </c>
      <c r="Q4333" s="58" t="s">
        <v>104</v>
      </c>
      <c r="R4333" s="58" t="s">
        <v>272</v>
      </c>
    </row>
    <row r="4334" spans="1:18" ht="69" customHeight="1">
      <c r="A4334" s="168"/>
      <c r="B4334" s="178">
        <v>1098</v>
      </c>
      <c r="C4334" s="178" t="s">
        <v>4411</v>
      </c>
      <c r="D4334" s="575" t="s">
        <v>10928</v>
      </c>
      <c r="E4334" s="178" t="s">
        <v>755</v>
      </c>
      <c r="F4334" s="210" t="s">
        <v>10929</v>
      </c>
      <c r="G4334" s="58" t="s">
        <v>10930</v>
      </c>
      <c r="H4334" s="546">
        <v>40785.800000000003</v>
      </c>
      <c r="I4334" s="66">
        <v>45065</v>
      </c>
      <c r="J4334" s="411" t="s">
        <v>10931</v>
      </c>
      <c r="K4334" s="58"/>
      <c r="L4334" s="99"/>
      <c r="M4334" s="70" t="s">
        <v>10932</v>
      </c>
      <c r="N4334" s="97" t="s">
        <v>1372</v>
      </c>
      <c r="O4334" s="58"/>
      <c r="P4334" s="58" t="s">
        <v>57</v>
      </c>
      <c r="Q4334" s="58" t="s">
        <v>54</v>
      </c>
      <c r="R4334" s="58" t="s">
        <v>272</v>
      </c>
    </row>
    <row r="4335" spans="1:18" ht="69" customHeight="1">
      <c r="A4335" s="168"/>
      <c r="B4335" s="178">
        <v>1099</v>
      </c>
      <c r="C4335" s="178" t="s">
        <v>458</v>
      </c>
      <c r="D4335" s="575" t="s">
        <v>5386</v>
      </c>
      <c r="E4335" s="178" t="s">
        <v>409</v>
      </c>
      <c r="F4335" s="210" t="s">
        <v>10933</v>
      </c>
      <c r="G4335" s="58" t="s">
        <v>10927</v>
      </c>
      <c r="H4335" s="546">
        <v>9407.61</v>
      </c>
      <c r="I4335" s="66">
        <v>45061</v>
      </c>
      <c r="J4335" s="411" t="s">
        <v>10934</v>
      </c>
      <c r="K4335" s="58"/>
      <c r="L4335" s="99"/>
      <c r="M4335" s="70" t="s">
        <v>8332</v>
      </c>
      <c r="N4335" s="97" t="s">
        <v>741</v>
      </c>
      <c r="O4335" s="58"/>
      <c r="P4335" s="58" t="s">
        <v>59</v>
      </c>
      <c r="Q4335" s="58" t="s">
        <v>107</v>
      </c>
      <c r="R4335" s="58" t="s">
        <v>272</v>
      </c>
    </row>
    <row r="4336" spans="1:18" ht="69" customHeight="1">
      <c r="A4336" s="168"/>
      <c r="B4336" s="178">
        <v>1100</v>
      </c>
      <c r="C4336" s="178" t="s">
        <v>458</v>
      </c>
      <c r="D4336" s="575" t="s">
        <v>10935</v>
      </c>
      <c r="E4336" s="178" t="s">
        <v>409</v>
      </c>
      <c r="F4336" s="210" t="s">
        <v>10936</v>
      </c>
      <c r="G4336" s="58" t="s">
        <v>10927</v>
      </c>
      <c r="H4336" s="546">
        <v>37630.449999999997</v>
      </c>
      <c r="I4336" s="66">
        <v>45061</v>
      </c>
      <c r="J4336" s="411" t="s">
        <v>10934</v>
      </c>
      <c r="K4336" s="58"/>
      <c r="L4336" s="99"/>
      <c r="M4336" s="70" t="s">
        <v>8332</v>
      </c>
      <c r="N4336" s="97" t="s">
        <v>741</v>
      </c>
      <c r="O4336" s="58"/>
      <c r="P4336" s="58" t="s">
        <v>59</v>
      </c>
      <c r="Q4336" s="58" t="s">
        <v>107</v>
      </c>
      <c r="R4336" s="58" t="s">
        <v>272</v>
      </c>
    </row>
    <row r="4337" spans="1:18" ht="69" customHeight="1">
      <c r="A4337" s="168"/>
      <c r="B4337" s="178">
        <v>1101</v>
      </c>
      <c r="C4337" s="178" t="s">
        <v>10937</v>
      </c>
      <c r="D4337" s="575" t="s">
        <v>582</v>
      </c>
      <c r="E4337" s="178" t="s">
        <v>7865</v>
      </c>
      <c r="F4337" s="210" t="s">
        <v>10938</v>
      </c>
      <c r="G4337" s="58" t="s">
        <v>10939</v>
      </c>
      <c r="H4337" s="546">
        <v>350000</v>
      </c>
      <c r="I4337" s="66">
        <v>45071</v>
      </c>
      <c r="J4337" s="411" t="s">
        <v>10940</v>
      </c>
      <c r="K4337" s="58"/>
      <c r="L4337" s="99"/>
      <c r="M4337" s="70" t="s">
        <v>7868</v>
      </c>
      <c r="N4337" s="97" t="s">
        <v>356</v>
      </c>
      <c r="O4337" s="58" t="s">
        <v>141</v>
      </c>
      <c r="P4337" s="58" t="s">
        <v>19</v>
      </c>
      <c r="Q4337" s="58" t="s">
        <v>104</v>
      </c>
      <c r="R4337" s="58" t="s">
        <v>272</v>
      </c>
    </row>
    <row r="4338" spans="1:18" ht="69" customHeight="1">
      <c r="A4338" s="168"/>
      <c r="B4338" s="178">
        <v>1102</v>
      </c>
      <c r="C4338" s="178" t="s">
        <v>10941</v>
      </c>
      <c r="D4338" s="575" t="s">
        <v>10942</v>
      </c>
      <c r="E4338" s="178" t="s">
        <v>358</v>
      </c>
      <c r="F4338" s="210" t="s">
        <v>10943</v>
      </c>
      <c r="G4338" s="58" t="s">
        <v>10939</v>
      </c>
      <c r="H4338" s="546">
        <v>100000</v>
      </c>
      <c r="I4338" s="66">
        <v>45071</v>
      </c>
      <c r="J4338" s="411" t="s">
        <v>10940</v>
      </c>
      <c r="K4338" s="58"/>
      <c r="L4338" s="99"/>
      <c r="M4338" s="70" t="s">
        <v>7999</v>
      </c>
      <c r="N4338" s="97" t="s">
        <v>356</v>
      </c>
      <c r="O4338" s="58" t="s">
        <v>141</v>
      </c>
      <c r="P4338" s="58" t="s">
        <v>19</v>
      </c>
      <c r="Q4338" s="58" t="s">
        <v>105</v>
      </c>
      <c r="R4338" s="58" t="s">
        <v>272</v>
      </c>
    </row>
    <row r="4339" spans="1:18" ht="69" customHeight="1">
      <c r="A4339" s="168"/>
      <c r="B4339" s="178">
        <v>1103</v>
      </c>
      <c r="C4339" s="178" t="s">
        <v>10944</v>
      </c>
      <c r="D4339" s="575" t="s">
        <v>3386</v>
      </c>
      <c r="E4339" s="178" t="s">
        <v>358</v>
      </c>
      <c r="F4339" s="210" t="s">
        <v>10945</v>
      </c>
      <c r="G4339" s="58" t="s">
        <v>10939</v>
      </c>
      <c r="H4339" s="546">
        <v>180000</v>
      </c>
      <c r="I4339" s="66">
        <v>45071</v>
      </c>
      <c r="J4339" s="411" t="s">
        <v>10946</v>
      </c>
      <c r="K4339" s="58"/>
      <c r="L4339" s="99"/>
      <c r="M4339" s="70" t="s">
        <v>10012</v>
      </c>
      <c r="N4339" s="97" t="s">
        <v>356</v>
      </c>
      <c r="O4339" s="58" t="s">
        <v>141</v>
      </c>
      <c r="P4339" s="58" t="s">
        <v>19</v>
      </c>
      <c r="Q4339" s="58" t="s">
        <v>120</v>
      </c>
      <c r="R4339" s="58" t="s">
        <v>272</v>
      </c>
    </row>
    <row r="4340" spans="1:18" ht="69" customHeight="1">
      <c r="A4340" s="168"/>
      <c r="B4340" s="178">
        <v>1104</v>
      </c>
      <c r="C4340" s="178" t="s">
        <v>10947</v>
      </c>
      <c r="D4340" s="575" t="s">
        <v>3917</v>
      </c>
      <c r="E4340" s="178" t="s">
        <v>358</v>
      </c>
      <c r="F4340" s="210" t="s">
        <v>10948</v>
      </c>
      <c r="G4340" s="58" t="s">
        <v>10949</v>
      </c>
      <c r="H4340" s="546">
        <v>150000</v>
      </c>
      <c r="I4340" s="66">
        <v>45071</v>
      </c>
      <c r="J4340" s="411" t="s">
        <v>10946</v>
      </c>
      <c r="K4340" s="58"/>
      <c r="L4340" s="99"/>
      <c r="M4340" s="70" t="s">
        <v>7269</v>
      </c>
      <c r="N4340" s="97" t="s">
        <v>356</v>
      </c>
      <c r="O4340" s="58" t="s">
        <v>141</v>
      </c>
      <c r="P4340" s="58" t="s">
        <v>19</v>
      </c>
      <c r="Q4340" s="58" t="s">
        <v>100</v>
      </c>
      <c r="R4340" s="58" t="s">
        <v>272</v>
      </c>
    </row>
    <row r="4341" spans="1:18" ht="69" customHeight="1">
      <c r="A4341" s="168"/>
      <c r="B4341" s="178">
        <v>1105</v>
      </c>
      <c r="C4341" s="178" t="s">
        <v>657</v>
      </c>
      <c r="D4341" s="575" t="s">
        <v>10950</v>
      </c>
      <c r="E4341" s="178" t="s">
        <v>382</v>
      </c>
      <c r="F4341" s="210" t="s">
        <v>10951</v>
      </c>
      <c r="G4341" s="58" t="s">
        <v>10952</v>
      </c>
      <c r="H4341" s="546">
        <v>29180</v>
      </c>
      <c r="I4341" s="66">
        <v>45071</v>
      </c>
      <c r="J4341" s="411" t="s">
        <v>10953</v>
      </c>
      <c r="K4341" s="58"/>
      <c r="L4341" s="99"/>
      <c r="M4341" s="70" t="s">
        <v>9580</v>
      </c>
      <c r="N4341" s="97" t="s">
        <v>387</v>
      </c>
      <c r="O4341" s="45" t="s">
        <v>150</v>
      </c>
      <c r="P4341" s="58" t="s">
        <v>51</v>
      </c>
      <c r="Q4341" s="58" t="s">
        <v>118</v>
      </c>
      <c r="R4341" s="58" t="s">
        <v>272</v>
      </c>
    </row>
    <row r="4342" spans="1:18" ht="69" customHeight="1">
      <c r="A4342" s="168"/>
      <c r="B4342" s="178">
        <v>1146</v>
      </c>
      <c r="C4342" s="178" t="s">
        <v>9094</v>
      </c>
      <c r="D4342" s="575" t="s">
        <v>4650</v>
      </c>
      <c r="E4342" s="178" t="s">
        <v>10954</v>
      </c>
      <c r="F4342" s="210" t="s">
        <v>10955</v>
      </c>
      <c r="G4342" s="58" t="s">
        <v>10956</v>
      </c>
      <c r="H4342" s="546">
        <v>313202.73</v>
      </c>
      <c r="I4342" s="66">
        <v>45071</v>
      </c>
      <c r="J4342" s="411" t="s">
        <v>10957</v>
      </c>
      <c r="K4342" s="58"/>
      <c r="L4342" s="99"/>
      <c r="M4342" s="70" t="s">
        <v>10958</v>
      </c>
      <c r="N4342" s="97" t="s">
        <v>356</v>
      </c>
      <c r="O4342" s="58" t="s">
        <v>141</v>
      </c>
      <c r="P4342" s="58" t="s">
        <v>19</v>
      </c>
      <c r="Q4342" s="58" t="s">
        <v>112</v>
      </c>
      <c r="R4342" s="58" t="s">
        <v>272</v>
      </c>
    </row>
    <row r="4343" spans="1:18" ht="69" customHeight="1">
      <c r="A4343" s="168"/>
      <c r="B4343" s="178">
        <v>1147</v>
      </c>
      <c r="C4343" s="178" t="s">
        <v>8797</v>
      </c>
      <c r="D4343" s="575" t="s">
        <v>5000</v>
      </c>
      <c r="E4343" s="178" t="s">
        <v>10954</v>
      </c>
      <c r="F4343" s="210" t="s">
        <v>10959</v>
      </c>
      <c r="G4343" s="58" t="s">
        <v>10960</v>
      </c>
      <c r="H4343" s="546">
        <v>100000</v>
      </c>
      <c r="I4343" s="66">
        <v>45071</v>
      </c>
      <c r="J4343" s="411" t="s">
        <v>10957</v>
      </c>
      <c r="K4343" s="58"/>
      <c r="L4343" s="99"/>
      <c r="M4343" s="70" t="s">
        <v>8763</v>
      </c>
      <c r="N4343" s="97" t="s">
        <v>356</v>
      </c>
      <c r="O4343" s="58" t="s">
        <v>141</v>
      </c>
      <c r="P4343" s="58" t="s">
        <v>19</v>
      </c>
      <c r="Q4343" s="58" t="s">
        <v>110</v>
      </c>
      <c r="R4343" s="58" t="s">
        <v>272</v>
      </c>
    </row>
    <row r="4344" spans="1:18" ht="69" customHeight="1">
      <c r="A4344" s="168"/>
      <c r="B4344" s="178">
        <v>1148</v>
      </c>
      <c r="C4344" s="178" t="s">
        <v>10961</v>
      </c>
      <c r="D4344" s="575" t="s">
        <v>10962</v>
      </c>
      <c r="E4344" s="178" t="s">
        <v>10671</v>
      </c>
      <c r="F4344" s="210" t="s">
        <v>10963</v>
      </c>
      <c r="G4344" s="58" t="s">
        <v>10964</v>
      </c>
      <c r="H4344" s="552">
        <v>2800</v>
      </c>
      <c r="I4344" s="66">
        <v>45071</v>
      </c>
      <c r="J4344" s="411" t="s">
        <v>10965</v>
      </c>
      <c r="K4344" s="58" t="s">
        <v>10804</v>
      </c>
      <c r="L4344" s="99"/>
      <c r="M4344" s="379"/>
      <c r="N4344" s="76" t="s">
        <v>387</v>
      </c>
      <c r="O4344" s="58" t="s">
        <v>150</v>
      </c>
      <c r="P4344" s="58" t="s">
        <v>67</v>
      </c>
      <c r="Q4344" s="58" t="s">
        <v>96</v>
      </c>
      <c r="R4344" s="58" t="s">
        <v>272</v>
      </c>
    </row>
    <row r="4345" spans="1:18" ht="69" customHeight="1">
      <c r="A4345" s="168"/>
      <c r="B4345" s="178">
        <v>1149</v>
      </c>
      <c r="C4345" s="178" t="s">
        <v>458</v>
      </c>
      <c r="D4345" s="575" t="s">
        <v>4271</v>
      </c>
      <c r="E4345" s="178" t="s">
        <v>260</v>
      </c>
      <c r="F4345" s="210" t="s">
        <v>10966</v>
      </c>
      <c r="G4345" s="58" t="s">
        <v>10967</v>
      </c>
      <c r="H4345" s="546">
        <v>51137.32</v>
      </c>
      <c r="I4345" s="66">
        <v>45071</v>
      </c>
      <c r="J4345" s="411" t="s">
        <v>10968</v>
      </c>
      <c r="K4345" s="58"/>
      <c r="L4345" s="99"/>
      <c r="M4345" s="70" t="s">
        <v>9688</v>
      </c>
      <c r="N4345" s="97" t="s">
        <v>264</v>
      </c>
      <c r="O4345" s="58" t="s">
        <v>141</v>
      </c>
      <c r="P4345" s="58" t="s">
        <v>17</v>
      </c>
      <c r="Q4345" s="58" t="s">
        <v>119</v>
      </c>
      <c r="R4345" s="58" t="s">
        <v>265</v>
      </c>
    </row>
    <row r="4346" spans="1:18" ht="69" customHeight="1">
      <c r="A4346" s="168"/>
      <c r="B4346" s="178">
        <v>1150</v>
      </c>
      <c r="C4346" s="178" t="s">
        <v>9545</v>
      </c>
      <c r="D4346" s="575" t="s">
        <v>4273</v>
      </c>
      <c r="E4346" s="178" t="s">
        <v>10954</v>
      </c>
      <c r="F4346" s="210" t="s">
        <v>10969</v>
      </c>
      <c r="G4346" s="58" t="s">
        <v>10960</v>
      </c>
      <c r="H4346" s="546">
        <v>150000</v>
      </c>
      <c r="I4346" s="66">
        <v>45071</v>
      </c>
      <c r="J4346" s="411" t="s">
        <v>10970</v>
      </c>
      <c r="K4346" s="58"/>
      <c r="L4346" s="99"/>
      <c r="M4346" s="70" t="s">
        <v>9516</v>
      </c>
      <c r="N4346" s="97" t="s">
        <v>356</v>
      </c>
      <c r="O4346" s="58" t="s">
        <v>141</v>
      </c>
      <c r="P4346" s="58" t="s">
        <v>19</v>
      </c>
      <c r="Q4346" s="58" t="s">
        <v>117</v>
      </c>
      <c r="R4346" s="58" t="s">
        <v>272</v>
      </c>
    </row>
    <row r="4347" spans="1:18" ht="69" customHeight="1">
      <c r="A4347" s="168"/>
      <c r="B4347" s="178">
        <v>1151</v>
      </c>
      <c r="C4347" s="178" t="s">
        <v>9094</v>
      </c>
      <c r="D4347" s="575" t="s">
        <v>3896</v>
      </c>
      <c r="E4347" s="178" t="s">
        <v>10954</v>
      </c>
      <c r="F4347" s="210" t="s">
        <v>10971</v>
      </c>
      <c r="G4347" s="58" t="s">
        <v>10956</v>
      </c>
      <c r="H4347" s="546">
        <v>313202.73</v>
      </c>
      <c r="I4347" s="66">
        <v>45071</v>
      </c>
      <c r="J4347" s="411" t="s">
        <v>10970</v>
      </c>
      <c r="K4347" s="58"/>
      <c r="L4347" s="99"/>
      <c r="M4347" s="70" t="s">
        <v>10958</v>
      </c>
      <c r="N4347" s="97" t="s">
        <v>356</v>
      </c>
      <c r="O4347" s="58" t="s">
        <v>141</v>
      </c>
      <c r="P4347" s="58" t="s">
        <v>19</v>
      </c>
      <c r="Q4347" s="58" t="s">
        <v>112</v>
      </c>
      <c r="R4347" s="58" t="s">
        <v>272</v>
      </c>
    </row>
    <row r="4348" spans="1:18" ht="69" customHeight="1">
      <c r="A4348" s="168"/>
      <c r="B4348" s="178">
        <v>1152</v>
      </c>
      <c r="C4348" s="178" t="s">
        <v>3647</v>
      </c>
      <c r="D4348" s="575" t="s">
        <v>10972</v>
      </c>
      <c r="E4348" s="178" t="s">
        <v>3721</v>
      </c>
      <c r="F4348" s="210" t="s">
        <v>10973</v>
      </c>
      <c r="G4348" s="58" t="s">
        <v>10974</v>
      </c>
      <c r="H4348" s="546">
        <v>7500</v>
      </c>
      <c r="I4348" s="66">
        <v>45071</v>
      </c>
      <c r="J4348" s="411" t="s">
        <v>10975</v>
      </c>
      <c r="K4348" s="58"/>
      <c r="L4348" s="99"/>
      <c r="M4348" s="70" t="s">
        <v>3727</v>
      </c>
      <c r="N4348" s="97" t="s">
        <v>414</v>
      </c>
      <c r="O4348" s="58" t="s">
        <v>4374</v>
      </c>
      <c r="P4348" s="58" t="s">
        <v>22</v>
      </c>
      <c r="Q4348" s="58" t="s">
        <v>47</v>
      </c>
      <c r="R4348" s="58" t="s">
        <v>265</v>
      </c>
    </row>
    <row r="4349" spans="1:18" ht="69" customHeight="1">
      <c r="A4349" s="168"/>
      <c r="B4349" s="178">
        <v>1153</v>
      </c>
      <c r="C4349" s="178" t="s">
        <v>3647</v>
      </c>
      <c r="D4349" s="575" t="s">
        <v>10976</v>
      </c>
      <c r="E4349" s="178" t="s">
        <v>3721</v>
      </c>
      <c r="F4349" s="210" t="s">
        <v>10977</v>
      </c>
      <c r="G4349" s="58" t="s">
        <v>10978</v>
      </c>
      <c r="H4349" s="546">
        <v>11500</v>
      </c>
      <c r="I4349" s="66">
        <v>45071</v>
      </c>
      <c r="J4349" s="411" t="s">
        <v>10975</v>
      </c>
      <c r="K4349" s="58"/>
      <c r="L4349" s="99"/>
      <c r="M4349" s="70" t="s">
        <v>3727</v>
      </c>
      <c r="N4349" s="97" t="s">
        <v>414</v>
      </c>
      <c r="O4349" s="58"/>
      <c r="P4349" s="58" t="s">
        <v>22</v>
      </c>
      <c r="Q4349" s="58" t="s">
        <v>47</v>
      </c>
      <c r="R4349" s="58" t="s">
        <v>265</v>
      </c>
    </row>
    <row r="4350" spans="1:18" ht="69" customHeight="1">
      <c r="A4350" s="168"/>
      <c r="B4350" s="178">
        <v>1154</v>
      </c>
      <c r="C4350" s="178" t="s">
        <v>3647</v>
      </c>
      <c r="D4350" s="575" t="s">
        <v>10979</v>
      </c>
      <c r="E4350" s="178" t="s">
        <v>3721</v>
      </c>
      <c r="F4350" s="210" t="s">
        <v>10980</v>
      </c>
      <c r="G4350" s="58" t="s">
        <v>10981</v>
      </c>
      <c r="H4350" s="546">
        <v>7660</v>
      </c>
      <c r="I4350" s="66">
        <v>45071</v>
      </c>
      <c r="J4350" s="411" t="s">
        <v>10975</v>
      </c>
      <c r="K4350" s="58"/>
      <c r="L4350" s="99"/>
      <c r="M4350" s="70" t="s">
        <v>3727</v>
      </c>
      <c r="N4350" s="97" t="s">
        <v>414</v>
      </c>
      <c r="O4350" s="58"/>
      <c r="P4350" s="58" t="s">
        <v>22</v>
      </c>
      <c r="Q4350" s="58" t="s">
        <v>47</v>
      </c>
      <c r="R4350" s="58" t="s">
        <v>265</v>
      </c>
    </row>
    <row r="4351" spans="1:18" ht="69" customHeight="1">
      <c r="A4351" s="168"/>
      <c r="B4351" s="178">
        <v>1155</v>
      </c>
      <c r="C4351" s="178" t="s">
        <v>8529</v>
      </c>
      <c r="D4351" s="575" t="s">
        <v>3903</v>
      </c>
      <c r="E4351" s="178" t="s">
        <v>10954</v>
      </c>
      <c r="F4351" s="210" t="s">
        <v>10982</v>
      </c>
      <c r="G4351" s="58" t="s">
        <v>10983</v>
      </c>
      <c r="H4351" s="546">
        <v>100000</v>
      </c>
      <c r="I4351" s="66">
        <v>45071</v>
      </c>
      <c r="J4351" s="411" t="s">
        <v>10984</v>
      </c>
      <c r="K4351" s="58"/>
      <c r="L4351" s="99"/>
      <c r="M4351" s="70" t="s">
        <v>8486</v>
      </c>
      <c r="N4351" s="97" t="s">
        <v>356</v>
      </c>
      <c r="O4351" s="58" t="s">
        <v>141</v>
      </c>
      <c r="P4351" s="58" t="s">
        <v>19</v>
      </c>
      <c r="Q4351" s="58" t="s">
        <v>108</v>
      </c>
      <c r="R4351" s="58" t="s">
        <v>272</v>
      </c>
    </row>
    <row r="4352" spans="1:18" ht="69" customHeight="1">
      <c r="A4352" s="168"/>
      <c r="B4352" s="178">
        <v>1156</v>
      </c>
      <c r="C4352" s="178" t="s">
        <v>8721</v>
      </c>
      <c r="D4352" s="575" t="s">
        <v>4231</v>
      </c>
      <c r="E4352" s="178" t="s">
        <v>358</v>
      </c>
      <c r="F4352" s="210" t="s">
        <v>10985</v>
      </c>
      <c r="G4352" s="58" t="s">
        <v>10986</v>
      </c>
      <c r="H4352" s="546">
        <v>100000</v>
      </c>
      <c r="I4352" s="66">
        <v>45071</v>
      </c>
      <c r="J4352" s="411" t="s">
        <v>10984</v>
      </c>
      <c r="K4352" s="58"/>
      <c r="L4352" s="99"/>
      <c r="M4352" s="70" t="s">
        <v>8634</v>
      </c>
      <c r="N4352" s="97" t="s">
        <v>356</v>
      </c>
      <c r="O4352" s="58" t="s">
        <v>141</v>
      </c>
      <c r="P4352" s="58" t="s">
        <v>19</v>
      </c>
      <c r="Q4352" s="58" t="s">
        <v>109</v>
      </c>
      <c r="R4352" s="58" t="s">
        <v>272</v>
      </c>
    </row>
    <row r="4353" spans="1:18" ht="69" customHeight="1">
      <c r="A4353" s="168"/>
      <c r="B4353" s="178">
        <v>1157</v>
      </c>
      <c r="C4353" s="178" t="s">
        <v>3647</v>
      </c>
      <c r="D4353" s="575" t="s">
        <v>10987</v>
      </c>
      <c r="E4353" s="178" t="s">
        <v>4173</v>
      </c>
      <c r="F4353" s="210" t="s">
        <v>10988</v>
      </c>
      <c r="G4353" s="58" t="s">
        <v>10989</v>
      </c>
      <c r="H4353" s="546">
        <v>3000</v>
      </c>
      <c r="I4353" s="66">
        <v>45071</v>
      </c>
      <c r="J4353" s="411" t="s">
        <v>10990</v>
      </c>
      <c r="K4353" s="58"/>
      <c r="L4353" s="99"/>
      <c r="M4353" s="70" t="s">
        <v>4011</v>
      </c>
      <c r="N4353" s="97" t="s">
        <v>414</v>
      </c>
      <c r="O4353" s="58"/>
      <c r="P4353" s="58" t="s">
        <v>22</v>
      </c>
      <c r="Q4353" s="58" t="s">
        <v>52</v>
      </c>
      <c r="R4353" s="58" t="s">
        <v>265</v>
      </c>
    </row>
    <row r="4354" spans="1:18" ht="69" customHeight="1">
      <c r="A4354" s="168"/>
      <c r="B4354" s="178">
        <v>1158</v>
      </c>
      <c r="C4354" s="178" t="s">
        <v>3647</v>
      </c>
      <c r="D4354" s="575" t="s">
        <v>10991</v>
      </c>
      <c r="E4354" s="178" t="s">
        <v>4173</v>
      </c>
      <c r="F4354" s="210" t="s">
        <v>10992</v>
      </c>
      <c r="G4354" s="58" t="s">
        <v>10993</v>
      </c>
      <c r="H4354" s="546">
        <v>17000</v>
      </c>
      <c r="I4354" s="66">
        <v>45071</v>
      </c>
      <c r="J4354" s="411" t="s">
        <v>10990</v>
      </c>
      <c r="K4354" s="58"/>
      <c r="L4354" s="99"/>
      <c r="M4354" s="70" t="s">
        <v>4011</v>
      </c>
      <c r="N4354" s="97" t="s">
        <v>414</v>
      </c>
      <c r="O4354" s="58"/>
      <c r="P4354" s="58" t="s">
        <v>22</v>
      </c>
      <c r="Q4354" s="58" t="s">
        <v>52</v>
      </c>
      <c r="R4354" s="58" t="s">
        <v>265</v>
      </c>
    </row>
    <row r="4355" spans="1:18" ht="69" customHeight="1">
      <c r="A4355" s="168"/>
      <c r="B4355" s="178">
        <v>1159</v>
      </c>
      <c r="C4355" s="178" t="s">
        <v>3647</v>
      </c>
      <c r="D4355" s="575" t="s">
        <v>10994</v>
      </c>
      <c r="E4355" s="178" t="s">
        <v>3721</v>
      </c>
      <c r="F4355" s="210" t="s">
        <v>10995</v>
      </c>
      <c r="G4355" s="58" t="s">
        <v>10993</v>
      </c>
      <c r="H4355" s="546">
        <v>17000</v>
      </c>
      <c r="I4355" s="66">
        <v>45071</v>
      </c>
      <c r="J4355" s="411" t="s">
        <v>10996</v>
      </c>
      <c r="K4355" s="58"/>
      <c r="L4355" s="99"/>
      <c r="M4355" s="70" t="s">
        <v>3727</v>
      </c>
      <c r="N4355" s="97" t="s">
        <v>414</v>
      </c>
      <c r="O4355" s="58"/>
      <c r="P4355" s="58" t="s">
        <v>22</v>
      </c>
      <c r="Q4355" s="58" t="s">
        <v>47</v>
      </c>
      <c r="R4355" s="58" t="s">
        <v>265</v>
      </c>
    </row>
    <row r="4356" spans="1:18" ht="69" customHeight="1">
      <c r="A4356" s="168"/>
      <c r="B4356" s="178">
        <v>1160</v>
      </c>
      <c r="C4356" s="178" t="s">
        <v>3647</v>
      </c>
      <c r="D4356" s="575" t="s">
        <v>10997</v>
      </c>
      <c r="E4356" s="178" t="s">
        <v>3721</v>
      </c>
      <c r="F4356" s="210" t="s">
        <v>10998</v>
      </c>
      <c r="G4356" s="58" t="s">
        <v>10981</v>
      </c>
      <c r="H4356" s="546">
        <v>5770.1</v>
      </c>
      <c r="I4356" s="66">
        <v>45071</v>
      </c>
      <c r="J4356" s="411" t="s">
        <v>10996</v>
      </c>
      <c r="K4356" s="58"/>
      <c r="L4356" s="99"/>
      <c r="M4356" s="70" t="s">
        <v>3727</v>
      </c>
      <c r="N4356" s="97" t="s">
        <v>414</v>
      </c>
      <c r="O4356" s="58"/>
      <c r="P4356" s="58" t="s">
        <v>22</v>
      </c>
      <c r="Q4356" s="58" t="s">
        <v>47</v>
      </c>
      <c r="R4356" s="58" t="s">
        <v>265</v>
      </c>
    </row>
    <row r="4357" spans="1:18" ht="69" customHeight="1">
      <c r="A4357" s="168"/>
      <c r="B4357" s="178">
        <v>1161</v>
      </c>
      <c r="C4357" s="59" t="s">
        <v>3667</v>
      </c>
      <c r="D4357" s="575" t="s">
        <v>10999</v>
      </c>
      <c r="E4357" s="178" t="s">
        <v>10753</v>
      </c>
      <c r="F4357" s="210" t="s">
        <v>11000</v>
      </c>
      <c r="G4357" s="58" t="s">
        <v>11001</v>
      </c>
      <c r="H4357" s="546">
        <v>28400</v>
      </c>
      <c r="I4357" s="66">
        <v>45071</v>
      </c>
      <c r="J4357" s="411" t="s">
        <v>11002</v>
      </c>
      <c r="K4357" s="58"/>
      <c r="L4357" s="99"/>
      <c r="M4357" s="70" t="s">
        <v>6459</v>
      </c>
      <c r="N4357" s="97" t="s">
        <v>6197</v>
      </c>
      <c r="O4357" s="58"/>
      <c r="P4357" s="58" t="s">
        <v>22</v>
      </c>
      <c r="Q4357" s="58" t="s">
        <v>78</v>
      </c>
      <c r="R4357" s="58" t="s">
        <v>265</v>
      </c>
    </row>
    <row r="4358" spans="1:18" ht="69" customHeight="1">
      <c r="A4358" s="168"/>
      <c r="B4358" s="191">
        <v>1162</v>
      </c>
      <c r="C4358" s="191" t="s">
        <v>657</v>
      </c>
      <c r="D4358" s="533" t="s">
        <v>1384</v>
      </c>
      <c r="E4358" s="191" t="s">
        <v>6226</v>
      </c>
      <c r="F4358" s="211" t="s">
        <v>11003</v>
      </c>
      <c r="G4358" s="46" t="s">
        <v>11004</v>
      </c>
      <c r="H4358" s="534">
        <v>11509.96</v>
      </c>
      <c r="I4358" s="56">
        <v>45071</v>
      </c>
      <c r="J4358" s="412" t="s">
        <v>11005</v>
      </c>
      <c r="K4358" s="46" t="s">
        <v>881</v>
      </c>
      <c r="L4358" s="99"/>
      <c r="M4358" s="379"/>
      <c r="N4358" s="76" t="s">
        <v>6197</v>
      </c>
      <c r="O4358" s="46"/>
      <c r="P4358" s="46" t="s">
        <v>71</v>
      </c>
      <c r="Q4358" s="46" t="s">
        <v>110</v>
      </c>
      <c r="R4358" s="46" t="s">
        <v>272</v>
      </c>
    </row>
    <row r="4359" spans="1:18" ht="69" customHeight="1">
      <c r="A4359" s="168"/>
      <c r="B4359" s="191">
        <v>1163</v>
      </c>
      <c r="C4359" s="191" t="s">
        <v>3667</v>
      </c>
      <c r="D4359" s="533" t="s">
        <v>11006</v>
      </c>
      <c r="E4359" s="191" t="s">
        <v>6226</v>
      </c>
      <c r="F4359" s="211" t="s">
        <v>11007</v>
      </c>
      <c r="G4359" s="46" t="s">
        <v>11004</v>
      </c>
      <c r="H4359" s="534">
        <v>12021.5</v>
      </c>
      <c r="I4359" s="56">
        <v>45071</v>
      </c>
      <c r="J4359" s="412" t="s">
        <v>11005</v>
      </c>
      <c r="K4359" s="46" t="s">
        <v>881</v>
      </c>
      <c r="L4359" s="99"/>
      <c r="M4359" s="379"/>
      <c r="N4359" s="76" t="s">
        <v>6197</v>
      </c>
      <c r="O4359" s="46"/>
      <c r="P4359" s="46" t="s">
        <v>71</v>
      </c>
      <c r="Q4359" s="46" t="s">
        <v>74</v>
      </c>
      <c r="R4359" s="46" t="s">
        <v>272</v>
      </c>
    </row>
    <row r="4360" spans="1:18" ht="69" customHeight="1">
      <c r="A4360" s="168"/>
      <c r="B4360" s="178">
        <v>1164</v>
      </c>
      <c r="C4360" s="178" t="s">
        <v>309</v>
      </c>
      <c r="D4360" s="575" t="s">
        <v>5367</v>
      </c>
      <c r="E4360" s="178" t="s">
        <v>10954</v>
      </c>
      <c r="F4360" s="210" t="s">
        <v>11008</v>
      </c>
      <c r="G4360" s="58" t="s">
        <v>11009</v>
      </c>
      <c r="H4360" s="546">
        <v>410000</v>
      </c>
      <c r="I4360" s="66">
        <v>45071</v>
      </c>
      <c r="J4360" s="411" t="s">
        <v>11010</v>
      </c>
      <c r="K4360" s="58"/>
      <c r="L4360" s="99"/>
      <c r="M4360" s="70" t="s">
        <v>2965</v>
      </c>
      <c r="N4360" s="97" t="s">
        <v>356</v>
      </c>
      <c r="O4360" s="58" t="s">
        <v>141</v>
      </c>
      <c r="P4360" s="58" t="s">
        <v>19</v>
      </c>
      <c r="Q4360" s="58" t="s">
        <v>39</v>
      </c>
      <c r="R4360" s="58" t="s">
        <v>272</v>
      </c>
    </row>
    <row r="4361" spans="1:18" ht="69" customHeight="1">
      <c r="A4361" s="168"/>
      <c r="B4361" s="178">
        <v>1165</v>
      </c>
      <c r="C4361" s="178" t="s">
        <v>309</v>
      </c>
      <c r="D4361" s="575" t="s">
        <v>4786</v>
      </c>
      <c r="E4361" s="178" t="s">
        <v>10954</v>
      </c>
      <c r="F4361" s="210" t="s">
        <v>11011</v>
      </c>
      <c r="G4361" s="58" t="s">
        <v>11009</v>
      </c>
      <c r="H4361" s="546">
        <v>440000</v>
      </c>
      <c r="I4361" s="66">
        <v>45071</v>
      </c>
      <c r="J4361" s="411" t="s">
        <v>11010</v>
      </c>
      <c r="K4361" s="58"/>
      <c r="L4361" s="99"/>
      <c r="M4361" s="70" t="s">
        <v>3186</v>
      </c>
      <c r="N4361" s="97" t="s">
        <v>6197</v>
      </c>
      <c r="O4361" s="58" t="s">
        <v>141</v>
      </c>
      <c r="P4361" s="58" t="s">
        <v>19</v>
      </c>
      <c r="Q4361" s="58" t="s">
        <v>41</v>
      </c>
      <c r="R4361" s="58" t="s">
        <v>272</v>
      </c>
    </row>
    <row r="4362" spans="1:18" ht="69" customHeight="1">
      <c r="A4362" s="168"/>
      <c r="B4362" s="207">
        <v>1166</v>
      </c>
      <c r="C4362" s="207" t="s">
        <v>458</v>
      </c>
      <c r="D4362" s="301" t="s">
        <v>11012</v>
      </c>
      <c r="E4362" s="207" t="s">
        <v>10671</v>
      </c>
      <c r="F4362" s="208" t="s">
        <v>11013</v>
      </c>
      <c r="G4362" s="160" t="s">
        <v>11014</v>
      </c>
      <c r="H4362" s="300">
        <v>13891.29</v>
      </c>
      <c r="I4362" s="209">
        <v>45066</v>
      </c>
      <c r="J4362" s="322" t="s">
        <v>11015</v>
      </c>
      <c r="K4362" s="160" t="s">
        <v>4128</v>
      </c>
      <c r="M4362" s="379"/>
      <c r="N4362" s="76" t="s">
        <v>387</v>
      </c>
      <c r="O4362" s="160"/>
      <c r="P4362" s="160" t="s">
        <v>67</v>
      </c>
      <c r="Q4362" s="160" t="s">
        <v>114</v>
      </c>
      <c r="R4362" s="160" t="s">
        <v>272</v>
      </c>
    </row>
    <row r="4363" spans="1:18" ht="69" customHeight="1">
      <c r="A4363" s="168"/>
      <c r="B4363" s="207">
        <v>1167</v>
      </c>
      <c r="C4363" s="207" t="s">
        <v>458</v>
      </c>
      <c r="D4363" s="301" t="s">
        <v>6729</v>
      </c>
      <c r="E4363" s="207" t="s">
        <v>10671</v>
      </c>
      <c r="F4363" s="208" t="s">
        <v>11016</v>
      </c>
      <c r="G4363" s="160" t="s">
        <v>11014</v>
      </c>
      <c r="H4363" s="300">
        <v>5620.2</v>
      </c>
      <c r="I4363" s="209">
        <v>45066</v>
      </c>
      <c r="J4363" s="322" t="s">
        <v>11015</v>
      </c>
      <c r="K4363" s="160" t="s">
        <v>4128</v>
      </c>
      <c r="M4363" s="379"/>
      <c r="N4363" s="76" t="s">
        <v>387</v>
      </c>
      <c r="O4363" s="160"/>
      <c r="P4363" s="160" t="s">
        <v>67</v>
      </c>
      <c r="Q4363" s="160" t="s">
        <v>114</v>
      </c>
      <c r="R4363" s="160" t="s">
        <v>272</v>
      </c>
    </row>
    <row r="4364" spans="1:18" ht="69" customHeight="1">
      <c r="A4364" s="168"/>
      <c r="B4364" s="191">
        <v>1168</v>
      </c>
      <c r="C4364" s="191" t="s">
        <v>458</v>
      </c>
      <c r="D4364" s="533" t="s">
        <v>3911</v>
      </c>
      <c r="E4364" s="191" t="s">
        <v>6226</v>
      </c>
      <c r="F4364" s="211" t="s">
        <v>11017</v>
      </c>
      <c r="G4364" s="46" t="s">
        <v>11004</v>
      </c>
      <c r="H4364" s="534">
        <v>11509.96</v>
      </c>
      <c r="I4364" s="56">
        <v>45071</v>
      </c>
      <c r="J4364" s="412" t="s">
        <v>11018</v>
      </c>
      <c r="K4364" s="46" t="s">
        <v>881</v>
      </c>
      <c r="L4364" s="99"/>
      <c r="M4364" s="379"/>
      <c r="N4364" s="76" t="s">
        <v>6197</v>
      </c>
      <c r="O4364" s="46"/>
      <c r="P4364" s="46" t="s">
        <v>71</v>
      </c>
      <c r="Q4364" s="46" t="s">
        <v>100</v>
      </c>
      <c r="R4364" s="46" t="s">
        <v>272</v>
      </c>
    </row>
    <row r="4365" spans="1:18" ht="69" customHeight="1">
      <c r="A4365" s="168"/>
      <c r="B4365" s="178">
        <v>1169</v>
      </c>
      <c r="C4365" s="178" t="s">
        <v>458</v>
      </c>
      <c r="D4365" s="575" t="s">
        <v>6564</v>
      </c>
      <c r="E4365" s="178" t="s">
        <v>7692</v>
      </c>
      <c r="F4365" s="210" t="s">
        <v>11019</v>
      </c>
      <c r="G4365" s="58" t="s">
        <v>10981</v>
      </c>
      <c r="H4365" s="546">
        <v>28257.64</v>
      </c>
      <c r="I4365" s="66">
        <v>45071</v>
      </c>
      <c r="J4365" s="411" t="s">
        <v>11020</v>
      </c>
      <c r="K4365" s="58"/>
      <c r="L4365" s="99"/>
      <c r="M4365" s="70" t="s">
        <v>7696</v>
      </c>
      <c r="N4365" s="97" t="s">
        <v>414</v>
      </c>
      <c r="O4365" s="45" t="s">
        <v>147</v>
      </c>
      <c r="P4365" s="58" t="s">
        <v>22</v>
      </c>
      <c r="Q4365" s="58" t="s">
        <v>103</v>
      </c>
      <c r="R4365" s="58" t="s">
        <v>265</v>
      </c>
    </row>
    <row r="4366" spans="1:18" ht="69" customHeight="1">
      <c r="A4366" s="168"/>
      <c r="B4366" s="178">
        <v>1170</v>
      </c>
      <c r="C4366" s="178" t="s">
        <v>458</v>
      </c>
      <c r="D4366" s="575" t="s">
        <v>6568</v>
      </c>
      <c r="E4366" s="178" t="s">
        <v>8347</v>
      </c>
      <c r="F4366" s="210" t="s">
        <v>11021</v>
      </c>
      <c r="G4366" s="58" t="s">
        <v>10981</v>
      </c>
      <c r="H4366" s="546">
        <v>28745.43</v>
      </c>
      <c r="I4366" s="66">
        <v>45071</v>
      </c>
      <c r="J4366" s="411" t="s">
        <v>11022</v>
      </c>
      <c r="K4366" s="58"/>
      <c r="L4366" s="99"/>
      <c r="M4366" s="70" t="s">
        <v>8351</v>
      </c>
      <c r="N4366" s="97" t="s">
        <v>414</v>
      </c>
      <c r="O4366" s="58"/>
      <c r="P4366" s="58" t="s">
        <v>22</v>
      </c>
      <c r="Q4366" s="58" t="s">
        <v>107</v>
      </c>
      <c r="R4366" s="58" t="s">
        <v>265</v>
      </c>
    </row>
    <row r="4367" spans="1:18" ht="69" customHeight="1">
      <c r="A4367" s="168"/>
      <c r="B4367" s="178">
        <v>1171</v>
      </c>
      <c r="C4367" s="178" t="s">
        <v>657</v>
      </c>
      <c r="D4367" s="575" t="s">
        <v>3829</v>
      </c>
      <c r="E4367" s="178" t="s">
        <v>8347</v>
      </c>
      <c r="F4367" s="210" t="s">
        <v>11023</v>
      </c>
      <c r="G4367" s="58" t="s">
        <v>10981</v>
      </c>
      <c r="H4367" s="546">
        <v>28257.64</v>
      </c>
      <c r="I4367" s="66">
        <v>45071</v>
      </c>
      <c r="J4367" s="411" t="s">
        <v>11024</v>
      </c>
      <c r="K4367" s="58"/>
      <c r="L4367" s="99"/>
      <c r="M4367" s="70" t="s">
        <v>8351</v>
      </c>
      <c r="N4367" s="97" t="s">
        <v>414</v>
      </c>
      <c r="O4367" s="58"/>
      <c r="P4367" s="58" t="s">
        <v>22</v>
      </c>
      <c r="Q4367" s="58" t="s">
        <v>104</v>
      </c>
      <c r="R4367" s="58" t="s">
        <v>265</v>
      </c>
    </row>
    <row r="4368" spans="1:18" ht="69" customHeight="1">
      <c r="A4368" s="168"/>
      <c r="B4368" s="207">
        <v>1172</v>
      </c>
      <c r="C4368" s="207" t="s">
        <v>3647</v>
      </c>
      <c r="D4368" s="301" t="s">
        <v>11025</v>
      </c>
      <c r="E4368" s="207" t="s">
        <v>11026</v>
      </c>
      <c r="F4368" s="208" t="s">
        <v>11027</v>
      </c>
      <c r="G4368" s="160" t="s">
        <v>11014</v>
      </c>
      <c r="H4368" s="300">
        <v>45859</v>
      </c>
      <c r="I4368" s="209">
        <v>45071</v>
      </c>
      <c r="J4368" s="322" t="s">
        <v>11028</v>
      </c>
      <c r="K4368" s="160" t="s">
        <v>4128</v>
      </c>
      <c r="M4368" s="379"/>
      <c r="N4368" s="76" t="s">
        <v>414</v>
      </c>
      <c r="O4368" s="160"/>
      <c r="P4368" s="160" t="s">
        <v>67</v>
      </c>
      <c r="Q4368" s="160" t="s">
        <v>47</v>
      </c>
      <c r="R4368" s="160" t="s">
        <v>272</v>
      </c>
    </row>
    <row r="4369" spans="1:18" ht="69" customHeight="1">
      <c r="A4369" s="168"/>
      <c r="B4369" s="207">
        <v>11736</v>
      </c>
      <c r="C4369" s="207" t="s">
        <v>3647</v>
      </c>
      <c r="D4369" s="301" t="s">
        <v>11029</v>
      </c>
      <c r="E4369" s="207" t="s">
        <v>11026</v>
      </c>
      <c r="F4369" s="208" t="s">
        <v>11030</v>
      </c>
      <c r="G4369" s="160" t="s">
        <v>11014</v>
      </c>
      <c r="H4369" s="300">
        <v>8156</v>
      </c>
      <c r="I4369" s="209">
        <v>45071</v>
      </c>
      <c r="J4369" s="322" t="s">
        <v>11028</v>
      </c>
      <c r="K4369" s="160" t="s">
        <v>4128</v>
      </c>
      <c r="M4369" s="379" t="s">
        <v>4240</v>
      </c>
      <c r="N4369" s="76" t="s">
        <v>414</v>
      </c>
      <c r="O4369" s="160"/>
      <c r="P4369" s="160" t="s">
        <v>67</v>
      </c>
      <c r="Q4369" s="160" t="s">
        <v>52</v>
      </c>
      <c r="R4369" s="160" t="s">
        <v>265</v>
      </c>
    </row>
    <row r="4370" spans="1:18" ht="69" customHeight="1">
      <c r="A4370" s="168"/>
      <c r="B4370" s="178">
        <v>1174</v>
      </c>
      <c r="C4370" s="178" t="s">
        <v>309</v>
      </c>
      <c r="D4370" s="575" t="s">
        <v>5726</v>
      </c>
      <c r="E4370" s="178" t="s">
        <v>2156</v>
      </c>
      <c r="F4370" s="210" t="s">
        <v>11031</v>
      </c>
      <c r="G4370" s="58" t="s">
        <v>11032</v>
      </c>
      <c r="H4370" s="546">
        <v>251827.28</v>
      </c>
      <c r="I4370" s="66">
        <v>45071</v>
      </c>
      <c r="J4370" s="411" t="s">
        <v>11033</v>
      </c>
      <c r="K4370" s="58"/>
      <c r="L4370" s="99"/>
      <c r="M4370" s="70" t="s">
        <v>3620</v>
      </c>
      <c r="N4370" s="97" t="s">
        <v>414</v>
      </c>
      <c r="O4370" s="58"/>
      <c r="P4370" s="58" t="s">
        <v>24</v>
      </c>
      <c r="Q4370" s="58" t="s">
        <v>45</v>
      </c>
      <c r="R4370" s="58" t="s">
        <v>265</v>
      </c>
    </row>
    <row r="4371" spans="1:18" ht="69" customHeight="1">
      <c r="A4371" s="168"/>
      <c r="B4371" s="178">
        <v>1175</v>
      </c>
      <c r="C4371" s="178" t="s">
        <v>309</v>
      </c>
      <c r="D4371" s="575" t="s">
        <v>5728</v>
      </c>
      <c r="E4371" s="178" t="s">
        <v>2156</v>
      </c>
      <c r="F4371" s="210" t="s">
        <v>11034</v>
      </c>
      <c r="G4371" s="58" t="s">
        <v>11035</v>
      </c>
      <c r="H4371" s="546">
        <v>4500</v>
      </c>
      <c r="I4371" s="66">
        <v>45071</v>
      </c>
      <c r="J4371" s="411" t="s">
        <v>11033</v>
      </c>
      <c r="K4371" s="58"/>
      <c r="L4371" s="99"/>
      <c r="M4371" s="70" t="s">
        <v>3620</v>
      </c>
      <c r="N4371" s="97" t="s">
        <v>414</v>
      </c>
      <c r="O4371" s="58"/>
      <c r="P4371" s="58" t="s">
        <v>24</v>
      </c>
      <c r="Q4371" s="58" t="s">
        <v>45</v>
      </c>
      <c r="R4371" s="58" t="s">
        <v>265</v>
      </c>
    </row>
    <row r="4372" spans="1:18" ht="69" customHeight="1">
      <c r="A4372" s="168"/>
      <c r="B4372" s="207">
        <v>1176</v>
      </c>
      <c r="C4372" s="207" t="s">
        <v>10961</v>
      </c>
      <c r="D4372" s="301" t="s">
        <v>11036</v>
      </c>
      <c r="E4372" s="207" t="s">
        <v>266</v>
      </c>
      <c r="F4372" s="208" t="s">
        <v>11037</v>
      </c>
      <c r="G4372" s="160" t="s">
        <v>11038</v>
      </c>
      <c r="H4372" s="300">
        <v>10060.959999999999</v>
      </c>
      <c r="I4372" s="209">
        <v>45065</v>
      </c>
      <c r="J4372" s="322" t="s">
        <v>11039</v>
      </c>
      <c r="K4372" s="160" t="s">
        <v>10804</v>
      </c>
      <c r="L4372" s="99"/>
      <c r="M4372" s="379"/>
      <c r="N4372" s="76" t="s">
        <v>6197</v>
      </c>
      <c r="O4372" s="160" t="s">
        <v>10810</v>
      </c>
      <c r="P4372" s="160" t="s">
        <v>67</v>
      </c>
      <c r="Q4372" s="160" t="s">
        <v>96</v>
      </c>
      <c r="R4372" s="160" t="s">
        <v>272</v>
      </c>
    </row>
    <row r="4373" spans="1:18" ht="69" customHeight="1">
      <c r="A4373" s="168"/>
      <c r="B4373" s="178">
        <v>1177</v>
      </c>
      <c r="C4373" s="178" t="s">
        <v>10856</v>
      </c>
      <c r="D4373" s="575" t="s">
        <v>4656</v>
      </c>
      <c r="E4373" s="178" t="s">
        <v>2156</v>
      </c>
      <c r="F4373" s="210" t="s">
        <v>11040</v>
      </c>
      <c r="G4373" s="58" t="s">
        <v>10993</v>
      </c>
      <c r="H4373" s="546">
        <v>20688.2</v>
      </c>
      <c r="I4373" s="66">
        <v>45071</v>
      </c>
      <c r="J4373" s="411" t="s">
        <v>11041</v>
      </c>
      <c r="K4373" s="58"/>
      <c r="L4373" s="99"/>
      <c r="M4373" s="379"/>
      <c r="N4373" s="76" t="s">
        <v>414</v>
      </c>
      <c r="O4373" s="58"/>
      <c r="P4373" s="58" t="s">
        <v>24</v>
      </c>
      <c r="Q4373" s="58" t="s">
        <v>39</v>
      </c>
      <c r="R4373" s="58" t="s">
        <v>265</v>
      </c>
    </row>
    <row r="4374" spans="1:18" ht="69" customHeight="1">
      <c r="A4374" s="168"/>
      <c r="B4374" s="178">
        <v>1178</v>
      </c>
      <c r="C4374" s="178" t="s">
        <v>11042</v>
      </c>
      <c r="D4374" s="575" t="s">
        <v>11043</v>
      </c>
      <c r="E4374" s="178" t="s">
        <v>2156</v>
      </c>
      <c r="F4374" s="210" t="s">
        <v>11044</v>
      </c>
      <c r="G4374" s="58" t="s">
        <v>10993</v>
      </c>
      <c r="H4374" s="546">
        <v>20688.2</v>
      </c>
      <c r="I4374" s="66">
        <v>45071</v>
      </c>
      <c r="J4374" s="411" t="s">
        <v>11041</v>
      </c>
      <c r="K4374" s="58"/>
      <c r="L4374" s="99"/>
      <c r="M4374" s="379"/>
      <c r="N4374" s="76" t="s">
        <v>414</v>
      </c>
      <c r="O4374" s="58"/>
      <c r="P4374" s="58" t="s">
        <v>24</v>
      </c>
      <c r="Q4374" s="58" t="s">
        <v>41</v>
      </c>
      <c r="R4374" s="58" t="s">
        <v>265</v>
      </c>
    </row>
    <row r="4375" spans="1:18" ht="69" customHeight="1">
      <c r="A4375" s="168"/>
      <c r="B4375" s="178">
        <v>1179</v>
      </c>
      <c r="C4375" s="178" t="s">
        <v>1853</v>
      </c>
      <c r="D4375" s="575" t="s">
        <v>3900</v>
      </c>
      <c r="E4375" s="178" t="s">
        <v>2156</v>
      </c>
      <c r="F4375" s="210" t="s">
        <v>11045</v>
      </c>
      <c r="G4375" s="58" t="s">
        <v>10993</v>
      </c>
      <c r="H4375" s="546">
        <v>20688.2</v>
      </c>
      <c r="I4375" s="66">
        <v>45071</v>
      </c>
      <c r="J4375" s="411" t="s">
        <v>11041</v>
      </c>
      <c r="K4375" s="58"/>
      <c r="L4375" s="99"/>
      <c r="M4375" s="70" t="s">
        <v>1772</v>
      </c>
      <c r="N4375" s="97" t="s">
        <v>414</v>
      </c>
      <c r="O4375" s="58"/>
      <c r="P4375" s="58" t="s">
        <v>24</v>
      </c>
      <c r="Q4375" s="58" t="s">
        <v>29</v>
      </c>
      <c r="R4375" s="58" t="s">
        <v>265</v>
      </c>
    </row>
    <row r="4376" spans="1:18" ht="69" customHeight="1">
      <c r="A4376" s="168"/>
      <c r="B4376" s="178">
        <v>1180</v>
      </c>
      <c r="C4376" s="178" t="s">
        <v>2182</v>
      </c>
      <c r="D4376" s="575" t="s">
        <v>5360</v>
      </c>
      <c r="E4376" s="178" t="s">
        <v>2156</v>
      </c>
      <c r="F4376" s="210" t="s">
        <v>11046</v>
      </c>
      <c r="G4376" s="58" t="s">
        <v>10993</v>
      </c>
      <c r="H4376" s="546">
        <v>20688.2</v>
      </c>
      <c r="I4376" s="66">
        <v>45071</v>
      </c>
      <c r="J4376" s="411" t="s">
        <v>11041</v>
      </c>
      <c r="K4376" s="58"/>
      <c r="L4376" s="99"/>
      <c r="M4376" s="70" t="s">
        <v>2164</v>
      </c>
      <c r="N4376" s="97" t="s">
        <v>414</v>
      </c>
      <c r="O4376" s="58"/>
      <c r="P4376" s="58" t="s">
        <v>24</v>
      </c>
      <c r="Q4376" s="58" t="s">
        <v>31</v>
      </c>
      <c r="R4376" s="58" t="s">
        <v>265</v>
      </c>
    </row>
    <row r="4377" spans="1:18" ht="69" customHeight="1">
      <c r="A4377" s="168"/>
      <c r="B4377" s="178">
        <v>1181</v>
      </c>
      <c r="C4377" s="178" t="s">
        <v>11047</v>
      </c>
      <c r="D4377" s="575" t="s">
        <v>11048</v>
      </c>
      <c r="E4377" s="178" t="s">
        <v>2156</v>
      </c>
      <c r="F4377" s="210" t="s">
        <v>11049</v>
      </c>
      <c r="G4377" s="58" t="s">
        <v>10993</v>
      </c>
      <c r="H4377" s="546">
        <v>20688.2</v>
      </c>
      <c r="I4377" s="66">
        <v>45071</v>
      </c>
      <c r="J4377" s="411" t="s">
        <v>11041</v>
      </c>
      <c r="K4377" s="58"/>
      <c r="L4377" s="99"/>
      <c r="M4377" s="70" t="s">
        <v>2314</v>
      </c>
      <c r="N4377" s="97" t="s">
        <v>414</v>
      </c>
      <c r="O4377" s="58"/>
      <c r="P4377" s="58" t="s">
        <v>24</v>
      </c>
      <c r="Q4377" s="58" t="s">
        <v>33</v>
      </c>
      <c r="R4377" s="58" t="s">
        <v>265</v>
      </c>
    </row>
    <row r="4378" spans="1:18" ht="69" customHeight="1">
      <c r="A4378" s="168"/>
      <c r="B4378" s="178">
        <v>1182</v>
      </c>
      <c r="C4378" s="178" t="s">
        <v>11050</v>
      </c>
      <c r="D4378" s="575" t="s">
        <v>5380</v>
      </c>
      <c r="E4378" s="178" t="s">
        <v>2156</v>
      </c>
      <c r="F4378" s="210" t="s">
        <v>11051</v>
      </c>
      <c r="G4378" s="58" t="s">
        <v>10993</v>
      </c>
      <c r="H4378" s="546">
        <v>20688.2</v>
      </c>
      <c r="I4378" s="66">
        <v>45071</v>
      </c>
      <c r="J4378" s="411" t="s">
        <v>11041</v>
      </c>
      <c r="K4378" s="58"/>
      <c r="L4378" s="99"/>
      <c r="M4378" s="379"/>
      <c r="N4378" s="76" t="s">
        <v>414</v>
      </c>
      <c r="O4378" s="58"/>
      <c r="P4378" s="58" t="s">
        <v>24</v>
      </c>
      <c r="Q4378" s="58" t="s">
        <v>35</v>
      </c>
      <c r="R4378" s="58" t="s">
        <v>265</v>
      </c>
    </row>
    <row r="4379" spans="1:18" ht="69" customHeight="1">
      <c r="A4379" s="168"/>
      <c r="B4379" s="178">
        <v>1183</v>
      </c>
      <c r="C4379" s="178" t="s">
        <v>11052</v>
      </c>
      <c r="D4379" s="575" t="s">
        <v>11053</v>
      </c>
      <c r="E4379" s="178" t="s">
        <v>2156</v>
      </c>
      <c r="F4379" s="210" t="s">
        <v>11054</v>
      </c>
      <c r="G4379" s="58" t="s">
        <v>10993</v>
      </c>
      <c r="H4379" s="546">
        <v>20688.2</v>
      </c>
      <c r="I4379" s="66">
        <v>45071</v>
      </c>
      <c r="J4379" s="411" t="s">
        <v>11041</v>
      </c>
      <c r="K4379" s="58"/>
      <c r="L4379" s="99"/>
      <c r="M4379" s="379"/>
      <c r="N4379" s="76" t="s">
        <v>414</v>
      </c>
      <c r="O4379" s="58"/>
      <c r="P4379" s="58" t="s">
        <v>24</v>
      </c>
      <c r="Q4379" s="58" t="s">
        <v>37</v>
      </c>
      <c r="R4379" s="58" t="s">
        <v>265</v>
      </c>
    </row>
    <row r="4380" spans="1:18" ht="69" customHeight="1">
      <c r="A4380" s="168"/>
      <c r="B4380" s="178">
        <v>1184</v>
      </c>
      <c r="C4380" s="178" t="s">
        <v>11055</v>
      </c>
      <c r="D4380" s="575" t="s">
        <v>11056</v>
      </c>
      <c r="E4380" s="178" t="s">
        <v>2156</v>
      </c>
      <c r="F4380" s="210" t="s">
        <v>11057</v>
      </c>
      <c r="G4380" s="58" t="s">
        <v>10993</v>
      </c>
      <c r="H4380" s="546">
        <v>20688.2</v>
      </c>
      <c r="I4380" s="66">
        <v>45071</v>
      </c>
      <c r="J4380" s="411" t="s">
        <v>11041</v>
      </c>
      <c r="K4380" s="58"/>
      <c r="L4380" s="99"/>
      <c r="M4380" s="70" t="s">
        <v>3620</v>
      </c>
      <c r="N4380" s="97" t="s">
        <v>414</v>
      </c>
      <c r="O4380" s="58"/>
      <c r="P4380" s="58" t="s">
        <v>24</v>
      </c>
      <c r="Q4380" s="58" t="s">
        <v>45</v>
      </c>
      <c r="R4380" s="58" t="s">
        <v>265</v>
      </c>
    </row>
    <row r="4381" spans="1:18" ht="69" customHeight="1">
      <c r="A4381" s="168"/>
      <c r="B4381" s="178">
        <v>1185</v>
      </c>
      <c r="C4381" s="178" t="s">
        <v>11058</v>
      </c>
      <c r="D4381" s="575" t="s">
        <v>11059</v>
      </c>
      <c r="E4381" s="178" t="s">
        <v>2156</v>
      </c>
      <c r="F4381" s="210" t="s">
        <v>11060</v>
      </c>
      <c r="G4381" s="58" t="s">
        <v>10993</v>
      </c>
      <c r="H4381" s="546">
        <v>20688.2</v>
      </c>
      <c r="I4381" s="66">
        <v>45071</v>
      </c>
      <c r="J4381" s="411" t="s">
        <v>11041</v>
      </c>
      <c r="K4381" s="58"/>
      <c r="L4381" s="99"/>
      <c r="M4381" s="70" t="s">
        <v>1050</v>
      </c>
      <c r="N4381" s="97" t="s">
        <v>414</v>
      </c>
      <c r="O4381" s="58"/>
      <c r="P4381" s="58" t="s">
        <v>24</v>
      </c>
      <c r="Q4381" s="58" t="s">
        <v>23</v>
      </c>
      <c r="R4381" s="58" t="s">
        <v>265</v>
      </c>
    </row>
    <row r="4382" spans="1:18" ht="69" customHeight="1">
      <c r="A4382" s="168"/>
      <c r="B4382" s="191">
        <v>1186</v>
      </c>
      <c r="C4382" s="191" t="s">
        <v>309</v>
      </c>
      <c r="D4382" s="533" t="s">
        <v>11061</v>
      </c>
      <c r="E4382" s="191" t="s">
        <v>1198</v>
      </c>
      <c r="F4382" s="211" t="s">
        <v>11062</v>
      </c>
      <c r="G4382" s="46" t="s">
        <v>11004</v>
      </c>
      <c r="H4382" s="534">
        <v>11239.02</v>
      </c>
      <c r="I4382" s="56">
        <v>45071</v>
      </c>
      <c r="J4382" s="412" t="s">
        <v>11063</v>
      </c>
      <c r="K4382" s="46" t="s">
        <v>881</v>
      </c>
      <c r="L4382" s="99"/>
      <c r="M4382" s="379"/>
      <c r="N4382" s="76" t="s">
        <v>6197</v>
      </c>
      <c r="O4382" s="46"/>
      <c r="P4382" s="46" t="s">
        <v>71</v>
      </c>
      <c r="Q4382" s="46" t="s">
        <v>31</v>
      </c>
      <c r="R4382" s="46" t="s">
        <v>272</v>
      </c>
    </row>
    <row r="4383" spans="1:18" ht="69" customHeight="1">
      <c r="A4383" s="168"/>
      <c r="B4383" s="191">
        <v>1187</v>
      </c>
      <c r="C4383" s="191" t="s">
        <v>309</v>
      </c>
      <c r="D4383" s="533" t="s">
        <v>11064</v>
      </c>
      <c r="E4383" s="191" t="s">
        <v>1198</v>
      </c>
      <c r="F4383" s="211" t="s">
        <v>11065</v>
      </c>
      <c r="G4383" s="46" t="s">
        <v>11004</v>
      </c>
      <c r="H4383" s="534">
        <v>11239.02</v>
      </c>
      <c r="I4383" s="56">
        <v>45071</v>
      </c>
      <c r="J4383" s="412" t="s">
        <v>11063</v>
      </c>
      <c r="K4383" s="46" t="s">
        <v>167</v>
      </c>
      <c r="L4383" s="99"/>
      <c r="M4383" s="379"/>
      <c r="N4383" s="76" t="s">
        <v>414</v>
      </c>
      <c r="O4383" s="46"/>
      <c r="P4383" s="46" t="s">
        <v>71</v>
      </c>
      <c r="Q4383" s="46" t="s">
        <v>33</v>
      </c>
      <c r="R4383" s="46" t="s">
        <v>272</v>
      </c>
    </row>
    <row r="4384" spans="1:18" ht="69" customHeight="1">
      <c r="A4384" s="168"/>
      <c r="B4384" s="191">
        <v>1188</v>
      </c>
      <c r="C4384" s="191" t="s">
        <v>309</v>
      </c>
      <c r="D4384" s="533" t="s">
        <v>11066</v>
      </c>
      <c r="E4384" s="191" t="s">
        <v>1198</v>
      </c>
      <c r="F4384" s="211" t="s">
        <v>11067</v>
      </c>
      <c r="G4384" s="46" t="s">
        <v>11004</v>
      </c>
      <c r="H4384" s="534">
        <v>12239.02</v>
      </c>
      <c r="I4384" s="56">
        <v>45071</v>
      </c>
      <c r="J4384" s="412" t="s">
        <v>11063</v>
      </c>
      <c r="K4384" s="46" t="s">
        <v>167</v>
      </c>
      <c r="L4384" s="99"/>
      <c r="M4384" s="379"/>
      <c r="N4384" s="76" t="s">
        <v>414</v>
      </c>
      <c r="O4384" s="46"/>
      <c r="P4384" s="46" t="s">
        <v>71</v>
      </c>
      <c r="Q4384" s="46" t="s">
        <v>45</v>
      </c>
      <c r="R4384" s="46" t="s">
        <v>272</v>
      </c>
    </row>
    <row r="4385" spans="1:18" s="117" customFormat="1" ht="69" customHeight="1">
      <c r="A4385" s="168"/>
      <c r="B4385" s="178">
        <v>1189</v>
      </c>
      <c r="C4385" s="178" t="s">
        <v>9322</v>
      </c>
      <c r="D4385" s="575" t="s">
        <v>3921</v>
      </c>
      <c r="E4385" s="178" t="s">
        <v>755</v>
      </c>
      <c r="F4385" s="210" t="s">
        <v>11068</v>
      </c>
      <c r="G4385" s="58" t="s">
        <v>4521</v>
      </c>
      <c r="H4385" s="546">
        <v>570243.24</v>
      </c>
      <c r="I4385" s="66">
        <v>45065</v>
      </c>
      <c r="J4385" s="411" t="s">
        <v>11069</v>
      </c>
      <c r="K4385" s="58"/>
      <c r="L4385" s="99"/>
      <c r="M4385" s="70" t="s">
        <v>9314</v>
      </c>
      <c r="N4385" s="97" t="s">
        <v>716</v>
      </c>
      <c r="O4385" s="58"/>
      <c r="P4385" s="58" t="s">
        <v>28</v>
      </c>
      <c r="Q4385" s="58" t="s">
        <v>114</v>
      </c>
      <c r="R4385" s="58" t="s">
        <v>272</v>
      </c>
    </row>
    <row r="4386" spans="1:18" ht="69" customHeight="1">
      <c r="A4386" s="168"/>
      <c r="B4386" s="207">
        <v>1190</v>
      </c>
      <c r="C4386" s="207" t="s">
        <v>10961</v>
      </c>
      <c r="D4386" s="301" t="s">
        <v>11070</v>
      </c>
      <c r="E4386" s="207" t="s">
        <v>266</v>
      </c>
      <c r="F4386" s="208" t="s">
        <v>11071</v>
      </c>
      <c r="G4386" s="160" t="s">
        <v>11072</v>
      </c>
      <c r="H4386" s="300">
        <v>4920</v>
      </c>
      <c r="I4386" s="209">
        <v>45068</v>
      </c>
      <c r="J4386" s="322" t="s">
        <v>11073</v>
      </c>
      <c r="K4386" s="160" t="s">
        <v>10804</v>
      </c>
      <c r="L4386" s="99"/>
      <c r="M4386" s="379"/>
      <c r="N4386" s="76" t="s">
        <v>6197</v>
      </c>
      <c r="O4386" s="160" t="s">
        <v>10810</v>
      </c>
      <c r="P4386" s="160" t="s">
        <v>67</v>
      </c>
      <c r="Q4386" s="160" t="s">
        <v>96</v>
      </c>
      <c r="R4386" s="160" t="s">
        <v>272</v>
      </c>
    </row>
    <row r="4387" spans="1:18" s="117" customFormat="1" ht="69" customHeight="1">
      <c r="A4387" s="168"/>
      <c r="B4387" s="178">
        <v>1191</v>
      </c>
      <c r="C4387" s="178" t="s">
        <v>9322</v>
      </c>
      <c r="D4387" s="575" t="s">
        <v>3924</v>
      </c>
      <c r="E4387" s="178" t="s">
        <v>755</v>
      </c>
      <c r="F4387" s="210" t="s">
        <v>11074</v>
      </c>
      <c r="G4387" s="58" t="s">
        <v>1424</v>
      </c>
      <c r="H4387" s="546">
        <v>285121.62</v>
      </c>
      <c r="I4387" s="66">
        <v>45065</v>
      </c>
      <c r="J4387" s="411" t="s">
        <v>11075</v>
      </c>
      <c r="K4387" s="58"/>
      <c r="L4387" s="99"/>
      <c r="M4387" s="70" t="s">
        <v>9314</v>
      </c>
      <c r="N4387" s="97" t="s">
        <v>716</v>
      </c>
      <c r="O4387" s="58"/>
      <c r="P4387" s="58" t="s">
        <v>28</v>
      </c>
      <c r="Q4387" s="58" t="s">
        <v>114</v>
      </c>
      <c r="R4387" s="58" t="s">
        <v>272</v>
      </c>
    </row>
    <row r="4388" spans="1:18" ht="69" customHeight="1">
      <c r="A4388" s="168"/>
      <c r="B4388" s="178">
        <v>1192</v>
      </c>
      <c r="C4388" s="178" t="s">
        <v>259</v>
      </c>
      <c r="D4388" s="575" t="s">
        <v>3460</v>
      </c>
      <c r="E4388" s="178" t="s">
        <v>266</v>
      </c>
      <c r="F4388" s="210" t="s">
        <v>11076</v>
      </c>
      <c r="G4388" s="58" t="s">
        <v>5654</v>
      </c>
      <c r="H4388" s="546">
        <v>492.48</v>
      </c>
      <c r="I4388" s="66">
        <v>45082</v>
      </c>
      <c r="J4388" s="411" t="s">
        <v>11077</v>
      </c>
      <c r="K4388" s="58"/>
      <c r="L4388" s="99"/>
      <c r="M4388" s="70" t="s">
        <v>466</v>
      </c>
      <c r="N4388" s="97" t="s">
        <v>270</v>
      </c>
      <c r="O4388" s="58" t="s">
        <v>467</v>
      </c>
      <c r="P4388" s="58" t="s">
        <v>44</v>
      </c>
      <c r="Q4388" s="58" t="s">
        <v>18</v>
      </c>
      <c r="R4388" s="58" t="s">
        <v>272</v>
      </c>
    </row>
    <row r="4389" spans="1:18" ht="69" customHeight="1">
      <c r="A4389" s="168"/>
      <c r="B4389" s="178">
        <v>1193</v>
      </c>
      <c r="C4389" s="178" t="s">
        <v>309</v>
      </c>
      <c r="D4389" s="575" t="s">
        <v>6977</v>
      </c>
      <c r="E4389" s="178" t="s">
        <v>266</v>
      </c>
      <c r="F4389" s="210" t="s">
        <v>11078</v>
      </c>
      <c r="G4389" s="58" t="s">
        <v>5654</v>
      </c>
      <c r="H4389" s="546">
        <v>11832.73</v>
      </c>
      <c r="I4389" s="66">
        <v>45082</v>
      </c>
      <c r="J4389" s="411" t="s">
        <v>11077</v>
      </c>
      <c r="K4389" s="58"/>
      <c r="L4389" s="99"/>
      <c r="M4389" s="70" t="s">
        <v>466</v>
      </c>
      <c r="N4389" s="97" t="s">
        <v>270</v>
      </c>
      <c r="O4389" s="58" t="s">
        <v>467</v>
      </c>
      <c r="P4389" s="58" t="s">
        <v>61</v>
      </c>
      <c r="Q4389" s="58" t="s">
        <v>18</v>
      </c>
      <c r="R4389" s="58" t="s">
        <v>272</v>
      </c>
    </row>
    <row r="4390" spans="1:18" ht="69" customHeight="1">
      <c r="A4390" s="168"/>
      <c r="B4390" s="178">
        <v>1194</v>
      </c>
      <c r="C4390" s="178" t="s">
        <v>309</v>
      </c>
      <c r="D4390" s="575" t="s">
        <v>11079</v>
      </c>
      <c r="E4390" s="178" t="s">
        <v>266</v>
      </c>
      <c r="F4390" s="210" t="s">
        <v>11080</v>
      </c>
      <c r="G4390" s="58" t="s">
        <v>5654</v>
      </c>
      <c r="H4390" s="546">
        <v>9466.18</v>
      </c>
      <c r="I4390" s="66">
        <v>45082</v>
      </c>
      <c r="J4390" s="411" t="s">
        <v>11077</v>
      </c>
      <c r="K4390" s="58"/>
      <c r="L4390" s="99"/>
      <c r="M4390" s="70" t="s">
        <v>466</v>
      </c>
      <c r="N4390" s="97" t="s">
        <v>270</v>
      </c>
      <c r="O4390" s="58" t="s">
        <v>467</v>
      </c>
      <c r="P4390" s="58" t="s">
        <v>61</v>
      </c>
      <c r="Q4390" s="58" t="s">
        <v>18</v>
      </c>
      <c r="R4390" s="58" t="s">
        <v>272</v>
      </c>
    </row>
    <row r="4391" spans="1:18" ht="69" customHeight="1">
      <c r="A4391" s="168"/>
      <c r="B4391" s="178">
        <v>1195</v>
      </c>
      <c r="C4391" s="178" t="s">
        <v>458</v>
      </c>
      <c r="D4391" s="575" t="s">
        <v>3927</v>
      </c>
      <c r="E4391" s="178" t="s">
        <v>266</v>
      </c>
      <c r="F4391" s="210" t="s">
        <v>11081</v>
      </c>
      <c r="G4391" s="58" t="s">
        <v>5654</v>
      </c>
      <c r="H4391" s="546">
        <v>5500</v>
      </c>
      <c r="I4391" s="66">
        <v>45082</v>
      </c>
      <c r="J4391" s="411" t="s">
        <v>11077</v>
      </c>
      <c r="K4391" s="58"/>
      <c r="L4391" s="99"/>
      <c r="M4391" s="70" t="s">
        <v>9024</v>
      </c>
      <c r="N4391" s="97" t="s">
        <v>270</v>
      </c>
      <c r="O4391" s="58"/>
      <c r="P4391" s="58" t="s">
        <v>44</v>
      </c>
      <c r="Q4391" s="58" t="s">
        <v>112</v>
      </c>
      <c r="R4391" s="58" t="s">
        <v>272</v>
      </c>
    </row>
    <row r="4392" spans="1:18" ht="69" customHeight="1">
      <c r="A4392" s="168"/>
      <c r="B4392" s="207">
        <v>1196</v>
      </c>
      <c r="C4392" s="207" t="s">
        <v>8901</v>
      </c>
      <c r="D4392" s="301" t="s">
        <v>11082</v>
      </c>
      <c r="E4392" s="207" t="s">
        <v>266</v>
      </c>
      <c r="F4392" s="208" t="s">
        <v>11083</v>
      </c>
      <c r="G4392" s="160" t="s">
        <v>5654</v>
      </c>
      <c r="H4392" s="300">
        <v>2099.25</v>
      </c>
      <c r="I4392" s="209">
        <v>45082</v>
      </c>
      <c r="J4392" s="322" t="s">
        <v>11077</v>
      </c>
      <c r="K4392" s="160" t="s">
        <v>11084</v>
      </c>
      <c r="L4392" s="99"/>
      <c r="M4392" s="379"/>
      <c r="N4392" s="76" t="s">
        <v>6197</v>
      </c>
      <c r="O4392" s="160" t="s">
        <v>467</v>
      </c>
      <c r="P4392" s="160" t="s">
        <v>67</v>
      </c>
      <c r="Q4392" s="160" t="s">
        <v>96</v>
      </c>
      <c r="R4392" s="160" t="s">
        <v>272</v>
      </c>
    </row>
    <row r="4393" spans="1:18" ht="69" customHeight="1">
      <c r="A4393" s="168"/>
      <c r="B4393" s="178">
        <v>1197</v>
      </c>
      <c r="C4393" s="178" t="s">
        <v>9967</v>
      </c>
      <c r="D4393" s="575" t="s">
        <v>4275</v>
      </c>
      <c r="E4393" s="178" t="s">
        <v>1367</v>
      </c>
      <c r="F4393" s="210" t="s">
        <v>11085</v>
      </c>
      <c r="G4393" s="58" t="s">
        <v>1369</v>
      </c>
      <c r="H4393" s="546">
        <v>850</v>
      </c>
      <c r="I4393" s="66">
        <v>45082</v>
      </c>
      <c r="J4393" s="411" t="s">
        <v>11086</v>
      </c>
      <c r="K4393" s="58"/>
      <c r="L4393" s="99"/>
      <c r="M4393" s="70" t="s">
        <v>9699</v>
      </c>
      <c r="N4393" s="97" t="s">
        <v>270</v>
      </c>
      <c r="O4393" s="58"/>
      <c r="P4393" s="58" t="s">
        <v>44</v>
      </c>
      <c r="Q4393" s="58" t="s">
        <v>119</v>
      </c>
      <c r="R4393" s="58" t="s">
        <v>272</v>
      </c>
    </row>
    <row r="4394" spans="1:18" ht="69" customHeight="1">
      <c r="A4394" s="168"/>
      <c r="B4394" s="178">
        <v>1198</v>
      </c>
      <c r="C4394" s="59" t="s">
        <v>3667</v>
      </c>
      <c r="D4394" s="575" t="s">
        <v>11087</v>
      </c>
      <c r="E4394" s="58" t="s">
        <v>1372</v>
      </c>
      <c r="F4394" s="210" t="s">
        <v>11088</v>
      </c>
      <c r="G4394" s="58" t="s">
        <v>11089</v>
      </c>
      <c r="H4394" s="546">
        <v>59199.3</v>
      </c>
      <c r="I4394" s="66">
        <v>45082</v>
      </c>
      <c r="J4394" s="411" t="s">
        <v>11090</v>
      </c>
      <c r="K4394" s="58" t="s">
        <v>11091</v>
      </c>
      <c r="L4394" s="99"/>
      <c r="M4394" s="70" t="s">
        <v>6224</v>
      </c>
      <c r="N4394" s="97" t="s">
        <v>1372</v>
      </c>
      <c r="O4394" s="58"/>
      <c r="P4394" s="58" t="s">
        <v>57</v>
      </c>
      <c r="Q4394" s="58" t="s">
        <v>72</v>
      </c>
      <c r="R4394" s="58" t="s">
        <v>272</v>
      </c>
    </row>
    <row r="4395" spans="1:18" ht="69" customHeight="1">
      <c r="A4395" s="168"/>
      <c r="B4395" s="178">
        <v>1199</v>
      </c>
      <c r="C4395" s="59" t="s">
        <v>3667</v>
      </c>
      <c r="D4395" s="575" t="s">
        <v>11092</v>
      </c>
      <c r="E4395" s="178" t="s">
        <v>6192</v>
      </c>
      <c r="F4395" s="210" t="s">
        <v>11093</v>
      </c>
      <c r="G4395" s="58" t="s">
        <v>11094</v>
      </c>
      <c r="H4395" s="546">
        <v>63022.45</v>
      </c>
      <c r="I4395" s="66">
        <v>45065</v>
      </c>
      <c r="J4395" s="411" t="s">
        <v>11095</v>
      </c>
      <c r="K4395" s="58"/>
      <c r="L4395" s="99"/>
      <c r="M4395" s="70" t="s">
        <v>6196</v>
      </c>
      <c r="N4395" s="97" t="s">
        <v>6197</v>
      </c>
      <c r="O4395" s="58"/>
      <c r="P4395" s="58" t="s">
        <v>22</v>
      </c>
      <c r="Q4395" s="58" t="s">
        <v>72</v>
      </c>
      <c r="R4395" s="58" t="s">
        <v>272</v>
      </c>
    </row>
    <row r="4396" spans="1:18" ht="69" customHeight="1">
      <c r="A4396" s="168"/>
      <c r="B4396" s="178">
        <v>1120</v>
      </c>
      <c r="C4396" s="59" t="s">
        <v>3667</v>
      </c>
      <c r="D4396" s="575" t="s">
        <v>11096</v>
      </c>
      <c r="E4396" s="178" t="s">
        <v>6192</v>
      </c>
      <c r="F4396" s="210" t="s">
        <v>11097</v>
      </c>
      <c r="G4396" s="58" t="s">
        <v>7188</v>
      </c>
      <c r="H4396" s="546">
        <v>33935.17</v>
      </c>
      <c r="I4396" s="66">
        <v>45065</v>
      </c>
      <c r="J4396" s="411" t="s">
        <v>11095</v>
      </c>
      <c r="K4396" s="58"/>
      <c r="L4396" s="99"/>
      <c r="M4396" s="70" t="s">
        <v>6196</v>
      </c>
      <c r="N4396" s="97" t="s">
        <v>6197</v>
      </c>
      <c r="O4396" s="58"/>
      <c r="P4396" s="58" t="s">
        <v>22</v>
      </c>
      <c r="Q4396" s="58" t="s">
        <v>72</v>
      </c>
      <c r="R4396" s="58" t="s">
        <v>272</v>
      </c>
    </row>
    <row r="4397" spans="1:18" ht="69" customHeight="1">
      <c r="A4397" s="168"/>
      <c r="B4397" s="178">
        <v>1121</v>
      </c>
      <c r="C4397" s="59" t="s">
        <v>3667</v>
      </c>
      <c r="D4397" s="575" t="s">
        <v>11098</v>
      </c>
      <c r="E4397" s="178" t="s">
        <v>6192</v>
      </c>
      <c r="F4397" s="210" t="s">
        <v>11099</v>
      </c>
      <c r="G4397" s="58" t="s">
        <v>11100</v>
      </c>
      <c r="H4397" s="546">
        <v>57197.24</v>
      </c>
      <c r="I4397" s="66">
        <v>45065</v>
      </c>
      <c r="J4397" s="411" t="s">
        <v>11095</v>
      </c>
      <c r="K4397" s="58"/>
      <c r="L4397" s="99"/>
      <c r="M4397" s="70" t="s">
        <v>6400</v>
      </c>
      <c r="N4397" s="97" t="s">
        <v>6197</v>
      </c>
      <c r="O4397" s="58"/>
      <c r="P4397" s="58" t="s">
        <v>22</v>
      </c>
      <c r="Q4397" s="58" t="s">
        <v>74</v>
      </c>
      <c r="R4397" s="58" t="s">
        <v>272</v>
      </c>
    </row>
    <row r="4398" spans="1:18" ht="69" customHeight="1">
      <c r="A4398" s="168"/>
      <c r="B4398" s="178">
        <v>1122</v>
      </c>
      <c r="C4398" s="59" t="s">
        <v>3667</v>
      </c>
      <c r="D4398" s="575" t="s">
        <v>11101</v>
      </c>
      <c r="E4398" s="178" t="s">
        <v>6192</v>
      </c>
      <c r="F4398" s="210" t="s">
        <v>11102</v>
      </c>
      <c r="G4398" s="58" t="s">
        <v>6641</v>
      </c>
      <c r="H4398" s="546">
        <v>30798.51</v>
      </c>
      <c r="I4398" s="66">
        <v>45065</v>
      </c>
      <c r="J4398" s="411" t="s">
        <v>11095</v>
      </c>
      <c r="K4398" s="58"/>
      <c r="L4398" s="99"/>
      <c r="M4398" s="70" t="s">
        <v>6400</v>
      </c>
      <c r="N4398" s="97" t="s">
        <v>6197</v>
      </c>
      <c r="O4398" s="58"/>
      <c r="P4398" s="58" t="s">
        <v>22</v>
      </c>
      <c r="Q4398" s="58" t="s">
        <v>74</v>
      </c>
      <c r="R4398" s="58" t="s">
        <v>272</v>
      </c>
    </row>
    <row r="4399" spans="1:18" ht="69" customHeight="1">
      <c r="A4399" s="168"/>
      <c r="B4399" s="178">
        <v>1123</v>
      </c>
      <c r="C4399" s="178" t="s">
        <v>458</v>
      </c>
      <c r="D4399" s="575" t="s">
        <v>5353</v>
      </c>
      <c r="E4399" s="178" t="s">
        <v>6192</v>
      </c>
      <c r="F4399" s="210" t="s">
        <v>11103</v>
      </c>
      <c r="G4399" s="58" t="s">
        <v>11100</v>
      </c>
      <c r="H4399" s="546">
        <v>107687.4</v>
      </c>
      <c r="I4399" s="66">
        <v>45065</v>
      </c>
      <c r="J4399" s="411" t="s">
        <v>11095</v>
      </c>
      <c r="K4399" s="58"/>
      <c r="L4399" s="99"/>
      <c r="M4399" s="70" t="s">
        <v>7412</v>
      </c>
      <c r="N4399" s="97" t="s">
        <v>6197</v>
      </c>
      <c r="O4399" s="58"/>
      <c r="P4399" s="58" t="s">
        <v>22</v>
      </c>
      <c r="Q4399" s="58" t="s">
        <v>100</v>
      </c>
      <c r="R4399" s="58" t="s">
        <v>272</v>
      </c>
    </row>
    <row r="4400" spans="1:18" ht="69" customHeight="1">
      <c r="A4400" s="168"/>
      <c r="B4400" s="178">
        <v>1124</v>
      </c>
      <c r="C4400" s="178" t="s">
        <v>458</v>
      </c>
      <c r="D4400" s="575" t="s">
        <v>5355</v>
      </c>
      <c r="E4400" s="178" t="s">
        <v>6192</v>
      </c>
      <c r="F4400" s="210" t="s">
        <v>11104</v>
      </c>
      <c r="G4400" s="58" t="s">
        <v>6641</v>
      </c>
      <c r="H4400" s="546">
        <v>57985.53</v>
      </c>
      <c r="I4400" s="66">
        <v>45065</v>
      </c>
      <c r="J4400" s="411" t="s">
        <v>11095</v>
      </c>
      <c r="K4400" s="58"/>
      <c r="L4400" s="99"/>
      <c r="M4400" s="70" t="s">
        <v>7412</v>
      </c>
      <c r="N4400" s="97" t="s">
        <v>6197</v>
      </c>
      <c r="O4400" s="58"/>
      <c r="P4400" s="58" t="s">
        <v>22</v>
      </c>
      <c r="Q4400" s="58" t="s">
        <v>100</v>
      </c>
      <c r="R4400" s="58" t="s">
        <v>272</v>
      </c>
    </row>
    <row r="4401" spans="1:18" ht="69" customHeight="1">
      <c r="A4401" s="168"/>
      <c r="B4401" s="178">
        <v>1125</v>
      </c>
      <c r="C4401" s="178" t="s">
        <v>3368</v>
      </c>
      <c r="D4401" s="575" t="s">
        <v>11105</v>
      </c>
      <c r="E4401" s="178" t="s">
        <v>7985</v>
      </c>
      <c r="F4401" s="210" t="s">
        <v>11106</v>
      </c>
      <c r="G4401" s="58" t="s">
        <v>10729</v>
      </c>
      <c r="H4401" s="546">
        <v>548.5</v>
      </c>
      <c r="I4401" s="66">
        <v>45082</v>
      </c>
      <c r="J4401" s="411" t="s">
        <v>11107</v>
      </c>
      <c r="K4401" s="58"/>
      <c r="L4401" s="99"/>
      <c r="M4401" s="70" t="s">
        <v>3352</v>
      </c>
      <c r="N4401" s="97" t="s">
        <v>270</v>
      </c>
      <c r="O4401" s="58"/>
      <c r="P4401" s="58" t="s">
        <v>44</v>
      </c>
      <c r="Q4401" s="58" t="s">
        <v>43</v>
      </c>
      <c r="R4401" s="58" t="s">
        <v>272</v>
      </c>
    </row>
    <row r="4402" spans="1:18" ht="69" customHeight="1">
      <c r="A4402" s="168"/>
      <c r="B4402" s="178">
        <v>1126</v>
      </c>
      <c r="C4402" s="178" t="s">
        <v>8721</v>
      </c>
      <c r="D4402" s="575" t="s">
        <v>1625</v>
      </c>
      <c r="E4402" s="178" t="s">
        <v>7985</v>
      </c>
      <c r="F4402" s="210" t="s">
        <v>11108</v>
      </c>
      <c r="G4402" s="58" t="s">
        <v>10729</v>
      </c>
      <c r="H4402" s="546">
        <v>548.5</v>
      </c>
      <c r="I4402" s="66">
        <v>45082</v>
      </c>
      <c r="J4402" s="411" t="s">
        <v>11107</v>
      </c>
      <c r="K4402" s="58"/>
      <c r="L4402" s="99"/>
      <c r="M4402" s="70" t="s">
        <v>8615</v>
      </c>
      <c r="N4402" s="97" t="s">
        <v>270</v>
      </c>
      <c r="O4402" s="58"/>
      <c r="P4402" s="58" t="s">
        <v>44</v>
      </c>
      <c r="Q4402" s="58" t="s">
        <v>109</v>
      </c>
      <c r="R4402" s="58" t="s">
        <v>272</v>
      </c>
    </row>
    <row r="4403" spans="1:18" ht="69" customHeight="1">
      <c r="A4403" s="168"/>
      <c r="B4403" s="178">
        <v>1127</v>
      </c>
      <c r="C4403" s="178" t="s">
        <v>10418</v>
      </c>
      <c r="D4403" s="575" t="s">
        <v>5358</v>
      </c>
      <c r="E4403" s="178" t="s">
        <v>7985</v>
      </c>
      <c r="F4403" s="210" t="s">
        <v>11109</v>
      </c>
      <c r="G4403" s="58" t="s">
        <v>10729</v>
      </c>
      <c r="H4403" s="546">
        <v>548.5</v>
      </c>
      <c r="I4403" s="66">
        <v>45082</v>
      </c>
      <c r="J4403" s="411" t="s">
        <v>11107</v>
      </c>
      <c r="K4403" s="58"/>
      <c r="L4403" s="99"/>
      <c r="M4403" s="70" t="s">
        <v>10230</v>
      </c>
      <c r="N4403" s="97" t="s">
        <v>270</v>
      </c>
      <c r="O4403" s="58"/>
      <c r="P4403" s="58" t="s">
        <v>44</v>
      </c>
      <c r="Q4403" s="58" t="s">
        <v>121</v>
      </c>
      <c r="R4403" s="58" t="s">
        <v>272</v>
      </c>
    </row>
    <row r="4404" spans="1:18" ht="69" customHeight="1">
      <c r="A4404" s="168"/>
      <c r="B4404" s="178">
        <v>1128</v>
      </c>
      <c r="C4404" s="178" t="s">
        <v>10621</v>
      </c>
      <c r="D4404" s="575" t="s">
        <v>11110</v>
      </c>
      <c r="E4404" s="178" t="s">
        <v>7985</v>
      </c>
      <c r="F4404" s="210" t="s">
        <v>11111</v>
      </c>
      <c r="G4404" s="58" t="s">
        <v>10729</v>
      </c>
      <c r="H4404" s="546">
        <v>548.5</v>
      </c>
      <c r="I4404" s="66">
        <v>45082</v>
      </c>
      <c r="J4404" s="411" t="s">
        <v>11112</v>
      </c>
      <c r="K4404" s="58"/>
      <c r="L4404" s="99"/>
      <c r="M4404" s="70" t="s">
        <v>5674</v>
      </c>
      <c r="N4404" s="97" t="s">
        <v>270</v>
      </c>
      <c r="O4404" s="58"/>
      <c r="P4404" s="58" t="s">
        <v>44</v>
      </c>
      <c r="Q4404" s="58" t="s">
        <v>66</v>
      </c>
      <c r="R4404" s="58" t="s">
        <v>272</v>
      </c>
    </row>
    <row r="4405" spans="1:18" ht="69" customHeight="1">
      <c r="A4405" s="168"/>
      <c r="B4405" s="178">
        <v>1129</v>
      </c>
      <c r="C4405" s="178" t="s">
        <v>9967</v>
      </c>
      <c r="D4405" s="575" t="s">
        <v>11113</v>
      </c>
      <c r="E4405" s="178" t="s">
        <v>7985</v>
      </c>
      <c r="F4405" s="210" t="s">
        <v>11114</v>
      </c>
      <c r="G4405" s="58" t="s">
        <v>10729</v>
      </c>
      <c r="H4405" s="546">
        <v>548.5</v>
      </c>
      <c r="I4405" s="66">
        <v>45082</v>
      </c>
      <c r="J4405" s="411" t="s">
        <v>11112</v>
      </c>
      <c r="K4405" s="58"/>
      <c r="L4405" s="99"/>
      <c r="M4405" s="70" t="s">
        <v>9699</v>
      </c>
      <c r="N4405" s="97" t="s">
        <v>270</v>
      </c>
      <c r="O4405" s="58"/>
      <c r="P4405" s="58" t="s">
        <v>44</v>
      </c>
      <c r="Q4405" s="58" t="s">
        <v>119</v>
      </c>
      <c r="R4405" s="58" t="s">
        <v>272</v>
      </c>
    </row>
    <row r="4406" spans="1:18" ht="69" customHeight="1">
      <c r="A4406" s="168"/>
      <c r="B4406" s="178">
        <v>1130</v>
      </c>
      <c r="C4406" s="178" t="s">
        <v>10944</v>
      </c>
      <c r="D4406" s="575" t="s">
        <v>2335</v>
      </c>
      <c r="E4406" s="178" t="s">
        <v>7985</v>
      </c>
      <c r="F4406" s="210" t="s">
        <v>11115</v>
      </c>
      <c r="G4406" s="58" t="s">
        <v>10729</v>
      </c>
      <c r="H4406" s="546">
        <v>548.5</v>
      </c>
      <c r="I4406" s="66">
        <v>45082</v>
      </c>
      <c r="J4406" s="411" t="s">
        <v>11112</v>
      </c>
      <c r="K4406" s="58"/>
      <c r="L4406" s="99"/>
      <c r="M4406" s="70" t="s">
        <v>9974</v>
      </c>
      <c r="N4406" s="97" t="s">
        <v>270</v>
      </c>
      <c r="O4406" s="58"/>
      <c r="P4406" s="58" t="s">
        <v>44</v>
      </c>
      <c r="Q4406" s="58" t="s">
        <v>120</v>
      </c>
      <c r="R4406" s="58" t="s">
        <v>272</v>
      </c>
    </row>
    <row r="4407" spans="1:18" ht="69" customHeight="1">
      <c r="A4407" s="168"/>
      <c r="B4407" s="178">
        <v>1131</v>
      </c>
      <c r="C4407" s="178" t="s">
        <v>7452</v>
      </c>
      <c r="D4407" s="575" t="s">
        <v>6394</v>
      </c>
      <c r="E4407" s="178" t="s">
        <v>7985</v>
      </c>
      <c r="F4407" s="210" t="s">
        <v>11116</v>
      </c>
      <c r="G4407" s="58" t="s">
        <v>10729</v>
      </c>
      <c r="H4407" s="546">
        <v>548.5</v>
      </c>
      <c r="I4407" s="66">
        <v>45082</v>
      </c>
      <c r="J4407" s="411" t="s">
        <v>11112</v>
      </c>
      <c r="K4407" s="58"/>
      <c r="L4407" s="99"/>
      <c r="M4407" s="70" t="s">
        <v>7478</v>
      </c>
      <c r="N4407" s="97" t="s">
        <v>270</v>
      </c>
      <c r="O4407" s="58"/>
      <c r="P4407" s="58" t="s">
        <v>44</v>
      </c>
      <c r="Q4407" s="58" t="s">
        <v>101</v>
      </c>
      <c r="R4407" s="58" t="s">
        <v>272</v>
      </c>
    </row>
    <row r="4408" spans="1:18" ht="69" customHeight="1">
      <c r="A4408" s="168"/>
      <c r="B4408" s="178">
        <v>1132</v>
      </c>
      <c r="C4408" s="178" t="s">
        <v>7521</v>
      </c>
      <c r="D4408" s="575" t="s">
        <v>2562</v>
      </c>
      <c r="E4408" s="178" t="s">
        <v>7985</v>
      </c>
      <c r="F4408" s="210" t="s">
        <v>11117</v>
      </c>
      <c r="G4408" s="58" t="s">
        <v>10729</v>
      </c>
      <c r="H4408" s="546">
        <v>548.5</v>
      </c>
      <c r="I4408" s="66">
        <v>45082</v>
      </c>
      <c r="J4408" s="411" t="s">
        <v>11112</v>
      </c>
      <c r="K4408" s="58"/>
      <c r="L4408" s="99"/>
      <c r="M4408" s="70" t="s">
        <v>7541</v>
      </c>
      <c r="N4408" s="97" t="s">
        <v>716</v>
      </c>
      <c r="O4408" s="58"/>
      <c r="P4408" s="58" t="s">
        <v>44</v>
      </c>
      <c r="Q4408" s="58" t="s">
        <v>102</v>
      </c>
      <c r="R4408" s="58" t="s">
        <v>272</v>
      </c>
    </row>
    <row r="4409" spans="1:18" ht="69" customHeight="1">
      <c r="A4409" s="168"/>
      <c r="B4409" s="178">
        <v>1133</v>
      </c>
      <c r="C4409" s="178" t="s">
        <v>8080</v>
      </c>
      <c r="D4409" s="575" t="s">
        <v>489</v>
      </c>
      <c r="E4409" s="178" t="s">
        <v>7985</v>
      </c>
      <c r="F4409" s="210" t="s">
        <v>11118</v>
      </c>
      <c r="G4409" s="58" t="s">
        <v>10729</v>
      </c>
      <c r="H4409" s="546">
        <v>548.5</v>
      </c>
      <c r="I4409" s="66">
        <v>45082</v>
      </c>
      <c r="J4409" s="411" t="s">
        <v>11112</v>
      </c>
      <c r="K4409" s="58"/>
      <c r="L4409" s="99"/>
      <c r="M4409" s="70" t="s">
        <v>8129</v>
      </c>
      <c r="N4409" s="97" t="s">
        <v>270</v>
      </c>
      <c r="O4409" s="58"/>
      <c r="P4409" s="58" t="s">
        <v>44</v>
      </c>
      <c r="Q4409" s="58" t="s">
        <v>106</v>
      </c>
      <c r="R4409" s="58" t="s">
        <v>272</v>
      </c>
    </row>
    <row r="4410" spans="1:18" ht="69" customHeight="1">
      <c r="A4410" s="168"/>
      <c r="B4410" s="178">
        <v>1134</v>
      </c>
      <c r="C4410" s="178" t="s">
        <v>8529</v>
      </c>
      <c r="D4410" s="575" t="s">
        <v>6570</v>
      </c>
      <c r="E4410" s="178" t="s">
        <v>7985</v>
      </c>
      <c r="F4410" s="210" t="s">
        <v>11119</v>
      </c>
      <c r="G4410" s="58" t="s">
        <v>10729</v>
      </c>
      <c r="H4410" s="546">
        <v>548.5</v>
      </c>
      <c r="I4410" s="66">
        <v>45082</v>
      </c>
      <c r="J4410" s="411" t="s">
        <v>11120</v>
      </c>
      <c r="K4410" s="58"/>
      <c r="L4410" s="99"/>
      <c r="M4410" s="70" t="s">
        <v>8465</v>
      </c>
      <c r="N4410" s="97" t="s">
        <v>270</v>
      </c>
      <c r="O4410" s="58"/>
      <c r="P4410" s="58" t="s">
        <v>44</v>
      </c>
      <c r="Q4410" s="58" t="s">
        <v>108</v>
      </c>
      <c r="R4410" s="58" t="s">
        <v>272</v>
      </c>
    </row>
    <row r="4411" spans="1:18" ht="69" customHeight="1">
      <c r="A4411" s="168"/>
      <c r="B4411" s="178">
        <v>1135</v>
      </c>
      <c r="C4411" s="178" t="s">
        <v>4277</v>
      </c>
      <c r="D4411" s="575" t="s">
        <v>11121</v>
      </c>
      <c r="E4411" s="178" t="s">
        <v>7985</v>
      </c>
      <c r="F4411" s="210" t="s">
        <v>11122</v>
      </c>
      <c r="G4411" s="58" t="s">
        <v>10729</v>
      </c>
      <c r="H4411" s="546">
        <v>548.5</v>
      </c>
      <c r="I4411" s="66">
        <v>45082</v>
      </c>
      <c r="J4411" s="411" t="s">
        <v>11120</v>
      </c>
      <c r="K4411" s="58"/>
      <c r="L4411" s="99"/>
      <c r="M4411" s="70" t="s">
        <v>4557</v>
      </c>
      <c r="N4411" s="97" t="s">
        <v>270</v>
      </c>
      <c r="O4411" s="58"/>
      <c r="P4411" s="58" t="s">
        <v>44</v>
      </c>
      <c r="Q4411" s="58" t="s">
        <v>56</v>
      </c>
      <c r="R4411" s="58" t="s">
        <v>272</v>
      </c>
    </row>
    <row r="4412" spans="1:18" ht="69" customHeight="1">
      <c r="A4412" s="168"/>
      <c r="B4412" s="178">
        <v>1136</v>
      </c>
      <c r="C4412" s="178" t="s">
        <v>5189</v>
      </c>
      <c r="D4412" s="575"/>
      <c r="E4412" s="178" t="s">
        <v>7985</v>
      </c>
      <c r="F4412" s="210" t="s">
        <v>11123</v>
      </c>
      <c r="G4412" s="58" t="s">
        <v>10729</v>
      </c>
      <c r="H4412" s="546">
        <v>548.5</v>
      </c>
      <c r="I4412" s="66">
        <v>45082</v>
      </c>
      <c r="J4412" s="411" t="s">
        <v>11120</v>
      </c>
      <c r="K4412" s="58"/>
      <c r="L4412" s="99"/>
      <c r="M4412" s="70" t="s">
        <v>4831</v>
      </c>
      <c r="N4412" s="97" t="s">
        <v>270</v>
      </c>
      <c r="O4412" s="58"/>
      <c r="P4412" s="58" t="s">
        <v>44</v>
      </c>
      <c r="Q4412" s="58" t="s">
        <v>60</v>
      </c>
      <c r="R4412" s="58" t="s">
        <v>272</v>
      </c>
    </row>
    <row r="4413" spans="1:18" ht="69" customHeight="1">
      <c r="A4413" s="168"/>
      <c r="B4413" s="178">
        <v>1137</v>
      </c>
      <c r="C4413" s="191" t="s">
        <v>753</v>
      </c>
      <c r="D4413" s="533" t="s">
        <v>11124</v>
      </c>
      <c r="E4413" s="191" t="s">
        <v>1056</v>
      </c>
      <c r="F4413" s="211" t="s">
        <v>11125</v>
      </c>
      <c r="G4413" s="46" t="s">
        <v>10729</v>
      </c>
      <c r="H4413" s="546">
        <v>548.5</v>
      </c>
      <c r="I4413" s="56">
        <v>45082</v>
      </c>
      <c r="J4413" s="412" t="s">
        <v>11120</v>
      </c>
      <c r="K4413" s="46"/>
      <c r="L4413" s="99"/>
      <c r="M4413" s="70" t="s">
        <v>813</v>
      </c>
      <c r="N4413" s="97" t="s">
        <v>814</v>
      </c>
      <c r="O4413" s="46" t="s">
        <v>1061</v>
      </c>
      <c r="P4413" s="46" t="s">
        <v>36</v>
      </c>
      <c r="Q4413" s="46" t="s">
        <v>15</v>
      </c>
      <c r="R4413" s="46" t="s">
        <v>272</v>
      </c>
    </row>
    <row r="4414" spans="1:18" ht="69" customHeight="1">
      <c r="A4414" s="168"/>
      <c r="B4414" s="178">
        <v>1138</v>
      </c>
      <c r="C4414" s="178" t="s">
        <v>4728</v>
      </c>
      <c r="D4414" s="575" t="s">
        <v>11126</v>
      </c>
      <c r="E4414" s="178" t="s">
        <v>7985</v>
      </c>
      <c r="F4414" s="210" t="s">
        <v>11127</v>
      </c>
      <c r="G4414" s="58" t="s">
        <v>10729</v>
      </c>
      <c r="H4414" s="546">
        <v>548.5</v>
      </c>
      <c r="I4414" s="66">
        <v>45082</v>
      </c>
      <c r="J4414" s="411" t="s">
        <v>11120</v>
      </c>
      <c r="K4414" s="58"/>
      <c r="L4414" s="99"/>
      <c r="M4414" s="70" t="s">
        <v>4735</v>
      </c>
      <c r="N4414" s="97" t="s">
        <v>270</v>
      </c>
      <c r="O4414" s="58"/>
      <c r="P4414" s="58" t="s">
        <v>44</v>
      </c>
      <c r="Q4414" s="58" t="s">
        <v>58</v>
      </c>
      <c r="R4414" s="58" t="s">
        <v>272</v>
      </c>
    </row>
    <row r="4415" spans="1:18" ht="69" customHeight="1">
      <c r="A4415" s="168"/>
      <c r="B4415" s="178">
        <v>1139</v>
      </c>
      <c r="C4415" s="178" t="s">
        <v>5254</v>
      </c>
      <c r="D4415" s="575" t="s">
        <v>11128</v>
      </c>
      <c r="E4415" s="178" t="s">
        <v>7985</v>
      </c>
      <c r="F4415" s="210" t="s">
        <v>11129</v>
      </c>
      <c r="G4415" s="58" t="s">
        <v>10729</v>
      </c>
      <c r="H4415" s="546">
        <v>548.5</v>
      </c>
      <c r="I4415" s="66">
        <v>45082</v>
      </c>
      <c r="J4415" s="411" t="s">
        <v>11120</v>
      </c>
      <c r="K4415" s="58"/>
      <c r="L4415" s="99"/>
      <c r="M4415" s="70" t="s">
        <v>5240</v>
      </c>
      <c r="N4415" s="97" t="s">
        <v>270</v>
      </c>
      <c r="O4415" s="58"/>
      <c r="P4415" s="58" t="s">
        <v>44</v>
      </c>
      <c r="Q4415" s="58" t="s">
        <v>62</v>
      </c>
      <c r="R4415" s="58" t="s">
        <v>272</v>
      </c>
    </row>
    <row r="4416" spans="1:18" ht="69" customHeight="1">
      <c r="A4416" s="168"/>
      <c r="B4416" s="178">
        <v>6268</v>
      </c>
      <c r="C4416" s="178" t="s">
        <v>3906</v>
      </c>
      <c r="D4416" s="575" t="s">
        <v>3382</v>
      </c>
      <c r="E4416" s="178" t="s">
        <v>979</v>
      </c>
      <c r="F4416" s="210" t="s">
        <v>11130</v>
      </c>
      <c r="G4416" s="58" t="s">
        <v>352</v>
      </c>
      <c r="H4416" s="546">
        <v>1889.1</v>
      </c>
      <c r="I4416" s="66">
        <v>44806</v>
      </c>
      <c r="J4416" s="411" t="s">
        <v>3909</v>
      </c>
      <c r="K4416" s="58"/>
      <c r="L4416" s="99"/>
      <c r="M4416" s="70" t="s">
        <v>5013</v>
      </c>
      <c r="N4416" s="97" t="s">
        <v>356</v>
      </c>
      <c r="O4416" s="58" t="s">
        <v>156</v>
      </c>
      <c r="P4416" s="58" t="s">
        <v>19</v>
      </c>
      <c r="Q4416" s="58" t="s">
        <v>68</v>
      </c>
      <c r="R4416" s="58" t="s">
        <v>265</v>
      </c>
    </row>
    <row r="4417" spans="1:18" ht="69" customHeight="1">
      <c r="A4417" s="168"/>
      <c r="B4417" s="178">
        <v>1140</v>
      </c>
      <c r="C4417" s="178" t="s">
        <v>11058</v>
      </c>
      <c r="D4417" s="575" t="s">
        <v>11131</v>
      </c>
      <c r="E4417" s="178" t="s">
        <v>7985</v>
      </c>
      <c r="F4417" s="210" t="s">
        <v>11132</v>
      </c>
      <c r="G4417" s="58" t="s">
        <v>10729</v>
      </c>
      <c r="H4417" s="546">
        <v>548.5</v>
      </c>
      <c r="I4417" s="66">
        <v>45082</v>
      </c>
      <c r="J4417" s="411" t="s">
        <v>10730</v>
      </c>
      <c r="K4417" s="58"/>
      <c r="L4417" s="99"/>
      <c r="M4417" s="70" t="s">
        <v>889</v>
      </c>
      <c r="N4417" s="97" t="s">
        <v>6197</v>
      </c>
      <c r="O4417" s="58"/>
      <c r="P4417" s="58" t="s">
        <v>44</v>
      </c>
      <c r="Q4417" s="58" t="s">
        <v>23</v>
      </c>
      <c r="R4417" s="58" t="s">
        <v>272</v>
      </c>
    </row>
    <row r="4418" spans="1:18" ht="69" customHeight="1">
      <c r="A4418" s="168"/>
      <c r="B4418" s="178">
        <v>1141</v>
      </c>
      <c r="C4418" s="178" t="s">
        <v>1333</v>
      </c>
      <c r="D4418" s="575" t="s">
        <v>11133</v>
      </c>
      <c r="E4418" s="178" t="s">
        <v>7985</v>
      </c>
      <c r="F4418" s="210" t="s">
        <v>11134</v>
      </c>
      <c r="G4418" s="58" t="s">
        <v>10729</v>
      </c>
      <c r="H4418" s="546">
        <v>548.5</v>
      </c>
      <c r="I4418" s="66">
        <v>45082</v>
      </c>
      <c r="J4418" s="411" t="s">
        <v>10730</v>
      </c>
      <c r="K4418" s="58"/>
      <c r="L4418" s="99"/>
      <c r="M4418" s="70" t="s">
        <v>1257</v>
      </c>
      <c r="N4418" s="97" t="s">
        <v>270</v>
      </c>
      <c r="O4418" s="58"/>
      <c r="P4418" s="58" t="s">
        <v>44</v>
      </c>
      <c r="Q4418" s="58" t="s">
        <v>25</v>
      </c>
      <c r="R4418" s="58" t="s">
        <v>272</v>
      </c>
    </row>
    <row r="4419" spans="1:18" ht="69" customHeight="1">
      <c r="A4419" s="168"/>
      <c r="B4419" s="178">
        <v>1142</v>
      </c>
      <c r="C4419" s="178" t="s">
        <v>1593</v>
      </c>
      <c r="D4419" s="575" t="s">
        <v>11135</v>
      </c>
      <c r="E4419" s="178" t="s">
        <v>7985</v>
      </c>
      <c r="F4419" s="210" t="s">
        <v>11136</v>
      </c>
      <c r="G4419" s="58" t="s">
        <v>10729</v>
      </c>
      <c r="H4419" s="546">
        <v>548.5</v>
      </c>
      <c r="I4419" s="66">
        <v>45082</v>
      </c>
      <c r="J4419" s="411" t="s">
        <v>10730</v>
      </c>
      <c r="K4419" s="58"/>
      <c r="L4419" s="99"/>
      <c r="M4419" s="70" t="s">
        <v>1431</v>
      </c>
      <c r="N4419" s="97" t="s">
        <v>6197</v>
      </c>
      <c r="O4419" s="58"/>
      <c r="P4419" s="58" t="s">
        <v>44</v>
      </c>
      <c r="Q4419" s="58" t="s">
        <v>27</v>
      </c>
      <c r="R4419" s="58" t="s">
        <v>272</v>
      </c>
    </row>
    <row r="4420" spans="1:18" ht="69" customHeight="1">
      <c r="A4420" s="168"/>
      <c r="B4420" s="178">
        <v>1444</v>
      </c>
      <c r="C4420" s="178" t="s">
        <v>657</v>
      </c>
      <c r="D4420" s="575" t="s">
        <v>6137</v>
      </c>
      <c r="E4420" s="178" t="s">
        <v>382</v>
      </c>
      <c r="F4420" s="210" t="s">
        <v>11137</v>
      </c>
      <c r="G4420" s="58" t="s">
        <v>11138</v>
      </c>
      <c r="H4420" s="546">
        <v>12000</v>
      </c>
      <c r="I4420" s="66">
        <v>45112</v>
      </c>
      <c r="J4420" s="411" t="s">
        <v>10878</v>
      </c>
      <c r="K4420" s="58"/>
      <c r="L4420" s="99"/>
      <c r="M4420" s="70" t="s">
        <v>9412</v>
      </c>
      <c r="N4420" s="97" t="s">
        <v>387</v>
      </c>
      <c r="O4420" s="58" t="s">
        <v>9487</v>
      </c>
      <c r="P4420" s="58" t="s">
        <v>51</v>
      </c>
      <c r="Q4420" s="58" t="s">
        <v>116</v>
      </c>
      <c r="R4420" s="58" t="s">
        <v>272</v>
      </c>
    </row>
    <row r="4421" spans="1:18" ht="69" customHeight="1">
      <c r="A4421" s="168"/>
      <c r="B4421" s="178">
        <v>1144</v>
      </c>
      <c r="C4421" s="178" t="s">
        <v>9596</v>
      </c>
      <c r="D4421" s="575" t="s">
        <v>1143</v>
      </c>
      <c r="E4421" s="178" t="s">
        <v>7985</v>
      </c>
      <c r="F4421" s="210" t="s">
        <v>11139</v>
      </c>
      <c r="G4421" s="58" t="s">
        <v>10729</v>
      </c>
      <c r="H4421" s="546">
        <v>548.5</v>
      </c>
      <c r="I4421" s="66">
        <v>45082</v>
      </c>
      <c r="J4421" s="411" t="s">
        <v>10730</v>
      </c>
      <c r="K4421" s="58"/>
      <c r="L4421" s="99"/>
      <c r="M4421" s="70" t="s">
        <v>9567</v>
      </c>
      <c r="N4421" s="97" t="s">
        <v>270</v>
      </c>
      <c r="O4421" s="58"/>
      <c r="P4421" s="58" t="s">
        <v>44</v>
      </c>
      <c r="Q4421" s="58" t="s">
        <v>118</v>
      </c>
      <c r="R4421" s="58" t="s">
        <v>272</v>
      </c>
    </row>
    <row r="4422" spans="1:18" ht="69" customHeight="1">
      <c r="A4422" s="168"/>
      <c r="B4422" s="178">
        <v>1145</v>
      </c>
      <c r="C4422" s="178" t="s">
        <v>3647</v>
      </c>
      <c r="D4422" s="575" t="s">
        <v>11140</v>
      </c>
      <c r="E4422" s="178" t="s">
        <v>7985</v>
      </c>
      <c r="F4422" s="210" t="s">
        <v>11141</v>
      </c>
      <c r="G4422" s="58" t="s">
        <v>10729</v>
      </c>
      <c r="H4422" s="546">
        <v>548.5</v>
      </c>
      <c r="I4422" s="66">
        <v>45082</v>
      </c>
      <c r="J4422" s="411" t="s">
        <v>10730</v>
      </c>
      <c r="K4422" s="58"/>
      <c r="L4422" s="99"/>
      <c r="M4422" s="70" t="s">
        <v>3650</v>
      </c>
      <c r="N4422" s="97" t="s">
        <v>414</v>
      </c>
      <c r="O4422" s="58"/>
      <c r="P4422" s="58" t="s">
        <v>44</v>
      </c>
      <c r="Q4422" s="58" t="s">
        <v>47</v>
      </c>
      <c r="R4422" s="58" t="s">
        <v>272</v>
      </c>
    </row>
    <row r="4423" spans="1:18" ht="69" customHeight="1">
      <c r="A4423" s="168"/>
      <c r="B4423" s="178">
        <v>1146</v>
      </c>
      <c r="C4423" s="178" t="s">
        <v>3933</v>
      </c>
      <c r="D4423" s="575" t="s">
        <v>11142</v>
      </c>
      <c r="E4423" s="178" t="s">
        <v>7985</v>
      </c>
      <c r="F4423" s="210" t="s">
        <v>11143</v>
      </c>
      <c r="G4423" s="58" t="s">
        <v>10729</v>
      </c>
      <c r="H4423" s="546">
        <v>548.5</v>
      </c>
      <c r="I4423" s="66">
        <v>45082</v>
      </c>
      <c r="J4423" s="411" t="s">
        <v>10730</v>
      </c>
      <c r="K4423" s="58"/>
      <c r="L4423" s="99"/>
      <c r="M4423" s="70" t="s">
        <v>4136</v>
      </c>
      <c r="N4423" s="97" t="s">
        <v>270</v>
      </c>
      <c r="O4423" s="58"/>
      <c r="P4423" s="58" t="s">
        <v>44</v>
      </c>
      <c r="Q4423" s="58" t="s">
        <v>52</v>
      </c>
      <c r="R4423" s="58" t="s">
        <v>272</v>
      </c>
    </row>
    <row r="4424" spans="1:18" ht="69" customHeight="1">
      <c r="A4424" s="168"/>
      <c r="B4424" s="178">
        <v>1147</v>
      </c>
      <c r="C4424" s="178" t="s">
        <v>4411</v>
      </c>
      <c r="D4424" s="575" t="s">
        <v>11144</v>
      </c>
      <c r="E4424" s="178" t="s">
        <v>7985</v>
      </c>
      <c r="F4424" s="210" t="s">
        <v>11145</v>
      </c>
      <c r="G4424" s="58" t="s">
        <v>10729</v>
      </c>
      <c r="H4424" s="546">
        <v>548.5</v>
      </c>
      <c r="I4424" s="66">
        <v>45082</v>
      </c>
      <c r="J4424" s="411" t="s">
        <v>10730</v>
      </c>
      <c r="K4424" s="58"/>
      <c r="L4424" s="99"/>
      <c r="M4424" s="70" t="s">
        <v>4423</v>
      </c>
      <c r="N4424" s="97" t="s">
        <v>270</v>
      </c>
      <c r="O4424" s="58"/>
      <c r="P4424" s="58" t="s">
        <v>44</v>
      </c>
      <c r="Q4424" s="58" t="s">
        <v>54</v>
      </c>
      <c r="R4424" s="58" t="s">
        <v>272</v>
      </c>
    </row>
    <row r="4425" spans="1:18" ht="69" customHeight="1">
      <c r="A4425" s="168"/>
      <c r="B4425" s="178">
        <v>1148</v>
      </c>
      <c r="C4425" s="178" t="s">
        <v>458</v>
      </c>
      <c r="D4425" s="575" t="s">
        <v>5364</v>
      </c>
      <c r="E4425" s="178" t="s">
        <v>409</v>
      </c>
      <c r="F4425" s="210" t="s">
        <v>11146</v>
      </c>
      <c r="G4425" s="58" t="s">
        <v>11147</v>
      </c>
      <c r="H4425" s="546">
        <v>124290.15</v>
      </c>
      <c r="I4425" s="66">
        <v>45070</v>
      </c>
      <c r="J4425" s="411" t="s">
        <v>11148</v>
      </c>
      <c r="K4425" s="58"/>
      <c r="L4425" s="99"/>
      <c r="M4425" s="70" t="s">
        <v>9752</v>
      </c>
      <c r="N4425" s="97" t="s">
        <v>414</v>
      </c>
      <c r="O4425" s="45" t="s">
        <v>147</v>
      </c>
      <c r="P4425" s="58" t="s">
        <v>22</v>
      </c>
      <c r="Q4425" s="58" t="s">
        <v>119</v>
      </c>
      <c r="R4425" s="58" t="s">
        <v>272</v>
      </c>
    </row>
    <row r="4426" spans="1:18" ht="69" customHeight="1">
      <c r="A4426" s="168"/>
      <c r="B4426" s="178">
        <v>1149</v>
      </c>
      <c r="C4426" s="178" t="s">
        <v>458</v>
      </c>
      <c r="D4426" s="575" t="s">
        <v>3929</v>
      </c>
      <c r="E4426" s="178" t="s">
        <v>409</v>
      </c>
      <c r="F4426" s="210" t="s">
        <v>11149</v>
      </c>
      <c r="G4426" s="58" t="s">
        <v>11150</v>
      </c>
      <c r="H4426" s="546">
        <v>66925.460000000006</v>
      </c>
      <c r="I4426" s="66">
        <v>45070</v>
      </c>
      <c r="J4426" s="411" t="s">
        <v>11148</v>
      </c>
      <c r="K4426" s="58"/>
      <c r="L4426" s="99"/>
      <c r="M4426" s="70" t="s">
        <v>9752</v>
      </c>
      <c r="N4426" s="97" t="s">
        <v>414</v>
      </c>
      <c r="O4426" s="45" t="s">
        <v>147</v>
      </c>
      <c r="P4426" s="58" t="s">
        <v>22</v>
      </c>
      <c r="Q4426" s="58" t="s">
        <v>119</v>
      </c>
      <c r="R4426" s="58" t="s">
        <v>272</v>
      </c>
    </row>
    <row r="4427" spans="1:18" ht="69" customHeight="1">
      <c r="A4427" s="168"/>
      <c r="B4427" s="178">
        <v>1150</v>
      </c>
      <c r="C4427" s="178" t="s">
        <v>9545</v>
      </c>
      <c r="D4427" s="575" t="s">
        <v>5370</v>
      </c>
      <c r="E4427" s="178" t="s">
        <v>266</v>
      </c>
      <c r="F4427" s="210" t="s">
        <v>11151</v>
      </c>
      <c r="G4427" s="58" t="s">
        <v>11152</v>
      </c>
      <c r="H4427" s="546">
        <v>78000</v>
      </c>
      <c r="I4427" s="66">
        <v>45082</v>
      </c>
      <c r="J4427" s="411" t="s">
        <v>11153</v>
      </c>
      <c r="K4427" s="58"/>
      <c r="L4427" s="99"/>
      <c r="M4427" s="70" t="s">
        <v>11154</v>
      </c>
      <c r="N4427" s="97" t="s">
        <v>9363</v>
      </c>
      <c r="O4427" s="58" t="s">
        <v>11155</v>
      </c>
      <c r="P4427" s="58" t="s">
        <v>61</v>
      </c>
      <c r="Q4427" s="58" t="s">
        <v>117</v>
      </c>
      <c r="R4427" s="58" t="s">
        <v>272</v>
      </c>
    </row>
    <row r="4428" spans="1:18" ht="69" customHeight="1">
      <c r="A4428" s="168"/>
      <c r="B4428" s="178">
        <v>1151</v>
      </c>
      <c r="C4428" s="178" t="s">
        <v>9596</v>
      </c>
      <c r="D4428" s="575" t="s">
        <v>3042</v>
      </c>
      <c r="E4428" s="178" t="s">
        <v>266</v>
      </c>
      <c r="F4428" s="210" t="s">
        <v>11156</v>
      </c>
      <c r="G4428" s="58" t="s">
        <v>11157</v>
      </c>
      <c r="H4428" s="546">
        <v>15500</v>
      </c>
      <c r="I4428" s="66">
        <v>45082</v>
      </c>
      <c r="J4428" s="411" t="s">
        <v>11153</v>
      </c>
      <c r="K4428" s="58"/>
      <c r="L4428" s="99"/>
      <c r="M4428" s="70" t="s">
        <v>9567</v>
      </c>
      <c r="N4428" s="97" t="s">
        <v>270</v>
      </c>
      <c r="O4428" s="58"/>
      <c r="P4428" s="58" t="s">
        <v>44</v>
      </c>
      <c r="Q4428" s="58" t="s">
        <v>118</v>
      </c>
      <c r="R4428" s="58" t="s">
        <v>272</v>
      </c>
    </row>
    <row r="4429" spans="1:18" ht="69" customHeight="1">
      <c r="A4429" s="168"/>
      <c r="B4429" s="207">
        <v>1152</v>
      </c>
      <c r="C4429" s="207" t="s">
        <v>8901</v>
      </c>
      <c r="D4429" s="301" t="s">
        <v>11158</v>
      </c>
      <c r="E4429" s="207" t="s">
        <v>266</v>
      </c>
      <c r="F4429" s="208" t="s">
        <v>11159</v>
      </c>
      <c r="G4429" s="160" t="s">
        <v>5654</v>
      </c>
      <c r="H4429" s="300">
        <v>2400</v>
      </c>
      <c r="I4429" s="209">
        <v>45082</v>
      </c>
      <c r="J4429" s="322" t="s">
        <v>11160</v>
      </c>
      <c r="K4429" s="160" t="s">
        <v>11161</v>
      </c>
      <c r="L4429" s="99"/>
      <c r="M4429" s="379"/>
      <c r="N4429" s="76" t="s">
        <v>6197</v>
      </c>
      <c r="O4429" s="160" t="s">
        <v>467</v>
      </c>
      <c r="P4429" s="160" t="s">
        <v>67</v>
      </c>
      <c r="Q4429" s="160" t="s">
        <v>96</v>
      </c>
      <c r="R4429" s="160" t="s">
        <v>272</v>
      </c>
    </row>
    <row r="4430" spans="1:18" ht="69" customHeight="1">
      <c r="A4430" s="168"/>
      <c r="B4430" s="178">
        <v>1153</v>
      </c>
      <c r="C4430" s="178" t="s">
        <v>10621</v>
      </c>
      <c r="D4430" s="575" t="s">
        <v>11162</v>
      </c>
      <c r="E4430" s="178" t="s">
        <v>266</v>
      </c>
      <c r="F4430" s="210" t="s">
        <v>11163</v>
      </c>
      <c r="G4430" s="58" t="s">
        <v>5654</v>
      </c>
      <c r="H4430" s="546">
        <v>9479</v>
      </c>
      <c r="I4430" s="66">
        <v>45082</v>
      </c>
      <c r="J4430" s="411" t="s">
        <v>11160</v>
      </c>
      <c r="K4430" s="58"/>
      <c r="L4430" s="99"/>
      <c r="M4430" s="70" t="s">
        <v>5674</v>
      </c>
      <c r="N4430" s="97" t="s">
        <v>270</v>
      </c>
      <c r="O4430" s="58"/>
      <c r="P4430" s="58" t="s">
        <v>44</v>
      </c>
      <c r="Q4430" s="58" t="s">
        <v>66</v>
      </c>
      <c r="R4430" s="58" t="s">
        <v>272</v>
      </c>
    </row>
    <row r="4431" spans="1:18" ht="69" customHeight="1">
      <c r="A4431" s="168"/>
      <c r="B4431" s="207">
        <v>1154</v>
      </c>
      <c r="C4431" s="207" t="s">
        <v>11164</v>
      </c>
      <c r="D4431" s="301" t="s">
        <v>9337</v>
      </c>
      <c r="E4431" s="207" t="s">
        <v>266</v>
      </c>
      <c r="F4431" s="208" t="s">
        <v>11165</v>
      </c>
      <c r="G4431" s="160" t="s">
        <v>5654</v>
      </c>
      <c r="H4431" s="300">
        <v>900</v>
      </c>
      <c r="I4431" s="209">
        <v>45082</v>
      </c>
      <c r="J4431" s="322" t="s">
        <v>11160</v>
      </c>
      <c r="K4431" s="160" t="s">
        <v>11084</v>
      </c>
      <c r="L4431" s="99"/>
      <c r="M4431" s="379"/>
      <c r="N4431" s="76" t="s">
        <v>6197</v>
      </c>
      <c r="O4431" s="160" t="s">
        <v>467</v>
      </c>
      <c r="P4431" s="160" t="s">
        <v>67</v>
      </c>
      <c r="Q4431" s="160" t="s">
        <v>96</v>
      </c>
      <c r="R4431" s="160" t="s">
        <v>272</v>
      </c>
    </row>
    <row r="4432" spans="1:18" ht="69" customHeight="1">
      <c r="A4432" s="168"/>
      <c r="B4432" s="207">
        <v>1155</v>
      </c>
      <c r="C4432" s="207" t="s">
        <v>11164</v>
      </c>
      <c r="D4432" s="301" t="s">
        <v>11166</v>
      </c>
      <c r="E4432" s="207" t="s">
        <v>266</v>
      </c>
      <c r="F4432" s="208" t="s">
        <v>11167</v>
      </c>
      <c r="G4432" s="160" t="s">
        <v>5654</v>
      </c>
      <c r="H4432" s="300">
        <v>1775</v>
      </c>
      <c r="I4432" s="209">
        <v>45082</v>
      </c>
      <c r="J4432" s="322" t="s">
        <v>11160</v>
      </c>
      <c r="K4432" s="160" t="s">
        <v>11084</v>
      </c>
      <c r="L4432" s="99"/>
      <c r="M4432" s="379"/>
      <c r="N4432" s="76" t="s">
        <v>6197</v>
      </c>
      <c r="O4432" s="160" t="s">
        <v>467</v>
      </c>
      <c r="P4432" s="160" t="s">
        <v>67</v>
      </c>
      <c r="Q4432" s="160" t="s">
        <v>96</v>
      </c>
      <c r="R4432" s="160" t="s">
        <v>272</v>
      </c>
    </row>
    <row r="4433" spans="1:18" ht="69" customHeight="1">
      <c r="A4433" s="168"/>
      <c r="B4433" s="178">
        <v>1156</v>
      </c>
      <c r="C4433" s="178" t="s">
        <v>4277</v>
      </c>
      <c r="D4433" s="575" t="s">
        <v>11168</v>
      </c>
      <c r="E4433" s="178" t="s">
        <v>382</v>
      </c>
      <c r="F4433" s="210" t="s">
        <v>11169</v>
      </c>
      <c r="G4433" s="58" t="s">
        <v>3560</v>
      </c>
      <c r="H4433" s="546">
        <v>5821.02</v>
      </c>
      <c r="I4433" s="66">
        <v>45082</v>
      </c>
      <c r="J4433" s="411" t="s">
        <v>11170</v>
      </c>
      <c r="K4433" s="58"/>
      <c r="L4433" s="99"/>
      <c r="M4433" s="70" t="s">
        <v>4588</v>
      </c>
      <c r="N4433" s="97" t="s">
        <v>387</v>
      </c>
      <c r="O4433" s="58" t="s">
        <v>150</v>
      </c>
      <c r="P4433" s="58" t="s">
        <v>51</v>
      </c>
      <c r="Q4433" s="58" t="s">
        <v>56</v>
      </c>
      <c r="R4433" s="58" t="s">
        <v>272</v>
      </c>
    </row>
    <row r="4434" spans="1:18" ht="69" customHeight="1">
      <c r="A4434" s="168"/>
      <c r="B4434" s="178">
        <v>1157</v>
      </c>
      <c r="C4434" s="178" t="s">
        <v>8721</v>
      </c>
      <c r="D4434" s="575" t="s">
        <v>1147</v>
      </c>
      <c r="E4434" s="178" t="s">
        <v>382</v>
      </c>
      <c r="F4434" s="210" t="s">
        <v>11171</v>
      </c>
      <c r="G4434" s="58" t="s">
        <v>3560</v>
      </c>
      <c r="H4434" s="546">
        <v>5821.02</v>
      </c>
      <c r="I4434" s="66">
        <v>45082</v>
      </c>
      <c r="J4434" s="411" t="s">
        <v>11170</v>
      </c>
      <c r="K4434" s="58"/>
      <c r="L4434" s="99"/>
      <c r="M4434" s="70" t="s">
        <v>8680</v>
      </c>
      <c r="N4434" s="97" t="s">
        <v>387</v>
      </c>
      <c r="O4434" s="58" t="s">
        <v>150</v>
      </c>
      <c r="P4434" s="58" t="s">
        <v>51</v>
      </c>
      <c r="Q4434" s="58" t="s">
        <v>109</v>
      </c>
      <c r="R4434" s="58" t="s">
        <v>272</v>
      </c>
    </row>
    <row r="4435" spans="1:18" ht="69" customHeight="1">
      <c r="A4435" s="168"/>
      <c r="B4435" s="178">
        <v>1158</v>
      </c>
      <c r="C4435" s="178" t="s">
        <v>4728</v>
      </c>
      <c r="D4435" s="575" t="s">
        <v>11172</v>
      </c>
      <c r="E4435" s="178" t="s">
        <v>382</v>
      </c>
      <c r="F4435" s="210" t="s">
        <v>11173</v>
      </c>
      <c r="G4435" s="58" t="s">
        <v>3560</v>
      </c>
      <c r="H4435" s="546">
        <v>5821.02</v>
      </c>
      <c r="I4435" s="66">
        <v>45082</v>
      </c>
      <c r="J4435" s="411" t="s">
        <v>11170</v>
      </c>
      <c r="K4435" s="58"/>
      <c r="L4435" s="99"/>
      <c r="M4435" s="70" t="s">
        <v>4747</v>
      </c>
      <c r="N4435" s="97" t="s">
        <v>387</v>
      </c>
      <c r="O4435" s="58" t="s">
        <v>150</v>
      </c>
      <c r="P4435" s="58" t="s">
        <v>51</v>
      </c>
      <c r="Q4435" s="58" t="s">
        <v>58</v>
      </c>
      <c r="R4435" s="58" t="s">
        <v>272</v>
      </c>
    </row>
    <row r="4436" spans="1:18" ht="69" customHeight="1">
      <c r="A4436" s="168"/>
      <c r="B4436" s="178">
        <v>1159</v>
      </c>
      <c r="C4436" s="178" t="s">
        <v>8529</v>
      </c>
      <c r="D4436" s="575" t="s">
        <v>5378</v>
      </c>
      <c r="E4436" s="178" t="s">
        <v>382</v>
      </c>
      <c r="F4436" s="210" t="s">
        <v>11174</v>
      </c>
      <c r="G4436" s="58" t="s">
        <v>3560</v>
      </c>
      <c r="H4436" s="546">
        <v>5821.02</v>
      </c>
      <c r="I4436" s="66">
        <v>45082</v>
      </c>
      <c r="J4436" s="411" t="s">
        <v>11170</v>
      </c>
      <c r="K4436" s="58"/>
      <c r="L4436" s="99"/>
      <c r="M4436" s="70" t="s">
        <v>8541</v>
      </c>
      <c r="N4436" s="97" t="s">
        <v>387</v>
      </c>
      <c r="O4436" s="45" t="s">
        <v>150</v>
      </c>
      <c r="P4436" s="58" t="s">
        <v>51</v>
      </c>
      <c r="Q4436" s="58" t="s">
        <v>108</v>
      </c>
      <c r="R4436" s="58" t="s">
        <v>272</v>
      </c>
    </row>
    <row r="4437" spans="1:18" ht="69" customHeight="1">
      <c r="A4437" s="168"/>
      <c r="B4437" s="178">
        <v>1160</v>
      </c>
      <c r="C4437" s="178" t="s">
        <v>4277</v>
      </c>
      <c r="D4437" s="575" t="s">
        <v>11175</v>
      </c>
      <c r="E4437" s="178" t="s">
        <v>382</v>
      </c>
      <c r="F4437" s="210" t="s">
        <v>11176</v>
      </c>
      <c r="G4437" s="58" t="s">
        <v>11177</v>
      </c>
      <c r="H4437" s="546">
        <v>29180</v>
      </c>
      <c r="I4437" s="66">
        <v>45082</v>
      </c>
      <c r="J4437" s="411" t="s">
        <v>11178</v>
      </c>
      <c r="K4437" s="58"/>
      <c r="L4437" s="99"/>
      <c r="M4437" s="70" t="s">
        <v>4588</v>
      </c>
      <c r="N4437" s="97" t="s">
        <v>387</v>
      </c>
      <c r="O4437" s="58" t="s">
        <v>150</v>
      </c>
      <c r="P4437" s="58" t="s">
        <v>51</v>
      </c>
      <c r="Q4437" s="58" t="s">
        <v>56</v>
      </c>
      <c r="R4437" s="58" t="s">
        <v>272</v>
      </c>
    </row>
    <row r="4438" spans="1:18" ht="69" customHeight="1">
      <c r="A4438" s="168"/>
      <c r="B4438" s="178">
        <v>1161</v>
      </c>
      <c r="C4438" s="178" t="s">
        <v>4277</v>
      </c>
      <c r="D4438" s="575" t="s">
        <v>11179</v>
      </c>
      <c r="E4438" s="178" t="s">
        <v>382</v>
      </c>
      <c r="F4438" s="210" t="s">
        <v>11180</v>
      </c>
      <c r="G4438" s="58" t="s">
        <v>11177</v>
      </c>
      <c r="H4438" s="546">
        <v>29180</v>
      </c>
      <c r="I4438" s="66">
        <v>45082</v>
      </c>
      <c r="J4438" s="411" t="s">
        <v>11178</v>
      </c>
      <c r="K4438" s="58"/>
      <c r="L4438" s="99"/>
      <c r="M4438" s="70" t="s">
        <v>4747</v>
      </c>
      <c r="N4438" s="97" t="s">
        <v>387</v>
      </c>
      <c r="O4438" s="58" t="s">
        <v>150</v>
      </c>
      <c r="P4438" s="58" t="s">
        <v>51</v>
      </c>
      <c r="Q4438" s="58" t="s">
        <v>58</v>
      </c>
      <c r="R4438" s="58" t="s">
        <v>272</v>
      </c>
    </row>
    <row r="4439" spans="1:18" ht="69" customHeight="1">
      <c r="A4439" s="168"/>
      <c r="B4439" s="207">
        <v>1162</v>
      </c>
      <c r="C4439" s="207" t="s">
        <v>657</v>
      </c>
      <c r="D4439" s="301" t="s">
        <v>3378</v>
      </c>
      <c r="E4439" s="207" t="s">
        <v>266</v>
      </c>
      <c r="F4439" s="208" t="s">
        <v>11181</v>
      </c>
      <c r="G4439" s="160" t="s">
        <v>11014</v>
      </c>
      <c r="H4439" s="300">
        <v>13891.29</v>
      </c>
      <c r="I4439" s="209">
        <v>45076</v>
      </c>
      <c r="J4439" s="322" t="s">
        <v>10733</v>
      </c>
      <c r="K4439" s="160" t="s">
        <v>4128</v>
      </c>
      <c r="M4439" s="379"/>
      <c r="N4439" s="76" t="s">
        <v>387</v>
      </c>
      <c r="O4439" s="160"/>
      <c r="P4439" s="160" t="s">
        <v>67</v>
      </c>
      <c r="Q4439" s="160" t="s">
        <v>106</v>
      </c>
      <c r="R4439" s="160" t="s">
        <v>272</v>
      </c>
    </row>
    <row r="4440" spans="1:18" ht="69" customHeight="1">
      <c r="A4440" s="168"/>
      <c r="B4440" s="207">
        <v>1163</v>
      </c>
      <c r="C4440" s="207" t="s">
        <v>657</v>
      </c>
      <c r="D4440" s="301" t="s">
        <v>754</v>
      </c>
      <c r="E4440" s="207" t="s">
        <v>266</v>
      </c>
      <c r="F4440" s="208" t="s">
        <v>11182</v>
      </c>
      <c r="G4440" s="160" t="s">
        <v>11014</v>
      </c>
      <c r="H4440" s="300">
        <v>5620.2</v>
      </c>
      <c r="I4440" s="209">
        <v>45076</v>
      </c>
      <c r="J4440" s="322" t="s">
        <v>10733</v>
      </c>
      <c r="K4440" s="160" t="s">
        <v>4128</v>
      </c>
      <c r="M4440" s="379"/>
      <c r="N4440" s="76" t="s">
        <v>387</v>
      </c>
      <c r="O4440" s="160"/>
      <c r="P4440" s="160" t="s">
        <v>67</v>
      </c>
      <c r="Q4440" s="160" t="s">
        <v>106</v>
      </c>
      <c r="R4440" s="160" t="s">
        <v>272</v>
      </c>
    </row>
    <row r="4441" spans="1:18" ht="69" customHeight="1">
      <c r="A4441" s="168"/>
      <c r="B4441" s="178">
        <v>9878</v>
      </c>
      <c r="C4441" s="178" t="s">
        <v>9441</v>
      </c>
      <c r="D4441" s="575" t="s">
        <v>4929</v>
      </c>
      <c r="E4441" s="178" t="s">
        <v>382</v>
      </c>
      <c r="F4441" s="210" t="s">
        <v>11183</v>
      </c>
      <c r="G4441" s="58" t="s">
        <v>4547</v>
      </c>
      <c r="H4441" s="546">
        <v>5821.02</v>
      </c>
      <c r="I4441" s="66">
        <v>45051</v>
      </c>
      <c r="J4441" s="411" t="s">
        <v>3561</v>
      </c>
      <c r="K4441" s="58"/>
      <c r="L4441" s="99"/>
      <c r="M4441" s="70" t="s">
        <v>9412</v>
      </c>
      <c r="N4441" s="97" t="s">
        <v>387</v>
      </c>
      <c r="O4441" s="58" t="s">
        <v>9487</v>
      </c>
      <c r="P4441" s="58" t="s">
        <v>51</v>
      </c>
      <c r="Q4441" s="58" t="s">
        <v>116</v>
      </c>
      <c r="R4441" s="58" t="s">
        <v>272</v>
      </c>
    </row>
    <row r="4442" spans="1:18" ht="69" customHeight="1">
      <c r="A4442" s="168"/>
      <c r="B4442" s="178">
        <v>1165</v>
      </c>
      <c r="C4442" s="178" t="s">
        <v>657</v>
      </c>
      <c r="D4442" s="575" t="s">
        <v>3572</v>
      </c>
      <c r="E4442" s="178" t="s">
        <v>382</v>
      </c>
      <c r="F4442" s="210" t="s">
        <v>11184</v>
      </c>
      <c r="G4442" s="58" t="s">
        <v>10732</v>
      </c>
      <c r="H4442" s="546">
        <v>2477.96</v>
      </c>
      <c r="I4442" s="66">
        <v>45082</v>
      </c>
      <c r="J4442" s="411" t="s">
        <v>10733</v>
      </c>
      <c r="K4442" s="58"/>
      <c r="L4442" s="99"/>
      <c r="M4442" s="70" t="s">
        <v>9580</v>
      </c>
      <c r="N4442" s="97" t="s">
        <v>387</v>
      </c>
      <c r="O4442" s="45" t="s">
        <v>150</v>
      </c>
      <c r="P4442" s="58" t="s">
        <v>51</v>
      </c>
      <c r="Q4442" s="58" t="s">
        <v>118</v>
      </c>
      <c r="R4442" s="58" t="s">
        <v>272</v>
      </c>
    </row>
    <row r="4443" spans="1:18" ht="69" customHeight="1">
      <c r="A4443" s="168"/>
      <c r="B4443" s="178">
        <v>1166</v>
      </c>
      <c r="C4443" s="178" t="s">
        <v>657</v>
      </c>
      <c r="D4443" s="575" t="s">
        <v>5324</v>
      </c>
      <c r="E4443" s="178" t="s">
        <v>10028</v>
      </c>
      <c r="F4443" s="210" t="s">
        <v>11185</v>
      </c>
      <c r="G4443" s="58" t="s">
        <v>11094</v>
      </c>
      <c r="H4443" s="546">
        <v>161295.29</v>
      </c>
      <c r="I4443" s="66">
        <v>45071</v>
      </c>
      <c r="J4443" s="411" t="s">
        <v>11186</v>
      </c>
      <c r="K4443" s="58" t="s">
        <v>11187</v>
      </c>
      <c r="L4443" s="99"/>
      <c r="M4443" s="70" t="s">
        <v>10031</v>
      </c>
      <c r="N4443" s="97" t="s">
        <v>414</v>
      </c>
      <c r="O4443" s="58"/>
      <c r="P4443" s="58" t="s">
        <v>22</v>
      </c>
      <c r="Q4443" s="58" t="s">
        <v>120</v>
      </c>
      <c r="R4443" s="58" t="s">
        <v>272</v>
      </c>
    </row>
    <row r="4444" spans="1:18" ht="69" customHeight="1">
      <c r="A4444" s="168"/>
      <c r="B4444" s="178">
        <v>1167</v>
      </c>
      <c r="C4444" s="178" t="s">
        <v>657</v>
      </c>
      <c r="D4444" s="575" t="s">
        <v>6071</v>
      </c>
      <c r="E4444" s="178" t="s">
        <v>10028</v>
      </c>
      <c r="F4444" s="210" t="s">
        <v>11188</v>
      </c>
      <c r="G4444" s="58" t="s">
        <v>7188</v>
      </c>
      <c r="H4444" s="546">
        <v>86851.31</v>
      </c>
      <c r="I4444" s="66">
        <v>45071</v>
      </c>
      <c r="J4444" s="411" t="s">
        <v>11186</v>
      </c>
      <c r="K4444" s="58" t="s">
        <v>11187</v>
      </c>
      <c r="L4444" s="99"/>
      <c r="M4444" s="70" t="s">
        <v>10031</v>
      </c>
      <c r="N4444" s="97" t="s">
        <v>414</v>
      </c>
      <c r="O4444" s="58"/>
      <c r="P4444" s="58" t="s">
        <v>22</v>
      </c>
      <c r="Q4444" s="58" t="s">
        <v>120</v>
      </c>
      <c r="R4444" s="58" t="s">
        <v>272</v>
      </c>
    </row>
    <row r="4445" spans="1:18" ht="69" customHeight="1">
      <c r="A4445" s="168"/>
      <c r="B4445" s="207">
        <v>1168</v>
      </c>
      <c r="C4445" s="207" t="s">
        <v>3667</v>
      </c>
      <c r="D4445" s="301" t="s">
        <v>96</v>
      </c>
      <c r="E4445" s="207" t="s">
        <v>409</v>
      </c>
      <c r="F4445" s="208" t="s">
        <v>11189</v>
      </c>
      <c r="G4445" s="160" t="s">
        <v>11190</v>
      </c>
      <c r="H4445" s="300">
        <v>19629.150000000001</v>
      </c>
      <c r="I4445" s="209" t="s">
        <v>96</v>
      </c>
      <c r="J4445" s="322" t="s">
        <v>11191</v>
      </c>
      <c r="K4445" s="160" t="s">
        <v>10804</v>
      </c>
      <c r="L4445" s="99"/>
      <c r="M4445" s="379"/>
      <c r="N4445" s="76" t="s">
        <v>6197</v>
      </c>
      <c r="O4445" s="160" t="s">
        <v>11192</v>
      </c>
      <c r="P4445" s="160" t="s">
        <v>67</v>
      </c>
      <c r="Q4445" s="160" t="s">
        <v>49</v>
      </c>
      <c r="R4445" s="160" t="s">
        <v>272</v>
      </c>
    </row>
    <row r="4446" spans="1:18" ht="69" customHeight="1">
      <c r="A4446" s="168"/>
      <c r="B4446" s="207">
        <v>1169</v>
      </c>
      <c r="C4446" s="207" t="s">
        <v>309</v>
      </c>
      <c r="D4446" s="301" t="s">
        <v>96</v>
      </c>
      <c r="E4446" s="207" t="s">
        <v>409</v>
      </c>
      <c r="F4446" s="208" t="s">
        <v>11189</v>
      </c>
      <c r="G4446" s="160" t="s">
        <v>11193</v>
      </c>
      <c r="H4446" s="300">
        <v>15335.28</v>
      </c>
      <c r="I4446" s="209" t="s">
        <v>96</v>
      </c>
      <c r="J4446" s="322" t="s">
        <v>11191</v>
      </c>
      <c r="K4446" s="160" t="s">
        <v>10804</v>
      </c>
      <c r="L4446" s="99"/>
      <c r="M4446" s="379"/>
      <c r="N4446" s="76" t="s">
        <v>6197</v>
      </c>
      <c r="O4446" s="160" t="s">
        <v>11192</v>
      </c>
      <c r="P4446" s="160" t="s">
        <v>67</v>
      </c>
      <c r="Q4446" s="160" t="s">
        <v>15</v>
      </c>
      <c r="R4446" s="160" t="s">
        <v>272</v>
      </c>
    </row>
    <row r="4447" spans="1:18" ht="69" customHeight="1">
      <c r="A4447" s="168"/>
      <c r="B4447" s="207">
        <v>1170</v>
      </c>
      <c r="C4447" s="207" t="s">
        <v>458</v>
      </c>
      <c r="D4447" s="301" t="s">
        <v>96</v>
      </c>
      <c r="E4447" s="207" t="s">
        <v>409</v>
      </c>
      <c r="F4447" s="208" t="s">
        <v>11189</v>
      </c>
      <c r="G4447" s="160" t="s">
        <v>11193</v>
      </c>
      <c r="H4447" s="300">
        <v>15335.28</v>
      </c>
      <c r="I4447" s="209" t="s">
        <v>96</v>
      </c>
      <c r="J4447" s="322" t="s">
        <v>11191</v>
      </c>
      <c r="K4447" s="160" t="s">
        <v>10804</v>
      </c>
      <c r="L4447" s="99"/>
      <c r="M4447" s="379"/>
      <c r="N4447" s="76" t="s">
        <v>6197</v>
      </c>
      <c r="O4447" s="160" t="s">
        <v>11192</v>
      </c>
      <c r="P4447" s="160" t="s">
        <v>67</v>
      </c>
      <c r="Q4447" s="160" t="s">
        <v>90</v>
      </c>
      <c r="R4447" s="160" t="s">
        <v>272</v>
      </c>
    </row>
    <row r="4448" spans="1:18" ht="69" customHeight="1">
      <c r="A4448" s="168"/>
      <c r="B4448" s="207">
        <v>1171</v>
      </c>
      <c r="C4448" s="207" t="s">
        <v>657</v>
      </c>
      <c r="D4448" s="301" t="s">
        <v>96</v>
      </c>
      <c r="E4448" s="207" t="s">
        <v>409</v>
      </c>
      <c r="F4448" s="208" t="s">
        <v>11189</v>
      </c>
      <c r="G4448" s="160" t="s">
        <v>11194</v>
      </c>
      <c r="H4448" s="300">
        <v>11041.4</v>
      </c>
      <c r="I4448" s="209" t="s">
        <v>96</v>
      </c>
      <c r="J4448" s="322" t="s">
        <v>11191</v>
      </c>
      <c r="K4448" s="160" t="s">
        <v>10804</v>
      </c>
      <c r="L4448" s="99"/>
      <c r="M4448" s="379"/>
      <c r="N4448" s="76" t="s">
        <v>6197</v>
      </c>
      <c r="O4448" s="160" t="s">
        <v>11192</v>
      </c>
      <c r="P4448" s="160" t="s">
        <v>67</v>
      </c>
      <c r="Q4448" s="160" t="s">
        <v>99</v>
      </c>
      <c r="R4448" s="160" t="s">
        <v>272</v>
      </c>
    </row>
    <row r="4449" spans="1:18" ht="69" customHeight="1">
      <c r="A4449" s="168"/>
      <c r="B4449" s="191">
        <v>1172</v>
      </c>
      <c r="C4449" s="191" t="s">
        <v>309</v>
      </c>
      <c r="D4449" s="533" t="s">
        <v>11195</v>
      </c>
      <c r="E4449" s="191" t="s">
        <v>2156</v>
      </c>
      <c r="F4449" s="211" t="s">
        <v>11196</v>
      </c>
      <c r="G4449" s="46" t="s">
        <v>11197</v>
      </c>
      <c r="H4449" s="534">
        <v>13750</v>
      </c>
      <c r="I4449" s="56">
        <v>45082</v>
      </c>
      <c r="J4449" s="412" t="s">
        <v>11198</v>
      </c>
      <c r="K4449" s="46" t="s">
        <v>11199</v>
      </c>
      <c r="L4449" s="99"/>
      <c r="M4449" s="379"/>
      <c r="N4449" s="76" t="s">
        <v>6197</v>
      </c>
      <c r="O4449" s="46" t="s">
        <v>11200</v>
      </c>
      <c r="P4449" s="46" t="s">
        <v>65</v>
      </c>
      <c r="Q4449" s="46" t="s">
        <v>33</v>
      </c>
      <c r="R4449" s="46" t="s">
        <v>272</v>
      </c>
    </row>
    <row r="4450" spans="1:18" ht="69" customHeight="1">
      <c r="A4450" s="168"/>
      <c r="B4450" s="178">
        <v>1173</v>
      </c>
      <c r="C4450" s="178" t="s">
        <v>4277</v>
      </c>
      <c r="D4450" s="575" t="s">
        <v>11201</v>
      </c>
      <c r="E4450" s="178" t="s">
        <v>409</v>
      </c>
      <c r="F4450" s="210" t="s">
        <v>11202</v>
      </c>
      <c r="G4450" s="58" t="s">
        <v>5234</v>
      </c>
      <c r="H4450" s="546">
        <v>105120.28</v>
      </c>
      <c r="I4450" s="66">
        <v>45072</v>
      </c>
      <c r="J4450" s="411" t="s">
        <v>11203</v>
      </c>
      <c r="K4450" s="58"/>
      <c r="L4450" s="99"/>
      <c r="M4450" s="70" t="s">
        <v>5141</v>
      </c>
      <c r="N4450" s="97" t="s">
        <v>1372</v>
      </c>
      <c r="O4450" s="58"/>
      <c r="P4450" s="58" t="s">
        <v>57</v>
      </c>
      <c r="Q4450" s="58" t="s">
        <v>60</v>
      </c>
      <c r="R4450" s="58" t="s">
        <v>272</v>
      </c>
    </row>
    <row r="4451" spans="1:18" ht="69" customHeight="1">
      <c r="A4451" s="168"/>
      <c r="B4451" s="178">
        <v>1174</v>
      </c>
      <c r="C4451" s="178" t="s">
        <v>309</v>
      </c>
      <c r="D4451" s="575" t="s">
        <v>11204</v>
      </c>
      <c r="E4451" s="178" t="s">
        <v>2156</v>
      </c>
      <c r="F4451" s="210" t="s">
        <v>11205</v>
      </c>
      <c r="G4451" s="58" t="s">
        <v>11001</v>
      </c>
      <c r="H4451" s="546">
        <v>5557.58</v>
      </c>
      <c r="I4451" s="66">
        <v>45082</v>
      </c>
      <c r="J4451" s="411" t="s">
        <v>11206</v>
      </c>
      <c r="K4451" s="58"/>
      <c r="L4451" s="99"/>
      <c r="M4451" s="70" t="s">
        <v>1050</v>
      </c>
      <c r="N4451" s="97" t="s">
        <v>414</v>
      </c>
      <c r="O4451" s="58"/>
      <c r="P4451" s="58" t="s">
        <v>24</v>
      </c>
      <c r="Q4451" s="58" t="s">
        <v>23</v>
      </c>
      <c r="R4451" s="58" t="s">
        <v>265</v>
      </c>
    </row>
    <row r="4452" spans="1:18" ht="69" customHeight="1">
      <c r="A4452" s="168"/>
      <c r="B4452" s="178">
        <v>1175</v>
      </c>
      <c r="C4452" s="178" t="s">
        <v>4277</v>
      </c>
      <c r="D4452" s="575" t="s">
        <v>11207</v>
      </c>
      <c r="E4452" s="178" t="s">
        <v>755</v>
      </c>
      <c r="F4452" s="210" t="s">
        <v>11208</v>
      </c>
      <c r="G4452" s="58" t="s">
        <v>11209</v>
      </c>
      <c r="H4452" s="546">
        <v>131595.07999999999</v>
      </c>
      <c r="I4452" s="66">
        <v>45075</v>
      </c>
      <c r="J4452" s="411" t="s">
        <v>11210</v>
      </c>
      <c r="K4452" s="58"/>
      <c r="L4452" s="99"/>
      <c r="M4452" s="70" t="s">
        <v>4817</v>
      </c>
      <c r="N4452" s="97" t="s">
        <v>1372</v>
      </c>
      <c r="O4452" s="58"/>
      <c r="P4452" s="58" t="s">
        <v>57</v>
      </c>
      <c r="Q4452" s="58" t="s">
        <v>58</v>
      </c>
      <c r="R4452" s="58" t="s">
        <v>272</v>
      </c>
    </row>
    <row r="4453" spans="1:18" ht="69" customHeight="1">
      <c r="A4453" s="168"/>
      <c r="B4453" s="191">
        <v>1176</v>
      </c>
      <c r="C4453" s="191" t="s">
        <v>309</v>
      </c>
      <c r="D4453" s="533" t="s">
        <v>11211</v>
      </c>
      <c r="E4453" s="191" t="s">
        <v>11212</v>
      </c>
      <c r="F4453" s="211" t="s">
        <v>11213</v>
      </c>
      <c r="G4453" s="46" t="s">
        <v>11214</v>
      </c>
      <c r="H4453" s="534">
        <v>3350</v>
      </c>
      <c r="I4453" s="56">
        <v>45077</v>
      </c>
      <c r="J4453" s="412" t="s">
        <v>11215</v>
      </c>
      <c r="K4453" s="46" t="s">
        <v>167</v>
      </c>
      <c r="L4453" s="99"/>
      <c r="M4453" s="379"/>
      <c r="N4453" s="76" t="s">
        <v>264</v>
      </c>
      <c r="O4453" s="46"/>
      <c r="P4453" s="46" t="s">
        <v>65</v>
      </c>
      <c r="Q4453" s="46" t="s">
        <v>27</v>
      </c>
      <c r="R4453" s="46" t="s">
        <v>272</v>
      </c>
    </row>
    <row r="4454" spans="1:18" ht="69" customHeight="1">
      <c r="A4454" s="168"/>
      <c r="B4454" s="178">
        <v>1177</v>
      </c>
      <c r="C4454" s="178" t="s">
        <v>458</v>
      </c>
      <c r="D4454" s="575" t="s">
        <v>5367</v>
      </c>
      <c r="E4454" s="178" t="s">
        <v>409</v>
      </c>
      <c r="F4454" s="210" t="s">
        <v>11216</v>
      </c>
      <c r="G4454" s="58" t="s">
        <v>7977</v>
      </c>
      <c r="H4454" s="546">
        <v>29311.79</v>
      </c>
      <c r="I4454" s="66" t="s">
        <v>96</v>
      </c>
      <c r="J4454" s="411" t="s">
        <v>11217</v>
      </c>
      <c r="K4454" s="58"/>
      <c r="L4454" s="99"/>
      <c r="M4454" s="70" t="s">
        <v>7687</v>
      </c>
      <c r="N4454" s="97" t="s">
        <v>741</v>
      </c>
      <c r="O4454" s="58"/>
      <c r="P4454" s="58" t="s">
        <v>59</v>
      </c>
      <c r="Q4454" s="58" t="s">
        <v>103</v>
      </c>
      <c r="R4454" s="58" t="s">
        <v>272</v>
      </c>
    </row>
    <row r="4455" spans="1:18" ht="69" customHeight="1">
      <c r="A4455" s="168"/>
      <c r="B4455" s="178">
        <v>1178</v>
      </c>
      <c r="C4455" s="178" t="s">
        <v>458</v>
      </c>
      <c r="D4455" s="575" t="s">
        <v>4786</v>
      </c>
      <c r="E4455" s="178" t="s">
        <v>409</v>
      </c>
      <c r="F4455" s="210" t="s">
        <v>11218</v>
      </c>
      <c r="G4455" s="58" t="s">
        <v>7977</v>
      </c>
      <c r="H4455" s="546">
        <v>117247.14</v>
      </c>
      <c r="I4455" s="66" t="s">
        <v>96</v>
      </c>
      <c r="J4455" s="411" t="s">
        <v>11217</v>
      </c>
      <c r="K4455" s="58"/>
      <c r="L4455" s="99"/>
      <c r="M4455" s="70" t="s">
        <v>7687</v>
      </c>
      <c r="N4455" s="97" t="s">
        <v>741</v>
      </c>
      <c r="O4455" s="58"/>
      <c r="P4455" s="58" t="s">
        <v>59</v>
      </c>
      <c r="Q4455" s="58" t="s">
        <v>103</v>
      </c>
      <c r="R4455" s="58" t="s">
        <v>272</v>
      </c>
    </row>
    <row r="4456" spans="1:18" ht="69" customHeight="1">
      <c r="A4456" s="168"/>
      <c r="B4456" s="178">
        <v>1179</v>
      </c>
      <c r="C4456" s="178" t="s">
        <v>9215</v>
      </c>
      <c r="D4456" s="575" t="s">
        <v>5723</v>
      </c>
      <c r="E4456" s="178" t="s">
        <v>409</v>
      </c>
      <c r="F4456" s="210" t="s">
        <v>11219</v>
      </c>
      <c r="G4456" s="58" t="s">
        <v>7803</v>
      </c>
      <c r="H4456" s="546">
        <v>67210.240000000005</v>
      </c>
      <c r="I4456" s="66" t="s">
        <v>96</v>
      </c>
      <c r="J4456" s="411" t="s">
        <v>11220</v>
      </c>
      <c r="K4456" s="58"/>
      <c r="L4456" s="99"/>
      <c r="M4456" s="70" t="s">
        <v>9213</v>
      </c>
      <c r="N4456" s="97" t="s">
        <v>741</v>
      </c>
      <c r="O4456" s="58"/>
      <c r="P4456" s="58" t="s">
        <v>59</v>
      </c>
      <c r="Q4456" s="58" t="s">
        <v>113</v>
      </c>
      <c r="R4456" s="58" t="s">
        <v>272</v>
      </c>
    </row>
    <row r="4457" spans="1:18" ht="69" customHeight="1">
      <c r="A4457" s="168"/>
      <c r="B4457" s="178">
        <v>1180</v>
      </c>
      <c r="C4457" s="178" t="s">
        <v>9215</v>
      </c>
      <c r="D4457" s="575" t="s">
        <v>5726</v>
      </c>
      <c r="E4457" s="178" t="s">
        <v>409</v>
      </c>
      <c r="F4457" s="210" t="s">
        <v>11221</v>
      </c>
      <c r="G4457" s="58" t="s">
        <v>7803</v>
      </c>
      <c r="H4457" s="546">
        <v>268840.94</v>
      </c>
      <c r="I4457" s="66" t="s">
        <v>96</v>
      </c>
      <c r="J4457" s="411" t="s">
        <v>11220</v>
      </c>
      <c r="K4457" s="58"/>
      <c r="L4457" s="99"/>
      <c r="M4457" s="70" t="s">
        <v>9213</v>
      </c>
      <c r="N4457" s="97" t="s">
        <v>741</v>
      </c>
      <c r="O4457" s="58"/>
      <c r="P4457" s="58" t="s">
        <v>59</v>
      </c>
      <c r="Q4457" s="58" t="s">
        <v>113</v>
      </c>
      <c r="R4457" s="58" t="s">
        <v>272</v>
      </c>
    </row>
    <row r="4458" spans="1:18" ht="69" customHeight="1">
      <c r="A4458" s="168"/>
      <c r="B4458" s="178">
        <v>1181</v>
      </c>
      <c r="C4458" s="178" t="s">
        <v>657</v>
      </c>
      <c r="D4458" s="575" t="s">
        <v>4235</v>
      </c>
      <c r="E4458" s="178" t="s">
        <v>409</v>
      </c>
      <c r="F4458" s="210" t="s">
        <v>11222</v>
      </c>
      <c r="G4458" s="58" t="s">
        <v>9211</v>
      </c>
      <c r="H4458" s="546">
        <v>34166.01</v>
      </c>
      <c r="I4458" s="66" t="s">
        <v>96</v>
      </c>
      <c r="J4458" s="411" t="s">
        <v>11223</v>
      </c>
      <c r="K4458" s="58"/>
      <c r="L4458" s="99"/>
      <c r="M4458" s="70" t="s">
        <v>11224</v>
      </c>
      <c r="N4458" s="97" t="s">
        <v>11225</v>
      </c>
      <c r="O4458" s="58" t="s">
        <v>11226</v>
      </c>
      <c r="P4458" s="58" t="s">
        <v>59</v>
      </c>
      <c r="Q4458" s="58" t="s">
        <v>122</v>
      </c>
      <c r="R4458" s="58" t="s">
        <v>272</v>
      </c>
    </row>
    <row r="4459" spans="1:18" ht="69" customHeight="1">
      <c r="A4459" s="168"/>
      <c r="B4459" s="178">
        <v>1182</v>
      </c>
      <c r="C4459" s="178" t="s">
        <v>657</v>
      </c>
      <c r="D4459" s="575" t="s">
        <v>1114</v>
      </c>
      <c r="E4459" s="178" t="s">
        <v>409</v>
      </c>
      <c r="F4459" s="210" t="s">
        <v>11227</v>
      </c>
      <c r="G4459" s="58" t="s">
        <v>9211</v>
      </c>
      <c r="H4459" s="546">
        <v>136664.06</v>
      </c>
      <c r="I4459" s="66" t="s">
        <v>96</v>
      </c>
      <c r="J4459" s="411" t="s">
        <v>11223</v>
      </c>
      <c r="K4459" s="58"/>
      <c r="L4459" s="99"/>
      <c r="M4459" s="70" t="s">
        <v>11224</v>
      </c>
      <c r="N4459" s="97" t="s">
        <v>11225</v>
      </c>
      <c r="O4459" s="58" t="s">
        <v>11226</v>
      </c>
      <c r="P4459" s="58" t="s">
        <v>59</v>
      </c>
      <c r="Q4459" s="58" t="s">
        <v>122</v>
      </c>
      <c r="R4459" s="58" t="s">
        <v>272</v>
      </c>
    </row>
    <row r="4460" spans="1:18" ht="69" customHeight="1">
      <c r="A4460" s="168"/>
      <c r="B4460" s="178">
        <v>1183</v>
      </c>
      <c r="C4460" s="178" t="s">
        <v>657</v>
      </c>
      <c r="D4460" s="575" t="s">
        <v>2578</v>
      </c>
      <c r="E4460" s="178" t="s">
        <v>6192</v>
      </c>
      <c r="F4460" s="210" t="s">
        <v>11228</v>
      </c>
      <c r="G4460" s="58" t="s">
        <v>6636</v>
      </c>
      <c r="H4460" s="546">
        <v>45656.65</v>
      </c>
      <c r="I4460" s="66" t="s">
        <v>96</v>
      </c>
      <c r="J4460" s="411" t="s">
        <v>11229</v>
      </c>
      <c r="K4460" s="58"/>
      <c r="L4460" s="99"/>
      <c r="M4460" s="70" t="s">
        <v>7223</v>
      </c>
      <c r="N4460" s="97" t="s">
        <v>414</v>
      </c>
      <c r="O4460" s="58"/>
      <c r="P4460" s="58" t="s">
        <v>22</v>
      </c>
      <c r="Q4460" s="58" t="s">
        <v>97</v>
      </c>
      <c r="R4460" s="58" t="s">
        <v>272</v>
      </c>
    </row>
    <row r="4461" spans="1:18" ht="69" customHeight="1">
      <c r="A4461" s="168"/>
      <c r="B4461" s="178">
        <v>1184</v>
      </c>
      <c r="C4461" s="178" t="s">
        <v>657</v>
      </c>
      <c r="D4461" s="575" t="s">
        <v>3312</v>
      </c>
      <c r="E4461" s="178" t="s">
        <v>6192</v>
      </c>
      <c r="F4461" s="210" t="s">
        <v>11228</v>
      </c>
      <c r="G4461" s="58" t="s">
        <v>6641</v>
      </c>
      <c r="H4461" s="546">
        <v>24584.35</v>
      </c>
      <c r="I4461" s="66" t="s">
        <v>96</v>
      </c>
      <c r="J4461" s="411" t="s">
        <v>11229</v>
      </c>
      <c r="K4461" s="58"/>
      <c r="L4461" s="99"/>
      <c r="M4461" s="70" t="s">
        <v>7223</v>
      </c>
      <c r="N4461" s="97" t="s">
        <v>414</v>
      </c>
      <c r="O4461" s="58"/>
      <c r="P4461" s="58" t="s">
        <v>22</v>
      </c>
      <c r="Q4461" s="58" t="s">
        <v>97</v>
      </c>
      <c r="R4461" s="58" t="s">
        <v>272</v>
      </c>
    </row>
    <row r="4462" spans="1:18" ht="69" customHeight="1">
      <c r="A4462" s="168"/>
      <c r="B4462" s="178">
        <v>1185</v>
      </c>
      <c r="C4462" s="178" t="s">
        <v>458</v>
      </c>
      <c r="D4462" s="575" t="s">
        <v>5728</v>
      </c>
      <c r="E4462" s="178" t="s">
        <v>409</v>
      </c>
      <c r="F4462" s="210" t="s">
        <v>11230</v>
      </c>
      <c r="G4462" s="58" t="s">
        <v>11231</v>
      </c>
      <c r="H4462" s="546">
        <v>138458.96</v>
      </c>
      <c r="I4462" s="66" t="s">
        <v>96</v>
      </c>
      <c r="J4462" s="411" t="s">
        <v>11232</v>
      </c>
      <c r="K4462" s="58"/>
      <c r="L4462" s="99"/>
      <c r="M4462" s="70" t="s">
        <v>9752</v>
      </c>
      <c r="N4462" s="97" t="s">
        <v>414</v>
      </c>
      <c r="O4462" s="45" t="s">
        <v>147</v>
      </c>
      <c r="P4462" s="58" t="s">
        <v>22</v>
      </c>
      <c r="Q4462" s="58" t="s">
        <v>119</v>
      </c>
      <c r="R4462" s="58" t="s">
        <v>272</v>
      </c>
    </row>
    <row r="4463" spans="1:18" ht="69" customHeight="1">
      <c r="A4463" s="168"/>
      <c r="B4463" s="178">
        <v>1186</v>
      </c>
      <c r="C4463" s="178" t="s">
        <v>458</v>
      </c>
      <c r="D4463" s="575" t="s">
        <v>4656</v>
      </c>
      <c r="E4463" s="178" t="s">
        <v>409</v>
      </c>
      <c r="F4463" s="210" t="s">
        <v>11230</v>
      </c>
      <c r="G4463" s="58" t="s">
        <v>11233</v>
      </c>
      <c r="H4463" s="546">
        <v>74554.820000000007</v>
      </c>
      <c r="I4463" s="66" t="s">
        <v>96</v>
      </c>
      <c r="J4463" s="411" t="s">
        <v>11232</v>
      </c>
      <c r="K4463" s="58"/>
      <c r="L4463" s="99"/>
      <c r="M4463" s="70" t="s">
        <v>9752</v>
      </c>
      <c r="N4463" s="97" t="s">
        <v>414</v>
      </c>
      <c r="O4463" s="45" t="s">
        <v>147</v>
      </c>
      <c r="P4463" s="58" t="s">
        <v>22</v>
      </c>
      <c r="Q4463" s="58" t="s">
        <v>119</v>
      </c>
      <c r="R4463" s="58" t="s">
        <v>272</v>
      </c>
    </row>
    <row r="4464" spans="1:18" ht="69" customHeight="1">
      <c r="A4464" s="168"/>
      <c r="B4464" s="178">
        <v>1187</v>
      </c>
      <c r="C4464" s="178" t="s">
        <v>657</v>
      </c>
      <c r="D4464" s="575" t="s">
        <v>1227</v>
      </c>
      <c r="E4464" s="178" t="s">
        <v>7649</v>
      </c>
      <c r="F4464" s="210" t="s">
        <v>11234</v>
      </c>
      <c r="G4464" s="58" t="s">
        <v>11235</v>
      </c>
      <c r="H4464" s="546">
        <v>8579.35</v>
      </c>
      <c r="I4464" s="66" t="s">
        <v>96</v>
      </c>
      <c r="J4464" s="411" t="s">
        <v>11236</v>
      </c>
      <c r="K4464" s="58"/>
      <c r="L4464" s="99"/>
      <c r="M4464" s="70" t="s">
        <v>7851</v>
      </c>
      <c r="N4464" s="97" t="s">
        <v>414</v>
      </c>
      <c r="O4464" s="58"/>
      <c r="P4464" s="58" t="s">
        <v>22</v>
      </c>
      <c r="Q4464" s="58" t="s">
        <v>104</v>
      </c>
      <c r="R4464" s="58" t="s">
        <v>272</v>
      </c>
    </row>
    <row r="4465" spans="1:18" ht="69" customHeight="1">
      <c r="A4465" s="168"/>
      <c r="B4465" s="178">
        <v>1188</v>
      </c>
      <c r="C4465" s="178" t="s">
        <v>657</v>
      </c>
      <c r="D4465" s="575" t="s">
        <v>1849</v>
      </c>
      <c r="E4465" s="178" t="s">
        <v>7649</v>
      </c>
      <c r="F4465" s="210" t="s">
        <v>11237</v>
      </c>
      <c r="G4465" s="58" t="s">
        <v>10192</v>
      </c>
      <c r="H4465" s="546">
        <v>4619.6499999999996</v>
      </c>
      <c r="I4465" s="66" t="s">
        <v>96</v>
      </c>
      <c r="J4465" s="411" t="s">
        <v>11236</v>
      </c>
      <c r="K4465" s="58"/>
      <c r="L4465" s="99"/>
      <c r="M4465" s="70" t="s">
        <v>7851</v>
      </c>
      <c r="N4465" s="97" t="s">
        <v>414</v>
      </c>
      <c r="O4465" s="58"/>
      <c r="P4465" s="58" t="s">
        <v>22</v>
      </c>
      <c r="Q4465" s="58" t="s">
        <v>104</v>
      </c>
      <c r="R4465" s="58" t="s">
        <v>272</v>
      </c>
    </row>
    <row r="4466" spans="1:18" ht="69" customHeight="1">
      <c r="A4466" s="168"/>
      <c r="B4466" s="178">
        <v>1189</v>
      </c>
      <c r="C4466" s="178" t="s">
        <v>458</v>
      </c>
      <c r="D4466" s="575" t="s">
        <v>11043</v>
      </c>
      <c r="E4466" s="178" t="s">
        <v>7649</v>
      </c>
      <c r="F4466" s="210" t="s">
        <v>11238</v>
      </c>
      <c r="G4466" s="58" t="s">
        <v>7965</v>
      </c>
      <c r="H4466" s="546">
        <v>13088.16</v>
      </c>
      <c r="I4466" s="66" t="s">
        <v>96</v>
      </c>
      <c r="J4466" s="411" t="s">
        <v>11239</v>
      </c>
      <c r="K4466" s="58"/>
      <c r="L4466" s="99"/>
      <c r="M4466" s="70" t="s">
        <v>7652</v>
      </c>
      <c r="N4466" s="97" t="s">
        <v>414</v>
      </c>
      <c r="O4466" s="45" t="s">
        <v>147</v>
      </c>
      <c r="P4466" s="58" t="s">
        <v>22</v>
      </c>
      <c r="Q4466" s="58" t="s">
        <v>103</v>
      </c>
      <c r="R4466" s="58" t="s">
        <v>272</v>
      </c>
    </row>
    <row r="4467" spans="1:18" ht="69" customHeight="1">
      <c r="A4467" s="168"/>
      <c r="B4467" s="178">
        <v>1190</v>
      </c>
      <c r="C4467" s="178" t="s">
        <v>458</v>
      </c>
      <c r="D4467" s="575" t="s">
        <v>3900</v>
      </c>
      <c r="E4467" s="178" t="s">
        <v>7649</v>
      </c>
      <c r="F4467" s="210" t="s">
        <v>11238</v>
      </c>
      <c r="G4467" s="58" t="s">
        <v>7968</v>
      </c>
      <c r="H4467" s="546">
        <v>7047.47</v>
      </c>
      <c r="I4467" s="66" t="s">
        <v>96</v>
      </c>
      <c r="J4467" s="411" t="s">
        <v>11239</v>
      </c>
      <c r="K4467" s="58"/>
      <c r="L4467" s="99"/>
      <c r="M4467" s="70" t="s">
        <v>7652</v>
      </c>
      <c r="N4467" s="97" t="s">
        <v>414</v>
      </c>
      <c r="O4467" s="45" t="s">
        <v>147</v>
      </c>
      <c r="P4467" s="58" t="s">
        <v>22</v>
      </c>
      <c r="Q4467" s="58" t="s">
        <v>103</v>
      </c>
      <c r="R4467" s="58" t="s">
        <v>272</v>
      </c>
    </row>
    <row r="4468" spans="1:18" ht="69" customHeight="1">
      <c r="A4468" s="168"/>
      <c r="B4468" s="178">
        <v>1191</v>
      </c>
      <c r="C4468" s="59" t="s">
        <v>3667</v>
      </c>
      <c r="D4468" s="575" t="s">
        <v>11240</v>
      </c>
      <c r="E4468" s="178" t="s">
        <v>11241</v>
      </c>
      <c r="F4468" s="210" t="s">
        <v>11242</v>
      </c>
      <c r="G4468" s="58" t="s">
        <v>11243</v>
      </c>
      <c r="H4468" s="546">
        <v>98274.3</v>
      </c>
      <c r="I4468" s="66">
        <v>45075</v>
      </c>
      <c r="J4468" s="411" t="s">
        <v>11244</v>
      </c>
      <c r="K4468" s="58"/>
      <c r="L4468" s="99"/>
      <c r="M4468" s="70" t="s">
        <v>7005</v>
      </c>
      <c r="N4468" s="97" t="s">
        <v>741</v>
      </c>
      <c r="O4468" s="58"/>
      <c r="P4468" s="58" t="s">
        <v>59</v>
      </c>
      <c r="Q4468" s="58" t="s">
        <v>86</v>
      </c>
      <c r="R4468" s="58" t="s">
        <v>272</v>
      </c>
    </row>
    <row r="4469" spans="1:18" ht="69" customHeight="1">
      <c r="A4469" s="168"/>
      <c r="B4469" s="178">
        <v>1192</v>
      </c>
      <c r="C4469" s="59" t="s">
        <v>3667</v>
      </c>
      <c r="D4469" s="575" t="s">
        <v>11245</v>
      </c>
      <c r="E4469" s="178" t="s">
        <v>10563</v>
      </c>
      <c r="F4469" s="210" t="s">
        <v>11246</v>
      </c>
      <c r="G4469" s="58" t="s">
        <v>11247</v>
      </c>
      <c r="H4469" s="546">
        <v>17342.52</v>
      </c>
      <c r="I4469" s="66">
        <v>45075</v>
      </c>
      <c r="J4469" s="411" t="s">
        <v>11244</v>
      </c>
      <c r="K4469" s="58"/>
      <c r="L4469" s="99"/>
      <c r="M4469" s="70" t="s">
        <v>7005</v>
      </c>
      <c r="N4469" s="97" t="s">
        <v>741</v>
      </c>
      <c r="O4469" s="58"/>
      <c r="P4469" s="58" t="s">
        <v>59</v>
      </c>
      <c r="Q4469" s="58" t="s">
        <v>86</v>
      </c>
      <c r="R4469" s="58" t="s">
        <v>272</v>
      </c>
    </row>
    <row r="4470" spans="1:18" ht="69" customHeight="1">
      <c r="A4470" s="168"/>
      <c r="B4470" s="178">
        <v>1193</v>
      </c>
      <c r="C4470" s="59" t="s">
        <v>3667</v>
      </c>
      <c r="D4470" s="575" t="s">
        <v>11248</v>
      </c>
      <c r="E4470" s="178" t="s">
        <v>741</v>
      </c>
      <c r="F4470" s="210" t="s">
        <v>11249</v>
      </c>
      <c r="G4470" s="58" t="s">
        <v>5869</v>
      </c>
      <c r="H4470" s="546">
        <v>407935.58</v>
      </c>
      <c r="I4470" s="66">
        <v>45075</v>
      </c>
      <c r="J4470" s="411" t="s">
        <v>11250</v>
      </c>
      <c r="K4470" s="58"/>
      <c r="L4470" s="99"/>
      <c r="M4470" s="70" t="s">
        <v>5965</v>
      </c>
      <c r="N4470" s="97" t="s">
        <v>741</v>
      </c>
      <c r="O4470" s="58" t="s">
        <v>11251</v>
      </c>
      <c r="P4470" s="58" t="s">
        <v>59</v>
      </c>
      <c r="Q4470" s="58" t="s">
        <v>70</v>
      </c>
      <c r="R4470" s="58" t="s">
        <v>272</v>
      </c>
    </row>
    <row r="4471" spans="1:18" ht="69" customHeight="1">
      <c r="A4471" s="168"/>
      <c r="B4471" s="178">
        <v>1194</v>
      </c>
      <c r="C4471" s="178" t="s">
        <v>5558</v>
      </c>
      <c r="D4471" s="575" t="s">
        <v>11252</v>
      </c>
      <c r="E4471" s="178" t="s">
        <v>10563</v>
      </c>
      <c r="F4471" s="210" t="s">
        <v>11253</v>
      </c>
      <c r="G4471" s="58" t="s">
        <v>11254</v>
      </c>
      <c r="H4471" s="546">
        <v>309603.64</v>
      </c>
      <c r="I4471" s="66">
        <v>45075</v>
      </c>
      <c r="J4471" s="411" t="s">
        <v>11255</v>
      </c>
      <c r="K4471" s="58"/>
      <c r="L4471" s="99"/>
      <c r="M4471" s="70" t="s">
        <v>11256</v>
      </c>
      <c r="N4471" s="97" t="s">
        <v>741</v>
      </c>
      <c r="O4471" s="45" t="s">
        <v>175</v>
      </c>
      <c r="P4471" s="58" t="s">
        <v>59</v>
      </c>
      <c r="Q4471" s="58" t="s">
        <v>64</v>
      </c>
      <c r="R4471" s="58" t="s">
        <v>272</v>
      </c>
    </row>
    <row r="4472" spans="1:18" ht="69" customHeight="1">
      <c r="A4472" s="168"/>
      <c r="B4472" s="178">
        <v>1195</v>
      </c>
      <c r="C4472" s="178" t="s">
        <v>5558</v>
      </c>
      <c r="D4472" s="575" t="s">
        <v>11257</v>
      </c>
      <c r="E4472" s="178" t="s">
        <v>11241</v>
      </c>
      <c r="F4472" s="210" t="s">
        <v>11258</v>
      </c>
      <c r="G4472" s="58" t="s">
        <v>11259</v>
      </c>
      <c r="H4472" s="546">
        <v>68600</v>
      </c>
      <c r="I4472" s="66">
        <v>45078</v>
      </c>
      <c r="J4472" s="411" t="s">
        <v>11260</v>
      </c>
      <c r="K4472" s="58"/>
      <c r="L4472" s="99"/>
      <c r="M4472" s="70" t="s">
        <v>11256</v>
      </c>
      <c r="N4472" s="97" t="s">
        <v>741</v>
      </c>
      <c r="O4472" s="45" t="s">
        <v>175</v>
      </c>
      <c r="P4472" s="58" t="s">
        <v>59</v>
      </c>
      <c r="Q4472" s="58" t="s">
        <v>64</v>
      </c>
      <c r="R4472" s="58" t="s">
        <v>272</v>
      </c>
    </row>
    <row r="4473" spans="1:18" ht="69" customHeight="1">
      <c r="A4473" s="168"/>
      <c r="B4473" s="178">
        <v>1196</v>
      </c>
      <c r="C4473" s="178" t="s">
        <v>5558</v>
      </c>
      <c r="D4473" s="575" t="s">
        <v>11261</v>
      </c>
      <c r="E4473" s="178" t="s">
        <v>11241</v>
      </c>
      <c r="F4473" s="210" t="s">
        <v>11262</v>
      </c>
      <c r="G4473" s="58" t="s">
        <v>11263</v>
      </c>
      <c r="H4473" s="546">
        <v>150000</v>
      </c>
      <c r="I4473" s="66">
        <v>45082</v>
      </c>
      <c r="J4473" s="411" t="s">
        <v>11264</v>
      </c>
      <c r="K4473" s="58"/>
      <c r="L4473" s="99"/>
      <c r="M4473" s="70" t="s">
        <v>11256</v>
      </c>
      <c r="N4473" s="97" t="s">
        <v>741</v>
      </c>
      <c r="O4473" s="45" t="s">
        <v>175</v>
      </c>
      <c r="P4473" s="58" t="s">
        <v>59</v>
      </c>
      <c r="Q4473" s="58" t="s">
        <v>64</v>
      </c>
      <c r="R4473" s="58" t="s">
        <v>272</v>
      </c>
    </row>
    <row r="4474" spans="1:18" ht="69" customHeight="1">
      <c r="A4474" s="168"/>
      <c r="B4474" s="207">
        <v>1197</v>
      </c>
      <c r="C4474" s="207" t="s">
        <v>309</v>
      </c>
      <c r="D4474" s="301" t="s">
        <v>6980</v>
      </c>
      <c r="E4474" s="207" t="s">
        <v>266</v>
      </c>
      <c r="F4474" s="208" t="s">
        <v>11265</v>
      </c>
      <c r="G4474" s="160" t="s">
        <v>11266</v>
      </c>
      <c r="H4474" s="300">
        <v>2437.88</v>
      </c>
      <c r="I4474" s="209">
        <v>45074</v>
      </c>
      <c r="J4474" s="322" t="s">
        <v>11267</v>
      </c>
      <c r="K4474" s="160" t="s">
        <v>10804</v>
      </c>
      <c r="L4474" s="99"/>
      <c r="M4474" s="379"/>
      <c r="N4474" s="76" t="s">
        <v>6197</v>
      </c>
      <c r="O4474" s="160" t="s">
        <v>194</v>
      </c>
      <c r="P4474" s="160" t="s">
        <v>67</v>
      </c>
      <c r="Q4474" s="160" t="s">
        <v>15</v>
      </c>
      <c r="R4474" s="160" t="s">
        <v>272</v>
      </c>
    </row>
    <row r="4475" spans="1:18" ht="69" customHeight="1">
      <c r="A4475" s="168"/>
      <c r="B4475" s="178">
        <v>1198</v>
      </c>
      <c r="C4475" s="178" t="s">
        <v>458</v>
      </c>
      <c r="D4475" s="575" t="s">
        <v>5360</v>
      </c>
      <c r="E4475" s="178" t="s">
        <v>11268</v>
      </c>
      <c r="F4475" s="210" t="s">
        <v>11269</v>
      </c>
      <c r="G4475" s="58" t="s">
        <v>11270</v>
      </c>
      <c r="H4475" s="546">
        <v>203267.46</v>
      </c>
      <c r="I4475" s="66">
        <v>45092</v>
      </c>
      <c r="J4475" s="411" t="s">
        <v>11271</v>
      </c>
      <c r="K4475" s="58"/>
      <c r="L4475" s="99"/>
      <c r="M4475" s="70" t="s">
        <v>11272</v>
      </c>
      <c r="N4475" s="97" t="s">
        <v>1372</v>
      </c>
      <c r="O4475" s="58" t="s">
        <v>203</v>
      </c>
      <c r="P4475" s="58" t="s">
        <v>57</v>
      </c>
      <c r="Q4475" s="58" t="s">
        <v>100</v>
      </c>
      <c r="R4475" s="58" t="s">
        <v>272</v>
      </c>
    </row>
    <row r="4476" spans="1:18" ht="69" customHeight="1">
      <c r="A4476" s="168"/>
      <c r="B4476" s="178">
        <v>1199</v>
      </c>
      <c r="C4476" s="59" t="s">
        <v>3667</v>
      </c>
      <c r="D4476" s="575" t="s">
        <v>11273</v>
      </c>
      <c r="E4476" s="178" t="s">
        <v>10753</v>
      </c>
      <c r="F4476" s="210" t="s">
        <v>11274</v>
      </c>
      <c r="G4476" s="58" t="s">
        <v>11275</v>
      </c>
      <c r="H4476" s="546">
        <v>46000</v>
      </c>
      <c r="I4476" s="66">
        <v>45092</v>
      </c>
      <c r="J4476" s="411" t="s">
        <v>11276</v>
      </c>
      <c r="K4476" s="58"/>
      <c r="L4476" s="99"/>
      <c r="M4476" s="70" t="s">
        <v>11277</v>
      </c>
      <c r="N4476" s="97" t="s">
        <v>6197</v>
      </c>
      <c r="O4476" s="58"/>
      <c r="P4476" s="58" t="s">
        <v>22</v>
      </c>
      <c r="Q4476" s="58" t="s">
        <v>72</v>
      </c>
      <c r="R4476" s="58" t="s">
        <v>265</v>
      </c>
    </row>
    <row r="4477" spans="1:18" ht="69" customHeight="1">
      <c r="A4477" s="168"/>
      <c r="B4477" s="178">
        <v>1200</v>
      </c>
      <c r="C4477" s="59" t="s">
        <v>3667</v>
      </c>
      <c r="D4477" s="575" t="s">
        <v>11278</v>
      </c>
      <c r="E4477" s="178" t="s">
        <v>10753</v>
      </c>
      <c r="F4477" s="210" t="s">
        <v>11279</v>
      </c>
      <c r="G4477" s="58" t="s">
        <v>11275</v>
      </c>
      <c r="H4477" s="546">
        <v>42500</v>
      </c>
      <c r="I4477" s="66">
        <v>45092</v>
      </c>
      <c r="J4477" s="411" t="s">
        <v>11276</v>
      </c>
      <c r="K4477" s="58"/>
      <c r="L4477" s="99"/>
      <c r="M4477" s="70" t="s">
        <v>11277</v>
      </c>
      <c r="N4477" s="97" t="s">
        <v>6197</v>
      </c>
      <c r="O4477" s="58"/>
      <c r="P4477" s="58" t="s">
        <v>22</v>
      </c>
      <c r="Q4477" s="58" t="s">
        <v>72</v>
      </c>
      <c r="R4477" s="58" t="s">
        <v>265</v>
      </c>
    </row>
    <row r="4478" spans="1:18" ht="69" customHeight="1">
      <c r="A4478" s="168"/>
      <c r="B4478" s="59">
        <v>1201</v>
      </c>
      <c r="C4478" s="59" t="s">
        <v>8080</v>
      </c>
      <c r="D4478" s="581" t="s">
        <v>2630</v>
      </c>
      <c r="E4478" s="59" t="s">
        <v>6226</v>
      </c>
      <c r="F4478" s="569" t="s">
        <v>11280</v>
      </c>
      <c r="G4478" s="45" t="s">
        <v>11281</v>
      </c>
      <c r="H4478" s="198">
        <v>5157.8999999999996</v>
      </c>
      <c r="I4478" s="47">
        <v>45092</v>
      </c>
      <c r="J4478" s="410" t="s">
        <v>11282</v>
      </c>
      <c r="K4478" s="45" t="s">
        <v>167</v>
      </c>
      <c r="M4478" s="385"/>
      <c r="N4478" s="75" t="s">
        <v>270</v>
      </c>
      <c r="O4478" s="45" t="s">
        <v>11283</v>
      </c>
      <c r="P4478" s="45" t="s">
        <v>65</v>
      </c>
      <c r="Q4478" s="45" t="s">
        <v>106</v>
      </c>
      <c r="R4478" s="45" t="s">
        <v>272</v>
      </c>
    </row>
    <row r="4479" spans="1:18" ht="69" customHeight="1">
      <c r="A4479" s="168"/>
      <c r="B4479" s="207">
        <v>1202</v>
      </c>
      <c r="C4479" s="207" t="s">
        <v>3340</v>
      </c>
      <c r="D4479" s="301" t="s">
        <v>2924</v>
      </c>
      <c r="E4479" s="207" t="s">
        <v>266</v>
      </c>
      <c r="F4479" s="208" t="s">
        <v>11284</v>
      </c>
      <c r="G4479" s="160" t="s">
        <v>11285</v>
      </c>
      <c r="H4479" s="300">
        <v>26970</v>
      </c>
      <c r="I4479" s="209">
        <v>45092</v>
      </c>
      <c r="J4479" s="322" t="s">
        <v>11286</v>
      </c>
      <c r="K4479" s="160" t="s">
        <v>10804</v>
      </c>
      <c r="L4479" s="99"/>
      <c r="M4479" s="379"/>
      <c r="N4479" s="76" t="s">
        <v>6197</v>
      </c>
      <c r="O4479" s="160" t="s">
        <v>11287</v>
      </c>
      <c r="P4479" s="160" t="s">
        <v>67</v>
      </c>
      <c r="Q4479" s="160" t="s">
        <v>90</v>
      </c>
      <c r="R4479" s="160" t="s">
        <v>272</v>
      </c>
    </row>
    <row r="4480" spans="1:18" ht="69" customHeight="1">
      <c r="A4480" s="168"/>
      <c r="B4480" s="178">
        <v>1203</v>
      </c>
      <c r="C4480" s="59" t="s">
        <v>3667</v>
      </c>
      <c r="D4480" s="575" t="s">
        <v>11288</v>
      </c>
      <c r="E4480" s="178" t="s">
        <v>10753</v>
      </c>
      <c r="F4480" s="210" t="s">
        <v>11289</v>
      </c>
      <c r="G4480" s="58" t="s">
        <v>11290</v>
      </c>
      <c r="H4480" s="546">
        <v>27330</v>
      </c>
      <c r="I4480" s="66">
        <v>45092</v>
      </c>
      <c r="J4480" s="411" t="s">
        <v>11291</v>
      </c>
      <c r="K4480" s="58"/>
      <c r="L4480" s="99"/>
      <c r="M4480" s="70" t="s">
        <v>11277</v>
      </c>
      <c r="N4480" s="97" t="s">
        <v>6197</v>
      </c>
      <c r="O4480" s="58"/>
      <c r="P4480" s="58" t="s">
        <v>22</v>
      </c>
      <c r="Q4480" s="58" t="s">
        <v>72</v>
      </c>
      <c r="R4480" s="58" t="s">
        <v>265</v>
      </c>
    </row>
    <row r="4481" spans="1:18" ht="69" customHeight="1">
      <c r="A4481" s="168"/>
      <c r="B4481" s="178">
        <v>1204</v>
      </c>
      <c r="C4481" s="178" t="s">
        <v>309</v>
      </c>
      <c r="D4481" s="575" t="s">
        <v>5415</v>
      </c>
      <c r="E4481" s="178" t="s">
        <v>2156</v>
      </c>
      <c r="F4481" s="210" t="s">
        <v>11292</v>
      </c>
      <c r="G4481" s="58" t="s">
        <v>11293</v>
      </c>
      <c r="H4481" s="546">
        <v>60000</v>
      </c>
      <c r="I4481" s="66">
        <v>45092</v>
      </c>
      <c r="J4481" s="411" t="s">
        <v>11294</v>
      </c>
      <c r="K4481" s="58"/>
      <c r="L4481" s="99"/>
      <c r="M4481" s="70" t="s">
        <v>2164</v>
      </c>
      <c r="N4481" s="97" t="s">
        <v>414</v>
      </c>
      <c r="O4481" s="58"/>
      <c r="P4481" s="58" t="s">
        <v>24</v>
      </c>
      <c r="Q4481" s="58" t="s">
        <v>31</v>
      </c>
      <c r="R4481" s="58" t="s">
        <v>265</v>
      </c>
    </row>
    <row r="4482" spans="1:18" ht="69" customHeight="1">
      <c r="A4482" s="168"/>
      <c r="B4482" s="178">
        <v>1205</v>
      </c>
      <c r="C4482" s="178" t="s">
        <v>309</v>
      </c>
      <c r="D4482" s="575" t="s">
        <v>5417</v>
      </c>
      <c r="E4482" s="178" t="s">
        <v>2156</v>
      </c>
      <c r="F4482" s="210" t="s">
        <v>11295</v>
      </c>
      <c r="G4482" s="58" t="s">
        <v>11293</v>
      </c>
      <c r="H4482" s="546">
        <v>30000</v>
      </c>
      <c r="I4482" s="66">
        <v>45092</v>
      </c>
      <c r="J4482" s="411" t="s">
        <v>11294</v>
      </c>
      <c r="K4482" s="58"/>
      <c r="L4482" s="99"/>
      <c r="M4482" s="70" t="s">
        <v>3620</v>
      </c>
      <c r="N4482" s="97" t="s">
        <v>414</v>
      </c>
      <c r="O4482" s="58"/>
      <c r="P4482" s="58" t="s">
        <v>24</v>
      </c>
      <c r="Q4482" s="58" t="s">
        <v>45</v>
      </c>
      <c r="R4482" s="58" t="s">
        <v>265</v>
      </c>
    </row>
    <row r="4483" spans="1:18" ht="69" customHeight="1">
      <c r="A4483" s="168"/>
      <c r="B4483" s="191">
        <v>1205</v>
      </c>
      <c r="C4483" s="191" t="s">
        <v>11296</v>
      </c>
      <c r="D4483" s="533" t="s">
        <v>541</v>
      </c>
      <c r="E4483" s="191" t="s">
        <v>11297</v>
      </c>
      <c r="F4483" s="211" t="s">
        <v>11298</v>
      </c>
      <c r="G4483" s="46" t="s">
        <v>11299</v>
      </c>
      <c r="H4483" s="534">
        <v>71844.5</v>
      </c>
      <c r="I4483" s="56">
        <v>45092</v>
      </c>
      <c r="J4483" s="412" t="s">
        <v>11300</v>
      </c>
      <c r="K4483" s="46" t="s">
        <v>10804</v>
      </c>
      <c r="L4483" s="99"/>
      <c r="M4483" s="379"/>
      <c r="N4483" s="76" t="s">
        <v>6197</v>
      </c>
      <c r="O4483" s="46" t="s">
        <v>11301</v>
      </c>
      <c r="P4483" s="46" t="s">
        <v>22</v>
      </c>
      <c r="Q4483" s="46" t="s">
        <v>96</v>
      </c>
      <c r="R4483" s="46" t="s">
        <v>272</v>
      </c>
    </row>
    <row r="4484" spans="1:18" ht="69" customHeight="1">
      <c r="A4484" s="168"/>
      <c r="B4484" s="191">
        <v>1206</v>
      </c>
      <c r="C4484" s="191" t="s">
        <v>3667</v>
      </c>
      <c r="D4484" s="533" t="s">
        <v>11302</v>
      </c>
      <c r="E4484" s="191" t="s">
        <v>266</v>
      </c>
      <c r="F4484" s="211" t="s">
        <v>11303</v>
      </c>
      <c r="G4484" s="46" t="s">
        <v>11304</v>
      </c>
      <c r="H4484" s="534">
        <v>6500</v>
      </c>
      <c r="I4484" s="56">
        <v>45092</v>
      </c>
      <c r="J4484" s="412" t="s">
        <v>11305</v>
      </c>
      <c r="K4484" s="46"/>
      <c r="L4484" s="99"/>
      <c r="M4484" s="70" t="s">
        <v>4588</v>
      </c>
      <c r="N4484" s="97" t="s">
        <v>387</v>
      </c>
      <c r="O4484" s="46" t="s">
        <v>11306</v>
      </c>
      <c r="P4484" s="46" t="s">
        <v>65</v>
      </c>
      <c r="Q4484" s="46" t="s">
        <v>56</v>
      </c>
      <c r="R4484" s="46" t="s">
        <v>272</v>
      </c>
    </row>
    <row r="4485" spans="1:18" ht="69" customHeight="1">
      <c r="A4485" s="168"/>
      <c r="B4485" s="178">
        <v>1207</v>
      </c>
      <c r="C4485" s="59" t="s">
        <v>3667</v>
      </c>
      <c r="D4485" s="575" t="s">
        <v>11307</v>
      </c>
      <c r="E4485" s="178" t="s">
        <v>6192</v>
      </c>
      <c r="F4485" s="210" t="s">
        <v>11308</v>
      </c>
      <c r="G4485" s="58" t="s">
        <v>11309</v>
      </c>
      <c r="H4485" s="546">
        <v>97995.06</v>
      </c>
      <c r="I4485" s="66">
        <v>45075</v>
      </c>
      <c r="J4485" s="411" t="s">
        <v>11310</v>
      </c>
      <c r="K4485" s="58"/>
      <c r="L4485" s="99"/>
      <c r="M4485" s="70" t="s">
        <v>6196</v>
      </c>
      <c r="N4485" s="97" t="s">
        <v>6197</v>
      </c>
      <c r="O4485" s="58"/>
      <c r="P4485" s="58" t="s">
        <v>22</v>
      </c>
      <c r="Q4485" s="58" t="s">
        <v>72</v>
      </c>
      <c r="R4485" s="58" t="s">
        <v>272</v>
      </c>
    </row>
    <row r="4486" spans="1:18" ht="69" customHeight="1">
      <c r="A4486" s="168"/>
      <c r="B4486" s="178">
        <v>1208</v>
      </c>
      <c r="C4486" s="59" t="s">
        <v>3667</v>
      </c>
      <c r="D4486" s="575" t="s">
        <v>11311</v>
      </c>
      <c r="E4486" s="178" t="s">
        <v>6192</v>
      </c>
      <c r="F4486" s="210" t="s">
        <v>11312</v>
      </c>
      <c r="G4486" s="58" t="s">
        <v>7199</v>
      </c>
      <c r="H4486" s="546">
        <v>52766.559999999998</v>
      </c>
      <c r="I4486" s="66">
        <v>45075</v>
      </c>
      <c r="J4486" s="411" t="s">
        <v>11310</v>
      </c>
      <c r="K4486" s="58"/>
      <c r="L4486" s="99"/>
      <c r="M4486" s="70" t="s">
        <v>6196</v>
      </c>
      <c r="N4486" s="97" t="s">
        <v>6197</v>
      </c>
      <c r="O4486" s="58"/>
      <c r="P4486" s="58" t="s">
        <v>22</v>
      </c>
      <c r="Q4486" s="58" t="s">
        <v>72</v>
      </c>
      <c r="R4486" s="58" t="s">
        <v>272</v>
      </c>
    </row>
    <row r="4487" spans="1:18" ht="69" customHeight="1">
      <c r="A4487" s="168"/>
      <c r="B4487" s="178">
        <v>1209</v>
      </c>
      <c r="C4487" s="59" t="s">
        <v>3667</v>
      </c>
      <c r="D4487" s="575" t="s">
        <v>11313</v>
      </c>
      <c r="E4487" s="178" t="s">
        <v>6192</v>
      </c>
      <c r="F4487" s="210" t="s">
        <v>11314</v>
      </c>
      <c r="G4487" s="58" t="s">
        <v>11315</v>
      </c>
      <c r="H4487" s="546">
        <v>34857.65</v>
      </c>
      <c r="I4487" s="66">
        <v>45075</v>
      </c>
      <c r="J4487" s="411" t="s">
        <v>11310</v>
      </c>
      <c r="K4487" s="58" t="s">
        <v>11316</v>
      </c>
      <c r="L4487" s="99"/>
      <c r="M4487" s="70" t="s">
        <v>6574</v>
      </c>
      <c r="N4487" s="97" t="s">
        <v>6197</v>
      </c>
      <c r="O4487" s="58"/>
      <c r="P4487" s="58" t="s">
        <v>22</v>
      </c>
      <c r="Q4487" s="58" t="s">
        <v>76</v>
      </c>
      <c r="R4487" s="58" t="s">
        <v>272</v>
      </c>
    </row>
    <row r="4488" spans="1:18" ht="69" customHeight="1">
      <c r="A4488" s="168"/>
      <c r="B4488" s="178">
        <v>1210</v>
      </c>
      <c r="C4488" s="59" t="s">
        <v>3667</v>
      </c>
      <c r="D4488" s="575" t="s">
        <v>11317</v>
      </c>
      <c r="E4488" s="178" t="s">
        <v>6192</v>
      </c>
      <c r="F4488" s="210" t="s">
        <v>11318</v>
      </c>
      <c r="G4488" s="58" t="s">
        <v>7968</v>
      </c>
      <c r="H4488" s="546">
        <v>18769.5</v>
      </c>
      <c r="I4488" s="66">
        <v>45075</v>
      </c>
      <c r="J4488" s="411" t="s">
        <v>11310</v>
      </c>
      <c r="K4488" s="58" t="s">
        <v>11316</v>
      </c>
      <c r="L4488" s="99"/>
      <c r="M4488" s="70" t="s">
        <v>6574</v>
      </c>
      <c r="N4488" s="97" t="s">
        <v>6197</v>
      </c>
      <c r="O4488" s="58"/>
      <c r="P4488" s="58" t="s">
        <v>22</v>
      </c>
      <c r="Q4488" s="58" t="s">
        <v>76</v>
      </c>
      <c r="R4488" s="58" t="s">
        <v>272</v>
      </c>
    </row>
    <row r="4489" spans="1:18" ht="69" customHeight="1">
      <c r="A4489" s="168"/>
      <c r="B4489" s="178">
        <v>1211</v>
      </c>
      <c r="C4489" s="59" t="s">
        <v>3667</v>
      </c>
      <c r="D4489" s="575" t="s">
        <v>11319</v>
      </c>
      <c r="E4489" s="178" t="s">
        <v>6192</v>
      </c>
      <c r="F4489" s="210" t="s">
        <v>11320</v>
      </c>
      <c r="G4489" s="58" t="s">
        <v>11315</v>
      </c>
      <c r="H4489" s="546">
        <v>83929.16</v>
      </c>
      <c r="I4489" s="66">
        <v>45075</v>
      </c>
      <c r="J4489" s="411" t="s">
        <v>11310</v>
      </c>
      <c r="K4489" s="58"/>
      <c r="L4489" s="99"/>
      <c r="M4489" s="70" t="s">
        <v>6400</v>
      </c>
      <c r="N4489" s="97" t="s">
        <v>6197</v>
      </c>
      <c r="O4489" s="58"/>
      <c r="P4489" s="58" t="s">
        <v>22</v>
      </c>
      <c r="Q4489" s="58" t="s">
        <v>74</v>
      </c>
      <c r="R4489" s="58" t="s">
        <v>272</v>
      </c>
    </row>
    <row r="4490" spans="1:18" ht="69" customHeight="1">
      <c r="A4490" s="168"/>
      <c r="B4490" s="178">
        <v>1212</v>
      </c>
      <c r="C4490" s="59" t="s">
        <v>3667</v>
      </c>
      <c r="D4490" s="575" t="s">
        <v>11321</v>
      </c>
      <c r="E4490" s="178" t="s">
        <v>6192</v>
      </c>
      <c r="F4490" s="210" t="s">
        <v>11322</v>
      </c>
      <c r="G4490" s="58" t="s">
        <v>7968</v>
      </c>
      <c r="H4490" s="546">
        <v>45192.62</v>
      </c>
      <c r="I4490" s="66">
        <v>45075</v>
      </c>
      <c r="J4490" s="411" t="s">
        <v>11310</v>
      </c>
      <c r="K4490" s="58"/>
      <c r="L4490" s="99"/>
      <c r="M4490" s="70" t="s">
        <v>6400</v>
      </c>
      <c r="N4490" s="97" t="s">
        <v>6197</v>
      </c>
      <c r="O4490" s="58"/>
      <c r="P4490" s="58" t="s">
        <v>22</v>
      </c>
      <c r="Q4490" s="58" t="s">
        <v>74</v>
      </c>
      <c r="R4490" s="58" t="s">
        <v>272</v>
      </c>
    </row>
    <row r="4491" spans="1:18" ht="69" customHeight="1">
      <c r="A4491" s="168"/>
      <c r="B4491" s="178">
        <v>1213</v>
      </c>
      <c r="C4491" s="178" t="s">
        <v>657</v>
      </c>
      <c r="D4491" s="575" t="s">
        <v>2854</v>
      </c>
      <c r="E4491" s="178" t="s">
        <v>6192</v>
      </c>
      <c r="F4491" s="210" t="s">
        <v>11323</v>
      </c>
      <c r="G4491" s="58" t="s">
        <v>11100</v>
      </c>
      <c r="H4491" s="546">
        <v>55894.96</v>
      </c>
      <c r="I4491" s="66">
        <v>45075</v>
      </c>
      <c r="J4491" s="411" t="s">
        <v>11310</v>
      </c>
      <c r="K4491" s="58"/>
      <c r="L4491" s="99"/>
      <c r="M4491" s="70" t="s">
        <v>8910</v>
      </c>
      <c r="N4491" s="97" t="s">
        <v>6197</v>
      </c>
      <c r="O4491" s="58" t="s">
        <v>147</v>
      </c>
      <c r="P4491" s="58" t="s">
        <v>22</v>
      </c>
      <c r="Q4491" s="58" t="s">
        <v>110</v>
      </c>
      <c r="R4491" s="58" t="s">
        <v>272</v>
      </c>
    </row>
    <row r="4492" spans="1:18" ht="69" customHeight="1">
      <c r="A4492" s="168"/>
      <c r="B4492" s="178">
        <v>1214</v>
      </c>
      <c r="C4492" s="178" t="s">
        <v>657</v>
      </c>
      <c r="D4492" s="575" t="s">
        <v>3103</v>
      </c>
      <c r="E4492" s="178" t="s">
        <v>6192</v>
      </c>
      <c r="F4492" s="210" t="s">
        <v>11324</v>
      </c>
      <c r="G4492" s="58" t="s">
        <v>6641</v>
      </c>
      <c r="H4492" s="546">
        <v>30097.279999999999</v>
      </c>
      <c r="I4492" s="66">
        <v>45075</v>
      </c>
      <c r="J4492" s="411" t="s">
        <v>11310</v>
      </c>
      <c r="K4492" s="58"/>
      <c r="L4492" s="99"/>
      <c r="M4492" s="70" t="s">
        <v>8910</v>
      </c>
      <c r="N4492" s="97" t="s">
        <v>6197</v>
      </c>
      <c r="O4492" s="58" t="s">
        <v>147</v>
      </c>
      <c r="P4492" s="58" t="s">
        <v>22</v>
      </c>
      <c r="Q4492" s="58" t="s">
        <v>110</v>
      </c>
      <c r="R4492" s="58" t="s">
        <v>272</v>
      </c>
    </row>
    <row r="4493" spans="1:18" ht="69" customHeight="1">
      <c r="A4493" s="168"/>
      <c r="B4493" s="178">
        <v>1215</v>
      </c>
      <c r="C4493" s="178" t="s">
        <v>458</v>
      </c>
      <c r="D4493" s="575" t="s">
        <v>6257</v>
      </c>
      <c r="E4493" s="178" t="s">
        <v>6192</v>
      </c>
      <c r="F4493" s="210" t="s">
        <v>11325</v>
      </c>
      <c r="G4493" s="58" t="s">
        <v>11315</v>
      </c>
      <c r="H4493" s="546">
        <v>192870.28</v>
      </c>
      <c r="I4493" s="66">
        <v>45075</v>
      </c>
      <c r="J4493" s="411" t="s">
        <v>11310</v>
      </c>
      <c r="K4493" s="58"/>
      <c r="L4493" s="99"/>
      <c r="M4493" s="70" t="s">
        <v>7412</v>
      </c>
      <c r="N4493" s="97" t="s">
        <v>6197</v>
      </c>
      <c r="O4493" s="58"/>
      <c r="P4493" s="58" t="s">
        <v>22</v>
      </c>
      <c r="Q4493" s="58" t="s">
        <v>100</v>
      </c>
      <c r="R4493" s="58" t="s">
        <v>272</v>
      </c>
    </row>
    <row r="4494" spans="1:18" ht="69" customHeight="1">
      <c r="A4494" s="168"/>
      <c r="B4494" s="178">
        <v>1216</v>
      </c>
      <c r="C4494" s="178" t="s">
        <v>458</v>
      </c>
      <c r="D4494" s="575" t="s">
        <v>5380</v>
      </c>
      <c r="E4494" s="178" t="s">
        <v>6192</v>
      </c>
      <c r="F4494" s="210" t="s">
        <v>11326</v>
      </c>
      <c r="G4494" s="58" t="s">
        <v>7968</v>
      </c>
      <c r="H4494" s="546">
        <v>103853.22</v>
      </c>
      <c r="I4494" s="66">
        <v>45075</v>
      </c>
      <c r="J4494" s="411" t="s">
        <v>11310</v>
      </c>
      <c r="K4494" s="58"/>
      <c r="L4494" s="99"/>
      <c r="M4494" s="70" t="s">
        <v>7412</v>
      </c>
      <c r="N4494" s="97" t="s">
        <v>6197</v>
      </c>
      <c r="O4494" s="58"/>
      <c r="P4494" s="58" t="s">
        <v>22</v>
      </c>
      <c r="Q4494" s="58" t="s">
        <v>100</v>
      </c>
      <c r="R4494" s="58" t="s">
        <v>272</v>
      </c>
    </row>
    <row r="4495" spans="1:18" ht="69" customHeight="1">
      <c r="A4495" s="168"/>
      <c r="B4495" s="178">
        <v>1217</v>
      </c>
      <c r="C4495" s="178" t="s">
        <v>4277</v>
      </c>
      <c r="D4495" s="575" t="s">
        <v>11327</v>
      </c>
      <c r="E4495" s="178" t="s">
        <v>755</v>
      </c>
      <c r="F4495" s="210" t="s">
        <v>11328</v>
      </c>
      <c r="G4495" s="58" t="s">
        <v>11329</v>
      </c>
      <c r="H4495" s="546">
        <v>87188.1</v>
      </c>
      <c r="I4495" s="66">
        <v>45075</v>
      </c>
      <c r="J4495" s="411" t="s">
        <v>11330</v>
      </c>
      <c r="K4495" s="58"/>
      <c r="L4495" s="99"/>
      <c r="M4495" s="70" t="s">
        <v>4708</v>
      </c>
      <c r="N4495" s="97" t="s">
        <v>1372</v>
      </c>
      <c r="O4495" s="58"/>
      <c r="P4495" s="58" t="s">
        <v>57</v>
      </c>
      <c r="Q4495" s="58" t="s">
        <v>56</v>
      </c>
      <c r="R4495" s="58" t="s">
        <v>272</v>
      </c>
    </row>
    <row r="4496" spans="1:18" ht="69" customHeight="1">
      <c r="A4496" s="168"/>
      <c r="B4496" s="178">
        <v>1218</v>
      </c>
      <c r="C4496" s="178" t="s">
        <v>3933</v>
      </c>
      <c r="D4496" s="575" t="s">
        <v>11331</v>
      </c>
      <c r="E4496" s="178" t="s">
        <v>11332</v>
      </c>
      <c r="F4496" s="210" t="s">
        <v>11333</v>
      </c>
      <c r="G4496" s="58" t="s">
        <v>11334</v>
      </c>
      <c r="H4496" s="546">
        <v>193094.8</v>
      </c>
      <c r="I4496" s="66">
        <v>45092</v>
      </c>
      <c r="J4496" s="411" t="s">
        <v>11335</v>
      </c>
      <c r="K4496" s="58"/>
      <c r="L4496" s="99"/>
      <c r="M4496" s="70" t="s">
        <v>4240</v>
      </c>
      <c r="N4496" s="97" t="s">
        <v>356</v>
      </c>
      <c r="O4496" s="45" t="s">
        <v>195</v>
      </c>
      <c r="P4496" s="58" t="s">
        <v>19</v>
      </c>
      <c r="Q4496" s="58" t="s">
        <v>52</v>
      </c>
      <c r="R4496" s="58" t="s">
        <v>272</v>
      </c>
    </row>
    <row r="4497" spans="1:18" ht="69" customHeight="1">
      <c r="A4497" s="168"/>
      <c r="B4497" s="178">
        <v>1219</v>
      </c>
      <c r="C4497" s="178" t="s">
        <v>3647</v>
      </c>
      <c r="D4497" s="575" t="s">
        <v>11336</v>
      </c>
      <c r="E4497" s="178" t="s">
        <v>11332</v>
      </c>
      <c r="F4497" s="210" t="s">
        <v>11337</v>
      </c>
      <c r="G4497" s="58" t="s">
        <v>11334</v>
      </c>
      <c r="H4497" s="546">
        <v>161356.20000000001</v>
      </c>
      <c r="I4497" s="66">
        <v>45092</v>
      </c>
      <c r="J4497" s="411" t="s">
        <v>11335</v>
      </c>
      <c r="K4497" s="58"/>
      <c r="L4497" s="99"/>
      <c r="M4497" s="70" t="s">
        <v>3836</v>
      </c>
      <c r="N4497" s="97" t="s">
        <v>356</v>
      </c>
      <c r="O4497" s="45" t="s">
        <v>195</v>
      </c>
      <c r="P4497" s="58" t="s">
        <v>19</v>
      </c>
      <c r="Q4497" s="58" t="s">
        <v>47</v>
      </c>
      <c r="R4497" s="58" t="s">
        <v>272</v>
      </c>
    </row>
    <row r="4498" spans="1:18" ht="69" customHeight="1">
      <c r="A4498" s="168"/>
      <c r="B4498" s="207">
        <v>1017</v>
      </c>
      <c r="C4498" s="207" t="s">
        <v>657</v>
      </c>
      <c r="D4498" s="301" t="s">
        <v>1814</v>
      </c>
      <c r="E4498" s="207" t="s">
        <v>10671</v>
      </c>
      <c r="F4498" s="208" t="s">
        <v>11338</v>
      </c>
      <c r="G4498" s="160" t="s">
        <v>10659</v>
      </c>
      <c r="H4498" s="300">
        <v>25295.05</v>
      </c>
      <c r="I4498" s="209">
        <v>45066</v>
      </c>
      <c r="J4498" s="322" t="s">
        <v>10722</v>
      </c>
      <c r="K4498" s="160" t="s">
        <v>4128</v>
      </c>
      <c r="M4498" s="379"/>
      <c r="N4498" s="76" t="s">
        <v>387</v>
      </c>
      <c r="O4498" s="160" t="s">
        <v>150</v>
      </c>
      <c r="P4498" s="160" t="s">
        <v>67</v>
      </c>
      <c r="Q4498" s="160" t="s">
        <v>116</v>
      </c>
      <c r="R4498" s="160" t="s">
        <v>272</v>
      </c>
    </row>
    <row r="4499" spans="1:18" ht="69" customHeight="1">
      <c r="A4499" s="168"/>
      <c r="B4499" s="178">
        <v>1122</v>
      </c>
      <c r="C4499" s="178" t="s">
        <v>7189</v>
      </c>
      <c r="D4499" s="575" t="s">
        <v>2377</v>
      </c>
      <c r="E4499" s="178" t="s">
        <v>11339</v>
      </c>
      <c r="F4499" s="210" t="s">
        <v>11340</v>
      </c>
      <c r="G4499" s="58" t="s">
        <v>11341</v>
      </c>
      <c r="H4499" s="546">
        <v>178595.8</v>
      </c>
      <c r="I4499" s="66">
        <v>45082</v>
      </c>
      <c r="J4499" s="411" t="s">
        <v>11342</v>
      </c>
      <c r="K4499" s="58"/>
      <c r="L4499" s="99"/>
      <c r="M4499" s="70" t="s">
        <v>7193</v>
      </c>
      <c r="N4499" s="97" t="s">
        <v>741</v>
      </c>
      <c r="O4499" s="58"/>
      <c r="P4499" s="58" t="s">
        <v>59</v>
      </c>
      <c r="Q4499" s="58" t="s">
        <v>97</v>
      </c>
      <c r="R4499" s="58" t="s">
        <v>272</v>
      </c>
    </row>
    <row r="4500" spans="1:18" ht="69" customHeight="1">
      <c r="A4500" s="168"/>
      <c r="B4500" s="178">
        <v>1221</v>
      </c>
      <c r="C4500" s="59" t="s">
        <v>3667</v>
      </c>
      <c r="D4500" s="575" t="s">
        <v>11343</v>
      </c>
      <c r="E4500" s="178" t="s">
        <v>11344</v>
      </c>
      <c r="F4500" s="210" t="s">
        <v>11345</v>
      </c>
      <c r="G4500" s="58" t="s">
        <v>11346</v>
      </c>
      <c r="H4500" s="546">
        <v>83230.11</v>
      </c>
      <c r="I4500" s="66">
        <v>45092</v>
      </c>
      <c r="J4500" s="411" t="s">
        <v>11347</v>
      </c>
      <c r="K4500" s="210"/>
      <c r="L4500" s="99"/>
      <c r="M4500" s="70" t="s">
        <v>11348</v>
      </c>
      <c r="N4500" s="97" t="s">
        <v>6197</v>
      </c>
      <c r="O4500" s="58" t="s">
        <v>10607</v>
      </c>
      <c r="P4500" s="58" t="s">
        <v>22</v>
      </c>
      <c r="Q4500" s="58" t="s">
        <v>70</v>
      </c>
      <c r="R4500" s="58" t="s">
        <v>265</v>
      </c>
    </row>
    <row r="4501" spans="1:18" ht="69" customHeight="1">
      <c r="A4501" s="168"/>
      <c r="B4501" s="178">
        <v>1222</v>
      </c>
      <c r="C4501" s="59" t="s">
        <v>3667</v>
      </c>
      <c r="D4501" s="575" t="s">
        <v>11349</v>
      </c>
      <c r="E4501" s="178" t="s">
        <v>11344</v>
      </c>
      <c r="F4501" s="210" t="s">
        <v>11350</v>
      </c>
      <c r="G4501" s="58" t="s">
        <v>11346</v>
      </c>
      <c r="H4501" s="546">
        <v>79071.61</v>
      </c>
      <c r="I4501" s="66">
        <v>45092</v>
      </c>
      <c r="J4501" s="411" t="s">
        <v>11347</v>
      </c>
      <c r="K4501" s="58"/>
      <c r="L4501" s="99"/>
      <c r="M4501" s="70" t="s">
        <v>11351</v>
      </c>
      <c r="N4501" s="97" t="s">
        <v>6197</v>
      </c>
      <c r="O4501" s="58" t="s">
        <v>10607</v>
      </c>
      <c r="P4501" s="58" t="s">
        <v>22</v>
      </c>
      <c r="Q4501" s="58" t="s">
        <v>86</v>
      </c>
      <c r="R4501" s="58" t="s">
        <v>265</v>
      </c>
    </row>
    <row r="4502" spans="1:18" ht="69" customHeight="1">
      <c r="A4502" s="168"/>
      <c r="B4502" s="178">
        <v>1223</v>
      </c>
      <c r="C4502" s="59" t="s">
        <v>3667</v>
      </c>
      <c r="D4502" s="575" t="s">
        <v>11352</v>
      </c>
      <c r="E4502" s="178" t="s">
        <v>11344</v>
      </c>
      <c r="F4502" s="210" t="s">
        <v>11353</v>
      </c>
      <c r="G4502" s="58" t="s">
        <v>11346</v>
      </c>
      <c r="H4502" s="546">
        <v>77388.47</v>
      </c>
      <c r="I4502" s="66">
        <v>45092</v>
      </c>
      <c r="J4502" s="411" t="s">
        <v>11347</v>
      </c>
      <c r="K4502" s="58"/>
      <c r="L4502" s="99"/>
      <c r="M4502" s="70" t="s">
        <v>11354</v>
      </c>
      <c r="N4502" s="97" t="s">
        <v>6197</v>
      </c>
      <c r="O4502" s="58" t="s">
        <v>10607</v>
      </c>
      <c r="P4502" s="58" t="s">
        <v>22</v>
      </c>
      <c r="Q4502" s="58" t="s">
        <v>68</v>
      </c>
      <c r="R4502" s="58" t="s">
        <v>265</v>
      </c>
    </row>
    <row r="4503" spans="1:18" ht="69" customHeight="1">
      <c r="A4503" s="168"/>
      <c r="B4503" s="178">
        <v>6711</v>
      </c>
      <c r="C4503" s="178" t="s">
        <v>5658</v>
      </c>
      <c r="D4503" s="575" t="s">
        <v>3294</v>
      </c>
      <c r="E4503" s="178" t="s">
        <v>11355</v>
      </c>
      <c r="F4503" s="210" t="s">
        <v>11356</v>
      </c>
      <c r="G4503" s="58" t="s">
        <v>5809</v>
      </c>
      <c r="H4503" s="546">
        <v>274070.21999999997</v>
      </c>
      <c r="I4503" s="66">
        <v>44820</v>
      </c>
      <c r="J4503" s="411" t="s">
        <v>6986</v>
      </c>
      <c r="K4503" s="58"/>
      <c r="L4503" s="99"/>
      <c r="M4503" s="70" t="s">
        <v>11357</v>
      </c>
      <c r="N4503" s="97" t="s">
        <v>414</v>
      </c>
      <c r="O4503" s="58" t="s">
        <v>5713</v>
      </c>
      <c r="P4503" s="58" t="s">
        <v>24</v>
      </c>
      <c r="Q4503" s="58" t="s">
        <v>66</v>
      </c>
      <c r="R4503" s="58" t="s">
        <v>272</v>
      </c>
    </row>
    <row r="4504" spans="1:18" ht="69" customHeight="1">
      <c r="A4504" s="168"/>
      <c r="B4504" s="191">
        <v>1224</v>
      </c>
      <c r="C4504" s="191" t="s">
        <v>309</v>
      </c>
      <c r="D4504" s="533" t="s">
        <v>3937</v>
      </c>
      <c r="E4504" s="191" t="s">
        <v>2156</v>
      </c>
      <c r="F4504" s="211" t="s">
        <v>11358</v>
      </c>
      <c r="G4504" s="46" t="s">
        <v>11359</v>
      </c>
      <c r="H4504" s="534">
        <v>47350</v>
      </c>
      <c r="I4504" s="56">
        <v>45092</v>
      </c>
      <c r="J4504" s="412" t="s">
        <v>11360</v>
      </c>
      <c r="K4504" s="46"/>
      <c r="L4504" s="99"/>
      <c r="M4504" s="70"/>
      <c r="N4504" s="97"/>
      <c r="O4504" s="46" t="s">
        <v>11361</v>
      </c>
      <c r="P4504" s="46" t="s">
        <v>65</v>
      </c>
      <c r="Q4504" s="46" t="s">
        <v>37</v>
      </c>
      <c r="R4504" s="46" t="s">
        <v>272</v>
      </c>
    </row>
    <row r="4505" spans="1:18" ht="69" customHeight="1">
      <c r="A4505" s="168"/>
      <c r="B4505" s="178">
        <v>1225</v>
      </c>
      <c r="C4505" s="178" t="s">
        <v>309</v>
      </c>
      <c r="D4505" s="575" t="s">
        <v>11362</v>
      </c>
      <c r="E4505" s="178" t="s">
        <v>2156</v>
      </c>
      <c r="F4505" s="210" t="s">
        <v>11363</v>
      </c>
      <c r="G4505" s="58" t="s">
        <v>11359</v>
      </c>
      <c r="H4505" s="546">
        <v>4848</v>
      </c>
      <c r="I4505" s="66">
        <v>45092</v>
      </c>
      <c r="J4505" s="411" t="s">
        <v>11364</v>
      </c>
      <c r="K4505" s="58"/>
      <c r="L4505" s="99"/>
      <c r="M4505" s="70" t="s">
        <v>1050</v>
      </c>
      <c r="N4505" s="97" t="s">
        <v>414</v>
      </c>
      <c r="O4505" s="58"/>
      <c r="P4505" s="58" t="s">
        <v>24</v>
      </c>
      <c r="Q4505" s="58" t="s">
        <v>23</v>
      </c>
      <c r="R4505" s="58" t="s">
        <v>265</v>
      </c>
    </row>
    <row r="4506" spans="1:18" ht="69" customHeight="1">
      <c r="A4506" s="168"/>
      <c r="B4506" s="178">
        <v>1226</v>
      </c>
      <c r="C4506" s="178" t="s">
        <v>657</v>
      </c>
      <c r="D4506" s="575"/>
      <c r="E4506" s="178" t="s">
        <v>10753</v>
      </c>
      <c r="F4506" s="210" t="s">
        <v>11365</v>
      </c>
      <c r="G4506" s="58" t="s">
        <v>11275</v>
      </c>
      <c r="H4506" s="546">
        <v>53548</v>
      </c>
      <c r="I4506" s="66">
        <v>45092</v>
      </c>
      <c r="J4506" s="411" t="s">
        <v>11366</v>
      </c>
      <c r="K4506" s="58"/>
      <c r="L4506" s="99"/>
      <c r="M4506" s="70" t="s">
        <v>7137</v>
      </c>
      <c r="N4506" s="97" t="s">
        <v>414</v>
      </c>
      <c r="O4506" s="58"/>
      <c r="P4506" s="58" t="s">
        <v>22</v>
      </c>
      <c r="Q4506" s="58" t="s">
        <v>97</v>
      </c>
      <c r="R4506" s="58" t="s">
        <v>265</v>
      </c>
    </row>
    <row r="4507" spans="1:18" ht="69" customHeight="1">
      <c r="A4507" s="168"/>
      <c r="B4507" s="178">
        <v>1227</v>
      </c>
      <c r="C4507" s="59" t="s">
        <v>3667</v>
      </c>
      <c r="D4507" s="575"/>
      <c r="E4507" s="178" t="s">
        <v>10753</v>
      </c>
      <c r="F4507" s="210" t="s">
        <v>11367</v>
      </c>
      <c r="G4507" s="58" t="s">
        <v>11275</v>
      </c>
      <c r="H4507" s="546">
        <v>46600</v>
      </c>
      <c r="I4507" s="66">
        <v>45092</v>
      </c>
      <c r="J4507" s="411" t="s">
        <v>11366</v>
      </c>
      <c r="K4507" s="58"/>
      <c r="L4507" s="99"/>
      <c r="M4507" s="70" t="s">
        <v>6459</v>
      </c>
      <c r="N4507" s="97" t="s">
        <v>6197</v>
      </c>
      <c r="O4507" s="58"/>
      <c r="P4507" s="58" t="s">
        <v>22</v>
      </c>
      <c r="Q4507" s="58" t="s">
        <v>74</v>
      </c>
      <c r="R4507" s="58" t="s">
        <v>265</v>
      </c>
    </row>
    <row r="4508" spans="1:18" ht="69" customHeight="1">
      <c r="A4508" s="168"/>
      <c r="B4508" s="178">
        <v>1228</v>
      </c>
      <c r="C4508" s="59" t="s">
        <v>3667</v>
      </c>
      <c r="D4508" s="575" t="s">
        <v>11368</v>
      </c>
      <c r="E4508" s="178" t="s">
        <v>10753</v>
      </c>
      <c r="F4508" s="210" t="s">
        <v>11369</v>
      </c>
      <c r="G4508" s="58" t="s">
        <v>11370</v>
      </c>
      <c r="H4508" s="546">
        <v>25184</v>
      </c>
      <c r="I4508" s="66">
        <v>45092</v>
      </c>
      <c r="J4508" s="411" t="s">
        <v>11371</v>
      </c>
      <c r="K4508" s="58"/>
      <c r="L4508" s="99"/>
      <c r="M4508" s="70" t="s">
        <v>11277</v>
      </c>
      <c r="N4508" s="97" t="s">
        <v>6197</v>
      </c>
      <c r="O4508" s="58"/>
      <c r="P4508" s="58" t="s">
        <v>22</v>
      </c>
      <c r="Q4508" s="58" t="s">
        <v>72</v>
      </c>
      <c r="R4508" s="58" t="s">
        <v>265</v>
      </c>
    </row>
    <row r="4509" spans="1:18" ht="69" customHeight="1">
      <c r="A4509" s="168"/>
      <c r="B4509" s="178">
        <v>1229</v>
      </c>
      <c r="C4509" s="178" t="s">
        <v>657</v>
      </c>
      <c r="D4509" s="575" t="s">
        <v>9910</v>
      </c>
      <c r="E4509" s="178" t="s">
        <v>409</v>
      </c>
      <c r="F4509" s="210" t="s">
        <v>11372</v>
      </c>
      <c r="G4509" s="58" t="s">
        <v>9211</v>
      </c>
      <c r="H4509" s="546">
        <v>43633.84</v>
      </c>
      <c r="I4509" s="66">
        <v>45079</v>
      </c>
      <c r="J4509" s="411" t="s">
        <v>11373</v>
      </c>
      <c r="K4509" s="58"/>
      <c r="L4509" s="99"/>
      <c r="M4509" s="70" t="s">
        <v>11374</v>
      </c>
      <c r="N4509" s="97" t="s">
        <v>11375</v>
      </c>
      <c r="O4509" s="58"/>
      <c r="P4509" s="58" t="s">
        <v>59</v>
      </c>
      <c r="Q4509" s="58" t="s">
        <v>111</v>
      </c>
      <c r="R4509" s="58" t="s">
        <v>272</v>
      </c>
    </row>
    <row r="4510" spans="1:18" ht="69" customHeight="1">
      <c r="A4510" s="168"/>
      <c r="B4510" s="178">
        <v>1230</v>
      </c>
      <c r="C4510" s="178" t="s">
        <v>657</v>
      </c>
      <c r="D4510" s="575" t="s">
        <v>3316</v>
      </c>
      <c r="E4510" s="178" t="s">
        <v>409</v>
      </c>
      <c r="F4510" s="210" t="s">
        <v>11376</v>
      </c>
      <c r="G4510" s="58" t="s">
        <v>9211</v>
      </c>
      <c r="H4510" s="546">
        <v>174535.37</v>
      </c>
      <c r="I4510" s="66">
        <v>45079</v>
      </c>
      <c r="J4510" s="411" t="s">
        <v>11373</v>
      </c>
      <c r="K4510" s="58"/>
      <c r="L4510" s="99"/>
      <c r="M4510" s="70" t="s">
        <v>11374</v>
      </c>
      <c r="N4510" s="97" t="s">
        <v>11375</v>
      </c>
      <c r="O4510" s="58"/>
      <c r="P4510" s="58" t="s">
        <v>59</v>
      </c>
      <c r="Q4510" s="58" t="s">
        <v>111</v>
      </c>
      <c r="R4510" s="58" t="s">
        <v>272</v>
      </c>
    </row>
    <row r="4511" spans="1:18" ht="69" customHeight="1">
      <c r="A4511" s="168"/>
      <c r="B4511" s="256">
        <v>1231</v>
      </c>
      <c r="C4511" s="256" t="s">
        <v>9322</v>
      </c>
      <c r="D4511" s="299" t="s">
        <v>11061</v>
      </c>
      <c r="E4511" s="256" t="s">
        <v>755</v>
      </c>
      <c r="F4511" s="263" t="s">
        <v>11377</v>
      </c>
      <c r="G4511" s="118" t="s">
        <v>4521</v>
      </c>
      <c r="H4511" s="300">
        <v>894425.01</v>
      </c>
      <c r="I4511" s="262">
        <v>45079</v>
      </c>
      <c r="J4511" s="409" t="s">
        <v>11378</v>
      </c>
      <c r="K4511" s="118" t="s">
        <v>727</v>
      </c>
      <c r="L4511" s="99"/>
      <c r="M4511" s="70" t="s">
        <v>9314</v>
      </c>
      <c r="N4511" s="97" t="s">
        <v>716</v>
      </c>
      <c r="O4511" s="118" t="s">
        <v>96</v>
      </c>
      <c r="P4511" s="118" t="s">
        <v>67</v>
      </c>
      <c r="Q4511" s="118" t="s">
        <v>114</v>
      </c>
      <c r="R4511" s="118" t="s">
        <v>272</v>
      </c>
    </row>
    <row r="4512" spans="1:18" ht="69" customHeight="1">
      <c r="A4512" s="168"/>
      <c r="B4512" s="178">
        <v>1232</v>
      </c>
      <c r="C4512" s="178" t="s">
        <v>8080</v>
      </c>
      <c r="D4512" s="575" t="s">
        <v>2632</v>
      </c>
      <c r="E4512" s="58" t="s">
        <v>1372</v>
      </c>
      <c r="F4512" s="210" t="s">
        <v>11379</v>
      </c>
      <c r="G4512" s="58" t="s">
        <v>11380</v>
      </c>
      <c r="H4512" s="546">
        <v>35306.25</v>
      </c>
      <c r="I4512" s="66" t="s">
        <v>96</v>
      </c>
      <c r="J4512" s="411" t="s">
        <v>11381</v>
      </c>
      <c r="K4512" s="58"/>
      <c r="L4512" s="99"/>
      <c r="M4512" s="70" t="s">
        <v>8253</v>
      </c>
      <c r="N4512" s="97" t="s">
        <v>1372</v>
      </c>
      <c r="O4512" s="58"/>
      <c r="P4512" s="58" t="s">
        <v>57</v>
      </c>
      <c r="Q4512" s="58" t="s">
        <v>106</v>
      </c>
      <c r="R4512" s="58" t="s">
        <v>272</v>
      </c>
    </row>
    <row r="4513" spans="1:18" ht="69" customHeight="1">
      <c r="A4513" s="168"/>
      <c r="B4513" s="207">
        <v>1233</v>
      </c>
      <c r="C4513" s="207" t="s">
        <v>11382</v>
      </c>
      <c r="D4513" s="301" t="s">
        <v>2670</v>
      </c>
      <c r="E4513" s="207" t="s">
        <v>266</v>
      </c>
      <c r="F4513" s="208" t="s">
        <v>11383</v>
      </c>
      <c r="G4513" s="160" t="s">
        <v>11384</v>
      </c>
      <c r="H4513" s="300">
        <v>1468.02</v>
      </c>
      <c r="I4513" s="209">
        <v>45077</v>
      </c>
      <c r="J4513" s="322" t="s">
        <v>11385</v>
      </c>
      <c r="K4513" s="160" t="s">
        <v>10804</v>
      </c>
      <c r="M4513" s="379"/>
      <c r="N4513" s="76"/>
      <c r="O4513" s="160" t="s">
        <v>11386</v>
      </c>
      <c r="P4513" s="160" t="s">
        <v>67</v>
      </c>
      <c r="Q4513" s="160" t="s">
        <v>96</v>
      </c>
      <c r="R4513" s="160" t="s">
        <v>272</v>
      </c>
    </row>
    <row r="4514" spans="1:18" s="117" customFormat="1" ht="69" customHeight="1">
      <c r="A4514" s="168"/>
      <c r="B4514" s="178">
        <v>1234</v>
      </c>
      <c r="C4514" s="178" t="s">
        <v>9322</v>
      </c>
      <c r="D4514" s="575" t="s">
        <v>11064</v>
      </c>
      <c r="E4514" s="178" t="s">
        <v>755</v>
      </c>
      <c r="F4514" s="210" t="s">
        <v>11387</v>
      </c>
      <c r="G4514" s="58" t="s">
        <v>3531</v>
      </c>
      <c r="H4514" s="546">
        <v>732334.12</v>
      </c>
      <c r="I4514" s="66">
        <v>45079</v>
      </c>
      <c r="J4514" s="411" t="s">
        <v>11388</v>
      </c>
      <c r="K4514" s="58"/>
      <c r="L4514" s="99"/>
      <c r="M4514" s="70" t="s">
        <v>9314</v>
      </c>
      <c r="N4514" s="97" t="s">
        <v>716</v>
      </c>
      <c r="O4514" s="58"/>
      <c r="P4514" s="58" t="s">
        <v>28</v>
      </c>
      <c r="Q4514" s="58" t="s">
        <v>114</v>
      </c>
      <c r="R4514" s="58" t="s">
        <v>272</v>
      </c>
    </row>
    <row r="4515" spans="1:18" ht="69" customHeight="1">
      <c r="A4515" s="168"/>
      <c r="B4515" s="178">
        <v>1235</v>
      </c>
      <c r="C4515" s="178" t="s">
        <v>4411</v>
      </c>
      <c r="D4515" s="575" t="s">
        <v>11389</v>
      </c>
      <c r="E4515" s="178" t="s">
        <v>755</v>
      </c>
      <c r="F4515" s="210" t="s">
        <v>11390</v>
      </c>
      <c r="G4515" s="58" t="s">
        <v>3531</v>
      </c>
      <c r="H4515" s="546">
        <v>583024.81999999995</v>
      </c>
      <c r="I4515" s="66">
        <v>45079</v>
      </c>
      <c r="J4515" s="411" t="s">
        <v>11391</v>
      </c>
      <c r="K4515" s="58"/>
      <c r="L4515" s="99"/>
      <c r="M4515" s="70" t="s">
        <v>4438</v>
      </c>
      <c r="N4515" s="97" t="s">
        <v>716</v>
      </c>
      <c r="O4515" s="58"/>
      <c r="P4515" s="58" t="s">
        <v>28</v>
      </c>
      <c r="Q4515" s="58" t="s">
        <v>54</v>
      </c>
      <c r="R4515" s="58" t="s">
        <v>272</v>
      </c>
    </row>
    <row r="4516" spans="1:18" ht="69" customHeight="1">
      <c r="A4516" s="168"/>
      <c r="B4516" s="178">
        <v>1236</v>
      </c>
      <c r="C4516" s="178" t="s">
        <v>1593</v>
      </c>
      <c r="D4516" s="575" t="s">
        <v>3943</v>
      </c>
      <c r="E4516" s="178" t="s">
        <v>755</v>
      </c>
      <c r="F4516" s="210" t="s">
        <v>11392</v>
      </c>
      <c r="G4516" s="58" t="s">
        <v>11393</v>
      </c>
      <c r="H4516" s="546">
        <v>66765.37</v>
      </c>
      <c r="I4516" s="66" t="s">
        <v>96</v>
      </c>
      <c r="J4516" s="411" t="s">
        <v>11394</v>
      </c>
      <c r="K4516" s="58"/>
      <c r="L4516" s="99"/>
      <c r="M4516" s="70" t="s">
        <v>1649</v>
      </c>
      <c r="N4516" s="97" t="s">
        <v>1372</v>
      </c>
      <c r="O4516" s="58"/>
      <c r="P4516" s="58" t="s">
        <v>57</v>
      </c>
      <c r="Q4516" s="58" t="s">
        <v>27</v>
      </c>
      <c r="R4516" s="58" t="s">
        <v>272</v>
      </c>
    </row>
    <row r="4517" spans="1:18" ht="69" customHeight="1">
      <c r="A4517" s="168"/>
      <c r="B4517" s="191">
        <v>1237</v>
      </c>
      <c r="C4517" s="191" t="s">
        <v>8080</v>
      </c>
      <c r="D4517" s="533" t="s">
        <v>2802</v>
      </c>
      <c r="E4517" s="191" t="s">
        <v>6226</v>
      </c>
      <c r="F4517" s="211" t="s">
        <v>11395</v>
      </c>
      <c r="G4517" s="46" t="s">
        <v>11396</v>
      </c>
      <c r="H4517" s="534">
        <v>9670</v>
      </c>
      <c r="I4517" s="56">
        <v>45082</v>
      </c>
      <c r="J4517" s="412" t="s">
        <v>11397</v>
      </c>
      <c r="K4517" s="46" t="s">
        <v>167</v>
      </c>
      <c r="L4517" s="99"/>
      <c r="M4517" s="379"/>
      <c r="N4517" s="76" t="s">
        <v>716</v>
      </c>
      <c r="O4517" s="46"/>
      <c r="P4517" s="46" t="s">
        <v>65</v>
      </c>
      <c r="Q4517" s="46" t="s">
        <v>106</v>
      </c>
      <c r="R4517" s="46" t="s">
        <v>272</v>
      </c>
    </row>
    <row r="4518" spans="1:18" ht="69" customHeight="1">
      <c r="A4518" s="168"/>
      <c r="B4518" s="191">
        <v>1238</v>
      </c>
      <c r="C4518" s="191" t="s">
        <v>8080</v>
      </c>
      <c r="D4518" s="533" t="s">
        <v>2804</v>
      </c>
      <c r="E4518" s="191" t="s">
        <v>6226</v>
      </c>
      <c r="F4518" s="211" t="s">
        <v>11398</v>
      </c>
      <c r="G4518" s="46" t="s">
        <v>11399</v>
      </c>
      <c r="H4518" s="534">
        <v>924</v>
      </c>
      <c r="I4518" s="56">
        <v>45082</v>
      </c>
      <c r="J4518" s="412" t="s">
        <v>11400</v>
      </c>
      <c r="K4518" s="46" t="s">
        <v>167</v>
      </c>
      <c r="L4518" s="99"/>
      <c r="M4518" s="379"/>
      <c r="N4518" s="76" t="s">
        <v>716</v>
      </c>
      <c r="O4518" s="46"/>
      <c r="P4518" s="46" t="s">
        <v>65</v>
      </c>
      <c r="Q4518" s="46" t="s">
        <v>106</v>
      </c>
      <c r="R4518" s="46" t="s">
        <v>272</v>
      </c>
    </row>
    <row r="4519" spans="1:18" ht="69" customHeight="1">
      <c r="A4519" s="168"/>
      <c r="B4519" s="178">
        <v>1239</v>
      </c>
      <c r="C4519" s="178" t="s">
        <v>8529</v>
      </c>
      <c r="D4519" s="575" t="s">
        <v>11066</v>
      </c>
      <c r="E4519" s="178" t="s">
        <v>266</v>
      </c>
      <c r="F4519" s="210" t="s">
        <v>11401</v>
      </c>
      <c r="G4519" s="58" t="s">
        <v>453</v>
      </c>
      <c r="H4519" s="546">
        <v>1000</v>
      </c>
      <c r="I4519" s="66">
        <v>45092</v>
      </c>
      <c r="J4519" s="411" t="s">
        <v>11402</v>
      </c>
      <c r="K4519" s="58"/>
      <c r="L4519" s="99"/>
      <c r="M4519" s="70" t="s">
        <v>8465</v>
      </c>
      <c r="N4519" s="97" t="s">
        <v>270</v>
      </c>
      <c r="O4519" s="58"/>
      <c r="P4519" s="58" t="s">
        <v>44</v>
      </c>
      <c r="Q4519" s="58" t="s">
        <v>108</v>
      </c>
      <c r="R4519" s="58" t="s">
        <v>272</v>
      </c>
    </row>
    <row r="4520" spans="1:18" ht="69" customHeight="1">
      <c r="A4520" s="168"/>
      <c r="B4520" s="178">
        <v>1240</v>
      </c>
      <c r="C4520" s="178" t="s">
        <v>3933</v>
      </c>
      <c r="D4520" s="575" t="s">
        <v>11403</v>
      </c>
      <c r="E4520" s="178" t="s">
        <v>266</v>
      </c>
      <c r="F4520" s="210" t="s">
        <v>11404</v>
      </c>
      <c r="G4520" s="58" t="s">
        <v>453</v>
      </c>
      <c r="H4520" s="546">
        <v>1000</v>
      </c>
      <c r="I4520" s="66">
        <v>45092</v>
      </c>
      <c r="J4520" s="411" t="s">
        <v>11402</v>
      </c>
      <c r="K4520" s="58"/>
      <c r="L4520" s="99"/>
      <c r="M4520" s="70" t="s">
        <v>4136</v>
      </c>
      <c r="N4520" s="97" t="s">
        <v>270</v>
      </c>
      <c r="O4520" s="58"/>
      <c r="P4520" s="58" t="s">
        <v>44</v>
      </c>
      <c r="Q4520" s="58" t="s">
        <v>52</v>
      </c>
      <c r="R4520" s="58" t="s">
        <v>272</v>
      </c>
    </row>
    <row r="4521" spans="1:18" ht="69" customHeight="1">
      <c r="A4521" s="168"/>
      <c r="B4521" s="178">
        <v>1241</v>
      </c>
      <c r="C4521" s="178" t="s">
        <v>5615</v>
      </c>
      <c r="D4521" s="575" t="s">
        <v>11405</v>
      </c>
      <c r="E4521" s="178" t="s">
        <v>266</v>
      </c>
      <c r="F4521" s="210" t="s">
        <v>11406</v>
      </c>
      <c r="G4521" s="58" t="s">
        <v>453</v>
      </c>
      <c r="H4521" s="546">
        <v>1000</v>
      </c>
      <c r="I4521" s="66">
        <v>45092</v>
      </c>
      <c r="J4521" s="411" t="s">
        <v>11402</v>
      </c>
      <c r="K4521" s="58"/>
      <c r="L4521" s="99"/>
      <c r="M4521" s="70" t="s">
        <v>6747</v>
      </c>
      <c r="N4521" s="97" t="s">
        <v>270</v>
      </c>
      <c r="O4521" s="58"/>
      <c r="P4521" s="58" t="s">
        <v>44</v>
      </c>
      <c r="Q4521" s="58" t="s">
        <v>80</v>
      </c>
      <c r="R4521" s="58" t="s">
        <v>272</v>
      </c>
    </row>
    <row r="4522" spans="1:18" ht="69" customHeight="1">
      <c r="A4522" s="168"/>
      <c r="B4522" s="178">
        <v>1242</v>
      </c>
      <c r="C4522" s="178" t="s">
        <v>10612</v>
      </c>
      <c r="D4522" s="575" t="s">
        <v>11407</v>
      </c>
      <c r="E4522" s="178" t="s">
        <v>266</v>
      </c>
      <c r="F4522" s="210" t="s">
        <v>11408</v>
      </c>
      <c r="G4522" s="58" t="s">
        <v>453</v>
      </c>
      <c r="H4522" s="546">
        <v>1000</v>
      </c>
      <c r="I4522" s="66">
        <v>45092</v>
      </c>
      <c r="J4522" s="411" t="s">
        <v>11402</v>
      </c>
      <c r="K4522" s="58"/>
      <c r="L4522" s="99"/>
      <c r="M4522" s="70" t="s">
        <v>6990</v>
      </c>
      <c r="N4522" s="97" t="s">
        <v>270</v>
      </c>
      <c r="O4522" s="58"/>
      <c r="P4522" s="58" t="s">
        <v>44</v>
      </c>
      <c r="Q4522" s="58" t="s">
        <v>86</v>
      </c>
      <c r="R4522" s="58" t="s">
        <v>272</v>
      </c>
    </row>
    <row r="4523" spans="1:18" ht="69" customHeight="1">
      <c r="A4523" s="168"/>
      <c r="B4523" s="207">
        <v>1243</v>
      </c>
      <c r="C4523" s="207" t="s">
        <v>11409</v>
      </c>
      <c r="D4523" s="301" t="s">
        <v>2418</v>
      </c>
      <c r="E4523" s="207" t="s">
        <v>266</v>
      </c>
      <c r="F4523" s="208" t="s">
        <v>11410</v>
      </c>
      <c r="G4523" s="160" t="s">
        <v>453</v>
      </c>
      <c r="H4523" s="300">
        <v>1000</v>
      </c>
      <c r="I4523" s="209">
        <v>45092</v>
      </c>
      <c r="J4523" s="322" t="s">
        <v>11402</v>
      </c>
      <c r="K4523" s="160" t="s">
        <v>10804</v>
      </c>
      <c r="L4523" s="99"/>
      <c r="M4523" s="379"/>
      <c r="N4523" s="76" t="s">
        <v>270</v>
      </c>
      <c r="O4523" s="160" t="s">
        <v>11411</v>
      </c>
      <c r="P4523" s="160" t="s">
        <v>67</v>
      </c>
      <c r="Q4523" s="160" t="s">
        <v>96</v>
      </c>
      <c r="R4523" s="160" t="s">
        <v>272</v>
      </c>
    </row>
    <row r="4524" spans="1:18" ht="69" customHeight="1">
      <c r="A4524" s="168"/>
      <c r="B4524" s="207">
        <v>1244</v>
      </c>
      <c r="C4524" s="207" t="s">
        <v>11412</v>
      </c>
      <c r="D4524" s="301" t="s">
        <v>1509</v>
      </c>
      <c r="E4524" s="207" t="s">
        <v>266</v>
      </c>
      <c r="F4524" s="208" t="s">
        <v>11413</v>
      </c>
      <c r="G4524" s="160" t="s">
        <v>453</v>
      </c>
      <c r="H4524" s="300">
        <v>1000</v>
      </c>
      <c r="I4524" s="209">
        <v>45092</v>
      </c>
      <c r="J4524" s="322" t="s">
        <v>11402</v>
      </c>
      <c r="K4524" s="160" t="s">
        <v>10804</v>
      </c>
      <c r="L4524" s="99"/>
      <c r="M4524" s="379"/>
      <c r="N4524" s="76" t="s">
        <v>270</v>
      </c>
      <c r="O4524" s="160" t="s">
        <v>11411</v>
      </c>
      <c r="P4524" s="160" t="s">
        <v>67</v>
      </c>
      <c r="Q4524" s="160" t="s">
        <v>96</v>
      </c>
      <c r="R4524" s="160" t="s">
        <v>272</v>
      </c>
    </row>
    <row r="4525" spans="1:18" ht="69" customHeight="1">
      <c r="A4525" s="168"/>
      <c r="B4525" s="207">
        <v>1245</v>
      </c>
      <c r="C4525" s="207" t="s">
        <v>11414</v>
      </c>
      <c r="D4525" s="301" t="s">
        <v>357</v>
      </c>
      <c r="E4525" s="207" t="s">
        <v>266</v>
      </c>
      <c r="F4525" s="208" t="s">
        <v>11415</v>
      </c>
      <c r="G4525" s="160" t="s">
        <v>453</v>
      </c>
      <c r="H4525" s="300">
        <v>1000</v>
      </c>
      <c r="I4525" s="209">
        <v>45092</v>
      </c>
      <c r="J4525" s="322" t="s">
        <v>11416</v>
      </c>
      <c r="K4525" s="160" t="s">
        <v>10804</v>
      </c>
      <c r="L4525" s="99"/>
      <c r="M4525" s="379"/>
      <c r="N4525" s="76" t="s">
        <v>270</v>
      </c>
      <c r="O4525" s="160" t="s">
        <v>11411</v>
      </c>
      <c r="P4525" s="160" t="s">
        <v>67</v>
      </c>
      <c r="Q4525" s="160" t="s">
        <v>96</v>
      </c>
      <c r="R4525" s="160" t="s">
        <v>272</v>
      </c>
    </row>
    <row r="4526" spans="1:18" ht="69" customHeight="1">
      <c r="A4526" s="168"/>
      <c r="B4526" s="178">
        <v>7136</v>
      </c>
      <c r="C4526" s="178" t="s">
        <v>458</v>
      </c>
      <c r="D4526" s="575" t="s">
        <v>4606</v>
      </c>
      <c r="E4526" s="178" t="s">
        <v>11417</v>
      </c>
      <c r="F4526" s="210" t="s">
        <v>11418</v>
      </c>
      <c r="G4526" s="58" t="s">
        <v>1048</v>
      </c>
      <c r="H4526" s="546">
        <v>50526</v>
      </c>
      <c r="I4526" s="66">
        <v>44860</v>
      </c>
      <c r="J4526" s="411" t="s">
        <v>11419</v>
      </c>
      <c r="K4526" s="58"/>
      <c r="L4526" s="99"/>
      <c r="M4526" s="70" t="s">
        <v>9784</v>
      </c>
      <c r="N4526" s="97" t="s">
        <v>414</v>
      </c>
      <c r="O4526" s="45" t="s">
        <v>147</v>
      </c>
      <c r="P4526" s="58" t="s">
        <v>22</v>
      </c>
      <c r="Q4526" s="58" t="s">
        <v>119</v>
      </c>
      <c r="R4526" s="58" t="s">
        <v>265</v>
      </c>
    </row>
    <row r="4527" spans="1:18" ht="69" customHeight="1">
      <c r="A4527" s="168"/>
      <c r="B4527" s="178">
        <v>1246</v>
      </c>
      <c r="C4527" s="178" t="s">
        <v>458</v>
      </c>
      <c r="D4527" s="575" t="s">
        <v>11420</v>
      </c>
      <c r="E4527" s="178" t="s">
        <v>6226</v>
      </c>
      <c r="F4527" s="210" t="s">
        <v>11421</v>
      </c>
      <c r="G4527" s="58" t="s">
        <v>11422</v>
      </c>
      <c r="H4527" s="546">
        <v>41046.379999999997</v>
      </c>
      <c r="I4527" s="66">
        <v>45085</v>
      </c>
      <c r="J4527" s="411" t="s">
        <v>11423</v>
      </c>
      <c r="K4527" s="58"/>
      <c r="L4527" s="99"/>
      <c r="M4527" s="70" t="s">
        <v>7687</v>
      </c>
      <c r="N4527" s="97" t="s">
        <v>741</v>
      </c>
      <c r="O4527" s="58"/>
      <c r="P4527" s="58" t="s">
        <v>44</v>
      </c>
      <c r="Q4527" s="58" t="s">
        <v>103</v>
      </c>
      <c r="R4527" s="58" t="s">
        <v>272</v>
      </c>
    </row>
    <row r="4528" spans="1:18" ht="69" customHeight="1">
      <c r="A4528" s="168"/>
      <c r="B4528" s="207">
        <v>1247</v>
      </c>
      <c r="C4528" s="207" t="s">
        <v>3647</v>
      </c>
      <c r="D4528" s="301" t="s">
        <v>11424</v>
      </c>
      <c r="E4528" s="207" t="s">
        <v>11026</v>
      </c>
      <c r="F4528" s="208" t="s">
        <v>11425</v>
      </c>
      <c r="G4528" s="160" t="s">
        <v>11014</v>
      </c>
      <c r="H4528" s="300">
        <v>11664</v>
      </c>
      <c r="I4528" s="209">
        <v>45097</v>
      </c>
      <c r="J4528" s="322" t="s">
        <v>11426</v>
      </c>
      <c r="K4528" s="160" t="s">
        <v>4128</v>
      </c>
      <c r="M4528" s="379"/>
      <c r="N4528" s="76" t="s">
        <v>356</v>
      </c>
      <c r="O4528" s="160"/>
      <c r="P4528" s="160" t="s">
        <v>67</v>
      </c>
      <c r="Q4528" s="160" t="s">
        <v>52</v>
      </c>
      <c r="R4528" s="160" t="s">
        <v>272</v>
      </c>
    </row>
    <row r="4529" spans="1:18" ht="69" customHeight="1">
      <c r="A4529" s="168"/>
      <c r="B4529" s="178">
        <v>1248</v>
      </c>
      <c r="C4529" s="178" t="s">
        <v>458</v>
      </c>
      <c r="D4529" s="575" t="s">
        <v>4659</v>
      </c>
      <c r="E4529" s="178" t="s">
        <v>6192</v>
      </c>
      <c r="F4529" s="210" t="s">
        <v>11427</v>
      </c>
      <c r="G4529" s="58" t="s">
        <v>11428</v>
      </c>
      <c r="H4529" s="546">
        <v>40170.78</v>
      </c>
      <c r="I4529" s="66" t="s">
        <v>96</v>
      </c>
      <c r="J4529" s="411" t="s">
        <v>11429</v>
      </c>
      <c r="K4529" s="58" t="s">
        <v>8388</v>
      </c>
      <c r="L4529" s="99"/>
      <c r="M4529" s="70" t="s">
        <v>8308</v>
      </c>
      <c r="N4529" s="97" t="s">
        <v>414</v>
      </c>
      <c r="O4529" s="58"/>
      <c r="P4529" s="58" t="s">
        <v>22</v>
      </c>
      <c r="Q4529" s="58" t="s">
        <v>107</v>
      </c>
      <c r="R4529" s="58" t="s">
        <v>272</v>
      </c>
    </row>
    <row r="4530" spans="1:18" ht="69" customHeight="1">
      <c r="A4530" s="168"/>
      <c r="B4530" s="178">
        <v>1249</v>
      </c>
      <c r="C4530" s="178" t="s">
        <v>458</v>
      </c>
      <c r="D4530" s="575" t="s">
        <v>6977</v>
      </c>
      <c r="E4530" s="178" t="s">
        <v>6192</v>
      </c>
      <c r="F4530" s="210" t="s">
        <v>11427</v>
      </c>
      <c r="G4530" s="58" t="s">
        <v>11430</v>
      </c>
      <c r="H4530" s="546">
        <v>21630.42</v>
      </c>
      <c r="I4530" s="66" t="s">
        <v>96</v>
      </c>
      <c r="J4530" s="411" t="s">
        <v>11429</v>
      </c>
      <c r="K4530" s="58" t="s">
        <v>8388</v>
      </c>
      <c r="L4530" s="99"/>
      <c r="M4530" s="70" t="s">
        <v>8308</v>
      </c>
      <c r="N4530" s="97" t="s">
        <v>414</v>
      </c>
      <c r="O4530" s="58"/>
      <c r="P4530" s="58" t="s">
        <v>22</v>
      </c>
      <c r="Q4530" s="58" t="s">
        <v>107</v>
      </c>
      <c r="R4530" s="58" t="s">
        <v>272</v>
      </c>
    </row>
    <row r="4531" spans="1:18" ht="69" customHeight="1">
      <c r="A4531" s="168"/>
      <c r="B4531" s="178">
        <v>1250</v>
      </c>
      <c r="C4531" s="178" t="s">
        <v>458</v>
      </c>
      <c r="D4531" s="575" t="s">
        <v>11079</v>
      </c>
      <c r="E4531" s="178" t="s">
        <v>6192</v>
      </c>
      <c r="F4531" s="210" t="s">
        <v>11431</v>
      </c>
      <c r="G4531" s="58" t="s">
        <v>11428</v>
      </c>
      <c r="H4531" s="546">
        <v>26601.119999999999</v>
      </c>
      <c r="I4531" s="66" t="s">
        <v>96</v>
      </c>
      <c r="J4531" s="411" t="s">
        <v>11429</v>
      </c>
      <c r="K4531" s="58"/>
      <c r="L4531" s="99"/>
      <c r="M4531" s="70" t="s">
        <v>7652</v>
      </c>
      <c r="N4531" s="97" t="s">
        <v>414</v>
      </c>
      <c r="O4531" s="45" t="s">
        <v>147</v>
      </c>
      <c r="P4531" s="58" t="s">
        <v>22</v>
      </c>
      <c r="Q4531" s="58" t="s">
        <v>103</v>
      </c>
      <c r="R4531" s="58" t="s">
        <v>272</v>
      </c>
    </row>
    <row r="4532" spans="1:18" ht="69" customHeight="1">
      <c r="A4532" s="168"/>
      <c r="B4532" s="178">
        <v>1251</v>
      </c>
      <c r="C4532" s="178" t="s">
        <v>458</v>
      </c>
      <c r="D4532" s="575" t="s">
        <v>11105</v>
      </c>
      <c r="E4532" s="178" t="s">
        <v>6192</v>
      </c>
      <c r="F4532" s="210" t="s">
        <v>11431</v>
      </c>
      <c r="G4532" s="58" t="s">
        <v>11430</v>
      </c>
      <c r="H4532" s="546">
        <v>14323.68</v>
      </c>
      <c r="I4532" s="66" t="s">
        <v>96</v>
      </c>
      <c r="J4532" s="411" t="s">
        <v>11429</v>
      </c>
      <c r="K4532" s="58"/>
      <c r="L4532" s="99"/>
      <c r="M4532" s="70" t="s">
        <v>7652</v>
      </c>
      <c r="N4532" s="97" t="s">
        <v>414</v>
      </c>
      <c r="O4532" s="45" t="s">
        <v>147</v>
      </c>
      <c r="P4532" s="58" t="s">
        <v>22</v>
      </c>
      <c r="Q4532" s="58" t="s">
        <v>103</v>
      </c>
      <c r="R4532" s="58" t="s">
        <v>272</v>
      </c>
    </row>
    <row r="4533" spans="1:18" ht="69" customHeight="1">
      <c r="A4533" s="168"/>
      <c r="B4533" s="178">
        <v>1252</v>
      </c>
      <c r="C4533" s="178" t="s">
        <v>458</v>
      </c>
      <c r="D4533" s="575" t="s">
        <v>11432</v>
      </c>
      <c r="E4533" s="178" t="s">
        <v>6192</v>
      </c>
      <c r="F4533" s="210" t="s">
        <v>11433</v>
      </c>
      <c r="G4533" s="58" t="s">
        <v>11428</v>
      </c>
      <c r="H4533" s="546">
        <v>66502.8</v>
      </c>
      <c r="I4533" s="66" t="s">
        <v>96</v>
      </c>
      <c r="J4533" s="411" t="s">
        <v>11429</v>
      </c>
      <c r="K4533" s="58"/>
      <c r="L4533" s="99"/>
      <c r="M4533" s="70" t="s">
        <v>9193</v>
      </c>
      <c r="N4533" s="97" t="s">
        <v>414</v>
      </c>
      <c r="O4533" s="58"/>
      <c r="P4533" s="58" t="s">
        <v>22</v>
      </c>
      <c r="Q4533" s="58" t="s">
        <v>113</v>
      </c>
      <c r="R4533" s="58" t="s">
        <v>272</v>
      </c>
    </row>
    <row r="4534" spans="1:18" ht="69" customHeight="1">
      <c r="A4534" s="168"/>
      <c r="B4534" s="178">
        <v>1253</v>
      </c>
      <c r="C4534" s="178" t="s">
        <v>458</v>
      </c>
      <c r="D4534" s="575" t="s">
        <v>11434</v>
      </c>
      <c r="E4534" s="178" t="s">
        <v>6192</v>
      </c>
      <c r="F4534" s="210" t="s">
        <v>11433</v>
      </c>
      <c r="G4534" s="58" t="s">
        <v>11430</v>
      </c>
      <c r="H4534" s="546">
        <v>35809.199999999997</v>
      </c>
      <c r="I4534" s="66" t="s">
        <v>96</v>
      </c>
      <c r="J4534" s="411" t="s">
        <v>11429</v>
      </c>
      <c r="K4534" s="58"/>
      <c r="L4534" s="99"/>
      <c r="M4534" s="70" t="s">
        <v>9193</v>
      </c>
      <c r="N4534" s="97" t="s">
        <v>414</v>
      </c>
      <c r="O4534" s="58"/>
      <c r="P4534" s="58" t="s">
        <v>22</v>
      </c>
      <c r="Q4534" s="58" t="s">
        <v>113</v>
      </c>
      <c r="R4534" s="58" t="s">
        <v>272</v>
      </c>
    </row>
    <row r="4535" spans="1:18" ht="69" customHeight="1">
      <c r="A4535" s="168"/>
      <c r="B4535" s="178">
        <v>1254</v>
      </c>
      <c r="C4535" s="178" t="s">
        <v>657</v>
      </c>
      <c r="D4535" s="575" t="s">
        <v>2340</v>
      </c>
      <c r="E4535" s="178" t="s">
        <v>6192</v>
      </c>
      <c r="F4535" s="210" t="s">
        <v>11435</v>
      </c>
      <c r="G4535" s="58" t="s">
        <v>11428</v>
      </c>
      <c r="H4535" s="546">
        <v>39901.68</v>
      </c>
      <c r="I4535" s="66" t="s">
        <v>96</v>
      </c>
      <c r="J4535" s="411" t="s">
        <v>11436</v>
      </c>
      <c r="K4535" s="58"/>
      <c r="L4535" s="99"/>
      <c r="M4535" s="70" t="s">
        <v>7851</v>
      </c>
      <c r="N4535" s="97" t="s">
        <v>414</v>
      </c>
      <c r="O4535" s="58"/>
      <c r="P4535" s="58" t="s">
        <v>22</v>
      </c>
      <c r="Q4535" s="58" t="s">
        <v>104</v>
      </c>
      <c r="R4535" s="58" t="s">
        <v>272</v>
      </c>
    </row>
    <row r="4536" spans="1:18" ht="69" customHeight="1">
      <c r="A4536" s="168"/>
      <c r="B4536" s="178">
        <v>1255</v>
      </c>
      <c r="C4536" s="178" t="s">
        <v>657</v>
      </c>
      <c r="D4536" s="575" t="s">
        <v>2342</v>
      </c>
      <c r="E4536" s="178" t="s">
        <v>6192</v>
      </c>
      <c r="F4536" s="210" t="s">
        <v>11435</v>
      </c>
      <c r="G4536" s="58" t="s">
        <v>11430</v>
      </c>
      <c r="H4536" s="546">
        <v>21485.52</v>
      </c>
      <c r="I4536" s="66" t="s">
        <v>96</v>
      </c>
      <c r="J4536" s="411" t="s">
        <v>11436</v>
      </c>
      <c r="K4536" s="58"/>
      <c r="L4536" s="99"/>
      <c r="M4536" s="70" t="s">
        <v>7851</v>
      </c>
      <c r="N4536" s="97" t="s">
        <v>414</v>
      </c>
      <c r="O4536" s="58"/>
      <c r="P4536" s="58" t="s">
        <v>22</v>
      </c>
      <c r="Q4536" s="58" t="s">
        <v>104</v>
      </c>
      <c r="R4536" s="58" t="s">
        <v>272</v>
      </c>
    </row>
    <row r="4537" spans="1:18" ht="69" customHeight="1">
      <c r="A4537" s="168"/>
      <c r="B4537" s="178">
        <v>1256</v>
      </c>
      <c r="C4537" s="178" t="s">
        <v>657</v>
      </c>
      <c r="D4537" s="575" t="s">
        <v>2570</v>
      </c>
      <c r="E4537" s="178" t="s">
        <v>6192</v>
      </c>
      <c r="F4537" s="210" t="s">
        <v>11437</v>
      </c>
      <c r="G4537" s="58" t="s">
        <v>11428</v>
      </c>
      <c r="H4537" s="546">
        <v>66502.8</v>
      </c>
      <c r="I4537" s="66" t="s">
        <v>96</v>
      </c>
      <c r="J4537" s="411" t="s">
        <v>11436</v>
      </c>
      <c r="K4537" s="58"/>
      <c r="L4537" s="99"/>
      <c r="M4537" s="70" t="s">
        <v>7223</v>
      </c>
      <c r="N4537" s="97" t="s">
        <v>414</v>
      </c>
      <c r="O4537" s="58"/>
      <c r="P4537" s="58" t="s">
        <v>22</v>
      </c>
      <c r="Q4537" s="58" t="s">
        <v>97</v>
      </c>
      <c r="R4537" s="58" t="s">
        <v>272</v>
      </c>
    </row>
    <row r="4538" spans="1:18" ht="69" customHeight="1">
      <c r="A4538" s="168"/>
      <c r="B4538" s="178">
        <v>1257</v>
      </c>
      <c r="C4538" s="178" t="s">
        <v>657</v>
      </c>
      <c r="D4538" s="575" t="s">
        <v>2572</v>
      </c>
      <c r="E4538" s="178" t="s">
        <v>6192</v>
      </c>
      <c r="F4538" s="210" t="s">
        <v>11437</v>
      </c>
      <c r="G4538" s="58" t="s">
        <v>11430</v>
      </c>
      <c r="H4538" s="546">
        <v>35809.199999999997</v>
      </c>
      <c r="I4538" s="66" t="s">
        <v>96</v>
      </c>
      <c r="J4538" s="411" t="s">
        <v>11436</v>
      </c>
      <c r="K4538" s="58"/>
      <c r="L4538" s="99"/>
      <c r="M4538" s="70" t="s">
        <v>7223</v>
      </c>
      <c r="N4538" s="97" t="s">
        <v>414</v>
      </c>
      <c r="O4538" s="58"/>
      <c r="P4538" s="58" t="s">
        <v>22</v>
      </c>
      <c r="Q4538" s="58" t="s">
        <v>97</v>
      </c>
      <c r="R4538" s="58" t="s">
        <v>272</v>
      </c>
    </row>
    <row r="4539" spans="1:18" ht="69" customHeight="1">
      <c r="A4539" s="168"/>
      <c r="B4539" s="191">
        <v>1258</v>
      </c>
      <c r="C4539" s="191" t="s">
        <v>309</v>
      </c>
      <c r="D4539" s="533" t="s">
        <v>4331</v>
      </c>
      <c r="E4539" s="191" t="s">
        <v>1056</v>
      </c>
      <c r="F4539" s="211" t="s">
        <v>11438</v>
      </c>
      <c r="G4539" s="46" t="s">
        <v>11439</v>
      </c>
      <c r="H4539" s="546">
        <v>27000</v>
      </c>
      <c r="I4539" s="66" t="s">
        <v>96</v>
      </c>
      <c r="J4539" s="412" t="s">
        <v>11440</v>
      </c>
      <c r="K4539" s="46" t="s">
        <v>11441</v>
      </c>
      <c r="L4539" s="99"/>
      <c r="M4539" s="379"/>
      <c r="N4539" s="76"/>
      <c r="O4539" s="46" t="s">
        <v>1061</v>
      </c>
      <c r="P4539" s="46" t="s">
        <v>36</v>
      </c>
      <c r="Q4539" s="46" t="s">
        <v>15</v>
      </c>
      <c r="R4539" s="46" t="s">
        <v>272</v>
      </c>
    </row>
    <row r="4540" spans="1:18" ht="69" customHeight="1">
      <c r="A4540" s="168"/>
      <c r="B4540" s="191">
        <v>1259</v>
      </c>
      <c r="C4540" s="59" t="s">
        <v>3667</v>
      </c>
      <c r="D4540" s="533" t="s">
        <v>11442</v>
      </c>
      <c r="E4540" s="191" t="s">
        <v>1056</v>
      </c>
      <c r="F4540" s="211" t="s">
        <v>11438</v>
      </c>
      <c r="G4540" s="46" t="s">
        <v>11443</v>
      </c>
      <c r="H4540" s="546">
        <v>34560</v>
      </c>
      <c r="I4540" s="66" t="s">
        <v>96</v>
      </c>
      <c r="J4540" s="412" t="s">
        <v>11440</v>
      </c>
      <c r="K4540" s="46" t="s">
        <v>11441</v>
      </c>
      <c r="L4540" s="99"/>
      <c r="M4540" s="379"/>
      <c r="N4540" s="76"/>
      <c r="O4540" s="46" t="s">
        <v>1061</v>
      </c>
      <c r="P4540" s="46" t="s">
        <v>36</v>
      </c>
      <c r="Q4540" s="46" t="s">
        <v>49</v>
      </c>
      <c r="R4540" s="46" t="s">
        <v>272</v>
      </c>
    </row>
    <row r="4541" spans="1:18" ht="69" customHeight="1">
      <c r="A4541" s="168"/>
      <c r="B4541" s="191">
        <v>1260</v>
      </c>
      <c r="C4541" s="191" t="s">
        <v>458</v>
      </c>
      <c r="D4541" s="533" t="s">
        <v>11124</v>
      </c>
      <c r="E4541" s="191" t="s">
        <v>1056</v>
      </c>
      <c r="F4541" s="211" t="s">
        <v>11438</v>
      </c>
      <c r="G4541" s="46" t="s">
        <v>11439</v>
      </c>
      <c r="H4541" s="546">
        <v>27000</v>
      </c>
      <c r="I4541" s="66" t="s">
        <v>96</v>
      </c>
      <c r="J4541" s="412" t="s">
        <v>11440</v>
      </c>
      <c r="K4541" s="46" t="s">
        <v>11441</v>
      </c>
      <c r="L4541" s="99"/>
      <c r="M4541" s="379"/>
      <c r="N4541" s="76"/>
      <c r="O4541" s="46" t="s">
        <v>1061</v>
      </c>
      <c r="P4541" s="46" t="s">
        <v>36</v>
      </c>
      <c r="Q4541" s="46" t="s">
        <v>90</v>
      </c>
      <c r="R4541" s="46" t="s">
        <v>272</v>
      </c>
    </row>
    <row r="4542" spans="1:18" ht="69" customHeight="1">
      <c r="A4542" s="168"/>
      <c r="B4542" s="191">
        <v>1261</v>
      </c>
      <c r="C4542" s="191" t="s">
        <v>657</v>
      </c>
      <c r="D4542" s="533" t="s">
        <v>3048</v>
      </c>
      <c r="E4542" s="191" t="s">
        <v>1056</v>
      </c>
      <c r="F4542" s="211" t="s">
        <v>11438</v>
      </c>
      <c r="G4542" s="46" t="s">
        <v>11444</v>
      </c>
      <c r="H4542" s="546">
        <v>19440</v>
      </c>
      <c r="I4542" s="66" t="s">
        <v>96</v>
      </c>
      <c r="J4542" s="412" t="s">
        <v>11440</v>
      </c>
      <c r="K4542" s="46" t="s">
        <v>11441</v>
      </c>
      <c r="L4542" s="99"/>
      <c r="M4542" s="379"/>
      <c r="N4542" s="76"/>
      <c r="O4542" s="46" t="s">
        <v>1061</v>
      </c>
      <c r="P4542" s="46" t="s">
        <v>36</v>
      </c>
      <c r="Q4542" s="46" t="s">
        <v>99</v>
      </c>
      <c r="R4542" s="46" t="s">
        <v>272</v>
      </c>
    </row>
    <row r="4543" spans="1:18" ht="69" customHeight="1">
      <c r="A4543" s="168"/>
      <c r="B4543" s="191">
        <v>1262</v>
      </c>
      <c r="C4543" s="191" t="s">
        <v>309</v>
      </c>
      <c r="D4543" s="533" t="s">
        <v>3953</v>
      </c>
      <c r="E4543" s="191" t="s">
        <v>1056</v>
      </c>
      <c r="F4543" s="211" t="s">
        <v>11438</v>
      </c>
      <c r="G4543" s="46" t="s">
        <v>11445</v>
      </c>
      <c r="H4543" s="546">
        <v>110310</v>
      </c>
      <c r="I4543" s="66" t="s">
        <v>96</v>
      </c>
      <c r="J4543" s="412" t="s">
        <v>11440</v>
      </c>
      <c r="K4543" s="46" t="s">
        <v>11441</v>
      </c>
      <c r="L4543" s="99"/>
      <c r="M4543" s="379"/>
      <c r="N4543" s="76"/>
      <c r="O4543" s="46" t="s">
        <v>1061</v>
      </c>
      <c r="P4543" s="46" t="s">
        <v>36</v>
      </c>
      <c r="Q4543" s="46" t="s">
        <v>15</v>
      </c>
      <c r="R4543" s="46" t="s">
        <v>272</v>
      </c>
    </row>
    <row r="4544" spans="1:18" ht="69" customHeight="1">
      <c r="A4544" s="168"/>
      <c r="B4544" s="191">
        <v>1263</v>
      </c>
      <c r="C4544" s="59" t="s">
        <v>3667</v>
      </c>
      <c r="D4544" s="533" t="s">
        <v>11446</v>
      </c>
      <c r="E4544" s="191" t="s">
        <v>1056</v>
      </c>
      <c r="F4544" s="211" t="s">
        <v>11438</v>
      </c>
      <c r="G4544" s="46" t="s">
        <v>11447</v>
      </c>
      <c r="H4544" s="546">
        <v>141196.79999999999</v>
      </c>
      <c r="I4544" s="66" t="s">
        <v>96</v>
      </c>
      <c r="J4544" s="412" t="s">
        <v>11440</v>
      </c>
      <c r="K4544" s="46" t="s">
        <v>11441</v>
      </c>
      <c r="L4544" s="99"/>
      <c r="M4544" s="379"/>
      <c r="N4544" s="76"/>
      <c r="O4544" s="46" t="s">
        <v>1061</v>
      </c>
      <c r="P4544" s="46" t="s">
        <v>36</v>
      </c>
      <c r="Q4544" s="46" t="s">
        <v>49</v>
      </c>
      <c r="R4544" s="46" t="s">
        <v>272</v>
      </c>
    </row>
    <row r="4545" spans="1:18" ht="69" customHeight="1">
      <c r="A4545" s="168"/>
      <c r="B4545" s="191">
        <v>1264</v>
      </c>
      <c r="C4545" s="191" t="s">
        <v>458</v>
      </c>
      <c r="D4545" s="533" t="s">
        <v>11448</v>
      </c>
      <c r="E4545" s="191" t="s">
        <v>1056</v>
      </c>
      <c r="F4545" s="211" t="s">
        <v>11438</v>
      </c>
      <c r="G4545" s="46" t="s">
        <v>11445</v>
      </c>
      <c r="H4545" s="546">
        <v>110310</v>
      </c>
      <c r="I4545" s="66" t="s">
        <v>96</v>
      </c>
      <c r="J4545" s="412" t="s">
        <v>11440</v>
      </c>
      <c r="K4545" s="46" t="s">
        <v>11441</v>
      </c>
      <c r="L4545" s="99"/>
      <c r="M4545" s="379"/>
      <c r="N4545" s="76"/>
      <c r="O4545" s="46" t="s">
        <v>1061</v>
      </c>
      <c r="P4545" s="46" t="s">
        <v>36</v>
      </c>
      <c r="Q4545" s="46" t="s">
        <v>90</v>
      </c>
      <c r="R4545" s="46" t="s">
        <v>272</v>
      </c>
    </row>
    <row r="4546" spans="1:18" ht="69" customHeight="1">
      <c r="A4546" s="168"/>
      <c r="B4546" s="191">
        <v>1265</v>
      </c>
      <c r="C4546" s="191" t="s">
        <v>657</v>
      </c>
      <c r="D4546" s="533" t="s">
        <v>5195</v>
      </c>
      <c r="E4546" s="191" t="s">
        <v>1056</v>
      </c>
      <c r="F4546" s="211" t="s">
        <v>11438</v>
      </c>
      <c r="G4546" s="46" t="s">
        <v>11449</v>
      </c>
      <c r="H4546" s="546">
        <v>79423.199999999997</v>
      </c>
      <c r="I4546" s="66" t="s">
        <v>96</v>
      </c>
      <c r="J4546" s="412" t="s">
        <v>11440</v>
      </c>
      <c r="K4546" s="46" t="s">
        <v>11441</v>
      </c>
      <c r="L4546" s="99"/>
      <c r="M4546" s="379"/>
      <c r="N4546" s="76"/>
      <c r="O4546" s="46" t="s">
        <v>1061</v>
      </c>
      <c r="P4546" s="46" t="s">
        <v>36</v>
      </c>
      <c r="Q4546" s="46" t="s">
        <v>99</v>
      </c>
      <c r="R4546" s="46" t="s">
        <v>272</v>
      </c>
    </row>
    <row r="4547" spans="1:18" ht="69" customHeight="1">
      <c r="A4547" s="168"/>
      <c r="B4547" s="191">
        <v>1266</v>
      </c>
      <c r="C4547" s="191" t="s">
        <v>309</v>
      </c>
      <c r="D4547" s="533" t="s">
        <v>11450</v>
      </c>
      <c r="E4547" s="191" t="s">
        <v>1056</v>
      </c>
      <c r="F4547" s="211" t="s">
        <v>11438</v>
      </c>
      <c r="G4547" s="46" t="s">
        <v>11451</v>
      </c>
      <c r="H4547" s="546">
        <v>8268.75</v>
      </c>
      <c r="I4547" s="66" t="s">
        <v>96</v>
      </c>
      <c r="J4547" s="412" t="s">
        <v>11452</v>
      </c>
      <c r="K4547" s="46" t="s">
        <v>11441</v>
      </c>
      <c r="L4547" s="99"/>
      <c r="M4547" s="379"/>
      <c r="N4547" s="76"/>
      <c r="O4547" s="46" t="s">
        <v>1061</v>
      </c>
      <c r="P4547" s="46" t="s">
        <v>36</v>
      </c>
      <c r="Q4547" s="46" t="s">
        <v>15</v>
      </c>
      <c r="R4547" s="46" t="s">
        <v>272</v>
      </c>
    </row>
    <row r="4548" spans="1:18" ht="69" customHeight="1">
      <c r="A4548" s="168"/>
      <c r="B4548" s="191">
        <v>1267</v>
      </c>
      <c r="C4548" s="59" t="s">
        <v>3667</v>
      </c>
      <c r="D4548" s="533" t="s">
        <v>11453</v>
      </c>
      <c r="E4548" s="191" t="s">
        <v>1056</v>
      </c>
      <c r="F4548" s="211" t="s">
        <v>11438</v>
      </c>
      <c r="G4548" s="46" t="s">
        <v>11454</v>
      </c>
      <c r="H4548" s="546">
        <v>10584</v>
      </c>
      <c r="I4548" s="66" t="s">
        <v>96</v>
      </c>
      <c r="J4548" s="412" t="s">
        <v>11452</v>
      </c>
      <c r="K4548" s="46" t="s">
        <v>11441</v>
      </c>
      <c r="L4548" s="99"/>
      <c r="M4548" s="379"/>
      <c r="N4548" s="76"/>
      <c r="O4548" s="46" t="s">
        <v>1061</v>
      </c>
      <c r="P4548" s="46" t="s">
        <v>36</v>
      </c>
      <c r="Q4548" s="46" t="s">
        <v>49</v>
      </c>
      <c r="R4548" s="46" t="s">
        <v>272</v>
      </c>
    </row>
    <row r="4549" spans="1:18" ht="69" customHeight="1">
      <c r="A4549" s="168"/>
      <c r="B4549" s="191">
        <v>1268</v>
      </c>
      <c r="C4549" s="191" t="s">
        <v>458</v>
      </c>
      <c r="D4549" s="533" t="s">
        <v>11131</v>
      </c>
      <c r="E4549" s="191" t="s">
        <v>1056</v>
      </c>
      <c r="F4549" s="211" t="s">
        <v>11438</v>
      </c>
      <c r="G4549" s="46" t="s">
        <v>11455</v>
      </c>
      <c r="H4549" s="546">
        <v>8268.75</v>
      </c>
      <c r="I4549" s="66" t="s">
        <v>96</v>
      </c>
      <c r="J4549" s="412" t="s">
        <v>11452</v>
      </c>
      <c r="K4549" s="46" t="s">
        <v>11441</v>
      </c>
      <c r="L4549" s="99"/>
      <c r="M4549" s="379"/>
      <c r="N4549" s="76"/>
      <c r="O4549" s="46" t="s">
        <v>1061</v>
      </c>
      <c r="P4549" s="46" t="s">
        <v>36</v>
      </c>
      <c r="Q4549" s="46" t="s">
        <v>90</v>
      </c>
      <c r="R4549" s="46" t="s">
        <v>272</v>
      </c>
    </row>
    <row r="4550" spans="1:18" ht="69" customHeight="1">
      <c r="A4550" s="168"/>
      <c r="B4550" s="191">
        <v>1269</v>
      </c>
      <c r="C4550" s="191" t="s">
        <v>657</v>
      </c>
      <c r="D4550" s="533" t="s">
        <v>3050</v>
      </c>
      <c r="E4550" s="191" t="s">
        <v>1056</v>
      </c>
      <c r="F4550" s="211" t="s">
        <v>11438</v>
      </c>
      <c r="G4550" s="46" t="s">
        <v>11456</v>
      </c>
      <c r="H4550" s="546">
        <v>5953.5</v>
      </c>
      <c r="I4550" s="66" t="s">
        <v>96</v>
      </c>
      <c r="J4550" s="412" t="s">
        <v>11452</v>
      </c>
      <c r="K4550" s="46" t="s">
        <v>11441</v>
      </c>
      <c r="L4550" s="99"/>
      <c r="M4550" s="379"/>
      <c r="N4550" s="76"/>
      <c r="O4550" s="46" t="s">
        <v>1061</v>
      </c>
      <c r="P4550" s="46" t="s">
        <v>36</v>
      </c>
      <c r="Q4550" s="46" t="s">
        <v>99</v>
      </c>
      <c r="R4550" s="46" t="s">
        <v>272</v>
      </c>
    </row>
    <row r="4551" spans="1:18" ht="69" customHeight="1">
      <c r="A4551" s="168"/>
      <c r="B4551" s="191">
        <v>1270</v>
      </c>
      <c r="C4551" s="191" t="s">
        <v>8529</v>
      </c>
      <c r="D4551" s="533" t="s">
        <v>11133</v>
      </c>
      <c r="E4551" s="191" t="s">
        <v>266</v>
      </c>
      <c r="F4551" s="211" t="s">
        <v>11457</v>
      </c>
      <c r="G4551" s="46" t="s">
        <v>11458</v>
      </c>
      <c r="H4551" s="534">
        <v>3562.5</v>
      </c>
      <c r="I4551" s="56">
        <v>45086</v>
      </c>
      <c r="J4551" s="412" t="s">
        <v>11459</v>
      </c>
      <c r="K4551" s="46" t="s">
        <v>167</v>
      </c>
      <c r="L4551" s="99"/>
      <c r="M4551" s="379"/>
      <c r="N4551" s="76" t="s">
        <v>716</v>
      </c>
      <c r="O4551" s="46"/>
      <c r="P4551" s="46" t="s">
        <v>65</v>
      </c>
      <c r="Q4551" s="46" t="s">
        <v>108</v>
      </c>
      <c r="R4551" s="46" t="s">
        <v>272</v>
      </c>
    </row>
    <row r="4552" spans="1:18" ht="69" customHeight="1">
      <c r="A4552" s="168"/>
      <c r="B4552" s="178">
        <v>1271</v>
      </c>
      <c r="C4552" s="178" t="s">
        <v>4277</v>
      </c>
      <c r="D4552" s="575"/>
      <c r="E4552" s="178" t="s">
        <v>350</v>
      </c>
      <c r="F4552" s="210" t="s">
        <v>11460</v>
      </c>
      <c r="G4552" s="58" t="s">
        <v>11461</v>
      </c>
      <c r="H4552" s="546">
        <v>90390</v>
      </c>
      <c r="I4552" s="66">
        <v>45084</v>
      </c>
      <c r="J4552" s="411" t="s">
        <v>11462</v>
      </c>
      <c r="K4552" s="58"/>
      <c r="L4552" s="99"/>
      <c r="M4552" s="70" t="s">
        <v>4655</v>
      </c>
      <c r="N4552" s="97" t="s">
        <v>356</v>
      </c>
      <c r="O4552" s="58" t="s">
        <v>141</v>
      </c>
      <c r="P4552" s="58" t="s">
        <v>19</v>
      </c>
      <c r="Q4552" s="58" t="s">
        <v>56</v>
      </c>
      <c r="R4552" s="58" t="s">
        <v>265</v>
      </c>
    </row>
    <row r="4553" spans="1:18" ht="69" customHeight="1">
      <c r="A4553" s="168"/>
      <c r="B4553" s="178">
        <v>1272</v>
      </c>
      <c r="C4553" s="178" t="s">
        <v>4728</v>
      </c>
      <c r="D4553" s="575"/>
      <c r="E4553" s="178" t="s">
        <v>350</v>
      </c>
      <c r="F4553" s="210" t="s">
        <v>11463</v>
      </c>
      <c r="G4553" s="58" t="s">
        <v>11461</v>
      </c>
      <c r="H4553" s="546">
        <v>90390</v>
      </c>
      <c r="I4553" s="66">
        <v>45084</v>
      </c>
      <c r="J4553" s="411" t="s">
        <v>11462</v>
      </c>
      <c r="K4553" s="58"/>
      <c r="L4553" s="99"/>
      <c r="M4553" s="70" t="s">
        <v>4788</v>
      </c>
      <c r="N4553" s="97" t="s">
        <v>356</v>
      </c>
      <c r="O4553" s="58" t="s">
        <v>141</v>
      </c>
      <c r="P4553" s="58" t="s">
        <v>19</v>
      </c>
      <c r="Q4553" s="58" t="s">
        <v>58</v>
      </c>
      <c r="R4553" s="58" t="s">
        <v>265</v>
      </c>
    </row>
    <row r="4554" spans="1:18" ht="69" customHeight="1">
      <c r="A4554" s="168"/>
      <c r="B4554" s="207">
        <v>1273</v>
      </c>
      <c r="C4554" s="302" t="s">
        <v>11464</v>
      </c>
      <c r="D4554" s="301" t="s">
        <v>8677</v>
      </c>
      <c r="E4554" s="207" t="s">
        <v>266</v>
      </c>
      <c r="F4554" s="208" t="s">
        <v>11465</v>
      </c>
      <c r="G4554" s="160" t="s">
        <v>11466</v>
      </c>
      <c r="H4554" s="300">
        <v>52500</v>
      </c>
      <c r="I4554" s="209" t="s">
        <v>96</v>
      </c>
      <c r="J4554" s="322" t="s">
        <v>11467</v>
      </c>
      <c r="K4554" s="160" t="s">
        <v>10804</v>
      </c>
      <c r="M4554" s="379"/>
      <c r="N4554" s="76"/>
      <c r="O4554" s="160"/>
      <c r="P4554" s="160" t="s">
        <v>67</v>
      </c>
      <c r="Q4554" s="160" t="s">
        <v>96</v>
      </c>
      <c r="R4554" s="160" t="s">
        <v>272</v>
      </c>
    </row>
    <row r="4555" spans="1:18" ht="69" customHeight="1">
      <c r="A4555" s="168"/>
      <c r="B4555" s="178">
        <v>1274</v>
      </c>
      <c r="C4555" s="178" t="s">
        <v>4277</v>
      </c>
      <c r="D4555" s="575"/>
      <c r="E4555" s="178" t="s">
        <v>755</v>
      </c>
      <c r="F4555" s="210" t="s">
        <v>11468</v>
      </c>
      <c r="G4555" s="58" t="s">
        <v>11469</v>
      </c>
      <c r="H4555" s="546">
        <v>15000</v>
      </c>
      <c r="I4555" s="66" t="s">
        <v>96</v>
      </c>
      <c r="J4555" s="411" t="s">
        <v>11470</v>
      </c>
      <c r="K4555" s="58"/>
      <c r="L4555" s="99"/>
      <c r="M4555" s="70" t="s">
        <v>4708</v>
      </c>
      <c r="N4555" s="97" t="s">
        <v>1372</v>
      </c>
      <c r="O4555" s="58" t="s">
        <v>11471</v>
      </c>
      <c r="P4555" s="58" t="s">
        <v>44</v>
      </c>
      <c r="Q4555" s="58" t="s">
        <v>56</v>
      </c>
      <c r="R4555" s="58" t="s">
        <v>272</v>
      </c>
    </row>
    <row r="4556" spans="1:18" ht="69" customHeight="1">
      <c r="A4556" s="168"/>
      <c r="B4556" s="178">
        <v>6992</v>
      </c>
      <c r="C4556" s="178" t="s">
        <v>458</v>
      </c>
      <c r="D4556" s="575" t="s">
        <v>1363</v>
      </c>
      <c r="E4556" s="178" t="s">
        <v>350</v>
      </c>
      <c r="F4556" s="210" t="s">
        <v>11472</v>
      </c>
      <c r="G4556" s="58" t="s">
        <v>3787</v>
      </c>
      <c r="H4556" s="546">
        <v>18700</v>
      </c>
      <c r="I4556" s="66">
        <v>44846</v>
      </c>
      <c r="J4556" s="411" t="s">
        <v>3788</v>
      </c>
      <c r="K4556" s="58"/>
      <c r="L4556" s="99"/>
      <c r="M4556" s="70" t="s">
        <v>9681</v>
      </c>
      <c r="N4556" s="97" t="s">
        <v>356</v>
      </c>
      <c r="O4556" s="58" t="s">
        <v>141</v>
      </c>
      <c r="P4556" s="58" t="s">
        <v>19</v>
      </c>
      <c r="Q4556" s="58" t="s">
        <v>119</v>
      </c>
      <c r="R4556" s="58" t="s">
        <v>265</v>
      </c>
    </row>
    <row r="4557" spans="1:18" ht="69" customHeight="1">
      <c r="A4557" s="168"/>
      <c r="B4557" s="178">
        <v>1275</v>
      </c>
      <c r="C4557" s="178" t="s">
        <v>8529</v>
      </c>
      <c r="D4557" s="575" t="s">
        <v>11135</v>
      </c>
      <c r="E4557" s="178" t="s">
        <v>358</v>
      </c>
      <c r="F4557" s="210" t="s">
        <v>11473</v>
      </c>
      <c r="G4557" s="58" t="s">
        <v>11474</v>
      </c>
      <c r="H4557" s="546">
        <v>203045.93</v>
      </c>
      <c r="I4557" s="66">
        <v>45103</v>
      </c>
      <c r="J4557" s="411" t="s">
        <v>11475</v>
      </c>
      <c r="K4557" s="58"/>
      <c r="L4557" s="99"/>
      <c r="M4557" s="70" t="s">
        <v>8486</v>
      </c>
      <c r="N4557" s="97" t="s">
        <v>356</v>
      </c>
      <c r="O4557" s="58" t="s">
        <v>141</v>
      </c>
      <c r="P4557" s="58" t="s">
        <v>19</v>
      </c>
      <c r="Q4557" s="58" t="s">
        <v>108</v>
      </c>
      <c r="R4557" s="58" t="s">
        <v>272</v>
      </c>
    </row>
    <row r="4558" spans="1:18" ht="69" customHeight="1">
      <c r="A4558" s="168"/>
      <c r="B4558" s="178">
        <v>1276</v>
      </c>
      <c r="C4558" s="178" t="s">
        <v>309</v>
      </c>
      <c r="D4558" s="575" t="s">
        <v>6982</v>
      </c>
      <c r="E4558" s="178" t="s">
        <v>350</v>
      </c>
      <c r="F4558" s="210" t="s">
        <v>11476</v>
      </c>
      <c r="G4558" s="58" t="s">
        <v>11477</v>
      </c>
      <c r="H4558" s="546">
        <v>76370</v>
      </c>
      <c r="I4558" s="66">
        <v>45103</v>
      </c>
      <c r="J4558" s="411" t="s">
        <v>11478</v>
      </c>
      <c r="K4558" s="58"/>
      <c r="L4558" s="99"/>
      <c r="M4558" s="70" t="s">
        <v>3018</v>
      </c>
      <c r="N4558" s="97" t="s">
        <v>356</v>
      </c>
      <c r="O4558" s="58" t="s">
        <v>141</v>
      </c>
      <c r="P4558" s="58" t="s">
        <v>19</v>
      </c>
      <c r="Q4558" s="58" t="s">
        <v>39</v>
      </c>
      <c r="R4558" s="58" t="s">
        <v>265</v>
      </c>
    </row>
    <row r="4559" spans="1:18" ht="69" customHeight="1">
      <c r="A4559" s="168"/>
      <c r="B4559" s="178">
        <v>1277</v>
      </c>
      <c r="C4559" s="178" t="s">
        <v>8721</v>
      </c>
      <c r="D4559" s="575" t="s">
        <v>11479</v>
      </c>
      <c r="E4559" s="178" t="s">
        <v>11480</v>
      </c>
      <c r="F4559" s="210" t="s">
        <v>11481</v>
      </c>
      <c r="G4559" s="58" t="s">
        <v>11482</v>
      </c>
      <c r="H4559" s="546">
        <v>134495.19</v>
      </c>
      <c r="I4559" s="66">
        <v>45103</v>
      </c>
      <c r="J4559" s="411" t="s">
        <v>11483</v>
      </c>
      <c r="K4559" s="58"/>
      <c r="L4559" s="99"/>
      <c r="M4559" s="70" t="s">
        <v>8634</v>
      </c>
      <c r="N4559" s="97" t="s">
        <v>356</v>
      </c>
      <c r="O4559" s="58" t="s">
        <v>141</v>
      </c>
      <c r="P4559" s="58" t="s">
        <v>19</v>
      </c>
      <c r="Q4559" s="58" t="s">
        <v>109</v>
      </c>
      <c r="R4559" s="58" t="s">
        <v>272</v>
      </c>
    </row>
    <row r="4560" spans="1:18" ht="69" customHeight="1">
      <c r="A4560" s="168"/>
      <c r="B4560" s="207">
        <v>1273</v>
      </c>
      <c r="C4560" s="207" t="s">
        <v>309</v>
      </c>
      <c r="D4560" s="301" t="s">
        <v>6817</v>
      </c>
      <c r="E4560" s="207" t="s">
        <v>305</v>
      </c>
      <c r="F4560" s="208" t="s">
        <v>11484</v>
      </c>
      <c r="G4560" s="160" t="s">
        <v>11485</v>
      </c>
      <c r="H4560" s="300">
        <v>12733.18</v>
      </c>
      <c r="I4560" s="209">
        <v>45097</v>
      </c>
      <c r="J4560" s="322" t="s">
        <v>11486</v>
      </c>
      <c r="K4560" s="160" t="s">
        <v>10804</v>
      </c>
      <c r="M4560" s="379"/>
      <c r="N4560" s="76"/>
      <c r="O4560" s="160"/>
      <c r="P4560" s="160" t="s">
        <v>67</v>
      </c>
      <c r="Q4560" s="160" t="s">
        <v>96</v>
      </c>
      <c r="R4560" s="160" t="s">
        <v>272</v>
      </c>
    </row>
    <row r="4561" spans="1:18" ht="69" customHeight="1">
      <c r="A4561" s="168"/>
      <c r="B4561" s="207">
        <v>1274</v>
      </c>
      <c r="C4561" s="207" t="s">
        <v>10961</v>
      </c>
      <c r="D4561" s="301" t="s">
        <v>11487</v>
      </c>
      <c r="E4561" s="207" t="s">
        <v>266</v>
      </c>
      <c r="F4561" s="208" t="s">
        <v>11488</v>
      </c>
      <c r="G4561" s="160" t="s">
        <v>11489</v>
      </c>
      <c r="H4561" s="300">
        <v>2589.3000000000002</v>
      </c>
      <c r="I4561" s="209">
        <v>45090</v>
      </c>
      <c r="J4561" s="322" t="s">
        <v>11490</v>
      </c>
      <c r="K4561" s="160" t="s">
        <v>10804</v>
      </c>
      <c r="M4561" s="379"/>
      <c r="N4561" s="76"/>
      <c r="O4561" s="160"/>
      <c r="P4561" s="160" t="s">
        <v>67</v>
      </c>
      <c r="Q4561" s="160" t="s">
        <v>96</v>
      </c>
      <c r="R4561" s="160" t="s">
        <v>272</v>
      </c>
    </row>
    <row r="4562" spans="1:18" ht="69" customHeight="1">
      <c r="A4562" s="168"/>
      <c r="B4562" s="178">
        <v>1275</v>
      </c>
      <c r="C4562" s="178" t="s">
        <v>458</v>
      </c>
      <c r="D4562" s="575" t="s">
        <v>11491</v>
      </c>
      <c r="E4562" s="178" t="s">
        <v>6192</v>
      </c>
      <c r="F4562" s="210" t="s">
        <v>11492</v>
      </c>
      <c r="G4562" s="58" t="s">
        <v>11493</v>
      </c>
      <c r="H4562" s="546">
        <v>85494.99</v>
      </c>
      <c r="I4562" s="66">
        <v>45092</v>
      </c>
      <c r="J4562" s="411" t="s">
        <v>11494</v>
      </c>
      <c r="K4562" s="58"/>
      <c r="L4562" s="99"/>
      <c r="M4562" s="70" t="s">
        <v>10271</v>
      </c>
      <c r="N4562" s="97" t="s">
        <v>414</v>
      </c>
      <c r="O4562" s="58"/>
      <c r="P4562" s="58" t="s">
        <v>22</v>
      </c>
      <c r="Q4562" s="58" t="s">
        <v>121</v>
      </c>
      <c r="R4562" s="58" t="s">
        <v>272</v>
      </c>
    </row>
    <row r="4563" spans="1:18" ht="69" customHeight="1">
      <c r="A4563" s="168"/>
      <c r="B4563" s="178">
        <v>1276</v>
      </c>
      <c r="C4563" s="178" t="s">
        <v>458</v>
      </c>
      <c r="D4563" s="575" t="s">
        <v>11211</v>
      </c>
      <c r="E4563" s="178" t="s">
        <v>6192</v>
      </c>
      <c r="F4563" s="210" t="s">
        <v>11495</v>
      </c>
      <c r="G4563" s="58" t="s">
        <v>11496</v>
      </c>
      <c r="H4563" s="546">
        <v>46035.77</v>
      </c>
      <c r="I4563" s="66">
        <v>44564</v>
      </c>
      <c r="J4563" s="411" t="s">
        <v>11494</v>
      </c>
      <c r="K4563" s="58"/>
      <c r="L4563" s="99"/>
      <c r="M4563" s="70" t="s">
        <v>10271</v>
      </c>
      <c r="N4563" s="97" t="s">
        <v>414</v>
      </c>
      <c r="O4563" s="58"/>
      <c r="P4563" s="58" t="s">
        <v>22</v>
      </c>
      <c r="Q4563" s="58" t="s">
        <v>121</v>
      </c>
      <c r="R4563" s="58" t="s">
        <v>272</v>
      </c>
    </row>
    <row r="4564" spans="1:18" ht="69" customHeight="1">
      <c r="A4564" s="168"/>
      <c r="B4564" s="178">
        <v>1277</v>
      </c>
      <c r="C4564" s="178" t="s">
        <v>657</v>
      </c>
      <c r="D4564" s="575" t="s">
        <v>1131</v>
      </c>
      <c r="E4564" s="178" t="s">
        <v>10753</v>
      </c>
      <c r="F4564" s="210" t="s">
        <v>11497</v>
      </c>
      <c r="G4564" s="58" t="s">
        <v>11498</v>
      </c>
      <c r="H4564" s="546">
        <v>36138</v>
      </c>
      <c r="I4564" s="66">
        <v>45103</v>
      </c>
      <c r="J4564" s="411" t="s">
        <v>11499</v>
      </c>
      <c r="K4564" s="58"/>
      <c r="L4564" s="99"/>
      <c r="M4564" s="70" t="s">
        <v>7892</v>
      </c>
      <c r="N4564" s="97" t="s">
        <v>414</v>
      </c>
      <c r="O4564" s="58"/>
      <c r="P4564" s="58" t="s">
        <v>22</v>
      </c>
      <c r="Q4564" s="58" t="s">
        <v>104</v>
      </c>
      <c r="R4564" s="58" t="s">
        <v>265</v>
      </c>
    </row>
    <row r="4565" spans="1:18" ht="69" customHeight="1">
      <c r="A4565" s="168"/>
      <c r="B4565" s="191">
        <v>1278</v>
      </c>
      <c r="C4565" s="191" t="s">
        <v>3667</v>
      </c>
      <c r="D4565" s="533" t="s">
        <v>11500</v>
      </c>
      <c r="E4565" s="191" t="s">
        <v>11501</v>
      </c>
      <c r="F4565" s="211" t="s">
        <v>11502</v>
      </c>
      <c r="G4565" s="46" t="s">
        <v>11503</v>
      </c>
      <c r="H4565" s="534">
        <v>19100</v>
      </c>
      <c r="I4565" s="56">
        <v>45103</v>
      </c>
      <c r="J4565" s="412" t="s">
        <v>11504</v>
      </c>
      <c r="K4565" s="46" t="s">
        <v>881</v>
      </c>
      <c r="L4565" s="99"/>
      <c r="M4565" s="379"/>
      <c r="N4565" s="76" t="s">
        <v>356</v>
      </c>
      <c r="O4565" s="46" t="s">
        <v>141</v>
      </c>
      <c r="P4565" s="46" t="s">
        <v>65</v>
      </c>
      <c r="Q4565" s="46" t="s">
        <v>68</v>
      </c>
      <c r="R4565" s="46" t="s">
        <v>272</v>
      </c>
    </row>
    <row r="4566" spans="1:18" ht="69" customHeight="1">
      <c r="A4566" s="168"/>
      <c r="B4566" s="178">
        <v>1279</v>
      </c>
      <c r="C4566" s="178" t="s">
        <v>657</v>
      </c>
      <c r="D4566" s="575" t="s">
        <v>3283</v>
      </c>
      <c r="E4566" s="178" t="s">
        <v>10753</v>
      </c>
      <c r="F4566" s="210" t="s">
        <v>11505</v>
      </c>
      <c r="G4566" s="58" t="s">
        <v>11498</v>
      </c>
      <c r="H4566" s="546">
        <v>40374.43</v>
      </c>
      <c r="I4566" s="66">
        <v>45103</v>
      </c>
      <c r="J4566" s="411" t="s">
        <v>11506</v>
      </c>
      <c r="K4566" s="58"/>
      <c r="L4566" s="99"/>
      <c r="M4566" s="70" t="s">
        <v>7892</v>
      </c>
      <c r="N4566" s="97" t="s">
        <v>414</v>
      </c>
      <c r="O4566" s="58"/>
      <c r="P4566" s="58" t="s">
        <v>22</v>
      </c>
      <c r="Q4566" s="58" t="s">
        <v>104</v>
      </c>
      <c r="R4566" s="58" t="s">
        <v>265</v>
      </c>
    </row>
    <row r="4567" spans="1:18" ht="69" customHeight="1">
      <c r="A4567" s="168"/>
      <c r="B4567" s="178">
        <v>1289</v>
      </c>
      <c r="C4567" s="178" t="s">
        <v>5558</v>
      </c>
      <c r="D4567" s="575" t="s">
        <v>11507</v>
      </c>
      <c r="E4567" s="178" t="s">
        <v>11508</v>
      </c>
      <c r="F4567" s="210" t="s">
        <v>11509</v>
      </c>
      <c r="G4567" s="58" t="s">
        <v>11510</v>
      </c>
      <c r="H4567" s="546">
        <v>25000</v>
      </c>
      <c r="I4567" s="66">
        <v>45086</v>
      </c>
      <c r="J4567" s="411" t="s">
        <v>11511</v>
      </c>
      <c r="K4567" s="58"/>
      <c r="L4567" s="99"/>
      <c r="M4567" s="70" t="s">
        <v>11512</v>
      </c>
      <c r="N4567" s="97" t="s">
        <v>414</v>
      </c>
      <c r="O4567" s="58"/>
      <c r="P4567" s="58" t="s">
        <v>22</v>
      </c>
      <c r="Q4567" s="58" t="s">
        <v>64</v>
      </c>
      <c r="R4567" s="58" t="s">
        <v>265</v>
      </c>
    </row>
    <row r="4568" spans="1:18" ht="69" customHeight="1">
      <c r="A4568" s="168"/>
      <c r="B4568" s="178">
        <v>1281</v>
      </c>
      <c r="C4568" s="178" t="s">
        <v>5558</v>
      </c>
      <c r="D4568" s="575" t="s">
        <v>11513</v>
      </c>
      <c r="E4568" s="178" t="s">
        <v>11508</v>
      </c>
      <c r="F4568" s="210" t="s">
        <v>11514</v>
      </c>
      <c r="G4568" s="58" t="s">
        <v>11498</v>
      </c>
      <c r="H4568" s="546">
        <v>43661.54</v>
      </c>
      <c r="I4568" s="66">
        <v>45086</v>
      </c>
      <c r="J4568" s="411" t="s">
        <v>11511</v>
      </c>
      <c r="K4568" s="58"/>
      <c r="L4568" s="99"/>
      <c r="M4568" s="70" t="s">
        <v>11512</v>
      </c>
      <c r="N4568" s="97" t="s">
        <v>414</v>
      </c>
      <c r="O4568" s="58"/>
      <c r="P4568" s="58" t="s">
        <v>22</v>
      </c>
      <c r="Q4568" s="58" t="s">
        <v>64</v>
      </c>
      <c r="R4568" s="58" t="s">
        <v>265</v>
      </c>
    </row>
    <row r="4569" spans="1:18" ht="69" customHeight="1">
      <c r="A4569" s="168"/>
      <c r="B4569" s="178">
        <v>1282</v>
      </c>
      <c r="C4569" s="178" t="s">
        <v>5558</v>
      </c>
      <c r="D4569" s="575" t="s">
        <v>11515</v>
      </c>
      <c r="E4569" s="178" t="s">
        <v>11508</v>
      </c>
      <c r="F4569" s="210" t="s">
        <v>11516</v>
      </c>
      <c r="G4569" s="58" t="s">
        <v>11498</v>
      </c>
      <c r="H4569" s="546">
        <v>40360</v>
      </c>
      <c r="I4569" s="66">
        <v>45086</v>
      </c>
      <c r="J4569" s="411" t="s">
        <v>11511</v>
      </c>
      <c r="K4569" s="58"/>
      <c r="L4569" s="99"/>
      <c r="M4569" s="70" t="s">
        <v>11512</v>
      </c>
      <c r="N4569" s="97" t="s">
        <v>414</v>
      </c>
      <c r="O4569" s="58"/>
      <c r="P4569" s="58" t="s">
        <v>22</v>
      </c>
      <c r="Q4569" s="58" t="s">
        <v>64</v>
      </c>
      <c r="R4569" s="58" t="s">
        <v>265</v>
      </c>
    </row>
    <row r="4570" spans="1:18" ht="69" customHeight="1">
      <c r="A4570" s="168"/>
      <c r="B4570" s="178">
        <v>1283</v>
      </c>
      <c r="C4570" s="178" t="s">
        <v>5558</v>
      </c>
      <c r="D4570" s="575" t="s">
        <v>11517</v>
      </c>
      <c r="E4570" s="178" t="s">
        <v>11508</v>
      </c>
      <c r="F4570" s="210" t="s">
        <v>11518</v>
      </c>
      <c r="G4570" s="58" t="s">
        <v>11498</v>
      </c>
      <c r="H4570" s="546">
        <v>47193.78</v>
      </c>
      <c r="I4570" s="66">
        <v>45086</v>
      </c>
      <c r="J4570" s="411" t="s">
        <v>11511</v>
      </c>
      <c r="K4570" s="58"/>
      <c r="L4570" s="99"/>
      <c r="M4570" s="70" t="s">
        <v>11512</v>
      </c>
      <c r="N4570" s="97" t="s">
        <v>414</v>
      </c>
      <c r="O4570" s="58"/>
      <c r="P4570" s="58" t="s">
        <v>22</v>
      </c>
      <c r="Q4570" s="58" t="s">
        <v>64</v>
      </c>
      <c r="R4570" s="58" t="s">
        <v>265</v>
      </c>
    </row>
    <row r="4571" spans="1:18" ht="69" customHeight="1">
      <c r="A4571" s="168"/>
      <c r="B4571" s="178">
        <v>1284</v>
      </c>
      <c r="C4571" s="59" t="s">
        <v>3667</v>
      </c>
      <c r="D4571" s="575" t="s">
        <v>11519</v>
      </c>
      <c r="E4571" s="178" t="s">
        <v>6192</v>
      </c>
      <c r="F4571" s="210" t="s">
        <v>11520</v>
      </c>
      <c r="G4571" s="58" t="s">
        <v>11521</v>
      </c>
      <c r="H4571" s="546">
        <v>219092.59</v>
      </c>
      <c r="I4571" s="66">
        <v>45092</v>
      </c>
      <c r="J4571" s="411" t="s">
        <v>11522</v>
      </c>
      <c r="K4571" s="58"/>
      <c r="L4571" s="99"/>
      <c r="M4571" s="70" t="s">
        <v>6196</v>
      </c>
      <c r="N4571" s="97" t="s">
        <v>6197</v>
      </c>
      <c r="O4571" s="58"/>
      <c r="P4571" s="58" t="s">
        <v>22</v>
      </c>
      <c r="Q4571" s="58" t="s">
        <v>72</v>
      </c>
      <c r="R4571" s="58" t="s">
        <v>272</v>
      </c>
    </row>
    <row r="4572" spans="1:18" ht="69" customHeight="1">
      <c r="A4572" s="168"/>
      <c r="B4572" s="178">
        <v>1285</v>
      </c>
      <c r="C4572" s="59" t="s">
        <v>3667</v>
      </c>
      <c r="D4572" s="575" t="s">
        <v>11523</v>
      </c>
      <c r="E4572" s="178" t="s">
        <v>6192</v>
      </c>
      <c r="F4572" s="210" t="s">
        <v>11524</v>
      </c>
      <c r="G4572" s="58" t="s">
        <v>7225</v>
      </c>
      <c r="H4572" s="546">
        <v>117972.94</v>
      </c>
      <c r="I4572" s="66">
        <v>45092</v>
      </c>
      <c r="J4572" s="411" t="s">
        <v>11522</v>
      </c>
      <c r="K4572" s="58"/>
      <c r="L4572" s="99"/>
      <c r="M4572" s="70" t="s">
        <v>6196</v>
      </c>
      <c r="N4572" s="97" t="s">
        <v>6197</v>
      </c>
      <c r="O4572" s="58"/>
      <c r="P4572" s="58" t="s">
        <v>22</v>
      </c>
      <c r="Q4572" s="58" t="s">
        <v>72</v>
      </c>
      <c r="R4572" s="58" t="s">
        <v>272</v>
      </c>
    </row>
    <row r="4573" spans="1:18" ht="69" customHeight="1">
      <c r="A4573" s="168"/>
      <c r="B4573" s="178">
        <v>1286</v>
      </c>
      <c r="C4573" s="59" t="s">
        <v>3667</v>
      </c>
      <c r="D4573" s="575" t="s">
        <v>11525</v>
      </c>
      <c r="E4573" s="178" t="s">
        <v>6192</v>
      </c>
      <c r="F4573" s="210" t="s">
        <v>11526</v>
      </c>
      <c r="G4573" s="58" t="s">
        <v>11527</v>
      </c>
      <c r="H4573" s="546">
        <v>32771.910000000003</v>
      </c>
      <c r="I4573" s="66">
        <v>45092</v>
      </c>
      <c r="J4573" s="411" t="s">
        <v>11522</v>
      </c>
      <c r="K4573" s="58" t="s">
        <v>11528</v>
      </c>
      <c r="L4573" s="99"/>
      <c r="M4573" s="70" t="s">
        <v>6574</v>
      </c>
      <c r="N4573" s="97" t="s">
        <v>6197</v>
      </c>
      <c r="O4573" s="58"/>
      <c r="P4573" s="58" t="s">
        <v>22</v>
      </c>
      <c r="Q4573" s="58" t="s">
        <v>76</v>
      </c>
      <c r="R4573" s="58" t="s">
        <v>272</v>
      </c>
    </row>
    <row r="4574" spans="1:18" ht="69" customHeight="1">
      <c r="A4574" s="168"/>
      <c r="B4574" s="178">
        <v>1287</v>
      </c>
      <c r="C4574" s="59" t="s">
        <v>3667</v>
      </c>
      <c r="D4574" s="575" t="s">
        <v>11529</v>
      </c>
      <c r="E4574" s="178" t="s">
        <v>6192</v>
      </c>
      <c r="F4574" s="210" t="s">
        <v>11530</v>
      </c>
      <c r="G4574" s="58" t="s">
        <v>7984</v>
      </c>
      <c r="H4574" s="546">
        <v>17646.41</v>
      </c>
      <c r="I4574" s="66">
        <v>45093</v>
      </c>
      <c r="J4574" s="411" t="s">
        <v>11522</v>
      </c>
      <c r="K4574" s="58" t="s">
        <v>11528</v>
      </c>
      <c r="L4574" s="99"/>
      <c r="M4574" s="70" t="s">
        <v>6574</v>
      </c>
      <c r="N4574" s="97" t="s">
        <v>6197</v>
      </c>
      <c r="O4574" s="58"/>
      <c r="P4574" s="58" t="s">
        <v>22</v>
      </c>
      <c r="Q4574" s="58" t="s">
        <v>76</v>
      </c>
      <c r="R4574" s="58" t="s">
        <v>272</v>
      </c>
    </row>
    <row r="4575" spans="1:18" ht="69" customHeight="1">
      <c r="A4575" s="168"/>
      <c r="B4575" s="178">
        <v>1288</v>
      </c>
      <c r="C4575" s="178" t="s">
        <v>458</v>
      </c>
      <c r="D4575" s="575" t="s">
        <v>6882</v>
      </c>
      <c r="E4575" s="178" t="s">
        <v>6192</v>
      </c>
      <c r="F4575" s="210" t="s">
        <v>11531</v>
      </c>
      <c r="G4575" s="58" t="s">
        <v>11527</v>
      </c>
      <c r="H4575" s="546">
        <v>107687.41</v>
      </c>
      <c r="I4575" s="66">
        <v>45092</v>
      </c>
      <c r="J4575" s="411" t="s">
        <v>11522</v>
      </c>
      <c r="K4575" s="58"/>
      <c r="L4575" s="99"/>
      <c r="M4575" s="70" t="s">
        <v>7412</v>
      </c>
      <c r="N4575" s="97" t="s">
        <v>6197</v>
      </c>
      <c r="O4575" s="58"/>
      <c r="P4575" s="58" t="s">
        <v>22</v>
      </c>
      <c r="Q4575" s="58" t="s">
        <v>100</v>
      </c>
      <c r="R4575" s="58" t="s">
        <v>272</v>
      </c>
    </row>
    <row r="4576" spans="1:18" ht="69" customHeight="1">
      <c r="A4576" s="168"/>
      <c r="B4576" s="178">
        <v>1289</v>
      </c>
      <c r="C4576" s="178" t="s">
        <v>458</v>
      </c>
      <c r="D4576" s="575" t="s">
        <v>6980</v>
      </c>
      <c r="E4576" s="178" t="s">
        <v>6192</v>
      </c>
      <c r="F4576" s="210" t="s">
        <v>11532</v>
      </c>
      <c r="G4576" s="58" t="s">
        <v>7984</v>
      </c>
      <c r="H4576" s="546">
        <v>57985.53</v>
      </c>
      <c r="I4576" s="66">
        <v>45092</v>
      </c>
      <c r="J4576" s="411" t="s">
        <v>11522</v>
      </c>
      <c r="K4576" s="58"/>
      <c r="L4576" s="99"/>
      <c r="M4576" s="70" t="s">
        <v>7412</v>
      </c>
      <c r="N4576" s="97" t="s">
        <v>6197</v>
      </c>
      <c r="O4576" s="58"/>
      <c r="P4576" s="58" t="s">
        <v>22</v>
      </c>
      <c r="Q4576" s="58" t="s">
        <v>100</v>
      </c>
      <c r="R4576" s="58" t="s">
        <v>272</v>
      </c>
    </row>
    <row r="4577" spans="1:18" ht="69" customHeight="1">
      <c r="A4577" s="168"/>
      <c r="B4577" s="178">
        <v>1290</v>
      </c>
      <c r="C4577" s="178" t="s">
        <v>458</v>
      </c>
      <c r="D4577" s="575" t="s">
        <v>4491</v>
      </c>
      <c r="E4577" s="178" t="s">
        <v>6192</v>
      </c>
      <c r="F4577" s="210" t="s">
        <v>11533</v>
      </c>
      <c r="G4577" s="58" t="s">
        <v>11534</v>
      </c>
      <c r="H4577" s="546">
        <v>70707.77</v>
      </c>
      <c r="I4577" s="66">
        <v>45092</v>
      </c>
      <c r="J4577" s="411" t="s">
        <v>11522</v>
      </c>
      <c r="K4577" s="58"/>
      <c r="L4577" s="99"/>
      <c r="M4577" s="70" t="s">
        <v>7412</v>
      </c>
      <c r="N4577" s="97" t="s">
        <v>6197</v>
      </c>
      <c r="O4577" s="58"/>
      <c r="P4577" s="58" t="s">
        <v>22</v>
      </c>
      <c r="Q4577" s="58" t="s">
        <v>100</v>
      </c>
      <c r="R4577" s="58" t="s">
        <v>272</v>
      </c>
    </row>
    <row r="4578" spans="1:18" ht="69" customHeight="1">
      <c r="A4578" s="168"/>
      <c r="B4578" s="178">
        <v>1291</v>
      </c>
      <c r="C4578" s="178" t="s">
        <v>458</v>
      </c>
      <c r="D4578" s="575" t="s">
        <v>4500</v>
      </c>
      <c r="E4578" s="178" t="s">
        <v>6192</v>
      </c>
      <c r="F4578" s="210" t="s">
        <v>11535</v>
      </c>
      <c r="G4578" s="58" t="s">
        <v>10192</v>
      </c>
      <c r="H4578" s="546">
        <v>38073.410000000003</v>
      </c>
      <c r="I4578" s="66">
        <v>45092</v>
      </c>
      <c r="J4578" s="411" t="s">
        <v>11522</v>
      </c>
      <c r="K4578" s="58"/>
      <c r="L4578" s="99"/>
      <c r="M4578" s="70" t="s">
        <v>7412</v>
      </c>
      <c r="N4578" s="97" t="s">
        <v>6197</v>
      </c>
      <c r="O4578" s="58"/>
      <c r="P4578" s="58" t="s">
        <v>22</v>
      </c>
      <c r="Q4578" s="58" t="s">
        <v>100</v>
      </c>
      <c r="R4578" s="58" t="s">
        <v>272</v>
      </c>
    </row>
    <row r="4579" spans="1:18" ht="69" customHeight="1">
      <c r="A4579" s="168"/>
      <c r="B4579" s="178">
        <v>1292</v>
      </c>
      <c r="C4579" s="178" t="s">
        <v>5558</v>
      </c>
      <c r="D4579" s="575" t="s">
        <v>11536</v>
      </c>
      <c r="E4579" s="178" t="s">
        <v>11537</v>
      </c>
      <c r="F4579" s="210" t="s">
        <v>11538</v>
      </c>
      <c r="G4579" s="58" t="s">
        <v>11539</v>
      </c>
      <c r="H4579" s="546">
        <v>392839.72</v>
      </c>
      <c r="I4579" s="66">
        <v>45092</v>
      </c>
      <c r="J4579" s="411" t="s">
        <v>11540</v>
      </c>
      <c r="K4579" s="58"/>
      <c r="L4579" s="99"/>
      <c r="M4579" s="70" t="s">
        <v>11256</v>
      </c>
      <c r="N4579" s="97" t="s">
        <v>741</v>
      </c>
      <c r="O4579" s="45" t="s">
        <v>175</v>
      </c>
      <c r="P4579" s="58" t="s">
        <v>59</v>
      </c>
      <c r="Q4579" s="58" t="s">
        <v>64</v>
      </c>
      <c r="R4579" s="58" t="s">
        <v>272</v>
      </c>
    </row>
    <row r="4580" spans="1:18" ht="69" customHeight="1">
      <c r="A4580" s="168"/>
      <c r="B4580" s="178">
        <v>1293</v>
      </c>
      <c r="C4580" s="59" t="s">
        <v>3667</v>
      </c>
      <c r="D4580" s="575" t="s">
        <v>11541</v>
      </c>
      <c r="E4580" s="178" t="s">
        <v>10753</v>
      </c>
      <c r="F4580" s="210" t="s">
        <v>11542</v>
      </c>
      <c r="G4580" s="58" t="s">
        <v>11543</v>
      </c>
      <c r="H4580" s="546">
        <v>27899</v>
      </c>
      <c r="I4580" s="66">
        <v>45103</v>
      </c>
      <c r="J4580" s="411" t="s">
        <v>11544</v>
      </c>
      <c r="K4580" s="58"/>
      <c r="L4580" s="99"/>
      <c r="M4580" s="70" t="s">
        <v>11277</v>
      </c>
      <c r="N4580" s="97" t="s">
        <v>6197</v>
      </c>
      <c r="O4580" s="58"/>
      <c r="P4580" s="58" t="s">
        <v>22</v>
      </c>
      <c r="Q4580" s="58" t="s">
        <v>72</v>
      </c>
      <c r="R4580" s="58" t="s">
        <v>265</v>
      </c>
    </row>
    <row r="4581" spans="1:18" ht="69" customHeight="1">
      <c r="A4581" s="168"/>
      <c r="B4581" s="178">
        <v>1294</v>
      </c>
      <c r="C4581" s="59" t="s">
        <v>3667</v>
      </c>
      <c r="D4581" s="575" t="s">
        <v>11545</v>
      </c>
      <c r="E4581" s="178" t="s">
        <v>10753</v>
      </c>
      <c r="F4581" s="210" t="s">
        <v>11546</v>
      </c>
      <c r="G4581" s="58" t="s">
        <v>11543</v>
      </c>
      <c r="H4581" s="546">
        <v>38560</v>
      </c>
      <c r="I4581" s="66">
        <v>45103</v>
      </c>
      <c r="J4581" s="411" t="s">
        <v>11544</v>
      </c>
      <c r="K4581" s="58"/>
      <c r="L4581" s="99"/>
      <c r="M4581" s="70" t="s">
        <v>6674</v>
      </c>
      <c r="N4581" s="97" t="s">
        <v>414</v>
      </c>
      <c r="O4581" s="58"/>
      <c r="P4581" s="58" t="s">
        <v>22</v>
      </c>
      <c r="Q4581" s="58" t="s">
        <v>78</v>
      </c>
      <c r="R4581" s="58" t="s">
        <v>265</v>
      </c>
    </row>
    <row r="4582" spans="1:18" ht="69" customHeight="1">
      <c r="A4582" s="168"/>
      <c r="B4582" s="178">
        <v>1295</v>
      </c>
      <c r="C4582" s="59" t="s">
        <v>3667</v>
      </c>
      <c r="D4582" s="575" t="s">
        <v>11547</v>
      </c>
      <c r="E4582" s="178" t="s">
        <v>10753</v>
      </c>
      <c r="F4582" s="210" t="s">
        <v>11548</v>
      </c>
      <c r="G4582" s="58" t="s">
        <v>11543</v>
      </c>
      <c r="H4582" s="546">
        <v>38560</v>
      </c>
      <c r="I4582" s="66">
        <v>45103</v>
      </c>
      <c r="J4582" s="411" t="s">
        <v>11544</v>
      </c>
      <c r="K4582" s="58"/>
      <c r="L4582" s="99"/>
      <c r="M4582" s="70" t="s">
        <v>11277</v>
      </c>
      <c r="N4582" s="97" t="s">
        <v>6197</v>
      </c>
      <c r="O4582" s="58"/>
      <c r="P4582" s="58" t="s">
        <v>22</v>
      </c>
      <c r="Q4582" s="58" t="s">
        <v>72</v>
      </c>
      <c r="R4582" s="58" t="s">
        <v>265</v>
      </c>
    </row>
    <row r="4583" spans="1:18" ht="69" customHeight="1">
      <c r="A4583" s="168"/>
      <c r="B4583" s="178">
        <v>1296</v>
      </c>
      <c r="C4583" s="178" t="s">
        <v>458</v>
      </c>
      <c r="D4583" s="575" t="s">
        <v>5417</v>
      </c>
      <c r="E4583" s="178" t="s">
        <v>10753</v>
      </c>
      <c r="F4583" s="210" t="s">
        <v>11549</v>
      </c>
      <c r="G4583" s="58" t="s">
        <v>11550</v>
      </c>
      <c r="H4583" s="546">
        <v>25500</v>
      </c>
      <c r="I4583" s="66">
        <v>45103</v>
      </c>
      <c r="J4583" s="411" t="s">
        <v>11544</v>
      </c>
      <c r="K4583" s="58"/>
      <c r="L4583" s="99"/>
      <c r="M4583" s="70" t="s">
        <v>7389</v>
      </c>
      <c r="N4583" s="97" t="s">
        <v>6197</v>
      </c>
      <c r="O4583" s="58"/>
      <c r="P4583" s="58" t="s">
        <v>22</v>
      </c>
      <c r="Q4583" s="58" t="s">
        <v>100</v>
      </c>
      <c r="R4583" s="58" t="s">
        <v>265</v>
      </c>
    </row>
    <row r="4584" spans="1:18" ht="69" customHeight="1">
      <c r="A4584" s="168"/>
      <c r="B4584" s="191">
        <v>1297</v>
      </c>
      <c r="C4584" s="191" t="s">
        <v>3647</v>
      </c>
      <c r="D4584" s="533" t="s">
        <v>11551</v>
      </c>
      <c r="E4584" s="191" t="s">
        <v>5084</v>
      </c>
      <c r="F4584" s="211" t="s">
        <v>11552</v>
      </c>
      <c r="G4584" s="46" t="s">
        <v>11553</v>
      </c>
      <c r="H4584" s="534">
        <v>21000</v>
      </c>
      <c r="I4584" s="56">
        <v>45103</v>
      </c>
      <c r="J4584" s="412" t="s">
        <v>11554</v>
      </c>
      <c r="K4584" s="46" t="s">
        <v>167</v>
      </c>
      <c r="L4584" s="99"/>
      <c r="M4584" s="379"/>
      <c r="N4584" s="76" t="s">
        <v>414</v>
      </c>
      <c r="O4584" s="46"/>
      <c r="P4584" s="46" t="s">
        <v>71</v>
      </c>
      <c r="Q4584" s="46" t="s">
        <v>47</v>
      </c>
      <c r="R4584" s="46" t="s">
        <v>272</v>
      </c>
    </row>
    <row r="4585" spans="1:18" ht="69" customHeight="1">
      <c r="A4585" s="168"/>
      <c r="B4585" s="191">
        <v>1298</v>
      </c>
      <c r="C4585" s="191" t="s">
        <v>3647</v>
      </c>
      <c r="D4585" s="533" t="s">
        <v>11555</v>
      </c>
      <c r="E4585" s="191" t="s">
        <v>5084</v>
      </c>
      <c r="F4585" s="211" t="s">
        <v>11556</v>
      </c>
      <c r="G4585" s="46" t="s">
        <v>11553</v>
      </c>
      <c r="H4585" s="534">
        <v>21000</v>
      </c>
      <c r="I4585" s="56">
        <v>45103</v>
      </c>
      <c r="J4585" s="412" t="s">
        <v>11554</v>
      </c>
      <c r="K4585" s="46" t="s">
        <v>167</v>
      </c>
      <c r="L4585" s="99"/>
      <c r="M4585" s="379"/>
      <c r="N4585" s="76" t="s">
        <v>414</v>
      </c>
      <c r="O4585" s="46"/>
      <c r="P4585" s="46" t="s">
        <v>71</v>
      </c>
      <c r="Q4585" s="46" t="s">
        <v>52</v>
      </c>
      <c r="R4585" s="46" t="s">
        <v>272</v>
      </c>
    </row>
    <row r="4586" spans="1:18" ht="69" customHeight="1">
      <c r="A4586" s="168"/>
      <c r="B4586" s="191">
        <v>1299</v>
      </c>
      <c r="C4586" s="191" t="s">
        <v>4277</v>
      </c>
      <c r="D4586" s="533" t="s">
        <v>11557</v>
      </c>
      <c r="E4586" s="191" t="s">
        <v>5084</v>
      </c>
      <c r="F4586" s="211" t="s">
        <v>11558</v>
      </c>
      <c r="G4586" s="46" t="s">
        <v>11553</v>
      </c>
      <c r="H4586" s="534">
        <v>20266.650000000001</v>
      </c>
      <c r="I4586" s="56">
        <v>45103</v>
      </c>
      <c r="J4586" s="412" t="s">
        <v>11559</v>
      </c>
      <c r="K4586" s="46" t="s">
        <v>167</v>
      </c>
      <c r="L4586" s="99"/>
      <c r="M4586" s="379"/>
      <c r="N4586" s="76" t="s">
        <v>414</v>
      </c>
      <c r="O4586" s="46"/>
      <c r="P4586" s="46" t="s">
        <v>71</v>
      </c>
      <c r="Q4586" s="46" t="s">
        <v>60</v>
      </c>
      <c r="R4586" s="46" t="s">
        <v>272</v>
      </c>
    </row>
    <row r="4587" spans="1:18" ht="69" customHeight="1">
      <c r="A4587" s="168"/>
      <c r="B4587" s="191">
        <v>1300</v>
      </c>
      <c r="C4587" s="191" t="s">
        <v>4277</v>
      </c>
      <c r="D4587" s="533" t="s">
        <v>11560</v>
      </c>
      <c r="E4587" s="191" t="s">
        <v>5084</v>
      </c>
      <c r="F4587" s="211" t="s">
        <v>11561</v>
      </c>
      <c r="G4587" s="46" t="s">
        <v>11553</v>
      </c>
      <c r="H4587" s="534">
        <v>20266.650000000001</v>
      </c>
      <c r="I4587" s="56">
        <v>45103</v>
      </c>
      <c r="J4587" s="412" t="s">
        <v>11559</v>
      </c>
      <c r="K4587" s="46" t="s">
        <v>167</v>
      </c>
      <c r="L4587" s="99"/>
      <c r="M4587" s="379"/>
      <c r="N4587" s="76" t="s">
        <v>414</v>
      </c>
      <c r="O4587" s="46"/>
      <c r="P4587" s="46" t="s">
        <v>71</v>
      </c>
      <c r="Q4587" s="46" t="s">
        <v>62</v>
      </c>
      <c r="R4587" s="46" t="s">
        <v>272</v>
      </c>
    </row>
    <row r="4588" spans="1:18" ht="69" customHeight="1">
      <c r="A4588" s="168"/>
      <c r="B4588" s="207">
        <v>1301</v>
      </c>
      <c r="C4588" s="207" t="s">
        <v>3667</v>
      </c>
      <c r="D4588" s="301" t="s">
        <v>11562</v>
      </c>
      <c r="E4588" s="207" t="s">
        <v>266</v>
      </c>
      <c r="F4588" s="208" t="s">
        <v>11563</v>
      </c>
      <c r="G4588" s="160" t="s">
        <v>10808</v>
      </c>
      <c r="H4588" s="300">
        <v>9644.7999999999993</v>
      </c>
      <c r="I4588" s="209">
        <v>45103</v>
      </c>
      <c r="J4588" s="322" t="s">
        <v>11564</v>
      </c>
      <c r="K4588" s="160" t="s">
        <v>10804</v>
      </c>
      <c r="M4588" s="379"/>
      <c r="N4588" s="76"/>
      <c r="O4588" s="160"/>
      <c r="P4588" s="160" t="s">
        <v>67</v>
      </c>
      <c r="Q4588" s="160" t="s">
        <v>96</v>
      </c>
      <c r="R4588" s="160" t="s">
        <v>272</v>
      </c>
    </row>
    <row r="4589" spans="1:18" ht="69" customHeight="1">
      <c r="A4589" s="168"/>
      <c r="B4589" s="207">
        <v>1302</v>
      </c>
      <c r="C4589" s="207" t="s">
        <v>309</v>
      </c>
      <c r="D4589" s="301" t="s">
        <v>6880</v>
      </c>
      <c r="E4589" s="207" t="s">
        <v>266</v>
      </c>
      <c r="F4589" s="208" t="s">
        <v>11565</v>
      </c>
      <c r="G4589" s="160" t="s">
        <v>10808</v>
      </c>
      <c r="H4589" s="300">
        <v>7535</v>
      </c>
      <c r="I4589" s="209">
        <v>45103</v>
      </c>
      <c r="J4589" s="322" t="s">
        <v>11564</v>
      </c>
      <c r="K4589" s="160" t="s">
        <v>10804</v>
      </c>
      <c r="M4589" s="379"/>
      <c r="N4589" s="76"/>
      <c r="O4589" s="160"/>
      <c r="P4589" s="160" t="s">
        <v>67</v>
      </c>
      <c r="Q4589" s="160" t="s">
        <v>96</v>
      </c>
      <c r="R4589" s="160" t="s">
        <v>272</v>
      </c>
    </row>
    <row r="4590" spans="1:18" ht="69" customHeight="1">
      <c r="A4590" s="168"/>
      <c r="B4590" s="207">
        <v>1303</v>
      </c>
      <c r="C4590" s="207" t="s">
        <v>458</v>
      </c>
      <c r="D4590" s="301" t="s">
        <v>5113</v>
      </c>
      <c r="E4590" s="207" t="s">
        <v>266</v>
      </c>
      <c r="F4590" s="208" t="s">
        <v>11566</v>
      </c>
      <c r="G4590" s="160" t="s">
        <v>10808</v>
      </c>
      <c r="H4590" s="300">
        <v>7535</v>
      </c>
      <c r="I4590" s="209">
        <v>45103</v>
      </c>
      <c r="J4590" s="322" t="s">
        <v>11564</v>
      </c>
      <c r="K4590" s="160" t="s">
        <v>10804</v>
      </c>
      <c r="M4590" s="379"/>
      <c r="N4590" s="76"/>
      <c r="O4590" s="160"/>
      <c r="P4590" s="160" t="s">
        <v>67</v>
      </c>
      <c r="Q4590" s="160" t="s">
        <v>96</v>
      </c>
      <c r="R4590" s="160" t="s">
        <v>272</v>
      </c>
    </row>
    <row r="4591" spans="1:18" ht="69" customHeight="1">
      <c r="A4591" s="168"/>
      <c r="B4591" s="207">
        <v>1304</v>
      </c>
      <c r="C4591" s="207" t="s">
        <v>657</v>
      </c>
      <c r="D4591" s="301" t="s">
        <v>8098</v>
      </c>
      <c r="E4591" s="207" t="s">
        <v>266</v>
      </c>
      <c r="F4591" s="208" t="s">
        <v>11567</v>
      </c>
      <c r="G4591" s="160" t="s">
        <v>10808</v>
      </c>
      <c r="H4591" s="300">
        <v>5425.2</v>
      </c>
      <c r="I4591" s="209">
        <v>45103</v>
      </c>
      <c r="J4591" s="322" t="s">
        <v>11564</v>
      </c>
      <c r="K4591" s="160" t="s">
        <v>10804</v>
      </c>
      <c r="M4591" s="379"/>
      <c r="N4591" s="76"/>
      <c r="O4591" s="160"/>
      <c r="P4591" s="160" t="s">
        <v>67</v>
      </c>
      <c r="Q4591" s="160" t="s">
        <v>96</v>
      </c>
      <c r="R4591" s="160" t="s">
        <v>272</v>
      </c>
    </row>
    <row r="4592" spans="1:18" ht="69" customHeight="1">
      <c r="A4592" s="168"/>
      <c r="B4592" s="178">
        <v>1305</v>
      </c>
      <c r="C4592" s="178" t="s">
        <v>11568</v>
      </c>
      <c r="D4592" s="575" t="s">
        <v>4295</v>
      </c>
      <c r="E4592" s="178" t="s">
        <v>11480</v>
      </c>
      <c r="F4592" s="210" t="s">
        <v>11569</v>
      </c>
      <c r="G4592" s="58" t="s">
        <v>11570</v>
      </c>
      <c r="H4592" s="546">
        <v>150000</v>
      </c>
      <c r="I4592" s="66">
        <v>45103</v>
      </c>
      <c r="J4592" s="411" t="s">
        <v>11571</v>
      </c>
      <c r="K4592" s="58"/>
      <c r="L4592" s="99"/>
      <c r="M4592" s="70" t="s">
        <v>8305</v>
      </c>
      <c r="N4592" s="97" t="s">
        <v>356</v>
      </c>
      <c r="O4592" s="58" t="s">
        <v>141</v>
      </c>
      <c r="P4592" s="58" t="s">
        <v>19</v>
      </c>
      <c r="Q4592" s="58" t="s">
        <v>107</v>
      </c>
      <c r="R4592" s="58" t="s">
        <v>272</v>
      </c>
    </row>
    <row r="4593" spans="1:18" ht="69" customHeight="1">
      <c r="A4593" s="168"/>
      <c r="B4593" s="178">
        <v>1306</v>
      </c>
      <c r="C4593" s="178" t="s">
        <v>4277</v>
      </c>
      <c r="D4593" s="575" t="s">
        <v>11572</v>
      </c>
      <c r="E4593" s="178" t="s">
        <v>11480</v>
      </c>
      <c r="F4593" s="210" t="s">
        <v>11573</v>
      </c>
      <c r="G4593" s="58" t="s">
        <v>11570</v>
      </c>
      <c r="H4593" s="546">
        <v>60000</v>
      </c>
      <c r="I4593" s="66">
        <v>45103</v>
      </c>
      <c r="J4593" s="411" t="s">
        <v>11571</v>
      </c>
      <c r="K4593" s="58"/>
      <c r="L4593" s="99"/>
      <c r="M4593" s="70" t="s">
        <v>4553</v>
      </c>
      <c r="N4593" s="97" t="s">
        <v>356</v>
      </c>
      <c r="O4593" s="58" t="s">
        <v>141</v>
      </c>
      <c r="P4593" s="58" t="s">
        <v>19</v>
      </c>
      <c r="Q4593" s="58" t="s">
        <v>56</v>
      </c>
      <c r="R4593" s="58" t="s">
        <v>272</v>
      </c>
    </row>
    <row r="4594" spans="1:18" ht="69" customHeight="1">
      <c r="A4594" s="168"/>
      <c r="B4594" s="178">
        <v>1307</v>
      </c>
      <c r="C4594" s="178" t="s">
        <v>4728</v>
      </c>
      <c r="D4594" s="575" t="s">
        <v>11574</v>
      </c>
      <c r="E4594" s="178" t="s">
        <v>11480</v>
      </c>
      <c r="F4594" s="210" t="s">
        <v>11575</v>
      </c>
      <c r="G4594" s="58" t="s">
        <v>11570</v>
      </c>
      <c r="H4594" s="546">
        <v>30000</v>
      </c>
      <c r="I4594" s="66">
        <v>45103</v>
      </c>
      <c r="J4594" s="411" t="s">
        <v>11571</v>
      </c>
      <c r="K4594" s="58"/>
      <c r="L4594" s="99"/>
      <c r="M4594" s="70" t="s">
        <v>4731</v>
      </c>
      <c r="N4594" s="97" t="s">
        <v>356</v>
      </c>
      <c r="O4594" s="58" t="s">
        <v>141</v>
      </c>
      <c r="P4594" s="58" t="s">
        <v>19</v>
      </c>
      <c r="Q4594" s="58" t="s">
        <v>58</v>
      </c>
      <c r="R4594" s="58" t="s">
        <v>272</v>
      </c>
    </row>
    <row r="4595" spans="1:18" ht="69" customHeight="1">
      <c r="A4595" s="168"/>
      <c r="B4595" s="178">
        <v>1308</v>
      </c>
      <c r="C4595" s="178" t="s">
        <v>9596</v>
      </c>
      <c r="D4595" s="575" t="s">
        <v>2134</v>
      </c>
      <c r="E4595" s="178" t="s">
        <v>11480</v>
      </c>
      <c r="F4595" s="210" t="s">
        <v>11576</v>
      </c>
      <c r="G4595" s="58" t="s">
        <v>11474</v>
      </c>
      <c r="H4595" s="546">
        <v>150000</v>
      </c>
      <c r="I4595" s="66">
        <v>45103</v>
      </c>
      <c r="J4595" s="411" t="s">
        <v>11571</v>
      </c>
      <c r="K4595" s="58"/>
      <c r="L4595" s="99"/>
      <c r="M4595" s="70" t="s">
        <v>9564</v>
      </c>
      <c r="N4595" s="97" t="s">
        <v>356</v>
      </c>
      <c r="O4595" s="58" t="s">
        <v>141</v>
      </c>
      <c r="P4595" s="58" t="s">
        <v>19</v>
      </c>
      <c r="Q4595" s="58" t="s">
        <v>118</v>
      </c>
      <c r="R4595" s="58" t="s">
        <v>272</v>
      </c>
    </row>
    <row r="4596" spans="1:18" ht="69" customHeight="1">
      <c r="A4596" s="168"/>
      <c r="B4596" s="178">
        <v>1309</v>
      </c>
      <c r="C4596" s="178" t="s">
        <v>9322</v>
      </c>
      <c r="D4596" s="575" t="s">
        <v>6817</v>
      </c>
      <c r="E4596" s="178" t="s">
        <v>11480</v>
      </c>
      <c r="F4596" s="210" t="s">
        <v>11577</v>
      </c>
      <c r="G4596" s="58" t="s">
        <v>11570</v>
      </c>
      <c r="H4596" s="546">
        <v>350000</v>
      </c>
      <c r="I4596" s="66">
        <v>45103</v>
      </c>
      <c r="J4596" s="411" t="s">
        <v>11571</v>
      </c>
      <c r="K4596" s="58"/>
      <c r="L4596" s="99"/>
      <c r="M4596" s="70" t="s">
        <v>9283</v>
      </c>
      <c r="N4596" s="97" t="s">
        <v>356</v>
      </c>
      <c r="O4596" s="58" t="s">
        <v>141</v>
      </c>
      <c r="P4596" s="58" t="s">
        <v>19</v>
      </c>
      <c r="Q4596" s="58" t="s">
        <v>114</v>
      </c>
      <c r="R4596" s="58" t="s">
        <v>272</v>
      </c>
    </row>
    <row r="4597" spans="1:18" ht="69" customHeight="1">
      <c r="A4597" s="168"/>
      <c r="B4597" s="178">
        <v>1310</v>
      </c>
      <c r="C4597" s="59" t="s">
        <v>3667</v>
      </c>
      <c r="D4597" s="575" t="s">
        <v>11578</v>
      </c>
      <c r="E4597" s="178" t="s">
        <v>10753</v>
      </c>
      <c r="F4597" s="210" t="s">
        <v>11579</v>
      </c>
      <c r="G4597" s="58" t="s">
        <v>11543</v>
      </c>
      <c r="H4597" s="546">
        <v>46835.35</v>
      </c>
      <c r="I4597" s="66">
        <v>45103</v>
      </c>
      <c r="J4597" s="411" t="s">
        <v>11580</v>
      </c>
      <c r="K4597" s="58"/>
      <c r="L4597" s="99"/>
      <c r="M4597" s="70" t="s">
        <v>6674</v>
      </c>
      <c r="N4597" s="97" t="s">
        <v>414</v>
      </c>
      <c r="O4597" s="58"/>
      <c r="P4597" s="58" t="s">
        <v>22</v>
      </c>
      <c r="Q4597" s="58" t="s">
        <v>78</v>
      </c>
      <c r="R4597" s="58" t="s">
        <v>265</v>
      </c>
    </row>
    <row r="4598" spans="1:18" ht="69" customHeight="1">
      <c r="A4598" s="168"/>
      <c r="B4598" s="178">
        <v>1311</v>
      </c>
      <c r="C4598" s="59" t="s">
        <v>3667</v>
      </c>
      <c r="D4598" s="575" t="s">
        <v>11581</v>
      </c>
      <c r="E4598" s="178" t="s">
        <v>10753</v>
      </c>
      <c r="F4598" s="210" t="s">
        <v>11582</v>
      </c>
      <c r="G4598" s="58" t="s">
        <v>11543</v>
      </c>
      <c r="H4598" s="546">
        <v>47670</v>
      </c>
      <c r="I4598" s="66">
        <v>45103</v>
      </c>
      <c r="J4598" s="411" t="s">
        <v>11580</v>
      </c>
      <c r="K4598" s="58"/>
      <c r="L4598" s="99"/>
      <c r="M4598" s="70" t="s">
        <v>6674</v>
      </c>
      <c r="N4598" s="97" t="s">
        <v>414</v>
      </c>
      <c r="O4598" s="58"/>
      <c r="P4598" s="58" t="s">
        <v>22</v>
      </c>
      <c r="Q4598" s="58" t="s">
        <v>78</v>
      </c>
      <c r="R4598" s="58" t="s">
        <v>265</v>
      </c>
    </row>
    <row r="4599" spans="1:18" ht="69" customHeight="1">
      <c r="A4599" s="168"/>
      <c r="B4599" s="178">
        <v>1312</v>
      </c>
      <c r="C4599" s="178" t="s">
        <v>11055</v>
      </c>
      <c r="D4599" s="575" t="s">
        <v>11583</v>
      </c>
      <c r="E4599" s="178" t="s">
        <v>10845</v>
      </c>
      <c r="F4599" s="210" t="s">
        <v>11584</v>
      </c>
      <c r="G4599" s="58" t="s">
        <v>11585</v>
      </c>
      <c r="H4599" s="546">
        <v>250000</v>
      </c>
      <c r="I4599" s="66">
        <v>45102</v>
      </c>
      <c r="J4599" s="411" t="s">
        <v>11586</v>
      </c>
      <c r="K4599" s="58"/>
      <c r="L4599" s="99"/>
      <c r="M4599" s="70" t="s">
        <v>3588</v>
      </c>
      <c r="N4599" s="97" t="s">
        <v>356</v>
      </c>
      <c r="O4599" s="58" t="s">
        <v>156</v>
      </c>
      <c r="P4599" s="58" t="s">
        <v>19</v>
      </c>
      <c r="Q4599" s="58" t="s">
        <v>45</v>
      </c>
      <c r="R4599" s="58" t="s">
        <v>272</v>
      </c>
    </row>
    <row r="4600" spans="1:18" ht="69" customHeight="1">
      <c r="A4600" s="168"/>
      <c r="B4600" s="178">
        <v>1314</v>
      </c>
      <c r="C4600" s="178" t="s">
        <v>2182</v>
      </c>
      <c r="D4600" s="575" t="s">
        <v>11587</v>
      </c>
      <c r="E4600" s="178" t="s">
        <v>10845</v>
      </c>
      <c r="F4600" s="210" t="s">
        <v>11588</v>
      </c>
      <c r="G4600" s="58" t="s">
        <v>11589</v>
      </c>
      <c r="H4600" s="546">
        <v>400000</v>
      </c>
      <c r="I4600" s="66">
        <v>45102</v>
      </c>
      <c r="J4600" s="411" t="s">
        <v>11586</v>
      </c>
      <c r="K4600" s="58"/>
      <c r="L4600" s="99"/>
      <c r="M4600" s="70" t="s">
        <v>1983</v>
      </c>
      <c r="N4600" s="97" t="s">
        <v>356</v>
      </c>
      <c r="O4600" s="58" t="s">
        <v>156</v>
      </c>
      <c r="P4600" s="58" t="s">
        <v>19</v>
      </c>
      <c r="Q4600" s="58" t="s">
        <v>31</v>
      </c>
      <c r="R4600" s="58" t="s">
        <v>272</v>
      </c>
    </row>
    <row r="4601" spans="1:18" ht="69" customHeight="1">
      <c r="A4601" s="168"/>
      <c r="B4601" s="178">
        <v>1315</v>
      </c>
      <c r="C4601" s="178" t="s">
        <v>657</v>
      </c>
      <c r="D4601" s="575" t="s">
        <v>6685</v>
      </c>
      <c r="E4601" s="178" t="s">
        <v>409</v>
      </c>
      <c r="F4601" s="210" t="s">
        <v>11590</v>
      </c>
      <c r="G4601" s="58" t="s">
        <v>7685</v>
      </c>
      <c r="H4601" s="546">
        <v>40792</v>
      </c>
      <c r="I4601" s="66">
        <v>45092</v>
      </c>
      <c r="J4601" s="411" t="s">
        <v>11591</v>
      </c>
      <c r="K4601" s="58"/>
      <c r="L4601" s="99"/>
      <c r="M4601" s="70" t="s">
        <v>11374</v>
      </c>
      <c r="N4601" s="97" t="s">
        <v>11375</v>
      </c>
      <c r="O4601" s="58"/>
      <c r="P4601" s="58" t="s">
        <v>59</v>
      </c>
      <c r="Q4601" s="58" t="s">
        <v>111</v>
      </c>
      <c r="R4601" s="58" t="s">
        <v>272</v>
      </c>
    </row>
    <row r="4602" spans="1:18" ht="69" customHeight="1">
      <c r="A4602" s="168"/>
      <c r="B4602" s="178">
        <v>1316</v>
      </c>
      <c r="C4602" s="178" t="s">
        <v>657</v>
      </c>
      <c r="D4602" s="575" t="s">
        <v>6118</v>
      </c>
      <c r="E4602" s="178" t="s">
        <v>409</v>
      </c>
      <c r="F4602" s="210" t="s">
        <v>11592</v>
      </c>
      <c r="G4602" s="58" t="s">
        <v>7685</v>
      </c>
      <c r="H4602" s="546">
        <v>163170.29</v>
      </c>
      <c r="I4602" s="66">
        <v>45092</v>
      </c>
      <c r="J4602" s="411" t="s">
        <v>11591</v>
      </c>
      <c r="K4602" s="58"/>
      <c r="L4602" s="99"/>
      <c r="M4602" s="70" t="s">
        <v>11374</v>
      </c>
      <c r="N4602" s="97" t="s">
        <v>11375</v>
      </c>
      <c r="O4602" s="58"/>
      <c r="P4602" s="58" t="s">
        <v>59</v>
      </c>
      <c r="Q4602" s="58" t="s">
        <v>111</v>
      </c>
      <c r="R4602" s="58" t="s">
        <v>272</v>
      </c>
    </row>
    <row r="4603" spans="1:18" ht="69" customHeight="1">
      <c r="A4603" s="168"/>
      <c r="B4603" s="178">
        <v>1317</v>
      </c>
      <c r="C4603" s="178" t="s">
        <v>4277</v>
      </c>
      <c r="D4603" s="575" t="s">
        <v>11593</v>
      </c>
      <c r="E4603" s="178" t="s">
        <v>4033</v>
      </c>
      <c r="F4603" s="210" t="s">
        <v>11594</v>
      </c>
      <c r="G4603" s="58" t="s">
        <v>11595</v>
      </c>
      <c r="H4603" s="546">
        <v>142402.26999999999</v>
      </c>
      <c r="I4603" s="66">
        <v>45093</v>
      </c>
      <c r="J4603" s="411" t="s">
        <v>11596</v>
      </c>
      <c r="K4603" s="58"/>
      <c r="L4603" s="99"/>
      <c r="M4603" s="70" t="s">
        <v>4871</v>
      </c>
      <c r="N4603" s="97" t="s">
        <v>414</v>
      </c>
      <c r="O4603" s="58"/>
      <c r="P4603" s="58" t="s">
        <v>22</v>
      </c>
      <c r="Q4603" s="58" t="s">
        <v>60</v>
      </c>
      <c r="R4603" s="58" t="s">
        <v>272</v>
      </c>
    </row>
    <row r="4604" spans="1:18" ht="69" customHeight="1">
      <c r="A4604" s="168"/>
      <c r="B4604" s="178">
        <v>1318</v>
      </c>
      <c r="C4604" s="178" t="s">
        <v>4277</v>
      </c>
      <c r="D4604" s="575" t="s">
        <v>11597</v>
      </c>
      <c r="E4604" s="178" t="s">
        <v>4033</v>
      </c>
      <c r="F4604" s="210" t="s">
        <v>11598</v>
      </c>
      <c r="G4604" s="58" t="s">
        <v>11595</v>
      </c>
      <c r="H4604" s="546">
        <v>143686.95000000001</v>
      </c>
      <c r="I4604" s="66">
        <v>45093</v>
      </c>
      <c r="J4604" s="411" t="s">
        <v>11596</v>
      </c>
      <c r="K4604" s="58"/>
      <c r="L4604" s="99"/>
      <c r="M4604" s="70" t="s">
        <v>5275</v>
      </c>
      <c r="N4604" s="97" t="s">
        <v>414</v>
      </c>
      <c r="O4604" s="58"/>
      <c r="P4604" s="58" t="s">
        <v>22</v>
      </c>
      <c r="Q4604" s="58" t="s">
        <v>62</v>
      </c>
      <c r="R4604" s="58" t="s">
        <v>272</v>
      </c>
    </row>
    <row r="4605" spans="1:18" ht="69" customHeight="1">
      <c r="A4605" s="168"/>
      <c r="B4605" s="178">
        <v>1319</v>
      </c>
      <c r="C4605" s="178" t="s">
        <v>458</v>
      </c>
      <c r="D4605" s="575" t="s">
        <v>6880</v>
      </c>
      <c r="E4605" s="178" t="s">
        <v>10753</v>
      </c>
      <c r="F4605" s="210" t="s">
        <v>11599</v>
      </c>
      <c r="G4605" s="58" t="s">
        <v>11543</v>
      </c>
      <c r="H4605" s="546">
        <v>60125</v>
      </c>
      <c r="I4605" s="66">
        <v>45103</v>
      </c>
      <c r="J4605" s="411" t="s">
        <v>11600</v>
      </c>
      <c r="K4605" s="58"/>
      <c r="L4605" s="99"/>
      <c r="M4605" s="70" t="s">
        <v>8358</v>
      </c>
      <c r="N4605" s="97" t="s">
        <v>414</v>
      </c>
      <c r="O4605" s="45" t="s">
        <v>147</v>
      </c>
      <c r="P4605" s="58" t="s">
        <v>22</v>
      </c>
      <c r="Q4605" s="58" t="s">
        <v>119</v>
      </c>
      <c r="R4605" s="58" t="s">
        <v>265</v>
      </c>
    </row>
    <row r="4606" spans="1:18" ht="69" customHeight="1">
      <c r="A4606" s="168"/>
      <c r="B4606" s="178">
        <v>1320</v>
      </c>
      <c r="C4606" s="178" t="s">
        <v>657</v>
      </c>
      <c r="D4606" s="575" t="s">
        <v>6505</v>
      </c>
      <c r="E4606" s="178" t="s">
        <v>10753</v>
      </c>
      <c r="F4606" s="210" t="s">
        <v>11601</v>
      </c>
      <c r="G4606" s="58" t="s">
        <v>11543</v>
      </c>
      <c r="H4606" s="546">
        <v>37000</v>
      </c>
      <c r="I4606" s="66">
        <v>45103</v>
      </c>
      <c r="J4606" s="411" t="s">
        <v>11600</v>
      </c>
      <c r="K4606" s="58"/>
      <c r="L4606" s="99"/>
      <c r="M4606" s="70" t="s">
        <v>9784</v>
      </c>
      <c r="N4606" s="97" t="s">
        <v>414</v>
      </c>
      <c r="O4606" s="58"/>
      <c r="P4606" s="58" t="s">
        <v>22</v>
      </c>
      <c r="Q4606" s="58" t="s">
        <v>120</v>
      </c>
      <c r="R4606" s="58" t="s">
        <v>265</v>
      </c>
    </row>
    <row r="4607" spans="1:18" ht="69" customHeight="1">
      <c r="A4607" s="168"/>
      <c r="B4607" s="178">
        <v>1321</v>
      </c>
      <c r="C4607" s="178" t="s">
        <v>458</v>
      </c>
      <c r="D4607" s="575" t="s">
        <v>11583</v>
      </c>
      <c r="E4607" s="178" t="s">
        <v>10753</v>
      </c>
      <c r="F4607" s="210" t="s">
        <v>11602</v>
      </c>
      <c r="G4607" s="58" t="s">
        <v>11543</v>
      </c>
      <c r="H4607" s="546">
        <v>59923</v>
      </c>
      <c r="I4607" s="66">
        <v>45103</v>
      </c>
      <c r="J4607" s="411" t="s">
        <v>11600</v>
      </c>
      <c r="K4607" s="58"/>
      <c r="L4607" s="99"/>
      <c r="M4607" s="70" t="s">
        <v>8351</v>
      </c>
      <c r="N4607" s="97" t="s">
        <v>414</v>
      </c>
      <c r="O4607" s="58"/>
      <c r="P4607" s="58" t="s">
        <v>22</v>
      </c>
      <c r="Q4607" s="58" t="s">
        <v>107</v>
      </c>
      <c r="R4607" s="58" t="s">
        <v>265</v>
      </c>
    </row>
    <row r="4608" spans="1:18" ht="69" customHeight="1">
      <c r="A4608" s="168"/>
      <c r="B4608" s="178">
        <v>1322</v>
      </c>
      <c r="C4608" s="178" t="s">
        <v>657</v>
      </c>
      <c r="D4608" s="575" t="s">
        <v>6687</v>
      </c>
      <c r="E4608" s="178" t="s">
        <v>10753</v>
      </c>
      <c r="F4608" s="210" t="s">
        <v>11603</v>
      </c>
      <c r="G4608" s="58" t="s">
        <v>11543</v>
      </c>
      <c r="H4608" s="546">
        <v>37716</v>
      </c>
      <c r="I4608" s="66">
        <v>45103</v>
      </c>
      <c r="J4608" s="411" t="s">
        <v>11600</v>
      </c>
      <c r="K4608" s="58"/>
      <c r="L4608" s="99"/>
      <c r="M4608" s="70" t="s">
        <v>8886</v>
      </c>
      <c r="N4608" s="97" t="s">
        <v>6197</v>
      </c>
      <c r="O4608" s="58"/>
      <c r="P4608" s="58" t="s">
        <v>22</v>
      </c>
      <c r="Q4608" s="58" t="s">
        <v>110</v>
      </c>
      <c r="R4608" s="58" t="s">
        <v>265</v>
      </c>
    </row>
    <row r="4609" spans="1:18" ht="69" customHeight="1">
      <c r="A4609" s="168"/>
      <c r="B4609" s="178">
        <v>1323</v>
      </c>
      <c r="C4609" s="178" t="s">
        <v>3647</v>
      </c>
      <c r="D4609" s="575" t="s">
        <v>11604</v>
      </c>
      <c r="E4609" s="178" t="s">
        <v>4033</v>
      </c>
      <c r="F4609" s="210" t="s">
        <v>11605</v>
      </c>
      <c r="G4609" s="58" t="s">
        <v>11595</v>
      </c>
      <c r="H4609" s="546">
        <v>267320.34999999998</v>
      </c>
      <c r="I4609" s="66">
        <v>45093</v>
      </c>
      <c r="J4609" s="411" t="s">
        <v>11606</v>
      </c>
      <c r="K4609" s="58"/>
      <c r="L4609" s="99"/>
      <c r="M4609" s="70" t="s">
        <v>3704</v>
      </c>
      <c r="N4609" s="97" t="s">
        <v>414</v>
      </c>
      <c r="O4609" s="58"/>
      <c r="P4609" s="58" t="s">
        <v>22</v>
      </c>
      <c r="Q4609" s="58" t="s">
        <v>47</v>
      </c>
      <c r="R4609" s="58" t="s">
        <v>272</v>
      </c>
    </row>
    <row r="4610" spans="1:18" ht="69" customHeight="1">
      <c r="A4610" s="168"/>
      <c r="B4610" s="178">
        <v>1324</v>
      </c>
      <c r="C4610" s="178" t="s">
        <v>3647</v>
      </c>
      <c r="D4610" s="575" t="s">
        <v>11607</v>
      </c>
      <c r="E4610" s="178" t="s">
        <v>4033</v>
      </c>
      <c r="F4610" s="210" t="s">
        <v>11608</v>
      </c>
      <c r="G4610" s="58" t="s">
        <v>11595</v>
      </c>
      <c r="H4610" s="546">
        <v>185033.42</v>
      </c>
      <c r="I4610" s="66">
        <v>45093</v>
      </c>
      <c r="J4610" s="411" t="s">
        <v>11606</v>
      </c>
      <c r="K4610" s="58"/>
      <c r="L4610" s="99"/>
      <c r="M4610" s="70" t="s">
        <v>4165</v>
      </c>
      <c r="N4610" s="97" t="s">
        <v>414</v>
      </c>
      <c r="O4610" s="58"/>
      <c r="P4610" s="58" t="s">
        <v>22</v>
      </c>
      <c r="Q4610" s="58" t="s">
        <v>52</v>
      </c>
      <c r="R4610" s="58" t="s">
        <v>272</v>
      </c>
    </row>
    <row r="4611" spans="1:18" ht="69" customHeight="1">
      <c r="A4611" s="168"/>
      <c r="B4611" s="178">
        <v>1325</v>
      </c>
      <c r="C4611" s="178" t="s">
        <v>458</v>
      </c>
      <c r="D4611" s="575" t="s">
        <v>11587</v>
      </c>
      <c r="E4611" s="178" t="s">
        <v>409</v>
      </c>
      <c r="F4611" s="210" t="s">
        <v>11609</v>
      </c>
      <c r="G4611" s="58" t="s">
        <v>9211</v>
      </c>
      <c r="H4611" s="546">
        <v>29276.38</v>
      </c>
      <c r="I4611" s="66">
        <v>45096</v>
      </c>
      <c r="J4611" s="411" t="s">
        <v>11610</v>
      </c>
      <c r="K4611" s="58"/>
      <c r="L4611" s="99"/>
      <c r="M4611" s="70" t="s">
        <v>11611</v>
      </c>
      <c r="N4611" s="97" t="s">
        <v>741</v>
      </c>
      <c r="O4611" s="58"/>
      <c r="P4611" s="58" t="s">
        <v>59</v>
      </c>
      <c r="Q4611" s="58" t="s">
        <v>112</v>
      </c>
      <c r="R4611" s="58" t="s">
        <v>272</v>
      </c>
    </row>
    <row r="4612" spans="1:18" ht="69" customHeight="1">
      <c r="A4612" s="168"/>
      <c r="B4612" s="178">
        <v>1326</v>
      </c>
      <c r="C4612" s="178" t="s">
        <v>458</v>
      </c>
      <c r="D4612" s="575" t="s">
        <v>11612</v>
      </c>
      <c r="E4612" s="178" t="s">
        <v>409</v>
      </c>
      <c r="F4612" s="210" t="s">
        <v>11613</v>
      </c>
      <c r="G4612" s="58" t="s">
        <v>9211</v>
      </c>
      <c r="H4612" s="546">
        <v>117105.5</v>
      </c>
      <c r="I4612" s="66">
        <v>45096</v>
      </c>
      <c r="J4612" s="411" t="s">
        <v>11610</v>
      </c>
      <c r="K4612" s="58"/>
      <c r="L4612" s="99"/>
      <c r="M4612" s="70" t="s">
        <v>11611</v>
      </c>
      <c r="N4612" s="97" t="s">
        <v>741</v>
      </c>
      <c r="O4612" s="58"/>
      <c r="P4612" s="58" t="s">
        <v>59</v>
      </c>
      <c r="Q4612" s="58" t="s">
        <v>112</v>
      </c>
      <c r="R4612" s="58" t="s">
        <v>272</v>
      </c>
    </row>
    <row r="4613" spans="1:18" ht="69" customHeight="1">
      <c r="A4613" s="168"/>
      <c r="B4613" s="178">
        <v>1327</v>
      </c>
      <c r="C4613" s="178" t="s">
        <v>309</v>
      </c>
      <c r="D4613" s="575" t="s">
        <v>11612</v>
      </c>
      <c r="E4613" s="178" t="s">
        <v>11480</v>
      </c>
      <c r="F4613" s="210" t="s">
        <v>11614</v>
      </c>
      <c r="G4613" s="58" t="s">
        <v>11615</v>
      </c>
      <c r="H4613" s="546">
        <v>200000</v>
      </c>
      <c r="I4613" s="66">
        <v>45103</v>
      </c>
      <c r="J4613" s="411" t="s">
        <v>11616</v>
      </c>
      <c r="K4613" s="58"/>
      <c r="L4613" s="99"/>
      <c r="M4613" s="70" t="s">
        <v>2965</v>
      </c>
      <c r="N4613" s="97" t="s">
        <v>356</v>
      </c>
      <c r="O4613" s="58" t="s">
        <v>141</v>
      </c>
      <c r="P4613" s="58" t="s">
        <v>19</v>
      </c>
      <c r="Q4613" s="58" t="s">
        <v>39</v>
      </c>
      <c r="R4613" s="58" t="s">
        <v>272</v>
      </c>
    </row>
    <row r="4614" spans="1:18" ht="69" customHeight="1">
      <c r="A4614" s="168"/>
      <c r="B4614" s="178">
        <v>1328</v>
      </c>
      <c r="C4614" s="178" t="s">
        <v>309</v>
      </c>
      <c r="D4614" s="575" t="s">
        <v>4299</v>
      </c>
      <c r="E4614" s="178" t="s">
        <v>11480</v>
      </c>
      <c r="F4614" s="210" t="s">
        <v>11617</v>
      </c>
      <c r="G4614" s="58" t="s">
        <v>11615</v>
      </c>
      <c r="H4614" s="546">
        <v>250000</v>
      </c>
      <c r="I4614" s="66">
        <v>45103</v>
      </c>
      <c r="J4614" s="411" t="s">
        <v>11616</v>
      </c>
      <c r="K4614" s="58"/>
      <c r="L4614" s="99"/>
      <c r="M4614" s="70" t="s">
        <v>3186</v>
      </c>
      <c r="N4614" s="97" t="s">
        <v>356</v>
      </c>
      <c r="O4614" s="58" t="s">
        <v>141</v>
      </c>
      <c r="P4614" s="58" t="s">
        <v>19</v>
      </c>
      <c r="Q4614" s="58" t="s">
        <v>41</v>
      </c>
      <c r="R4614" s="58" t="s">
        <v>272</v>
      </c>
    </row>
    <row r="4615" spans="1:18" ht="69" customHeight="1">
      <c r="A4615" s="168"/>
      <c r="B4615" s="178">
        <v>1329</v>
      </c>
      <c r="C4615" s="178" t="s">
        <v>11618</v>
      </c>
      <c r="D4615" s="575" t="s">
        <v>4508</v>
      </c>
      <c r="E4615" s="178" t="s">
        <v>409</v>
      </c>
      <c r="F4615" s="210" t="s">
        <v>11619</v>
      </c>
      <c r="G4615" s="58" t="s">
        <v>7685</v>
      </c>
      <c r="H4615" s="546">
        <v>55263.61</v>
      </c>
      <c r="I4615" s="66">
        <v>45096</v>
      </c>
      <c r="J4615" s="411" t="s">
        <v>11620</v>
      </c>
      <c r="K4615" s="58"/>
      <c r="L4615" s="99"/>
      <c r="M4615" s="70" t="s">
        <v>11224</v>
      </c>
      <c r="N4615" s="97" t="s">
        <v>11225</v>
      </c>
      <c r="O4615" s="58" t="s">
        <v>11226</v>
      </c>
      <c r="P4615" s="58" t="s">
        <v>59</v>
      </c>
      <c r="Q4615" s="58" t="s">
        <v>122</v>
      </c>
      <c r="R4615" s="58" t="s">
        <v>272</v>
      </c>
    </row>
    <row r="4616" spans="1:18" ht="69" customHeight="1">
      <c r="A4616" s="168"/>
      <c r="B4616" s="178">
        <v>1330</v>
      </c>
      <c r="C4616" s="178" t="s">
        <v>11618</v>
      </c>
      <c r="D4616" s="575" t="s">
        <v>3959</v>
      </c>
      <c r="E4616" s="178" t="s">
        <v>409</v>
      </c>
      <c r="F4616" s="210" t="s">
        <v>11621</v>
      </c>
      <c r="G4616" s="58" t="s">
        <v>7685</v>
      </c>
      <c r="H4616" s="546">
        <v>221054.43</v>
      </c>
      <c r="I4616" s="66">
        <v>45096</v>
      </c>
      <c r="J4616" s="411" t="s">
        <v>11620</v>
      </c>
      <c r="K4616" s="58"/>
      <c r="L4616" s="99"/>
      <c r="M4616" s="70" t="s">
        <v>11224</v>
      </c>
      <c r="N4616" s="97" t="s">
        <v>11225</v>
      </c>
      <c r="O4616" s="58" t="s">
        <v>11226</v>
      </c>
      <c r="P4616" s="58" t="s">
        <v>59</v>
      </c>
      <c r="Q4616" s="58" t="s">
        <v>122</v>
      </c>
      <c r="R4616" s="58" t="s">
        <v>272</v>
      </c>
    </row>
    <row r="4617" spans="1:18" ht="69" customHeight="1">
      <c r="A4617" s="168"/>
      <c r="B4617" s="178">
        <v>1331</v>
      </c>
      <c r="C4617" s="178" t="s">
        <v>4277</v>
      </c>
      <c r="D4617" s="575" t="s">
        <v>11622</v>
      </c>
      <c r="E4617" s="178" t="s">
        <v>7985</v>
      </c>
      <c r="F4617" s="210" t="s">
        <v>11623</v>
      </c>
      <c r="G4617" s="58" t="s">
        <v>11624</v>
      </c>
      <c r="H4617" s="546">
        <v>104013.86</v>
      </c>
      <c r="I4617" s="66">
        <v>44976</v>
      </c>
      <c r="J4617" s="411" t="s">
        <v>11625</v>
      </c>
      <c r="K4617" s="58"/>
      <c r="L4617" s="99"/>
      <c r="M4617" s="70" t="s">
        <v>5471</v>
      </c>
      <c r="N4617" s="97" t="s">
        <v>1372</v>
      </c>
      <c r="O4617" s="58"/>
      <c r="P4617" s="58" t="s">
        <v>57</v>
      </c>
      <c r="Q4617" s="58" t="s">
        <v>62</v>
      </c>
      <c r="R4617" s="58" t="s">
        <v>272</v>
      </c>
    </row>
    <row r="4618" spans="1:18" ht="69" customHeight="1">
      <c r="A4618" s="168"/>
      <c r="B4618" s="178">
        <v>1332</v>
      </c>
      <c r="C4618" s="178" t="s">
        <v>458</v>
      </c>
      <c r="D4618" s="575" t="s">
        <v>3955</v>
      </c>
      <c r="E4618" s="178" t="s">
        <v>409</v>
      </c>
      <c r="F4618" s="210" t="s">
        <v>11626</v>
      </c>
      <c r="G4618" s="58" t="s">
        <v>9211</v>
      </c>
      <c r="H4618" s="546">
        <v>60805.54</v>
      </c>
      <c r="I4618" s="66">
        <v>45096</v>
      </c>
      <c r="J4618" s="411" t="s">
        <v>11627</v>
      </c>
      <c r="K4618" s="58"/>
      <c r="L4618" s="99"/>
      <c r="M4618" s="70" t="s">
        <v>11628</v>
      </c>
      <c r="N4618" s="97" t="s">
        <v>741</v>
      </c>
      <c r="O4618" s="58"/>
      <c r="P4618" s="58" t="s">
        <v>59</v>
      </c>
      <c r="Q4618" s="58" t="s">
        <v>88</v>
      </c>
      <c r="R4618" s="58" t="s">
        <v>272</v>
      </c>
    </row>
    <row r="4619" spans="1:18" ht="69" customHeight="1">
      <c r="A4619" s="168"/>
      <c r="B4619" s="178">
        <v>1333</v>
      </c>
      <c r="C4619" s="178" t="s">
        <v>458</v>
      </c>
      <c r="D4619" s="575" t="s">
        <v>5841</v>
      </c>
      <c r="E4619" s="178" t="s">
        <v>409</v>
      </c>
      <c r="F4619" s="210" t="s">
        <v>11629</v>
      </c>
      <c r="G4619" s="58" t="s">
        <v>9211</v>
      </c>
      <c r="H4619" s="546">
        <v>243222.14</v>
      </c>
      <c r="I4619" s="66">
        <v>45096</v>
      </c>
      <c r="J4619" s="411" t="s">
        <v>11627</v>
      </c>
      <c r="K4619" s="58"/>
      <c r="L4619" s="99"/>
      <c r="M4619" s="70" t="s">
        <v>11628</v>
      </c>
      <c r="N4619" s="97" t="s">
        <v>741</v>
      </c>
      <c r="O4619" s="58"/>
      <c r="P4619" s="58" t="s">
        <v>59</v>
      </c>
      <c r="Q4619" s="58" t="s">
        <v>88</v>
      </c>
      <c r="R4619" s="58" t="s">
        <v>272</v>
      </c>
    </row>
    <row r="4620" spans="1:18" ht="69" customHeight="1">
      <c r="A4620" s="168"/>
      <c r="B4620" s="178">
        <v>1334</v>
      </c>
      <c r="C4620" s="178" t="s">
        <v>458</v>
      </c>
      <c r="D4620" s="575" t="s">
        <v>4297</v>
      </c>
      <c r="E4620" s="178" t="s">
        <v>409</v>
      </c>
      <c r="F4620" s="210" t="s">
        <v>11630</v>
      </c>
      <c r="G4620" s="58" t="s">
        <v>11631</v>
      </c>
      <c r="H4620" s="546">
        <v>1574.2</v>
      </c>
      <c r="I4620" s="66">
        <v>45096</v>
      </c>
      <c r="J4620" s="411" t="s">
        <v>11632</v>
      </c>
      <c r="K4620" s="58"/>
      <c r="L4620" s="99"/>
      <c r="M4620" s="70" t="s">
        <v>8332</v>
      </c>
      <c r="N4620" s="97" t="s">
        <v>741</v>
      </c>
      <c r="O4620" s="58"/>
      <c r="P4620" s="58" t="s">
        <v>59</v>
      </c>
      <c r="Q4620" s="58" t="s">
        <v>107</v>
      </c>
      <c r="R4620" s="58" t="s">
        <v>272</v>
      </c>
    </row>
    <row r="4621" spans="1:18" ht="69" customHeight="1">
      <c r="A4621" s="168"/>
      <c r="B4621" s="178">
        <v>1335</v>
      </c>
      <c r="C4621" s="178" t="s">
        <v>458</v>
      </c>
      <c r="D4621" s="575" t="s">
        <v>5422</v>
      </c>
      <c r="E4621" s="178" t="s">
        <v>409</v>
      </c>
      <c r="F4621" s="210" t="s">
        <v>11633</v>
      </c>
      <c r="G4621" s="58" t="s">
        <v>11631</v>
      </c>
      <c r="H4621" s="546">
        <v>6296.8</v>
      </c>
      <c r="I4621" s="66">
        <v>45096</v>
      </c>
      <c r="J4621" s="411" t="s">
        <v>11632</v>
      </c>
      <c r="K4621" s="58"/>
      <c r="L4621" s="99"/>
      <c r="M4621" s="70" t="s">
        <v>8332</v>
      </c>
      <c r="N4621" s="97" t="s">
        <v>741</v>
      </c>
      <c r="O4621" s="58"/>
      <c r="P4621" s="58" t="s">
        <v>59</v>
      </c>
      <c r="Q4621" s="58" t="s">
        <v>107</v>
      </c>
      <c r="R4621" s="58" t="s">
        <v>272</v>
      </c>
    </row>
    <row r="4622" spans="1:18" ht="69" customHeight="1">
      <c r="A4622" s="168"/>
      <c r="B4622" s="178">
        <v>1335</v>
      </c>
      <c r="C4622" s="178" t="s">
        <v>458</v>
      </c>
      <c r="D4622" s="575" t="s">
        <v>11634</v>
      </c>
      <c r="E4622" s="178" t="s">
        <v>409</v>
      </c>
      <c r="F4622" s="210" t="s">
        <v>11635</v>
      </c>
      <c r="G4622" s="58" t="s">
        <v>7990</v>
      </c>
      <c r="H4622" s="546">
        <v>21598.2</v>
      </c>
      <c r="I4622" s="66">
        <v>45096</v>
      </c>
      <c r="J4622" s="411" t="s">
        <v>11636</v>
      </c>
      <c r="K4622" s="58"/>
      <c r="L4622" s="99"/>
      <c r="M4622" s="70" t="s">
        <v>7687</v>
      </c>
      <c r="N4622" s="97" t="s">
        <v>741</v>
      </c>
      <c r="O4622" s="58"/>
      <c r="P4622" s="58" t="s">
        <v>59</v>
      </c>
      <c r="Q4622" s="58" t="s">
        <v>103</v>
      </c>
      <c r="R4622" s="58" t="s">
        <v>272</v>
      </c>
    </row>
    <row r="4623" spans="1:18" ht="69" customHeight="1">
      <c r="A4623" s="168"/>
      <c r="B4623" s="178">
        <v>1337</v>
      </c>
      <c r="C4623" s="178" t="s">
        <v>458</v>
      </c>
      <c r="D4623" s="575" t="s">
        <v>5425</v>
      </c>
      <c r="E4623" s="178" t="s">
        <v>409</v>
      </c>
      <c r="F4623" s="210" t="s">
        <v>11637</v>
      </c>
      <c r="G4623" s="58" t="s">
        <v>7990</v>
      </c>
      <c r="H4623" s="546">
        <v>86392.8</v>
      </c>
      <c r="I4623" s="66">
        <v>45096</v>
      </c>
      <c r="J4623" s="411" t="s">
        <v>11636</v>
      </c>
      <c r="K4623" s="58"/>
      <c r="L4623" s="99"/>
      <c r="M4623" s="70" t="s">
        <v>7687</v>
      </c>
      <c r="N4623" s="97" t="s">
        <v>741</v>
      </c>
      <c r="O4623" s="58"/>
      <c r="P4623" s="58" t="s">
        <v>59</v>
      </c>
      <c r="Q4623" s="58" t="s">
        <v>103</v>
      </c>
      <c r="R4623" s="58" t="s">
        <v>272</v>
      </c>
    </row>
    <row r="4624" spans="1:18" ht="69" customHeight="1">
      <c r="A4624" s="168"/>
      <c r="B4624" s="191">
        <v>1338</v>
      </c>
      <c r="C4624" s="191" t="s">
        <v>4411</v>
      </c>
      <c r="D4624" s="533" t="s">
        <v>11638</v>
      </c>
      <c r="E4624" s="191" t="s">
        <v>877</v>
      </c>
      <c r="F4624" s="211" t="s">
        <v>11639</v>
      </c>
      <c r="G4624" s="46" t="s">
        <v>11640</v>
      </c>
      <c r="H4624" s="534">
        <v>21654.19</v>
      </c>
      <c r="I4624" s="56">
        <v>45103</v>
      </c>
      <c r="J4624" s="412" t="s">
        <v>11641</v>
      </c>
      <c r="K4624" s="46" t="s">
        <v>5103</v>
      </c>
      <c r="L4624" s="99"/>
      <c r="M4624" s="379"/>
      <c r="N4624" s="76" t="s">
        <v>716</v>
      </c>
      <c r="O4624" s="46"/>
      <c r="P4624" s="46" t="s">
        <v>71</v>
      </c>
      <c r="Q4624" s="46" t="s">
        <v>54</v>
      </c>
      <c r="R4624" s="46" t="s">
        <v>272</v>
      </c>
    </row>
    <row r="4625" spans="1:18" ht="69" customHeight="1">
      <c r="A4625" s="168"/>
      <c r="B4625" s="191">
        <v>1339</v>
      </c>
      <c r="C4625" s="191" t="s">
        <v>753</v>
      </c>
      <c r="D4625" s="533" t="s">
        <v>3941</v>
      </c>
      <c r="E4625" s="191" t="s">
        <v>877</v>
      </c>
      <c r="F4625" s="211" t="s">
        <v>11642</v>
      </c>
      <c r="G4625" s="46" t="s">
        <v>11640</v>
      </c>
      <c r="H4625" s="534">
        <v>25241.9</v>
      </c>
      <c r="I4625" s="56">
        <v>45104</v>
      </c>
      <c r="J4625" s="412" t="s">
        <v>11641</v>
      </c>
      <c r="K4625" s="46" t="s">
        <v>5103</v>
      </c>
      <c r="L4625" s="99"/>
      <c r="M4625" s="379"/>
      <c r="N4625" s="76" t="s">
        <v>716</v>
      </c>
      <c r="O4625" s="46"/>
      <c r="P4625" s="46" t="s">
        <v>71</v>
      </c>
      <c r="Q4625" s="46" t="s">
        <v>20</v>
      </c>
      <c r="R4625" s="46" t="s">
        <v>272</v>
      </c>
    </row>
    <row r="4626" spans="1:18" ht="69" customHeight="1">
      <c r="A4626" s="168"/>
      <c r="B4626" s="191">
        <v>1340</v>
      </c>
      <c r="C4626" s="191" t="s">
        <v>3368</v>
      </c>
      <c r="D4626" s="533" t="s">
        <v>4297</v>
      </c>
      <c r="E4626" s="191" t="s">
        <v>877</v>
      </c>
      <c r="F4626" s="211" t="s">
        <v>11643</v>
      </c>
      <c r="G4626" s="46" t="s">
        <v>11640</v>
      </c>
      <c r="H4626" s="534">
        <v>21654.19</v>
      </c>
      <c r="I4626" s="56">
        <v>45105</v>
      </c>
      <c r="J4626" s="412" t="s">
        <v>11641</v>
      </c>
      <c r="K4626" s="46" t="s">
        <v>167</v>
      </c>
      <c r="L4626" s="99"/>
      <c r="M4626" s="379"/>
      <c r="N4626" s="76" t="s">
        <v>716</v>
      </c>
      <c r="O4626" s="46"/>
      <c r="P4626" s="46" t="s">
        <v>71</v>
      </c>
      <c r="Q4626" s="46" t="s">
        <v>43</v>
      </c>
      <c r="R4626" s="46" t="s">
        <v>272</v>
      </c>
    </row>
    <row r="4627" spans="1:18" ht="69" customHeight="1">
      <c r="A4627" s="168"/>
      <c r="B4627" s="207">
        <v>1018</v>
      </c>
      <c r="C4627" s="207" t="s">
        <v>657</v>
      </c>
      <c r="D4627" s="301" t="s">
        <v>3032</v>
      </c>
      <c r="E4627" s="207" t="s">
        <v>10671</v>
      </c>
      <c r="F4627" s="208" t="s">
        <v>11644</v>
      </c>
      <c r="G4627" s="160" t="s">
        <v>10659</v>
      </c>
      <c r="H4627" s="300">
        <v>18299.52</v>
      </c>
      <c r="I4627" s="209">
        <v>45066</v>
      </c>
      <c r="J4627" s="322" t="s">
        <v>10722</v>
      </c>
      <c r="K4627" s="160" t="s">
        <v>4128</v>
      </c>
      <c r="M4627" s="379"/>
      <c r="N4627" s="76" t="s">
        <v>387</v>
      </c>
      <c r="O4627" s="160"/>
      <c r="P4627" s="160" t="s">
        <v>67</v>
      </c>
      <c r="Q4627" s="160" t="s">
        <v>116</v>
      </c>
      <c r="R4627" s="160" t="s">
        <v>272</v>
      </c>
    </row>
    <row r="4628" spans="1:18" ht="69" customHeight="1">
      <c r="A4628" s="168"/>
      <c r="B4628" s="191">
        <v>1342</v>
      </c>
      <c r="C4628" s="191" t="s">
        <v>9596</v>
      </c>
      <c r="D4628" s="533" t="s">
        <v>2574</v>
      </c>
      <c r="E4628" s="191" t="s">
        <v>877</v>
      </c>
      <c r="F4628" s="211" t="s">
        <v>11645</v>
      </c>
      <c r="G4628" s="46" t="s">
        <v>11640</v>
      </c>
      <c r="H4628" s="534">
        <v>22211.07</v>
      </c>
      <c r="I4628" s="56">
        <v>45107</v>
      </c>
      <c r="J4628" s="412" t="s">
        <v>11641</v>
      </c>
      <c r="K4628" s="46" t="s">
        <v>167</v>
      </c>
      <c r="L4628" s="99"/>
      <c r="M4628" s="379"/>
      <c r="N4628" s="76" t="s">
        <v>716</v>
      </c>
      <c r="O4628" s="46"/>
      <c r="P4628" s="46" t="s">
        <v>71</v>
      </c>
      <c r="Q4628" s="46" t="s">
        <v>118</v>
      </c>
      <c r="R4628" s="46" t="s">
        <v>272</v>
      </c>
    </row>
    <row r="4629" spans="1:18" ht="69" customHeight="1">
      <c r="A4629" s="168"/>
      <c r="B4629" s="207">
        <v>1343</v>
      </c>
      <c r="C4629" s="207" t="s">
        <v>458</v>
      </c>
      <c r="D4629" s="301" t="s">
        <v>5429</v>
      </c>
      <c r="E4629" s="207" t="s">
        <v>11646</v>
      </c>
      <c r="F4629" s="208" t="s">
        <v>11647</v>
      </c>
      <c r="G4629" s="160" t="s">
        <v>11648</v>
      </c>
      <c r="H4629" s="300">
        <v>1255.2</v>
      </c>
      <c r="I4629" s="209">
        <v>45103</v>
      </c>
      <c r="J4629" s="322" t="s">
        <v>11649</v>
      </c>
      <c r="K4629" s="160" t="s">
        <v>10804</v>
      </c>
      <c r="M4629" s="379"/>
      <c r="N4629" s="76" t="s">
        <v>414</v>
      </c>
      <c r="O4629" s="160"/>
      <c r="P4629" s="160" t="s">
        <v>67</v>
      </c>
      <c r="Q4629" s="160" t="s">
        <v>119</v>
      </c>
      <c r="R4629" s="160" t="s">
        <v>272</v>
      </c>
    </row>
    <row r="4630" spans="1:18" ht="69" customHeight="1">
      <c r="A4630" s="168"/>
      <c r="B4630" s="178">
        <v>1344</v>
      </c>
      <c r="C4630" s="178" t="s">
        <v>458</v>
      </c>
      <c r="D4630" s="575" t="s">
        <v>5431</v>
      </c>
      <c r="E4630" s="178" t="s">
        <v>266</v>
      </c>
      <c r="F4630" s="210" t="s">
        <v>11650</v>
      </c>
      <c r="G4630" s="58" t="s">
        <v>5654</v>
      </c>
      <c r="H4630" s="546">
        <v>13384</v>
      </c>
      <c r="I4630" s="66">
        <v>45102</v>
      </c>
      <c r="J4630" s="411" t="s">
        <v>11651</v>
      </c>
      <c r="K4630" s="58"/>
      <c r="L4630" s="99"/>
      <c r="M4630" s="70" t="s">
        <v>7231</v>
      </c>
      <c r="N4630" s="97" t="s">
        <v>270</v>
      </c>
      <c r="O4630" s="58"/>
      <c r="P4630" s="58" t="s">
        <v>44</v>
      </c>
      <c r="Q4630" s="58" t="s">
        <v>100</v>
      </c>
      <c r="R4630" s="58" t="s">
        <v>272</v>
      </c>
    </row>
    <row r="4631" spans="1:18" ht="69" customHeight="1">
      <c r="A4631" s="168"/>
      <c r="B4631" s="178">
        <v>1345</v>
      </c>
      <c r="C4631" s="178" t="s">
        <v>458</v>
      </c>
      <c r="D4631" s="575" t="s">
        <v>5419</v>
      </c>
      <c r="E4631" s="178" t="s">
        <v>266</v>
      </c>
      <c r="F4631" s="210" t="s">
        <v>11652</v>
      </c>
      <c r="G4631" s="58" t="s">
        <v>5654</v>
      </c>
      <c r="H4631" s="546">
        <v>3500</v>
      </c>
      <c r="I4631" s="66">
        <v>45102</v>
      </c>
      <c r="J4631" s="411" t="s">
        <v>11651</v>
      </c>
      <c r="K4631" s="58"/>
      <c r="L4631" s="99"/>
      <c r="M4631" s="70" t="s">
        <v>7231</v>
      </c>
      <c r="N4631" s="97" t="s">
        <v>270</v>
      </c>
      <c r="O4631" s="58"/>
      <c r="P4631" s="58" t="s">
        <v>44</v>
      </c>
      <c r="Q4631" s="58" t="s">
        <v>100</v>
      </c>
      <c r="R4631" s="58" t="s">
        <v>272</v>
      </c>
    </row>
    <row r="4632" spans="1:18" ht="69" customHeight="1">
      <c r="A4632" s="168"/>
      <c r="B4632" s="178">
        <v>1346</v>
      </c>
      <c r="C4632" s="178" t="s">
        <v>657</v>
      </c>
      <c r="D4632" s="575" t="s">
        <v>5948</v>
      </c>
      <c r="E4632" s="178" t="s">
        <v>409</v>
      </c>
      <c r="F4632" s="210" t="s">
        <v>11653</v>
      </c>
      <c r="G4632" s="58" t="s">
        <v>11631</v>
      </c>
      <c r="H4632" s="546">
        <v>44590.57</v>
      </c>
      <c r="I4632" s="66">
        <v>45096</v>
      </c>
      <c r="J4632" s="411" t="s">
        <v>11654</v>
      </c>
      <c r="K4632" s="58"/>
      <c r="L4632" s="99"/>
      <c r="M4632" s="70" t="s">
        <v>7819</v>
      </c>
      <c r="N4632" s="97" t="s">
        <v>741</v>
      </c>
      <c r="O4632" s="58"/>
      <c r="P4632" s="58" t="s">
        <v>59</v>
      </c>
      <c r="Q4632" s="58" t="s">
        <v>104</v>
      </c>
      <c r="R4632" s="58" t="s">
        <v>272</v>
      </c>
    </row>
    <row r="4633" spans="1:18" ht="69" customHeight="1">
      <c r="A4633" s="168"/>
      <c r="B4633" s="178">
        <v>1347</v>
      </c>
      <c r="C4633" s="178" t="s">
        <v>657</v>
      </c>
      <c r="D4633" s="575" t="s">
        <v>5950</v>
      </c>
      <c r="E4633" s="178" t="s">
        <v>409</v>
      </c>
      <c r="F4633" s="210" t="s">
        <v>11655</v>
      </c>
      <c r="G4633" s="58" t="s">
        <v>11631</v>
      </c>
      <c r="H4633" s="546">
        <v>178362.3</v>
      </c>
      <c r="I4633" s="66">
        <v>45096</v>
      </c>
      <c r="J4633" s="411" t="s">
        <v>11654</v>
      </c>
      <c r="K4633" s="58"/>
      <c r="L4633" s="99"/>
      <c r="M4633" s="70" t="s">
        <v>7819</v>
      </c>
      <c r="N4633" s="97" t="s">
        <v>741</v>
      </c>
      <c r="O4633" s="58"/>
      <c r="P4633" s="58" t="s">
        <v>59</v>
      </c>
      <c r="Q4633" s="58" t="s">
        <v>104</v>
      </c>
      <c r="R4633" s="58" t="s">
        <v>272</v>
      </c>
    </row>
    <row r="4634" spans="1:18" ht="69" customHeight="1">
      <c r="A4634" s="168"/>
      <c r="B4634" s="178">
        <v>1348</v>
      </c>
      <c r="C4634" s="178" t="s">
        <v>9215</v>
      </c>
      <c r="D4634" s="575" t="s">
        <v>4504</v>
      </c>
      <c r="E4634" s="178" t="s">
        <v>409</v>
      </c>
      <c r="F4634" s="210" t="s">
        <v>11656</v>
      </c>
      <c r="G4634" s="58" t="s">
        <v>7980</v>
      </c>
      <c r="H4634" s="546">
        <v>67801.460000000006</v>
      </c>
      <c r="I4634" s="66">
        <v>45096</v>
      </c>
      <c r="J4634" s="411" t="s">
        <v>11657</v>
      </c>
      <c r="K4634" s="58"/>
      <c r="L4634" s="99"/>
      <c r="M4634" s="70" t="s">
        <v>9213</v>
      </c>
      <c r="N4634" s="97" t="s">
        <v>741</v>
      </c>
      <c r="O4634" s="58"/>
      <c r="P4634" s="58" t="s">
        <v>59</v>
      </c>
      <c r="Q4634" s="58" t="s">
        <v>113</v>
      </c>
      <c r="R4634" s="58" t="s">
        <v>272</v>
      </c>
    </row>
    <row r="4635" spans="1:18" ht="69" customHeight="1">
      <c r="A4635" s="168"/>
      <c r="B4635" s="178">
        <v>1349</v>
      </c>
      <c r="C4635" s="178" t="s">
        <v>9215</v>
      </c>
      <c r="D4635" s="575" t="s">
        <v>11658</v>
      </c>
      <c r="E4635" s="178" t="s">
        <v>409</v>
      </c>
      <c r="F4635" s="210" t="s">
        <v>11659</v>
      </c>
      <c r="G4635" s="58" t="s">
        <v>7980</v>
      </c>
      <c r="H4635" s="546">
        <v>271205.84999999998</v>
      </c>
      <c r="I4635" s="66">
        <v>45096</v>
      </c>
      <c r="J4635" s="411" t="s">
        <v>11657</v>
      </c>
      <c r="K4635" s="58"/>
      <c r="L4635" s="99"/>
      <c r="M4635" s="70" t="s">
        <v>9213</v>
      </c>
      <c r="N4635" s="97" t="s">
        <v>741</v>
      </c>
      <c r="O4635" s="58"/>
      <c r="P4635" s="58" t="s">
        <v>59</v>
      </c>
      <c r="Q4635" s="58" t="s">
        <v>113</v>
      </c>
      <c r="R4635" s="58" t="s">
        <v>272</v>
      </c>
    </row>
    <row r="4636" spans="1:18" ht="69" customHeight="1">
      <c r="A4636" s="168"/>
      <c r="B4636" s="191">
        <v>1350</v>
      </c>
      <c r="C4636" s="191" t="s">
        <v>7521</v>
      </c>
      <c r="D4636" s="533" t="s">
        <v>5823</v>
      </c>
      <c r="E4636" s="191" t="s">
        <v>877</v>
      </c>
      <c r="F4636" s="211" t="s">
        <v>11660</v>
      </c>
      <c r="G4636" s="46" t="s">
        <v>11640</v>
      </c>
      <c r="H4636" s="534">
        <v>29924.89</v>
      </c>
      <c r="I4636" s="56">
        <v>45112</v>
      </c>
      <c r="J4636" s="412" t="s">
        <v>11661</v>
      </c>
      <c r="K4636" s="46" t="s">
        <v>167</v>
      </c>
      <c r="L4636" s="99"/>
      <c r="M4636" s="379"/>
      <c r="N4636" s="76" t="s">
        <v>716</v>
      </c>
      <c r="O4636" s="46"/>
      <c r="P4636" s="46" t="s">
        <v>71</v>
      </c>
      <c r="Q4636" s="46" t="s">
        <v>101</v>
      </c>
      <c r="R4636" s="46" t="s">
        <v>272</v>
      </c>
    </row>
    <row r="4637" spans="1:18" ht="69" customHeight="1">
      <c r="A4637" s="168"/>
      <c r="B4637" s="191">
        <v>1351</v>
      </c>
      <c r="C4637" s="191" t="s">
        <v>9322</v>
      </c>
      <c r="D4637" s="533" t="s">
        <v>11662</v>
      </c>
      <c r="E4637" s="191" t="s">
        <v>877</v>
      </c>
      <c r="F4637" s="211" t="s">
        <v>11663</v>
      </c>
      <c r="G4637" s="46" t="s">
        <v>11640</v>
      </c>
      <c r="H4637" s="534">
        <v>22211.07</v>
      </c>
      <c r="I4637" s="56">
        <v>45112</v>
      </c>
      <c r="J4637" s="412" t="s">
        <v>11661</v>
      </c>
      <c r="K4637" s="46" t="s">
        <v>167</v>
      </c>
      <c r="L4637" s="99"/>
      <c r="M4637" s="379"/>
      <c r="N4637" s="76" t="s">
        <v>716</v>
      </c>
      <c r="O4637" s="46"/>
      <c r="P4637" s="46" t="s">
        <v>71</v>
      </c>
      <c r="Q4637" s="46" t="s">
        <v>114</v>
      </c>
      <c r="R4637" s="46" t="s">
        <v>272</v>
      </c>
    </row>
    <row r="4638" spans="1:18" ht="69" customHeight="1">
      <c r="A4638" s="168"/>
      <c r="B4638" s="191">
        <v>1352</v>
      </c>
      <c r="C4638" s="191" t="s">
        <v>4728</v>
      </c>
      <c r="D4638" s="533" t="s">
        <v>11664</v>
      </c>
      <c r="E4638" s="191" t="s">
        <v>877</v>
      </c>
      <c r="F4638" s="211" t="s">
        <v>11665</v>
      </c>
      <c r="G4638" s="46" t="s">
        <v>11640</v>
      </c>
      <c r="H4638" s="534">
        <v>29924.89</v>
      </c>
      <c r="I4638" s="56">
        <v>45112</v>
      </c>
      <c r="J4638" s="412" t="s">
        <v>11661</v>
      </c>
      <c r="K4638" s="46" t="s">
        <v>167</v>
      </c>
      <c r="L4638" s="99"/>
      <c r="M4638" s="379"/>
      <c r="N4638" s="76" t="s">
        <v>716</v>
      </c>
      <c r="O4638" s="46" t="s">
        <v>4116</v>
      </c>
      <c r="P4638" s="46" t="s">
        <v>71</v>
      </c>
      <c r="Q4638" s="46" t="s">
        <v>56</v>
      </c>
      <c r="R4638" s="46" t="s">
        <v>272</v>
      </c>
    </row>
    <row r="4639" spans="1:18" ht="69" customHeight="1">
      <c r="A4639" s="168"/>
      <c r="B4639" s="178">
        <v>1353</v>
      </c>
      <c r="C4639" s="178" t="s">
        <v>8529</v>
      </c>
      <c r="D4639" s="575" t="s">
        <v>11666</v>
      </c>
      <c r="E4639" s="178" t="s">
        <v>755</v>
      </c>
      <c r="F4639" s="210" t="s">
        <v>11667</v>
      </c>
      <c r="G4639" s="58" t="s">
        <v>8734</v>
      </c>
      <c r="H4639" s="546">
        <v>139295.25</v>
      </c>
      <c r="I4639" s="66">
        <v>45096</v>
      </c>
      <c r="J4639" s="411" t="s">
        <v>11668</v>
      </c>
      <c r="K4639" s="58"/>
      <c r="L4639" s="99"/>
      <c r="M4639" s="70" t="s">
        <v>8593</v>
      </c>
      <c r="N4639" s="97" t="s">
        <v>1372</v>
      </c>
      <c r="O4639" s="58"/>
      <c r="P4639" s="58" t="s">
        <v>57</v>
      </c>
      <c r="Q4639" s="58" t="s">
        <v>108</v>
      </c>
      <c r="R4639" s="58" t="s">
        <v>272</v>
      </c>
    </row>
    <row r="4640" spans="1:18" ht="69" customHeight="1">
      <c r="A4640" s="168"/>
      <c r="B4640" s="191">
        <v>1354</v>
      </c>
      <c r="C4640" s="191" t="s">
        <v>9215</v>
      </c>
      <c r="D4640" s="533" t="s">
        <v>11669</v>
      </c>
      <c r="E4640" s="191" t="s">
        <v>11670</v>
      </c>
      <c r="F4640" s="211" t="s">
        <v>11671</v>
      </c>
      <c r="G4640" s="46" t="s">
        <v>11672</v>
      </c>
      <c r="H4640" s="534">
        <v>20570</v>
      </c>
      <c r="I4640" s="56">
        <v>45112</v>
      </c>
      <c r="J4640" s="412" t="s">
        <v>11673</v>
      </c>
      <c r="K4640" s="46" t="s">
        <v>167</v>
      </c>
      <c r="L4640" s="99"/>
      <c r="M4640" s="379"/>
      <c r="N4640" s="76" t="s">
        <v>264</v>
      </c>
      <c r="O4640" s="46" t="s">
        <v>141</v>
      </c>
      <c r="P4640" s="46" t="s">
        <v>65</v>
      </c>
      <c r="Q4640" s="46" t="s">
        <v>113</v>
      </c>
      <c r="R4640" s="46" t="s">
        <v>272</v>
      </c>
    </row>
    <row r="4641" spans="1:18" ht="69" customHeight="1">
      <c r="A4641" s="168"/>
      <c r="B4641" s="191">
        <v>1355</v>
      </c>
      <c r="C4641" s="191" t="s">
        <v>9215</v>
      </c>
      <c r="D4641" s="533" t="s">
        <v>11674</v>
      </c>
      <c r="E4641" s="191" t="s">
        <v>11670</v>
      </c>
      <c r="F4641" s="211" t="s">
        <v>11675</v>
      </c>
      <c r="G4641" s="46" t="s">
        <v>11672</v>
      </c>
      <c r="H4641" s="534">
        <v>16624</v>
      </c>
      <c r="I4641" s="56">
        <v>45112</v>
      </c>
      <c r="J4641" s="412" t="s">
        <v>11673</v>
      </c>
      <c r="K4641" s="46" t="s">
        <v>167</v>
      </c>
      <c r="L4641" s="99"/>
      <c r="M4641" s="379"/>
      <c r="N4641" s="76" t="s">
        <v>264</v>
      </c>
      <c r="O4641" s="46" t="s">
        <v>141</v>
      </c>
      <c r="P4641" s="46" t="s">
        <v>65</v>
      </c>
      <c r="Q4641" s="46" t="s">
        <v>113</v>
      </c>
      <c r="R4641" s="46" t="s">
        <v>272</v>
      </c>
    </row>
    <row r="4642" spans="1:18" ht="69" customHeight="1">
      <c r="A4642" s="168"/>
      <c r="B4642" s="178">
        <v>1356</v>
      </c>
      <c r="C4642" s="178" t="s">
        <v>4277</v>
      </c>
      <c r="D4642" s="575" t="s">
        <v>11676</v>
      </c>
      <c r="E4642" s="178" t="s">
        <v>755</v>
      </c>
      <c r="F4642" s="210" t="s">
        <v>11677</v>
      </c>
      <c r="G4642" s="58" t="s">
        <v>11678</v>
      </c>
      <c r="H4642" s="546">
        <v>222365.44</v>
      </c>
      <c r="I4642" s="66">
        <v>45129</v>
      </c>
      <c r="J4642" s="411" t="s">
        <v>11679</v>
      </c>
      <c r="K4642" s="58"/>
      <c r="L4642" s="99"/>
      <c r="M4642" s="70" t="s">
        <v>4817</v>
      </c>
      <c r="N4642" s="97" t="s">
        <v>1372</v>
      </c>
      <c r="O4642" s="58"/>
      <c r="P4642" s="58" t="s">
        <v>57</v>
      </c>
      <c r="Q4642" s="58" t="s">
        <v>58</v>
      </c>
      <c r="R4642" s="58" t="s">
        <v>272</v>
      </c>
    </row>
    <row r="4643" spans="1:18" ht="69" customHeight="1">
      <c r="A4643" s="168"/>
      <c r="B4643" s="178">
        <v>1357</v>
      </c>
      <c r="C4643" s="178" t="s">
        <v>6693</v>
      </c>
      <c r="D4643" s="575" t="s">
        <v>11680</v>
      </c>
      <c r="E4643" s="178" t="s">
        <v>266</v>
      </c>
      <c r="F4643" s="210" t="s">
        <v>11681</v>
      </c>
      <c r="G4643" s="58" t="s">
        <v>11682</v>
      </c>
      <c r="H4643" s="546">
        <v>1600</v>
      </c>
      <c r="I4643" s="66">
        <v>45112</v>
      </c>
      <c r="J4643" s="411" t="s">
        <v>11683</v>
      </c>
      <c r="K4643" s="58"/>
      <c r="L4643" s="99"/>
      <c r="M4643" s="70" t="s">
        <v>6646</v>
      </c>
      <c r="N4643" s="97" t="s">
        <v>270</v>
      </c>
      <c r="O4643" s="58"/>
      <c r="P4643" s="58" t="s">
        <v>44</v>
      </c>
      <c r="Q4643" s="58" t="s">
        <v>78</v>
      </c>
      <c r="R4643" s="58" t="s">
        <v>272</v>
      </c>
    </row>
    <row r="4644" spans="1:18" ht="69" customHeight="1">
      <c r="A4644" s="168"/>
      <c r="B4644" s="178">
        <v>1358</v>
      </c>
      <c r="C4644" s="178" t="s">
        <v>6062</v>
      </c>
      <c r="D4644" s="575" t="s">
        <v>11684</v>
      </c>
      <c r="E4644" s="178" t="s">
        <v>266</v>
      </c>
      <c r="F4644" s="210" t="s">
        <v>11685</v>
      </c>
      <c r="G4644" s="58" t="s">
        <v>11682</v>
      </c>
      <c r="H4644" s="546">
        <v>1600</v>
      </c>
      <c r="I4644" s="66">
        <v>45112</v>
      </c>
      <c r="J4644" s="411" t="s">
        <v>11683</v>
      </c>
      <c r="K4644" s="58"/>
      <c r="L4644" s="99"/>
      <c r="M4644" s="70" t="s">
        <v>5975</v>
      </c>
      <c r="N4644" s="97" t="s">
        <v>270</v>
      </c>
      <c r="O4644" s="58"/>
      <c r="P4644" s="58" t="s">
        <v>44</v>
      </c>
      <c r="Q4644" s="58" t="s">
        <v>72</v>
      </c>
      <c r="R4644" s="58" t="s">
        <v>272</v>
      </c>
    </row>
    <row r="4645" spans="1:18" ht="69" customHeight="1">
      <c r="A4645" s="168"/>
      <c r="B4645" s="178">
        <v>1359</v>
      </c>
      <c r="C4645" s="178" t="s">
        <v>6888</v>
      </c>
      <c r="D4645" s="575" t="s">
        <v>11686</v>
      </c>
      <c r="E4645" s="178" t="s">
        <v>266</v>
      </c>
      <c r="F4645" s="210" t="s">
        <v>11687</v>
      </c>
      <c r="G4645" s="58" t="s">
        <v>11682</v>
      </c>
      <c r="H4645" s="546">
        <v>1600</v>
      </c>
      <c r="I4645" s="66">
        <v>45112</v>
      </c>
      <c r="J4645" s="411" t="s">
        <v>11683</v>
      </c>
      <c r="K4645" s="58"/>
      <c r="L4645" s="99"/>
      <c r="M4645" s="70" t="s">
        <v>6899</v>
      </c>
      <c r="N4645" s="97" t="s">
        <v>270</v>
      </c>
      <c r="O4645" s="58"/>
      <c r="P4645" s="58" t="s">
        <v>44</v>
      </c>
      <c r="Q4645" s="58" t="s">
        <v>84</v>
      </c>
      <c r="R4645" s="58" t="s">
        <v>272</v>
      </c>
    </row>
    <row r="4646" spans="1:18" ht="69" customHeight="1">
      <c r="A4646" s="168"/>
      <c r="B4646" s="178">
        <v>1360</v>
      </c>
      <c r="C4646" s="178" t="s">
        <v>309</v>
      </c>
      <c r="D4646" s="575"/>
      <c r="E4646" s="178" t="s">
        <v>350</v>
      </c>
      <c r="F4646" s="210" t="s">
        <v>11688</v>
      </c>
      <c r="G4646" s="58" t="s">
        <v>11689</v>
      </c>
      <c r="H4646" s="546">
        <v>63500</v>
      </c>
      <c r="I4646" s="66">
        <v>45100</v>
      </c>
      <c r="J4646" s="411" t="s">
        <v>11690</v>
      </c>
      <c r="K4646" s="58"/>
      <c r="L4646" s="99"/>
      <c r="M4646" s="70" t="s">
        <v>3220</v>
      </c>
      <c r="N4646" s="97" t="s">
        <v>356</v>
      </c>
      <c r="O4646" s="58" t="s">
        <v>141</v>
      </c>
      <c r="P4646" s="58" t="s">
        <v>19</v>
      </c>
      <c r="Q4646" s="58" t="s">
        <v>41</v>
      </c>
      <c r="R4646" s="58" t="s">
        <v>265</v>
      </c>
    </row>
    <row r="4647" spans="1:18" ht="69" customHeight="1">
      <c r="A4647" s="168"/>
      <c r="B4647" s="178">
        <v>1361</v>
      </c>
      <c r="C4647" s="178" t="s">
        <v>4728</v>
      </c>
      <c r="D4647" s="575" t="s">
        <v>11691</v>
      </c>
      <c r="E4647" s="178" t="s">
        <v>11692</v>
      </c>
      <c r="F4647" s="210" t="s">
        <v>11693</v>
      </c>
      <c r="G4647" s="58" t="s">
        <v>11694</v>
      </c>
      <c r="H4647" s="546">
        <v>35.4</v>
      </c>
      <c r="I4647" s="66">
        <v>45112</v>
      </c>
      <c r="J4647" s="411" t="s">
        <v>11695</v>
      </c>
      <c r="K4647" s="58"/>
      <c r="L4647" s="99"/>
      <c r="M4647" s="70" t="s">
        <v>4735</v>
      </c>
      <c r="N4647" s="97" t="s">
        <v>270</v>
      </c>
      <c r="O4647" s="58"/>
      <c r="P4647" s="58" t="s">
        <v>44</v>
      </c>
      <c r="Q4647" s="58" t="s">
        <v>58</v>
      </c>
      <c r="R4647" s="58" t="s">
        <v>272</v>
      </c>
    </row>
    <row r="4648" spans="1:18" ht="69" customHeight="1">
      <c r="A4648" s="168"/>
      <c r="B4648" s="178">
        <v>1362</v>
      </c>
      <c r="C4648" s="178" t="s">
        <v>9322</v>
      </c>
      <c r="D4648" s="575" t="s">
        <v>5436</v>
      </c>
      <c r="E4648" s="178" t="s">
        <v>11692</v>
      </c>
      <c r="F4648" s="210" t="s">
        <v>11696</v>
      </c>
      <c r="G4648" s="58" t="s">
        <v>11694</v>
      </c>
      <c r="H4648" s="546">
        <v>1270.5999999999999</v>
      </c>
      <c r="I4648" s="66">
        <v>45112</v>
      </c>
      <c r="J4648" s="411" t="s">
        <v>11695</v>
      </c>
      <c r="K4648" s="58"/>
      <c r="L4648" s="99"/>
      <c r="M4648" s="70" t="s">
        <v>9276</v>
      </c>
      <c r="N4648" s="97" t="s">
        <v>270</v>
      </c>
      <c r="O4648" s="58"/>
      <c r="P4648" s="58" t="s">
        <v>44</v>
      </c>
      <c r="Q4648" s="58" t="s">
        <v>114</v>
      </c>
      <c r="R4648" s="58" t="s">
        <v>272</v>
      </c>
    </row>
    <row r="4649" spans="1:18" ht="69" customHeight="1">
      <c r="A4649" s="168"/>
      <c r="B4649" s="178">
        <v>1363</v>
      </c>
      <c r="C4649" s="178" t="s">
        <v>4277</v>
      </c>
      <c r="D4649" s="575" t="s">
        <v>11697</v>
      </c>
      <c r="E4649" s="178" t="s">
        <v>11692</v>
      </c>
      <c r="F4649" s="210" t="s">
        <v>11698</v>
      </c>
      <c r="G4649" s="58" t="s">
        <v>11694</v>
      </c>
      <c r="H4649" s="546">
        <v>2023.8</v>
      </c>
      <c r="I4649" s="66">
        <v>45112</v>
      </c>
      <c r="J4649" s="411" t="s">
        <v>11695</v>
      </c>
      <c r="K4649" s="58"/>
      <c r="L4649" s="99"/>
      <c r="M4649" s="70" t="s">
        <v>4557</v>
      </c>
      <c r="N4649" s="97" t="s">
        <v>270</v>
      </c>
      <c r="O4649" s="58"/>
      <c r="P4649" s="58" t="s">
        <v>44</v>
      </c>
      <c r="Q4649" s="58" t="s">
        <v>56</v>
      </c>
      <c r="R4649" s="58" t="s">
        <v>272</v>
      </c>
    </row>
    <row r="4650" spans="1:18" ht="69" customHeight="1">
      <c r="A4650" s="168"/>
      <c r="B4650" s="178">
        <v>1364</v>
      </c>
      <c r="C4650" s="178" t="s">
        <v>309</v>
      </c>
      <c r="D4650" s="575" t="s">
        <v>11634</v>
      </c>
      <c r="E4650" s="178" t="s">
        <v>11212</v>
      </c>
      <c r="F4650" s="210" t="s">
        <v>11699</v>
      </c>
      <c r="G4650" s="58" t="s">
        <v>11214</v>
      </c>
      <c r="H4650" s="546">
        <v>2700</v>
      </c>
      <c r="I4650" s="66">
        <v>45103</v>
      </c>
      <c r="J4650" s="411" t="s">
        <v>11700</v>
      </c>
      <c r="K4650" s="58"/>
      <c r="L4650" s="99"/>
      <c r="M4650" s="70" t="s">
        <v>269</v>
      </c>
      <c r="N4650" s="97" t="s">
        <v>270</v>
      </c>
      <c r="O4650" s="58"/>
      <c r="P4650" s="58" t="s">
        <v>44</v>
      </c>
      <c r="Q4650" s="58" t="s">
        <v>13</v>
      </c>
      <c r="R4650" s="58" t="s">
        <v>272</v>
      </c>
    </row>
    <row r="4651" spans="1:18" ht="69" customHeight="1">
      <c r="A4651" s="168"/>
      <c r="B4651" s="191">
        <v>1365</v>
      </c>
      <c r="C4651" s="191" t="s">
        <v>458</v>
      </c>
      <c r="D4651" s="533" t="s">
        <v>3961</v>
      </c>
      <c r="E4651" s="191" t="s">
        <v>7181</v>
      </c>
      <c r="F4651" s="211" t="s">
        <v>11701</v>
      </c>
      <c r="G4651" s="46" t="s">
        <v>11702</v>
      </c>
      <c r="H4651" s="534">
        <v>10878.8</v>
      </c>
      <c r="I4651" s="56">
        <v>45112</v>
      </c>
      <c r="J4651" s="412" t="s">
        <v>11703</v>
      </c>
      <c r="K4651" s="46" t="s">
        <v>167</v>
      </c>
      <c r="L4651" s="99"/>
      <c r="M4651" s="70" t="s">
        <v>8351</v>
      </c>
      <c r="N4651" s="97" t="s">
        <v>414</v>
      </c>
      <c r="O4651" s="46" t="s">
        <v>1171</v>
      </c>
      <c r="P4651" s="46" t="s">
        <v>71</v>
      </c>
      <c r="Q4651" s="46" t="s">
        <v>107</v>
      </c>
      <c r="R4651" s="46" t="s">
        <v>272</v>
      </c>
    </row>
    <row r="4652" spans="1:18" ht="69" customHeight="1">
      <c r="A4652" s="168"/>
      <c r="B4652" s="191">
        <v>1366</v>
      </c>
      <c r="C4652" s="191" t="s">
        <v>657</v>
      </c>
      <c r="D4652" s="533" t="s">
        <v>1843</v>
      </c>
      <c r="E4652" s="191" t="s">
        <v>7181</v>
      </c>
      <c r="F4652" s="211" t="s">
        <v>11704</v>
      </c>
      <c r="G4652" s="46" t="s">
        <v>11702</v>
      </c>
      <c r="H4652" s="534">
        <v>10878.8</v>
      </c>
      <c r="I4652" s="56">
        <v>45112</v>
      </c>
      <c r="J4652" s="412" t="s">
        <v>11703</v>
      </c>
      <c r="K4652" s="46" t="s">
        <v>167</v>
      </c>
      <c r="L4652" s="99"/>
      <c r="M4652" s="379"/>
      <c r="N4652" s="76" t="s">
        <v>414</v>
      </c>
      <c r="O4652" s="46"/>
      <c r="P4652" s="46" t="s">
        <v>71</v>
      </c>
      <c r="Q4652" s="46" t="s">
        <v>104</v>
      </c>
      <c r="R4652" s="46" t="s">
        <v>272</v>
      </c>
    </row>
    <row r="4653" spans="1:18" ht="69" customHeight="1">
      <c r="A4653" s="168"/>
      <c r="B4653" s="191">
        <v>1367</v>
      </c>
      <c r="C4653" s="191" t="s">
        <v>657</v>
      </c>
      <c r="D4653" s="533" t="s">
        <v>2348</v>
      </c>
      <c r="E4653" s="191" t="s">
        <v>7181</v>
      </c>
      <c r="F4653" s="211" t="s">
        <v>11705</v>
      </c>
      <c r="G4653" s="46" t="s">
        <v>11702</v>
      </c>
      <c r="H4653" s="534">
        <v>13298.45</v>
      </c>
      <c r="I4653" s="56">
        <v>45112</v>
      </c>
      <c r="J4653" s="412" t="s">
        <v>11703</v>
      </c>
      <c r="K4653" s="46"/>
      <c r="L4653" s="99"/>
      <c r="M4653" s="70" t="s">
        <v>7223</v>
      </c>
      <c r="N4653" s="97" t="s">
        <v>414</v>
      </c>
      <c r="O4653" s="46" t="s">
        <v>1171</v>
      </c>
      <c r="P4653" s="46" t="s">
        <v>71</v>
      </c>
      <c r="Q4653" s="46" t="s">
        <v>97</v>
      </c>
      <c r="R4653" s="46" t="s">
        <v>272</v>
      </c>
    </row>
    <row r="4654" spans="1:18" ht="69" customHeight="1">
      <c r="A4654" s="168"/>
      <c r="B4654" s="178">
        <v>1368</v>
      </c>
      <c r="C4654" s="178" t="s">
        <v>657</v>
      </c>
      <c r="D4654" s="575" t="s">
        <v>2581</v>
      </c>
      <c r="E4654" s="178" t="s">
        <v>7181</v>
      </c>
      <c r="F4654" s="210" t="s">
        <v>11706</v>
      </c>
      <c r="G4654" s="58" t="s">
        <v>11707</v>
      </c>
      <c r="H4654" s="546">
        <v>19500</v>
      </c>
      <c r="I4654" s="66">
        <v>45112</v>
      </c>
      <c r="J4654" s="411" t="s">
        <v>11708</v>
      </c>
      <c r="K4654" s="58" t="s">
        <v>11709</v>
      </c>
      <c r="L4654" s="99"/>
      <c r="M4654" s="379"/>
      <c r="N4654" s="76" t="s">
        <v>414</v>
      </c>
      <c r="O4654" s="58"/>
      <c r="P4654" s="58" t="s">
        <v>22</v>
      </c>
      <c r="Q4654" s="58" t="s">
        <v>120</v>
      </c>
      <c r="R4654" s="58" t="s">
        <v>272</v>
      </c>
    </row>
    <row r="4655" spans="1:18" ht="69" customHeight="1">
      <c r="A4655" s="168"/>
      <c r="B4655" s="178">
        <v>1369</v>
      </c>
      <c r="C4655" s="178" t="s">
        <v>458</v>
      </c>
      <c r="D4655" s="575" t="s">
        <v>3965</v>
      </c>
      <c r="E4655" s="178" t="s">
        <v>7181</v>
      </c>
      <c r="F4655" s="210" t="s">
        <v>11710</v>
      </c>
      <c r="G4655" s="58" t="s">
        <v>11707</v>
      </c>
      <c r="H4655" s="546">
        <v>19500</v>
      </c>
      <c r="I4655" s="66">
        <v>45112</v>
      </c>
      <c r="J4655" s="411" t="s">
        <v>11708</v>
      </c>
      <c r="K4655" s="58" t="s">
        <v>11709</v>
      </c>
      <c r="L4655" s="99"/>
      <c r="M4655" s="379"/>
      <c r="N4655" s="76" t="s">
        <v>414</v>
      </c>
      <c r="O4655" s="45" t="s">
        <v>147</v>
      </c>
      <c r="P4655" s="58" t="s">
        <v>22</v>
      </c>
      <c r="Q4655" s="58" t="s">
        <v>119</v>
      </c>
      <c r="R4655" s="58" t="s">
        <v>272</v>
      </c>
    </row>
    <row r="4656" spans="1:18" ht="69" customHeight="1">
      <c r="A4656" s="168"/>
      <c r="B4656" s="191">
        <v>1370</v>
      </c>
      <c r="C4656" s="191" t="s">
        <v>458</v>
      </c>
      <c r="D4656" s="533" t="s">
        <v>4304</v>
      </c>
      <c r="E4656" s="191" t="s">
        <v>7181</v>
      </c>
      <c r="F4656" s="211" t="s">
        <v>11711</v>
      </c>
      <c r="G4656" s="46" t="s">
        <v>11707</v>
      </c>
      <c r="H4656" s="534">
        <v>11687.04</v>
      </c>
      <c r="I4656" s="56">
        <v>45112</v>
      </c>
      <c r="J4656" s="412" t="s">
        <v>11708</v>
      </c>
      <c r="K4656" s="46" t="s">
        <v>167</v>
      </c>
      <c r="L4656" s="99"/>
      <c r="M4656" s="379"/>
      <c r="N4656" s="76" t="s">
        <v>414</v>
      </c>
      <c r="O4656" s="46" t="s">
        <v>1171</v>
      </c>
      <c r="P4656" s="46" t="s">
        <v>71</v>
      </c>
      <c r="Q4656" s="46" t="s">
        <v>103</v>
      </c>
      <c r="R4656" s="46" t="s">
        <v>272</v>
      </c>
    </row>
    <row r="4657" spans="1:18" ht="69" customHeight="1">
      <c r="A4657" s="168"/>
      <c r="B4657" s="178">
        <v>1371</v>
      </c>
      <c r="C4657" s="178" t="s">
        <v>458</v>
      </c>
      <c r="D4657" s="575" t="s">
        <v>11712</v>
      </c>
      <c r="E4657" s="178" t="s">
        <v>7181</v>
      </c>
      <c r="F4657" s="210" t="s">
        <v>11713</v>
      </c>
      <c r="G4657" s="58" t="s">
        <v>11707</v>
      </c>
      <c r="H4657" s="546">
        <v>36944.559999999998</v>
      </c>
      <c r="I4657" s="66">
        <v>45112</v>
      </c>
      <c r="J4657" s="411" t="s">
        <v>11708</v>
      </c>
      <c r="K4657" s="58"/>
      <c r="L4657" s="99"/>
      <c r="M4657" s="70" t="s">
        <v>7696</v>
      </c>
      <c r="N4657" s="97" t="s">
        <v>414</v>
      </c>
      <c r="O4657" s="45" t="s">
        <v>147</v>
      </c>
      <c r="P4657" s="58" t="s">
        <v>22</v>
      </c>
      <c r="Q4657" s="58" t="s">
        <v>103</v>
      </c>
      <c r="R4657" s="58" t="s">
        <v>265</v>
      </c>
    </row>
    <row r="4658" spans="1:18" ht="69" customHeight="1">
      <c r="A4658" s="168"/>
      <c r="B4658" s="191">
        <v>1372</v>
      </c>
      <c r="C4658" s="191" t="s">
        <v>5558</v>
      </c>
      <c r="D4658" s="533" t="s">
        <v>11714</v>
      </c>
      <c r="E4658" s="191" t="s">
        <v>5084</v>
      </c>
      <c r="F4658" s="211" t="s">
        <v>11715</v>
      </c>
      <c r="G4658" s="46" t="s">
        <v>11716</v>
      </c>
      <c r="H4658" s="534">
        <v>18491.73</v>
      </c>
      <c r="I4658" s="56">
        <v>45112</v>
      </c>
      <c r="J4658" s="412" t="s">
        <v>11717</v>
      </c>
      <c r="K4658" s="46" t="s">
        <v>167</v>
      </c>
      <c r="L4658" s="99"/>
      <c r="M4658" s="379"/>
      <c r="N4658" s="76" t="s">
        <v>414</v>
      </c>
      <c r="O4658" s="46"/>
      <c r="P4658" s="46" t="s">
        <v>65</v>
      </c>
      <c r="Q4658" s="46" t="s">
        <v>64</v>
      </c>
      <c r="R4658" s="46" t="s">
        <v>272</v>
      </c>
    </row>
    <row r="4659" spans="1:18" ht="69" customHeight="1">
      <c r="A4659" s="168"/>
      <c r="B4659" s="178">
        <v>1373</v>
      </c>
      <c r="C4659" s="178" t="s">
        <v>4411</v>
      </c>
      <c r="D4659" s="575" t="s">
        <v>11718</v>
      </c>
      <c r="E4659" s="178" t="s">
        <v>755</v>
      </c>
      <c r="F4659" s="210" t="s">
        <v>11719</v>
      </c>
      <c r="G4659" s="58" t="s">
        <v>11720</v>
      </c>
      <c r="H4659" s="546">
        <v>149309.29999999999</v>
      </c>
      <c r="I4659" s="66">
        <v>45100</v>
      </c>
      <c r="J4659" s="411" t="s">
        <v>11721</v>
      </c>
      <c r="K4659" s="58"/>
      <c r="L4659" s="99"/>
      <c r="M4659" s="70" t="s">
        <v>4438</v>
      </c>
      <c r="N4659" s="97" t="s">
        <v>716</v>
      </c>
      <c r="O4659" s="58"/>
      <c r="P4659" s="58" t="s">
        <v>28</v>
      </c>
      <c r="Q4659" s="58" t="s">
        <v>54</v>
      </c>
      <c r="R4659" s="58" t="s">
        <v>272</v>
      </c>
    </row>
    <row r="4660" spans="1:18" ht="69" customHeight="1">
      <c r="A4660" s="168"/>
      <c r="B4660" s="191">
        <v>1374</v>
      </c>
      <c r="C4660" s="191" t="s">
        <v>458</v>
      </c>
      <c r="D4660" s="533" t="s">
        <v>4662</v>
      </c>
      <c r="E4660" s="191" t="s">
        <v>6226</v>
      </c>
      <c r="F4660" s="211" t="s">
        <v>11722</v>
      </c>
      <c r="G4660" s="46" t="s">
        <v>11723</v>
      </c>
      <c r="H4660" s="534">
        <v>11509.96</v>
      </c>
      <c r="I4660" s="56">
        <v>45112</v>
      </c>
      <c r="J4660" s="412" t="s">
        <v>9263</v>
      </c>
      <c r="K4660" s="46" t="s">
        <v>167</v>
      </c>
      <c r="L4660" s="99"/>
      <c r="M4660" s="379"/>
      <c r="N4660" s="76" t="s">
        <v>6197</v>
      </c>
      <c r="O4660" s="46"/>
      <c r="P4660" s="46" t="s">
        <v>71</v>
      </c>
      <c r="Q4660" s="46" t="s">
        <v>100</v>
      </c>
      <c r="R4660" s="46" t="s">
        <v>272</v>
      </c>
    </row>
    <row r="4661" spans="1:18" ht="69" customHeight="1">
      <c r="A4661" s="168"/>
      <c r="B4661" s="191">
        <v>1375</v>
      </c>
      <c r="C4661" s="191" t="s">
        <v>657</v>
      </c>
      <c r="D4661" s="533" t="s">
        <v>3592</v>
      </c>
      <c r="E4661" s="191" t="s">
        <v>6226</v>
      </c>
      <c r="F4661" s="211" t="s">
        <v>11724</v>
      </c>
      <c r="G4661" s="46" t="s">
        <v>11725</v>
      </c>
      <c r="H4661" s="534">
        <v>11509.96</v>
      </c>
      <c r="I4661" s="56">
        <v>45112</v>
      </c>
      <c r="J4661" s="412" t="s">
        <v>9263</v>
      </c>
      <c r="K4661" s="46" t="s">
        <v>167</v>
      </c>
      <c r="L4661" s="99"/>
      <c r="M4661" s="379"/>
      <c r="N4661" s="76" t="s">
        <v>6197</v>
      </c>
      <c r="O4661" s="46"/>
      <c r="P4661" s="46" t="s">
        <v>71</v>
      </c>
      <c r="Q4661" s="46" t="s">
        <v>110</v>
      </c>
      <c r="R4661" s="46" t="s">
        <v>272</v>
      </c>
    </row>
    <row r="4662" spans="1:18" ht="69" customHeight="1">
      <c r="A4662" s="168"/>
      <c r="B4662" s="191">
        <v>1376</v>
      </c>
      <c r="C4662" s="191" t="s">
        <v>3667</v>
      </c>
      <c r="D4662" s="533" t="s">
        <v>9260</v>
      </c>
      <c r="E4662" s="191" t="s">
        <v>6226</v>
      </c>
      <c r="F4662" s="211" t="s">
        <v>9261</v>
      </c>
      <c r="G4662" s="46" t="s">
        <v>11723</v>
      </c>
      <c r="H4662" s="534">
        <v>12021.58</v>
      </c>
      <c r="I4662" s="56">
        <v>45112</v>
      </c>
      <c r="J4662" s="412" t="s">
        <v>9263</v>
      </c>
      <c r="K4662" s="46" t="s">
        <v>167</v>
      </c>
      <c r="L4662" s="99"/>
      <c r="M4662" s="379"/>
      <c r="N4662" s="76" t="s">
        <v>6197</v>
      </c>
      <c r="O4662" s="46" t="s">
        <v>4116</v>
      </c>
      <c r="P4662" s="46" t="s">
        <v>71</v>
      </c>
      <c r="Q4662" s="46" t="s">
        <v>76</v>
      </c>
      <c r="R4662" s="46" t="s">
        <v>272</v>
      </c>
    </row>
    <row r="4663" spans="1:18" ht="69" customHeight="1">
      <c r="A4663" s="168"/>
      <c r="B4663" s="191">
        <v>1377</v>
      </c>
      <c r="C4663" s="191" t="s">
        <v>10418</v>
      </c>
      <c r="D4663" s="533" t="s">
        <v>4306</v>
      </c>
      <c r="E4663" s="191" t="s">
        <v>6226</v>
      </c>
      <c r="F4663" s="211" t="s">
        <v>11726</v>
      </c>
      <c r="G4663" s="46" t="s">
        <v>11723</v>
      </c>
      <c r="H4663" s="534">
        <v>21046.560000000001</v>
      </c>
      <c r="I4663" s="56">
        <v>45112</v>
      </c>
      <c r="J4663" s="412" t="s">
        <v>11727</v>
      </c>
      <c r="K4663" s="46" t="s">
        <v>167</v>
      </c>
      <c r="L4663" s="99"/>
      <c r="M4663" s="379"/>
      <c r="N4663" s="76" t="s">
        <v>414</v>
      </c>
      <c r="O4663" s="46"/>
      <c r="P4663" s="46" t="s">
        <v>71</v>
      </c>
      <c r="Q4663" s="46" t="s">
        <v>121</v>
      </c>
      <c r="R4663" s="46" t="s">
        <v>272</v>
      </c>
    </row>
    <row r="4664" spans="1:18" ht="69" customHeight="1">
      <c r="A4664" s="168"/>
      <c r="B4664" s="178">
        <v>1378</v>
      </c>
      <c r="C4664" s="178" t="s">
        <v>657</v>
      </c>
      <c r="D4664" s="575" t="s">
        <v>2806</v>
      </c>
      <c r="E4664" s="178" t="s">
        <v>7181</v>
      </c>
      <c r="F4664" s="210" t="s">
        <v>11728</v>
      </c>
      <c r="G4664" s="58" t="s">
        <v>11702</v>
      </c>
      <c r="H4664" s="546">
        <v>44424.78</v>
      </c>
      <c r="I4664" s="66">
        <v>45112</v>
      </c>
      <c r="J4664" s="411" t="s">
        <v>11729</v>
      </c>
      <c r="K4664" s="58"/>
      <c r="L4664" s="99"/>
      <c r="M4664" s="70" t="s">
        <v>8886</v>
      </c>
      <c r="N4664" s="97" t="s">
        <v>6197</v>
      </c>
      <c r="O4664" s="58"/>
      <c r="P4664" s="58" t="s">
        <v>22</v>
      </c>
      <c r="Q4664" s="58" t="s">
        <v>110</v>
      </c>
      <c r="R4664" s="58" t="s">
        <v>265</v>
      </c>
    </row>
    <row r="4665" spans="1:18" ht="69" customHeight="1">
      <c r="A4665" s="168"/>
      <c r="B4665" s="178">
        <v>1379</v>
      </c>
      <c r="C4665" s="59" t="s">
        <v>3667</v>
      </c>
      <c r="D4665" s="575" t="s">
        <v>11730</v>
      </c>
      <c r="E4665" s="178" t="s">
        <v>7181</v>
      </c>
      <c r="F4665" s="210" t="s">
        <v>11731</v>
      </c>
      <c r="G4665" s="58" t="s">
        <v>11702</v>
      </c>
      <c r="H4665" s="546">
        <v>46470.46</v>
      </c>
      <c r="I4665" s="66">
        <v>45112</v>
      </c>
      <c r="J4665" s="411" t="s">
        <v>11729</v>
      </c>
      <c r="K4665" s="58"/>
      <c r="L4665" s="99"/>
      <c r="M4665" s="70" t="s">
        <v>6582</v>
      </c>
      <c r="N4665" s="97" t="s">
        <v>6197</v>
      </c>
      <c r="O4665" s="58" t="s">
        <v>4116</v>
      </c>
      <c r="P4665" s="58" t="s">
        <v>22</v>
      </c>
      <c r="Q4665" s="58" t="s">
        <v>76</v>
      </c>
      <c r="R4665" s="58" t="s">
        <v>265</v>
      </c>
    </row>
    <row r="4666" spans="1:18" ht="69" customHeight="1">
      <c r="A4666" s="168"/>
      <c r="B4666" s="191">
        <v>1380</v>
      </c>
      <c r="C4666" s="191" t="s">
        <v>4277</v>
      </c>
      <c r="D4666" s="533" t="s">
        <v>11732</v>
      </c>
      <c r="E4666" s="191" t="s">
        <v>5084</v>
      </c>
      <c r="F4666" s="211" t="s">
        <v>11733</v>
      </c>
      <c r="G4666" s="46" t="s">
        <v>11734</v>
      </c>
      <c r="H4666" s="534">
        <v>570</v>
      </c>
      <c r="I4666" s="56">
        <v>45112</v>
      </c>
      <c r="J4666" s="412" t="s">
        <v>11735</v>
      </c>
      <c r="K4666" s="46" t="s">
        <v>167</v>
      </c>
      <c r="L4666" s="99"/>
      <c r="M4666" s="379"/>
      <c r="N4666" s="76" t="s">
        <v>414</v>
      </c>
      <c r="O4666" s="46"/>
      <c r="P4666" s="46" t="s">
        <v>65</v>
      </c>
      <c r="Q4666" s="46" t="s">
        <v>60</v>
      </c>
      <c r="R4666" s="46" t="s">
        <v>272</v>
      </c>
    </row>
    <row r="4667" spans="1:18" ht="69" customHeight="1">
      <c r="A4667" s="168"/>
      <c r="B4667" s="191">
        <v>1381</v>
      </c>
      <c r="C4667" s="191" t="s">
        <v>10961</v>
      </c>
      <c r="D4667" s="533" t="s">
        <v>11736</v>
      </c>
      <c r="E4667" s="191" t="s">
        <v>10671</v>
      </c>
      <c r="F4667" s="211" t="s">
        <v>11737</v>
      </c>
      <c r="G4667" s="46" t="s">
        <v>11738</v>
      </c>
      <c r="H4667" s="534">
        <v>2800</v>
      </c>
      <c r="I4667" s="56">
        <v>45103</v>
      </c>
      <c r="J4667" s="412" t="s">
        <v>11739</v>
      </c>
      <c r="K4667" s="46" t="s">
        <v>167</v>
      </c>
      <c r="L4667" s="99"/>
      <c r="M4667" s="379"/>
      <c r="N4667" s="76" t="s">
        <v>387</v>
      </c>
      <c r="O4667" s="46"/>
      <c r="P4667" s="46" t="s">
        <v>65</v>
      </c>
      <c r="Q4667" s="46" t="s">
        <v>60</v>
      </c>
      <c r="R4667" s="46" t="s">
        <v>272</v>
      </c>
    </row>
    <row r="4668" spans="1:18" ht="69" customHeight="1">
      <c r="A4668" s="168"/>
      <c r="B4668" s="178">
        <v>1382</v>
      </c>
      <c r="C4668" s="178" t="s">
        <v>5558</v>
      </c>
      <c r="D4668" s="575" t="s">
        <v>11740</v>
      </c>
      <c r="E4668" s="178" t="s">
        <v>11508</v>
      </c>
      <c r="F4668" s="210" t="s">
        <v>11741</v>
      </c>
      <c r="G4668" s="58" t="s">
        <v>11742</v>
      </c>
      <c r="H4668" s="546">
        <v>25000</v>
      </c>
      <c r="I4668" s="66">
        <v>45112</v>
      </c>
      <c r="J4668" s="411" t="s">
        <v>11743</v>
      </c>
      <c r="K4668" s="58"/>
      <c r="L4668" s="99"/>
      <c r="M4668" s="70" t="s">
        <v>11512</v>
      </c>
      <c r="N4668" s="97" t="s">
        <v>414</v>
      </c>
      <c r="O4668" s="58"/>
      <c r="P4668" s="58" t="s">
        <v>22</v>
      </c>
      <c r="Q4668" s="58" t="s">
        <v>64</v>
      </c>
      <c r="R4668" s="58" t="s">
        <v>265</v>
      </c>
    </row>
    <row r="4669" spans="1:18" ht="69" customHeight="1">
      <c r="A4669" s="168"/>
      <c r="B4669" s="178">
        <v>1383</v>
      </c>
      <c r="C4669" s="59" t="s">
        <v>3667</v>
      </c>
      <c r="D4669" s="575" t="s">
        <v>11744</v>
      </c>
      <c r="E4669" s="178" t="s">
        <v>7181</v>
      </c>
      <c r="F4669" s="210" t="s">
        <v>11745</v>
      </c>
      <c r="G4669" s="58" t="s">
        <v>11702</v>
      </c>
      <c r="H4669" s="546">
        <v>49540.22</v>
      </c>
      <c r="I4669" s="66">
        <v>45112</v>
      </c>
      <c r="J4669" s="411" t="s">
        <v>11746</v>
      </c>
      <c r="K4669" s="58"/>
      <c r="L4669" s="99"/>
      <c r="M4669" s="70" t="s">
        <v>6674</v>
      </c>
      <c r="N4669" s="97" t="s">
        <v>414</v>
      </c>
      <c r="O4669" s="58"/>
      <c r="P4669" s="58" t="s">
        <v>22</v>
      </c>
      <c r="Q4669" s="58" t="s">
        <v>78</v>
      </c>
      <c r="R4669" s="58" t="s">
        <v>265</v>
      </c>
    </row>
    <row r="4670" spans="1:18" ht="69" customHeight="1">
      <c r="A4670" s="168"/>
      <c r="B4670" s="178">
        <v>1384</v>
      </c>
      <c r="C4670" s="59" t="s">
        <v>3667</v>
      </c>
      <c r="D4670" s="575" t="s">
        <v>11747</v>
      </c>
      <c r="E4670" s="178" t="s">
        <v>7181</v>
      </c>
      <c r="F4670" s="210" t="s">
        <v>11748</v>
      </c>
      <c r="G4670" s="58" t="s">
        <v>11702</v>
      </c>
      <c r="H4670" s="546">
        <v>44424.78</v>
      </c>
      <c r="I4670" s="66">
        <v>45112</v>
      </c>
      <c r="J4670" s="411" t="s">
        <v>11746</v>
      </c>
      <c r="K4670" s="58"/>
      <c r="L4670" s="99"/>
      <c r="M4670" s="70" t="s">
        <v>11277</v>
      </c>
      <c r="N4670" s="97" t="s">
        <v>6197</v>
      </c>
      <c r="O4670" s="58" t="s">
        <v>4116</v>
      </c>
      <c r="P4670" s="58" t="s">
        <v>22</v>
      </c>
      <c r="Q4670" s="58" t="s">
        <v>72</v>
      </c>
      <c r="R4670" s="58" t="s">
        <v>265</v>
      </c>
    </row>
    <row r="4671" spans="1:18" ht="69" customHeight="1">
      <c r="A4671" s="168"/>
      <c r="B4671" s="191">
        <v>1385</v>
      </c>
      <c r="C4671" s="191" t="s">
        <v>309</v>
      </c>
      <c r="D4671" s="533" t="s">
        <v>5429</v>
      </c>
      <c r="E4671" s="191" t="s">
        <v>585</v>
      </c>
      <c r="F4671" s="211" t="s">
        <v>11749</v>
      </c>
      <c r="G4671" s="46" t="s">
        <v>11750</v>
      </c>
      <c r="H4671" s="534">
        <v>11239.02</v>
      </c>
      <c r="I4671" s="56">
        <v>45103</v>
      </c>
      <c r="J4671" s="412" t="s">
        <v>11751</v>
      </c>
      <c r="K4671" s="46" t="s">
        <v>167</v>
      </c>
      <c r="L4671" s="99"/>
      <c r="M4671" s="379"/>
      <c r="N4671" s="76" t="s">
        <v>414</v>
      </c>
      <c r="O4671" s="46"/>
      <c r="P4671" s="46" t="s">
        <v>71</v>
      </c>
      <c r="Q4671" s="46" t="s">
        <v>31</v>
      </c>
      <c r="R4671" s="46" t="s">
        <v>272</v>
      </c>
    </row>
    <row r="4672" spans="1:18" ht="69" customHeight="1">
      <c r="A4672" s="168"/>
      <c r="B4672" s="191">
        <v>1386</v>
      </c>
      <c r="C4672" s="191" t="s">
        <v>309</v>
      </c>
      <c r="D4672" s="533" t="s">
        <v>5431</v>
      </c>
      <c r="E4672" s="191" t="s">
        <v>585</v>
      </c>
      <c r="F4672" s="211" t="s">
        <v>11752</v>
      </c>
      <c r="G4672" s="46" t="s">
        <v>11750</v>
      </c>
      <c r="H4672" s="534">
        <v>11239.02</v>
      </c>
      <c r="I4672" s="56">
        <v>45103</v>
      </c>
      <c r="J4672" s="412" t="s">
        <v>11751</v>
      </c>
      <c r="K4672" s="46" t="s">
        <v>167</v>
      </c>
      <c r="L4672" s="99"/>
      <c r="M4672" s="379"/>
      <c r="N4672" s="76" t="s">
        <v>414</v>
      </c>
      <c r="O4672" s="46"/>
      <c r="P4672" s="46" t="s">
        <v>71</v>
      </c>
      <c r="Q4672" s="46" t="s">
        <v>33</v>
      </c>
      <c r="R4672" s="46" t="s">
        <v>272</v>
      </c>
    </row>
    <row r="4673" spans="1:18" ht="69" customHeight="1">
      <c r="A4673" s="168"/>
      <c r="B4673" s="191">
        <v>1387</v>
      </c>
      <c r="C4673" s="191" t="s">
        <v>309</v>
      </c>
      <c r="D4673" s="533" t="s">
        <v>5419</v>
      </c>
      <c r="E4673" s="191" t="s">
        <v>585</v>
      </c>
      <c r="F4673" s="211" t="s">
        <v>11753</v>
      </c>
      <c r="G4673" s="46" t="s">
        <v>11750</v>
      </c>
      <c r="H4673" s="534">
        <v>12239.02</v>
      </c>
      <c r="I4673" s="56">
        <v>45103</v>
      </c>
      <c r="J4673" s="412" t="s">
        <v>11751</v>
      </c>
      <c r="K4673" s="46" t="s">
        <v>167</v>
      </c>
      <c r="L4673" s="99"/>
      <c r="M4673" s="379"/>
      <c r="N4673" s="76" t="s">
        <v>414</v>
      </c>
      <c r="O4673" s="46"/>
      <c r="P4673" s="46" t="s">
        <v>71</v>
      </c>
      <c r="Q4673" s="46" t="s">
        <v>45</v>
      </c>
      <c r="R4673" s="46" t="s">
        <v>272</v>
      </c>
    </row>
    <row r="4674" spans="1:18" ht="69" customHeight="1">
      <c r="A4674" s="168"/>
      <c r="B4674" s="191">
        <v>1388</v>
      </c>
      <c r="C4674" s="191" t="s">
        <v>309</v>
      </c>
      <c r="D4674" s="533" t="s">
        <v>5841</v>
      </c>
      <c r="E4674" s="191" t="s">
        <v>585</v>
      </c>
      <c r="F4674" s="211" t="s">
        <v>11754</v>
      </c>
      <c r="G4674" s="46" t="s">
        <v>11755</v>
      </c>
      <c r="H4674" s="534">
        <v>20688.2</v>
      </c>
      <c r="I4674" s="56">
        <v>45112</v>
      </c>
      <c r="J4674" s="412" t="s">
        <v>11756</v>
      </c>
      <c r="K4674" s="46" t="s">
        <v>167</v>
      </c>
      <c r="L4674" s="99"/>
      <c r="M4674" s="379"/>
      <c r="N4674" s="76" t="s">
        <v>414</v>
      </c>
      <c r="O4674" s="46"/>
      <c r="P4674" s="46" t="s">
        <v>71</v>
      </c>
      <c r="Q4674" s="46" t="s">
        <v>31</v>
      </c>
      <c r="R4674" s="46" t="s">
        <v>272</v>
      </c>
    </row>
    <row r="4675" spans="1:18" ht="69" customHeight="1">
      <c r="A4675" s="168"/>
      <c r="B4675" s="191">
        <v>1389</v>
      </c>
      <c r="C4675" s="191" t="s">
        <v>309</v>
      </c>
      <c r="D4675" s="533" t="s">
        <v>4504</v>
      </c>
      <c r="E4675" s="191" t="s">
        <v>585</v>
      </c>
      <c r="F4675" s="211" t="s">
        <v>11757</v>
      </c>
      <c r="G4675" s="46" t="s">
        <v>11755</v>
      </c>
      <c r="H4675" s="534">
        <v>20688.2</v>
      </c>
      <c r="I4675" s="56">
        <v>45112</v>
      </c>
      <c r="J4675" s="412" t="s">
        <v>11756</v>
      </c>
      <c r="K4675" s="46" t="s">
        <v>167</v>
      </c>
      <c r="L4675" s="99"/>
      <c r="M4675" s="379"/>
      <c r="N4675" s="76" t="s">
        <v>414</v>
      </c>
      <c r="O4675" s="46"/>
      <c r="P4675" s="46" t="s">
        <v>71</v>
      </c>
      <c r="Q4675" s="46" t="s">
        <v>33</v>
      </c>
      <c r="R4675" s="46" t="s">
        <v>272</v>
      </c>
    </row>
    <row r="4676" spans="1:18" ht="69" customHeight="1">
      <c r="A4676" s="168"/>
      <c r="B4676" s="191">
        <v>1390</v>
      </c>
      <c r="C4676" s="191" t="s">
        <v>1853</v>
      </c>
      <c r="D4676" s="533" t="s">
        <v>11658</v>
      </c>
      <c r="E4676" s="191" t="s">
        <v>585</v>
      </c>
      <c r="F4676" s="211" t="s">
        <v>11758</v>
      </c>
      <c r="G4676" s="46" t="s">
        <v>11755</v>
      </c>
      <c r="H4676" s="534">
        <v>20688.2</v>
      </c>
      <c r="I4676" s="56">
        <v>45112</v>
      </c>
      <c r="J4676" s="412" t="s">
        <v>11756</v>
      </c>
      <c r="K4676" s="46" t="s">
        <v>167</v>
      </c>
      <c r="L4676" s="99"/>
      <c r="M4676" s="379"/>
      <c r="N4676" s="76" t="s">
        <v>414</v>
      </c>
      <c r="O4676" s="46"/>
      <c r="P4676" s="46" t="s">
        <v>71</v>
      </c>
      <c r="Q4676" s="46" t="s">
        <v>29</v>
      </c>
      <c r="R4676" s="46" t="s">
        <v>272</v>
      </c>
    </row>
    <row r="4677" spans="1:18" ht="69" customHeight="1">
      <c r="A4677" s="168"/>
      <c r="B4677" s="191">
        <v>1391</v>
      </c>
      <c r="C4677" s="191" t="s">
        <v>11050</v>
      </c>
      <c r="D4677" s="533" t="s">
        <v>11662</v>
      </c>
      <c r="E4677" s="191" t="s">
        <v>585</v>
      </c>
      <c r="F4677" s="211" t="s">
        <v>11759</v>
      </c>
      <c r="G4677" s="46" t="s">
        <v>11755</v>
      </c>
      <c r="H4677" s="534">
        <v>20688.2</v>
      </c>
      <c r="I4677" s="56">
        <v>45112</v>
      </c>
      <c r="J4677" s="412" t="s">
        <v>11756</v>
      </c>
      <c r="K4677" s="46" t="s">
        <v>167</v>
      </c>
      <c r="L4677" s="99"/>
      <c r="M4677" s="379"/>
      <c r="N4677" s="76" t="s">
        <v>414</v>
      </c>
      <c r="O4677" s="46"/>
      <c r="P4677" s="46" t="s">
        <v>71</v>
      </c>
      <c r="Q4677" s="46" t="s">
        <v>35</v>
      </c>
      <c r="R4677" s="46" t="s">
        <v>272</v>
      </c>
    </row>
    <row r="4678" spans="1:18" ht="69" customHeight="1">
      <c r="A4678" s="168"/>
      <c r="B4678" s="191">
        <v>1392</v>
      </c>
      <c r="C4678" s="191" t="s">
        <v>11052</v>
      </c>
      <c r="D4678" s="533" t="s">
        <v>4508</v>
      </c>
      <c r="E4678" s="191" t="s">
        <v>585</v>
      </c>
      <c r="F4678" s="211" t="s">
        <v>11760</v>
      </c>
      <c r="G4678" s="46" t="s">
        <v>11755</v>
      </c>
      <c r="H4678" s="534">
        <v>20688.2</v>
      </c>
      <c r="I4678" s="56">
        <v>45112</v>
      </c>
      <c r="J4678" s="412" t="s">
        <v>11756</v>
      </c>
      <c r="K4678" s="46" t="s">
        <v>167</v>
      </c>
      <c r="L4678" s="99"/>
      <c r="M4678" s="379"/>
      <c r="N4678" s="76" t="s">
        <v>414</v>
      </c>
      <c r="O4678" s="46"/>
      <c r="P4678" s="46" t="s">
        <v>71</v>
      </c>
      <c r="Q4678" s="46" t="s">
        <v>37</v>
      </c>
      <c r="R4678" s="46" t="s">
        <v>272</v>
      </c>
    </row>
    <row r="4679" spans="1:18" ht="69" customHeight="1">
      <c r="A4679" s="168"/>
      <c r="B4679" s="191">
        <v>1393</v>
      </c>
      <c r="C4679" s="191" t="s">
        <v>11058</v>
      </c>
      <c r="D4679" s="533" t="s">
        <v>3959</v>
      </c>
      <c r="E4679" s="191" t="s">
        <v>585</v>
      </c>
      <c r="F4679" s="211" t="s">
        <v>11761</v>
      </c>
      <c r="G4679" s="46" t="s">
        <v>11755</v>
      </c>
      <c r="H4679" s="534">
        <v>20688.2</v>
      </c>
      <c r="I4679" s="56">
        <v>45112</v>
      </c>
      <c r="J4679" s="412" t="s">
        <v>11756</v>
      </c>
      <c r="K4679" s="46" t="s">
        <v>1170</v>
      </c>
      <c r="L4679" s="99"/>
      <c r="M4679" s="379"/>
      <c r="N4679" s="76" t="s">
        <v>414</v>
      </c>
      <c r="O4679" s="46" t="s">
        <v>1171</v>
      </c>
      <c r="P4679" s="46" t="s">
        <v>71</v>
      </c>
      <c r="Q4679" s="46" t="s">
        <v>23</v>
      </c>
      <c r="R4679" s="46" t="s">
        <v>272</v>
      </c>
    </row>
    <row r="4680" spans="1:18" ht="69" customHeight="1">
      <c r="A4680" s="168"/>
      <c r="B4680" s="191">
        <v>1394</v>
      </c>
      <c r="C4680" s="191" t="s">
        <v>309</v>
      </c>
      <c r="D4680" s="533" t="s">
        <v>11666</v>
      </c>
      <c r="E4680" s="191" t="s">
        <v>585</v>
      </c>
      <c r="F4680" s="211" t="s">
        <v>11762</v>
      </c>
      <c r="G4680" s="46" t="s">
        <v>11755</v>
      </c>
      <c r="H4680" s="534">
        <v>20688.2</v>
      </c>
      <c r="I4680" s="56">
        <v>45112</v>
      </c>
      <c r="J4680" s="412" t="s">
        <v>11756</v>
      </c>
      <c r="K4680" s="46" t="s">
        <v>167</v>
      </c>
      <c r="L4680" s="99"/>
      <c r="M4680" s="379"/>
      <c r="N4680" s="76" t="s">
        <v>414</v>
      </c>
      <c r="O4680" s="46"/>
      <c r="P4680" s="46" t="s">
        <v>71</v>
      </c>
      <c r="Q4680" s="46" t="s">
        <v>45</v>
      </c>
      <c r="R4680" s="46" t="s">
        <v>272</v>
      </c>
    </row>
    <row r="4681" spans="1:18" ht="69" customHeight="1">
      <c r="A4681" s="168"/>
      <c r="B4681" s="191">
        <v>1395</v>
      </c>
      <c r="C4681" s="191" t="s">
        <v>10856</v>
      </c>
      <c r="D4681" s="533" t="s">
        <v>11669</v>
      </c>
      <c r="E4681" s="191" t="s">
        <v>585</v>
      </c>
      <c r="F4681" s="211" t="s">
        <v>11763</v>
      </c>
      <c r="G4681" s="46" t="s">
        <v>11755</v>
      </c>
      <c r="H4681" s="534">
        <v>20688.2</v>
      </c>
      <c r="I4681" s="56">
        <v>45112</v>
      </c>
      <c r="J4681" s="412" t="s">
        <v>11756</v>
      </c>
      <c r="K4681" s="46" t="s">
        <v>167</v>
      </c>
      <c r="L4681" s="99"/>
      <c r="M4681" s="379"/>
      <c r="N4681" s="76" t="s">
        <v>414</v>
      </c>
      <c r="O4681" s="46"/>
      <c r="P4681" s="46" t="s">
        <v>71</v>
      </c>
      <c r="Q4681" s="46" t="s">
        <v>39</v>
      </c>
      <c r="R4681" s="46" t="s">
        <v>272</v>
      </c>
    </row>
    <row r="4682" spans="1:18" ht="69" customHeight="1">
      <c r="A4682" s="168"/>
      <c r="B4682" s="191">
        <v>1396</v>
      </c>
      <c r="C4682" s="191" t="s">
        <v>11042</v>
      </c>
      <c r="D4682" s="533" t="s">
        <v>11674</v>
      </c>
      <c r="E4682" s="191" t="s">
        <v>585</v>
      </c>
      <c r="F4682" s="211" t="s">
        <v>11764</v>
      </c>
      <c r="G4682" s="46" t="s">
        <v>11755</v>
      </c>
      <c r="H4682" s="534">
        <v>20688.2</v>
      </c>
      <c r="I4682" s="56">
        <v>45112</v>
      </c>
      <c r="J4682" s="412" t="s">
        <v>11756</v>
      </c>
      <c r="K4682" s="46" t="s">
        <v>167</v>
      </c>
      <c r="L4682" s="99"/>
      <c r="M4682" s="379"/>
      <c r="N4682" s="76" t="s">
        <v>414</v>
      </c>
      <c r="O4682" s="46"/>
      <c r="P4682" s="46" t="s">
        <v>71</v>
      </c>
      <c r="Q4682" s="46" t="s">
        <v>41</v>
      </c>
      <c r="R4682" s="46" t="s">
        <v>272</v>
      </c>
    </row>
    <row r="4683" spans="1:18" ht="69" customHeight="1">
      <c r="A4683" s="168"/>
      <c r="B4683" s="191">
        <v>1397</v>
      </c>
      <c r="C4683" s="191" t="s">
        <v>2182</v>
      </c>
      <c r="D4683" s="533" t="s">
        <v>5433</v>
      </c>
      <c r="E4683" s="191" t="s">
        <v>266</v>
      </c>
      <c r="F4683" s="211" t="s">
        <v>11765</v>
      </c>
      <c r="G4683" s="46" t="s">
        <v>11766</v>
      </c>
      <c r="H4683" s="534">
        <v>10208</v>
      </c>
      <c r="I4683" s="56">
        <v>45112</v>
      </c>
      <c r="J4683" s="412" t="s">
        <v>11767</v>
      </c>
      <c r="K4683" s="46" t="s">
        <v>167</v>
      </c>
      <c r="L4683" s="99"/>
      <c r="M4683" s="379"/>
      <c r="N4683" s="76" t="s">
        <v>414</v>
      </c>
      <c r="O4683" s="46"/>
      <c r="P4683" s="46" t="s">
        <v>65</v>
      </c>
      <c r="Q4683" s="46" t="s">
        <v>31</v>
      </c>
      <c r="R4683" s="46" t="s">
        <v>272</v>
      </c>
    </row>
    <row r="4684" spans="1:18" ht="69" customHeight="1">
      <c r="A4684" s="168"/>
      <c r="B4684" s="191">
        <v>1398</v>
      </c>
      <c r="C4684" s="191" t="s">
        <v>309</v>
      </c>
      <c r="D4684" s="533" t="s">
        <v>11768</v>
      </c>
      <c r="E4684" s="191" t="s">
        <v>266</v>
      </c>
      <c r="F4684" s="211" t="s">
        <v>11769</v>
      </c>
      <c r="G4684" s="46" t="s">
        <v>11770</v>
      </c>
      <c r="H4684" s="534">
        <v>47350</v>
      </c>
      <c r="I4684" s="56">
        <v>45112</v>
      </c>
      <c r="J4684" s="412" t="s">
        <v>11771</v>
      </c>
      <c r="K4684" s="46" t="s">
        <v>167</v>
      </c>
      <c r="L4684" s="99"/>
      <c r="M4684" s="379"/>
      <c r="N4684" s="76" t="s">
        <v>414</v>
      </c>
      <c r="O4684" s="46"/>
      <c r="P4684" s="46" t="s">
        <v>65</v>
      </c>
      <c r="Q4684" s="46" t="s">
        <v>31</v>
      </c>
      <c r="R4684" s="46" t="s">
        <v>272</v>
      </c>
    </row>
    <row r="4685" spans="1:18" ht="69" customHeight="1">
      <c r="A4685" s="168"/>
      <c r="B4685" s="178">
        <v>1399</v>
      </c>
      <c r="C4685" s="178" t="s">
        <v>8080</v>
      </c>
      <c r="D4685" s="575" t="s">
        <v>1166</v>
      </c>
      <c r="E4685" s="178" t="s">
        <v>382</v>
      </c>
      <c r="F4685" s="210" t="s">
        <v>11772</v>
      </c>
      <c r="G4685" s="58" t="s">
        <v>11773</v>
      </c>
      <c r="H4685" s="546">
        <v>5821.02</v>
      </c>
      <c r="I4685" s="66">
        <v>45112</v>
      </c>
      <c r="J4685" s="411" t="s">
        <v>11774</v>
      </c>
      <c r="K4685" s="58"/>
      <c r="L4685" s="99"/>
      <c r="M4685" s="70" t="s">
        <v>8188</v>
      </c>
      <c r="N4685" s="97" t="s">
        <v>387</v>
      </c>
      <c r="O4685" s="58" t="s">
        <v>150</v>
      </c>
      <c r="P4685" s="58" t="s">
        <v>51</v>
      </c>
      <c r="Q4685" s="58" t="s">
        <v>106</v>
      </c>
      <c r="R4685" s="58" t="s">
        <v>272</v>
      </c>
    </row>
    <row r="4686" spans="1:18" ht="69" customHeight="1">
      <c r="A4686" s="168"/>
      <c r="B4686" s="207">
        <v>1400</v>
      </c>
      <c r="C4686" s="207" t="s">
        <v>3667</v>
      </c>
      <c r="D4686" s="301" t="s">
        <v>11775</v>
      </c>
      <c r="E4686" s="207" t="s">
        <v>409</v>
      </c>
      <c r="F4686" s="208" t="s">
        <v>11189</v>
      </c>
      <c r="G4686" s="160" t="s">
        <v>11190</v>
      </c>
      <c r="H4686" s="300">
        <v>19629.150000000001</v>
      </c>
      <c r="I4686" s="209">
        <v>45112</v>
      </c>
      <c r="J4686" s="322" t="s">
        <v>11776</v>
      </c>
      <c r="K4686" s="160" t="s">
        <v>67</v>
      </c>
      <c r="M4686" s="379"/>
      <c r="N4686" s="76"/>
      <c r="O4686" s="160" t="s">
        <v>11192</v>
      </c>
      <c r="P4686" s="160" t="s">
        <v>67</v>
      </c>
      <c r="Q4686" s="160" t="s">
        <v>49</v>
      </c>
      <c r="R4686" s="160" t="s">
        <v>272</v>
      </c>
    </row>
    <row r="4687" spans="1:18" ht="69" customHeight="1">
      <c r="A4687" s="168"/>
      <c r="B4687" s="207">
        <v>1401</v>
      </c>
      <c r="C4687" s="207" t="s">
        <v>309</v>
      </c>
      <c r="D4687" s="301" t="s">
        <v>5436</v>
      </c>
      <c r="E4687" s="207" t="s">
        <v>409</v>
      </c>
      <c r="F4687" s="208" t="s">
        <v>11777</v>
      </c>
      <c r="G4687" s="160" t="s">
        <v>11193</v>
      </c>
      <c r="H4687" s="300">
        <v>15335.28</v>
      </c>
      <c r="I4687" s="209">
        <v>45112</v>
      </c>
      <c r="J4687" s="322" t="s">
        <v>11776</v>
      </c>
      <c r="K4687" s="160" t="s">
        <v>67</v>
      </c>
      <c r="M4687" s="379"/>
      <c r="N4687" s="76"/>
      <c r="O4687" s="160" t="s">
        <v>11192</v>
      </c>
      <c r="P4687" s="160" t="s">
        <v>67</v>
      </c>
      <c r="Q4687" s="160" t="s">
        <v>15</v>
      </c>
      <c r="R4687" s="160" t="s">
        <v>272</v>
      </c>
    </row>
    <row r="4688" spans="1:18" ht="69" customHeight="1">
      <c r="A4688" s="168"/>
      <c r="B4688" s="207">
        <v>1402</v>
      </c>
      <c r="C4688" s="207" t="s">
        <v>458</v>
      </c>
      <c r="D4688" s="301" t="s">
        <v>4790</v>
      </c>
      <c r="E4688" s="207" t="s">
        <v>409</v>
      </c>
      <c r="F4688" s="208" t="s">
        <v>11777</v>
      </c>
      <c r="G4688" s="160" t="s">
        <v>11193</v>
      </c>
      <c r="H4688" s="300">
        <v>15335.28</v>
      </c>
      <c r="I4688" s="209">
        <v>45112</v>
      </c>
      <c r="J4688" s="322" t="s">
        <v>11776</v>
      </c>
      <c r="K4688" s="160" t="s">
        <v>67</v>
      </c>
      <c r="M4688" s="379"/>
      <c r="N4688" s="76"/>
      <c r="O4688" s="160" t="s">
        <v>11192</v>
      </c>
      <c r="P4688" s="160" t="s">
        <v>67</v>
      </c>
      <c r="Q4688" s="160" t="s">
        <v>90</v>
      </c>
      <c r="R4688" s="160" t="s">
        <v>272</v>
      </c>
    </row>
    <row r="4689" spans="1:18" ht="69" customHeight="1">
      <c r="A4689" s="168"/>
      <c r="B4689" s="207">
        <v>1403</v>
      </c>
      <c r="C4689" s="207" t="s">
        <v>657</v>
      </c>
      <c r="D4689" s="301" t="s">
        <v>3059</v>
      </c>
      <c r="E4689" s="207" t="s">
        <v>409</v>
      </c>
      <c r="F4689" s="208" t="s">
        <v>11777</v>
      </c>
      <c r="G4689" s="160" t="s">
        <v>11194</v>
      </c>
      <c r="H4689" s="300">
        <v>11041.4</v>
      </c>
      <c r="I4689" s="209">
        <v>45112</v>
      </c>
      <c r="J4689" s="322" t="s">
        <v>11776</v>
      </c>
      <c r="K4689" s="160" t="s">
        <v>67</v>
      </c>
      <c r="M4689" s="379"/>
      <c r="N4689" s="76"/>
      <c r="O4689" s="160" t="s">
        <v>11192</v>
      </c>
      <c r="P4689" s="160" t="s">
        <v>67</v>
      </c>
      <c r="Q4689" s="160" t="s">
        <v>99</v>
      </c>
      <c r="R4689" s="160" t="s">
        <v>272</v>
      </c>
    </row>
    <row r="4690" spans="1:18" ht="69" customHeight="1">
      <c r="A4690" s="168"/>
      <c r="B4690" s="178">
        <v>1404</v>
      </c>
      <c r="C4690" s="178" t="s">
        <v>1593</v>
      </c>
      <c r="D4690" s="575" t="s">
        <v>4306</v>
      </c>
      <c r="E4690" s="178" t="s">
        <v>809</v>
      </c>
      <c r="F4690" s="210" t="s">
        <v>11778</v>
      </c>
      <c r="G4690" s="58" t="s">
        <v>10830</v>
      </c>
      <c r="H4690" s="546">
        <v>8600</v>
      </c>
      <c r="I4690" s="66">
        <v>45112</v>
      </c>
      <c r="J4690" s="411" t="s">
        <v>10831</v>
      </c>
      <c r="K4690" s="58"/>
      <c r="L4690" s="99"/>
      <c r="M4690" s="70" t="s">
        <v>1610</v>
      </c>
      <c r="N4690" s="97" t="s">
        <v>814</v>
      </c>
      <c r="O4690" s="58"/>
      <c r="P4690" s="58" t="s">
        <v>36</v>
      </c>
      <c r="Q4690" s="58" t="s">
        <v>27</v>
      </c>
      <c r="R4690" s="58" t="s">
        <v>272</v>
      </c>
    </row>
    <row r="4691" spans="1:18" ht="69" customHeight="1">
      <c r="A4691" s="168"/>
      <c r="B4691" s="178">
        <v>1405</v>
      </c>
      <c r="C4691" s="178" t="s">
        <v>4277</v>
      </c>
      <c r="D4691" s="575" t="s">
        <v>11779</v>
      </c>
      <c r="E4691" s="178" t="s">
        <v>809</v>
      </c>
      <c r="F4691" s="210" t="s">
        <v>11780</v>
      </c>
      <c r="G4691" s="58" t="s">
        <v>10830</v>
      </c>
      <c r="H4691" s="546">
        <v>14000</v>
      </c>
      <c r="I4691" s="66">
        <v>45112</v>
      </c>
      <c r="J4691" s="411" t="s">
        <v>10831</v>
      </c>
      <c r="K4691" s="58"/>
      <c r="L4691" s="99"/>
      <c r="M4691" s="70" t="s">
        <v>4622</v>
      </c>
      <c r="N4691" s="97" t="s">
        <v>814</v>
      </c>
      <c r="O4691" s="58"/>
      <c r="P4691" s="58" t="s">
        <v>36</v>
      </c>
      <c r="Q4691" s="58" t="s">
        <v>56</v>
      </c>
      <c r="R4691" s="58" t="s">
        <v>272</v>
      </c>
    </row>
    <row r="4692" spans="1:18" ht="69" customHeight="1">
      <c r="A4692" s="168"/>
      <c r="B4692" s="178">
        <v>1406</v>
      </c>
      <c r="C4692" s="178" t="s">
        <v>4277</v>
      </c>
      <c r="D4692" s="575" t="s">
        <v>11781</v>
      </c>
      <c r="E4692" s="178" t="s">
        <v>809</v>
      </c>
      <c r="F4692" s="210" t="s">
        <v>11782</v>
      </c>
      <c r="G4692" s="58" t="s">
        <v>10830</v>
      </c>
      <c r="H4692" s="546">
        <v>14000</v>
      </c>
      <c r="I4692" s="66">
        <v>45112</v>
      </c>
      <c r="J4692" s="411" t="s">
        <v>10831</v>
      </c>
      <c r="K4692" s="58"/>
      <c r="L4692" s="99"/>
      <c r="M4692" s="70" t="s">
        <v>4779</v>
      </c>
      <c r="N4692" s="97" t="s">
        <v>814</v>
      </c>
      <c r="O4692" s="58"/>
      <c r="P4692" s="58" t="s">
        <v>36</v>
      </c>
      <c r="Q4692" s="58" t="s">
        <v>58</v>
      </c>
      <c r="R4692" s="58" t="s">
        <v>272</v>
      </c>
    </row>
    <row r="4693" spans="1:18" ht="69" customHeight="1">
      <c r="A4693" s="168"/>
      <c r="B4693" s="178">
        <v>1407</v>
      </c>
      <c r="C4693" s="178" t="s">
        <v>8057</v>
      </c>
      <c r="D4693" s="575" t="s">
        <v>3968</v>
      </c>
      <c r="E4693" s="178" t="s">
        <v>809</v>
      </c>
      <c r="F4693" s="210" t="s">
        <v>11783</v>
      </c>
      <c r="G4693" s="58" t="s">
        <v>10830</v>
      </c>
      <c r="H4693" s="546">
        <v>17200</v>
      </c>
      <c r="I4693" s="66">
        <v>45112</v>
      </c>
      <c r="J4693" s="411" t="s">
        <v>10831</v>
      </c>
      <c r="K4693" s="58"/>
      <c r="L4693" s="99"/>
      <c r="M4693" s="70" t="s">
        <v>8059</v>
      </c>
      <c r="N4693" s="97" t="s">
        <v>814</v>
      </c>
      <c r="O4693" s="58"/>
      <c r="P4693" s="58" t="s">
        <v>36</v>
      </c>
      <c r="Q4693" s="58" t="s">
        <v>105</v>
      </c>
      <c r="R4693" s="58" t="s">
        <v>272</v>
      </c>
    </row>
    <row r="4694" spans="1:18" ht="69" customHeight="1">
      <c r="A4694" s="168"/>
      <c r="B4694" s="178">
        <v>1408</v>
      </c>
      <c r="C4694" s="178" t="s">
        <v>8529</v>
      </c>
      <c r="D4694" s="575" t="s">
        <v>4308</v>
      </c>
      <c r="E4694" s="178" t="s">
        <v>809</v>
      </c>
      <c r="F4694" s="210" t="s">
        <v>11784</v>
      </c>
      <c r="G4694" s="58" t="s">
        <v>10830</v>
      </c>
      <c r="H4694" s="546">
        <v>12285.96</v>
      </c>
      <c r="I4694" s="66">
        <v>45112</v>
      </c>
      <c r="J4694" s="411" t="s">
        <v>10831</v>
      </c>
      <c r="K4694" s="58"/>
      <c r="L4694" s="99"/>
      <c r="M4694" s="70" t="s">
        <v>8531</v>
      </c>
      <c r="N4694" s="97" t="s">
        <v>814</v>
      </c>
      <c r="O4694" s="58"/>
      <c r="P4694" s="58" t="s">
        <v>36</v>
      </c>
      <c r="Q4694" s="58" t="s">
        <v>108</v>
      </c>
      <c r="R4694" s="58" t="s">
        <v>272</v>
      </c>
    </row>
    <row r="4695" spans="1:18" ht="69" customHeight="1">
      <c r="A4695" s="168"/>
      <c r="B4695" s="178">
        <v>1409</v>
      </c>
      <c r="C4695" s="178" t="s">
        <v>9322</v>
      </c>
      <c r="D4695" s="575" t="s">
        <v>4310</v>
      </c>
      <c r="E4695" s="178" t="s">
        <v>809</v>
      </c>
      <c r="F4695" s="210" t="s">
        <v>11785</v>
      </c>
      <c r="G4695" s="58" t="s">
        <v>10830</v>
      </c>
      <c r="H4695" s="546">
        <v>14742.98</v>
      </c>
      <c r="I4695" s="66">
        <v>45112</v>
      </c>
      <c r="J4695" s="411" t="s">
        <v>10831</v>
      </c>
      <c r="K4695" s="58"/>
      <c r="L4695" s="99"/>
      <c r="M4695" s="70" t="s">
        <v>9342</v>
      </c>
      <c r="N4695" s="97" t="s">
        <v>814</v>
      </c>
      <c r="O4695" s="58"/>
      <c r="P4695" s="58" t="s">
        <v>36</v>
      </c>
      <c r="Q4695" s="58" t="s">
        <v>114</v>
      </c>
      <c r="R4695" s="58" t="s">
        <v>272</v>
      </c>
    </row>
    <row r="4696" spans="1:18" ht="69" customHeight="1">
      <c r="A4696" s="168"/>
      <c r="B4696" s="178">
        <v>1410</v>
      </c>
      <c r="C4696" s="178" t="s">
        <v>8080</v>
      </c>
      <c r="D4696" s="575" t="s">
        <v>3304</v>
      </c>
      <c r="E4696" s="178" t="s">
        <v>809</v>
      </c>
      <c r="F4696" s="210" t="s">
        <v>11786</v>
      </c>
      <c r="G4696" s="58" t="s">
        <v>10830</v>
      </c>
      <c r="H4696" s="546">
        <v>17200</v>
      </c>
      <c r="I4696" s="66">
        <v>45112</v>
      </c>
      <c r="J4696" s="411" t="s">
        <v>10831</v>
      </c>
      <c r="K4696" s="58"/>
      <c r="L4696" s="99"/>
      <c r="M4696" s="70" t="s">
        <v>8211</v>
      </c>
      <c r="N4696" s="97" t="s">
        <v>814</v>
      </c>
      <c r="O4696" s="58"/>
      <c r="P4696" s="58" t="s">
        <v>36</v>
      </c>
      <c r="Q4696" s="58" t="s">
        <v>106</v>
      </c>
      <c r="R4696" s="58" t="s">
        <v>272</v>
      </c>
    </row>
    <row r="4697" spans="1:18" ht="69" customHeight="1">
      <c r="A4697" s="168"/>
      <c r="B4697" s="178">
        <v>1411</v>
      </c>
      <c r="C4697" s="178" t="s">
        <v>8703</v>
      </c>
      <c r="D4697" s="575" t="s">
        <v>2344</v>
      </c>
      <c r="E4697" s="178" t="s">
        <v>809</v>
      </c>
      <c r="F4697" s="210" t="s">
        <v>11787</v>
      </c>
      <c r="G4697" s="58" t="s">
        <v>10830</v>
      </c>
      <c r="H4697" s="546">
        <v>13514.04</v>
      </c>
      <c r="I4697" s="66">
        <v>45112</v>
      </c>
      <c r="J4697" s="411" t="s">
        <v>10831</v>
      </c>
      <c r="K4697" s="58"/>
      <c r="L4697" s="99"/>
      <c r="M4697" s="70" t="s">
        <v>8710</v>
      </c>
      <c r="N4697" s="97" t="s">
        <v>814</v>
      </c>
      <c r="O4697" s="58"/>
      <c r="P4697" s="58" t="s">
        <v>36</v>
      </c>
      <c r="Q4697" s="58" t="s">
        <v>109</v>
      </c>
      <c r="R4697" s="58" t="s">
        <v>272</v>
      </c>
    </row>
    <row r="4698" spans="1:18" ht="69" customHeight="1">
      <c r="A4698" s="168"/>
      <c r="B4698" s="191">
        <v>1075</v>
      </c>
      <c r="C4698" s="191" t="s">
        <v>9596</v>
      </c>
      <c r="D4698" s="533" t="s">
        <v>5007</v>
      </c>
      <c r="E4698" s="191" t="s">
        <v>877</v>
      </c>
      <c r="F4698" s="211" t="s">
        <v>11788</v>
      </c>
      <c r="G4698" s="46" t="s">
        <v>879</v>
      </c>
      <c r="H4698" s="534">
        <v>22211.07</v>
      </c>
      <c r="I4698" s="56">
        <v>45061</v>
      </c>
      <c r="J4698" s="412" t="s">
        <v>10880</v>
      </c>
      <c r="K4698" s="46" t="s">
        <v>167</v>
      </c>
      <c r="L4698" s="99"/>
      <c r="M4698" s="379"/>
      <c r="N4698" s="76" t="s">
        <v>716</v>
      </c>
      <c r="O4698" s="46"/>
      <c r="P4698" s="46" t="s">
        <v>71</v>
      </c>
      <c r="Q4698" s="46" t="s">
        <v>116</v>
      </c>
      <c r="R4698" s="46" t="s">
        <v>272</v>
      </c>
    </row>
    <row r="4699" spans="1:18" ht="69" customHeight="1">
      <c r="A4699" s="168"/>
      <c r="B4699" s="178">
        <v>1413</v>
      </c>
      <c r="C4699" s="178" t="s">
        <v>9596</v>
      </c>
      <c r="D4699" s="575" t="s">
        <v>2126</v>
      </c>
      <c r="E4699" s="178" t="s">
        <v>809</v>
      </c>
      <c r="F4699" s="210" t="s">
        <v>11789</v>
      </c>
      <c r="G4699" s="58" t="s">
        <v>10830</v>
      </c>
      <c r="H4699" s="546">
        <v>12285.96</v>
      </c>
      <c r="I4699" s="66">
        <v>45112</v>
      </c>
      <c r="J4699" s="411" t="s">
        <v>10831</v>
      </c>
      <c r="K4699" s="58"/>
      <c r="L4699" s="99"/>
      <c r="M4699" s="70" t="s">
        <v>9625</v>
      </c>
      <c r="N4699" s="97" t="s">
        <v>814</v>
      </c>
      <c r="O4699" s="58"/>
      <c r="P4699" s="58" t="s">
        <v>36</v>
      </c>
      <c r="Q4699" s="58" t="s">
        <v>118</v>
      </c>
      <c r="R4699" s="58" t="s">
        <v>272</v>
      </c>
    </row>
    <row r="4700" spans="1:18" ht="69" customHeight="1">
      <c r="A4700" s="168"/>
      <c r="B4700" s="178">
        <v>1414</v>
      </c>
      <c r="C4700" s="178" t="s">
        <v>458</v>
      </c>
      <c r="D4700" s="575" t="s">
        <v>5440</v>
      </c>
      <c r="E4700" s="178" t="s">
        <v>7181</v>
      </c>
      <c r="F4700" s="210" t="s">
        <v>11790</v>
      </c>
      <c r="G4700" s="58" t="s">
        <v>11791</v>
      </c>
      <c r="H4700" s="546">
        <v>31500</v>
      </c>
      <c r="I4700" s="66">
        <v>45112</v>
      </c>
      <c r="J4700" s="411" t="s">
        <v>11792</v>
      </c>
      <c r="K4700" s="58"/>
      <c r="L4700" s="99"/>
      <c r="M4700" s="70" t="s">
        <v>8351</v>
      </c>
      <c r="N4700" s="97" t="s">
        <v>414</v>
      </c>
      <c r="O4700" s="58"/>
      <c r="P4700" s="58" t="s">
        <v>22</v>
      </c>
      <c r="Q4700" s="58" t="s">
        <v>107</v>
      </c>
      <c r="R4700" s="58" t="s">
        <v>265</v>
      </c>
    </row>
    <row r="4701" spans="1:18" ht="69" customHeight="1">
      <c r="A4701" s="168"/>
      <c r="B4701" s="178">
        <v>1415</v>
      </c>
      <c r="C4701" s="178" t="s">
        <v>10634</v>
      </c>
      <c r="D4701" s="575" t="s">
        <v>11793</v>
      </c>
      <c r="E4701" s="178" t="s">
        <v>11794</v>
      </c>
      <c r="F4701" s="210" t="s">
        <v>11795</v>
      </c>
      <c r="G4701" s="58" t="s">
        <v>11796</v>
      </c>
      <c r="H4701" s="546">
        <v>14200</v>
      </c>
      <c r="I4701" s="66" t="s">
        <v>96</v>
      </c>
      <c r="J4701" s="411" t="s">
        <v>11797</v>
      </c>
      <c r="K4701" s="58"/>
      <c r="L4701" s="99"/>
      <c r="M4701" s="70" t="s">
        <v>11798</v>
      </c>
      <c r="N4701" s="97" t="s">
        <v>970</v>
      </c>
      <c r="O4701" s="58" t="s">
        <v>971</v>
      </c>
      <c r="P4701" s="58" t="s">
        <v>38</v>
      </c>
      <c r="Q4701" s="58" t="s">
        <v>93</v>
      </c>
      <c r="R4701" s="58" t="s">
        <v>272</v>
      </c>
    </row>
    <row r="4702" spans="1:18" ht="69" customHeight="1">
      <c r="A4702" s="168"/>
      <c r="B4702" s="178">
        <v>1416</v>
      </c>
      <c r="C4702" s="178" t="s">
        <v>10639</v>
      </c>
      <c r="D4702" s="575" t="s">
        <v>11799</v>
      </c>
      <c r="E4702" s="178" t="s">
        <v>11794</v>
      </c>
      <c r="F4702" s="210" t="s">
        <v>11800</v>
      </c>
      <c r="G4702" s="58" t="s">
        <v>11796</v>
      </c>
      <c r="H4702" s="546">
        <v>14200</v>
      </c>
      <c r="I4702" s="66" t="s">
        <v>96</v>
      </c>
      <c r="J4702" s="411" t="s">
        <v>11797</v>
      </c>
      <c r="K4702" s="58"/>
      <c r="L4702" s="99"/>
      <c r="M4702" s="70" t="s">
        <v>11801</v>
      </c>
      <c r="N4702" s="97" t="s">
        <v>970</v>
      </c>
      <c r="O4702" s="45" t="s">
        <v>971</v>
      </c>
      <c r="P4702" s="58" t="s">
        <v>38</v>
      </c>
      <c r="Q4702" s="58" t="s">
        <v>95</v>
      </c>
      <c r="R4702" s="58" t="s">
        <v>272</v>
      </c>
    </row>
    <row r="4703" spans="1:18" ht="69" customHeight="1">
      <c r="A4703" s="168"/>
      <c r="B4703" s="191">
        <v>1417</v>
      </c>
      <c r="C4703" s="191" t="s">
        <v>309</v>
      </c>
      <c r="D4703" s="533" t="s">
        <v>5438</v>
      </c>
      <c r="E4703" s="191" t="s">
        <v>585</v>
      </c>
      <c r="F4703" s="211" t="s">
        <v>11802</v>
      </c>
      <c r="G4703" s="46" t="s">
        <v>11803</v>
      </c>
      <c r="H4703" s="534">
        <v>1100</v>
      </c>
      <c r="I4703" s="56">
        <v>45112</v>
      </c>
      <c r="J4703" s="412" t="s">
        <v>11804</v>
      </c>
      <c r="K4703" s="46" t="s">
        <v>167</v>
      </c>
      <c r="L4703" s="99"/>
      <c r="M4703" s="379"/>
      <c r="N4703" s="76" t="s">
        <v>414</v>
      </c>
      <c r="O4703" s="46"/>
      <c r="P4703" s="46" t="s">
        <v>65</v>
      </c>
      <c r="Q4703" s="46" t="s">
        <v>41</v>
      </c>
      <c r="R4703" s="46" t="s">
        <v>272</v>
      </c>
    </row>
    <row r="4704" spans="1:18" ht="69" customHeight="1">
      <c r="A4704" s="168"/>
      <c r="B4704" s="191">
        <v>1418</v>
      </c>
      <c r="C4704" s="191" t="s">
        <v>309</v>
      </c>
      <c r="D4704" s="533" t="s">
        <v>3961</v>
      </c>
      <c r="E4704" s="191" t="s">
        <v>585</v>
      </c>
      <c r="F4704" s="211" t="s">
        <v>11805</v>
      </c>
      <c r="G4704" s="46" t="s">
        <v>11803</v>
      </c>
      <c r="H4704" s="534">
        <v>2900</v>
      </c>
      <c r="I4704" s="56">
        <v>45112</v>
      </c>
      <c r="J4704" s="412" t="s">
        <v>11804</v>
      </c>
      <c r="K4704" s="46" t="s">
        <v>11806</v>
      </c>
      <c r="L4704" s="99"/>
      <c r="M4704" s="379"/>
      <c r="N4704" s="76" t="s">
        <v>414</v>
      </c>
      <c r="O4704" s="46" t="s">
        <v>1253</v>
      </c>
      <c r="P4704" s="46" t="s">
        <v>65</v>
      </c>
      <c r="Q4704" s="46" t="s">
        <v>23</v>
      </c>
      <c r="R4704" s="46" t="s">
        <v>272</v>
      </c>
    </row>
    <row r="4705" spans="1:18" ht="69" customHeight="1">
      <c r="A4705" s="168"/>
      <c r="B4705" s="191">
        <v>1419</v>
      </c>
      <c r="C4705" s="191" t="s">
        <v>309</v>
      </c>
      <c r="D4705" s="533" t="s">
        <v>4301</v>
      </c>
      <c r="E4705" s="191" t="s">
        <v>585</v>
      </c>
      <c r="F4705" s="211" t="s">
        <v>11807</v>
      </c>
      <c r="G4705" s="46" t="s">
        <v>11803</v>
      </c>
      <c r="H4705" s="534">
        <v>2900</v>
      </c>
      <c r="I4705" s="56">
        <v>45112</v>
      </c>
      <c r="J4705" s="412" t="s">
        <v>11804</v>
      </c>
      <c r="K4705" s="46" t="s">
        <v>167</v>
      </c>
      <c r="L4705" s="99"/>
      <c r="M4705" s="379"/>
      <c r="N4705" s="76" t="s">
        <v>414</v>
      </c>
      <c r="O4705" s="46"/>
      <c r="P4705" s="46" t="s">
        <v>65</v>
      </c>
      <c r="Q4705" s="46" t="s">
        <v>29</v>
      </c>
      <c r="R4705" s="46" t="s">
        <v>272</v>
      </c>
    </row>
    <row r="4706" spans="1:18" ht="69" customHeight="1">
      <c r="A4706" s="168"/>
      <c r="B4706" s="191">
        <v>1420</v>
      </c>
      <c r="C4706" s="191" t="s">
        <v>309</v>
      </c>
      <c r="D4706" s="533" t="s">
        <v>3965</v>
      </c>
      <c r="E4706" s="191" t="s">
        <v>585</v>
      </c>
      <c r="F4706" s="211" t="s">
        <v>11808</v>
      </c>
      <c r="G4706" s="46" t="s">
        <v>11803</v>
      </c>
      <c r="H4706" s="534">
        <v>1400</v>
      </c>
      <c r="I4706" s="56">
        <v>45112</v>
      </c>
      <c r="J4706" s="412" t="s">
        <v>11804</v>
      </c>
      <c r="K4706" s="46" t="s">
        <v>167</v>
      </c>
      <c r="L4706" s="99"/>
      <c r="M4706" s="379"/>
      <c r="N4706" s="76" t="s">
        <v>414</v>
      </c>
      <c r="O4706" s="46" t="s">
        <v>1253</v>
      </c>
      <c r="P4706" s="46" t="s">
        <v>65</v>
      </c>
      <c r="Q4706" s="46" t="s">
        <v>33</v>
      </c>
      <c r="R4706" s="46" t="s">
        <v>272</v>
      </c>
    </row>
    <row r="4707" spans="1:18" ht="69" customHeight="1">
      <c r="A4707" s="168"/>
      <c r="B4707" s="191">
        <v>1421</v>
      </c>
      <c r="C4707" s="191" t="s">
        <v>309</v>
      </c>
      <c r="D4707" s="533" t="s">
        <v>4304</v>
      </c>
      <c r="E4707" s="191" t="s">
        <v>585</v>
      </c>
      <c r="F4707" s="211" t="s">
        <v>11809</v>
      </c>
      <c r="G4707" s="46" t="s">
        <v>11803</v>
      </c>
      <c r="H4707" s="534">
        <v>2600</v>
      </c>
      <c r="I4707" s="56">
        <v>45112</v>
      </c>
      <c r="J4707" s="412" t="s">
        <v>11804</v>
      </c>
      <c r="K4707" s="46" t="s">
        <v>167</v>
      </c>
      <c r="L4707" s="99"/>
      <c r="M4707" s="379"/>
      <c r="N4707" s="76" t="s">
        <v>414</v>
      </c>
      <c r="O4707" s="46"/>
      <c r="P4707" s="46" t="s">
        <v>65</v>
      </c>
      <c r="Q4707" s="46" t="s">
        <v>35</v>
      </c>
      <c r="R4707" s="46" t="s">
        <v>272</v>
      </c>
    </row>
    <row r="4708" spans="1:18" ht="69" customHeight="1">
      <c r="A4708" s="168"/>
      <c r="B4708" s="191">
        <v>1422</v>
      </c>
      <c r="C4708" s="191" t="s">
        <v>309</v>
      </c>
      <c r="D4708" s="533" t="s">
        <v>11712</v>
      </c>
      <c r="E4708" s="191" t="s">
        <v>585</v>
      </c>
      <c r="F4708" s="211" t="s">
        <v>11810</v>
      </c>
      <c r="G4708" s="46" t="s">
        <v>11803</v>
      </c>
      <c r="H4708" s="534">
        <v>2900</v>
      </c>
      <c r="I4708" s="56">
        <v>45112</v>
      </c>
      <c r="J4708" s="412" t="s">
        <v>11804</v>
      </c>
      <c r="K4708" s="46" t="s">
        <v>167</v>
      </c>
      <c r="L4708" s="99"/>
      <c r="M4708" s="379"/>
      <c r="N4708" s="76" t="s">
        <v>414</v>
      </c>
      <c r="O4708" s="46"/>
      <c r="P4708" s="46" t="s">
        <v>65</v>
      </c>
      <c r="Q4708" s="46" t="s">
        <v>37</v>
      </c>
      <c r="R4708" s="46" t="s">
        <v>272</v>
      </c>
    </row>
    <row r="4709" spans="1:18" ht="69" customHeight="1">
      <c r="A4709" s="168"/>
      <c r="B4709" s="191">
        <v>1423</v>
      </c>
      <c r="C4709" s="191" t="s">
        <v>309</v>
      </c>
      <c r="D4709" s="533" t="s">
        <v>4662</v>
      </c>
      <c r="E4709" s="191" t="s">
        <v>266</v>
      </c>
      <c r="F4709" s="211" t="s">
        <v>11811</v>
      </c>
      <c r="G4709" s="46" t="s">
        <v>11812</v>
      </c>
      <c r="H4709" s="534">
        <v>6450</v>
      </c>
      <c r="I4709" s="56">
        <v>45112</v>
      </c>
      <c r="J4709" s="412" t="s">
        <v>11813</v>
      </c>
      <c r="K4709" s="46" t="s">
        <v>167</v>
      </c>
      <c r="L4709" s="99"/>
      <c r="M4709" s="379"/>
      <c r="N4709" s="76" t="s">
        <v>414</v>
      </c>
      <c r="O4709" s="46"/>
      <c r="P4709" s="46" t="s">
        <v>65</v>
      </c>
      <c r="Q4709" s="46" t="s">
        <v>39</v>
      </c>
      <c r="R4709" s="46" t="s">
        <v>272</v>
      </c>
    </row>
    <row r="4710" spans="1:18" ht="69" customHeight="1">
      <c r="A4710" s="168"/>
      <c r="B4710" s="191">
        <v>1424</v>
      </c>
      <c r="C4710" s="191" t="s">
        <v>309</v>
      </c>
      <c r="D4710" s="533" t="s">
        <v>4793</v>
      </c>
      <c r="E4710" s="191" t="s">
        <v>585</v>
      </c>
      <c r="F4710" s="211" t="s">
        <v>11814</v>
      </c>
      <c r="G4710" s="46" t="s">
        <v>11815</v>
      </c>
      <c r="H4710" s="534">
        <v>17007.439999999999</v>
      </c>
      <c r="I4710" s="56">
        <v>45112</v>
      </c>
      <c r="J4710" s="412" t="s">
        <v>11816</v>
      </c>
      <c r="K4710" s="46" t="s">
        <v>11806</v>
      </c>
      <c r="L4710" s="99"/>
      <c r="M4710" s="379"/>
      <c r="N4710" s="76" t="s">
        <v>414</v>
      </c>
      <c r="O4710" s="46" t="s">
        <v>1238</v>
      </c>
      <c r="P4710" s="46" t="s">
        <v>65</v>
      </c>
      <c r="Q4710" s="46" t="s">
        <v>23</v>
      </c>
      <c r="R4710" s="46" t="s">
        <v>272</v>
      </c>
    </row>
    <row r="4711" spans="1:18" ht="69" customHeight="1">
      <c r="A4711" s="168"/>
      <c r="B4711" s="191">
        <v>1425</v>
      </c>
      <c r="C4711" s="191" t="s">
        <v>309</v>
      </c>
      <c r="D4711" s="533"/>
      <c r="E4711" s="191" t="s">
        <v>266</v>
      </c>
      <c r="F4711" s="211" t="s">
        <v>11817</v>
      </c>
      <c r="G4711" s="46" t="s">
        <v>11818</v>
      </c>
      <c r="H4711" s="534">
        <v>3194.03</v>
      </c>
      <c r="I4711" s="56">
        <v>45112</v>
      </c>
      <c r="J4711" s="412" t="s">
        <v>11819</v>
      </c>
      <c r="K4711" s="46" t="s">
        <v>167</v>
      </c>
      <c r="L4711" s="99"/>
      <c r="M4711" s="379"/>
      <c r="N4711" s="76" t="s">
        <v>414</v>
      </c>
      <c r="O4711" s="46"/>
      <c r="P4711" s="46" t="s">
        <v>65</v>
      </c>
      <c r="Q4711" s="46" t="s">
        <v>39</v>
      </c>
      <c r="R4711" s="46" t="s">
        <v>272</v>
      </c>
    </row>
    <row r="4712" spans="1:18" ht="69" customHeight="1">
      <c r="A4712" s="168"/>
      <c r="B4712" s="191">
        <v>1426</v>
      </c>
      <c r="C4712" s="191" t="s">
        <v>309</v>
      </c>
      <c r="D4712" s="533"/>
      <c r="E4712" s="191" t="s">
        <v>266</v>
      </c>
      <c r="F4712" s="211" t="s">
        <v>11820</v>
      </c>
      <c r="G4712" s="46" t="s">
        <v>11818</v>
      </c>
      <c r="H4712" s="534">
        <v>10805.97</v>
      </c>
      <c r="I4712" s="56">
        <v>45112</v>
      </c>
      <c r="J4712" s="412" t="s">
        <v>11819</v>
      </c>
      <c r="K4712" s="46" t="s">
        <v>167</v>
      </c>
      <c r="L4712" s="99"/>
      <c r="M4712" s="379"/>
      <c r="N4712" s="76" t="s">
        <v>414</v>
      </c>
      <c r="O4712" s="46"/>
      <c r="P4712" s="46" t="s">
        <v>65</v>
      </c>
      <c r="Q4712" s="46" t="s">
        <v>39</v>
      </c>
      <c r="R4712" s="46" t="s">
        <v>272</v>
      </c>
    </row>
    <row r="4713" spans="1:18" ht="69" customHeight="1">
      <c r="A4713" s="168"/>
      <c r="B4713" s="178">
        <v>1427</v>
      </c>
      <c r="C4713" s="178" t="s">
        <v>309</v>
      </c>
      <c r="D4713" s="575" t="s">
        <v>5440</v>
      </c>
      <c r="E4713" s="178" t="s">
        <v>4651</v>
      </c>
      <c r="F4713" s="210" t="s">
        <v>11821</v>
      </c>
      <c r="G4713" s="58" t="s">
        <v>11822</v>
      </c>
      <c r="H4713" s="546">
        <v>125600</v>
      </c>
      <c r="I4713" s="66">
        <v>45099</v>
      </c>
      <c r="J4713" s="411" t="s">
        <v>11823</v>
      </c>
      <c r="K4713" s="58" t="s">
        <v>11824</v>
      </c>
      <c r="L4713" s="99"/>
      <c r="M4713" s="70" t="s">
        <v>1526</v>
      </c>
      <c r="N4713" s="97" t="s">
        <v>356</v>
      </c>
      <c r="O4713" s="58" t="s">
        <v>141</v>
      </c>
      <c r="P4713" s="58" t="s">
        <v>19</v>
      </c>
      <c r="Q4713" s="58" t="s">
        <v>27</v>
      </c>
      <c r="R4713" s="58" t="s">
        <v>265</v>
      </c>
    </row>
    <row r="4714" spans="1:18" ht="69" customHeight="1">
      <c r="A4714" s="168"/>
      <c r="B4714" s="191">
        <v>1428</v>
      </c>
      <c r="C4714" s="191" t="s">
        <v>309</v>
      </c>
      <c r="D4714" s="533"/>
      <c r="E4714" s="191" t="s">
        <v>266</v>
      </c>
      <c r="F4714" s="211" t="s">
        <v>11825</v>
      </c>
      <c r="G4714" s="46" t="s">
        <v>11826</v>
      </c>
      <c r="H4714" s="534">
        <v>4000</v>
      </c>
      <c r="I4714" s="56">
        <v>45112</v>
      </c>
      <c r="J4714" s="412" t="s">
        <v>11827</v>
      </c>
      <c r="K4714" s="46" t="s">
        <v>167</v>
      </c>
      <c r="L4714" s="99"/>
      <c r="M4714" s="379"/>
      <c r="N4714" s="76" t="s">
        <v>414</v>
      </c>
      <c r="O4714" s="46"/>
      <c r="P4714" s="46" t="s">
        <v>65</v>
      </c>
      <c r="Q4714" s="46" t="s">
        <v>29</v>
      </c>
      <c r="R4714" s="46" t="s">
        <v>272</v>
      </c>
    </row>
    <row r="4715" spans="1:18" ht="69" customHeight="1">
      <c r="A4715" s="168"/>
      <c r="B4715" s="191">
        <v>1429</v>
      </c>
      <c r="C4715" s="191" t="s">
        <v>309</v>
      </c>
      <c r="D4715" s="533"/>
      <c r="E4715" s="191" t="s">
        <v>266</v>
      </c>
      <c r="F4715" s="211" t="s">
        <v>11828</v>
      </c>
      <c r="G4715" s="46" t="s">
        <v>11826</v>
      </c>
      <c r="H4715" s="534">
        <v>1000</v>
      </c>
      <c r="I4715" s="56">
        <v>45112</v>
      </c>
      <c r="J4715" s="412" t="s">
        <v>11827</v>
      </c>
      <c r="K4715" s="46" t="s">
        <v>167</v>
      </c>
      <c r="L4715" s="99"/>
      <c r="M4715" s="379"/>
      <c r="N4715" s="76" t="s">
        <v>414</v>
      </c>
      <c r="O4715" s="46"/>
      <c r="P4715" s="46" t="s">
        <v>65</v>
      </c>
      <c r="Q4715" s="46" t="s">
        <v>29</v>
      </c>
      <c r="R4715" s="46" t="s">
        <v>272</v>
      </c>
    </row>
    <row r="4716" spans="1:18" ht="69" customHeight="1">
      <c r="A4716" s="168"/>
      <c r="B4716" s="191">
        <v>1430</v>
      </c>
      <c r="C4716" s="191" t="s">
        <v>309</v>
      </c>
      <c r="D4716" s="533" t="s">
        <v>4310</v>
      </c>
      <c r="E4716" s="191" t="s">
        <v>266</v>
      </c>
      <c r="F4716" s="211" t="s">
        <v>11829</v>
      </c>
      <c r="G4716" s="46" t="s">
        <v>11830</v>
      </c>
      <c r="H4716" s="534">
        <v>8939.76</v>
      </c>
      <c r="I4716" s="56">
        <v>45112</v>
      </c>
      <c r="J4716" s="412" t="s">
        <v>11831</v>
      </c>
      <c r="K4716" s="46" t="s">
        <v>167</v>
      </c>
      <c r="L4716" s="99"/>
      <c r="M4716" s="379"/>
      <c r="N4716" s="76" t="s">
        <v>414</v>
      </c>
      <c r="O4716" s="46"/>
      <c r="P4716" s="46" t="s">
        <v>65</v>
      </c>
      <c r="Q4716" s="46" t="s">
        <v>35</v>
      </c>
      <c r="R4716" s="46" t="s">
        <v>272</v>
      </c>
    </row>
    <row r="4717" spans="1:18" ht="69" customHeight="1">
      <c r="A4717" s="168"/>
      <c r="B4717" s="178">
        <v>1431</v>
      </c>
      <c r="C4717" s="178" t="s">
        <v>657</v>
      </c>
      <c r="D4717" s="575" t="s">
        <v>6510</v>
      </c>
      <c r="E4717" s="178" t="s">
        <v>350</v>
      </c>
      <c r="F4717" s="210" t="s">
        <v>11832</v>
      </c>
      <c r="G4717" s="58" t="s">
        <v>11833</v>
      </c>
      <c r="H4717" s="546">
        <v>295891</v>
      </c>
      <c r="I4717" s="66">
        <v>45112</v>
      </c>
      <c r="J4717" s="411" t="s">
        <v>11834</v>
      </c>
      <c r="K4717" s="58"/>
      <c r="L4717" s="99"/>
      <c r="M4717" s="70" t="s">
        <v>7083</v>
      </c>
      <c r="N4717" s="97" t="s">
        <v>356</v>
      </c>
      <c r="O4717" s="58" t="s">
        <v>141</v>
      </c>
      <c r="P4717" s="58" t="s">
        <v>19</v>
      </c>
      <c r="Q4717" s="58" t="s">
        <v>97</v>
      </c>
      <c r="R4717" s="58" t="s">
        <v>265</v>
      </c>
    </row>
    <row r="4718" spans="1:18" ht="69" customHeight="1">
      <c r="A4718" s="168"/>
      <c r="B4718" s="178">
        <v>1432</v>
      </c>
      <c r="C4718" s="178" t="s">
        <v>657</v>
      </c>
      <c r="D4718" s="575" t="s">
        <v>6100</v>
      </c>
      <c r="E4718" s="178" t="s">
        <v>382</v>
      </c>
      <c r="F4718" s="210" t="s">
        <v>11835</v>
      </c>
      <c r="G4718" s="58" t="s">
        <v>11791</v>
      </c>
      <c r="H4718" s="546">
        <v>2892.13</v>
      </c>
      <c r="I4718" s="66">
        <v>45112</v>
      </c>
      <c r="J4718" s="411" t="s">
        <v>11836</v>
      </c>
      <c r="K4718" s="58"/>
      <c r="L4718" s="99"/>
      <c r="M4718" s="70" t="s">
        <v>11837</v>
      </c>
      <c r="N4718" s="97" t="s">
        <v>387</v>
      </c>
      <c r="O4718" s="45" t="s">
        <v>150</v>
      </c>
      <c r="P4718" s="58" t="s">
        <v>51</v>
      </c>
      <c r="Q4718" s="58" t="s">
        <v>102</v>
      </c>
      <c r="R4718" s="58" t="s">
        <v>272</v>
      </c>
    </row>
    <row r="4719" spans="1:18" ht="69" customHeight="1">
      <c r="A4719" s="168"/>
      <c r="B4719" s="178">
        <v>1433</v>
      </c>
      <c r="C4719" s="178" t="s">
        <v>657</v>
      </c>
      <c r="D4719" s="575"/>
      <c r="E4719" s="178" t="s">
        <v>382</v>
      </c>
      <c r="F4719" s="210" t="s">
        <v>11838</v>
      </c>
      <c r="G4719" s="58" t="s">
        <v>11791</v>
      </c>
      <c r="H4719" s="546">
        <v>2892.13</v>
      </c>
      <c r="I4719" s="66">
        <v>45112</v>
      </c>
      <c r="J4719" s="411" t="s">
        <v>11836</v>
      </c>
      <c r="K4719" s="58"/>
      <c r="L4719" s="99"/>
      <c r="M4719" s="70" t="s">
        <v>8680</v>
      </c>
      <c r="N4719" s="97" t="s">
        <v>387</v>
      </c>
      <c r="O4719" s="58" t="s">
        <v>150</v>
      </c>
      <c r="P4719" s="58" t="s">
        <v>51</v>
      </c>
      <c r="Q4719" s="58" t="s">
        <v>109</v>
      </c>
      <c r="R4719" s="58" t="s">
        <v>272</v>
      </c>
    </row>
    <row r="4720" spans="1:18" ht="69" customHeight="1">
      <c r="A4720" s="168"/>
      <c r="B4720" s="178">
        <v>1434</v>
      </c>
      <c r="C4720" s="178" t="s">
        <v>458</v>
      </c>
      <c r="D4720" s="575"/>
      <c r="E4720" s="178" t="s">
        <v>382</v>
      </c>
      <c r="F4720" s="210" t="s">
        <v>11839</v>
      </c>
      <c r="G4720" s="58" t="s">
        <v>11791</v>
      </c>
      <c r="H4720" s="546">
        <v>2892.13</v>
      </c>
      <c r="I4720" s="66">
        <v>45112</v>
      </c>
      <c r="J4720" s="411" t="s">
        <v>11836</v>
      </c>
      <c r="K4720" s="58"/>
      <c r="L4720" s="99"/>
      <c r="M4720" s="70" t="s">
        <v>11840</v>
      </c>
      <c r="N4720" s="97" t="s">
        <v>387</v>
      </c>
      <c r="O4720" s="45" t="s">
        <v>150</v>
      </c>
      <c r="P4720" s="58" t="s">
        <v>51</v>
      </c>
      <c r="Q4720" s="58" t="s">
        <v>101</v>
      </c>
      <c r="R4720" s="58" t="s">
        <v>272</v>
      </c>
    </row>
    <row r="4721" spans="1:18" ht="69" customHeight="1">
      <c r="A4721" s="168"/>
      <c r="B4721" s="178">
        <v>1435</v>
      </c>
      <c r="C4721" s="178" t="s">
        <v>458</v>
      </c>
      <c r="D4721" s="575"/>
      <c r="E4721" s="178" t="s">
        <v>382</v>
      </c>
      <c r="F4721" s="210" t="s">
        <v>11841</v>
      </c>
      <c r="G4721" s="58" t="s">
        <v>11791</v>
      </c>
      <c r="H4721" s="546">
        <v>2892.13</v>
      </c>
      <c r="I4721" s="66">
        <v>45112</v>
      </c>
      <c r="J4721" s="411" t="s">
        <v>11836</v>
      </c>
      <c r="K4721" s="58"/>
      <c r="L4721" s="99"/>
      <c r="M4721" s="70" t="s">
        <v>8541</v>
      </c>
      <c r="N4721" s="97" t="s">
        <v>387</v>
      </c>
      <c r="O4721" s="45" t="s">
        <v>150</v>
      </c>
      <c r="P4721" s="58" t="s">
        <v>51</v>
      </c>
      <c r="Q4721" s="58" t="s">
        <v>108</v>
      </c>
      <c r="R4721" s="58" t="s">
        <v>272</v>
      </c>
    </row>
    <row r="4722" spans="1:18" ht="69" customHeight="1">
      <c r="A4722" s="168"/>
      <c r="B4722" s="178">
        <v>1436</v>
      </c>
      <c r="C4722" s="59" t="s">
        <v>3667</v>
      </c>
      <c r="D4722" s="575"/>
      <c r="E4722" s="178" t="s">
        <v>382</v>
      </c>
      <c r="F4722" s="210" t="s">
        <v>11842</v>
      </c>
      <c r="G4722" s="58" t="s">
        <v>11791</v>
      </c>
      <c r="H4722" s="546">
        <v>2477.9699999999998</v>
      </c>
      <c r="I4722" s="66">
        <v>45112</v>
      </c>
      <c r="J4722" s="411" t="s">
        <v>11836</v>
      </c>
      <c r="K4722" s="58"/>
      <c r="L4722" s="99"/>
      <c r="M4722" s="70" t="s">
        <v>4532</v>
      </c>
      <c r="N4722" s="97" t="s">
        <v>387</v>
      </c>
      <c r="O4722" s="58" t="s">
        <v>150</v>
      </c>
      <c r="P4722" s="58" t="s">
        <v>51</v>
      </c>
      <c r="Q4722" s="58" t="s">
        <v>54</v>
      </c>
      <c r="R4722" s="58" t="s">
        <v>272</v>
      </c>
    </row>
    <row r="4723" spans="1:18" ht="69" customHeight="1">
      <c r="A4723" s="168"/>
      <c r="B4723" s="178">
        <v>1437</v>
      </c>
      <c r="C4723" s="59" t="s">
        <v>3667</v>
      </c>
      <c r="D4723" s="575" t="s">
        <v>11843</v>
      </c>
      <c r="E4723" s="178" t="s">
        <v>382</v>
      </c>
      <c r="F4723" s="210" t="s">
        <v>11844</v>
      </c>
      <c r="G4723" s="58" t="s">
        <v>10877</v>
      </c>
      <c r="H4723" s="546">
        <v>2000</v>
      </c>
      <c r="I4723" s="66">
        <v>45112</v>
      </c>
      <c r="J4723" s="411" t="s">
        <v>10878</v>
      </c>
      <c r="K4723" s="58"/>
      <c r="L4723" s="99"/>
      <c r="M4723" s="70" t="s">
        <v>4532</v>
      </c>
      <c r="N4723" s="97" t="s">
        <v>387</v>
      </c>
      <c r="O4723" s="58" t="s">
        <v>150</v>
      </c>
      <c r="P4723" s="58" t="s">
        <v>51</v>
      </c>
      <c r="Q4723" s="58" t="s">
        <v>54</v>
      </c>
      <c r="R4723" s="58" t="s">
        <v>272</v>
      </c>
    </row>
    <row r="4724" spans="1:18" ht="69" customHeight="1">
      <c r="A4724" s="168"/>
      <c r="B4724" s="178">
        <v>1438</v>
      </c>
      <c r="C4724" s="59" t="s">
        <v>3667</v>
      </c>
      <c r="D4724" s="575" t="s">
        <v>11845</v>
      </c>
      <c r="E4724" s="178" t="s">
        <v>382</v>
      </c>
      <c r="F4724" s="210" t="s">
        <v>11846</v>
      </c>
      <c r="G4724" s="58" t="s">
        <v>11138</v>
      </c>
      <c r="H4724" s="546">
        <v>12000</v>
      </c>
      <c r="I4724" s="66">
        <v>45112</v>
      </c>
      <c r="J4724" s="411" t="s">
        <v>10878</v>
      </c>
      <c r="K4724" s="58"/>
      <c r="L4724" s="99"/>
      <c r="M4724" s="70" t="s">
        <v>4532</v>
      </c>
      <c r="N4724" s="97" t="s">
        <v>387</v>
      </c>
      <c r="O4724" s="58" t="s">
        <v>150</v>
      </c>
      <c r="P4724" s="58" t="s">
        <v>51</v>
      </c>
      <c r="Q4724" s="58" t="s">
        <v>54</v>
      </c>
      <c r="R4724" s="58" t="s">
        <v>272</v>
      </c>
    </row>
    <row r="4725" spans="1:18" ht="69" customHeight="1">
      <c r="A4725" s="168"/>
      <c r="B4725" s="178">
        <v>1439</v>
      </c>
      <c r="C4725" s="178" t="s">
        <v>309</v>
      </c>
      <c r="D4725" s="575" t="s">
        <v>4308</v>
      </c>
      <c r="E4725" s="178" t="s">
        <v>382</v>
      </c>
      <c r="F4725" s="210" t="s">
        <v>11847</v>
      </c>
      <c r="G4725" s="58" t="s">
        <v>10877</v>
      </c>
      <c r="H4725" s="546">
        <v>2000</v>
      </c>
      <c r="I4725" s="66">
        <v>45112</v>
      </c>
      <c r="J4725" s="411" t="s">
        <v>10878</v>
      </c>
      <c r="K4725" s="58"/>
      <c r="L4725" s="99"/>
      <c r="M4725" s="70" t="s">
        <v>3550</v>
      </c>
      <c r="N4725" s="97" t="s">
        <v>387</v>
      </c>
      <c r="O4725" s="58" t="s">
        <v>3551</v>
      </c>
      <c r="P4725" s="58" t="s">
        <v>51</v>
      </c>
      <c r="Q4725" s="58" t="s">
        <v>43</v>
      </c>
      <c r="R4725" s="58" t="s">
        <v>272</v>
      </c>
    </row>
    <row r="4726" spans="1:18" ht="69" customHeight="1">
      <c r="A4726" s="168"/>
      <c r="B4726" s="178">
        <v>1440</v>
      </c>
      <c r="C4726" s="178" t="s">
        <v>309</v>
      </c>
      <c r="D4726" s="575" t="s">
        <v>3971</v>
      </c>
      <c r="E4726" s="178" t="s">
        <v>382</v>
      </c>
      <c r="F4726" s="210" t="s">
        <v>11848</v>
      </c>
      <c r="G4726" s="58" t="s">
        <v>11138</v>
      </c>
      <c r="H4726" s="546">
        <v>12000</v>
      </c>
      <c r="I4726" s="66">
        <v>45112</v>
      </c>
      <c r="J4726" s="411" t="s">
        <v>10878</v>
      </c>
      <c r="K4726" s="58"/>
      <c r="L4726" s="99"/>
      <c r="M4726" s="70" t="s">
        <v>3550</v>
      </c>
      <c r="N4726" s="97" t="s">
        <v>387</v>
      </c>
      <c r="O4726" s="58" t="s">
        <v>3551</v>
      </c>
      <c r="P4726" s="58" t="s">
        <v>51</v>
      </c>
      <c r="Q4726" s="58" t="s">
        <v>43</v>
      </c>
      <c r="R4726" s="58" t="s">
        <v>272</v>
      </c>
    </row>
    <row r="4727" spans="1:18" ht="69" customHeight="1">
      <c r="A4727" s="168"/>
      <c r="B4727" s="178">
        <v>1441</v>
      </c>
      <c r="C4727" s="178" t="s">
        <v>458</v>
      </c>
      <c r="D4727" s="575" t="s">
        <v>5446</v>
      </c>
      <c r="E4727" s="178" t="s">
        <v>382</v>
      </c>
      <c r="F4727" s="210" t="s">
        <v>11849</v>
      </c>
      <c r="G4727" s="58" t="s">
        <v>10877</v>
      </c>
      <c r="H4727" s="546">
        <v>2000</v>
      </c>
      <c r="I4727" s="66">
        <v>45112</v>
      </c>
      <c r="J4727" s="411" t="s">
        <v>10878</v>
      </c>
      <c r="K4727" s="58"/>
      <c r="L4727" s="99"/>
      <c r="M4727" s="70" t="s">
        <v>10253</v>
      </c>
      <c r="N4727" s="97" t="s">
        <v>387</v>
      </c>
      <c r="O4727" s="58" t="s">
        <v>150</v>
      </c>
      <c r="P4727" s="58" t="s">
        <v>51</v>
      </c>
      <c r="Q4727" s="58" t="s">
        <v>121</v>
      </c>
      <c r="R4727" s="58" t="s">
        <v>272</v>
      </c>
    </row>
    <row r="4728" spans="1:18" ht="69" customHeight="1">
      <c r="A4728" s="168"/>
      <c r="B4728" s="178">
        <v>1442</v>
      </c>
      <c r="C4728" s="178" t="s">
        <v>458</v>
      </c>
      <c r="D4728" s="575" t="s">
        <v>5448</v>
      </c>
      <c r="E4728" s="178" t="s">
        <v>382</v>
      </c>
      <c r="F4728" s="210" t="s">
        <v>11850</v>
      </c>
      <c r="G4728" s="58" t="s">
        <v>11138</v>
      </c>
      <c r="H4728" s="546">
        <v>12000</v>
      </c>
      <c r="I4728" s="66">
        <v>45112</v>
      </c>
      <c r="J4728" s="411" t="s">
        <v>10878</v>
      </c>
      <c r="K4728" s="58"/>
      <c r="L4728" s="99"/>
      <c r="M4728" s="70" t="s">
        <v>10253</v>
      </c>
      <c r="N4728" s="97" t="s">
        <v>387</v>
      </c>
      <c r="O4728" s="58" t="s">
        <v>3551</v>
      </c>
      <c r="P4728" s="58" t="s">
        <v>51</v>
      </c>
      <c r="Q4728" s="58" t="s">
        <v>121</v>
      </c>
      <c r="R4728" s="58" t="s">
        <v>272</v>
      </c>
    </row>
    <row r="4729" spans="1:18" ht="69" customHeight="1">
      <c r="A4729" s="168"/>
      <c r="B4729" s="191">
        <v>1220</v>
      </c>
      <c r="C4729" s="191" t="s">
        <v>657</v>
      </c>
      <c r="D4729" s="533" t="s">
        <v>3314</v>
      </c>
      <c r="E4729" s="191" t="s">
        <v>585</v>
      </c>
      <c r="F4729" s="211" t="s">
        <v>11851</v>
      </c>
      <c r="G4729" s="46" t="s">
        <v>11852</v>
      </c>
      <c r="H4729" s="534">
        <v>9244.2000000000007</v>
      </c>
      <c r="I4729" s="56">
        <v>45092</v>
      </c>
      <c r="J4729" s="412" t="s">
        <v>11853</v>
      </c>
      <c r="K4729" s="46" t="s">
        <v>167</v>
      </c>
      <c r="L4729" s="99"/>
      <c r="M4729" s="379"/>
      <c r="N4729" s="76" t="s">
        <v>716</v>
      </c>
      <c r="O4729" s="46"/>
      <c r="P4729" s="46" t="s">
        <v>65</v>
      </c>
      <c r="Q4729" s="46" t="s">
        <v>116</v>
      </c>
      <c r="R4729" s="46" t="s">
        <v>272</v>
      </c>
    </row>
    <row r="4730" spans="1:18" ht="69" customHeight="1">
      <c r="A4730" s="168"/>
      <c r="B4730" s="191">
        <v>1341</v>
      </c>
      <c r="C4730" s="191" t="s">
        <v>9441</v>
      </c>
      <c r="D4730" s="533" t="s">
        <v>1386</v>
      </c>
      <c r="E4730" s="191" t="s">
        <v>877</v>
      </c>
      <c r="F4730" s="211" t="s">
        <v>11854</v>
      </c>
      <c r="G4730" s="46" t="s">
        <v>11640</v>
      </c>
      <c r="H4730" s="534">
        <v>22211.07</v>
      </c>
      <c r="I4730" s="56">
        <v>45106</v>
      </c>
      <c r="J4730" s="412" t="s">
        <v>11641</v>
      </c>
      <c r="K4730" s="46" t="s">
        <v>167</v>
      </c>
      <c r="L4730" s="99"/>
      <c r="M4730" s="379"/>
      <c r="N4730" s="76" t="s">
        <v>716</v>
      </c>
      <c r="O4730" s="46"/>
      <c r="P4730" s="46" t="s">
        <v>71</v>
      </c>
      <c r="Q4730" s="46" t="s">
        <v>116</v>
      </c>
      <c r="R4730" s="46" t="s">
        <v>272</v>
      </c>
    </row>
    <row r="4731" spans="1:18" ht="69" customHeight="1">
      <c r="A4731" s="168"/>
      <c r="B4731" s="191">
        <v>1445</v>
      </c>
      <c r="C4731" s="191" t="s">
        <v>309</v>
      </c>
      <c r="D4731" s="533"/>
      <c r="E4731" s="191" t="s">
        <v>266</v>
      </c>
      <c r="F4731" s="211" t="s">
        <v>11855</v>
      </c>
      <c r="G4731" s="46" t="s">
        <v>11856</v>
      </c>
      <c r="H4731" s="534">
        <v>1200</v>
      </c>
      <c r="I4731" s="56">
        <v>45112</v>
      </c>
      <c r="J4731" s="412" t="s">
        <v>11857</v>
      </c>
      <c r="K4731" s="46" t="s">
        <v>167</v>
      </c>
      <c r="L4731" s="99"/>
      <c r="M4731" s="379"/>
      <c r="N4731" s="76" t="s">
        <v>414</v>
      </c>
      <c r="O4731" s="46"/>
      <c r="P4731" s="46" t="s">
        <v>65</v>
      </c>
      <c r="Q4731" s="46" t="s">
        <v>39</v>
      </c>
      <c r="R4731" s="46" t="s">
        <v>272</v>
      </c>
    </row>
    <row r="4732" spans="1:18" ht="69" customHeight="1">
      <c r="A4732" s="168"/>
      <c r="B4732" s="191">
        <v>1445</v>
      </c>
      <c r="C4732" s="191" t="s">
        <v>309</v>
      </c>
      <c r="D4732" s="533" t="s">
        <v>5444</v>
      </c>
      <c r="E4732" s="191" t="s">
        <v>266</v>
      </c>
      <c r="F4732" s="211" t="s">
        <v>11858</v>
      </c>
      <c r="G4732" s="46" t="s">
        <v>11856</v>
      </c>
      <c r="H4732" s="534">
        <v>1200</v>
      </c>
      <c r="I4732" s="56">
        <v>45112</v>
      </c>
      <c r="J4732" s="412" t="s">
        <v>11857</v>
      </c>
      <c r="K4732" s="46" t="s">
        <v>167</v>
      </c>
      <c r="L4732" s="99"/>
      <c r="M4732" s="379"/>
      <c r="N4732" s="76" t="s">
        <v>270</v>
      </c>
      <c r="O4732" s="46"/>
      <c r="P4732" s="46" t="s">
        <v>65</v>
      </c>
      <c r="Q4732" s="46" t="s">
        <v>39</v>
      </c>
      <c r="R4732" s="46" t="s">
        <v>272</v>
      </c>
    </row>
    <row r="4733" spans="1:18" ht="69" customHeight="1">
      <c r="A4733" s="168"/>
      <c r="B4733" s="178">
        <v>1446</v>
      </c>
      <c r="C4733" s="59" t="s">
        <v>3667</v>
      </c>
      <c r="D4733" s="575" t="s">
        <v>11859</v>
      </c>
      <c r="E4733" s="178" t="s">
        <v>10602</v>
      </c>
      <c r="F4733" s="210" t="s">
        <v>11860</v>
      </c>
      <c r="G4733" s="58" t="s">
        <v>11861</v>
      </c>
      <c r="H4733" s="546">
        <v>310185.69</v>
      </c>
      <c r="I4733" s="66">
        <v>45112</v>
      </c>
      <c r="J4733" s="411" t="s">
        <v>11862</v>
      </c>
      <c r="K4733" s="58"/>
      <c r="L4733" s="99"/>
      <c r="M4733" s="70" t="s">
        <v>10606</v>
      </c>
      <c r="N4733" s="97" t="s">
        <v>6197</v>
      </c>
      <c r="O4733" s="58"/>
      <c r="P4733" s="58" t="s">
        <v>22</v>
      </c>
      <c r="Q4733" s="58" t="s">
        <v>68</v>
      </c>
      <c r="R4733" s="58" t="s">
        <v>272</v>
      </c>
    </row>
    <row r="4734" spans="1:18" ht="69" customHeight="1">
      <c r="A4734" s="168"/>
      <c r="B4734" s="178">
        <v>1447</v>
      </c>
      <c r="C4734" s="59" t="s">
        <v>3667</v>
      </c>
      <c r="D4734" s="575" t="s">
        <v>11863</v>
      </c>
      <c r="E4734" s="178" t="s">
        <v>10602</v>
      </c>
      <c r="F4734" s="210" t="s">
        <v>11864</v>
      </c>
      <c r="G4734" s="58" t="s">
        <v>11861</v>
      </c>
      <c r="H4734" s="546">
        <v>491714.15</v>
      </c>
      <c r="I4734" s="66">
        <v>45112</v>
      </c>
      <c r="J4734" s="411" t="s">
        <v>11862</v>
      </c>
      <c r="K4734" s="58"/>
      <c r="L4734" s="99"/>
      <c r="M4734" s="70" t="s">
        <v>10611</v>
      </c>
      <c r="N4734" s="97" t="s">
        <v>6197</v>
      </c>
      <c r="O4734" s="58" t="s">
        <v>10607</v>
      </c>
      <c r="P4734" s="58" t="s">
        <v>22</v>
      </c>
      <c r="Q4734" s="58" t="s">
        <v>70</v>
      </c>
      <c r="R4734" s="58" t="s">
        <v>272</v>
      </c>
    </row>
    <row r="4735" spans="1:18" ht="69" customHeight="1">
      <c r="A4735" s="168"/>
      <c r="B4735" s="178">
        <v>1448</v>
      </c>
      <c r="C4735" s="59" t="s">
        <v>3667</v>
      </c>
      <c r="D4735" s="575" t="s">
        <v>11865</v>
      </c>
      <c r="E4735" s="178" t="s">
        <v>10602</v>
      </c>
      <c r="F4735" s="210" t="s">
        <v>11866</v>
      </c>
      <c r="G4735" s="58" t="s">
        <v>11861</v>
      </c>
      <c r="H4735" s="546">
        <v>640727.14</v>
      </c>
      <c r="I4735" s="66">
        <v>45112</v>
      </c>
      <c r="J4735" s="411" t="s">
        <v>11862</v>
      </c>
      <c r="K4735" s="58"/>
      <c r="L4735" s="99"/>
      <c r="M4735" s="70" t="s">
        <v>10616</v>
      </c>
      <c r="N4735" s="97" t="s">
        <v>6197</v>
      </c>
      <c r="O4735" s="58"/>
      <c r="P4735" s="58" t="s">
        <v>22</v>
      </c>
      <c r="Q4735" s="58" t="s">
        <v>86</v>
      </c>
      <c r="R4735" s="58" t="s">
        <v>272</v>
      </c>
    </row>
    <row r="4736" spans="1:18" ht="69" customHeight="1">
      <c r="A4736" s="168"/>
      <c r="B4736" s="191">
        <v>1449</v>
      </c>
      <c r="C4736" s="191" t="s">
        <v>458</v>
      </c>
      <c r="D4736" s="533" t="s">
        <v>3974</v>
      </c>
      <c r="E4736" s="191" t="s">
        <v>7181</v>
      </c>
      <c r="F4736" s="211" t="s">
        <v>11867</v>
      </c>
      <c r="G4736" s="46" t="s">
        <v>11868</v>
      </c>
      <c r="H4736" s="534">
        <v>11687.04</v>
      </c>
      <c r="I4736" s="56">
        <v>45112</v>
      </c>
      <c r="J4736" s="412" t="s">
        <v>11869</v>
      </c>
      <c r="K4736" s="46" t="s">
        <v>167</v>
      </c>
      <c r="L4736" s="99"/>
      <c r="M4736" s="379"/>
      <c r="N4736" s="76" t="s">
        <v>414</v>
      </c>
      <c r="O4736" s="46" t="s">
        <v>1171</v>
      </c>
      <c r="P4736" s="46" t="s">
        <v>71</v>
      </c>
      <c r="Q4736" s="46" t="s">
        <v>113</v>
      </c>
      <c r="R4736" s="46" t="s">
        <v>272</v>
      </c>
    </row>
    <row r="4737" spans="1:18" ht="69" customHeight="1">
      <c r="A4737" s="168"/>
      <c r="B4737" s="178">
        <v>1450</v>
      </c>
      <c r="C4737" s="59" t="s">
        <v>3667</v>
      </c>
      <c r="D4737" s="575" t="s">
        <v>11870</v>
      </c>
      <c r="E4737" s="178" t="s">
        <v>11241</v>
      </c>
      <c r="F4737" s="210" t="s">
        <v>11871</v>
      </c>
      <c r="G4737" s="58" t="s">
        <v>11872</v>
      </c>
      <c r="H4737" s="546">
        <v>70000</v>
      </c>
      <c r="I4737" s="66">
        <v>45107</v>
      </c>
      <c r="J4737" s="411" t="s">
        <v>11873</v>
      </c>
      <c r="K4737" s="58"/>
      <c r="L4737" s="99"/>
      <c r="M4737" s="70" t="s">
        <v>11256</v>
      </c>
      <c r="N4737" s="97" t="s">
        <v>741</v>
      </c>
      <c r="O4737" s="45" t="s">
        <v>175</v>
      </c>
      <c r="P4737" s="58" t="s">
        <v>59</v>
      </c>
      <c r="Q4737" s="58" t="s">
        <v>64</v>
      </c>
      <c r="R4737" s="58" t="s">
        <v>272</v>
      </c>
    </row>
    <row r="4738" spans="1:18" ht="69" customHeight="1">
      <c r="A4738" s="168"/>
      <c r="B4738" s="178">
        <v>1451</v>
      </c>
      <c r="C4738" s="59" t="s">
        <v>3667</v>
      </c>
      <c r="D4738" s="575" t="s">
        <v>11874</v>
      </c>
      <c r="E4738" s="178" t="s">
        <v>7181</v>
      </c>
      <c r="F4738" s="210" t="s">
        <v>11875</v>
      </c>
      <c r="G4738" s="58" t="s">
        <v>11876</v>
      </c>
      <c r="H4738" s="546">
        <v>39890.01</v>
      </c>
      <c r="I4738" s="66">
        <v>45112</v>
      </c>
      <c r="J4738" s="411" t="s">
        <v>11877</v>
      </c>
      <c r="K4738" s="58"/>
      <c r="L4738" s="99"/>
      <c r="M4738" s="70" t="s">
        <v>6674</v>
      </c>
      <c r="N4738" s="97" t="s">
        <v>414</v>
      </c>
      <c r="O4738" s="58"/>
      <c r="P4738" s="58" t="s">
        <v>22</v>
      </c>
      <c r="Q4738" s="58" t="s">
        <v>78</v>
      </c>
      <c r="R4738" s="58" t="s">
        <v>265</v>
      </c>
    </row>
    <row r="4739" spans="1:18" ht="69" customHeight="1">
      <c r="A4739" s="168"/>
      <c r="B4739" s="178">
        <v>1452</v>
      </c>
      <c r="C4739" s="178" t="s">
        <v>5558</v>
      </c>
      <c r="D4739" s="575" t="s">
        <v>11878</v>
      </c>
      <c r="E4739" s="178" t="s">
        <v>11241</v>
      </c>
      <c r="F4739" s="210" t="s">
        <v>11879</v>
      </c>
      <c r="G4739" s="58" t="s">
        <v>11880</v>
      </c>
      <c r="H4739" s="546">
        <v>100000</v>
      </c>
      <c r="I4739" s="66">
        <v>45107</v>
      </c>
      <c r="J4739" s="411" t="s">
        <v>11881</v>
      </c>
      <c r="K4739" s="58"/>
      <c r="L4739" s="99"/>
      <c r="M4739" s="70" t="s">
        <v>11256</v>
      </c>
      <c r="N4739" s="97" t="s">
        <v>741</v>
      </c>
      <c r="O4739" s="45" t="s">
        <v>175</v>
      </c>
      <c r="P4739" s="58" t="s">
        <v>59</v>
      </c>
      <c r="Q4739" s="58" t="s">
        <v>64</v>
      </c>
      <c r="R4739" s="58" t="s">
        <v>272</v>
      </c>
    </row>
    <row r="4740" spans="1:18" ht="69" customHeight="1">
      <c r="A4740" s="168"/>
      <c r="B4740" s="207">
        <v>1453</v>
      </c>
      <c r="C4740" s="207" t="s">
        <v>10961</v>
      </c>
      <c r="D4740" s="301" t="s">
        <v>11882</v>
      </c>
      <c r="E4740" s="207" t="s">
        <v>266</v>
      </c>
      <c r="F4740" s="208" t="s">
        <v>11883</v>
      </c>
      <c r="G4740" s="160" t="s">
        <v>11884</v>
      </c>
      <c r="H4740" s="300">
        <v>10060.959999999999</v>
      </c>
      <c r="I4740" s="209">
        <v>45099</v>
      </c>
      <c r="J4740" s="322" t="s">
        <v>11885</v>
      </c>
      <c r="K4740" s="160" t="s">
        <v>10804</v>
      </c>
      <c r="M4740" s="379"/>
      <c r="N4740" s="76"/>
      <c r="O4740" s="160"/>
      <c r="P4740" s="160" t="s">
        <v>67</v>
      </c>
      <c r="Q4740" s="160" t="s">
        <v>96</v>
      </c>
      <c r="R4740" s="160" t="s">
        <v>272</v>
      </c>
    </row>
    <row r="4741" spans="1:18" ht="69" customHeight="1">
      <c r="A4741" s="168"/>
      <c r="B4741" s="178">
        <v>1454</v>
      </c>
      <c r="C4741" s="178" t="s">
        <v>657</v>
      </c>
      <c r="D4741" s="575" t="s">
        <v>2696</v>
      </c>
      <c r="E4741" s="178" t="s">
        <v>11886</v>
      </c>
      <c r="F4741" s="210" t="s">
        <v>11887</v>
      </c>
      <c r="G4741" s="58" t="s">
        <v>11888</v>
      </c>
      <c r="H4741" s="546">
        <v>27189.32</v>
      </c>
      <c r="I4741" s="66">
        <v>45107</v>
      </c>
      <c r="J4741" s="411" t="s">
        <v>11889</v>
      </c>
      <c r="K4741" s="58"/>
      <c r="L4741" s="99"/>
      <c r="M4741" s="70" t="s">
        <v>7223</v>
      </c>
      <c r="N4741" s="97" t="s">
        <v>414</v>
      </c>
      <c r="O4741" s="58"/>
      <c r="P4741" s="58" t="s">
        <v>22</v>
      </c>
      <c r="Q4741" s="58" t="s">
        <v>97</v>
      </c>
      <c r="R4741" s="58" t="s">
        <v>272</v>
      </c>
    </row>
    <row r="4742" spans="1:18" ht="69" customHeight="1">
      <c r="A4742" s="168"/>
      <c r="B4742" s="178">
        <v>1455</v>
      </c>
      <c r="C4742" s="178" t="s">
        <v>657</v>
      </c>
      <c r="D4742" s="575" t="s">
        <v>2444</v>
      </c>
      <c r="E4742" s="178" t="s">
        <v>11886</v>
      </c>
      <c r="F4742" s="210" t="s">
        <v>11890</v>
      </c>
      <c r="G4742" s="58" t="s">
        <v>11891</v>
      </c>
      <c r="H4742" s="546">
        <v>14640.41</v>
      </c>
      <c r="I4742" s="66">
        <v>45107</v>
      </c>
      <c r="J4742" s="411" t="s">
        <v>11889</v>
      </c>
      <c r="K4742" s="58"/>
      <c r="L4742" s="99"/>
      <c r="M4742" s="70" t="s">
        <v>7223</v>
      </c>
      <c r="N4742" s="97" t="s">
        <v>414</v>
      </c>
      <c r="O4742" s="58"/>
      <c r="P4742" s="58" t="s">
        <v>22</v>
      </c>
      <c r="Q4742" s="58" t="s">
        <v>97</v>
      </c>
      <c r="R4742" s="58" t="s">
        <v>272</v>
      </c>
    </row>
    <row r="4743" spans="1:18" ht="69" customHeight="1">
      <c r="A4743" s="168"/>
      <c r="B4743" s="178">
        <v>1456</v>
      </c>
      <c r="C4743" s="178" t="s">
        <v>458</v>
      </c>
      <c r="D4743" s="575" t="s">
        <v>3978</v>
      </c>
      <c r="E4743" s="178" t="s">
        <v>11886</v>
      </c>
      <c r="F4743" s="210" t="s">
        <v>11892</v>
      </c>
      <c r="G4743" s="58" t="s">
        <v>11893</v>
      </c>
      <c r="H4743" s="546">
        <v>97363.62</v>
      </c>
      <c r="I4743" s="66">
        <v>45107</v>
      </c>
      <c r="J4743" s="411" t="s">
        <v>11894</v>
      </c>
      <c r="K4743" s="58"/>
      <c r="L4743" s="99"/>
      <c r="M4743" s="70" t="s">
        <v>7652</v>
      </c>
      <c r="N4743" s="97" t="s">
        <v>414</v>
      </c>
      <c r="O4743" s="45" t="s">
        <v>147</v>
      </c>
      <c r="P4743" s="58" t="s">
        <v>22</v>
      </c>
      <c r="Q4743" s="58" t="s">
        <v>103</v>
      </c>
      <c r="R4743" s="58" t="s">
        <v>272</v>
      </c>
    </row>
    <row r="4744" spans="1:18" ht="69" customHeight="1">
      <c r="A4744" s="168"/>
      <c r="B4744" s="178">
        <v>1457</v>
      </c>
      <c r="C4744" s="178" t="s">
        <v>458</v>
      </c>
      <c r="D4744" s="575" t="s">
        <v>4316</v>
      </c>
      <c r="E4744" s="178" t="s">
        <v>11886</v>
      </c>
      <c r="F4744" s="210" t="s">
        <v>11895</v>
      </c>
      <c r="G4744" s="58" t="s">
        <v>11896</v>
      </c>
      <c r="H4744" s="546">
        <v>52426.559999999998</v>
      </c>
      <c r="I4744" s="66">
        <v>45107</v>
      </c>
      <c r="J4744" s="411" t="s">
        <v>11894</v>
      </c>
      <c r="K4744" s="58"/>
      <c r="L4744" s="99"/>
      <c r="M4744" s="70" t="s">
        <v>7652</v>
      </c>
      <c r="N4744" s="97" t="s">
        <v>414</v>
      </c>
      <c r="O4744" s="45" t="s">
        <v>147</v>
      </c>
      <c r="P4744" s="58" t="s">
        <v>22</v>
      </c>
      <c r="Q4744" s="58" t="s">
        <v>103</v>
      </c>
      <c r="R4744" s="58" t="s">
        <v>272</v>
      </c>
    </row>
    <row r="4745" spans="1:18" ht="69" customHeight="1">
      <c r="A4745" s="168"/>
      <c r="B4745" s="178">
        <v>1458</v>
      </c>
      <c r="C4745" s="178" t="s">
        <v>657</v>
      </c>
      <c r="D4745" s="575" t="s">
        <v>3289</v>
      </c>
      <c r="E4745" s="178" t="s">
        <v>11886</v>
      </c>
      <c r="F4745" s="210" t="s">
        <v>11897</v>
      </c>
      <c r="G4745" s="58" t="s">
        <v>11898</v>
      </c>
      <c r="H4745" s="546">
        <v>231568.88</v>
      </c>
      <c r="I4745" s="66">
        <v>45107</v>
      </c>
      <c r="J4745" s="411" t="s">
        <v>11899</v>
      </c>
      <c r="K4745" s="58"/>
      <c r="L4745" s="99"/>
      <c r="M4745" s="70" t="s">
        <v>7851</v>
      </c>
      <c r="N4745" s="97" t="s">
        <v>414</v>
      </c>
      <c r="O4745" s="58"/>
      <c r="P4745" s="58" t="s">
        <v>22</v>
      </c>
      <c r="Q4745" s="58" t="s">
        <v>104</v>
      </c>
      <c r="R4745" s="58" t="s">
        <v>272</v>
      </c>
    </row>
    <row r="4746" spans="1:18" ht="69" customHeight="1">
      <c r="A4746" s="168"/>
      <c r="B4746" s="178">
        <v>1459</v>
      </c>
      <c r="C4746" s="178" t="s">
        <v>657</v>
      </c>
      <c r="D4746" s="575" t="s">
        <v>3056</v>
      </c>
      <c r="E4746" s="178" t="s">
        <v>11886</v>
      </c>
      <c r="F4746" s="210" t="s">
        <v>11900</v>
      </c>
      <c r="G4746" s="58" t="s">
        <v>11901</v>
      </c>
      <c r="H4746" s="546">
        <v>124690.94</v>
      </c>
      <c r="I4746" s="66">
        <v>45107</v>
      </c>
      <c r="J4746" s="411" t="s">
        <v>11899</v>
      </c>
      <c r="K4746" s="58"/>
      <c r="L4746" s="99"/>
      <c r="M4746" s="70" t="s">
        <v>7851</v>
      </c>
      <c r="N4746" s="97" t="s">
        <v>414</v>
      </c>
      <c r="O4746" s="58"/>
      <c r="P4746" s="58" t="s">
        <v>22</v>
      </c>
      <c r="Q4746" s="58" t="s">
        <v>104</v>
      </c>
      <c r="R4746" s="58" t="s">
        <v>272</v>
      </c>
    </row>
    <row r="4747" spans="1:18" ht="69" customHeight="1">
      <c r="A4747" s="168"/>
      <c r="B4747" s="207">
        <v>1460</v>
      </c>
      <c r="C4747" s="207" t="s">
        <v>458</v>
      </c>
      <c r="D4747" s="299" t="s">
        <v>6187</v>
      </c>
      <c r="E4747" s="256" t="s">
        <v>260</v>
      </c>
      <c r="F4747" s="263" t="s">
        <v>11902</v>
      </c>
      <c r="G4747" s="118" t="s">
        <v>11903</v>
      </c>
      <c r="H4747" s="280">
        <v>17490.189999999999</v>
      </c>
      <c r="I4747" s="262">
        <v>45122</v>
      </c>
      <c r="J4747" s="409" t="s">
        <v>11904</v>
      </c>
      <c r="K4747" s="118" t="s">
        <v>727</v>
      </c>
      <c r="M4747" s="380"/>
      <c r="N4747" s="82" t="s">
        <v>264</v>
      </c>
      <c r="O4747" s="118" t="s">
        <v>141</v>
      </c>
      <c r="P4747" s="118" t="s">
        <v>67</v>
      </c>
      <c r="Q4747" s="118" t="s">
        <v>112</v>
      </c>
      <c r="R4747" s="118" t="s">
        <v>272</v>
      </c>
    </row>
    <row r="4748" spans="1:18" ht="69" customHeight="1">
      <c r="A4748" s="168"/>
      <c r="B4748" s="207">
        <v>1461</v>
      </c>
      <c r="C4748" s="207" t="s">
        <v>657</v>
      </c>
      <c r="D4748" s="301" t="s">
        <v>3285</v>
      </c>
      <c r="E4748" s="207" t="s">
        <v>260</v>
      </c>
      <c r="F4748" s="208" t="s">
        <v>11905</v>
      </c>
      <c r="G4748" s="160" t="s">
        <v>11906</v>
      </c>
      <c r="H4748" s="300">
        <v>17490.189999999999</v>
      </c>
      <c r="I4748" s="209">
        <v>45122</v>
      </c>
      <c r="J4748" s="322" t="s">
        <v>11907</v>
      </c>
      <c r="K4748" s="160" t="s">
        <v>727</v>
      </c>
      <c r="M4748" s="380"/>
      <c r="N4748" s="82" t="s">
        <v>264</v>
      </c>
      <c r="O4748" s="160" t="s">
        <v>141</v>
      </c>
      <c r="P4748" s="160" t="s">
        <v>67</v>
      </c>
      <c r="Q4748" s="160" t="s">
        <v>120</v>
      </c>
      <c r="R4748" s="160" t="s">
        <v>272</v>
      </c>
    </row>
    <row r="4749" spans="1:18" ht="69" customHeight="1">
      <c r="A4749" s="168"/>
      <c r="B4749" s="191">
        <v>1662</v>
      </c>
      <c r="C4749" s="191" t="s">
        <v>11908</v>
      </c>
      <c r="D4749" s="533" t="s">
        <v>11909</v>
      </c>
      <c r="E4749" s="191" t="s">
        <v>266</v>
      </c>
      <c r="F4749" s="211" t="s">
        <v>11910</v>
      </c>
      <c r="G4749" s="46" t="s">
        <v>11911</v>
      </c>
      <c r="H4749" s="534">
        <v>1500</v>
      </c>
      <c r="I4749" s="56">
        <v>45122</v>
      </c>
      <c r="J4749" s="412" t="s">
        <v>11912</v>
      </c>
      <c r="K4749" s="46" t="s">
        <v>5103</v>
      </c>
      <c r="L4749" s="99"/>
      <c r="M4749" s="379"/>
      <c r="N4749" s="76" t="s">
        <v>270</v>
      </c>
      <c r="O4749" s="46" t="s">
        <v>11913</v>
      </c>
      <c r="P4749" s="46" t="s">
        <v>65</v>
      </c>
      <c r="Q4749" s="46" t="s">
        <v>103</v>
      </c>
      <c r="R4749" s="46" t="s">
        <v>272</v>
      </c>
    </row>
    <row r="4750" spans="1:18" ht="69" customHeight="1">
      <c r="A4750" s="168"/>
      <c r="B4750" s="178">
        <v>1663</v>
      </c>
      <c r="C4750" s="178" t="s">
        <v>5558</v>
      </c>
      <c r="D4750" s="575" t="s">
        <v>11914</v>
      </c>
      <c r="E4750" s="178" t="s">
        <v>11537</v>
      </c>
      <c r="F4750" s="210" t="s">
        <v>11915</v>
      </c>
      <c r="G4750" s="58" t="s">
        <v>11916</v>
      </c>
      <c r="H4750" s="546">
        <v>88620.72</v>
      </c>
      <c r="I4750" s="66">
        <v>45107</v>
      </c>
      <c r="J4750" s="411" t="s">
        <v>11917</v>
      </c>
      <c r="K4750" s="58"/>
      <c r="L4750" s="99"/>
      <c r="M4750" s="70" t="s">
        <v>11256</v>
      </c>
      <c r="N4750" s="97" t="s">
        <v>741</v>
      </c>
      <c r="O4750" s="45" t="s">
        <v>175</v>
      </c>
      <c r="P4750" s="58" t="s">
        <v>59</v>
      </c>
      <c r="Q4750" s="58" t="s">
        <v>64</v>
      </c>
      <c r="R4750" s="58" t="s">
        <v>272</v>
      </c>
    </row>
    <row r="4751" spans="1:18" ht="69" customHeight="1">
      <c r="A4751" s="168"/>
      <c r="B4751" s="178">
        <v>1664</v>
      </c>
      <c r="C4751" s="178" t="s">
        <v>458</v>
      </c>
      <c r="D4751" s="575" t="s">
        <v>4320</v>
      </c>
      <c r="E4751" s="178" t="s">
        <v>409</v>
      </c>
      <c r="F4751" s="210" t="s">
        <v>11918</v>
      </c>
      <c r="G4751" s="58" t="s">
        <v>7685</v>
      </c>
      <c r="H4751" s="546">
        <v>15614</v>
      </c>
      <c r="I4751" s="66">
        <v>45107</v>
      </c>
      <c r="J4751" s="411" t="s">
        <v>11919</v>
      </c>
      <c r="K4751" s="58"/>
      <c r="L4751" s="99"/>
      <c r="M4751" s="70" t="s">
        <v>11611</v>
      </c>
      <c r="N4751" s="97" t="s">
        <v>741</v>
      </c>
      <c r="O4751" s="58"/>
      <c r="P4751" s="58" t="s">
        <v>59</v>
      </c>
      <c r="Q4751" s="58" t="s">
        <v>112</v>
      </c>
      <c r="R4751" s="58" t="s">
        <v>272</v>
      </c>
    </row>
    <row r="4752" spans="1:18" ht="69" customHeight="1">
      <c r="A4752" s="168"/>
      <c r="B4752" s="178">
        <v>1665</v>
      </c>
      <c r="C4752" s="178" t="s">
        <v>458</v>
      </c>
      <c r="D4752" s="575" t="s">
        <v>11920</v>
      </c>
      <c r="E4752" s="178" t="s">
        <v>409</v>
      </c>
      <c r="F4752" s="210" t="s">
        <v>11921</v>
      </c>
      <c r="G4752" s="58" t="s">
        <v>7685</v>
      </c>
      <c r="H4752" s="546">
        <v>62456</v>
      </c>
      <c r="I4752" s="66">
        <v>45107</v>
      </c>
      <c r="J4752" s="411" t="s">
        <v>11919</v>
      </c>
      <c r="K4752" s="58"/>
      <c r="L4752" s="99"/>
      <c r="M4752" s="70" t="s">
        <v>11611</v>
      </c>
      <c r="N4752" s="97" t="s">
        <v>741</v>
      </c>
      <c r="O4752" s="58"/>
      <c r="P4752" s="58" t="s">
        <v>59</v>
      </c>
      <c r="Q4752" s="58" t="s">
        <v>112</v>
      </c>
      <c r="R4752" s="58" t="s">
        <v>272</v>
      </c>
    </row>
    <row r="4753" spans="1:18" ht="69" customHeight="1">
      <c r="A4753" s="168"/>
      <c r="B4753" s="178">
        <v>1666</v>
      </c>
      <c r="C4753" s="178" t="s">
        <v>11618</v>
      </c>
      <c r="D4753" s="575" t="s">
        <v>5119</v>
      </c>
      <c r="E4753" s="178" t="s">
        <v>409</v>
      </c>
      <c r="F4753" s="210" t="s">
        <v>11922</v>
      </c>
      <c r="G4753" s="58" t="s">
        <v>8341</v>
      </c>
      <c r="H4753" s="546">
        <v>92328.93</v>
      </c>
      <c r="I4753" s="66">
        <v>45107</v>
      </c>
      <c r="J4753" s="411" t="s">
        <v>11923</v>
      </c>
      <c r="K4753" s="58"/>
      <c r="L4753" s="99"/>
      <c r="M4753" s="70" t="s">
        <v>11224</v>
      </c>
      <c r="N4753" s="97" t="s">
        <v>11225</v>
      </c>
      <c r="O4753" s="58" t="s">
        <v>11226</v>
      </c>
      <c r="P4753" s="58" t="s">
        <v>59</v>
      </c>
      <c r="Q4753" s="58" t="s">
        <v>122</v>
      </c>
      <c r="R4753" s="58" t="s">
        <v>272</v>
      </c>
    </row>
    <row r="4754" spans="1:18" ht="69" customHeight="1">
      <c r="A4754" s="168"/>
      <c r="B4754" s="178">
        <v>1667</v>
      </c>
      <c r="C4754" s="178" t="s">
        <v>11618</v>
      </c>
      <c r="D4754" s="575" t="s">
        <v>3983</v>
      </c>
      <c r="E4754" s="178" t="s">
        <v>409</v>
      </c>
      <c r="F4754" s="210" t="s">
        <v>11924</v>
      </c>
      <c r="G4754" s="58" t="s">
        <v>8341</v>
      </c>
      <c r="H4754" s="546">
        <v>369315.7</v>
      </c>
      <c r="I4754" s="66">
        <v>45107</v>
      </c>
      <c r="J4754" s="411" t="s">
        <v>11923</v>
      </c>
      <c r="K4754" s="58"/>
      <c r="L4754" s="99"/>
      <c r="M4754" s="70" t="s">
        <v>11224</v>
      </c>
      <c r="N4754" s="97" t="s">
        <v>11225</v>
      </c>
      <c r="O4754" s="58" t="s">
        <v>11226</v>
      </c>
      <c r="P4754" s="58" t="s">
        <v>59</v>
      </c>
      <c r="Q4754" s="58" t="s">
        <v>122</v>
      </c>
      <c r="R4754" s="58" t="s">
        <v>272</v>
      </c>
    </row>
    <row r="4755" spans="1:18" ht="69" customHeight="1">
      <c r="A4755" s="168"/>
      <c r="B4755" s="178">
        <v>1668</v>
      </c>
      <c r="C4755" s="178" t="s">
        <v>458</v>
      </c>
      <c r="D4755" s="575" t="s">
        <v>3987</v>
      </c>
      <c r="E4755" s="178" t="s">
        <v>409</v>
      </c>
      <c r="F4755" s="210" t="s">
        <v>11925</v>
      </c>
      <c r="G4755" s="58" t="s">
        <v>7685</v>
      </c>
      <c r="H4755" s="546">
        <v>52826.98</v>
      </c>
      <c r="I4755" s="66">
        <v>45107</v>
      </c>
      <c r="J4755" s="411" t="s">
        <v>11926</v>
      </c>
      <c r="K4755" s="58"/>
      <c r="L4755" s="99"/>
      <c r="M4755" s="70" t="s">
        <v>11628</v>
      </c>
      <c r="N4755" s="97" t="s">
        <v>741</v>
      </c>
      <c r="O4755" s="58"/>
      <c r="P4755" s="58" t="s">
        <v>59</v>
      </c>
      <c r="Q4755" s="58" t="s">
        <v>88</v>
      </c>
      <c r="R4755" s="58" t="s">
        <v>272</v>
      </c>
    </row>
    <row r="4756" spans="1:18" ht="69" customHeight="1">
      <c r="A4756" s="168"/>
      <c r="B4756" s="178">
        <v>1669</v>
      </c>
      <c r="C4756" s="178" t="s">
        <v>458</v>
      </c>
      <c r="D4756" s="575" t="s">
        <v>11927</v>
      </c>
      <c r="E4756" s="178" t="s">
        <v>409</v>
      </c>
      <c r="F4756" s="210" t="s">
        <v>11928</v>
      </c>
      <c r="G4756" s="58" t="s">
        <v>7685</v>
      </c>
      <c r="H4756" s="546">
        <v>211307.91</v>
      </c>
      <c r="I4756" s="66">
        <v>45107</v>
      </c>
      <c r="J4756" s="411" t="s">
        <v>11926</v>
      </c>
      <c r="K4756" s="58"/>
      <c r="L4756" s="99"/>
      <c r="M4756" s="70" t="s">
        <v>11628</v>
      </c>
      <c r="N4756" s="97" t="s">
        <v>741</v>
      </c>
      <c r="O4756" s="58"/>
      <c r="P4756" s="58" t="s">
        <v>59</v>
      </c>
      <c r="Q4756" s="58" t="s">
        <v>88</v>
      </c>
      <c r="R4756" s="58" t="s">
        <v>272</v>
      </c>
    </row>
    <row r="4757" spans="1:18" ht="69" customHeight="1">
      <c r="A4757" s="168"/>
      <c r="B4757" s="178">
        <v>1670</v>
      </c>
      <c r="C4757" s="178" t="s">
        <v>8057</v>
      </c>
      <c r="D4757" s="575" t="s">
        <v>3994</v>
      </c>
      <c r="E4757" s="178" t="s">
        <v>11692</v>
      </c>
      <c r="F4757" s="210" t="s">
        <v>11929</v>
      </c>
      <c r="G4757" s="58" t="s">
        <v>11694</v>
      </c>
      <c r="H4757" s="546">
        <v>1475.65</v>
      </c>
      <c r="I4757" s="66">
        <v>45122</v>
      </c>
      <c r="J4757" s="411" t="s">
        <v>11930</v>
      </c>
      <c r="K4757" s="58"/>
      <c r="L4757" s="99"/>
      <c r="M4757" s="70" t="s">
        <v>7994</v>
      </c>
      <c r="N4757" s="97" t="s">
        <v>270</v>
      </c>
      <c r="O4757" s="58"/>
      <c r="P4757" s="58" t="s">
        <v>44</v>
      </c>
      <c r="Q4757" s="58" t="s">
        <v>105</v>
      </c>
      <c r="R4757" s="58" t="s">
        <v>272</v>
      </c>
    </row>
    <row r="4758" spans="1:18" s="117" customFormat="1" ht="69" customHeight="1">
      <c r="A4758" s="168"/>
      <c r="B4758" s="178">
        <v>1671</v>
      </c>
      <c r="C4758" s="178" t="s">
        <v>8721</v>
      </c>
      <c r="D4758" s="575" t="s">
        <v>2820</v>
      </c>
      <c r="E4758" s="178" t="s">
        <v>755</v>
      </c>
      <c r="F4758" s="210" t="s">
        <v>11931</v>
      </c>
      <c r="G4758" s="58" t="s">
        <v>3531</v>
      </c>
      <c r="H4758" s="546">
        <v>513831.89</v>
      </c>
      <c r="I4758" s="66">
        <v>45107</v>
      </c>
      <c r="J4758" s="411" t="s">
        <v>11932</v>
      </c>
      <c r="K4758" s="58"/>
      <c r="L4758" s="99"/>
      <c r="M4758" s="70" t="s">
        <v>8684</v>
      </c>
      <c r="N4758" s="97" t="s">
        <v>716</v>
      </c>
      <c r="O4758" s="58"/>
      <c r="P4758" s="58" t="s">
        <v>28</v>
      </c>
      <c r="Q4758" s="58" t="s">
        <v>109</v>
      </c>
      <c r="R4758" s="58" t="s">
        <v>272</v>
      </c>
    </row>
    <row r="4759" spans="1:18" ht="69" customHeight="1">
      <c r="A4759" s="168"/>
      <c r="B4759" s="178">
        <v>1672</v>
      </c>
      <c r="C4759" s="178" t="s">
        <v>11933</v>
      </c>
      <c r="D4759" s="575" t="s">
        <v>11934</v>
      </c>
      <c r="E4759" s="178" t="s">
        <v>10563</v>
      </c>
      <c r="F4759" s="210" t="s">
        <v>11935</v>
      </c>
      <c r="G4759" s="58" t="s">
        <v>11936</v>
      </c>
      <c r="H4759" s="546">
        <v>673221.42</v>
      </c>
      <c r="I4759" s="66">
        <v>45107</v>
      </c>
      <c r="J4759" s="411" t="s">
        <v>11937</v>
      </c>
      <c r="K4759" s="58"/>
      <c r="L4759" s="99"/>
      <c r="M4759" s="70" t="s">
        <v>11938</v>
      </c>
      <c r="N4759" s="97" t="s">
        <v>741</v>
      </c>
      <c r="O4759" s="45" t="s">
        <v>217</v>
      </c>
      <c r="P4759" s="58" t="s">
        <v>59</v>
      </c>
      <c r="Q4759" s="58" t="s">
        <v>123</v>
      </c>
      <c r="R4759" s="58" t="s">
        <v>272</v>
      </c>
    </row>
    <row r="4760" spans="1:18" ht="69" customHeight="1">
      <c r="A4760" s="168"/>
      <c r="B4760" s="178">
        <v>1673</v>
      </c>
      <c r="C4760" s="59" t="s">
        <v>3667</v>
      </c>
      <c r="D4760" s="575" t="s">
        <v>11939</v>
      </c>
      <c r="E4760" s="178" t="s">
        <v>10563</v>
      </c>
      <c r="F4760" s="210" t="s">
        <v>11940</v>
      </c>
      <c r="G4760" s="58" t="s">
        <v>11941</v>
      </c>
      <c r="H4760" s="546">
        <v>50437.3</v>
      </c>
      <c r="I4760" s="66">
        <v>45107</v>
      </c>
      <c r="J4760" s="411" t="s">
        <v>11942</v>
      </c>
      <c r="K4760" s="58"/>
      <c r="L4760" s="99"/>
      <c r="M4760" s="70" t="s">
        <v>5965</v>
      </c>
      <c r="N4760" s="97" t="s">
        <v>741</v>
      </c>
      <c r="O4760" s="58" t="s">
        <v>11943</v>
      </c>
      <c r="P4760" s="58" t="s">
        <v>59</v>
      </c>
      <c r="Q4760" s="58" t="s">
        <v>70</v>
      </c>
      <c r="R4760" s="58" t="s">
        <v>272</v>
      </c>
    </row>
    <row r="4761" spans="1:18" ht="69" customHeight="1">
      <c r="A4761" s="168"/>
      <c r="B4761" s="191">
        <v>1674</v>
      </c>
      <c r="C4761" s="191" t="s">
        <v>657</v>
      </c>
      <c r="D4761" s="533" t="s">
        <v>7781</v>
      </c>
      <c r="E4761" s="191" t="s">
        <v>6226</v>
      </c>
      <c r="F4761" s="211" t="s">
        <v>11944</v>
      </c>
      <c r="G4761" s="46" t="s">
        <v>11945</v>
      </c>
      <c r="H4761" s="534">
        <v>260.7</v>
      </c>
      <c r="I4761" s="56">
        <v>45122</v>
      </c>
      <c r="J4761" s="412" t="s">
        <v>11946</v>
      </c>
      <c r="K4761" s="46" t="s">
        <v>167</v>
      </c>
      <c r="L4761" s="99"/>
      <c r="M4761" s="379"/>
      <c r="N4761" s="76" t="s">
        <v>716</v>
      </c>
      <c r="O4761" s="46"/>
      <c r="P4761" s="46" t="s">
        <v>65</v>
      </c>
      <c r="Q4761" s="46" t="s">
        <v>106</v>
      </c>
      <c r="R4761" s="46" t="s">
        <v>272</v>
      </c>
    </row>
    <row r="4762" spans="1:18" ht="69" customHeight="1">
      <c r="A4762" s="168"/>
      <c r="B4762" s="178">
        <v>1675</v>
      </c>
      <c r="C4762" s="59" t="s">
        <v>3667</v>
      </c>
      <c r="D4762" s="575" t="s">
        <v>11947</v>
      </c>
      <c r="E4762" s="178" t="s">
        <v>10563</v>
      </c>
      <c r="F4762" s="210" t="s">
        <v>11948</v>
      </c>
      <c r="G4762" s="58" t="s">
        <v>11941</v>
      </c>
      <c r="H4762" s="546">
        <v>266807.45</v>
      </c>
      <c r="I4762" s="66">
        <v>45107</v>
      </c>
      <c r="J4762" s="411" t="s">
        <v>11949</v>
      </c>
      <c r="K4762" s="58"/>
      <c r="L4762" s="99"/>
      <c r="M4762" s="70" t="s">
        <v>5860</v>
      </c>
      <c r="N4762" s="97" t="s">
        <v>741</v>
      </c>
      <c r="O4762" s="58"/>
      <c r="P4762" s="58" t="s">
        <v>59</v>
      </c>
      <c r="Q4762" s="58" t="s">
        <v>68</v>
      </c>
      <c r="R4762" s="58" t="s">
        <v>272</v>
      </c>
    </row>
    <row r="4763" spans="1:18" ht="69" customHeight="1">
      <c r="A4763" s="168"/>
      <c r="B4763" s="178">
        <v>1676</v>
      </c>
      <c r="C4763" s="178" t="s">
        <v>657</v>
      </c>
      <c r="D4763" s="575" t="s">
        <v>8100</v>
      </c>
      <c r="E4763" s="178" t="s">
        <v>10563</v>
      </c>
      <c r="F4763" s="210" t="s">
        <v>11950</v>
      </c>
      <c r="G4763" s="58" t="s">
        <v>8341</v>
      </c>
      <c r="H4763" s="546">
        <v>45469.03</v>
      </c>
      <c r="I4763" s="66">
        <v>45107</v>
      </c>
      <c r="J4763" s="411" t="s">
        <v>11951</v>
      </c>
      <c r="K4763" s="58"/>
      <c r="L4763" s="99"/>
      <c r="M4763" s="70" t="s">
        <v>11374</v>
      </c>
      <c r="N4763" s="97" t="s">
        <v>11375</v>
      </c>
      <c r="O4763" s="58"/>
      <c r="P4763" s="58" t="s">
        <v>59</v>
      </c>
      <c r="Q4763" s="58" t="s">
        <v>111</v>
      </c>
      <c r="R4763" s="58" t="s">
        <v>272</v>
      </c>
    </row>
    <row r="4764" spans="1:18" ht="69" customHeight="1">
      <c r="A4764" s="168"/>
      <c r="B4764" s="178">
        <v>1677</v>
      </c>
      <c r="C4764" s="178" t="s">
        <v>657</v>
      </c>
      <c r="D4764" s="575" t="s">
        <v>8103</v>
      </c>
      <c r="E4764" s="178" t="s">
        <v>10563</v>
      </c>
      <c r="F4764" s="210" t="s">
        <v>11952</v>
      </c>
      <c r="G4764" s="58" t="s">
        <v>8341</v>
      </c>
      <c r="H4764" s="546">
        <v>181876.12</v>
      </c>
      <c r="I4764" s="66">
        <v>45107</v>
      </c>
      <c r="J4764" s="411" t="s">
        <v>11951</v>
      </c>
      <c r="K4764" s="58"/>
      <c r="L4764" s="99"/>
      <c r="M4764" s="70" t="s">
        <v>11374</v>
      </c>
      <c r="N4764" s="97" t="s">
        <v>11375</v>
      </c>
      <c r="O4764" s="58"/>
      <c r="P4764" s="58" t="s">
        <v>59</v>
      </c>
      <c r="Q4764" s="58" t="s">
        <v>111</v>
      </c>
      <c r="R4764" s="58" t="s">
        <v>272</v>
      </c>
    </row>
    <row r="4765" spans="1:18" ht="69" customHeight="1">
      <c r="A4765" s="168"/>
      <c r="B4765" s="178">
        <v>1678</v>
      </c>
      <c r="C4765" s="178" t="s">
        <v>5558</v>
      </c>
      <c r="D4765" s="575" t="s">
        <v>11953</v>
      </c>
      <c r="E4765" s="178" t="s">
        <v>11508</v>
      </c>
      <c r="F4765" s="210" t="s">
        <v>11954</v>
      </c>
      <c r="G4765" s="58" t="s">
        <v>11955</v>
      </c>
      <c r="H4765" s="546">
        <v>28224.22</v>
      </c>
      <c r="I4765" s="66">
        <v>45122</v>
      </c>
      <c r="J4765" s="411" t="s">
        <v>11956</v>
      </c>
      <c r="K4765" s="58"/>
      <c r="L4765" s="99"/>
      <c r="M4765" s="70" t="s">
        <v>11512</v>
      </c>
      <c r="N4765" s="97" t="s">
        <v>414</v>
      </c>
      <c r="O4765" s="58"/>
      <c r="P4765" s="58" t="s">
        <v>22</v>
      </c>
      <c r="Q4765" s="58" t="s">
        <v>64</v>
      </c>
      <c r="R4765" s="58" t="s">
        <v>265</v>
      </c>
    </row>
    <row r="4766" spans="1:18" ht="69" customHeight="1">
      <c r="A4766" s="168"/>
      <c r="B4766" s="191">
        <v>1679</v>
      </c>
      <c r="C4766" s="191" t="s">
        <v>4277</v>
      </c>
      <c r="D4766" s="533" t="s">
        <v>11957</v>
      </c>
      <c r="E4766" s="191" t="s">
        <v>5084</v>
      </c>
      <c r="F4766" s="211" t="s">
        <v>11958</v>
      </c>
      <c r="G4766" s="46" t="s">
        <v>11959</v>
      </c>
      <c r="H4766" s="534">
        <v>33340</v>
      </c>
      <c r="I4766" s="56">
        <v>45107</v>
      </c>
      <c r="J4766" s="412" t="s">
        <v>11960</v>
      </c>
      <c r="K4766" s="46" t="s">
        <v>167</v>
      </c>
      <c r="L4766" s="99"/>
      <c r="M4766" s="379"/>
      <c r="N4766" s="76" t="s">
        <v>414</v>
      </c>
      <c r="O4766" s="46"/>
      <c r="P4766" s="46" t="s">
        <v>65</v>
      </c>
      <c r="Q4766" s="46" t="s">
        <v>62</v>
      </c>
      <c r="R4766" s="46" t="s">
        <v>272</v>
      </c>
    </row>
    <row r="4767" spans="1:18" ht="69" customHeight="1">
      <c r="A4767" s="168"/>
      <c r="B4767" s="191">
        <v>1680</v>
      </c>
      <c r="C4767" s="191" t="s">
        <v>657</v>
      </c>
      <c r="D4767" s="533" t="s">
        <v>4643</v>
      </c>
      <c r="E4767" s="191" t="s">
        <v>6226</v>
      </c>
      <c r="F4767" s="211" t="s">
        <v>11961</v>
      </c>
      <c r="G4767" s="46" t="s">
        <v>11962</v>
      </c>
      <c r="H4767" s="534">
        <v>2500</v>
      </c>
      <c r="I4767" s="56">
        <v>45124</v>
      </c>
      <c r="J4767" s="412" t="s">
        <v>11963</v>
      </c>
      <c r="K4767" s="46" t="s">
        <v>167</v>
      </c>
      <c r="L4767" s="99"/>
      <c r="M4767" s="379"/>
      <c r="N4767" s="76" t="s">
        <v>270</v>
      </c>
      <c r="O4767" s="46"/>
      <c r="P4767" s="46" t="s">
        <v>65</v>
      </c>
      <c r="Q4767" s="46" t="s">
        <v>97</v>
      </c>
      <c r="R4767" s="46" t="s">
        <v>272</v>
      </c>
    </row>
    <row r="4768" spans="1:18" ht="69" customHeight="1">
      <c r="A4768" s="168"/>
      <c r="B4768" s="178">
        <v>1681</v>
      </c>
      <c r="C4768" s="178" t="s">
        <v>7521</v>
      </c>
      <c r="D4768" s="575" t="s">
        <v>8413</v>
      </c>
      <c r="E4768" s="178" t="s">
        <v>7985</v>
      </c>
      <c r="F4768" s="210" t="s">
        <v>11964</v>
      </c>
      <c r="G4768" s="58" t="s">
        <v>11965</v>
      </c>
      <c r="H4768" s="546">
        <v>329.1</v>
      </c>
      <c r="I4768" s="66">
        <v>45122</v>
      </c>
      <c r="J4768" s="411" t="s">
        <v>11966</v>
      </c>
      <c r="K4768" s="58"/>
      <c r="L4768" s="99"/>
      <c r="M4768" s="70" t="s">
        <v>7541</v>
      </c>
      <c r="N4768" s="97" t="s">
        <v>716</v>
      </c>
      <c r="O4768" s="58"/>
      <c r="P4768" s="58" t="s">
        <v>44</v>
      </c>
      <c r="Q4768" s="58" t="s">
        <v>102</v>
      </c>
      <c r="R4768" s="58" t="s">
        <v>272</v>
      </c>
    </row>
    <row r="4769" spans="1:18" ht="69" customHeight="1">
      <c r="A4769" s="168"/>
      <c r="B4769" s="178">
        <v>1682</v>
      </c>
      <c r="C4769" s="178" t="s">
        <v>7500</v>
      </c>
      <c r="D4769" s="575" t="s">
        <v>5450</v>
      </c>
      <c r="E4769" s="178" t="s">
        <v>7985</v>
      </c>
      <c r="F4769" s="210" t="s">
        <v>11967</v>
      </c>
      <c r="G4769" s="58" t="s">
        <v>11965</v>
      </c>
      <c r="H4769" s="546">
        <v>329.1</v>
      </c>
      <c r="I4769" s="66">
        <v>45122</v>
      </c>
      <c r="J4769" s="411" t="s">
        <v>11966</v>
      </c>
      <c r="K4769" s="58"/>
      <c r="L4769" s="99"/>
      <c r="M4769" s="70" t="s">
        <v>7478</v>
      </c>
      <c r="N4769" s="97" t="s">
        <v>270</v>
      </c>
      <c r="O4769" s="58"/>
      <c r="P4769" s="58" t="s">
        <v>44</v>
      </c>
      <c r="Q4769" s="58" t="s">
        <v>101</v>
      </c>
      <c r="R4769" s="58" t="s">
        <v>272</v>
      </c>
    </row>
    <row r="4770" spans="1:18" ht="69" customHeight="1">
      <c r="A4770" s="168"/>
      <c r="B4770" s="178">
        <v>1683</v>
      </c>
      <c r="C4770" s="178" t="s">
        <v>3647</v>
      </c>
      <c r="D4770" s="575" t="s">
        <v>11968</v>
      </c>
      <c r="E4770" s="178" t="s">
        <v>7985</v>
      </c>
      <c r="F4770" s="210" t="s">
        <v>11969</v>
      </c>
      <c r="G4770" s="58" t="s">
        <v>11965</v>
      </c>
      <c r="H4770" s="546">
        <v>329.1</v>
      </c>
      <c r="I4770" s="66">
        <v>45122</v>
      </c>
      <c r="J4770" s="411" t="s">
        <v>11966</v>
      </c>
      <c r="K4770" s="58"/>
      <c r="L4770" s="99"/>
      <c r="M4770" s="70" t="s">
        <v>3650</v>
      </c>
      <c r="N4770" s="97" t="s">
        <v>270</v>
      </c>
      <c r="O4770" s="58"/>
      <c r="P4770" s="58" t="s">
        <v>44</v>
      </c>
      <c r="Q4770" s="58" t="s">
        <v>47</v>
      </c>
      <c r="R4770" s="58" t="s">
        <v>272</v>
      </c>
    </row>
    <row r="4771" spans="1:18" ht="69" customHeight="1">
      <c r="A4771" s="168"/>
      <c r="B4771" s="178">
        <v>1684</v>
      </c>
      <c r="C4771" s="178" t="s">
        <v>5558</v>
      </c>
      <c r="D4771" s="575" t="s">
        <v>11970</v>
      </c>
      <c r="E4771" s="178" t="s">
        <v>11508</v>
      </c>
      <c r="F4771" s="210" t="s">
        <v>11971</v>
      </c>
      <c r="G4771" s="58" t="s">
        <v>11972</v>
      </c>
      <c r="H4771" s="546">
        <v>25071.69</v>
      </c>
      <c r="I4771" s="66">
        <v>45122</v>
      </c>
      <c r="J4771" s="411" t="s">
        <v>11973</v>
      </c>
      <c r="K4771" s="58"/>
      <c r="L4771" s="99"/>
      <c r="M4771" s="70" t="s">
        <v>11512</v>
      </c>
      <c r="N4771" s="97" t="s">
        <v>414</v>
      </c>
      <c r="O4771" s="58"/>
      <c r="P4771" s="58" t="s">
        <v>22</v>
      </c>
      <c r="Q4771" s="58" t="s">
        <v>64</v>
      </c>
      <c r="R4771" s="58" t="s">
        <v>265</v>
      </c>
    </row>
    <row r="4772" spans="1:18" ht="69" customHeight="1">
      <c r="A4772" s="168"/>
      <c r="B4772" s="191">
        <v>1685</v>
      </c>
      <c r="C4772" s="191" t="s">
        <v>8529</v>
      </c>
      <c r="D4772" s="533" t="s">
        <v>10761</v>
      </c>
      <c r="E4772" s="191" t="s">
        <v>877</v>
      </c>
      <c r="F4772" s="211" t="s">
        <v>11974</v>
      </c>
      <c r="G4772" s="46" t="s">
        <v>11975</v>
      </c>
      <c r="H4772" s="534">
        <v>6000</v>
      </c>
      <c r="I4772" s="56">
        <v>45122</v>
      </c>
      <c r="J4772" s="412" t="s">
        <v>11976</v>
      </c>
      <c r="K4772" s="46" t="s">
        <v>167</v>
      </c>
      <c r="L4772" s="99"/>
      <c r="M4772" s="379"/>
      <c r="N4772" s="76" t="s">
        <v>270</v>
      </c>
      <c r="O4772" s="46"/>
      <c r="P4772" s="46" t="s">
        <v>65</v>
      </c>
      <c r="Q4772" s="46" t="s">
        <v>108</v>
      </c>
      <c r="R4772" s="46" t="s">
        <v>272</v>
      </c>
    </row>
    <row r="4773" spans="1:18" ht="69" customHeight="1">
      <c r="A4773" s="168"/>
      <c r="B4773" s="191">
        <v>1686</v>
      </c>
      <c r="C4773" s="191" t="s">
        <v>8703</v>
      </c>
      <c r="D4773" s="533" t="s">
        <v>11977</v>
      </c>
      <c r="E4773" s="191" t="s">
        <v>877</v>
      </c>
      <c r="F4773" s="211" t="s">
        <v>11978</v>
      </c>
      <c r="G4773" s="46" t="s">
        <v>11975</v>
      </c>
      <c r="H4773" s="534">
        <v>4000</v>
      </c>
      <c r="I4773" s="56">
        <v>45122</v>
      </c>
      <c r="J4773" s="412" t="s">
        <v>11976</v>
      </c>
      <c r="K4773" s="46" t="s">
        <v>167</v>
      </c>
      <c r="L4773" s="99"/>
      <c r="M4773" s="379"/>
      <c r="N4773" s="76" t="s">
        <v>270</v>
      </c>
      <c r="O4773" s="46"/>
      <c r="P4773" s="46" t="s">
        <v>65</v>
      </c>
      <c r="Q4773" s="46" t="s">
        <v>109</v>
      </c>
      <c r="R4773" s="46" t="s">
        <v>272</v>
      </c>
    </row>
    <row r="4774" spans="1:18" ht="69" customHeight="1">
      <c r="A4774" s="168"/>
      <c r="B4774" s="178">
        <v>1687</v>
      </c>
      <c r="C4774" s="178" t="s">
        <v>1593</v>
      </c>
      <c r="D4774" s="575" t="s">
        <v>3978</v>
      </c>
      <c r="E4774" s="178" t="s">
        <v>7985</v>
      </c>
      <c r="F4774" s="210" t="s">
        <v>11979</v>
      </c>
      <c r="G4774" s="58" t="s">
        <v>11965</v>
      </c>
      <c r="H4774" s="546">
        <v>329.1</v>
      </c>
      <c r="I4774" s="66">
        <v>45122</v>
      </c>
      <c r="J4774" s="411" t="s">
        <v>11980</v>
      </c>
      <c r="K4774" s="58"/>
      <c r="L4774" s="99"/>
      <c r="M4774" s="70" t="s">
        <v>1431</v>
      </c>
      <c r="N4774" s="97" t="s">
        <v>270</v>
      </c>
      <c r="O4774" s="58"/>
      <c r="P4774" s="58" t="s">
        <v>44</v>
      </c>
      <c r="Q4774" s="58" t="s">
        <v>27</v>
      </c>
      <c r="R4774" s="58" t="s">
        <v>272</v>
      </c>
    </row>
    <row r="4775" spans="1:18" ht="69" customHeight="1">
      <c r="A4775" s="168"/>
      <c r="B4775" s="178">
        <v>1688</v>
      </c>
      <c r="C4775" s="178" t="s">
        <v>8721</v>
      </c>
      <c r="D4775" s="575" t="s">
        <v>8105</v>
      </c>
      <c r="E4775" s="178" t="s">
        <v>7985</v>
      </c>
      <c r="F4775" s="210" t="s">
        <v>11981</v>
      </c>
      <c r="G4775" s="58" t="s">
        <v>11965</v>
      </c>
      <c r="H4775" s="546">
        <v>329.1</v>
      </c>
      <c r="I4775" s="66">
        <v>45122</v>
      </c>
      <c r="J4775" s="411" t="s">
        <v>11980</v>
      </c>
      <c r="K4775" s="58" t="s">
        <v>11982</v>
      </c>
      <c r="L4775" s="99"/>
      <c r="M4775" s="70" t="s">
        <v>8615</v>
      </c>
      <c r="N4775" s="97" t="s">
        <v>270</v>
      </c>
      <c r="O4775" s="58"/>
      <c r="P4775" s="58" t="s">
        <v>44</v>
      </c>
      <c r="Q4775" s="58" t="s">
        <v>109</v>
      </c>
      <c r="R4775" s="58" t="s">
        <v>272</v>
      </c>
    </row>
    <row r="4776" spans="1:18" ht="69" customHeight="1">
      <c r="A4776" s="168"/>
      <c r="B4776" s="178">
        <v>1689</v>
      </c>
      <c r="C4776" s="178" t="s">
        <v>753</v>
      </c>
      <c r="D4776" s="575" t="s">
        <v>4316</v>
      </c>
      <c r="E4776" s="178" t="s">
        <v>7985</v>
      </c>
      <c r="F4776" s="210" t="s">
        <v>11983</v>
      </c>
      <c r="G4776" s="58" t="s">
        <v>11965</v>
      </c>
      <c r="H4776" s="546">
        <v>329.1</v>
      </c>
      <c r="I4776" s="66">
        <v>45122</v>
      </c>
      <c r="J4776" s="411" t="s">
        <v>11980</v>
      </c>
      <c r="K4776" s="58"/>
      <c r="L4776" s="99"/>
      <c r="M4776" s="70" t="s">
        <v>602</v>
      </c>
      <c r="N4776" s="97" t="s">
        <v>270</v>
      </c>
      <c r="O4776" s="58"/>
      <c r="P4776" s="58" t="s">
        <v>44</v>
      </c>
      <c r="Q4776" s="58" t="s">
        <v>20</v>
      </c>
      <c r="R4776" s="58" t="s">
        <v>272</v>
      </c>
    </row>
    <row r="4777" spans="1:18" ht="69" customHeight="1">
      <c r="A4777" s="168"/>
      <c r="B4777" s="178">
        <v>1690</v>
      </c>
      <c r="C4777" s="178" t="s">
        <v>3368</v>
      </c>
      <c r="D4777" s="575" t="s">
        <v>4314</v>
      </c>
      <c r="E4777" s="178" t="s">
        <v>7985</v>
      </c>
      <c r="F4777" s="210" t="s">
        <v>11984</v>
      </c>
      <c r="G4777" s="58" t="s">
        <v>11965</v>
      </c>
      <c r="H4777" s="546">
        <v>329.1</v>
      </c>
      <c r="I4777" s="66">
        <v>45122</v>
      </c>
      <c r="J4777" s="411" t="s">
        <v>11980</v>
      </c>
      <c r="K4777" s="58"/>
      <c r="L4777" s="99"/>
      <c r="M4777" s="70" t="s">
        <v>3352</v>
      </c>
      <c r="N4777" s="97" t="s">
        <v>270</v>
      </c>
      <c r="O4777" s="58"/>
      <c r="P4777" s="58" t="s">
        <v>44</v>
      </c>
      <c r="Q4777" s="58" t="s">
        <v>43</v>
      </c>
      <c r="R4777" s="58" t="s">
        <v>272</v>
      </c>
    </row>
    <row r="4778" spans="1:18" ht="69" customHeight="1">
      <c r="A4778" s="168"/>
      <c r="B4778" s="178">
        <v>1691</v>
      </c>
      <c r="C4778" s="178" t="s">
        <v>1333</v>
      </c>
      <c r="D4778" s="575" t="s">
        <v>6187</v>
      </c>
      <c r="E4778" s="178" t="s">
        <v>7985</v>
      </c>
      <c r="F4778" s="210" t="s">
        <v>11985</v>
      </c>
      <c r="G4778" s="58" t="s">
        <v>11965</v>
      </c>
      <c r="H4778" s="546">
        <v>329.1</v>
      </c>
      <c r="I4778" s="66">
        <v>45122</v>
      </c>
      <c r="J4778" s="411" t="s">
        <v>11980</v>
      </c>
      <c r="K4778" s="174"/>
      <c r="L4778" s="99"/>
      <c r="M4778" s="70" t="s">
        <v>1257</v>
      </c>
      <c r="N4778" s="97" t="s">
        <v>270</v>
      </c>
      <c r="O4778" s="58"/>
      <c r="P4778" s="58" t="s">
        <v>44</v>
      </c>
      <c r="Q4778" s="58" t="s">
        <v>25</v>
      </c>
      <c r="R4778" s="58" t="s">
        <v>272</v>
      </c>
    </row>
    <row r="4779" spans="1:18" ht="69" customHeight="1">
      <c r="A4779" s="168"/>
      <c r="B4779" s="178">
        <v>1692</v>
      </c>
      <c r="C4779" s="178" t="s">
        <v>11058</v>
      </c>
      <c r="D4779" s="575" t="s">
        <v>11986</v>
      </c>
      <c r="E4779" s="178" t="s">
        <v>7985</v>
      </c>
      <c r="F4779" s="210" t="s">
        <v>11987</v>
      </c>
      <c r="G4779" s="58" t="s">
        <v>11965</v>
      </c>
      <c r="H4779" s="546">
        <v>329.1</v>
      </c>
      <c r="I4779" s="66">
        <v>45122</v>
      </c>
      <c r="J4779" s="411" t="s">
        <v>11980</v>
      </c>
      <c r="K4779" s="58"/>
      <c r="L4779" s="99"/>
      <c r="M4779" s="70" t="s">
        <v>889</v>
      </c>
      <c r="N4779" s="97" t="s">
        <v>270</v>
      </c>
      <c r="O4779" s="58"/>
      <c r="P4779" s="58" t="s">
        <v>44</v>
      </c>
      <c r="Q4779" s="58" t="s">
        <v>23</v>
      </c>
      <c r="R4779" s="58" t="s">
        <v>272</v>
      </c>
    </row>
    <row r="4780" spans="1:18" ht="69" customHeight="1">
      <c r="A4780" s="168"/>
      <c r="B4780" s="178">
        <v>1693</v>
      </c>
      <c r="C4780" s="178" t="s">
        <v>9596</v>
      </c>
      <c r="D4780" s="575" t="s">
        <v>11988</v>
      </c>
      <c r="E4780" s="178" t="s">
        <v>7985</v>
      </c>
      <c r="F4780" s="210" t="s">
        <v>11989</v>
      </c>
      <c r="G4780" s="58" t="s">
        <v>11965</v>
      </c>
      <c r="H4780" s="546">
        <v>329.1</v>
      </c>
      <c r="I4780" s="66">
        <v>45122</v>
      </c>
      <c r="J4780" s="411" t="s">
        <v>11980</v>
      </c>
      <c r="K4780" s="58"/>
      <c r="L4780" s="99"/>
      <c r="M4780" s="70" t="s">
        <v>9567</v>
      </c>
      <c r="N4780" s="97" t="s">
        <v>270</v>
      </c>
      <c r="O4780" s="58"/>
      <c r="P4780" s="58" t="s">
        <v>44</v>
      </c>
      <c r="Q4780" s="58" t="s">
        <v>118</v>
      </c>
      <c r="R4780" s="58" t="s">
        <v>272</v>
      </c>
    </row>
    <row r="4781" spans="1:18" ht="69" customHeight="1">
      <c r="A4781" s="168"/>
      <c r="B4781" s="178">
        <v>1694</v>
      </c>
      <c r="C4781" s="178" t="s">
        <v>9441</v>
      </c>
      <c r="D4781" s="575" t="s">
        <v>11990</v>
      </c>
      <c r="E4781" s="178" t="s">
        <v>7985</v>
      </c>
      <c r="F4781" s="210" t="s">
        <v>11991</v>
      </c>
      <c r="G4781" s="58" t="s">
        <v>11965</v>
      </c>
      <c r="H4781" s="546">
        <v>329.1</v>
      </c>
      <c r="I4781" s="66">
        <v>45122</v>
      </c>
      <c r="J4781" s="411" t="s">
        <v>11980</v>
      </c>
      <c r="K4781" s="58"/>
      <c r="L4781" s="99"/>
      <c r="M4781" s="70" t="s">
        <v>9384</v>
      </c>
      <c r="N4781" s="97" t="s">
        <v>270</v>
      </c>
      <c r="O4781" s="58"/>
      <c r="P4781" s="58" t="s">
        <v>44</v>
      </c>
      <c r="Q4781" s="58" t="s">
        <v>116</v>
      </c>
      <c r="R4781" s="58" t="s">
        <v>272</v>
      </c>
    </row>
    <row r="4782" spans="1:18" ht="69" customHeight="1">
      <c r="A4782" s="168"/>
      <c r="B4782" s="178">
        <v>1695</v>
      </c>
      <c r="C4782" s="178" t="s">
        <v>8080</v>
      </c>
      <c r="D4782" s="575" t="s">
        <v>4729</v>
      </c>
      <c r="E4782" s="178" t="s">
        <v>7985</v>
      </c>
      <c r="F4782" s="210" t="s">
        <v>11992</v>
      </c>
      <c r="G4782" s="58" t="s">
        <v>11965</v>
      </c>
      <c r="H4782" s="546">
        <v>329.1</v>
      </c>
      <c r="I4782" s="66">
        <v>45122</v>
      </c>
      <c r="J4782" s="411" t="s">
        <v>11980</v>
      </c>
      <c r="K4782" s="58"/>
      <c r="L4782" s="99"/>
      <c r="M4782" s="70" t="s">
        <v>8129</v>
      </c>
      <c r="N4782" s="97" t="s">
        <v>270</v>
      </c>
      <c r="O4782" s="58"/>
      <c r="P4782" s="58" t="s">
        <v>44</v>
      </c>
      <c r="Q4782" s="58" t="s">
        <v>106</v>
      </c>
      <c r="R4782" s="58" t="s">
        <v>272</v>
      </c>
    </row>
    <row r="4783" spans="1:18" ht="69" customHeight="1">
      <c r="A4783" s="168"/>
      <c r="B4783" s="178">
        <v>1696</v>
      </c>
      <c r="C4783" s="178" t="s">
        <v>10944</v>
      </c>
      <c r="D4783" s="575" t="s">
        <v>11993</v>
      </c>
      <c r="E4783" s="178" t="s">
        <v>7985</v>
      </c>
      <c r="F4783" s="210" t="s">
        <v>11994</v>
      </c>
      <c r="G4783" s="58" t="s">
        <v>11965</v>
      </c>
      <c r="H4783" s="546">
        <v>329.1</v>
      </c>
      <c r="I4783" s="66">
        <v>45122</v>
      </c>
      <c r="J4783" s="411" t="s">
        <v>11980</v>
      </c>
      <c r="K4783" s="58"/>
      <c r="L4783" s="99"/>
      <c r="M4783" s="70" t="s">
        <v>9974</v>
      </c>
      <c r="N4783" s="97" t="s">
        <v>270</v>
      </c>
      <c r="O4783" s="58"/>
      <c r="P4783" s="58" t="s">
        <v>44</v>
      </c>
      <c r="Q4783" s="58" t="s">
        <v>120</v>
      </c>
      <c r="R4783" s="58" t="s">
        <v>272</v>
      </c>
    </row>
    <row r="4784" spans="1:18" ht="69" customHeight="1">
      <c r="A4784" s="168"/>
      <c r="B4784" s="178">
        <v>1697</v>
      </c>
      <c r="C4784" s="178" t="s">
        <v>8529</v>
      </c>
      <c r="D4784" s="575" t="s">
        <v>4000</v>
      </c>
      <c r="E4784" s="178" t="s">
        <v>7985</v>
      </c>
      <c r="F4784" s="210" t="s">
        <v>11995</v>
      </c>
      <c r="G4784" s="58" t="s">
        <v>11965</v>
      </c>
      <c r="H4784" s="546">
        <v>329.1</v>
      </c>
      <c r="I4784" s="66">
        <v>45122</v>
      </c>
      <c r="J4784" s="411" t="s">
        <v>11980</v>
      </c>
      <c r="K4784" s="58"/>
      <c r="L4784" s="99"/>
      <c r="M4784" s="70" t="s">
        <v>8465</v>
      </c>
      <c r="N4784" s="97" t="s">
        <v>270</v>
      </c>
      <c r="O4784" s="58"/>
      <c r="P4784" s="58" t="s">
        <v>44</v>
      </c>
      <c r="Q4784" s="58" t="s">
        <v>108</v>
      </c>
      <c r="R4784" s="58" t="s">
        <v>272</v>
      </c>
    </row>
    <row r="4785" spans="1:18" ht="69" customHeight="1">
      <c r="A4785" s="168"/>
      <c r="B4785" s="178">
        <v>1698</v>
      </c>
      <c r="C4785" s="178" t="s">
        <v>10418</v>
      </c>
      <c r="D4785" s="575" t="s">
        <v>3990</v>
      </c>
      <c r="E4785" s="178" t="s">
        <v>7985</v>
      </c>
      <c r="F4785" s="210" t="s">
        <v>11996</v>
      </c>
      <c r="G4785" s="58" t="s">
        <v>11965</v>
      </c>
      <c r="H4785" s="546">
        <v>329.1</v>
      </c>
      <c r="I4785" s="66">
        <v>45122</v>
      </c>
      <c r="J4785" s="411" t="s">
        <v>11980</v>
      </c>
      <c r="K4785" s="58"/>
      <c r="L4785" s="99"/>
      <c r="M4785" s="70" t="s">
        <v>10230</v>
      </c>
      <c r="N4785" s="97" t="s">
        <v>270</v>
      </c>
      <c r="O4785" s="58"/>
      <c r="P4785" s="58" t="s">
        <v>44</v>
      </c>
      <c r="Q4785" s="58" t="s">
        <v>121</v>
      </c>
      <c r="R4785" s="58" t="s">
        <v>272</v>
      </c>
    </row>
    <row r="4786" spans="1:18" ht="69" customHeight="1">
      <c r="A4786" s="168"/>
      <c r="B4786" s="178">
        <v>1699</v>
      </c>
      <c r="C4786" s="178" t="s">
        <v>9967</v>
      </c>
      <c r="D4786" s="575" t="s">
        <v>3996</v>
      </c>
      <c r="E4786" s="178" t="s">
        <v>7985</v>
      </c>
      <c r="F4786" s="210" t="s">
        <v>11997</v>
      </c>
      <c r="G4786" s="58" t="s">
        <v>11965</v>
      </c>
      <c r="H4786" s="546">
        <v>329.1</v>
      </c>
      <c r="I4786" s="66">
        <v>45122</v>
      </c>
      <c r="J4786" s="411" t="s">
        <v>11980</v>
      </c>
      <c r="K4786" s="58"/>
      <c r="L4786" s="99"/>
      <c r="M4786" s="70" t="s">
        <v>9699</v>
      </c>
      <c r="N4786" s="97" t="s">
        <v>270</v>
      </c>
      <c r="O4786" s="58"/>
      <c r="P4786" s="58" t="s">
        <v>44</v>
      </c>
      <c r="Q4786" s="58" t="s">
        <v>119</v>
      </c>
      <c r="R4786" s="58" t="s">
        <v>272</v>
      </c>
    </row>
    <row r="4787" spans="1:18" ht="69" customHeight="1">
      <c r="A4787" s="168"/>
      <c r="B4787" s="178">
        <v>1700</v>
      </c>
      <c r="C4787" s="178" t="s">
        <v>10621</v>
      </c>
      <c r="D4787" s="575" t="s">
        <v>11998</v>
      </c>
      <c r="E4787" s="178" t="s">
        <v>7985</v>
      </c>
      <c r="F4787" s="210" t="s">
        <v>11999</v>
      </c>
      <c r="G4787" s="58" t="s">
        <v>11965</v>
      </c>
      <c r="H4787" s="546">
        <v>329.1</v>
      </c>
      <c r="I4787" s="66">
        <v>45122</v>
      </c>
      <c r="J4787" s="411" t="s">
        <v>11980</v>
      </c>
      <c r="K4787" s="58"/>
      <c r="L4787" s="99"/>
      <c r="M4787" s="70" t="s">
        <v>5674</v>
      </c>
      <c r="N4787" s="97" t="s">
        <v>270</v>
      </c>
      <c r="O4787" s="58"/>
      <c r="P4787" s="58" t="s">
        <v>44</v>
      </c>
      <c r="Q4787" s="58" t="s">
        <v>66</v>
      </c>
      <c r="R4787" s="58" t="s">
        <v>272</v>
      </c>
    </row>
    <row r="4788" spans="1:18" ht="69" customHeight="1">
      <c r="A4788" s="168"/>
      <c r="B4788" s="178">
        <v>1701</v>
      </c>
      <c r="C4788" s="178" t="s">
        <v>5189</v>
      </c>
      <c r="D4788" s="575" t="s">
        <v>12000</v>
      </c>
      <c r="E4788" s="178" t="s">
        <v>7985</v>
      </c>
      <c r="F4788" s="210" t="s">
        <v>12001</v>
      </c>
      <c r="G4788" s="58" t="s">
        <v>11965</v>
      </c>
      <c r="H4788" s="546">
        <v>329.1</v>
      </c>
      <c r="I4788" s="66">
        <v>45122</v>
      </c>
      <c r="J4788" s="411" t="s">
        <v>11980</v>
      </c>
      <c r="K4788" s="58"/>
      <c r="L4788" s="99"/>
      <c r="M4788" s="70" t="s">
        <v>5240</v>
      </c>
      <c r="N4788" s="97" t="s">
        <v>270</v>
      </c>
      <c r="O4788" s="58"/>
      <c r="P4788" s="58" t="s">
        <v>44</v>
      </c>
      <c r="Q4788" s="58" t="s">
        <v>62</v>
      </c>
      <c r="R4788" s="58" t="s">
        <v>272</v>
      </c>
    </row>
    <row r="4789" spans="1:18" ht="69" customHeight="1">
      <c r="A4789" s="168"/>
      <c r="B4789" s="178">
        <v>1702</v>
      </c>
      <c r="C4789" s="178" t="s">
        <v>5082</v>
      </c>
      <c r="D4789" s="575" t="s">
        <v>12002</v>
      </c>
      <c r="E4789" s="178" t="s">
        <v>7985</v>
      </c>
      <c r="F4789" s="210" t="s">
        <v>12003</v>
      </c>
      <c r="G4789" s="58" t="s">
        <v>11965</v>
      </c>
      <c r="H4789" s="546">
        <v>329.1</v>
      </c>
      <c r="I4789" s="66">
        <v>45122</v>
      </c>
      <c r="J4789" s="411" t="s">
        <v>11980</v>
      </c>
      <c r="K4789" s="58"/>
      <c r="L4789" s="99"/>
      <c r="M4789" s="70" t="s">
        <v>4831</v>
      </c>
      <c r="N4789" s="97" t="s">
        <v>270</v>
      </c>
      <c r="O4789" s="58"/>
      <c r="P4789" s="58" t="s">
        <v>44</v>
      </c>
      <c r="Q4789" s="58" t="s">
        <v>60</v>
      </c>
      <c r="R4789" s="58" t="s">
        <v>272</v>
      </c>
    </row>
    <row r="4790" spans="1:18" ht="69" customHeight="1">
      <c r="A4790" s="168"/>
      <c r="B4790" s="178">
        <v>1703</v>
      </c>
      <c r="C4790" s="178" t="s">
        <v>4728</v>
      </c>
      <c r="D4790" s="575" t="s">
        <v>12004</v>
      </c>
      <c r="E4790" s="178" t="s">
        <v>7985</v>
      </c>
      <c r="F4790" s="210" t="s">
        <v>12005</v>
      </c>
      <c r="G4790" s="58" t="s">
        <v>11965</v>
      </c>
      <c r="H4790" s="546">
        <v>329.1</v>
      </c>
      <c r="I4790" s="66">
        <v>45122</v>
      </c>
      <c r="J4790" s="411" t="s">
        <v>11980</v>
      </c>
      <c r="K4790" s="58"/>
      <c r="L4790" s="99"/>
      <c r="M4790" s="70" t="s">
        <v>4735</v>
      </c>
      <c r="N4790" s="97" t="s">
        <v>270</v>
      </c>
      <c r="O4790" s="58"/>
      <c r="P4790" s="58" t="s">
        <v>44</v>
      </c>
      <c r="Q4790" s="58" t="s">
        <v>58</v>
      </c>
      <c r="R4790" s="58" t="s">
        <v>272</v>
      </c>
    </row>
    <row r="4791" spans="1:18" ht="69" customHeight="1">
      <c r="A4791" s="168"/>
      <c r="B4791" s="178">
        <v>1704</v>
      </c>
      <c r="C4791" s="178" t="s">
        <v>4277</v>
      </c>
      <c r="D4791" s="575" t="s">
        <v>12006</v>
      </c>
      <c r="E4791" s="178" t="s">
        <v>7985</v>
      </c>
      <c r="F4791" s="210" t="s">
        <v>12007</v>
      </c>
      <c r="G4791" s="58" t="s">
        <v>11965</v>
      </c>
      <c r="H4791" s="546">
        <v>329.1</v>
      </c>
      <c r="I4791" s="66">
        <v>45122</v>
      </c>
      <c r="J4791" s="411" t="s">
        <v>11980</v>
      </c>
      <c r="K4791" s="58"/>
      <c r="L4791" s="99"/>
      <c r="M4791" s="70" t="s">
        <v>4557</v>
      </c>
      <c r="N4791" s="97" t="s">
        <v>270</v>
      </c>
      <c r="O4791" s="58"/>
      <c r="P4791" s="58" t="s">
        <v>44</v>
      </c>
      <c r="Q4791" s="58" t="s">
        <v>56</v>
      </c>
      <c r="R4791" s="58" t="s">
        <v>272</v>
      </c>
    </row>
    <row r="4792" spans="1:18" ht="69" customHeight="1">
      <c r="A4792" s="168"/>
      <c r="B4792" s="178">
        <v>1705</v>
      </c>
      <c r="C4792" s="178" t="s">
        <v>4411</v>
      </c>
      <c r="D4792" s="575" t="s">
        <v>12008</v>
      </c>
      <c r="E4792" s="178" t="s">
        <v>7985</v>
      </c>
      <c r="F4792" s="210" t="s">
        <v>12009</v>
      </c>
      <c r="G4792" s="58" t="s">
        <v>11965</v>
      </c>
      <c r="H4792" s="546">
        <v>329.1</v>
      </c>
      <c r="I4792" s="66">
        <v>45122</v>
      </c>
      <c r="J4792" s="411" t="s">
        <v>11980</v>
      </c>
      <c r="K4792" s="58"/>
      <c r="L4792" s="99"/>
      <c r="M4792" s="70" t="s">
        <v>4423</v>
      </c>
      <c r="N4792" s="97" t="s">
        <v>270</v>
      </c>
      <c r="O4792" s="58"/>
      <c r="P4792" s="58" t="s">
        <v>44</v>
      </c>
      <c r="Q4792" s="58" t="s">
        <v>54</v>
      </c>
      <c r="R4792" s="58" t="s">
        <v>272</v>
      </c>
    </row>
    <row r="4793" spans="1:18" ht="69" customHeight="1">
      <c r="A4793" s="168"/>
      <c r="B4793" s="178">
        <v>1706</v>
      </c>
      <c r="C4793" s="178" t="s">
        <v>3933</v>
      </c>
      <c r="D4793" s="575" t="s">
        <v>12010</v>
      </c>
      <c r="E4793" s="178" t="s">
        <v>7985</v>
      </c>
      <c r="F4793" s="210" t="s">
        <v>12011</v>
      </c>
      <c r="G4793" s="58" t="s">
        <v>11965</v>
      </c>
      <c r="H4793" s="546">
        <v>329.1</v>
      </c>
      <c r="I4793" s="66">
        <v>45122</v>
      </c>
      <c r="J4793" s="411" t="s">
        <v>11980</v>
      </c>
      <c r="K4793" s="58"/>
      <c r="L4793" s="99"/>
      <c r="M4793" s="70" t="s">
        <v>4136</v>
      </c>
      <c r="N4793" s="97" t="s">
        <v>270</v>
      </c>
      <c r="O4793" s="58"/>
      <c r="P4793" s="58" t="s">
        <v>44</v>
      </c>
      <c r="Q4793" s="58" t="s">
        <v>52</v>
      </c>
      <c r="R4793" s="58" t="s">
        <v>272</v>
      </c>
    </row>
    <row r="4794" spans="1:18" ht="69" customHeight="1">
      <c r="A4794" s="168"/>
      <c r="B4794" s="178">
        <v>1707</v>
      </c>
      <c r="C4794" s="178" t="s">
        <v>8529</v>
      </c>
      <c r="D4794" s="575" t="s">
        <v>4795</v>
      </c>
      <c r="E4794" s="178" t="s">
        <v>266</v>
      </c>
      <c r="F4794" s="210" t="s">
        <v>12012</v>
      </c>
      <c r="G4794" s="58" t="s">
        <v>4527</v>
      </c>
      <c r="H4794" s="552">
        <v>12000</v>
      </c>
      <c r="I4794" s="66">
        <v>45122</v>
      </c>
      <c r="J4794" s="411" t="s">
        <v>12013</v>
      </c>
      <c r="K4794" s="58"/>
      <c r="L4794" s="99"/>
      <c r="M4794" s="379"/>
      <c r="N4794" s="76" t="s">
        <v>270</v>
      </c>
      <c r="O4794" s="62" t="s">
        <v>6918</v>
      </c>
      <c r="P4794" s="58" t="s">
        <v>44</v>
      </c>
      <c r="Q4794" s="58" t="s">
        <v>108</v>
      </c>
      <c r="R4794" s="58" t="s">
        <v>272</v>
      </c>
    </row>
    <row r="4795" spans="1:18" ht="69" customHeight="1">
      <c r="A4795" s="168"/>
      <c r="B4795" s="178">
        <v>1708</v>
      </c>
      <c r="C4795" s="178" t="s">
        <v>8703</v>
      </c>
      <c r="D4795" s="575" t="s">
        <v>12014</v>
      </c>
      <c r="E4795" s="178" t="s">
        <v>266</v>
      </c>
      <c r="F4795" s="210" t="s">
        <v>12015</v>
      </c>
      <c r="G4795" s="58" t="s">
        <v>4527</v>
      </c>
      <c r="H4795" s="552">
        <v>12000</v>
      </c>
      <c r="I4795" s="66">
        <v>45122</v>
      </c>
      <c r="J4795" s="411" t="s">
        <v>12013</v>
      </c>
      <c r="K4795" s="58"/>
      <c r="L4795" s="99"/>
      <c r="M4795" s="70" t="s">
        <v>8615</v>
      </c>
      <c r="N4795" s="97" t="s">
        <v>270</v>
      </c>
      <c r="O4795" s="62" t="s">
        <v>6918</v>
      </c>
      <c r="P4795" s="58" t="s">
        <v>44</v>
      </c>
      <c r="Q4795" s="58" t="s">
        <v>109</v>
      </c>
      <c r="R4795" s="58" t="s">
        <v>272</v>
      </c>
    </row>
    <row r="4796" spans="1:18" ht="69" customHeight="1">
      <c r="A4796" s="168"/>
      <c r="B4796" s="191">
        <v>1709</v>
      </c>
      <c r="C4796" s="191" t="s">
        <v>8080</v>
      </c>
      <c r="D4796" s="533" t="s">
        <v>6126</v>
      </c>
      <c r="E4796" s="191" t="s">
        <v>266</v>
      </c>
      <c r="F4796" s="211" t="s">
        <v>12016</v>
      </c>
      <c r="G4796" s="46" t="s">
        <v>4527</v>
      </c>
      <c r="H4796" s="534">
        <v>12000</v>
      </c>
      <c r="I4796" s="56">
        <v>45122</v>
      </c>
      <c r="J4796" s="412" t="s">
        <v>12013</v>
      </c>
      <c r="K4796" s="46" t="s">
        <v>167</v>
      </c>
      <c r="L4796" s="99"/>
      <c r="M4796" s="379"/>
      <c r="N4796" s="76" t="s">
        <v>264</v>
      </c>
      <c r="O4796" s="46"/>
      <c r="P4796" s="46" t="s">
        <v>65</v>
      </c>
      <c r="Q4796" s="46" t="s">
        <v>106</v>
      </c>
      <c r="R4796" s="46" t="s">
        <v>272</v>
      </c>
    </row>
    <row r="4797" spans="1:18" ht="69" customHeight="1">
      <c r="A4797" s="168"/>
      <c r="B4797" s="178">
        <v>1710</v>
      </c>
      <c r="C4797" s="59" t="s">
        <v>3667</v>
      </c>
      <c r="D4797" s="575" t="s">
        <v>12017</v>
      </c>
      <c r="E4797" s="178" t="s">
        <v>7985</v>
      </c>
      <c r="F4797" s="210" t="s">
        <v>12018</v>
      </c>
      <c r="G4797" s="58" t="s">
        <v>12019</v>
      </c>
      <c r="H4797" s="546">
        <v>265383.15000000002</v>
      </c>
      <c r="I4797" s="66">
        <v>45103</v>
      </c>
      <c r="J4797" s="411" t="s">
        <v>12020</v>
      </c>
      <c r="K4797" s="58"/>
      <c r="L4797" s="99"/>
      <c r="M4797" s="70" t="s">
        <v>6224</v>
      </c>
      <c r="N4797" s="97" t="s">
        <v>1372</v>
      </c>
      <c r="O4797" s="58"/>
      <c r="P4797" s="58" t="s">
        <v>57</v>
      </c>
      <c r="Q4797" s="58" t="s">
        <v>72</v>
      </c>
      <c r="R4797" s="58" t="s">
        <v>272</v>
      </c>
    </row>
    <row r="4798" spans="1:18" s="117" customFormat="1" ht="69" customHeight="1">
      <c r="A4798" s="168"/>
      <c r="B4798" s="178">
        <v>1711</v>
      </c>
      <c r="C4798" s="178" t="s">
        <v>9322</v>
      </c>
      <c r="D4798" s="575" t="s">
        <v>4003</v>
      </c>
      <c r="E4798" s="178" t="s">
        <v>755</v>
      </c>
      <c r="F4798" s="210" t="s">
        <v>12021</v>
      </c>
      <c r="G4798" s="58" t="s">
        <v>12022</v>
      </c>
      <c r="H4798" s="546">
        <v>190081.08</v>
      </c>
      <c r="I4798" s="66">
        <v>45110</v>
      </c>
      <c r="J4798" s="411" t="s">
        <v>12023</v>
      </c>
      <c r="K4798" s="58"/>
      <c r="L4798" s="99"/>
      <c r="M4798" s="70" t="s">
        <v>9314</v>
      </c>
      <c r="N4798" s="97" t="s">
        <v>716</v>
      </c>
      <c r="O4798" s="58"/>
      <c r="P4798" s="58" t="s">
        <v>28</v>
      </c>
      <c r="Q4798" s="58" t="s">
        <v>114</v>
      </c>
      <c r="R4798" s="58" t="s">
        <v>272</v>
      </c>
    </row>
    <row r="4799" spans="1:18" s="117" customFormat="1" ht="69" customHeight="1">
      <c r="A4799" s="168"/>
      <c r="B4799" s="178">
        <v>1712</v>
      </c>
      <c r="C4799" s="178" t="s">
        <v>8721</v>
      </c>
      <c r="D4799" s="575" t="s">
        <v>6469</v>
      </c>
      <c r="E4799" s="178" t="s">
        <v>755</v>
      </c>
      <c r="F4799" s="210" t="s">
        <v>12024</v>
      </c>
      <c r="G4799" s="58" t="s">
        <v>3531</v>
      </c>
      <c r="H4799" s="546">
        <v>73843.64</v>
      </c>
      <c r="I4799" s="66">
        <v>45110</v>
      </c>
      <c r="J4799" s="411" t="s">
        <v>12023</v>
      </c>
      <c r="K4799" s="58"/>
      <c r="L4799" s="99"/>
      <c r="M4799" s="70" t="s">
        <v>8684</v>
      </c>
      <c r="N4799" s="97" t="s">
        <v>716</v>
      </c>
      <c r="O4799" s="58"/>
      <c r="P4799" s="58" t="s">
        <v>28</v>
      </c>
      <c r="Q4799" s="58" t="s">
        <v>109</v>
      </c>
      <c r="R4799" s="58" t="s">
        <v>272</v>
      </c>
    </row>
    <row r="4800" spans="1:18" ht="69" customHeight="1">
      <c r="A4800" s="168"/>
      <c r="B4800" s="178">
        <v>1713</v>
      </c>
      <c r="C4800" s="178" t="s">
        <v>1333</v>
      </c>
      <c r="D4800" s="575" t="s">
        <v>11909</v>
      </c>
      <c r="E4800" s="178" t="s">
        <v>755</v>
      </c>
      <c r="F4800" s="210" t="s">
        <v>12025</v>
      </c>
      <c r="G4800" s="58" t="s">
        <v>4521</v>
      </c>
      <c r="H4800" s="546">
        <v>175767.9</v>
      </c>
      <c r="I4800" s="66">
        <v>45110</v>
      </c>
      <c r="J4800" s="411" t="s">
        <v>12023</v>
      </c>
      <c r="K4800" s="58"/>
      <c r="L4800" s="99"/>
      <c r="M4800" s="70" t="s">
        <v>1328</v>
      </c>
      <c r="N4800" s="97" t="s">
        <v>716</v>
      </c>
      <c r="O4800" s="58"/>
      <c r="P4800" s="58" t="s">
        <v>28</v>
      </c>
      <c r="Q4800" s="58" t="s">
        <v>25</v>
      </c>
      <c r="R4800" s="58" t="s">
        <v>272</v>
      </c>
    </row>
    <row r="4801" spans="1:18" ht="69" customHeight="1">
      <c r="A4801" s="168"/>
      <c r="B4801" s="178">
        <v>1714</v>
      </c>
      <c r="C4801" s="59" t="s">
        <v>3667</v>
      </c>
      <c r="D4801" s="575" t="s">
        <v>12026</v>
      </c>
      <c r="E4801" s="178" t="s">
        <v>6192</v>
      </c>
      <c r="F4801" s="210" t="s">
        <v>12027</v>
      </c>
      <c r="G4801" s="58" t="s">
        <v>11527</v>
      </c>
      <c r="H4801" s="546">
        <v>39999.67</v>
      </c>
      <c r="I4801" s="66">
        <v>45107</v>
      </c>
      <c r="J4801" s="411" t="s">
        <v>12028</v>
      </c>
      <c r="K4801" s="58"/>
      <c r="L4801" s="99"/>
      <c r="M4801" s="70" t="s">
        <v>6400</v>
      </c>
      <c r="N4801" s="97" t="s">
        <v>6197</v>
      </c>
      <c r="O4801" s="58"/>
      <c r="P4801" s="58" t="s">
        <v>22</v>
      </c>
      <c r="Q4801" s="58" t="s">
        <v>74</v>
      </c>
      <c r="R4801" s="58" t="s">
        <v>272</v>
      </c>
    </row>
    <row r="4802" spans="1:18" ht="69" customHeight="1">
      <c r="A4802" s="168"/>
      <c r="B4802" s="178">
        <v>1715</v>
      </c>
      <c r="C4802" s="59" t="s">
        <v>3667</v>
      </c>
      <c r="D4802" s="575" t="s">
        <v>12029</v>
      </c>
      <c r="E4802" s="178" t="s">
        <v>6192</v>
      </c>
      <c r="F4802" s="210" t="s">
        <v>12030</v>
      </c>
      <c r="G4802" s="58" t="s">
        <v>7984</v>
      </c>
      <c r="H4802" s="546">
        <v>21538.29</v>
      </c>
      <c r="I4802" s="66">
        <v>45107</v>
      </c>
      <c r="J4802" s="411" t="s">
        <v>12028</v>
      </c>
      <c r="K4802" s="58"/>
      <c r="L4802" s="99"/>
      <c r="M4802" s="70" t="s">
        <v>6400</v>
      </c>
      <c r="N4802" s="97" t="s">
        <v>6197</v>
      </c>
      <c r="O4802" s="58"/>
      <c r="P4802" s="58" t="s">
        <v>22</v>
      </c>
      <c r="Q4802" s="58" t="s">
        <v>74</v>
      </c>
      <c r="R4802" s="58" t="s">
        <v>272</v>
      </c>
    </row>
    <row r="4803" spans="1:18" ht="69" customHeight="1">
      <c r="A4803" s="168"/>
      <c r="B4803" s="178">
        <v>1716</v>
      </c>
      <c r="C4803" s="59" t="s">
        <v>3667</v>
      </c>
      <c r="D4803" s="575" t="s">
        <v>12031</v>
      </c>
      <c r="E4803" s="178" t="s">
        <v>6192</v>
      </c>
      <c r="F4803" s="210" t="s">
        <v>12032</v>
      </c>
      <c r="G4803" s="58" t="s">
        <v>11100</v>
      </c>
      <c r="H4803" s="546">
        <v>52174.96</v>
      </c>
      <c r="I4803" s="66">
        <v>45107</v>
      </c>
      <c r="J4803" s="411" t="s">
        <v>12028</v>
      </c>
      <c r="K4803" s="58"/>
      <c r="L4803" s="99"/>
      <c r="M4803" s="70" t="s">
        <v>6196</v>
      </c>
      <c r="N4803" s="97" t="s">
        <v>6197</v>
      </c>
      <c r="O4803" s="58"/>
      <c r="P4803" s="58" t="s">
        <v>22</v>
      </c>
      <c r="Q4803" s="58" t="s">
        <v>72</v>
      </c>
      <c r="R4803" s="58" t="s">
        <v>272</v>
      </c>
    </row>
    <row r="4804" spans="1:18" ht="69" customHeight="1">
      <c r="A4804" s="168"/>
      <c r="B4804" s="178">
        <v>1717</v>
      </c>
      <c r="C4804" s="59" t="s">
        <v>3667</v>
      </c>
      <c r="D4804" s="575" t="s">
        <v>12033</v>
      </c>
      <c r="E4804" s="178" t="s">
        <v>6192</v>
      </c>
      <c r="F4804" s="210" t="s">
        <v>12034</v>
      </c>
      <c r="G4804" s="58" t="s">
        <v>6641</v>
      </c>
      <c r="H4804" s="546">
        <v>28094.21</v>
      </c>
      <c r="I4804" s="66">
        <v>45107</v>
      </c>
      <c r="J4804" s="411" t="s">
        <v>12028</v>
      </c>
      <c r="K4804" s="58"/>
      <c r="L4804" s="99"/>
      <c r="M4804" s="70" t="s">
        <v>6196</v>
      </c>
      <c r="N4804" s="97" t="s">
        <v>6197</v>
      </c>
      <c r="O4804" s="58"/>
      <c r="P4804" s="58" t="s">
        <v>22</v>
      </c>
      <c r="Q4804" s="58" t="s">
        <v>72</v>
      </c>
      <c r="R4804" s="58" t="s">
        <v>272</v>
      </c>
    </row>
    <row r="4805" spans="1:18" ht="69" customHeight="1">
      <c r="A4805" s="168"/>
      <c r="B4805" s="178">
        <v>1718</v>
      </c>
      <c r="C4805" s="178" t="s">
        <v>657</v>
      </c>
      <c r="D4805" s="575" t="s">
        <v>9921</v>
      </c>
      <c r="E4805" s="178" t="s">
        <v>6192</v>
      </c>
      <c r="F4805" s="210" t="s">
        <v>12035</v>
      </c>
      <c r="G4805" s="58" t="s">
        <v>11315</v>
      </c>
      <c r="H4805" s="546">
        <v>82323.31</v>
      </c>
      <c r="I4805" s="66">
        <v>45107</v>
      </c>
      <c r="J4805" s="411" t="s">
        <v>12028</v>
      </c>
      <c r="K4805" s="58"/>
      <c r="L4805" s="99"/>
      <c r="M4805" s="70" t="s">
        <v>8910</v>
      </c>
      <c r="N4805" s="97" t="s">
        <v>6197</v>
      </c>
      <c r="O4805" s="58" t="s">
        <v>147</v>
      </c>
      <c r="P4805" s="58" t="s">
        <v>22</v>
      </c>
      <c r="Q4805" s="58" t="s">
        <v>110</v>
      </c>
      <c r="R4805" s="58" t="s">
        <v>272</v>
      </c>
    </row>
    <row r="4806" spans="1:18" ht="69" customHeight="1">
      <c r="A4806" s="168"/>
      <c r="B4806" s="178">
        <v>1719</v>
      </c>
      <c r="C4806" s="178" t="s">
        <v>657</v>
      </c>
      <c r="D4806" s="575" t="s">
        <v>9926</v>
      </c>
      <c r="E4806" s="178" t="s">
        <v>6192</v>
      </c>
      <c r="F4806" s="210" t="s">
        <v>12036</v>
      </c>
      <c r="G4806" s="58" t="s">
        <v>7968</v>
      </c>
      <c r="H4806" s="546">
        <v>44327.94</v>
      </c>
      <c r="I4806" s="66">
        <v>45107</v>
      </c>
      <c r="J4806" s="411" t="s">
        <v>12028</v>
      </c>
      <c r="K4806" s="58"/>
      <c r="L4806" s="99"/>
      <c r="M4806" s="70" t="s">
        <v>8910</v>
      </c>
      <c r="N4806" s="97" t="s">
        <v>6197</v>
      </c>
      <c r="O4806" s="58" t="s">
        <v>147</v>
      </c>
      <c r="P4806" s="58" t="s">
        <v>22</v>
      </c>
      <c r="Q4806" s="58" t="s">
        <v>110</v>
      </c>
      <c r="R4806" s="58" t="s">
        <v>272</v>
      </c>
    </row>
    <row r="4807" spans="1:18" ht="69" customHeight="1">
      <c r="A4807" s="168"/>
      <c r="B4807" s="178">
        <v>1720</v>
      </c>
      <c r="C4807" s="178" t="s">
        <v>458</v>
      </c>
      <c r="D4807" s="575" t="s">
        <v>6165</v>
      </c>
      <c r="E4807" s="178" t="s">
        <v>6192</v>
      </c>
      <c r="F4807" s="210" t="s">
        <v>12037</v>
      </c>
      <c r="G4807" s="58" t="s">
        <v>11147</v>
      </c>
      <c r="H4807" s="546">
        <v>163460.95000000001</v>
      </c>
      <c r="I4807" s="66">
        <v>45107</v>
      </c>
      <c r="J4807" s="411" t="s">
        <v>12028</v>
      </c>
      <c r="K4807" s="58"/>
      <c r="L4807" s="99"/>
      <c r="M4807" s="70" t="s">
        <v>7412</v>
      </c>
      <c r="N4807" s="97" t="s">
        <v>6197</v>
      </c>
      <c r="O4807" s="58"/>
      <c r="P4807" s="58" t="s">
        <v>22</v>
      </c>
      <c r="Q4807" s="58" t="s">
        <v>100</v>
      </c>
      <c r="R4807" s="58" t="s">
        <v>272</v>
      </c>
    </row>
    <row r="4808" spans="1:18" ht="69" customHeight="1">
      <c r="A4808" s="168"/>
      <c r="B4808" s="178">
        <v>1721</v>
      </c>
      <c r="C4808" s="178" t="s">
        <v>458</v>
      </c>
      <c r="D4808" s="575" t="s">
        <v>12038</v>
      </c>
      <c r="E4808" s="178" t="s">
        <v>6192</v>
      </c>
      <c r="F4808" s="210" t="s">
        <v>12039</v>
      </c>
      <c r="G4808" s="58" t="s">
        <v>11150</v>
      </c>
      <c r="H4808" s="546">
        <v>88017.43</v>
      </c>
      <c r="I4808" s="66">
        <v>45107</v>
      </c>
      <c r="J4808" s="411" t="s">
        <v>12028</v>
      </c>
      <c r="K4808" s="58"/>
      <c r="L4808" s="99"/>
      <c r="M4808" s="70" t="s">
        <v>7412</v>
      </c>
      <c r="N4808" s="97" t="s">
        <v>6197</v>
      </c>
      <c r="O4808" s="58"/>
      <c r="P4808" s="58" t="s">
        <v>22</v>
      </c>
      <c r="Q4808" s="58" t="s">
        <v>100</v>
      </c>
      <c r="R4808" s="58" t="s">
        <v>272</v>
      </c>
    </row>
    <row r="4809" spans="1:18" ht="69" customHeight="1">
      <c r="A4809" s="168"/>
      <c r="B4809" s="178">
        <v>1722</v>
      </c>
      <c r="C4809" s="178" t="s">
        <v>11933</v>
      </c>
      <c r="D4809" s="575" t="s">
        <v>6198</v>
      </c>
      <c r="E4809" s="178" t="s">
        <v>4651</v>
      </c>
      <c r="F4809" s="210" t="s">
        <v>12040</v>
      </c>
      <c r="G4809" s="58" t="s">
        <v>12041</v>
      </c>
      <c r="H4809" s="546">
        <v>67950</v>
      </c>
      <c r="I4809" s="66">
        <v>45122</v>
      </c>
      <c r="J4809" s="411" t="s">
        <v>7068</v>
      </c>
      <c r="K4809" s="58"/>
      <c r="L4809" s="99"/>
      <c r="M4809" s="70" t="s">
        <v>10508</v>
      </c>
      <c r="N4809" s="97" t="s">
        <v>356</v>
      </c>
      <c r="O4809" s="58" t="s">
        <v>141</v>
      </c>
      <c r="P4809" s="58" t="s">
        <v>19</v>
      </c>
      <c r="Q4809" s="58" t="s">
        <v>123</v>
      </c>
      <c r="R4809" s="58" t="s">
        <v>265</v>
      </c>
    </row>
    <row r="4810" spans="1:18" ht="69" customHeight="1">
      <c r="A4810" s="168"/>
      <c r="B4810" s="191">
        <v>1723</v>
      </c>
      <c r="C4810" s="191" t="s">
        <v>9094</v>
      </c>
      <c r="D4810" s="533" t="s">
        <v>6191</v>
      </c>
      <c r="E4810" s="191" t="s">
        <v>4651</v>
      </c>
      <c r="F4810" s="211" t="s">
        <v>12042</v>
      </c>
      <c r="G4810" s="46" t="s">
        <v>12041</v>
      </c>
      <c r="H4810" s="534">
        <f>67950-17040</f>
        <v>50910</v>
      </c>
      <c r="I4810" s="56">
        <v>45122</v>
      </c>
      <c r="J4810" s="412" t="s">
        <v>7068</v>
      </c>
      <c r="K4810" s="46" t="s">
        <v>9101</v>
      </c>
      <c r="L4810" s="120"/>
      <c r="M4810" s="70" t="s">
        <v>9029</v>
      </c>
      <c r="N4810" s="97" t="s">
        <v>356</v>
      </c>
      <c r="O4810" s="46" t="s">
        <v>141</v>
      </c>
      <c r="P4810" s="46" t="s">
        <v>19</v>
      </c>
      <c r="Q4810" s="46" t="s">
        <v>18</v>
      </c>
      <c r="R4810" s="46" t="s">
        <v>265</v>
      </c>
    </row>
    <row r="4811" spans="1:18" ht="69" customHeight="1">
      <c r="A4811" s="168"/>
      <c r="B4811" s="178">
        <v>1724</v>
      </c>
      <c r="C4811" s="178" t="s">
        <v>458</v>
      </c>
      <c r="D4811" s="575" t="s">
        <v>4007</v>
      </c>
      <c r="E4811" s="178" t="s">
        <v>382</v>
      </c>
      <c r="F4811" s="210" t="s">
        <v>12043</v>
      </c>
      <c r="G4811" s="58" t="s">
        <v>11833</v>
      </c>
      <c r="H4811" s="546">
        <v>2477.9499999999998</v>
      </c>
      <c r="I4811" s="66">
        <v>45122</v>
      </c>
      <c r="J4811" s="411" t="s">
        <v>12044</v>
      </c>
      <c r="K4811" s="58"/>
      <c r="L4811" s="99"/>
      <c r="M4811" s="70" t="s">
        <v>10253</v>
      </c>
      <c r="N4811" s="97" t="s">
        <v>387</v>
      </c>
      <c r="O4811" s="58" t="s">
        <v>150</v>
      </c>
      <c r="P4811" s="58" t="s">
        <v>51</v>
      </c>
      <c r="Q4811" s="58" t="s">
        <v>121</v>
      </c>
      <c r="R4811" s="58" t="s">
        <v>272</v>
      </c>
    </row>
    <row r="4812" spans="1:18" ht="69" customHeight="1">
      <c r="A4812" s="168"/>
      <c r="B4812" s="178">
        <v>1725</v>
      </c>
      <c r="C4812" s="178" t="s">
        <v>309</v>
      </c>
      <c r="D4812" s="575" t="s">
        <v>4320</v>
      </c>
      <c r="E4812" s="178" t="s">
        <v>382</v>
      </c>
      <c r="F4812" s="210" t="s">
        <v>12045</v>
      </c>
      <c r="G4812" s="58" t="s">
        <v>11833</v>
      </c>
      <c r="H4812" s="546">
        <v>1585.98</v>
      </c>
      <c r="I4812" s="66">
        <v>45122</v>
      </c>
      <c r="J4812" s="411" t="s">
        <v>12044</v>
      </c>
      <c r="K4812" s="58"/>
      <c r="L4812" s="99"/>
      <c r="M4812" s="70" t="s">
        <v>3550</v>
      </c>
      <c r="N4812" s="97" t="s">
        <v>387</v>
      </c>
      <c r="O4812" s="58" t="s">
        <v>3551</v>
      </c>
      <c r="P4812" s="58" t="s">
        <v>51</v>
      </c>
      <c r="Q4812" s="58" t="s">
        <v>43</v>
      </c>
      <c r="R4812" s="58" t="s">
        <v>272</v>
      </c>
    </row>
    <row r="4813" spans="1:18" ht="69" customHeight="1">
      <c r="A4813" s="168"/>
      <c r="B4813" s="178">
        <v>1726</v>
      </c>
      <c r="C4813" s="178" t="s">
        <v>458</v>
      </c>
      <c r="D4813" s="575" t="s">
        <v>6398</v>
      </c>
      <c r="E4813" s="178" t="s">
        <v>382</v>
      </c>
      <c r="F4813" s="210" t="s">
        <v>12046</v>
      </c>
      <c r="G4813" s="58" t="s">
        <v>11833</v>
      </c>
      <c r="H4813" s="546">
        <v>2477.9699999999998</v>
      </c>
      <c r="I4813" s="66">
        <v>45122</v>
      </c>
      <c r="J4813" s="411" t="s">
        <v>12044</v>
      </c>
      <c r="K4813" s="58"/>
      <c r="L4813" s="99"/>
      <c r="M4813" s="70" t="s">
        <v>11840</v>
      </c>
      <c r="N4813" s="97" t="s">
        <v>387</v>
      </c>
      <c r="O4813" s="45" t="s">
        <v>150</v>
      </c>
      <c r="P4813" s="58" t="s">
        <v>51</v>
      </c>
      <c r="Q4813" s="58" t="s">
        <v>101</v>
      </c>
      <c r="R4813" s="58" t="s">
        <v>272</v>
      </c>
    </row>
    <row r="4814" spans="1:18" ht="69" customHeight="1">
      <c r="A4814" s="168"/>
      <c r="B4814" s="178">
        <v>1727</v>
      </c>
      <c r="C4814" s="178" t="s">
        <v>657</v>
      </c>
      <c r="D4814" s="575" t="s">
        <v>9219</v>
      </c>
      <c r="E4814" s="178" t="s">
        <v>382</v>
      </c>
      <c r="F4814" s="210" t="s">
        <v>12047</v>
      </c>
      <c r="G4814" s="58" t="s">
        <v>11833</v>
      </c>
      <c r="H4814" s="546">
        <v>2477.9299999999998</v>
      </c>
      <c r="I4814" s="66">
        <v>45122</v>
      </c>
      <c r="J4814" s="411" t="s">
        <v>12044</v>
      </c>
      <c r="K4814" s="58"/>
      <c r="L4814" s="99"/>
      <c r="M4814" s="70" t="s">
        <v>11837</v>
      </c>
      <c r="N4814" s="97" t="s">
        <v>387</v>
      </c>
      <c r="O4814" s="45" t="s">
        <v>150</v>
      </c>
      <c r="P4814" s="58" t="s">
        <v>51</v>
      </c>
      <c r="Q4814" s="58" t="s">
        <v>102</v>
      </c>
      <c r="R4814" s="58" t="s">
        <v>272</v>
      </c>
    </row>
    <row r="4815" spans="1:18" ht="69" customHeight="1">
      <c r="A4815" s="168"/>
      <c r="B4815" s="178">
        <v>1728</v>
      </c>
      <c r="C4815" s="59" t="s">
        <v>3667</v>
      </c>
      <c r="D4815" s="575" t="s">
        <v>12048</v>
      </c>
      <c r="E4815" s="178" t="s">
        <v>382</v>
      </c>
      <c r="F4815" s="210" t="s">
        <v>12049</v>
      </c>
      <c r="G4815" s="58" t="s">
        <v>12050</v>
      </c>
      <c r="H4815" s="546">
        <v>7808</v>
      </c>
      <c r="I4815" s="66">
        <v>45122</v>
      </c>
      <c r="J4815" s="411" t="s">
        <v>12051</v>
      </c>
      <c r="K4815" s="58"/>
      <c r="L4815" s="99"/>
      <c r="M4815" s="70" t="s">
        <v>4532</v>
      </c>
      <c r="N4815" s="97" t="s">
        <v>387</v>
      </c>
      <c r="O4815" s="58" t="s">
        <v>150</v>
      </c>
      <c r="P4815" s="58" t="s">
        <v>51</v>
      </c>
      <c r="Q4815" s="58" t="s">
        <v>54</v>
      </c>
      <c r="R4815" s="58" t="s">
        <v>272</v>
      </c>
    </row>
    <row r="4816" spans="1:18" ht="69" customHeight="1">
      <c r="A4816" s="168"/>
      <c r="B4816" s="178">
        <v>1729</v>
      </c>
      <c r="C4816" s="178" t="s">
        <v>309</v>
      </c>
      <c r="D4816" s="575" t="s">
        <v>11920</v>
      </c>
      <c r="E4816" s="178" t="s">
        <v>382</v>
      </c>
      <c r="F4816" s="210" t="s">
        <v>12052</v>
      </c>
      <c r="G4816" s="58" t="s">
        <v>12050</v>
      </c>
      <c r="H4816" s="546">
        <v>7808</v>
      </c>
      <c r="I4816" s="66">
        <v>45122</v>
      </c>
      <c r="J4816" s="411" t="s">
        <v>12051</v>
      </c>
      <c r="K4816" s="58"/>
      <c r="L4816" s="99"/>
      <c r="M4816" s="70" t="s">
        <v>3550</v>
      </c>
      <c r="N4816" s="97" t="s">
        <v>387</v>
      </c>
      <c r="O4816" s="58" t="s">
        <v>3551</v>
      </c>
      <c r="P4816" s="58" t="s">
        <v>51</v>
      </c>
      <c r="Q4816" s="58" t="s">
        <v>43</v>
      </c>
      <c r="R4816" s="58" t="s">
        <v>272</v>
      </c>
    </row>
    <row r="4817" spans="1:18" ht="69" customHeight="1">
      <c r="A4817" s="168"/>
      <c r="B4817" s="59">
        <v>1730</v>
      </c>
      <c r="C4817" s="59" t="s">
        <v>657</v>
      </c>
      <c r="D4817" s="581" t="s">
        <v>3511</v>
      </c>
      <c r="E4817" s="59" t="s">
        <v>382</v>
      </c>
      <c r="F4817" s="569" t="s">
        <v>12053</v>
      </c>
      <c r="G4817" s="45" t="s">
        <v>12050</v>
      </c>
      <c r="H4817" s="198">
        <v>7808</v>
      </c>
      <c r="I4817" s="47">
        <v>45122</v>
      </c>
      <c r="J4817" s="410" t="s">
        <v>12051</v>
      </c>
      <c r="K4817" s="45"/>
      <c r="L4817" s="99"/>
      <c r="M4817" s="70" t="s">
        <v>9412</v>
      </c>
      <c r="N4817" s="97" t="s">
        <v>387</v>
      </c>
      <c r="O4817" s="58" t="s">
        <v>9487</v>
      </c>
      <c r="P4817" s="58" t="s">
        <v>51</v>
      </c>
      <c r="Q4817" s="58" t="s">
        <v>116</v>
      </c>
      <c r="R4817" s="58" t="s">
        <v>272</v>
      </c>
    </row>
    <row r="4818" spans="1:18" ht="69" customHeight="1">
      <c r="A4818" s="168"/>
      <c r="B4818" s="207">
        <v>1731</v>
      </c>
      <c r="C4818" s="207" t="s">
        <v>12054</v>
      </c>
      <c r="D4818" s="301" t="s">
        <v>3179</v>
      </c>
      <c r="E4818" s="207" t="s">
        <v>266</v>
      </c>
      <c r="F4818" s="208" t="s">
        <v>12055</v>
      </c>
      <c r="G4818" s="160" t="s">
        <v>12056</v>
      </c>
      <c r="H4818" s="300">
        <v>4000</v>
      </c>
      <c r="I4818" s="209">
        <v>45122</v>
      </c>
      <c r="J4818" s="322" t="s">
        <v>12057</v>
      </c>
      <c r="K4818" s="160" t="s">
        <v>10804</v>
      </c>
      <c r="L4818" s="99"/>
      <c r="M4818" s="379"/>
      <c r="N4818" s="76" t="s">
        <v>55</v>
      </c>
      <c r="O4818" s="160" t="s">
        <v>12058</v>
      </c>
      <c r="P4818" s="160" t="s">
        <v>67</v>
      </c>
      <c r="Q4818" s="160" t="s">
        <v>96</v>
      </c>
      <c r="R4818" s="160" t="s">
        <v>272</v>
      </c>
    </row>
    <row r="4819" spans="1:18" ht="69" customHeight="1">
      <c r="A4819" s="168"/>
      <c r="B4819" s="207">
        <v>1732</v>
      </c>
      <c r="C4819" s="207" t="s">
        <v>12054</v>
      </c>
      <c r="D4819" s="301" t="s">
        <v>2727</v>
      </c>
      <c r="E4819" s="207" t="s">
        <v>266</v>
      </c>
      <c r="F4819" s="208" t="s">
        <v>12059</v>
      </c>
      <c r="G4819" s="160" t="s">
        <v>12056</v>
      </c>
      <c r="H4819" s="300">
        <v>5184.83</v>
      </c>
      <c r="I4819" s="209">
        <v>45122</v>
      </c>
      <c r="J4819" s="322" t="s">
        <v>12057</v>
      </c>
      <c r="K4819" s="160" t="s">
        <v>10804</v>
      </c>
      <c r="L4819" s="99"/>
      <c r="M4819" s="379"/>
      <c r="N4819" s="76" t="s">
        <v>55</v>
      </c>
      <c r="O4819" s="160" t="s">
        <v>12058</v>
      </c>
      <c r="P4819" s="160" t="s">
        <v>67</v>
      </c>
      <c r="Q4819" s="160" t="s">
        <v>96</v>
      </c>
      <c r="R4819" s="160" t="s">
        <v>272</v>
      </c>
    </row>
    <row r="4820" spans="1:18" ht="69" customHeight="1">
      <c r="A4820" s="168"/>
      <c r="B4820" s="178">
        <v>1733</v>
      </c>
      <c r="C4820" s="178" t="s">
        <v>657</v>
      </c>
      <c r="D4820" s="575" t="s">
        <v>4974</v>
      </c>
      <c r="E4820" s="178" t="s">
        <v>266</v>
      </c>
      <c r="F4820" s="210" t="s">
        <v>12060</v>
      </c>
      <c r="G4820" s="58" t="s">
        <v>12061</v>
      </c>
      <c r="H4820" s="546">
        <v>34317.03</v>
      </c>
      <c r="I4820" s="66" t="s">
        <v>96</v>
      </c>
      <c r="J4820" s="411" t="s">
        <v>12062</v>
      </c>
      <c r="K4820" s="58"/>
      <c r="L4820" s="99"/>
      <c r="M4820" s="70" t="s">
        <v>7856</v>
      </c>
      <c r="N4820" s="97" t="s">
        <v>432</v>
      </c>
      <c r="O4820" s="58"/>
      <c r="P4820" s="58" t="s">
        <v>53</v>
      </c>
      <c r="Q4820" s="58" t="s">
        <v>104</v>
      </c>
      <c r="R4820" s="58" t="s">
        <v>272</v>
      </c>
    </row>
    <row r="4821" spans="1:18" ht="69" customHeight="1">
      <c r="A4821" s="168"/>
      <c r="B4821" s="178">
        <v>1734</v>
      </c>
      <c r="C4821" s="178" t="s">
        <v>657</v>
      </c>
      <c r="D4821" s="575" t="s">
        <v>825</v>
      </c>
      <c r="E4821" s="178" t="s">
        <v>266</v>
      </c>
      <c r="F4821" s="210" t="s">
        <v>12063</v>
      </c>
      <c r="G4821" s="58" t="s">
        <v>12064</v>
      </c>
      <c r="H4821" s="546">
        <v>34317.03</v>
      </c>
      <c r="I4821" s="66" t="s">
        <v>96</v>
      </c>
      <c r="J4821" s="411" t="s">
        <v>12062</v>
      </c>
      <c r="K4821" s="58"/>
      <c r="L4821" s="99"/>
      <c r="M4821" s="70" t="s">
        <v>7142</v>
      </c>
      <c r="N4821" s="97" t="s">
        <v>432</v>
      </c>
      <c r="O4821" s="58"/>
      <c r="P4821" s="58" t="s">
        <v>53</v>
      </c>
      <c r="Q4821" s="58" t="s">
        <v>97</v>
      </c>
      <c r="R4821" s="58" t="s">
        <v>272</v>
      </c>
    </row>
    <row r="4822" spans="1:18" ht="69" customHeight="1">
      <c r="A4822" s="168"/>
      <c r="B4822" s="178">
        <v>1735</v>
      </c>
      <c r="C4822" s="178" t="s">
        <v>458</v>
      </c>
      <c r="D4822" s="575" t="s">
        <v>6572</v>
      </c>
      <c r="E4822" s="178" t="s">
        <v>266</v>
      </c>
      <c r="F4822" s="210" t="s">
        <v>12065</v>
      </c>
      <c r="G4822" s="58" t="s">
        <v>12064</v>
      </c>
      <c r="H4822" s="546">
        <v>34317.03</v>
      </c>
      <c r="I4822" s="66" t="s">
        <v>96</v>
      </c>
      <c r="J4822" s="411" t="s">
        <v>12062</v>
      </c>
      <c r="K4822" s="58"/>
      <c r="L4822" s="99"/>
      <c r="M4822" s="70" t="s">
        <v>7661</v>
      </c>
      <c r="N4822" s="97" t="s">
        <v>432</v>
      </c>
      <c r="O4822" s="58"/>
      <c r="P4822" s="58" t="s">
        <v>53</v>
      </c>
      <c r="Q4822" s="58" t="s">
        <v>103</v>
      </c>
      <c r="R4822" s="58" t="s">
        <v>272</v>
      </c>
    </row>
    <row r="4823" spans="1:18" ht="69" customHeight="1">
      <c r="A4823" s="168"/>
      <c r="B4823" s="178">
        <v>1736</v>
      </c>
      <c r="C4823" s="178" t="s">
        <v>458</v>
      </c>
      <c r="D4823" s="575" t="s">
        <v>6735</v>
      </c>
      <c r="E4823" s="178" t="s">
        <v>266</v>
      </c>
      <c r="F4823" s="210" t="s">
        <v>12066</v>
      </c>
      <c r="G4823" s="58" t="s">
        <v>12064</v>
      </c>
      <c r="H4823" s="546">
        <v>34317.03</v>
      </c>
      <c r="I4823" s="66" t="s">
        <v>96</v>
      </c>
      <c r="J4823" s="411" t="s">
        <v>12062</v>
      </c>
      <c r="K4823" s="58"/>
      <c r="L4823" s="99"/>
      <c r="M4823" s="70" t="s">
        <v>9196</v>
      </c>
      <c r="N4823" s="97" t="s">
        <v>432</v>
      </c>
      <c r="O4823" s="58"/>
      <c r="P4823" s="58" t="s">
        <v>53</v>
      </c>
      <c r="Q4823" s="58" t="s">
        <v>113</v>
      </c>
      <c r="R4823" s="58" t="s">
        <v>272</v>
      </c>
    </row>
    <row r="4824" spans="1:18" ht="69" customHeight="1">
      <c r="A4824" s="168"/>
      <c r="B4824" s="178">
        <v>1737</v>
      </c>
      <c r="C4824" s="178" t="s">
        <v>3906</v>
      </c>
      <c r="D4824" s="575" t="s">
        <v>12067</v>
      </c>
      <c r="E4824" s="178" t="s">
        <v>266</v>
      </c>
      <c r="F4824" s="210" t="s">
        <v>12068</v>
      </c>
      <c r="G4824" s="58" t="s">
        <v>12064</v>
      </c>
      <c r="H4824" s="546">
        <v>34317.03</v>
      </c>
      <c r="I4824" s="66" t="s">
        <v>96</v>
      </c>
      <c r="J4824" s="411" t="s">
        <v>12062</v>
      </c>
      <c r="K4824" s="58"/>
      <c r="L4824" s="99"/>
      <c r="M4824" s="70" t="s">
        <v>5800</v>
      </c>
      <c r="N4824" s="97" t="s">
        <v>432</v>
      </c>
      <c r="O4824" s="58"/>
      <c r="P4824" s="58" t="s">
        <v>53</v>
      </c>
      <c r="Q4824" s="58" t="s">
        <v>68</v>
      </c>
      <c r="R4824" s="58" t="s">
        <v>272</v>
      </c>
    </row>
    <row r="4825" spans="1:18" ht="69" customHeight="1">
      <c r="A4825" s="168"/>
      <c r="B4825" s="178">
        <v>1738</v>
      </c>
      <c r="C4825" s="178" t="s">
        <v>3906</v>
      </c>
      <c r="D4825" s="575" t="s">
        <v>12069</v>
      </c>
      <c r="E4825" s="178" t="s">
        <v>266</v>
      </c>
      <c r="F4825" s="210" t="s">
        <v>12070</v>
      </c>
      <c r="G4825" s="58" t="s">
        <v>12064</v>
      </c>
      <c r="H4825" s="546">
        <v>34317.03</v>
      </c>
      <c r="I4825" s="66" t="s">
        <v>96</v>
      </c>
      <c r="J4825" s="411" t="s">
        <v>12062</v>
      </c>
      <c r="K4825" s="58"/>
      <c r="L4825" s="99"/>
      <c r="M4825" s="70" t="s">
        <v>5933</v>
      </c>
      <c r="N4825" s="97" t="s">
        <v>432</v>
      </c>
      <c r="O4825" s="58" t="s">
        <v>12071</v>
      </c>
      <c r="P4825" s="58" t="s">
        <v>53</v>
      </c>
      <c r="Q4825" s="58" t="s">
        <v>70</v>
      </c>
      <c r="R4825" s="58" t="s">
        <v>272</v>
      </c>
    </row>
    <row r="4826" spans="1:18" ht="69" customHeight="1">
      <c r="A4826" s="168"/>
      <c r="B4826" s="178">
        <v>1739</v>
      </c>
      <c r="C4826" s="178" t="s">
        <v>5658</v>
      </c>
      <c r="D4826" s="575" t="s">
        <v>12072</v>
      </c>
      <c r="E4826" s="178" t="s">
        <v>266</v>
      </c>
      <c r="F4826" s="210" t="s">
        <v>12073</v>
      </c>
      <c r="G4826" s="58" t="s">
        <v>12064</v>
      </c>
      <c r="H4826" s="546">
        <v>34317.03</v>
      </c>
      <c r="I4826" s="66" t="s">
        <v>96</v>
      </c>
      <c r="J4826" s="411" t="s">
        <v>12062</v>
      </c>
      <c r="K4826" s="58"/>
      <c r="L4826" s="99"/>
      <c r="M4826" s="70" t="s">
        <v>12074</v>
      </c>
      <c r="N4826" s="97" t="s">
        <v>432</v>
      </c>
      <c r="O4826" s="58" t="s">
        <v>2091</v>
      </c>
      <c r="P4826" s="58" t="s">
        <v>53</v>
      </c>
      <c r="Q4826" s="58" t="s">
        <v>86</v>
      </c>
      <c r="R4826" s="58" t="s">
        <v>272</v>
      </c>
    </row>
    <row r="4827" spans="1:18" ht="69" customHeight="1">
      <c r="A4827" s="168"/>
      <c r="B4827" s="178">
        <v>1740</v>
      </c>
      <c r="C4827" s="178" t="s">
        <v>5558</v>
      </c>
      <c r="D4827" s="575" t="s">
        <v>12075</v>
      </c>
      <c r="E4827" s="178" t="s">
        <v>3235</v>
      </c>
      <c r="F4827" s="210" t="s">
        <v>12076</v>
      </c>
      <c r="G4827" s="58" t="s">
        <v>12077</v>
      </c>
      <c r="H4827" s="546">
        <v>124000</v>
      </c>
      <c r="I4827" s="66">
        <v>45125</v>
      </c>
      <c r="J4827" s="411" t="s">
        <v>12078</v>
      </c>
      <c r="K4827" s="58"/>
      <c r="L4827" s="99"/>
      <c r="M4827" s="70" t="s">
        <v>5636</v>
      </c>
      <c r="N4827" s="97" t="s">
        <v>356</v>
      </c>
      <c r="O4827" s="58" t="s">
        <v>156</v>
      </c>
      <c r="P4827" s="58" t="s">
        <v>19</v>
      </c>
      <c r="Q4827" s="58" t="s">
        <v>64</v>
      </c>
      <c r="R4827" s="58" t="s">
        <v>265</v>
      </c>
    </row>
    <row r="4828" spans="1:18" ht="69" customHeight="1">
      <c r="A4828" s="168"/>
      <c r="B4828" s="178">
        <v>1741</v>
      </c>
      <c r="C4828" s="178" t="s">
        <v>5558</v>
      </c>
      <c r="D4828" s="575" t="s">
        <v>12079</v>
      </c>
      <c r="E4828" s="178" t="s">
        <v>3235</v>
      </c>
      <c r="F4828" s="210" t="s">
        <v>12080</v>
      </c>
      <c r="G4828" s="58" t="s">
        <v>12077</v>
      </c>
      <c r="H4828" s="546">
        <v>41500</v>
      </c>
      <c r="I4828" s="66">
        <v>45122</v>
      </c>
      <c r="J4828" s="411" t="s">
        <v>12078</v>
      </c>
      <c r="K4828" s="58"/>
      <c r="L4828" s="99"/>
      <c r="M4828" s="70" t="s">
        <v>5636</v>
      </c>
      <c r="N4828" s="97" t="s">
        <v>356</v>
      </c>
      <c r="O4828" s="58" t="s">
        <v>156</v>
      </c>
      <c r="P4828" s="58" t="s">
        <v>19</v>
      </c>
      <c r="Q4828" s="58" t="s">
        <v>64</v>
      </c>
      <c r="R4828" s="58" t="s">
        <v>265</v>
      </c>
    </row>
    <row r="4829" spans="1:18" ht="69" customHeight="1">
      <c r="A4829" s="168"/>
      <c r="B4829" s="207">
        <v>1742</v>
      </c>
      <c r="C4829" s="207" t="s">
        <v>12081</v>
      </c>
      <c r="D4829" s="301" t="s">
        <v>12082</v>
      </c>
      <c r="E4829" s="207" t="s">
        <v>266</v>
      </c>
      <c r="F4829" s="208" t="s">
        <v>12083</v>
      </c>
      <c r="G4829" s="160" t="s">
        <v>12084</v>
      </c>
      <c r="H4829" s="300">
        <v>169000</v>
      </c>
      <c r="I4829" s="209">
        <v>45122</v>
      </c>
      <c r="J4829" s="322" t="s">
        <v>12085</v>
      </c>
      <c r="K4829" s="160" t="s">
        <v>11084</v>
      </c>
      <c r="L4829" s="99"/>
      <c r="M4829" s="379"/>
      <c r="N4829" s="76" t="s">
        <v>270</v>
      </c>
      <c r="O4829" s="160" t="s">
        <v>9509</v>
      </c>
      <c r="P4829" s="160" t="s">
        <v>67</v>
      </c>
      <c r="Q4829" s="160" t="s">
        <v>96</v>
      </c>
      <c r="R4829" s="160" t="s">
        <v>272</v>
      </c>
    </row>
    <row r="4830" spans="1:18" ht="69" customHeight="1">
      <c r="A4830" s="168"/>
      <c r="B4830" s="207">
        <v>1743</v>
      </c>
      <c r="C4830" s="207" t="s">
        <v>12081</v>
      </c>
      <c r="D4830" s="301" t="s">
        <v>12086</v>
      </c>
      <c r="E4830" s="207" t="s">
        <v>266</v>
      </c>
      <c r="F4830" s="208" t="s">
        <v>12087</v>
      </c>
      <c r="G4830" s="160" t="s">
        <v>12088</v>
      </c>
      <c r="H4830" s="300">
        <v>52500</v>
      </c>
      <c r="I4830" s="209">
        <v>45122</v>
      </c>
      <c r="J4830" s="322" t="s">
        <v>12085</v>
      </c>
      <c r="K4830" s="160" t="s">
        <v>11084</v>
      </c>
      <c r="L4830" s="99"/>
      <c r="M4830" s="379"/>
      <c r="N4830" s="76" t="s">
        <v>270</v>
      </c>
      <c r="O4830" s="160" t="s">
        <v>9509</v>
      </c>
      <c r="P4830" s="160" t="s">
        <v>67</v>
      </c>
      <c r="Q4830" s="160" t="s">
        <v>96</v>
      </c>
      <c r="R4830" s="160" t="s">
        <v>272</v>
      </c>
    </row>
    <row r="4831" spans="1:18" ht="69" customHeight="1">
      <c r="A4831" s="168"/>
      <c r="B4831" s="207">
        <v>1744</v>
      </c>
      <c r="C4831" s="207" t="s">
        <v>458</v>
      </c>
      <c r="D4831" s="301" t="s">
        <v>4515</v>
      </c>
      <c r="E4831" s="207" t="s">
        <v>266</v>
      </c>
      <c r="F4831" s="208" t="s">
        <v>12089</v>
      </c>
      <c r="G4831" s="160" t="s">
        <v>12090</v>
      </c>
      <c r="H4831" s="300">
        <v>25295.05</v>
      </c>
      <c r="I4831" s="209">
        <v>45127</v>
      </c>
      <c r="J4831" s="322" t="s">
        <v>12091</v>
      </c>
      <c r="K4831" s="160" t="s">
        <v>4128</v>
      </c>
      <c r="M4831" s="379"/>
      <c r="N4831" s="76" t="s">
        <v>387</v>
      </c>
      <c r="O4831" s="160"/>
      <c r="P4831" s="160" t="s">
        <v>67</v>
      </c>
      <c r="Q4831" s="160" t="s">
        <v>101</v>
      </c>
      <c r="R4831" s="160" t="s">
        <v>272</v>
      </c>
    </row>
    <row r="4832" spans="1:18" ht="69" customHeight="1">
      <c r="A4832" s="168"/>
      <c r="B4832" s="207">
        <v>1775</v>
      </c>
      <c r="C4832" s="207" t="s">
        <v>458</v>
      </c>
      <c r="D4832" s="301" t="s">
        <v>4680</v>
      </c>
      <c r="E4832" s="207" t="s">
        <v>266</v>
      </c>
      <c r="F4832" s="208" t="s">
        <v>12092</v>
      </c>
      <c r="G4832" s="160" t="s">
        <v>12090</v>
      </c>
      <c r="H4832" s="300">
        <v>18299.52</v>
      </c>
      <c r="I4832" s="209">
        <v>45127</v>
      </c>
      <c r="J4832" s="322" t="s">
        <v>12091</v>
      </c>
      <c r="K4832" s="160" t="s">
        <v>4128</v>
      </c>
      <c r="M4832" s="379"/>
      <c r="N4832" s="76" t="s">
        <v>387</v>
      </c>
      <c r="O4832" s="160"/>
      <c r="P4832" s="160" t="s">
        <v>67</v>
      </c>
      <c r="Q4832" s="160" t="s">
        <v>101</v>
      </c>
      <c r="R4832" s="160" t="s">
        <v>272</v>
      </c>
    </row>
    <row r="4833" spans="1:18" ht="69" customHeight="1">
      <c r="A4833" s="168"/>
      <c r="B4833" s="207">
        <v>1806</v>
      </c>
      <c r="C4833" s="207" t="s">
        <v>657</v>
      </c>
      <c r="D4833" s="301" t="s">
        <v>6321</v>
      </c>
      <c r="E4833" s="207" t="s">
        <v>266</v>
      </c>
      <c r="F4833" s="208" t="s">
        <v>12093</v>
      </c>
      <c r="G4833" s="160" t="s">
        <v>12090</v>
      </c>
      <c r="H4833" s="300">
        <v>25295.05</v>
      </c>
      <c r="I4833" s="209">
        <v>45127</v>
      </c>
      <c r="J4833" s="322" t="s">
        <v>12091</v>
      </c>
      <c r="K4833" s="160" t="s">
        <v>4128</v>
      </c>
      <c r="M4833" s="379"/>
      <c r="N4833" s="76" t="s">
        <v>387</v>
      </c>
      <c r="O4833" s="160"/>
      <c r="P4833" s="160" t="s">
        <v>67</v>
      </c>
      <c r="Q4833" s="160" t="s">
        <v>102</v>
      </c>
      <c r="R4833" s="160" t="s">
        <v>272</v>
      </c>
    </row>
    <row r="4834" spans="1:18" ht="69" customHeight="1">
      <c r="A4834" s="168"/>
      <c r="B4834" s="207">
        <v>1837</v>
      </c>
      <c r="C4834" s="207" t="s">
        <v>657</v>
      </c>
      <c r="D4834" s="301" t="s">
        <v>8418</v>
      </c>
      <c r="E4834" s="207" t="s">
        <v>266</v>
      </c>
      <c r="F4834" s="208" t="s">
        <v>12094</v>
      </c>
      <c r="G4834" s="160" t="s">
        <v>12090</v>
      </c>
      <c r="H4834" s="300">
        <v>18299.52</v>
      </c>
      <c r="I4834" s="209">
        <v>45127</v>
      </c>
      <c r="J4834" s="322" t="s">
        <v>12091</v>
      </c>
      <c r="K4834" s="160" t="s">
        <v>4128</v>
      </c>
      <c r="M4834" s="379"/>
      <c r="N4834" s="76" t="s">
        <v>387</v>
      </c>
      <c r="O4834" s="160"/>
      <c r="P4834" s="160" t="s">
        <v>67</v>
      </c>
      <c r="Q4834" s="160" t="s">
        <v>102</v>
      </c>
      <c r="R4834" s="160" t="s">
        <v>272</v>
      </c>
    </row>
    <row r="4835" spans="1:18" ht="69" customHeight="1">
      <c r="A4835" s="168"/>
      <c r="B4835" s="207">
        <v>1868</v>
      </c>
      <c r="C4835" s="207" t="s">
        <v>458</v>
      </c>
      <c r="D4835" s="301" t="s">
        <v>4801</v>
      </c>
      <c r="E4835" s="207" t="s">
        <v>266</v>
      </c>
      <c r="F4835" s="208" t="s">
        <v>12095</v>
      </c>
      <c r="G4835" s="160" t="s">
        <v>12090</v>
      </c>
      <c r="H4835" s="300">
        <v>11403.76</v>
      </c>
      <c r="I4835" s="209">
        <v>45127</v>
      </c>
      <c r="J4835" s="322" t="s">
        <v>12091</v>
      </c>
      <c r="K4835" s="160" t="s">
        <v>4128</v>
      </c>
      <c r="M4835" s="379"/>
      <c r="N4835" s="76" t="s">
        <v>387</v>
      </c>
      <c r="O4835" s="160"/>
      <c r="P4835" s="160" t="s">
        <v>67</v>
      </c>
      <c r="Q4835" s="160" t="s">
        <v>108</v>
      </c>
      <c r="R4835" s="160" t="s">
        <v>272</v>
      </c>
    </row>
    <row r="4836" spans="1:18" ht="69" customHeight="1">
      <c r="A4836" s="168"/>
      <c r="B4836" s="207">
        <v>1899</v>
      </c>
      <c r="C4836" s="207" t="s">
        <v>458</v>
      </c>
      <c r="D4836" s="301" t="s">
        <v>10755</v>
      </c>
      <c r="E4836" s="207" t="s">
        <v>266</v>
      </c>
      <c r="F4836" s="208" t="s">
        <v>12096</v>
      </c>
      <c r="G4836" s="160" t="s">
        <v>12090</v>
      </c>
      <c r="H4836" s="300">
        <v>12679.32</v>
      </c>
      <c r="I4836" s="209">
        <v>45127</v>
      </c>
      <c r="J4836" s="322" t="s">
        <v>12091</v>
      </c>
      <c r="K4836" s="160" t="s">
        <v>4128</v>
      </c>
      <c r="M4836" s="379"/>
      <c r="N4836" s="76" t="s">
        <v>387</v>
      </c>
      <c r="O4836" s="160"/>
      <c r="P4836" s="160" t="s">
        <v>67</v>
      </c>
      <c r="Q4836" s="160" t="s">
        <v>108</v>
      </c>
      <c r="R4836" s="160" t="s">
        <v>272</v>
      </c>
    </row>
    <row r="4837" spans="1:18" ht="69" customHeight="1">
      <c r="A4837" s="168"/>
      <c r="B4837" s="207">
        <v>1930</v>
      </c>
      <c r="C4837" s="207" t="s">
        <v>657</v>
      </c>
      <c r="D4837" s="301" t="s">
        <v>12097</v>
      </c>
      <c r="E4837" s="207" t="s">
        <v>266</v>
      </c>
      <c r="F4837" s="208" t="s">
        <v>12098</v>
      </c>
      <c r="G4837" s="160" t="s">
        <v>12090</v>
      </c>
      <c r="H4837" s="300">
        <v>11403.76</v>
      </c>
      <c r="I4837" s="209">
        <v>45127</v>
      </c>
      <c r="J4837" s="322" t="s">
        <v>12091</v>
      </c>
      <c r="K4837" s="160" t="s">
        <v>4128</v>
      </c>
      <c r="M4837" s="379"/>
      <c r="N4837" s="76" t="s">
        <v>387</v>
      </c>
      <c r="O4837" s="160"/>
      <c r="P4837" s="160" t="s">
        <v>67</v>
      </c>
      <c r="Q4837" s="160" t="s">
        <v>109</v>
      </c>
      <c r="R4837" s="160" t="s">
        <v>272</v>
      </c>
    </row>
    <row r="4838" spans="1:18" ht="69" customHeight="1">
      <c r="A4838" s="168"/>
      <c r="B4838" s="207">
        <v>1961</v>
      </c>
      <c r="C4838" s="207" t="s">
        <v>657</v>
      </c>
      <c r="D4838" s="301" t="s">
        <v>9223</v>
      </c>
      <c r="E4838" s="207" t="s">
        <v>266</v>
      </c>
      <c r="F4838" s="208" t="s">
        <v>12099</v>
      </c>
      <c r="G4838" s="160" t="s">
        <v>12090</v>
      </c>
      <c r="H4838" s="300">
        <v>12679.32</v>
      </c>
      <c r="I4838" s="209">
        <v>45127</v>
      </c>
      <c r="J4838" s="322" t="s">
        <v>12091</v>
      </c>
      <c r="K4838" s="160" t="s">
        <v>4128</v>
      </c>
      <c r="M4838" s="379"/>
      <c r="N4838" s="76" t="s">
        <v>387</v>
      </c>
      <c r="O4838" s="160"/>
      <c r="P4838" s="160" t="s">
        <v>67</v>
      </c>
      <c r="Q4838" s="160" t="s">
        <v>109</v>
      </c>
      <c r="R4838" s="160" t="s">
        <v>272</v>
      </c>
    </row>
    <row r="4839" spans="1:18" ht="69" customHeight="1">
      <c r="A4839" s="168"/>
      <c r="B4839" s="191">
        <v>1962</v>
      </c>
      <c r="C4839" s="191" t="s">
        <v>309</v>
      </c>
      <c r="D4839" s="533" t="s">
        <v>5119</v>
      </c>
      <c r="E4839" s="191" t="s">
        <v>266</v>
      </c>
      <c r="F4839" s="211" t="s">
        <v>12100</v>
      </c>
      <c r="G4839" s="46" t="s">
        <v>12101</v>
      </c>
      <c r="H4839" s="534">
        <v>2600</v>
      </c>
      <c r="I4839" s="56">
        <v>45122</v>
      </c>
      <c r="J4839" s="412" t="s">
        <v>12102</v>
      </c>
      <c r="K4839" s="46" t="s">
        <v>5103</v>
      </c>
      <c r="L4839" s="99"/>
      <c r="M4839" s="379"/>
      <c r="N4839" s="76" t="s">
        <v>270</v>
      </c>
      <c r="O4839" s="46"/>
      <c r="P4839" s="46" t="s">
        <v>65</v>
      </c>
      <c r="Q4839" s="46" t="s">
        <v>29</v>
      </c>
      <c r="R4839" s="46" t="s">
        <v>272</v>
      </c>
    </row>
    <row r="4840" spans="1:18" ht="69" customHeight="1">
      <c r="A4840" s="168"/>
      <c r="B4840" s="191">
        <v>1963</v>
      </c>
      <c r="C4840" s="191" t="s">
        <v>10856</v>
      </c>
      <c r="D4840" s="533" t="s">
        <v>3983</v>
      </c>
      <c r="E4840" s="191" t="s">
        <v>7985</v>
      </c>
      <c r="F4840" s="211" t="s">
        <v>12103</v>
      </c>
      <c r="G4840" s="46" t="s">
        <v>12104</v>
      </c>
      <c r="H4840" s="534">
        <v>211481.22</v>
      </c>
      <c r="I4840" s="56">
        <v>45122</v>
      </c>
      <c r="J4840" s="412" t="s">
        <v>12105</v>
      </c>
      <c r="K4840" s="46" t="s">
        <v>5103</v>
      </c>
      <c r="L4840" s="99"/>
      <c r="M4840" s="379"/>
      <c r="N4840" s="76" t="s">
        <v>414</v>
      </c>
      <c r="O4840" s="46" t="s">
        <v>12106</v>
      </c>
      <c r="P4840" s="46" t="s">
        <v>22</v>
      </c>
      <c r="Q4840" s="46" t="s">
        <v>39</v>
      </c>
      <c r="R4840" s="46" t="s">
        <v>272</v>
      </c>
    </row>
    <row r="4841" spans="1:18" ht="69" customHeight="1">
      <c r="A4841" s="168"/>
      <c r="B4841" s="191">
        <v>1964</v>
      </c>
      <c r="C4841" s="191" t="s">
        <v>11042</v>
      </c>
      <c r="D4841" s="533" t="s">
        <v>3987</v>
      </c>
      <c r="E4841" s="191" t="s">
        <v>7985</v>
      </c>
      <c r="F4841" s="211" t="s">
        <v>12107</v>
      </c>
      <c r="G4841" s="46" t="s">
        <v>12104</v>
      </c>
      <c r="H4841" s="534">
        <v>228519.1</v>
      </c>
      <c r="I4841" s="56">
        <v>45122</v>
      </c>
      <c r="J4841" s="412" t="s">
        <v>12105</v>
      </c>
      <c r="K4841" s="46" t="s">
        <v>5103</v>
      </c>
      <c r="L4841" s="99"/>
      <c r="M4841" s="379"/>
      <c r="N4841" s="76" t="s">
        <v>414</v>
      </c>
      <c r="O4841" s="46" t="s">
        <v>12106</v>
      </c>
      <c r="P4841" s="46" t="s">
        <v>22</v>
      </c>
      <c r="Q4841" s="46" t="s">
        <v>41</v>
      </c>
      <c r="R4841" s="46" t="s">
        <v>272</v>
      </c>
    </row>
    <row r="4842" spans="1:18" ht="69" customHeight="1">
      <c r="A4842" s="168"/>
      <c r="B4842" s="178">
        <v>1965</v>
      </c>
      <c r="C4842" s="178" t="s">
        <v>5558</v>
      </c>
      <c r="D4842" s="575" t="s">
        <v>12108</v>
      </c>
      <c r="E4842" s="178" t="s">
        <v>3235</v>
      </c>
      <c r="F4842" s="210" t="s">
        <v>12109</v>
      </c>
      <c r="G4842" s="58" t="s">
        <v>12077</v>
      </c>
      <c r="H4842" s="546">
        <v>276901.37</v>
      </c>
      <c r="I4842" s="66">
        <v>45125</v>
      </c>
      <c r="J4842" s="411" t="s">
        <v>12110</v>
      </c>
      <c r="K4842" s="58"/>
      <c r="L4842" s="99"/>
      <c r="M4842" s="70" t="s">
        <v>5636</v>
      </c>
      <c r="N4842" s="97" t="s">
        <v>356</v>
      </c>
      <c r="O4842" s="58" t="s">
        <v>156</v>
      </c>
      <c r="P4842" s="58" t="s">
        <v>19</v>
      </c>
      <c r="Q4842" s="58" t="s">
        <v>64</v>
      </c>
      <c r="R4842" s="58" t="s">
        <v>265</v>
      </c>
    </row>
    <row r="4843" spans="1:18" s="98" customFormat="1" ht="69" customHeight="1">
      <c r="A4843" s="169"/>
      <c r="B4843" s="191">
        <v>1966</v>
      </c>
      <c r="C4843" s="191" t="s">
        <v>309</v>
      </c>
      <c r="D4843" s="533" t="s">
        <v>11927</v>
      </c>
      <c r="E4843" s="191" t="s">
        <v>585</v>
      </c>
      <c r="F4843" s="211" t="s">
        <v>12111</v>
      </c>
      <c r="G4843" s="46" t="s">
        <v>12112</v>
      </c>
      <c r="H4843" s="534">
        <v>13750</v>
      </c>
      <c r="I4843" s="56">
        <v>45122</v>
      </c>
      <c r="J4843" s="412" t="s">
        <v>12113</v>
      </c>
      <c r="K4843" s="46" t="s">
        <v>5103</v>
      </c>
      <c r="M4843" s="385"/>
      <c r="N4843" s="75" t="s">
        <v>414</v>
      </c>
      <c r="O4843" s="46"/>
      <c r="P4843" s="46" t="s">
        <v>65</v>
      </c>
      <c r="Q4843" s="46" t="s">
        <v>29</v>
      </c>
      <c r="R4843" s="46" t="s">
        <v>272</v>
      </c>
    </row>
    <row r="4844" spans="1:18" ht="69" customHeight="1">
      <c r="A4844" s="168"/>
      <c r="B4844" s="191">
        <v>1967</v>
      </c>
      <c r="C4844" s="191" t="s">
        <v>309</v>
      </c>
      <c r="D4844" s="533" t="s">
        <v>3994</v>
      </c>
      <c r="E4844" s="191" t="s">
        <v>585</v>
      </c>
      <c r="F4844" s="211" t="s">
        <v>12114</v>
      </c>
      <c r="G4844" s="46" t="s">
        <v>12115</v>
      </c>
      <c r="H4844" s="534">
        <v>36947.160000000003</v>
      </c>
      <c r="I4844" s="56">
        <v>45102</v>
      </c>
      <c r="J4844" s="412" t="s">
        <v>12116</v>
      </c>
      <c r="K4844" s="46" t="s">
        <v>5103</v>
      </c>
      <c r="L4844" s="99"/>
      <c r="M4844" s="379"/>
      <c r="N4844" s="76" t="s">
        <v>414</v>
      </c>
      <c r="O4844" s="46"/>
      <c r="P4844" s="46" t="s">
        <v>71</v>
      </c>
      <c r="Q4844" s="46" t="s">
        <v>29</v>
      </c>
      <c r="R4844" s="46" t="s">
        <v>272</v>
      </c>
    </row>
    <row r="4845" spans="1:18" ht="69" customHeight="1">
      <c r="A4845" s="168"/>
      <c r="B4845" s="191">
        <v>1968</v>
      </c>
      <c r="C4845" s="191" t="s">
        <v>309</v>
      </c>
      <c r="D4845" s="533" t="s">
        <v>11934</v>
      </c>
      <c r="E4845" s="191" t="s">
        <v>585</v>
      </c>
      <c r="F4845" s="211" t="s">
        <v>12117</v>
      </c>
      <c r="G4845" s="46" t="s">
        <v>12115</v>
      </c>
      <c r="H4845" s="534">
        <v>36947.160000000003</v>
      </c>
      <c r="I4845" s="56">
        <v>45102</v>
      </c>
      <c r="J4845" s="412" t="s">
        <v>12116</v>
      </c>
      <c r="K4845" s="46" t="s">
        <v>5103</v>
      </c>
      <c r="L4845" s="99"/>
      <c r="M4845" s="379"/>
      <c r="N4845" s="76" t="s">
        <v>414</v>
      </c>
      <c r="O4845" s="46"/>
      <c r="P4845" s="46" t="s">
        <v>71</v>
      </c>
      <c r="Q4845" s="46" t="s">
        <v>45</v>
      </c>
      <c r="R4845" s="46" t="s">
        <v>272</v>
      </c>
    </row>
    <row r="4846" spans="1:18" ht="69" customHeight="1">
      <c r="A4846" s="168"/>
      <c r="B4846" s="191">
        <v>1969</v>
      </c>
      <c r="C4846" s="191" t="s">
        <v>309</v>
      </c>
      <c r="D4846" s="533" t="s">
        <v>3980</v>
      </c>
      <c r="E4846" s="191" t="s">
        <v>585</v>
      </c>
      <c r="F4846" s="211" t="s">
        <v>12118</v>
      </c>
      <c r="G4846" s="46" t="s">
        <v>12115</v>
      </c>
      <c r="H4846" s="534">
        <v>37142.04</v>
      </c>
      <c r="I4846" s="56">
        <v>45102</v>
      </c>
      <c r="J4846" s="412" t="s">
        <v>12116</v>
      </c>
      <c r="K4846" s="46" t="s">
        <v>5103</v>
      </c>
      <c r="L4846" s="99"/>
      <c r="M4846" s="379"/>
      <c r="N4846" s="76" t="s">
        <v>414</v>
      </c>
      <c r="O4846" s="46"/>
      <c r="P4846" s="46" t="s">
        <v>71</v>
      </c>
      <c r="Q4846" s="46" t="s">
        <v>31</v>
      </c>
      <c r="R4846" s="46" t="s">
        <v>272</v>
      </c>
    </row>
    <row r="4847" spans="1:18" ht="69" customHeight="1">
      <c r="A4847" s="168"/>
      <c r="B4847" s="191">
        <v>1970</v>
      </c>
      <c r="C4847" s="191" t="s">
        <v>309</v>
      </c>
      <c r="D4847" s="533" t="s">
        <v>5450</v>
      </c>
      <c r="E4847" s="191" t="s">
        <v>585</v>
      </c>
      <c r="F4847" s="211" t="s">
        <v>12119</v>
      </c>
      <c r="G4847" s="46" t="s">
        <v>12115</v>
      </c>
      <c r="H4847" s="534">
        <v>37142.04</v>
      </c>
      <c r="I4847" s="56">
        <v>45102</v>
      </c>
      <c r="J4847" s="412" t="s">
        <v>12116</v>
      </c>
      <c r="K4847" s="46" t="s">
        <v>5103</v>
      </c>
      <c r="L4847" s="99"/>
      <c r="M4847" s="379"/>
      <c r="N4847" s="76" t="s">
        <v>414</v>
      </c>
      <c r="O4847" s="46"/>
      <c r="P4847" s="46" t="s">
        <v>71</v>
      </c>
      <c r="Q4847" s="46" t="s">
        <v>33</v>
      </c>
      <c r="R4847" s="46" t="s">
        <v>272</v>
      </c>
    </row>
    <row r="4848" spans="1:18" ht="69" customHeight="1">
      <c r="A4848" s="168"/>
      <c r="B4848" s="191">
        <v>1971</v>
      </c>
      <c r="C4848" s="191" t="s">
        <v>309</v>
      </c>
      <c r="D4848" s="533" t="s">
        <v>4795</v>
      </c>
      <c r="E4848" s="191" t="s">
        <v>585</v>
      </c>
      <c r="F4848" s="211" t="s">
        <v>12120</v>
      </c>
      <c r="G4848" s="46" t="s">
        <v>12115</v>
      </c>
      <c r="H4848" s="534">
        <v>37142.04</v>
      </c>
      <c r="I4848" s="56">
        <v>45102</v>
      </c>
      <c r="J4848" s="412" t="s">
        <v>12116</v>
      </c>
      <c r="K4848" s="46" t="s">
        <v>5103</v>
      </c>
      <c r="L4848" s="99"/>
      <c r="M4848" s="379"/>
      <c r="N4848" s="76" t="s">
        <v>414</v>
      </c>
      <c r="O4848" s="46"/>
      <c r="P4848" s="46" t="s">
        <v>71</v>
      </c>
      <c r="Q4848" s="46" t="s">
        <v>35</v>
      </c>
      <c r="R4848" s="46" t="s">
        <v>272</v>
      </c>
    </row>
    <row r="4849" spans="1:18" ht="69" customHeight="1">
      <c r="A4849" s="168"/>
      <c r="B4849" s="191">
        <v>1972</v>
      </c>
      <c r="C4849" s="191" t="s">
        <v>309</v>
      </c>
      <c r="D4849" s="533" t="s">
        <v>4000</v>
      </c>
      <c r="E4849" s="191" t="s">
        <v>585</v>
      </c>
      <c r="F4849" s="211" t="s">
        <v>12121</v>
      </c>
      <c r="G4849" s="46" t="s">
        <v>12115</v>
      </c>
      <c r="H4849" s="534">
        <v>37142.04</v>
      </c>
      <c r="I4849" s="56">
        <v>45102</v>
      </c>
      <c r="J4849" s="412" t="s">
        <v>12116</v>
      </c>
      <c r="K4849" s="46" t="s">
        <v>5103</v>
      </c>
      <c r="L4849" s="99"/>
      <c r="M4849" s="379"/>
      <c r="N4849" s="76" t="s">
        <v>414</v>
      </c>
      <c r="O4849" s="46"/>
      <c r="P4849" s="46" t="s">
        <v>71</v>
      </c>
      <c r="Q4849" s="46" t="s">
        <v>39</v>
      </c>
      <c r="R4849" s="46" t="s">
        <v>272</v>
      </c>
    </row>
    <row r="4850" spans="1:18" ht="69" customHeight="1">
      <c r="A4850" s="168"/>
      <c r="B4850" s="191">
        <v>1973</v>
      </c>
      <c r="C4850" s="191" t="s">
        <v>309</v>
      </c>
      <c r="D4850" s="533" t="s">
        <v>3990</v>
      </c>
      <c r="E4850" s="191" t="s">
        <v>585</v>
      </c>
      <c r="F4850" s="211" t="s">
        <v>12122</v>
      </c>
      <c r="G4850" s="46" t="s">
        <v>12115</v>
      </c>
      <c r="H4850" s="534">
        <v>37142.04</v>
      </c>
      <c r="I4850" s="56">
        <v>45102</v>
      </c>
      <c r="J4850" s="412" t="s">
        <v>12116</v>
      </c>
      <c r="K4850" s="46" t="s">
        <v>5103</v>
      </c>
      <c r="L4850" s="99"/>
      <c r="M4850" s="379"/>
      <c r="N4850" s="76" t="s">
        <v>414</v>
      </c>
      <c r="O4850" s="46"/>
      <c r="P4850" s="46" t="s">
        <v>71</v>
      </c>
      <c r="Q4850" s="46" t="s">
        <v>37</v>
      </c>
      <c r="R4850" s="46" t="s">
        <v>272</v>
      </c>
    </row>
    <row r="4851" spans="1:18" ht="69" customHeight="1">
      <c r="A4851" s="168"/>
      <c r="B4851" s="191">
        <v>1974</v>
      </c>
      <c r="C4851" s="191" t="s">
        <v>309</v>
      </c>
      <c r="D4851" s="533" t="s">
        <v>3996</v>
      </c>
      <c r="E4851" s="191" t="s">
        <v>585</v>
      </c>
      <c r="F4851" s="211" t="s">
        <v>12123</v>
      </c>
      <c r="G4851" s="46" t="s">
        <v>12115</v>
      </c>
      <c r="H4851" s="534">
        <v>37142.04</v>
      </c>
      <c r="I4851" s="56">
        <v>45102</v>
      </c>
      <c r="J4851" s="412" t="s">
        <v>12116</v>
      </c>
      <c r="K4851" s="46" t="s">
        <v>1170</v>
      </c>
      <c r="L4851" s="99"/>
      <c r="M4851" s="379"/>
      <c r="N4851" s="76" t="s">
        <v>414</v>
      </c>
      <c r="O4851" s="46" t="s">
        <v>1171</v>
      </c>
      <c r="P4851" s="46" t="s">
        <v>71</v>
      </c>
      <c r="Q4851" s="46" t="s">
        <v>23</v>
      </c>
      <c r="R4851" s="46" t="s">
        <v>272</v>
      </c>
    </row>
    <row r="4852" spans="1:18" ht="69" customHeight="1">
      <c r="A4852" s="168"/>
      <c r="B4852" s="191">
        <v>1975</v>
      </c>
      <c r="C4852" s="191" t="s">
        <v>309</v>
      </c>
      <c r="D4852" s="533" t="s">
        <v>5452</v>
      </c>
      <c r="E4852" s="191" t="s">
        <v>585</v>
      </c>
      <c r="F4852" s="211" t="s">
        <v>12124</v>
      </c>
      <c r="G4852" s="46" t="s">
        <v>12115</v>
      </c>
      <c r="H4852" s="534">
        <v>37142.04</v>
      </c>
      <c r="I4852" s="56">
        <v>45102</v>
      </c>
      <c r="J4852" s="412" t="s">
        <v>12116</v>
      </c>
      <c r="K4852" s="46" t="s">
        <v>5103</v>
      </c>
      <c r="L4852" s="99"/>
      <c r="M4852" s="379"/>
      <c r="N4852" s="76" t="s">
        <v>414</v>
      </c>
      <c r="O4852" s="46"/>
      <c r="P4852" s="46" t="s">
        <v>71</v>
      </c>
      <c r="Q4852" s="46" t="s">
        <v>41</v>
      </c>
      <c r="R4852" s="46" t="s">
        <v>272</v>
      </c>
    </row>
    <row r="4853" spans="1:18" ht="69" customHeight="1">
      <c r="A4853" s="168"/>
      <c r="B4853" s="191">
        <v>1976</v>
      </c>
      <c r="C4853" s="191" t="s">
        <v>309</v>
      </c>
      <c r="D4853" s="533" t="s">
        <v>6165</v>
      </c>
      <c r="E4853" s="191" t="s">
        <v>585</v>
      </c>
      <c r="F4853" s="211" t="s">
        <v>12125</v>
      </c>
      <c r="G4853" s="46" t="s">
        <v>12115</v>
      </c>
      <c r="H4853" s="534">
        <v>36947.160000000003</v>
      </c>
      <c r="I4853" s="56">
        <v>45102</v>
      </c>
      <c r="J4853" s="412" t="s">
        <v>12116</v>
      </c>
      <c r="K4853" s="46" t="s">
        <v>5103</v>
      </c>
      <c r="L4853" s="99"/>
      <c r="M4853" s="379"/>
      <c r="N4853" s="76" t="s">
        <v>414</v>
      </c>
      <c r="O4853" s="46"/>
      <c r="P4853" s="46" t="s">
        <v>71</v>
      </c>
      <c r="Q4853" s="46" t="s">
        <v>29</v>
      </c>
      <c r="R4853" s="46" t="s">
        <v>272</v>
      </c>
    </row>
    <row r="4854" spans="1:18" ht="69" customHeight="1">
      <c r="A4854" s="168"/>
      <c r="B4854" s="191">
        <v>1977</v>
      </c>
      <c r="C4854" s="191" t="s">
        <v>309</v>
      </c>
      <c r="D4854" s="533" t="s">
        <v>12038</v>
      </c>
      <c r="E4854" s="191" t="s">
        <v>585</v>
      </c>
      <c r="F4854" s="211" t="s">
        <v>12126</v>
      </c>
      <c r="G4854" s="46" t="s">
        <v>12115</v>
      </c>
      <c r="H4854" s="534">
        <v>36947.160000000003</v>
      </c>
      <c r="I4854" s="56">
        <v>45102</v>
      </c>
      <c r="J4854" s="412" t="s">
        <v>12116</v>
      </c>
      <c r="K4854" s="46" t="s">
        <v>5103</v>
      </c>
      <c r="L4854" s="99"/>
      <c r="M4854" s="379"/>
      <c r="N4854" s="76" t="s">
        <v>414</v>
      </c>
      <c r="O4854" s="46"/>
      <c r="P4854" s="46" t="s">
        <v>71</v>
      </c>
      <c r="Q4854" s="46" t="s">
        <v>45</v>
      </c>
      <c r="R4854" s="46" t="s">
        <v>272</v>
      </c>
    </row>
    <row r="4855" spans="1:18" ht="69" customHeight="1">
      <c r="A4855" s="168"/>
      <c r="B4855" s="191">
        <v>1978</v>
      </c>
      <c r="C4855" s="191" t="s">
        <v>309</v>
      </c>
      <c r="D4855" s="533" t="s">
        <v>4003</v>
      </c>
      <c r="E4855" s="191" t="s">
        <v>585</v>
      </c>
      <c r="F4855" s="211" t="s">
        <v>12127</v>
      </c>
      <c r="G4855" s="46" t="s">
        <v>12115</v>
      </c>
      <c r="H4855" s="534">
        <v>809.06</v>
      </c>
      <c r="I4855" s="56">
        <v>45102</v>
      </c>
      <c r="J4855" s="412" t="s">
        <v>12128</v>
      </c>
      <c r="K4855" s="46" t="s">
        <v>5103</v>
      </c>
      <c r="L4855" s="99"/>
      <c r="M4855" s="379"/>
      <c r="N4855" s="76" t="s">
        <v>414</v>
      </c>
      <c r="O4855" s="46"/>
      <c r="P4855" s="46" t="s">
        <v>71</v>
      </c>
      <c r="Q4855" s="46" t="s">
        <v>31</v>
      </c>
      <c r="R4855" s="46" t="s">
        <v>272</v>
      </c>
    </row>
    <row r="4856" spans="1:18" ht="69" customHeight="1">
      <c r="A4856" s="168"/>
      <c r="B4856" s="191">
        <v>1979</v>
      </c>
      <c r="C4856" s="191" t="s">
        <v>309</v>
      </c>
      <c r="D4856" s="533" t="s">
        <v>6198</v>
      </c>
      <c r="E4856" s="191" t="s">
        <v>585</v>
      </c>
      <c r="F4856" s="211" t="s">
        <v>12129</v>
      </c>
      <c r="G4856" s="46" t="s">
        <v>12115</v>
      </c>
      <c r="H4856" s="534">
        <v>20936.72</v>
      </c>
      <c r="I4856" s="56">
        <v>45102</v>
      </c>
      <c r="J4856" s="412" t="s">
        <v>12128</v>
      </c>
      <c r="K4856" s="46" t="s">
        <v>5103</v>
      </c>
      <c r="L4856" s="99"/>
      <c r="M4856" s="379"/>
      <c r="N4856" s="76" t="s">
        <v>414</v>
      </c>
      <c r="O4856" s="46"/>
      <c r="P4856" s="46" t="s">
        <v>71</v>
      </c>
      <c r="Q4856" s="46" t="s">
        <v>33</v>
      </c>
      <c r="R4856" s="46" t="s">
        <v>272</v>
      </c>
    </row>
    <row r="4857" spans="1:18" ht="69" customHeight="1">
      <c r="A4857" s="168"/>
      <c r="B4857" s="191">
        <v>1980</v>
      </c>
      <c r="C4857" s="191" t="s">
        <v>309</v>
      </c>
      <c r="D4857" s="533" t="s">
        <v>4007</v>
      </c>
      <c r="E4857" s="191" t="s">
        <v>585</v>
      </c>
      <c r="F4857" s="211" t="s">
        <v>12130</v>
      </c>
      <c r="G4857" s="46" t="s">
        <v>12115</v>
      </c>
      <c r="H4857" s="534">
        <v>21047.14</v>
      </c>
      <c r="I4857" s="56">
        <v>45102</v>
      </c>
      <c r="J4857" s="412" t="s">
        <v>12128</v>
      </c>
      <c r="K4857" s="46" t="s">
        <v>5103</v>
      </c>
      <c r="L4857" s="99"/>
      <c r="M4857" s="379"/>
      <c r="N4857" s="76" t="s">
        <v>414</v>
      </c>
      <c r="O4857" s="46"/>
      <c r="P4857" s="46" t="s">
        <v>71</v>
      </c>
      <c r="Q4857" s="46" t="s">
        <v>35</v>
      </c>
      <c r="R4857" s="46" t="s">
        <v>272</v>
      </c>
    </row>
    <row r="4858" spans="1:18" ht="69" customHeight="1">
      <c r="A4858" s="168"/>
      <c r="B4858" s="191">
        <v>1981</v>
      </c>
      <c r="C4858" s="191" t="s">
        <v>309</v>
      </c>
      <c r="D4858" s="533" t="s">
        <v>6191</v>
      </c>
      <c r="E4858" s="191" t="s">
        <v>585</v>
      </c>
      <c r="F4858" s="211" t="s">
        <v>12131</v>
      </c>
      <c r="G4858" s="46" t="s">
        <v>12115</v>
      </c>
      <c r="H4858" s="534">
        <v>21047.14</v>
      </c>
      <c r="I4858" s="56">
        <v>45102</v>
      </c>
      <c r="J4858" s="412" t="s">
        <v>12128</v>
      </c>
      <c r="K4858" s="46" t="s">
        <v>5103</v>
      </c>
      <c r="L4858" s="99"/>
      <c r="M4858" s="379"/>
      <c r="N4858" s="76" t="s">
        <v>414</v>
      </c>
      <c r="O4858" s="46"/>
      <c r="P4858" s="46" t="s">
        <v>71</v>
      </c>
      <c r="Q4858" s="46" t="s">
        <v>37</v>
      </c>
      <c r="R4858" s="46" t="s">
        <v>272</v>
      </c>
    </row>
    <row r="4859" spans="1:18" ht="69" customHeight="1">
      <c r="A4859" s="168"/>
      <c r="B4859" s="191">
        <v>1982</v>
      </c>
      <c r="C4859" s="191" t="s">
        <v>309</v>
      </c>
      <c r="D4859" s="533" t="s">
        <v>6398</v>
      </c>
      <c r="E4859" s="191" t="s">
        <v>585</v>
      </c>
      <c r="F4859" s="211" t="s">
        <v>12132</v>
      </c>
      <c r="G4859" s="46" t="s">
        <v>12115</v>
      </c>
      <c r="H4859" s="534">
        <v>21047.14</v>
      </c>
      <c r="I4859" s="56">
        <v>45102</v>
      </c>
      <c r="J4859" s="412" t="s">
        <v>12128</v>
      </c>
      <c r="K4859" s="46" t="s">
        <v>5103</v>
      </c>
      <c r="L4859" s="99"/>
      <c r="M4859" s="379"/>
      <c r="N4859" s="76" t="s">
        <v>414</v>
      </c>
      <c r="O4859" s="46"/>
      <c r="P4859" s="46" t="s">
        <v>71</v>
      </c>
      <c r="Q4859" s="46" t="s">
        <v>29</v>
      </c>
      <c r="R4859" s="46" t="s">
        <v>272</v>
      </c>
    </row>
    <row r="4860" spans="1:18" ht="69" customHeight="1">
      <c r="A4860" s="168"/>
      <c r="B4860" s="191">
        <v>1983</v>
      </c>
      <c r="C4860" s="191" t="s">
        <v>309</v>
      </c>
      <c r="D4860" s="533" t="s">
        <v>6572</v>
      </c>
      <c r="E4860" s="191" t="s">
        <v>585</v>
      </c>
      <c r="F4860" s="211" t="s">
        <v>12133</v>
      </c>
      <c r="G4860" s="46" t="s">
        <v>12115</v>
      </c>
      <c r="H4860" s="534">
        <v>21047.14</v>
      </c>
      <c r="I4860" s="56">
        <v>45102</v>
      </c>
      <c r="J4860" s="412" t="s">
        <v>12128</v>
      </c>
      <c r="K4860" s="46" t="s">
        <v>5103</v>
      </c>
      <c r="L4860" s="99"/>
      <c r="M4860" s="379"/>
      <c r="N4860" s="76" t="s">
        <v>414</v>
      </c>
      <c r="O4860" s="46"/>
      <c r="P4860" s="46" t="s">
        <v>71</v>
      </c>
      <c r="Q4860" s="46" t="s">
        <v>39</v>
      </c>
      <c r="R4860" s="46" t="s">
        <v>272</v>
      </c>
    </row>
    <row r="4861" spans="1:18" ht="69" customHeight="1">
      <c r="A4861" s="168"/>
      <c r="B4861" s="191">
        <v>1984</v>
      </c>
      <c r="C4861" s="191" t="s">
        <v>309</v>
      </c>
      <c r="D4861" s="533" t="s">
        <v>6735</v>
      </c>
      <c r="E4861" s="191" t="s">
        <v>585</v>
      </c>
      <c r="F4861" s="211" t="s">
        <v>12134</v>
      </c>
      <c r="G4861" s="46" t="s">
        <v>12115</v>
      </c>
      <c r="H4861" s="534">
        <v>20936.72</v>
      </c>
      <c r="I4861" s="56">
        <v>45102</v>
      </c>
      <c r="J4861" s="412" t="s">
        <v>12128</v>
      </c>
      <c r="K4861" s="46" t="s">
        <v>5103</v>
      </c>
      <c r="L4861" s="99"/>
      <c r="M4861" s="379"/>
      <c r="N4861" s="76" t="s">
        <v>414</v>
      </c>
      <c r="O4861" s="46"/>
      <c r="P4861" s="46" t="s">
        <v>71</v>
      </c>
      <c r="Q4861" s="46" t="s">
        <v>45</v>
      </c>
      <c r="R4861" s="46" t="s">
        <v>272</v>
      </c>
    </row>
    <row r="4862" spans="1:18" ht="69" customHeight="1">
      <c r="A4862" s="168"/>
      <c r="B4862" s="191">
        <v>1985</v>
      </c>
      <c r="C4862" s="191" t="s">
        <v>309</v>
      </c>
      <c r="D4862" s="533" t="s">
        <v>4666</v>
      </c>
      <c r="E4862" s="191" t="s">
        <v>585</v>
      </c>
      <c r="F4862" s="211" t="s">
        <v>12135</v>
      </c>
      <c r="G4862" s="46" t="s">
        <v>12115</v>
      </c>
      <c r="H4862" s="534">
        <v>21047.14</v>
      </c>
      <c r="I4862" s="56">
        <v>45102</v>
      </c>
      <c r="J4862" s="412" t="s">
        <v>12128</v>
      </c>
      <c r="K4862" s="46" t="s">
        <v>5103</v>
      </c>
      <c r="L4862" s="99"/>
      <c r="M4862" s="379"/>
      <c r="N4862" s="76" t="s">
        <v>414</v>
      </c>
      <c r="O4862" s="46"/>
      <c r="P4862" s="46" t="s">
        <v>71</v>
      </c>
      <c r="Q4862" s="46" t="s">
        <v>31</v>
      </c>
      <c r="R4862" s="46" t="s">
        <v>272</v>
      </c>
    </row>
    <row r="4863" spans="1:18" ht="69" customHeight="1">
      <c r="A4863" s="168"/>
      <c r="B4863" s="191">
        <v>1986</v>
      </c>
      <c r="C4863" s="191" t="s">
        <v>309</v>
      </c>
      <c r="D4863" s="533" t="s">
        <v>4515</v>
      </c>
      <c r="E4863" s="191" t="s">
        <v>585</v>
      </c>
      <c r="F4863" s="211" t="s">
        <v>12136</v>
      </c>
      <c r="G4863" s="46" t="s">
        <v>12115</v>
      </c>
      <c r="H4863" s="534">
        <v>21047.14</v>
      </c>
      <c r="I4863" s="56">
        <v>45102</v>
      </c>
      <c r="J4863" s="412" t="s">
        <v>12128</v>
      </c>
      <c r="K4863" s="46" t="s">
        <v>1170</v>
      </c>
      <c r="L4863" s="99"/>
      <c r="M4863" s="379"/>
      <c r="N4863" s="76" t="s">
        <v>414</v>
      </c>
      <c r="O4863" s="46" t="s">
        <v>1171</v>
      </c>
      <c r="P4863" s="46" t="s">
        <v>71</v>
      </c>
      <c r="Q4863" s="46" t="s">
        <v>23</v>
      </c>
      <c r="R4863" s="46" t="s">
        <v>272</v>
      </c>
    </row>
    <row r="4864" spans="1:18" ht="69" customHeight="1">
      <c r="A4864" s="168"/>
      <c r="B4864" s="191">
        <v>1987</v>
      </c>
      <c r="C4864" s="191" t="s">
        <v>309</v>
      </c>
      <c r="D4864" s="533" t="s">
        <v>4680</v>
      </c>
      <c r="E4864" s="191" t="s">
        <v>585</v>
      </c>
      <c r="F4864" s="211" t="s">
        <v>12137</v>
      </c>
      <c r="G4864" s="46" t="s">
        <v>12115</v>
      </c>
      <c r="H4864" s="534">
        <v>21047.14</v>
      </c>
      <c r="I4864" s="56">
        <v>45102</v>
      </c>
      <c r="J4864" s="412" t="s">
        <v>12128</v>
      </c>
      <c r="K4864" s="46" t="s">
        <v>5103</v>
      </c>
      <c r="L4864" s="99"/>
      <c r="M4864" s="379"/>
      <c r="N4864" s="76" t="s">
        <v>414</v>
      </c>
      <c r="O4864" s="46"/>
      <c r="P4864" s="46" t="s">
        <v>71</v>
      </c>
      <c r="Q4864" s="46" t="s">
        <v>41</v>
      </c>
      <c r="R4864" s="46" t="s">
        <v>272</v>
      </c>
    </row>
    <row r="4865" spans="1:18" ht="69" customHeight="1">
      <c r="A4865" s="168"/>
      <c r="B4865" s="178">
        <v>6267</v>
      </c>
      <c r="C4865" s="178" t="s">
        <v>3906</v>
      </c>
      <c r="D4865" s="575" t="s">
        <v>8739</v>
      </c>
      <c r="E4865" s="178" t="s">
        <v>979</v>
      </c>
      <c r="F4865" s="210" t="s">
        <v>12138</v>
      </c>
      <c r="G4865" s="58" t="s">
        <v>352</v>
      </c>
      <c r="H4865" s="546">
        <v>129628.42</v>
      </c>
      <c r="I4865" s="66">
        <v>44806</v>
      </c>
      <c r="J4865" s="411" t="s">
        <v>3909</v>
      </c>
      <c r="K4865" s="58" t="s">
        <v>12139</v>
      </c>
      <c r="L4865" s="99"/>
      <c r="M4865" s="70" t="s">
        <v>5013</v>
      </c>
      <c r="N4865" s="97" t="s">
        <v>356</v>
      </c>
      <c r="O4865" s="58" t="s">
        <v>156</v>
      </c>
      <c r="P4865" s="58" t="s">
        <v>19</v>
      </c>
      <c r="Q4865" s="58" t="s">
        <v>68</v>
      </c>
      <c r="R4865" s="58" t="s">
        <v>265</v>
      </c>
    </row>
    <row r="4866" spans="1:18" ht="69" customHeight="1">
      <c r="A4866" s="168"/>
      <c r="B4866" s="178">
        <v>6462</v>
      </c>
      <c r="C4866" s="59" t="s">
        <v>3667</v>
      </c>
      <c r="D4866" s="575" t="s">
        <v>10100</v>
      </c>
      <c r="E4866" s="178" t="s">
        <v>979</v>
      </c>
      <c r="F4866" s="210" t="s">
        <v>12140</v>
      </c>
      <c r="G4866" s="58" t="s">
        <v>12141</v>
      </c>
      <c r="H4866" s="546">
        <v>295239.33</v>
      </c>
      <c r="I4866" s="66">
        <v>44804</v>
      </c>
      <c r="J4866" s="411" t="s">
        <v>12142</v>
      </c>
      <c r="K4866" s="58"/>
      <c r="L4866" s="99"/>
      <c r="M4866" s="70" t="s">
        <v>5013</v>
      </c>
      <c r="N4866" s="97" t="s">
        <v>356</v>
      </c>
      <c r="O4866" s="58" t="s">
        <v>156</v>
      </c>
      <c r="P4866" s="58" t="s">
        <v>19</v>
      </c>
      <c r="Q4866" s="58" t="s">
        <v>68</v>
      </c>
      <c r="R4866" s="58" t="s">
        <v>265</v>
      </c>
    </row>
    <row r="4867" spans="1:18" ht="69" customHeight="1">
      <c r="A4867" s="168"/>
      <c r="B4867" s="207">
        <v>1988</v>
      </c>
      <c r="C4867" s="207" t="s">
        <v>12143</v>
      </c>
      <c r="D4867" s="301" t="s">
        <v>1992</v>
      </c>
      <c r="E4867" s="207" t="s">
        <v>585</v>
      </c>
      <c r="F4867" s="208" t="s">
        <v>12144</v>
      </c>
      <c r="G4867" s="160" t="s">
        <v>12145</v>
      </c>
      <c r="H4867" s="300">
        <v>31011.61</v>
      </c>
      <c r="I4867" s="209">
        <v>45110</v>
      </c>
      <c r="J4867" s="322" t="s">
        <v>12146</v>
      </c>
      <c r="K4867" s="160" t="s">
        <v>67</v>
      </c>
      <c r="M4867" s="379"/>
      <c r="N4867" s="76"/>
      <c r="O4867" s="160"/>
      <c r="P4867" s="160" t="s">
        <v>67</v>
      </c>
      <c r="Q4867" s="160" t="s">
        <v>96</v>
      </c>
      <c r="R4867" s="160" t="s">
        <v>272</v>
      </c>
    </row>
    <row r="4868" spans="1:18" ht="69" customHeight="1">
      <c r="A4868" s="168"/>
      <c r="B4868" s="207">
        <v>1989</v>
      </c>
      <c r="C4868" s="207" t="s">
        <v>3340</v>
      </c>
      <c r="D4868" s="301" t="s">
        <v>2927</v>
      </c>
      <c r="E4868" s="207" t="s">
        <v>266</v>
      </c>
      <c r="F4868" s="208" t="s">
        <v>12147</v>
      </c>
      <c r="G4868" s="160" t="s">
        <v>11285</v>
      </c>
      <c r="H4868" s="300">
        <v>26970</v>
      </c>
      <c r="I4868" s="209">
        <v>45132</v>
      </c>
      <c r="J4868" s="322" t="s">
        <v>12148</v>
      </c>
      <c r="K4868" s="160" t="s">
        <v>67</v>
      </c>
      <c r="M4868" s="379"/>
      <c r="N4868" s="76"/>
      <c r="O4868" s="160"/>
      <c r="P4868" s="160" t="s">
        <v>67</v>
      </c>
      <c r="Q4868" s="160" t="s">
        <v>96</v>
      </c>
      <c r="R4868" s="160" t="s">
        <v>272</v>
      </c>
    </row>
    <row r="4869" spans="1:18" ht="69" customHeight="1">
      <c r="A4869" s="168"/>
      <c r="B4869" s="207">
        <v>1990</v>
      </c>
      <c r="C4869" s="207" t="s">
        <v>3340</v>
      </c>
      <c r="D4869" s="301" t="s">
        <v>4570</v>
      </c>
      <c r="E4869" s="207" t="s">
        <v>266</v>
      </c>
      <c r="F4869" s="208" t="s">
        <v>12149</v>
      </c>
      <c r="G4869" s="160" t="s">
        <v>11285</v>
      </c>
      <c r="H4869" s="300">
        <v>26970</v>
      </c>
      <c r="I4869" s="209">
        <v>45132</v>
      </c>
      <c r="J4869" s="322" t="s">
        <v>12148</v>
      </c>
      <c r="K4869" s="160" t="s">
        <v>67</v>
      </c>
      <c r="M4869" s="379"/>
      <c r="N4869" s="76"/>
      <c r="O4869" s="160"/>
      <c r="P4869" s="160" t="s">
        <v>67</v>
      </c>
      <c r="Q4869" s="160" t="s">
        <v>96</v>
      </c>
      <c r="R4869" s="160" t="s">
        <v>272</v>
      </c>
    </row>
    <row r="4870" spans="1:18" ht="69" customHeight="1">
      <c r="A4870" s="168"/>
      <c r="B4870" s="178">
        <v>1991</v>
      </c>
      <c r="C4870" s="59" t="s">
        <v>3667</v>
      </c>
      <c r="D4870" s="575" t="s">
        <v>12150</v>
      </c>
      <c r="E4870" s="178" t="s">
        <v>6192</v>
      </c>
      <c r="F4870" s="210" t="s">
        <v>12151</v>
      </c>
      <c r="G4870" s="58" t="s">
        <v>11094</v>
      </c>
      <c r="H4870" s="546">
        <v>414444.02</v>
      </c>
      <c r="I4870" s="66">
        <v>45122</v>
      </c>
      <c r="J4870" s="411" t="s">
        <v>12152</v>
      </c>
      <c r="K4870" s="58"/>
      <c r="L4870" s="99"/>
      <c r="M4870" s="70" t="s">
        <v>6737</v>
      </c>
      <c r="N4870" s="97" t="s">
        <v>6197</v>
      </c>
      <c r="O4870" s="58"/>
      <c r="P4870" s="58" t="s">
        <v>22</v>
      </c>
      <c r="Q4870" s="58" t="s">
        <v>78</v>
      </c>
      <c r="R4870" s="58" t="s">
        <v>272</v>
      </c>
    </row>
    <row r="4871" spans="1:18" ht="69" customHeight="1">
      <c r="A4871" s="168"/>
      <c r="B4871" s="178">
        <v>1992</v>
      </c>
      <c r="C4871" s="59" t="s">
        <v>3667</v>
      </c>
      <c r="D4871" s="575" t="s">
        <v>12153</v>
      </c>
      <c r="E4871" s="178" t="s">
        <v>6192</v>
      </c>
      <c r="F4871" s="210" t="s">
        <v>12154</v>
      </c>
      <c r="G4871" s="58" t="s">
        <v>7188</v>
      </c>
      <c r="H4871" s="546">
        <v>223162.16</v>
      </c>
      <c r="I4871" s="66">
        <v>45122</v>
      </c>
      <c r="J4871" s="411" t="s">
        <v>12152</v>
      </c>
      <c r="K4871" s="58"/>
      <c r="L4871" s="99"/>
      <c r="M4871" s="70" t="s">
        <v>6737</v>
      </c>
      <c r="N4871" s="97" t="s">
        <v>6197</v>
      </c>
      <c r="O4871" s="58"/>
      <c r="P4871" s="58" t="s">
        <v>22</v>
      </c>
      <c r="Q4871" s="58" t="s">
        <v>78</v>
      </c>
      <c r="R4871" s="58" t="s">
        <v>272</v>
      </c>
    </row>
    <row r="4872" spans="1:18" ht="69" customHeight="1">
      <c r="A4872" s="168"/>
      <c r="B4872" s="178">
        <v>1993</v>
      </c>
      <c r="C4872" s="59" t="s">
        <v>3667</v>
      </c>
      <c r="D4872" s="575" t="s">
        <v>12155</v>
      </c>
      <c r="E4872" s="178" t="s">
        <v>6192</v>
      </c>
      <c r="F4872" s="210" t="s">
        <v>12156</v>
      </c>
      <c r="G4872" s="58" t="s">
        <v>11315</v>
      </c>
      <c r="H4872" s="546">
        <v>60739.41</v>
      </c>
      <c r="I4872" s="66">
        <v>45122</v>
      </c>
      <c r="J4872" s="411" t="s">
        <v>12152</v>
      </c>
      <c r="K4872" s="58"/>
      <c r="L4872" s="99"/>
      <c r="M4872" s="70" t="s">
        <v>6196</v>
      </c>
      <c r="N4872" s="97" t="s">
        <v>6197</v>
      </c>
      <c r="O4872" s="58"/>
      <c r="P4872" s="58" t="s">
        <v>22</v>
      </c>
      <c r="Q4872" s="58" t="s">
        <v>72</v>
      </c>
      <c r="R4872" s="58" t="s">
        <v>272</v>
      </c>
    </row>
    <row r="4873" spans="1:18" ht="69" customHeight="1">
      <c r="A4873" s="168"/>
      <c r="B4873" s="178">
        <v>1994</v>
      </c>
      <c r="C4873" s="59" t="s">
        <v>3667</v>
      </c>
      <c r="D4873" s="575" t="s">
        <v>12157</v>
      </c>
      <c r="E4873" s="178" t="s">
        <v>6192</v>
      </c>
      <c r="F4873" s="210" t="s">
        <v>12158</v>
      </c>
      <c r="G4873" s="58" t="s">
        <v>7968</v>
      </c>
      <c r="H4873" s="546">
        <v>32705.84</v>
      </c>
      <c r="I4873" s="66">
        <v>45122</v>
      </c>
      <c r="J4873" s="411" t="s">
        <v>12152</v>
      </c>
      <c r="K4873" s="58"/>
      <c r="L4873" s="99"/>
      <c r="M4873" s="70" t="s">
        <v>6196</v>
      </c>
      <c r="N4873" s="97" t="s">
        <v>6197</v>
      </c>
      <c r="O4873" s="58"/>
      <c r="P4873" s="58" t="s">
        <v>22</v>
      </c>
      <c r="Q4873" s="58" t="s">
        <v>72</v>
      </c>
      <c r="R4873" s="58" t="s">
        <v>272</v>
      </c>
    </row>
    <row r="4874" spans="1:18" ht="69" customHeight="1">
      <c r="A4874" s="168"/>
      <c r="B4874" s="178">
        <v>1995</v>
      </c>
      <c r="C4874" s="59" t="s">
        <v>3667</v>
      </c>
      <c r="D4874" s="575" t="s">
        <v>12159</v>
      </c>
      <c r="E4874" s="178" t="s">
        <v>6192</v>
      </c>
      <c r="F4874" s="210" t="s">
        <v>12160</v>
      </c>
      <c r="G4874" s="58" t="s">
        <v>11527</v>
      </c>
      <c r="H4874" s="546">
        <v>77740.990000000005</v>
      </c>
      <c r="I4874" s="66">
        <v>45122</v>
      </c>
      <c r="J4874" s="411" t="s">
        <v>12152</v>
      </c>
      <c r="K4874" s="58"/>
      <c r="L4874" s="99"/>
      <c r="M4874" s="70" t="s">
        <v>6196</v>
      </c>
      <c r="N4874" s="97" t="s">
        <v>6197</v>
      </c>
      <c r="O4874" s="58"/>
      <c r="P4874" s="58" t="s">
        <v>22</v>
      </c>
      <c r="Q4874" s="58" t="s">
        <v>72</v>
      </c>
      <c r="R4874" s="58" t="s">
        <v>272</v>
      </c>
    </row>
    <row r="4875" spans="1:18" ht="69" customHeight="1">
      <c r="A4875" s="168"/>
      <c r="B4875" s="178">
        <v>1996</v>
      </c>
      <c r="C4875" s="59" t="s">
        <v>3667</v>
      </c>
      <c r="D4875" s="575" t="s">
        <v>12161</v>
      </c>
      <c r="E4875" s="178" t="s">
        <v>6192</v>
      </c>
      <c r="F4875" s="210" t="s">
        <v>12162</v>
      </c>
      <c r="G4875" s="58" t="s">
        <v>7984</v>
      </c>
      <c r="H4875" s="546">
        <v>41860.53</v>
      </c>
      <c r="I4875" s="66">
        <v>45122</v>
      </c>
      <c r="J4875" s="411" t="s">
        <v>12152</v>
      </c>
      <c r="K4875" s="58"/>
      <c r="L4875" s="99"/>
      <c r="M4875" s="70" t="s">
        <v>6196</v>
      </c>
      <c r="N4875" s="97" t="s">
        <v>6197</v>
      </c>
      <c r="O4875" s="58"/>
      <c r="P4875" s="58" t="s">
        <v>22</v>
      </c>
      <c r="Q4875" s="58" t="s">
        <v>72</v>
      </c>
      <c r="R4875" s="58" t="s">
        <v>272</v>
      </c>
    </row>
    <row r="4876" spans="1:18" ht="69" customHeight="1">
      <c r="A4876" s="168"/>
      <c r="B4876" s="178">
        <v>1997</v>
      </c>
      <c r="C4876" s="178" t="s">
        <v>458</v>
      </c>
      <c r="D4876" s="575" t="s">
        <v>4290</v>
      </c>
      <c r="E4876" s="178" t="s">
        <v>6192</v>
      </c>
      <c r="F4876" s="210" t="s">
        <v>12163</v>
      </c>
      <c r="G4876" s="58" t="s">
        <v>11231</v>
      </c>
      <c r="H4876" s="546">
        <v>275238.90999999997</v>
      </c>
      <c r="I4876" s="66">
        <v>45122</v>
      </c>
      <c r="J4876" s="411" t="s">
        <v>12152</v>
      </c>
      <c r="K4876" s="58"/>
      <c r="L4876" s="99"/>
      <c r="M4876" s="70" t="s">
        <v>7412</v>
      </c>
      <c r="N4876" s="97" t="s">
        <v>6197</v>
      </c>
      <c r="O4876" s="58"/>
      <c r="P4876" s="58" t="s">
        <v>22</v>
      </c>
      <c r="Q4876" s="58" t="s">
        <v>100</v>
      </c>
      <c r="R4876" s="58" t="s">
        <v>272</v>
      </c>
    </row>
    <row r="4877" spans="1:18" ht="69" customHeight="1">
      <c r="A4877" s="168"/>
      <c r="B4877" s="178">
        <v>1998</v>
      </c>
      <c r="C4877" s="178" t="s">
        <v>458</v>
      </c>
      <c r="D4877" s="575" t="s">
        <v>6884</v>
      </c>
      <c r="E4877" s="178" t="s">
        <v>6192</v>
      </c>
      <c r="F4877" s="210" t="s">
        <v>12164</v>
      </c>
      <c r="G4877" s="58" t="s">
        <v>11233</v>
      </c>
      <c r="H4877" s="546">
        <v>148205.57</v>
      </c>
      <c r="I4877" s="66">
        <v>45122</v>
      </c>
      <c r="J4877" s="411" t="s">
        <v>12152</v>
      </c>
      <c r="K4877" s="58"/>
      <c r="L4877" s="99"/>
      <c r="M4877" s="70" t="s">
        <v>7412</v>
      </c>
      <c r="N4877" s="97" t="s">
        <v>6197</v>
      </c>
      <c r="O4877" s="58"/>
      <c r="P4877" s="58" t="s">
        <v>22</v>
      </c>
      <c r="Q4877" s="58" t="s">
        <v>100</v>
      </c>
      <c r="R4877" s="58" t="s">
        <v>272</v>
      </c>
    </row>
    <row r="4878" spans="1:18" ht="69" customHeight="1">
      <c r="A4878" s="168"/>
      <c r="B4878" s="178">
        <v>2000</v>
      </c>
      <c r="C4878" s="178" t="s">
        <v>458</v>
      </c>
      <c r="D4878" s="575" t="s">
        <v>6960</v>
      </c>
      <c r="E4878" s="178" t="s">
        <v>6192</v>
      </c>
      <c r="F4878" s="210" t="s">
        <v>12165</v>
      </c>
      <c r="G4878" s="58" t="s">
        <v>11521</v>
      </c>
      <c r="H4878" s="546">
        <v>33312.879999999997</v>
      </c>
      <c r="I4878" s="66">
        <v>45122</v>
      </c>
      <c r="J4878" s="411" t="s">
        <v>12166</v>
      </c>
      <c r="K4878" s="58"/>
      <c r="L4878" s="99"/>
      <c r="M4878" s="70" t="s">
        <v>10271</v>
      </c>
      <c r="N4878" s="97" t="s">
        <v>414</v>
      </c>
      <c r="O4878" s="58"/>
      <c r="P4878" s="58" t="s">
        <v>22</v>
      </c>
      <c r="Q4878" s="58" t="s">
        <v>121</v>
      </c>
      <c r="R4878" s="58" t="s">
        <v>272</v>
      </c>
    </row>
    <row r="4879" spans="1:18" ht="69" customHeight="1">
      <c r="A4879" s="168"/>
      <c r="B4879" s="178">
        <v>2001</v>
      </c>
      <c r="C4879" s="178" t="s">
        <v>458</v>
      </c>
      <c r="D4879" s="575" t="s">
        <v>7000</v>
      </c>
      <c r="E4879" s="178" t="s">
        <v>6192</v>
      </c>
      <c r="F4879" s="210" t="s">
        <v>12167</v>
      </c>
      <c r="G4879" s="58" t="s">
        <v>7225</v>
      </c>
      <c r="H4879" s="546">
        <v>17937.71</v>
      </c>
      <c r="I4879" s="66">
        <v>45122</v>
      </c>
      <c r="J4879" s="411" t="s">
        <v>12166</v>
      </c>
      <c r="K4879" s="58"/>
      <c r="L4879" s="99"/>
      <c r="M4879" s="70" t="s">
        <v>10271</v>
      </c>
      <c r="N4879" s="97" t="s">
        <v>414</v>
      </c>
      <c r="O4879" s="58"/>
      <c r="P4879" s="58" t="s">
        <v>22</v>
      </c>
      <c r="Q4879" s="58" t="s">
        <v>121</v>
      </c>
      <c r="R4879" s="58" t="s">
        <v>272</v>
      </c>
    </row>
    <row r="4880" spans="1:18" ht="69" customHeight="1">
      <c r="A4880" s="168"/>
      <c r="B4880" s="178">
        <v>2002</v>
      </c>
      <c r="C4880" s="178" t="s">
        <v>657</v>
      </c>
      <c r="D4880" s="575" t="s">
        <v>2359</v>
      </c>
      <c r="E4880" s="178" t="s">
        <v>6192</v>
      </c>
      <c r="F4880" s="210" t="s">
        <v>12168</v>
      </c>
      <c r="G4880" s="58" t="s">
        <v>11309</v>
      </c>
      <c r="H4880" s="546">
        <v>51192.9</v>
      </c>
      <c r="I4880" s="66">
        <v>45122</v>
      </c>
      <c r="J4880" s="411" t="s">
        <v>12166</v>
      </c>
      <c r="K4880" s="58"/>
      <c r="L4880" s="99"/>
      <c r="M4880" s="70" t="s">
        <v>10031</v>
      </c>
      <c r="N4880" s="97" t="s">
        <v>414</v>
      </c>
      <c r="O4880" s="58"/>
      <c r="P4880" s="58" t="s">
        <v>22</v>
      </c>
      <c r="Q4880" s="58" t="s">
        <v>120</v>
      </c>
      <c r="R4880" s="58" t="s">
        <v>272</v>
      </c>
    </row>
    <row r="4881" spans="1:18" ht="69" customHeight="1">
      <c r="A4881" s="168"/>
      <c r="B4881" s="178">
        <v>2003</v>
      </c>
      <c r="C4881" s="178" t="s">
        <v>657</v>
      </c>
      <c r="D4881" s="575" t="s">
        <v>2601</v>
      </c>
      <c r="E4881" s="178" t="s">
        <v>6192</v>
      </c>
      <c r="F4881" s="210" t="s">
        <v>12169</v>
      </c>
      <c r="G4881" s="58" t="s">
        <v>7199</v>
      </c>
      <c r="H4881" s="546">
        <v>27565.41</v>
      </c>
      <c r="I4881" s="66">
        <v>45122</v>
      </c>
      <c r="J4881" s="411" t="s">
        <v>12166</v>
      </c>
      <c r="K4881" s="58"/>
      <c r="L4881" s="99"/>
      <c r="M4881" s="70" t="s">
        <v>10031</v>
      </c>
      <c r="N4881" s="97" t="s">
        <v>414</v>
      </c>
      <c r="O4881" s="58"/>
      <c r="P4881" s="58" t="s">
        <v>22</v>
      </c>
      <c r="Q4881" s="58" t="s">
        <v>120</v>
      </c>
      <c r="R4881" s="58" t="s">
        <v>272</v>
      </c>
    </row>
    <row r="4882" spans="1:18" ht="69" customHeight="1">
      <c r="A4882" s="168"/>
      <c r="B4882" s="178">
        <v>2004</v>
      </c>
      <c r="C4882" s="178" t="s">
        <v>458</v>
      </c>
      <c r="D4882" s="575" t="s">
        <v>12170</v>
      </c>
      <c r="E4882" s="178" t="s">
        <v>6192</v>
      </c>
      <c r="F4882" s="210" t="s">
        <v>12171</v>
      </c>
      <c r="G4882" s="58" t="s">
        <v>11315</v>
      </c>
      <c r="H4882" s="546">
        <v>23090.92</v>
      </c>
      <c r="I4882" s="66">
        <v>45122</v>
      </c>
      <c r="J4882" s="411" t="s">
        <v>12166</v>
      </c>
      <c r="K4882" s="58"/>
      <c r="L4882" s="99"/>
      <c r="M4882" s="70" t="s">
        <v>9193</v>
      </c>
      <c r="N4882" s="97" t="s">
        <v>414</v>
      </c>
      <c r="O4882" s="58"/>
      <c r="P4882" s="58" t="s">
        <v>22</v>
      </c>
      <c r="Q4882" s="58" t="s">
        <v>113</v>
      </c>
      <c r="R4882" s="58" t="s">
        <v>272</v>
      </c>
    </row>
    <row r="4883" spans="1:18" ht="69" customHeight="1">
      <c r="A4883" s="168"/>
      <c r="B4883" s="178">
        <v>2005</v>
      </c>
      <c r="C4883" s="178" t="s">
        <v>458</v>
      </c>
      <c r="D4883" s="575" t="s">
        <v>4012</v>
      </c>
      <c r="E4883" s="178" t="s">
        <v>6192</v>
      </c>
      <c r="F4883" s="210" t="s">
        <v>12172</v>
      </c>
      <c r="G4883" s="58" t="s">
        <v>7968</v>
      </c>
      <c r="H4883" s="546">
        <v>12433.58</v>
      </c>
      <c r="I4883" s="66">
        <v>45122</v>
      </c>
      <c r="J4883" s="411" t="s">
        <v>12166</v>
      </c>
      <c r="K4883" s="58"/>
      <c r="L4883" s="99"/>
      <c r="M4883" s="70" t="s">
        <v>9193</v>
      </c>
      <c r="N4883" s="97" t="s">
        <v>414</v>
      </c>
      <c r="O4883" s="58"/>
      <c r="P4883" s="58" t="s">
        <v>22</v>
      </c>
      <c r="Q4883" s="58" t="s">
        <v>113</v>
      </c>
      <c r="R4883" s="58" t="s">
        <v>272</v>
      </c>
    </row>
    <row r="4884" spans="1:18" ht="69" customHeight="1">
      <c r="A4884" s="168"/>
      <c r="B4884" s="178">
        <v>2006</v>
      </c>
      <c r="C4884" s="178" t="s">
        <v>458</v>
      </c>
      <c r="D4884" s="575" t="s">
        <v>4016</v>
      </c>
      <c r="E4884" s="178" t="s">
        <v>6192</v>
      </c>
      <c r="F4884" s="210" t="s">
        <v>12173</v>
      </c>
      <c r="G4884" s="58" t="s">
        <v>11527</v>
      </c>
      <c r="H4884" s="546">
        <v>22942.45</v>
      </c>
      <c r="I4884" s="66">
        <v>45122</v>
      </c>
      <c r="J4884" s="411" t="s">
        <v>12166</v>
      </c>
      <c r="K4884" s="58" t="s">
        <v>12174</v>
      </c>
      <c r="L4884" s="99"/>
      <c r="M4884" s="70" t="s">
        <v>8308</v>
      </c>
      <c r="N4884" s="97" t="s">
        <v>414</v>
      </c>
      <c r="O4884" s="58"/>
      <c r="P4884" s="58" t="s">
        <v>22</v>
      </c>
      <c r="Q4884" s="58" t="s">
        <v>107</v>
      </c>
      <c r="R4884" s="58" t="s">
        <v>272</v>
      </c>
    </row>
    <row r="4885" spans="1:18" ht="69" customHeight="1">
      <c r="A4885" s="168"/>
      <c r="B4885" s="178">
        <v>2007</v>
      </c>
      <c r="C4885" s="178" t="s">
        <v>458</v>
      </c>
      <c r="D4885" s="575" t="s">
        <v>4323</v>
      </c>
      <c r="E4885" s="178" t="s">
        <v>6192</v>
      </c>
      <c r="F4885" s="210" t="s">
        <v>12175</v>
      </c>
      <c r="G4885" s="58" t="s">
        <v>7984</v>
      </c>
      <c r="H4885" s="546">
        <v>12353.62</v>
      </c>
      <c r="I4885" s="66">
        <v>45122</v>
      </c>
      <c r="J4885" s="411" t="s">
        <v>12166</v>
      </c>
      <c r="K4885" s="58" t="s">
        <v>12174</v>
      </c>
      <c r="L4885" s="99"/>
      <c r="M4885" s="70" t="s">
        <v>8308</v>
      </c>
      <c r="N4885" s="97" t="s">
        <v>414</v>
      </c>
      <c r="O4885" s="58"/>
      <c r="P4885" s="58" t="s">
        <v>22</v>
      </c>
      <c r="Q4885" s="58" t="s">
        <v>107</v>
      </c>
      <c r="R4885" s="58" t="s">
        <v>272</v>
      </c>
    </row>
    <row r="4886" spans="1:18" ht="69" customHeight="1">
      <c r="A4886" s="168"/>
      <c r="B4886" s="178">
        <v>2008</v>
      </c>
      <c r="C4886" s="178" t="s">
        <v>657</v>
      </c>
      <c r="D4886" s="575" t="s">
        <v>1875</v>
      </c>
      <c r="E4886" s="178" t="s">
        <v>6192</v>
      </c>
      <c r="F4886" s="210" t="s">
        <v>12176</v>
      </c>
      <c r="G4886" s="58" t="s">
        <v>11231</v>
      </c>
      <c r="H4886" s="546">
        <v>122673</v>
      </c>
      <c r="I4886" s="66">
        <v>45122</v>
      </c>
      <c r="J4886" s="411" t="s">
        <v>12166</v>
      </c>
      <c r="K4886" s="58"/>
      <c r="L4886" s="99"/>
      <c r="M4886" s="70" t="s">
        <v>7851</v>
      </c>
      <c r="N4886" s="97" t="s">
        <v>414</v>
      </c>
      <c r="O4886" s="58"/>
      <c r="P4886" s="58" t="s">
        <v>22</v>
      </c>
      <c r="Q4886" s="58" t="s">
        <v>104</v>
      </c>
      <c r="R4886" s="58" t="s">
        <v>272</v>
      </c>
    </row>
    <row r="4887" spans="1:18" ht="69" customHeight="1">
      <c r="A4887" s="168"/>
      <c r="B4887" s="178">
        <v>2009</v>
      </c>
      <c r="C4887" s="178" t="s">
        <v>657</v>
      </c>
      <c r="D4887" s="575" t="s">
        <v>5024</v>
      </c>
      <c r="E4887" s="178" t="s">
        <v>6192</v>
      </c>
      <c r="F4887" s="210" t="s">
        <v>12177</v>
      </c>
      <c r="G4887" s="58" t="s">
        <v>11233</v>
      </c>
      <c r="H4887" s="546">
        <v>66054.69</v>
      </c>
      <c r="I4887" s="66">
        <v>45122</v>
      </c>
      <c r="J4887" s="411" t="s">
        <v>12166</v>
      </c>
      <c r="K4887" s="58"/>
      <c r="L4887" s="99"/>
      <c r="M4887" s="70" t="s">
        <v>7851</v>
      </c>
      <c r="N4887" s="97" t="s">
        <v>414</v>
      </c>
      <c r="O4887" s="58"/>
      <c r="P4887" s="58" t="s">
        <v>22</v>
      </c>
      <c r="Q4887" s="58" t="s">
        <v>104</v>
      </c>
      <c r="R4887" s="58" t="s">
        <v>272</v>
      </c>
    </row>
    <row r="4888" spans="1:18" ht="69" customHeight="1">
      <c r="A4888" s="168"/>
      <c r="B4888" s="207">
        <v>2010</v>
      </c>
      <c r="C4888" s="207" t="s">
        <v>657</v>
      </c>
      <c r="D4888" s="301" t="s">
        <v>2603</v>
      </c>
      <c r="E4888" s="207" t="s">
        <v>12178</v>
      </c>
      <c r="F4888" s="208" t="s">
        <v>12179</v>
      </c>
      <c r="G4888" s="160" t="s">
        <v>12180</v>
      </c>
      <c r="H4888" s="300">
        <v>343.93</v>
      </c>
      <c r="I4888" s="209">
        <v>45133</v>
      </c>
      <c r="J4888" s="322" t="s">
        <v>12181</v>
      </c>
      <c r="K4888" s="160" t="s">
        <v>10804</v>
      </c>
      <c r="M4888" s="379"/>
      <c r="N4888" s="76"/>
      <c r="O4888" s="160"/>
      <c r="P4888" s="160" t="s">
        <v>67</v>
      </c>
      <c r="Q4888" s="160" t="s">
        <v>96</v>
      </c>
      <c r="R4888" s="160" t="s">
        <v>272</v>
      </c>
    </row>
    <row r="4889" spans="1:18" ht="69" customHeight="1">
      <c r="A4889" s="168"/>
      <c r="B4889" s="178">
        <v>2011</v>
      </c>
      <c r="C4889" s="59" t="s">
        <v>3667</v>
      </c>
      <c r="D4889" s="575" t="s">
        <v>12182</v>
      </c>
      <c r="E4889" s="178" t="s">
        <v>10563</v>
      </c>
      <c r="F4889" s="210" t="s">
        <v>12183</v>
      </c>
      <c r="G4889" s="58" t="s">
        <v>12184</v>
      </c>
      <c r="H4889" s="546">
        <v>148636.44</v>
      </c>
      <c r="I4889" s="66">
        <v>45122</v>
      </c>
      <c r="J4889" s="411" t="s">
        <v>12185</v>
      </c>
      <c r="K4889" s="58" t="s">
        <v>12186</v>
      </c>
      <c r="L4889" s="99"/>
      <c r="M4889" s="70" t="s">
        <v>12187</v>
      </c>
      <c r="N4889" s="97" t="s">
        <v>741</v>
      </c>
      <c r="O4889" s="58"/>
      <c r="P4889" s="58" t="s">
        <v>59</v>
      </c>
      <c r="Q4889" s="58" t="s">
        <v>78</v>
      </c>
      <c r="R4889" s="58" t="s">
        <v>272</v>
      </c>
    </row>
    <row r="4890" spans="1:18" ht="69" customHeight="1">
      <c r="A4890" s="168"/>
      <c r="B4890" s="207">
        <v>2012</v>
      </c>
      <c r="C4890" s="207" t="s">
        <v>3667</v>
      </c>
      <c r="D4890" s="301" t="s">
        <v>12188</v>
      </c>
      <c r="E4890" s="207" t="s">
        <v>266</v>
      </c>
      <c r="F4890" s="208" t="s">
        <v>12189</v>
      </c>
      <c r="G4890" s="160" t="s">
        <v>10808</v>
      </c>
      <c r="H4890" s="300">
        <v>9229.44</v>
      </c>
      <c r="I4890" s="209">
        <v>45132</v>
      </c>
      <c r="J4890" s="322" t="s">
        <v>12190</v>
      </c>
      <c r="K4890" s="160" t="s">
        <v>10804</v>
      </c>
      <c r="M4890" s="379"/>
      <c r="N4890" s="76"/>
      <c r="O4890" s="160"/>
      <c r="P4890" s="160" t="s">
        <v>67</v>
      </c>
      <c r="Q4890" s="160" t="s">
        <v>96</v>
      </c>
      <c r="R4890" s="160" t="s">
        <v>272</v>
      </c>
    </row>
    <row r="4891" spans="1:18" ht="69" customHeight="1">
      <c r="A4891" s="168"/>
      <c r="B4891" s="207">
        <v>2013</v>
      </c>
      <c r="C4891" s="207" t="s">
        <v>309</v>
      </c>
      <c r="D4891" s="301" t="s">
        <v>10789</v>
      </c>
      <c r="E4891" s="207" t="s">
        <v>266</v>
      </c>
      <c r="F4891" s="208" t="s">
        <v>12191</v>
      </c>
      <c r="G4891" s="160" t="s">
        <v>10808</v>
      </c>
      <c r="H4891" s="300">
        <v>7210.5</v>
      </c>
      <c r="I4891" s="209">
        <v>45132</v>
      </c>
      <c r="J4891" s="322" t="s">
        <v>12190</v>
      </c>
      <c r="K4891" s="160" t="s">
        <v>10804</v>
      </c>
      <c r="M4891" s="379"/>
      <c r="N4891" s="76"/>
      <c r="O4891" s="160"/>
      <c r="P4891" s="160" t="s">
        <v>67</v>
      </c>
      <c r="Q4891" s="160" t="s">
        <v>96</v>
      </c>
      <c r="R4891" s="160" t="s">
        <v>272</v>
      </c>
    </row>
    <row r="4892" spans="1:18" ht="69" customHeight="1">
      <c r="A4892" s="168"/>
      <c r="B4892" s="207">
        <v>2014</v>
      </c>
      <c r="C4892" s="207" t="s">
        <v>458</v>
      </c>
      <c r="D4892" s="301" t="s">
        <v>4329</v>
      </c>
      <c r="E4892" s="207" t="s">
        <v>266</v>
      </c>
      <c r="F4892" s="208" t="s">
        <v>12192</v>
      </c>
      <c r="G4892" s="160" t="s">
        <v>10808</v>
      </c>
      <c r="H4892" s="300">
        <v>7210.5</v>
      </c>
      <c r="I4892" s="209">
        <v>45132</v>
      </c>
      <c r="J4892" s="322" t="s">
        <v>12190</v>
      </c>
      <c r="K4892" s="160" t="s">
        <v>10804</v>
      </c>
      <c r="M4892" s="379"/>
      <c r="N4892" s="76"/>
      <c r="O4892" s="160"/>
      <c r="P4892" s="160" t="s">
        <v>67</v>
      </c>
      <c r="Q4892" s="160" t="s">
        <v>96</v>
      </c>
      <c r="R4892" s="160" t="s">
        <v>272</v>
      </c>
    </row>
    <row r="4893" spans="1:18" ht="69" customHeight="1">
      <c r="A4893" s="168"/>
      <c r="B4893" s="207">
        <v>2015</v>
      </c>
      <c r="C4893" s="207" t="s">
        <v>657</v>
      </c>
      <c r="D4893" s="301" t="s">
        <v>3515</v>
      </c>
      <c r="E4893" s="207" t="s">
        <v>266</v>
      </c>
      <c r="F4893" s="208" t="s">
        <v>12193</v>
      </c>
      <c r="G4893" s="160" t="s">
        <v>10808</v>
      </c>
      <c r="H4893" s="300">
        <v>5191.5600000000004</v>
      </c>
      <c r="I4893" s="209">
        <v>45132</v>
      </c>
      <c r="J4893" s="322" t="s">
        <v>12190</v>
      </c>
      <c r="K4893" s="160" t="s">
        <v>10804</v>
      </c>
      <c r="M4893" s="379"/>
      <c r="N4893" s="76"/>
      <c r="O4893" s="160"/>
      <c r="P4893" s="160" t="s">
        <v>67</v>
      </c>
      <c r="Q4893" s="160" t="s">
        <v>96</v>
      </c>
      <c r="R4893" s="160" t="s">
        <v>272</v>
      </c>
    </row>
    <row r="4894" spans="1:18" ht="69" customHeight="1">
      <c r="A4894" s="168"/>
      <c r="B4894" s="178">
        <v>2016</v>
      </c>
      <c r="C4894" s="59" t="s">
        <v>3667</v>
      </c>
      <c r="D4894" s="575" t="s">
        <v>12194</v>
      </c>
      <c r="E4894" s="178" t="s">
        <v>10563</v>
      </c>
      <c r="F4894" s="210" t="s">
        <v>12195</v>
      </c>
      <c r="G4894" s="58" t="s">
        <v>12196</v>
      </c>
      <c r="H4894" s="546">
        <v>377400</v>
      </c>
      <c r="I4894" s="66">
        <v>45132</v>
      </c>
      <c r="J4894" s="411" t="s">
        <v>12197</v>
      </c>
      <c r="K4894" s="58"/>
      <c r="L4894" s="99"/>
      <c r="M4894" s="70" t="s">
        <v>6432</v>
      </c>
      <c r="N4894" s="97" t="s">
        <v>1372</v>
      </c>
      <c r="O4894" s="45" t="s">
        <v>12198</v>
      </c>
      <c r="P4894" s="58" t="s">
        <v>57</v>
      </c>
      <c r="Q4894" s="58" t="s">
        <v>74</v>
      </c>
      <c r="R4894" s="58" t="s">
        <v>272</v>
      </c>
    </row>
    <row r="4895" spans="1:18" ht="69" customHeight="1">
      <c r="A4895" s="168"/>
      <c r="B4895" s="207">
        <v>2017</v>
      </c>
      <c r="C4895" s="207" t="s">
        <v>309</v>
      </c>
      <c r="D4895" s="301" t="s">
        <v>12199</v>
      </c>
      <c r="E4895" s="207" t="s">
        <v>305</v>
      </c>
      <c r="F4895" s="208" t="s">
        <v>12200</v>
      </c>
      <c r="G4895" s="160" t="s">
        <v>11485</v>
      </c>
      <c r="H4895" s="300">
        <v>14036.9</v>
      </c>
      <c r="I4895" s="209">
        <v>45127</v>
      </c>
      <c r="J4895" s="322" t="s">
        <v>12201</v>
      </c>
      <c r="K4895" s="160" t="s">
        <v>10804</v>
      </c>
      <c r="M4895" s="379"/>
      <c r="N4895" s="76"/>
      <c r="O4895" s="160"/>
      <c r="P4895" s="160" t="s">
        <v>67</v>
      </c>
      <c r="Q4895" s="160" t="s">
        <v>96</v>
      </c>
      <c r="R4895" s="160" t="s">
        <v>272</v>
      </c>
    </row>
    <row r="4896" spans="1:18" ht="69" customHeight="1">
      <c r="A4896" s="168"/>
      <c r="B4896" s="178">
        <v>2018</v>
      </c>
      <c r="C4896" s="178" t="s">
        <v>7189</v>
      </c>
      <c r="D4896" s="575" t="s">
        <v>2830</v>
      </c>
      <c r="E4896" s="178" t="s">
        <v>10563</v>
      </c>
      <c r="F4896" s="210" t="s">
        <v>12202</v>
      </c>
      <c r="G4896" s="58" t="s">
        <v>12203</v>
      </c>
      <c r="H4896" s="546">
        <v>213802.5</v>
      </c>
      <c r="I4896" s="66">
        <v>45121</v>
      </c>
      <c r="J4896" s="411" t="s">
        <v>12204</v>
      </c>
      <c r="K4896" s="58"/>
      <c r="L4896" s="99"/>
      <c r="M4896" s="70" t="s">
        <v>7193</v>
      </c>
      <c r="N4896" s="97" t="s">
        <v>741</v>
      </c>
      <c r="O4896" s="58"/>
      <c r="P4896" s="58" t="s">
        <v>59</v>
      </c>
      <c r="Q4896" s="58" t="s">
        <v>97</v>
      </c>
      <c r="R4896" s="58" t="s">
        <v>272</v>
      </c>
    </row>
    <row r="4897" spans="1:18" ht="69" customHeight="1">
      <c r="A4897" s="168"/>
      <c r="B4897" s="191">
        <v>2019</v>
      </c>
      <c r="C4897" s="52" t="s">
        <v>96</v>
      </c>
      <c r="D4897" s="533" t="s">
        <v>5467</v>
      </c>
      <c r="E4897" s="191" t="s">
        <v>12205</v>
      </c>
      <c r="F4897" s="211" t="s">
        <v>12206</v>
      </c>
      <c r="G4897" s="46" t="s">
        <v>12207</v>
      </c>
      <c r="H4897" s="534">
        <v>34834</v>
      </c>
      <c r="I4897" s="56">
        <v>45132</v>
      </c>
      <c r="J4897" s="412" t="s">
        <v>12208</v>
      </c>
      <c r="K4897" s="46" t="s">
        <v>167</v>
      </c>
      <c r="L4897" s="99"/>
      <c r="M4897" s="379"/>
      <c r="N4897" s="76" t="s">
        <v>264</v>
      </c>
      <c r="O4897" s="46" t="s">
        <v>141</v>
      </c>
      <c r="P4897" s="46" t="s">
        <v>65</v>
      </c>
      <c r="Q4897" s="46" t="s">
        <v>119</v>
      </c>
      <c r="R4897" s="46" t="s">
        <v>272</v>
      </c>
    </row>
    <row r="4898" spans="1:18" ht="69" customHeight="1">
      <c r="A4898" s="168"/>
      <c r="B4898" s="191">
        <v>2020</v>
      </c>
      <c r="C4898" s="191" t="s">
        <v>3667</v>
      </c>
      <c r="D4898" s="533" t="s">
        <v>12209</v>
      </c>
      <c r="E4898" s="191" t="s">
        <v>6226</v>
      </c>
      <c r="F4898" s="211" t="s">
        <v>12210</v>
      </c>
      <c r="G4898" s="46" t="s">
        <v>12211</v>
      </c>
      <c r="H4898" s="534">
        <v>16415</v>
      </c>
      <c r="I4898" s="56">
        <v>45132</v>
      </c>
      <c r="J4898" s="412" t="s">
        <v>12212</v>
      </c>
      <c r="K4898" s="46" t="s">
        <v>167</v>
      </c>
      <c r="L4898" s="99"/>
      <c r="M4898" s="379"/>
      <c r="N4898" s="76" t="s">
        <v>6197</v>
      </c>
      <c r="O4898" s="46"/>
      <c r="P4898" s="46" t="s">
        <v>65</v>
      </c>
      <c r="Q4898" s="46" t="s">
        <v>72</v>
      </c>
      <c r="R4898" s="46" t="s">
        <v>272</v>
      </c>
    </row>
    <row r="4899" spans="1:18" ht="69" customHeight="1">
      <c r="A4899" s="168"/>
      <c r="B4899" s="191">
        <v>2021</v>
      </c>
      <c r="C4899" s="191" t="s">
        <v>3667</v>
      </c>
      <c r="D4899" s="533" t="s">
        <v>12213</v>
      </c>
      <c r="E4899" s="191" t="s">
        <v>6226</v>
      </c>
      <c r="F4899" s="211" t="s">
        <v>12214</v>
      </c>
      <c r="G4899" s="46" t="s">
        <v>12211</v>
      </c>
      <c r="H4899" s="534">
        <v>16415</v>
      </c>
      <c r="I4899" s="56">
        <v>45132</v>
      </c>
      <c r="J4899" s="412" t="s">
        <v>12212</v>
      </c>
      <c r="K4899" s="46" t="s">
        <v>167</v>
      </c>
      <c r="L4899" s="99"/>
      <c r="M4899" s="379"/>
      <c r="N4899" s="76" t="s">
        <v>6197</v>
      </c>
      <c r="O4899" s="46"/>
      <c r="P4899" s="46" t="s">
        <v>65</v>
      </c>
      <c r="Q4899" s="46" t="s">
        <v>78</v>
      </c>
      <c r="R4899" s="46" t="s">
        <v>272</v>
      </c>
    </row>
    <row r="4900" spans="1:18" ht="69" customHeight="1">
      <c r="A4900" s="168"/>
      <c r="B4900" s="178">
        <v>2022</v>
      </c>
      <c r="C4900" s="59" t="s">
        <v>3667</v>
      </c>
      <c r="D4900" s="575" t="s">
        <v>12215</v>
      </c>
      <c r="E4900" s="178" t="s">
        <v>7890</v>
      </c>
      <c r="F4900" s="210" t="s">
        <v>12216</v>
      </c>
      <c r="G4900" s="58" t="s">
        <v>12217</v>
      </c>
      <c r="H4900" s="546">
        <v>40100</v>
      </c>
      <c r="I4900" s="66">
        <v>45132</v>
      </c>
      <c r="J4900" s="411" t="s">
        <v>12218</v>
      </c>
      <c r="K4900" s="58"/>
      <c r="L4900" s="99"/>
      <c r="M4900" s="70" t="s">
        <v>6674</v>
      </c>
      <c r="N4900" s="97" t="s">
        <v>414</v>
      </c>
      <c r="O4900" s="58"/>
      <c r="P4900" s="58" t="s">
        <v>22</v>
      </c>
      <c r="Q4900" s="58" t="s">
        <v>78</v>
      </c>
      <c r="R4900" s="58" t="s">
        <v>265</v>
      </c>
    </row>
    <row r="4901" spans="1:18" ht="69" customHeight="1">
      <c r="A4901" s="168"/>
      <c r="B4901" s="178">
        <v>2023</v>
      </c>
      <c r="C4901" s="59" t="s">
        <v>3667</v>
      </c>
      <c r="D4901" s="575" t="s">
        <v>12219</v>
      </c>
      <c r="E4901" s="178" t="s">
        <v>7890</v>
      </c>
      <c r="F4901" s="210" t="s">
        <v>12220</v>
      </c>
      <c r="G4901" s="58" t="s">
        <v>11833</v>
      </c>
      <c r="H4901" s="546">
        <v>31048</v>
      </c>
      <c r="I4901" s="66">
        <v>45132</v>
      </c>
      <c r="J4901" s="411" t="s">
        <v>12218</v>
      </c>
      <c r="K4901" s="58"/>
      <c r="L4901" s="99"/>
      <c r="M4901" s="70" t="s">
        <v>6674</v>
      </c>
      <c r="N4901" s="97" t="s">
        <v>414</v>
      </c>
      <c r="O4901" s="58"/>
      <c r="P4901" s="58" t="s">
        <v>22</v>
      </c>
      <c r="Q4901" s="58" t="s">
        <v>78</v>
      </c>
      <c r="R4901" s="58" t="s">
        <v>265</v>
      </c>
    </row>
    <row r="4902" spans="1:18" ht="69" customHeight="1">
      <c r="A4902" s="168"/>
      <c r="B4902" s="178">
        <v>2024</v>
      </c>
      <c r="C4902" s="178" t="s">
        <v>5558</v>
      </c>
      <c r="D4902" s="575" t="s">
        <v>12221</v>
      </c>
      <c r="E4902" s="178" t="s">
        <v>11241</v>
      </c>
      <c r="F4902" s="210" t="s">
        <v>12222</v>
      </c>
      <c r="G4902" s="58" t="s">
        <v>11259</v>
      </c>
      <c r="H4902" s="546">
        <v>44500</v>
      </c>
      <c r="I4902" s="66">
        <v>45122</v>
      </c>
      <c r="J4902" s="411" t="s">
        <v>12223</v>
      </c>
      <c r="K4902" s="58"/>
      <c r="L4902" s="99"/>
      <c r="M4902" s="70" t="s">
        <v>11256</v>
      </c>
      <c r="N4902" s="97" t="s">
        <v>741</v>
      </c>
      <c r="O4902" s="45" t="s">
        <v>175</v>
      </c>
      <c r="P4902" s="58" t="s">
        <v>59</v>
      </c>
      <c r="Q4902" s="58" t="s">
        <v>64</v>
      </c>
      <c r="R4902" s="58" t="s">
        <v>272</v>
      </c>
    </row>
    <row r="4903" spans="1:18" ht="69" customHeight="1">
      <c r="A4903" s="168"/>
      <c r="B4903" s="178">
        <v>2025</v>
      </c>
      <c r="C4903" s="178" t="s">
        <v>5558</v>
      </c>
      <c r="D4903" s="575" t="s">
        <v>12224</v>
      </c>
      <c r="E4903" s="178" t="s">
        <v>12225</v>
      </c>
      <c r="F4903" s="210" t="s">
        <v>12226</v>
      </c>
      <c r="G4903" s="58" t="s">
        <v>11259</v>
      </c>
      <c r="H4903" s="546">
        <v>22250</v>
      </c>
      <c r="I4903" s="66">
        <v>45122</v>
      </c>
      <c r="J4903" s="411" t="s">
        <v>12223</v>
      </c>
      <c r="K4903" s="58"/>
      <c r="L4903" s="99"/>
      <c r="M4903" s="70" t="s">
        <v>11256</v>
      </c>
      <c r="N4903" s="97" t="s">
        <v>741</v>
      </c>
      <c r="O4903" s="45" t="s">
        <v>175</v>
      </c>
      <c r="P4903" s="58" t="s">
        <v>59</v>
      </c>
      <c r="Q4903" s="58" t="s">
        <v>64</v>
      </c>
      <c r="R4903" s="58" t="s">
        <v>272</v>
      </c>
    </row>
    <row r="4904" spans="1:18" ht="69" customHeight="1">
      <c r="A4904" s="168"/>
      <c r="B4904" s="207">
        <v>2026</v>
      </c>
      <c r="C4904" s="207" t="s">
        <v>10961</v>
      </c>
      <c r="D4904" s="301" t="s">
        <v>12227</v>
      </c>
      <c r="E4904" s="207" t="s">
        <v>266</v>
      </c>
      <c r="F4904" s="208" t="s">
        <v>12228</v>
      </c>
      <c r="G4904" s="160" t="s">
        <v>11884</v>
      </c>
      <c r="H4904" s="300">
        <v>10060.959999999999</v>
      </c>
      <c r="I4904" s="209">
        <v>45132</v>
      </c>
      <c r="J4904" s="322" t="s">
        <v>12229</v>
      </c>
      <c r="K4904" s="160" t="s">
        <v>67</v>
      </c>
      <c r="M4904" s="379"/>
      <c r="N4904" s="76"/>
      <c r="O4904" s="160"/>
      <c r="P4904" s="160" t="s">
        <v>67</v>
      </c>
      <c r="Q4904" s="160" t="s">
        <v>96</v>
      </c>
      <c r="R4904" s="160" t="s">
        <v>272</v>
      </c>
    </row>
    <row r="4905" spans="1:18" ht="69" customHeight="1">
      <c r="A4905" s="168"/>
      <c r="B4905" s="191">
        <v>2027</v>
      </c>
      <c r="C4905" s="191" t="s">
        <v>657</v>
      </c>
      <c r="D4905" s="533" t="s">
        <v>2605</v>
      </c>
      <c r="E4905" s="191" t="s">
        <v>6226</v>
      </c>
      <c r="F4905" s="211" t="s">
        <v>12230</v>
      </c>
      <c r="G4905" s="46" t="s">
        <v>12231</v>
      </c>
      <c r="H4905" s="534">
        <v>16415</v>
      </c>
      <c r="I4905" s="56">
        <v>45132</v>
      </c>
      <c r="J4905" s="412" t="s">
        <v>12232</v>
      </c>
      <c r="K4905" s="46" t="s">
        <v>167</v>
      </c>
      <c r="L4905" s="99"/>
      <c r="M4905" s="379"/>
      <c r="N4905" s="76" t="s">
        <v>414</v>
      </c>
      <c r="O4905" s="46"/>
      <c r="P4905" s="46" t="s">
        <v>65</v>
      </c>
      <c r="Q4905" s="46" t="s">
        <v>97</v>
      </c>
      <c r="R4905" s="46" t="s">
        <v>272</v>
      </c>
    </row>
    <row r="4906" spans="1:18" ht="69" customHeight="1">
      <c r="A4906" s="168"/>
      <c r="B4906" s="191">
        <v>2028</v>
      </c>
      <c r="C4906" s="191" t="s">
        <v>458</v>
      </c>
      <c r="D4906" s="533" t="s">
        <v>5134</v>
      </c>
      <c r="E4906" s="191" t="s">
        <v>6226</v>
      </c>
      <c r="F4906" s="211" t="s">
        <v>12233</v>
      </c>
      <c r="G4906" s="46" t="s">
        <v>12231</v>
      </c>
      <c r="H4906" s="534">
        <v>16415</v>
      </c>
      <c r="I4906" s="56">
        <v>45132</v>
      </c>
      <c r="J4906" s="412" t="s">
        <v>12232</v>
      </c>
      <c r="K4906" s="46" t="s">
        <v>167</v>
      </c>
      <c r="L4906" s="99"/>
      <c r="M4906" s="379"/>
      <c r="N4906" s="76" t="s">
        <v>414</v>
      </c>
      <c r="O4906" s="46"/>
      <c r="P4906" s="46" t="s">
        <v>65</v>
      </c>
      <c r="Q4906" s="46" t="s">
        <v>113</v>
      </c>
      <c r="R4906" s="46" t="s">
        <v>272</v>
      </c>
    </row>
    <row r="4907" spans="1:18" ht="69" customHeight="1">
      <c r="A4907" s="168"/>
      <c r="B4907" s="178">
        <v>2029</v>
      </c>
      <c r="C4907" s="178" t="s">
        <v>309</v>
      </c>
      <c r="D4907" s="575" t="s">
        <v>10764</v>
      </c>
      <c r="E4907" s="178" t="s">
        <v>12234</v>
      </c>
      <c r="F4907" s="210" t="s">
        <v>12235</v>
      </c>
      <c r="G4907" s="58" t="s">
        <v>11833</v>
      </c>
      <c r="H4907" s="546">
        <v>21400.799999999999</v>
      </c>
      <c r="I4907" s="66">
        <v>45139</v>
      </c>
      <c r="J4907" s="411" t="s">
        <v>12236</v>
      </c>
      <c r="K4907" s="58"/>
      <c r="L4907" s="99"/>
      <c r="M4907" s="70" t="s">
        <v>3018</v>
      </c>
      <c r="N4907" s="97" t="s">
        <v>356</v>
      </c>
      <c r="O4907" s="58" t="s">
        <v>141</v>
      </c>
      <c r="P4907" s="58" t="s">
        <v>19</v>
      </c>
      <c r="Q4907" s="58" t="s">
        <v>39</v>
      </c>
      <c r="R4907" s="58" t="s">
        <v>265</v>
      </c>
    </row>
    <row r="4908" spans="1:18" ht="69" customHeight="1">
      <c r="A4908" s="168"/>
      <c r="B4908" s="178">
        <v>2030</v>
      </c>
      <c r="C4908" s="178" t="s">
        <v>6261</v>
      </c>
      <c r="D4908" s="575" t="s">
        <v>12237</v>
      </c>
      <c r="E4908" s="178" t="s">
        <v>266</v>
      </c>
      <c r="F4908" s="210" t="s">
        <v>12238</v>
      </c>
      <c r="G4908" s="58" t="s">
        <v>12239</v>
      </c>
      <c r="H4908" s="546">
        <v>14800</v>
      </c>
      <c r="I4908" s="66" t="s">
        <v>96</v>
      </c>
      <c r="J4908" s="411" t="s">
        <v>12240</v>
      </c>
      <c r="K4908" s="58"/>
      <c r="L4908" s="99"/>
      <c r="M4908" s="70" t="s">
        <v>6271</v>
      </c>
      <c r="N4908" s="97" t="s">
        <v>270</v>
      </c>
      <c r="O4908" s="58"/>
      <c r="P4908" s="58" t="s">
        <v>44</v>
      </c>
      <c r="Q4908" s="58" t="s">
        <v>74</v>
      </c>
      <c r="R4908" s="58" t="s">
        <v>272</v>
      </c>
    </row>
    <row r="4909" spans="1:18" ht="69" customHeight="1">
      <c r="A4909" s="168"/>
      <c r="B4909" s="178">
        <v>2031</v>
      </c>
      <c r="C4909" s="178" t="s">
        <v>6468</v>
      </c>
      <c r="D4909" s="575" t="s">
        <v>12241</v>
      </c>
      <c r="E4909" s="178" t="s">
        <v>266</v>
      </c>
      <c r="F4909" s="210" t="s">
        <v>12242</v>
      </c>
      <c r="G4909" s="58" t="s">
        <v>12239</v>
      </c>
      <c r="H4909" s="546">
        <v>14800</v>
      </c>
      <c r="I4909" s="66" t="s">
        <v>96</v>
      </c>
      <c r="J4909" s="411" t="s">
        <v>12240</v>
      </c>
      <c r="K4909" s="58"/>
      <c r="L4909" s="99"/>
      <c r="M4909" s="70" t="s">
        <v>6495</v>
      </c>
      <c r="N4909" s="97" t="s">
        <v>270</v>
      </c>
      <c r="O4909" s="58"/>
      <c r="P4909" s="58" t="s">
        <v>44</v>
      </c>
      <c r="Q4909" s="58" t="s">
        <v>76</v>
      </c>
      <c r="R4909" s="58" t="s">
        <v>272</v>
      </c>
    </row>
    <row r="4910" spans="1:18" ht="69" customHeight="1">
      <c r="A4910" s="168"/>
      <c r="B4910" s="178">
        <v>2032</v>
      </c>
      <c r="C4910" s="178" t="s">
        <v>8797</v>
      </c>
      <c r="D4910" s="575" t="s">
        <v>3093</v>
      </c>
      <c r="E4910" s="178" t="s">
        <v>266</v>
      </c>
      <c r="F4910" s="210" t="s">
        <v>12243</v>
      </c>
      <c r="G4910" s="58" t="s">
        <v>12244</v>
      </c>
      <c r="H4910" s="546">
        <v>3500</v>
      </c>
      <c r="I4910" s="66" t="s">
        <v>96</v>
      </c>
      <c r="J4910" s="411" t="s">
        <v>12240</v>
      </c>
      <c r="K4910" s="58"/>
      <c r="L4910" s="99"/>
      <c r="M4910" s="70" t="s">
        <v>8738</v>
      </c>
      <c r="N4910" s="97" t="s">
        <v>270</v>
      </c>
      <c r="O4910" s="58"/>
      <c r="P4910" s="58" t="s">
        <v>44</v>
      </c>
      <c r="Q4910" s="58" t="s">
        <v>110</v>
      </c>
      <c r="R4910" s="58" t="s">
        <v>272</v>
      </c>
    </row>
    <row r="4911" spans="1:18" ht="69" customHeight="1">
      <c r="A4911" s="168"/>
      <c r="B4911" s="178">
        <v>2033</v>
      </c>
      <c r="C4911" s="178" t="s">
        <v>9322</v>
      </c>
      <c r="D4911" s="575" t="s">
        <v>4325</v>
      </c>
      <c r="E4911" s="178" t="s">
        <v>11480</v>
      </c>
      <c r="F4911" s="210" t="s">
        <v>12245</v>
      </c>
      <c r="G4911" s="58" t="s">
        <v>12246</v>
      </c>
      <c r="H4911" s="546">
        <v>300000</v>
      </c>
      <c r="I4911" s="66">
        <v>45132</v>
      </c>
      <c r="J4911" s="411" t="s">
        <v>12247</v>
      </c>
      <c r="K4911" s="58"/>
      <c r="L4911" s="99"/>
      <c r="M4911" s="70" t="s">
        <v>9283</v>
      </c>
      <c r="N4911" s="97" t="s">
        <v>356</v>
      </c>
      <c r="O4911" s="58" t="s">
        <v>141</v>
      </c>
      <c r="P4911" s="58" t="s">
        <v>19</v>
      </c>
      <c r="Q4911" s="58" t="s">
        <v>114</v>
      </c>
      <c r="R4911" s="58" t="s">
        <v>272</v>
      </c>
    </row>
    <row r="4912" spans="1:18" ht="69" customHeight="1">
      <c r="A4912" s="168"/>
      <c r="B4912" s="207">
        <v>2034</v>
      </c>
      <c r="C4912" s="207" t="s">
        <v>11164</v>
      </c>
      <c r="D4912" s="301" t="s">
        <v>2539</v>
      </c>
      <c r="E4912" s="207" t="s">
        <v>11480</v>
      </c>
      <c r="F4912" s="208" t="s">
        <v>12248</v>
      </c>
      <c r="G4912" s="160" t="s">
        <v>12249</v>
      </c>
      <c r="H4912" s="300">
        <v>120000</v>
      </c>
      <c r="I4912" s="209">
        <v>45132</v>
      </c>
      <c r="J4912" s="322" t="s">
        <v>12247</v>
      </c>
      <c r="K4912" s="160" t="s">
        <v>10804</v>
      </c>
      <c r="M4912" s="379"/>
      <c r="N4912" s="76"/>
      <c r="O4912" s="160" t="s">
        <v>141</v>
      </c>
      <c r="P4912" s="160" t="s">
        <v>67</v>
      </c>
      <c r="Q4912" s="160" t="s">
        <v>96</v>
      </c>
      <c r="R4912" s="160" t="s">
        <v>272</v>
      </c>
    </row>
    <row r="4913" spans="1:18" ht="69" customHeight="1">
      <c r="A4913" s="168"/>
      <c r="B4913" s="178">
        <v>2035</v>
      </c>
      <c r="C4913" s="178" t="s">
        <v>1593</v>
      </c>
      <c r="D4913" s="575" t="s">
        <v>12250</v>
      </c>
      <c r="E4913" s="178" t="s">
        <v>809</v>
      </c>
      <c r="F4913" s="210" t="s">
        <v>1644</v>
      </c>
      <c r="G4913" s="58" t="s">
        <v>12251</v>
      </c>
      <c r="H4913" s="546">
        <v>15323.24</v>
      </c>
      <c r="I4913" s="66">
        <v>45132</v>
      </c>
      <c r="J4913" s="411" t="s">
        <v>12252</v>
      </c>
      <c r="K4913" s="58"/>
      <c r="L4913" s="99"/>
      <c r="M4913" s="70" t="s">
        <v>1610</v>
      </c>
      <c r="N4913" s="97" t="s">
        <v>814</v>
      </c>
      <c r="O4913" s="58"/>
      <c r="P4913" s="58" t="s">
        <v>36</v>
      </c>
      <c r="Q4913" s="58" t="s">
        <v>27</v>
      </c>
      <c r="R4913" s="58" t="s">
        <v>272</v>
      </c>
    </row>
    <row r="4914" spans="1:18" ht="69" customHeight="1">
      <c r="A4914" s="168"/>
      <c r="B4914" s="178">
        <v>2036</v>
      </c>
      <c r="C4914" s="178" t="s">
        <v>4277</v>
      </c>
      <c r="D4914" s="575" t="s">
        <v>12253</v>
      </c>
      <c r="E4914" s="178" t="s">
        <v>809</v>
      </c>
      <c r="F4914" s="210" t="s">
        <v>4691</v>
      </c>
      <c r="G4914" s="58" t="s">
        <v>12251</v>
      </c>
      <c r="H4914" s="546">
        <v>18708.240000000002</v>
      </c>
      <c r="I4914" s="66">
        <v>45132</v>
      </c>
      <c r="J4914" s="411" t="s">
        <v>12252</v>
      </c>
      <c r="K4914" s="58"/>
      <c r="L4914" s="99"/>
      <c r="M4914" s="70" t="s">
        <v>4622</v>
      </c>
      <c r="N4914" s="97" t="s">
        <v>814</v>
      </c>
      <c r="O4914" s="58"/>
      <c r="P4914" s="58" t="s">
        <v>36</v>
      </c>
      <c r="Q4914" s="58" t="s">
        <v>56</v>
      </c>
      <c r="R4914" s="58" t="s">
        <v>272</v>
      </c>
    </row>
    <row r="4915" spans="1:18" ht="69" customHeight="1">
      <c r="A4915" s="168"/>
      <c r="B4915" s="178">
        <v>2037</v>
      </c>
      <c r="C4915" s="178" t="s">
        <v>4277</v>
      </c>
      <c r="D4915" s="575" t="s">
        <v>12254</v>
      </c>
      <c r="E4915" s="178" t="s">
        <v>809</v>
      </c>
      <c r="F4915" s="210" t="s">
        <v>4811</v>
      </c>
      <c r="G4915" s="58" t="s">
        <v>12251</v>
      </c>
      <c r="H4915" s="546">
        <v>17669.3</v>
      </c>
      <c r="I4915" s="66">
        <v>45132</v>
      </c>
      <c r="J4915" s="411" t="s">
        <v>12252</v>
      </c>
      <c r="K4915" s="58"/>
      <c r="L4915" s="99"/>
      <c r="M4915" s="70" t="s">
        <v>4779</v>
      </c>
      <c r="N4915" s="97" t="s">
        <v>814</v>
      </c>
      <c r="O4915" s="58"/>
      <c r="P4915" s="58" t="s">
        <v>36</v>
      </c>
      <c r="Q4915" s="58" t="s">
        <v>58</v>
      </c>
      <c r="R4915" s="58" t="s">
        <v>272</v>
      </c>
    </row>
    <row r="4916" spans="1:18" ht="69" customHeight="1">
      <c r="A4916" s="168"/>
      <c r="B4916" s="178">
        <v>2038</v>
      </c>
      <c r="C4916" s="178" t="s">
        <v>8057</v>
      </c>
      <c r="D4916" s="575" t="s">
        <v>12255</v>
      </c>
      <c r="E4916" s="178" t="s">
        <v>809</v>
      </c>
      <c r="F4916" s="210" t="s">
        <v>8116</v>
      </c>
      <c r="G4916" s="58" t="s">
        <v>12251</v>
      </c>
      <c r="H4916" s="546">
        <v>21708</v>
      </c>
      <c r="I4916" s="66">
        <v>45132</v>
      </c>
      <c r="J4916" s="411" t="s">
        <v>12252</v>
      </c>
      <c r="K4916" s="58"/>
      <c r="L4916" s="99"/>
      <c r="M4916" s="70" t="s">
        <v>8059</v>
      </c>
      <c r="N4916" s="97" t="s">
        <v>814</v>
      </c>
      <c r="O4916" s="58"/>
      <c r="P4916" s="58" t="s">
        <v>36</v>
      </c>
      <c r="Q4916" s="58" t="s">
        <v>105</v>
      </c>
      <c r="R4916" s="58" t="s">
        <v>272</v>
      </c>
    </row>
    <row r="4917" spans="1:18" ht="69" customHeight="1">
      <c r="A4917" s="168"/>
      <c r="B4917" s="178">
        <v>2039</v>
      </c>
      <c r="C4917" s="178" t="s">
        <v>8529</v>
      </c>
      <c r="D4917" s="575" t="s">
        <v>5850</v>
      </c>
      <c r="E4917" s="178" t="s">
        <v>809</v>
      </c>
      <c r="F4917" s="210" t="s">
        <v>12256</v>
      </c>
      <c r="G4917" s="58" t="s">
        <v>12251</v>
      </c>
      <c r="H4917" s="546">
        <v>14045.93</v>
      </c>
      <c r="I4917" s="66">
        <v>45132</v>
      </c>
      <c r="J4917" s="411" t="s">
        <v>12252</v>
      </c>
      <c r="K4917" s="58"/>
      <c r="L4917" s="99"/>
      <c r="M4917" s="70" t="s">
        <v>8531</v>
      </c>
      <c r="N4917" s="97" t="s">
        <v>814</v>
      </c>
      <c r="O4917" s="58"/>
      <c r="P4917" s="58" t="s">
        <v>36</v>
      </c>
      <c r="Q4917" s="58" t="s">
        <v>108</v>
      </c>
      <c r="R4917" s="58" t="s">
        <v>272</v>
      </c>
    </row>
    <row r="4918" spans="1:18" ht="69" customHeight="1">
      <c r="A4918" s="168"/>
      <c r="B4918" s="178">
        <v>2040</v>
      </c>
      <c r="C4918" s="178" t="s">
        <v>9322</v>
      </c>
      <c r="D4918" s="575" t="s">
        <v>12257</v>
      </c>
      <c r="E4918" s="178" t="s">
        <v>809</v>
      </c>
      <c r="F4918" s="210" t="s">
        <v>12258</v>
      </c>
      <c r="G4918" s="58" t="s">
        <v>12251</v>
      </c>
      <c r="H4918" s="546">
        <v>14045.93</v>
      </c>
      <c r="I4918" s="66">
        <v>45132</v>
      </c>
      <c r="J4918" s="411" t="s">
        <v>12252</v>
      </c>
      <c r="K4918" s="58"/>
      <c r="L4918" s="99"/>
      <c r="M4918" s="70" t="s">
        <v>9342</v>
      </c>
      <c r="N4918" s="97" t="s">
        <v>814</v>
      </c>
      <c r="O4918" s="58"/>
      <c r="P4918" s="58" t="s">
        <v>36</v>
      </c>
      <c r="Q4918" s="58" t="s">
        <v>114</v>
      </c>
      <c r="R4918" s="58" t="s">
        <v>272</v>
      </c>
    </row>
    <row r="4919" spans="1:18" ht="69" customHeight="1">
      <c r="A4919" s="168"/>
      <c r="B4919" s="178">
        <v>2041</v>
      </c>
      <c r="C4919" s="178" t="s">
        <v>8080</v>
      </c>
      <c r="D4919" s="575" t="s">
        <v>1190</v>
      </c>
      <c r="E4919" s="178" t="s">
        <v>809</v>
      </c>
      <c r="F4919" s="210" t="s">
        <v>8230</v>
      </c>
      <c r="G4919" s="58" t="s">
        <v>12251</v>
      </c>
      <c r="H4919" s="546">
        <v>22984.41</v>
      </c>
      <c r="I4919" s="66">
        <v>45132</v>
      </c>
      <c r="J4919" s="411" t="s">
        <v>12252</v>
      </c>
      <c r="K4919" s="58"/>
      <c r="L4919" s="99"/>
      <c r="M4919" s="70" t="s">
        <v>8211</v>
      </c>
      <c r="N4919" s="97" t="s">
        <v>814</v>
      </c>
      <c r="O4919" s="58"/>
      <c r="P4919" s="58" t="s">
        <v>36</v>
      </c>
      <c r="Q4919" s="58" t="s">
        <v>106</v>
      </c>
      <c r="R4919" s="58" t="s">
        <v>272</v>
      </c>
    </row>
    <row r="4920" spans="1:18" ht="69" customHeight="1">
      <c r="A4920" s="168"/>
      <c r="B4920" s="178">
        <v>2042</v>
      </c>
      <c r="C4920" s="178" t="s">
        <v>8703</v>
      </c>
      <c r="D4920" s="575" t="s">
        <v>1391</v>
      </c>
      <c r="E4920" s="178" t="s">
        <v>809</v>
      </c>
      <c r="F4920" s="210" t="s">
        <v>8732</v>
      </c>
      <c r="G4920" s="58" t="s">
        <v>12251</v>
      </c>
      <c r="H4920" s="546">
        <v>15323.24</v>
      </c>
      <c r="I4920" s="66">
        <v>45132</v>
      </c>
      <c r="J4920" s="411" t="s">
        <v>12252</v>
      </c>
      <c r="K4920" s="58"/>
      <c r="L4920" s="99"/>
      <c r="M4920" s="70" t="s">
        <v>8710</v>
      </c>
      <c r="N4920" s="97" t="s">
        <v>814</v>
      </c>
      <c r="O4920" s="58"/>
      <c r="P4920" s="58" t="s">
        <v>36</v>
      </c>
      <c r="Q4920" s="58" t="s">
        <v>109</v>
      </c>
      <c r="R4920" s="58" t="s">
        <v>272</v>
      </c>
    </row>
    <row r="4921" spans="1:18" ht="69" customHeight="1">
      <c r="A4921" s="168"/>
      <c r="B4921" s="178">
        <v>2043</v>
      </c>
      <c r="C4921" s="178" t="s">
        <v>9441</v>
      </c>
      <c r="D4921" s="575" t="s">
        <v>1193</v>
      </c>
      <c r="E4921" s="178" t="s">
        <v>809</v>
      </c>
      <c r="F4921" s="210" t="s">
        <v>12259</v>
      </c>
      <c r="G4921" s="58" t="s">
        <v>12251</v>
      </c>
      <c r="H4921" s="546">
        <v>15323.24</v>
      </c>
      <c r="I4921" s="66">
        <v>45132</v>
      </c>
      <c r="J4921" s="411" t="s">
        <v>12252</v>
      </c>
      <c r="K4921" s="58"/>
      <c r="L4921" s="99"/>
      <c r="M4921" s="70" t="s">
        <v>9447</v>
      </c>
      <c r="N4921" s="97" t="s">
        <v>814</v>
      </c>
      <c r="O4921" s="58"/>
      <c r="P4921" s="58" t="s">
        <v>36</v>
      </c>
      <c r="Q4921" s="58" t="s">
        <v>116</v>
      </c>
      <c r="R4921" s="58" t="s">
        <v>272</v>
      </c>
    </row>
    <row r="4922" spans="1:18" ht="69" customHeight="1">
      <c r="A4922" s="168"/>
      <c r="B4922" s="178">
        <v>2044</v>
      </c>
      <c r="C4922" s="178" t="s">
        <v>9596</v>
      </c>
      <c r="D4922" s="575" t="s">
        <v>1883</v>
      </c>
      <c r="E4922" s="178" t="s">
        <v>809</v>
      </c>
      <c r="F4922" s="210" t="s">
        <v>12260</v>
      </c>
      <c r="G4922" s="58" t="s">
        <v>12251</v>
      </c>
      <c r="H4922" s="546">
        <v>15323.24</v>
      </c>
      <c r="I4922" s="66">
        <v>45132</v>
      </c>
      <c r="J4922" s="411" t="s">
        <v>12252</v>
      </c>
      <c r="K4922" s="58"/>
      <c r="L4922" s="99"/>
      <c r="M4922" s="70" t="s">
        <v>9625</v>
      </c>
      <c r="N4922" s="97" t="s">
        <v>814</v>
      </c>
      <c r="O4922" s="58"/>
      <c r="P4922" s="58" t="s">
        <v>36</v>
      </c>
      <c r="Q4922" s="58" t="s">
        <v>118</v>
      </c>
      <c r="R4922" s="58" t="s">
        <v>272</v>
      </c>
    </row>
    <row r="4923" spans="1:18" ht="69" customHeight="1">
      <c r="A4923" s="168"/>
      <c r="B4923" s="178">
        <v>2045</v>
      </c>
      <c r="C4923" s="178" t="s">
        <v>3647</v>
      </c>
      <c r="D4923" s="575" t="s">
        <v>12261</v>
      </c>
      <c r="E4923" s="178" t="s">
        <v>12262</v>
      </c>
      <c r="F4923" s="210" t="s">
        <v>12263</v>
      </c>
      <c r="G4923" s="58" t="s">
        <v>10852</v>
      </c>
      <c r="H4923" s="546">
        <v>81970.31</v>
      </c>
      <c r="I4923" s="66">
        <v>45132</v>
      </c>
      <c r="J4923" s="411" t="s">
        <v>12264</v>
      </c>
      <c r="K4923" s="58"/>
      <c r="L4923" s="99"/>
      <c r="M4923" s="70" t="s">
        <v>3847</v>
      </c>
      <c r="N4923" s="97" t="s">
        <v>1044</v>
      </c>
      <c r="O4923" s="58"/>
      <c r="P4923" s="58" t="s">
        <v>26</v>
      </c>
      <c r="Q4923" s="58" t="s">
        <v>47</v>
      </c>
      <c r="R4923" s="58" t="s">
        <v>272</v>
      </c>
    </row>
    <row r="4924" spans="1:18" ht="69" customHeight="1">
      <c r="A4924" s="168"/>
      <c r="B4924" s="178">
        <v>2046</v>
      </c>
      <c r="C4924" s="178" t="s">
        <v>3647</v>
      </c>
      <c r="D4924" s="575" t="s">
        <v>12265</v>
      </c>
      <c r="E4924" s="178" t="s">
        <v>12262</v>
      </c>
      <c r="F4924" s="210" t="s">
        <v>12266</v>
      </c>
      <c r="G4924" s="58" t="s">
        <v>10852</v>
      </c>
      <c r="H4924" s="546">
        <v>69138.45</v>
      </c>
      <c r="I4924" s="66">
        <v>45132</v>
      </c>
      <c r="J4924" s="411" t="s">
        <v>12264</v>
      </c>
      <c r="K4924" s="58"/>
      <c r="L4924" s="99"/>
      <c r="M4924" s="70" t="s">
        <v>4248</v>
      </c>
      <c r="N4924" s="97" t="s">
        <v>1044</v>
      </c>
      <c r="O4924" s="58"/>
      <c r="P4924" s="58" t="s">
        <v>26</v>
      </c>
      <c r="Q4924" s="58" t="s">
        <v>52</v>
      </c>
      <c r="R4924" s="58" t="s">
        <v>272</v>
      </c>
    </row>
    <row r="4925" spans="1:18" ht="69" customHeight="1">
      <c r="A4925" s="168"/>
      <c r="B4925" s="191">
        <v>2047</v>
      </c>
      <c r="C4925" s="191" t="s">
        <v>309</v>
      </c>
      <c r="D4925" s="533" t="s">
        <v>4511</v>
      </c>
      <c r="E4925" s="191" t="s">
        <v>266</v>
      </c>
      <c r="F4925" s="211" t="s">
        <v>12267</v>
      </c>
      <c r="G4925" s="46" t="s">
        <v>12268</v>
      </c>
      <c r="H4925" s="534">
        <v>11239.02</v>
      </c>
      <c r="I4925" s="56">
        <v>45132</v>
      </c>
      <c r="J4925" s="412" t="s">
        <v>12269</v>
      </c>
      <c r="K4925" s="46" t="s">
        <v>5103</v>
      </c>
      <c r="L4925" s="99"/>
      <c r="M4925" s="379"/>
      <c r="N4925" s="76" t="s">
        <v>414</v>
      </c>
      <c r="O4925" s="46"/>
      <c r="P4925" s="46" t="s">
        <v>71</v>
      </c>
      <c r="Q4925" s="46" t="s">
        <v>31</v>
      </c>
      <c r="R4925" s="46" t="s">
        <v>272</v>
      </c>
    </row>
    <row r="4926" spans="1:18" ht="69" customHeight="1">
      <c r="A4926" s="168"/>
      <c r="B4926" s="191">
        <v>2048</v>
      </c>
      <c r="C4926" s="191" t="s">
        <v>309</v>
      </c>
      <c r="D4926" s="533" t="s">
        <v>4669</v>
      </c>
      <c r="E4926" s="191" t="s">
        <v>266</v>
      </c>
      <c r="F4926" s="211" t="s">
        <v>12270</v>
      </c>
      <c r="G4926" s="46" t="s">
        <v>12268</v>
      </c>
      <c r="H4926" s="534">
        <v>12239.02</v>
      </c>
      <c r="I4926" s="56">
        <v>45132</v>
      </c>
      <c r="J4926" s="412" t="s">
        <v>12269</v>
      </c>
      <c r="K4926" s="46" t="s">
        <v>5103</v>
      </c>
      <c r="L4926" s="99"/>
      <c r="M4926" s="379"/>
      <c r="N4926" s="76" t="s">
        <v>414</v>
      </c>
      <c r="O4926" s="46"/>
      <c r="P4926" s="46" t="s">
        <v>71</v>
      </c>
      <c r="Q4926" s="46" t="s">
        <v>43</v>
      </c>
      <c r="R4926" s="46" t="s">
        <v>272</v>
      </c>
    </row>
    <row r="4927" spans="1:18" ht="69" customHeight="1">
      <c r="A4927" s="168"/>
      <c r="B4927" s="191">
        <v>2049</v>
      </c>
      <c r="C4927" s="191" t="s">
        <v>11042</v>
      </c>
      <c r="D4927" s="533" t="s">
        <v>5454</v>
      </c>
      <c r="E4927" s="191" t="s">
        <v>266</v>
      </c>
      <c r="F4927" s="211" t="s">
        <v>12271</v>
      </c>
      <c r="G4927" s="46" t="s">
        <v>12272</v>
      </c>
      <c r="H4927" s="534">
        <v>1157.03</v>
      </c>
      <c r="I4927" s="56">
        <v>45143</v>
      </c>
      <c r="J4927" s="412" t="s">
        <v>12273</v>
      </c>
      <c r="K4927" s="46" t="s">
        <v>5103</v>
      </c>
      <c r="L4927" s="99"/>
      <c r="M4927" s="379"/>
      <c r="N4927" s="76" t="s">
        <v>414</v>
      </c>
      <c r="O4927" s="46"/>
      <c r="P4927" s="46" t="s">
        <v>65</v>
      </c>
      <c r="Q4927" s="46" t="s">
        <v>41</v>
      </c>
      <c r="R4927" s="46" t="s">
        <v>272</v>
      </c>
    </row>
    <row r="4928" spans="1:18" ht="69" customHeight="1">
      <c r="A4928" s="168"/>
      <c r="B4928" s="178">
        <v>2050</v>
      </c>
      <c r="C4928" s="178" t="s">
        <v>6062</v>
      </c>
      <c r="D4928" s="575" t="s">
        <v>12274</v>
      </c>
      <c r="E4928" s="178" t="s">
        <v>12262</v>
      </c>
      <c r="F4928" s="210" t="s">
        <v>12275</v>
      </c>
      <c r="G4928" s="58" t="s">
        <v>10852</v>
      </c>
      <c r="H4928" s="546">
        <v>185379.05</v>
      </c>
      <c r="I4928" s="66">
        <v>45132</v>
      </c>
      <c r="J4928" s="411" t="s">
        <v>12276</v>
      </c>
      <c r="K4928" s="58"/>
      <c r="L4928" s="99"/>
      <c r="M4928" s="70" t="s">
        <v>6073</v>
      </c>
      <c r="N4928" s="97" t="s">
        <v>1044</v>
      </c>
      <c r="O4928" s="58"/>
      <c r="P4928" s="58" t="s">
        <v>26</v>
      </c>
      <c r="Q4928" s="58" t="s">
        <v>72</v>
      </c>
      <c r="R4928" s="58" t="s">
        <v>272</v>
      </c>
    </row>
    <row r="4929" spans="1:18" ht="69" customHeight="1">
      <c r="A4929" s="168"/>
      <c r="B4929" s="178">
        <v>2051</v>
      </c>
      <c r="C4929" s="178" t="s">
        <v>5558</v>
      </c>
      <c r="D4929" s="575" t="s">
        <v>12277</v>
      </c>
      <c r="E4929" s="178" t="s">
        <v>12278</v>
      </c>
      <c r="F4929" s="210" t="s">
        <v>12279</v>
      </c>
      <c r="G4929" s="58" t="s">
        <v>12280</v>
      </c>
      <c r="H4929" s="546">
        <v>230000</v>
      </c>
      <c r="I4929" s="66">
        <v>45132</v>
      </c>
      <c r="J4929" s="411" t="s">
        <v>12281</v>
      </c>
      <c r="K4929" s="58"/>
      <c r="L4929" s="99"/>
      <c r="M4929" s="70" t="s">
        <v>5641</v>
      </c>
      <c r="N4929" s="97" t="s">
        <v>356</v>
      </c>
      <c r="O4929" s="58" t="s">
        <v>156</v>
      </c>
      <c r="P4929" s="58" t="s">
        <v>19</v>
      </c>
      <c r="Q4929" s="58" t="s">
        <v>64</v>
      </c>
      <c r="R4929" s="58" t="s">
        <v>272</v>
      </c>
    </row>
    <row r="4930" spans="1:18" ht="69" customHeight="1">
      <c r="A4930" s="168"/>
      <c r="B4930" s="178">
        <v>2052</v>
      </c>
      <c r="C4930" s="178" t="s">
        <v>657</v>
      </c>
      <c r="D4930" s="575" t="s">
        <v>1197</v>
      </c>
      <c r="E4930" s="178" t="s">
        <v>10602</v>
      </c>
      <c r="F4930" s="210" t="s">
        <v>12282</v>
      </c>
      <c r="G4930" s="58" t="s">
        <v>12283</v>
      </c>
      <c r="H4930" s="546">
        <v>500000</v>
      </c>
      <c r="I4930" s="66">
        <v>45112</v>
      </c>
      <c r="J4930" s="411" t="s">
        <v>12284</v>
      </c>
      <c r="K4930" s="58" t="s">
        <v>12285</v>
      </c>
      <c r="L4930" s="99"/>
      <c r="M4930" s="70" t="s">
        <v>10629</v>
      </c>
      <c r="N4930" s="97" t="s">
        <v>6197</v>
      </c>
      <c r="O4930" s="58"/>
      <c r="P4930" s="58" t="s">
        <v>22</v>
      </c>
      <c r="Q4930" s="58" t="s">
        <v>111</v>
      </c>
      <c r="R4930" s="58" t="s">
        <v>272</v>
      </c>
    </row>
    <row r="4931" spans="1:18" ht="69" customHeight="1">
      <c r="A4931" s="168"/>
      <c r="B4931" s="178">
        <v>2053</v>
      </c>
      <c r="C4931" s="178" t="s">
        <v>458</v>
      </c>
      <c r="D4931" s="575" t="s">
        <v>12286</v>
      </c>
      <c r="E4931" s="178" t="s">
        <v>10602</v>
      </c>
      <c r="F4931" s="210" t="s">
        <v>12287</v>
      </c>
      <c r="G4931" s="58" t="s">
        <v>12283</v>
      </c>
      <c r="H4931" s="546">
        <v>500000</v>
      </c>
      <c r="I4931" s="66">
        <v>45112</v>
      </c>
      <c r="J4931" s="411" t="s">
        <v>12284</v>
      </c>
      <c r="K4931" s="58" t="s">
        <v>12288</v>
      </c>
      <c r="L4931" s="99"/>
      <c r="M4931" s="70" t="s">
        <v>10620</v>
      </c>
      <c r="N4931" s="97" t="s">
        <v>6197</v>
      </c>
      <c r="O4931" s="58"/>
      <c r="P4931" s="58" t="s">
        <v>22</v>
      </c>
      <c r="Q4931" s="58" t="s">
        <v>117</v>
      </c>
      <c r="R4931" s="58" t="s">
        <v>272</v>
      </c>
    </row>
    <row r="4932" spans="1:18" ht="69" customHeight="1">
      <c r="A4932" s="168"/>
      <c r="B4932" s="178">
        <v>2054</v>
      </c>
      <c r="C4932" s="178" t="s">
        <v>458</v>
      </c>
      <c r="D4932" s="575" t="s">
        <v>5465</v>
      </c>
      <c r="E4932" s="178" t="s">
        <v>266</v>
      </c>
      <c r="F4932" s="210" t="s">
        <v>12289</v>
      </c>
      <c r="G4932" s="58" t="s">
        <v>12290</v>
      </c>
      <c r="H4932" s="546">
        <v>13384</v>
      </c>
      <c r="I4932" s="66">
        <v>45132</v>
      </c>
      <c r="J4932" s="411" t="s">
        <v>12291</v>
      </c>
      <c r="K4932" s="58"/>
      <c r="L4932" s="99"/>
      <c r="M4932" s="70" t="s">
        <v>7231</v>
      </c>
      <c r="N4932" s="97" t="s">
        <v>270</v>
      </c>
      <c r="O4932" s="58"/>
      <c r="P4932" s="58" t="s">
        <v>44</v>
      </c>
      <c r="Q4932" s="58" t="s">
        <v>100</v>
      </c>
      <c r="R4932" s="58" t="s">
        <v>272</v>
      </c>
    </row>
    <row r="4933" spans="1:18" ht="69" customHeight="1">
      <c r="A4933" s="168"/>
      <c r="B4933" s="191">
        <v>2055</v>
      </c>
      <c r="C4933" s="191" t="s">
        <v>5558</v>
      </c>
      <c r="D4933" s="533" t="s">
        <v>12292</v>
      </c>
      <c r="E4933" s="191" t="s">
        <v>266</v>
      </c>
      <c r="F4933" s="211" t="s">
        <v>12293</v>
      </c>
      <c r="G4933" s="46" t="s">
        <v>12294</v>
      </c>
      <c r="H4933" s="534">
        <v>8846.5</v>
      </c>
      <c r="I4933" s="56">
        <v>45132</v>
      </c>
      <c r="J4933" s="412" t="s">
        <v>12291</v>
      </c>
      <c r="K4933" s="46" t="s">
        <v>167</v>
      </c>
      <c r="L4933" s="99"/>
      <c r="M4933" s="379"/>
      <c r="N4933" s="76" t="s">
        <v>414</v>
      </c>
      <c r="O4933" s="46"/>
      <c r="P4933" s="46" t="s">
        <v>65</v>
      </c>
      <c r="Q4933" s="46" t="s">
        <v>64</v>
      </c>
      <c r="R4933" s="46" t="s">
        <v>272</v>
      </c>
    </row>
    <row r="4934" spans="1:18" ht="69" customHeight="1">
      <c r="A4934" s="168"/>
      <c r="B4934" s="178">
        <v>2056</v>
      </c>
      <c r="C4934" s="178" t="s">
        <v>12295</v>
      </c>
      <c r="D4934" s="575" t="s">
        <v>12296</v>
      </c>
      <c r="E4934" s="178" t="s">
        <v>12278</v>
      </c>
      <c r="F4934" s="210" t="s">
        <v>12297</v>
      </c>
      <c r="G4934" s="58" t="s">
        <v>12280</v>
      </c>
      <c r="H4934" s="546">
        <v>90116.62</v>
      </c>
      <c r="I4934" s="66">
        <v>45132</v>
      </c>
      <c r="J4934" s="411" t="s">
        <v>12298</v>
      </c>
      <c r="K4934" s="58"/>
      <c r="L4934" s="99"/>
      <c r="M4934" s="70" t="s">
        <v>5796</v>
      </c>
      <c r="N4934" s="97" t="s">
        <v>356</v>
      </c>
      <c r="O4934" s="58" t="s">
        <v>156</v>
      </c>
      <c r="P4934" s="58" t="s">
        <v>19</v>
      </c>
      <c r="Q4934" s="58" t="s">
        <v>68</v>
      </c>
      <c r="R4934" s="58" t="s">
        <v>272</v>
      </c>
    </row>
    <row r="4935" spans="1:18" ht="69" customHeight="1">
      <c r="A4935" s="168"/>
      <c r="B4935" s="178">
        <v>2057</v>
      </c>
      <c r="C4935" s="178" t="s">
        <v>3906</v>
      </c>
      <c r="D4935" s="575" t="s">
        <v>12299</v>
      </c>
      <c r="E4935" s="178" t="s">
        <v>12278</v>
      </c>
      <c r="F4935" s="210" t="s">
        <v>12300</v>
      </c>
      <c r="G4935" s="58" t="s">
        <v>12280</v>
      </c>
      <c r="H4935" s="546">
        <v>72189.16</v>
      </c>
      <c r="I4935" s="66">
        <v>45132</v>
      </c>
      <c r="J4935" s="411" t="s">
        <v>12298</v>
      </c>
      <c r="K4935" s="58"/>
      <c r="L4935" s="99"/>
      <c r="M4935" s="70" t="s">
        <v>5930</v>
      </c>
      <c r="N4935" s="97" t="s">
        <v>356</v>
      </c>
      <c r="O4935" s="58" t="s">
        <v>156</v>
      </c>
      <c r="P4935" s="58" t="s">
        <v>19</v>
      </c>
      <c r="Q4935" s="58" t="s">
        <v>70</v>
      </c>
      <c r="R4935" s="58" t="s">
        <v>272</v>
      </c>
    </row>
    <row r="4936" spans="1:18" ht="69" customHeight="1">
      <c r="A4936" s="168"/>
      <c r="B4936" s="178">
        <v>2058</v>
      </c>
      <c r="C4936" s="178" t="s">
        <v>3906</v>
      </c>
      <c r="D4936" s="575" t="s">
        <v>12301</v>
      </c>
      <c r="E4936" s="178" t="s">
        <v>12278</v>
      </c>
      <c r="F4936" s="210" t="s">
        <v>12302</v>
      </c>
      <c r="G4936" s="58" t="s">
        <v>12303</v>
      </c>
      <c r="H4936" s="546">
        <v>47865.19</v>
      </c>
      <c r="I4936" s="66">
        <v>45132</v>
      </c>
      <c r="J4936" s="411" t="s">
        <v>12298</v>
      </c>
      <c r="K4936" s="58"/>
      <c r="L4936" s="99"/>
      <c r="M4936" s="70" t="s">
        <v>6245</v>
      </c>
      <c r="N4936" s="97" t="s">
        <v>356</v>
      </c>
      <c r="O4936" s="58" t="s">
        <v>156</v>
      </c>
      <c r="P4936" s="58" t="s">
        <v>19</v>
      </c>
      <c r="Q4936" s="58" t="s">
        <v>6234</v>
      </c>
      <c r="R4936" s="58" t="s">
        <v>265</v>
      </c>
    </row>
    <row r="4937" spans="1:18" ht="69" customHeight="1">
      <c r="A4937" s="168"/>
      <c r="B4937" s="191">
        <v>2059</v>
      </c>
      <c r="C4937" s="191" t="s">
        <v>3647</v>
      </c>
      <c r="D4937" s="533" t="s">
        <v>12304</v>
      </c>
      <c r="E4937" s="191" t="s">
        <v>266</v>
      </c>
      <c r="F4937" s="211" t="s">
        <v>12305</v>
      </c>
      <c r="G4937" s="46" t="s">
        <v>12306</v>
      </c>
      <c r="H4937" s="534">
        <v>21000</v>
      </c>
      <c r="I4937" s="56">
        <v>45132</v>
      </c>
      <c r="J4937" s="412" t="s">
        <v>12307</v>
      </c>
      <c r="K4937" s="46" t="s">
        <v>167</v>
      </c>
      <c r="L4937" s="99"/>
      <c r="M4937" s="379"/>
      <c r="N4937" s="76" t="s">
        <v>414</v>
      </c>
      <c r="O4937" s="46"/>
      <c r="P4937" s="46" t="s">
        <v>71</v>
      </c>
      <c r="Q4937" s="46" t="s">
        <v>47</v>
      </c>
      <c r="R4937" s="46" t="s">
        <v>272</v>
      </c>
    </row>
    <row r="4938" spans="1:18" ht="69" customHeight="1">
      <c r="A4938" s="168"/>
      <c r="B4938" s="191">
        <v>2060</v>
      </c>
      <c r="C4938" s="191" t="s">
        <v>3647</v>
      </c>
      <c r="D4938" s="533" t="s">
        <v>12308</v>
      </c>
      <c r="E4938" s="191" t="s">
        <v>266</v>
      </c>
      <c r="F4938" s="211" t="s">
        <v>12309</v>
      </c>
      <c r="G4938" s="46" t="s">
        <v>12310</v>
      </c>
      <c r="H4938" s="534">
        <v>21000</v>
      </c>
      <c r="I4938" s="56">
        <v>45132</v>
      </c>
      <c r="J4938" s="412" t="s">
        <v>12307</v>
      </c>
      <c r="K4938" s="46" t="s">
        <v>167</v>
      </c>
      <c r="L4938" s="99"/>
      <c r="M4938" s="379"/>
      <c r="N4938" s="76" t="s">
        <v>414</v>
      </c>
      <c r="O4938" s="46"/>
      <c r="P4938" s="46" t="s">
        <v>71</v>
      </c>
      <c r="Q4938" s="46" t="s">
        <v>52</v>
      </c>
      <c r="R4938" s="46" t="s">
        <v>272</v>
      </c>
    </row>
    <row r="4939" spans="1:18" ht="69" customHeight="1">
      <c r="A4939" s="168"/>
      <c r="B4939" s="178">
        <v>2061</v>
      </c>
      <c r="C4939" s="178" t="s">
        <v>11568</v>
      </c>
      <c r="D4939" s="575" t="s">
        <v>4026</v>
      </c>
      <c r="E4939" s="178" t="s">
        <v>11480</v>
      </c>
      <c r="F4939" s="210" t="s">
        <v>12311</v>
      </c>
      <c r="G4939" s="58" t="s">
        <v>12312</v>
      </c>
      <c r="H4939" s="546">
        <v>150000</v>
      </c>
      <c r="I4939" s="66">
        <v>45132</v>
      </c>
      <c r="J4939" s="411" t="s">
        <v>12313</v>
      </c>
      <c r="K4939" s="58"/>
      <c r="L4939" s="99"/>
      <c r="M4939" s="70" t="s">
        <v>8305</v>
      </c>
      <c r="N4939" s="97" t="s">
        <v>356</v>
      </c>
      <c r="O4939" s="58" t="s">
        <v>141</v>
      </c>
      <c r="P4939" s="58" t="s">
        <v>19</v>
      </c>
      <c r="Q4939" s="58" t="s">
        <v>107</v>
      </c>
      <c r="R4939" s="58" t="s">
        <v>272</v>
      </c>
    </row>
    <row r="4940" spans="1:18" ht="69" customHeight="1">
      <c r="A4940" s="168"/>
      <c r="B4940" s="178">
        <v>2062</v>
      </c>
      <c r="C4940" s="178" t="s">
        <v>9596</v>
      </c>
      <c r="D4940" s="575" t="s">
        <v>2836</v>
      </c>
      <c r="E4940" s="178" t="s">
        <v>11480</v>
      </c>
      <c r="F4940" s="210" t="s">
        <v>12314</v>
      </c>
      <c r="G4940" s="58" t="s">
        <v>12315</v>
      </c>
      <c r="H4940" s="546">
        <v>215000</v>
      </c>
      <c r="I4940" s="66">
        <v>45132</v>
      </c>
      <c r="J4940" s="411" t="s">
        <v>12313</v>
      </c>
      <c r="K4940" s="58"/>
      <c r="L4940" s="99"/>
      <c r="M4940" s="70" t="s">
        <v>9564</v>
      </c>
      <c r="N4940" s="97" t="s">
        <v>356</v>
      </c>
      <c r="O4940" s="58" t="s">
        <v>141</v>
      </c>
      <c r="P4940" s="58" t="s">
        <v>19</v>
      </c>
      <c r="Q4940" s="58" t="s">
        <v>118</v>
      </c>
      <c r="R4940" s="58" t="s">
        <v>272</v>
      </c>
    </row>
    <row r="4941" spans="1:18" ht="69" customHeight="1">
      <c r="A4941" s="168"/>
      <c r="B4941" s="191">
        <v>2063</v>
      </c>
      <c r="C4941" s="191" t="s">
        <v>4277</v>
      </c>
      <c r="D4941" s="533" t="s">
        <v>12316</v>
      </c>
      <c r="E4941" s="191" t="s">
        <v>266</v>
      </c>
      <c r="F4941" s="211" t="s">
        <v>12317</v>
      </c>
      <c r="G4941" s="46" t="s">
        <v>12318</v>
      </c>
      <c r="H4941" s="534">
        <v>20266.650000000001</v>
      </c>
      <c r="I4941" s="56">
        <v>45132</v>
      </c>
      <c r="J4941" s="412" t="s">
        <v>12319</v>
      </c>
      <c r="K4941" s="46" t="s">
        <v>167</v>
      </c>
      <c r="L4941" s="99"/>
      <c r="M4941" s="379"/>
      <c r="N4941" s="76" t="s">
        <v>414</v>
      </c>
      <c r="O4941" s="46"/>
      <c r="P4941" s="46" t="s">
        <v>71</v>
      </c>
      <c r="Q4941" s="46" t="s">
        <v>62</v>
      </c>
      <c r="R4941" s="46" t="s">
        <v>272</v>
      </c>
    </row>
    <row r="4942" spans="1:18" ht="69" customHeight="1">
      <c r="A4942" s="168"/>
      <c r="B4942" s="191">
        <v>2064</v>
      </c>
      <c r="C4942" s="191" t="s">
        <v>4277</v>
      </c>
      <c r="D4942" s="533" t="s">
        <v>12320</v>
      </c>
      <c r="E4942" s="191" t="s">
        <v>266</v>
      </c>
      <c r="F4942" s="211" t="s">
        <v>12321</v>
      </c>
      <c r="G4942" s="46" t="s">
        <v>12322</v>
      </c>
      <c r="H4942" s="534">
        <v>20266.650000000001</v>
      </c>
      <c r="I4942" s="56">
        <v>45132</v>
      </c>
      <c r="J4942" s="412" t="s">
        <v>12319</v>
      </c>
      <c r="K4942" s="46" t="s">
        <v>167</v>
      </c>
      <c r="L4942" s="99"/>
      <c r="M4942" s="379"/>
      <c r="N4942" s="76" t="s">
        <v>414</v>
      </c>
      <c r="O4942" s="46"/>
      <c r="P4942" s="46" t="s">
        <v>71</v>
      </c>
      <c r="Q4942" s="46" t="s">
        <v>60</v>
      </c>
      <c r="R4942" s="46" t="s">
        <v>272</v>
      </c>
    </row>
    <row r="4943" spans="1:18" ht="69" customHeight="1">
      <c r="A4943" s="168"/>
      <c r="B4943" s="178">
        <v>2065</v>
      </c>
      <c r="C4943" s="178" t="s">
        <v>6261</v>
      </c>
      <c r="D4943" s="575" t="s">
        <v>12323</v>
      </c>
      <c r="E4943" s="178" t="s">
        <v>12262</v>
      </c>
      <c r="F4943" s="210" t="s">
        <v>12324</v>
      </c>
      <c r="G4943" s="58" t="s">
        <v>10852</v>
      </c>
      <c r="H4943" s="546">
        <v>139183.94</v>
      </c>
      <c r="I4943" s="66">
        <v>45132</v>
      </c>
      <c r="J4943" s="411" t="s">
        <v>12325</v>
      </c>
      <c r="K4943" s="58"/>
      <c r="L4943" s="99"/>
      <c r="M4943" s="70" t="s">
        <v>6300</v>
      </c>
      <c r="N4943" s="97" t="s">
        <v>1044</v>
      </c>
      <c r="O4943" s="58"/>
      <c r="P4943" s="58" t="s">
        <v>26</v>
      </c>
      <c r="Q4943" s="58" t="s">
        <v>74</v>
      </c>
      <c r="R4943" s="58" t="s">
        <v>272</v>
      </c>
    </row>
    <row r="4944" spans="1:18" ht="69" customHeight="1">
      <c r="A4944" s="168"/>
      <c r="B4944" s="178">
        <v>2066</v>
      </c>
      <c r="C4944" s="178" t="s">
        <v>6468</v>
      </c>
      <c r="D4944" s="575" t="s">
        <v>12326</v>
      </c>
      <c r="E4944" s="178" t="s">
        <v>12262</v>
      </c>
      <c r="F4944" s="210" t="s">
        <v>12327</v>
      </c>
      <c r="G4944" s="58" t="s">
        <v>10852</v>
      </c>
      <c r="H4944" s="546">
        <v>100424.35</v>
      </c>
      <c r="I4944" s="66">
        <v>45132</v>
      </c>
      <c r="J4944" s="411" t="s">
        <v>12325</v>
      </c>
      <c r="K4944" s="58"/>
      <c r="L4944" s="99"/>
      <c r="M4944" s="70" t="s">
        <v>6471</v>
      </c>
      <c r="N4944" s="97" t="s">
        <v>1044</v>
      </c>
      <c r="O4944" s="58"/>
      <c r="P4944" s="58" t="s">
        <v>26</v>
      </c>
      <c r="Q4944" s="58" t="s">
        <v>76</v>
      </c>
      <c r="R4944" s="58" t="s">
        <v>272</v>
      </c>
    </row>
    <row r="4945" spans="1:18" ht="69" customHeight="1">
      <c r="A4945" s="168"/>
      <c r="B4945" s="178">
        <v>2067</v>
      </c>
      <c r="C4945" s="178" t="s">
        <v>6693</v>
      </c>
      <c r="D4945" s="575" t="s">
        <v>12328</v>
      </c>
      <c r="E4945" s="178" t="s">
        <v>12262</v>
      </c>
      <c r="F4945" s="210" t="s">
        <v>12329</v>
      </c>
      <c r="G4945" s="58" t="s">
        <v>10852</v>
      </c>
      <c r="H4945" s="546">
        <v>97757.6</v>
      </c>
      <c r="I4945" s="66">
        <v>45132</v>
      </c>
      <c r="J4945" s="411" t="s">
        <v>12325</v>
      </c>
      <c r="K4945" s="58"/>
      <c r="L4945" s="99"/>
      <c r="M4945" s="70" t="s">
        <v>6695</v>
      </c>
      <c r="N4945" s="97" t="s">
        <v>1044</v>
      </c>
      <c r="O4945" s="58"/>
      <c r="P4945" s="58" t="s">
        <v>26</v>
      </c>
      <c r="Q4945" s="58" t="s">
        <v>78</v>
      </c>
      <c r="R4945" s="58" t="s">
        <v>272</v>
      </c>
    </row>
    <row r="4946" spans="1:18" ht="69" customHeight="1">
      <c r="A4946" s="168"/>
      <c r="B4946" s="178">
        <v>2068</v>
      </c>
      <c r="C4946" s="178" t="s">
        <v>1333</v>
      </c>
      <c r="D4946" s="575" t="s">
        <v>12330</v>
      </c>
      <c r="E4946" s="178" t="s">
        <v>382</v>
      </c>
      <c r="F4946" s="210" t="s">
        <v>12331</v>
      </c>
      <c r="G4946" s="58" t="s">
        <v>11773</v>
      </c>
      <c r="H4946" s="546">
        <v>5821.02</v>
      </c>
      <c r="I4946" s="66">
        <v>45132</v>
      </c>
      <c r="J4946" s="411" t="s">
        <v>12332</v>
      </c>
      <c r="K4946" s="58"/>
      <c r="L4946" s="99"/>
      <c r="M4946" s="70" t="s">
        <v>1319</v>
      </c>
      <c r="N4946" s="97" t="s">
        <v>387</v>
      </c>
      <c r="O4946" s="58" t="s">
        <v>150</v>
      </c>
      <c r="P4946" s="58" t="s">
        <v>51</v>
      </c>
      <c r="Q4946" s="58" t="s">
        <v>25</v>
      </c>
      <c r="R4946" s="58" t="s">
        <v>272</v>
      </c>
    </row>
    <row r="4947" spans="1:18" ht="69" customHeight="1">
      <c r="A4947" s="168"/>
      <c r="B4947" s="178">
        <v>2069</v>
      </c>
      <c r="C4947" s="178" t="s">
        <v>7452</v>
      </c>
      <c r="D4947" s="575" t="s">
        <v>12333</v>
      </c>
      <c r="E4947" s="178" t="s">
        <v>382</v>
      </c>
      <c r="F4947" s="210" t="s">
        <v>12334</v>
      </c>
      <c r="G4947" s="58" t="s">
        <v>11773</v>
      </c>
      <c r="H4947" s="546">
        <v>5821.02</v>
      </c>
      <c r="I4947" s="66">
        <v>45132</v>
      </c>
      <c r="J4947" s="411" t="s">
        <v>12332</v>
      </c>
      <c r="K4947" s="58"/>
      <c r="L4947" s="99"/>
      <c r="M4947" s="70" t="s">
        <v>11840</v>
      </c>
      <c r="N4947" s="97" t="s">
        <v>387</v>
      </c>
      <c r="O4947" s="45" t="s">
        <v>150</v>
      </c>
      <c r="P4947" s="58" t="s">
        <v>51</v>
      </c>
      <c r="Q4947" s="58" t="s">
        <v>101</v>
      </c>
      <c r="R4947" s="58" t="s">
        <v>272</v>
      </c>
    </row>
    <row r="4948" spans="1:18" ht="69" customHeight="1">
      <c r="A4948" s="168"/>
      <c r="B4948" s="178">
        <v>2070</v>
      </c>
      <c r="C4948" s="178" t="s">
        <v>7521</v>
      </c>
      <c r="D4948" s="575" t="s">
        <v>2361</v>
      </c>
      <c r="E4948" s="178" t="s">
        <v>382</v>
      </c>
      <c r="F4948" s="210" t="s">
        <v>12335</v>
      </c>
      <c r="G4948" s="58" t="s">
        <v>11773</v>
      </c>
      <c r="H4948" s="546">
        <v>5821.02</v>
      </c>
      <c r="I4948" s="66">
        <v>45132</v>
      </c>
      <c r="J4948" s="411" t="s">
        <v>12332</v>
      </c>
      <c r="K4948" s="58"/>
      <c r="L4948" s="99"/>
      <c r="M4948" s="70" t="s">
        <v>11837</v>
      </c>
      <c r="N4948" s="97" t="s">
        <v>387</v>
      </c>
      <c r="O4948" s="45" t="s">
        <v>150</v>
      </c>
      <c r="P4948" s="58" t="s">
        <v>51</v>
      </c>
      <c r="Q4948" s="58" t="s">
        <v>102</v>
      </c>
      <c r="R4948" s="58" t="s">
        <v>272</v>
      </c>
    </row>
    <row r="4949" spans="1:18" ht="69" customHeight="1">
      <c r="A4949" s="168"/>
      <c r="B4949" s="178">
        <v>2071</v>
      </c>
      <c r="C4949" s="178" t="s">
        <v>9596</v>
      </c>
      <c r="D4949" s="575" t="s">
        <v>6310</v>
      </c>
      <c r="E4949" s="178" t="s">
        <v>382</v>
      </c>
      <c r="F4949" s="210" t="s">
        <v>12336</v>
      </c>
      <c r="G4949" s="58" t="s">
        <v>11773</v>
      </c>
      <c r="H4949" s="546">
        <v>5821.02</v>
      </c>
      <c r="I4949" s="66">
        <v>45132</v>
      </c>
      <c r="J4949" s="411" t="s">
        <v>12332</v>
      </c>
      <c r="K4949" s="58"/>
      <c r="L4949" s="99"/>
      <c r="M4949" s="70" t="s">
        <v>9580</v>
      </c>
      <c r="N4949" s="97" t="s">
        <v>387</v>
      </c>
      <c r="O4949" s="45" t="s">
        <v>150</v>
      </c>
      <c r="P4949" s="58" t="s">
        <v>51</v>
      </c>
      <c r="Q4949" s="58" t="s">
        <v>118</v>
      </c>
      <c r="R4949" s="58" t="s">
        <v>272</v>
      </c>
    </row>
    <row r="4950" spans="1:18" ht="69" customHeight="1">
      <c r="A4950" s="168"/>
      <c r="B4950" s="178">
        <v>2072</v>
      </c>
      <c r="C4950" s="178" t="s">
        <v>8057</v>
      </c>
      <c r="D4950" s="575" t="s">
        <v>12337</v>
      </c>
      <c r="E4950" s="178" t="s">
        <v>382</v>
      </c>
      <c r="F4950" s="210" t="s">
        <v>12338</v>
      </c>
      <c r="G4950" s="58" t="s">
        <v>11773</v>
      </c>
      <c r="H4950" s="546">
        <v>5821.02</v>
      </c>
      <c r="I4950" s="66">
        <v>45132</v>
      </c>
      <c r="J4950" s="411" t="s">
        <v>12332</v>
      </c>
      <c r="K4950" s="58"/>
      <c r="L4950" s="99"/>
      <c r="M4950" s="70" t="s">
        <v>8045</v>
      </c>
      <c r="N4950" s="97" t="s">
        <v>387</v>
      </c>
      <c r="O4950" s="45" t="s">
        <v>150</v>
      </c>
      <c r="P4950" s="58" t="s">
        <v>51</v>
      </c>
      <c r="Q4950" s="58" t="s">
        <v>105</v>
      </c>
      <c r="R4950" s="58" t="s">
        <v>272</v>
      </c>
    </row>
    <row r="4951" spans="1:18" ht="69" customHeight="1">
      <c r="A4951" s="168"/>
      <c r="B4951" s="178">
        <v>2073</v>
      </c>
      <c r="C4951" s="178" t="s">
        <v>4277</v>
      </c>
      <c r="D4951" s="575" t="s">
        <v>12339</v>
      </c>
      <c r="E4951" s="178" t="s">
        <v>7985</v>
      </c>
      <c r="F4951" s="210" t="s">
        <v>12340</v>
      </c>
      <c r="G4951" s="58" t="s">
        <v>12341</v>
      </c>
      <c r="H4951" s="546">
        <v>285033.31</v>
      </c>
      <c r="I4951" s="66">
        <v>45124</v>
      </c>
      <c r="J4951" s="411" t="s">
        <v>12342</v>
      </c>
      <c r="K4951" s="58"/>
      <c r="L4951" s="99"/>
      <c r="M4951" s="70" t="s">
        <v>5471</v>
      </c>
      <c r="N4951" s="97" t="s">
        <v>1372</v>
      </c>
      <c r="O4951" s="58"/>
      <c r="P4951" s="58" t="s">
        <v>57</v>
      </c>
      <c r="Q4951" s="58" t="s">
        <v>62</v>
      </c>
      <c r="R4951" s="58" t="s">
        <v>272</v>
      </c>
    </row>
    <row r="4952" spans="1:18" ht="69" customHeight="1">
      <c r="A4952" s="168"/>
      <c r="B4952" s="178">
        <v>2074</v>
      </c>
      <c r="C4952" s="178" t="s">
        <v>458</v>
      </c>
      <c r="D4952" s="575" t="s">
        <v>12343</v>
      </c>
      <c r="E4952" s="178" t="s">
        <v>409</v>
      </c>
      <c r="F4952" s="210" t="s">
        <v>12344</v>
      </c>
      <c r="G4952" s="58" t="s">
        <v>8341</v>
      </c>
      <c r="H4952" s="546">
        <v>38565.5</v>
      </c>
      <c r="I4952" s="66">
        <v>45124</v>
      </c>
      <c r="J4952" s="411" t="s">
        <v>12345</v>
      </c>
      <c r="K4952" s="58"/>
      <c r="L4952" s="99"/>
      <c r="M4952" s="70" t="s">
        <v>11611</v>
      </c>
      <c r="N4952" s="97" t="s">
        <v>741</v>
      </c>
      <c r="O4952" s="58"/>
      <c r="P4952" s="58" t="s">
        <v>59</v>
      </c>
      <c r="Q4952" s="58" t="s">
        <v>112</v>
      </c>
      <c r="R4952" s="58" t="s">
        <v>272</v>
      </c>
    </row>
    <row r="4953" spans="1:18" ht="69" customHeight="1">
      <c r="A4953" s="168"/>
      <c r="B4953" s="178">
        <v>2075</v>
      </c>
      <c r="C4953" s="178" t="s">
        <v>458</v>
      </c>
      <c r="D4953" s="575" t="s">
        <v>12346</v>
      </c>
      <c r="E4953" s="178" t="s">
        <v>409</v>
      </c>
      <c r="F4953" s="210" t="s">
        <v>12347</v>
      </c>
      <c r="G4953" s="58" t="s">
        <v>8341</v>
      </c>
      <c r="H4953" s="546">
        <v>154262.01</v>
      </c>
      <c r="I4953" s="66">
        <v>45124</v>
      </c>
      <c r="J4953" s="411" t="s">
        <v>12345</v>
      </c>
      <c r="K4953" s="58"/>
      <c r="L4953" s="99"/>
      <c r="M4953" s="70" t="s">
        <v>11611</v>
      </c>
      <c r="N4953" s="97" t="s">
        <v>741</v>
      </c>
      <c r="O4953" s="58"/>
      <c r="P4953" s="58" t="s">
        <v>59</v>
      </c>
      <c r="Q4953" s="58" t="s">
        <v>112</v>
      </c>
      <c r="R4953" s="58" t="s">
        <v>272</v>
      </c>
    </row>
    <row r="4954" spans="1:18" ht="69" customHeight="1">
      <c r="A4954" s="168"/>
      <c r="B4954" s="178">
        <v>2076</v>
      </c>
      <c r="C4954" s="178" t="s">
        <v>11618</v>
      </c>
      <c r="D4954" s="575" t="s">
        <v>12348</v>
      </c>
      <c r="E4954" s="178" t="s">
        <v>409</v>
      </c>
      <c r="F4954" s="210" t="s">
        <v>12349</v>
      </c>
      <c r="G4954" s="58" t="s">
        <v>7706</v>
      </c>
      <c r="H4954" s="546">
        <v>66081.75</v>
      </c>
      <c r="I4954" s="66">
        <v>45124</v>
      </c>
      <c r="J4954" s="411" t="s">
        <v>12350</v>
      </c>
      <c r="K4954" s="58"/>
      <c r="L4954" s="99"/>
      <c r="M4954" s="70" t="s">
        <v>11224</v>
      </c>
      <c r="N4954" s="97" t="s">
        <v>11225</v>
      </c>
      <c r="O4954" s="58" t="s">
        <v>11226</v>
      </c>
      <c r="P4954" s="58" t="s">
        <v>59</v>
      </c>
      <c r="Q4954" s="58" t="s">
        <v>122</v>
      </c>
      <c r="R4954" s="58" t="s">
        <v>272</v>
      </c>
    </row>
    <row r="4955" spans="1:18" ht="69" customHeight="1">
      <c r="A4955" s="168"/>
      <c r="B4955" s="178">
        <v>2077</v>
      </c>
      <c r="C4955" s="178" t="s">
        <v>11618</v>
      </c>
      <c r="D4955" s="575" t="s">
        <v>12351</v>
      </c>
      <c r="E4955" s="178" t="s">
        <v>409</v>
      </c>
      <c r="F4955" s="210" t="s">
        <v>12352</v>
      </c>
      <c r="G4955" s="58" t="s">
        <v>7706</v>
      </c>
      <c r="H4955" s="546">
        <v>264327</v>
      </c>
      <c r="I4955" s="66">
        <v>45124</v>
      </c>
      <c r="J4955" s="411" t="s">
        <v>12350</v>
      </c>
      <c r="K4955" s="58"/>
      <c r="L4955" s="99"/>
      <c r="M4955" s="70" t="s">
        <v>11224</v>
      </c>
      <c r="N4955" s="97" t="s">
        <v>11225</v>
      </c>
      <c r="O4955" s="58" t="s">
        <v>11226</v>
      </c>
      <c r="P4955" s="58" t="s">
        <v>59</v>
      </c>
      <c r="Q4955" s="58" t="s">
        <v>122</v>
      </c>
      <c r="R4955" s="58" t="s">
        <v>272</v>
      </c>
    </row>
    <row r="4956" spans="1:18" ht="69" customHeight="1">
      <c r="A4956" s="168"/>
      <c r="B4956" s="178">
        <v>2078</v>
      </c>
      <c r="C4956" s="178" t="s">
        <v>458</v>
      </c>
      <c r="D4956" s="575" t="s">
        <v>12353</v>
      </c>
      <c r="E4956" s="178" t="s">
        <v>409</v>
      </c>
      <c r="F4956" s="210" t="s">
        <v>11925</v>
      </c>
      <c r="G4956" s="58" t="s">
        <v>8341</v>
      </c>
      <c r="H4956" s="546">
        <v>54465.49</v>
      </c>
      <c r="I4956" s="66">
        <v>45124</v>
      </c>
      <c r="J4956" s="411" t="s">
        <v>12354</v>
      </c>
      <c r="K4956" s="58"/>
      <c r="L4956" s="99"/>
      <c r="M4956" s="70" t="s">
        <v>11628</v>
      </c>
      <c r="N4956" s="97" t="s">
        <v>741</v>
      </c>
      <c r="O4956" s="58"/>
      <c r="P4956" s="58" t="s">
        <v>59</v>
      </c>
      <c r="Q4956" s="58" t="s">
        <v>88</v>
      </c>
      <c r="R4956" s="58" t="s">
        <v>272</v>
      </c>
    </row>
    <row r="4957" spans="1:18" ht="69" customHeight="1">
      <c r="A4957" s="168"/>
      <c r="B4957" s="178">
        <v>2079</v>
      </c>
      <c r="C4957" s="178" t="s">
        <v>458</v>
      </c>
      <c r="D4957" s="575" t="s">
        <v>12355</v>
      </c>
      <c r="E4957" s="178" t="s">
        <v>409</v>
      </c>
      <c r="F4957" s="210" t="s">
        <v>11928</v>
      </c>
      <c r="G4957" s="58" t="s">
        <v>8341</v>
      </c>
      <c r="H4957" s="546">
        <v>217861.97</v>
      </c>
      <c r="I4957" s="66">
        <v>45124</v>
      </c>
      <c r="J4957" s="411" t="s">
        <v>12354</v>
      </c>
      <c r="K4957" s="58"/>
      <c r="L4957" s="99"/>
      <c r="M4957" s="70" t="s">
        <v>11628</v>
      </c>
      <c r="N4957" s="97" t="s">
        <v>741</v>
      </c>
      <c r="O4957" s="58"/>
      <c r="P4957" s="58" t="s">
        <v>59</v>
      </c>
      <c r="Q4957" s="58" t="s">
        <v>88</v>
      </c>
      <c r="R4957" s="58" t="s">
        <v>272</v>
      </c>
    </row>
    <row r="4958" spans="1:18" ht="69" customHeight="1">
      <c r="A4958" s="168"/>
      <c r="B4958" s="178">
        <v>2080</v>
      </c>
      <c r="C4958" s="178" t="s">
        <v>11050</v>
      </c>
      <c r="D4958" s="575" t="s">
        <v>4673</v>
      </c>
      <c r="E4958" s="178" t="s">
        <v>409</v>
      </c>
      <c r="F4958" s="210" t="s">
        <v>12356</v>
      </c>
      <c r="G4958" s="58" t="s">
        <v>12357</v>
      </c>
      <c r="H4958" s="546">
        <v>71737.14</v>
      </c>
      <c r="I4958" s="66">
        <v>45132</v>
      </c>
      <c r="J4958" s="411" t="s">
        <v>12358</v>
      </c>
      <c r="K4958" s="58"/>
      <c r="L4958" s="99"/>
      <c r="M4958" s="70" t="s">
        <v>12359</v>
      </c>
      <c r="N4958" s="97" t="s">
        <v>1372</v>
      </c>
      <c r="O4958" s="58"/>
      <c r="P4958" s="58" t="s">
        <v>57</v>
      </c>
      <c r="Q4958" s="58" t="s">
        <v>35</v>
      </c>
      <c r="R4958" s="58" t="s">
        <v>272</v>
      </c>
    </row>
    <row r="4959" spans="1:18" ht="69" customHeight="1">
      <c r="A4959" s="168"/>
      <c r="B4959" s="178" t="s">
        <v>9138</v>
      </c>
      <c r="C4959" s="178" t="s">
        <v>458</v>
      </c>
      <c r="D4959" s="575"/>
      <c r="E4959" s="178" t="s">
        <v>260</v>
      </c>
      <c r="F4959" s="210" t="s">
        <v>9139</v>
      </c>
      <c r="G4959" s="58" t="s">
        <v>7080</v>
      </c>
      <c r="H4959" s="546">
        <v>7905</v>
      </c>
      <c r="I4959" s="66" t="s">
        <v>96</v>
      </c>
      <c r="J4959" s="411" t="s">
        <v>7081</v>
      </c>
      <c r="K4959" s="58"/>
      <c r="L4959" s="99"/>
      <c r="M4959" s="70" t="s">
        <v>9092</v>
      </c>
      <c r="N4959" s="97" t="s">
        <v>264</v>
      </c>
      <c r="O4959" s="58" t="s">
        <v>141</v>
      </c>
      <c r="P4959" s="58" t="s">
        <v>17</v>
      </c>
      <c r="Q4959" s="58" t="s">
        <v>113</v>
      </c>
      <c r="R4959" s="58" t="s">
        <v>265</v>
      </c>
    </row>
    <row r="4960" spans="1:18" ht="69" customHeight="1">
      <c r="A4960" s="168"/>
      <c r="B4960" s="178">
        <v>6398</v>
      </c>
      <c r="C4960" s="59" t="s">
        <v>3667</v>
      </c>
      <c r="D4960" s="575">
        <v>554</v>
      </c>
      <c r="E4960" s="178" t="s">
        <v>283</v>
      </c>
      <c r="F4960" s="210" t="s">
        <v>12360</v>
      </c>
      <c r="G4960" s="58" t="s">
        <v>5946</v>
      </c>
      <c r="H4960" s="546">
        <v>37580</v>
      </c>
      <c r="I4960" s="66">
        <v>44804</v>
      </c>
      <c r="J4960" s="411" t="s">
        <v>12361</v>
      </c>
      <c r="K4960" s="58"/>
      <c r="L4960" s="99"/>
      <c r="M4960" s="70" t="s">
        <v>9092</v>
      </c>
      <c r="N4960" s="97" t="s">
        <v>264</v>
      </c>
      <c r="O4960" s="58" t="s">
        <v>141</v>
      </c>
      <c r="P4960" s="58" t="s">
        <v>17</v>
      </c>
      <c r="Q4960" s="58" t="s">
        <v>70</v>
      </c>
      <c r="R4960" s="58" t="s">
        <v>272</v>
      </c>
    </row>
    <row r="4961" spans="1:18" ht="69" customHeight="1">
      <c r="A4961" s="168"/>
      <c r="B4961" s="178">
        <v>2081</v>
      </c>
      <c r="C4961" s="178" t="s">
        <v>10947</v>
      </c>
      <c r="D4961" s="575" t="s">
        <v>5472</v>
      </c>
      <c r="E4961" s="178" t="s">
        <v>12262</v>
      </c>
      <c r="F4961" s="210" t="s">
        <v>12362</v>
      </c>
      <c r="G4961" s="58" t="s">
        <v>10852</v>
      </c>
      <c r="H4961" s="546">
        <v>152945.68</v>
      </c>
      <c r="I4961" s="66">
        <v>45132</v>
      </c>
      <c r="J4961" s="411" t="s">
        <v>12363</v>
      </c>
      <c r="K4961" s="58"/>
      <c r="L4961" s="99"/>
      <c r="M4961" s="70" t="s">
        <v>7325</v>
      </c>
      <c r="N4961" s="97" t="s">
        <v>1044</v>
      </c>
      <c r="O4961" s="58"/>
      <c r="P4961" s="58" t="s">
        <v>26</v>
      </c>
      <c r="Q4961" s="58" t="s">
        <v>100</v>
      </c>
      <c r="R4961" s="58" t="s">
        <v>272</v>
      </c>
    </row>
    <row r="4962" spans="1:18" ht="69" customHeight="1">
      <c r="A4962" s="168"/>
      <c r="B4962" s="178">
        <v>2082</v>
      </c>
      <c r="C4962" s="178" t="s">
        <v>1853</v>
      </c>
      <c r="D4962" s="575" t="s">
        <v>12364</v>
      </c>
      <c r="E4962" s="178" t="s">
        <v>10845</v>
      </c>
      <c r="F4962" s="210" t="s">
        <v>12365</v>
      </c>
      <c r="G4962" s="58" t="s">
        <v>12280</v>
      </c>
      <c r="H4962" s="546">
        <v>58190.86</v>
      </c>
      <c r="I4962" s="66">
        <v>45132</v>
      </c>
      <c r="J4962" s="411" t="s">
        <v>12366</v>
      </c>
      <c r="K4962" s="58"/>
      <c r="L4962" s="99"/>
      <c r="M4962" s="70" t="s">
        <v>1692</v>
      </c>
      <c r="N4962" s="97" t="s">
        <v>356</v>
      </c>
      <c r="O4962" s="58" t="s">
        <v>156</v>
      </c>
      <c r="P4962" s="58" t="s">
        <v>19</v>
      </c>
      <c r="Q4962" s="58" t="s">
        <v>29</v>
      </c>
      <c r="R4962" s="58" t="s">
        <v>272</v>
      </c>
    </row>
    <row r="4963" spans="1:18" ht="69" customHeight="1">
      <c r="A4963" s="168"/>
      <c r="B4963" s="178">
        <v>2083</v>
      </c>
      <c r="C4963" s="178" t="s">
        <v>11047</v>
      </c>
      <c r="D4963" s="575" t="s">
        <v>6884</v>
      </c>
      <c r="E4963" s="178" t="s">
        <v>10845</v>
      </c>
      <c r="F4963" s="210" t="s">
        <v>12367</v>
      </c>
      <c r="G4963" s="58" t="s">
        <v>12280</v>
      </c>
      <c r="H4963" s="546">
        <v>158682.13</v>
      </c>
      <c r="I4963" s="66">
        <v>45132</v>
      </c>
      <c r="J4963" s="411" t="s">
        <v>12366</v>
      </c>
      <c r="K4963" s="58"/>
      <c r="L4963" s="99"/>
      <c r="M4963" s="70" t="s">
        <v>2214</v>
      </c>
      <c r="N4963" s="97" t="s">
        <v>356</v>
      </c>
      <c r="O4963" s="58" t="s">
        <v>156</v>
      </c>
      <c r="P4963" s="58" t="s">
        <v>19</v>
      </c>
      <c r="Q4963" s="58" t="s">
        <v>33</v>
      </c>
      <c r="R4963" s="58" t="s">
        <v>272</v>
      </c>
    </row>
    <row r="4964" spans="1:18" ht="69" customHeight="1">
      <c r="A4964" s="168"/>
      <c r="B4964" s="178">
        <v>2084</v>
      </c>
      <c r="C4964" s="178" t="s">
        <v>657</v>
      </c>
      <c r="D4964" s="575" t="s">
        <v>1396</v>
      </c>
      <c r="E4964" s="178" t="s">
        <v>382</v>
      </c>
      <c r="F4964" s="210" t="s">
        <v>12368</v>
      </c>
      <c r="G4964" s="58" t="s">
        <v>4724</v>
      </c>
      <c r="H4964" s="546">
        <v>2892.13</v>
      </c>
      <c r="I4964" s="66">
        <v>45132</v>
      </c>
      <c r="J4964" s="411" t="s">
        <v>12369</v>
      </c>
      <c r="K4964" s="58"/>
      <c r="L4964" s="99"/>
      <c r="M4964" s="70" t="s">
        <v>8188</v>
      </c>
      <c r="N4964" s="97" t="s">
        <v>387</v>
      </c>
      <c r="O4964" s="58" t="s">
        <v>150</v>
      </c>
      <c r="P4964" s="58" t="s">
        <v>51</v>
      </c>
      <c r="Q4964" s="58" t="s">
        <v>106</v>
      </c>
      <c r="R4964" s="58" t="s">
        <v>272</v>
      </c>
    </row>
    <row r="4965" spans="1:18" ht="69" customHeight="1">
      <c r="A4965" s="168"/>
      <c r="B4965" s="178">
        <v>2085</v>
      </c>
      <c r="C4965" s="178" t="s">
        <v>458</v>
      </c>
      <c r="D4965" s="575" t="s">
        <v>6587</v>
      </c>
      <c r="E4965" s="178" t="s">
        <v>382</v>
      </c>
      <c r="F4965" s="210" t="s">
        <v>12370</v>
      </c>
      <c r="G4965" s="58" t="s">
        <v>4724</v>
      </c>
      <c r="H4965" s="546">
        <v>2892.13</v>
      </c>
      <c r="I4965" s="66">
        <v>45132</v>
      </c>
      <c r="J4965" s="411" t="s">
        <v>12369</v>
      </c>
      <c r="K4965" s="58"/>
      <c r="L4965" s="99"/>
      <c r="M4965" s="70" t="s">
        <v>8045</v>
      </c>
      <c r="N4965" s="97" t="s">
        <v>387</v>
      </c>
      <c r="O4965" s="45" t="s">
        <v>150</v>
      </c>
      <c r="P4965" s="58" t="s">
        <v>51</v>
      </c>
      <c r="Q4965" s="58" t="s">
        <v>105</v>
      </c>
      <c r="R4965" s="58" t="s">
        <v>272</v>
      </c>
    </row>
    <row r="4966" spans="1:18" ht="69" customHeight="1">
      <c r="A4966" s="168"/>
      <c r="B4966" s="178">
        <v>2086</v>
      </c>
      <c r="C4966" s="178" t="s">
        <v>309</v>
      </c>
      <c r="D4966" s="575" t="s">
        <v>5123</v>
      </c>
      <c r="E4966" s="178" t="s">
        <v>382</v>
      </c>
      <c r="F4966" s="210" t="s">
        <v>12371</v>
      </c>
      <c r="G4966" s="58" t="s">
        <v>4724</v>
      </c>
      <c r="H4966" s="546">
        <v>2892.13</v>
      </c>
      <c r="I4966" s="66">
        <v>45132</v>
      </c>
      <c r="J4966" s="411" t="s">
        <v>12369</v>
      </c>
      <c r="K4966" s="58"/>
      <c r="L4966" s="99"/>
      <c r="M4966" s="70" t="s">
        <v>1319</v>
      </c>
      <c r="N4966" s="97" t="s">
        <v>387</v>
      </c>
      <c r="O4966" s="58" t="s">
        <v>150</v>
      </c>
      <c r="P4966" s="58" t="s">
        <v>51</v>
      </c>
      <c r="Q4966" s="58" t="s">
        <v>25</v>
      </c>
      <c r="R4966" s="58" t="s">
        <v>272</v>
      </c>
    </row>
    <row r="4967" spans="1:18" ht="69" customHeight="1">
      <c r="A4967" s="168"/>
      <c r="B4967" s="178">
        <v>2087</v>
      </c>
      <c r="C4967" s="178" t="s">
        <v>458</v>
      </c>
      <c r="D4967" s="575" t="s">
        <v>6583</v>
      </c>
      <c r="E4967" s="178" t="s">
        <v>7890</v>
      </c>
      <c r="F4967" s="210" t="s">
        <v>12372</v>
      </c>
      <c r="G4967" s="58" t="s">
        <v>4724</v>
      </c>
      <c r="H4967" s="546">
        <v>46036</v>
      </c>
      <c r="I4967" s="66">
        <v>45132</v>
      </c>
      <c r="J4967" s="411" t="s">
        <v>12373</v>
      </c>
      <c r="K4967" s="58"/>
      <c r="L4967" s="99"/>
      <c r="M4967" s="70" t="s">
        <v>8351</v>
      </c>
      <c r="N4967" s="97" t="s">
        <v>414</v>
      </c>
      <c r="O4967" s="58"/>
      <c r="P4967" s="58" t="s">
        <v>22</v>
      </c>
      <c r="Q4967" s="58" t="s">
        <v>107</v>
      </c>
      <c r="R4967" s="58" t="s">
        <v>265</v>
      </c>
    </row>
    <row r="4968" spans="1:18" ht="69" customHeight="1">
      <c r="A4968" s="168"/>
      <c r="B4968" s="178">
        <v>2088</v>
      </c>
      <c r="C4968" s="178" t="s">
        <v>2182</v>
      </c>
      <c r="D4968" s="575" t="s">
        <v>5460</v>
      </c>
      <c r="E4968" s="178" t="s">
        <v>10845</v>
      </c>
      <c r="F4968" s="210" t="s">
        <v>12374</v>
      </c>
      <c r="G4968" s="58" t="s">
        <v>12280</v>
      </c>
      <c r="H4968" s="546">
        <v>400000</v>
      </c>
      <c r="I4968" s="66">
        <v>45132</v>
      </c>
      <c r="J4968" s="411" t="s">
        <v>12375</v>
      </c>
      <c r="K4968" s="58"/>
      <c r="L4968" s="99"/>
      <c r="M4968" s="70" t="s">
        <v>1983</v>
      </c>
      <c r="N4968" s="97" t="s">
        <v>356</v>
      </c>
      <c r="O4968" s="58" t="s">
        <v>156</v>
      </c>
      <c r="P4968" s="58" t="s">
        <v>19</v>
      </c>
      <c r="Q4968" s="58" t="s">
        <v>31</v>
      </c>
      <c r="R4968" s="58" t="s">
        <v>272</v>
      </c>
    </row>
    <row r="4969" spans="1:18" ht="69" customHeight="1">
      <c r="A4969" s="168"/>
      <c r="B4969" s="191">
        <v>2089</v>
      </c>
      <c r="C4969" s="191" t="s">
        <v>458</v>
      </c>
      <c r="D4969" s="533" t="s">
        <v>12376</v>
      </c>
      <c r="E4969" s="191" t="s">
        <v>1056</v>
      </c>
      <c r="F4969" s="211" t="s">
        <v>12377</v>
      </c>
      <c r="G4969" s="46" t="s">
        <v>11439</v>
      </c>
      <c r="H4969" s="546">
        <v>27000</v>
      </c>
      <c r="I4969" s="56">
        <v>45132</v>
      </c>
      <c r="J4969" s="412" t="s">
        <v>12378</v>
      </c>
      <c r="K4969" s="46" t="s">
        <v>11441</v>
      </c>
      <c r="L4969" s="99"/>
      <c r="M4969" s="379"/>
      <c r="N4969" s="76"/>
      <c r="O4969" s="46" t="s">
        <v>1061</v>
      </c>
      <c r="P4969" s="46" t="s">
        <v>36</v>
      </c>
      <c r="Q4969" s="46" t="s">
        <v>90</v>
      </c>
      <c r="R4969" s="46" t="s">
        <v>272</v>
      </c>
    </row>
    <row r="4970" spans="1:18" ht="69" customHeight="1">
      <c r="A4970" s="168"/>
      <c r="B4970" s="191">
        <v>2090</v>
      </c>
      <c r="C4970" s="191" t="s">
        <v>657</v>
      </c>
      <c r="D4970" s="533" t="s">
        <v>1627</v>
      </c>
      <c r="E4970" s="191" t="s">
        <v>1056</v>
      </c>
      <c r="F4970" s="211" t="s">
        <v>12379</v>
      </c>
      <c r="G4970" s="46" t="s">
        <v>11439</v>
      </c>
      <c r="H4970" s="546">
        <v>19440</v>
      </c>
      <c r="I4970" s="56">
        <v>45132</v>
      </c>
      <c r="J4970" s="412" t="s">
        <v>12378</v>
      </c>
      <c r="K4970" s="46" t="s">
        <v>11441</v>
      </c>
      <c r="L4970" s="99"/>
      <c r="M4970" s="379"/>
      <c r="N4970" s="76"/>
      <c r="O4970" s="46" t="s">
        <v>1061</v>
      </c>
      <c r="P4970" s="46" t="s">
        <v>36</v>
      </c>
      <c r="Q4970" s="46" t="s">
        <v>99</v>
      </c>
      <c r="R4970" s="46" t="s">
        <v>272</v>
      </c>
    </row>
    <row r="4971" spans="1:18" ht="69" customHeight="1">
      <c r="A4971" s="168"/>
      <c r="B4971" s="191">
        <v>2091</v>
      </c>
      <c r="C4971" s="59" t="s">
        <v>3667</v>
      </c>
      <c r="D4971" s="533" t="s">
        <v>12380</v>
      </c>
      <c r="E4971" s="191" t="s">
        <v>1056</v>
      </c>
      <c r="F4971" s="211" t="s">
        <v>12381</v>
      </c>
      <c r="G4971" s="46" t="s">
        <v>11439</v>
      </c>
      <c r="H4971" s="546">
        <v>34560</v>
      </c>
      <c r="I4971" s="56">
        <v>45132</v>
      </c>
      <c r="J4971" s="412" t="s">
        <v>12378</v>
      </c>
      <c r="K4971" s="46" t="s">
        <v>11441</v>
      </c>
      <c r="L4971" s="99"/>
      <c r="M4971" s="379"/>
      <c r="N4971" s="76"/>
      <c r="O4971" s="46" t="s">
        <v>1061</v>
      </c>
      <c r="P4971" s="46" t="s">
        <v>36</v>
      </c>
      <c r="Q4971" s="46" t="s">
        <v>49</v>
      </c>
      <c r="R4971" s="46" t="s">
        <v>272</v>
      </c>
    </row>
    <row r="4972" spans="1:18" ht="69" customHeight="1">
      <c r="A4972" s="168"/>
      <c r="B4972" s="191">
        <v>2092</v>
      </c>
      <c r="C4972" s="191" t="s">
        <v>309</v>
      </c>
      <c r="D4972" s="533" t="s">
        <v>6575</v>
      </c>
      <c r="E4972" s="191" t="s">
        <v>1056</v>
      </c>
      <c r="F4972" s="211" t="s">
        <v>12382</v>
      </c>
      <c r="G4972" s="46" t="s">
        <v>11439</v>
      </c>
      <c r="H4972" s="546">
        <v>27000</v>
      </c>
      <c r="I4972" s="56">
        <v>45132</v>
      </c>
      <c r="J4972" s="412" t="s">
        <v>12378</v>
      </c>
      <c r="K4972" s="46" t="s">
        <v>11441</v>
      </c>
      <c r="L4972" s="99"/>
      <c r="M4972" s="379"/>
      <c r="N4972" s="76"/>
      <c r="O4972" s="46" t="s">
        <v>1061</v>
      </c>
      <c r="P4972" s="46" t="s">
        <v>36</v>
      </c>
      <c r="Q4972" s="46" t="s">
        <v>15</v>
      </c>
      <c r="R4972" s="46" t="s">
        <v>272</v>
      </c>
    </row>
    <row r="4973" spans="1:18" ht="69" customHeight="1">
      <c r="A4973" s="168"/>
      <c r="B4973" s="191">
        <v>2093</v>
      </c>
      <c r="C4973" s="191" t="s">
        <v>309</v>
      </c>
      <c r="D4973" s="533" t="s">
        <v>6738</v>
      </c>
      <c r="E4973" s="191" t="s">
        <v>1056</v>
      </c>
      <c r="F4973" s="211" t="s">
        <v>12383</v>
      </c>
      <c r="G4973" s="46" t="s">
        <v>11449</v>
      </c>
      <c r="H4973" s="546">
        <v>108174.97</v>
      </c>
      <c r="I4973" s="56">
        <v>45132</v>
      </c>
      <c r="J4973" s="412" t="s">
        <v>12378</v>
      </c>
      <c r="K4973" s="46" t="s">
        <v>11441</v>
      </c>
      <c r="L4973" s="99"/>
      <c r="M4973" s="379"/>
      <c r="N4973" s="76"/>
      <c r="O4973" s="46" t="s">
        <v>1061</v>
      </c>
      <c r="P4973" s="46" t="s">
        <v>36</v>
      </c>
      <c r="Q4973" s="46" t="s">
        <v>15</v>
      </c>
      <c r="R4973" s="46" t="s">
        <v>272</v>
      </c>
    </row>
    <row r="4974" spans="1:18" ht="69" customHeight="1">
      <c r="A4974" s="168"/>
      <c r="B4974" s="191">
        <v>2094</v>
      </c>
      <c r="C4974" s="191" t="s">
        <v>458</v>
      </c>
      <c r="D4974" s="533" t="s">
        <v>12384</v>
      </c>
      <c r="E4974" s="191" t="s">
        <v>1056</v>
      </c>
      <c r="F4974" s="211" t="s">
        <v>12385</v>
      </c>
      <c r="G4974" s="46" t="s">
        <v>11449</v>
      </c>
      <c r="H4974" s="546">
        <v>108174.97</v>
      </c>
      <c r="I4974" s="56">
        <v>45132</v>
      </c>
      <c r="J4974" s="412" t="s">
        <v>12378</v>
      </c>
      <c r="K4974" s="46" t="s">
        <v>11441</v>
      </c>
      <c r="L4974" s="99"/>
      <c r="M4974" s="379"/>
      <c r="N4974" s="76"/>
      <c r="O4974" s="46" t="s">
        <v>1061</v>
      </c>
      <c r="P4974" s="46" t="s">
        <v>36</v>
      </c>
      <c r="Q4974" s="46" t="s">
        <v>90</v>
      </c>
      <c r="R4974" s="46" t="s">
        <v>272</v>
      </c>
    </row>
    <row r="4975" spans="1:18" ht="69" customHeight="1">
      <c r="A4975" s="168"/>
      <c r="B4975" s="191">
        <v>2095</v>
      </c>
      <c r="C4975" s="191" t="s">
        <v>657</v>
      </c>
      <c r="D4975" s="533" t="s">
        <v>3518</v>
      </c>
      <c r="E4975" s="191" t="s">
        <v>1056</v>
      </c>
      <c r="F4975" s="211" t="s">
        <v>12386</v>
      </c>
      <c r="G4975" s="46" t="s">
        <v>11449</v>
      </c>
      <c r="H4975" s="546">
        <v>77885.98</v>
      </c>
      <c r="I4975" s="56">
        <v>45132</v>
      </c>
      <c r="J4975" s="412" t="s">
        <v>12378</v>
      </c>
      <c r="K4975" s="46" t="s">
        <v>11441</v>
      </c>
      <c r="L4975" s="99"/>
      <c r="M4975" s="379"/>
      <c r="N4975" s="76"/>
      <c r="O4975" s="46" t="s">
        <v>1061</v>
      </c>
      <c r="P4975" s="46" t="s">
        <v>36</v>
      </c>
      <c r="Q4975" s="46" t="s">
        <v>99</v>
      </c>
      <c r="R4975" s="46" t="s">
        <v>272</v>
      </c>
    </row>
    <row r="4976" spans="1:18" ht="69" customHeight="1">
      <c r="A4976" s="168"/>
      <c r="B4976" s="191">
        <v>2096</v>
      </c>
      <c r="C4976" s="59" t="s">
        <v>3667</v>
      </c>
      <c r="D4976" s="533" t="s">
        <v>12387</v>
      </c>
      <c r="E4976" s="191" t="s">
        <v>1056</v>
      </c>
      <c r="F4976" s="211" t="s">
        <v>12388</v>
      </c>
      <c r="G4976" s="46" t="s">
        <v>11449</v>
      </c>
      <c r="H4976" s="546">
        <v>138463.96</v>
      </c>
      <c r="I4976" s="56">
        <v>45132</v>
      </c>
      <c r="J4976" s="412" t="s">
        <v>12378</v>
      </c>
      <c r="K4976" s="46" t="s">
        <v>11441</v>
      </c>
      <c r="L4976" s="99"/>
      <c r="M4976" s="379"/>
      <c r="N4976" s="76"/>
      <c r="O4976" s="46" t="s">
        <v>1061</v>
      </c>
      <c r="P4976" s="46" t="s">
        <v>36</v>
      </c>
      <c r="Q4976" s="46" t="s">
        <v>49</v>
      </c>
      <c r="R4976" s="46" t="s">
        <v>272</v>
      </c>
    </row>
    <row r="4977" spans="1:18" ht="69" customHeight="1">
      <c r="A4977" s="168"/>
      <c r="B4977" s="178">
        <v>2097</v>
      </c>
      <c r="C4977" s="178" t="s">
        <v>309</v>
      </c>
      <c r="D4977" s="575" t="s">
        <v>5854</v>
      </c>
      <c r="E4977" s="178" t="s">
        <v>12234</v>
      </c>
      <c r="F4977" s="210" t="s">
        <v>12389</v>
      </c>
      <c r="G4977" s="58" t="s">
        <v>12390</v>
      </c>
      <c r="H4977" s="546">
        <v>60000</v>
      </c>
      <c r="I4977" s="66">
        <v>45132</v>
      </c>
      <c r="J4977" s="411" t="s">
        <v>12391</v>
      </c>
      <c r="K4977" s="58" t="s">
        <v>354</v>
      </c>
      <c r="L4977" s="99"/>
      <c r="M4977" s="70" t="s">
        <v>355</v>
      </c>
      <c r="N4977" s="97" t="s">
        <v>356</v>
      </c>
      <c r="O4977" s="58" t="s">
        <v>141</v>
      </c>
      <c r="P4977" s="58" t="s">
        <v>19</v>
      </c>
      <c r="Q4977" s="58" t="s">
        <v>13</v>
      </c>
      <c r="R4977" s="58" t="s">
        <v>265</v>
      </c>
    </row>
    <row r="4978" spans="1:18" ht="69" customHeight="1">
      <c r="A4978" s="168"/>
      <c r="B4978" s="178">
        <v>2098</v>
      </c>
      <c r="C4978" s="178" t="s">
        <v>458</v>
      </c>
      <c r="D4978" s="575" t="s">
        <v>12392</v>
      </c>
      <c r="E4978" s="178" t="s">
        <v>12234</v>
      </c>
      <c r="F4978" s="210" t="s">
        <v>12393</v>
      </c>
      <c r="G4978" s="58" t="s">
        <v>12390</v>
      </c>
      <c r="H4978" s="546">
        <v>40000</v>
      </c>
      <c r="I4978" s="66">
        <v>45132</v>
      </c>
      <c r="J4978" s="411" t="s">
        <v>12391</v>
      </c>
      <c r="K4978" s="58"/>
      <c r="L4978" s="99"/>
      <c r="M4978" s="70" t="s">
        <v>9112</v>
      </c>
      <c r="N4978" s="97" t="s">
        <v>356</v>
      </c>
      <c r="O4978" s="58" t="s">
        <v>141</v>
      </c>
      <c r="P4978" s="58" t="s">
        <v>19</v>
      </c>
      <c r="Q4978" s="58" t="s">
        <v>113</v>
      </c>
      <c r="R4978" s="58" t="s">
        <v>265</v>
      </c>
    </row>
    <row r="4979" spans="1:18" ht="69" customHeight="1">
      <c r="A4979" s="168"/>
      <c r="B4979" s="191">
        <v>2099</v>
      </c>
      <c r="C4979" s="191" t="s">
        <v>309</v>
      </c>
      <c r="D4979" s="533" t="s">
        <v>6202</v>
      </c>
      <c r="E4979" s="191" t="s">
        <v>1056</v>
      </c>
      <c r="F4979" s="211" t="s">
        <v>12394</v>
      </c>
      <c r="G4979" s="46" t="s">
        <v>11439</v>
      </c>
      <c r="H4979" s="546">
        <v>8268.75</v>
      </c>
      <c r="I4979" s="56">
        <v>45132</v>
      </c>
      <c r="J4979" s="412" t="s">
        <v>12395</v>
      </c>
      <c r="K4979" s="46" t="s">
        <v>11441</v>
      </c>
      <c r="L4979" s="99"/>
      <c r="M4979" s="379"/>
      <c r="N4979" s="76"/>
      <c r="O4979" s="46" t="s">
        <v>1061</v>
      </c>
      <c r="P4979" s="46" t="s">
        <v>36</v>
      </c>
      <c r="Q4979" s="46" t="s">
        <v>15</v>
      </c>
      <c r="R4979" s="46" t="s">
        <v>272</v>
      </c>
    </row>
    <row r="4980" spans="1:18" ht="69" customHeight="1">
      <c r="A4980" s="168"/>
      <c r="B4980" s="191">
        <v>2100</v>
      </c>
      <c r="C4980" s="191" t="s">
        <v>458</v>
      </c>
      <c r="D4980" s="533" t="s">
        <v>12396</v>
      </c>
      <c r="E4980" s="191" t="s">
        <v>1056</v>
      </c>
      <c r="F4980" s="211" t="s">
        <v>12397</v>
      </c>
      <c r="G4980" s="46" t="s">
        <v>11439</v>
      </c>
      <c r="H4980" s="546">
        <v>8268.75</v>
      </c>
      <c r="I4980" s="56">
        <v>45132</v>
      </c>
      <c r="J4980" s="412" t="s">
        <v>12395</v>
      </c>
      <c r="K4980" s="46" t="s">
        <v>11441</v>
      </c>
      <c r="L4980" s="99"/>
      <c r="M4980" s="379"/>
      <c r="N4980" s="76"/>
      <c r="O4980" s="46" t="s">
        <v>1061</v>
      </c>
      <c r="P4980" s="46" t="s">
        <v>36</v>
      </c>
      <c r="Q4980" s="46" t="s">
        <v>90</v>
      </c>
      <c r="R4980" s="46" t="s">
        <v>272</v>
      </c>
    </row>
    <row r="4981" spans="1:18" ht="69" customHeight="1">
      <c r="A4981" s="168"/>
      <c r="B4981" s="191">
        <v>2101</v>
      </c>
      <c r="C4981" s="191" t="s">
        <v>657</v>
      </c>
      <c r="D4981" s="533" t="s">
        <v>9230</v>
      </c>
      <c r="E4981" s="191" t="s">
        <v>1056</v>
      </c>
      <c r="F4981" s="211" t="s">
        <v>12398</v>
      </c>
      <c r="G4981" s="46" t="s">
        <v>11439</v>
      </c>
      <c r="H4981" s="546">
        <v>5953.5</v>
      </c>
      <c r="I4981" s="56">
        <v>45132</v>
      </c>
      <c r="J4981" s="412" t="s">
        <v>12395</v>
      </c>
      <c r="K4981" s="46" t="s">
        <v>11441</v>
      </c>
      <c r="L4981" s="99"/>
      <c r="M4981" s="379"/>
      <c r="N4981" s="76"/>
      <c r="O4981" s="46" t="s">
        <v>1061</v>
      </c>
      <c r="P4981" s="46" t="s">
        <v>36</v>
      </c>
      <c r="Q4981" s="46" t="s">
        <v>99</v>
      </c>
      <c r="R4981" s="46" t="s">
        <v>272</v>
      </c>
    </row>
    <row r="4982" spans="1:18" ht="69" customHeight="1">
      <c r="A4982" s="168"/>
      <c r="B4982" s="191">
        <v>2102</v>
      </c>
      <c r="C4982" s="59" t="s">
        <v>3667</v>
      </c>
      <c r="D4982" s="533" t="s">
        <v>12399</v>
      </c>
      <c r="E4982" s="191" t="s">
        <v>1056</v>
      </c>
      <c r="F4982" s="211" t="s">
        <v>12400</v>
      </c>
      <c r="G4982" s="46" t="s">
        <v>11439</v>
      </c>
      <c r="H4982" s="546">
        <v>10584</v>
      </c>
      <c r="I4982" s="56">
        <v>45132</v>
      </c>
      <c r="J4982" s="412" t="s">
        <v>12395</v>
      </c>
      <c r="K4982" s="46" t="s">
        <v>11441</v>
      </c>
      <c r="L4982" s="99"/>
      <c r="M4982" s="379"/>
      <c r="N4982" s="76"/>
      <c r="O4982" s="46" t="s">
        <v>1061</v>
      </c>
      <c r="P4982" s="46" t="s">
        <v>36</v>
      </c>
      <c r="Q4982" s="46" t="s">
        <v>49</v>
      </c>
      <c r="R4982" s="46" t="s">
        <v>272</v>
      </c>
    </row>
    <row r="4983" spans="1:18" ht="69" customHeight="1">
      <c r="A4983" s="168"/>
      <c r="B4983" s="191">
        <v>2103</v>
      </c>
      <c r="C4983" s="191" t="s">
        <v>10856</v>
      </c>
      <c r="D4983" s="533" t="s">
        <v>4290</v>
      </c>
      <c r="E4983" s="191" t="s">
        <v>266</v>
      </c>
      <c r="F4983" s="211" t="s">
        <v>12401</v>
      </c>
      <c r="G4983" s="46" t="s">
        <v>12272</v>
      </c>
      <c r="H4983" s="534">
        <v>10584</v>
      </c>
      <c r="I4983" s="56">
        <v>45143</v>
      </c>
      <c r="J4983" s="412" t="s">
        <v>12402</v>
      </c>
      <c r="K4983" s="46" t="s">
        <v>5103</v>
      </c>
      <c r="L4983" s="99"/>
      <c r="M4983" s="379"/>
      <c r="N4983" s="76" t="s">
        <v>414</v>
      </c>
      <c r="O4983" s="46"/>
      <c r="P4983" s="46" t="s">
        <v>65</v>
      </c>
      <c r="Q4983" s="46" t="s">
        <v>39</v>
      </c>
      <c r="R4983" s="46" t="s">
        <v>272</v>
      </c>
    </row>
    <row r="4984" spans="1:18" ht="69" customHeight="1">
      <c r="A4984" s="168"/>
      <c r="B4984" s="178">
        <v>2104</v>
      </c>
      <c r="C4984" s="178" t="s">
        <v>657</v>
      </c>
      <c r="D4984" s="575" t="s">
        <v>6709</v>
      </c>
      <c r="E4984" s="178" t="s">
        <v>12234</v>
      </c>
      <c r="F4984" s="210" t="s">
        <v>12403</v>
      </c>
      <c r="G4984" s="58" t="s">
        <v>12404</v>
      </c>
      <c r="H4984" s="546">
        <v>56000</v>
      </c>
      <c r="I4984" s="66">
        <v>45127</v>
      </c>
      <c r="J4984" s="411" t="s">
        <v>12405</v>
      </c>
      <c r="K4984" s="58"/>
      <c r="L4984" s="99"/>
      <c r="M4984" s="70" t="s">
        <v>7083</v>
      </c>
      <c r="N4984" s="97" t="s">
        <v>356</v>
      </c>
      <c r="O4984" s="58" t="s">
        <v>141</v>
      </c>
      <c r="P4984" s="58" t="s">
        <v>19</v>
      </c>
      <c r="Q4984" s="58" t="s">
        <v>97</v>
      </c>
      <c r="R4984" s="58" t="s">
        <v>265</v>
      </c>
    </row>
    <row r="4985" spans="1:18" ht="69" customHeight="1">
      <c r="A4985" s="168"/>
      <c r="B4985" s="178">
        <v>2105</v>
      </c>
      <c r="C4985" s="178" t="s">
        <v>12406</v>
      </c>
      <c r="D4985" s="575" t="s">
        <v>12407</v>
      </c>
      <c r="E4985" s="178" t="s">
        <v>266</v>
      </c>
      <c r="F4985" s="210" t="s">
        <v>12408</v>
      </c>
      <c r="G4985" s="58" t="s">
        <v>12409</v>
      </c>
      <c r="H4985" s="546">
        <v>8059.04</v>
      </c>
      <c r="I4985" s="66">
        <v>45119</v>
      </c>
      <c r="J4985" s="411" t="s">
        <v>12410</v>
      </c>
      <c r="K4985" s="58"/>
      <c r="L4985" s="99"/>
      <c r="M4985" s="70" t="s">
        <v>6899</v>
      </c>
      <c r="N4985" s="97" t="s">
        <v>270</v>
      </c>
      <c r="O4985" s="58"/>
      <c r="P4985" s="58" t="s">
        <v>44</v>
      </c>
      <c r="Q4985" s="58" t="s">
        <v>84</v>
      </c>
      <c r="R4985" s="58" t="s">
        <v>272</v>
      </c>
    </row>
    <row r="4986" spans="1:18" ht="69" customHeight="1">
      <c r="A4986" s="168"/>
      <c r="B4986" s="178">
        <v>2106</v>
      </c>
      <c r="C4986" s="178" t="s">
        <v>11055</v>
      </c>
      <c r="D4986" s="575"/>
      <c r="E4986" s="178" t="s">
        <v>12411</v>
      </c>
      <c r="F4986" s="210" t="s">
        <v>12412</v>
      </c>
      <c r="G4986" s="58" t="s">
        <v>12413</v>
      </c>
      <c r="H4986" s="546">
        <v>79575</v>
      </c>
      <c r="I4986" s="66">
        <v>45132</v>
      </c>
      <c r="J4986" s="411" t="s">
        <v>12414</v>
      </c>
      <c r="K4986" s="58"/>
      <c r="L4986" s="99"/>
      <c r="M4986" s="70" t="s">
        <v>12415</v>
      </c>
      <c r="N4986" s="97" t="s">
        <v>6197</v>
      </c>
      <c r="O4986" s="58"/>
      <c r="P4986" s="58" t="s">
        <v>22</v>
      </c>
      <c r="Q4986" s="58" t="s">
        <v>45</v>
      </c>
      <c r="R4986" s="58" t="s">
        <v>265</v>
      </c>
    </row>
    <row r="4987" spans="1:18" ht="69" customHeight="1">
      <c r="A4987" s="168"/>
      <c r="B4987" s="178">
        <v>2107</v>
      </c>
      <c r="C4987" s="178" t="s">
        <v>11055</v>
      </c>
      <c r="D4987" s="575"/>
      <c r="E4987" s="178" t="s">
        <v>7890</v>
      </c>
      <c r="F4987" s="210" t="s">
        <v>12416</v>
      </c>
      <c r="G4987" s="58" t="s">
        <v>12417</v>
      </c>
      <c r="H4987" s="546">
        <v>50810.9</v>
      </c>
      <c r="I4987" s="66">
        <v>45132</v>
      </c>
      <c r="J4987" s="411" t="s">
        <v>12414</v>
      </c>
      <c r="K4987" s="58"/>
      <c r="L4987" s="99"/>
      <c r="M4987" s="70" t="s">
        <v>12415</v>
      </c>
      <c r="N4987" s="97" t="s">
        <v>6197</v>
      </c>
      <c r="O4987" s="58"/>
      <c r="P4987" s="58" t="s">
        <v>22</v>
      </c>
      <c r="Q4987" s="58" t="s">
        <v>45</v>
      </c>
      <c r="R4987" s="58" t="s">
        <v>265</v>
      </c>
    </row>
    <row r="4988" spans="1:18" ht="69" customHeight="1">
      <c r="A4988" s="168"/>
      <c r="B4988" s="178">
        <v>2108</v>
      </c>
      <c r="C4988" s="178" t="s">
        <v>657</v>
      </c>
      <c r="D4988" s="575" t="s">
        <v>3099</v>
      </c>
      <c r="E4988" s="178" t="s">
        <v>6192</v>
      </c>
      <c r="F4988" s="210" t="s">
        <v>12418</v>
      </c>
      <c r="G4988" s="58" t="s">
        <v>12419</v>
      </c>
      <c r="H4988" s="546">
        <v>122865.34</v>
      </c>
      <c r="I4988" s="66">
        <v>45124</v>
      </c>
      <c r="J4988" s="411" t="s">
        <v>12420</v>
      </c>
      <c r="K4988" s="58"/>
      <c r="L4988" s="99"/>
      <c r="M4988" s="70" t="s">
        <v>7223</v>
      </c>
      <c r="N4988" s="97" t="s">
        <v>414</v>
      </c>
      <c r="O4988" s="58"/>
      <c r="P4988" s="58" t="s">
        <v>22</v>
      </c>
      <c r="Q4988" s="58" t="s">
        <v>97</v>
      </c>
      <c r="R4988" s="58" t="s">
        <v>272</v>
      </c>
    </row>
    <row r="4989" spans="1:18" ht="69" customHeight="1">
      <c r="A4989" s="168"/>
      <c r="B4989" s="178">
        <v>2109</v>
      </c>
      <c r="C4989" s="178" t="s">
        <v>657</v>
      </c>
      <c r="D4989" s="575" t="s">
        <v>1890</v>
      </c>
      <c r="E4989" s="178" t="s">
        <v>6192</v>
      </c>
      <c r="F4989" s="210" t="s">
        <v>12421</v>
      </c>
      <c r="G4989" s="58" t="s">
        <v>12422</v>
      </c>
      <c r="H4989" s="546">
        <v>66158.259999999995</v>
      </c>
      <c r="I4989" s="66">
        <v>45124</v>
      </c>
      <c r="J4989" s="411" t="s">
        <v>12420</v>
      </c>
      <c r="K4989" s="58"/>
      <c r="L4989" s="99"/>
      <c r="M4989" s="70" t="s">
        <v>7223</v>
      </c>
      <c r="N4989" s="97" t="s">
        <v>414</v>
      </c>
      <c r="O4989" s="58"/>
      <c r="P4989" s="58" t="s">
        <v>22</v>
      </c>
      <c r="Q4989" s="58" t="s">
        <v>97</v>
      </c>
      <c r="R4989" s="58" t="s">
        <v>272</v>
      </c>
    </row>
    <row r="4990" spans="1:18" ht="69" customHeight="1">
      <c r="A4990" s="168"/>
      <c r="B4990" s="178">
        <v>2110</v>
      </c>
      <c r="C4990" s="178" t="s">
        <v>657</v>
      </c>
      <c r="D4990" s="575" t="s">
        <v>3310</v>
      </c>
      <c r="E4990" s="178" t="s">
        <v>6192</v>
      </c>
      <c r="F4990" s="210" t="s">
        <v>12423</v>
      </c>
      <c r="G4990" s="58" t="s">
        <v>12424</v>
      </c>
      <c r="H4990" s="546">
        <v>247505.67</v>
      </c>
      <c r="I4990" s="66">
        <v>45124</v>
      </c>
      <c r="J4990" s="411" t="s">
        <v>12425</v>
      </c>
      <c r="K4990" s="58"/>
      <c r="L4990" s="99"/>
      <c r="M4990" s="70" t="s">
        <v>7851</v>
      </c>
      <c r="N4990" s="97" t="s">
        <v>414</v>
      </c>
      <c r="O4990" s="58"/>
      <c r="P4990" s="58" t="s">
        <v>22</v>
      </c>
      <c r="Q4990" s="58" t="s">
        <v>104</v>
      </c>
      <c r="R4990" s="58" t="s">
        <v>272</v>
      </c>
    </row>
    <row r="4991" spans="1:18" ht="69" customHeight="1">
      <c r="A4991" s="168"/>
      <c r="B4991" s="178">
        <v>2111</v>
      </c>
      <c r="C4991" s="178" t="s">
        <v>657</v>
      </c>
      <c r="D4991" s="575" t="s">
        <v>2838</v>
      </c>
      <c r="E4991" s="178" t="s">
        <v>6192</v>
      </c>
      <c r="F4991" s="210" t="s">
        <v>12426</v>
      </c>
      <c r="G4991" s="58" t="s">
        <v>12427</v>
      </c>
      <c r="H4991" s="546">
        <v>133272.28</v>
      </c>
      <c r="I4991" s="66">
        <v>45124</v>
      </c>
      <c r="J4991" s="411" t="s">
        <v>12425</v>
      </c>
      <c r="K4991" s="58"/>
      <c r="L4991" s="99"/>
      <c r="M4991" s="70" t="s">
        <v>7851</v>
      </c>
      <c r="N4991" s="97" t="s">
        <v>414</v>
      </c>
      <c r="O4991" s="58"/>
      <c r="P4991" s="58" t="s">
        <v>22</v>
      </c>
      <c r="Q4991" s="58" t="s">
        <v>104</v>
      </c>
      <c r="R4991" s="58" t="s">
        <v>272</v>
      </c>
    </row>
    <row r="4992" spans="1:18" ht="69" customHeight="1">
      <c r="A4992" s="168"/>
      <c r="B4992" s="178">
        <v>2112</v>
      </c>
      <c r="C4992" s="178" t="s">
        <v>458</v>
      </c>
      <c r="D4992" s="575" t="s">
        <v>4686</v>
      </c>
      <c r="E4992" s="178" t="s">
        <v>6192</v>
      </c>
      <c r="F4992" s="210" t="s">
        <v>12428</v>
      </c>
      <c r="G4992" s="58" t="s">
        <v>12429</v>
      </c>
      <c r="H4992" s="546">
        <v>73003.56</v>
      </c>
      <c r="I4992" s="66">
        <v>45124</v>
      </c>
      <c r="J4992" s="411" t="s">
        <v>12430</v>
      </c>
      <c r="K4992" s="58"/>
      <c r="L4992" s="99"/>
      <c r="M4992" s="70" t="s">
        <v>10271</v>
      </c>
      <c r="N4992" s="97" t="s">
        <v>414</v>
      </c>
      <c r="O4992" s="58"/>
      <c r="P4992" s="58" t="s">
        <v>22</v>
      </c>
      <c r="Q4992" s="58" t="s">
        <v>121</v>
      </c>
      <c r="R4992" s="58" t="s">
        <v>272</v>
      </c>
    </row>
    <row r="4993" spans="1:18" ht="69" customHeight="1">
      <c r="A4993" s="168"/>
      <c r="B4993" s="178">
        <v>2113</v>
      </c>
      <c r="C4993" s="178" t="s">
        <v>458</v>
      </c>
      <c r="D4993" s="575" t="s">
        <v>4803</v>
      </c>
      <c r="E4993" s="178" t="s">
        <v>6192</v>
      </c>
      <c r="F4993" s="210" t="s">
        <v>12431</v>
      </c>
      <c r="G4993" s="58" t="s">
        <v>12432</v>
      </c>
      <c r="H4993" s="546">
        <v>39309.61</v>
      </c>
      <c r="I4993" s="66">
        <v>45124</v>
      </c>
      <c r="J4993" s="411" t="s">
        <v>12430</v>
      </c>
      <c r="K4993" s="58"/>
      <c r="L4993" s="99"/>
      <c r="M4993" s="70" t="s">
        <v>10271</v>
      </c>
      <c r="N4993" s="97" t="s">
        <v>414</v>
      </c>
      <c r="O4993" s="58"/>
      <c r="P4993" s="58" t="s">
        <v>22</v>
      </c>
      <c r="Q4993" s="58" t="s">
        <v>121</v>
      </c>
      <c r="R4993" s="58" t="s">
        <v>272</v>
      </c>
    </row>
    <row r="4994" spans="1:18" ht="69" customHeight="1">
      <c r="A4994" s="168"/>
      <c r="B4994" s="178">
        <v>2114</v>
      </c>
      <c r="C4994" s="178" t="s">
        <v>5558</v>
      </c>
      <c r="D4994" s="575" t="s">
        <v>12433</v>
      </c>
      <c r="E4994" s="178" t="s">
        <v>11508</v>
      </c>
      <c r="F4994" s="210" t="s">
        <v>12434</v>
      </c>
      <c r="G4994" s="58" t="s">
        <v>12435</v>
      </c>
      <c r="H4994" s="546">
        <v>40000</v>
      </c>
      <c r="I4994" s="66">
        <v>45132</v>
      </c>
      <c r="J4994" s="411" t="s">
        <v>12436</v>
      </c>
      <c r="K4994" s="58"/>
      <c r="L4994" s="99"/>
      <c r="M4994" s="70" t="s">
        <v>11512</v>
      </c>
      <c r="N4994" s="97" t="s">
        <v>414</v>
      </c>
      <c r="O4994" s="58"/>
      <c r="P4994" s="58" t="s">
        <v>22</v>
      </c>
      <c r="Q4994" s="58" t="s">
        <v>64</v>
      </c>
      <c r="R4994" s="58" t="s">
        <v>265</v>
      </c>
    </row>
    <row r="4995" spans="1:18" ht="69" customHeight="1">
      <c r="A4995" s="168"/>
      <c r="B4995" s="178">
        <v>2115</v>
      </c>
      <c r="C4995" s="178" t="s">
        <v>5558</v>
      </c>
      <c r="D4995" s="575" t="s">
        <v>12437</v>
      </c>
      <c r="E4995" s="178" t="s">
        <v>11508</v>
      </c>
      <c r="F4995" s="210" t="s">
        <v>12438</v>
      </c>
      <c r="G4995" s="58" t="s">
        <v>12439</v>
      </c>
      <c r="H4995" s="546">
        <v>31583</v>
      </c>
      <c r="I4995" s="66">
        <v>45132</v>
      </c>
      <c r="J4995" s="411" t="s">
        <v>12436</v>
      </c>
      <c r="K4995" s="58"/>
      <c r="L4995" s="99"/>
      <c r="M4995" s="70" t="s">
        <v>11512</v>
      </c>
      <c r="N4995" s="97" t="s">
        <v>414</v>
      </c>
      <c r="O4995" s="58"/>
      <c r="P4995" s="58" t="s">
        <v>22</v>
      </c>
      <c r="Q4995" s="58" t="s">
        <v>64</v>
      </c>
      <c r="R4995" s="58" t="s">
        <v>265</v>
      </c>
    </row>
    <row r="4996" spans="1:18" ht="69" customHeight="1">
      <c r="A4996" s="168"/>
      <c r="B4996" s="178">
        <v>2116</v>
      </c>
      <c r="C4996" s="178" t="s">
        <v>5558</v>
      </c>
      <c r="D4996" s="575" t="s">
        <v>12440</v>
      </c>
      <c r="E4996" s="178" t="s">
        <v>11508</v>
      </c>
      <c r="F4996" s="210" t="s">
        <v>12441</v>
      </c>
      <c r="G4996" s="58" t="s">
        <v>12442</v>
      </c>
      <c r="H4996" s="546">
        <v>40000</v>
      </c>
      <c r="I4996" s="66">
        <v>45124</v>
      </c>
      <c r="J4996" s="411" t="s">
        <v>12436</v>
      </c>
      <c r="K4996" s="58"/>
      <c r="L4996" s="99"/>
      <c r="M4996" s="70" t="s">
        <v>11512</v>
      </c>
      <c r="N4996" s="97" t="s">
        <v>414</v>
      </c>
      <c r="O4996" s="58"/>
      <c r="P4996" s="58" t="s">
        <v>22</v>
      </c>
      <c r="Q4996" s="58" t="s">
        <v>64</v>
      </c>
      <c r="R4996" s="58" t="s">
        <v>265</v>
      </c>
    </row>
    <row r="4997" spans="1:18" ht="69" customHeight="1">
      <c r="A4997" s="168"/>
      <c r="B4997" s="178">
        <v>2117</v>
      </c>
      <c r="C4997" s="178" t="s">
        <v>5558</v>
      </c>
      <c r="D4997" s="575"/>
      <c r="E4997" s="178" t="s">
        <v>11508</v>
      </c>
      <c r="F4997" s="210" t="s">
        <v>12443</v>
      </c>
      <c r="G4997" s="58" t="s">
        <v>12444</v>
      </c>
      <c r="H4997" s="546">
        <v>25333</v>
      </c>
      <c r="I4997" s="66">
        <v>45132</v>
      </c>
      <c r="J4997" s="411" t="s">
        <v>12436</v>
      </c>
      <c r="K4997" s="58"/>
      <c r="L4997" s="99"/>
      <c r="M4997" s="70" t="s">
        <v>11512</v>
      </c>
      <c r="N4997" s="97" t="s">
        <v>414</v>
      </c>
      <c r="O4997" s="58"/>
      <c r="P4997" s="58" t="s">
        <v>22</v>
      </c>
      <c r="Q4997" s="58" t="s">
        <v>64</v>
      </c>
      <c r="R4997" s="58" t="s">
        <v>265</v>
      </c>
    </row>
    <row r="4998" spans="1:18" ht="69" customHeight="1">
      <c r="A4998" s="168"/>
      <c r="B4998" s="178">
        <v>2118</v>
      </c>
      <c r="C4998" s="178" t="s">
        <v>5558</v>
      </c>
      <c r="D4998" s="575"/>
      <c r="E4998" s="178" t="s">
        <v>11508</v>
      </c>
      <c r="F4998" s="210" t="s">
        <v>12445</v>
      </c>
      <c r="G4998" s="58" t="s">
        <v>12446</v>
      </c>
      <c r="H4998" s="546">
        <v>43400</v>
      </c>
      <c r="I4998" s="66">
        <v>45132</v>
      </c>
      <c r="J4998" s="411" t="s">
        <v>12436</v>
      </c>
      <c r="K4998" s="58"/>
      <c r="L4998" s="99"/>
      <c r="M4998" s="70" t="s">
        <v>11512</v>
      </c>
      <c r="N4998" s="97" t="s">
        <v>414</v>
      </c>
      <c r="O4998" s="58"/>
      <c r="P4998" s="58" t="s">
        <v>22</v>
      </c>
      <c r="Q4998" s="58" t="s">
        <v>64</v>
      </c>
      <c r="R4998" s="58" t="s">
        <v>265</v>
      </c>
    </row>
    <row r="4999" spans="1:18" ht="69" customHeight="1">
      <c r="A4999" s="168"/>
      <c r="B4999" s="178">
        <v>2119</v>
      </c>
      <c r="C4999" s="178" t="s">
        <v>11055</v>
      </c>
      <c r="D4999" s="575"/>
      <c r="E4999" s="178" t="s">
        <v>7890</v>
      </c>
      <c r="F4999" s="210" t="s">
        <v>12447</v>
      </c>
      <c r="G4999" s="58" t="s">
        <v>12448</v>
      </c>
      <c r="H4999" s="546">
        <v>111256</v>
      </c>
      <c r="I4999" s="66">
        <v>45132</v>
      </c>
      <c r="J4999" s="411" t="s">
        <v>12449</v>
      </c>
      <c r="K4999" s="58"/>
      <c r="L4999" s="99"/>
      <c r="M4999" s="70" t="s">
        <v>12415</v>
      </c>
      <c r="N4999" s="97" t="s">
        <v>6197</v>
      </c>
      <c r="O4999" s="58"/>
      <c r="P4999" s="58" t="s">
        <v>22</v>
      </c>
      <c r="Q4999" s="58" t="s">
        <v>45</v>
      </c>
      <c r="R4999" s="58" t="s">
        <v>265</v>
      </c>
    </row>
    <row r="5000" spans="1:18" ht="69" customHeight="1">
      <c r="A5000" s="168"/>
      <c r="B5000" s="178">
        <v>2120</v>
      </c>
      <c r="C5000" s="178" t="s">
        <v>309</v>
      </c>
      <c r="D5000" s="575" t="s">
        <v>6960</v>
      </c>
      <c r="E5000" s="178" t="s">
        <v>11480</v>
      </c>
      <c r="F5000" s="210" t="s">
        <v>12450</v>
      </c>
      <c r="G5000" s="58" t="s">
        <v>12451</v>
      </c>
      <c r="H5000" s="546">
        <v>250000</v>
      </c>
      <c r="I5000" s="66">
        <v>45132</v>
      </c>
      <c r="J5000" s="411" t="s">
        <v>12452</v>
      </c>
      <c r="K5000" s="58"/>
      <c r="L5000" s="99"/>
      <c r="M5000" s="70" t="s">
        <v>2965</v>
      </c>
      <c r="N5000" s="97" t="s">
        <v>356</v>
      </c>
      <c r="O5000" s="58" t="s">
        <v>141</v>
      </c>
      <c r="P5000" s="58" t="s">
        <v>19</v>
      </c>
      <c r="Q5000" s="58" t="s">
        <v>39</v>
      </c>
      <c r="R5000" s="58" t="s">
        <v>272</v>
      </c>
    </row>
    <row r="5001" spans="1:18" ht="69" customHeight="1">
      <c r="A5001" s="168"/>
      <c r="B5001" s="178">
        <v>2121</v>
      </c>
      <c r="C5001" s="178" t="s">
        <v>309</v>
      </c>
      <c r="D5001" s="575" t="s">
        <v>7000</v>
      </c>
      <c r="E5001" s="178" t="s">
        <v>11480</v>
      </c>
      <c r="F5001" s="210" t="s">
        <v>12453</v>
      </c>
      <c r="G5001" s="58" t="s">
        <v>12451</v>
      </c>
      <c r="H5001" s="546">
        <v>400000</v>
      </c>
      <c r="I5001" s="66">
        <v>45132</v>
      </c>
      <c r="J5001" s="411" t="s">
        <v>12452</v>
      </c>
      <c r="K5001" s="58"/>
      <c r="L5001" s="99"/>
      <c r="M5001" s="70" t="s">
        <v>3186</v>
      </c>
      <c r="N5001" s="97" t="s">
        <v>6197</v>
      </c>
      <c r="O5001" s="58" t="s">
        <v>141</v>
      </c>
      <c r="P5001" s="58" t="s">
        <v>19</v>
      </c>
      <c r="Q5001" s="58" t="s">
        <v>41</v>
      </c>
      <c r="R5001" s="58" t="s">
        <v>272</v>
      </c>
    </row>
    <row r="5002" spans="1:18" ht="69" customHeight="1">
      <c r="A5002" s="168"/>
      <c r="B5002" s="191">
        <v>2122</v>
      </c>
      <c r="C5002" s="191" t="s">
        <v>458</v>
      </c>
      <c r="D5002" s="533" t="s">
        <v>12454</v>
      </c>
      <c r="E5002" s="191" t="s">
        <v>6226</v>
      </c>
      <c r="F5002" s="211" t="s">
        <v>12455</v>
      </c>
      <c r="G5002" s="46" t="s">
        <v>12456</v>
      </c>
      <c r="H5002" s="534">
        <v>19500</v>
      </c>
      <c r="I5002" s="56">
        <v>45132</v>
      </c>
      <c r="J5002" s="412" t="s">
        <v>12457</v>
      </c>
      <c r="K5002" s="46" t="s">
        <v>167</v>
      </c>
      <c r="L5002" s="99"/>
      <c r="M5002" s="379"/>
      <c r="N5002" s="76" t="s">
        <v>414</v>
      </c>
      <c r="O5002" s="46" t="s">
        <v>1171</v>
      </c>
      <c r="P5002" s="46" t="s">
        <v>71</v>
      </c>
      <c r="Q5002" s="46" t="s">
        <v>119</v>
      </c>
      <c r="R5002" s="46" t="s">
        <v>272</v>
      </c>
    </row>
    <row r="5003" spans="1:18" ht="69" customHeight="1">
      <c r="A5003" s="168"/>
      <c r="B5003" s="191">
        <v>2123</v>
      </c>
      <c r="C5003" s="191" t="s">
        <v>657</v>
      </c>
      <c r="D5003" s="533" t="s">
        <v>2609</v>
      </c>
      <c r="E5003" s="191" t="s">
        <v>6226</v>
      </c>
      <c r="F5003" s="211" t="s">
        <v>12458</v>
      </c>
      <c r="G5003" s="46" t="s">
        <v>12456</v>
      </c>
      <c r="H5003" s="534">
        <v>19500</v>
      </c>
      <c r="I5003" s="56">
        <v>45132</v>
      </c>
      <c r="J5003" s="412" t="s">
        <v>12457</v>
      </c>
      <c r="K5003" s="46" t="s">
        <v>167</v>
      </c>
      <c r="L5003" s="99"/>
      <c r="M5003" s="379"/>
      <c r="N5003" s="76" t="s">
        <v>414</v>
      </c>
      <c r="O5003" s="46"/>
      <c r="P5003" s="46" t="s">
        <v>71</v>
      </c>
      <c r="Q5003" s="46" t="s">
        <v>120</v>
      </c>
      <c r="R5003" s="46" t="s">
        <v>272</v>
      </c>
    </row>
    <row r="5004" spans="1:18" ht="69" customHeight="1">
      <c r="A5004" s="168"/>
      <c r="B5004" s="178">
        <v>2124</v>
      </c>
      <c r="C5004" s="178" t="s">
        <v>309</v>
      </c>
      <c r="D5004" s="575" t="s">
        <v>12170</v>
      </c>
      <c r="E5004" s="178" t="s">
        <v>12459</v>
      </c>
      <c r="F5004" s="210" t="s">
        <v>12460</v>
      </c>
      <c r="G5004" s="58" t="s">
        <v>12461</v>
      </c>
      <c r="H5004" s="546">
        <v>377952.74</v>
      </c>
      <c r="I5004" s="66">
        <v>45127</v>
      </c>
      <c r="J5004" s="411" t="s">
        <v>12462</v>
      </c>
      <c r="K5004" s="58"/>
      <c r="L5004" s="99"/>
      <c r="M5004" s="70" t="s">
        <v>9112</v>
      </c>
      <c r="N5004" s="97" t="s">
        <v>356</v>
      </c>
      <c r="O5004" s="58" t="s">
        <v>141</v>
      </c>
      <c r="P5004" s="58" t="s">
        <v>19</v>
      </c>
      <c r="Q5004" s="58" t="s">
        <v>113</v>
      </c>
      <c r="R5004" s="58" t="s">
        <v>265</v>
      </c>
    </row>
    <row r="5005" spans="1:18" ht="69" customHeight="1">
      <c r="A5005" s="168"/>
      <c r="B5005" s="178">
        <v>2125</v>
      </c>
      <c r="C5005" s="178" t="s">
        <v>12406</v>
      </c>
      <c r="D5005" s="575" t="s">
        <v>12463</v>
      </c>
      <c r="E5005" s="178" t="s">
        <v>266</v>
      </c>
      <c r="F5005" s="210" t="s">
        <v>12464</v>
      </c>
      <c r="G5005" s="58" t="s">
        <v>12465</v>
      </c>
      <c r="H5005" s="546">
        <v>1271.22</v>
      </c>
      <c r="I5005" s="66">
        <v>45114</v>
      </c>
      <c r="J5005" s="411" t="s">
        <v>12466</v>
      </c>
      <c r="K5005" s="58"/>
      <c r="L5005" s="99"/>
      <c r="M5005" s="70" t="s">
        <v>6899</v>
      </c>
      <c r="N5005" s="97" t="s">
        <v>270</v>
      </c>
      <c r="O5005" s="58"/>
      <c r="P5005" s="58" t="s">
        <v>44</v>
      </c>
      <c r="Q5005" s="58" t="s">
        <v>84</v>
      </c>
      <c r="R5005" s="58" t="s">
        <v>272</v>
      </c>
    </row>
    <row r="5006" spans="1:18" ht="69" customHeight="1">
      <c r="A5006" s="168"/>
      <c r="B5006" s="178">
        <v>2126</v>
      </c>
      <c r="C5006" s="178" t="s">
        <v>12406</v>
      </c>
      <c r="D5006" s="575" t="s">
        <v>12467</v>
      </c>
      <c r="E5006" s="178" t="s">
        <v>266</v>
      </c>
      <c r="F5006" s="210" t="s">
        <v>12464</v>
      </c>
      <c r="G5006" s="58" t="s">
        <v>12465</v>
      </c>
      <c r="H5006" s="546">
        <v>1371.96</v>
      </c>
      <c r="I5006" s="66">
        <v>45114</v>
      </c>
      <c r="J5006" s="411" t="s">
        <v>12466</v>
      </c>
      <c r="K5006" s="58"/>
      <c r="L5006" s="99"/>
      <c r="M5006" s="70" t="s">
        <v>6899</v>
      </c>
      <c r="N5006" s="97" t="s">
        <v>270</v>
      </c>
      <c r="O5006" s="58"/>
      <c r="P5006" s="58" t="s">
        <v>44</v>
      </c>
      <c r="Q5006" s="58" t="s">
        <v>84</v>
      </c>
      <c r="R5006" s="58" t="s">
        <v>272</v>
      </c>
    </row>
    <row r="5007" spans="1:18" ht="69" customHeight="1">
      <c r="A5007" s="168"/>
      <c r="B5007" s="178">
        <v>2127</v>
      </c>
      <c r="C5007" s="178" t="s">
        <v>12406</v>
      </c>
      <c r="D5007" s="575" t="s">
        <v>12468</v>
      </c>
      <c r="E5007" s="178" t="s">
        <v>266</v>
      </c>
      <c r="F5007" s="210" t="s">
        <v>12464</v>
      </c>
      <c r="G5007" s="58" t="s">
        <v>12465</v>
      </c>
      <c r="H5007" s="546">
        <v>12604.25</v>
      </c>
      <c r="I5007" s="66">
        <v>45114</v>
      </c>
      <c r="J5007" s="411" t="s">
        <v>12466</v>
      </c>
      <c r="K5007" s="58"/>
      <c r="L5007" s="99"/>
      <c r="M5007" s="70" t="s">
        <v>6899</v>
      </c>
      <c r="N5007" s="97" t="s">
        <v>270</v>
      </c>
      <c r="O5007" s="58"/>
      <c r="P5007" s="58" t="s">
        <v>44</v>
      </c>
      <c r="Q5007" s="58" t="s">
        <v>84</v>
      </c>
      <c r="R5007" s="58" t="s">
        <v>272</v>
      </c>
    </row>
    <row r="5008" spans="1:18" ht="69" customHeight="1">
      <c r="A5008" s="168"/>
      <c r="B5008" s="178">
        <v>2128</v>
      </c>
      <c r="C5008" s="178" t="s">
        <v>657</v>
      </c>
      <c r="D5008" s="575" t="s">
        <v>2363</v>
      </c>
      <c r="E5008" s="178" t="s">
        <v>7890</v>
      </c>
      <c r="F5008" s="210" t="s">
        <v>12469</v>
      </c>
      <c r="G5008" s="58" t="s">
        <v>12470</v>
      </c>
      <c r="H5008" s="546">
        <v>40000</v>
      </c>
      <c r="I5008" s="66">
        <v>45143</v>
      </c>
      <c r="J5008" s="411" t="s">
        <v>12471</v>
      </c>
      <c r="K5008" s="58"/>
      <c r="L5008" s="99"/>
      <c r="M5008" s="70" t="s">
        <v>7892</v>
      </c>
      <c r="N5008" s="97" t="s">
        <v>414</v>
      </c>
      <c r="O5008" s="58"/>
      <c r="P5008" s="58" t="s">
        <v>22</v>
      </c>
      <c r="Q5008" s="58" t="s">
        <v>104</v>
      </c>
      <c r="R5008" s="58" t="s">
        <v>265</v>
      </c>
    </row>
    <row r="5009" spans="1:18" ht="69" customHeight="1">
      <c r="A5009" s="168"/>
      <c r="B5009" s="178">
        <v>2129</v>
      </c>
      <c r="C5009" s="178" t="s">
        <v>458</v>
      </c>
      <c r="D5009" s="575" t="s">
        <v>12472</v>
      </c>
      <c r="E5009" s="178" t="s">
        <v>7890</v>
      </c>
      <c r="F5009" s="210" t="s">
        <v>12473</v>
      </c>
      <c r="G5009" s="58" t="s">
        <v>12470</v>
      </c>
      <c r="H5009" s="546">
        <v>40000</v>
      </c>
      <c r="I5009" s="66">
        <v>45144</v>
      </c>
      <c r="J5009" s="411" t="s">
        <v>12471</v>
      </c>
      <c r="K5009" s="58"/>
      <c r="L5009" s="99"/>
      <c r="M5009" s="70" t="s">
        <v>8351</v>
      </c>
      <c r="N5009" s="97" t="s">
        <v>414</v>
      </c>
      <c r="O5009" s="58"/>
      <c r="P5009" s="58" t="s">
        <v>22</v>
      </c>
      <c r="Q5009" s="58" t="s">
        <v>107</v>
      </c>
      <c r="R5009" s="58" t="s">
        <v>265</v>
      </c>
    </row>
    <row r="5010" spans="1:18" ht="69" customHeight="1">
      <c r="A5010" s="168"/>
      <c r="B5010" s="178">
        <v>2130</v>
      </c>
      <c r="C5010" s="178" t="s">
        <v>458</v>
      </c>
      <c r="D5010" s="575" t="s">
        <v>12474</v>
      </c>
      <c r="E5010" s="178" t="s">
        <v>7890</v>
      </c>
      <c r="F5010" s="210" t="s">
        <v>12475</v>
      </c>
      <c r="G5010" s="58" t="s">
        <v>12470</v>
      </c>
      <c r="H5010" s="546">
        <v>43055.44</v>
      </c>
      <c r="I5010" s="66">
        <v>45145</v>
      </c>
      <c r="J5010" s="411" t="s">
        <v>12471</v>
      </c>
      <c r="K5010" s="58"/>
      <c r="L5010" s="99"/>
      <c r="M5010" s="70" t="s">
        <v>9233</v>
      </c>
      <c r="N5010" s="97" t="s">
        <v>414</v>
      </c>
      <c r="O5010" s="58"/>
      <c r="P5010" s="58" t="s">
        <v>22</v>
      </c>
      <c r="Q5010" s="58" t="s">
        <v>113</v>
      </c>
      <c r="R5010" s="58" t="s">
        <v>265</v>
      </c>
    </row>
    <row r="5011" spans="1:18" ht="69" customHeight="1">
      <c r="A5011" s="168"/>
      <c r="B5011" s="178">
        <v>2131</v>
      </c>
      <c r="C5011" s="178" t="s">
        <v>10634</v>
      </c>
      <c r="D5011" s="575" t="s">
        <v>12476</v>
      </c>
      <c r="E5011" s="178" t="s">
        <v>266</v>
      </c>
      <c r="F5011" s="210" t="s">
        <v>12477</v>
      </c>
      <c r="G5011" s="58" t="s">
        <v>12478</v>
      </c>
      <c r="H5011" s="546">
        <v>3975</v>
      </c>
      <c r="I5011" s="66">
        <v>45143</v>
      </c>
      <c r="J5011" s="411" t="s">
        <v>12479</v>
      </c>
      <c r="K5011" s="58"/>
      <c r="L5011" s="99"/>
      <c r="M5011" s="70" t="s">
        <v>10774</v>
      </c>
      <c r="N5011" s="97" t="s">
        <v>270</v>
      </c>
      <c r="O5011" s="58"/>
      <c r="P5011" s="58" t="s">
        <v>44</v>
      </c>
      <c r="Q5011" s="58" t="s">
        <v>93</v>
      </c>
      <c r="R5011" s="58" t="s">
        <v>272</v>
      </c>
    </row>
    <row r="5012" spans="1:18" ht="69" customHeight="1">
      <c r="A5012" s="168"/>
      <c r="B5012" s="178">
        <v>2132</v>
      </c>
      <c r="C5012" s="178" t="s">
        <v>10639</v>
      </c>
      <c r="D5012" s="575" t="s">
        <v>12480</v>
      </c>
      <c r="E5012" s="178" t="s">
        <v>266</v>
      </c>
      <c r="F5012" s="210" t="s">
        <v>12481</v>
      </c>
      <c r="G5012" s="58" t="s">
        <v>12478</v>
      </c>
      <c r="H5012" s="546">
        <v>3975</v>
      </c>
      <c r="I5012" s="66">
        <v>45143</v>
      </c>
      <c r="J5012" s="411" t="s">
        <v>12479</v>
      </c>
      <c r="K5012" s="58"/>
      <c r="L5012" s="99"/>
      <c r="M5012" s="70" t="s">
        <v>10794</v>
      </c>
      <c r="N5012" s="97" t="s">
        <v>270</v>
      </c>
      <c r="O5012" s="58"/>
      <c r="P5012" s="58" t="s">
        <v>44</v>
      </c>
      <c r="Q5012" s="58" t="s">
        <v>95</v>
      </c>
      <c r="R5012" s="58" t="s">
        <v>272</v>
      </c>
    </row>
    <row r="5013" spans="1:18" ht="69" customHeight="1">
      <c r="A5013" s="168"/>
      <c r="B5013" s="178">
        <v>2133</v>
      </c>
      <c r="C5013" s="178" t="s">
        <v>657</v>
      </c>
      <c r="D5013" s="575" t="s">
        <v>12482</v>
      </c>
      <c r="E5013" s="178" t="s">
        <v>6192</v>
      </c>
      <c r="F5013" s="210" t="s">
        <v>12483</v>
      </c>
      <c r="G5013" s="58" t="s">
        <v>12484</v>
      </c>
      <c r="H5013" s="546">
        <v>27568.13</v>
      </c>
      <c r="I5013" s="66">
        <v>45124</v>
      </c>
      <c r="J5013" s="411" t="s">
        <v>12485</v>
      </c>
      <c r="K5013" s="58"/>
      <c r="L5013" s="99"/>
      <c r="M5013" s="70" t="s">
        <v>10031</v>
      </c>
      <c r="N5013" s="97" t="s">
        <v>414</v>
      </c>
      <c r="O5013" s="58"/>
      <c r="P5013" s="58" t="s">
        <v>22</v>
      </c>
      <c r="Q5013" s="58" t="s">
        <v>120</v>
      </c>
      <c r="R5013" s="58" t="s">
        <v>272</v>
      </c>
    </row>
    <row r="5014" spans="1:18" ht="69" customHeight="1">
      <c r="A5014" s="168"/>
      <c r="B5014" s="178">
        <v>2134</v>
      </c>
      <c r="C5014" s="178" t="s">
        <v>657</v>
      </c>
      <c r="D5014" s="575" t="s">
        <v>6962</v>
      </c>
      <c r="E5014" s="178" t="s">
        <v>6192</v>
      </c>
      <c r="F5014" s="210" t="s">
        <v>12486</v>
      </c>
      <c r="G5014" s="58" t="s">
        <v>11233</v>
      </c>
      <c r="H5014" s="546">
        <v>14844.37</v>
      </c>
      <c r="I5014" s="66">
        <v>45124</v>
      </c>
      <c r="J5014" s="411" t="s">
        <v>12485</v>
      </c>
      <c r="K5014" s="58"/>
      <c r="L5014" s="99"/>
      <c r="M5014" s="70" t="s">
        <v>10031</v>
      </c>
      <c r="N5014" s="97" t="s">
        <v>414</v>
      </c>
      <c r="O5014" s="58"/>
      <c r="P5014" s="58" t="s">
        <v>22</v>
      </c>
      <c r="Q5014" s="58" t="s">
        <v>120</v>
      </c>
      <c r="R5014" s="58" t="s">
        <v>272</v>
      </c>
    </row>
    <row r="5015" spans="1:18" ht="69" customHeight="1">
      <c r="A5015" s="168"/>
      <c r="B5015" s="178">
        <v>2135</v>
      </c>
      <c r="C5015" s="178" t="s">
        <v>753</v>
      </c>
      <c r="D5015" s="575" t="s">
        <v>4012</v>
      </c>
      <c r="E5015" s="178" t="s">
        <v>266</v>
      </c>
      <c r="F5015" s="210" t="s">
        <v>12487</v>
      </c>
      <c r="G5015" s="58" t="s">
        <v>12488</v>
      </c>
      <c r="H5015" s="552">
        <v>12000</v>
      </c>
      <c r="I5015" s="66">
        <v>45112</v>
      </c>
      <c r="J5015" s="411" t="s">
        <v>12489</v>
      </c>
      <c r="K5015" s="58"/>
      <c r="L5015" s="99"/>
      <c r="M5015" s="379"/>
      <c r="N5015" s="76" t="s">
        <v>716</v>
      </c>
      <c r="O5015" s="62" t="s">
        <v>6918</v>
      </c>
      <c r="P5015" s="58" t="s">
        <v>44</v>
      </c>
      <c r="Q5015" s="58" t="s">
        <v>20</v>
      </c>
      <c r="R5015" s="58" t="s">
        <v>272</v>
      </c>
    </row>
    <row r="5016" spans="1:18" ht="69" customHeight="1">
      <c r="A5016" s="168"/>
      <c r="B5016" s="191">
        <v>2136</v>
      </c>
      <c r="C5016" s="191" t="s">
        <v>1333</v>
      </c>
      <c r="D5016" s="533" t="s">
        <v>4016</v>
      </c>
      <c r="E5016" s="191" t="s">
        <v>266</v>
      </c>
      <c r="F5016" s="211" t="s">
        <v>12490</v>
      </c>
      <c r="G5016" s="46" t="s">
        <v>12488</v>
      </c>
      <c r="H5016" s="534">
        <v>12000</v>
      </c>
      <c r="I5016" s="56">
        <v>45112</v>
      </c>
      <c r="J5016" s="412" t="s">
        <v>12489</v>
      </c>
      <c r="K5016" s="46" t="s">
        <v>5103</v>
      </c>
      <c r="L5016" s="99"/>
      <c r="M5016" s="379"/>
      <c r="N5016" s="76" t="s">
        <v>12491</v>
      </c>
      <c r="O5016" s="46"/>
      <c r="P5016" s="46" t="s">
        <v>65</v>
      </c>
      <c r="Q5016" s="46" t="s">
        <v>25</v>
      </c>
      <c r="R5016" s="46" t="s">
        <v>272</v>
      </c>
    </row>
    <row r="5017" spans="1:18" ht="69" customHeight="1">
      <c r="A5017" s="168"/>
      <c r="B5017" s="178">
        <v>2137</v>
      </c>
      <c r="C5017" s="59" t="s">
        <v>3667</v>
      </c>
      <c r="D5017" s="575" t="s">
        <v>12492</v>
      </c>
      <c r="E5017" s="178" t="s">
        <v>10563</v>
      </c>
      <c r="F5017" s="210" t="s">
        <v>12493</v>
      </c>
      <c r="G5017" s="58" t="s">
        <v>12494</v>
      </c>
      <c r="H5017" s="546">
        <v>243109.71</v>
      </c>
      <c r="I5017" s="66">
        <v>45124</v>
      </c>
      <c r="J5017" s="411" t="s">
        <v>12495</v>
      </c>
      <c r="K5017" s="58"/>
      <c r="L5017" s="99"/>
      <c r="M5017" s="70" t="s">
        <v>12496</v>
      </c>
      <c r="N5017" s="97" t="s">
        <v>741</v>
      </c>
      <c r="O5017" s="58"/>
      <c r="P5017" s="58" t="s">
        <v>59</v>
      </c>
      <c r="Q5017" s="58" t="s">
        <v>66</v>
      </c>
      <c r="R5017" s="58" t="s">
        <v>272</v>
      </c>
    </row>
    <row r="5018" spans="1:18" ht="69" customHeight="1">
      <c r="A5018" s="168"/>
      <c r="B5018" s="178">
        <v>2138</v>
      </c>
      <c r="C5018" s="178" t="s">
        <v>5558</v>
      </c>
      <c r="D5018" s="575"/>
      <c r="E5018" s="178" t="s">
        <v>11508</v>
      </c>
      <c r="F5018" s="210" t="s">
        <v>12497</v>
      </c>
      <c r="G5018" s="58" t="s">
        <v>12498</v>
      </c>
      <c r="H5018" s="546">
        <v>25000</v>
      </c>
      <c r="I5018" s="66">
        <v>45132</v>
      </c>
      <c r="J5018" s="411" t="s">
        <v>12499</v>
      </c>
      <c r="K5018" s="58"/>
      <c r="L5018" s="99"/>
      <c r="M5018" s="70" t="s">
        <v>11512</v>
      </c>
      <c r="N5018" s="97" t="s">
        <v>414</v>
      </c>
      <c r="O5018" s="58"/>
      <c r="P5018" s="58" t="s">
        <v>22</v>
      </c>
      <c r="Q5018" s="58" t="s">
        <v>64</v>
      </c>
      <c r="R5018" s="58" t="s">
        <v>265</v>
      </c>
    </row>
    <row r="5019" spans="1:18" ht="69" customHeight="1">
      <c r="A5019" s="168"/>
      <c r="B5019" s="178">
        <v>2139</v>
      </c>
      <c r="C5019" s="178" t="s">
        <v>5558</v>
      </c>
      <c r="D5019" s="575"/>
      <c r="E5019" s="178" t="s">
        <v>11508</v>
      </c>
      <c r="F5019" s="210" t="s">
        <v>12500</v>
      </c>
      <c r="G5019" s="58" t="s">
        <v>12501</v>
      </c>
      <c r="H5019" s="546">
        <v>25045.59</v>
      </c>
      <c r="I5019" s="66">
        <v>45132</v>
      </c>
      <c r="J5019" s="411" t="s">
        <v>12502</v>
      </c>
      <c r="K5019" s="58"/>
      <c r="L5019" s="99"/>
      <c r="M5019" s="70" t="s">
        <v>11512</v>
      </c>
      <c r="N5019" s="97" t="s">
        <v>414</v>
      </c>
      <c r="O5019" s="58"/>
      <c r="P5019" s="58" t="s">
        <v>22</v>
      </c>
      <c r="Q5019" s="58" t="s">
        <v>64</v>
      </c>
      <c r="R5019" s="58" t="s">
        <v>265</v>
      </c>
    </row>
    <row r="5020" spans="1:18" ht="69" customHeight="1">
      <c r="A5020" s="168"/>
      <c r="B5020" s="207">
        <v>2140</v>
      </c>
      <c r="C5020" s="207" t="s">
        <v>12503</v>
      </c>
      <c r="D5020" s="301" t="s">
        <v>1869</v>
      </c>
      <c r="E5020" s="207" t="s">
        <v>266</v>
      </c>
      <c r="F5020" s="208" t="s">
        <v>12504</v>
      </c>
      <c r="G5020" s="160" t="s">
        <v>5654</v>
      </c>
      <c r="H5020" s="300">
        <v>6937</v>
      </c>
      <c r="I5020" s="209">
        <v>45143</v>
      </c>
      <c r="J5020" s="322" t="s">
        <v>12505</v>
      </c>
      <c r="K5020" s="160" t="s">
        <v>10804</v>
      </c>
      <c r="M5020" s="379"/>
      <c r="N5020" s="76"/>
      <c r="O5020" s="160"/>
      <c r="P5020" s="160" t="s">
        <v>67</v>
      </c>
      <c r="Q5020" s="160" t="s">
        <v>96</v>
      </c>
      <c r="R5020" s="160" t="s">
        <v>272</v>
      </c>
    </row>
    <row r="5021" spans="1:18" ht="69" customHeight="1">
      <c r="A5021" s="168"/>
      <c r="B5021" s="207">
        <v>2141</v>
      </c>
      <c r="C5021" s="207" t="s">
        <v>8901</v>
      </c>
      <c r="D5021" s="301" t="s">
        <v>12506</v>
      </c>
      <c r="E5021" s="207" t="s">
        <v>266</v>
      </c>
      <c r="F5021" s="208" t="s">
        <v>12507</v>
      </c>
      <c r="G5021" s="160" t="s">
        <v>5654</v>
      </c>
      <c r="H5021" s="300">
        <v>11292</v>
      </c>
      <c r="I5021" s="209">
        <v>45143</v>
      </c>
      <c r="J5021" s="322" t="s">
        <v>12505</v>
      </c>
      <c r="K5021" s="160" t="s">
        <v>10804</v>
      </c>
      <c r="M5021" s="379"/>
      <c r="N5021" s="76"/>
      <c r="O5021" s="160"/>
      <c r="P5021" s="160" t="s">
        <v>67</v>
      </c>
      <c r="Q5021" s="160" t="s">
        <v>96</v>
      </c>
      <c r="R5021" s="160" t="s">
        <v>272</v>
      </c>
    </row>
    <row r="5022" spans="1:18" ht="69" customHeight="1">
      <c r="A5022" s="168"/>
      <c r="B5022" s="207">
        <v>2142</v>
      </c>
      <c r="C5022" s="207" t="s">
        <v>8901</v>
      </c>
      <c r="D5022" s="301" t="s">
        <v>12508</v>
      </c>
      <c r="E5022" s="207" t="s">
        <v>266</v>
      </c>
      <c r="F5022" s="208" t="s">
        <v>12509</v>
      </c>
      <c r="G5022" s="160" t="s">
        <v>5654</v>
      </c>
      <c r="H5022" s="300">
        <v>10026.5</v>
      </c>
      <c r="I5022" s="209">
        <v>45143</v>
      </c>
      <c r="J5022" s="322" t="s">
        <v>12505</v>
      </c>
      <c r="K5022" s="160" t="s">
        <v>10804</v>
      </c>
      <c r="M5022" s="379"/>
      <c r="N5022" s="76"/>
      <c r="O5022" s="160"/>
      <c r="P5022" s="160" t="s">
        <v>67</v>
      </c>
      <c r="Q5022" s="160" t="s">
        <v>96</v>
      </c>
      <c r="R5022" s="160" t="s">
        <v>272</v>
      </c>
    </row>
    <row r="5023" spans="1:18" ht="69" customHeight="1">
      <c r="A5023" s="168"/>
      <c r="B5023" s="207">
        <v>2143</v>
      </c>
      <c r="C5023" s="207" t="s">
        <v>8901</v>
      </c>
      <c r="D5023" s="301" t="s">
        <v>12510</v>
      </c>
      <c r="E5023" s="207" t="s">
        <v>266</v>
      </c>
      <c r="F5023" s="208" t="s">
        <v>12511</v>
      </c>
      <c r="G5023" s="160" t="s">
        <v>5654</v>
      </c>
      <c r="H5023" s="300">
        <v>10026.5</v>
      </c>
      <c r="I5023" s="209">
        <v>45143</v>
      </c>
      <c r="J5023" s="322" t="s">
        <v>12505</v>
      </c>
      <c r="K5023" s="160" t="s">
        <v>10804</v>
      </c>
      <c r="M5023" s="379"/>
      <c r="N5023" s="76"/>
      <c r="O5023" s="160"/>
      <c r="P5023" s="160" t="s">
        <v>67</v>
      </c>
      <c r="Q5023" s="160" t="s">
        <v>96</v>
      </c>
      <c r="R5023" s="160" t="s">
        <v>272</v>
      </c>
    </row>
    <row r="5024" spans="1:18" ht="69" customHeight="1">
      <c r="A5024" s="168"/>
      <c r="B5024" s="178">
        <v>2144</v>
      </c>
      <c r="C5024" s="178" t="s">
        <v>5658</v>
      </c>
      <c r="D5024" s="575" t="s">
        <v>12512</v>
      </c>
      <c r="E5024" s="178" t="s">
        <v>266</v>
      </c>
      <c r="F5024" s="210" t="s">
        <v>12513</v>
      </c>
      <c r="G5024" s="58" t="s">
        <v>5654</v>
      </c>
      <c r="H5024" s="546">
        <v>1750</v>
      </c>
      <c r="I5024" s="66">
        <v>45143</v>
      </c>
      <c r="J5024" s="411" t="s">
        <v>12505</v>
      </c>
      <c r="K5024" s="58"/>
      <c r="L5024" s="99"/>
      <c r="M5024" s="70" t="s">
        <v>5674</v>
      </c>
      <c r="N5024" s="97" t="s">
        <v>270</v>
      </c>
      <c r="O5024" s="58"/>
      <c r="P5024" s="58" t="s">
        <v>44</v>
      </c>
      <c r="Q5024" s="58" t="s">
        <v>66</v>
      </c>
      <c r="R5024" s="58" t="s">
        <v>272</v>
      </c>
    </row>
    <row r="5025" spans="1:18" ht="69" customHeight="1">
      <c r="A5025" s="168"/>
      <c r="B5025" s="178">
        <v>2145</v>
      </c>
      <c r="C5025" s="178" t="s">
        <v>458</v>
      </c>
      <c r="D5025" s="575" t="s">
        <v>12514</v>
      </c>
      <c r="E5025" s="178" t="s">
        <v>12515</v>
      </c>
      <c r="F5025" s="210" t="s">
        <v>12516</v>
      </c>
      <c r="G5025" s="58" t="s">
        <v>12517</v>
      </c>
      <c r="H5025" s="546">
        <v>91317.87</v>
      </c>
      <c r="I5025" s="66">
        <v>45132</v>
      </c>
      <c r="J5025" s="411" t="s">
        <v>12518</v>
      </c>
      <c r="K5025" s="58"/>
      <c r="L5025" s="99"/>
      <c r="M5025" s="70" t="s">
        <v>9092</v>
      </c>
      <c r="N5025" s="97" t="s">
        <v>264</v>
      </c>
      <c r="O5025" s="58" t="s">
        <v>141</v>
      </c>
      <c r="P5025" s="58" t="s">
        <v>17</v>
      </c>
      <c r="Q5025" s="58" t="s">
        <v>113</v>
      </c>
      <c r="R5025" s="58" t="s">
        <v>265</v>
      </c>
    </row>
    <row r="5026" spans="1:18" ht="69" customHeight="1">
      <c r="A5026" s="168"/>
      <c r="B5026" s="178"/>
      <c r="C5026" s="178" t="s">
        <v>47</v>
      </c>
      <c r="D5026" s="575" t="s">
        <v>2225</v>
      </c>
      <c r="E5026" s="178" t="s">
        <v>12519</v>
      </c>
      <c r="F5026" s="210" t="s">
        <v>47</v>
      </c>
      <c r="G5026" s="58" t="s">
        <v>12520</v>
      </c>
      <c r="H5026" s="546">
        <v>461563.39</v>
      </c>
      <c r="I5026" s="66" t="s">
        <v>96</v>
      </c>
      <c r="J5026" s="411"/>
      <c r="K5026" s="58"/>
      <c r="L5026" s="99"/>
      <c r="M5026" s="70" t="s">
        <v>12521</v>
      </c>
      <c r="N5026" s="97" t="s">
        <v>12491</v>
      </c>
      <c r="O5026" s="58"/>
      <c r="P5026" s="58" t="s">
        <v>30</v>
      </c>
      <c r="Q5026" s="58" t="s">
        <v>47</v>
      </c>
      <c r="R5026" s="58" t="s">
        <v>272</v>
      </c>
    </row>
    <row r="5027" spans="1:18" ht="69" customHeight="1">
      <c r="A5027" s="168"/>
      <c r="B5027" s="178"/>
      <c r="C5027" s="178" t="s">
        <v>52</v>
      </c>
      <c r="D5027" s="575" t="s">
        <v>2225</v>
      </c>
      <c r="E5027" s="178" t="s">
        <v>12519</v>
      </c>
      <c r="F5027" s="210" t="s">
        <v>52</v>
      </c>
      <c r="G5027" s="58" t="s">
        <v>12520</v>
      </c>
      <c r="H5027" s="546">
        <v>461563.39</v>
      </c>
      <c r="I5027" s="66" t="s">
        <v>96</v>
      </c>
      <c r="J5027" s="411"/>
      <c r="K5027" s="58"/>
      <c r="L5027" s="99"/>
      <c r="M5027" s="70" t="s">
        <v>12522</v>
      </c>
      <c r="N5027" s="97" t="s">
        <v>12491</v>
      </c>
      <c r="O5027" s="58"/>
      <c r="P5027" s="58" t="s">
        <v>30</v>
      </c>
      <c r="Q5027" s="58" t="s">
        <v>52</v>
      </c>
      <c r="R5027" s="58" t="s">
        <v>272</v>
      </c>
    </row>
    <row r="5028" spans="1:18" ht="69" customHeight="1">
      <c r="A5028" s="168"/>
      <c r="B5028" s="178"/>
      <c r="C5028" s="178" t="s">
        <v>60</v>
      </c>
      <c r="D5028" s="575" t="s">
        <v>8773</v>
      </c>
      <c r="E5028" s="178" t="s">
        <v>12519</v>
      </c>
      <c r="F5028" s="210" t="s">
        <v>60</v>
      </c>
      <c r="G5028" s="58" t="s">
        <v>12520</v>
      </c>
      <c r="H5028" s="546">
        <v>413574.83</v>
      </c>
      <c r="I5028" s="66" t="s">
        <v>96</v>
      </c>
      <c r="J5028" s="411"/>
      <c r="K5028" s="58"/>
      <c r="L5028" s="99"/>
      <c r="M5028" s="70" t="s">
        <v>12523</v>
      </c>
      <c r="N5028" s="97" t="s">
        <v>12491</v>
      </c>
      <c r="O5028" s="58"/>
      <c r="P5028" s="58" t="s">
        <v>30</v>
      </c>
      <c r="Q5028" s="58" t="s">
        <v>60</v>
      </c>
      <c r="R5028" s="58" t="s">
        <v>272</v>
      </c>
    </row>
    <row r="5029" spans="1:18" ht="69" customHeight="1">
      <c r="A5029" s="168"/>
      <c r="B5029" s="178"/>
      <c r="C5029" s="178" t="s">
        <v>62</v>
      </c>
      <c r="D5029" s="575" t="s">
        <v>8773</v>
      </c>
      <c r="E5029" s="178" t="s">
        <v>12519</v>
      </c>
      <c r="F5029" s="210" t="s">
        <v>62</v>
      </c>
      <c r="G5029" s="58" t="s">
        <v>12520</v>
      </c>
      <c r="H5029" s="546">
        <v>413574.83</v>
      </c>
      <c r="I5029" s="66" t="s">
        <v>96</v>
      </c>
      <c r="J5029" s="411"/>
      <c r="K5029" s="58"/>
      <c r="L5029" s="99"/>
      <c r="M5029" s="70" t="s">
        <v>12524</v>
      </c>
      <c r="N5029" s="97" t="s">
        <v>12491</v>
      </c>
      <c r="O5029" s="58"/>
      <c r="P5029" s="58" t="s">
        <v>30</v>
      </c>
      <c r="Q5029" s="58" t="s">
        <v>62</v>
      </c>
      <c r="R5029" s="58" t="s">
        <v>272</v>
      </c>
    </row>
    <row r="5030" spans="1:18" ht="69" customHeight="1">
      <c r="A5030" s="168"/>
      <c r="B5030" s="178"/>
      <c r="C5030" s="178" t="s">
        <v>64</v>
      </c>
      <c r="D5030" s="575" t="s">
        <v>2705</v>
      </c>
      <c r="E5030" s="178" t="s">
        <v>12519</v>
      </c>
      <c r="F5030" s="210" t="s">
        <v>64</v>
      </c>
      <c r="G5030" s="58" t="s">
        <v>12520</v>
      </c>
      <c r="H5030" s="546">
        <v>237529.89600000001</v>
      </c>
      <c r="I5030" s="66" t="s">
        <v>96</v>
      </c>
      <c r="J5030" s="411"/>
      <c r="K5030" s="58"/>
      <c r="L5030" s="99"/>
      <c r="M5030" s="70" t="s">
        <v>12525</v>
      </c>
      <c r="N5030" s="97" t="s">
        <v>12491</v>
      </c>
      <c r="O5030" s="58"/>
      <c r="P5030" s="58" t="s">
        <v>30</v>
      </c>
      <c r="Q5030" s="58" t="s">
        <v>64</v>
      </c>
      <c r="R5030" s="58" t="s">
        <v>272</v>
      </c>
    </row>
    <row r="5031" spans="1:18" ht="69" customHeight="1">
      <c r="A5031" s="168"/>
      <c r="B5031" s="178"/>
      <c r="C5031" s="178" t="s">
        <v>66</v>
      </c>
      <c r="D5031" s="575" t="s">
        <v>2456</v>
      </c>
      <c r="E5031" s="178" t="s">
        <v>12519</v>
      </c>
      <c r="F5031" s="210" t="s">
        <v>66</v>
      </c>
      <c r="G5031" s="58" t="s">
        <v>12520</v>
      </c>
      <c r="H5031" s="546">
        <v>269053.46999999997</v>
      </c>
      <c r="I5031" s="66" t="s">
        <v>96</v>
      </c>
      <c r="J5031" s="411"/>
      <c r="K5031" s="58"/>
      <c r="L5031" s="99"/>
      <c r="M5031" s="70" t="s">
        <v>12526</v>
      </c>
      <c r="N5031" s="97" t="s">
        <v>12491</v>
      </c>
      <c r="O5031" s="58"/>
      <c r="P5031" s="58" t="s">
        <v>30</v>
      </c>
      <c r="Q5031" s="58" t="s">
        <v>66</v>
      </c>
      <c r="R5031" s="58" t="s">
        <v>272</v>
      </c>
    </row>
    <row r="5032" spans="1:18" ht="69" customHeight="1">
      <c r="A5032" s="168"/>
      <c r="B5032" s="178"/>
      <c r="C5032" s="178" t="s">
        <v>68</v>
      </c>
      <c r="D5032" s="575" t="s">
        <v>2459</v>
      </c>
      <c r="E5032" s="178" t="s">
        <v>12519</v>
      </c>
      <c r="F5032" s="210" t="s">
        <v>68</v>
      </c>
      <c r="G5032" s="58" t="s">
        <v>12520</v>
      </c>
      <c r="H5032" s="546">
        <v>263103.39</v>
      </c>
      <c r="I5032" s="66" t="s">
        <v>96</v>
      </c>
      <c r="J5032" s="411"/>
      <c r="K5032" s="58"/>
      <c r="L5032" s="99"/>
      <c r="M5032" s="70" t="s">
        <v>12527</v>
      </c>
      <c r="N5032" s="97" t="s">
        <v>12491</v>
      </c>
      <c r="O5032" s="58"/>
      <c r="P5032" s="58" t="s">
        <v>30</v>
      </c>
      <c r="Q5032" s="58" t="s">
        <v>68</v>
      </c>
      <c r="R5032" s="58" t="s">
        <v>272</v>
      </c>
    </row>
    <row r="5033" spans="1:18" ht="69" customHeight="1">
      <c r="A5033" s="168"/>
      <c r="B5033" s="178"/>
      <c r="C5033" s="178" t="s">
        <v>70</v>
      </c>
      <c r="D5033" s="575" t="s">
        <v>2003</v>
      </c>
      <c r="E5033" s="178" t="s">
        <v>12519</v>
      </c>
      <c r="F5033" s="210" t="s">
        <v>70</v>
      </c>
      <c r="G5033" s="58" t="s">
        <v>12520</v>
      </c>
      <c r="H5033" s="546">
        <v>269053.46999999997</v>
      </c>
      <c r="I5033" s="66" t="s">
        <v>96</v>
      </c>
      <c r="J5033" s="411"/>
      <c r="K5033" s="58"/>
      <c r="L5033" s="99"/>
      <c r="M5033" s="70" t="s">
        <v>12528</v>
      </c>
      <c r="N5033" s="97" t="s">
        <v>12491</v>
      </c>
      <c r="O5033" s="58" t="s">
        <v>12529</v>
      </c>
      <c r="P5033" s="58" t="s">
        <v>30</v>
      </c>
      <c r="Q5033" s="58" t="s">
        <v>70</v>
      </c>
      <c r="R5033" s="58" t="s">
        <v>272</v>
      </c>
    </row>
    <row r="5034" spans="1:18" ht="69" customHeight="1">
      <c r="A5034" s="168"/>
      <c r="B5034" s="178"/>
      <c r="C5034" s="178" t="s">
        <v>72</v>
      </c>
      <c r="D5034" s="575" t="s">
        <v>2006</v>
      </c>
      <c r="E5034" s="178" t="s">
        <v>12519</v>
      </c>
      <c r="F5034" s="210" t="s">
        <v>72</v>
      </c>
      <c r="G5034" s="58" t="s">
        <v>12520</v>
      </c>
      <c r="H5034" s="546">
        <v>204110.04</v>
      </c>
      <c r="I5034" s="66" t="s">
        <v>96</v>
      </c>
      <c r="J5034" s="411"/>
      <c r="K5034" s="58"/>
      <c r="L5034" s="99"/>
      <c r="M5034" s="70" t="s">
        <v>12530</v>
      </c>
      <c r="N5034" s="97" t="s">
        <v>12491</v>
      </c>
      <c r="O5034" s="58"/>
      <c r="P5034" s="58" t="s">
        <v>30</v>
      </c>
      <c r="Q5034" s="58" t="s">
        <v>72</v>
      </c>
      <c r="R5034" s="58" t="s">
        <v>272</v>
      </c>
    </row>
    <row r="5035" spans="1:18" ht="69" customHeight="1">
      <c r="A5035" s="168"/>
      <c r="B5035" s="178"/>
      <c r="C5035" s="178" t="s">
        <v>74</v>
      </c>
      <c r="D5035" s="575" t="s">
        <v>1996</v>
      </c>
      <c r="E5035" s="178" t="s">
        <v>12519</v>
      </c>
      <c r="F5035" s="210" t="s">
        <v>74</v>
      </c>
      <c r="G5035" s="58" t="s">
        <v>12520</v>
      </c>
      <c r="H5035" s="546">
        <v>303199.92</v>
      </c>
      <c r="I5035" s="66" t="s">
        <v>96</v>
      </c>
      <c r="J5035" s="411"/>
      <c r="K5035" s="58"/>
      <c r="L5035" s="99"/>
      <c r="M5035" s="70" t="s">
        <v>12531</v>
      </c>
      <c r="N5035" s="97" t="s">
        <v>12491</v>
      </c>
      <c r="O5035" s="58"/>
      <c r="P5035" s="58" t="s">
        <v>30</v>
      </c>
      <c r="Q5035" s="58" t="s">
        <v>74</v>
      </c>
      <c r="R5035" s="58" t="s">
        <v>272</v>
      </c>
    </row>
    <row r="5036" spans="1:18" ht="69" customHeight="1">
      <c r="A5036" s="168"/>
      <c r="B5036" s="178"/>
      <c r="C5036" s="178" t="s">
        <v>76</v>
      </c>
      <c r="D5036" s="575" t="s">
        <v>1996</v>
      </c>
      <c r="E5036" s="178" t="s">
        <v>12519</v>
      </c>
      <c r="F5036" s="210" t="s">
        <v>76</v>
      </c>
      <c r="G5036" s="58" t="s">
        <v>12520</v>
      </c>
      <c r="H5036" s="546">
        <v>303199.92</v>
      </c>
      <c r="I5036" s="66" t="s">
        <v>96</v>
      </c>
      <c r="J5036" s="411"/>
      <c r="K5036" s="58"/>
      <c r="L5036" s="99"/>
      <c r="M5036" s="70" t="s">
        <v>12532</v>
      </c>
      <c r="N5036" s="97" t="s">
        <v>12491</v>
      </c>
      <c r="O5036" s="58"/>
      <c r="P5036" s="58" t="s">
        <v>30</v>
      </c>
      <c r="Q5036" s="58" t="s">
        <v>76</v>
      </c>
      <c r="R5036" s="58" t="s">
        <v>272</v>
      </c>
    </row>
    <row r="5037" spans="1:18" ht="69" customHeight="1">
      <c r="A5037" s="168"/>
      <c r="B5037" s="178"/>
      <c r="C5037" s="178" t="s">
        <v>78</v>
      </c>
      <c r="D5037" s="575" t="s">
        <v>1996</v>
      </c>
      <c r="E5037" s="178" t="s">
        <v>12519</v>
      </c>
      <c r="F5037" s="210" t="s">
        <v>78</v>
      </c>
      <c r="G5037" s="58" t="s">
        <v>12520</v>
      </c>
      <c r="H5037" s="546">
        <v>303199.92</v>
      </c>
      <c r="I5037" s="66" t="s">
        <v>96</v>
      </c>
      <c r="J5037" s="411"/>
      <c r="K5037" s="58"/>
      <c r="L5037" s="99"/>
      <c r="M5037" s="70" t="s">
        <v>12533</v>
      </c>
      <c r="N5037" s="97" t="s">
        <v>12491</v>
      </c>
      <c r="O5037" s="58"/>
      <c r="P5037" s="58" t="s">
        <v>30</v>
      </c>
      <c r="Q5037" s="58" t="s">
        <v>78</v>
      </c>
      <c r="R5037" s="58" t="s">
        <v>272</v>
      </c>
    </row>
    <row r="5038" spans="1:18" ht="69" customHeight="1">
      <c r="A5038" s="168"/>
      <c r="B5038" s="178"/>
      <c r="C5038" s="178" t="s">
        <v>80</v>
      </c>
      <c r="D5038" s="575" t="s">
        <v>12534</v>
      </c>
      <c r="E5038" s="178" t="s">
        <v>12519</v>
      </c>
      <c r="F5038" s="210" t="s">
        <v>80</v>
      </c>
      <c r="G5038" s="58" t="s">
        <v>12520</v>
      </c>
      <c r="H5038" s="546">
        <v>269053.46999999997</v>
      </c>
      <c r="I5038" s="66" t="s">
        <v>96</v>
      </c>
      <c r="J5038" s="411"/>
      <c r="K5038" s="58" t="s">
        <v>5619</v>
      </c>
      <c r="L5038" s="99"/>
      <c r="M5038" s="70" t="s">
        <v>12535</v>
      </c>
      <c r="N5038" s="97" t="s">
        <v>12491</v>
      </c>
      <c r="O5038" s="58"/>
      <c r="P5038" s="58" t="s">
        <v>30</v>
      </c>
      <c r="Q5038" s="58" t="s">
        <v>93</v>
      </c>
      <c r="R5038" s="58" t="s">
        <v>272</v>
      </c>
    </row>
    <row r="5039" spans="1:18" ht="69" customHeight="1">
      <c r="A5039" s="168"/>
      <c r="B5039" s="178"/>
      <c r="C5039" s="178" t="s">
        <v>82</v>
      </c>
      <c r="D5039" s="575" t="s">
        <v>12534</v>
      </c>
      <c r="E5039" s="178" t="s">
        <v>12519</v>
      </c>
      <c r="F5039" s="210" t="s">
        <v>82</v>
      </c>
      <c r="G5039" s="58" t="s">
        <v>12520</v>
      </c>
      <c r="H5039" s="546">
        <v>269053.46999999997</v>
      </c>
      <c r="I5039" s="66" t="s">
        <v>96</v>
      </c>
      <c r="J5039" s="411"/>
      <c r="K5039" s="58" t="s">
        <v>6846</v>
      </c>
      <c r="L5039" s="99"/>
      <c r="M5039" s="70" t="s">
        <v>12536</v>
      </c>
      <c r="N5039" s="97" t="s">
        <v>12491</v>
      </c>
      <c r="O5039" s="58"/>
      <c r="P5039" s="58" t="s">
        <v>30</v>
      </c>
      <c r="Q5039" s="58" t="s">
        <v>95</v>
      </c>
      <c r="R5039" s="58" t="s">
        <v>272</v>
      </c>
    </row>
    <row r="5040" spans="1:18" ht="69" customHeight="1">
      <c r="A5040" s="168"/>
      <c r="B5040" s="178"/>
      <c r="C5040" s="178" t="s">
        <v>84</v>
      </c>
      <c r="D5040" s="575" t="s">
        <v>12534</v>
      </c>
      <c r="E5040" s="178" t="s">
        <v>12519</v>
      </c>
      <c r="F5040" s="210" t="s">
        <v>84</v>
      </c>
      <c r="G5040" s="58" t="s">
        <v>12520</v>
      </c>
      <c r="H5040" s="546">
        <v>237529.9</v>
      </c>
      <c r="I5040" s="66" t="s">
        <v>96</v>
      </c>
      <c r="J5040" s="411"/>
      <c r="K5040" s="58"/>
      <c r="L5040" s="99"/>
      <c r="M5040" s="70" t="s">
        <v>12537</v>
      </c>
      <c r="N5040" s="97" t="s">
        <v>12491</v>
      </c>
      <c r="O5040" s="58"/>
      <c r="P5040" s="58" t="s">
        <v>30</v>
      </c>
      <c r="Q5040" s="58" t="s">
        <v>84</v>
      </c>
      <c r="R5040" s="58" t="s">
        <v>272</v>
      </c>
    </row>
    <row r="5041" spans="1:18" ht="69" customHeight="1">
      <c r="A5041" s="168"/>
      <c r="B5041" s="178"/>
      <c r="C5041" s="178" t="s">
        <v>12538</v>
      </c>
      <c r="D5041" s="575" t="s">
        <v>2464</v>
      </c>
      <c r="E5041" s="178" t="s">
        <v>12519</v>
      </c>
      <c r="F5041" s="210" t="s">
        <v>12538</v>
      </c>
      <c r="G5041" s="58" t="s">
        <v>12520</v>
      </c>
      <c r="H5041" s="546">
        <v>237529.9</v>
      </c>
      <c r="I5041" s="66" t="s">
        <v>96</v>
      </c>
      <c r="J5041" s="411"/>
      <c r="K5041" s="58"/>
      <c r="L5041" s="99"/>
      <c r="M5041" s="70" t="s">
        <v>12539</v>
      </c>
      <c r="N5041" s="97" t="s">
        <v>12491</v>
      </c>
      <c r="O5041" s="58"/>
      <c r="P5041" s="58" t="s">
        <v>30</v>
      </c>
      <c r="Q5041" s="58" t="s">
        <v>86</v>
      </c>
      <c r="R5041" s="58" t="s">
        <v>272</v>
      </c>
    </row>
    <row r="5042" spans="1:18" ht="69" customHeight="1">
      <c r="A5042" s="168"/>
      <c r="B5042" s="62"/>
      <c r="C5042" s="178" t="s">
        <v>47</v>
      </c>
      <c r="D5042" s="575" t="s">
        <v>9327</v>
      </c>
      <c r="E5042" s="58" t="s">
        <v>32</v>
      </c>
      <c r="F5042" s="210" t="s">
        <v>47</v>
      </c>
      <c r="G5042" s="58" t="s">
        <v>12540</v>
      </c>
      <c r="H5042" s="546">
        <v>1041682.1489361702</v>
      </c>
      <c r="I5042" s="66" t="s">
        <v>96</v>
      </c>
      <c r="J5042" s="65"/>
      <c r="K5042" s="58"/>
      <c r="L5042" s="99"/>
      <c r="M5042" s="70" t="s">
        <v>12541</v>
      </c>
      <c r="N5042" s="97" t="s">
        <v>12491</v>
      </c>
      <c r="O5042" s="58"/>
      <c r="P5042" s="58" t="s">
        <v>32</v>
      </c>
      <c r="Q5042" s="58" t="s">
        <v>47</v>
      </c>
      <c r="R5042" s="58" t="s">
        <v>272</v>
      </c>
    </row>
    <row r="5043" spans="1:18" ht="69" customHeight="1">
      <c r="A5043" s="168"/>
      <c r="B5043" s="62"/>
      <c r="C5043" s="178" t="s">
        <v>52</v>
      </c>
      <c r="D5043" s="575" t="s">
        <v>8309</v>
      </c>
      <c r="E5043" s="58" t="s">
        <v>32</v>
      </c>
      <c r="F5043" s="210" t="s">
        <v>52</v>
      </c>
      <c r="G5043" s="58" t="s">
        <v>12540</v>
      </c>
      <c r="H5043" s="546">
        <v>1041682.1489361702</v>
      </c>
      <c r="I5043" s="66" t="s">
        <v>96</v>
      </c>
      <c r="J5043" s="65"/>
      <c r="K5043" s="58"/>
      <c r="L5043" s="99"/>
      <c r="M5043" s="70" t="s">
        <v>12542</v>
      </c>
      <c r="N5043" s="97" t="s">
        <v>12491</v>
      </c>
      <c r="O5043" s="58"/>
      <c r="P5043" s="58" t="s">
        <v>32</v>
      </c>
      <c r="Q5043" s="58" t="s">
        <v>52</v>
      </c>
      <c r="R5043" s="58" t="s">
        <v>272</v>
      </c>
    </row>
    <row r="5044" spans="1:18" ht="69" customHeight="1">
      <c r="A5044" s="168"/>
      <c r="B5044" s="62"/>
      <c r="C5044" s="178" t="s">
        <v>54</v>
      </c>
      <c r="D5044" s="575" t="s">
        <v>10151</v>
      </c>
      <c r="E5044" s="58" t="s">
        <v>32</v>
      </c>
      <c r="F5044" s="210" t="s">
        <v>54</v>
      </c>
      <c r="G5044" s="58" t="s">
        <v>12540</v>
      </c>
      <c r="H5044" s="546">
        <v>356913.68</v>
      </c>
      <c r="I5044" s="66" t="s">
        <v>96</v>
      </c>
      <c r="J5044" s="65"/>
      <c r="K5044" s="58"/>
      <c r="L5044" s="99"/>
      <c r="M5044" s="70" t="s">
        <v>12543</v>
      </c>
      <c r="N5044" s="97" t="s">
        <v>12491</v>
      </c>
      <c r="O5044" s="58"/>
      <c r="P5044" s="58" t="s">
        <v>32</v>
      </c>
      <c r="Q5044" s="58" t="s">
        <v>54</v>
      </c>
      <c r="R5044" s="58" t="s">
        <v>272</v>
      </c>
    </row>
    <row r="5045" spans="1:18" ht="69" customHeight="1">
      <c r="A5045" s="168"/>
      <c r="B5045" s="62"/>
      <c r="C5045" s="178" t="s">
        <v>56</v>
      </c>
      <c r="D5045" s="575" t="s">
        <v>1089</v>
      </c>
      <c r="E5045" s="58" t="s">
        <v>32</v>
      </c>
      <c r="F5045" s="210" t="s">
        <v>56</v>
      </c>
      <c r="G5045" s="58" t="s">
        <v>12540</v>
      </c>
      <c r="H5045" s="546">
        <v>752179.87234042562</v>
      </c>
      <c r="I5045" s="66" t="s">
        <v>96</v>
      </c>
      <c r="J5045" s="65"/>
      <c r="K5045" s="58"/>
      <c r="L5045" s="99"/>
      <c r="M5045" s="70" t="s">
        <v>12544</v>
      </c>
      <c r="N5045" s="97" t="s">
        <v>12491</v>
      </c>
      <c r="O5045" s="58"/>
      <c r="P5045" s="58" t="s">
        <v>32</v>
      </c>
      <c r="Q5045" s="58" t="s">
        <v>56</v>
      </c>
      <c r="R5045" s="58" t="s">
        <v>272</v>
      </c>
    </row>
    <row r="5046" spans="1:18" ht="69" customHeight="1">
      <c r="A5046" s="168"/>
      <c r="B5046" s="62"/>
      <c r="C5046" s="178" t="s">
        <v>58</v>
      </c>
      <c r="D5046" s="575" t="s">
        <v>12545</v>
      </c>
      <c r="E5046" s="58" t="s">
        <v>32</v>
      </c>
      <c r="F5046" s="210" t="s">
        <v>58</v>
      </c>
      <c r="G5046" s="58" t="s">
        <v>12540</v>
      </c>
      <c r="H5046" s="546">
        <v>752179.87234042562</v>
      </c>
      <c r="I5046" s="66" t="s">
        <v>96</v>
      </c>
      <c r="J5046" s="65"/>
      <c r="K5046" s="58"/>
      <c r="L5046" s="99"/>
      <c r="M5046" s="70" t="s">
        <v>12546</v>
      </c>
      <c r="N5046" s="97" t="s">
        <v>12491</v>
      </c>
      <c r="O5046" s="58"/>
      <c r="P5046" s="58" t="s">
        <v>32</v>
      </c>
      <c r="Q5046" s="58" t="s">
        <v>58</v>
      </c>
      <c r="R5046" s="58" t="s">
        <v>272</v>
      </c>
    </row>
    <row r="5047" spans="1:18" ht="69" customHeight="1">
      <c r="A5047" s="168"/>
      <c r="B5047" s="62"/>
      <c r="C5047" s="178" t="s">
        <v>60</v>
      </c>
      <c r="D5047" s="575" t="s">
        <v>978</v>
      </c>
      <c r="E5047" s="58" t="s">
        <v>32</v>
      </c>
      <c r="F5047" s="210" t="s">
        <v>60</v>
      </c>
      <c r="G5047" s="58" t="s">
        <v>12540</v>
      </c>
      <c r="H5047" s="546">
        <v>1041682.1489361702</v>
      </c>
      <c r="I5047" s="66" t="s">
        <v>96</v>
      </c>
      <c r="J5047" s="65"/>
      <c r="K5047" s="58"/>
      <c r="L5047" s="99"/>
      <c r="M5047" s="70" t="s">
        <v>12547</v>
      </c>
      <c r="N5047" s="97" t="s">
        <v>12491</v>
      </c>
      <c r="O5047" s="58"/>
      <c r="P5047" s="58" t="s">
        <v>32</v>
      </c>
      <c r="Q5047" s="58" t="s">
        <v>60</v>
      </c>
      <c r="R5047" s="58" t="s">
        <v>272</v>
      </c>
    </row>
    <row r="5048" spans="1:18" ht="69" customHeight="1">
      <c r="A5048" s="168"/>
      <c r="B5048" s="62"/>
      <c r="C5048" s="178" t="s">
        <v>62</v>
      </c>
      <c r="D5048" s="575" t="s">
        <v>983</v>
      </c>
      <c r="E5048" s="58" t="s">
        <v>32</v>
      </c>
      <c r="F5048" s="210" t="s">
        <v>62</v>
      </c>
      <c r="G5048" s="58" t="s">
        <v>12540</v>
      </c>
      <c r="H5048" s="546">
        <v>1041682.1489361702</v>
      </c>
      <c r="I5048" s="66" t="s">
        <v>96</v>
      </c>
      <c r="J5048" s="65"/>
      <c r="K5048" s="58"/>
      <c r="L5048" s="99"/>
      <c r="M5048" s="70" t="s">
        <v>12548</v>
      </c>
      <c r="N5048" s="97" t="s">
        <v>12491</v>
      </c>
      <c r="O5048" s="58"/>
      <c r="P5048" s="58" t="s">
        <v>32</v>
      </c>
      <c r="Q5048" s="58" t="s">
        <v>62</v>
      </c>
      <c r="R5048" s="58" t="s">
        <v>272</v>
      </c>
    </row>
    <row r="5049" spans="1:18" ht="69" customHeight="1">
      <c r="A5049" s="168"/>
      <c r="B5049" s="62"/>
      <c r="C5049" s="178" t="s">
        <v>64</v>
      </c>
      <c r="D5049" s="575" t="s">
        <v>1302</v>
      </c>
      <c r="E5049" s="58" t="s">
        <v>32</v>
      </c>
      <c r="F5049" s="210" t="s">
        <v>64</v>
      </c>
      <c r="G5049" s="58" t="s">
        <v>12540</v>
      </c>
      <c r="H5049" s="546">
        <v>646894.38</v>
      </c>
      <c r="I5049" s="66" t="s">
        <v>96</v>
      </c>
      <c r="J5049" s="65"/>
      <c r="K5049" s="58"/>
      <c r="L5049" s="99"/>
      <c r="M5049" s="70" t="s">
        <v>12549</v>
      </c>
      <c r="N5049" s="97" t="s">
        <v>12491</v>
      </c>
      <c r="O5049" s="58"/>
      <c r="P5049" s="58" t="s">
        <v>32</v>
      </c>
      <c r="Q5049" s="58" t="s">
        <v>64</v>
      </c>
      <c r="R5049" s="58" t="s">
        <v>272</v>
      </c>
    </row>
    <row r="5050" spans="1:18" ht="69" customHeight="1">
      <c r="A5050" s="168"/>
      <c r="B5050" s="62"/>
      <c r="C5050" s="178" t="s">
        <v>66</v>
      </c>
      <c r="D5050" s="575" t="s">
        <v>1296</v>
      </c>
      <c r="E5050" s="58" t="s">
        <v>32</v>
      </c>
      <c r="F5050" s="210" t="s">
        <v>66</v>
      </c>
      <c r="G5050" s="58" t="s">
        <v>12540</v>
      </c>
      <c r="H5050" s="546">
        <v>633409.85832750681</v>
      </c>
      <c r="I5050" s="66" t="s">
        <v>96</v>
      </c>
      <c r="J5050" s="65"/>
      <c r="K5050" s="58"/>
      <c r="L5050" s="99"/>
      <c r="M5050" s="70" t="s">
        <v>12550</v>
      </c>
      <c r="N5050" s="97" t="s">
        <v>12491</v>
      </c>
      <c r="O5050" s="58"/>
      <c r="P5050" s="58" t="s">
        <v>32</v>
      </c>
      <c r="Q5050" s="58" t="s">
        <v>66</v>
      </c>
      <c r="R5050" s="58" t="s">
        <v>272</v>
      </c>
    </row>
    <row r="5051" spans="1:18" ht="69" customHeight="1">
      <c r="A5051" s="168"/>
      <c r="B5051" s="62"/>
      <c r="C5051" s="178" t="s">
        <v>68</v>
      </c>
      <c r="D5051" s="575" t="s">
        <v>2493</v>
      </c>
      <c r="E5051" s="58" t="s">
        <v>32</v>
      </c>
      <c r="F5051" s="210" t="s">
        <v>68</v>
      </c>
      <c r="G5051" s="58" t="s">
        <v>12540</v>
      </c>
      <c r="H5051" s="546">
        <v>669481.09</v>
      </c>
      <c r="I5051" s="66" t="s">
        <v>96</v>
      </c>
      <c r="J5051" s="65"/>
      <c r="K5051" s="58"/>
      <c r="L5051" s="99"/>
      <c r="M5051" s="70" t="s">
        <v>12551</v>
      </c>
      <c r="N5051" s="97" t="s">
        <v>12491</v>
      </c>
      <c r="O5051" s="58"/>
      <c r="P5051" s="58" t="s">
        <v>32</v>
      </c>
      <c r="Q5051" s="58" t="s">
        <v>68</v>
      </c>
      <c r="R5051" s="58" t="s">
        <v>272</v>
      </c>
    </row>
    <row r="5052" spans="1:18" ht="69" customHeight="1">
      <c r="A5052" s="168"/>
      <c r="B5052" s="62"/>
      <c r="C5052" s="178" t="s">
        <v>70</v>
      </c>
      <c r="D5052" s="575" t="s">
        <v>3187</v>
      </c>
      <c r="E5052" s="58" t="s">
        <v>32</v>
      </c>
      <c r="F5052" s="210" t="s">
        <v>70</v>
      </c>
      <c r="G5052" s="58" t="s">
        <v>12540</v>
      </c>
      <c r="H5052" s="546">
        <v>653348.77</v>
      </c>
      <c r="I5052" s="66" t="s">
        <v>96</v>
      </c>
      <c r="J5052" s="65"/>
      <c r="K5052" s="58"/>
      <c r="L5052" s="99"/>
      <c r="M5052" s="70" t="s">
        <v>12552</v>
      </c>
      <c r="N5052" s="97" t="s">
        <v>12491</v>
      </c>
      <c r="O5052" s="58" t="s">
        <v>12553</v>
      </c>
      <c r="P5052" s="58" t="s">
        <v>32</v>
      </c>
      <c r="Q5052" s="58" t="s">
        <v>70</v>
      </c>
      <c r="R5052" s="58" t="s">
        <v>272</v>
      </c>
    </row>
    <row r="5053" spans="1:18" ht="69" customHeight="1">
      <c r="A5053" s="168"/>
      <c r="B5053" s="62"/>
      <c r="C5053" s="178" t="s">
        <v>72</v>
      </c>
      <c r="D5053" s="575" t="s">
        <v>1523</v>
      </c>
      <c r="E5053" s="58" t="s">
        <v>32</v>
      </c>
      <c r="F5053" s="210" t="s">
        <v>72</v>
      </c>
      <c r="G5053" s="58" t="s">
        <v>12540</v>
      </c>
      <c r="H5053" s="546">
        <f>489114.83+4677.47</f>
        <v>493792.3</v>
      </c>
      <c r="I5053" s="66" t="s">
        <v>96</v>
      </c>
      <c r="J5053" s="65"/>
      <c r="K5053" s="58"/>
      <c r="L5053" s="99"/>
      <c r="M5053" s="70" t="s">
        <v>12554</v>
      </c>
      <c r="N5053" s="97" t="s">
        <v>12491</v>
      </c>
      <c r="O5053" s="58"/>
      <c r="P5053" s="58" t="s">
        <v>32</v>
      </c>
      <c r="Q5053" s="58" t="s">
        <v>72</v>
      </c>
      <c r="R5053" s="58" t="s">
        <v>272</v>
      </c>
    </row>
    <row r="5054" spans="1:18" ht="69" customHeight="1">
      <c r="A5054" s="168"/>
      <c r="B5054" s="62"/>
      <c r="C5054" s="178" t="s">
        <v>74</v>
      </c>
      <c r="D5054" s="575" t="s">
        <v>986</v>
      </c>
      <c r="E5054" s="58" t="s">
        <v>32</v>
      </c>
      <c r="F5054" s="210" t="s">
        <v>74</v>
      </c>
      <c r="G5054" s="58" t="s">
        <v>12540</v>
      </c>
      <c r="H5054" s="546">
        <v>646894.37234042562</v>
      </c>
      <c r="I5054" s="66" t="s">
        <v>96</v>
      </c>
      <c r="J5054" s="65"/>
      <c r="K5054" s="58"/>
      <c r="L5054" s="99"/>
      <c r="M5054" s="70" t="s">
        <v>12555</v>
      </c>
      <c r="N5054" s="97" t="s">
        <v>12491</v>
      </c>
      <c r="O5054" s="58"/>
      <c r="P5054" s="58" t="s">
        <v>32</v>
      </c>
      <c r="Q5054" s="58" t="s">
        <v>74</v>
      </c>
      <c r="R5054" s="58" t="s">
        <v>272</v>
      </c>
    </row>
    <row r="5055" spans="1:18" ht="69" customHeight="1">
      <c r="A5055" s="168"/>
      <c r="B5055" s="62"/>
      <c r="C5055" s="178" t="s">
        <v>76</v>
      </c>
      <c r="D5055" s="575" t="s">
        <v>989</v>
      </c>
      <c r="E5055" s="58" t="s">
        <v>32</v>
      </c>
      <c r="F5055" s="210" t="s">
        <v>76</v>
      </c>
      <c r="G5055" s="58" t="s">
        <v>12540</v>
      </c>
      <c r="H5055" s="546">
        <v>646894.37234042562</v>
      </c>
      <c r="I5055" s="66" t="s">
        <v>96</v>
      </c>
      <c r="J5055" s="65"/>
      <c r="K5055" s="58"/>
      <c r="L5055" s="99"/>
      <c r="M5055" s="70" t="s">
        <v>12556</v>
      </c>
      <c r="N5055" s="97" t="s">
        <v>12491</v>
      </c>
      <c r="O5055" s="58"/>
      <c r="P5055" s="58" t="s">
        <v>32</v>
      </c>
      <c r="Q5055" s="58" t="s">
        <v>76</v>
      </c>
      <c r="R5055" s="58" t="s">
        <v>272</v>
      </c>
    </row>
    <row r="5056" spans="1:18" ht="69" customHeight="1">
      <c r="A5056" s="168"/>
      <c r="B5056" s="62"/>
      <c r="C5056" s="178" t="s">
        <v>78</v>
      </c>
      <c r="D5056" s="575" t="s">
        <v>7515</v>
      </c>
      <c r="E5056" s="58" t="s">
        <v>32</v>
      </c>
      <c r="F5056" s="210" t="s">
        <v>78</v>
      </c>
      <c r="G5056" s="58" t="s">
        <v>12540</v>
      </c>
      <c r="H5056" s="546">
        <f>653348.78+6454.37</f>
        <v>659803.15</v>
      </c>
      <c r="I5056" s="66" t="s">
        <v>96</v>
      </c>
      <c r="J5056" s="65"/>
      <c r="K5056" s="58"/>
      <c r="L5056" s="99"/>
      <c r="M5056" s="70" t="s">
        <v>12557</v>
      </c>
      <c r="N5056" s="97" t="s">
        <v>12491</v>
      </c>
      <c r="O5056" s="58"/>
      <c r="P5056" s="58" t="s">
        <v>32</v>
      </c>
      <c r="Q5056" s="58" t="s">
        <v>78</v>
      </c>
      <c r="R5056" s="58" t="s">
        <v>272</v>
      </c>
    </row>
    <row r="5057" spans="1:18" ht="69" customHeight="1">
      <c r="A5057" s="168"/>
      <c r="B5057" s="62"/>
      <c r="C5057" s="178" t="s">
        <v>80</v>
      </c>
      <c r="D5057" s="575" t="s">
        <v>3193</v>
      </c>
      <c r="E5057" s="58" t="s">
        <v>32</v>
      </c>
      <c r="F5057" s="210" t="s">
        <v>80</v>
      </c>
      <c r="G5057" s="58" t="s">
        <v>12540</v>
      </c>
      <c r="H5057" s="546">
        <f>531502.28+139330.04</f>
        <v>670832.32000000007</v>
      </c>
      <c r="I5057" s="66" t="s">
        <v>96</v>
      </c>
      <c r="J5057" s="65"/>
      <c r="K5057" s="58" t="s">
        <v>5619</v>
      </c>
      <c r="L5057" s="99"/>
      <c r="M5057" s="70" t="s">
        <v>12558</v>
      </c>
      <c r="N5057" s="97" t="s">
        <v>12491</v>
      </c>
      <c r="O5057" s="58"/>
      <c r="P5057" s="58" t="s">
        <v>32</v>
      </c>
      <c r="Q5057" s="58" t="s">
        <v>93</v>
      </c>
      <c r="R5057" s="58" t="s">
        <v>272</v>
      </c>
    </row>
    <row r="5058" spans="1:18" ht="69" customHeight="1">
      <c r="A5058" s="168"/>
      <c r="B5058" s="62"/>
      <c r="C5058" s="178" t="s">
        <v>82</v>
      </c>
      <c r="D5058" s="575" t="s">
        <v>2979</v>
      </c>
      <c r="E5058" s="58" t="s">
        <v>32</v>
      </c>
      <c r="F5058" s="210" t="s">
        <v>82</v>
      </c>
      <c r="G5058" s="58" t="s">
        <v>12540</v>
      </c>
      <c r="H5058" s="546">
        <f>561749.06+146891.68</f>
        <v>708640.74</v>
      </c>
      <c r="I5058" s="66" t="s">
        <v>96</v>
      </c>
      <c r="J5058" s="65"/>
      <c r="K5058" s="58" t="s">
        <v>6846</v>
      </c>
      <c r="L5058" s="99"/>
      <c r="M5058" s="70" t="s">
        <v>12559</v>
      </c>
      <c r="N5058" s="97" t="s">
        <v>12491</v>
      </c>
      <c r="O5058" s="58"/>
      <c r="P5058" s="58" t="s">
        <v>32</v>
      </c>
      <c r="Q5058" s="58" t="s">
        <v>95</v>
      </c>
      <c r="R5058" s="58" t="s">
        <v>272</v>
      </c>
    </row>
    <row r="5059" spans="1:18" ht="69" customHeight="1">
      <c r="A5059" s="168"/>
      <c r="B5059" s="62"/>
      <c r="C5059" s="178" t="s">
        <v>84</v>
      </c>
      <c r="D5059" s="575" t="s">
        <v>2986</v>
      </c>
      <c r="E5059" s="58" t="s">
        <v>32</v>
      </c>
      <c r="F5059" s="210" t="s">
        <v>84</v>
      </c>
      <c r="G5059" s="58" t="s">
        <v>12540</v>
      </c>
      <c r="H5059" s="546">
        <f>199313.38+465064.55</f>
        <v>664377.92999999993</v>
      </c>
      <c r="I5059" s="66" t="s">
        <v>96</v>
      </c>
      <c r="J5059" s="65"/>
      <c r="K5059" s="58"/>
      <c r="L5059" s="99"/>
      <c r="M5059" s="70" t="s">
        <v>12560</v>
      </c>
      <c r="N5059" s="97" t="s">
        <v>12491</v>
      </c>
      <c r="O5059" s="58"/>
      <c r="P5059" s="58" t="s">
        <v>32</v>
      </c>
      <c r="Q5059" s="58" t="s">
        <v>84</v>
      </c>
      <c r="R5059" s="58" t="s">
        <v>272</v>
      </c>
    </row>
    <row r="5060" spans="1:18" ht="69" customHeight="1">
      <c r="A5060" s="168"/>
      <c r="B5060" s="62"/>
      <c r="C5060" s="178" t="s">
        <v>12538</v>
      </c>
      <c r="D5060" s="575" t="s">
        <v>672</v>
      </c>
      <c r="E5060" s="58" t="s">
        <v>32</v>
      </c>
      <c r="F5060" s="210" t="s">
        <v>12538</v>
      </c>
      <c r="G5060" s="58" t="s">
        <v>12540</v>
      </c>
      <c r="H5060" s="546">
        <v>626944.9</v>
      </c>
      <c r="I5060" s="66" t="s">
        <v>96</v>
      </c>
      <c r="J5060" s="65"/>
      <c r="K5060" s="58"/>
      <c r="L5060" s="99"/>
      <c r="M5060" s="70" t="s">
        <v>12561</v>
      </c>
      <c r="N5060" s="97" t="s">
        <v>12491</v>
      </c>
      <c r="O5060" s="58"/>
      <c r="P5060" s="58" t="s">
        <v>32</v>
      </c>
      <c r="Q5060" s="58" t="s">
        <v>86</v>
      </c>
      <c r="R5060" s="58" t="s">
        <v>272</v>
      </c>
    </row>
    <row r="5061" spans="1:18" ht="69" customHeight="1">
      <c r="A5061" s="168"/>
      <c r="B5061" s="62"/>
      <c r="C5061" s="178" t="s">
        <v>13</v>
      </c>
      <c r="D5061" s="575" t="s">
        <v>12562</v>
      </c>
      <c r="E5061" s="58" t="s">
        <v>12563</v>
      </c>
      <c r="F5061" s="178" t="s">
        <v>13</v>
      </c>
      <c r="G5061" s="58" t="s">
        <v>12564</v>
      </c>
      <c r="H5061" s="546">
        <f>830463.920742+370320.767823514</f>
        <v>1200784.6885655141</v>
      </c>
      <c r="I5061" s="66" t="s">
        <v>96</v>
      </c>
      <c r="J5061" s="65"/>
      <c r="K5061" s="58"/>
      <c r="L5061" s="99"/>
      <c r="M5061" s="70" t="s">
        <v>12565</v>
      </c>
      <c r="N5061" s="97" t="s">
        <v>12491</v>
      </c>
      <c r="O5061" s="58"/>
      <c r="P5061" s="58" t="s">
        <v>34</v>
      </c>
      <c r="Q5061" s="58" t="s">
        <v>13</v>
      </c>
      <c r="R5061" s="58" t="s">
        <v>272</v>
      </c>
    </row>
    <row r="5062" spans="1:18" ht="69" customHeight="1">
      <c r="A5062" s="168"/>
      <c r="B5062" s="62"/>
      <c r="C5062" s="178" t="s">
        <v>18</v>
      </c>
      <c r="D5062" s="575" t="s">
        <v>12562</v>
      </c>
      <c r="E5062" s="58" t="s">
        <v>12563</v>
      </c>
      <c r="F5062" s="178" t="s">
        <v>18</v>
      </c>
      <c r="G5062" s="58" t="s">
        <v>12564</v>
      </c>
      <c r="H5062" s="546">
        <f>830463.920742+369320.767823514</f>
        <v>1199784.6885655141</v>
      </c>
      <c r="I5062" s="66" t="s">
        <v>96</v>
      </c>
      <c r="J5062" s="65"/>
      <c r="K5062" s="58"/>
      <c r="L5062" s="99"/>
      <c r="M5062" s="70" t="s">
        <v>12566</v>
      </c>
      <c r="N5062" s="97" t="s">
        <v>12491</v>
      </c>
      <c r="O5062" s="58"/>
      <c r="P5062" s="58" t="s">
        <v>34</v>
      </c>
      <c r="Q5062" s="58" t="s">
        <v>18</v>
      </c>
      <c r="R5062" s="58" t="s">
        <v>272</v>
      </c>
    </row>
    <row r="5063" spans="1:18" ht="69" customHeight="1">
      <c r="A5063" s="168"/>
      <c r="B5063" s="62"/>
      <c r="C5063" s="178" t="s">
        <v>12567</v>
      </c>
      <c r="D5063" s="575" t="s">
        <v>6915</v>
      </c>
      <c r="E5063" s="58" t="s">
        <v>12563</v>
      </c>
      <c r="F5063" s="178" t="s">
        <v>12567</v>
      </c>
      <c r="G5063" s="58" t="s">
        <v>12564</v>
      </c>
      <c r="H5063" s="546">
        <v>223422.3186</v>
      </c>
      <c r="I5063" s="66" t="s">
        <v>96</v>
      </c>
      <c r="J5063" s="65"/>
      <c r="K5063" s="58"/>
      <c r="L5063" s="99"/>
      <c r="M5063" s="70" t="s">
        <v>12568</v>
      </c>
      <c r="N5063" s="97" t="s">
        <v>12491</v>
      </c>
      <c r="O5063" s="58"/>
      <c r="P5063" s="58" t="s">
        <v>34</v>
      </c>
      <c r="Q5063" s="58" t="s">
        <v>20</v>
      </c>
      <c r="R5063" s="58" t="s">
        <v>272</v>
      </c>
    </row>
    <row r="5064" spans="1:18" ht="69" customHeight="1">
      <c r="A5064" s="168"/>
      <c r="B5064" s="62"/>
      <c r="C5064" s="178" t="s">
        <v>12569</v>
      </c>
      <c r="D5064" s="575" t="s">
        <v>12570</v>
      </c>
      <c r="E5064" s="58" t="s">
        <v>12563</v>
      </c>
      <c r="F5064" s="178" t="s">
        <v>12569</v>
      </c>
      <c r="G5064" s="58" t="s">
        <v>12564</v>
      </c>
      <c r="H5064" s="546">
        <f>303487.143965+86687.12</f>
        <v>390174.26396499999</v>
      </c>
      <c r="I5064" s="66" t="s">
        <v>96</v>
      </c>
      <c r="J5064" s="65"/>
      <c r="K5064" s="58"/>
      <c r="L5064" s="99"/>
      <c r="M5064" s="70" t="s">
        <v>12571</v>
      </c>
      <c r="N5064" s="97" t="s">
        <v>12491</v>
      </c>
      <c r="O5064" s="58"/>
      <c r="P5064" s="58" t="s">
        <v>34</v>
      </c>
      <c r="Q5064" s="58" t="s">
        <v>23</v>
      </c>
      <c r="R5064" s="58" t="s">
        <v>272</v>
      </c>
    </row>
    <row r="5065" spans="1:18" ht="69" customHeight="1">
      <c r="A5065" s="168"/>
      <c r="B5065" s="62"/>
      <c r="C5065" s="178" t="s">
        <v>12572</v>
      </c>
      <c r="D5065" s="575" t="s">
        <v>6915</v>
      </c>
      <c r="E5065" s="58" t="s">
        <v>12563</v>
      </c>
      <c r="F5065" s="178" t="s">
        <v>12572</v>
      </c>
      <c r="G5065" s="58" t="s">
        <v>12564</v>
      </c>
      <c r="H5065" s="546">
        <v>235216.608848</v>
      </c>
      <c r="I5065" s="66" t="s">
        <v>96</v>
      </c>
      <c r="J5065" s="65"/>
      <c r="K5065" s="58"/>
      <c r="L5065" s="99"/>
      <c r="M5065" s="70" t="s">
        <v>12573</v>
      </c>
      <c r="N5065" s="97" t="s">
        <v>12491</v>
      </c>
      <c r="O5065" s="58"/>
      <c r="P5065" s="58" t="s">
        <v>34</v>
      </c>
      <c r="Q5065" s="58" t="s">
        <v>25</v>
      </c>
      <c r="R5065" s="58" t="s">
        <v>272</v>
      </c>
    </row>
    <row r="5066" spans="1:18" ht="69" customHeight="1">
      <c r="A5066" s="168"/>
      <c r="B5066" s="62"/>
      <c r="C5066" s="178" t="s">
        <v>27</v>
      </c>
      <c r="D5066" s="575" t="s">
        <v>6915</v>
      </c>
      <c r="E5066" s="58" t="s">
        <v>12563</v>
      </c>
      <c r="F5066" s="178" t="s">
        <v>27</v>
      </c>
      <c r="G5066" s="58" t="s">
        <v>12564</v>
      </c>
      <c r="H5066" s="546">
        <v>223422.3186</v>
      </c>
      <c r="I5066" s="66" t="s">
        <v>96</v>
      </c>
      <c r="J5066" s="65"/>
      <c r="K5066" s="58"/>
      <c r="L5066" s="99"/>
      <c r="M5066" s="70" t="s">
        <v>12574</v>
      </c>
      <c r="N5066" s="97" t="s">
        <v>12491</v>
      </c>
      <c r="O5066" s="58"/>
      <c r="P5066" s="58" t="s">
        <v>34</v>
      </c>
      <c r="Q5066" s="58" t="s">
        <v>27</v>
      </c>
      <c r="R5066" s="58" t="s">
        <v>272</v>
      </c>
    </row>
    <row r="5067" spans="1:18" ht="69" customHeight="1">
      <c r="A5067" s="168"/>
      <c r="B5067" s="62"/>
      <c r="C5067" s="178" t="s">
        <v>29</v>
      </c>
      <c r="D5067" s="575" t="s">
        <v>12570</v>
      </c>
      <c r="E5067" s="58" t="s">
        <v>12563</v>
      </c>
      <c r="F5067" s="178" t="s">
        <v>29</v>
      </c>
      <c r="G5067" s="58" t="s">
        <v>12564</v>
      </c>
      <c r="H5067" s="546">
        <f>820725.04419+363377.673568</f>
        <v>1184102.7177580001</v>
      </c>
      <c r="I5067" s="66" t="s">
        <v>96</v>
      </c>
      <c r="J5067" s="65"/>
      <c r="K5067" s="58"/>
      <c r="L5067" s="99"/>
      <c r="M5067" s="70" t="s">
        <v>12575</v>
      </c>
      <c r="N5067" s="97" t="s">
        <v>12491</v>
      </c>
      <c r="O5067" s="58"/>
      <c r="P5067" s="58" t="s">
        <v>34</v>
      </c>
      <c r="Q5067" s="58" t="s">
        <v>29</v>
      </c>
      <c r="R5067" s="58" t="s">
        <v>272</v>
      </c>
    </row>
    <row r="5068" spans="1:18" ht="69" customHeight="1">
      <c r="A5068" s="168"/>
      <c r="B5068" s="62"/>
      <c r="C5068" s="178" t="s">
        <v>31</v>
      </c>
      <c r="D5068" s="575" t="s">
        <v>12576</v>
      </c>
      <c r="E5068" s="58" t="s">
        <v>12563</v>
      </c>
      <c r="F5068" s="178" t="s">
        <v>31</v>
      </c>
      <c r="G5068" s="58" t="s">
        <v>12564</v>
      </c>
      <c r="H5068" s="546">
        <f>887279.841054+357038.746621</f>
        <v>1244318.5876750001</v>
      </c>
      <c r="I5068" s="66" t="s">
        <v>96</v>
      </c>
      <c r="J5068" s="65"/>
      <c r="K5068" s="58"/>
      <c r="L5068" s="99"/>
      <c r="M5068" s="70" t="s">
        <v>12577</v>
      </c>
      <c r="N5068" s="97" t="s">
        <v>12491</v>
      </c>
      <c r="O5068" s="58"/>
      <c r="P5068" s="58" t="s">
        <v>34</v>
      </c>
      <c r="Q5068" s="58" t="s">
        <v>31</v>
      </c>
      <c r="R5068" s="58" t="s">
        <v>272</v>
      </c>
    </row>
    <row r="5069" spans="1:18" ht="69" customHeight="1">
      <c r="A5069" s="168"/>
      <c r="B5069" s="62"/>
      <c r="C5069" s="178" t="s">
        <v>33</v>
      </c>
      <c r="D5069" s="575" t="s">
        <v>12570</v>
      </c>
      <c r="E5069" s="58" t="s">
        <v>12563</v>
      </c>
      <c r="F5069" s="178" t="s">
        <v>33</v>
      </c>
      <c r="G5069" s="58" t="s">
        <v>12564</v>
      </c>
      <c r="H5069" s="546">
        <f>826725.04419+363377.673568</f>
        <v>1190102.7177580001</v>
      </c>
      <c r="I5069" s="66" t="s">
        <v>96</v>
      </c>
      <c r="J5069" s="65"/>
      <c r="K5069" s="58"/>
      <c r="L5069" s="99"/>
      <c r="M5069" s="70" t="s">
        <v>12578</v>
      </c>
      <c r="N5069" s="97" t="s">
        <v>12491</v>
      </c>
      <c r="O5069" s="58"/>
      <c r="P5069" s="58" t="s">
        <v>34</v>
      </c>
      <c r="Q5069" s="58" t="s">
        <v>33</v>
      </c>
      <c r="R5069" s="58" t="s">
        <v>272</v>
      </c>
    </row>
    <row r="5070" spans="1:18" ht="69" customHeight="1">
      <c r="A5070" s="168"/>
      <c r="B5070" s="62"/>
      <c r="C5070" s="178" t="s">
        <v>35</v>
      </c>
      <c r="D5070" s="575" t="s">
        <v>12570</v>
      </c>
      <c r="E5070" s="58" t="s">
        <v>12563</v>
      </c>
      <c r="F5070" s="178" t="s">
        <v>35</v>
      </c>
      <c r="G5070" s="58" t="s">
        <v>12564</v>
      </c>
      <c r="H5070" s="546">
        <f>606974.28793+235216.608848</f>
        <v>842190.89677800005</v>
      </c>
      <c r="I5070" s="66" t="s">
        <v>96</v>
      </c>
      <c r="J5070" s="65"/>
      <c r="K5070" s="58"/>
      <c r="L5070" s="99"/>
      <c r="M5070" s="70" t="s">
        <v>12579</v>
      </c>
      <c r="N5070" s="97" t="s">
        <v>12491</v>
      </c>
      <c r="O5070" s="58"/>
      <c r="P5070" s="58" t="s">
        <v>34</v>
      </c>
      <c r="Q5070" s="58" t="s">
        <v>35</v>
      </c>
      <c r="R5070" s="58" t="s">
        <v>272</v>
      </c>
    </row>
    <row r="5071" spans="1:18" ht="69" customHeight="1">
      <c r="A5071" s="168"/>
      <c r="B5071" s="62"/>
      <c r="C5071" s="178" t="s">
        <v>37</v>
      </c>
      <c r="D5071" s="575" t="s">
        <v>12570</v>
      </c>
      <c r="E5071" s="58" t="s">
        <v>12563</v>
      </c>
      <c r="F5071" s="178" t="s">
        <v>37</v>
      </c>
      <c r="G5071" s="58" t="s">
        <v>12564</v>
      </c>
      <c r="H5071" s="546">
        <f>763083.32245+223462.4808</f>
        <v>986545.80325</v>
      </c>
      <c r="I5071" s="66" t="s">
        <v>96</v>
      </c>
      <c r="J5071" s="65"/>
      <c r="K5071" s="58"/>
      <c r="L5071" s="99"/>
      <c r="M5071" s="70" t="s">
        <v>12580</v>
      </c>
      <c r="N5071" s="97" t="s">
        <v>12491</v>
      </c>
      <c r="O5071" s="58"/>
      <c r="P5071" s="58" t="s">
        <v>34</v>
      </c>
      <c r="Q5071" s="58" t="s">
        <v>37</v>
      </c>
      <c r="R5071" s="58" t="s">
        <v>272</v>
      </c>
    </row>
    <row r="5072" spans="1:18" ht="69" customHeight="1">
      <c r="A5072" s="168"/>
      <c r="B5072" s="62"/>
      <c r="C5072" s="178" t="s">
        <v>39</v>
      </c>
      <c r="D5072" s="575" t="s">
        <v>12570</v>
      </c>
      <c r="E5072" s="58" t="s">
        <v>12563</v>
      </c>
      <c r="F5072" s="178" t="s">
        <v>39</v>
      </c>
      <c r="G5072" s="58" t="s">
        <v>12564</v>
      </c>
      <c r="H5072" s="546">
        <f>690365.876024+223462.4808</f>
        <v>913828.35682400002</v>
      </c>
      <c r="I5072" s="66" t="s">
        <v>96</v>
      </c>
      <c r="J5072" s="65"/>
      <c r="K5072" s="58"/>
      <c r="L5072" s="99"/>
      <c r="M5072" s="70" t="s">
        <v>12581</v>
      </c>
      <c r="N5072" s="97" t="s">
        <v>12491</v>
      </c>
      <c r="O5072" s="58"/>
      <c r="P5072" s="58" t="s">
        <v>34</v>
      </c>
      <c r="Q5072" s="58" t="s">
        <v>39</v>
      </c>
      <c r="R5072" s="58" t="s">
        <v>272</v>
      </c>
    </row>
    <row r="5073" spans="1:18" ht="69" customHeight="1">
      <c r="A5073" s="168"/>
      <c r="B5073" s="62"/>
      <c r="C5073" s="178" t="s">
        <v>41</v>
      </c>
      <c r="D5073" s="575" t="s">
        <v>12570</v>
      </c>
      <c r="E5073" s="58" t="s">
        <v>12563</v>
      </c>
      <c r="F5073" s="178" t="s">
        <v>41</v>
      </c>
      <c r="G5073" s="58" t="s">
        <v>12564</v>
      </c>
      <c r="H5073" s="546">
        <f>652952.61156+223462.4808</f>
        <v>876415.09236000001</v>
      </c>
      <c r="I5073" s="66" t="s">
        <v>96</v>
      </c>
      <c r="J5073" s="65"/>
      <c r="K5073" s="58"/>
      <c r="L5073" s="99"/>
      <c r="M5073" s="70" t="s">
        <v>12582</v>
      </c>
      <c r="N5073" s="97" t="s">
        <v>12491</v>
      </c>
      <c r="O5073" s="58"/>
      <c r="P5073" s="58" t="s">
        <v>34</v>
      </c>
      <c r="Q5073" s="58" t="s">
        <v>41</v>
      </c>
      <c r="R5073" s="58" t="s">
        <v>272</v>
      </c>
    </row>
    <row r="5074" spans="1:18" ht="69" customHeight="1">
      <c r="A5074" s="168"/>
      <c r="B5074" s="62"/>
      <c r="C5074" s="178" t="s">
        <v>43</v>
      </c>
      <c r="D5074" s="575" t="s">
        <v>6915</v>
      </c>
      <c r="E5074" s="58" t="s">
        <v>12563</v>
      </c>
      <c r="F5074" s="178" t="s">
        <v>43</v>
      </c>
      <c r="G5074" s="58" t="s">
        <v>12564</v>
      </c>
      <c r="H5074" s="546">
        <v>86671.540000000008</v>
      </c>
      <c r="I5074" s="66" t="s">
        <v>96</v>
      </c>
      <c r="J5074" s="65"/>
      <c r="K5074" s="58"/>
      <c r="L5074" s="99"/>
      <c r="M5074" s="70" t="s">
        <v>12583</v>
      </c>
      <c r="N5074" s="97" t="s">
        <v>12491</v>
      </c>
      <c r="O5074" s="58"/>
      <c r="P5074" s="58" t="s">
        <v>34</v>
      </c>
      <c r="Q5074" s="58" t="s">
        <v>43</v>
      </c>
      <c r="R5074" s="58" t="s">
        <v>272</v>
      </c>
    </row>
    <row r="5075" spans="1:18" ht="69" customHeight="1">
      <c r="A5075" s="168"/>
      <c r="B5075" s="62"/>
      <c r="C5075" s="178" t="s">
        <v>45</v>
      </c>
      <c r="D5075" s="575" t="s">
        <v>12576</v>
      </c>
      <c r="E5075" s="58" t="s">
        <v>12563</v>
      </c>
      <c r="F5075" s="178" t="s">
        <v>45</v>
      </c>
      <c r="G5075" s="58" t="s">
        <v>12564</v>
      </c>
      <c r="H5075" s="546">
        <f>292046.257337+89655.11</f>
        <v>381701.36733699997</v>
      </c>
      <c r="I5075" s="66" t="s">
        <v>96</v>
      </c>
      <c r="J5075" s="65"/>
      <c r="K5075" s="58"/>
      <c r="L5075" s="99"/>
      <c r="M5075" s="70" t="s">
        <v>12584</v>
      </c>
      <c r="N5075" s="97" t="s">
        <v>12491</v>
      </c>
      <c r="O5075" s="58"/>
      <c r="P5075" s="58" t="s">
        <v>34</v>
      </c>
      <c r="Q5075" s="58" t="s">
        <v>45</v>
      </c>
      <c r="R5075" s="58" t="s">
        <v>272</v>
      </c>
    </row>
    <row r="5076" spans="1:18" ht="69" customHeight="1">
      <c r="A5076" s="168"/>
      <c r="B5076" s="62"/>
      <c r="C5076" s="178" t="s">
        <v>12585</v>
      </c>
      <c r="D5076" s="575" t="s">
        <v>12586</v>
      </c>
      <c r="E5076" s="58" t="s">
        <v>12563</v>
      </c>
      <c r="F5076" s="178" t="s">
        <v>12585</v>
      </c>
      <c r="G5076" s="58" t="s">
        <v>12564</v>
      </c>
      <c r="H5076" s="546">
        <f>809330.958615+370320.767823514</f>
        <v>1179651.726438514</v>
      </c>
      <c r="I5076" s="66" t="s">
        <v>96</v>
      </c>
      <c r="J5076" s="65"/>
      <c r="K5076" s="58"/>
      <c r="L5076" s="99"/>
      <c r="M5076" s="70" t="s">
        <v>12587</v>
      </c>
      <c r="N5076" s="97" t="s">
        <v>12491</v>
      </c>
      <c r="O5076" s="58"/>
      <c r="P5076" s="58" t="s">
        <v>34</v>
      </c>
      <c r="Q5076" s="58" t="s">
        <v>88</v>
      </c>
      <c r="R5076" s="58" t="s">
        <v>272</v>
      </c>
    </row>
    <row r="5077" spans="1:18" ht="69" customHeight="1">
      <c r="A5077" s="168"/>
      <c r="B5077" s="62"/>
      <c r="C5077" s="178" t="s">
        <v>97</v>
      </c>
      <c r="D5077" s="575" t="s">
        <v>12588</v>
      </c>
      <c r="E5077" s="58" t="s">
        <v>12563</v>
      </c>
      <c r="F5077" s="178" t="s">
        <v>97</v>
      </c>
      <c r="G5077" s="58" t="s">
        <v>12564</v>
      </c>
      <c r="H5077" s="546">
        <f>915004.930157+357038.746621</f>
        <v>1272043.6767779998</v>
      </c>
      <c r="I5077" s="66" t="s">
        <v>96</v>
      </c>
      <c r="J5077" s="65"/>
      <c r="K5077" s="58"/>
      <c r="L5077" s="99"/>
      <c r="M5077" s="70" t="s">
        <v>12589</v>
      </c>
      <c r="N5077" s="97" t="s">
        <v>12491</v>
      </c>
      <c r="O5077" s="58"/>
      <c r="P5077" s="58" t="s">
        <v>34</v>
      </c>
      <c r="Q5077" s="58" t="s">
        <v>97</v>
      </c>
      <c r="R5077" s="58" t="s">
        <v>272</v>
      </c>
    </row>
    <row r="5078" spans="1:18" ht="69" customHeight="1">
      <c r="A5078" s="168"/>
      <c r="B5078" s="62"/>
      <c r="C5078" s="178" t="s">
        <v>100</v>
      </c>
      <c r="D5078" s="575" t="s">
        <v>12590</v>
      </c>
      <c r="E5078" s="58" t="s">
        <v>12563</v>
      </c>
      <c r="F5078" s="178" t="s">
        <v>100</v>
      </c>
      <c r="G5078" s="58" t="s">
        <v>12564</v>
      </c>
      <c r="H5078" s="546">
        <f>1008238.123865+327968.0326</f>
        <v>1336206.156465</v>
      </c>
      <c r="I5078" s="66" t="s">
        <v>96</v>
      </c>
      <c r="J5078" s="65"/>
      <c r="K5078" s="58"/>
      <c r="L5078" s="99"/>
      <c r="M5078" s="70" t="s">
        <v>12591</v>
      </c>
      <c r="N5078" s="97" t="s">
        <v>12491</v>
      </c>
      <c r="O5078" s="58"/>
      <c r="P5078" s="58" t="s">
        <v>34</v>
      </c>
      <c r="Q5078" s="58" t="s">
        <v>100</v>
      </c>
      <c r="R5078" s="58" t="s">
        <v>272</v>
      </c>
    </row>
    <row r="5079" spans="1:18" ht="69" customHeight="1">
      <c r="A5079" s="168"/>
      <c r="B5079" s="62"/>
      <c r="C5079" s="178" t="s">
        <v>101</v>
      </c>
      <c r="D5079" s="575" t="s">
        <v>2907</v>
      </c>
      <c r="E5079" s="58" t="s">
        <v>12563</v>
      </c>
      <c r="F5079" s="178" t="s">
        <v>101</v>
      </c>
      <c r="G5079" s="58" t="s">
        <v>12564</v>
      </c>
      <c r="H5079" s="546">
        <v>318595.83325000003</v>
      </c>
      <c r="I5079" s="66" t="s">
        <v>96</v>
      </c>
      <c r="J5079" s="65"/>
      <c r="K5079" s="58"/>
      <c r="L5079" s="99"/>
      <c r="M5079" s="70" t="s">
        <v>12592</v>
      </c>
      <c r="N5079" s="97" t="s">
        <v>12491</v>
      </c>
      <c r="O5079" s="58"/>
      <c r="P5079" s="58" t="s">
        <v>34</v>
      </c>
      <c r="Q5079" s="58" t="s">
        <v>101</v>
      </c>
      <c r="R5079" s="58" t="s">
        <v>272</v>
      </c>
    </row>
    <row r="5080" spans="1:18" ht="69" customHeight="1">
      <c r="A5080" s="168"/>
      <c r="B5080" s="62"/>
      <c r="C5080" s="178" t="s">
        <v>102</v>
      </c>
      <c r="D5080" s="575" t="s">
        <v>1457</v>
      </c>
      <c r="E5080" s="58" t="s">
        <v>12563</v>
      </c>
      <c r="F5080" s="178" t="s">
        <v>102</v>
      </c>
      <c r="G5080" s="58" t="s">
        <v>12564</v>
      </c>
      <c r="H5080" s="546">
        <v>318595.83325000003</v>
      </c>
      <c r="I5080" s="66" t="s">
        <v>96</v>
      </c>
      <c r="J5080" s="65"/>
      <c r="K5080" s="58"/>
      <c r="L5080" s="99"/>
      <c r="M5080" s="70" t="s">
        <v>12593</v>
      </c>
      <c r="N5080" s="97" t="s">
        <v>12491</v>
      </c>
      <c r="O5080" s="58"/>
      <c r="P5080" s="58" t="s">
        <v>34</v>
      </c>
      <c r="Q5080" s="58" t="s">
        <v>102</v>
      </c>
      <c r="R5080" s="58" t="s">
        <v>272</v>
      </c>
    </row>
    <row r="5081" spans="1:18" ht="69" customHeight="1">
      <c r="A5081" s="168"/>
      <c r="B5081" s="62"/>
      <c r="C5081" s="178" t="s">
        <v>103</v>
      </c>
      <c r="D5081" s="575" t="s">
        <v>12586</v>
      </c>
      <c r="E5081" s="58" t="s">
        <v>12563</v>
      </c>
      <c r="F5081" s="178" t="s">
        <v>103</v>
      </c>
      <c r="G5081" s="58" t="s">
        <v>12564</v>
      </c>
      <c r="H5081" s="546">
        <f>905231.860755+359038.746621</f>
        <v>1264270.6073759999</v>
      </c>
      <c r="I5081" s="66" t="s">
        <v>96</v>
      </c>
      <c r="J5081" s="65"/>
      <c r="K5081" s="58"/>
      <c r="L5081" s="99"/>
      <c r="M5081" s="70" t="s">
        <v>12594</v>
      </c>
      <c r="N5081" s="97" t="s">
        <v>12491</v>
      </c>
      <c r="O5081" s="58"/>
      <c r="P5081" s="58" t="s">
        <v>34</v>
      </c>
      <c r="Q5081" s="58" t="s">
        <v>103</v>
      </c>
      <c r="R5081" s="58" t="s">
        <v>272</v>
      </c>
    </row>
    <row r="5082" spans="1:18" ht="69" customHeight="1">
      <c r="A5082" s="168"/>
      <c r="B5082" s="62"/>
      <c r="C5082" s="178" t="s">
        <v>104</v>
      </c>
      <c r="D5082" s="575" t="s">
        <v>12588</v>
      </c>
      <c r="E5082" s="58" t="s">
        <v>12563</v>
      </c>
      <c r="F5082" s="178" t="s">
        <v>104</v>
      </c>
      <c r="G5082" s="58" t="s">
        <v>12564</v>
      </c>
      <c r="H5082" s="546">
        <f>905231.860755+357038.746621</f>
        <v>1262270.6073759999</v>
      </c>
      <c r="I5082" s="66" t="s">
        <v>96</v>
      </c>
      <c r="J5082" s="65"/>
      <c r="K5082" s="58"/>
      <c r="L5082" s="99"/>
      <c r="M5082" s="70" t="s">
        <v>12595</v>
      </c>
      <c r="N5082" s="97" t="s">
        <v>12491</v>
      </c>
      <c r="O5082" s="58"/>
      <c r="P5082" s="58" t="s">
        <v>34</v>
      </c>
      <c r="Q5082" s="58" t="s">
        <v>104</v>
      </c>
      <c r="R5082" s="58" t="s">
        <v>272</v>
      </c>
    </row>
    <row r="5083" spans="1:18" ht="69" customHeight="1">
      <c r="A5083" s="168"/>
      <c r="B5083" s="62"/>
      <c r="C5083" s="178" t="s">
        <v>105</v>
      </c>
      <c r="D5083" s="575" t="s">
        <v>2907</v>
      </c>
      <c r="E5083" s="58" t="s">
        <v>12563</v>
      </c>
      <c r="F5083" s="178" t="s">
        <v>105</v>
      </c>
      <c r="G5083" s="58" t="s">
        <v>12564</v>
      </c>
      <c r="H5083" s="546">
        <v>363312.36630237999</v>
      </c>
      <c r="I5083" s="66" t="s">
        <v>96</v>
      </c>
      <c r="J5083" s="65"/>
      <c r="K5083" s="58"/>
      <c r="L5083" s="99"/>
      <c r="M5083" s="70" t="s">
        <v>12596</v>
      </c>
      <c r="N5083" s="97" t="s">
        <v>12491</v>
      </c>
      <c r="O5083" s="58"/>
      <c r="P5083" s="58" t="s">
        <v>34</v>
      </c>
      <c r="Q5083" s="58" t="s">
        <v>105</v>
      </c>
      <c r="R5083" s="58" t="s">
        <v>272</v>
      </c>
    </row>
    <row r="5084" spans="1:18" ht="69" customHeight="1">
      <c r="A5084" s="168"/>
      <c r="B5084" s="62"/>
      <c r="C5084" s="178" t="s">
        <v>106</v>
      </c>
      <c r="D5084" s="575" t="s">
        <v>1457</v>
      </c>
      <c r="E5084" s="58" t="s">
        <v>12563</v>
      </c>
      <c r="F5084" s="178" t="s">
        <v>106</v>
      </c>
      <c r="G5084" s="58" t="s">
        <v>12564</v>
      </c>
      <c r="H5084" s="546">
        <v>363377.67356800003</v>
      </c>
      <c r="I5084" s="66" t="s">
        <v>96</v>
      </c>
      <c r="J5084" s="65"/>
      <c r="K5084" s="58"/>
      <c r="L5084" s="99"/>
      <c r="M5084" s="70" t="s">
        <v>12597</v>
      </c>
      <c r="N5084" s="97" t="s">
        <v>12491</v>
      </c>
      <c r="O5084" s="58"/>
      <c r="P5084" s="58" t="s">
        <v>34</v>
      </c>
      <c r="Q5084" s="58" t="s">
        <v>106</v>
      </c>
      <c r="R5084" s="58" t="s">
        <v>272</v>
      </c>
    </row>
    <row r="5085" spans="1:18" ht="69" customHeight="1">
      <c r="A5085" s="168"/>
      <c r="B5085" s="62"/>
      <c r="C5085" s="178" t="s">
        <v>107</v>
      </c>
      <c r="D5085" s="575" t="s">
        <v>12598</v>
      </c>
      <c r="E5085" s="58" t="s">
        <v>12563</v>
      </c>
      <c r="F5085" s="178" t="s">
        <v>107</v>
      </c>
      <c r="G5085" s="58" t="s">
        <v>12564</v>
      </c>
      <c r="H5085" s="546">
        <f>967644.744396+342542.02</f>
        <v>1310186.7643960002</v>
      </c>
      <c r="I5085" s="66" t="s">
        <v>96</v>
      </c>
      <c r="J5085" s="65"/>
      <c r="K5085" s="58"/>
      <c r="L5085" s="99"/>
      <c r="M5085" s="70" t="s">
        <v>12599</v>
      </c>
      <c r="N5085" s="97" t="s">
        <v>12491</v>
      </c>
      <c r="O5085" s="58"/>
      <c r="P5085" s="58" t="s">
        <v>34</v>
      </c>
      <c r="Q5085" s="58" t="s">
        <v>107</v>
      </c>
      <c r="R5085" s="58" t="s">
        <v>272</v>
      </c>
    </row>
    <row r="5086" spans="1:18" ht="69" customHeight="1">
      <c r="A5086" s="168"/>
      <c r="B5086" s="62"/>
      <c r="C5086" s="178" t="s">
        <v>108</v>
      </c>
      <c r="D5086" s="575" t="s">
        <v>2907</v>
      </c>
      <c r="E5086" s="58" t="s">
        <v>12563</v>
      </c>
      <c r="F5086" s="178" t="s">
        <v>108</v>
      </c>
      <c r="G5086" s="58" t="s">
        <v>12564</v>
      </c>
      <c r="H5086" s="546">
        <v>318595.83325000003</v>
      </c>
      <c r="I5086" s="66" t="s">
        <v>96</v>
      </c>
      <c r="J5086" s="65"/>
      <c r="K5086" s="58"/>
      <c r="L5086" s="99"/>
      <c r="M5086" s="70" t="s">
        <v>12600</v>
      </c>
      <c r="N5086" s="97" t="s">
        <v>12491</v>
      </c>
      <c r="O5086" s="58"/>
      <c r="P5086" s="58" t="s">
        <v>34</v>
      </c>
      <c r="Q5086" s="58" t="s">
        <v>108</v>
      </c>
      <c r="R5086" s="58" t="s">
        <v>272</v>
      </c>
    </row>
    <row r="5087" spans="1:18" ht="69" customHeight="1">
      <c r="A5087" s="168"/>
      <c r="B5087" s="62"/>
      <c r="C5087" s="178" t="s">
        <v>109</v>
      </c>
      <c r="D5087" s="575" t="s">
        <v>1457</v>
      </c>
      <c r="E5087" s="58" t="s">
        <v>12563</v>
      </c>
      <c r="F5087" s="178" t="s">
        <v>109</v>
      </c>
      <c r="G5087" s="58" t="s">
        <v>12564</v>
      </c>
      <c r="H5087" s="546">
        <v>225422.3186</v>
      </c>
      <c r="I5087" s="66" t="s">
        <v>96</v>
      </c>
      <c r="J5087" s="65"/>
      <c r="K5087" s="58"/>
      <c r="L5087" s="99"/>
      <c r="M5087" s="70" t="s">
        <v>12601</v>
      </c>
      <c r="N5087" s="97" t="s">
        <v>12491</v>
      </c>
      <c r="O5087" s="58"/>
      <c r="P5087" s="58" t="s">
        <v>34</v>
      </c>
      <c r="Q5087" s="58" t="s">
        <v>109</v>
      </c>
      <c r="R5087" s="58" t="s">
        <v>272</v>
      </c>
    </row>
    <row r="5088" spans="1:18" ht="69" customHeight="1">
      <c r="A5088" s="168"/>
      <c r="B5088" s="62"/>
      <c r="C5088" s="178" t="s">
        <v>110</v>
      </c>
      <c r="D5088" s="575" t="s">
        <v>12602</v>
      </c>
      <c r="E5088" s="58" t="s">
        <v>12563</v>
      </c>
      <c r="F5088" s="178" t="s">
        <v>110</v>
      </c>
      <c r="G5088" s="58" t="s">
        <v>12564</v>
      </c>
      <c r="H5088" s="546">
        <f>893880.34531+327968.0326</f>
        <v>1221848.37791</v>
      </c>
      <c r="I5088" s="66" t="s">
        <v>96</v>
      </c>
      <c r="J5088" s="65"/>
      <c r="K5088" s="58"/>
      <c r="L5088" s="99"/>
      <c r="M5088" s="70" t="s">
        <v>12603</v>
      </c>
      <c r="N5088" s="97" t="s">
        <v>12491</v>
      </c>
      <c r="O5088" s="58"/>
      <c r="P5088" s="58" t="s">
        <v>34</v>
      </c>
      <c r="Q5088" s="58" t="s">
        <v>110</v>
      </c>
      <c r="R5088" s="58" t="s">
        <v>272</v>
      </c>
    </row>
    <row r="5089" spans="1:18" ht="69" customHeight="1">
      <c r="A5089" s="168"/>
      <c r="B5089" s="62"/>
      <c r="C5089" s="178" t="s">
        <v>111</v>
      </c>
      <c r="D5089" s="575" t="s">
        <v>12588</v>
      </c>
      <c r="E5089" s="58" t="s">
        <v>12563</v>
      </c>
      <c r="F5089" s="178" t="s">
        <v>111</v>
      </c>
      <c r="G5089" s="58" t="s">
        <v>12564</v>
      </c>
      <c r="H5089" s="546">
        <f>807330.958615+369320.767823514</f>
        <v>1176651.726438514</v>
      </c>
      <c r="I5089" s="66" t="s">
        <v>96</v>
      </c>
      <c r="J5089" s="65"/>
      <c r="K5089" s="58"/>
      <c r="L5089" s="99"/>
      <c r="M5089" s="70" t="s">
        <v>12604</v>
      </c>
      <c r="N5089" s="97" t="s">
        <v>12491</v>
      </c>
      <c r="O5089" s="58"/>
      <c r="P5089" s="58" t="s">
        <v>34</v>
      </c>
      <c r="Q5089" s="58" t="s">
        <v>111</v>
      </c>
      <c r="R5089" s="58" t="s">
        <v>272</v>
      </c>
    </row>
    <row r="5090" spans="1:18" ht="69" customHeight="1">
      <c r="A5090" s="168"/>
      <c r="B5090" s="62"/>
      <c r="C5090" s="178" t="s">
        <v>112</v>
      </c>
      <c r="D5090" s="575" t="s">
        <v>12586</v>
      </c>
      <c r="E5090" s="58" t="s">
        <v>12563</v>
      </c>
      <c r="F5090" s="178" t="s">
        <v>112</v>
      </c>
      <c r="G5090" s="58" t="s">
        <v>12564</v>
      </c>
      <c r="H5090" s="546">
        <v>1165651.72643851</v>
      </c>
      <c r="I5090" s="66" t="s">
        <v>96</v>
      </c>
      <c r="J5090" s="65"/>
      <c r="K5090" s="58"/>
      <c r="L5090" s="99"/>
      <c r="M5090" s="70" t="s">
        <v>12605</v>
      </c>
      <c r="N5090" s="97" t="s">
        <v>12491</v>
      </c>
      <c r="O5090" s="58"/>
      <c r="P5090" s="58" t="s">
        <v>34</v>
      </c>
      <c r="Q5090" s="58" t="s">
        <v>112</v>
      </c>
      <c r="R5090" s="58" t="s">
        <v>272</v>
      </c>
    </row>
    <row r="5091" spans="1:18" ht="69" customHeight="1">
      <c r="A5091" s="168"/>
      <c r="B5091" s="62"/>
      <c r="C5091" s="178" t="s">
        <v>113</v>
      </c>
      <c r="D5091" s="575" t="s">
        <v>12586</v>
      </c>
      <c r="E5091" s="58" t="s">
        <v>12563</v>
      </c>
      <c r="F5091" s="178" t="s">
        <v>113</v>
      </c>
      <c r="G5091" s="58" t="s">
        <v>12564</v>
      </c>
      <c r="H5091" s="546">
        <f>905231.860755+359038.746621</f>
        <v>1264270.6073759999</v>
      </c>
      <c r="I5091" s="66" t="s">
        <v>96</v>
      </c>
      <c r="J5091" s="65"/>
      <c r="K5091" s="58"/>
      <c r="L5091" s="99"/>
      <c r="M5091" s="70" t="s">
        <v>12606</v>
      </c>
      <c r="N5091" s="97" t="s">
        <v>12491</v>
      </c>
      <c r="O5091" s="58"/>
      <c r="P5091" s="58" t="s">
        <v>34</v>
      </c>
      <c r="Q5091" s="58" t="s">
        <v>113</v>
      </c>
      <c r="R5091" s="58" t="s">
        <v>272</v>
      </c>
    </row>
    <row r="5092" spans="1:18" ht="69" customHeight="1">
      <c r="A5092" s="168"/>
      <c r="B5092" s="62"/>
      <c r="C5092" s="178" t="s">
        <v>114</v>
      </c>
      <c r="D5092" s="575" t="s">
        <v>2907</v>
      </c>
      <c r="E5092" s="58" t="s">
        <v>12563</v>
      </c>
      <c r="F5092" s="178" t="s">
        <v>114</v>
      </c>
      <c r="G5092" s="58" t="s">
        <v>12564</v>
      </c>
      <c r="H5092" s="546">
        <v>327909.08795000002</v>
      </c>
      <c r="I5092" s="66" t="s">
        <v>96</v>
      </c>
      <c r="J5092" s="65"/>
      <c r="K5092" s="58"/>
      <c r="L5092" s="99"/>
      <c r="M5092" s="70" t="s">
        <v>12607</v>
      </c>
      <c r="N5092" s="97" t="s">
        <v>12491</v>
      </c>
      <c r="O5092" s="58"/>
      <c r="P5092" s="58" t="s">
        <v>34</v>
      </c>
      <c r="Q5092" s="58" t="s">
        <v>114</v>
      </c>
      <c r="R5092" s="58" t="s">
        <v>272</v>
      </c>
    </row>
    <row r="5093" spans="1:18" ht="69" customHeight="1">
      <c r="A5093" s="168"/>
      <c r="B5093" s="62"/>
      <c r="C5093" s="178" t="s">
        <v>116</v>
      </c>
      <c r="D5093" s="575" t="s">
        <v>1457</v>
      </c>
      <c r="E5093" s="58" t="s">
        <v>12563</v>
      </c>
      <c r="F5093" s="178" t="s">
        <v>116</v>
      </c>
      <c r="G5093" s="58" t="s">
        <v>12564</v>
      </c>
      <c r="H5093" s="546">
        <v>363377.67356800003</v>
      </c>
      <c r="I5093" s="66" t="s">
        <v>96</v>
      </c>
      <c r="J5093" s="65"/>
      <c r="K5093" s="58"/>
      <c r="L5093" s="99"/>
      <c r="M5093" s="70" t="s">
        <v>12608</v>
      </c>
      <c r="N5093" s="97" t="s">
        <v>12491</v>
      </c>
      <c r="O5093" s="58"/>
      <c r="P5093" s="58" t="s">
        <v>34</v>
      </c>
      <c r="Q5093" s="58" t="s">
        <v>116</v>
      </c>
      <c r="R5093" s="58" t="s">
        <v>272</v>
      </c>
    </row>
    <row r="5094" spans="1:18" ht="69" customHeight="1">
      <c r="A5094" s="168"/>
      <c r="B5094" s="62"/>
      <c r="C5094" s="178" t="s">
        <v>117</v>
      </c>
      <c r="D5094" s="575" t="s">
        <v>12586</v>
      </c>
      <c r="E5094" s="58" t="s">
        <v>12563</v>
      </c>
      <c r="F5094" s="178" t="s">
        <v>117</v>
      </c>
      <c r="G5094" s="58" t="s">
        <v>12564</v>
      </c>
      <c r="H5094" s="546">
        <f>797330.958615+369320.767823514</f>
        <v>1166651.726438514</v>
      </c>
      <c r="I5094" s="66" t="s">
        <v>96</v>
      </c>
      <c r="J5094" s="65"/>
      <c r="K5094" s="58"/>
      <c r="L5094" s="99"/>
      <c r="M5094" s="70" t="s">
        <v>12609</v>
      </c>
      <c r="N5094" s="97" t="s">
        <v>12491</v>
      </c>
      <c r="O5094" s="58"/>
      <c r="P5094" s="58" t="s">
        <v>34</v>
      </c>
      <c r="Q5094" s="58" t="s">
        <v>117</v>
      </c>
      <c r="R5094" s="58" t="s">
        <v>272</v>
      </c>
    </row>
    <row r="5095" spans="1:18" ht="69" customHeight="1">
      <c r="A5095" s="168"/>
      <c r="B5095" s="62"/>
      <c r="C5095" s="178" t="s">
        <v>118</v>
      </c>
      <c r="D5095" s="575" t="s">
        <v>1457</v>
      </c>
      <c r="E5095" s="58" t="s">
        <v>12563</v>
      </c>
      <c r="F5095" s="178" t="s">
        <v>118</v>
      </c>
      <c r="G5095" s="58" t="s">
        <v>12564</v>
      </c>
      <c r="H5095" s="546">
        <v>327909.08795000002</v>
      </c>
      <c r="I5095" s="66" t="s">
        <v>96</v>
      </c>
      <c r="J5095" s="65"/>
      <c r="K5095" s="58"/>
      <c r="L5095" s="99"/>
      <c r="M5095" s="70" t="s">
        <v>12610</v>
      </c>
      <c r="N5095" s="97" t="s">
        <v>12491</v>
      </c>
      <c r="O5095" s="58"/>
      <c r="P5095" s="58" t="s">
        <v>34</v>
      </c>
      <c r="Q5095" s="58" t="s">
        <v>118</v>
      </c>
      <c r="R5095" s="58" t="s">
        <v>272</v>
      </c>
    </row>
    <row r="5096" spans="1:18" ht="69" customHeight="1">
      <c r="A5096" s="168"/>
      <c r="B5096" s="62"/>
      <c r="C5096" s="178" t="s">
        <v>119</v>
      </c>
      <c r="D5096" s="575" t="s">
        <v>12611</v>
      </c>
      <c r="E5096" s="58" t="s">
        <v>12563</v>
      </c>
      <c r="F5096" s="178" t="s">
        <v>119</v>
      </c>
      <c r="G5096" s="58" t="s">
        <v>12564</v>
      </c>
      <c r="H5096" s="546">
        <f>902567.810622+363377.673568</f>
        <v>1265945.48419</v>
      </c>
      <c r="I5096" s="66" t="s">
        <v>96</v>
      </c>
      <c r="J5096" s="65"/>
      <c r="K5096" s="58"/>
      <c r="L5096" s="99"/>
      <c r="M5096" s="70" t="s">
        <v>12612</v>
      </c>
      <c r="N5096" s="97" t="s">
        <v>12491</v>
      </c>
      <c r="O5096" s="58" t="s">
        <v>144</v>
      </c>
      <c r="P5096" s="58" t="s">
        <v>34</v>
      </c>
      <c r="Q5096" s="58" t="s">
        <v>119</v>
      </c>
      <c r="R5096" s="58" t="s">
        <v>272</v>
      </c>
    </row>
    <row r="5097" spans="1:18" ht="69" customHeight="1">
      <c r="A5097" s="168"/>
      <c r="B5097" s="62"/>
      <c r="C5097" s="178" t="s">
        <v>120</v>
      </c>
      <c r="D5097" s="575" t="s">
        <v>12602</v>
      </c>
      <c r="E5097" s="58" t="s">
        <v>12563</v>
      </c>
      <c r="F5097" s="178" t="s">
        <v>120</v>
      </c>
      <c r="G5097" s="58" t="s">
        <v>12564</v>
      </c>
      <c r="H5097" s="546">
        <f>909756.849816+363377.673568</f>
        <v>1273134.5233839999</v>
      </c>
      <c r="I5097" s="66" t="s">
        <v>96</v>
      </c>
      <c r="J5097" s="65"/>
      <c r="K5097" s="58"/>
      <c r="L5097" s="99"/>
      <c r="M5097" s="70" t="s">
        <v>12613</v>
      </c>
      <c r="N5097" s="97" t="s">
        <v>12491</v>
      </c>
      <c r="O5097" s="58"/>
      <c r="P5097" s="58" t="s">
        <v>34</v>
      </c>
      <c r="Q5097" s="58" t="s">
        <v>120</v>
      </c>
      <c r="R5097" s="58" t="s">
        <v>272</v>
      </c>
    </row>
    <row r="5098" spans="1:18" ht="69" customHeight="1">
      <c r="A5098" s="168"/>
      <c r="B5098" s="62"/>
      <c r="C5098" s="178" t="s">
        <v>121</v>
      </c>
      <c r="D5098" s="575" t="s">
        <v>12590</v>
      </c>
      <c r="E5098" s="58" t="s">
        <v>12563</v>
      </c>
      <c r="F5098" s="178" t="s">
        <v>121</v>
      </c>
      <c r="G5098" s="58" t="s">
        <v>12564</v>
      </c>
      <c r="H5098" s="546">
        <f>909756.849816+363377.673568</f>
        <v>1273134.5233839999</v>
      </c>
      <c r="I5098" s="66" t="s">
        <v>96</v>
      </c>
      <c r="J5098" s="65"/>
      <c r="K5098" s="58"/>
      <c r="L5098" s="99"/>
      <c r="M5098" s="70" t="s">
        <v>12614</v>
      </c>
      <c r="N5098" s="97" t="s">
        <v>12491</v>
      </c>
      <c r="O5098" s="58"/>
      <c r="P5098" s="58" t="s">
        <v>34</v>
      </c>
      <c r="Q5098" s="58" t="s">
        <v>121</v>
      </c>
      <c r="R5098" s="58" t="s">
        <v>272</v>
      </c>
    </row>
    <row r="5099" spans="1:18" ht="69" customHeight="1">
      <c r="A5099" s="168"/>
      <c r="B5099" s="62"/>
      <c r="C5099" s="178" t="s">
        <v>122</v>
      </c>
      <c r="D5099" s="575" t="s">
        <v>12586</v>
      </c>
      <c r="E5099" s="58" t="s">
        <v>12563</v>
      </c>
      <c r="F5099" s="178" t="s">
        <v>122</v>
      </c>
      <c r="G5099" s="58" t="s">
        <v>12564</v>
      </c>
      <c r="H5099" s="546">
        <f>812330.958615+368320.767823514</f>
        <v>1180651.726438514</v>
      </c>
      <c r="I5099" s="66" t="s">
        <v>96</v>
      </c>
      <c r="J5099" s="65"/>
      <c r="K5099" s="58"/>
      <c r="L5099" s="99"/>
      <c r="M5099" s="70" t="s">
        <v>12615</v>
      </c>
      <c r="N5099" s="97" t="s">
        <v>12491</v>
      </c>
      <c r="O5099" s="58"/>
      <c r="P5099" s="58" t="s">
        <v>34</v>
      </c>
      <c r="Q5099" s="58" t="s">
        <v>122</v>
      </c>
      <c r="R5099" s="58" t="s">
        <v>272</v>
      </c>
    </row>
    <row r="5100" spans="1:18" ht="69" customHeight="1">
      <c r="A5100" s="168"/>
      <c r="B5100" s="178"/>
      <c r="C5100" s="178" t="s">
        <v>123</v>
      </c>
      <c r="D5100" s="575" t="s">
        <v>12586</v>
      </c>
      <c r="E5100" s="178" t="s">
        <v>12563</v>
      </c>
      <c r="F5100" s="210" t="s">
        <v>123</v>
      </c>
      <c r="G5100" s="58" t="s">
        <v>12564</v>
      </c>
      <c r="H5100" s="546">
        <v>1166651.72643851</v>
      </c>
      <c r="I5100" s="66" t="s">
        <v>96</v>
      </c>
      <c r="J5100" s="411"/>
      <c r="K5100" s="58"/>
      <c r="L5100" s="99"/>
      <c r="M5100" s="70" t="s">
        <v>12616</v>
      </c>
      <c r="N5100" s="97" t="s">
        <v>12491</v>
      </c>
      <c r="O5100" s="58"/>
      <c r="P5100" s="58" t="s">
        <v>34</v>
      </c>
      <c r="Q5100" s="58" t="s">
        <v>123</v>
      </c>
      <c r="R5100" s="58" t="s">
        <v>272</v>
      </c>
    </row>
    <row r="5101" spans="1:18" ht="69" customHeight="1">
      <c r="A5101" s="168"/>
      <c r="B5101" s="178">
        <v>2146</v>
      </c>
      <c r="C5101" s="178" t="s">
        <v>309</v>
      </c>
      <c r="D5101" s="575" t="s">
        <v>5127</v>
      </c>
      <c r="E5101" s="178" t="s">
        <v>979</v>
      </c>
      <c r="F5101" s="210" t="s">
        <v>12617</v>
      </c>
      <c r="G5101" s="58" t="s">
        <v>12618</v>
      </c>
      <c r="H5101" s="546">
        <v>68397</v>
      </c>
      <c r="I5101" s="66">
        <v>45132</v>
      </c>
      <c r="J5101" s="411" t="s">
        <v>12619</v>
      </c>
      <c r="K5101" s="58"/>
      <c r="L5101" s="99"/>
      <c r="M5101" s="70" t="s">
        <v>2079</v>
      </c>
      <c r="N5101" s="97" t="s">
        <v>356</v>
      </c>
      <c r="O5101" s="58" t="s">
        <v>156</v>
      </c>
      <c r="P5101" s="58" t="s">
        <v>19</v>
      </c>
      <c r="Q5101" s="58" t="s">
        <v>31</v>
      </c>
      <c r="R5101" s="58" t="s">
        <v>265</v>
      </c>
    </row>
    <row r="5102" spans="1:18" ht="69" customHeight="1">
      <c r="A5102" s="168"/>
      <c r="B5102" s="191">
        <v>2147</v>
      </c>
      <c r="C5102" s="191" t="s">
        <v>1333</v>
      </c>
      <c r="D5102" s="533" t="s">
        <v>5130</v>
      </c>
      <c r="E5102" s="191" t="s">
        <v>266</v>
      </c>
      <c r="F5102" s="211" t="s">
        <v>12620</v>
      </c>
      <c r="G5102" s="46" t="s">
        <v>12621</v>
      </c>
      <c r="H5102" s="534">
        <v>6500</v>
      </c>
      <c r="I5102" s="56">
        <v>45143</v>
      </c>
      <c r="J5102" s="412" t="s">
        <v>12622</v>
      </c>
      <c r="K5102" s="46" t="s">
        <v>5103</v>
      </c>
      <c r="L5102" s="99"/>
      <c r="M5102" s="379"/>
      <c r="N5102" s="76" t="s">
        <v>12491</v>
      </c>
      <c r="O5102" s="46"/>
      <c r="P5102" s="46" t="s">
        <v>65</v>
      </c>
      <c r="Q5102" s="46" t="s">
        <v>25</v>
      </c>
      <c r="R5102" s="46" t="s">
        <v>272</v>
      </c>
    </row>
    <row r="5103" spans="1:18" ht="69" customHeight="1">
      <c r="A5103" s="168"/>
      <c r="B5103" s="191">
        <v>2148</v>
      </c>
      <c r="C5103" s="191" t="s">
        <v>753</v>
      </c>
      <c r="D5103" s="533" t="s">
        <v>5132</v>
      </c>
      <c r="E5103" s="191" t="s">
        <v>266</v>
      </c>
      <c r="F5103" s="211" t="s">
        <v>12623</v>
      </c>
      <c r="G5103" s="46" t="s">
        <v>12621</v>
      </c>
      <c r="H5103" s="534">
        <v>5500</v>
      </c>
      <c r="I5103" s="56">
        <v>45143</v>
      </c>
      <c r="J5103" s="412" t="s">
        <v>12622</v>
      </c>
      <c r="K5103" s="46" t="s">
        <v>5103</v>
      </c>
      <c r="L5103" s="99"/>
      <c r="M5103" s="379"/>
      <c r="N5103" s="76" t="s">
        <v>716</v>
      </c>
      <c r="O5103" s="46" t="s">
        <v>12624</v>
      </c>
      <c r="P5103" s="46" t="s">
        <v>65</v>
      </c>
      <c r="Q5103" s="46" t="s">
        <v>20</v>
      </c>
      <c r="R5103" s="46" t="s">
        <v>272</v>
      </c>
    </row>
    <row r="5104" spans="1:18" ht="69" customHeight="1">
      <c r="A5104" s="168"/>
      <c r="B5104" s="207">
        <v>2149</v>
      </c>
      <c r="C5104" s="207" t="s">
        <v>458</v>
      </c>
      <c r="D5104" s="301" t="s">
        <v>4690</v>
      </c>
      <c r="E5104" s="207" t="s">
        <v>11646</v>
      </c>
      <c r="F5104" s="208" t="s">
        <v>12625</v>
      </c>
      <c r="G5104" s="160" t="s">
        <v>12626</v>
      </c>
      <c r="H5104" s="300">
        <v>410.47</v>
      </c>
      <c r="I5104" s="209">
        <v>45132</v>
      </c>
      <c r="J5104" s="322" t="s">
        <v>12627</v>
      </c>
      <c r="K5104" s="160" t="s">
        <v>10804</v>
      </c>
      <c r="M5104" s="379"/>
      <c r="N5104" s="76"/>
      <c r="O5104" s="160"/>
      <c r="P5104" s="160" t="s">
        <v>67</v>
      </c>
      <c r="Q5104" s="160" t="s">
        <v>108</v>
      </c>
      <c r="R5104" s="160" t="s">
        <v>272</v>
      </c>
    </row>
    <row r="5105" spans="1:18" ht="69" customHeight="1">
      <c r="A5105" s="168"/>
      <c r="B5105" s="178">
        <v>2150</v>
      </c>
      <c r="C5105" s="178" t="s">
        <v>458</v>
      </c>
      <c r="D5105" s="575" t="s">
        <v>4810</v>
      </c>
      <c r="E5105" s="178" t="s">
        <v>12515</v>
      </c>
      <c r="F5105" s="210" t="s">
        <v>12628</v>
      </c>
      <c r="G5105" s="58" t="s">
        <v>12629</v>
      </c>
      <c r="H5105" s="546">
        <v>199643.92</v>
      </c>
      <c r="I5105" s="66">
        <v>45143</v>
      </c>
      <c r="J5105" s="411" t="s">
        <v>12630</v>
      </c>
      <c r="K5105" s="58"/>
      <c r="L5105" s="99"/>
      <c r="M5105" s="70" t="s">
        <v>10538</v>
      </c>
      <c r="N5105" s="97" t="s">
        <v>264</v>
      </c>
      <c r="O5105" s="58" t="s">
        <v>141</v>
      </c>
      <c r="P5105" s="58" t="s">
        <v>17</v>
      </c>
      <c r="Q5105" s="58" t="s">
        <v>123</v>
      </c>
      <c r="R5105" s="58" t="s">
        <v>272</v>
      </c>
    </row>
    <row r="5106" spans="1:18" ht="69" customHeight="1">
      <c r="A5106" s="168"/>
      <c r="B5106" s="178">
        <v>2151</v>
      </c>
      <c r="C5106" s="178" t="s">
        <v>12631</v>
      </c>
      <c r="D5106" s="575" t="s">
        <v>5850</v>
      </c>
      <c r="E5106" s="178" t="s">
        <v>4173</v>
      </c>
      <c r="F5106" s="210" t="s">
        <v>12632</v>
      </c>
      <c r="G5106" s="58" t="s">
        <v>12633</v>
      </c>
      <c r="H5106" s="546">
        <v>25000</v>
      </c>
      <c r="I5106" s="66">
        <v>45132</v>
      </c>
      <c r="J5106" s="411" t="s">
        <v>12634</v>
      </c>
      <c r="K5106" s="58"/>
      <c r="L5106" s="99"/>
      <c r="M5106" s="70" t="s">
        <v>12635</v>
      </c>
      <c r="N5106" s="97" t="s">
        <v>6197</v>
      </c>
      <c r="O5106" s="58"/>
      <c r="P5106" s="58" t="s">
        <v>22</v>
      </c>
      <c r="Q5106" s="58" t="s">
        <v>35</v>
      </c>
      <c r="R5106" s="58" t="s">
        <v>265</v>
      </c>
    </row>
    <row r="5107" spans="1:18" ht="69" customHeight="1">
      <c r="A5107" s="168"/>
      <c r="B5107" s="178">
        <v>2152</v>
      </c>
      <c r="C5107" s="178" t="s">
        <v>12631</v>
      </c>
      <c r="D5107" s="575" t="s">
        <v>12257</v>
      </c>
      <c r="E5107" s="178" t="s">
        <v>4173</v>
      </c>
      <c r="F5107" s="210" t="s">
        <v>12636</v>
      </c>
      <c r="G5107" s="58" t="s">
        <v>12637</v>
      </c>
      <c r="H5107" s="546">
        <v>30000</v>
      </c>
      <c r="I5107" s="66">
        <v>45132</v>
      </c>
      <c r="J5107" s="411" t="s">
        <v>12638</v>
      </c>
      <c r="K5107" s="58"/>
      <c r="L5107" s="99"/>
      <c r="M5107" s="70" t="s">
        <v>12635</v>
      </c>
      <c r="N5107" s="97" t="s">
        <v>6197</v>
      </c>
      <c r="O5107" s="58"/>
      <c r="P5107" s="58" t="s">
        <v>22</v>
      </c>
      <c r="Q5107" s="58" t="s">
        <v>35</v>
      </c>
      <c r="R5107" s="58" t="s">
        <v>265</v>
      </c>
    </row>
    <row r="5108" spans="1:18" ht="69" customHeight="1">
      <c r="A5108" s="168"/>
      <c r="B5108" s="178">
        <v>2153</v>
      </c>
      <c r="C5108" s="178" t="s">
        <v>11052</v>
      </c>
      <c r="D5108" s="575" t="s">
        <v>5462</v>
      </c>
      <c r="E5108" s="178" t="s">
        <v>4173</v>
      </c>
      <c r="F5108" s="210" t="s">
        <v>12639</v>
      </c>
      <c r="G5108" s="58" t="s">
        <v>12640</v>
      </c>
      <c r="H5108" s="546">
        <v>50000</v>
      </c>
      <c r="I5108" s="66">
        <v>45132</v>
      </c>
      <c r="J5108" s="411" t="s">
        <v>12641</v>
      </c>
      <c r="K5108" s="58"/>
      <c r="L5108" s="99"/>
      <c r="M5108" s="70" t="s">
        <v>12642</v>
      </c>
      <c r="N5108" s="97" t="s">
        <v>12491</v>
      </c>
      <c r="O5108" s="58"/>
      <c r="P5108" s="58" t="s">
        <v>22</v>
      </c>
      <c r="Q5108" s="58" t="s">
        <v>37</v>
      </c>
      <c r="R5108" s="58" t="s">
        <v>265</v>
      </c>
    </row>
    <row r="5109" spans="1:18" ht="69" customHeight="1">
      <c r="A5109" s="168"/>
      <c r="B5109" s="178">
        <v>2154</v>
      </c>
      <c r="C5109" s="178" t="s">
        <v>1853</v>
      </c>
      <c r="D5109" s="575" t="s">
        <v>4029</v>
      </c>
      <c r="E5109" s="178" t="s">
        <v>4173</v>
      </c>
      <c r="F5109" s="210" t="s">
        <v>12643</v>
      </c>
      <c r="G5109" s="58" t="s">
        <v>12640</v>
      </c>
      <c r="H5109" s="546">
        <v>50000</v>
      </c>
      <c r="I5109" s="66">
        <v>45132</v>
      </c>
      <c r="J5109" s="411" t="s">
        <v>12641</v>
      </c>
      <c r="K5109" s="58"/>
      <c r="L5109" s="99"/>
      <c r="M5109" s="70" t="s">
        <v>12644</v>
      </c>
      <c r="N5109" s="97" t="s">
        <v>6197</v>
      </c>
      <c r="O5109" s="58"/>
      <c r="P5109" s="58" t="s">
        <v>22</v>
      </c>
      <c r="Q5109" s="58" t="s">
        <v>29</v>
      </c>
      <c r="R5109" s="58" t="s">
        <v>265</v>
      </c>
    </row>
    <row r="5110" spans="1:18" ht="69" customHeight="1">
      <c r="A5110" s="168"/>
      <c r="B5110" s="207">
        <v>2155</v>
      </c>
      <c r="C5110" s="207" t="s">
        <v>12143</v>
      </c>
      <c r="D5110" s="301" t="s">
        <v>2456</v>
      </c>
      <c r="E5110" s="207" t="s">
        <v>585</v>
      </c>
      <c r="F5110" s="208" t="s">
        <v>12645</v>
      </c>
      <c r="G5110" s="160" t="s">
        <v>12646</v>
      </c>
      <c r="H5110" s="300">
        <v>31011.61</v>
      </c>
      <c r="I5110" s="209">
        <v>45139</v>
      </c>
      <c r="J5110" s="322" t="s">
        <v>12647</v>
      </c>
      <c r="K5110" s="160" t="s">
        <v>10804</v>
      </c>
      <c r="M5110" s="379"/>
      <c r="N5110" s="76"/>
      <c r="O5110" s="160"/>
      <c r="P5110" s="160" t="s">
        <v>67</v>
      </c>
      <c r="Q5110" s="160" t="s">
        <v>96</v>
      </c>
      <c r="R5110" s="160" t="s">
        <v>272</v>
      </c>
    </row>
    <row r="5111" spans="1:18" ht="69" customHeight="1">
      <c r="A5111" s="168"/>
      <c r="B5111" s="178">
        <v>2156</v>
      </c>
      <c r="C5111" s="59" t="s">
        <v>3667</v>
      </c>
      <c r="D5111" s="575" t="s">
        <v>12648</v>
      </c>
      <c r="E5111" s="178" t="s">
        <v>11241</v>
      </c>
      <c r="F5111" s="210" t="s">
        <v>12649</v>
      </c>
      <c r="G5111" s="58" t="s">
        <v>11872</v>
      </c>
      <c r="H5111" s="546">
        <v>79586.5</v>
      </c>
      <c r="I5111" s="66">
        <v>45128</v>
      </c>
      <c r="J5111" s="411" t="s">
        <v>12650</v>
      </c>
      <c r="K5111" s="58"/>
      <c r="L5111" s="99"/>
      <c r="M5111" s="70" t="s">
        <v>11256</v>
      </c>
      <c r="N5111" s="97" t="s">
        <v>741</v>
      </c>
      <c r="O5111" s="45" t="s">
        <v>175</v>
      </c>
      <c r="P5111" s="58" t="s">
        <v>59</v>
      </c>
      <c r="Q5111" s="58" t="s">
        <v>64</v>
      </c>
      <c r="R5111" s="58" t="s">
        <v>272</v>
      </c>
    </row>
    <row r="5112" spans="1:18" ht="69" customHeight="1">
      <c r="A5112" s="168"/>
      <c r="B5112" s="178">
        <v>2157</v>
      </c>
      <c r="C5112" s="178" t="s">
        <v>5558</v>
      </c>
      <c r="D5112" s="575" t="s">
        <v>12651</v>
      </c>
      <c r="E5112" s="178" t="s">
        <v>11241</v>
      </c>
      <c r="F5112" s="210" t="s">
        <v>12652</v>
      </c>
      <c r="G5112" s="58" t="s">
        <v>11872</v>
      </c>
      <c r="H5112" s="546">
        <v>50000</v>
      </c>
      <c r="I5112" s="66">
        <v>45128</v>
      </c>
      <c r="J5112" s="411" t="s">
        <v>12650</v>
      </c>
      <c r="K5112" s="58"/>
      <c r="L5112" s="99"/>
      <c r="M5112" s="70" t="s">
        <v>11256</v>
      </c>
      <c r="N5112" s="97" t="s">
        <v>741</v>
      </c>
      <c r="O5112" s="45" t="s">
        <v>175</v>
      </c>
      <c r="P5112" s="58" t="s">
        <v>59</v>
      </c>
      <c r="Q5112" s="58" t="s">
        <v>64</v>
      </c>
      <c r="R5112" s="58" t="s">
        <v>272</v>
      </c>
    </row>
    <row r="5113" spans="1:18" ht="69" customHeight="1">
      <c r="A5113" s="168"/>
      <c r="B5113" s="207">
        <v>2158</v>
      </c>
      <c r="C5113" s="207" t="s">
        <v>12653</v>
      </c>
      <c r="D5113" s="301" t="s">
        <v>5693</v>
      </c>
      <c r="E5113" s="207" t="s">
        <v>11646</v>
      </c>
      <c r="F5113" s="208" t="s">
        <v>12654</v>
      </c>
      <c r="G5113" s="160" t="s">
        <v>12655</v>
      </c>
      <c r="H5113" s="300">
        <v>5509.02</v>
      </c>
      <c r="I5113" s="209">
        <v>45143</v>
      </c>
      <c r="J5113" s="322" t="s">
        <v>12656</v>
      </c>
      <c r="K5113" s="160" t="s">
        <v>10804</v>
      </c>
      <c r="M5113" s="379"/>
      <c r="N5113" s="76"/>
      <c r="O5113" s="160"/>
      <c r="P5113" s="160" t="s">
        <v>67</v>
      </c>
      <c r="Q5113" s="160" t="s">
        <v>96</v>
      </c>
      <c r="R5113" s="160" t="s">
        <v>272</v>
      </c>
    </row>
    <row r="5114" spans="1:18" ht="69" customHeight="1">
      <c r="A5114" s="168"/>
      <c r="B5114" s="207">
        <v>2159</v>
      </c>
      <c r="C5114" s="207" t="s">
        <v>12653</v>
      </c>
      <c r="D5114" s="301" t="s">
        <v>3596</v>
      </c>
      <c r="E5114" s="207" t="s">
        <v>11646</v>
      </c>
      <c r="F5114" s="208" t="s">
        <v>12657</v>
      </c>
      <c r="G5114" s="160" t="s">
        <v>12658</v>
      </c>
      <c r="H5114" s="300">
        <v>2156.15</v>
      </c>
      <c r="I5114" s="209">
        <v>45143</v>
      </c>
      <c r="J5114" s="322" t="s">
        <v>12656</v>
      </c>
      <c r="K5114" s="160" t="s">
        <v>10804</v>
      </c>
      <c r="M5114" s="379"/>
      <c r="N5114" s="76"/>
      <c r="O5114" s="160"/>
      <c r="P5114" s="160" t="s">
        <v>67</v>
      </c>
      <c r="Q5114" s="160" t="s">
        <v>96</v>
      </c>
      <c r="R5114" s="160" t="s">
        <v>272</v>
      </c>
    </row>
    <row r="5115" spans="1:18" ht="69" customHeight="1">
      <c r="A5115" s="168"/>
      <c r="B5115" s="207">
        <v>2160</v>
      </c>
      <c r="C5115" s="207" t="s">
        <v>12653</v>
      </c>
      <c r="D5115" s="301" t="s">
        <v>8559</v>
      </c>
      <c r="E5115" s="207" t="s">
        <v>11646</v>
      </c>
      <c r="F5115" s="208" t="s">
        <v>12659</v>
      </c>
      <c r="G5115" s="160" t="s">
        <v>12660</v>
      </c>
      <c r="H5115" s="300">
        <v>344</v>
      </c>
      <c r="I5115" s="209">
        <v>45143</v>
      </c>
      <c r="J5115" s="322" t="s">
        <v>12656</v>
      </c>
      <c r="K5115" s="160" t="s">
        <v>10804</v>
      </c>
      <c r="M5115" s="379"/>
      <c r="N5115" s="76"/>
      <c r="O5115" s="160"/>
      <c r="P5115" s="160" t="s">
        <v>67</v>
      </c>
      <c r="Q5115" s="160" t="s">
        <v>96</v>
      </c>
      <c r="R5115" s="160" t="s">
        <v>272</v>
      </c>
    </row>
    <row r="5116" spans="1:18" ht="69" customHeight="1">
      <c r="A5116" s="168"/>
      <c r="B5116" s="256">
        <v>2161</v>
      </c>
      <c r="C5116" s="256" t="s">
        <v>11409</v>
      </c>
      <c r="D5116" s="299" t="s">
        <v>2670</v>
      </c>
      <c r="E5116" s="256" t="s">
        <v>11646</v>
      </c>
      <c r="F5116" s="263" t="s">
        <v>12661</v>
      </c>
      <c r="G5116" s="118" t="s">
        <v>12655</v>
      </c>
      <c r="H5116" s="300">
        <v>5509.02</v>
      </c>
      <c r="I5116" s="262">
        <v>45143</v>
      </c>
      <c r="J5116" s="409" t="s">
        <v>12662</v>
      </c>
      <c r="K5116" s="160" t="s">
        <v>727</v>
      </c>
      <c r="M5116" s="386"/>
      <c r="N5116" s="223"/>
      <c r="O5116" s="118"/>
      <c r="P5116" s="118" t="s">
        <v>67</v>
      </c>
      <c r="Q5116" s="160" t="s">
        <v>96</v>
      </c>
      <c r="R5116" s="118" t="s">
        <v>272</v>
      </c>
    </row>
    <row r="5117" spans="1:18" ht="69" customHeight="1">
      <c r="A5117" s="168"/>
      <c r="B5117" s="256">
        <v>2162</v>
      </c>
      <c r="C5117" s="256" t="s">
        <v>11409</v>
      </c>
      <c r="D5117" s="299" t="s">
        <v>2900</v>
      </c>
      <c r="E5117" s="256" t="s">
        <v>11646</v>
      </c>
      <c r="F5117" s="263" t="s">
        <v>12663</v>
      </c>
      <c r="G5117" s="118" t="s">
        <v>12658</v>
      </c>
      <c r="H5117" s="300">
        <v>17895</v>
      </c>
      <c r="I5117" s="262">
        <v>45143</v>
      </c>
      <c r="J5117" s="409" t="s">
        <v>12662</v>
      </c>
      <c r="K5117" s="160" t="s">
        <v>727</v>
      </c>
      <c r="M5117" s="386"/>
      <c r="N5117" s="223"/>
      <c r="O5117" s="118"/>
      <c r="P5117" s="118" t="s">
        <v>67</v>
      </c>
      <c r="Q5117" s="160" t="s">
        <v>96</v>
      </c>
      <c r="R5117" s="118" t="s">
        <v>272</v>
      </c>
    </row>
    <row r="5118" spans="1:18" ht="69" customHeight="1">
      <c r="A5118" s="168"/>
      <c r="B5118" s="256">
        <v>2163</v>
      </c>
      <c r="C5118" s="256" t="s">
        <v>11409</v>
      </c>
      <c r="D5118" s="299" t="s">
        <v>3154</v>
      </c>
      <c r="E5118" s="256" t="s">
        <v>11646</v>
      </c>
      <c r="F5118" s="263" t="s">
        <v>12664</v>
      </c>
      <c r="G5118" s="118" t="s">
        <v>12660</v>
      </c>
      <c r="H5118" s="300">
        <v>1042.8</v>
      </c>
      <c r="I5118" s="262">
        <v>45143</v>
      </c>
      <c r="J5118" s="409" t="s">
        <v>12662</v>
      </c>
      <c r="K5118" s="160" t="s">
        <v>727</v>
      </c>
      <c r="M5118" s="386"/>
      <c r="N5118" s="223"/>
      <c r="O5118" s="118"/>
      <c r="P5118" s="118" t="s">
        <v>67</v>
      </c>
      <c r="Q5118" s="160" t="s">
        <v>96</v>
      </c>
      <c r="R5118" s="118" t="s">
        <v>272</v>
      </c>
    </row>
    <row r="5119" spans="1:18" ht="69" customHeight="1">
      <c r="A5119" s="168"/>
      <c r="B5119" s="207">
        <v>2164</v>
      </c>
      <c r="C5119" s="207" t="s">
        <v>12503</v>
      </c>
      <c r="D5119" s="301" t="s">
        <v>1055</v>
      </c>
      <c r="E5119" s="207" t="s">
        <v>11646</v>
      </c>
      <c r="F5119" s="208" t="s">
        <v>12665</v>
      </c>
      <c r="G5119" s="160" t="s">
        <v>12655</v>
      </c>
      <c r="H5119" s="300">
        <v>6229.12</v>
      </c>
      <c r="I5119" s="209">
        <v>45143</v>
      </c>
      <c r="J5119" s="322" t="s">
        <v>12666</v>
      </c>
      <c r="K5119" s="160" t="s">
        <v>10804</v>
      </c>
      <c r="M5119" s="379"/>
      <c r="N5119" s="76"/>
      <c r="O5119" s="160"/>
      <c r="P5119" s="160" t="s">
        <v>67</v>
      </c>
      <c r="Q5119" s="160" t="s">
        <v>96</v>
      </c>
      <c r="R5119" s="160" t="s">
        <v>272</v>
      </c>
    </row>
    <row r="5120" spans="1:18" ht="69" customHeight="1">
      <c r="A5120" s="168"/>
      <c r="B5120" s="207">
        <v>2165</v>
      </c>
      <c r="C5120" s="207" t="s">
        <v>12503</v>
      </c>
      <c r="D5120" s="301" t="s">
        <v>1087</v>
      </c>
      <c r="E5120" s="207" t="s">
        <v>11646</v>
      </c>
      <c r="F5120" s="208" t="s">
        <v>12667</v>
      </c>
      <c r="G5120" s="160" t="s">
        <v>12658</v>
      </c>
      <c r="H5120" s="300">
        <v>5190.8</v>
      </c>
      <c r="I5120" s="209">
        <v>45143</v>
      </c>
      <c r="J5120" s="322" t="s">
        <v>12666</v>
      </c>
      <c r="K5120" s="160" t="s">
        <v>10804</v>
      </c>
      <c r="M5120" s="379"/>
      <c r="N5120" s="76"/>
      <c r="O5120" s="160"/>
      <c r="P5120" s="160" t="s">
        <v>67</v>
      </c>
      <c r="Q5120" s="160" t="s">
        <v>96</v>
      </c>
      <c r="R5120" s="160" t="s">
        <v>272</v>
      </c>
    </row>
    <row r="5121" spans="1:18" ht="69" customHeight="1">
      <c r="A5121" s="168"/>
      <c r="B5121" s="207">
        <v>2166</v>
      </c>
      <c r="C5121" s="207" t="s">
        <v>12503</v>
      </c>
      <c r="D5121" s="301" t="s">
        <v>5296</v>
      </c>
      <c r="E5121" s="207" t="s">
        <v>11646</v>
      </c>
      <c r="F5121" s="208" t="s">
        <v>12668</v>
      </c>
      <c r="G5121" s="160" t="s">
        <v>12660</v>
      </c>
      <c r="H5121" s="300">
        <v>570</v>
      </c>
      <c r="I5121" s="209">
        <v>45143</v>
      </c>
      <c r="J5121" s="322" t="s">
        <v>12666</v>
      </c>
      <c r="K5121" s="160" t="s">
        <v>10804</v>
      </c>
      <c r="M5121" s="379"/>
      <c r="N5121" s="76"/>
      <c r="O5121" s="160"/>
      <c r="P5121" s="160" t="s">
        <v>67</v>
      </c>
      <c r="Q5121" s="160" t="s">
        <v>96</v>
      </c>
      <c r="R5121" s="160" t="s">
        <v>272</v>
      </c>
    </row>
    <row r="5122" spans="1:18" ht="69" customHeight="1">
      <c r="A5122" s="168"/>
      <c r="B5122" s="207">
        <v>2167</v>
      </c>
      <c r="C5122" s="207" t="s">
        <v>12669</v>
      </c>
      <c r="D5122" s="301" t="s">
        <v>3480</v>
      </c>
      <c r="E5122" s="207" t="s">
        <v>11646</v>
      </c>
      <c r="F5122" s="208" t="s">
        <v>12670</v>
      </c>
      <c r="G5122" s="160" t="s">
        <v>12655</v>
      </c>
      <c r="H5122" s="300">
        <v>6324.02</v>
      </c>
      <c r="I5122" s="209">
        <v>45143</v>
      </c>
      <c r="J5122" s="322" t="s">
        <v>12671</v>
      </c>
      <c r="K5122" s="160" t="s">
        <v>10804</v>
      </c>
      <c r="M5122" s="379"/>
      <c r="N5122" s="76"/>
      <c r="O5122" s="160"/>
      <c r="P5122" s="160" t="s">
        <v>67</v>
      </c>
      <c r="Q5122" s="160" t="s">
        <v>96</v>
      </c>
      <c r="R5122" s="160" t="s">
        <v>272</v>
      </c>
    </row>
    <row r="5123" spans="1:18" ht="69" customHeight="1">
      <c r="A5123" s="168"/>
      <c r="B5123" s="207">
        <v>2168</v>
      </c>
      <c r="C5123" s="207" t="s">
        <v>12669</v>
      </c>
      <c r="D5123" s="301" t="s">
        <v>3483</v>
      </c>
      <c r="E5123" s="207" t="s">
        <v>11646</v>
      </c>
      <c r="F5123" s="208" t="s">
        <v>12672</v>
      </c>
      <c r="G5123" s="160" t="s">
        <v>12658</v>
      </c>
      <c r="H5123" s="300">
        <v>4824.59</v>
      </c>
      <c r="I5123" s="209">
        <v>45143</v>
      </c>
      <c r="J5123" s="322" t="s">
        <v>12671</v>
      </c>
      <c r="K5123" s="160" t="s">
        <v>10804</v>
      </c>
      <c r="M5123" s="379"/>
      <c r="N5123" s="76"/>
      <c r="O5123" s="160"/>
      <c r="P5123" s="160" t="s">
        <v>67</v>
      </c>
      <c r="Q5123" s="160" t="s">
        <v>96</v>
      </c>
      <c r="R5123" s="160" t="s">
        <v>272</v>
      </c>
    </row>
    <row r="5124" spans="1:18" ht="69" customHeight="1">
      <c r="A5124" s="168"/>
      <c r="B5124" s="207">
        <v>2169</v>
      </c>
      <c r="C5124" s="207" t="s">
        <v>12669</v>
      </c>
      <c r="D5124" s="301" t="s">
        <v>3485</v>
      </c>
      <c r="E5124" s="207" t="s">
        <v>11646</v>
      </c>
      <c r="F5124" s="208" t="s">
        <v>12673</v>
      </c>
      <c r="G5124" s="160" t="s">
        <v>12660</v>
      </c>
      <c r="H5124" s="300">
        <v>190</v>
      </c>
      <c r="I5124" s="209">
        <v>45143</v>
      </c>
      <c r="J5124" s="322" t="s">
        <v>12671</v>
      </c>
      <c r="K5124" s="160" t="s">
        <v>10804</v>
      </c>
      <c r="M5124" s="379"/>
      <c r="N5124" s="76"/>
      <c r="O5124" s="160"/>
      <c r="P5124" s="160" t="s">
        <v>67</v>
      </c>
      <c r="Q5124" s="160" t="s">
        <v>96</v>
      </c>
      <c r="R5124" s="160" t="s">
        <v>272</v>
      </c>
    </row>
    <row r="5125" spans="1:18" ht="69" customHeight="1">
      <c r="A5125" s="168"/>
      <c r="B5125" s="207">
        <v>2170</v>
      </c>
      <c r="C5125" s="207" t="s">
        <v>12674</v>
      </c>
      <c r="D5125" s="301" t="s">
        <v>2027</v>
      </c>
      <c r="E5125" s="207" t="s">
        <v>11646</v>
      </c>
      <c r="F5125" s="208" t="s">
        <v>12675</v>
      </c>
      <c r="G5125" s="160" t="s">
        <v>12655</v>
      </c>
      <c r="H5125" s="300">
        <v>6324.02</v>
      </c>
      <c r="I5125" s="209">
        <v>45143</v>
      </c>
      <c r="J5125" s="322" t="s">
        <v>12676</v>
      </c>
      <c r="K5125" s="160" t="s">
        <v>10804</v>
      </c>
      <c r="M5125" s="379"/>
      <c r="N5125" s="76"/>
      <c r="O5125" s="160"/>
      <c r="P5125" s="160" t="s">
        <v>67</v>
      </c>
      <c r="Q5125" s="160" t="s">
        <v>96</v>
      </c>
      <c r="R5125" s="160" t="s">
        <v>272</v>
      </c>
    </row>
    <row r="5126" spans="1:18" ht="69" customHeight="1">
      <c r="A5126" s="168"/>
      <c r="B5126" s="207">
        <v>2171</v>
      </c>
      <c r="C5126" s="207" t="s">
        <v>12674</v>
      </c>
      <c r="D5126" s="301" t="s">
        <v>9733</v>
      </c>
      <c r="E5126" s="207" t="s">
        <v>11646</v>
      </c>
      <c r="F5126" s="208" t="s">
        <v>12677</v>
      </c>
      <c r="G5126" s="160" t="s">
        <v>12658</v>
      </c>
      <c r="H5126" s="300">
        <v>3279.65</v>
      </c>
      <c r="I5126" s="209">
        <v>45143</v>
      </c>
      <c r="J5126" s="322" t="s">
        <v>12676</v>
      </c>
      <c r="K5126" s="160" t="s">
        <v>10804</v>
      </c>
      <c r="M5126" s="379"/>
      <c r="N5126" s="76"/>
      <c r="O5126" s="160"/>
      <c r="P5126" s="160" t="s">
        <v>67</v>
      </c>
      <c r="Q5126" s="160" t="s">
        <v>96</v>
      </c>
      <c r="R5126" s="160" t="s">
        <v>272</v>
      </c>
    </row>
    <row r="5127" spans="1:18" ht="69" customHeight="1">
      <c r="A5127" s="168"/>
      <c r="B5127" s="207">
        <v>2172</v>
      </c>
      <c r="C5127" s="207" t="s">
        <v>12674</v>
      </c>
      <c r="D5127" s="301" t="s">
        <v>2731</v>
      </c>
      <c r="E5127" s="207" t="s">
        <v>11646</v>
      </c>
      <c r="F5127" s="208" t="s">
        <v>12678</v>
      </c>
      <c r="G5127" s="160" t="s">
        <v>12660</v>
      </c>
      <c r="H5127" s="300">
        <v>3279.65</v>
      </c>
      <c r="I5127" s="209">
        <v>45143</v>
      </c>
      <c r="J5127" s="322" t="s">
        <v>12676</v>
      </c>
      <c r="K5127" s="160" t="s">
        <v>10804</v>
      </c>
      <c r="M5127" s="379"/>
      <c r="N5127" s="76"/>
      <c r="O5127" s="160"/>
      <c r="P5127" s="160" t="s">
        <v>67</v>
      </c>
      <c r="Q5127" s="160" t="s">
        <v>96</v>
      </c>
      <c r="R5127" s="160" t="s">
        <v>272</v>
      </c>
    </row>
    <row r="5128" spans="1:18" ht="69" customHeight="1">
      <c r="A5128" s="168"/>
      <c r="B5128" s="191">
        <v>2173</v>
      </c>
      <c r="C5128" s="191" t="s">
        <v>3667</v>
      </c>
      <c r="D5128" s="533" t="s">
        <v>12679</v>
      </c>
      <c r="E5128" s="191" t="s">
        <v>585</v>
      </c>
      <c r="F5128" s="211" t="s">
        <v>12680</v>
      </c>
      <c r="G5128" s="46" t="s">
        <v>12681</v>
      </c>
      <c r="H5128" s="534">
        <v>16125</v>
      </c>
      <c r="I5128" s="56">
        <v>45143</v>
      </c>
      <c r="J5128" s="412" t="s">
        <v>12682</v>
      </c>
      <c r="K5128" s="46" t="s">
        <v>5103</v>
      </c>
      <c r="L5128" s="99"/>
      <c r="M5128" s="379"/>
      <c r="N5128" s="76" t="s">
        <v>6197</v>
      </c>
      <c r="O5128" s="46"/>
      <c r="P5128" s="46" t="s">
        <v>65</v>
      </c>
      <c r="Q5128" s="46" t="s">
        <v>68</v>
      </c>
      <c r="R5128" s="46" t="s">
        <v>272</v>
      </c>
    </row>
    <row r="5129" spans="1:18" ht="69" customHeight="1">
      <c r="A5129" s="168"/>
      <c r="B5129" s="191">
        <v>2174</v>
      </c>
      <c r="C5129" s="191" t="s">
        <v>3667</v>
      </c>
      <c r="D5129" s="533" t="s">
        <v>12683</v>
      </c>
      <c r="E5129" s="191" t="s">
        <v>585</v>
      </c>
      <c r="F5129" s="211" t="s">
        <v>12684</v>
      </c>
      <c r="G5129" s="46" t="s">
        <v>12681</v>
      </c>
      <c r="H5129" s="534">
        <v>16125</v>
      </c>
      <c r="I5129" s="56">
        <v>45143</v>
      </c>
      <c r="J5129" s="412" t="s">
        <v>12682</v>
      </c>
      <c r="K5129" s="46" t="s">
        <v>167</v>
      </c>
      <c r="L5129" s="99"/>
      <c r="M5129" s="379"/>
      <c r="N5129" s="76" t="s">
        <v>6197</v>
      </c>
      <c r="O5129" s="46" t="s">
        <v>12685</v>
      </c>
      <c r="P5129" s="46" t="s">
        <v>65</v>
      </c>
      <c r="Q5129" s="46" t="s">
        <v>70</v>
      </c>
      <c r="R5129" s="46" t="s">
        <v>272</v>
      </c>
    </row>
    <row r="5130" spans="1:18" ht="69" customHeight="1">
      <c r="A5130" s="168"/>
      <c r="B5130" s="207">
        <v>2175</v>
      </c>
      <c r="C5130" s="207" t="s">
        <v>11296</v>
      </c>
      <c r="D5130" s="301" t="s">
        <v>1748</v>
      </c>
      <c r="E5130" s="207" t="s">
        <v>11480</v>
      </c>
      <c r="F5130" s="208" t="s">
        <v>12686</v>
      </c>
      <c r="G5130" s="160" t="s">
        <v>12687</v>
      </c>
      <c r="H5130" s="300">
        <v>22500</v>
      </c>
      <c r="I5130" s="209">
        <v>45143</v>
      </c>
      <c r="J5130" s="322" t="s">
        <v>12688</v>
      </c>
      <c r="K5130" s="160" t="s">
        <v>10804</v>
      </c>
      <c r="M5130" s="379"/>
      <c r="N5130" s="76"/>
      <c r="O5130" s="160" t="s">
        <v>141</v>
      </c>
      <c r="P5130" s="160" t="s">
        <v>67</v>
      </c>
      <c r="Q5130" s="160" t="s">
        <v>96</v>
      </c>
      <c r="R5130" s="160" t="s">
        <v>272</v>
      </c>
    </row>
    <row r="5131" spans="1:18" ht="69" customHeight="1">
      <c r="A5131" s="168"/>
      <c r="B5131" s="191">
        <v>2176</v>
      </c>
      <c r="C5131" s="191" t="s">
        <v>4277</v>
      </c>
      <c r="D5131" s="533" t="s">
        <v>12689</v>
      </c>
      <c r="E5131" s="191" t="s">
        <v>382</v>
      </c>
      <c r="F5131" s="211" t="s">
        <v>12690</v>
      </c>
      <c r="G5131" s="100" t="s">
        <v>12691</v>
      </c>
      <c r="H5131" s="534">
        <v>10832.59</v>
      </c>
      <c r="I5131" s="56">
        <v>45143</v>
      </c>
      <c r="J5131" s="412" t="s">
        <v>12692</v>
      </c>
      <c r="K5131" s="46" t="s">
        <v>167</v>
      </c>
      <c r="L5131" s="99"/>
      <c r="M5131" s="70" t="s">
        <v>4588</v>
      </c>
      <c r="N5131" s="97" t="s">
        <v>387</v>
      </c>
      <c r="O5131" s="46" t="s">
        <v>150</v>
      </c>
      <c r="P5131" s="46" t="s">
        <v>65</v>
      </c>
      <c r="Q5131" s="46" t="s">
        <v>56</v>
      </c>
      <c r="R5131" s="46" t="s">
        <v>272</v>
      </c>
    </row>
    <row r="5132" spans="1:18" ht="69" customHeight="1">
      <c r="A5132" s="168"/>
      <c r="B5132" s="191">
        <v>2177</v>
      </c>
      <c r="C5132" s="191" t="s">
        <v>4728</v>
      </c>
      <c r="D5132" s="533" t="s">
        <v>12693</v>
      </c>
      <c r="E5132" s="191" t="s">
        <v>382</v>
      </c>
      <c r="F5132" s="211" t="s">
        <v>12694</v>
      </c>
      <c r="G5132" s="46" t="s">
        <v>12691</v>
      </c>
      <c r="H5132" s="534">
        <v>10832.59</v>
      </c>
      <c r="I5132" s="56">
        <v>45143</v>
      </c>
      <c r="J5132" s="412" t="s">
        <v>12692</v>
      </c>
      <c r="K5132" s="46" t="s">
        <v>65</v>
      </c>
      <c r="L5132" s="99"/>
      <c r="M5132" s="70" t="s">
        <v>4747</v>
      </c>
      <c r="N5132" s="97" t="s">
        <v>387</v>
      </c>
      <c r="O5132" s="46" t="s">
        <v>150</v>
      </c>
      <c r="P5132" s="46" t="s">
        <v>65</v>
      </c>
      <c r="Q5132" s="46" t="s">
        <v>58</v>
      </c>
      <c r="R5132" s="46" t="s">
        <v>272</v>
      </c>
    </row>
    <row r="5133" spans="1:18" ht="69" customHeight="1">
      <c r="A5133" s="168"/>
      <c r="B5133" s="191">
        <v>2178</v>
      </c>
      <c r="C5133" s="191" t="s">
        <v>8529</v>
      </c>
      <c r="D5133" s="533" t="s">
        <v>6590</v>
      </c>
      <c r="E5133" s="191" t="s">
        <v>382</v>
      </c>
      <c r="F5133" s="211" t="s">
        <v>12695</v>
      </c>
      <c r="G5133" s="46" t="s">
        <v>12696</v>
      </c>
      <c r="H5133" s="534">
        <v>9127.4599999999991</v>
      </c>
      <c r="I5133" s="56">
        <v>45143</v>
      </c>
      <c r="J5133" s="412" t="s">
        <v>12692</v>
      </c>
      <c r="K5133" s="46"/>
      <c r="L5133" s="99"/>
      <c r="M5133" s="70" t="s">
        <v>8541</v>
      </c>
      <c r="N5133" s="97" t="s">
        <v>387</v>
      </c>
      <c r="O5133" s="46" t="s">
        <v>150</v>
      </c>
      <c r="P5133" s="46" t="s">
        <v>65</v>
      </c>
      <c r="Q5133" s="46" t="s">
        <v>108</v>
      </c>
      <c r="R5133" s="46" t="s">
        <v>272</v>
      </c>
    </row>
    <row r="5134" spans="1:18" ht="69" customHeight="1">
      <c r="A5134" s="168"/>
      <c r="B5134" s="191">
        <v>2179</v>
      </c>
      <c r="C5134" s="191" t="s">
        <v>9596</v>
      </c>
      <c r="D5134" s="533" t="s">
        <v>6995</v>
      </c>
      <c r="E5134" s="191" t="s">
        <v>382</v>
      </c>
      <c r="F5134" s="211" t="s">
        <v>12697</v>
      </c>
      <c r="G5134" s="46" t="s">
        <v>12698</v>
      </c>
      <c r="H5134" s="534">
        <v>15334.58</v>
      </c>
      <c r="I5134" s="56">
        <v>45143</v>
      </c>
      <c r="J5134" s="412" t="s">
        <v>12692</v>
      </c>
      <c r="K5134" s="46" t="s">
        <v>167</v>
      </c>
      <c r="L5134" s="99"/>
      <c r="M5134" s="70" t="s">
        <v>9580</v>
      </c>
      <c r="N5134" s="97" t="s">
        <v>387</v>
      </c>
      <c r="O5134" s="46" t="s">
        <v>150</v>
      </c>
      <c r="P5134" s="46" t="s">
        <v>65</v>
      </c>
      <c r="Q5134" s="46" t="s">
        <v>118</v>
      </c>
      <c r="R5134" s="46" t="s">
        <v>272</v>
      </c>
    </row>
    <row r="5135" spans="1:18" ht="69" customHeight="1">
      <c r="A5135" s="168"/>
      <c r="B5135" s="191">
        <v>2180</v>
      </c>
      <c r="C5135" s="191" t="s">
        <v>8057</v>
      </c>
      <c r="D5135" s="533" t="s">
        <v>6593</v>
      </c>
      <c r="E5135" s="191" t="s">
        <v>382</v>
      </c>
      <c r="F5135" s="211" t="s">
        <v>12699</v>
      </c>
      <c r="G5135" s="46" t="s">
        <v>12691</v>
      </c>
      <c r="H5135" s="534">
        <v>9729.5300000000007</v>
      </c>
      <c r="I5135" s="56">
        <v>45143</v>
      </c>
      <c r="J5135" s="412" t="s">
        <v>12692</v>
      </c>
      <c r="K5135" s="46" t="s">
        <v>65</v>
      </c>
      <c r="L5135" s="99"/>
      <c r="M5135" s="70" t="s">
        <v>8045</v>
      </c>
      <c r="N5135" s="97" t="s">
        <v>387</v>
      </c>
      <c r="O5135" s="46" t="s">
        <v>150</v>
      </c>
      <c r="P5135" s="46" t="s">
        <v>65</v>
      </c>
      <c r="Q5135" s="46" t="s">
        <v>105</v>
      </c>
      <c r="R5135" s="46" t="s">
        <v>272</v>
      </c>
    </row>
    <row r="5136" spans="1:18" ht="69" customHeight="1">
      <c r="A5136" s="168"/>
      <c r="B5136" s="191">
        <v>2181</v>
      </c>
      <c r="C5136" s="191" t="s">
        <v>11568</v>
      </c>
      <c r="D5136" s="533" t="s">
        <v>12700</v>
      </c>
      <c r="E5136" s="191" t="s">
        <v>382</v>
      </c>
      <c r="F5136" s="211" t="s">
        <v>12701</v>
      </c>
      <c r="G5136" s="46" t="s">
        <v>12691</v>
      </c>
      <c r="H5136" s="534">
        <v>9729.5300000000007</v>
      </c>
      <c r="I5136" s="56">
        <v>45143</v>
      </c>
      <c r="J5136" s="412" t="s">
        <v>12692</v>
      </c>
      <c r="K5136" s="46"/>
      <c r="L5136" s="99"/>
      <c r="M5136" s="70" t="s">
        <v>8326</v>
      </c>
      <c r="N5136" s="97" t="s">
        <v>1044</v>
      </c>
      <c r="O5136" s="45" t="s">
        <v>150</v>
      </c>
      <c r="P5136" s="58" t="s">
        <v>65</v>
      </c>
      <c r="Q5136" s="58" t="s">
        <v>107</v>
      </c>
      <c r="R5136" s="58" t="s">
        <v>272</v>
      </c>
    </row>
    <row r="5137" spans="1:18" ht="69" customHeight="1">
      <c r="A5137" s="168"/>
      <c r="B5137" s="178">
        <v>2182</v>
      </c>
      <c r="C5137" s="178" t="s">
        <v>4277</v>
      </c>
      <c r="D5137" s="575" t="s">
        <v>12702</v>
      </c>
      <c r="E5137" s="178" t="s">
        <v>755</v>
      </c>
      <c r="F5137" s="210" t="s">
        <v>12703</v>
      </c>
      <c r="G5137" s="58" t="s">
        <v>12704</v>
      </c>
      <c r="H5137" s="546">
        <v>1464668.25</v>
      </c>
      <c r="I5137" s="66">
        <v>45143</v>
      </c>
      <c r="J5137" s="411" t="s">
        <v>12705</v>
      </c>
      <c r="K5137" s="58"/>
      <c r="L5137" s="99"/>
      <c r="M5137" s="70" t="s">
        <v>4593</v>
      </c>
      <c r="N5137" s="97" t="s">
        <v>716</v>
      </c>
      <c r="O5137" s="58" t="s">
        <v>1566</v>
      </c>
      <c r="P5137" s="58" t="s">
        <v>28</v>
      </c>
      <c r="Q5137" s="58" t="s">
        <v>56</v>
      </c>
      <c r="R5137" s="58" t="s">
        <v>272</v>
      </c>
    </row>
    <row r="5138" spans="1:18" ht="69" customHeight="1">
      <c r="A5138" s="168"/>
      <c r="B5138" s="178">
        <v>2183</v>
      </c>
      <c r="C5138" s="178" t="s">
        <v>4277</v>
      </c>
      <c r="D5138" s="575" t="s">
        <v>12706</v>
      </c>
      <c r="E5138" s="178" t="s">
        <v>755</v>
      </c>
      <c r="F5138" s="210" t="s">
        <v>12707</v>
      </c>
      <c r="G5138" s="58" t="s">
        <v>12704</v>
      </c>
      <c r="H5138" s="546">
        <v>1464668.25</v>
      </c>
      <c r="I5138" s="66">
        <v>45143</v>
      </c>
      <c r="J5138" s="411" t="s">
        <v>12708</v>
      </c>
      <c r="K5138" s="58"/>
      <c r="L5138" s="99"/>
      <c r="M5138" s="70" t="s">
        <v>4752</v>
      </c>
      <c r="N5138" s="97" t="s">
        <v>716</v>
      </c>
      <c r="O5138" s="58" t="s">
        <v>1566</v>
      </c>
      <c r="P5138" s="58" t="s">
        <v>28</v>
      </c>
      <c r="Q5138" s="58" t="s">
        <v>58</v>
      </c>
      <c r="R5138" s="58" t="s">
        <v>272</v>
      </c>
    </row>
    <row r="5139" spans="1:18" ht="69" customHeight="1">
      <c r="A5139" s="168"/>
      <c r="B5139" s="178">
        <v>2184</v>
      </c>
      <c r="C5139" s="178" t="s">
        <v>4277</v>
      </c>
      <c r="D5139" s="575" t="s">
        <v>12709</v>
      </c>
      <c r="E5139" s="178" t="s">
        <v>755</v>
      </c>
      <c r="F5139" s="210" t="s">
        <v>12710</v>
      </c>
      <c r="G5139" s="58" t="s">
        <v>3531</v>
      </c>
      <c r="H5139" s="546">
        <v>732334.12</v>
      </c>
      <c r="I5139" s="66">
        <v>45143</v>
      </c>
      <c r="J5139" s="411" t="s">
        <v>12711</v>
      </c>
      <c r="K5139" s="58"/>
      <c r="L5139" s="99"/>
      <c r="M5139" s="70" t="s">
        <v>4593</v>
      </c>
      <c r="N5139" s="97" t="s">
        <v>716</v>
      </c>
      <c r="O5139" s="58" t="s">
        <v>1566</v>
      </c>
      <c r="P5139" s="58" t="s">
        <v>28</v>
      </c>
      <c r="Q5139" s="58" t="s">
        <v>56</v>
      </c>
      <c r="R5139" s="58" t="s">
        <v>272</v>
      </c>
    </row>
    <row r="5140" spans="1:18" ht="69" customHeight="1">
      <c r="A5140" s="168"/>
      <c r="B5140" s="178">
        <v>2185</v>
      </c>
      <c r="C5140" s="178" t="s">
        <v>4277</v>
      </c>
      <c r="D5140" s="575" t="s">
        <v>12712</v>
      </c>
      <c r="E5140" s="178" t="s">
        <v>755</v>
      </c>
      <c r="F5140" s="210" t="s">
        <v>12713</v>
      </c>
      <c r="G5140" s="58" t="s">
        <v>3531</v>
      </c>
      <c r="H5140" s="546">
        <v>732334.12</v>
      </c>
      <c r="I5140" s="66">
        <v>45143</v>
      </c>
      <c r="J5140" s="411" t="s">
        <v>12714</v>
      </c>
      <c r="K5140" s="58"/>
      <c r="L5140" s="99"/>
      <c r="M5140" s="70" t="s">
        <v>4752</v>
      </c>
      <c r="N5140" s="97" t="s">
        <v>716</v>
      </c>
      <c r="O5140" s="58" t="s">
        <v>1566</v>
      </c>
      <c r="P5140" s="58" t="s">
        <v>28</v>
      </c>
      <c r="Q5140" s="58" t="s">
        <v>58</v>
      </c>
      <c r="R5140" s="58" t="s">
        <v>272</v>
      </c>
    </row>
    <row r="5141" spans="1:18" ht="69" customHeight="1">
      <c r="A5141" s="168"/>
      <c r="B5141" s="191">
        <v>2186</v>
      </c>
      <c r="C5141" s="191" t="s">
        <v>309</v>
      </c>
      <c r="D5141" s="533" t="s">
        <v>12715</v>
      </c>
      <c r="E5141" s="191" t="s">
        <v>1198</v>
      </c>
      <c r="F5141" s="211" t="s">
        <v>12716</v>
      </c>
      <c r="G5141" s="46" t="s">
        <v>12717</v>
      </c>
      <c r="H5141" s="534">
        <v>360.8</v>
      </c>
      <c r="I5141" s="56">
        <v>45132</v>
      </c>
      <c r="J5141" s="412" t="s">
        <v>12718</v>
      </c>
      <c r="K5141" s="46" t="s">
        <v>5103</v>
      </c>
      <c r="L5141" s="99"/>
      <c r="M5141" s="379"/>
      <c r="N5141" s="76" t="s">
        <v>414</v>
      </c>
      <c r="O5141" s="46"/>
      <c r="P5141" s="46" t="s">
        <v>65</v>
      </c>
      <c r="Q5141" s="46" t="s">
        <v>39</v>
      </c>
      <c r="R5141" s="46" t="s">
        <v>272</v>
      </c>
    </row>
    <row r="5142" spans="1:18" ht="69" customHeight="1">
      <c r="A5142" s="168"/>
      <c r="B5142" s="191">
        <v>2187</v>
      </c>
      <c r="C5142" s="191" t="s">
        <v>309</v>
      </c>
      <c r="D5142" s="533" t="s">
        <v>4676</v>
      </c>
      <c r="E5142" s="191" t="s">
        <v>1198</v>
      </c>
      <c r="F5142" s="211" t="s">
        <v>12719</v>
      </c>
      <c r="G5142" s="46" t="s">
        <v>12720</v>
      </c>
      <c r="H5142" s="534">
        <v>7585.67</v>
      </c>
      <c r="I5142" s="56">
        <v>45132</v>
      </c>
      <c r="J5142" s="412" t="s">
        <v>12721</v>
      </c>
      <c r="K5142" s="46" t="s">
        <v>5103</v>
      </c>
      <c r="L5142" s="99"/>
      <c r="M5142" s="379"/>
      <c r="N5142" s="76" t="s">
        <v>414</v>
      </c>
      <c r="O5142" s="46"/>
      <c r="P5142" s="46" t="s">
        <v>71</v>
      </c>
      <c r="Q5142" s="46" t="s">
        <v>31</v>
      </c>
      <c r="R5142" s="46" t="s">
        <v>272</v>
      </c>
    </row>
    <row r="5143" spans="1:18" ht="69" customHeight="1">
      <c r="A5143" s="168"/>
      <c r="B5143" s="191">
        <v>2188</v>
      </c>
      <c r="C5143" s="191" t="s">
        <v>309</v>
      </c>
      <c r="D5143" s="533" t="s">
        <v>4799</v>
      </c>
      <c r="E5143" s="191" t="s">
        <v>1198</v>
      </c>
      <c r="F5143" s="211" t="s">
        <v>12722</v>
      </c>
      <c r="G5143" s="46" t="s">
        <v>12720</v>
      </c>
      <c r="H5143" s="534">
        <v>7585.67</v>
      </c>
      <c r="I5143" s="56">
        <v>45132</v>
      </c>
      <c r="J5143" s="412" t="s">
        <v>12721</v>
      </c>
      <c r="K5143" s="46" t="s">
        <v>5103</v>
      </c>
      <c r="L5143" s="99"/>
      <c r="M5143" s="379"/>
      <c r="N5143" s="76" t="s">
        <v>414</v>
      </c>
      <c r="O5143" s="46"/>
      <c r="P5143" s="46" t="s">
        <v>71</v>
      </c>
      <c r="Q5143" s="46" t="s">
        <v>33</v>
      </c>
      <c r="R5143" s="46" t="s">
        <v>272</v>
      </c>
    </row>
    <row r="5144" spans="1:18" ht="69" customHeight="1">
      <c r="A5144" s="168"/>
      <c r="B5144" s="191">
        <v>2189</v>
      </c>
      <c r="C5144" s="191" t="s">
        <v>1853</v>
      </c>
      <c r="D5144" s="533" t="s">
        <v>5845</v>
      </c>
      <c r="E5144" s="191" t="s">
        <v>1198</v>
      </c>
      <c r="F5144" s="211" t="s">
        <v>12723</v>
      </c>
      <c r="G5144" s="46" t="s">
        <v>12720</v>
      </c>
      <c r="H5144" s="534">
        <v>7585.67</v>
      </c>
      <c r="I5144" s="56">
        <v>45132</v>
      </c>
      <c r="J5144" s="412" t="s">
        <v>12721</v>
      </c>
      <c r="K5144" s="46" t="s">
        <v>5103</v>
      </c>
      <c r="L5144" s="99"/>
      <c r="M5144" s="379"/>
      <c r="N5144" s="76" t="s">
        <v>414</v>
      </c>
      <c r="O5144" s="46"/>
      <c r="P5144" s="46" t="s">
        <v>71</v>
      </c>
      <c r="Q5144" s="46" t="s">
        <v>29</v>
      </c>
      <c r="R5144" s="46" t="s">
        <v>272</v>
      </c>
    </row>
    <row r="5145" spans="1:18" ht="69" customHeight="1">
      <c r="A5145" s="168"/>
      <c r="B5145" s="191">
        <v>2190</v>
      </c>
      <c r="C5145" s="191" t="s">
        <v>12631</v>
      </c>
      <c r="D5145" s="533" t="s">
        <v>12286</v>
      </c>
      <c r="E5145" s="191" t="s">
        <v>1198</v>
      </c>
      <c r="F5145" s="211" t="s">
        <v>12724</v>
      </c>
      <c r="G5145" s="46" t="s">
        <v>12720</v>
      </c>
      <c r="H5145" s="534">
        <v>7585.67</v>
      </c>
      <c r="I5145" s="56">
        <v>45132</v>
      </c>
      <c r="J5145" s="412" t="s">
        <v>12721</v>
      </c>
      <c r="K5145" s="46" t="s">
        <v>5103</v>
      </c>
      <c r="L5145" s="99"/>
      <c r="M5145" s="379"/>
      <c r="N5145" s="76" t="s">
        <v>414</v>
      </c>
      <c r="O5145" s="46"/>
      <c r="P5145" s="46" t="s">
        <v>71</v>
      </c>
      <c r="Q5145" s="46" t="s">
        <v>35</v>
      </c>
      <c r="R5145" s="46" t="s">
        <v>272</v>
      </c>
    </row>
    <row r="5146" spans="1:18" ht="69" customHeight="1">
      <c r="A5146" s="168"/>
      <c r="B5146" s="191">
        <v>2191</v>
      </c>
      <c r="C5146" s="191" t="s">
        <v>11052</v>
      </c>
      <c r="D5146" s="533" t="s">
        <v>5465</v>
      </c>
      <c r="E5146" s="191" t="s">
        <v>1198</v>
      </c>
      <c r="F5146" s="211" t="s">
        <v>12725</v>
      </c>
      <c r="G5146" s="46" t="s">
        <v>12720</v>
      </c>
      <c r="H5146" s="534">
        <v>7585.61</v>
      </c>
      <c r="I5146" s="56">
        <v>45132</v>
      </c>
      <c r="J5146" s="412" t="s">
        <v>12721</v>
      </c>
      <c r="K5146" s="46" t="s">
        <v>5103</v>
      </c>
      <c r="L5146" s="99"/>
      <c r="M5146" s="379"/>
      <c r="N5146" s="76" t="s">
        <v>414</v>
      </c>
      <c r="O5146" s="46"/>
      <c r="P5146" s="46" t="s">
        <v>71</v>
      </c>
      <c r="Q5146" s="46" t="s">
        <v>37</v>
      </c>
      <c r="R5146" s="46" t="s">
        <v>272</v>
      </c>
    </row>
    <row r="5147" spans="1:18" ht="69" customHeight="1">
      <c r="A5147" s="168"/>
      <c r="B5147" s="191">
        <v>2192</v>
      </c>
      <c r="C5147" s="191" t="s">
        <v>11058</v>
      </c>
      <c r="D5147" s="533" t="s">
        <v>4026</v>
      </c>
      <c r="E5147" s="191" t="s">
        <v>1198</v>
      </c>
      <c r="F5147" s="211" t="s">
        <v>12726</v>
      </c>
      <c r="G5147" s="46" t="s">
        <v>12720</v>
      </c>
      <c r="H5147" s="534">
        <v>20688.2</v>
      </c>
      <c r="I5147" s="56">
        <v>45132</v>
      </c>
      <c r="J5147" s="412" t="s">
        <v>12721</v>
      </c>
      <c r="K5147" s="46" t="s">
        <v>1170</v>
      </c>
      <c r="L5147" s="99"/>
      <c r="M5147" s="379"/>
      <c r="N5147" s="76" t="s">
        <v>414</v>
      </c>
      <c r="O5147" s="46" t="s">
        <v>1171</v>
      </c>
      <c r="P5147" s="46" t="s">
        <v>71</v>
      </c>
      <c r="Q5147" s="46" t="s">
        <v>23</v>
      </c>
      <c r="R5147" s="46" t="s">
        <v>272</v>
      </c>
    </row>
    <row r="5148" spans="1:18" ht="69" customHeight="1">
      <c r="A5148" s="168"/>
      <c r="B5148" s="191">
        <v>2193</v>
      </c>
      <c r="C5148" s="191" t="s">
        <v>309</v>
      </c>
      <c r="D5148" s="533" t="s">
        <v>5136</v>
      </c>
      <c r="E5148" s="191" t="s">
        <v>1198</v>
      </c>
      <c r="F5148" s="211" t="s">
        <v>12727</v>
      </c>
      <c r="G5148" s="46" t="s">
        <v>12720</v>
      </c>
      <c r="H5148" s="534">
        <v>20688.2</v>
      </c>
      <c r="I5148" s="56">
        <v>45132</v>
      </c>
      <c r="J5148" s="412" t="s">
        <v>12721</v>
      </c>
      <c r="K5148" s="46" t="s">
        <v>5103</v>
      </c>
      <c r="L5148" s="99"/>
      <c r="M5148" s="379"/>
      <c r="N5148" s="76" t="s">
        <v>414</v>
      </c>
      <c r="O5148" s="46"/>
      <c r="P5148" s="46" t="s">
        <v>71</v>
      </c>
      <c r="Q5148" s="46" t="s">
        <v>45</v>
      </c>
      <c r="R5148" s="46" t="s">
        <v>272</v>
      </c>
    </row>
    <row r="5149" spans="1:18" ht="69" customHeight="1">
      <c r="A5149" s="168"/>
      <c r="B5149" s="191">
        <v>2194</v>
      </c>
      <c r="C5149" s="191" t="s">
        <v>10856</v>
      </c>
      <c r="D5149" s="533" t="s">
        <v>12728</v>
      </c>
      <c r="E5149" s="191" t="s">
        <v>1198</v>
      </c>
      <c r="F5149" s="211" t="s">
        <v>12729</v>
      </c>
      <c r="G5149" s="46" t="s">
        <v>12720</v>
      </c>
      <c r="H5149" s="534">
        <v>20688.2</v>
      </c>
      <c r="I5149" s="56">
        <v>45132</v>
      </c>
      <c r="J5149" s="412" t="s">
        <v>12721</v>
      </c>
      <c r="K5149" s="46" t="s">
        <v>5103</v>
      </c>
      <c r="L5149" s="99"/>
      <c r="M5149" s="379"/>
      <c r="N5149" s="76" t="s">
        <v>414</v>
      </c>
      <c r="O5149" s="46"/>
      <c r="P5149" s="46" t="s">
        <v>71</v>
      </c>
      <c r="Q5149" s="46" t="s">
        <v>39</v>
      </c>
      <c r="R5149" s="46" t="s">
        <v>272</v>
      </c>
    </row>
    <row r="5150" spans="1:18" ht="69" customHeight="1">
      <c r="A5150" s="168"/>
      <c r="B5150" s="191">
        <v>2195</v>
      </c>
      <c r="C5150" s="191" t="s">
        <v>11042</v>
      </c>
      <c r="D5150" s="533" t="s">
        <v>12333</v>
      </c>
      <c r="E5150" s="191" t="s">
        <v>1198</v>
      </c>
      <c r="F5150" s="211" t="s">
        <v>12730</v>
      </c>
      <c r="G5150" s="46" t="s">
        <v>12720</v>
      </c>
      <c r="H5150" s="534">
        <v>20688.2</v>
      </c>
      <c r="I5150" s="56">
        <v>45132</v>
      </c>
      <c r="J5150" s="412" t="s">
        <v>12721</v>
      </c>
      <c r="K5150" s="46" t="s">
        <v>5103</v>
      </c>
      <c r="L5150" s="99"/>
      <c r="M5150" s="379"/>
      <c r="N5150" s="76" t="s">
        <v>414</v>
      </c>
      <c r="O5150" s="46"/>
      <c r="P5150" s="46" t="s">
        <v>71</v>
      </c>
      <c r="Q5150" s="46" t="s">
        <v>41</v>
      </c>
      <c r="R5150" s="46" t="s">
        <v>272</v>
      </c>
    </row>
    <row r="5151" spans="1:18" ht="69" customHeight="1">
      <c r="A5151" s="168"/>
      <c r="B5151" s="191">
        <v>2196</v>
      </c>
      <c r="C5151" s="191" t="s">
        <v>2182</v>
      </c>
      <c r="D5151" s="533" t="s">
        <v>12337</v>
      </c>
      <c r="E5151" s="191" t="s">
        <v>1198</v>
      </c>
      <c r="F5151" s="211" t="s">
        <v>12731</v>
      </c>
      <c r="G5151" s="46" t="s">
        <v>12732</v>
      </c>
      <c r="H5151" s="534">
        <v>10208</v>
      </c>
      <c r="I5151" s="56">
        <v>45132</v>
      </c>
      <c r="J5151" s="412" t="s">
        <v>12733</v>
      </c>
      <c r="K5151" s="46" t="s">
        <v>5103</v>
      </c>
      <c r="L5151" s="99"/>
      <c r="M5151" s="379"/>
      <c r="N5151" s="76" t="s">
        <v>414</v>
      </c>
      <c r="O5151" s="46"/>
      <c r="P5151" s="46" t="s">
        <v>65</v>
      </c>
      <c r="Q5151" s="46" t="s">
        <v>31</v>
      </c>
      <c r="R5151" s="46" t="s">
        <v>272</v>
      </c>
    </row>
    <row r="5152" spans="1:18" ht="69" customHeight="1">
      <c r="A5152" s="168"/>
      <c r="B5152" s="191">
        <v>2197</v>
      </c>
      <c r="C5152" s="191" t="s">
        <v>309</v>
      </c>
      <c r="D5152" s="533" t="s">
        <v>6577</v>
      </c>
      <c r="E5152" s="191" t="s">
        <v>1198</v>
      </c>
      <c r="F5152" s="211" t="s">
        <v>12734</v>
      </c>
      <c r="G5152" s="46" t="s">
        <v>12735</v>
      </c>
      <c r="H5152" s="534">
        <v>1100</v>
      </c>
      <c r="I5152" s="56">
        <v>45132</v>
      </c>
      <c r="J5152" s="412" t="s">
        <v>12736</v>
      </c>
      <c r="K5152" s="46" t="s">
        <v>5103</v>
      </c>
      <c r="L5152" s="99"/>
      <c r="M5152" s="379"/>
      <c r="N5152" s="76" t="s">
        <v>414</v>
      </c>
      <c r="O5152" s="46"/>
      <c r="P5152" s="46" t="s">
        <v>65</v>
      </c>
      <c r="Q5152" s="46" t="s">
        <v>41</v>
      </c>
      <c r="R5152" s="46" t="s">
        <v>272</v>
      </c>
    </row>
    <row r="5153" spans="1:18" ht="69" customHeight="1">
      <c r="A5153" s="168"/>
      <c r="B5153" s="191">
        <v>2198</v>
      </c>
      <c r="C5153" s="191" t="s">
        <v>309</v>
      </c>
      <c r="D5153" s="533" t="s">
        <v>12737</v>
      </c>
      <c r="E5153" s="191" t="s">
        <v>1198</v>
      </c>
      <c r="F5153" s="211" t="s">
        <v>12738</v>
      </c>
      <c r="G5153" s="46" t="s">
        <v>12735</v>
      </c>
      <c r="H5153" s="534">
        <v>2600</v>
      </c>
      <c r="I5153" s="56">
        <v>45132</v>
      </c>
      <c r="J5153" s="412" t="s">
        <v>12736</v>
      </c>
      <c r="K5153" s="46" t="s">
        <v>5103</v>
      </c>
      <c r="L5153" s="99"/>
      <c r="M5153" s="379"/>
      <c r="N5153" s="76" t="s">
        <v>414</v>
      </c>
      <c r="O5153" s="46"/>
      <c r="P5153" s="46" t="s">
        <v>65</v>
      </c>
      <c r="Q5153" s="46" t="s">
        <v>39</v>
      </c>
      <c r="R5153" s="46" t="s">
        <v>272</v>
      </c>
    </row>
    <row r="5154" spans="1:18" ht="69" customHeight="1">
      <c r="A5154" s="168"/>
      <c r="B5154" s="191">
        <v>2199</v>
      </c>
      <c r="C5154" s="191" t="s">
        <v>309</v>
      </c>
      <c r="D5154" s="533" t="s">
        <v>12739</v>
      </c>
      <c r="E5154" s="191" t="s">
        <v>1198</v>
      </c>
      <c r="F5154" s="211" t="s">
        <v>12740</v>
      </c>
      <c r="G5154" s="46" t="s">
        <v>12735</v>
      </c>
      <c r="H5154" s="534">
        <v>2900</v>
      </c>
      <c r="I5154" s="56">
        <v>45132</v>
      </c>
      <c r="J5154" s="412" t="s">
        <v>12736</v>
      </c>
      <c r="K5154" s="46" t="s">
        <v>12741</v>
      </c>
      <c r="L5154" s="99"/>
      <c r="M5154" s="379"/>
      <c r="N5154" s="76" t="s">
        <v>414</v>
      </c>
      <c r="O5154" s="46" t="s">
        <v>1253</v>
      </c>
      <c r="P5154" s="46" t="s">
        <v>65</v>
      </c>
      <c r="Q5154" s="46" t="s">
        <v>23</v>
      </c>
      <c r="R5154" s="46" t="s">
        <v>272</v>
      </c>
    </row>
    <row r="5155" spans="1:18" ht="69" customHeight="1">
      <c r="A5155" s="168"/>
      <c r="B5155" s="191">
        <v>2200</v>
      </c>
      <c r="C5155" s="191" t="s">
        <v>309</v>
      </c>
      <c r="D5155" s="533" t="s">
        <v>12742</v>
      </c>
      <c r="E5155" s="191" t="s">
        <v>1198</v>
      </c>
      <c r="F5155" s="211" t="s">
        <v>12743</v>
      </c>
      <c r="G5155" s="46" t="s">
        <v>12735</v>
      </c>
      <c r="H5155" s="534">
        <v>2900</v>
      </c>
      <c r="I5155" s="56">
        <v>45132</v>
      </c>
      <c r="J5155" s="412" t="s">
        <v>12744</v>
      </c>
      <c r="K5155" s="46" t="s">
        <v>5103</v>
      </c>
      <c r="L5155" s="99"/>
      <c r="M5155" s="379"/>
      <c r="N5155" s="76" t="s">
        <v>414</v>
      </c>
      <c r="O5155" s="46"/>
      <c r="P5155" s="46" t="s">
        <v>65</v>
      </c>
      <c r="Q5155" s="46" t="s">
        <v>37</v>
      </c>
      <c r="R5155" s="46" t="s">
        <v>272</v>
      </c>
    </row>
    <row r="5156" spans="1:18" ht="69" customHeight="1">
      <c r="A5156" s="168"/>
      <c r="B5156" s="191">
        <v>2201</v>
      </c>
      <c r="C5156" s="191" t="s">
        <v>309</v>
      </c>
      <c r="D5156" s="533" t="s">
        <v>12745</v>
      </c>
      <c r="E5156" s="191" t="s">
        <v>1198</v>
      </c>
      <c r="F5156" s="211" t="s">
        <v>12746</v>
      </c>
      <c r="G5156" s="46" t="s">
        <v>12735</v>
      </c>
      <c r="H5156" s="534">
        <v>1400</v>
      </c>
      <c r="I5156" s="56">
        <v>45132</v>
      </c>
      <c r="J5156" s="412" t="s">
        <v>12744</v>
      </c>
      <c r="K5156" s="46" t="s">
        <v>5103</v>
      </c>
      <c r="L5156" s="99"/>
      <c r="M5156" s="379"/>
      <c r="N5156" s="76" t="s">
        <v>414</v>
      </c>
      <c r="O5156" s="46" t="s">
        <v>1253</v>
      </c>
      <c r="P5156" s="46" t="s">
        <v>65</v>
      </c>
      <c r="Q5156" s="46" t="s">
        <v>33</v>
      </c>
      <c r="R5156" s="46" t="s">
        <v>272</v>
      </c>
    </row>
    <row r="5157" spans="1:18" ht="69" customHeight="1">
      <c r="A5157" s="168"/>
      <c r="B5157" s="191">
        <v>2202</v>
      </c>
      <c r="C5157" s="191" t="s">
        <v>309</v>
      </c>
      <c r="D5157" s="533" t="s">
        <v>12343</v>
      </c>
      <c r="E5157" s="191" t="s">
        <v>1198</v>
      </c>
      <c r="F5157" s="211" t="s">
        <v>12747</v>
      </c>
      <c r="G5157" s="46" t="s">
        <v>12735</v>
      </c>
      <c r="H5157" s="534">
        <v>2600</v>
      </c>
      <c r="I5157" s="56">
        <v>45132</v>
      </c>
      <c r="J5157" s="412" t="s">
        <v>12744</v>
      </c>
      <c r="K5157" s="46" t="s">
        <v>5103</v>
      </c>
      <c r="L5157" s="99"/>
      <c r="M5157" s="379"/>
      <c r="N5157" s="76" t="s">
        <v>414</v>
      </c>
      <c r="O5157" s="46"/>
      <c r="P5157" s="46" t="s">
        <v>65</v>
      </c>
      <c r="Q5157" s="46" t="s">
        <v>35</v>
      </c>
      <c r="R5157" s="46" t="s">
        <v>272</v>
      </c>
    </row>
    <row r="5158" spans="1:18" ht="69" customHeight="1">
      <c r="A5158" s="168"/>
      <c r="B5158" s="191">
        <v>2203</v>
      </c>
      <c r="C5158" s="191" t="s">
        <v>309</v>
      </c>
      <c r="D5158" s="533" t="s">
        <v>12346</v>
      </c>
      <c r="E5158" s="191" t="s">
        <v>1198</v>
      </c>
      <c r="F5158" s="211" t="s">
        <v>12748</v>
      </c>
      <c r="G5158" s="46" t="s">
        <v>12735</v>
      </c>
      <c r="H5158" s="534">
        <v>2900</v>
      </c>
      <c r="I5158" s="56">
        <v>45153</v>
      </c>
      <c r="J5158" s="412" t="s">
        <v>12744</v>
      </c>
      <c r="K5158" s="46" t="s">
        <v>5103</v>
      </c>
      <c r="L5158" s="99"/>
      <c r="M5158" s="379"/>
      <c r="N5158" s="76" t="s">
        <v>414</v>
      </c>
      <c r="O5158" s="46"/>
      <c r="P5158" s="46" t="s">
        <v>65</v>
      </c>
      <c r="Q5158" s="46" t="s">
        <v>37</v>
      </c>
      <c r="R5158" s="46" t="s">
        <v>272</v>
      </c>
    </row>
    <row r="5159" spans="1:18" ht="69" customHeight="1">
      <c r="A5159" s="168"/>
      <c r="B5159" s="207">
        <v>2204</v>
      </c>
      <c r="C5159" s="207" t="s">
        <v>10961</v>
      </c>
      <c r="D5159" s="301" t="s">
        <v>12749</v>
      </c>
      <c r="E5159" s="207" t="s">
        <v>266</v>
      </c>
      <c r="F5159" s="208" t="s">
        <v>12750</v>
      </c>
      <c r="G5159" s="160" t="s">
        <v>12751</v>
      </c>
      <c r="H5159" s="300">
        <v>2589.3000000000002</v>
      </c>
      <c r="I5159" s="209">
        <v>45127</v>
      </c>
      <c r="J5159" s="322" t="s">
        <v>12752</v>
      </c>
      <c r="K5159" s="160" t="s">
        <v>10804</v>
      </c>
      <c r="M5159" s="379"/>
      <c r="N5159" s="76"/>
      <c r="O5159" s="160"/>
      <c r="P5159" s="160" t="s">
        <v>67</v>
      </c>
      <c r="Q5159" s="160" t="s">
        <v>96</v>
      </c>
      <c r="R5159" s="160" t="s">
        <v>272</v>
      </c>
    </row>
    <row r="5160" spans="1:18" ht="69" customHeight="1">
      <c r="A5160" s="168"/>
      <c r="B5160" s="207">
        <v>2205</v>
      </c>
      <c r="C5160" s="207" t="s">
        <v>10961</v>
      </c>
      <c r="D5160" s="301" t="s">
        <v>12753</v>
      </c>
      <c r="E5160" s="207" t="s">
        <v>266</v>
      </c>
      <c r="F5160" s="208" t="s">
        <v>12754</v>
      </c>
      <c r="G5160" s="160" t="s">
        <v>12751</v>
      </c>
      <c r="H5160" s="300">
        <v>4920</v>
      </c>
      <c r="I5160" s="209">
        <v>45127</v>
      </c>
      <c r="J5160" s="322" t="s">
        <v>12752</v>
      </c>
      <c r="K5160" s="160" t="s">
        <v>10804</v>
      </c>
      <c r="M5160" s="379"/>
      <c r="N5160" s="76"/>
      <c r="O5160" s="160"/>
      <c r="P5160" s="160" t="s">
        <v>67</v>
      </c>
      <c r="Q5160" s="160" t="s">
        <v>96</v>
      </c>
      <c r="R5160" s="160" t="s">
        <v>272</v>
      </c>
    </row>
    <row r="5161" spans="1:18" ht="69" customHeight="1">
      <c r="A5161" s="168"/>
      <c r="B5161" s="191">
        <v>2206</v>
      </c>
      <c r="C5161" s="191" t="s">
        <v>309</v>
      </c>
      <c r="D5161" s="533" t="s">
        <v>12755</v>
      </c>
      <c r="E5161" s="191" t="s">
        <v>1198</v>
      </c>
      <c r="F5161" s="211" t="s">
        <v>12756</v>
      </c>
      <c r="G5161" s="46" t="s">
        <v>12757</v>
      </c>
      <c r="H5161" s="534">
        <v>13750</v>
      </c>
      <c r="I5161" s="56">
        <v>45143</v>
      </c>
      <c r="J5161" s="412" t="s">
        <v>12758</v>
      </c>
      <c r="K5161" s="46" t="s">
        <v>5103</v>
      </c>
      <c r="L5161" s="99"/>
      <c r="M5161" s="379"/>
      <c r="N5161" s="76" t="s">
        <v>414</v>
      </c>
      <c r="O5161" s="46"/>
      <c r="P5161" s="46" t="s">
        <v>65</v>
      </c>
      <c r="Q5161" s="46" t="s">
        <v>29</v>
      </c>
      <c r="R5161" s="46" t="s">
        <v>272</v>
      </c>
    </row>
    <row r="5162" spans="1:18" ht="69" customHeight="1">
      <c r="A5162" s="168"/>
      <c r="B5162" s="191">
        <v>2207</v>
      </c>
      <c r="C5162" s="191" t="s">
        <v>309</v>
      </c>
      <c r="D5162" s="533" t="s">
        <v>12348</v>
      </c>
      <c r="E5162" s="191" t="s">
        <v>1198</v>
      </c>
      <c r="F5162" s="211" t="s">
        <v>12759</v>
      </c>
      <c r="G5162" s="46" t="s">
        <v>12760</v>
      </c>
      <c r="H5162" s="534">
        <v>1210</v>
      </c>
      <c r="I5162" s="56">
        <v>45143</v>
      </c>
      <c r="J5162" s="412" t="s">
        <v>12761</v>
      </c>
      <c r="K5162" s="46" t="s">
        <v>5103</v>
      </c>
      <c r="L5162" s="99"/>
      <c r="M5162" s="379"/>
      <c r="N5162" s="76" t="s">
        <v>414</v>
      </c>
      <c r="O5162" s="46"/>
      <c r="P5162" s="46" t="s">
        <v>65</v>
      </c>
      <c r="Q5162" s="46" t="s">
        <v>29</v>
      </c>
      <c r="R5162" s="46" t="s">
        <v>272</v>
      </c>
    </row>
    <row r="5163" spans="1:18" ht="69" customHeight="1">
      <c r="A5163" s="168"/>
      <c r="B5163" s="191">
        <v>2208</v>
      </c>
      <c r="C5163" s="191" t="s">
        <v>309</v>
      </c>
      <c r="D5163" s="533" t="s">
        <v>12351</v>
      </c>
      <c r="E5163" s="191" t="s">
        <v>1198</v>
      </c>
      <c r="F5163" s="211" t="s">
        <v>12762</v>
      </c>
      <c r="G5163" s="46" t="s">
        <v>12760</v>
      </c>
      <c r="H5163" s="534">
        <v>1200</v>
      </c>
      <c r="I5163" s="56">
        <v>45143</v>
      </c>
      <c r="J5163" s="412" t="s">
        <v>12763</v>
      </c>
      <c r="K5163" s="46" t="s">
        <v>5103</v>
      </c>
      <c r="L5163" s="99"/>
      <c r="M5163" s="379"/>
      <c r="N5163" s="76" t="s">
        <v>414</v>
      </c>
      <c r="O5163" s="46"/>
      <c r="P5163" s="46" t="s">
        <v>65</v>
      </c>
      <c r="Q5163" s="46" t="s">
        <v>35</v>
      </c>
      <c r="R5163" s="46" t="s">
        <v>272</v>
      </c>
    </row>
    <row r="5164" spans="1:18" ht="69" customHeight="1">
      <c r="A5164" s="168"/>
      <c r="B5164" s="178">
        <v>2209</v>
      </c>
      <c r="C5164" s="178" t="s">
        <v>5558</v>
      </c>
      <c r="D5164" s="575" t="s">
        <v>12764</v>
      </c>
      <c r="E5164" s="178" t="s">
        <v>4033</v>
      </c>
      <c r="F5164" s="210" t="s">
        <v>12765</v>
      </c>
      <c r="G5164" s="58" t="s">
        <v>12766</v>
      </c>
      <c r="H5164" s="546">
        <v>247046.39999999999</v>
      </c>
      <c r="I5164" s="66">
        <v>45131</v>
      </c>
      <c r="J5164" s="411" t="s">
        <v>12767</v>
      </c>
      <c r="K5164" s="58"/>
      <c r="L5164" s="99"/>
      <c r="M5164" s="70" t="s">
        <v>5614</v>
      </c>
      <c r="N5164" s="97" t="s">
        <v>414</v>
      </c>
      <c r="O5164" s="58"/>
      <c r="P5164" s="58" t="s">
        <v>22</v>
      </c>
      <c r="Q5164" s="58" t="s">
        <v>64</v>
      </c>
      <c r="R5164" s="58" t="s">
        <v>272</v>
      </c>
    </row>
    <row r="5165" spans="1:18" ht="69" customHeight="1">
      <c r="A5165" s="168"/>
      <c r="B5165" s="178">
        <v>2210</v>
      </c>
      <c r="C5165" s="178" t="s">
        <v>5558</v>
      </c>
      <c r="D5165" s="575" t="s">
        <v>12768</v>
      </c>
      <c r="E5165" s="178" t="s">
        <v>7985</v>
      </c>
      <c r="F5165" s="210" t="s">
        <v>12769</v>
      </c>
      <c r="G5165" s="58" t="s">
        <v>12770</v>
      </c>
      <c r="H5165" s="546">
        <v>36885.93</v>
      </c>
      <c r="I5165" s="66">
        <v>45131</v>
      </c>
      <c r="J5165" s="411" t="s">
        <v>12771</v>
      </c>
      <c r="K5165" s="58"/>
      <c r="L5165" s="99"/>
      <c r="M5165" s="70" t="s">
        <v>11256</v>
      </c>
      <c r="N5165" s="97" t="s">
        <v>741</v>
      </c>
      <c r="O5165" s="45" t="s">
        <v>175</v>
      </c>
      <c r="P5165" s="58" t="s">
        <v>59</v>
      </c>
      <c r="Q5165" s="58" t="s">
        <v>64</v>
      </c>
      <c r="R5165" s="58" t="s">
        <v>272</v>
      </c>
    </row>
    <row r="5166" spans="1:18" ht="69" customHeight="1">
      <c r="A5166" s="168"/>
      <c r="B5166" s="178">
        <v>2211</v>
      </c>
      <c r="C5166" s="178" t="s">
        <v>1333</v>
      </c>
      <c r="D5166" s="575" t="s">
        <v>12355</v>
      </c>
      <c r="E5166" s="178" t="s">
        <v>755</v>
      </c>
      <c r="F5166" s="210" t="s">
        <v>12772</v>
      </c>
      <c r="G5166" s="58" t="s">
        <v>4521</v>
      </c>
      <c r="H5166" s="546">
        <v>701224.82</v>
      </c>
      <c r="I5166" s="66">
        <v>45143</v>
      </c>
      <c r="J5166" s="411" t="s">
        <v>12773</v>
      </c>
      <c r="K5166" s="58"/>
      <c r="L5166" s="99"/>
      <c r="M5166" s="70" t="s">
        <v>1328</v>
      </c>
      <c r="N5166" s="97" t="s">
        <v>716</v>
      </c>
      <c r="O5166" s="58"/>
      <c r="P5166" s="58" t="s">
        <v>28</v>
      </c>
      <c r="Q5166" s="58" t="s">
        <v>25</v>
      </c>
      <c r="R5166" s="58" t="s">
        <v>272</v>
      </c>
    </row>
    <row r="5167" spans="1:18" ht="69" customHeight="1">
      <c r="A5167" s="168"/>
      <c r="B5167" s="178">
        <v>2212</v>
      </c>
      <c r="C5167" s="178" t="s">
        <v>8529</v>
      </c>
      <c r="D5167" s="575" t="s">
        <v>5142</v>
      </c>
      <c r="E5167" s="178" t="s">
        <v>755</v>
      </c>
      <c r="F5167" s="210" t="s">
        <v>12774</v>
      </c>
      <c r="G5167" s="58" t="s">
        <v>12775</v>
      </c>
      <c r="H5167" s="546">
        <v>658490.48</v>
      </c>
      <c r="I5167" s="66">
        <v>45143</v>
      </c>
      <c r="J5167" s="411" t="s">
        <v>12776</v>
      </c>
      <c r="K5167" s="58"/>
      <c r="L5167" s="99"/>
      <c r="M5167" s="70" t="s">
        <v>8548</v>
      </c>
      <c r="N5167" s="97" t="s">
        <v>716</v>
      </c>
      <c r="O5167" s="58"/>
      <c r="P5167" s="58" t="s">
        <v>28</v>
      </c>
      <c r="Q5167" s="58" t="s">
        <v>108</v>
      </c>
      <c r="R5167" s="58" t="s">
        <v>272</v>
      </c>
    </row>
    <row r="5168" spans="1:18" ht="69" customHeight="1">
      <c r="A5168" s="168"/>
      <c r="B5168" s="207">
        <v>2213</v>
      </c>
      <c r="C5168" s="207" t="s">
        <v>458</v>
      </c>
      <c r="D5168" s="301" t="s">
        <v>4018</v>
      </c>
      <c r="E5168" s="207" t="s">
        <v>266</v>
      </c>
      <c r="F5168" s="208" t="s">
        <v>12777</v>
      </c>
      <c r="G5168" s="160" t="s">
        <v>12778</v>
      </c>
      <c r="H5168" s="300">
        <v>2376</v>
      </c>
      <c r="I5168" s="209">
        <v>45127</v>
      </c>
      <c r="J5168" s="322" t="s">
        <v>12779</v>
      </c>
      <c r="K5168" s="160" t="s">
        <v>4128</v>
      </c>
      <c r="M5168" s="379"/>
      <c r="N5168" s="76"/>
      <c r="O5168" s="160"/>
      <c r="P5168" s="160" t="s">
        <v>67</v>
      </c>
      <c r="Q5168" s="160" t="s">
        <v>107</v>
      </c>
      <c r="R5168" s="160" t="s">
        <v>272</v>
      </c>
    </row>
    <row r="5169" spans="1:18" ht="69" customHeight="1">
      <c r="A5169" s="168"/>
      <c r="B5169" s="207">
        <v>2214</v>
      </c>
      <c r="C5169" s="207" t="s">
        <v>458</v>
      </c>
      <c r="D5169" s="301" t="s">
        <v>4333</v>
      </c>
      <c r="E5169" s="207" t="s">
        <v>266</v>
      </c>
      <c r="F5169" s="208" t="s">
        <v>12780</v>
      </c>
      <c r="G5169" s="160" t="s">
        <v>12778</v>
      </c>
      <c r="H5169" s="300">
        <v>8552</v>
      </c>
      <c r="I5169" s="209">
        <v>45127</v>
      </c>
      <c r="J5169" s="322" t="s">
        <v>12779</v>
      </c>
      <c r="K5169" s="160" t="s">
        <v>4128</v>
      </c>
      <c r="M5169" s="379"/>
      <c r="N5169" s="76"/>
      <c r="O5169" s="160"/>
      <c r="P5169" s="160" t="s">
        <v>67</v>
      </c>
      <c r="Q5169" s="160" t="s">
        <v>107</v>
      </c>
      <c r="R5169" s="160" t="s">
        <v>272</v>
      </c>
    </row>
    <row r="5170" spans="1:18" ht="69" customHeight="1">
      <c r="A5170" s="168"/>
      <c r="B5170" s="207">
        <v>2215</v>
      </c>
      <c r="C5170" s="207" t="s">
        <v>458</v>
      </c>
      <c r="D5170" s="301" t="s">
        <v>4336</v>
      </c>
      <c r="E5170" s="207" t="s">
        <v>266</v>
      </c>
      <c r="F5170" s="208" t="s">
        <v>12781</v>
      </c>
      <c r="G5170" s="160" t="s">
        <v>12778</v>
      </c>
      <c r="H5170" s="300">
        <v>480</v>
      </c>
      <c r="I5170" s="209">
        <v>45127</v>
      </c>
      <c r="J5170" s="322" t="s">
        <v>12779</v>
      </c>
      <c r="K5170" s="160" t="s">
        <v>4128</v>
      </c>
      <c r="M5170" s="379"/>
      <c r="N5170" s="76"/>
      <c r="O5170" s="160"/>
      <c r="P5170" s="160" t="s">
        <v>67</v>
      </c>
      <c r="Q5170" s="160" t="s">
        <v>100</v>
      </c>
      <c r="R5170" s="160" t="s">
        <v>272</v>
      </c>
    </row>
    <row r="5171" spans="1:18" ht="69" customHeight="1">
      <c r="A5171" s="168"/>
      <c r="B5171" s="178">
        <v>2216</v>
      </c>
      <c r="C5171" s="178" t="s">
        <v>1853</v>
      </c>
      <c r="D5171" s="575" t="s">
        <v>6587</v>
      </c>
      <c r="E5171" s="178" t="s">
        <v>4033</v>
      </c>
      <c r="F5171" s="210" t="s">
        <v>12782</v>
      </c>
      <c r="G5171" s="58" t="s">
        <v>12783</v>
      </c>
      <c r="H5171" s="546">
        <v>337575</v>
      </c>
      <c r="I5171" s="66">
        <v>45131</v>
      </c>
      <c r="J5171" s="411" t="s">
        <v>12784</v>
      </c>
      <c r="K5171" s="58"/>
      <c r="L5171" s="99"/>
      <c r="M5171" s="70" t="s">
        <v>12785</v>
      </c>
      <c r="N5171" s="97" t="s">
        <v>6197</v>
      </c>
      <c r="O5171" s="58"/>
      <c r="P5171" s="58" t="s">
        <v>22</v>
      </c>
      <c r="Q5171" s="58" t="s">
        <v>29</v>
      </c>
      <c r="R5171" s="58" t="s">
        <v>272</v>
      </c>
    </row>
    <row r="5172" spans="1:18" ht="69" customHeight="1">
      <c r="A5172" s="168"/>
      <c r="B5172" s="178">
        <v>2217</v>
      </c>
      <c r="C5172" s="178" t="s">
        <v>2182</v>
      </c>
      <c r="D5172" s="575" t="s">
        <v>12376</v>
      </c>
      <c r="E5172" s="178" t="s">
        <v>4033</v>
      </c>
      <c r="F5172" s="210" t="s">
        <v>12786</v>
      </c>
      <c r="G5172" s="58" t="s">
        <v>12783</v>
      </c>
      <c r="H5172" s="546">
        <v>431145</v>
      </c>
      <c r="I5172" s="66">
        <v>45131</v>
      </c>
      <c r="J5172" s="411" t="s">
        <v>12784</v>
      </c>
      <c r="K5172" s="58"/>
      <c r="L5172" s="99"/>
      <c r="M5172" s="70" t="s">
        <v>12787</v>
      </c>
      <c r="N5172" s="97" t="s">
        <v>6197</v>
      </c>
      <c r="O5172" s="58" t="s">
        <v>441</v>
      </c>
      <c r="P5172" s="58" t="s">
        <v>22</v>
      </c>
      <c r="Q5172" s="58" t="s">
        <v>31</v>
      </c>
      <c r="R5172" s="58" t="s">
        <v>272</v>
      </c>
    </row>
    <row r="5173" spans="1:18" ht="69" customHeight="1">
      <c r="A5173" s="168"/>
      <c r="B5173" s="178">
        <v>2218</v>
      </c>
      <c r="C5173" s="178" t="s">
        <v>11047</v>
      </c>
      <c r="D5173" s="575" t="s">
        <v>12384</v>
      </c>
      <c r="E5173" s="178" t="s">
        <v>4033</v>
      </c>
      <c r="F5173" s="210" t="s">
        <v>12788</v>
      </c>
      <c r="G5173" s="58" t="s">
        <v>12783</v>
      </c>
      <c r="H5173" s="546">
        <v>371100</v>
      </c>
      <c r="I5173" s="66">
        <v>45131</v>
      </c>
      <c r="J5173" s="411" t="s">
        <v>12784</v>
      </c>
      <c r="K5173" s="58"/>
      <c r="L5173" s="99"/>
      <c r="M5173" s="70" t="s">
        <v>12789</v>
      </c>
      <c r="N5173" s="97" t="s">
        <v>6197</v>
      </c>
      <c r="O5173" s="58"/>
      <c r="P5173" s="58" t="s">
        <v>22</v>
      </c>
      <c r="Q5173" s="58" t="s">
        <v>33</v>
      </c>
      <c r="R5173" s="58" t="s">
        <v>272</v>
      </c>
    </row>
    <row r="5174" spans="1:18" ht="69" customHeight="1">
      <c r="A5174" s="168"/>
      <c r="B5174" s="178">
        <v>2219</v>
      </c>
      <c r="C5174" s="178" t="s">
        <v>11050</v>
      </c>
      <c r="D5174" s="575" t="s">
        <v>12392</v>
      </c>
      <c r="E5174" s="178" t="s">
        <v>4033</v>
      </c>
      <c r="F5174" s="210" t="s">
        <v>12790</v>
      </c>
      <c r="G5174" s="58" t="s">
        <v>12783</v>
      </c>
      <c r="H5174" s="546">
        <v>200736</v>
      </c>
      <c r="I5174" s="66">
        <v>45131</v>
      </c>
      <c r="J5174" s="411" t="s">
        <v>12784</v>
      </c>
      <c r="K5174" s="58"/>
      <c r="L5174" s="99"/>
      <c r="M5174" s="70" t="s">
        <v>12791</v>
      </c>
      <c r="N5174" s="97" t="s">
        <v>6197</v>
      </c>
      <c r="O5174" s="58"/>
      <c r="P5174" s="58" t="s">
        <v>22</v>
      </c>
      <c r="Q5174" s="58" t="s">
        <v>35</v>
      </c>
      <c r="R5174" s="58" t="s">
        <v>272</v>
      </c>
    </row>
    <row r="5175" spans="1:18" ht="69" customHeight="1">
      <c r="A5175" s="168"/>
      <c r="B5175" s="178">
        <v>2220</v>
      </c>
      <c r="C5175" s="178" t="s">
        <v>11052</v>
      </c>
      <c r="D5175" s="575" t="s">
        <v>12396</v>
      </c>
      <c r="E5175" s="178" t="s">
        <v>4033</v>
      </c>
      <c r="F5175" s="210" t="s">
        <v>12792</v>
      </c>
      <c r="G5175" s="58" t="s">
        <v>12783</v>
      </c>
      <c r="H5175" s="546">
        <v>202952.46</v>
      </c>
      <c r="I5175" s="66">
        <v>45131</v>
      </c>
      <c r="J5175" s="411" t="s">
        <v>12784</v>
      </c>
      <c r="K5175" s="58"/>
      <c r="L5175" s="99"/>
      <c r="M5175" s="70" t="s">
        <v>12793</v>
      </c>
      <c r="N5175" s="97" t="s">
        <v>12491</v>
      </c>
      <c r="O5175" s="58"/>
      <c r="P5175" s="58" t="s">
        <v>22</v>
      </c>
      <c r="Q5175" s="58" t="s">
        <v>37</v>
      </c>
      <c r="R5175" s="58" t="s">
        <v>272</v>
      </c>
    </row>
    <row r="5176" spans="1:18" ht="69" customHeight="1">
      <c r="A5176" s="168"/>
      <c r="B5176" s="178">
        <v>2221</v>
      </c>
      <c r="C5176" s="178" t="s">
        <v>11050</v>
      </c>
      <c r="D5176" s="575" t="s">
        <v>4682</v>
      </c>
      <c r="E5176" s="178" t="s">
        <v>4173</v>
      </c>
      <c r="F5176" s="210" t="s">
        <v>12794</v>
      </c>
      <c r="G5176" s="58" t="s">
        <v>12795</v>
      </c>
      <c r="H5176" s="546">
        <v>25000</v>
      </c>
      <c r="I5176" s="66">
        <v>45143</v>
      </c>
      <c r="J5176" s="411" t="s">
        <v>12796</v>
      </c>
      <c r="K5176" s="58"/>
      <c r="L5176" s="99"/>
      <c r="M5176" s="70" t="s">
        <v>12635</v>
      </c>
      <c r="N5176" s="97" t="s">
        <v>6197</v>
      </c>
      <c r="O5176" s="58"/>
      <c r="P5176" s="58" t="s">
        <v>22</v>
      </c>
      <c r="Q5176" s="58" t="s">
        <v>35</v>
      </c>
      <c r="R5176" s="58" t="s">
        <v>265</v>
      </c>
    </row>
    <row r="5177" spans="1:18" ht="69" customHeight="1">
      <c r="A5177" s="168"/>
      <c r="B5177" s="207">
        <v>2222</v>
      </c>
      <c r="C5177" s="207" t="s">
        <v>458</v>
      </c>
      <c r="D5177" s="301" t="s">
        <v>5145</v>
      </c>
      <c r="E5177" s="207" t="s">
        <v>266</v>
      </c>
      <c r="F5177" s="208" t="s">
        <v>12797</v>
      </c>
      <c r="G5177" s="160" t="s">
        <v>12778</v>
      </c>
      <c r="H5177" s="300">
        <v>10502</v>
      </c>
      <c r="I5177" s="209">
        <v>45127</v>
      </c>
      <c r="J5177" s="322" t="s">
        <v>12798</v>
      </c>
      <c r="K5177" s="160" t="s">
        <v>4128</v>
      </c>
      <c r="M5177" s="379"/>
      <c r="N5177" s="76" t="s">
        <v>414</v>
      </c>
      <c r="O5177" s="160"/>
      <c r="P5177" s="160" t="s">
        <v>67</v>
      </c>
      <c r="Q5177" s="160" t="s">
        <v>103</v>
      </c>
      <c r="R5177" s="160" t="s">
        <v>272</v>
      </c>
    </row>
    <row r="5178" spans="1:18" ht="69" customHeight="1">
      <c r="A5178" s="168"/>
      <c r="B5178" s="191">
        <v>2223</v>
      </c>
      <c r="C5178" s="191" t="s">
        <v>458</v>
      </c>
      <c r="D5178" s="533" t="s">
        <v>5478</v>
      </c>
      <c r="E5178" s="191" t="s">
        <v>10662</v>
      </c>
      <c r="F5178" s="211" t="s">
        <v>12799</v>
      </c>
      <c r="G5178" s="46" t="s">
        <v>12800</v>
      </c>
      <c r="H5178" s="534">
        <v>10828.08</v>
      </c>
      <c r="I5178" s="56">
        <v>45143</v>
      </c>
      <c r="J5178" s="412" t="s">
        <v>12801</v>
      </c>
      <c r="K5178" s="46" t="s">
        <v>167</v>
      </c>
      <c r="L5178" s="99"/>
      <c r="M5178" s="379"/>
      <c r="N5178" s="76"/>
      <c r="O5178" s="46" t="s">
        <v>141</v>
      </c>
      <c r="P5178" s="46" t="s">
        <v>65</v>
      </c>
      <c r="Q5178" s="46" t="s">
        <v>123</v>
      </c>
      <c r="R5178" s="46" t="s">
        <v>272</v>
      </c>
    </row>
    <row r="5179" spans="1:18" ht="69" customHeight="1">
      <c r="A5179" s="168"/>
      <c r="B5179" s="178">
        <v>2324</v>
      </c>
      <c r="C5179" s="178" t="s">
        <v>10621</v>
      </c>
      <c r="D5179" s="575" t="s">
        <v>12802</v>
      </c>
      <c r="E5179" s="178" t="s">
        <v>266</v>
      </c>
      <c r="F5179" s="210" t="s">
        <v>12803</v>
      </c>
      <c r="G5179" s="58" t="s">
        <v>12804</v>
      </c>
      <c r="H5179" s="546">
        <v>103.35</v>
      </c>
      <c r="I5179" s="66">
        <v>45143</v>
      </c>
      <c r="J5179" s="411" t="s">
        <v>12805</v>
      </c>
      <c r="K5179" s="58"/>
      <c r="L5179" s="99"/>
      <c r="M5179" s="70" t="s">
        <v>5674</v>
      </c>
      <c r="N5179" s="97" t="s">
        <v>270</v>
      </c>
      <c r="O5179" s="58"/>
      <c r="P5179" s="58" t="s">
        <v>44</v>
      </c>
      <c r="Q5179" s="58" t="s">
        <v>66</v>
      </c>
      <c r="R5179" s="58" t="s">
        <v>272</v>
      </c>
    </row>
    <row r="5180" spans="1:18" ht="69" customHeight="1">
      <c r="A5180" s="168"/>
      <c r="B5180" s="178">
        <v>2325</v>
      </c>
      <c r="C5180" s="178" t="s">
        <v>1853</v>
      </c>
      <c r="D5180" s="575" t="s">
        <v>4686</v>
      </c>
      <c r="E5180" s="178" t="s">
        <v>4173</v>
      </c>
      <c r="F5180" s="210" t="s">
        <v>12806</v>
      </c>
      <c r="G5180" s="58" t="s">
        <v>12807</v>
      </c>
      <c r="H5180" s="546">
        <v>45459.6</v>
      </c>
      <c r="I5180" s="66">
        <v>45143</v>
      </c>
      <c r="J5180" s="411" t="s">
        <v>12808</v>
      </c>
      <c r="K5180" s="58"/>
      <c r="L5180" s="99"/>
      <c r="M5180" s="70" t="s">
        <v>12644</v>
      </c>
      <c r="N5180" s="97" t="s">
        <v>6197</v>
      </c>
      <c r="O5180" s="58"/>
      <c r="P5180" s="58" t="s">
        <v>22</v>
      </c>
      <c r="Q5180" s="58" t="s">
        <v>29</v>
      </c>
      <c r="R5180" s="58" t="s">
        <v>265</v>
      </c>
    </row>
    <row r="5181" spans="1:18" ht="69" customHeight="1">
      <c r="A5181" s="168"/>
      <c r="B5181" s="178">
        <v>2326</v>
      </c>
      <c r="C5181" s="178" t="s">
        <v>2182</v>
      </c>
      <c r="D5181" s="575" t="s">
        <v>4803</v>
      </c>
      <c r="E5181" s="178" t="s">
        <v>4173</v>
      </c>
      <c r="F5181" s="210" t="s">
        <v>12809</v>
      </c>
      <c r="G5181" s="58" t="s">
        <v>12807</v>
      </c>
      <c r="H5181" s="546">
        <v>45459.6</v>
      </c>
      <c r="I5181" s="66">
        <v>45143</v>
      </c>
      <c r="J5181" s="411" t="s">
        <v>12808</v>
      </c>
      <c r="K5181" s="58"/>
      <c r="L5181" s="99"/>
      <c r="M5181" s="70" t="s">
        <v>12810</v>
      </c>
      <c r="N5181" s="97" t="s">
        <v>6197</v>
      </c>
      <c r="O5181" s="58" t="s">
        <v>441</v>
      </c>
      <c r="P5181" s="58" t="s">
        <v>22</v>
      </c>
      <c r="Q5181" s="58" t="s">
        <v>31</v>
      </c>
      <c r="R5181" s="58" t="s">
        <v>265</v>
      </c>
    </row>
    <row r="5182" spans="1:18" ht="69" customHeight="1">
      <c r="A5182" s="168"/>
      <c r="B5182" s="178">
        <v>2327</v>
      </c>
      <c r="C5182" s="178" t="s">
        <v>11047</v>
      </c>
      <c r="D5182" s="575" t="s">
        <v>12811</v>
      </c>
      <c r="E5182" s="178" t="s">
        <v>4173</v>
      </c>
      <c r="F5182" s="210" t="s">
        <v>12812</v>
      </c>
      <c r="G5182" s="58" t="s">
        <v>12807</v>
      </c>
      <c r="H5182" s="546">
        <v>45459.6</v>
      </c>
      <c r="I5182" s="66">
        <v>45143</v>
      </c>
      <c r="J5182" s="411" t="s">
        <v>12808</v>
      </c>
      <c r="K5182" s="58"/>
      <c r="L5182" s="99"/>
      <c r="M5182" s="70" t="s">
        <v>12813</v>
      </c>
      <c r="N5182" s="97" t="s">
        <v>6197</v>
      </c>
      <c r="O5182" s="58"/>
      <c r="P5182" s="58" t="s">
        <v>22</v>
      </c>
      <c r="Q5182" s="58" t="s">
        <v>33</v>
      </c>
      <c r="R5182" s="58" t="s">
        <v>265</v>
      </c>
    </row>
    <row r="5183" spans="1:18" ht="69" customHeight="1">
      <c r="A5183" s="168"/>
      <c r="B5183" s="178">
        <v>2328</v>
      </c>
      <c r="C5183" s="178" t="s">
        <v>11050</v>
      </c>
      <c r="D5183" s="575" t="s">
        <v>12454</v>
      </c>
      <c r="E5183" s="178" t="s">
        <v>4173</v>
      </c>
      <c r="F5183" s="210" t="s">
        <v>12814</v>
      </c>
      <c r="G5183" s="58" t="s">
        <v>12807</v>
      </c>
      <c r="H5183" s="546">
        <v>45459.6</v>
      </c>
      <c r="I5183" s="66">
        <v>45143</v>
      </c>
      <c r="J5183" s="411" t="s">
        <v>12808</v>
      </c>
      <c r="K5183" s="58"/>
      <c r="L5183" s="99"/>
      <c r="M5183" s="70" t="s">
        <v>12635</v>
      </c>
      <c r="N5183" s="97" t="s">
        <v>6197</v>
      </c>
      <c r="O5183" s="58"/>
      <c r="P5183" s="58" t="s">
        <v>22</v>
      </c>
      <c r="Q5183" s="58" t="s">
        <v>35</v>
      </c>
      <c r="R5183" s="58" t="s">
        <v>265</v>
      </c>
    </row>
    <row r="5184" spans="1:18" ht="69" customHeight="1">
      <c r="A5184" s="168"/>
      <c r="B5184" s="178">
        <v>2329</v>
      </c>
      <c r="C5184" s="178" t="s">
        <v>11052</v>
      </c>
      <c r="D5184" s="575" t="s">
        <v>12472</v>
      </c>
      <c r="E5184" s="178" t="s">
        <v>4173</v>
      </c>
      <c r="F5184" s="210" t="s">
        <v>12815</v>
      </c>
      <c r="G5184" s="58" t="s">
        <v>12807</v>
      </c>
      <c r="H5184" s="546">
        <v>45459.6</v>
      </c>
      <c r="I5184" s="66">
        <v>45143</v>
      </c>
      <c r="J5184" s="411" t="s">
        <v>12808</v>
      </c>
      <c r="K5184" s="58"/>
      <c r="L5184" s="99"/>
      <c r="M5184" s="70" t="s">
        <v>12642</v>
      </c>
      <c r="N5184" s="97" t="s">
        <v>12491</v>
      </c>
      <c r="O5184" s="58"/>
      <c r="P5184" s="58" t="s">
        <v>22</v>
      </c>
      <c r="Q5184" s="58" t="s">
        <v>37</v>
      </c>
      <c r="R5184" s="58" t="s">
        <v>265</v>
      </c>
    </row>
    <row r="5185" spans="1:18" ht="69" customHeight="1">
      <c r="A5185" s="168"/>
      <c r="B5185" s="178">
        <v>2330</v>
      </c>
      <c r="C5185" s="178" t="s">
        <v>1853</v>
      </c>
      <c r="D5185" s="575" t="s">
        <v>4336</v>
      </c>
      <c r="E5185" s="178" t="s">
        <v>4173</v>
      </c>
      <c r="F5185" s="210" t="s">
        <v>12816</v>
      </c>
      <c r="G5185" s="58" t="s">
        <v>12817</v>
      </c>
      <c r="H5185" s="546">
        <v>32158.33</v>
      </c>
      <c r="I5185" s="66">
        <v>45143</v>
      </c>
      <c r="J5185" s="411" t="s">
        <v>12818</v>
      </c>
      <c r="K5185" s="58"/>
      <c r="L5185" s="99"/>
      <c r="M5185" s="70" t="s">
        <v>12644</v>
      </c>
      <c r="N5185" s="97" t="s">
        <v>6197</v>
      </c>
      <c r="O5185" s="58"/>
      <c r="P5185" s="58" t="s">
        <v>22</v>
      </c>
      <c r="Q5185" s="58" t="s">
        <v>29</v>
      </c>
      <c r="R5185" s="58" t="s">
        <v>265</v>
      </c>
    </row>
    <row r="5186" spans="1:18" ht="69" customHeight="1">
      <c r="A5186" s="168"/>
      <c r="B5186" s="178">
        <v>2331</v>
      </c>
      <c r="C5186" s="178" t="s">
        <v>11047</v>
      </c>
      <c r="D5186" s="575" t="s">
        <v>5142</v>
      </c>
      <c r="E5186" s="178" t="s">
        <v>4173</v>
      </c>
      <c r="F5186" s="210" t="s">
        <v>12819</v>
      </c>
      <c r="G5186" s="58" t="s">
        <v>12817</v>
      </c>
      <c r="H5186" s="546">
        <v>32158.33</v>
      </c>
      <c r="I5186" s="66">
        <v>45143</v>
      </c>
      <c r="J5186" s="411" t="s">
        <v>12818</v>
      </c>
      <c r="K5186" s="58"/>
      <c r="L5186" s="99"/>
      <c r="M5186" s="70" t="s">
        <v>12813</v>
      </c>
      <c r="N5186" s="97" t="s">
        <v>6197</v>
      </c>
      <c r="O5186" s="58"/>
      <c r="P5186" s="58" t="s">
        <v>22</v>
      </c>
      <c r="Q5186" s="58" t="s">
        <v>33</v>
      </c>
      <c r="R5186" s="58" t="s">
        <v>265</v>
      </c>
    </row>
    <row r="5187" spans="1:18" ht="69" customHeight="1">
      <c r="A5187" s="168"/>
      <c r="B5187" s="178">
        <v>2332</v>
      </c>
      <c r="C5187" s="178" t="s">
        <v>2182</v>
      </c>
      <c r="D5187" s="575" t="s">
        <v>5145</v>
      </c>
      <c r="E5187" s="178" t="s">
        <v>4173</v>
      </c>
      <c r="F5187" s="210" t="s">
        <v>12820</v>
      </c>
      <c r="G5187" s="58" t="s">
        <v>12817</v>
      </c>
      <c r="H5187" s="546">
        <v>32158.33</v>
      </c>
      <c r="I5187" s="66">
        <v>45143</v>
      </c>
      <c r="J5187" s="411" t="s">
        <v>12818</v>
      </c>
      <c r="K5187" s="58"/>
      <c r="L5187" s="99"/>
      <c r="M5187" s="70" t="s">
        <v>12810</v>
      </c>
      <c r="N5187" s="97" t="s">
        <v>6197</v>
      </c>
      <c r="O5187" s="58" t="s">
        <v>441</v>
      </c>
      <c r="P5187" s="58" t="s">
        <v>22</v>
      </c>
      <c r="Q5187" s="58" t="s">
        <v>31</v>
      </c>
      <c r="R5187" s="58" t="s">
        <v>265</v>
      </c>
    </row>
    <row r="5188" spans="1:18" ht="69" customHeight="1">
      <c r="A5188" s="168"/>
      <c r="B5188" s="178">
        <v>2333</v>
      </c>
      <c r="C5188" s="178" t="s">
        <v>2182</v>
      </c>
      <c r="D5188" s="575" t="s">
        <v>12821</v>
      </c>
      <c r="E5188" s="178" t="s">
        <v>4173</v>
      </c>
      <c r="F5188" s="210" t="s">
        <v>12822</v>
      </c>
      <c r="G5188" s="58" t="s">
        <v>12823</v>
      </c>
      <c r="H5188" s="546">
        <v>27398.91</v>
      </c>
      <c r="I5188" s="66">
        <v>45143</v>
      </c>
      <c r="J5188" s="411" t="s">
        <v>12824</v>
      </c>
      <c r="K5188" s="58"/>
      <c r="L5188" s="99"/>
      <c r="M5188" s="70" t="s">
        <v>12810</v>
      </c>
      <c r="N5188" s="97" t="s">
        <v>6197</v>
      </c>
      <c r="O5188" s="58" t="s">
        <v>441</v>
      </c>
      <c r="P5188" s="58" t="s">
        <v>22</v>
      </c>
      <c r="Q5188" s="58" t="s">
        <v>31</v>
      </c>
      <c r="R5188" s="58" t="s">
        <v>265</v>
      </c>
    </row>
    <row r="5189" spans="1:18" ht="69" customHeight="1">
      <c r="A5189" s="168"/>
      <c r="B5189" s="178">
        <v>2334</v>
      </c>
      <c r="C5189" s="178" t="s">
        <v>11047</v>
      </c>
      <c r="D5189" s="575" t="s">
        <v>5856</v>
      </c>
      <c r="E5189" s="178" t="s">
        <v>4173</v>
      </c>
      <c r="F5189" s="210" t="s">
        <v>12825</v>
      </c>
      <c r="G5189" s="58" t="s">
        <v>12823</v>
      </c>
      <c r="H5189" s="546">
        <v>25574.51</v>
      </c>
      <c r="I5189" s="66">
        <v>45143</v>
      </c>
      <c r="J5189" s="411" t="s">
        <v>12824</v>
      </c>
      <c r="K5189" s="58"/>
      <c r="L5189" s="99"/>
      <c r="M5189" s="70" t="s">
        <v>12813</v>
      </c>
      <c r="N5189" s="97" t="s">
        <v>6197</v>
      </c>
      <c r="O5189" s="58"/>
      <c r="P5189" s="58" t="s">
        <v>22</v>
      </c>
      <c r="Q5189" s="58" t="s">
        <v>33</v>
      </c>
      <c r="R5189" s="58" t="s">
        <v>265</v>
      </c>
    </row>
    <row r="5190" spans="1:18" ht="69" customHeight="1">
      <c r="A5190" s="168"/>
      <c r="B5190" s="191">
        <v>2335</v>
      </c>
      <c r="C5190" s="191" t="s">
        <v>3667</v>
      </c>
      <c r="D5190" s="533" t="s">
        <v>12826</v>
      </c>
      <c r="E5190" s="191" t="s">
        <v>266</v>
      </c>
      <c r="F5190" s="211" t="s">
        <v>12827</v>
      </c>
      <c r="G5190" s="46" t="s">
        <v>12828</v>
      </c>
      <c r="H5190" s="534">
        <v>12300</v>
      </c>
      <c r="I5190" s="56">
        <v>45143</v>
      </c>
      <c r="J5190" s="412" t="s">
        <v>12829</v>
      </c>
      <c r="K5190" s="46" t="s">
        <v>167</v>
      </c>
      <c r="L5190" s="99"/>
      <c r="M5190" s="379"/>
      <c r="N5190" s="76" t="s">
        <v>6197</v>
      </c>
      <c r="O5190" s="46"/>
      <c r="P5190" s="46" t="s">
        <v>65</v>
      </c>
      <c r="Q5190" s="46" t="s">
        <v>72</v>
      </c>
      <c r="R5190" s="46" t="s">
        <v>272</v>
      </c>
    </row>
    <row r="5191" spans="1:18" ht="69" customHeight="1">
      <c r="A5191" s="168"/>
      <c r="B5191" s="191">
        <v>2336</v>
      </c>
      <c r="C5191" s="191" t="s">
        <v>3667</v>
      </c>
      <c r="D5191" s="533" t="s">
        <v>12830</v>
      </c>
      <c r="E5191" s="191" t="s">
        <v>266</v>
      </c>
      <c r="F5191" s="211" t="s">
        <v>12831</v>
      </c>
      <c r="G5191" s="46" t="s">
        <v>12832</v>
      </c>
      <c r="H5191" s="534">
        <v>38736</v>
      </c>
      <c r="I5191" s="56">
        <v>45143</v>
      </c>
      <c r="J5191" s="412" t="s">
        <v>12833</v>
      </c>
      <c r="K5191" s="46" t="s">
        <v>167</v>
      </c>
      <c r="L5191" s="99"/>
      <c r="M5191" s="379"/>
      <c r="N5191" s="76" t="s">
        <v>6197</v>
      </c>
      <c r="O5191" s="46"/>
      <c r="P5191" s="46" t="s">
        <v>65</v>
      </c>
      <c r="Q5191" s="46" t="s">
        <v>78</v>
      </c>
      <c r="R5191" s="46" t="s">
        <v>272</v>
      </c>
    </row>
    <row r="5192" spans="1:18" ht="69" customHeight="1">
      <c r="A5192" s="168"/>
      <c r="B5192" s="178">
        <v>2337</v>
      </c>
      <c r="C5192" s="178" t="s">
        <v>458</v>
      </c>
      <c r="D5192" s="575" t="s">
        <v>3949</v>
      </c>
      <c r="E5192" s="178" t="s">
        <v>7890</v>
      </c>
      <c r="F5192" s="210" t="s">
        <v>12834</v>
      </c>
      <c r="G5192" s="58" t="s">
        <v>12835</v>
      </c>
      <c r="H5192" s="546">
        <v>37436</v>
      </c>
      <c r="I5192" s="66">
        <v>45143</v>
      </c>
      <c r="J5192" s="411" t="s">
        <v>12836</v>
      </c>
      <c r="K5192" s="58"/>
      <c r="L5192" s="99"/>
      <c r="M5192" s="70" t="s">
        <v>7696</v>
      </c>
      <c r="N5192" s="97" t="s">
        <v>414</v>
      </c>
      <c r="O5192" s="45" t="s">
        <v>147</v>
      </c>
      <c r="P5192" s="58" t="s">
        <v>22</v>
      </c>
      <c r="Q5192" s="58" t="s">
        <v>103</v>
      </c>
      <c r="R5192" s="58" t="s">
        <v>265</v>
      </c>
    </row>
    <row r="5193" spans="1:18" ht="69" customHeight="1">
      <c r="A5193" s="168"/>
      <c r="B5193" s="178">
        <v>2338</v>
      </c>
      <c r="C5193" s="178" t="s">
        <v>458</v>
      </c>
      <c r="D5193" s="575" t="s">
        <v>12837</v>
      </c>
      <c r="E5193" s="178" t="s">
        <v>7890</v>
      </c>
      <c r="F5193" s="210" t="s">
        <v>12838</v>
      </c>
      <c r="G5193" s="58" t="s">
        <v>12835</v>
      </c>
      <c r="H5193" s="546">
        <v>33872</v>
      </c>
      <c r="I5193" s="66">
        <v>45143</v>
      </c>
      <c r="J5193" s="411" t="s">
        <v>12836</v>
      </c>
      <c r="K5193" s="58"/>
      <c r="L5193" s="99"/>
      <c r="M5193" s="70" t="s">
        <v>9233</v>
      </c>
      <c r="N5193" s="97" t="s">
        <v>414</v>
      </c>
      <c r="O5193" s="58"/>
      <c r="P5193" s="58" t="s">
        <v>22</v>
      </c>
      <c r="Q5193" s="58" t="s">
        <v>113</v>
      </c>
      <c r="R5193" s="58" t="s">
        <v>265</v>
      </c>
    </row>
    <row r="5194" spans="1:18" ht="69" customHeight="1">
      <c r="A5194" s="168"/>
      <c r="B5194" s="191">
        <v>2339</v>
      </c>
      <c r="C5194" s="191" t="s">
        <v>3667</v>
      </c>
      <c r="D5194" s="533" t="s">
        <v>12839</v>
      </c>
      <c r="E5194" s="191" t="s">
        <v>266</v>
      </c>
      <c r="F5194" s="211" t="s">
        <v>12840</v>
      </c>
      <c r="G5194" s="46" t="s">
        <v>12832</v>
      </c>
      <c r="H5194" s="534">
        <v>31504</v>
      </c>
      <c r="I5194" s="56">
        <v>45143</v>
      </c>
      <c r="J5194" s="412" t="s">
        <v>12841</v>
      </c>
      <c r="K5194" s="46" t="s">
        <v>167</v>
      </c>
      <c r="L5194" s="99"/>
      <c r="M5194" s="379"/>
      <c r="N5194" s="76" t="s">
        <v>6197</v>
      </c>
      <c r="O5194" s="46"/>
      <c r="P5194" s="46" t="s">
        <v>65</v>
      </c>
      <c r="Q5194" s="46" t="s">
        <v>72</v>
      </c>
      <c r="R5194" s="46" t="s">
        <v>272</v>
      </c>
    </row>
    <row r="5195" spans="1:18" ht="69" customHeight="1">
      <c r="A5195" s="168"/>
      <c r="B5195" s="191">
        <v>2340</v>
      </c>
      <c r="C5195" s="191" t="s">
        <v>458</v>
      </c>
      <c r="D5195" s="533" t="s">
        <v>4692</v>
      </c>
      <c r="E5195" s="191" t="s">
        <v>266</v>
      </c>
      <c r="F5195" s="211" t="s">
        <v>12842</v>
      </c>
      <c r="G5195" s="46" t="s">
        <v>12843</v>
      </c>
      <c r="H5195" s="534">
        <v>16415</v>
      </c>
      <c r="I5195" s="56">
        <v>45143</v>
      </c>
      <c r="J5195" s="412" t="s">
        <v>12844</v>
      </c>
      <c r="K5195" s="46" t="s">
        <v>167</v>
      </c>
      <c r="L5195" s="99"/>
      <c r="M5195" s="379"/>
      <c r="N5195" s="76" t="s">
        <v>414</v>
      </c>
      <c r="O5195" s="46"/>
      <c r="P5195" s="46" t="s">
        <v>65</v>
      </c>
      <c r="Q5195" s="46" t="s">
        <v>122</v>
      </c>
      <c r="R5195" s="46" t="s">
        <v>272</v>
      </c>
    </row>
    <row r="5196" spans="1:18" ht="69" customHeight="1">
      <c r="A5196" s="168"/>
      <c r="B5196" s="178">
        <v>2341</v>
      </c>
      <c r="C5196" s="178" t="s">
        <v>11933</v>
      </c>
      <c r="D5196" s="575" t="s">
        <v>5480</v>
      </c>
      <c r="E5196" s="178" t="s">
        <v>10563</v>
      </c>
      <c r="F5196" s="210" t="s">
        <v>12845</v>
      </c>
      <c r="G5196" s="58" t="s">
        <v>12846</v>
      </c>
      <c r="H5196" s="546">
        <v>673221.42</v>
      </c>
      <c r="I5196" s="66">
        <v>45138</v>
      </c>
      <c r="J5196" s="411" t="s">
        <v>12847</v>
      </c>
      <c r="K5196" s="58"/>
      <c r="L5196" s="99"/>
      <c r="M5196" s="70" t="s">
        <v>11938</v>
      </c>
      <c r="N5196" s="97" t="s">
        <v>741</v>
      </c>
      <c r="O5196" s="45" t="s">
        <v>217</v>
      </c>
      <c r="P5196" s="58" t="s">
        <v>59</v>
      </c>
      <c r="Q5196" s="58" t="s">
        <v>123</v>
      </c>
      <c r="R5196" s="58" t="s">
        <v>272</v>
      </c>
    </row>
    <row r="5197" spans="1:18" ht="69" customHeight="1">
      <c r="A5197" s="168"/>
      <c r="B5197" s="178">
        <v>2342</v>
      </c>
      <c r="C5197" s="59" t="s">
        <v>3667</v>
      </c>
      <c r="D5197" s="575" t="s">
        <v>12848</v>
      </c>
      <c r="E5197" s="178" t="s">
        <v>10553</v>
      </c>
      <c r="F5197" s="210" t="s">
        <v>12849</v>
      </c>
      <c r="G5197" s="58" t="s">
        <v>12850</v>
      </c>
      <c r="H5197" s="546">
        <v>233350</v>
      </c>
      <c r="I5197" s="66">
        <v>45134</v>
      </c>
      <c r="J5197" s="411" t="s">
        <v>12851</v>
      </c>
      <c r="K5197" s="58"/>
      <c r="L5197" s="99"/>
      <c r="M5197" s="70" t="s">
        <v>6400</v>
      </c>
      <c r="N5197" s="97" t="s">
        <v>6197</v>
      </c>
      <c r="O5197" s="58"/>
      <c r="P5197" s="58" t="s">
        <v>22</v>
      </c>
      <c r="Q5197" s="58" t="s">
        <v>74</v>
      </c>
      <c r="R5197" s="58" t="s">
        <v>272</v>
      </c>
    </row>
    <row r="5198" spans="1:18" ht="69" customHeight="1">
      <c r="A5198" s="168"/>
      <c r="B5198" s="178">
        <v>2343</v>
      </c>
      <c r="C5198" s="59" t="s">
        <v>3667</v>
      </c>
      <c r="D5198" s="575" t="s">
        <v>12852</v>
      </c>
      <c r="E5198" s="178" t="s">
        <v>10553</v>
      </c>
      <c r="F5198" s="210" t="s">
        <v>12853</v>
      </c>
      <c r="G5198" s="58" t="s">
        <v>12854</v>
      </c>
      <c r="H5198" s="546">
        <v>125650</v>
      </c>
      <c r="I5198" s="66">
        <v>45134</v>
      </c>
      <c r="J5198" s="411" t="s">
        <v>12851</v>
      </c>
      <c r="K5198" s="58"/>
      <c r="L5198" s="99"/>
      <c r="M5198" s="70" t="s">
        <v>6400</v>
      </c>
      <c r="N5198" s="97" t="s">
        <v>6197</v>
      </c>
      <c r="O5198" s="58"/>
      <c r="P5198" s="58" t="s">
        <v>22</v>
      </c>
      <c r="Q5198" s="58" t="s">
        <v>74</v>
      </c>
      <c r="R5198" s="58" t="s">
        <v>272</v>
      </c>
    </row>
    <row r="5199" spans="1:18" ht="69" customHeight="1">
      <c r="A5199" s="168"/>
      <c r="B5199" s="178">
        <v>2344</v>
      </c>
      <c r="C5199" s="59" t="s">
        <v>3667</v>
      </c>
      <c r="D5199" s="575" t="s">
        <v>12855</v>
      </c>
      <c r="E5199" s="178" t="s">
        <v>10553</v>
      </c>
      <c r="F5199" s="210" t="s">
        <v>12856</v>
      </c>
      <c r="G5199" s="58" t="s">
        <v>12850</v>
      </c>
      <c r="H5199" s="546">
        <v>273650</v>
      </c>
      <c r="I5199" s="66">
        <v>45134</v>
      </c>
      <c r="J5199" s="411" t="s">
        <v>12851</v>
      </c>
      <c r="K5199" s="58" t="s">
        <v>12857</v>
      </c>
      <c r="L5199" s="99"/>
      <c r="M5199" s="70" t="s">
        <v>6574</v>
      </c>
      <c r="N5199" s="97" t="s">
        <v>6197</v>
      </c>
      <c r="O5199" s="58"/>
      <c r="P5199" s="58" t="s">
        <v>22</v>
      </c>
      <c r="Q5199" s="58" t="s">
        <v>76</v>
      </c>
      <c r="R5199" s="58" t="s">
        <v>272</v>
      </c>
    </row>
    <row r="5200" spans="1:18" ht="69" customHeight="1">
      <c r="A5200" s="168"/>
      <c r="B5200" s="178">
        <v>2345</v>
      </c>
      <c r="C5200" s="59" t="s">
        <v>3667</v>
      </c>
      <c r="D5200" s="575" t="s">
        <v>12858</v>
      </c>
      <c r="E5200" s="178" t="s">
        <v>10553</v>
      </c>
      <c r="F5200" s="210" t="s">
        <v>12859</v>
      </c>
      <c r="G5200" s="58" t="s">
        <v>12854</v>
      </c>
      <c r="H5200" s="546">
        <v>147350</v>
      </c>
      <c r="I5200" s="66">
        <v>45134</v>
      </c>
      <c r="J5200" s="411" t="s">
        <v>12851</v>
      </c>
      <c r="K5200" s="58" t="s">
        <v>12857</v>
      </c>
      <c r="L5200" s="99"/>
      <c r="M5200" s="70" t="s">
        <v>6574</v>
      </c>
      <c r="N5200" s="97" t="s">
        <v>6197</v>
      </c>
      <c r="O5200" s="58"/>
      <c r="P5200" s="58" t="s">
        <v>22</v>
      </c>
      <c r="Q5200" s="58" t="s">
        <v>76</v>
      </c>
      <c r="R5200" s="58" t="s">
        <v>272</v>
      </c>
    </row>
    <row r="5201" spans="1:18" ht="69" customHeight="1">
      <c r="A5201" s="168"/>
      <c r="B5201" s="178">
        <v>2346</v>
      </c>
      <c r="C5201" s="178" t="s">
        <v>657</v>
      </c>
      <c r="D5201" s="575" t="s">
        <v>1182</v>
      </c>
      <c r="E5201" s="178" t="s">
        <v>10553</v>
      </c>
      <c r="F5201" s="210" t="s">
        <v>12860</v>
      </c>
      <c r="G5201" s="58" t="s">
        <v>12850</v>
      </c>
      <c r="H5201" s="546">
        <v>219700</v>
      </c>
      <c r="I5201" s="66">
        <v>45134</v>
      </c>
      <c r="J5201" s="411" t="s">
        <v>12851</v>
      </c>
      <c r="K5201" s="58"/>
      <c r="L5201" s="99"/>
      <c r="M5201" s="70" t="s">
        <v>8910</v>
      </c>
      <c r="N5201" s="97" t="s">
        <v>6197</v>
      </c>
      <c r="O5201" s="58" t="s">
        <v>147</v>
      </c>
      <c r="P5201" s="58" t="s">
        <v>22</v>
      </c>
      <c r="Q5201" s="58" t="s">
        <v>110</v>
      </c>
      <c r="R5201" s="58" t="s">
        <v>272</v>
      </c>
    </row>
    <row r="5202" spans="1:18" ht="69" customHeight="1">
      <c r="A5202" s="168"/>
      <c r="B5202" s="178">
        <v>2347</v>
      </c>
      <c r="C5202" s="178" t="s">
        <v>657</v>
      </c>
      <c r="D5202" s="575" t="s">
        <v>2840</v>
      </c>
      <c r="E5202" s="178" t="s">
        <v>10553</v>
      </c>
      <c r="F5202" s="210" t="s">
        <v>12861</v>
      </c>
      <c r="G5202" s="58" t="s">
        <v>12854</v>
      </c>
      <c r="H5202" s="546">
        <v>118300</v>
      </c>
      <c r="I5202" s="66">
        <v>45134</v>
      </c>
      <c r="J5202" s="411" t="s">
        <v>12851</v>
      </c>
      <c r="K5202" s="58"/>
      <c r="L5202" s="99"/>
      <c r="M5202" s="70" t="s">
        <v>8910</v>
      </c>
      <c r="N5202" s="97" t="s">
        <v>6197</v>
      </c>
      <c r="O5202" s="58" t="s">
        <v>147</v>
      </c>
      <c r="P5202" s="58" t="s">
        <v>22</v>
      </c>
      <c r="Q5202" s="58" t="s">
        <v>110</v>
      </c>
      <c r="R5202" s="58" t="s">
        <v>272</v>
      </c>
    </row>
    <row r="5203" spans="1:18" ht="69" customHeight="1">
      <c r="A5203" s="168"/>
      <c r="B5203" s="178">
        <v>2348</v>
      </c>
      <c r="C5203" s="178" t="s">
        <v>12862</v>
      </c>
      <c r="D5203" s="575" t="s">
        <v>12514</v>
      </c>
      <c r="E5203" s="178" t="s">
        <v>10553</v>
      </c>
      <c r="F5203" s="210" t="s">
        <v>12863</v>
      </c>
      <c r="G5203" s="58" t="s">
        <v>12864</v>
      </c>
      <c r="H5203" s="546">
        <v>149705.62</v>
      </c>
      <c r="I5203" s="66">
        <v>45135</v>
      </c>
      <c r="J5203" s="411" t="s">
        <v>12865</v>
      </c>
      <c r="K5203" s="58"/>
      <c r="L5203" s="99"/>
      <c r="M5203" s="70" t="s">
        <v>12866</v>
      </c>
      <c r="N5203" s="97" t="s">
        <v>6197</v>
      </c>
      <c r="O5203" s="58"/>
      <c r="P5203" s="58" t="s">
        <v>22</v>
      </c>
      <c r="Q5203" s="58" t="s">
        <v>45</v>
      </c>
      <c r="R5203" s="58" t="s">
        <v>272</v>
      </c>
    </row>
    <row r="5204" spans="1:18" ht="69" customHeight="1">
      <c r="A5204" s="168"/>
      <c r="B5204" s="178">
        <v>2349</v>
      </c>
      <c r="C5204" s="178" t="s">
        <v>12862</v>
      </c>
      <c r="D5204" s="575" t="s">
        <v>4517</v>
      </c>
      <c r="E5204" s="178" t="s">
        <v>10553</v>
      </c>
      <c r="F5204" s="210" t="s">
        <v>12867</v>
      </c>
      <c r="G5204" s="58" t="s">
        <v>12868</v>
      </c>
      <c r="H5204" s="546">
        <v>122486.41</v>
      </c>
      <c r="I5204" s="66">
        <v>45135</v>
      </c>
      <c r="J5204" s="411" t="s">
        <v>12865</v>
      </c>
      <c r="K5204" s="58"/>
      <c r="L5204" s="99"/>
      <c r="M5204" s="70" t="s">
        <v>12866</v>
      </c>
      <c r="N5204" s="97" t="s">
        <v>6197</v>
      </c>
      <c r="O5204" s="58"/>
      <c r="P5204" s="58" t="s">
        <v>22</v>
      </c>
      <c r="Q5204" s="58" t="s">
        <v>45</v>
      </c>
      <c r="R5204" s="58" t="s">
        <v>272</v>
      </c>
    </row>
    <row r="5205" spans="1:18" ht="69" customHeight="1">
      <c r="A5205" s="168"/>
      <c r="B5205" s="207">
        <v>2350</v>
      </c>
      <c r="C5205" s="207" t="s">
        <v>458</v>
      </c>
      <c r="D5205" s="301" t="s">
        <v>12869</v>
      </c>
      <c r="E5205" s="207" t="s">
        <v>266</v>
      </c>
      <c r="F5205" s="208" t="s">
        <v>12870</v>
      </c>
      <c r="G5205" s="160" t="s">
        <v>12778</v>
      </c>
      <c r="H5205" s="300">
        <v>672</v>
      </c>
      <c r="I5205" s="209">
        <v>45132</v>
      </c>
      <c r="J5205" s="322" t="s">
        <v>12871</v>
      </c>
      <c r="K5205" s="160" t="s">
        <v>4128</v>
      </c>
      <c r="M5205" s="379"/>
      <c r="N5205" s="76"/>
      <c r="O5205" s="160"/>
      <c r="P5205" s="160" t="s">
        <v>67</v>
      </c>
      <c r="Q5205" s="160" t="s">
        <v>107</v>
      </c>
      <c r="R5205" s="160" t="s">
        <v>272</v>
      </c>
    </row>
    <row r="5206" spans="1:18" ht="69" customHeight="1">
      <c r="A5206" s="168"/>
      <c r="B5206" s="178">
        <v>2351</v>
      </c>
      <c r="C5206" s="178" t="s">
        <v>11052</v>
      </c>
      <c r="D5206" s="575" t="s">
        <v>4690</v>
      </c>
      <c r="E5206" s="178" t="s">
        <v>4173</v>
      </c>
      <c r="F5206" s="210" t="s">
        <v>12872</v>
      </c>
      <c r="G5206" s="58" t="s">
        <v>12873</v>
      </c>
      <c r="H5206" s="546">
        <v>26728.66</v>
      </c>
      <c r="I5206" s="66">
        <v>45112</v>
      </c>
      <c r="J5206" s="411" t="s">
        <v>12874</v>
      </c>
      <c r="K5206" s="58"/>
      <c r="L5206" s="99"/>
      <c r="M5206" s="70" t="s">
        <v>12635</v>
      </c>
      <c r="N5206" s="97" t="s">
        <v>6197</v>
      </c>
      <c r="O5206" s="58"/>
      <c r="P5206" s="58" t="s">
        <v>22</v>
      </c>
      <c r="Q5206" s="58" t="s">
        <v>37</v>
      </c>
      <c r="R5206" s="58" t="s">
        <v>265</v>
      </c>
    </row>
    <row r="5207" spans="1:18" ht="69" customHeight="1">
      <c r="A5207" s="168"/>
      <c r="B5207" s="178">
        <v>2352</v>
      </c>
      <c r="C5207" s="178" t="s">
        <v>12862</v>
      </c>
      <c r="D5207" s="575" t="s">
        <v>4810</v>
      </c>
      <c r="E5207" s="178" t="s">
        <v>7890</v>
      </c>
      <c r="F5207" s="210" t="s">
        <v>12875</v>
      </c>
      <c r="G5207" s="58" t="s">
        <v>12873</v>
      </c>
      <c r="H5207" s="546">
        <v>25524.97</v>
      </c>
      <c r="I5207" s="66">
        <v>45112</v>
      </c>
      <c r="J5207" s="411" t="s">
        <v>12876</v>
      </c>
      <c r="K5207" s="58"/>
      <c r="L5207" s="99"/>
      <c r="M5207" s="70" t="s">
        <v>12415</v>
      </c>
      <c r="N5207" s="97" t="s">
        <v>6197</v>
      </c>
      <c r="O5207" s="58"/>
      <c r="P5207" s="58" t="s">
        <v>22</v>
      </c>
      <c r="Q5207" s="58" t="s">
        <v>45</v>
      </c>
      <c r="R5207" s="58" t="s">
        <v>265</v>
      </c>
    </row>
    <row r="5208" spans="1:18" ht="69" customHeight="1">
      <c r="A5208" s="168"/>
      <c r="B5208" s="207">
        <v>2353</v>
      </c>
      <c r="C5208" s="207" t="s">
        <v>309</v>
      </c>
      <c r="D5208" s="301" t="s">
        <v>12877</v>
      </c>
      <c r="E5208" s="207" t="s">
        <v>12878</v>
      </c>
      <c r="F5208" s="208" t="s">
        <v>12879</v>
      </c>
      <c r="G5208" s="160" t="s">
        <v>12880</v>
      </c>
      <c r="H5208" s="300">
        <v>123469.44</v>
      </c>
      <c r="I5208" s="209">
        <v>45143</v>
      </c>
      <c r="J5208" s="322" t="s">
        <v>12881</v>
      </c>
      <c r="K5208" s="160" t="s">
        <v>727</v>
      </c>
      <c r="M5208" s="380"/>
      <c r="N5208" s="82" t="s">
        <v>1372</v>
      </c>
      <c r="O5208" s="160"/>
      <c r="P5208" s="160" t="s">
        <v>67</v>
      </c>
      <c r="Q5208" s="160" t="s">
        <v>20</v>
      </c>
      <c r="R5208" s="160" t="s">
        <v>272</v>
      </c>
    </row>
    <row r="5209" spans="1:18" ht="69" customHeight="1">
      <c r="A5209" s="168"/>
      <c r="B5209" s="191">
        <v>2354</v>
      </c>
      <c r="C5209" s="191" t="s">
        <v>10856</v>
      </c>
      <c r="D5209" s="533" t="s">
        <v>6401</v>
      </c>
      <c r="E5209" s="191" t="s">
        <v>12882</v>
      </c>
      <c r="F5209" s="211" t="s">
        <v>12883</v>
      </c>
      <c r="G5209" s="46" t="s">
        <v>12884</v>
      </c>
      <c r="H5209" s="546">
        <v>209856.38</v>
      </c>
      <c r="I5209" s="56">
        <v>45153</v>
      </c>
      <c r="J5209" s="412" t="s">
        <v>12885</v>
      </c>
      <c r="K5209" s="46" t="s">
        <v>5103</v>
      </c>
      <c r="L5209" s="99"/>
      <c r="M5209" s="379"/>
      <c r="N5209" s="76" t="s">
        <v>414</v>
      </c>
      <c r="O5209" s="46" t="s">
        <v>12106</v>
      </c>
      <c r="P5209" s="46" t="s">
        <v>22</v>
      </c>
      <c r="Q5209" s="46" t="s">
        <v>39</v>
      </c>
      <c r="R5209" s="46" t="s">
        <v>272</v>
      </c>
    </row>
    <row r="5210" spans="1:18" ht="69" customHeight="1">
      <c r="A5210" s="168"/>
      <c r="B5210" s="191">
        <v>2354</v>
      </c>
      <c r="C5210" s="191" t="s">
        <v>11042</v>
      </c>
      <c r="D5210" s="533" t="s">
        <v>6405</v>
      </c>
      <c r="E5210" s="191" t="s">
        <v>12882</v>
      </c>
      <c r="F5210" s="211" t="s">
        <v>12886</v>
      </c>
      <c r="G5210" s="46" t="s">
        <v>12884</v>
      </c>
      <c r="H5210" s="546">
        <v>199643.08</v>
      </c>
      <c r="I5210" s="56">
        <v>45153</v>
      </c>
      <c r="J5210" s="412" t="s">
        <v>12885</v>
      </c>
      <c r="K5210" s="46" t="s">
        <v>5103</v>
      </c>
      <c r="L5210" s="99"/>
      <c r="M5210" s="379"/>
      <c r="N5210" s="76" t="s">
        <v>414</v>
      </c>
      <c r="O5210" s="46" t="s">
        <v>12106</v>
      </c>
      <c r="P5210" s="46" t="s">
        <v>22</v>
      </c>
      <c r="Q5210" s="46" t="s">
        <v>41</v>
      </c>
      <c r="R5210" s="46" t="s">
        <v>272</v>
      </c>
    </row>
    <row r="5211" spans="1:18" ht="69" customHeight="1">
      <c r="A5211" s="168"/>
      <c r="B5211" s="207">
        <v>2355</v>
      </c>
      <c r="C5211" s="207" t="s">
        <v>10961</v>
      </c>
      <c r="D5211" s="301" t="s">
        <v>12887</v>
      </c>
      <c r="E5211" s="207" t="s">
        <v>266</v>
      </c>
      <c r="F5211" s="208" t="s">
        <v>12888</v>
      </c>
      <c r="G5211" s="160" t="s">
        <v>12889</v>
      </c>
      <c r="H5211" s="300">
        <v>2332.1</v>
      </c>
      <c r="I5211" s="209">
        <v>45143</v>
      </c>
      <c r="J5211" s="322" t="s">
        <v>12890</v>
      </c>
      <c r="K5211" s="160" t="s">
        <v>10804</v>
      </c>
      <c r="M5211" s="379"/>
      <c r="N5211" s="76"/>
      <c r="O5211" s="160"/>
      <c r="P5211" s="160" t="s">
        <v>67</v>
      </c>
      <c r="Q5211" s="160" t="s">
        <v>96</v>
      </c>
      <c r="R5211" s="160" t="s">
        <v>272</v>
      </c>
    </row>
    <row r="5212" spans="1:18" ht="69" customHeight="1">
      <c r="A5212" s="168"/>
      <c r="B5212" s="178">
        <v>2356</v>
      </c>
      <c r="C5212" s="178" t="s">
        <v>309</v>
      </c>
      <c r="D5212" s="575" t="s">
        <v>6593</v>
      </c>
      <c r="E5212" s="178" t="s">
        <v>12234</v>
      </c>
      <c r="F5212" s="210" t="s">
        <v>12891</v>
      </c>
      <c r="G5212" s="58" t="s">
        <v>12892</v>
      </c>
      <c r="H5212" s="546">
        <v>9862.15</v>
      </c>
      <c r="I5212" s="66">
        <v>45153</v>
      </c>
      <c r="J5212" s="411" t="s">
        <v>12893</v>
      </c>
      <c r="K5212" s="58"/>
      <c r="L5212" s="99"/>
      <c r="M5212" s="70" t="s">
        <v>3018</v>
      </c>
      <c r="N5212" s="97" t="s">
        <v>356</v>
      </c>
      <c r="O5212" s="58" t="s">
        <v>141</v>
      </c>
      <c r="P5212" s="58" t="s">
        <v>19</v>
      </c>
      <c r="Q5212" s="58" t="s">
        <v>39</v>
      </c>
      <c r="R5212" s="58" t="s">
        <v>265</v>
      </c>
    </row>
    <row r="5213" spans="1:18" ht="69" customHeight="1">
      <c r="A5213" s="168"/>
      <c r="B5213" s="178">
        <v>2357</v>
      </c>
      <c r="C5213" s="178" t="s">
        <v>458</v>
      </c>
      <c r="D5213" s="575" t="s">
        <v>12894</v>
      </c>
      <c r="E5213" s="178" t="s">
        <v>409</v>
      </c>
      <c r="F5213" s="210" t="s">
        <v>12895</v>
      </c>
      <c r="G5213" s="58" t="s">
        <v>7706</v>
      </c>
      <c r="H5213" s="546">
        <v>51383.31</v>
      </c>
      <c r="I5213" s="66">
        <v>45135</v>
      </c>
      <c r="J5213" s="411" t="s">
        <v>12896</v>
      </c>
      <c r="K5213" s="58"/>
      <c r="L5213" s="99"/>
      <c r="M5213" s="70" t="s">
        <v>11628</v>
      </c>
      <c r="N5213" s="97" t="s">
        <v>741</v>
      </c>
      <c r="O5213" s="58"/>
      <c r="P5213" s="58" t="s">
        <v>59</v>
      </c>
      <c r="Q5213" s="58" t="s">
        <v>88</v>
      </c>
      <c r="R5213" s="58" t="s">
        <v>272</v>
      </c>
    </row>
    <row r="5214" spans="1:18" ht="69" customHeight="1">
      <c r="A5214" s="168"/>
      <c r="B5214" s="178">
        <v>2358</v>
      </c>
      <c r="C5214" s="178" t="s">
        <v>458</v>
      </c>
      <c r="D5214" s="575" t="s">
        <v>12897</v>
      </c>
      <c r="E5214" s="178" t="s">
        <v>409</v>
      </c>
      <c r="F5214" s="210" t="s">
        <v>12898</v>
      </c>
      <c r="G5214" s="58" t="s">
        <v>7706</v>
      </c>
      <c r="H5214" s="546">
        <v>205533.23</v>
      </c>
      <c r="I5214" s="66">
        <v>45135</v>
      </c>
      <c r="J5214" s="411" t="s">
        <v>12896</v>
      </c>
      <c r="K5214" s="58"/>
      <c r="L5214" s="99"/>
      <c r="M5214" s="70" t="s">
        <v>11628</v>
      </c>
      <c r="N5214" s="97" t="s">
        <v>741</v>
      </c>
      <c r="O5214" s="58"/>
      <c r="P5214" s="58" t="s">
        <v>59</v>
      </c>
      <c r="Q5214" s="58" t="s">
        <v>88</v>
      </c>
      <c r="R5214" s="58" t="s">
        <v>272</v>
      </c>
    </row>
    <row r="5215" spans="1:18" ht="69" customHeight="1">
      <c r="A5215" s="168"/>
      <c r="B5215" s="178">
        <v>2359</v>
      </c>
      <c r="C5215" s="178" t="s">
        <v>458</v>
      </c>
      <c r="D5215" s="575" t="s">
        <v>4341</v>
      </c>
      <c r="E5215" s="178" t="s">
        <v>409</v>
      </c>
      <c r="F5215" s="210" t="s">
        <v>12899</v>
      </c>
      <c r="G5215" s="58" t="s">
        <v>7706</v>
      </c>
      <c r="H5215" s="546">
        <v>30567.09</v>
      </c>
      <c r="I5215" s="66">
        <v>45135</v>
      </c>
      <c r="J5215" s="411" t="s">
        <v>12900</v>
      </c>
      <c r="K5215" s="58"/>
      <c r="L5215" s="99"/>
      <c r="M5215" s="70" t="s">
        <v>11611</v>
      </c>
      <c r="N5215" s="97" t="s">
        <v>741</v>
      </c>
      <c r="O5215" s="58"/>
      <c r="P5215" s="58" t="s">
        <v>59</v>
      </c>
      <c r="Q5215" s="58" t="s">
        <v>112</v>
      </c>
      <c r="R5215" s="58" t="s">
        <v>272</v>
      </c>
    </row>
    <row r="5216" spans="1:18" ht="69" customHeight="1">
      <c r="A5216" s="168"/>
      <c r="B5216" s="178">
        <v>2360</v>
      </c>
      <c r="C5216" s="178" t="s">
        <v>458</v>
      </c>
      <c r="D5216" s="575" t="s">
        <v>4037</v>
      </c>
      <c r="E5216" s="178" t="s">
        <v>409</v>
      </c>
      <c r="F5216" s="210" t="s">
        <v>12901</v>
      </c>
      <c r="G5216" s="58" t="s">
        <v>7706</v>
      </c>
      <c r="H5216" s="546">
        <v>122268.35</v>
      </c>
      <c r="I5216" s="66">
        <v>45135</v>
      </c>
      <c r="J5216" s="411" t="s">
        <v>12900</v>
      </c>
      <c r="K5216" s="58"/>
      <c r="L5216" s="99"/>
      <c r="M5216" s="70" t="s">
        <v>11611</v>
      </c>
      <c r="N5216" s="97" t="s">
        <v>741</v>
      </c>
      <c r="O5216" s="58"/>
      <c r="P5216" s="58" t="s">
        <v>59</v>
      </c>
      <c r="Q5216" s="58" t="s">
        <v>112</v>
      </c>
      <c r="R5216" s="58" t="s">
        <v>272</v>
      </c>
    </row>
    <row r="5217" spans="1:18" ht="69" customHeight="1">
      <c r="A5217" s="168"/>
      <c r="B5217" s="178">
        <v>2361</v>
      </c>
      <c r="C5217" s="178" t="s">
        <v>11618</v>
      </c>
      <c r="D5217" s="575" t="s">
        <v>4032</v>
      </c>
      <c r="E5217" s="178" t="s">
        <v>409</v>
      </c>
      <c r="F5217" s="210" t="s">
        <v>12902</v>
      </c>
      <c r="G5217" s="58" t="s">
        <v>7728</v>
      </c>
      <c r="H5217" s="546">
        <v>24934.54</v>
      </c>
      <c r="I5217" s="66">
        <v>45135</v>
      </c>
      <c r="J5217" s="411" t="s">
        <v>12903</v>
      </c>
      <c r="K5217" s="58"/>
      <c r="L5217" s="99"/>
      <c r="M5217" s="70" t="s">
        <v>11224</v>
      </c>
      <c r="N5217" s="97" t="s">
        <v>11225</v>
      </c>
      <c r="O5217" s="58" t="s">
        <v>11226</v>
      </c>
      <c r="P5217" s="58" t="s">
        <v>59</v>
      </c>
      <c r="Q5217" s="58" t="s">
        <v>122</v>
      </c>
      <c r="R5217" s="58" t="s">
        <v>272</v>
      </c>
    </row>
    <row r="5218" spans="1:18" ht="69" customHeight="1">
      <c r="A5218" s="168"/>
      <c r="B5218" s="178">
        <v>2362</v>
      </c>
      <c r="C5218" s="178" t="s">
        <v>11618</v>
      </c>
      <c r="D5218" s="575" t="s">
        <v>4041</v>
      </c>
      <c r="E5218" s="178" t="s">
        <v>409</v>
      </c>
      <c r="F5218" s="210" t="s">
        <v>12904</v>
      </c>
      <c r="G5218" s="58" t="s">
        <v>7728</v>
      </c>
      <c r="H5218" s="546">
        <v>99738.14</v>
      </c>
      <c r="I5218" s="66">
        <v>45135</v>
      </c>
      <c r="J5218" s="411" t="s">
        <v>12903</v>
      </c>
      <c r="K5218" s="58"/>
      <c r="L5218" s="99"/>
      <c r="M5218" s="70" t="s">
        <v>11224</v>
      </c>
      <c r="N5218" s="97" t="s">
        <v>11225</v>
      </c>
      <c r="O5218" s="58" t="s">
        <v>11226</v>
      </c>
      <c r="P5218" s="58" t="s">
        <v>59</v>
      </c>
      <c r="Q5218" s="58" t="s">
        <v>122</v>
      </c>
      <c r="R5218" s="58" t="s">
        <v>272</v>
      </c>
    </row>
    <row r="5219" spans="1:18" ht="69" customHeight="1">
      <c r="A5219" s="168"/>
      <c r="B5219" s="191">
        <v>2363</v>
      </c>
      <c r="C5219" s="191" t="s">
        <v>309</v>
      </c>
      <c r="D5219" s="533" t="s">
        <v>12700</v>
      </c>
      <c r="E5219" s="191" t="s">
        <v>12905</v>
      </c>
      <c r="F5219" s="211" t="s">
        <v>12906</v>
      </c>
      <c r="G5219" s="46" t="s">
        <v>12800</v>
      </c>
      <c r="H5219" s="534">
        <v>12468</v>
      </c>
      <c r="I5219" s="56">
        <v>45153</v>
      </c>
      <c r="J5219" s="412" t="s">
        <v>12907</v>
      </c>
      <c r="K5219" s="46" t="s">
        <v>5103</v>
      </c>
      <c r="L5219" s="99"/>
      <c r="M5219" s="379"/>
      <c r="N5219" s="76" t="s">
        <v>356</v>
      </c>
      <c r="O5219" s="46" t="s">
        <v>141</v>
      </c>
      <c r="P5219" s="46" t="s">
        <v>65</v>
      </c>
      <c r="Q5219" s="46" t="s">
        <v>13</v>
      </c>
      <c r="R5219" s="46" t="s">
        <v>272</v>
      </c>
    </row>
    <row r="5220" spans="1:18" ht="69" customHeight="1">
      <c r="A5220" s="168"/>
      <c r="B5220" s="191">
        <v>2364</v>
      </c>
      <c r="C5220" s="191" t="s">
        <v>8529</v>
      </c>
      <c r="D5220" s="533"/>
      <c r="E5220" s="191" t="s">
        <v>877</v>
      </c>
      <c r="F5220" s="211" t="s">
        <v>12908</v>
      </c>
      <c r="G5220" s="46" t="s">
        <v>12909</v>
      </c>
      <c r="H5220" s="534">
        <v>18528.34</v>
      </c>
      <c r="I5220" s="56">
        <v>45143</v>
      </c>
      <c r="J5220" s="412" t="s">
        <v>12910</v>
      </c>
      <c r="K5220" s="46" t="s">
        <v>167</v>
      </c>
      <c r="L5220" s="99"/>
      <c r="M5220" s="379"/>
      <c r="N5220" s="76" t="s">
        <v>716</v>
      </c>
      <c r="O5220" s="46"/>
      <c r="P5220" s="46" t="s">
        <v>71</v>
      </c>
      <c r="Q5220" s="46" t="s">
        <v>108</v>
      </c>
      <c r="R5220" s="46" t="s">
        <v>272</v>
      </c>
    </row>
    <row r="5221" spans="1:18" ht="69" customHeight="1">
      <c r="A5221" s="168"/>
      <c r="B5221" s="191">
        <v>2365</v>
      </c>
      <c r="C5221" s="191" t="s">
        <v>8703</v>
      </c>
      <c r="D5221" s="533"/>
      <c r="E5221" s="191" t="s">
        <v>877</v>
      </c>
      <c r="F5221" s="211" t="s">
        <v>12911</v>
      </c>
      <c r="G5221" s="46" t="s">
        <v>12909</v>
      </c>
      <c r="H5221" s="534">
        <v>18528.34</v>
      </c>
      <c r="I5221" s="56">
        <v>45143</v>
      </c>
      <c r="J5221" s="412" t="s">
        <v>12910</v>
      </c>
      <c r="K5221" s="46" t="s">
        <v>167</v>
      </c>
      <c r="L5221" s="99"/>
      <c r="M5221" s="379"/>
      <c r="N5221" s="76" t="s">
        <v>716</v>
      </c>
      <c r="O5221" s="46"/>
      <c r="P5221" s="46" t="s">
        <v>71</v>
      </c>
      <c r="Q5221" s="46" t="s">
        <v>108</v>
      </c>
      <c r="R5221" s="46" t="s">
        <v>272</v>
      </c>
    </row>
    <row r="5222" spans="1:18" ht="69" customHeight="1">
      <c r="A5222" s="168"/>
      <c r="B5222" s="178">
        <v>2366</v>
      </c>
      <c r="C5222" s="178" t="s">
        <v>5558</v>
      </c>
      <c r="D5222" s="575" t="s">
        <v>12912</v>
      </c>
      <c r="E5222" s="178" t="s">
        <v>11508</v>
      </c>
      <c r="F5222" s="210" t="s">
        <v>12913</v>
      </c>
      <c r="G5222" s="58" t="s">
        <v>12914</v>
      </c>
      <c r="H5222" s="546">
        <v>42233.35</v>
      </c>
      <c r="I5222" s="66">
        <v>45135</v>
      </c>
      <c r="J5222" s="411" t="s">
        <v>12915</v>
      </c>
      <c r="K5222" s="58"/>
      <c r="L5222" s="99"/>
      <c r="M5222" s="70" t="s">
        <v>11512</v>
      </c>
      <c r="N5222" s="97" t="s">
        <v>414</v>
      </c>
      <c r="O5222" s="58"/>
      <c r="P5222" s="58" t="s">
        <v>22</v>
      </c>
      <c r="Q5222" s="58" t="s">
        <v>64</v>
      </c>
      <c r="R5222" s="58" t="s">
        <v>265</v>
      </c>
    </row>
    <row r="5223" spans="1:18" ht="69" customHeight="1">
      <c r="A5223" s="168"/>
      <c r="B5223" s="191">
        <v>2367</v>
      </c>
      <c r="C5223" s="191" t="s">
        <v>4277</v>
      </c>
      <c r="D5223" s="533" t="s">
        <v>12916</v>
      </c>
      <c r="E5223" s="191" t="s">
        <v>5084</v>
      </c>
      <c r="F5223" s="211" t="s">
        <v>12917</v>
      </c>
      <c r="G5223" s="46" t="s">
        <v>12918</v>
      </c>
      <c r="H5223" s="534">
        <v>15800</v>
      </c>
      <c r="I5223" s="56">
        <v>45138</v>
      </c>
      <c r="J5223" s="412" t="s">
        <v>12919</v>
      </c>
      <c r="K5223" s="46" t="s">
        <v>167</v>
      </c>
      <c r="L5223" s="99"/>
      <c r="M5223" s="379"/>
      <c r="N5223" s="76" t="s">
        <v>716</v>
      </c>
      <c r="O5223" s="46"/>
      <c r="P5223" s="46" t="s">
        <v>65</v>
      </c>
      <c r="Q5223" s="46" t="s">
        <v>56</v>
      </c>
      <c r="R5223" s="46" t="s">
        <v>272</v>
      </c>
    </row>
    <row r="5224" spans="1:18" ht="69" customHeight="1">
      <c r="A5224" s="168"/>
      <c r="B5224" s="178">
        <v>2368</v>
      </c>
      <c r="C5224" s="178" t="s">
        <v>8529</v>
      </c>
      <c r="D5224" s="575" t="s">
        <v>4048</v>
      </c>
      <c r="E5224" s="178" t="s">
        <v>755</v>
      </c>
      <c r="F5224" s="210" t="s">
        <v>12920</v>
      </c>
      <c r="G5224" s="58" t="s">
        <v>12921</v>
      </c>
      <c r="H5224" s="546">
        <v>61909</v>
      </c>
      <c r="I5224" s="66">
        <v>45138</v>
      </c>
      <c r="J5224" s="411" t="s">
        <v>12922</v>
      </c>
      <c r="K5224" s="58"/>
      <c r="L5224" s="99"/>
      <c r="M5224" s="70" t="s">
        <v>8548</v>
      </c>
      <c r="N5224" s="97" t="s">
        <v>716</v>
      </c>
      <c r="O5224" s="58"/>
      <c r="P5224" s="58" t="s">
        <v>57</v>
      </c>
      <c r="Q5224" s="58" t="s">
        <v>108</v>
      </c>
      <c r="R5224" s="58" t="s">
        <v>272</v>
      </c>
    </row>
    <row r="5225" spans="1:18" ht="69" customHeight="1">
      <c r="A5225" s="168"/>
      <c r="B5225" s="178">
        <v>2369</v>
      </c>
      <c r="C5225" s="178" t="s">
        <v>5558</v>
      </c>
      <c r="D5225" s="575" t="s">
        <v>12923</v>
      </c>
      <c r="E5225" s="178" t="s">
        <v>11508</v>
      </c>
      <c r="F5225" s="210" t="s">
        <v>12924</v>
      </c>
      <c r="G5225" s="58" t="s">
        <v>12925</v>
      </c>
      <c r="H5225" s="546">
        <v>38697.1</v>
      </c>
      <c r="I5225" s="66">
        <v>45135</v>
      </c>
      <c r="J5225" s="411" t="s">
        <v>12926</v>
      </c>
      <c r="K5225" s="58"/>
      <c r="L5225" s="99"/>
      <c r="M5225" s="70" t="s">
        <v>11512</v>
      </c>
      <c r="N5225" s="97" t="s">
        <v>414</v>
      </c>
      <c r="O5225" s="58"/>
      <c r="P5225" s="58" t="s">
        <v>22</v>
      </c>
      <c r="Q5225" s="58" t="s">
        <v>64</v>
      </c>
      <c r="R5225" s="58" t="s">
        <v>265</v>
      </c>
    </row>
    <row r="5226" spans="1:18" ht="69" customHeight="1">
      <c r="A5226" s="168"/>
      <c r="B5226" s="178">
        <v>2370</v>
      </c>
      <c r="C5226" s="178" t="s">
        <v>5558</v>
      </c>
      <c r="D5226" s="575"/>
      <c r="E5226" s="178" t="s">
        <v>11508</v>
      </c>
      <c r="F5226" s="210" t="s">
        <v>12927</v>
      </c>
      <c r="G5226" s="58" t="s">
        <v>12925</v>
      </c>
      <c r="H5226" s="546">
        <v>52200</v>
      </c>
      <c r="I5226" s="66">
        <v>45135</v>
      </c>
      <c r="J5226" s="411" t="s">
        <v>12928</v>
      </c>
      <c r="K5226" s="58"/>
      <c r="L5226" s="99"/>
      <c r="M5226" s="70" t="s">
        <v>11512</v>
      </c>
      <c r="N5226" s="97" t="s">
        <v>414</v>
      </c>
      <c r="O5226" s="58"/>
      <c r="P5226" s="58" t="s">
        <v>22</v>
      </c>
      <c r="Q5226" s="58" t="s">
        <v>64</v>
      </c>
      <c r="R5226" s="58" t="s">
        <v>265</v>
      </c>
    </row>
    <row r="5227" spans="1:18" ht="69" customHeight="1">
      <c r="A5227" s="168"/>
      <c r="B5227" s="178">
        <v>2371</v>
      </c>
      <c r="C5227" s="178" t="s">
        <v>5558</v>
      </c>
      <c r="D5227" s="575" t="s">
        <v>12929</v>
      </c>
      <c r="E5227" s="178" t="s">
        <v>11508</v>
      </c>
      <c r="F5227" s="210" t="s">
        <v>12930</v>
      </c>
      <c r="G5227" s="58" t="s">
        <v>12931</v>
      </c>
      <c r="H5227" s="546">
        <v>42212.3</v>
      </c>
      <c r="I5227" s="66">
        <v>45153</v>
      </c>
      <c r="J5227" s="411" t="s">
        <v>12932</v>
      </c>
      <c r="K5227" s="58"/>
      <c r="L5227" s="99"/>
      <c r="M5227" s="70" t="s">
        <v>11512</v>
      </c>
      <c r="N5227" s="97" t="s">
        <v>414</v>
      </c>
      <c r="O5227" s="58"/>
      <c r="P5227" s="58" t="s">
        <v>22</v>
      </c>
      <c r="Q5227" s="58" t="s">
        <v>64</v>
      </c>
      <c r="R5227" s="58" t="s">
        <v>265</v>
      </c>
    </row>
    <row r="5228" spans="1:18" ht="69" customHeight="1">
      <c r="A5228" s="168"/>
      <c r="B5228" s="178">
        <v>2372</v>
      </c>
      <c r="C5228" s="178" t="s">
        <v>5558</v>
      </c>
      <c r="D5228" s="575" t="s">
        <v>12933</v>
      </c>
      <c r="E5228" s="178" t="s">
        <v>11508</v>
      </c>
      <c r="F5228" s="210" t="s">
        <v>12934</v>
      </c>
      <c r="G5228" s="58" t="s">
        <v>12935</v>
      </c>
      <c r="H5228" s="546">
        <v>38400</v>
      </c>
      <c r="I5228" s="66">
        <v>45153</v>
      </c>
      <c r="J5228" s="411" t="s">
        <v>12936</v>
      </c>
      <c r="K5228" s="58"/>
      <c r="L5228" s="99"/>
      <c r="M5228" s="70" t="s">
        <v>11512</v>
      </c>
      <c r="N5228" s="97" t="s">
        <v>414</v>
      </c>
      <c r="O5228" s="58"/>
      <c r="P5228" s="58" t="s">
        <v>22</v>
      </c>
      <c r="Q5228" s="58" t="s">
        <v>64</v>
      </c>
      <c r="R5228" s="58" t="s">
        <v>265</v>
      </c>
    </row>
    <row r="5229" spans="1:18" ht="69" customHeight="1">
      <c r="A5229" s="168"/>
      <c r="B5229" s="178">
        <v>2373</v>
      </c>
      <c r="C5229" s="178" t="s">
        <v>753</v>
      </c>
      <c r="D5229" s="575" t="s">
        <v>12937</v>
      </c>
      <c r="E5229" s="178" t="s">
        <v>12878</v>
      </c>
      <c r="F5229" s="210" t="s">
        <v>12938</v>
      </c>
      <c r="G5229" s="58" t="s">
        <v>12880</v>
      </c>
      <c r="H5229" s="546">
        <v>123469.44</v>
      </c>
      <c r="I5229" s="66">
        <v>45143</v>
      </c>
      <c r="J5229" s="411" t="s">
        <v>12881</v>
      </c>
      <c r="K5229" s="58" t="s">
        <v>12939</v>
      </c>
      <c r="L5229" s="99"/>
      <c r="M5229" s="70" t="s">
        <v>12940</v>
      </c>
      <c r="N5229" s="97" t="s">
        <v>1372</v>
      </c>
      <c r="O5229" s="58" t="s">
        <v>154</v>
      </c>
      <c r="P5229" s="58" t="s">
        <v>57</v>
      </c>
      <c r="Q5229" s="58" t="s">
        <v>20</v>
      </c>
      <c r="R5229" s="58" t="s">
        <v>272</v>
      </c>
    </row>
    <row r="5230" spans="1:18" ht="69" customHeight="1">
      <c r="A5230" s="168"/>
      <c r="B5230" s="178">
        <v>2374</v>
      </c>
      <c r="C5230" s="178" t="s">
        <v>11050</v>
      </c>
      <c r="D5230" s="575" t="s">
        <v>4018</v>
      </c>
      <c r="E5230" s="178" t="s">
        <v>4033</v>
      </c>
      <c r="F5230" s="210" t="s">
        <v>12941</v>
      </c>
      <c r="G5230" s="58" t="s">
        <v>12942</v>
      </c>
      <c r="H5230" s="546">
        <v>222482.8</v>
      </c>
      <c r="I5230" s="66" t="s">
        <v>96</v>
      </c>
      <c r="J5230" s="411" t="s">
        <v>12943</v>
      </c>
      <c r="K5230" s="58"/>
      <c r="L5230" s="99"/>
      <c r="M5230" s="70" t="s">
        <v>12791</v>
      </c>
      <c r="N5230" s="97" t="s">
        <v>6197</v>
      </c>
      <c r="O5230" s="58"/>
      <c r="P5230" s="58" t="s">
        <v>22</v>
      </c>
      <c r="Q5230" s="58" t="s">
        <v>35</v>
      </c>
      <c r="R5230" s="58" t="s">
        <v>272</v>
      </c>
    </row>
    <row r="5231" spans="1:18" ht="69" customHeight="1">
      <c r="A5231" s="168"/>
      <c r="B5231" s="207">
        <v>2375</v>
      </c>
      <c r="C5231" s="207" t="s">
        <v>9322</v>
      </c>
      <c r="D5231" s="301"/>
      <c r="E5231" s="207" t="s">
        <v>11646</v>
      </c>
      <c r="F5231" s="208" t="s">
        <v>12944</v>
      </c>
      <c r="G5231" s="160" t="s">
        <v>12945</v>
      </c>
      <c r="H5231" s="300">
        <v>854.71</v>
      </c>
      <c r="I5231" s="209">
        <v>45153</v>
      </c>
      <c r="J5231" s="322" t="s">
        <v>12946</v>
      </c>
      <c r="K5231" s="160" t="s">
        <v>10804</v>
      </c>
      <c r="M5231" s="379"/>
      <c r="N5231" s="76"/>
      <c r="O5231" s="160"/>
      <c r="P5231" s="160" t="s">
        <v>67</v>
      </c>
      <c r="Q5231" s="160" t="s">
        <v>96</v>
      </c>
      <c r="R5231" s="160" t="s">
        <v>272</v>
      </c>
    </row>
    <row r="5232" spans="1:18" ht="69" customHeight="1">
      <c r="A5232" s="168"/>
      <c r="B5232" s="207">
        <v>2376</v>
      </c>
      <c r="C5232" s="207" t="s">
        <v>657</v>
      </c>
      <c r="D5232" s="301" t="s">
        <v>6331</v>
      </c>
      <c r="E5232" s="207" t="s">
        <v>409</v>
      </c>
      <c r="F5232" s="208" t="s">
        <v>12947</v>
      </c>
      <c r="G5232" s="160" t="s">
        <v>12948</v>
      </c>
      <c r="H5232" s="300">
        <v>11041.39</v>
      </c>
      <c r="I5232" s="209">
        <v>45156</v>
      </c>
      <c r="J5232" s="322" t="s">
        <v>12949</v>
      </c>
      <c r="K5232" s="160" t="s">
        <v>10804</v>
      </c>
      <c r="M5232" s="379"/>
      <c r="N5232" s="76"/>
      <c r="O5232" s="160" t="s">
        <v>11192</v>
      </c>
      <c r="P5232" s="160" t="s">
        <v>67</v>
      </c>
      <c r="Q5232" s="160" t="s">
        <v>99</v>
      </c>
      <c r="R5232" s="160" t="s">
        <v>272</v>
      </c>
    </row>
    <row r="5233" spans="1:18" ht="69" customHeight="1">
      <c r="A5233" s="168"/>
      <c r="B5233" s="207">
        <v>2377</v>
      </c>
      <c r="C5233" s="207" t="s">
        <v>458</v>
      </c>
      <c r="D5233" s="301" t="s">
        <v>4338</v>
      </c>
      <c r="E5233" s="207" t="s">
        <v>409</v>
      </c>
      <c r="F5233" s="208" t="s">
        <v>12950</v>
      </c>
      <c r="G5233" s="160" t="s">
        <v>12948</v>
      </c>
      <c r="H5233" s="300">
        <v>15335.28</v>
      </c>
      <c r="I5233" s="209">
        <v>45156</v>
      </c>
      <c r="J5233" s="322" t="s">
        <v>12949</v>
      </c>
      <c r="K5233" s="160" t="s">
        <v>10804</v>
      </c>
      <c r="M5233" s="379"/>
      <c r="N5233" s="76"/>
      <c r="O5233" s="160" t="s">
        <v>11192</v>
      </c>
      <c r="P5233" s="160" t="s">
        <v>67</v>
      </c>
      <c r="Q5233" s="160" t="s">
        <v>90</v>
      </c>
      <c r="R5233" s="160" t="s">
        <v>272</v>
      </c>
    </row>
    <row r="5234" spans="1:18" ht="69" customHeight="1">
      <c r="A5234" s="168"/>
      <c r="B5234" s="207">
        <v>2378</v>
      </c>
      <c r="C5234" s="207" t="s">
        <v>309</v>
      </c>
      <c r="D5234" s="301" t="s">
        <v>4333</v>
      </c>
      <c r="E5234" s="207" t="s">
        <v>409</v>
      </c>
      <c r="F5234" s="208" t="s">
        <v>12951</v>
      </c>
      <c r="G5234" s="160" t="s">
        <v>12948</v>
      </c>
      <c r="H5234" s="300">
        <v>15335.28</v>
      </c>
      <c r="I5234" s="209">
        <v>45156</v>
      </c>
      <c r="J5234" s="322" t="s">
        <v>12949</v>
      </c>
      <c r="K5234" s="160" t="s">
        <v>10804</v>
      </c>
      <c r="M5234" s="379"/>
      <c r="N5234" s="76"/>
      <c r="O5234" s="160" t="s">
        <v>11192</v>
      </c>
      <c r="P5234" s="160" t="s">
        <v>67</v>
      </c>
      <c r="Q5234" s="160" t="s">
        <v>15</v>
      </c>
      <c r="R5234" s="160" t="s">
        <v>272</v>
      </c>
    </row>
    <row r="5235" spans="1:18" ht="69" customHeight="1">
      <c r="A5235" s="168"/>
      <c r="B5235" s="207">
        <v>2379</v>
      </c>
      <c r="C5235" s="207" t="s">
        <v>3667</v>
      </c>
      <c r="D5235" s="301" t="s">
        <v>12952</v>
      </c>
      <c r="E5235" s="207" t="s">
        <v>409</v>
      </c>
      <c r="F5235" s="208" t="s">
        <v>12953</v>
      </c>
      <c r="G5235" s="160" t="s">
        <v>12948</v>
      </c>
      <c r="H5235" s="300">
        <v>19629.16</v>
      </c>
      <c r="I5235" s="209">
        <v>45156</v>
      </c>
      <c r="J5235" s="322" t="s">
        <v>12949</v>
      </c>
      <c r="K5235" s="160" t="s">
        <v>10804</v>
      </c>
      <c r="M5235" s="379"/>
      <c r="N5235" s="76"/>
      <c r="O5235" s="160" t="s">
        <v>11192</v>
      </c>
      <c r="P5235" s="160" t="s">
        <v>67</v>
      </c>
      <c r="Q5235" s="160" t="s">
        <v>49</v>
      </c>
      <c r="R5235" s="160" t="s">
        <v>272</v>
      </c>
    </row>
    <row r="5236" spans="1:18" ht="69" customHeight="1">
      <c r="A5236" s="168"/>
      <c r="B5236" s="178">
        <v>2380</v>
      </c>
      <c r="C5236" s="178" t="s">
        <v>753</v>
      </c>
      <c r="D5236" s="575" t="s">
        <v>5476</v>
      </c>
      <c r="E5236" s="178" t="s">
        <v>755</v>
      </c>
      <c r="F5236" s="210" t="s">
        <v>12954</v>
      </c>
      <c r="G5236" s="58" t="s">
        <v>3531</v>
      </c>
      <c r="H5236" s="546">
        <v>587675.53</v>
      </c>
      <c r="I5236" s="66">
        <v>45153</v>
      </c>
      <c r="J5236" s="411" t="s">
        <v>12955</v>
      </c>
      <c r="K5236" s="58"/>
      <c r="L5236" s="99"/>
      <c r="M5236" s="70" t="s">
        <v>715</v>
      </c>
      <c r="N5236" s="97" t="s">
        <v>716</v>
      </c>
      <c r="O5236" s="58"/>
      <c r="P5236" s="58" t="s">
        <v>28</v>
      </c>
      <c r="Q5236" s="58" t="s">
        <v>20</v>
      </c>
      <c r="R5236" s="58" t="s">
        <v>272</v>
      </c>
    </row>
    <row r="5237" spans="1:18" ht="69" customHeight="1">
      <c r="A5237" s="168"/>
      <c r="B5237" s="178">
        <v>2381</v>
      </c>
      <c r="C5237" s="178" t="s">
        <v>458</v>
      </c>
      <c r="D5237" s="575" t="s">
        <v>4051</v>
      </c>
      <c r="E5237" s="178" t="s">
        <v>11268</v>
      </c>
      <c r="F5237" s="210" t="s">
        <v>12956</v>
      </c>
      <c r="G5237" s="58" t="s">
        <v>12957</v>
      </c>
      <c r="H5237" s="546">
        <v>285489.37</v>
      </c>
      <c r="I5237" s="66">
        <v>45153</v>
      </c>
      <c r="J5237" s="411" t="s">
        <v>12958</v>
      </c>
      <c r="K5237" s="58"/>
      <c r="L5237" s="99"/>
      <c r="M5237" s="70" t="s">
        <v>12959</v>
      </c>
      <c r="N5237" s="97" t="s">
        <v>57</v>
      </c>
      <c r="O5237" s="58" t="s">
        <v>203</v>
      </c>
      <c r="P5237" s="58" t="s">
        <v>57</v>
      </c>
      <c r="Q5237" s="58" t="s">
        <v>100</v>
      </c>
      <c r="R5237" s="58" t="s">
        <v>272</v>
      </c>
    </row>
    <row r="5238" spans="1:18" ht="69" customHeight="1">
      <c r="A5238" s="168"/>
      <c r="B5238" s="178">
        <v>2382</v>
      </c>
      <c r="C5238" s="178" t="s">
        <v>10947</v>
      </c>
      <c r="D5238" s="575" t="s">
        <v>5519</v>
      </c>
      <c r="E5238" s="178" t="s">
        <v>266</v>
      </c>
      <c r="F5238" s="210" t="s">
        <v>12960</v>
      </c>
      <c r="G5238" s="58" t="s">
        <v>12961</v>
      </c>
      <c r="H5238" s="546">
        <v>511.63</v>
      </c>
      <c r="I5238" s="66">
        <v>45131</v>
      </c>
      <c r="J5238" s="411" t="s">
        <v>12962</v>
      </c>
      <c r="K5238" s="58"/>
      <c r="L5238" s="99"/>
      <c r="M5238" s="70" t="s">
        <v>7231</v>
      </c>
      <c r="N5238" s="97" t="s">
        <v>270</v>
      </c>
      <c r="O5238" s="58"/>
      <c r="P5238" s="58" t="s">
        <v>44</v>
      </c>
      <c r="Q5238" s="58" t="s">
        <v>100</v>
      </c>
      <c r="R5238" s="58" t="s">
        <v>272</v>
      </c>
    </row>
    <row r="5239" spans="1:18" ht="69" customHeight="1">
      <c r="A5239" s="168"/>
      <c r="B5239" s="178">
        <v>2383</v>
      </c>
      <c r="C5239" s="59" t="s">
        <v>3667</v>
      </c>
      <c r="D5239" s="575" t="s">
        <v>12963</v>
      </c>
      <c r="E5239" s="178" t="s">
        <v>10602</v>
      </c>
      <c r="F5239" s="210" t="s">
        <v>12964</v>
      </c>
      <c r="G5239" s="58" t="s">
        <v>12965</v>
      </c>
      <c r="H5239" s="546">
        <v>281179.56</v>
      </c>
      <c r="I5239" s="66">
        <v>45138</v>
      </c>
      <c r="J5239" s="411" t="s">
        <v>12966</v>
      </c>
      <c r="K5239" s="58"/>
      <c r="L5239" s="99"/>
      <c r="M5239" s="70" t="s">
        <v>10616</v>
      </c>
      <c r="N5239" s="97" t="s">
        <v>6197</v>
      </c>
      <c r="O5239" s="58"/>
      <c r="P5239" s="58" t="s">
        <v>22</v>
      </c>
      <c r="Q5239" s="58" t="s">
        <v>86</v>
      </c>
      <c r="R5239" s="58" t="s">
        <v>272</v>
      </c>
    </row>
    <row r="5240" spans="1:18" ht="69" customHeight="1">
      <c r="A5240" s="168"/>
      <c r="B5240" s="178">
        <v>2384</v>
      </c>
      <c r="C5240" s="59" t="s">
        <v>3667</v>
      </c>
      <c r="D5240" s="575" t="s">
        <v>12967</v>
      </c>
      <c r="E5240" s="178" t="s">
        <v>10602</v>
      </c>
      <c r="F5240" s="210" t="s">
        <v>12968</v>
      </c>
      <c r="G5240" s="58" t="s">
        <v>12965</v>
      </c>
      <c r="H5240" s="546">
        <v>435611.98</v>
      </c>
      <c r="I5240" s="66">
        <v>45138</v>
      </c>
      <c r="J5240" s="411" t="s">
        <v>12966</v>
      </c>
      <c r="K5240" s="58"/>
      <c r="L5240" s="99"/>
      <c r="M5240" s="70" t="s">
        <v>10625</v>
      </c>
      <c r="N5240" s="97" t="s">
        <v>6197</v>
      </c>
      <c r="O5240" s="58" t="s">
        <v>10607</v>
      </c>
      <c r="P5240" s="58" t="s">
        <v>22</v>
      </c>
      <c r="Q5240" s="58" t="s">
        <v>66</v>
      </c>
      <c r="R5240" s="58" t="s">
        <v>272</v>
      </c>
    </row>
    <row r="5241" spans="1:18" ht="69" customHeight="1">
      <c r="A5241" s="168"/>
      <c r="B5241" s="178">
        <v>2385</v>
      </c>
      <c r="C5241" s="178" t="s">
        <v>657</v>
      </c>
      <c r="D5241" s="575" t="s">
        <v>7397</v>
      </c>
      <c r="E5241" s="178" t="s">
        <v>10602</v>
      </c>
      <c r="F5241" s="210" t="s">
        <v>12969</v>
      </c>
      <c r="G5241" s="58" t="s">
        <v>12970</v>
      </c>
      <c r="H5241" s="546">
        <v>287270.78999999998</v>
      </c>
      <c r="I5241" s="66">
        <v>45138</v>
      </c>
      <c r="J5241" s="411" t="s">
        <v>12966</v>
      </c>
      <c r="K5241" s="58" t="s">
        <v>12971</v>
      </c>
      <c r="L5241" s="99"/>
      <c r="M5241" s="70" t="s">
        <v>10629</v>
      </c>
      <c r="N5241" s="97" t="s">
        <v>6197</v>
      </c>
      <c r="O5241" s="58"/>
      <c r="P5241" s="58" t="s">
        <v>22</v>
      </c>
      <c r="Q5241" s="58" t="s">
        <v>111</v>
      </c>
      <c r="R5241" s="58" t="s">
        <v>272</v>
      </c>
    </row>
    <row r="5242" spans="1:18" ht="69" customHeight="1">
      <c r="A5242" s="168"/>
      <c r="B5242" s="178">
        <v>2386</v>
      </c>
      <c r="C5242" s="59" t="s">
        <v>3667</v>
      </c>
      <c r="D5242" s="575" t="s">
        <v>12972</v>
      </c>
      <c r="E5242" s="178" t="s">
        <v>10602</v>
      </c>
      <c r="F5242" s="210" t="s">
        <v>12973</v>
      </c>
      <c r="G5242" s="58" t="s">
        <v>12965</v>
      </c>
      <c r="H5242" s="546">
        <v>492378.54</v>
      </c>
      <c r="I5242" s="66">
        <v>45138</v>
      </c>
      <c r="J5242" s="411" t="s">
        <v>12966</v>
      </c>
      <c r="K5242" s="58"/>
      <c r="L5242" s="99"/>
      <c r="M5242" s="70" t="s">
        <v>10606</v>
      </c>
      <c r="N5242" s="97" t="s">
        <v>6197</v>
      </c>
      <c r="O5242" s="58"/>
      <c r="P5242" s="58" t="s">
        <v>22</v>
      </c>
      <c r="Q5242" s="58" t="s">
        <v>68</v>
      </c>
      <c r="R5242" s="58" t="s">
        <v>272</v>
      </c>
    </row>
    <row r="5243" spans="1:18" ht="69" customHeight="1">
      <c r="A5243" s="168"/>
      <c r="B5243" s="178">
        <v>2387</v>
      </c>
      <c r="C5243" s="59" t="s">
        <v>3667</v>
      </c>
      <c r="D5243" s="575" t="s">
        <v>12974</v>
      </c>
      <c r="E5243" s="178" t="s">
        <v>10602</v>
      </c>
      <c r="F5243" s="210" t="s">
        <v>12975</v>
      </c>
      <c r="G5243" s="58" t="s">
        <v>12965</v>
      </c>
      <c r="H5243" s="546">
        <v>290957.01</v>
      </c>
      <c r="I5243" s="66">
        <v>45138</v>
      </c>
      <c r="J5243" s="411" t="s">
        <v>12966</v>
      </c>
      <c r="K5243" s="58"/>
      <c r="L5243" s="99"/>
      <c r="M5243" s="70" t="s">
        <v>10611</v>
      </c>
      <c r="N5243" s="97" t="s">
        <v>6197</v>
      </c>
      <c r="O5243" s="58" t="s">
        <v>10607</v>
      </c>
      <c r="P5243" s="58" t="s">
        <v>22</v>
      </c>
      <c r="Q5243" s="58" t="s">
        <v>70</v>
      </c>
      <c r="R5243" s="58" t="s">
        <v>272</v>
      </c>
    </row>
    <row r="5244" spans="1:18" ht="69" customHeight="1">
      <c r="A5244" s="168"/>
      <c r="B5244" s="178">
        <v>2388</v>
      </c>
      <c r="C5244" s="178" t="s">
        <v>9596</v>
      </c>
      <c r="D5244" s="575" t="s">
        <v>7395</v>
      </c>
      <c r="E5244" s="178" t="s">
        <v>755</v>
      </c>
      <c r="F5244" s="210" t="s">
        <v>12976</v>
      </c>
      <c r="G5244" s="58" t="s">
        <v>12022</v>
      </c>
      <c r="H5244" s="546">
        <v>190081.08</v>
      </c>
      <c r="I5244" s="66">
        <v>45138</v>
      </c>
      <c r="J5244" s="411" t="s">
        <v>12977</v>
      </c>
      <c r="K5244" s="58"/>
      <c r="L5244" s="99"/>
      <c r="M5244" s="70" t="s">
        <v>9591</v>
      </c>
      <c r="N5244" s="97" t="s">
        <v>716</v>
      </c>
      <c r="O5244" s="58"/>
      <c r="P5244" s="58" t="s">
        <v>28</v>
      </c>
      <c r="Q5244" s="58" t="s">
        <v>118</v>
      </c>
      <c r="R5244" s="58" t="s">
        <v>272</v>
      </c>
    </row>
    <row r="5245" spans="1:18" ht="69" customHeight="1">
      <c r="A5245" s="168"/>
      <c r="B5245" s="191">
        <v>2389</v>
      </c>
      <c r="C5245" s="191" t="s">
        <v>9322</v>
      </c>
      <c r="D5245" s="533" t="s">
        <v>5192</v>
      </c>
      <c r="E5245" s="191" t="s">
        <v>877</v>
      </c>
      <c r="F5245" s="211" t="s">
        <v>12978</v>
      </c>
      <c r="G5245" s="46" t="s">
        <v>12979</v>
      </c>
      <c r="H5245" s="534">
        <v>5950</v>
      </c>
      <c r="I5245" s="56">
        <v>45153</v>
      </c>
      <c r="J5245" s="412" t="s">
        <v>12980</v>
      </c>
      <c r="K5245" s="46" t="s">
        <v>12981</v>
      </c>
      <c r="L5245" s="99"/>
      <c r="M5245" s="379"/>
      <c r="N5245" s="76" t="s">
        <v>716</v>
      </c>
      <c r="O5245" s="46"/>
      <c r="P5245" s="46" t="s">
        <v>65</v>
      </c>
      <c r="Q5245" s="46" t="s">
        <v>114</v>
      </c>
      <c r="R5245" s="46" t="s">
        <v>272</v>
      </c>
    </row>
    <row r="5246" spans="1:18" ht="69" customHeight="1">
      <c r="A5246" s="168"/>
      <c r="B5246" s="191">
        <v>2390</v>
      </c>
      <c r="C5246" s="191" t="s">
        <v>9596</v>
      </c>
      <c r="D5246" s="533" t="s">
        <v>6997</v>
      </c>
      <c r="E5246" s="191" t="s">
        <v>877</v>
      </c>
      <c r="F5246" s="211" t="s">
        <v>12982</v>
      </c>
      <c r="G5246" s="46" t="s">
        <v>12979</v>
      </c>
      <c r="H5246" s="534">
        <v>6250</v>
      </c>
      <c r="I5246" s="56">
        <v>45153</v>
      </c>
      <c r="J5246" s="412" t="s">
        <v>12980</v>
      </c>
      <c r="K5246" s="46" t="s">
        <v>12981</v>
      </c>
      <c r="L5246" s="99"/>
      <c r="M5246" s="379"/>
      <c r="N5246" s="76" t="s">
        <v>716</v>
      </c>
      <c r="O5246" s="46"/>
      <c r="P5246" s="46" t="s">
        <v>65</v>
      </c>
      <c r="Q5246" s="46" t="s">
        <v>118</v>
      </c>
      <c r="R5246" s="46" t="s">
        <v>272</v>
      </c>
    </row>
    <row r="5247" spans="1:18" ht="69" customHeight="1">
      <c r="A5247" s="168"/>
      <c r="B5247" s="207">
        <v>2391</v>
      </c>
      <c r="C5247" s="207" t="s">
        <v>309</v>
      </c>
      <c r="D5247" s="301" t="s">
        <v>5478</v>
      </c>
      <c r="E5247" s="207" t="s">
        <v>12983</v>
      </c>
      <c r="F5247" s="208" t="s">
        <v>12984</v>
      </c>
      <c r="G5247" s="160" t="s">
        <v>12985</v>
      </c>
      <c r="H5247" s="300">
        <v>49947.199999999997</v>
      </c>
      <c r="I5247" s="209">
        <v>45139</v>
      </c>
      <c r="J5247" s="322" t="s">
        <v>12986</v>
      </c>
      <c r="K5247" s="160" t="s">
        <v>4128</v>
      </c>
      <c r="M5247" s="379"/>
      <c r="N5247" s="76" t="s">
        <v>356</v>
      </c>
      <c r="O5247" s="160" t="s">
        <v>141</v>
      </c>
      <c r="P5247" s="160" t="s">
        <v>67</v>
      </c>
      <c r="Q5247" s="160" t="s">
        <v>113</v>
      </c>
      <c r="R5247" s="160" t="s">
        <v>272</v>
      </c>
    </row>
    <row r="5248" spans="1:18" ht="69" customHeight="1">
      <c r="A5248" s="168"/>
      <c r="B5248" s="178">
        <v>2392</v>
      </c>
      <c r="C5248" s="59" t="s">
        <v>3667</v>
      </c>
      <c r="D5248" s="575" t="s">
        <v>12987</v>
      </c>
      <c r="E5248" s="178" t="s">
        <v>7890</v>
      </c>
      <c r="F5248" s="210" t="s">
        <v>12988</v>
      </c>
      <c r="G5248" s="58" t="s">
        <v>12989</v>
      </c>
      <c r="H5248" s="546">
        <v>238680</v>
      </c>
      <c r="I5248" s="66">
        <v>45133</v>
      </c>
      <c r="J5248" s="411" t="s">
        <v>12990</v>
      </c>
      <c r="K5248" s="58"/>
      <c r="L5248" s="99"/>
      <c r="M5248" s="70" t="s">
        <v>6459</v>
      </c>
      <c r="N5248" s="97" t="s">
        <v>6197</v>
      </c>
      <c r="O5248" s="58"/>
      <c r="P5248" s="58" t="s">
        <v>22</v>
      </c>
      <c r="Q5248" s="58" t="s">
        <v>74</v>
      </c>
      <c r="R5248" s="58" t="s">
        <v>265</v>
      </c>
    </row>
    <row r="5249" spans="1:18" ht="69" customHeight="1">
      <c r="A5249" s="168"/>
      <c r="B5249" s="178">
        <v>2393</v>
      </c>
      <c r="C5249" s="59" t="s">
        <v>3667</v>
      </c>
      <c r="D5249" s="575" t="s">
        <v>12991</v>
      </c>
      <c r="E5249" s="178" t="s">
        <v>10553</v>
      </c>
      <c r="F5249" s="210" t="s">
        <v>12992</v>
      </c>
      <c r="G5249" s="58" t="s">
        <v>12993</v>
      </c>
      <c r="H5249" s="546">
        <v>413159.91</v>
      </c>
      <c r="I5249" s="66">
        <v>45138</v>
      </c>
      <c r="J5249" s="411" t="s">
        <v>12994</v>
      </c>
      <c r="K5249" s="58"/>
      <c r="L5249" s="99"/>
      <c r="M5249" s="70" t="s">
        <v>6196</v>
      </c>
      <c r="N5249" s="97" t="s">
        <v>6197</v>
      </c>
      <c r="O5249" s="58"/>
      <c r="P5249" s="58" t="s">
        <v>22</v>
      </c>
      <c r="Q5249" s="58" t="s">
        <v>72</v>
      </c>
      <c r="R5249" s="58" t="s">
        <v>272</v>
      </c>
    </row>
    <row r="5250" spans="1:18" ht="69" customHeight="1">
      <c r="A5250" s="168"/>
      <c r="B5250" s="178">
        <v>2394</v>
      </c>
      <c r="C5250" s="59" t="s">
        <v>3667</v>
      </c>
      <c r="D5250" s="575" t="s">
        <v>12995</v>
      </c>
      <c r="E5250" s="178" t="s">
        <v>10553</v>
      </c>
      <c r="F5250" s="210" t="s">
        <v>12996</v>
      </c>
      <c r="G5250" s="58" t="s">
        <v>12997</v>
      </c>
      <c r="H5250" s="546">
        <v>222470.72</v>
      </c>
      <c r="I5250" s="66">
        <v>45138</v>
      </c>
      <c r="J5250" s="411" t="s">
        <v>12994</v>
      </c>
      <c r="K5250" s="58"/>
      <c r="L5250" s="99"/>
      <c r="M5250" s="70" t="s">
        <v>6196</v>
      </c>
      <c r="N5250" s="97" t="s">
        <v>6197</v>
      </c>
      <c r="O5250" s="58"/>
      <c r="P5250" s="58" t="s">
        <v>22</v>
      </c>
      <c r="Q5250" s="58" t="s">
        <v>72</v>
      </c>
      <c r="R5250" s="58" t="s">
        <v>272</v>
      </c>
    </row>
    <row r="5251" spans="1:18" ht="69" customHeight="1">
      <c r="A5251" s="168"/>
      <c r="B5251" s="178">
        <v>2395</v>
      </c>
      <c r="C5251" s="59" t="s">
        <v>3667</v>
      </c>
      <c r="D5251" s="575" t="s">
        <v>12998</v>
      </c>
      <c r="E5251" s="178" t="s">
        <v>10553</v>
      </c>
      <c r="F5251" s="210" t="s">
        <v>12999</v>
      </c>
      <c r="G5251" s="58" t="s">
        <v>12993</v>
      </c>
      <c r="H5251" s="546">
        <v>77740.990000000005</v>
      </c>
      <c r="I5251" s="66">
        <v>45138</v>
      </c>
      <c r="J5251" s="411" t="s">
        <v>12994</v>
      </c>
      <c r="K5251" s="58"/>
      <c r="L5251" s="99"/>
      <c r="M5251" s="70" t="s">
        <v>6196</v>
      </c>
      <c r="N5251" s="97" t="s">
        <v>6197</v>
      </c>
      <c r="O5251" s="58"/>
      <c r="P5251" s="58" t="s">
        <v>22</v>
      </c>
      <c r="Q5251" s="58" t="s">
        <v>72</v>
      </c>
      <c r="R5251" s="58" t="s">
        <v>272</v>
      </c>
    </row>
    <row r="5252" spans="1:18" ht="69" customHeight="1">
      <c r="A5252" s="168"/>
      <c r="B5252" s="178">
        <v>2396</v>
      </c>
      <c r="C5252" s="59" t="s">
        <v>3667</v>
      </c>
      <c r="D5252" s="575" t="s">
        <v>13000</v>
      </c>
      <c r="E5252" s="178" t="s">
        <v>10553</v>
      </c>
      <c r="F5252" s="210" t="s">
        <v>13001</v>
      </c>
      <c r="G5252" s="58" t="s">
        <v>12997</v>
      </c>
      <c r="H5252" s="546">
        <v>41860.53</v>
      </c>
      <c r="I5252" s="66">
        <v>45138</v>
      </c>
      <c r="J5252" s="411" t="s">
        <v>12994</v>
      </c>
      <c r="K5252" s="58"/>
      <c r="L5252" s="99"/>
      <c r="M5252" s="70" t="s">
        <v>6196</v>
      </c>
      <c r="N5252" s="97" t="s">
        <v>6197</v>
      </c>
      <c r="O5252" s="58"/>
      <c r="P5252" s="58" t="s">
        <v>22</v>
      </c>
      <c r="Q5252" s="58" t="s">
        <v>72</v>
      </c>
      <c r="R5252" s="58" t="s">
        <v>272</v>
      </c>
    </row>
    <row r="5253" spans="1:18" ht="69" customHeight="1">
      <c r="A5253" s="168"/>
      <c r="B5253" s="178">
        <v>2397</v>
      </c>
      <c r="C5253" s="178" t="s">
        <v>5558</v>
      </c>
      <c r="D5253" s="575" t="s">
        <v>13002</v>
      </c>
      <c r="E5253" s="178" t="s">
        <v>11508</v>
      </c>
      <c r="F5253" s="210" t="s">
        <v>13003</v>
      </c>
      <c r="G5253" s="58" t="s">
        <v>12935</v>
      </c>
      <c r="H5253" s="546">
        <v>25310.7</v>
      </c>
      <c r="I5253" s="66">
        <v>45153</v>
      </c>
      <c r="J5253" s="411" t="s">
        <v>13004</v>
      </c>
      <c r="K5253" s="58"/>
      <c r="L5253" s="99"/>
      <c r="M5253" s="70" t="s">
        <v>11512</v>
      </c>
      <c r="N5253" s="97" t="s">
        <v>414</v>
      </c>
      <c r="O5253" s="58"/>
      <c r="P5253" s="58" t="s">
        <v>22</v>
      </c>
      <c r="Q5253" s="58" t="s">
        <v>64</v>
      </c>
      <c r="R5253" s="58" t="s">
        <v>265</v>
      </c>
    </row>
    <row r="5254" spans="1:18" ht="69" customHeight="1">
      <c r="A5254" s="168"/>
      <c r="B5254" s="178">
        <v>2398</v>
      </c>
      <c r="C5254" s="59" t="s">
        <v>3667</v>
      </c>
      <c r="D5254" s="575" t="s">
        <v>13005</v>
      </c>
      <c r="E5254" s="178" t="s">
        <v>7890</v>
      </c>
      <c r="F5254" s="210" t="s">
        <v>13006</v>
      </c>
      <c r="G5254" s="58" t="s">
        <v>12989</v>
      </c>
      <c r="H5254" s="546">
        <v>77220</v>
      </c>
      <c r="I5254" s="66">
        <v>45153</v>
      </c>
      <c r="J5254" s="411" t="s">
        <v>13007</v>
      </c>
      <c r="K5254" s="58"/>
      <c r="L5254" s="99"/>
      <c r="M5254" s="70" t="s">
        <v>6582</v>
      </c>
      <c r="N5254" s="97" t="s">
        <v>6197</v>
      </c>
      <c r="O5254" s="58"/>
      <c r="P5254" s="58" t="s">
        <v>22</v>
      </c>
      <c r="Q5254" s="58" t="s">
        <v>76</v>
      </c>
      <c r="R5254" s="58" t="s">
        <v>265</v>
      </c>
    </row>
    <row r="5255" spans="1:18" ht="69" customHeight="1">
      <c r="A5255" s="168"/>
      <c r="B5255" s="178">
        <v>2399</v>
      </c>
      <c r="C5255" s="178" t="s">
        <v>458</v>
      </c>
      <c r="D5255" s="575"/>
      <c r="E5255" s="178" t="s">
        <v>382</v>
      </c>
      <c r="F5255" s="210" t="s">
        <v>13008</v>
      </c>
      <c r="G5255" s="58" t="s">
        <v>13009</v>
      </c>
      <c r="H5255" s="546">
        <v>29180</v>
      </c>
      <c r="I5255" s="66">
        <v>45153</v>
      </c>
      <c r="J5255" s="411" t="s">
        <v>13010</v>
      </c>
      <c r="K5255" s="58"/>
      <c r="L5255" s="99"/>
      <c r="M5255" s="70" t="s">
        <v>11840</v>
      </c>
      <c r="N5255" s="97" t="s">
        <v>387</v>
      </c>
      <c r="O5255" s="45" t="s">
        <v>150</v>
      </c>
      <c r="P5255" s="58" t="s">
        <v>51</v>
      </c>
      <c r="Q5255" s="58" t="s">
        <v>101</v>
      </c>
      <c r="R5255" s="58" t="s">
        <v>272</v>
      </c>
    </row>
    <row r="5256" spans="1:18" ht="69" customHeight="1">
      <c r="A5256" s="168"/>
      <c r="B5256" s="178">
        <v>2400</v>
      </c>
      <c r="C5256" s="178" t="s">
        <v>458</v>
      </c>
      <c r="D5256" s="575">
        <v>1929</v>
      </c>
      <c r="E5256" s="178" t="s">
        <v>382</v>
      </c>
      <c r="F5256" s="210" t="s">
        <v>13011</v>
      </c>
      <c r="G5256" s="58" t="s">
        <v>13012</v>
      </c>
      <c r="H5256" s="546">
        <v>29180</v>
      </c>
      <c r="I5256" s="66">
        <v>45153</v>
      </c>
      <c r="J5256" s="411" t="s">
        <v>13010</v>
      </c>
      <c r="K5256" s="58"/>
      <c r="L5256" s="99"/>
      <c r="M5256" s="70" t="s">
        <v>8541</v>
      </c>
      <c r="N5256" s="97" t="s">
        <v>387</v>
      </c>
      <c r="O5256" s="45" t="s">
        <v>150</v>
      </c>
      <c r="P5256" s="58" t="s">
        <v>51</v>
      </c>
      <c r="Q5256" s="58" t="s">
        <v>108</v>
      </c>
      <c r="R5256" s="58" t="s">
        <v>272</v>
      </c>
    </row>
    <row r="5257" spans="1:18" ht="69" customHeight="1">
      <c r="A5257" s="168"/>
      <c r="B5257" s="178">
        <v>2401</v>
      </c>
      <c r="C5257" s="178" t="s">
        <v>458</v>
      </c>
      <c r="D5257" s="575">
        <v>1930</v>
      </c>
      <c r="E5257" s="178" t="s">
        <v>382</v>
      </c>
      <c r="F5257" s="210" t="s">
        <v>13013</v>
      </c>
      <c r="G5257" s="58" t="s">
        <v>13012</v>
      </c>
      <c r="H5257" s="546">
        <v>29180</v>
      </c>
      <c r="I5257" s="66">
        <v>45153</v>
      </c>
      <c r="J5257" s="411" t="s">
        <v>13010</v>
      </c>
      <c r="K5257" s="58"/>
      <c r="L5257" s="99"/>
      <c r="M5257" s="70" t="s">
        <v>9724</v>
      </c>
      <c r="N5257" s="97" t="s">
        <v>387</v>
      </c>
      <c r="O5257" s="45" t="s">
        <v>150</v>
      </c>
      <c r="P5257" s="58" t="s">
        <v>51</v>
      </c>
      <c r="Q5257" s="58" t="s">
        <v>119</v>
      </c>
      <c r="R5257" s="58" t="s">
        <v>272</v>
      </c>
    </row>
    <row r="5258" spans="1:18" ht="69" customHeight="1">
      <c r="A5258" s="168"/>
      <c r="B5258" s="178">
        <v>2402</v>
      </c>
      <c r="C5258" s="178" t="s">
        <v>309</v>
      </c>
      <c r="D5258" s="575">
        <v>1909</v>
      </c>
      <c r="E5258" s="178" t="s">
        <v>382</v>
      </c>
      <c r="F5258" s="210" t="s">
        <v>13014</v>
      </c>
      <c r="G5258" s="58" t="s">
        <v>13012</v>
      </c>
      <c r="H5258" s="546">
        <v>26582</v>
      </c>
      <c r="I5258" s="66">
        <v>45153</v>
      </c>
      <c r="J5258" s="411" t="s">
        <v>13010</v>
      </c>
      <c r="K5258" s="58"/>
      <c r="L5258" s="99"/>
      <c r="M5258" s="70" t="s">
        <v>1319</v>
      </c>
      <c r="N5258" s="97" t="s">
        <v>387</v>
      </c>
      <c r="O5258" s="45" t="s">
        <v>150</v>
      </c>
      <c r="P5258" s="58" t="s">
        <v>51</v>
      </c>
      <c r="Q5258" s="58" t="s">
        <v>25</v>
      </c>
      <c r="R5258" s="58" t="s">
        <v>272</v>
      </c>
    </row>
    <row r="5259" spans="1:18" ht="69" customHeight="1">
      <c r="A5259" s="168"/>
      <c r="B5259" s="178">
        <v>2403</v>
      </c>
      <c r="C5259" s="178" t="s">
        <v>657</v>
      </c>
      <c r="D5259" s="575">
        <v>1344</v>
      </c>
      <c r="E5259" s="178" t="s">
        <v>382</v>
      </c>
      <c r="F5259" s="210" t="s">
        <v>13015</v>
      </c>
      <c r="G5259" s="58" t="s">
        <v>13012</v>
      </c>
      <c r="H5259" s="546">
        <v>29180</v>
      </c>
      <c r="I5259" s="66">
        <v>45153</v>
      </c>
      <c r="J5259" s="411" t="s">
        <v>13010</v>
      </c>
      <c r="K5259" s="58"/>
      <c r="L5259" s="99"/>
      <c r="M5259" s="70" t="s">
        <v>11837</v>
      </c>
      <c r="N5259" s="97" t="s">
        <v>387</v>
      </c>
      <c r="O5259" s="45" t="s">
        <v>150</v>
      </c>
      <c r="P5259" s="58" t="s">
        <v>51</v>
      </c>
      <c r="Q5259" s="58" t="s">
        <v>102</v>
      </c>
      <c r="R5259" s="58" t="s">
        <v>272</v>
      </c>
    </row>
    <row r="5260" spans="1:18" ht="69" customHeight="1">
      <c r="A5260" s="168"/>
      <c r="B5260" s="178">
        <v>2404</v>
      </c>
      <c r="C5260" s="178" t="s">
        <v>657</v>
      </c>
      <c r="D5260" s="575">
        <v>1345</v>
      </c>
      <c r="E5260" s="178" t="s">
        <v>382</v>
      </c>
      <c r="F5260" s="210" t="s">
        <v>13016</v>
      </c>
      <c r="G5260" s="58" t="s">
        <v>13012</v>
      </c>
      <c r="H5260" s="546">
        <v>29180</v>
      </c>
      <c r="I5260" s="66">
        <v>45153</v>
      </c>
      <c r="J5260" s="411" t="s">
        <v>13010</v>
      </c>
      <c r="K5260" s="58"/>
      <c r="L5260" s="99"/>
      <c r="M5260" s="70" t="s">
        <v>10019</v>
      </c>
      <c r="N5260" s="97" t="s">
        <v>387</v>
      </c>
      <c r="O5260" s="45" t="s">
        <v>150</v>
      </c>
      <c r="P5260" s="58" t="s">
        <v>51</v>
      </c>
      <c r="Q5260" s="58" t="s">
        <v>120</v>
      </c>
      <c r="R5260" s="58" t="s">
        <v>272</v>
      </c>
    </row>
    <row r="5261" spans="1:18" ht="69" customHeight="1">
      <c r="A5261" s="168"/>
      <c r="B5261" s="178">
        <v>2405</v>
      </c>
      <c r="C5261" s="178" t="s">
        <v>657</v>
      </c>
      <c r="D5261" s="575">
        <v>1346</v>
      </c>
      <c r="E5261" s="178" t="s">
        <v>382</v>
      </c>
      <c r="F5261" s="210" t="s">
        <v>13017</v>
      </c>
      <c r="G5261" s="58" t="s">
        <v>13012</v>
      </c>
      <c r="H5261" s="546">
        <v>26582</v>
      </c>
      <c r="I5261" s="66">
        <v>45153</v>
      </c>
      <c r="J5261" s="411" t="s">
        <v>13010</v>
      </c>
      <c r="K5261" s="58"/>
      <c r="L5261" s="99"/>
      <c r="M5261" s="70" t="s">
        <v>8680</v>
      </c>
      <c r="N5261" s="97" t="s">
        <v>387</v>
      </c>
      <c r="O5261" s="58" t="s">
        <v>150</v>
      </c>
      <c r="P5261" s="58" t="s">
        <v>51</v>
      </c>
      <c r="Q5261" s="58" t="s">
        <v>109</v>
      </c>
      <c r="R5261" s="58" t="s">
        <v>272</v>
      </c>
    </row>
    <row r="5262" spans="1:18" ht="69" customHeight="1">
      <c r="A5262" s="168"/>
      <c r="B5262" s="178">
        <v>2406</v>
      </c>
      <c r="C5262" s="178" t="s">
        <v>458</v>
      </c>
      <c r="D5262" s="575">
        <v>1931</v>
      </c>
      <c r="E5262" s="45" t="s">
        <v>10495</v>
      </c>
      <c r="F5262" s="210" t="s">
        <v>13018</v>
      </c>
      <c r="G5262" s="58" t="s">
        <v>13019</v>
      </c>
      <c r="H5262" s="546">
        <v>163432.54</v>
      </c>
      <c r="I5262" s="66">
        <v>45138</v>
      </c>
      <c r="J5262" s="411" t="s">
        <v>13020</v>
      </c>
      <c r="K5262" s="58"/>
      <c r="L5262" s="99"/>
      <c r="M5262" s="70" t="s">
        <v>10498</v>
      </c>
      <c r="N5262" s="97" t="s">
        <v>414</v>
      </c>
      <c r="O5262" s="45" t="s">
        <v>147</v>
      </c>
      <c r="P5262" s="58" t="s">
        <v>22</v>
      </c>
      <c r="Q5262" s="58" t="s">
        <v>122</v>
      </c>
      <c r="R5262" s="58" t="s">
        <v>272</v>
      </c>
    </row>
    <row r="5263" spans="1:18" ht="69" customHeight="1">
      <c r="A5263" s="168"/>
      <c r="B5263" s="178">
        <v>2407</v>
      </c>
      <c r="C5263" s="178" t="s">
        <v>458</v>
      </c>
      <c r="D5263" s="575">
        <v>1932</v>
      </c>
      <c r="E5263" s="45" t="s">
        <v>10495</v>
      </c>
      <c r="F5263" s="210" t="s">
        <v>13021</v>
      </c>
      <c r="G5263" s="58" t="s">
        <v>13022</v>
      </c>
      <c r="H5263" s="546">
        <v>88002.14</v>
      </c>
      <c r="I5263" s="66">
        <v>45138</v>
      </c>
      <c r="J5263" s="411" t="s">
        <v>13020</v>
      </c>
      <c r="K5263" s="58"/>
      <c r="L5263" s="99"/>
      <c r="M5263" s="70" t="s">
        <v>10498</v>
      </c>
      <c r="N5263" s="97" t="s">
        <v>414</v>
      </c>
      <c r="O5263" s="45" t="s">
        <v>147</v>
      </c>
      <c r="P5263" s="58" t="s">
        <v>22</v>
      </c>
      <c r="Q5263" s="58" t="s">
        <v>122</v>
      </c>
      <c r="R5263" s="58" t="s">
        <v>272</v>
      </c>
    </row>
    <row r="5264" spans="1:18" ht="69" customHeight="1">
      <c r="A5264" s="168"/>
      <c r="B5264" s="178">
        <v>2408</v>
      </c>
      <c r="C5264" s="178" t="s">
        <v>458</v>
      </c>
      <c r="D5264" s="575">
        <v>1933</v>
      </c>
      <c r="E5264" s="178" t="s">
        <v>10553</v>
      </c>
      <c r="F5264" s="210" t="s">
        <v>13023</v>
      </c>
      <c r="G5264" s="58" t="s">
        <v>13019</v>
      </c>
      <c r="H5264" s="546">
        <v>144500.64000000001</v>
      </c>
      <c r="I5264" s="66">
        <v>45138</v>
      </c>
      <c r="J5264" s="411" t="s">
        <v>13020</v>
      </c>
      <c r="K5264" s="58"/>
      <c r="L5264" s="99"/>
      <c r="M5264" s="70" t="s">
        <v>10556</v>
      </c>
      <c r="N5264" s="97" t="s">
        <v>414</v>
      </c>
      <c r="O5264" s="58"/>
      <c r="P5264" s="58" t="s">
        <v>22</v>
      </c>
      <c r="Q5264" s="58" t="s">
        <v>123</v>
      </c>
      <c r="R5264" s="58" t="s">
        <v>272</v>
      </c>
    </row>
    <row r="5265" spans="1:18" ht="69" customHeight="1">
      <c r="A5265" s="168"/>
      <c r="B5265" s="178">
        <v>2409</v>
      </c>
      <c r="C5265" s="178" t="s">
        <v>458</v>
      </c>
      <c r="D5265" s="575">
        <v>1934</v>
      </c>
      <c r="E5265" s="178" t="s">
        <v>10553</v>
      </c>
      <c r="F5265" s="210" t="s">
        <v>13024</v>
      </c>
      <c r="G5265" s="58" t="s">
        <v>13022</v>
      </c>
      <c r="H5265" s="546">
        <v>77808.039999999994</v>
      </c>
      <c r="I5265" s="66">
        <v>45138</v>
      </c>
      <c r="J5265" s="411" t="s">
        <v>13020</v>
      </c>
      <c r="K5265" s="58"/>
      <c r="L5265" s="99"/>
      <c r="M5265" s="70" t="s">
        <v>10556</v>
      </c>
      <c r="N5265" s="97" t="s">
        <v>414</v>
      </c>
      <c r="O5265" s="58"/>
      <c r="P5265" s="58" t="s">
        <v>22</v>
      </c>
      <c r="Q5265" s="58" t="s">
        <v>123</v>
      </c>
      <c r="R5265" s="58" t="s">
        <v>272</v>
      </c>
    </row>
    <row r="5266" spans="1:18" ht="69" customHeight="1">
      <c r="A5266" s="168"/>
      <c r="B5266" s="178">
        <v>2410</v>
      </c>
      <c r="C5266" s="178" t="s">
        <v>458</v>
      </c>
      <c r="D5266" s="575">
        <v>1935</v>
      </c>
      <c r="E5266" s="178" t="s">
        <v>10553</v>
      </c>
      <c r="F5266" s="210" t="s">
        <v>13025</v>
      </c>
      <c r="G5266" s="58" t="s">
        <v>13019</v>
      </c>
      <c r="H5266" s="546">
        <v>47637.77</v>
      </c>
      <c r="I5266" s="66">
        <v>45138</v>
      </c>
      <c r="J5266" s="411" t="s">
        <v>13020</v>
      </c>
      <c r="K5266" s="58"/>
      <c r="L5266" s="99"/>
      <c r="M5266" s="70" t="s">
        <v>13026</v>
      </c>
      <c r="N5266" s="97" t="s">
        <v>414</v>
      </c>
      <c r="O5266" s="58"/>
      <c r="P5266" s="58" t="s">
        <v>22</v>
      </c>
      <c r="Q5266" s="58" t="s">
        <v>112</v>
      </c>
      <c r="R5266" s="58" t="s">
        <v>272</v>
      </c>
    </row>
    <row r="5267" spans="1:18" ht="69" customHeight="1">
      <c r="A5267" s="168"/>
      <c r="B5267" s="178">
        <v>2411</v>
      </c>
      <c r="C5267" s="178" t="s">
        <v>458</v>
      </c>
      <c r="D5267" s="575">
        <v>1936</v>
      </c>
      <c r="E5267" s="178" t="s">
        <v>10553</v>
      </c>
      <c r="F5267" s="210" t="s">
        <v>13027</v>
      </c>
      <c r="G5267" s="58" t="s">
        <v>13022</v>
      </c>
      <c r="H5267" s="546">
        <v>25651.11</v>
      </c>
      <c r="I5267" s="66">
        <v>45138</v>
      </c>
      <c r="J5267" s="411" t="s">
        <v>13020</v>
      </c>
      <c r="K5267" s="58"/>
      <c r="L5267" s="99"/>
      <c r="M5267" s="70" t="s">
        <v>13026</v>
      </c>
      <c r="N5267" s="97" t="s">
        <v>414</v>
      </c>
      <c r="O5267" s="58"/>
      <c r="P5267" s="58" t="s">
        <v>22</v>
      </c>
      <c r="Q5267" s="58" t="s">
        <v>112</v>
      </c>
      <c r="R5267" s="58" t="s">
        <v>272</v>
      </c>
    </row>
    <row r="5268" spans="1:18" ht="69" customHeight="1">
      <c r="A5268" s="168"/>
      <c r="B5268" s="178">
        <v>2412</v>
      </c>
      <c r="C5268" s="178" t="s">
        <v>458</v>
      </c>
      <c r="D5268" s="575">
        <v>1937</v>
      </c>
      <c r="E5268" s="178" t="s">
        <v>10553</v>
      </c>
      <c r="F5268" s="210" t="s">
        <v>13028</v>
      </c>
      <c r="G5268" s="58" t="s">
        <v>13019</v>
      </c>
      <c r="H5268" s="546">
        <v>39853.370000000003</v>
      </c>
      <c r="I5268" s="66">
        <v>45138</v>
      </c>
      <c r="J5268" s="411" t="s">
        <v>13020</v>
      </c>
      <c r="K5268" s="58"/>
      <c r="L5268" s="99"/>
      <c r="M5268" s="70" t="s">
        <v>7056</v>
      </c>
      <c r="N5268" s="97" t="s">
        <v>414</v>
      </c>
      <c r="O5268" s="45" t="s">
        <v>147</v>
      </c>
      <c r="P5268" s="58" t="s">
        <v>22</v>
      </c>
      <c r="Q5268" s="58" t="s">
        <v>88</v>
      </c>
      <c r="R5268" s="58" t="s">
        <v>272</v>
      </c>
    </row>
    <row r="5269" spans="1:18" ht="69" customHeight="1">
      <c r="A5269" s="168"/>
      <c r="B5269" s="178">
        <v>2413</v>
      </c>
      <c r="C5269" s="178" t="s">
        <v>458</v>
      </c>
      <c r="D5269" s="575">
        <v>1939</v>
      </c>
      <c r="E5269" s="178" t="s">
        <v>10553</v>
      </c>
      <c r="F5269" s="210" t="s">
        <v>13029</v>
      </c>
      <c r="G5269" s="58" t="s">
        <v>13022</v>
      </c>
      <c r="H5269" s="546">
        <v>21459.51</v>
      </c>
      <c r="I5269" s="66">
        <v>45138</v>
      </c>
      <c r="J5269" s="411" t="s">
        <v>13020</v>
      </c>
      <c r="K5269" s="58"/>
      <c r="L5269" s="99"/>
      <c r="M5269" s="70" t="s">
        <v>7056</v>
      </c>
      <c r="N5269" s="97" t="s">
        <v>414</v>
      </c>
      <c r="O5269" s="45" t="s">
        <v>147</v>
      </c>
      <c r="P5269" s="58" t="s">
        <v>22</v>
      </c>
      <c r="Q5269" s="58" t="s">
        <v>88</v>
      </c>
      <c r="R5269" s="58" t="s">
        <v>272</v>
      </c>
    </row>
    <row r="5270" spans="1:18" ht="69" customHeight="1">
      <c r="A5270" s="168"/>
      <c r="B5270" s="178">
        <v>2414</v>
      </c>
      <c r="C5270" s="178" t="s">
        <v>458</v>
      </c>
      <c r="D5270" s="575">
        <v>1942</v>
      </c>
      <c r="E5270" s="45" t="s">
        <v>10495</v>
      </c>
      <c r="F5270" s="210" t="s">
        <v>13030</v>
      </c>
      <c r="G5270" s="58" t="s">
        <v>13031</v>
      </c>
      <c r="H5270" s="546">
        <v>66502.8</v>
      </c>
      <c r="I5270" s="66">
        <v>45138</v>
      </c>
      <c r="J5270" s="411" t="s">
        <v>13032</v>
      </c>
      <c r="K5270" s="58"/>
      <c r="L5270" s="99"/>
      <c r="M5270" s="70" t="s">
        <v>10498</v>
      </c>
      <c r="N5270" s="97" t="s">
        <v>414</v>
      </c>
      <c r="O5270" s="45" t="s">
        <v>147</v>
      </c>
      <c r="P5270" s="58" t="s">
        <v>22</v>
      </c>
      <c r="Q5270" s="58" t="s">
        <v>122</v>
      </c>
      <c r="R5270" s="58" t="s">
        <v>272</v>
      </c>
    </row>
    <row r="5271" spans="1:18" ht="69" customHeight="1">
      <c r="A5271" s="168"/>
      <c r="B5271" s="178">
        <v>2415</v>
      </c>
      <c r="C5271" s="178" t="s">
        <v>458</v>
      </c>
      <c r="D5271" s="575">
        <v>1943</v>
      </c>
      <c r="E5271" s="45" t="s">
        <v>10495</v>
      </c>
      <c r="F5271" s="210" t="s">
        <v>13033</v>
      </c>
      <c r="G5271" s="58" t="s">
        <v>13034</v>
      </c>
      <c r="H5271" s="546">
        <v>35809.199999999997</v>
      </c>
      <c r="I5271" s="66">
        <v>45138</v>
      </c>
      <c r="J5271" s="411" t="s">
        <v>13032</v>
      </c>
      <c r="K5271" s="58"/>
      <c r="L5271" s="99"/>
      <c r="M5271" s="70" t="s">
        <v>10498</v>
      </c>
      <c r="N5271" s="97" t="s">
        <v>414</v>
      </c>
      <c r="O5271" s="45" t="s">
        <v>147</v>
      </c>
      <c r="P5271" s="58" t="s">
        <v>22</v>
      </c>
      <c r="Q5271" s="58" t="s">
        <v>122</v>
      </c>
      <c r="R5271" s="58" t="s">
        <v>272</v>
      </c>
    </row>
    <row r="5272" spans="1:18" ht="69" customHeight="1">
      <c r="A5272" s="168"/>
      <c r="B5272" s="178">
        <v>2416</v>
      </c>
      <c r="C5272" s="178" t="s">
        <v>458</v>
      </c>
      <c r="D5272" s="575">
        <v>1944</v>
      </c>
      <c r="E5272" s="178" t="s">
        <v>10553</v>
      </c>
      <c r="F5272" s="210" t="s">
        <v>13035</v>
      </c>
      <c r="G5272" s="58" t="s">
        <v>13031</v>
      </c>
      <c r="H5272" s="546">
        <v>66502.8</v>
      </c>
      <c r="I5272" s="66">
        <v>45138</v>
      </c>
      <c r="J5272" s="411" t="s">
        <v>13032</v>
      </c>
      <c r="K5272" s="58"/>
      <c r="L5272" s="99"/>
      <c r="M5272" s="70" t="s">
        <v>10556</v>
      </c>
      <c r="N5272" s="97" t="s">
        <v>414</v>
      </c>
      <c r="O5272" s="58"/>
      <c r="P5272" s="58" t="s">
        <v>22</v>
      </c>
      <c r="Q5272" s="58" t="s">
        <v>123</v>
      </c>
      <c r="R5272" s="58" t="s">
        <v>272</v>
      </c>
    </row>
    <row r="5273" spans="1:18" ht="69" customHeight="1">
      <c r="A5273" s="168"/>
      <c r="B5273" s="178">
        <v>2417</v>
      </c>
      <c r="C5273" s="178" t="s">
        <v>458</v>
      </c>
      <c r="D5273" s="575">
        <v>1945</v>
      </c>
      <c r="E5273" s="178" t="s">
        <v>10553</v>
      </c>
      <c r="F5273" s="210" t="s">
        <v>13036</v>
      </c>
      <c r="G5273" s="58" t="s">
        <v>13034</v>
      </c>
      <c r="H5273" s="546">
        <v>35809.199999999997</v>
      </c>
      <c r="I5273" s="66">
        <v>45138</v>
      </c>
      <c r="J5273" s="411" t="s">
        <v>13032</v>
      </c>
      <c r="K5273" s="58"/>
      <c r="L5273" s="99"/>
      <c r="M5273" s="70" t="s">
        <v>10556</v>
      </c>
      <c r="N5273" s="97" t="s">
        <v>414</v>
      </c>
      <c r="O5273" s="58"/>
      <c r="P5273" s="58" t="s">
        <v>22</v>
      </c>
      <c r="Q5273" s="58" t="s">
        <v>123</v>
      </c>
      <c r="R5273" s="58" t="s">
        <v>272</v>
      </c>
    </row>
    <row r="5274" spans="1:18" ht="69" customHeight="1">
      <c r="A5274" s="168"/>
      <c r="B5274" s="178">
        <v>2418</v>
      </c>
      <c r="C5274" s="178" t="s">
        <v>458</v>
      </c>
      <c r="D5274" s="575">
        <v>1946</v>
      </c>
      <c r="E5274" s="178" t="s">
        <v>10553</v>
      </c>
      <c r="F5274" s="210" t="s">
        <v>13037</v>
      </c>
      <c r="G5274" s="58" t="s">
        <v>13031</v>
      </c>
      <c r="H5274" s="546">
        <v>26601.119999999999</v>
      </c>
      <c r="I5274" s="66">
        <v>45138</v>
      </c>
      <c r="J5274" s="411" t="s">
        <v>13032</v>
      </c>
      <c r="K5274" s="58"/>
      <c r="L5274" s="99"/>
      <c r="M5274" s="70" t="s">
        <v>13026</v>
      </c>
      <c r="N5274" s="97" t="s">
        <v>414</v>
      </c>
      <c r="O5274" s="58"/>
      <c r="P5274" s="58" t="s">
        <v>22</v>
      </c>
      <c r="Q5274" s="58" t="s">
        <v>112</v>
      </c>
      <c r="R5274" s="58" t="s">
        <v>272</v>
      </c>
    </row>
    <row r="5275" spans="1:18" ht="69" customHeight="1">
      <c r="A5275" s="168"/>
      <c r="B5275" s="178">
        <v>2419</v>
      </c>
      <c r="C5275" s="178" t="s">
        <v>458</v>
      </c>
      <c r="D5275" s="575">
        <v>1947</v>
      </c>
      <c r="E5275" s="178" t="s">
        <v>10553</v>
      </c>
      <c r="F5275" s="210" t="s">
        <v>13038</v>
      </c>
      <c r="G5275" s="58" t="s">
        <v>13034</v>
      </c>
      <c r="H5275" s="546">
        <v>14323.68</v>
      </c>
      <c r="I5275" s="66">
        <v>45138</v>
      </c>
      <c r="J5275" s="411" t="s">
        <v>13032</v>
      </c>
      <c r="K5275" s="58"/>
      <c r="L5275" s="99"/>
      <c r="M5275" s="70" t="s">
        <v>13026</v>
      </c>
      <c r="N5275" s="97" t="s">
        <v>414</v>
      </c>
      <c r="O5275" s="58"/>
      <c r="P5275" s="58" t="s">
        <v>22</v>
      </c>
      <c r="Q5275" s="58" t="s">
        <v>112</v>
      </c>
      <c r="R5275" s="58" t="s">
        <v>272</v>
      </c>
    </row>
    <row r="5276" spans="1:18" ht="69" customHeight="1">
      <c r="A5276" s="168"/>
      <c r="B5276" s="178">
        <v>2420</v>
      </c>
      <c r="C5276" s="178" t="s">
        <v>458</v>
      </c>
      <c r="D5276" s="575">
        <v>1948</v>
      </c>
      <c r="E5276" s="178" t="s">
        <v>10553</v>
      </c>
      <c r="F5276" s="210" t="s">
        <v>13039</v>
      </c>
      <c r="G5276" s="58" t="s">
        <v>13031</v>
      </c>
      <c r="H5276" s="546">
        <v>26601.119999999999</v>
      </c>
      <c r="I5276" s="66">
        <v>45138</v>
      </c>
      <c r="J5276" s="411" t="s">
        <v>13032</v>
      </c>
      <c r="K5276" s="58"/>
      <c r="L5276" s="99"/>
      <c r="M5276" s="70" t="s">
        <v>7056</v>
      </c>
      <c r="N5276" s="97" t="s">
        <v>414</v>
      </c>
      <c r="O5276" s="45" t="s">
        <v>147</v>
      </c>
      <c r="P5276" s="58" t="s">
        <v>22</v>
      </c>
      <c r="Q5276" s="58" t="s">
        <v>88</v>
      </c>
      <c r="R5276" s="58" t="s">
        <v>272</v>
      </c>
    </row>
    <row r="5277" spans="1:18" ht="69" customHeight="1">
      <c r="A5277" s="168"/>
      <c r="B5277" s="178">
        <v>2421</v>
      </c>
      <c r="C5277" s="178" t="s">
        <v>458</v>
      </c>
      <c r="D5277" s="575">
        <v>1949</v>
      </c>
      <c r="E5277" s="178" t="s">
        <v>10553</v>
      </c>
      <c r="F5277" s="210" t="s">
        <v>13040</v>
      </c>
      <c r="G5277" s="58" t="s">
        <v>13034</v>
      </c>
      <c r="H5277" s="546">
        <v>14323.68</v>
      </c>
      <c r="I5277" s="66">
        <v>45138</v>
      </c>
      <c r="J5277" s="411" t="s">
        <v>13032</v>
      </c>
      <c r="K5277" s="58"/>
      <c r="L5277" s="99"/>
      <c r="M5277" s="70" t="s">
        <v>7056</v>
      </c>
      <c r="N5277" s="97" t="s">
        <v>414</v>
      </c>
      <c r="O5277" s="45" t="s">
        <v>147</v>
      </c>
      <c r="P5277" s="58" t="s">
        <v>22</v>
      </c>
      <c r="Q5277" s="58" t="s">
        <v>88</v>
      </c>
      <c r="R5277" s="58" t="s">
        <v>272</v>
      </c>
    </row>
    <row r="5278" spans="1:18" ht="69" customHeight="1">
      <c r="A5278" s="168"/>
      <c r="B5278" s="178">
        <v>2422</v>
      </c>
      <c r="C5278" s="178" t="s">
        <v>458</v>
      </c>
      <c r="D5278" s="575">
        <v>1938</v>
      </c>
      <c r="E5278" s="178" t="s">
        <v>382</v>
      </c>
      <c r="F5278" s="210" t="s">
        <v>13041</v>
      </c>
      <c r="G5278" s="58" t="s">
        <v>13042</v>
      </c>
      <c r="H5278" s="546">
        <v>7808</v>
      </c>
      <c r="I5278" s="66">
        <v>45153</v>
      </c>
      <c r="J5278" s="411" t="s">
        <v>13043</v>
      </c>
      <c r="K5278" s="58"/>
      <c r="L5278" s="99"/>
      <c r="M5278" s="70" t="s">
        <v>10253</v>
      </c>
      <c r="N5278" s="97" t="s">
        <v>387</v>
      </c>
      <c r="O5278" s="45" t="s">
        <v>150</v>
      </c>
      <c r="P5278" s="58" t="s">
        <v>51</v>
      </c>
      <c r="Q5278" s="58" t="s">
        <v>121</v>
      </c>
      <c r="R5278" s="58" t="s">
        <v>272</v>
      </c>
    </row>
    <row r="5279" spans="1:18" ht="69" customHeight="1">
      <c r="A5279" s="168"/>
      <c r="B5279" s="178">
        <v>2423</v>
      </c>
      <c r="C5279" s="178" t="s">
        <v>458</v>
      </c>
      <c r="D5279" s="575">
        <v>1940</v>
      </c>
      <c r="E5279" s="178" t="s">
        <v>382</v>
      </c>
      <c r="F5279" s="210" t="s">
        <v>13044</v>
      </c>
      <c r="G5279" s="58" t="s">
        <v>13042</v>
      </c>
      <c r="H5279" s="546">
        <v>7808</v>
      </c>
      <c r="I5279" s="66">
        <v>45153</v>
      </c>
      <c r="J5279" s="411" t="s">
        <v>13043</v>
      </c>
      <c r="K5279" s="58"/>
      <c r="L5279" s="99"/>
      <c r="M5279" s="70" t="s">
        <v>8541</v>
      </c>
      <c r="N5279" s="97" t="s">
        <v>387</v>
      </c>
      <c r="O5279" s="45" t="s">
        <v>150</v>
      </c>
      <c r="P5279" s="58" t="s">
        <v>51</v>
      </c>
      <c r="Q5279" s="58" t="s">
        <v>108</v>
      </c>
      <c r="R5279" s="58" t="s">
        <v>272</v>
      </c>
    </row>
    <row r="5280" spans="1:18" ht="69" customHeight="1">
      <c r="A5280" s="168"/>
      <c r="B5280" s="178">
        <v>2424</v>
      </c>
      <c r="C5280" s="178" t="s">
        <v>458</v>
      </c>
      <c r="D5280" s="575">
        <v>1941</v>
      </c>
      <c r="E5280" s="178" t="s">
        <v>382</v>
      </c>
      <c r="F5280" s="210" t="s">
        <v>13045</v>
      </c>
      <c r="G5280" s="58" t="s">
        <v>13046</v>
      </c>
      <c r="H5280" s="546">
        <v>12000</v>
      </c>
      <c r="I5280" s="66">
        <v>45153</v>
      </c>
      <c r="J5280" s="411" t="s">
        <v>13047</v>
      </c>
      <c r="K5280" s="58"/>
      <c r="L5280" s="99"/>
      <c r="M5280" s="70" t="s">
        <v>8541</v>
      </c>
      <c r="N5280" s="97" t="s">
        <v>387</v>
      </c>
      <c r="O5280" s="45" t="s">
        <v>150</v>
      </c>
      <c r="P5280" s="58" t="s">
        <v>51</v>
      </c>
      <c r="Q5280" s="58" t="s">
        <v>108</v>
      </c>
      <c r="R5280" s="58" t="s">
        <v>272</v>
      </c>
    </row>
    <row r="5281" spans="1:18" ht="69" customHeight="1">
      <c r="A5281" s="168"/>
      <c r="B5281" s="178">
        <v>2425</v>
      </c>
      <c r="C5281" s="178" t="s">
        <v>657</v>
      </c>
      <c r="D5281" s="575">
        <v>1347</v>
      </c>
      <c r="E5281" s="178" t="s">
        <v>382</v>
      </c>
      <c r="F5281" s="210" t="s">
        <v>13048</v>
      </c>
      <c r="G5281" s="58" t="s">
        <v>13046</v>
      </c>
      <c r="H5281" s="546">
        <v>12000</v>
      </c>
      <c r="I5281" s="66">
        <v>45153</v>
      </c>
      <c r="J5281" s="411" t="s">
        <v>13047</v>
      </c>
      <c r="K5281" s="58"/>
      <c r="L5281" s="99"/>
      <c r="M5281" s="70" t="s">
        <v>8680</v>
      </c>
      <c r="N5281" s="97" t="s">
        <v>387</v>
      </c>
      <c r="O5281" s="58" t="s">
        <v>150</v>
      </c>
      <c r="P5281" s="58" t="s">
        <v>51</v>
      </c>
      <c r="Q5281" s="58" t="s">
        <v>109</v>
      </c>
      <c r="R5281" s="58" t="s">
        <v>272</v>
      </c>
    </row>
    <row r="5282" spans="1:18" ht="69" customHeight="1">
      <c r="A5282" s="168"/>
      <c r="B5282" s="178">
        <v>2426</v>
      </c>
      <c r="C5282" s="178" t="s">
        <v>458</v>
      </c>
      <c r="D5282" s="575">
        <v>1950</v>
      </c>
      <c r="E5282" s="178" t="s">
        <v>350</v>
      </c>
      <c r="F5282" s="210" t="s">
        <v>13049</v>
      </c>
      <c r="G5282" s="58" t="s">
        <v>13050</v>
      </c>
      <c r="H5282" s="546">
        <v>221789.23</v>
      </c>
      <c r="I5282" s="66">
        <v>45142</v>
      </c>
      <c r="J5282" s="411" t="s">
        <v>13051</v>
      </c>
      <c r="K5282" s="58" t="s">
        <v>7073</v>
      </c>
      <c r="L5282" s="99"/>
      <c r="M5282" s="70" t="s">
        <v>7070</v>
      </c>
      <c r="N5282" s="97" t="s">
        <v>356</v>
      </c>
      <c r="O5282" s="45" t="s">
        <v>156</v>
      </c>
      <c r="P5282" s="58" t="s">
        <v>73</v>
      </c>
      <c r="Q5282" s="58" t="s">
        <v>88</v>
      </c>
      <c r="R5282" s="58" t="s">
        <v>265</v>
      </c>
    </row>
    <row r="5283" spans="1:18" ht="69" customHeight="1">
      <c r="A5283" s="168"/>
      <c r="B5283" s="191">
        <v>2427</v>
      </c>
      <c r="C5283" s="191" t="s">
        <v>2182</v>
      </c>
      <c r="D5283" s="533">
        <v>1911</v>
      </c>
      <c r="E5283" s="191" t="s">
        <v>585</v>
      </c>
      <c r="F5283" s="211" t="s">
        <v>13052</v>
      </c>
      <c r="G5283" s="46" t="s">
        <v>13053</v>
      </c>
      <c r="H5283" s="534">
        <v>10208</v>
      </c>
      <c r="I5283" s="56">
        <v>45143</v>
      </c>
      <c r="J5283" s="412" t="s">
        <v>13054</v>
      </c>
      <c r="K5283" s="46" t="s">
        <v>5103</v>
      </c>
      <c r="L5283" s="99"/>
      <c r="M5283" s="379"/>
      <c r="N5283" s="76" t="s">
        <v>414</v>
      </c>
      <c r="O5283" s="46"/>
      <c r="P5283" s="46" t="s">
        <v>65</v>
      </c>
      <c r="Q5283" s="46" t="s">
        <v>31</v>
      </c>
      <c r="R5283" s="46" t="s">
        <v>272</v>
      </c>
    </row>
    <row r="5284" spans="1:18" ht="69" customHeight="1">
      <c r="A5284" s="168"/>
      <c r="B5284" s="178">
        <v>2428</v>
      </c>
      <c r="C5284" s="178" t="s">
        <v>458</v>
      </c>
      <c r="D5284" s="575" t="s">
        <v>13055</v>
      </c>
      <c r="E5284" s="45" t="s">
        <v>11417</v>
      </c>
      <c r="F5284" s="210" t="s">
        <v>13056</v>
      </c>
      <c r="G5284" s="58" t="s">
        <v>13057</v>
      </c>
      <c r="H5284" s="546">
        <v>49900</v>
      </c>
      <c r="I5284" s="66">
        <v>45153</v>
      </c>
      <c r="J5284" s="411" t="s">
        <v>13058</v>
      </c>
      <c r="K5284" s="58"/>
      <c r="L5284" s="99"/>
      <c r="M5284" s="70" t="s">
        <v>13059</v>
      </c>
      <c r="N5284" s="97" t="s">
        <v>414</v>
      </c>
      <c r="O5284" s="45" t="s">
        <v>147</v>
      </c>
      <c r="P5284" s="58" t="s">
        <v>22</v>
      </c>
      <c r="Q5284" s="58" t="s">
        <v>122</v>
      </c>
      <c r="R5284" s="58" t="s">
        <v>265</v>
      </c>
    </row>
    <row r="5285" spans="1:18" ht="69" customHeight="1">
      <c r="A5285" s="168"/>
      <c r="B5285" s="178">
        <v>2429</v>
      </c>
      <c r="C5285" s="178" t="s">
        <v>458</v>
      </c>
      <c r="D5285" s="575" t="s">
        <v>5152</v>
      </c>
      <c r="E5285" s="45" t="s">
        <v>11417</v>
      </c>
      <c r="F5285" s="210" t="s">
        <v>13060</v>
      </c>
      <c r="G5285" s="58" t="s">
        <v>13057</v>
      </c>
      <c r="H5285" s="546">
        <v>25040</v>
      </c>
      <c r="I5285" s="66">
        <v>45153</v>
      </c>
      <c r="J5285" s="411" t="s">
        <v>13058</v>
      </c>
      <c r="K5285" s="58"/>
      <c r="L5285" s="99"/>
      <c r="M5285" s="70" t="s">
        <v>13059</v>
      </c>
      <c r="N5285" s="97" t="s">
        <v>414</v>
      </c>
      <c r="O5285" s="45" t="s">
        <v>147</v>
      </c>
      <c r="P5285" s="58" t="s">
        <v>22</v>
      </c>
      <c r="Q5285" s="58" t="s">
        <v>122</v>
      </c>
      <c r="R5285" s="58" t="s">
        <v>265</v>
      </c>
    </row>
    <row r="5286" spans="1:18" ht="69" customHeight="1">
      <c r="A5286" s="168"/>
      <c r="B5286" s="178">
        <v>2430</v>
      </c>
      <c r="C5286" s="178" t="s">
        <v>458</v>
      </c>
      <c r="D5286" s="575" t="s">
        <v>5158</v>
      </c>
      <c r="E5286" s="45" t="s">
        <v>11417</v>
      </c>
      <c r="F5286" s="210" t="s">
        <v>13061</v>
      </c>
      <c r="G5286" s="58" t="s">
        <v>13057</v>
      </c>
      <c r="H5286" s="546">
        <v>43000</v>
      </c>
      <c r="I5286" s="66">
        <v>45153</v>
      </c>
      <c r="J5286" s="411" t="s">
        <v>13058</v>
      </c>
      <c r="K5286" s="58"/>
      <c r="L5286" s="99"/>
      <c r="M5286" s="70" t="s">
        <v>13059</v>
      </c>
      <c r="N5286" s="97" t="s">
        <v>414</v>
      </c>
      <c r="O5286" s="45" t="s">
        <v>147</v>
      </c>
      <c r="P5286" s="58" t="s">
        <v>22</v>
      </c>
      <c r="Q5286" s="58" t="s">
        <v>122</v>
      </c>
      <c r="R5286" s="58" t="s">
        <v>265</v>
      </c>
    </row>
    <row r="5287" spans="1:18" ht="69" customHeight="1">
      <c r="A5287" s="168"/>
      <c r="B5287" s="178">
        <v>2431</v>
      </c>
      <c r="C5287" s="178" t="s">
        <v>458</v>
      </c>
      <c r="D5287" s="575" t="s">
        <v>5484</v>
      </c>
      <c r="E5287" s="45" t="s">
        <v>11417</v>
      </c>
      <c r="F5287" s="210" t="s">
        <v>13062</v>
      </c>
      <c r="G5287" s="58" t="s">
        <v>13057</v>
      </c>
      <c r="H5287" s="546">
        <v>47637</v>
      </c>
      <c r="I5287" s="66">
        <v>45153</v>
      </c>
      <c r="J5287" s="411" t="s">
        <v>13058</v>
      </c>
      <c r="K5287" s="58"/>
      <c r="L5287" s="99"/>
      <c r="M5287" s="70" t="s">
        <v>13059</v>
      </c>
      <c r="N5287" s="97" t="s">
        <v>414</v>
      </c>
      <c r="O5287" s="45" t="s">
        <v>147</v>
      </c>
      <c r="P5287" s="58" t="s">
        <v>22</v>
      </c>
      <c r="Q5287" s="58" t="s">
        <v>122</v>
      </c>
      <c r="R5287" s="58" t="s">
        <v>265</v>
      </c>
    </row>
    <row r="5288" spans="1:18" ht="69" customHeight="1">
      <c r="A5288" s="168"/>
      <c r="B5288" s="178">
        <v>2432</v>
      </c>
      <c r="C5288" s="178" t="s">
        <v>458</v>
      </c>
      <c r="D5288" s="575" t="s">
        <v>13063</v>
      </c>
      <c r="E5288" s="45" t="s">
        <v>11417</v>
      </c>
      <c r="F5288" s="210" t="s">
        <v>13064</v>
      </c>
      <c r="G5288" s="58" t="s">
        <v>13057</v>
      </c>
      <c r="H5288" s="546">
        <v>31048</v>
      </c>
      <c r="I5288" s="66">
        <v>45153</v>
      </c>
      <c r="J5288" s="411" t="s">
        <v>13058</v>
      </c>
      <c r="K5288" s="58"/>
      <c r="L5288" s="99"/>
      <c r="M5288" s="70" t="s">
        <v>13059</v>
      </c>
      <c r="N5288" s="97" t="s">
        <v>414</v>
      </c>
      <c r="O5288" s="45" t="s">
        <v>147</v>
      </c>
      <c r="P5288" s="58" t="s">
        <v>22</v>
      </c>
      <c r="Q5288" s="58" t="s">
        <v>122</v>
      </c>
      <c r="R5288" s="58" t="s">
        <v>265</v>
      </c>
    </row>
    <row r="5289" spans="1:18" ht="69" customHeight="1">
      <c r="A5289" s="168"/>
      <c r="B5289" s="178">
        <v>2433</v>
      </c>
      <c r="C5289" s="178" t="s">
        <v>458</v>
      </c>
      <c r="D5289" s="575" t="s">
        <v>5486</v>
      </c>
      <c r="E5289" s="178" t="s">
        <v>7890</v>
      </c>
      <c r="F5289" s="210" t="s">
        <v>13065</v>
      </c>
      <c r="G5289" s="58" t="s">
        <v>13057</v>
      </c>
      <c r="H5289" s="546">
        <v>38200</v>
      </c>
      <c r="I5289" s="66">
        <v>45153</v>
      </c>
      <c r="J5289" s="411" t="s">
        <v>13066</v>
      </c>
      <c r="K5289" s="58"/>
      <c r="L5289" s="99"/>
      <c r="M5289" s="70" t="s">
        <v>13067</v>
      </c>
      <c r="N5289" s="97" t="s">
        <v>414</v>
      </c>
      <c r="O5289" s="58"/>
      <c r="P5289" s="58" t="s">
        <v>22</v>
      </c>
      <c r="Q5289" s="58" t="s">
        <v>123</v>
      </c>
      <c r="R5289" s="58" t="s">
        <v>265</v>
      </c>
    </row>
    <row r="5290" spans="1:18" ht="69" customHeight="1">
      <c r="A5290" s="168"/>
      <c r="B5290" s="178">
        <v>2434</v>
      </c>
      <c r="C5290" s="178" t="s">
        <v>458</v>
      </c>
      <c r="D5290" s="575" t="s">
        <v>13068</v>
      </c>
      <c r="E5290" s="178" t="s">
        <v>7890</v>
      </c>
      <c r="F5290" s="210" t="s">
        <v>13069</v>
      </c>
      <c r="G5290" s="58" t="s">
        <v>13057</v>
      </c>
      <c r="H5290" s="546">
        <v>25528</v>
      </c>
      <c r="I5290" s="66">
        <v>45153</v>
      </c>
      <c r="J5290" s="411" t="s">
        <v>13066</v>
      </c>
      <c r="K5290" s="58"/>
      <c r="L5290" s="99"/>
      <c r="M5290" s="70" t="s">
        <v>13067</v>
      </c>
      <c r="N5290" s="97" t="s">
        <v>414</v>
      </c>
      <c r="O5290" s="58"/>
      <c r="P5290" s="58" t="s">
        <v>22</v>
      </c>
      <c r="Q5290" s="58" t="s">
        <v>123</v>
      </c>
      <c r="R5290" s="58" t="s">
        <v>265</v>
      </c>
    </row>
    <row r="5291" spans="1:18" ht="69" customHeight="1">
      <c r="A5291" s="168"/>
      <c r="B5291" s="178">
        <v>2435</v>
      </c>
      <c r="C5291" s="178" t="s">
        <v>458</v>
      </c>
      <c r="D5291" s="575" t="s">
        <v>6208</v>
      </c>
      <c r="E5291" s="178" t="s">
        <v>7890</v>
      </c>
      <c r="F5291" s="210" t="s">
        <v>13070</v>
      </c>
      <c r="G5291" s="58" t="s">
        <v>13057</v>
      </c>
      <c r="H5291" s="546">
        <v>58800</v>
      </c>
      <c r="I5291" s="66">
        <v>45153</v>
      </c>
      <c r="J5291" s="411" t="s">
        <v>13066</v>
      </c>
      <c r="K5291" s="58"/>
      <c r="L5291" s="99"/>
      <c r="M5291" s="70" t="s">
        <v>13067</v>
      </c>
      <c r="N5291" s="97" t="s">
        <v>414</v>
      </c>
      <c r="O5291" s="58"/>
      <c r="P5291" s="58" t="s">
        <v>22</v>
      </c>
      <c r="Q5291" s="58" t="s">
        <v>123</v>
      </c>
      <c r="R5291" s="58" t="s">
        <v>265</v>
      </c>
    </row>
    <row r="5292" spans="1:18" ht="69" customHeight="1">
      <c r="A5292" s="168"/>
      <c r="B5292" s="178">
        <v>2436</v>
      </c>
      <c r="C5292" s="178" t="s">
        <v>458</v>
      </c>
      <c r="D5292" s="575" t="s">
        <v>13071</v>
      </c>
      <c r="E5292" s="178" t="s">
        <v>7890</v>
      </c>
      <c r="F5292" s="210" t="s">
        <v>13072</v>
      </c>
      <c r="G5292" s="58" t="s">
        <v>13057</v>
      </c>
      <c r="H5292" s="546">
        <v>43000</v>
      </c>
      <c r="I5292" s="66">
        <v>45153</v>
      </c>
      <c r="J5292" s="411" t="s">
        <v>13066</v>
      </c>
      <c r="K5292" s="58"/>
      <c r="L5292" s="99"/>
      <c r="M5292" s="70" t="s">
        <v>13067</v>
      </c>
      <c r="N5292" s="97" t="s">
        <v>414</v>
      </c>
      <c r="O5292" s="58"/>
      <c r="P5292" s="58" t="s">
        <v>22</v>
      </c>
      <c r="Q5292" s="58" t="s">
        <v>123</v>
      </c>
      <c r="R5292" s="58" t="s">
        <v>265</v>
      </c>
    </row>
    <row r="5293" spans="1:18" ht="69" customHeight="1">
      <c r="A5293" s="168"/>
      <c r="B5293" s="256">
        <v>2437</v>
      </c>
      <c r="C5293" s="256" t="s">
        <v>458</v>
      </c>
      <c r="D5293" s="299" t="s">
        <v>13073</v>
      </c>
      <c r="E5293" s="256" t="s">
        <v>7890</v>
      </c>
      <c r="F5293" s="263" t="s">
        <v>13074</v>
      </c>
      <c r="G5293" s="118" t="s">
        <v>13057</v>
      </c>
      <c r="H5293" s="300">
        <v>55423</v>
      </c>
      <c r="I5293" s="262">
        <v>45153</v>
      </c>
      <c r="J5293" s="409" t="s">
        <v>13066</v>
      </c>
      <c r="K5293" s="118" t="s">
        <v>13075</v>
      </c>
      <c r="L5293" s="99"/>
      <c r="M5293" s="387" t="s">
        <v>13067</v>
      </c>
      <c r="N5293" s="107" t="s">
        <v>414</v>
      </c>
      <c r="O5293" s="118" t="s">
        <v>96</v>
      </c>
      <c r="P5293" s="118" t="s">
        <v>67</v>
      </c>
      <c r="Q5293" s="118" t="s">
        <v>123</v>
      </c>
      <c r="R5293" s="118" t="s">
        <v>265</v>
      </c>
    </row>
    <row r="5294" spans="1:18" ht="69" customHeight="1">
      <c r="A5294" s="168"/>
      <c r="B5294" s="178">
        <v>2438</v>
      </c>
      <c r="C5294" s="178" t="s">
        <v>458</v>
      </c>
      <c r="D5294" s="575" t="s">
        <v>13076</v>
      </c>
      <c r="E5294" s="178" t="s">
        <v>7890</v>
      </c>
      <c r="F5294" s="210" t="s">
        <v>13077</v>
      </c>
      <c r="G5294" s="58" t="s">
        <v>13057</v>
      </c>
      <c r="H5294" s="546">
        <v>25256</v>
      </c>
      <c r="I5294" s="66">
        <v>45153</v>
      </c>
      <c r="J5294" s="411" t="s">
        <v>13078</v>
      </c>
      <c r="K5294" s="58"/>
      <c r="L5294" s="99"/>
      <c r="M5294" s="70" t="s">
        <v>13079</v>
      </c>
      <c r="N5294" s="97" t="s">
        <v>414</v>
      </c>
      <c r="O5294" s="45" t="s">
        <v>147</v>
      </c>
      <c r="P5294" s="58" t="s">
        <v>22</v>
      </c>
      <c r="Q5294" s="58" t="s">
        <v>88</v>
      </c>
      <c r="R5294" s="58" t="s">
        <v>265</v>
      </c>
    </row>
    <row r="5295" spans="1:18" ht="69" customHeight="1">
      <c r="A5295" s="168"/>
      <c r="B5295" s="178">
        <v>2439</v>
      </c>
      <c r="C5295" s="178" t="s">
        <v>458</v>
      </c>
      <c r="D5295" s="575" t="s">
        <v>4354</v>
      </c>
      <c r="E5295" s="178" t="s">
        <v>7890</v>
      </c>
      <c r="F5295" s="210" t="s">
        <v>13080</v>
      </c>
      <c r="G5295" s="58" t="s">
        <v>13057</v>
      </c>
      <c r="H5295" s="546">
        <v>58900</v>
      </c>
      <c r="I5295" s="66">
        <v>45153</v>
      </c>
      <c r="J5295" s="411" t="s">
        <v>13078</v>
      </c>
      <c r="K5295" s="58"/>
      <c r="L5295" s="99"/>
      <c r="M5295" s="70" t="s">
        <v>13079</v>
      </c>
      <c r="N5295" s="97" t="s">
        <v>414</v>
      </c>
      <c r="O5295" s="45" t="s">
        <v>147</v>
      </c>
      <c r="P5295" s="58" t="s">
        <v>22</v>
      </c>
      <c r="Q5295" s="58" t="s">
        <v>88</v>
      </c>
      <c r="R5295" s="58" t="s">
        <v>265</v>
      </c>
    </row>
    <row r="5296" spans="1:18" ht="69" customHeight="1">
      <c r="A5296" s="168"/>
      <c r="B5296" s="178">
        <v>2440</v>
      </c>
      <c r="C5296" s="178" t="s">
        <v>458</v>
      </c>
      <c r="D5296" s="575" t="s">
        <v>4080</v>
      </c>
      <c r="E5296" s="178" t="s">
        <v>7890</v>
      </c>
      <c r="F5296" s="210" t="s">
        <v>13081</v>
      </c>
      <c r="G5296" s="58" t="s">
        <v>13057</v>
      </c>
      <c r="H5296" s="546">
        <v>25080</v>
      </c>
      <c r="I5296" s="66">
        <v>45153</v>
      </c>
      <c r="J5296" s="411" t="s">
        <v>13082</v>
      </c>
      <c r="K5296" s="58"/>
      <c r="L5296" s="99"/>
      <c r="M5296" s="70" t="s">
        <v>9078</v>
      </c>
      <c r="N5296" s="97" t="s">
        <v>414</v>
      </c>
      <c r="O5296" s="58"/>
      <c r="P5296" s="58" t="s">
        <v>22</v>
      </c>
      <c r="Q5296" s="58" t="s">
        <v>112</v>
      </c>
      <c r="R5296" s="58" t="s">
        <v>265</v>
      </c>
    </row>
    <row r="5297" spans="1:18" ht="69" customHeight="1">
      <c r="A5297" s="168"/>
      <c r="B5297" s="178">
        <v>2441</v>
      </c>
      <c r="C5297" s="178" t="s">
        <v>458</v>
      </c>
      <c r="D5297" s="575" t="s">
        <v>4084</v>
      </c>
      <c r="E5297" s="178" t="s">
        <v>7890</v>
      </c>
      <c r="F5297" s="210" t="s">
        <v>13083</v>
      </c>
      <c r="G5297" s="58" t="s">
        <v>13057</v>
      </c>
      <c r="H5297" s="546">
        <v>47100</v>
      </c>
      <c r="I5297" s="66">
        <v>45153</v>
      </c>
      <c r="J5297" s="411" t="s">
        <v>13082</v>
      </c>
      <c r="K5297" s="58"/>
      <c r="L5297" s="99"/>
      <c r="M5297" s="70" t="s">
        <v>9078</v>
      </c>
      <c r="N5297" s="97" t="s">
        <v>414</v>
      </c>
      <c r="O5297" s="58"/>
      <c r="P5297" s="58" t="s">
        <v>22</v>
      </c>
      <c r="Q5297" s="58" t="s">
        <v>112</v>
      </c>
      <c r="R5297" s="58" t="s">
        <v>265</v>
      </c>
    </row>
    <row r="5298" spans="1:18" ht="69" customHeight="1">
      <c r="A5298" s="168"/>
      <c r="B5298" s="178">
        <v>2442</v>
      </c>
      <c r="C5298" s="178" t="s">
        <v>2182</v>
      </c>
      <c r="D5298" s="575" t="s">
        <v>12869</v>
      </c>
      <c r="E5298" s="178" t="s">
        <v>4173</v>
      </c>
      <c r="F5298" s="210" t="s">
        <v>13084</v>
      </c>
      <c r="G5298" s="58" t="s">
        <v>13085</v>
      </c>
      <c r="H5298" s="546">
        <v>50000</v>
      </c>
      <c r="I5298" s="66">
        <v>45153</v>
      </c>
      <c r="J5298" s="411" t="s">
        <v>13086</v>
      </c>
      <c r="K5298" s="58"/>
      <c r="L5298" s="99"/>
      <c r="M5298" s="70" t="s">
        <v>12810</v>
      </c>
      <c r="N5298" s="97" t="s">
        <v>6197</v>
      </c>
      <c r="O5298" s="58" t="s">
        <v>441</v>
      </c>
      <c r="P5298" s="58" t="s">
        <v>22</v>
      </c>
      <c r="Q5298" s="58" t="s">
        <v>31</v>
      </c>
      <c r="R5298" s="58" t="s">
        <v>265</v>
      </c>
    </row>
    <row r="5299" spans="1:18" ht="69" customHeight="1">
      <c r="A5299" s="168"/>
      <c r="B5299" s="207">
        <v>2443</v>
      </c>
      <c r="C5299" s="207" t="s">
        <v>458</v>
      </c>
      <c r="D5299" s="301" t="s">
        <v>13087</v>
      </c>
      <c r="E5299" s="207" t="s">
        <v>266</v>
      </c>
      <c r="F5299" s="208" t="s">
        <v>13088</v>
      </c>
      <c r="G5299" s="160" t="s">
        <v>12778</v>
      </c>
      <c r="H5299" s="300">
        <v>3048</v>
      </c>
      <c r="I5299" s="209">
        <v>45153</v>
      </c>
      <c r="J5299" s="322" t="s">
        <v>13089</v>
      </c>
      <c r="K5299" s="160" t="s">
        <v>4128</v>
      </c>
      <c r="M5299" s="379"/>
      <c r="N5299" s="76"/>
      <c r="O5299" s="160"/>
      <c r="P5299" s="160" t="s">
        <v>67</v>
      </c>
      <c r="Q5299" s="160" t="s">
        <v>107</v>
      </c>
      <c r="R5299" s="160" t="s">
        <v>272</v>
      </c>
    </row>
    <row r="5300" spans="1:18" ht="69" customHeight="1">
      <c r="A5300" s="168"/>
      <c r="B5300" s="191">
        <v>2445</v>
      </c>
      <c r="C5300" s="191" t="s">
        <v>458</v>
      </c>
      <c r="D5300" s="533" t="s">
        <v>10770</v>
      </c>
      <c r="E5300" s="191" t="s">
        <v>6226</v>
      </c>
      <c r="F5300" s="211" t="s">
        <v>13090</v>
      </c>
      <c r="G5300" s="46" t="s">
        <v>13091</v>
      </c>
      <c r="H5300" s="534">
        <v>25481.3</v>
      </c>
      <c r="I5300" s="56">
        <v>45153</v>
      </c>
      <c r="J5300" s="412" t="s">
        <v>13092</v>
      </c>
      <c r="K5300" s="46" t="s">
        <v>5103</v>
      </c>
      <c r="L5300" s="99"/>
      <c r="M5300" s="379"/>
      <c r="N5300" s="76"/>
      <c r="O5300" s="46" t="s">
        <v>13093</v>
      </c>
      <c r="P5300" s="46" t="s">
        <v>65</v>
      </c>
      <c r="Q5300" s="46" t="s">
        <v>88</v>
      </c>
      <c r="R5300" s="46" t="s">
        <v>272</v>
      </c>
    </row>
    <row r="5301" spans="1:18" ht="69" customHeight="1">
      <c r="A5301" s="168"/>
      <c r="B5301" s="191">
        <v>2446</v>
      </c>
      <c r="C5301" s="191" t="s">
        <v>458</v>
      </c>
      <c r="D5301" s="533" t="s">
        <v>5489</v>
      </c>
      <c r="E5301" s="191" t="s">
        <v>6226</v>
      </c>
      <c r="F5301" s="211" t="s">
        <v>13094</v>
      </c>
      <c r="G5301" s="46" t="s">
        <v>13091</v>
      </c>
      <c r="H5301" s="534">
        <v>21649.200000000001</v>
      </c>
      <c r="I5301" s="56">
        <v>45153</v>
      </c>
      <c r="J5301" s="412" t="s">
        <v>13092</v>
      </c>
      <c r="K5301" s="46" t="s">
        <v>5103</v>
      </c>
      <c r="L5301" s="99"/>
      <c r="M5301" s="379"/>
      <c r="N5301" s="76"/>
      <c r="O5301" s="46"/>
      <c r="P5301" s="46" t="s">
        <v>65</v>
      </c>
      <c r="Q5301" s="46" t="s">
        <v>112</v>
      </c>
      <c r="R5301" s="46" t="s">
        <v>272</v>
      </c>
    </row>
    <row r="5302" spans="1:18" ht="69" customHeight="1">
      <c r="A5302" s="168"/>
      <c r="B5302" s="191">
        <v>2447</v>
      </c>
      <c r="C5302" s="191" t="s">
        <v>458</v>
      </c>
      <c r="D5302" s="533" t="s">
        <v>5164</v>
      </c>
      <c r="E5302" s="191" t="s">
        <v>6226</v>
      </c>
      <c r="F5302" s="211" t="s">
        <v>13095</v>
      </c>
      <c r="G5302" s="46" t="s">
        <v>13091</v>
      </c>
      <c r="H5302" s="534">
        <v>25619.599999999999</v>
      </c>
      <c r="I5302" s="56">
        <v>45153</v>
      </c>
      <c r="J5302" s="412" t="s">
        <v>13092</v>
      </c>
      <c r="K5302" s="46" t="s">
        <v>5103</v>
      </c>
      <c r="L5302" s="99"/>
      <c r="M5302" s="379"/>
      <c r="N5302" s="76"/>
      <c r="O5302" s="46"/>
      <c r="P5302" s="46" t="s">
        <v>65</v>
      </c>
      <c r="Q5302" s="46" t="s">
        <v>123</v>
      </c>
      <c r="R5302" s="46" t="s">
        <v>272</v>
      </c>
    </row>
    <row r="5303" spans="1:18" ht="69" customHeight="1">
      <c r="A5303" s="168"/>
      <c r="B5303" s="191">
        <v>2448</v>
      </c>
      <c r="C5303" s="191" t="s">
        <v>458</v>
      </c>
      <c r="D5303" s="533" t="s">
        <v>13096</v>
      </c>
      <c r="E5303" s="191" t="s">
        <v>6226</v>
      </c>
      <c r="F5303" s="211" t="s">
        <v>13097</v>
      </c>
      <c r="G5303" s="46" t="s">
        <v>13091</v>
      </c>
      <c r="H5303" s="534">
        <v>22745.68</v>
      </c>
      <c r="I5303" s="56">
        <v>45153</v>
      </c>
      <c r="J5303" s="412" t="s">
        <v>13092</v>
      </c>
      <c r="K5303" s="46" t="s">
        <v>5103</v>
      </c>
      <c r="L5303" s="99"/>
      <c r="M5303" s="379"/>
      <c r="N5303" s="76"/>
      <c r="O5303" s="46"/>
      <c r="P5303" s="46" t="s">
        <v>65</v>
      </c>
      <c r="Q5303" s="46" t="s">
        <v>122</v>
      </c>
      <c r="R5303" s="46" t="s">
        <v>272</v>
      </c>
    </row>
    <row r="5304" spans="1:18" ht="69" customHeight="1">
      <c r="A5304" s="168"/>
      <c r="B5304" s="191">
        <v>2449</v>
      </c>
      <c r="C5304" s="191" t="s">
        <v>458</v>
      </c>
      <c r="D5304" s="533" t="s">
        <v>13098</v>
      </c>
      <c r="E5304" s="191" t="s">
        <v>6226</v>
      </c>
      <c r="F5304" s="211" t="s">
        <v>13099</v>
      </c>
      <c r="G5304" s="46" t="s">
        <v>13091</v>
      </c>
      <c r="H5304" s="534">
        <v>23566.799999999999</v>
      </c>
      <c r="I5304" s="56">
        <v>45153</v>
      </c>
      <c r="J5304" s="412" t="s">
        <v>13092</v>
      </c>
      <c r="K5304" s="46" t="s">
        <v>5103</v>
      </c>
      <c r="L5304" s="99"/>
      <c r="M5304" s="379"/>
      <c r="N5304" s="76"/>
      <c r="O5304" s="46"/>
      <c r="P5304" s="46" t="s">
        <v>65</v>
      </c>
      <c r="Q5304" s="46" t="s">
        <v>113</v>
      </c>
      <c r="R5304" s="46" t="s">
        <v>272</v>
      </c>
    </row>
    <row r="5305" spans="1:18" ht="69" customHeight="1">
      <c r="A5305" s="168"/>
      <c r="B5305" s="191">
        <v>2450</v>
      </c>
      <c r="C5305" s="191" t="s">
        <v>458</v>
      </c>
      <c r="D5305" s="533" t="s">
        <v>13100</v>
      </c>
      <c r="E5305" s="191" t="s">
        <v>6226</v>
      </c>
      <c r="F5305" s="211" t="s">
        <v>13101</v>
      </c>
      <c r="G5305" s="46" t="s">
        <v>13091</v>
      </c>
      <c r="H5305" s="534">
        <v>24386.68</v>
      </c>
      <c r="I5305" s="56">
        <v>45153</v>
      </c>
      <c r="J5305" s="412" t="s">
        <v>13092</v>
      </c>
      <c r="K5305" s="46" t="s">
        <v>5103</v>
      </c>
      <c r="L5305" s="99"/>
      <c r="M5305" s="379"/>
      <c r="N5305" s="76"/>
      <c r="O5305" s="46" t="s">
        <v>13093</v>
      </c>
      <c r="P5305" s="46" t="s">
        <v>65</v>
      </c>
      <c r="Q5305" s="46" t="s">
        <v>103</v>
      </c>
      <c r="R5305" s="46" t="s">
        <v>272</v>
      </c>
    </row>
    <row r="5306" spans="1:18" ht="69" customHeight="1">
      <c r="A5306" s="168"/>
      <c r="B5306" s="191">
        <v>2451</v>
      </c>
      <c r="C5306" s="191" t="s">
        <v>657</v>
      </c>
      <c r="D5306" s="533" t="s">
        <v>6699</v>
      </c>
      <c r="E5306" s="191" t="s">
        <v>6226</v>
      </c>
      <c r="F5306" s="211" t="s">
        <v>13102</v>
      </c>
      <c r="G5306" s="46" t="s">
        <v>13091</v>
      </c>
      <c r="H5306" s="534">
        <v>24387.3</v>
      </c>
      <c r="I5306" s="56">
        <v>45153</v>
      </c>
      <c r="J5306" s="412" t="s">
        <v>13092</v>
      </c>
      <c r="K5306" s="46" t="s">
        <v>5103</v>
      </c>
      <c r="L5306" s="99"/>
      <c r="M5306" s="379"/>
      <c r="N5306" s="76"/>
      <c r="O5306" s="46"/>
      <c r="P5306" s="46" t="s">
        <v>65</v>
      </c>
      <c r="Q5306" s="46" t="s">
        <v>97</v>
      </c>
      <c r="R5306" s="46" t="s">
        <v>272</v>
      </c>
    </row>
    <row r="5307" spans="1:18" ht="69" customHeight="1">
      <c r="A5307" s="168"/>
      <c r="B5307" s="191">
        <v>2452</v>
      </c>
      <c r="C5307" s="191" t="s">
        <v>657</v>
      </c>
      <c r="D5307" s="533" t="s">
        <v>9933</v>
      </c>
      <c r="E5307" s="191" t="s">
        <v>6226</v>
      </c>
      <c r="F5307" s="211" t="s">
        <v>13103</v>
      </c>
      <c r="G5307" s="46" t="s">
        <v>13091</v>
      </c>
      <c r="H5307" s="534">
        <v>22883.360000000001</v>
      </c>
      <c r="I5307" s="56">
        <v>45153</v>
      </c>
      <c r="J5307" s="412" t="s">
        <v>13092</v>
      </c>
      <c r="K5307" s="46" t="s">
        <v>5103</v>
      </c>
      <c r="L5307" s="99"/>
      <c r="M5307" s="379"/>
      <c r="N5307" s="76"/>
      <c r="O5307" s="46"/>
      <c r="P5307" s="46" t="s">
        <v>65</v>
      </c>
      <c r="Q5307" s="46" t="s">
        <v>104</v>
      </c>
      <c r="R5307" s="46" t="s">
        <v>272</v>
      </c>
    </row>
    <row r="5308" spans="1:18" ht="69" customHeight="1">
      <c r="A5308" s="168"/>
      <c r="B5308" s="191">
        <v>2453</v>
      </c>
      <c r="C5308" s="191" t="s">
        <v>458</v>
      </c>
      <c r="D5308" s="533" t="s">
        <v>13104</v>
      </c>
      <c r="E5308" s="191" t="s">
        <v>6226</v>
      </c>
      <c r="F5308" s="211" t="s">
        <v>13105</v>
      </c>
      <c r="G5308" s="46" t="s">
        <v>13091</v>
      </c>
      <c r="H5308" s="534">
        <v>17686.62</v>
      </c>
      <c r="I5308" s="56">
        <v>45153</v>
      </c>
      <c r="J5308" s="412" t="s">
        <v>13092</v>
      </c>
      <c r="K5308" s="46" t="s">
        <v>5103</v>
      </c>
      <c r="L5308" s="99"/>
      <c r="M5308" s="379"/>
      <c r="N5308" s="76"/>
      <c r="O5308" s="46"/>
      <c r="P5308" s="46" t="s">
        <v>65</v>
      </c>
      <c r="Q5308" s="46" t="s">
        <v>107</v>
      </c>
      <c r="R5308" s="46" t="s">
        <v>272</v>
      </c>
    </row>
    <row r="5309" spans="1:18" ht="69" customHeight="1">
      <c r="A5309" s="168"/>
      <c r="B5309" s="178">
        <v>2454</v>
      </c>
      <c r="C5309" s="178" t="s">
        <v>458</v>
      </c>
      <c r="D5309" s="575" t="s">
        <v>5493</v>
      </c>
      <c r="E5309" s="178" t="s">
        <v>7890</v>
      </c>
      <c r="F5309" s="210" t="s">
        <v>13106</v>
      </c>
      <c r="G5309" s="58" t="s">
        <v>13057</v>
      </c>
      <c r="H5309" s="546">
        <v>43000</v>
      </c>
      <c r="I5309" s="66">
        <v>45153</v>
      </c>
      <c r="J5309" s="411" t="s">
        <v>13107</v>
      </c>
      <c r="K5309" s="58"/>
      <c r="L5309" s="99"/>
      <c r="M5309" s="70" t="s">
        <v>13079</v>
      </c>
      <c r="N5309" s="97" t="s">
        <v>414</v>
      </c>
      <c r="O5309" s="45" t="s">
        <v>147</v>
      </c>
      <c r="P5309" s="58" t="s">
        <v>22</v>
      </c>
      <c r="Q5309" s="58" t="s">
        <v>88</v>
      </c>
      <c r="R5309" s="58" t="s">
        <v>265</v>
      </c>
    </row>
    <row r="5310" spans="1:18" ht="69" customHeight="1">
      <c r="A5310" s="168"/>
      <c r="B5310" s="178">
        <v>2455</v>
      </c>
      <c r="C5310" s="178" t="s">
        <v>458</v>
      </c>
      <c r="D5310" s="575" t="s">
        <v>5167</v>
      </c>
      <c r="E5310" s="178" t="s">
        <v>7890</v>
      </c>
      <c r="F5310" s="210" t="s">
        <v>13108</v>
      </c>
      <c r="G5310" s="58" t="s">
        <v>13057</v>
      </c>
      <c r="H5310" s="546">
        <v>43000</v>
      </c>
      <c r="I5310" s="66">
        <v>45153</v>
      </c>
      <c r="J5310" s="411" t="s">
        <v>13107</v>
      </c>
      <c r="K5310" s="58"/>
      <c r="L5310" s="99"/>
      <c r="M5310" s="70" t="s">
        <v>9078</v>
      </c>
      <c r="N5310" s="97" t="s">
        <v>414</v>
      </c>
      <c r="O5310" s="58"/>
      <c r="P5310" s="58" t="s">
        <v>22</v>
      </c>
      <c r="Q5310" s="58" t="s">
        <v>112</v>
      </c>
      <c r="R5310" s="58" t="s">
        <v>265</v>
      </c>
    </row>
    <row r="5311" spans="1:18" ht="69" customHeight="1">
      <c r="A5311" s="168"/>
      <c r="B5311" s="207">
        <v>2456</v>
      </c>
      <c r="C5311" s="207" t="s">
        <v>309</v>
      </c>
      <c r="D5311" s="301" t="s">
        <v>12894</v>
      </c>
      <c r="E5311" s="207" t="s">
        <v>585</v>
      </c>
      <c r="F5311" s="208" t="s">
        <v>13109</v>
      </c>
      <c r="G5311" s="160" t="s">
        <v>12778</v>
      </c>
      <c r="H5311" s="300">
        <v>9989.75</v>
      </c>
      <c r="I5311" s="209">
        <v>45153</v>
      </c>
      <c r="J5311" s="322" t="s">
        <v>13110</v>
      </c>
      <c r="K5311" s="160" t="s">
        <v>4128</v>
      </c>
      <c r="M5311" s="379"/>
      <c r="N5311" s="76"/>
      <c r="O5311" s="160"/>
      <c r="P5311" s="160" t="s">
        <v>67</v>
      </c>
      <c r="Q5311" s="160" t="s">
        <v>29</v>
      </c>
      <c r="R5311" s="160" t="s">
        <v>272</v>
      </c>
    </row>
    <row r="5312" spans="1:18" ht="69" customHeight="1">
      <c r="A5312" s="168"/>
      <c r="B5312" s="178">
        <v>2457</v>
      </c>
      <c r="C5312" s="178" t="s">
        <v>11618</v>
      </c>
      <c r="D5312" s="575" t="s">
        <v>5170</v>
      </c>
      <c r="E5312" s="178" t="s">
        <v>409</v>
      </c>
      <c r="F5312" s="210" t="s">
        <v>13111</v>
      </c>
      <c r="G5312" s="58" t="s">
        <v>13112</v>
      </c>
      <c r="H5312" s="546">
        <v>18688.16</v>
      </c>
      <c r="I5312" s="66">
        <v>45143</v>
      </c>
      <c r="J5312" s="411" t="s">
        <v>13113</v>
      </c>
      <c r="K5312" s="58"/>
      <c r="L5312" s="99"/>
      <c r="M5312" s="70" t="s">
        <v>11224</v>
      </c>
      <c r="N5312" s="97" t="s">
        <v>11225</v>
      </c>
      <c r="O5312" s="58" t="s">
        <v>11226</v>
      </c>
      <c r="P5312" s="58" t="s">
        <v>59</v>
      </c>
      <c r="Q5312" s="58" t="s">
        <v>122</v>
      </c>
      <c r="R5312" s="58" t="s">
        <v>272</v>
      </c>
    </row>
    <row r="5313" spans="1:18" ht="69" customHeight="1">
      <c r="A5313" s="168"/>
      <c r="B5313" s="178">
        <v>2458</v>
      </c>
      <c r="C5313" s="178" t="s">
        <v>11618</v>
      </c>
      <c r="D5313" s="575" t="s">
        <v>5173</v>
      </c>
      <c r="E5313" s="178" t="s">
        <v>409</v>
      </c>
      <c r="F5313" s="210" t="s">
        <v>13114</v>
      </c>
      <c r="G5313" s="58" t="s">
        <v>13115</v>
      </c>
      <c r="H5313" s="546">
        <v>74752.66</v>
      </c>
      <c r="I5313" s="66">
        <v>45143</v>
      </c>
      <c r="J5313" s="411" t="s">
        <v>13113</v>
      </c>
      <c r="K5313" s="58"/>
      <c r="L5313" s="99"/>
      <c r="M5313" s="70" t="s">
        <v>11224</v>
      </c>
      <c r="N5313" s="97" t="s">
        <v>11225</v>
      </c>
      <c r="O5313" s="58" t="s">
        <v>11226</v>
      </c>
      <c r="P5313" s="58" t="s">
        <v>59</v>
      </c>
      <c r="Q5313" s="58" t="s">
        <v>122</v>
      </c>
      <c r="R5313" s="58" t="s">
        <v>272</v>
      </c>
    </row>
    <row r="5314" spans="1:18" ht="69" customHeight="1">
      <c r="A5314" s="168"/>
      <c r="B5314" s="207">
        <v>2459</v>
      </c>
      <c r="C5314" s="207" t="s">
        <v>13116</v>
      </c>
      <c r="D5314" s="301" t="s">
        <v>647</v>
      </c>
      <c r="E5314" s="207" t="s">
        <v>585</v>
      </c>
      <c r="F5314" s="208" t="s">
        <v>13117</v>
      </c>
      <c r="G5314" s="160" t="s">
        <v>13118</v>
      </c>
      <c r="H5314" s="300">
        <v>3900</v>
      </c>
      <c r="I5314" s="209">
        <v>45153</v>
      </c>
      <c r="J5314" s="322" t="s">
        <v>13119</v>
      </c>
      <c r="K5314" s="160" t="s">
        <v>10804</v>
      </c>
      <c r="M5314" s="379"/>
      <c r="N5314" s="76"/>
      <c r="O5314" s="160"/>
      <c r="P5314" s="160" t="s">
        <v>67</v>
      </c>
      <c r="Q5314" s="160" t="s">
        <v>96</v>
      </c>
      <c r="R5314" s="160" t="s">
        <v>272</v>
      </c>
    </row>
    <row r="5315" spans="1:18" ht="69" customHeight="1">
      <c r="A5315" s="168"/>
      <c r="B5315" s="207">
        <v>2460</v>
      </c>
      <c r="C5315" s="207" t="s">
        <v>13116</v>
      </c>
      <c r="D5315" s="301" t="s">
        <v>943</v>
      </c>
      <c r="E5315" s="207" t="s">
        <v>585</v>
      </c>
      <c r="F5315" s="208" t="s">
        <v>13120</v>
      </c>
      <c r="G5315" s="160" t="s">
        <v>13118</v>
      </c>
      <c r="H5315" s="300">
        <v>2550</v>
      </c>
      <c r="I5315" s="209">
        <v>45153</v>
      </c>
      <c r="J5315" s="322" t="s">
        <v>13119</v>
      </c>
      <c r="K5315" s="160" t="s">
        <v>10804</v>
      </c>
      <c r="M5315" s="379"/>
      <c r="N5315" s="76"/>
      <c r="O5315" s="160"/>
      <c r="P5315" s="160" t="s">
        <v>67</v>
      </c>
      <c r="Q5315" s="160" t="s">
        <v>96</v>
      </c>
      <c r="R5315" s="160" t="s">
        <v>272</v>
      </c>
    </row>
    <row r="5316" spans="1:18" ht="69" customHeight="1">
      <c r="A5316" s="168"/>
      <c r="B5316" s="207">
        <v>2461</v>
      </c>
      <c r="C5316" s="207" t="s">
        <v>13116</v>
      </c>
      <c r="D5316" s="301" t="s">
        <v>1271</v>
      </c>
      <c r="E5316" s="207" t="s">
        <v>585</v>
      </c>
      <c r="F5316" s="208" t="s">
        <v>13121</v>
      </c>
      <c r="G5316" s="160" t="s">
        <v>13118</v>
      </c>
      <c r="H5316" s="300">
        <v>4650</v>
      </c>
      <c r="I5316" s="209">
        <v>45153</v>
      </c>
      <c r="J5316" s="322" t="s">
        <v>13119</v>
      </c>
      <c r="K5316" s="160" t="s">
        <v>10804</v>
      </c>
      <c r="M5316" s="379"/>
      <c r="N5316" s="76"/>
      <c r="O5316" s="160"/>
      <c r="P5316" s="160" t="s">
        <v>67</v>
      </c>
      <c r="Q5316" s="160" t="s">
        <v>96</v>
      </c>
      <c r="R5316" s="160" t="s">
        <v>272</v>
      </c>
    </row>
    <row r="5317" spans="1:18" ht="69" customHeight="1">
      <c r="A5317" s="168"/>
      <c r="B5317" s="207">
        <v>2462</v>
      </c>
      <c r="C5317" s="207" t="s">
        <v>13116</v>
      </c>
      <c r="D5317" s="301" t="s">
        <v>1490</v>
      </c>
      <c r="E5317" s="207" t="s">
        <v>585</v>
      </c>
      <c r="F5317" s="208" t="s">
        <v>13122</v>
      </c>
      <c r="G5317" s="160" t="s">
        <v>13118</v>
      </c>
      <c r="H5317" s="300">
        <v>2800</v>
      </c>
      <c r="I5317" s="209">
        <v>45153</v>
      </c>
      <c r="J5317" s="322" t="s">
        <v>13119</v>
      </c>
      <c r="K5317" s="160" t="s">
        <v>10804</v>
      </c>
      <c r="M5317" s="379"/>
      <c r="N5317" s="76"/>
      <c r="O5317" s="160"/>
      <c r="P5317" s="160" t="s">
        <v>67</v>
      </c>
      <c r="Q5317" s="160" t="s">
        <v>96</v>
      </c>
      <c r="R5317" s="160" t="s">
        <v>272</v>
      </c>
    </row>
    <row r="5318" spans="1:18" ht="69" customHeight="1">
      <c r="A5318" s="168"/>
      <c r="B5318" s="178">
        <v>2463</v>
      </c>
      <c r="C5318" s="59" t="s">
        <v>3667</v>
      </c>
      <c r="D5318" s="575" t="s">
        <v>13123</v>
      </c>
      <c r="E5318" s="178" t="s">
        <v>7890</v>
      </c>
      <c r="F5318" s="210" t="s">
        <v>13124</v>
      </c>
      <c r="G5318" s="58" t="s">
        <v>13125</v>
      </c>
      <c r="H5318" s="546">
        <v>38670</v>
      </c>
      <c r="I5318" s="66">
        <v>45153</v>
      </c>
      <c r="J5318" s="411" t="s">
        <v>13126</v>
      </c>
      <c r="K5318" s="58"/>
      <c r="L5318" s="99"/>
      <c r="M5318" s="70" t="s">
        <v>6459</v>
      </c>
      <c r="N5318" s="97" t="s">
        <v>6197</v>
      </c>
      <c r="O5318" s="58"/>
      <c r="P5318" s="58" t="s">
        <v>22</v>
      </c>
      <c r="Q5318" s="58" t="s">
        <v>74</v>
      </c>
      <c r="R5318" s="58" t="s">
        <v>265</v>
      </c>
    </row>
    <row r="5319" spans="1:18" ht="69" customHeight="1">
      <c r="A5319" s="168"/>
      <c r="B5319" s="178">
        <v>2464</v>
      </c>
      <c r="C5319" s="59" t="s">
        <v>3667</v>
      </c>
      <c r="D5319" s="575" t="s">
        <v>13127</v>
      </c>
      <c r="E5319" s="178" t="s">
        <v>7890</v>
      </c>
      <c r="F5319" s="210" t="s">
        <v>13128</v>
      </c>
      <c r="G5319" s="58" t="s">
        <v>13129</v>
      </c>
      <c r="H5319" s="546">
        <v>58737.5</v>
      </c>
      <c r="I5319" s="66">
        <v>45153</v>
      </c>
      <c r="J5319" s="411" t="s">
        <v>13126</v>
      </c>
      <c r="K5319" s="58"/>
      <c r="L5319" s="99"/>
      <c r="M5319" s="70" t="s">
        <v>6582</v>
      </c>
      <c r="N5319" s="97" t="s">
        <v>6197</v>
      </c>
      <c r="O5319" s="58"/>
      <c r="P5319" s="58" t="s">
        <v>22</v>
      </c>
      <c r="Q5319" s="58" t="s">
        <v>76</v>
      </c>
      <c r="R5319" s="58" t="s">
        <v>265</v>
      </c>
    </row>
    <row r="5320" spans="1:18" ht="69" customHeight="1">
      <c r="A5320" s="168"/>
      <c r="B5320" s="207">
        <v>2465</v>
      </c>
      <c r="C5320" s="207" t="s">
        <v>3667</v>
      </c>
      <c r="D5320" s="301">
        <v>2660</v>
      </c>
      <c r="E5320" s="207" t="s">
        <v>7890</v>
      </c>
      <c r="F5320" s="208" t="s">
        <v>13130</v>
      </c>
      <c r="G5320" s="160" t="s">
        <v>13131</v>
      </c>
      <c r="H5320" s="300">
        <v>25082.5</v>
      </c>
      <c r="I5320" s="209">
        <v>45153</v>
      </c>
      <c r="J5320" s="322" t="s">
        <v>13126</v>
      </c>
      <c r="K5320" s="160" t="s">
        <v>727</v>
      </c>
      <c r="M5320" s="380"/>
      <c r="N5320" s="82" t="s">
        <v>6197</v>
      </c>
      <c r="O5320" s="160"/>
      <c r="P5320" s="160" t="s">
        <v>67</v>
      </c>
      <c r="Q5320" s="160" t="s">
        <v>76</v>
      </c>
      <c r="R5320" s="160" t="s">
        <v>272</v>
      </c>
    </row>
    <row r="5321" spans="1:18" ht="69" customHeight="1">
      <c r="A5321" s="168"/>
      <c r="B5321" s="178">
        <v>2466</v>
      </c>
      <c r="C5321" s="59" t="s">
        <v>3667</v>
      </c>
      <c r="D5321" s="575" t="s">
        <v>13132</v>
      </c>
      <c r="E5321" s="178" t="s">
        <v>7890</v>
      </c>
      <c r="F5321" s="210" t="s">
        <v>13133</v>
      </c>
      <c r="G5321" s="58" t="s">
        <v>13129</v>
      </c>
      <c r="H5321" s="546">
        <v>31242</v>
      </c>
      <c r="I5321" s="66">
        <v>45153</v>
      </c>
      <c r="J5321" s="411" t="s">
        <v>13126</v>
      </c>
      <c r="K5321" s="58"/>
      <c r="L5321" s="99"/>
      <c r="M5321" s="70" t="s">
        <v>6459</v>
      </c>
      <c r="N5321" s="97" t="s">
        <v>6197</v>
      </c>
      <c r="O5321" s="58"/>
      <c r="P5321" s="58" t="s">
        <v>22</v>
      </c>
      <c r="Q5321" s="58" t="s">
        <v>74</v>
      </c>
      <c r="R5321" s="58" t="s">
        <v>265</v>
      </c>
    </row>
    <row r="5322" spans="1:18" ht="69" customHeight="1">
      <c r="A5322" s="168"/>
      <c r="B5322" s="207">
        <v>2467</v>
      </c>
      <c r="C5322" s="207" t="s">
        <v>3667</v>
      </c>
      <c r="D5322" s="301">
        <v>2662</v>
      </c>
      <c r="E5322" s="207" t="s">
        <v>7890</v>
      </c>
      <c r="F5322" s="208" t="s">
        <v>13134</v>
      </c>
      <c r="G5322" s="160" t="s">
        <v>13131</v>
      </c>
      <c r="H5322" s="300">
        <v>13462</v>
      </c>
      <c r="I5322" s="209">
        <v>45153</v>
      </c>
      <c r="J5322" s="322" t="s">
        <v>13126</v>
      </c>
      <c r="K5322" s="160" t="s">
        <v>727</v>
      </c>
      <c r="M5322" s="380"/>
      <c r="N5322" s="82" t="s">
        <v>6197</v>
      </c>
      <c r="O5322" s="160"/>
      <c r="P5322" s="160" t="s">
        <v>67</v>
      </c>
      <c r="Q5322" s="160" t="s">
        <v>74</v>
      </c>
      <c r="R5322" s="160" t="s">
        <v>272</v>
      </c>
    </row>
    <row r="5323" spans="1:18" ht="69" customHeight="1">
      <c r="A5323" s="168"/>
      <c r="B5323" s="178">
        <v>2468</v>
      </c>
      <c r="C5323" s="178" t="s">
        <v>8080</v>
      </c>
      <c r="D5323" s="575">
        <v>1352</v>
      </c>
      <c r="E5323" s="178" t="s">
        <v>755</v>
      </c>
      <c r="F5323" s="210" t="s">
        <v>13135</v>
      </c>
      <c r="G5323" s="58" t="s">
        <v>9472</v>
      </c>
      <c r="H5323" s="546">
        <v>194962.53</v>
      </c>
      <c r="I5323" s="66">
        <v>45143</v>
      </c>
      <c r="J5323" s="411" t="s">
        <v>13136</v>
      </c>
      <c r="K5323" s="58"/>
      <c r="L5323" s="99"/>
      <c r="M5323" s="70" t="s">
        <v>8192</v>
      </c>
      <c r="N5323" s="97" t="s">
        <v>716</v>
      </c>
      <c r="O5323" s="58"/>
      <c r="P5323" s="58" t="s">
        <v>28</v>
      </c>
      <c r="Q5323" s="58" t="s">
        <v>106</v>
      </c>
      <c r="R5323" s="58" t="s">
        <v>272</v>
      </c>
    </row>
    <row r="5324" spans="1:18" ht="69" customHeight="1">
      <c r="A5324" s="168"/>
      <c r="B5324" s="178">
        <v>2469</v>
      </c>
      <c r="C5324" s="178" t="s">
        <v>11052</v>
      </c>
      <c r="D5324" s="575">
        <v>1914</v>
      </c>
      <c r="E5324" s="178" t="s">
        <v>4173</v>
      </c>
      <c r="F5324" s="210" t="s">
        <v>13137</v>
      </c>
      <c r="G5324" s="58" t="s">
        <v>13138</v>
      </c>
      <c r="H5324" s="546">
        <v>29571.439999999999</v>
      </c>
      <c r="I5324" s="66">
        <v>45163</v>
      </c>
      <c r="J5324" s="411" t="s">
        <v>13139</v>
      </c>
      <c r="K5324" s="58"/>
      <c r="L5324" s="99"/>
      <c r="M5324" s="70" t="s">
        <v>12642</v>
      </c>
      <c r="N5324" s="97" t="s">
        <v>12491</v>
      </c>
      <c r="O5324" s="58"/>
      <c r="P5324" s="58" t="s">
        <v>22</v>
      </c>
      <c r="Q5324" s="58" t="s">
        <v>37</v>
      </c>
      <c r="R5324" s="58" t="s">
        <v>265</v>
      </c>
    </row>
    <row r="5325" spans="1:18" ht="69" customHeight="1">
      <c r="A5325" s="168"/>
      <c r="B5325" s="207">
        <v>2470</v>
      </c>
      <c r="C5325" s="207" t="s">
        <v>12054</v>
      </c>
      <c r="D5325" s="301">
        <v>222</v>
      </c>
      <c r="E5325" s="207" t="s">
        <v>11646</v>
      </c>
      <c r="F5325" s="208" t="s">
        <v>13140</v>
      </c>
      <c r="G5325" s="160" t="s">
        <v>12660</v>
      </c>
      <c r="H5325" s="300">
        <v>1076.9000000000001</v>
      </c>
      <c r="I5325" s="209">
        <v>45143</v>
      </c>
      <c r="J5325" s="322" t="s">
        <v>13141</v>
      </c>
      <c r="K5325" s="160" t="s">
        <v>10804</v>
      </c>
      <c r="M5325" s="379"/>
      <c r="N5325" s="76"/>
      <c r="O5325" s="160"/>
      <c r="P5325" s="160" t="s">
        <v>67</v>
      </c>
      <c r="Q5325" s="160" t="s">
        <v>96</v>
      </c>
      <c r="R5325" s="160" t="s">
        <v>272</v>
      </c>
    </row>
    <row r="5326" spans="1:18" ht="69" customHeight="1">
      <c r="A5326" s="168"/>
      <c r="B5326" s="178">
        <v>2471</v>
      </c>
      <c r="C5326" s="59" t="s">
        <v>3667</v>
      </c>
      <c r="D5326" s="575">
        <v>2664</v>
      </c>
      <c r="E5326" s="178" t="s">
        <v>7890</v>
      </c>
      <c r="F5326" s="210" t="s">
        <v>13142</v>
      </c>
      <c r="G5326" s="58" t="s">
        <v>13131</v>
      </c>
      <c r="H5326" s="546">
        <v>13462</v>
      </c>
      <c r="I5326" s="66">
        <v>45153</v>
      </c>
      <c r="J5326" s="411" t="s">
        <v>13143</v>
      </c>
      <c r="K5326" s="58"/>
      <c r="L5326" s="99"/>
      <c r="M5326" s="70" t="s">
        <v>6459</v>
      </c>
      <c r="N5326" s="97" t="s">
        <v>6197</v>
      </c>
      <c r="O5326" s="58"/>
      <c r="P5326" s="58" t="s">
        <v>22</v>
      </c>
      <c r="Q5326" s="58" t="s">
        <v>78</v>
      </c>
      <c r="R5326" s="58" t="s">
        <v>265</v>
      </c>
    </row>
    <row r="5327" spans="1:18" ht="69" customHeight="1">
      <c r="A5327" s="168"/>
      <c r="B5327" s="178">
        <v>2472</v>
      </c>
      <c r="C5327" s="59" t="s">
        <v>3667</v>
      </c>
      <c r="D5327" s="575">
        <v>2665</v>
      </c>
      <c r="E5327" s="178" t="s">
        <v>7890</v>
      </c>
      <c r="F5327" s="210" t="s">
        <v>13144</v>
      </c>
      <c r="G5327" s="58" t="s">
        <v>13131</v>
      </c>
      <c r="H5327" s="546">
        <v>25082.5</v>
      </c>
      <c r="I5327" s="66">
        <v>45153</v>
      </c>
      <c r="J5327" s="411" t="s">
        <v>13143</v>
      </c>
      <c r="K5327" s="58"/>
      <c r="L5327" s="99"/>
      <c r="M5327" s="70" t="s">
        <v>6582</v>
      </c>
      <c r="N5327" s="97" t="s">
        <v>6197</v>
      </c>
      <c r="O5327" s="58"/>
      <c r="P5327" s="58" t="s">
        <v>22</v>
      </c>
      <c r="Q5327" s="58" t="s">
        <v>76</v>
      </c>
      <c r="R5327" s="58" t="s">
        <v>265</v>
      </c>
    </row>
    <row r="5328" spans="1:18" ht="69" customHeight="1">
      <c r="A5328" s="168"/>
      <c r="B5328" s="178">
        <v>7057</v>
      </c>
      <c r="C5328" s="178" t="s">
        <v>657</v>
      </c>
      <c r="D5328" s="575">
        <v>437</v>
      </c>
      <c r="E5328" s="178" t="s">
        <v>358</v>
      </c>
      <c r="F5328" s="210" t="s">
        <v>13145</v>
      </c>
      <c r="G5328" s="58" t="s">
        <v>9514</v>
      </c>
      <c r="H5328" s="546">
        <v>542531.4</v>
      </c>
      <c r="I5328" s="66">
        <v>44851</v>
      </c>
      <c r="J5328" s="411" t="s">
        <v>13146</v>
      </c>
      <c r="K5328" s="58"/>
      <c r="L5328" s="99"/>
      <c r="M5328" s="70" t="s">
        <v>13147</v>
      </c>
      <c r="N5328" s="97" t="s">
        <v>356</v>
      </c>
      <c r="O5328" s="58" t="s">
        <v>141</v>
      </c>
      <c r="P5328" s="58" t="s">
        <v>19</v>
      </c>
      <c r="Q5328" s="58" t="s">
        <v>97</v>
      </c>
      <c r="R5328" s="58" t="s">
        <v>272</v>
      </c>
    </row>
    <row r="5329" spans="1:18" ht="69" customHeight="1">
      <c r="A5329" s="168"/>
      <c r="B5329" s="178">
        <v>7440</v>
      </c>
      <c r="C5329" s="178" t="s">
        <v>657</v>
      </c>
      <c r="D5329" s="575">
        <v>600</v>
      </c>
      <c r="E5329" s="178" t="s">
        <v>350</v>
      </c>
      <c r="F5329" s="210" t="s">
        <v>13148</v>
      </c>
      <c r="G5329" s="58" t="s">
        <v>1838</v>
      </c>
      <c r="H5329" s="546">
        <v>103267.47</v>
      </c>
      <c r="I5329" s="66">
        <v>44893</v>
      </c>
      <c r="J5329" s="411" t="s">
        <v>7875</v>
      </c>
      <c r="K5329" s="58"/>
      <c r="L5329" s="99"/>
      <c r="M5329" s="70" t="s">
        <v>7083</v>
      </c>
      <c r="N5329" s="97" t="s">
        <v>356</v>
      </c>
      <c r="O5329" s="58" t="s">
        <v>141</v>
      </c>
      <c r="P5329" s="58" t="s">
        <v>19</v>
      </c>
      <c r="Q5329" s="58" t="s">
        <v>97</v>
      </c>
      <c r="R5329" s="58" t="s">
        <v>265</v>
      </c>
    </row>
    <row r="5330" spans="1:18" ht="69" customHeight="1">
      <c r="A5330" s="168"/>
      <c r="B5330" s="178">
        <v>7441</v>
      </c>
      <c r="C5330" s="178" t="s">
        <v>657</v>
      </c>
      <c r="D5330" s="575">
        <v>601</v>
      </c>
      <c r="E5330" s="178" t="s">
        <v>350</v>
      </c>
      <c r="F5330" s="210" t="s">
        <v>13149</v>
      </c>
      <c r="G5330" s="58" t="s">
        <v>1838</v>
      </c>
      <c r="H5330" s="546">
        <v>70804.3</v>
      </c>
      <c r="I5330" s="66">
        <v>44893</v>
      </c>
      <c r="J5330" s="411" t="s">
        <v>7875</v>
      </c>
      <c r="K5330" s="58"/>
      <c r="L5330" s="99"/>
      <c r="M5330" s="70" t="s">
        <v>7083</v>
      </c>
      <c r="N5330" s="97" t="s">
        <v>356</v>
      </c>
      <c r="O5330" s="58" t="s">
        <v>141</v>
      </c>
      <c r="P5330" s="58" t="s">
        <v>19</v>
      </c>
      <c r="Q5330" s="58" t="s">
        <v>97</v>
      </c>
      <c r="R5330" s="58" t="s">
        <v>265</v>
      </c>
    </row>
    <row r="5331" spans="1:18" ht="69" customHeight="1">
      <c r="A5331" s="168"/>
      <c r="B5331" s="256">
        <v>8412</v>
      </c>
      <c r="C5331" s="256" t="s">
        <v>657</v>
      </c>
      <c r="D5331" s="299" t="s">
        <v>6952</v>
      </c>
      <c r="E5331" s="256" t="s">
        <v>4651</v>
      </c>
      <c r="F5331" s="263" t="s">
        <v>13150</v>
      </c>
      <c r="G5331" s="118" t="s">
        <v>1838</v>
      </c>
      <c r="H5331" s="300">
        <v>4136</v>
      </c>
      <c r="I5331" s="262">
        <v>44937</v>
      </c>
      <c r="J5331" s="409" t="s">
        <v>8236</v>
      </c>
      <c r="K5331" s="160" t="s">
        <v>13151</v>
      </c>
      <c r="L5331" s="99"/>
      <c r="M5331" s="70" t="s">
        <v>7807</v>
      </c>
      <c r="N5331" s="97" t="s">
        <v>356</v>
      </c>
      <c r="O5331" s="118" t="s">
        <v>141</v>
      </c>
      <c r="P5331" s="118" t="s">
        <v>67</v>
      </c>
      <c r="Q5331" s="118" t="s">
        <v>104</v>
      </c>
      <c r="R5331" s="118" t="s">
        <v>265</v>
      </c>
    </row>
    <row r="5332" spans="1:18" ht="69" customHeight="1">
      <c r="A5332" s="168"/>
      <c r="B5332" s="178">
        <v>7045</v>
      </c>
      <c r="C5332" s="178" t="s">
        <v>309</v>
      </c>
      <c r="D5332" s="575">
        <v>785</v>
      </c>
      <c r="E5332" s="178" t="s">
        <v>350</v>
      </c>
      <c r="F5332" s="210" t="s">
        <v>13152</v>
      </c>
      <c r="G5332" s="58" t="s">
        <v>1048</v>
      </c>
      <c r="H5332" s="546">
        <v>11220</v>
      </c>
      <c r="I5332" s="66">
        <v>44848</v>
      </c>
      <c r="J5332" s="411" t="s">
        <v>9801</v>
      </c>
      <c r="K5332" s="58"/>
      <c r="L5332" s="99"/>
      <c r="M5332" s="70" t="s">
        <v>1526</v>
      </c>
      <c r="N5332" s="97" t="s">
        <v>356</v>
      </c>
      <c r="O5332" s="58" t="s">
        <v>141</v>
      </c>
      <c r="P5332" s="58" t="s">
        <v>19</v>
      </c>
      <c r="Q5332" s="58" t="s">
        <v>27</v>
      </c>
      <c r="R5332" s="58" t="s">
        <v>265</v>
      </c>
    </row>
    <row r="5333" spans="1:18" ht="69" customHeight="1">
      <c r="A5333" s="168"/>
      <c r="B5333" s="178">
        <v>7318</v>
      </c>
      <c r="C5333" s="178" t="s">
        <v>309</v>
      </c>
      <c r="D5333" s="575">
        <v>885</v>
      </c>
      <c r="E5333" s="178" t="s">
        <v>350</v>
      </c>
      <c r="F5333" s="210" t="s">
        <v>13153</v>
      </c>
      <c r="G5333" s="58" t="s">
        <v>13154</v>
      </c>
      <c r="H5333" s="546">
        <v>5833.38</v>
      </c>
      <c r="I5333" s="66">
        <v>44882</v>
      </c>
      <c r="J5333" s="411" t="s">
        <v>2150</v>
      </c>
      <c r="K5333" s="58"/>
      <c r="L5333" s="99"/>
      <c r="M5333" s="70" t="s">
        <v>1526</v>
      </c>
      <c r="N5333" s="97" t="s">
        <v>356</v>
      </c>
      <c r="O5333" s="58" t="s">
        <v>141</v>
      </c>
      <c r="P5333" s="58" t="s">
        <v>19</v>
      </c>
      <c r="Q5333" s="58" t="s">
        <v>27</v>
      </c>
      <c r="R5333" s="58" t="s">
        <v>265</v>
      </c>
    </row>
    <row r="5334" spans="1:18" ht="69" customHeight="1">
      <c r="A5334" s="168"/>
      <c r="B5334" s="178">
        <v>8726</v>
      </c>
      <c r="C5334" s="178" t="s">
        <v>458</v>
      </c>
      <c r="D5334" s="575">
        <v>1147</v>
      </c>
      <c r="E5334" s="178" t="s">
        <v>5842</v>
      </c>
      <c r="F5334" s="210" t="s">
        <v>13155</v>
      </c>
      <c r="G5334" s="58" t="s">
        <v>9088</v>
      </c>
      <c r="H5334" s="546">
        <v>20939.53</v>
      </c>
      <c r="I5334" s="66">
        <v>44959</v>
      </c>
      <c r="J5334" s="411" t="s">
        <v>9089</v>
      </c>
      <c r="K5334" s="58"/>
      <c r="L5334" s="99"/>
      <c r="M5334" s="70" t="s">
        <v>9022</v>
      </c>
      <c r="N5334" s="97" t="s">
        <v>264</v>
      </c>
      <c r="O5334" s="58" t="s">
        <v>141</v>
      </c>
      <c r="P5334" s="58" t="s">
        <v>17</v>
      </c>
      <c r="Q5334" s="58" t="s">
        <v>112</v>
      </c>
      <c r="R5334" s="58" t="s">
        <v>265</v>
      </c>
    </row>
    <row r="5335" spans="1:18" ht="69" customHeight="1">
      <c r="A5335" s="168"/>
      <c r="B5335" s="207">
        <v>2473</v>
      </c>
      <c r="C5335" s="207" t="s">
        <v>13156</v>
      </c>
      <c r="D5335" s="301" t="s">
        <v>6262</v>
      </c>
      <c r="E5335" s="207" t="s">
        <v>585</v>
      </c>
      <c r="F5335" s="208" t="s">
        <v>13117</v>
      </c>
      <c r="G5335" s="160" t="s">
        <v>13118</v>
      </c>
      <c r="H5335" s="300">
        <v>3900</v>
      </c>
      <c r="I5335" s="209">
        <v>45153</v>
      </c>
      <c r="J5335" s="322" t="s">
        <v>13119</v>
      </c>
      <c r="K5335" s="160" t="s">
        <v>10804</v>
      </c>
      <c r="M5335" s="379"/>
      <c r="N5335" s="76"/>
      <c r="O5335" s="160"/>
      <c r="P5335" s="160" t="s">
        <v>67</v>
      </c>
      <c r="Q5335" s="160" t="s">
        <v>96</v>
      </c>
      <c r="R5335" s="160" t="s">
        <v>272</v>
      </c>
    </row>
    <row r="5336" spans="1:18" ht="69" customHeight="1">
      <c r="A5336" s="168"/>
      <c r="B5336" s="207">
        <v>2474</v>
      </c>
      <c r="C5336" s="207" t="s">
        <v>13156</v>
      </c>
      <c r="D5336" s="301" t="s">
        <v>706</v>
      </c>
      <c r="E5336" s="207" t="s">
        <v>585</v>
      </c>
      <c r="F5336" s="208" t="s">
        <v>13120</v>
      </c>
      <c r="G5336" s="160" t="s">
        <v>13118</v>
      </c>
      <c r="H5336" s="300">
        <v>2550</v>
      </c>
      <c r="I5336" s="209">
        <v>45153</v>
      </c>
      <c r="J5336" s="322" t="s">
        <v>13119</v>
      </c>
      <c r="K5336" s="160" t="s">
        <v>10804</v>
      </c>
      <c r="M5336" s="379"/>
      <c r="N5336" s="76"/>
      <c r="O5336" s="160"/>
      <c r="P5336" s="160" t="s">
        <v>67</v>
      </c>
      <c r="Q5336" s="160" t="s">
        <v>96</v>
      </c>
      <c r="R5336" s="160" t="s">
        <v>272</v>
      </c>
    </row>
    <row r="5337" spans="1:18" ht="69" customHeight="1">
      <c r="A5337" s="168"/>
      <c r="B5337" s="207">
        <v>2475</v>
      </c>
      <c r="C5337" s="207" t="s">
        <v>13156</v>
      </c>
      <c r="D5337" s="301" t="s">
        <v>4418</v>
      </c>
      <c r="E5337" s="207" t="s">
        <v>585</v>
      </c>
      <c r="F5337" s="208" t="s">
        <v>13121</v>
      </c>
      <c r="G5337" s="160" t="s">
        <v>13118</v>
      </c>
      <c r="H5337" s="300">
        <v>4650</v>
      </c>
      <c r="I5337" s="209">
        <v>45153</v>
      </c>
      <c r="J5337" s="322" t="s">
        <v>13119</v>
      </c>
      <c r="K5337" s="160" t="s">
        <v>10804</v>
      </c>
      <c r="M5337" s="379"/>
      <c r="N5337" s="76"/>
      <c r="O5337" s="160"/>
      <c r="P5337" s="160" t="s">
        <v>67</v>
      </c>
      <c r="Q5337" s="160" t="s">
        <v>96</v>
      </c>
      <c r="R5337" s="160" t="s">
        <v>272</v>
      </c>
    </row>
    <row r="5338" spans="1:18" ht="69" customHeight="1">
      <c r="A5338" s="168"/>
      <c r="B5338" s="207">
        <v>2476</v>
      </c>
      <c r="C5338" s="207" t="s">
        <v>13156</v>
      </c>
      <c r="D5338" s="301" t="s">
        <v>6750</v>
      </c>
      <c r="E5338" s="207" t="s">
        <v>585</v>
      </c>
      <c r="F5338" s="208" t="s">
        <v>13157</v>
      </c>
      <c r="G5338" s="160" t="s">
        <v>13118</v>
      </c>
      <c r="H5338" s="300">
        <v>2800</v>
      </c>
      <c r="I5338" s="209">
        <v>45153</v>
      </c>
      <c r="J5338" s="322" t="s">
        <v>13119</v>
      </c>
      <c r="K5338" s="160" t="s">
        <v>10804</v>
      </c>
      <c r="M5338" s="379"/>
      <c r="N5338" s="76"/>
      <c r="O5338" s="160"/>
      <c r="P5338" s="160" t="s">
        <v>67</v>
      </c>
      <c r="Q5338" s="160" t="s">
        <v>96</v>
      </c>
      <c r="R5338" s="160" t="s">
        <v>272</v>
      </c>
    </row>
    <row r="5339" spans="1:18" s="98" customFormat="1" ht="69" customHeight="1">
      <c r="A5339" s="169"/>
      <c r="B5339" s="59">
        <v>2477</v>
      </c>
      <c r="C5339" s="59" t="s">
        <v>4277</v>
      </c>
      <c r="D5339" s="581" t="s">
        <v>13158</v>
      </c>
      <c r="E5339" s="59" t="s">
        <v>755</v>
      </c>
      <c r="F5339" s="569" t="s">
        <v>13159</v>
      </c>
      <c r="G5339" s="45" t="s">
        <v>13160</v>
      </c>
      <c r="H5339" s="546">
        <v>15948.03</v>
      </c>
      <c r="I5339" s="47">
        <v>45163</v>
      </c>
      <c r="J5339" s="410" t="s">
        <v>13161</v>
      </c>
      <c r="K5339" s="45"/>
      <c r="L5339" s="99"/>
      <c r="M5339" s="385"/>
      <c r="N5339" s="75"/>
      <c r="O5339" s="45" t="s">
        <v>183</v>
      </c>
      <c r="P5339" s="45" t="s">
        <v>57</v>
      </c>
      <c r="Q5339" s="45" t="s">
        <v>56</v>
      </c>
      <c r="R5339" s="45" t="s">
        <v>272</v>
      </c>
    </row>
    <row r="5340" spans="1:18" ht="69" customHeight="1">
      <c r="A5340" s="168"/>
      <c r="B5340" s="59">
        <v>2478</v>
      </c>
      <c r="C5340" s="59" t="s">
        <v>4277</v>
      </c>
      <c r="D5340" s="581" t="s">
        <v>13162</v>
      </c>
      <c r="E5340" s="59" t="s">
        <v>755</v>
      </c>
      <c r="F5340" s="569" t="s">
        <v>13163</v>
      </c>
      <c r="G5340" s="45" t="s">
        <v>13160</v>
      </c>
      <c r="H5340" s="546">
        <v>23364</v>
      </c>
      <c r="I5340" s="47">
        <v>45163</v>
      </c>
      <c r="J5340" s="410" t="s">
        <v>13161</v>
      </c>
      <c r="K5340" s="45"/>
      <c r="L5340" s="99"/>
      <c r="M5340" s="70"/>
      <c r="N5340" s="97"/>
      <c r="O5340" s="58" t="s">
        <v>183</v>
      </c>
      <c r="P5340" s="58" t="s">
        <v>57</v>
      </c>
      <c r="Q5340" s="58" t="s">
        <v>58</v>
      </c>
      <c r="R5340" s="58" t="s">
        <v>272</v>
      </c>
    </row>
    <row r="5341" spans="1:18" ht="69" customHeight="1">
      <c r="A5341" s="168"/>
      <c r="B5341" s="178">
        <v>2478</v>
      </c>
      <c r="C5341" s="178" t="s">
        <v>5558</v>
      </c>
      <c r="D5341" s="575" t="s">
        <v>13164</v>
      </c>
      <c r="E5341" s="178" t="s">
        <v>266</v>
      </c>
      <c r="F5341" s="210" t="s">
        <v>13165</v>
      </c>
      <c r="G5341" s="58" t="s">
        <v>5654</v>
      </c>
      <c r="H5341" s="546">
        <v>38.53</v>
      </c>
      <c r="I5341" s="66">
        <v>45153</v>
      </c>
      <c r="J5341" s="411" t="s">
        <v>13166</v>
      </c>
      <c r="K5341" s="58"/>
      <c r="L5341" s="99"/>
      <c r="M5341" s="70"/>
      <c r="N5341" s="97"/>
      <c r="O5341" s="58" t="s">
        <v>13167</v>
      </c>
      <c r="P5341" s="58" t="s">
        <v>44</v>
      </c>
      <c r="Q5341" s="58" t="s">
        <v>64</v>
      </c>
      <c r="R5341" s="58" t="s">
        <v>272</v>
      </c>
    </row>
    <row r="5342" spans="1:18" ht="69" customHeight="1">
      <c r="A5342" s="168"/>
      <c r="B5342" s="178">
        <v>2479</v>
      </c>
      <c r="C5342" s="178" t="s">
        <v>5558</v>
      </c>
      <c r="D5342" s="575" t="s">
        <v>13168</v>
      </c>
      <c r="E5342" s="178" t="s">
        <v>266</v>
      </c>
      <c r="F5342" s="210" t="s">
        <v>13169</v>
      </c>
      <c r="G5342" s="58" t="s">
        <v>5654</v>
      </c>
      <c r="H5342" s="546">
        <v>142.34</v>
      </c>
      <c r="I5342" s="66">
        <v>45153</v>
      </c>
      <c r="J5342" s="411" t="s">
        <v>13166</v>
      </c>
      <c r="K5342" s="58"/>
      <c r="L5342" s="99"/>
      <c r="M5342" s="70"/>
      <c r="N5342" s="97"/>
      <c r="O5342" s="58" t="s">
        <v>13167</v>
      </c>
      <c r="P5342" s="58" t="s">
        <v>44</v>
      </c>
      <c r="Q5342" s="58" t="s">
        <v>64</v>
      </c>
      <c r="R5342" s="58" t="s">
        <v>272</v>
      </c>
    </row>
    <row r="5343" spans="1:18" ht="69" customHeight="1">
      <c r="A5343" s="168"/>
      <c r="B5343" s="178">
        <v>2480</v>
      </c>
      <c r="C5343" s="178" t="s">
        <v>5558</v>
      </c>
      <c r="D5343" s="575" t="s">
        <v>13170</v>
      </c>
      <c r="E5343" s="178" t="s">
        <v>266</v>
      </c>
      <c r="F5343" s="210" t="s">
        <v>13171</v>
      </c>
      <c r="G5343" s="58" t="s">
        <v>5654</v>
      </c>
      <c r="H5343" s="546">
        <v>629.61</v>
      </c>
      <c r="I5343" s="66">
        <v>45153</v>
      </c>
      <c r="J5343" s="411" t="s">
        <v>13166</v>
      </c>
      <c r="K5343" s="58"/>
      <c r="L5343" s="99"/>
      <c r="M5343" s="70"/>
      <c r="N5343" s="97"/>
      <c r="O5343" s="58" t="s">
        <v>13167</v>
      </c>
      <c r="P5343" s="58" t="s">
        <v>44</v>
      </c>
      <c r="Q5343" s="58" t="s">
        <v>64</v>
      </c>
      <c r="R5343" s="58" t="s">
        <v>272</v>
      </c>
    </row>
    <row r="5344" spans="1:18" s="98" customFormat="1" ht="69" customHeight="1">
      <c r="A5344" s="169"/>
      <c r="B5344" s="59">
        <v>2481</v>
      </c>
      <c r="C5344" s="59" t="s">
        <v>657</v>
      </c>
      <c r="D5344" s="581" t="s">
        <v>13172</v>
      </c>
      <c r="E5344" s="59" t="s">
        <v>4651</v>
      </c>
      <c r="F5344" s="569" t="s">
        <v>13173</v>
      </c>
      <c r="G5344" s="45" t="s">
        <v>13174</v>
      </c>
      <c r="H5344" s="546">
        <v>67950</v>
      </c>
      <c r="I5344" s="47">
        <v>45145</v>
      </c>
      <c r="J5344" s="410" t="s">
        <v>13175</v>
      </c>
      <c r="K5344" s="45"/>
      <c r="L5344" s="99"/>
      <c r="M5344" s="385"/>
      <c r="N5344" s="75"/>
      <c r="O5344" s="45" t="s">
        <v>13176</v>
      </c>
      <c r="P5344" s="45" t="s">
        <v>19</v>
      </c>
      <c r="Q5344" s="45" t="s">
        <v>111</v>
      </c>
      <c r="R5344" s="45" t="s">
        <v>265</v>
      </c>
    </row>
    <row r="5345" spans="1:18" ht="69" customHeight="1">
      <c r="A5345" s="168"/>
      <c r="B5345" s="59">
        <v>2482</v>
      </c>
      <c r="C5345" s="59" t="s">
        <v>458</v>
      </c>
      <c r="D5345" s="581" t="s">
        <v>4099</v>
      </c>
      <c r="E5345" s="59" t="s">
        <v>4651</v>
      </c>
      <c r="F5345" s="569" t="s">
        <v>13177</v>
      </c>
      <c r="G5345" s="45" t="s">
        <v>13178</v>
      </c>
      <c r="H5345" s="546">
        <v>67950</v>
      </c>
      <c r="I5345" s="47">
        <v>45145</v>
      </c>
      <c r="J5345" s="410" t="s">
        <v>13175</v>
      </c>
      <c r="K5345" s="45" t="s">
        <v>13179</v>
      </c>
      <c r="L5345" s="99"/>
      <c r="M5345" s="70"/>
      <c r="N5345" s="97"/>
      <c r="O5345" s="58" t="s">
        <v>13176</v>
      </c>
      <c r="P5345" s="58" t="s">
        <v>19</v>
      </c>
      <c r="Q5345" s="58" t="s">
        <v>122</v>
      </c>
      <c r="R5345" s="58" t="s">
        <v>265</v>
      </c>
    </row>
    <row r="5346" spans="1:18" s="98" customFormat="1" ht="69" customHeight="1">
      <c r="A5346" s="169"/>
      <c r="B5346" s="59">
        <v>2483</v>
      </c>
      <c r="C5346" s="59" t="s">
        <v>458</v>
      </c>
      <c r="D5346" s="581" t="s">
        <v>13180</v>
      </c>
      <c r="E5346" s="59" t="s">
        <v>4651</v>
      </c>
      <c r="F5346" s="569" t="s">
        <v>13181</v>
      </c>
      <c r="G5346" s="45" t="s">
        <v>13182</v>
      </c>
      <c r="H5346" s="546">
        <v>67950</v>
      </c>
      <c r="I5346" s="47">
        <v>45145</v>
      </c>
      <c r="J5346" s="410" t="s">
        <v>13175</v>
      </c>
      <c r="K5346" s="45"/>
      <c r="L5346" s="99"/>
      <c r="M5346" s="385"/>
      <c r="N5346" s="75"/>
      <c r="O5346" s="45" t="s">
        <v>13176</v>
      </c>
      <c r="P5346" s="45" t="s">
        <v>19</v>
      </c>
      <c r="Q5346" s="45" t="s">
        <v>100</v>
      </c>
      <c r="R5346" s="45" t="s">
        <v>265</v>
      </c>
    </row>
    <row r="5347" spans="1:18" ht="69" customHeight="1">
      <c r="A5347" s="168"/>
      <c r="B5347" s="191">
        <v>2484</v>
      </c>
      <c r="C5347" s="191" t="s">
        <v>458</v>
      </c>
      <c r="D5347" s="533" t="s">
        <v>5967</v>
      </c>
      <c r="E5347" s="191" t="s">
        <v>4651</v>
      </c>
      <c r="F5347" s="211" t="s">
        <v>13183</v>
      </c>
      <c r="G5347" s="46" t="s">
        <v>13184</v>
      </c>
      <c r="H5347" s="534">
        <f>67950-17040</f>
        <v>50910</v>
      </c>
      <c r="I5347" s="56">
        <v>45145</v>
      </c>
      <c r="J5347" s="412" t="s">
        <v>13175</v>
      </c>
      <c r="K5347" s="46" t="s">
        <v>13185</v>
      </c>
      <c r="L5347" s="120"/>
      <c r="M5347" s="70"/>
      <c r="N5347" s="97"/>
      <c r="O5347" s="46" t="s">
        <v>141</v>
      </c>
      <c r="P5347" s="46" t="s">
        <v>19</v>
      </c>
      <c r="Q5347" s="46" t="s">
        <v>13</v>
      </c>
      <c r="R5347" s="46" t="s">
        <v>265</v>
      </c>
    </row>
    <row r="5348" spans="1:18" ht="69" customHeight="1">
      <c r="A5348" s="168"/>
      <c r="B5348" s="207">
        <v>2485</v>
      </c>
      <c r="C5348" s="207" t="s">
        <v>10961</v>
      </c>
      <c r="D5348" s="301" t="s">
        <v>13186</v>
      </c>
      <c r="E5348" s="207" t="s">
        <v>11646</v>
      </c>
      <c r="F5348" s="208" t="s">
        <v>13187</v>
      </c>
      <c r="G5348" s="160" t="s">
        <v>13188</v>
      </c>
      <c r="H5348" s="300">
        <v>1509.3</v>
      </c>
      <c r="I5348" s="209">
        <v>45153</v>
      </c>
      <c r="J5348" s="322" t="s">
        <v>13189</v>
      </c>
      <c r="K5348" s="160" t="s">
        <v>10804</v>
      </c>
      <c r="M5348" s="379"/>
      <c r="N5348" s="76"/>
      <c r="O5348" s="160"/>
      <c r="P5348" s="160" t="s">
        <v>67</v>
      </c>
      <c r="Q5348" s="160" t="s">
        <v>96</v>
      </c>
      <c r="R5348" s="160" t="s">
        <v>272</v>
      </c>
    </row>
    <row r="5349" spans="1:18" ht="69" customHeight="1">
      <c r="A5349" s="168"/>
      <c r="B5349" s="178">
        <v>2486</v>
      </c>
      <c r="C5349" s="178" t="s">
        <v>9322</v>
      </c>
      <c r="D5349" s="575" t="s">
        <v>4702</v>
      </c>
      <c r="E5349" s="178" t="s">
        <v>10954</v>
      </c>
      <c r="F5349" s="210" t="s">
        <v>13190</v>
      </c>
      <c r="G5349" s="58" t="s">
        <v>13191</v>
      </c>
      <c r="H5349" s="546">
        <v>50587.29</v>
      </c>
      <c r="I5349" s="66">
        <v>45163</v>
      </c>
      <c r="J5349" s="411" t="s">
        <v>13192</v>
      </c>
      <c r="K5349" s="58"/>
      <c r="L5349" s="99"/>
      <c r="M5349" s="70"/>
      <c r="N5349" s="97"/>
      <c r="O5349" s="58" t="s">
        <v>141</v>
      </c>
      <c r="P5349" s="58" t="s">
        <v>19</v>
      </c>
      <c r="Q5349" s="58" t="s">
        <v>114</v>
      </c>
      <c r="R5349" s="58" t="s">
        <v>272</v>
      </c>
    </row>
    <row r="5350" spans="1:18" ht="69" customHeight="1">
      <c r="A5350" s="168"/>
      <c r="B5350" s="178">
        <v>2487</v>
      </c>
      <c r="C5350" s="178" t="s">
        <v>458</v>
      </c>
      <c r="D5350" s="575" t="s">
        <v>4812</v>
      </c>
      <c r="E5350" s="178" t="s">
        <v>10954</v>
      </c>
      <c r="F5350" s="210" t="s">
        <v>13193</v>
      </c>
      <c r="G5350" s="58" t="s">
        <v>13194</v>
      </c>
      <c r="H5350" s="546">
        <v>50000</v>
      </c>
      <c r="I5350" s="66">
        <v>45163</v>
      </c>
      <c r="J5350" s="411" t="s">
        <v>13195</v>
      </c>
      <c r="K5350" s="58"/>
      <c r="L5350" s="99"/>
      <c r="M5350" s="70"/>
      <c r="N5350" s="97"/>
      <c r="O5350" s="58" t="s">
        <v>141</v>
      </c>
      <c r="P5350" s="58" t="s">
        <v>19</v>
      </c>
      <c r="Q5350" s="58" t="s">
        <v>119</v>
      </c>
      <c r="R5350" s="58" t="s">
        <v>272</v>
      </c>
    </row>
    <row r="5351" spans="1:18" ht="69" customHeight="1">
      <c r="A5351" s="168"/>
      <c r="B5351" s="178">
        <v>2488</v>
      </c>
      <c r="C5351" s="178" t="s">
        <v>458</v>
      </c>
      <c r="D5351" s="575" t="s">
        <v>5499</v>
      </c>
      <c r="E5351" s="178" t="s">
        <v>10563</v>
      </c>
      <c r="F5351" s="210" t="s">
        <v>13196</v>
      </c>
      <c r="G5351" s="58" t="s">
        <v>13197</v>
      </c>
      <c r="H5351" s="546">
        <v>427965.14</v>
      </c>
      <c r="I5351" s="66">
        <v>45163</v>
      </c>
      <c r="J5351" s="411" t="s">
        <v>13198</v>
      </c>
      <c r="K5351" s="58"/>
      <c r="L5351" s="99"/>
      <c r="M5351" s="70"/>
      <c r="N5351" s="97"/>
      <c r="O5351" s="58" t="s">
        <v>13199</v>
      </c>
      <c r="P5351" s="58" t="s">
        <v>59</v>
      </c>
      <c r="Q5351" s="58" t="s">
        <v>117</v>
      </c>
      <c r="R5351" s="58" t="s">
        <v>272</v>
      </c>
    </row>
    <row r="5352" spans="1:18" s="98" customFormat="1" ht="69" customHeight="1">
      <c r="A5352" s="169"/>
      <c r="B5352" s="207">
        <v>2489</v>
      </c>
      <c r="C5352" s="207" t="s">
        <v>309</v>
      </c>
      <c r="D5352" s="301" t="s">
        <v>4341</v>
      </c>
      <c r="E5352" s="207" t="s">
        <v>305</v>
      </c>
      <c r="F5352" s="208" t="s">
        <v>13200</v>
      </c>
      <c r="G5352" s="160" t="s">
        <v>13201</v>
      </c>
      <c r="H5352" s="300">
        <v>15260.7</v>
      </c>
      <c r="I5352" s="209">
        <v>45158</v>
      </c>
      <c r="J5352" s="322" t="s">
        <v>13202</v>
      </c>
      <c r="K5352" s="160" t="s">
        <v>727</v>
      </c>
      <c r="M5352" s="379"/>
      <c r="N5352" s="76"/>
      <c r="O5352" s="160"/>
      <c r="P5352" s="160" t="s">
        <v>67</v>
      </c>
      <c r="Q5352" s="160" t="s">
        <v>96</v>
      </c>
      <c r="R5352" s="160" t="s">
        <v>272</v>
      </c>
    </row>
    <row r="5353" spans="1:18" ht="69" customHeight="1">
      <c r="A5353" s="168"/>
      <c r="B5353" s="178">
        <v>2490</v>
      </c>
      <c r="C5353" s="59" t="s">
        <v>3667</v>
      </c>
      <c r="D5353" s="575" t="s">
        <v>13203</v>
      </c>
      <c r="E5353" s="178" t="s">
        <v>7985</v>
      </c>
      <c r="F5353" s="210" t="s">
        <v>13204</v>
      </c>
      <c r="G5353" s="58" t="s">
        <v>13205</v>
      </c>
      <c r="H5353" s="546">
        <v>233100</v>
      </c>
      <c r="I5353" s="66">
        <v>45163</v>
      </c>
      <c r="J5353" s="411" t="s">
        <v>13206</v>
      </c>
      <c r="K5353" s="58"/>
      <c r="L5353" s="99"/>
      <c r="M5353" s="70"/>
      <c r="N5353" s="97"/>
      <c r="O5353" s="45" t="s">
        <v>12198</v>
      </c>
      <c r="P5353" s="58" t="s">
        <v>57</v>
      </c>
      <c r="Q5353" s="58" t="s">
        <v>74</v>
      </c>
      <c r="R5353" s="58" t="s">
        <v>272</v>
      </c>
    </row>
    <row r="5354" spans="1:18" ht="69" customHeight="1">
      <c r="A5354" s="168"/>
      <c r="B5354" s="59">
        <v>2491</v>
      </c>
      <c r="C5354" s="59" t="s">
        <v>753</v>
      </c>
      <c r="D5354" s="581" t="s">
        <v>4037</v>
      </c>
      <c r="E5354" s="59" t="s">
        <v>12878</v>
      </c>
      <c r="F5354" s="569" t="s">
        <v>13207</v>
      </c>
      <c r="G5354" s="45" t="s">
        <v>13208</v>
      </c>
      <c r="H5354" s="546">
        <v>349151.99</v>
      </c>
      <c r="I5354" s="47">
        <v>45153</v>
      </c>
      <c r="J5354" s="410" t="s">
        <v>13209</v>
      </c>
      <c r="K5354" s="45"/>
      <c r="L5354" s="99"/>
      <c r="M5354" s="70"/>
      <c r="N5354" s="97"/>
      <c r="O5354" s="58" t="s">
        <v>154</v>
      </c>
      <c r="P5354" s="58" t="s">
        <v>57</v>
      </c>
      <c r="Q5354" s="58" t="s">
        <v>20</v>
      </c>
      <c r="R5354" s="58" t="s">
        <v>272</v>
      </c>
    </row>
    <row r="5355" spans="1:18" ht="69" customHeight="1">
      <c r="A5355" s="168"/>
      <c r="B5355" s="207">
        <v>2492</v>
      </c>
      <c r="C5355" s="207" t="s">
        <v>10961</v>
      </c>
      <c r="D5355" s="301" t="s">
        <v>13210</v>
      </c>
      <c r="E5355" s="207" t="s">
        <v>266</v>
      </c>
      <c r="F5355" s="208" t="s">
        <v>13211</v>
      </c>
      <c r="G5355" s="160" t="s">
        <v>11038</v>
      </c>
      <c r="H5355" s="300">
        <v>10060.959999999999</v>
      </c>
      <c r="I5355" s="209">
        <v>45163</v>
      </c>
      <c r="J5355" s="322" t="s">
        <v>13212</v>
      </c>
      <c r="K5355" s="160" t="s">
        <v>67</v>
      </c>
      <c r="M5355" s="379"/>
      <c r="N5355" s="76"/>
      <c r="O5355" s="160"/>
      <c r="P5355" s="160" t="s">
        <v>67</v>
      </c>
      <c r="Q5355" s="160" t="s">
        <v>96</v>
      </c>
      <c r="R5355" s="160" t="s">
        <v>272</v>
      </c>
    </row>
    <row r="5356" spans="1:18" ht="69" customHeight="1">
      <c r="A5356" s="168"/>
      <c r="B5356" s="191">
        <v>2493</v>
      </c>
      <c r="C5356" s="191" t="s">
        <v>458</v>
      </c>
      <c r="D5356" s="533" t="s">
        <v>5513</v>
      </c>
      <c r="E5356" s="191" t="s">
        <v>12905</v>
      </c>
      <c r="F5356" s="211" t="s">
        <v>13213</v>
      </c>
      <c r="G5356" s="46" t="s">
        <v>13214</v>
      </c>
      <c r="H5356" s="534">
        <v>10240</v>
      </c>
      <c r="I5356" s="56">
        <v>45163</v>
      </c>
      <c r="J5356" s="412" t="s">
        <v>13215</v>
      </c>
      <c r="K5356" s="46" t="s">
        <v>5103</v>
      </c>
      <c r="L5356" s="99"/>
      <c r="M5356" s="379"/>
      <c r="N5356" s="76"/>
      <c r="O5356" s="46" t="s">
        <v>13216</v>
      </c>
      <c r="P5356" s="46" t="s">
        <v>65</v>
      </c>
      <c r="Q5356" s="46" t="s">
        <v>112</v>
      </c>
      <c r="R5356" s="46" t="s">
        <v>272</v>
      </c>
    </row>
    <row r="5357" spans="1:18" ht="69" customHeight="1">
      <c r="A5357" s="168"/>
      <c r="B5357" s="178">
        <v>2494</v>
      </c>
      <c r="C5357" s="178" t="s">
        <v>309</v>
      </c>
      <c r="D5357" s="575" t="s">
        <v>4032</v>
      </c>
      <c r="E5357" s="178" t="s">
        <v>350</v>
      </c>
      <c r="F5357" s="210" t="s">
        <v>13217</v>
      </c>
      <c r="G5357" s="58" t="s">
        <v>13218</v>
      </c>
      <c r="H5357" s="546">
        <v>152725.21</v>
      </c>
      <c r="I5357" s="66">
        <v>45163</v>
      </c>
      <c r="J5357" s="411" t="s">
        <v>13219</v>
      </c>
      <c r="K5357" s="58"/>
      <c r="L5357" s="99"/>
      <c r="M5357" s="70"/>
      <c r="N5357" s="97"/>
      <c r="O5357" s="58" t="s">
        <v>13220</v>
      </c>
      <c r="P5357" s="58" t="s">
        <v>19</v>
      </c>
      <c r="Q5357" s="58" t="s">
        <v>41</v>
      </c>
      <c r="R5357" s="58" t="s">
        <v>265</v>
      </c>
    </row>
    <row r="5358" spans="1:18" ht="69" customHeight="1">
      <c r="A5358" s="168"/>
      <c r="B5358" s="207">
        <v>2495</v>
      </c>
      <c r="C5358" s="207" t="s">
        <v>13221</v>
      </c>
      <c r="D5358" s="301" t="s">
        <v>2459</v>
      </c>
      <c r="E5358" s="207" t="s">
        <v>266</v>
      </c>
      <c r="F5358" s="208" t="s">
        <v>13222</v>
      </c>
      <c r="G5358" s="160" t="s">
        <v>13223</v>
      </c>
      <c r="H5358" s="300">
        <v>85.32</v>
      </c>
      <c r="I5358" s="209">
        <v>45142</v>
      </c>
      <c r="J5358" s="322" t="s">
        <v>13224</v>
      </c>
      <c r="K5358" s="160" t="s">
        <v>10804</v>
      </c>
      <c r="M5358" s="379"/>
      <c r="N5358" s="76"/>
      <c r="O5358" s="160" t="s">
        <v>5969</v>
      </c>
      <c r="P5358" s="160" t="s">
        <v>67</v>
      </c>
      <c r="Q5358" s="160" t="s">
        <v>96</v>
      </c>
      <c r="R5358" s="160" t="s">
        <v>272</v>
      </c>
    </row>
    <row r="5359" spans="1:18" ht="69" customHeight="1">
      <c r="A5359" s="168"/>
      <c r="B5359" s="207">
        <v>2496</v>
      </c>
      <c r="C5359" s="207" t="s">
        <v>13221</v>
      </c>
      <c r="D5359" s="301" t="s">
        <v>2705</v>
      </c>
      <c r="E5359" s="207" t="s">
        <v>266</v>
      </c>
      <c r="F5359" s="208" t="s">
        <v>13225</v>
      </c>
      <c r="G5359" s="160" t="s">
        <v>13226</v>
      </c>
      <c r="H5359" s="300">
        <v>669.91</v>
      </c>
      <c r="I5359" s="209">
        <v>45142</v>
      </c>
      <c r="J5359" s="322" t="s">
        <v>13224</v>
      </c>
      <c r="K5359" s="160" t="s">
        <v>10804</v>
      </c>
      <c r="M5359" s="379"/>
      <c r="N5359" s="76"/>
      <c r="O5359" s="160" t="s">
        <v>5969</v>
      </c>
      <c r="P5359" s="160" t="s">
        <v>67</v>
      </c>
      <c r="Q5359" s="160" t="s">
        <v>96</v>
      </c>
      <c r="R5359" s="160" t="s">
        <v>272</v>
      </c>
    </row>
    <row r="5360" spans="1:18" ht="69" customHeight="1">
      <c r="A5360" s="168"/>
      <c r="B5360" s="207">
        <v>2497</v>
      </c>
      <c r="C5360" s="207" t="s">
        <v>13221</v>
      </c>
      <c r="D5360" s="301" t="s">
        <v>2003</v>
      </c>
      <c r="E5360" s="207" t="s">
        <v>266</v>
      </c>
      <c r="F5360" s="208" t="s">
        <v>13227</v>
      </c>
      <c r="G5360" s="160" t="s">
        <v>13228</v>
      </c>
      <c r="H5360" s="300">
        <v>578.15</v>
      </c>
      <c r="I5360" s="209">
        <v>45142</v>
      </c>
      <c r="J5360" s="322" t="s">
        <v>13224</v>
      </c>
      <c r="K5360" s="160" t="s">
        <v>10804</v>
      </c>
      <c r="M5360" s="379"/>
      <c r="N5360" s="76"/>
      <c r="O5360" s="160" t="s">
        <v>5969</v>
      </c>
      <c r="P5360" s="160" t="s">
        <v>67</v>
      </c>
      <c r="Q5360" s="160" t="s">
        <v>96</v>
      </c>
      <c r="R5360" s="160" t="s">
        <v>272</v>
      </c>
    </row>
    <row r="5361" spans="1:18" ht="69" customHeight="1">
      <c r="A5361" s="168"/>
      <c r="B5361" s="207">
        <v>2498</v>
      </c>
      <c r="C5361" s="207" t="s">
        <v>13221</v>
      </c>
      <c r="D5361" s="301" t="s">
        <v>2006</v>
      </c>
      <c r="E5361" s="207" t="s">
        <v>266</v>
      </c>
      <c r="F5361" s="208" t="s">
        <v>13229</v>
      </c>
      <c r="G5361" s="160" t="s">
        <v>13228</v>
      </c>
      <c r="H5361" s="300">
        <v>68.260000000000005</v>
      </c>
      <c r="I5361" s="209">
        <v>45142</v>
      </c>
      <c r="J5361" s="322" t="s">
        <v>13230</v>
      </c>
      <c r="K5361" s="160" t="s">
        <v>10804</v>
      </c>
      <c r="M5361" s="379"/>
      <c r="N5361" s="76"/>
      <c r="O5361" s="160" t="s">
        <v>5969</v>
      </c>
      <c r="P5361" s="160" t="s">
        <v>67</v>
      </c>
      <c r="Q5361" s="160" t="s">
        <v>96</v>
      </c>
      <c r="R5361" s="160" t="s">
        <v>272</v>
      </c>
    </row>
    <row r="5362" spans="1:18" ht="69" customHeight="1">
      <c r="A5362" s="168"/>
      <c r="B5362" s="207">
        <v>2499</v>
      </c>
      <c r="C5362" s="207" t="s">
        <v>13221</v>
      </c>
      <c r="D5362" s="301" t="s">
        <v>2464</v>
      </c>
      <c r="E5362" s="207" t="s">
        <v>266</v>
      </c>
      <c r="F5362" s="208" t="s">
        <v>13231</v>
      </c>
      <c r="G5362" s="160" t="s">
        <v>13228</v>
      </c>
      <c r="H5362" s="300">
        <v>106.38</v>
      </c>
      <c r="I5362" s="209">
        <v>45142</v>
      </c>
      <c r="J5362" s="322" t="s">
        <v>13230</v>
      </c>
      <c r="K5362" s="160" t="s">
        <v>10804</v>
      </c>
      <c r="M5362" s="379"/>
      <c r="N5362" s="76"/>
      <c r="O5362" s="160" t="s">
        <v>5969</v>
      </c>
      <c r="P5362" s="160" t="s">
        <v>67</v>
      </c>
      <c r="Q5362" s="160" t="s">
        <v>96</v>
      </c>
      <c r="R5362" s="160" t="s">
        <v>272</v>
      </c>
    </row>
    <row r="5363" spans="1:18" ht="69" customHeight="1">
      <c r="A5363" s="168"/>
      <c r="B5363" s="207">
        <v>2500</v>
      </c>
      <c r="C5363" s="207" t="s">
        <v>13221</v>
      </c>
      <c r="D5363" s="301" t="s">
        <v>2467</v>
      </c>
      <c r="E5363" s="207" t="s">
        <v>266</v>
      </c>
      <c r="F5363" s="208" t="s">
        <v>13232</v>
      </c>
      <c r="G5363" s="160" t="s">
        <v>13226</v>
      </c>
      <c r="H5363" s="300">
        <v>634.65</v>
      </c>
      <c r="I5363" s="209">
        <v>45142</v>
      </c>
      <c r="J5363" s="322" t="s">
        <v>13230</v>
      </c>
      <c r="K5363" s="160" t="s">
        <v>67</v>
      </c>
      <c r="M5363" s="379"/>
      <c r="N5363" s="76"/>
      <c r="O5363" s="160" t="s">
        <v>5969</v>
      </c>
      <c r="P5363" s="160" t="s">
        <v>67</v>
      </c>
      <c r="Q5363" s="160" t="s">
        <v>96</v>
      </c>
      <c r="R5363" s="160" t="s">
        <v>272</v>
      </c>
    </row>
    <row r="5364" spans="1:18" ht="69" customHeight="1">
      <c r="A5364" s="168"/>
      <c r="B5364" s="207">
        <v>2501</v>
      </c>
      <c r="C5364" s="207" t="s">
        <v>13221</v>
      </c>
      <c r="D5364" s="301" t="s">
        <v>2470</v>
      </c>
      <c r="E5364" s="207" t="s">
        <v>266</v>
      </c>
      <c r="F5364" s="208" t="s">
        <v>13233</v>
      </c>
      <c r="G5364" s="160" t="s">
        <v>13234</v>
      </c>
      <c r="H5364" s="300">
        <v>298.62</v>
      </c>
      <c r="I5364" s="209">
        <v>45142</v>
      </c>
      <c r="J5364" s="322" t="s">
        <v>13230</v>
      </c>
      <c r="K5364" s="160" t="s">
        <v>67</v>
      </c>
      <c r="M5364" s="379"/>
      <c r="N5364" s="76"/>
      <c r="O5364" s="160" t="s">
        <v>5969</v>
      </c>
      <c r="P5364" s="160" t="s">
        <v>67</v>
      </c>
      <c r="Q5364" s="160" t="s">
        <v>96</v>
      </c>
      <c r="R5364" s="160" t="s">
        <v>272</v>
      </c>
    </row>
    <row r="5365" spans="1:18" ht="69" customHeight="1">
      <c r="A5365" s="168"/>
      <c r="B5365" s="207">
        <v>2502</v>
      </c>
      <c r="C5365" s="207" t="s">
        <v>13221</v>
      </c>
      <c r="D5365" s="301" t="s">
        <v>2710</v>
      </c>
      <c r="E5365" s="207" t="s">
        <v>266</v>
      </c>
      <c r="F5365" s="208" t="s">
        <v>13235</v>
      </c>
      <c r="G5365" s="160" t="s">
        <v>13234</v>
      </c>
      <c r="H5365" s="300">
        <v>69.680000000000007</v>
      </c>
      <c r="I5365" s="209">
        <v>45142</v>
      </c>
      <c r="J5365" s="322" t="s">
        <v>13230</v>
      </c>
      <c r="K5365" s="160" t="s">
        <v>67</v>
      </c>
      <c r="M5365" s="379"/>
      <c r="N5365" s="76"/>
      <c r="O5365" s="160" t="s">
        <v>5969</v>
      </c>
      <c r="P5365" s="160" t="s">
        <v>67</v>
      </c>
      <c r="Q5365" s="160" t="s">
        <v>96</v>
      </c>
      <c r="R5365" s="160" t="s">
        <v>272</v>
      </c>
    </row>
    <row r="5366" spans="1:18" ht="69" customHeight="1">
      <c r="A5366" s="168"/>
      <c r="B5366" s="178">
        <v>2503</v>
      </c>
      <c r="C5366" s="178" t="s">
        <v>309</v>
      </c>
      <c r="D5366" s="575" t="s">
        <v>4041</v>
      </c>
      <c r="E5366" s="178" t="s">
        <v>350</v>
      </c>
      <c r="F5366" s="210" t="s">
        <v>13236</v>
      </c>
      <c r="G5366" s="58" t="s">
        <v>13218</v>
      </c>
      <c r="H5366" s="546">
        <v>139346.44</v>
      </c>
      <c r="I5366" s="66">
        <v>45163</v>
      </c>
      <c r="J5366" s="411" t="s">
        <v>13237</v>
      </c>
      <c r="K5366" s="58"/>
      <c r="L5366" s="99"/>
      <c r="M5366" s="70"/>
      <c r="N5366" s="97"/>
      <c r="O5366" s="58" t="s">
        <v>13220</v>
      </c>
      <c r="P5366" s="58" t="s">
        <v>19</v>
      </c>
      <c r="Q5366" s="58" t="s">
        <v>39</v>
      </c>
      <c r="R5366" s="58" t="s">
        <v>265</v>
      </c>
    </row>
    <row r="5367" spans="1:18" ht="69" customHeight="1">
      <c r="A5367" s="168"/>
      <c r="B5367" s="191">
        <v>2504</v>
      </c>
      <c r="C5367" s="191" t="s">
        <v>8080</v>
      </c>
      <c r="D5367" s="533" t="s">
        <v>8424</v>
      </c>
      <c r="E5367" s="191" t="s">
        <v>877</v>
      </c>
      <c r="F5367" s="211" t="s">
        <v>13238</v>
      </c>
      <c r="G5367" s="46" t="s">
        <v>12909</v>
      </c>
      <c r="H5367" s="534">
        <v>18528.34</v>
      </c>
      <c r="I5367" s="56">
        <v>45163</v>
      </c>
      <c r="J5367" s="412" t="s">
        <v>13239</v>
      </c>
      <c r="K5367" s="46" t="s">
        <v>167</v>
      </c>
      <c r="L5367" s="99"/>
      <c r="M5367" s="379"/>
      <c r="N5367" s="76"/>
      <c r="O5367" s="46" t="s">
        <v>13240</v>
      </c>
      <c r="P5367" s="46" t="s">
        <v>71</v>
      </c>
      <c r="Q5367" s="46" t="s">
        <v>106</v>
      </c>
      <c r="R5367" s="46" t="s">
        <v>272</v>
      </c>
    </row>
    <row r="5368" spans="1:18" ht="69" customHeight="1">
      <c r="A5368" s="168"/>
      <c r="B5368" s="191">
        <v>2505</v>
      </c>
      <c r="C5368" s="191" t="s">
        <v>8529</v>
      </c>
      <c r="D5368" s="533" t="s">
        <v>6820</v>
      </c>
      <c r="E5368" s="191" t="s">
        <v>877</v>
      </c>
      <c r="F5368" s="211" t="s">
        <v>13241</v>
      </c>
      <c r="G5368" s="46" t="s">
        <v>12909</v>
      </c>
      <c r="H5368" s="534">
        <v>9264.17</v>
      </c>
      <c r="I5368" s="56">
        <v>45163</v>
      </c>
      <c r="J5368" s="412" t="s">
        <v>13239</v>
      </c>
      <c r="K5368" s="46" t="s">
        <v>167</v>
      </c>
      <c r="L5368" s="99"/>
      <c r="M5368" s="379"/>
      <c r="N5368" s="76"/>
      <c r="O5368" s="46" t="s">
        <v>13240</v>
      </c>
      <c r="P5368" s="46" t="s">
        <v>71</v>
      </c>
      <c r="Q5368" s="46" t="s">
        <v>108</v>
      </c>
      <c r="R5368" s="46" t="s">
        <v>272</v>
      </c>
    </row>
    <row r="5369" spans="1:18" ht="69" customHeight="1">
      <c r="A5369" s="168"/>
      <c r="B5369" s="191">
        <v>2506</v>
      </c>
      <c r="C5369" s="191" t="s">
        <v>8703</v>
      </c>
      <c r="D5369" s="533" t="s">
        <v>6701</v>
      </c>
      <c r="E5369" s="191" t="s">
        <v>877</v>
      </c>
      <c r="F5369" s="211" t="s">
        <v>13242</v>
      </c>
      <c r="G5369" s="46" t="s">
        <v>12909</v>
      </c>
      <c r="H5369" s="534">
        <v>9264.17</v>
      </c>
      <c r="I5369" s="56">
        <v>45163</v>
      </c>
      <c r="J5369" s="412" t="s">
        <v>13239</v>
      </c>
      <c r="K5369" s="46" t="s">
        <v>167</v>
      </c>
      <c r="L5369" s="99"/>
      <c r="M5369" s="379"/>
      <c r="N5369" s="76"/>
      <c r="O5369" s="46" t="s">
        <v>13240</v>
      </c>
      <c r="P5369" s="46" t="s">
        <v>71</v>
      </c>
      <c r="Q5369" s="46" t="s">
        <v>109</v>
      </c>
      <c r="R5369" s="46" t="s">
        <v>272</v>
      </c>
    </row>
    <row r="5370" spans="1:18" ht="69" customHeight="1">
      <c r="A5370" s="168"/>
      <c r="B5370" s="59">
        <v>2507</v>
      </c>
      <c r="C5370" s="59" t="s">
        <v>1333</v>
      </c>
      <c r="D5370" s="581" t="s">
        <v>4048</v>
      </c>
      <c r="E5370" s="59" t="s">
        <v>809</v>
      </c>
      <c r="F5370" s="569" t="s">
        <v>13243</v>
      </c>
      <c r="G5370" s="45" t="s">
        <v>13244</v>
      </c>
      <c r="H5370" s="546">
        <v>6384.76</v>
      </c>
      <c r="I5370" s="47">
        <v>45164</v>
      </c>
      <c r="J5370" s="410" t="s">
        <v>13245</v>
      </c>
      <c r="K5370" s="45"/>
      <c r="L5370" s="99"/>
      <c r="M5370" s="70"/>
      <c r="N5370" s="97"/>
      <c r="O5370" s="58" t="s">
        <v>8711</v>
      </c>
      <c r="P5370" s="58" t="s">
        <v>36</v>
      </c>
      <c r="Q5370" s="58" t="s">
        <v>25</v>
      </c>
      <c r="R5370" s="58" t="s">
        <v>272</v>
      </c>
    </row>
    <row r="5371" spans="1:18" ht="69" customHeight="1">
      <c r="A5371" s="168"/>
      <c r="B5371" s="59">
        <v>2508</v>
      </c>
      <c r="C5371" s="59" t="s">
        <v>4277</v>
      </c>
      <c r="D5371" s="581" t="s">
        <v>13246</v>
      </c>
      <c r="E5371" s="59" t="s">
        <v>809</v>
      </c>
      <c r="F5371" s="569" t="s">
        <v>13247</v>
      </c>
      <c r="G5371" s="45" t="s">
        <v>13244</v>
      </c>
      <c r="H5371" s="546">
        <v>12472.4</v>
      </c>
      <c r="I5371" s="47">
        <v>45163</v>
      </c>
      <c r="J5371" s="410" t="s">
        <v>13245</v>
      </c>
      <c r="K5371" s="45"/>
      <c r="L5371" s="99"/>
      <c r="M5371" s="70"/>
      <c r="N5371" s="97"/>
      <c r="O5371" s="58" t="s">
        <v>8711</v>
      </c>
      <c r="P5371" s="58" t="s">
        <v>36</v>
      </c>
      <c r="Q5371" s="58" t="s">
        <v>56</v>
      </c>
      <c r="R5371" s="58" t="s">
        <v>272</v>
      </c>
    </row>
    <row r="5372" spans="1:18" ht="69" customHeight="1">
      <c r="A5372" s="168"/>
      <c r="B5372" s="59">
        <v>2509</v>
      </c>
      <c r="C5372" s="59" t="s">
        <v>4277</v>
      </c>
      <c r="D5372" s="581" t="s">
        <v>13248</v>
      </c>
      <c r="E5372" s="59" t="s">
        <v>809</v>
      </c>
      <c r="F5372" s="569" t="s">
        <v>13249</v>
      </c>
      <c r="G5372" s="45" t="s">
        <v>13244</v>
      </c>
      <c r="H5372" s="546">
        <v>14551.02</v>
      </c>
      <c r="I5372" s="47">
        <v>45163</v>
      </c>
      <c r="J5372" s="410" t="s">
        <v>13245</v>
      </c>
      <c r="K5372" s="45"/>
      <c r="L5372" s="99"/>
      <c r="M5372" s="70"/>
      <c r="N5372" s="97"/>
      <c r="O5372" s="58" t="s">
        <v>8711</v>
      </c>
      <c r="P5372" s="58" t="s">
        <v>36</v>
      </c>
      <c r="Q5372" s="58" t="s">
        <v>58</v>
      </c>
      <c r="R5372" s="58" t="s">
        <v>272</v>
      </c>
    </row>
    <row r="5373" spans="1:18" ht="69" customHeight="1">
      <c r="A5373" s="168"/>
      <c r="B5373" s="59">
        <v>2510</v>
      </c>
      <c r="C5373" s="59" t="s">
        <v>8057</v>
      </c>
      <c r="D5373" s="581" t="s">
        <v>6419</v>
      </c>
      <c r="E5373" s="59" t="s">
        <v>809</v>
      </c>
      <c r="F5373" s="569" t="s">
        <v>13250</v>
      </c>
      <c r="G5373" s="45" t="s">
        <v>13244</v>
      </c>
      <c r="H5373" s="546">
        <v>15323.24</v>
      </c>
      <c r="I5373" s="47">
        <v>45163</v>
      </c>
      <c r="J5373" s="410" t="s">
        <v>13245</v>
      </c>
      <c r="K5373" s="45"/>
      <c r="L5373" s="99"/>
      <c r="M5373" s="70"/>
      <c r="N5373" s="97"/>
      <c r="O5373" s="58" t="s">
        <v>8711</v>
      </c>
      <c r="P5373" s="58" t="s">
        <v>36</v>
      </c>
      <c r="Q5373" s="58" t="s">
        <v>105</v>
      </c>
      <c r="R5373" s="58" t="s">
        <v>272</v>
      </c>
    </row>
    <row r="5374" spans="1:18" ht="69" customHeight="1">
      <c r="A5374" s="168"/>
      <c r="B5374" s="59">
        <v>2511</v>
      </c>
      <c r="C5374" s="59" t="s">
        <v>8529</v>
      </c>
      <c r="D5374" s="581" t="s">
        <v>5181</v>
      </c>
      <c r="E5374" s="59" t="s">
        <v>809</v>
      </c>
      <c r="F5374" s="569" t="s">
        <v>13251</v>
      </c>
      <c r="G5374" s="45" t="s">
        <v>13244</v>
      </c>
      <c r="H5374" s="546">
        <v>12769.51</v>
      </c>
      <c r="I5374" s="47">
        <v>45163</v>
      </c>
      <c r="J5374" s="410" t="s">
        <v>13245</v>
      </c>
      <c r="K5374" s="45"/>
      <c r="L5374" s="99"/>
      <c r="M5374" s="70"/>
      <c r="N5374" s="97"/>
      <c r="O5374" s="58" t="s">
        <v>8711</v>
      </c>
      <c r="P5374" s="58" t="s">
        <v>36</v>
      </c>
      <c r="Q5374" s="58" t="s">
        <v>108</v>
      </c>
      <c r="R5374" s="58" t="s">
        <v>272</v>
      </c>
    </row>
    <row r="5375" spans="1:18" ht="69" customHeight="1">
      <c r="A5375" s="168"/>
      <c r="B5375" s="59">
        <v>2512</v>
      </c>
      <c r="C5375" s="59" t="s">
        <v>9322</v>
      </c>
      <c r="D5375" s="581" t="s">
        <v>5732</v>
      </c>
      <c r="E5375" s="59" t="s">
        <v>809</v>
      </c>
      <c r="F5375" s="569" t="s">
        <v>13252</v>
      </c>
      <c r="G5375" s="45" t="s">
        <v>13244</v>
      </c>
      <c r="H5375" s="546">
        <v>12769.51</v>
      </c>
      <c r="I5375" s="47">
        <v>45163</v>
      </c>
      <c r="J5375" s="410" t="s">
        <v>13245</v>
      </c>
      <c r="K5375" s="45"/>
      <c r="L5375" s="99"/>
      <c r="M5375" s="70"/>
      <c r="N5375" s="97"/>
      <c r="O5375" s="58" t="s">
        <v>8711</v>
      </c>
      <c r="P5375" s="58" t="s">
        <v>36</v>
      </c>
      <c r="Q5375" s="58" t="s">
        <v>114</v>
      </c>
      <c r="R5375" s="58" t="s">
        <v>272</v>
      </c>
    </row>
    <row r="5376" spans="1:18" ht="69" customHeight="1">
      <c r="A5376" s="168"/>
      <c r="B5376" s="59">
        <v>2513</v>
      </c>
      <c r="C5376" s="59" t="s">
        <v>8080</v>
      </c>
      <c r="D5376" s="581" t="s">
        <v>6343</v>
      </c>
      <c r="E5376" s="59" t="s">
        <v>809</v>
      </c>
      <c r="F5376" s="569" t="s">
        <v>13253</v>
      </c>
      <c r="G5376" s="45" t="s">
        <v>13244</v>
      </c>
      <c r="H5376" s="546">
        <v>17876.96</v>
      </c>
      <c r="I5376" s="47">
        <v>45163</v>
      </c>
      <c r="J5376" s="410" t="s">
        <v>13245</v>
      </c>
      <c r="K5376" s="45"/>
      <c r="L5376" s="99"/>
      <c r="M5376" s="70"/>
      <c r="N5376" s="97"/>
      <c r="O5376" s="58" t="s">
        <v>8711</v>
      </c>
      <c r="P5376" s="58" t="s">
        <v>36</v>
      </c>
      <c r="Q5376" s="58" t="s">
        <v>106</v>
      </c>
      <c r="R5376" s="58" t="s">
        <v>272</v>
      </c>
    </row>
    <row r="5377" spans="1:18" ht="69" customHeight="1">
      <c r="A5377" s="168"/>
      <c r="B5377" s="59">
        <v>2514</v>
      </c>
      <c r="C5377" s="59" t="s">
        <v>8703</v>
      </c>
      <c r="D5377" s="581" t="s">
        <v>1127</v>
      </c>
      <c r="E5377" s="59" t="s">
        <v>809</v>
      </c>
      <c r="F5377" s="569" t="s">
        <v>13254</v>
      </c>
      <c r="G5377" s="45" t="s">
        <v>13244</v>
      </c>
      <c r="H5377" s="546">
        <v>14045.93</v>
      </c>
      <c r="I5377" s="47">
        <v>45163</v>
      </c>
      <c r="J5377" s="410" t="s">
        <v>13245</v>
      </c>
      <c r="K5377" s="45"/>
      <c r="L5377" s="99"/>
      <c r="M5377" s="70"/>
      <c r="N5377" s="97"/>
      <c r="O5377" s="58" t="s">
        <v>8711</v>
      </c>
      <c r="P5377" s="58" t="s">
        <v>36</v>
      </c>
      <c r="Q5377" s="58" t="s">
        <v>109</v>
      </c>
      <c r="R5377" s="58" t="s">
        <v>272</v>
      </c>
    </row>
    <row r="5378" spans="1:18" ht="69" customHeight="1">
      <c r="A5378" s="168"/>
      <c r="B5378" s="59">
        <v>2515</v>
      </c>
      <c r="C5378" s="59" t="s">
        <v>9441</v>
      </c>
      <c r="D5378" s="581" t="s">
        <v>1866</v>
      </c>
      <c r="E5378" s="59" t="s">
        <v>809</v>
      </c>
      <c r="F5378" s="569" t="s">
        <v>13255</v>
      </c>
      <c r="G5378" s="45" t="s">
        <v>13244</v>
      </c>
      <c r="H5378" s="546">
        <v>7661.17</v>
      </c>
      <c r="I5378" s="47">
        <v>45163</v>
      </c>
      <c r="J5378" s="410" t="s">
        <v>13245</v>
      </c>
      <c r="K5378" s="45"/>
      <c r="L5378" s="99"/>
      <c r="M5378" s="70"/>
      <c r="N5378" s="97"/>
      <c r="O5378" s="58" t="s">
        <v>8711</v>
      </c>
      <c r="P5378" s="58" t="s">
        <v>36</v>
      </c>
      <c r="Q5378" s="58" t="s">
        <v>116</v>
      </c>
      <c r="R5378" s="58" t="s">
        <v>272</v>
      </c>
    </row>
    <row r="5379" spans="1:18" ht="69" customHeight="1">
      <c r="A5379" s="168"/>
      <c r="B5379" s="59">
        <v>2516</v>
      </c>
      <c r="C5379" s="59" t="s">
        <v>9596</v>
      </c>
      <c r="D5379" s="581" t="s">
        <v>2379</v>
      </c>
      <c r="E5379" s="59" t="s">
        <v>809</v>
      </c>
      <c r="F5379" s="569" t="s">
        <v>13256</v>
      </c>
      <c r="G5379" s="45" t="s">
        <v>13244</v>
      </c>
      <c r="H5379" s="546">
        <v>12769.51</v>
      </c>
      <c r="I5379" s="47">
        <v>45163</v>
      </c>
      <c r="J5379" s="410" t="s">
        <v>13245</v>
      </c>
      <c r="K5379" s="45"/>
      <c r="L5379" s="99"/>
      <c r="M5379" s="70"/>
      <c r="N5379" s="97"/>
      <c r="O5379" s="58" t="s">
        <v>8711</v>
      </c>
      <c r="P5379" s="58" t="s">
        <v>36</v>
      </c>
      <c r="Q5379" s="58" t="s">
        <v>118</v>
      </c>
      <c r="R5379" s="58" t="s">
        <v>272</v>
      </c>
    </row>
    <row r="5380" spans="1:18" ht="69" customHeight="1">
      <c r="A5380" s="168"/>
      <c r="B5380" s="178">
        <v>2517</v>
      </c>
      <c r="C5380" s="178" t="s">
        <v>309</v>
      </c>
      <c r="D5380" s="575" t="s">
        <v>4338</v>
      </c>
      <c r="E5380" s="178" t="s">
        <v>10954</v>
      </c>
      <c r="F5380" s="210" t="s">
        <v>13257</v>
      </c>
      <c r="G5380" s="58" t="s">
        <v>13191</v>
      </c>
      <c r="H5380" s="546">
        <v>350000</v>
      </c>
      <c r="I5380" s="66">
        <v>45163</v>
      </c>
      <c r="J5380" s="411" t="s">
        <v>13258</v>
      </c>
      <c r="K5380" s="58"/>
      <c r="L5380" s="99"/>
      <c r="M5380" s="70"/>
      <c r="N5380" s="97"/>
      <c r="O5380" s="58" t="s">
        <v>141</v>
      </c>
      <c r="P5380" s="58" t="s">
        <v>19</v>
      </c>
      <c r="Q5380" s="58" t="s">
        <v>39</v>
      </c>
      <c r="R5380" s="58" t="s">
        <v>272</v>
      </c>
    </row>
    <row r="5381" spans="1:18" ht="69" customHeight="1">
      <c r="A5381" s="168"/>
      <c r="B5381" s="178">
        <v>2518</v>
      </c>
      <c r="C5381" s="178" t="s">
        <v>309</v>
      </c>
      <c r="D5381" s="575" t="s">
        <v>4051</v>
      </c>
      <c r="E5381" s="178" t="s">
        <v>10954</v>
      </c>
      <c r="F5381" s="210" t="s">
        <v>13259</v>
      </c>
      <c r="G5381" s="58" t="s">
        <v>13191</v>
      </c>
      <c r="H5381" s="546">
        <v>350000</v>
      </c>
      <c r="I5381" s="66">
        <v>45163</v>
      </c>
      <c r="J5381" s="411" t="s">
        <v>13258</v>
      </c>
      <c r="K5381" s="58"/>
      <c r="L5381" s="99"/>
      <c r="M5381" s="70"/>
      <c r="N5381" s="97"/>
      <c r="O5381" s="58" t="s">
        <v>141</v>
      </c>
      <c r="P5381" s="58" t="s">
        <v>19</v>
      </c>
      <c r="Q5381" s="58" t="s">
        <v>41</v>
      </c>
      <c r="R5381" s="58" t="s">
        <v>272</v>
      </c>
    </row>
    <row r="5382" spans="1:18" ht="69" customHeight="1">
      <c r="A5382" s="168"/>
      <c r="B5382" s="178">
        <v>2519</v>
      </c>
      <c r="C5382" s="178" t="s">
        <v>4277</v>
      </c>
      <c r="D5382" s="575" t="s">
        <v>13260</v>
      </c>
      <c r="E5382" s="178" t="s">
        <v>7985</v>
      </c>
      <c r="F5382" s="210" t="s">
        <v>13261</v>
      </c>
      <c r="G5382" s="58" t="s">
        <v>13262</v>
      </c>
      <c r="H5382" s="546">
        <v>240168</v>
      </c>
      <c r="I5382" s="66">
        <v>45153</v>
      </c>
      <c r="J5382" s="411" t="s">
        <v>13263</v>
      </c>
      <c r="K5382" s="58"/>
      <c r="L5382" s="99"/>
      <c r="M5382" s="70"/>
      <c r="N5382" s="97"/>
      <c r="O5382" s="58" t="s">
        <v>13264</v>
      </c>
      <c r="P5382" s="58" t="s">
        <v>57</v>
      </c>
      <c r="Q5382" s="58" t="s">
        <v>62</v>
      </c>
      <c r="R5382" s="58" t="s">
        <v>272</v>
      </c>
    </row>
    <row r="5383" spans="1:18" ht="69" customHeight="1">
      <c r="A5383" s="168"/>
      <c r="B5383" s="207">
        <v>2520</v>
      </c>
      <c r="C5383" s="207" t="s">
        <v>12503</v>
      </c>
      <c r="D5383" s="301" t="s">
        <v>9456</v>
      </c>
      <c r="E5383" s="207" t="s">
        <v>266</v>
      </c>
      <c r="F5383" s="208" t="s">
        <v>13265</v>
      </c>
      <c r="G5383" s="160" t="s">
        <v>13266</v>
      </c>
      <c r="H5383" s="300">
        <v>5549.6</v>
      </c>
      <c r="I5383" s="209">
        <v>45163</v>
      </c>
      <c r="J5383" s="322" t="s">
        <v>13267</v>
      </c>
      <c r="K5383" s="160" t="s">
        <v>10804</v>
      </c>
      <c r="M5383" s="379"/>
      <c r="N5383" s="76"/>
      <c r="O5383" s="160"/>
      <c r="P5383" s="160" t="s">
        <v>67</v>
      </c>
      <c r="Q5383" s="160" t="s">
        <v>96</v>
      </c>
      <c r="R5383" s="160" t="s">
        <v>272</v>
      </c>
    </row>
    <row r="5384" spans="1:18" ht="69" customHeight="1">
      <c r="A5384" s="168"/>
      <c r="B5384" s="207">
        <v>2521</v>
      </c>
      <c r="C5384" s="207" t="s">
        <v>13268</v>
      </c>
      <c r="D5384" s="301" t="s">
        <v>6828</v>
      </c>
      <c r="E5384" s="207" t="s">
        <v>266</v>
      </c>
      <c r="F5384" s="208" t="s">
        <v>13269</v>
      </c>
      <c r="G5384" s="160" t="s">
        <v>13266</v>
      </c>
      <c r="H5384" s="300">
        <v>8021.2</v>
      </c>
      <c r="I5384" s="209">
        <v>45163</v>
      </c>
      <c r="J5384" s="322" t="s">
        <v>13267</v>
      </c>
      <c r="K5384" s="160" t="s">
        <v>10804</v>
      </c>
      <c r="M5384" s="379"/>
      <c r="N5384" s="76"/>
      <c r="O5384" s="160"/>
      <c r="P5384" s="160" t="s">
        <v>67</v>
      </c>
      <c r="Q5384" s="160" t="s">
        <v>96</v>
      </c>
      <c r="R5384" s="160" t="s">
        <v>272</v>
      </c>
    </row>
    <row r="5385" spans="1:18" ht="69" customHeight="1">
      <c r="A5385" s="168"/>
      <c r="B5385" s="207">
        <v>2522</v>
      </c>
      <c r="C5385" s="207" t="s">
        <v>13268</v>
      </c>
      <c r="D5385" s="301" t="s">
        <v>6893</v>
      </c>
      <c r="E5385" s="207" t="s">
        <v>266</v>
      </c>
      <c r="F5385" s="208" t="s">
        <v>13270</v>
      </c>
      <c r="G5385" s="160" t="s">
        <v>13266</v>
      </c>
      <c r="H5385" s="300">
        <v>9033.6</v>
      </c>
      <c r="I5385" s="209">
        <v>45163</v>
      </c>
      <c r="J5385" s="322" t="s">
        <v>13267</v>
      </c>
      <c r="K5385" s="160" t="s">
        <v>10804</v>
      </c>
      <c r="M5385" s="379"/>
      <c r="N5385" s="76"/>
      <c r="O5385" s="160"/>
      <c r="P5385" s="160" t="s">
        <v>67</v>
      </c>
      <c r="Q5385" s="160" t="s">
        <v>96</v>
      </c>
      <c r="R5385" s="160" t="s">
        <v>272</v>
      </c>
    </row>
    <row r="5386" spans="1:18" ht="69" customHeight="1">
      <c r="A5386" s="168"/>
      <c r="B5386" s="207">
        <v>2523</v>
      </c>
      <c r="C5386" s="207" t="s">
        <v>13268</v>
      </c>
      <c r="D5386" s="301" t="s">
        <v>5660</v>
      </c>
      <c r="E5386" s="207" t="s">
        <v>266</v>
      </c>
      <c r="F5386" s="208" t="s">
        <v>13271</v>
      </c>
      <c r="G5386" s="160" t="s">
        <v>13272</v>
      </c>
      <c r="H5386" s="300">
        <v>2450</v>
      </c>
      <c r="I5386" s="209">
        <v>45163</v>
      </c>
      <c r="J5386" s="322" t="s">
        <v>13267</v>
      </c>
      <c r="K5386" s="160" t="s">
        <v>10804</v>
      </c>
      <c r="M5386" s="379"/>
      <c r="N5386" s="76"/>
      <c r="O5386" s="160"/>
      <c r="P5386" s="160" t="s">
        <v>67</v>
      </c>
      <c r="Q5386" s="160" t="s">
        <v>96</v>
      </c>
      <c r="R5386" s="160" t="s">
        <v>272</v>
      </c>
    </row>
    <row r="5387" spans="1:18" ht="69" customHeight="1">
      <c r="A5387" s="168"/>
      <c r="B5387" s="207">
        <v>2524</v>
      </c>
      <c r="C5387" s="207" t="s">
        <v>13268</v>
      </c>
      <c r="D5387" s="301" t="s">
        <v>6750</v>
      </c>
      <c r="E5387" s="207" t="s">
        <v>266</v>
      </c>
      <c r="F5387" s="208" t="s">
        <v>13273</v>
      </c>
      <c r="G5387" s="160" t="s">
        <v>13272</v>
      </c>
      <c r="H5387" s="300">
        <v>2450</v>
      </c>
      <c r="I5387" s="209">
        <v>45163</v>
      </c>
      <c r="J5387" s="322" t="s">
        <v>13267</v>
      </c>
      <c r="K5387" s="160" t="s">
        <v>10804</v>
      </c>
      <c r="M5387" s="379"/>
      <c r="N5387" s="76"/>
      <c r="O5387" s="160"/>
      <c r="P5387" s="160" t="s">
        <v>67</v>
      </c>
      <c r="Q5387" s="160" t="s">
        <v>96</v>
      </c>
      <c r="R5387" s="160" t="s">
        <v>272</v>
      </c>
    </row>
    <row r="5388" spans="1:18" ht="69" customHeight="1">
      <c r="A5388" s="168"/>
      <c r="B5388" s="207">
        <v>2525</v>
      </c>
      <c r="C5388" s="207" t="s">
        <v>13268</v>
      </c>
      <c r="D5388" s="301" t="s">
        <v>4418</v>
      </c>
      <c r="E5388" s="207" t="s">
        <v>266</v>
      </c>
      <c r="F5388" s="208" t="s">
        <v>13274</v>
      </c>
      <c r="G5388" s="160" t="s">
        <v>13272</v>
      </c>
      <c r="H5388" s="300">
        <v>8021.2</v>
      </c>
      <c r="I5388" s="209">
        <v>45163</v>
      </c>
      <c r="J5388" s="322" t="s">
        <v>13267</v>
      </c>
      <c r="K5388" s="160" t="s">
        <v>10804</v>
      </c>
      <c r="M5388" s="379"/>
      <c r="N5388" s="76"/>
      <c r="O5388" s="160"/>
      <c r="P5388" s="160" t="s">
        <v>67</v>
      </c>
      <c r="Q5388" s="160" t="s">
        <v>96</v>
      </c>
      <c r="R5388" s="160" t="s">
        <v>272</v>
      </c>
    </row>
    <row r="5389" spans="1:18" ht="69" customHeight="1">
      <c r="A5389" s="168"/>
      <c r="B5389" s="207">
        <v>2526</v>
      </c>
      <c r="C5389" s="207" t="s">
        <v>13268</v>
      </c>
      <c r="D5389" s="301" t="s">
        <v>13275</v>
      </c>
      <c r="E5389" s="207" t="s">
        <v>266</v>
      </c>
      <c r="F5389" s="208" t="s">
        <v>13276</v>
      </c>
      <c r="G5389" s="160" t="s">
        <v>13277</v>
      </c>
      <c r="H5389" s="300">
        <v>6112.5</v>
      </c>
      <c r="I5389" s="209">
        <v>45163</v>
      </c>
      <c r="J5389" s="322" t="s">
        <v>13267</v>
      </c>
      <c r="K5389" s="160" t="s">
        <v>10804</v>
      </c>
      <c r="M5389" s="379"/>
      <c r="N5389" s="76"/>
      <c r="O5389" s="160"/>
      <c r="P5389" s="160" t="s">
        <v>67</v>
      </c>
      <c r="Q5389" s="160" t="s">
        <v>96</v>
      </c>
      <c r="R5389" s="160" t="s">
        <v>272</v>
      </c>
    </row>
    <row r="5390" spans="1:18" ht="69" customHeight="1">
      <c r="A5390" s="168"/>
      <c r="B5390" s="178">
        <v>2527</v>
      </c>
      <c r="C5390" s="178" t="s">
        <v>5558</v>
      </c>
      <c r="D5390" s="575" t="s">
        <v>13278</v>
      </c>
      <c r="E5390" s="178" t="s">
        <v>266</v>
      </c>
      <c r="F5390" s="210" t="s">
        <v>13279</v>
      </c>
      <c r="G5390" s="58" t="s">
        <v>13280</v>
      </c>
      <c r="H5390" s="546">
        <v>7077.2</v>
      </c>
      <c r="I5390" s="66">
        <v>45163</v>
      </c>
      <c r="J5390" s="411" t="s">
        <v>13267</v>
      </c>
      <c r="K5390" s="58"/>
      <c r="L5390" s="99"/>
      <c r="M5390" s="70"/>
      <c r="N5390" s="97"/>
      <c r="O5390" s="58" t="s">
        <v>467</v>
      </c>
      <c r="P5390" s="58" t="s">
        <v>44</v>
      </c>
      <c r="Q5390" s="58" t="s">
        <v>64</v>
      </c>
      <c r="R5390" s="58" t="s">
        <v>272</v>
      </c>
    </row>
    <row r="5391" spans="1:18" ht="69" customHeight="1">
      <c r="A5391" s="168"/>
      <c r="B5391" s="178">
        <v>2528</v>
      </c>
      <c r="C5391" s="178" t="s">
        <v>5558</v>
      </c>
      <c r="D5391" s="575" t="s">
        <v>13281</v>
      </c>
      <c r="E5391" s="178" t="s">
        <v>266</v>
      </c>
      <c r="F5391" s="210" t="s">
        <v>13282</v>
      </c>
      <c r="G5391" s="58" t="s">
        <v>13280</v>
      </c>
      <c r="H5391" s="546">
        <v>2450</v>
      </c>
      <c r="I5391" s="66">
        <v>45163</v>
      </c>
      <c r="J5391" s="411" t="s">
        <v>13267</v>
      </c>
      <c r="K5391" s="58"/>
      <c r="L5391" s="99"/>
      <c r="M5391" s="70"/>
      <c r="N5391" s="97"/>
      <c r="O5391" s="58" t="s">
        <v>467</v>
      </c>
      <c r="P5391" s="58" t="s">
        <v>44</v>
      </c>
      <c r="Q5391" s="58" t="s">
        <v>64</v>
      </c>
      <c r="R5391" s="58" t="s">
        <v>272</v>
      </c>
    </row>
    <row r="5392" spans="1:18" ht="69" customHeight="1">
      <c r="A5392" s="168"/>
      <c r="B5392" s="207">
        <v>2529</v>
      </c>
      <c r="C5392" s="207" t="s">
        <v>13268</v>
      </c>
      <c r="D5392" s="301" t="s">
        <v>6262</v>
      </c>
      <c r="E5392" s="207" t="s">
        <v>266</v>
      </c>
      <c r="F5392" s="208" t="s">
        <v>13283</v>
      </c>
      <c r="G5392" s="160" t="s">
        <v>13284</v>
      </c>
      <c r="H5392" s="300">
        <v>7241.4</v>
      </c>
      <c r="I5392" s="209">
        <v>45163</v>
      </c>
      <c r="J5392" s="322" t="s">
        <v>13267</v>
      </c>
      <c r="K5392" s="160" t="s">
        <v>10804</v>
      </c>
      <c r="M5392" s="379"/>
      <c r="N5392" s="76"/>
      <c r="O5392" s="160"/>
      <c r="P5392" s="160" t="s">
        <v>67</v>
      </c>
      <c r="Q5392" s="160" t="s">
        <v>96</v>
      </c>
      <c r="R5392" s="160" t="s">
        <v>272</v>
      </c>
    </row>
    <row r="5393" spans="1:18" ht="69" customHeight="1">
      <c r="A5393" s="168"/>
      <c r="B5393" s="207">
        <v>2530</v>
      </c>
      <c r="C5393" s="207" t="s">
        <v>657</v>
      </c>
      <c r="D5393" s="301" t="s">
        <v>2634</v>
      </c>
      <c r="E5393" s="207" t="s">
        <v>266</v>
      </c>
      <c r="F5393" s="208" t="s">
        <v>13285</v>
      </c>
      <c r="G5393" s="160" t="s">
        <v>13286</v>
      </c>
      <c r="H5393" s="300">
        <v>5214.9399999999996</v>
      </c>
      <c r="I5393" s="209">
        <v>45142</v>
      </c>
      <c r="J5393" s="322" t="s">
        <v>13287</v>
      </c>
      <c r="K5393" s="160" t="s">
        <v>10804</v>
      </c>
      <c r="M5393" s="379"/>
      <c r="N5393" s="76"/>
      <c r="O5393" s="160"/>
      <c r="P5393" s="160" t="s">
        <v>67</v>
      </c>
      <c r="Q5393" s="160" t="s">
        <v>96</v>
      </c>
      <c r="R5393" s="160" t="s">
        <v>272</v>
      </c>
    </row>
    <row r="5394" spans="1:18" ht="69" customHeight="1">
      <c r="A5394" s="168"/>
      <c r="B5394" s="207">
        <v>2531</v>
      </c>
      <c r="C5394" s="207" t="s">
        <v>458</v>
      </c>
      <c r="D5394" s="301" t="s">
        <v>5637</v>
      </c>
      <c r="E5394" s="207" t="s">
        <v>266</v>
      </c>
      <c r="F5394" s="208" t="s">
        <v>13288</v>
      </c>
      <c r="G5394" s="160" t="s">
        <v>13286</v>
      </c>
      <c r="H5394" s="300">
        <v>7992.46</v>
      </c>
      <c r="I5394" s="209">
        <v>45142</v>
      </c>
      <c r="J5394" s="322" t="s">
        <v>13287</v>
      </c>
      <c r="K5394" s="160" t="s">
        <v>10804</v>
      </c>
      <c r="M5394" s="379"/>
      <c r="N5394" s="76"/>
      <c r="O5394" s="160"/>
      <c r="P5394" s="160" t="s">
        <v>67</v>
      </c>
      <c r="Q5394" s="160" t="s">
        <v>96</v>
      </c>
      <c r="R5394" s="160" t="s">
        <v>272</v>
      </c>
    </row>
    <row r="5395" spans="1:18" ht="69" customHeight="1">
      <c r="A5395" s="168"/>
      <c r="B5395" s="207">
        <v>2532</v>
      </c>
      <c r="C5395" s="207" t="s">
        <v>309</v>
      </c>
      <c r="D5395" s="301" t="s">
        <v>5519</v>
      </c>
      <c r="E5395" s="207" t="s">
        <v>266</v>
      </c>
      <c r="F5395" s="208" t="s">
        <v>13289</v>
      </c>
      <c r="G5395" s="160" t="s">
        <v>13286</v>
      </c>
      <c r="H5395" s="300">
        <v>9069.4699999999993</v>
      </c>
      <c r="I5395" s="209">
        <v>45142</v>
      </c>
      <c r="J5395" s="322" t="s">
        <v>13287</v>
      </c>
      <c r="K5395" s="160" t="s">
        <v>10804</v>
      </c>
      <c r="M5395" s="379"/>
      <c r="N5395" s="76"/>
      <c r="O5395" s="160"/>
      <c r="P5395" s="160" t="s">
        <v>67</v>
      </c>
      <c r="Q5395" s="160" t="s">
        <v>96</v>
      </c>
      <c r="R5395" s="160" t="s">
        <v>272</v>
      </c>
    </row>
    <row r="5396" spans="1:18" ht="69" customHeight="1">
      <c r="A5396" s="168"/>
      <c r="B5396" s="207">
        <v>2533</v>
      </c>
      <c r="C5396" s="207" t="s">
        <v>309</v>
      </c>
      <c r="D5396" s="301" t="s">
        <v>4696</v>
      </c>
      <c r="E5396" s="207" t="s">
        <v>266</v>
      </c>
      <c r="F5396" s="208" t="s">
        <v>13290</v>
      </c>
      <c r="G5396" s="160" t="s">
        <v>13286</v>
      </c>
      <c r="H5396" s="300">
        <v>6065.2</v>
      </c>
      <c r="I5396" s="209">
        <v>45142</v>
      </c>
      <c r="J5396" s="322" t="s">
        <v>13287</v>
      </c>
      <c r="K5396" s="160" t="s">
        <v>10804</v>
      </c>
      <c r="M5396" s="379"/>
      <c r="N5396" s="76"/>
      <c r="O5396" s="160"/>
      <c r="P5396" s="160" t="s">
        <v>67</v>
      </c>
      <c r="Q5396" s="160" t="s">
        <v>96</v>
      </c>
      <c r="R5396" s="160" t="s">
        <v>272</v>
      </c>
    </row>
    <row r="5397" spans="1:18" ht="69" customHeight="1">
      <c r="A5397" s="168"/>
      <c r="B5397" s="178">
        <v>2534</v>
      </c>
      <c r="C5397" s="178" t="s">
        <v>458</v>
      </c>
      <c r="D5397" s="575" t="s">
        <v>4087</v>
      </c>
      <c r="E5397" s="178" t="s">
        <v>6192</v>
      </c>
      <c r="F5397" s="210" t="s">
        <v>13291</v>
      </c>
      <c r="G5397" s="58" t="s">
        <v>13292</v>
      </c>
      <c r="H5397" s="546">
        <v>99759.039999999994</v>
      </c>
      <c r="I5397" s="66">
        <v>45153</v>
      </c>
      <c r="J5397" s="411" t="s">
        <v>13293</v>
      </c>
      <c r="K5397" s="58" t="s">
        <v>13294</v>
      </c>
      <c r="L5397" s="99"/>
      <c r="M5397" s="70"/>
      <c r="N5397" s="97"/>
      <c r="O5397" s="58" t="s">
        <v>147</v>
      </c>
      <c r="P5397" s="58" t="s">
        <v>22</v>
      </c>
      <c r="Q5397" s="58" t="s">
        <v>107</v>
      </c>
      <c r="R5397" s="58" t="s">
        <v>272</v>
      </c>
    </row>
    <row r="5398" spans="1:18" ht="69" customHeight="1">
      <c r="A5398" s="168"/>
      <c r="B5398" s="178">
        <v>2535</v>
      </c>
      <c r="C5398" s="178" t="s">
        <v>458</v>
      </c>
      <c r="D5398" s="575" t="s">
        <v>4523</v>
      </c>
      <c r="E5398" s="178" t="s">
        <v>6192</v>
      </c>
      <c r="F5398" s="210" t="s">
        <v>13295</v>
      </c>
      <c r="G5398" s="58" t="s">
        <v>13296</v>
      </c>
      <c r="H5398" s="546">
        <v>53716.41</v>
      </c>
      <c r="I5398" s="66">
        <v>45153</v>
      </c>
      <c r="J5398" s="411" t="s">
        <v>13293</v>
      </c>
      <c r="K5398" s="58" t="s">
        <v>13294</v>
      </c>
      <c r="L5398" s="99"/>
      <c r="M5398" s="70"/>
      <c r="N5398" s="97"/>
      <c r="O5398" s="58" t="s">
        <v>147</v>
      </c>
      <c r="P5398" s="58" t="s">
        <v>22</v>
      </c>
      <c r="Q5398" s="58" t="s">
        <v>107</v>
      </c>
      <c r="R5398" s="58" t="s">
        <v>272</v>
      </c>
    </row>
    <row r="5399" spans="1:18" ht="69" customHeight="1">
      <c r="A5399" s="168"/>
      <c r="B5399" s="178">
        <v>2536</v>
      </c>
      <c r="C5399" s="178" t="s">
        <v>657</v>
      </c>
      <c r="D5399" s="575" t="s">
        <v>2858</v>
      </c>
      <c r="E5399" s="178" t="s">
        <v>6192</v>
      </c>
      <c r="F5399" s="210" t="s">
        <v>13297</v>
      </c>
      <c r="G5399" s="58" t="s">
        <v>13298</v>
      </c>
      <c r="H5399" s="546">
        <v>164286.45000000001</v>
      </c>
      <c r="I5399" s="66">
        <v>45153</v>
      </c>
      <c r="J5399" s="411" t="s">
        <v>13293</v>
      </c>
      <c r="K5399" s="58"/>
      <c r="L5399" s="99"/>
      <c r="M5399" s="70"/>
      <c r="N5399" s="97"/>
      <c r="O5399" s="58" t="s">
        <v>147</v>
      </c>
      <c r="P5399" s="58" t="s">
        <v>22</v>
      </c>
      <c r="Q5399" s="58" t="s">
        <v>104</v>
      </c>
      <c r="R5399" s="58" t="s">
        <v>272</v>
      </c>
    </row>
    <row r="5400" spans="1:18" ht="69" customHeight="1">
      <c r="A5400" s="168"/>
      <c r="B5400" s="178">
        <v>2537</v>
      </c>
      <c r="C5400" s="178" t="s">
        <v>657</v>
      </c>
      <c r="D5400" s="575" t="s">
        <v>3120</v>
      </c>
      <c r="E5400" s="178" t="s">
        <v>6192</v>
      </c>
      <c r="F5400" s="210" t="s">
        <v>13299</v>
      </c>
      <c r="G5400" s="58" t="s">
        <v>13300</v>
      </c>
      <c r="H5400" s="546">
        <v>88461.94</v>
      </c>
      <c r="I5400" s="66">
        <v>45153</v>
      </c>
      <c r="J5400" s="411" t="s">
        <v>13293</v>
      </c>
      <c r="K5400" s="567"/>
      <c r="L5400" s="99"/>
      <c r="M5400" s="70"/>
      <c r="N5400" s="97"/>
      <c r="O5400" s="58" t="s">
        <v>147</v>
      </c>
      <c r="P5400" s="58" t="s">
        <v>22</v>
      </c>
      <c r="Q5400" s="58" t="s">
        <v>104</v>
      </c>
      <c r="R5400" s="58" t="s">
        <v>272</v>
      </c>
    </row>
    <row r="5401" spans="1:18" ht="69" customHeight="1">
      <c r="A5401" s="168"/>
      <c r="B5401" s="178">
        <v>2538</v>
      </c>
      <c r="C5401" s="178" t="s">
        <v>11618</v>
      </c>
      <c r="D5401" s="575" t="s">
        <v>4356</v>
      </c>
      <c r="E5401" s="178" t="s">
        <v>409</v>
      </c>
      <c r="F5401" s="210" t="s">
        <v>13301</v>
      </c>
      <c r="G5401" s="58" t="s">
        <v>13302</v>
      </c>
      <c r="H5401" s="546">
        <v>20337.599999999999</v>
      </c>
      <c r="I5401" s="66">
        <v>45153</v>
      </c>
      <c r="J5401" s="411" t="s">
        <v>13303</v>
      </c>
      <c r="K5401" s="58"/>
      <c r="L5401" s="99"/>
      <c r="M5401" s="70"/>
      <c r="N5401" s="97"/>
      <c r="O5401" s="58" t="s">
        <v>11226</v>
      </c>
      <c r="P5401" s="58" t="s">
        <v>59</v>
      </c>
      <c r="Q5401" s="58" t="s">
        <v>122</v>
      </c>
      <c r="R5401" s="58" t="s">
        <v>272</v>
      </c>
    </row>
    <row r="5402" spans="1:18" ht="69" customHeight="1">
      <c r="A5402" s="168"/>
      <c r="B5402" s="178">
        <v>2539</v>
      </c>
      <c r="C5402" s="178" t="s">
        <v>11618</v>
      </c>
      <c r="D5402" s="575" t="s">
        <v>4359</v>
      </c>
      <c r="E5402" s="178" t="s">
        <v>409</v>
      </c>
      <c r="F5402" s="210" t="s">
        <v>13304</v>
      </c>
      <c r="G5402" s="58" t="s">
        <v>13305</v>
      </c>
      <c r="H5402" s="546">
        <v>81350.38</v>
      </c>
      <c r="I5402" s="66">
        <v>45153</v>
      </c>
      <c r="J5402" s="411" t="s">
        <v>13303</v>
      </c>
      <c r="K5402" s="58"/>
      <c r="L5402" s="99"/>
      <c r="M5402" s="70"/>
      <c r="N5402" s="97"/>
      <c r="O5402" s="58" t="s">
        <v>11226</v>
      </c>
      <c r="P5402" s="58" t="s">
        <v>59</v>
      </c>
      <c r="Q5402" s="58" t="s">
        <v>122</v>
      </c>
      <c r="R5402" s="58" t="s">
        <v>272</v>
      </c>
    </row>
    <row r="5403" spans="1:18" ht="69" customHeight="1">
      <c r="A5403" s="168"/>
      <c r="B5403" s="178">
        <v>2540</v>
      </c>
      <c r="C5403" s="178" t="s">
        <v>458</v>
      </c>
      <c r="D5403" s="575" t="s">
        <v>4362</v>
      </c>
      <c r="E5403" s="178" t="s">
        <v>409</v>
      </c>
      <c r="F5403" s="210" t="s">
        <v>13306</v>
      </c>
      <c r="G5403" s="58" t="s">
        <v>13307</v>
      </c>
      <c r="H5403" s="546">
        <v>38151.67</v>
      </c>
      <c r="I5403" s="66">
        <v>45153</v>
      </c>
      <c r="J5403" s="411" t="s">
        <v>13303</v>
      </c>
      <c r="K5403" s="58"/>
      <c r="L5403" s="99"/>
      <c r="M5403" s="70"/>
      <c r="N5403" s="97"/>
      <c r="O5403" s="58" t="s">
        <v>11226</v>
      </c>
      <c r="P5403" s="58" t="s">
        <v>59</v>
      </c>
      <c r="Q5403" s="58" t="s">
        <v>112</v>
      </c>
      <c r="R5403" s="58" t="s">
        <v>272</v>
      </c>
    </row>
    <row r="5404" spans="1:18" ht="69" customHeight="1">
      <c r="A5404" s="168"/>
      <c r="B5404" s="178">
        <v>2541</v>
      </c>
      <c r="C5404" s="178" t="s">
        <v>458</v>
      </c>
      <c r="D5404" s="575" t="s">
        <v>4364</v>
      </c>
      <c r="E5404" s="178" t="s">
        <v>409</v>
      </c>
      <c r="F5404" s="210" t="s">
        <v>13308</v>
      </c>
      <c r="G5404" s="58" t="s">
        <v>13309</v>
      </c>
      <c r="H5404" s="546">
        <v>152606.69</v>
      </c>
      <c r="I5404" s="66">
        <v>45153</v>
      </c>
      <c r="J5404" s="411" t="s">
        <v>13303</v>
      </c>
      <c r="K5404" s="58"/>
      <c r="L5404" s="99"/>
      <c r="M5404" s="70"/>
      <c r="N5404" s="97"/>
      <c r="O5404" s="58" t="s">
        <v>11226</v>
      </c>
      <c r="P5404" s="58" t="s">
        <v>59</v>
      </c>
      <c r="Q5404" s="58" t="s">
        <v>112</v>
      </c>
      <c r="R5404" s="58" t="s">
        <v>272</v>
      </c>
    </row>
    <row r="5405" spans="1:18" ht="69" customHeight="1">
      <c r="A5405" s="168"/>
      <c r="B5405" s="178">
        <v>2542</v>
      </c>
      <c r="C5405" s="178" t="s">
        <v>458</v>
      </c>
      <c r="D5405" s="575" t="s">
        <v>4368</v>
      </c>
      <c r="E5405" s="178" t="s">
        <v>409</v>
      </c>
      <c r="F5405" s="210" t="s">
        <v>13310</v>
      </c>
      <c r="G5405" s="58" t="s">
        <v>13311</v>
      </c>
      <c r="H5405" s="546">
        <v>33615.81</v>
      </c>
      <c r="I5405" s="66">
        <v>45153</v>
      </c>
      <c r="J5405" s="411" t="s">
        <v>13303</v>
      </c>
      <c r="K5405" s="58"/>
      <c r="L5405" s="99"/>
      <c r="M5405" s="70"/>
      <c r="N5405" s="97"/>
      <c r="O5405" s="58" t="s">
        <v>11226</v>
      </c>
      <c r="P5405" s="58" t="s">
        <v>59</v>
      </c>
      <c r="Q5405" s="58" t="s">
        <v>88</v>
      </c>
      <c r="R5405" s="58" t="s">
        <v>272</v>
      </c>
    </row>
    <row r="5406" spans="1:18" ht="69" customHeight="1">
      <c r="A5406" s="168"/>
      <c r="B5406" s="178">
        <v>2543</v>
      </c>
      <c r="C5406" s="178" t="s">
        <v>458</v>
      </c>
      <c r="D5406" s="575" t="s">
        <v>4371</v>
      </c>
      <c r="E5406" s="178" t="s">
        <v>409</v>
      </c>
      <c r="F5406" s="210" t="s">
        <v>13312</v>
      </c>
      <c r="G5406" s="58" t="s">
        <v>13309</v>
      </c>
      <c r="H5406" s="546">
        <v>134463.22</v>
      </c>
      <c r="I5406" s="66">
        <v>45153</v>
      </c>
      <c r="J5406" s="411" t="s">
        <v>13303</v>
      </c>
      <c r="K5406" s="58"/>
      <c r="L5406" s="99"/>
      <c r="M5406" s="70"/>
      <c r="N5406" s="97"/>
      <c r="O5406" s="58" t="s">
        <v>11226</v>
      </c>
      <c r="P5406" s="58" t="s">
        <v>59</v>
      </c>
      <c r="Q5406" s="58" t="s">
        <v>88</v>
      </c>
      <c r="R5406" s="58" t="s">
        <v>272</v>
      </c>
    </row>
    <row r="5407" spans="1:18" ht="69" customHeight="1">
      <c r="A5407" s="168"/>
      <c r="B5407" s="178">
        <v>2544</v>
      </c>
      <c r="C5407" s="59" t="s">
        <v>3667</v>
      </c>
      <c r="D5407" s="575" t="s">
        <v>13313</v>
      </c>
      <c r="E5407" s="178" t="s">
        <v>10563</v>
      </c>
      <c r="F5407" s="210" t="s">
        <v>13314</v>
      </c>
      <c r="G5407" s="58" t="s">
        <v>13315</v>
      </c>
      <c r="H5407" s="546">
        <v>451031.9</v>
      </c>
      <c r="I5407" s="66">
        <v>45163</v>
      </c>
      <c r="J5407" s="411" t="s">
        <v>13316</v>
      </c>
      <c r="K5407" s="58"/>
      <c r="L5407" s="99"/>
      <c r="M5407" s="70"/>
      <c r="N5407" s="97"/>
      <c r="O5407" s="58" t="s">
        <v>13199</v>
      </c>
      <c r="P5407" s="58" t="s">
        <v>59</v>
      </c>
      <c r="Q5407" s="58" t="s">
        <v>66</v>
      </c>
      <c r="R5407" s="58" t="s">
        <v>272</v>
      </c>
    </row>
    <row r="5408" spans="1:18" ht="69" customHeight="1">
      <c r="A5408" s="168"/>
      <c r="B5408" s="178">
        <v>2545</v>
      </c>
      <c r="C5408" s="59" t="s">
        <v>3667</v>
      </c>
      <c r="D5408" s="575" t="s">
        <v>13317</v>
      </c>
      <c r="E5408" s="178" t="s">
        <v>10563</v>
      </c>
      <c r="F5408" s="210" t="s">
        <v>13318</v>
      </c>
      <c r="G5408" s="58" t="s">
        <v>13315</v>
      </c>
      <c r="H5408" s="546">
        <v>144067.51</v>
      </c>
      <c r="I5408" s="66">
        <v>45163</v>
      </c>
      <c r="J5408" s="411" t="s">
        <v>13319</v>
      </c>
      <c r="K5408" s="58"/>
      <c r="L5408" s="99"/>
      <c r="M5408" s="70"/>
      <c r="N5408" s="97"/>
      <c r="O5408" s="58" t="s">
        <v>13199</v>
      </c>
      <c r="P5408" s="58" t="s">
        <v>59</v>
      </c>
      <c r="Q5408" s="58" t="s">
        <v>70</v>
      </c>
      <c r="R5408" s="58" t="s">
        <v>272</v>
      </c>
    </row>
    <row r="5409" spans="1:18" ht="69" customHeight="1">
      <c r="A5409" s="168"/>
      <c r="B5409" s="178">
        <v>2546</v>
      </c>
      <c r="C5409" s="59" t="s">
        <v>3667</v>
      </c>
      <c r="D5409" s="575" t="s">
        <v>13320</v>
      </c>
      <c r="E5409" s="178" t="s">
        <v>10553</v>
      </c>
      <c r="F5409" s="210" t="s">
        <v>13321</v>
      </c>
      <c r="G5409" s="58" t="s">
        <v>13322</v>
      </c>
      <c r="H5409" s="546">
        <v>56671.5</v>
      </c>
      <c r="I5409" s="66">
        <v>45153</v>
      </c>
      <c r="J5409" s="411" t="s">
        <v>13323</v>
      </c>
      <c r="K5409" s="58"/>
      <c r="L5409" s="99"/>
      <c r="M5409" s="70"/>
      <c r="N5409" s="97"/>
      <c r="O5409" s="58" t="s">
        <v>147</v>
      </c>
      <c r="P5409" s="58" t="s">
        <v>22</v>
      </c>
      <c r="Q5409" s="58" t="s">
        <v>78</v>
      </c>
      <c r="R5409" s="58" t="s">
        <v>272</v>
      </c>
    </row>
    <row r="5410" spans="1:18" ht="69" customHeight="1">
      <c r="A5410" s="168"/>
      <c r="B5410" s="178">
        <v>2547</v>
      </c>
      <c r="C5410" s="59" t="s">
        <v>3667</v>
      </c>
      <c r="D5410" s="575" t="s">
        <v>13324</v>
      </c>
      <c r="E5410" s="178" t="s">
        <v>10553</v>
      </c>
      <c r="F5410" s="210" t="s">
        <v>13325</v>
      </c>
      <c r="G5410" s="58" t="s">
        <v>13326</v>
      </c>
      <c r="H5410" s="546">
        <v>30515.43</v>
      </c>
      <c r="I5410" s="66">
        <v>45153</v>
      </c>
      <c r="J5410" s="411" t="s">
        <v>13323</v>
      </c>
      <c r="K5410" s="58"/>
      <c r="L5410" s="99"/>
      <c r="M5410" s="70"/>
      <c r="N5410" s="97"/>
      <c r="O5410" s="58" t="s">
        <v>147</v>
      </c>
      <c r="P5410" s="58" t="s">
        <v>22</v>
      </c>
      <c r="Q5410" s="58" t="s">
        <v>78</v>
      </c>
      <c r="R5410" s="58" t="s">
        <v>272</v>
      </c>
    </row>
    <row r="5411" spans="1:18" ht="69" customHeight="1">
      <c r="A5411" s="168"/>
      <c r="B5411" s="178">
        <v>2548</v>
      </c>
      <c r="C5411" s="59" t="s">
        <v>3667</v>
      </c>
      <c r="D5411" s="575" t="s">
        <v>13327</v>
      </c>
      <c r="E5411" s="178" t="s">
        <v>10553</v>
      </c>
      <c r="F5411" s="210" t="s">
        <v>13328</v>
      </c>
      <c r="G5411" s="58" t="s">
        <v>13329</v>
      </c>
      <c r="H5411" s="546">
        <v>226164.71</v>
      </c>
      <c r="I5411" s="66">
        <v>45153</v>
      </c>
      <c r="J5411" s="411" t="s">
        <v>13323</v>
      </c>
      <c r="K5411" s="58"/>
      <c r="L5411" s="99"/>
      <c r="M5411" s="70"/>
      <c r="N5411" s="97"/>
      <c r="O5411" s="58" t="s">
        <v>147</v>
      </c>
      <c r="P5411" s="58" t="s">
        <v>22</v>
      </c>
      <c r="Q5411" s="58" t="s">
        <v>72</v>
      </c>
      <c r="R5411" s="58" t="s">
        <v>272</v>
      </c>
    </row>
    <row r="5412" spans="1:18" ht="69" customHeight="1">
      <c r="A5412" s="168"/>
      <c r="B5412" s="178">
        <v>2549</v>
      </c>
      <c r="C5412" s="59" t="s">
        <v>3667</v>
      </c>
      <c r="D5412" s="575" t="s">
        <v>13330</v>
      </c>
      <c r="E5412" s="178" t="s">
        <v>10553</v>
      </c>
      <c r="F5412" s="210" t="s">
        <v>13331</v>
      </c>
      <c r="G5412" s="58" t="s">
        <v>13332</v>
      </c>
      <c r="H5412" s="546">
        <v>121781</v>
      </c>
      <c r="I5412" s="66">
        <v>45153</v>
      </c>
      <c r="J5412" s="411" t="s">
        <v>13323</v>
      </c>
      <c r="K5412" s="58"/>
      <c r="L5412" s="99"/>
      <c r="M5412" s="70"/>
      <c r="N5412" s="97"/>
      <c r="O5412" s="58" t="s">
        <v>147</v>
      </c>
      <c r="P5412" s="58" t="s">
        <v>22</v>
      </c>
      <c r="Q5412" s="58" t="s">
        <v>72</v>
      </c>
      <c r="R5412" s="58" t="s">
        <v>272</v>
      </c>
    </row>
    <row r="5413" spans="1:18" ht="69" customHeight="1">
      <c r="A5413" s="168"/>
      <c r="B5413" s="178">
        <v>2550</v>
      </c>
      <c r="C5413" s="178" t="s">
        <v>458</v>
      </c>
      <c r="D5413" s="575" t="s">
        <v>5504</v>
      </c>
      <c r="E5413" s="178" t="s">
        <v>10553</v>
      </c>
      <c r="F5413" s="210" t="s">
        <v>13333</v>
      </c>
      <c r="G5413" s="58" t="s">
        <v>13334</v>
      </c>
      <c r="H5413" s="546">
        <v>131525.38</v>
      </c>
      <c r="I5413" s="66">
        <v>45153</v>
      </c>
      <c r="J5413" s="411" t="s">
        <v>13323</v>
      </c>
      <c r="K5413" s="58"/>
      <c r="L5413" s="99"/>
      <c r="M5413" s="70"/>
      <c r="N5413" s="97"/>
      <c r="O5413" s="58" t="s">
        <v>147</v>
      </c>
      <c r="P5413" s="58" t="s">
        <v>22</v>
      </c>
      <c r="Q5413" s="58" t="s">
        <v>100</v>
      </c>
      <c r="R5413" s="58" t="s">
        <v>272</v>
      </c>
    </row>
    <row r="5414" spans="1:18" ht="69" customHeight="1">
      <c r="A5414" s="168"/>
      <c r="B5414" s="178">
        <v>2551</v>
      </c>
      <c r="C5414" s="178" t="s">
        <v>458</v>
      </c>
      <c r="D5414" s="575" t="s">
        <v>5185</v>
      </c>
      <c r="E5414" s="178" t="s">
        <v>10553</v>
      </c>
      <c r="F5414" s="210" t="s">
        <v>13335</v>
      </c>
      <c r="G5414" s="58" t="s">
        <v>13336</v>
      </c>
      <c r="H5414" s="546">
        <v>70821.36</v>
      </c>
      <c r="I5414" s="66">
        <v>45153</v>
      </c>
      <c r="J5414" s="411" t="s">
        <v>13323</v>
      </c>
      <c r="K5414" s="58"/>
      <c r="L5414" s="99"/>
      <c r="M5414" s="70"/>
      <c r="N5414" s="97"/>
      <c r="O5414" s="58" t="s">
        <v>147</v>
      </c>
      <c r="P5414" s="58" t="s">
        <v>22</v>
      </c>
      <c r="Q5414" s="58" t="s">
        <v>100</v>
      </c>
      <c r="R5414" s="58" t="s">
        <v>272</v>
      </c>
    </row>
    <row r="5415" spans="1:18" s="98" customFormat="1" ht="69" customHeight="1">
      <c r="A5415" s="169"/>
      <c r="B5415" s="59">
        <v>2552</v>
      </c>
      <c r="C5415" s="59" t="s">
        <v>3647</v>
      </c>
      <c r="D5415" s="581" t="s">
        <v>13337</v>
      </c>
      <c r="E5415" s="59" t="s">
        <v>13338</v>
      </c>
      <c r="F5415" s="569" t="s">
        <v>13339</v>
      </c>
      <c r="G5415" s="45" t="s">
        <v>13340</v>
      </c>
      <c r="H5415" s="546">
        <v>75150.948000000004</v>
      </c>
      <c r="I5415" s="47">
        <v>45163</v>
      </c>
      <c r="J5415" s="410" t="s">
        <v>13341</v>
      </c>
      <c r="K5415" s="45"/>
      <c r="L5415" s="99"/>
      <c r="M5415" s="385"/>
      <c r="N5415" s="75"/>
      <c r="O5415" s="45" t="s">
        <v>13342</v>
      </c>
      <c r="P5415" s="45" t="s">
        <v>57</v>
      </c>
      <c r="Q5415" s="45" t="s">
        <v>47</v>
      </c>
      <c r="R5415" s="45" t="s">
        <v>272</v>
      </c>
    </row>
    <row r="5416" spans="1:18" s="98" customFormat="1" ht="69" customHeight="1">
      <c r="A5416" s="169"/>
      <c r="B5416" s="59">
        <v>2553</v>
      </c>
      <c r="C5416" s="59" t="s">
        <v>3933</v>
      </c>
      <c r="D5416" s="581" t="s">
        <v>13343</v>
      </c>
      <c r="E5416" s="59" t="s">
        <v>13338</v>
      </c>
      <c r="F5416" s="569" t="s">
        <v>13344</v>
      </c>
      <c r="G5416" s="45" t="s">
        <v>13340</v>
      </c>
      <c r="H5416" s="546">
        <v>76971.554999999993</v>
      </c>
      <c r="I5416" s="47">
        <v>45163</v>
      </c>
      <c r="J5416" s="410" t="s">
        <v>13341</v>
      </c>
      <c r="K5416" s="45"/>
      <c r="L5416" s="99"/>
      <c r="M5416" s="385"/>
      <c r="N5416" s="75"/>
      <c r="O5416" s="45" t="s">
        <v>13345</v>
      </c>
      <c r="P5416" s="45" t="s">
        <v>57</v>
      </c>
      <c r="Q5416" s="45" t="s">
        <v>52</v>
      </c>
      <c r="R5416" s="45" t="s">
        <v>272</v>
      </c>
    </row>
    <row r="5417" spans="1:18" ht="69" customHeight="1">
      <c r="A5417" s="168"/>
      <c r="B5417" s="191">
        <v>2554</v>
      </c>
      <c r="C5417" s="191" t="s">
        <v>309</v>
      </c>
      <c r="D5417" s="533" t="s">
        <v>4806</v>
      </c>
      <c r="E5417" s="191" t="s">
        <v>266</v>
      </c>
      <c r="F5417" s="211" t="s">
        <v>13346</v>
      </c>
      <c r="G5417" s="46" t="s">
        <v>13347</v>
      </c>
      <c r="H5417" s="534">
        <v>246</v>
      </c>
      <c r="I5417" s="56">
        <v>45163</v>
      </c>
      <c r="J5417" s="412" t="s">
        <v>13348</v>
      </c>
      <c r="K5417" s="46" t="s">
        <v>167</v>
      </c>
      <c r="L5417" s="99"/>
      <c r="M5417" s="379"/>
      <c r="N5417" s="76"/>
      <c r="O5417" s="46"/>
      <c r="P5417" s="46" t="s">
        <v>65</v>
      </c>
      <c r="Q5417" s="46" t="s">
        <v>39</v>
      </c>
      <c r="R5417" s="46" t="s">
        <v>272</v>
      </c>
    </row>
    <row r="5418" spans="1:18" ht="69" customHeight="1">
      <c r="A5418" s="168"/>
      <c r="B5418" s="178">
        <v>2555</v>
      </c>
      <c r="C5418" s="178" t="s">
        <v>11055</v>
      </c>
      <c r="D5418" s="575" t="s">
        <v>13349</v>
      </c>
      <c r="E5418" s="178" t="s">
        <v>7890</v>
      </c>
      <c r="F5418" s="210" t="s">
        <v>13350</v>
      </c>
      <c r="G5418" s="58" t="s">
        <v>13351</v>
      </c>
      <c r="H5418" s="546">
        <v>50810.98</v>
      </c>
      <c r="I5418" s="66">
        <v>45163</v>
      </c>
      <c r="J5418" s="411" t="s">
        <v>13352</v>
      </c>
      <c r="K5418" s="58"/>
      <c r="L5418" s="99"/>
      <c r="M5418" s="70"/>
      <c r="N5418" s="97"/>
      <c r="O5418" s="58" t="s">
        <v>147</v>
      </c>
      <c r="P5418" s="58" t="s">
        <v>22</v>
      </c>
      <c r="Q5418" s="58" t="s">
        <v>45</v>
      </c>
      <c r="R5418" s="58" t="s">
        <v>265</v>
      </c>
    </row>
    <row r="5419" spans="1:18" ht="69" customHeight="1">
      <c r="A5419" s="168"/>
      <c r="B5419" s="178">
        <v>2556</v>
      </c>
      <c r="C5419" s="178" t="s">
        <v>10937</v>
      </c>
      <c r="D5419" s="575" t="s">
        <v>13353</v>
      </c>
      <c r="E5419" s="178" t="s">
        <v>10954</v>
      </c>
      <c r="F5419" s="210" t="s">
        <v>13354</v>
      </c>
      <c r="G5419" s="58" t="s">
        <v>13355</v>
      </c>
      <c r="H5419" s="546">
        <v>300000</v>
      </c>
      <c r="I5419" s="66">
        <v>45163</v>
      </c>
      <c r="J5419" s="411" t="s">
        <v>13356</v>
      </c>
      <c r="K5419" s="58"/>
      <c r="L5419" s="99"/>
      <c r="M5419" s="70"/>
      <c r="N5419" s="97"/>
      <c r="O5419" s="58" t="s">
        <v>141</v>
      </c>
      <c r="P5419" s="58" t="s">
        <v>19</v>
      </c>
      <c r="Q5419" s="58" t="s">
        <v>104</v>
      </c>
      <c r="R5419" s="58" t="s">
        <v>272</v>
      </c>
    </row>
    <row r="5420" spans="1:18" ht="69" customHeight="1">
      <c r="A5420" s="168"/>
      <c r="B5420" s="207">
        <v>2557</v>
      </c>
      <c r="C5420" s="207" t="s">
        <v>3667</v>
      </c>
      <c r="D5420" s="301" t="s">
        <v>13357</v>
      </c>
      <c r="E5420" s="207" t="s">
        <v>266</v>
      </c>
      <c r="F5420" s="208" t="s">
        <v>13358</v>
      </c>
      <c r="G5420" s="160" t="s">
        <v>13359</v>
      </c>
      <c r="H5420" s="300">
        <v>10419.200000000001</v>
      </c>
      <c r="I5420" s="209">
        <v>45163</v>
      </c>
      <c r="J5420" s="322" t="s">
        <v>13360</v>
      </c>
      <c r="K5420" s="160" t="s">
        <v>10804</v>
      </c>
      <c r="M5420" s="379"/>
      <c r="N5420" s="76"/>
      <c r="O5420" s="160" t="s">
        <v>10810</v>
      </c>
      <c r="P5420" s="160" t="s">
        <v>67</v>
      </c>
      <c r="Q5420" s="160" t="s">
        <v>96</v>
      </c>
      <c r="R5420" s="160" t="s">
        <v>272</v>
      </c>
    </row>
    <row r="5421" spans="1:18" ht="69" customHeight="1">
      <c r="A5421" s="168"/>
      <c r="B5421" s="207">
        <v>2558</v>
      </c>
      <c r="C5421" s="207" t="s">
        <v>309</v>
      </c>
      <c r="D5421" s="301" t="s">
        <v>5962</v>
      </c>
      <c r="E5421" s="207" t="s">
        <v>266</v>
      </c>
      <c r="F5421" s="208" t="s">
        <v>13361</v>
      </c>
      <c r="G5421" s="160" t="s">
        <v>13359</v>
      </c>
      <c r="H5421" s="300">
        <v>8140</v>
      </c>
      <c r="I5421" s="209">
        <v>45163</v>
      </c>
      <c r="J5421" s="322" t="s">
        <v>13360</v>
      </c>
      <c r="K5421" s="160" t="s">
        <v>10804</v>
      </c>
      <c r="M5421" s="379"/>
      <c r="N5421" s="76"/>
      <c r="O5421" s="160" t="s">
        <v>10810</v>
      </c>
      <c r="P5421" s="160" t="s">
        <v>67</v>
      </c>
      <c r="Q5421" s="160" t="s">
        <v>96</v>
      </c>
      <c r="R5421" s="160" t="s">
        <v>272</v>
      </c>
    </row>
    <row r="5422" spans="1:18" ht="69" customHeight="1">
      <c r="A5422" s="168"/>
      <c r="B5422" s="207">
        <v>2559</v>
      </c>
      <c r="C5422" s="207" t="s">
        <v>458</v>
      </c>
      <c r="D5422" s="301" t="s">
        <v>13362</v>
      </c>
      <c r="E5422" s="207" t="s">
        <v>266</v>
      </c>
      <c r="F5422" s="208" t="s">
        <v>13363</v>
      </c>
      <c r="G5422" s="160" t="s">
        <v>13359</v>
      </c>
      <c r="H5422" s="300">
        <v>8140</v>
      </c>
      <c r="I5422" s="209">
        <v>45163</v>
      </c>
      <c r="J5422" s="322" t="s">
        <v>13360</v>
      </c>
      <c r="K5422" s="160" t="s">
        <v>10804</v>
      </c>
      <c r="M5422" s="379"/>
      <c r="N5422" s="76"/>
      <c r="O5422" s="160" t="s">
        <v>10810</v>
      </c>
      <c r="P5422" s="160" t="s">
        <v>67</v>
      </c>
      <c r="Q5422" s="160" t="s">
        <v>96</v>
      </c>
      <c r="R5422" s="160" t="s">
        <v>272</v>
      </c>
    </row>
    <row r="5423" spans="1:18" ht="69" customHeight="1">
      <c r="A5423" s="168"/>
      <c r="B5423" s="207">
        <v>2560</v>
      </c>
      <c r="C5423" s="207" t="s">
        <v>657</v>
      </c>
      <c r="D5423" s="301" t="s">
        <v>13364</v>
      </c>
      <c r="E5423" s="207" t="s">
        <v>266</v>
      </c>
      <c r="F5423" s="208" t="s">
        <v>13365</v>
      </c>
      <c r="G5423" s="160" t="s">
        <v>13359</v>
      </c>
      <c r="H5423" s="300">
        <v>5860.8</v>
      </c>
      <c r="I5423" s="209">
        <v>45163</v>
      </c>
      <c r="J5423" s="322" t="s">
        <v>13360</v>
      </c>
      <c r="K5423" s="160" t="s">
        <v>10804</v>
      </c>
      <c r="M5423" s="379"/>
      <c r="N5423" s="76"/>
      <c r="O5423" s="160" t="s">
        <v>10810</v>
      </c>
      <c r="P5423" s="160" t="s">
        <v>67</v>
      </c>
      <c r="Q5423" s="160" t="s">
        <v>96</v>
      </c>
      <c r="R5423" s="160" t="s">
        <v>272</v>
      </c>
    </row>
    <row r="5424" spans="1:18" ht="69" customHeight="1">
      <c r="A5424" s="168"/>
      <c r="B5424" s="178">
        <v>2561</v>
      </c>
      <c r="C5424" s="582" t="s">
        <v>1593</v>
      </c>
      <c r="D5424" s="583" t="s">
        <v>4070</v>
      </c>
      <c r="E5424" s="582" t="s">
        <v>755</v>
      </c>
      <c r="F5424" s="584" t="s">
        <v>13366</v>
      </c>
      <c r="G5424" s="585" t="s">
        <v>13367</v>
      </c>
      <c r="H5424" s="546">
        <v>125730.76</v>
      </c>
      <c r="I5424" s="586">
        <v>45153</v>
      </c>
      <c r="J5424" s="606" t="s">
        <v>13368</v>
      </c>
      <c r="K5424" s="45"/>
      <c r="L5424" s="99"/>
      <c r="M5424" s="70"/>
      <c r="N5424" s="97"/>
      <c r="O5424" s="58" t="s">
        <v>13369</v>
      </c>
      <c r="P5424" s="58" t="s">
        <v>28</v>
      </c>
      <c r="Q5424" s="58" t="s">
        <v>27</v>
      </c>
      <c r="R5424" s="58" t="s">
        <v>272</v>
      </c>
    </row>
    <row r="5425" spans="1:18" ht="69" customHeight="1">
      <c r="A5425" s="168"/>
      <c r="B5425" s="178">
        <v>2562</v>
      </c>
      <c r="C5425" s="178" t="s">
        <v>5558</v>
      </c>
      <c r="D5425" s="575" t="s">
        <v>13370</v>
      </c>
      <c r="E5425" s="178" t="s">
        <v>4173</v>
      </c>
      <c r="F5425" s="210" t="s">
        <v>13371</v>
      </c>
      <c r="G5425" s="58" t="s">
        <v>13372</v>
      </c>
      <c r="H5425" s="546">
        <v>25000</v>
      </c>
      <c r="I5425" s="66">
        <v>45163</v>
      </c>
      <c r="J5425" s="411" t="s">
        <v>13373</v>
      </c>
      <c r="K5425" s="58"/>
      <c r="L5425" s="99"/>
      <c r="M5425" s="70"/>
      <c r="N5425" s="97"/>
      <c r="O5425" s="58" t="s">
        <v>441</v>
      </c>
      <c r="P5425" s="58" t="s">
        <v>22</v>
      </c>
      <c r="Q5425" s="58" t="s">
        <v>64</v>
      </c>
      <c r="R5425" s="58" t="s">
        <v>265</v>
      </c>
    </row>
    <row r="5426" spans="1:18" ht="69" customHeight="1">
      <c r="A5426" s="168"/>
      <c r="B5426" s="178">
        <v>2563</v>
      </c>
      <c r="C5426" s="178" t="s">
        <v>2182</v>
      </c>
      <c r="D5426" s="575" t="s">
        <v>4073</v>
      </c>
      <c r="E5426" s="178" t="s">
        <v>12278</v>
      </c>
      <c r="F5426" s="210" t="s">
        <v>13374</v>
      </c>
      <c r="G5426" s="58" t="s">
        <v>13375</v>
      </c>
      <c r="H5426" s="546">
        <v>400000</v>
      </c>
      <c r="I5426" s="66">
        <v>45163</v>
      </c>
      <c r="J5426" s="411" t="s">
        <v>13376</v>
      </c>
      <c r="K5426" s="58"/>
      <c r="L5426" s="99"/>
      <c r="M5426" s="70"/>
      <c r="N5426" s="97"/>
      <c r="O5426" s="58" t="s">
        <v>156</v>
      </c>
      <c r="P5426" s="58" t="s">
        <v>19</v>
      </c>
      <c r="Q5426" s="58" t="s">
        <v>31</v>
      </c>
      <c r="R5426" s="58" t="s">
        <v>272</v>
      </c>
    </row>
    <row r="5427" spans="1:18" ht="69" customHeight="1">
      <c r="A5427" s="168"/>
      <c r="B5427" s="178">
        <v>2564</v>
      </c>
      <c r="C5427" s="178" t="s">
        <v>5082</v>
      </c>
      <c r="D5427" s="575" t="s">
        <v>13377</v>
      </c>
      <c r="E5427" s="178" t="s">
        <v>13378</v>
      </c>
      <c r="F5427" s="210" t="s">
        <v>13379</v>
      </c>
      <c r="G5427" s="58" t="s">
        <v>13380</v>
      </c>
      <c r="H5427" s="546">
        <v>127569.91</v>
      </c>
      <c r="I5427" s="66">
        <v>45163</v>
      </c>
      <c r="J5427" s="411" t="s">
        <v>13381</v>
      </c>
      <c r="K5427" s="58"/>
      <c r="L5427" s="99"/>
      <c r="M5427" s="70"/>
      <c r="N5427" s="97"/>
      <c r="O5427" s="58" t="s">
        <v>156</v>
      </c>
      <c r="P5427" s="58" t="s">
        <v>26</v>
      </c>
      <c r="Q5427" s="58" t="s">
        <v>62</v>
      </c>
      <c r="R5427" s="58" t="s">
        <v>272</v>
      </c>
    </row>
    <row r="5428" spans="1:18" ht="69" customHeight="1">
      <c r="A5428" s="168"/>
      <c r="B5428" s="178">
        <v>2565</v>
      </c>
      <c r="C5428" s="178" t="s">
        <v>5189</v>
      </c>
      <c r="D5428" s="575" t="s">
        <v>13382</v>
      </c>
      <c r="E5428" s="178" t="s">
        <v>13378</v>
      </c>
      <c r="F5428" s="210" t="s">
        <v>13383</v>
      </c>
      <c r="G5428" s="58" t="s">
        <v>13380</v>
      </c>
      <c r="H5428" s="546">
        <v>176327.67</v>
      </c>
      <c r="I5428" s="66">
        <v>45163</v>
      </c>
      <c r="J5428" s="411" t="s">
        <v>13381</v>
      </c>
      <c r="K5428" s="58"/>
      <c r="L5428" s="99"/>
      <c r="M5428" s="70"/>
      <c r="N5428" s="97"/>
      <c r="O5428" s="58" t="s">
        <v>156</v>
      </c>
      <c r="P5428" s="58" t="s">
        <v>26</v>
      </c>
      <c r="Q5428" s="58" t="s">
        <v>60</v>
      </c>
      <c r="R5428" s="58" t="s">
        <v>272</v>
      </c>
    </row>
    <row r="5429" spans="1:18" ht="69" customHeight="1">
      <c r="A5429" s="168"/>
      <c r="B5429" s="191">
        <v>2566</v>
      </c>
      <c r="C5429" s="191" t="s">
        <v>4277</v>
      </c>
      <c r="D5429" s="533" t="s">
        <v>13384</v>
      </c>
      <c r="E5429" s="191" t="s">
        <v>266</v>
      </c>
      <c r="F5429" s="211" t="s">
        <v>13385</v>
      </c>
      <c r="G5429" s="46" t="s">
        <v>13386</v>
      </c>
      <c r="H5429" s="534">
        <v>12000</v>
      </c>
      <c r="I5429" s="56">
        <v>45163</v>
      </c>
      <c r="J5429" s="412" t="s">
        <v>13387</v>
      </c>
      <c r="K5429" s="46" t="s">
        <v>13388</v>
      </c>
      <c r="L5429" s="99"/>
      <c r="M5429" s="379"/>
      <c r="N5429" s="76"/>
      <c r="O5429" s="46" t="s">
        <v>13389</v>
      </c>
      <c r="P5429" s="46" t="s">
        <v>65</v>
      </c>
      <c r="Q5429" s="46" t="s">
        <v>56</v>
      </c>
      <c r="R5429" s="46" t="s">
        <v>272</v>
      </c>
    </row>
    <row r="5430" spans="1:18" ht="69" customHeight="1">
      <c r="A5430" s="168"/>
      <c r="B5430" s="207">
        <v>2567</v>
      </c>
      <c r="C5430" s="207" t="s">
        <v>13390</v>
      </c>
      <c r="D5430" s="301" t="s">
        <v>2705</v>
      </c>
      <c r="E5430" s="207" t="s">
        <v>11646</v>
      </c>
      <c r="F5430" s="208" t="s">
        <v>13391</v>
      </c>
      <c r="G5430" s="160" t="s">
        <v>13392</v>
      </c>
      <c r="H5430" s="300">
        <v>6324.02</v>
      </c>
      <c r="I5430" s="209">
        <v>45163</v>
      </c>
      <c r="J5430" s="322" t="s">
        <v>13393</v>
      </c>
      <c r="K5430" s="160" t="s">
        <v>10804</v>
      </c>
      <c r="M5430" s="379"/>
      <c r="N5430" s="76"/>
      <c r="O5430" s="160" t="s">
        <v>12058</v>
      </c>
      <c r="P5430" s="160" t="s">
        <v>67</v>
      </c>
      <c r="Q5430" s="160" t="s">
        <v>96</v>
      </c>
      <c r="R5430" s="160" t="s">
        <v>272</v>
      </c>
    </row>
    <row r="5431" spans="1:18" ht="69" customHeight="1">
      <c r="A5431" s="168"/>
      <c r="B5431" s="207">
        <v>2568</v>
      </c>
      <c r="C5431" s="207" t="s">
        <v>13390</v>
      </c>
      <c r="D5431" s="301" t="s">
        <v>2003</v>
      </c>
      <c r="E5431" s="207" t="s">
        <v>11646</v>
      </c>
      <c r="F5431" s="208" t="s">
        <v>13394</v>
      </c>
      <c r="G5431" s="160" t="s">
        <v>13392</v>
      </c>
      <c r="H5431" s="300">
        <v>2003.54</v>
      </c>
      <c r="I5431" s="209">
        <v>45163</v>
      </c>
      <c r="J5431" s="322" t="s">
        <v>13393</v>
      </c>
      <c r="K5431" s="160" t="s">
        <v>10804</v>
      </c>
      <c r="M5431" s="379"/>
      <c r="N5431" s="76"/>
      <c r="O5431" s="160" t="s">
        <v>12058</v>
      </c>
      <c r="P5431" s="160" t="s">
        <v>67</v>
      </c>
      <c r="Q5431" s="160" t="s">
        <v>96</v>
      </c>
      <c r="R5431" s="160" t="s">
        <v>272</v>
      </c>
    </row>
    <row r="5432" spans="1:18" ht="69" customHeight="1">
      <c r="A5432" s="168"/>
      <c r="B5432" s="207">
        <v>2569</v>
      </c>
      <c r="C5432" s="207" t="s">
        <v>13390</v>
      </c>
      <c r="D5432" s="301" t="s">
        <v>2006</v>
      </c>
      <c r="E5432" s="207" t="s">
        <v>11646</v>
      </c>
      <c r="F5432" s="208" t="s">
        <v>13395</v>
      </c>
      <c r="G5432" s="160" t="s">
        <v>13392</v>
      </c>
      <c r="H5432" s="300">
        <v>300</v>
      </c>
      <c r="I5432" s="209">
        <v>45163</v>
      </c>
      <c r="J5432" s="322" t="s">
        <v>13393</v>
      </c>
      <c r="K5432" s="160" t="s">
        <v>10804</v>
      </c>
      <c r="M5432" s="379"/>
      <c r="N5432" s="76"/>
      <c r="O5432" s="160" t="s">
        <v>12058</v>
      </c>
      <c r="P5432" s="160" t="s">
        <v>67</v>
      </c>
      <c r="Q5432" s="160" t="s">
        <v>96</v>
      </c>
      <c r="R5432" s="160" t="s">
        <v>272</v>
      </c>
    </row>
    <row r="5433" spans="1:18" ht="69" customHeight="1">
      <c r="A5433" s="168"/>
      <c r="B5433" s="178">
        <v>2570</v>
      </c>
      <c r="C5433" s="178" t="s">
        <v>5558</v>
      </c>
      <c r="D5433" s="575" t="s">
        <v>13396</v>
      </c>
      <c r="E5433" s="178" t="s">
        <v>4173</v>
      </c>
      <c r="F5433" s="210" t="s">
        <v>13397</v>
      </c>
      <c r="G5433" s="58" t="s">
        <v>13398</v>
      </c>
      <c r="H5433" s="546">
        <v>33020</v>
      </c>
      <c r="I5433" s="66">
        <v>45163</v>
      </c>
      <c r="J5433" s="411" t="s">
        <v>13399</v>
      </c>
      <c r="K5433" s="58"/>
      <c r="L5433" s="99"/>
      <c r="M5433" s="70"/>
      <c r="N5433" s="97"/>
      <c r="O5433" s="58" t="s">
        <v>441</v>
      </c>
      <c r="P5433" s="58" t="s">
        <v>22</v>
      </c>
      <c r="Q5433" s="58" t="s">
        <v>64</v>
      </c>
      <c r="R5433" s="58" t="s">
        <v>265</v>
      </c>
    </row>
    <row r="5434" spans="1:18" ht="69" customHeight="1">
      <c r="A5434" s="168"/>
      <c r="B5434" s="178">
        <v>2571</v>
      </c>
      <c r="C5434" s="178" t="s">
        <v>5558</v>
      </c>
      <c r="D5434" s="575" t="s">
        <v>13400</v>
      </c>
      <c r="E5434" s="178" t="s">
        <v>4173</v>
      </c>
      <c r="F5434" s="210" t="s">
        <v>13401</v>
      </c>
      <c r="G5434" s="58" t="s">
        <v>13402</v>
      </c>
      <c r="H5434" s="546">
        <v>53120</v>
      </c>
      <c r="I5434" s="66">
        <v>45153</v>
      </c>
      <c r="J5434" s="411" t="s">
        <v>13403</v>
      </c>
      <c r="K5434" s="58"/>
      <c r="L5434" s="99"/>
      <c r="M5434" s="70"/>
      <c r="N5434" s="97"/>
      <c r="O5434" s="58" t="s">
        <v>441</v>
      </c>
      <c r="P5434" s="58" t="s">
        <v>22</v>
      </c>
      <c r="Q5434" s="58" t="s">
        <v>64</v>
      </c>
      <c r="R5434" s="58" t="s">
        <v>265</v>
      </c>
    </row>
    <row r="5435" spans="1:18" ht="69" customHeight="1">
      <c r="A5435" s="168"/>
      <c r="B5435" s="207">
        <v>2572</v>
      </c>
      <c r="C5435" s="207" t="s">
        <v>13404</v>
      </c>
      <c r="D5435" s="301" t="s">
        <v>989</v>
      </c>
      <c r="E5435" s="207" t="s">
        <v>11646</v>
      </c>
      <c r="F5435" s="208" t="s">
        <v>13405</v>
      </c>
      <c r="G5435" s="160" t="s">
        <v>13392</v>
      </c>
      <c r="H5435" s="300">
        <v>5509.02</v>
      </c>
      <c r="I5435" s="209">
        <v>45163</v>
      </c>
      <c r="J5435" s="322" t="s">
        <v>13406</v>
      </c>
      <c r="K5435" s="160" t="s">
        <v>10804</v>
      </c>
      <c r="M5435" s="379"/>
      <c r="N5435" s="76"/>
      <c r="O5435" s="160" t="s">
        <v>12058</v>
      </c>
      <c r="P5435" s="160" t="s">
        <v>67</v>
      </c>
      <c r="Q5435" s="160" t="s">
        <v>96</v>
      </c>
      <c r="R5435" s="160" t="s">
        <v>272</v>
      </c>
    </row>
    <row r="5436" spans="1:18" ht="69" customHeight="1">
      <c r="A5436" s="168"/>
      <c r="B5436" s="207">
        <v>2573</v>
      </c>
      <c r="C5436" s="207" t="s">
        <v>13404</v>
      </c>
      <c r="D5436" s="301" t="s">
        <v>1306</v>
      </c>
      <c r="E5436" s="207" t="s">
        <v>11646</v>
      </c>
      <c r="F5436" s="208" t="s">
        <v>13407</v>
      </c>
      <c r="G5436" s="160" t="s">
        <v>13392</v>
      </c>
      <c r="H5436" s="300">
        <v>1008.68</v>
      </c>
      <c r="I5436" s="209">
        <v>45163</v>
      </c>
      <c r="J5436" s="322" t="s">
        <v>13406</v>
      </c>
      <c r="K5436" s="160" t="s">
        <v>10804</v>
      </c>
      <c r="M5436" s="379"/>
      <c r="N5436" s="76"/>
      <c r="O5436" s="160" t="s">
        <v>12058</v>
      </c>
      <c r="P5436" s="160" t="s">
        <v>67</v>
      </c>
      <c r="Q5436" s="160" t="s">
        <v>96</v>
      </c>
      <c r="R5436" s="160" t="s">
        <v>272</v>
      </c>
    </row>
    <row r="5437" spans="1:18" ht="69" customHeight="1">
      <c r="A5437" s="168"/>
      <c r="B5437" s="207">
        <v>2574</v>
      </c>
      <c r="C5437" s="207" t="s">
        <v>13404</v>
      </c>
      <c r="D5437" s="301" t="s">
        <v>1527</v>
      </c>
      <c r="E5437" s="207" t="s">
        <v>11646</v>
      </c>
      <c r="F5437" s="208" t="s">
        <v>13408</v>
      </c>
      <c r="G5437" s="160" t="s">
        <v>13392</v>
      </c>
      <c r="H5437" s="300">
        <v>145.80000000000001</v>
      </c>
      <c r="I5437" s="209">
        <v>45163</v>
      </c>
      <c r="J5437" s="322" t="s">
        <v>13406</v>
      </c>
      <c r="K5437" s="160" t="s">
        <v>10804</v>
      </c>
      <c r="M5437" s="379"/>
      <c r="N5437" s="76"/>
      <c r="O5437" s="160" t="s">
        <v>12058</v>
      </c>
      <c r="P5437" s="160" t="s">
        <v>67</v>
      </c>
      <c r="Q5437" s="160" t="s">
        <v>96</v>
      </c>
      <c r="R5437" s="160" t="s">
        <v>272</v>
      </c>
    </row>
    <row r="5438" spans="1:18" ht="69" customHeight="1">
      <c r="A5438" s="168"/>
      <c r="B5438" s="178">
        <v>2575</v>
      </c>
      <c r="C5438" s="178" t="s">
        <v>9596</v>
      </c>
      <c r="D5438" s="575" t="s">
        <v>8428</v>
      </c>
      <c r="E5438" s="178" t="s">
        <v>10954</v>
      </c>
      <c r="F5438" s="210" t="s">
        <v>13409</v>
      </c>
      <c r="G5438" s="58" t="s">
        <v>13410</v>
      </c>
      <c r="H5438" s="546">
        <v>800000</v>
      </c>
      <c r="I5438" s="66">
        <v>45163</v>
      </c>
      <c r="J5438" s="411" t="s">
        <v>13411</v>
      </c>
      <c r="K5438" s="58"/>
      <c r="L5438" s="99"/>
      <c r="M5438" s="70"/>
      <c r="N5438" s="97"/>
      <c r="O5438" s="58" t="s">
        <v>13412</v>
      </c>
      <c r="P5438" s="58" t="s">
        <v>19</v>
      </c>
      <c r="Q5438" s="58" t="s">
        <v>118</v>
      </c>
      <c r="R5438" s="58" t="s">
        <v>272</v>
      </c>
    </row>
    <row r="5439" spans="1:18" ht="69" customHeight="1">
      <c r="A5439" s="168"/>
      <c r="B5439" s="178">
        <v>2576</v>
      </c>
      <c r="C5439" s="178" t="s">
        <v>309</v>
      </c>
      <c r="D5439" s="575" t="s">
        <v>4699</v>
      </c>
      <c r="E5439" s="178" t="s">
        <v>10954</v>
      </c>
      <c r="F5439" s="210" t="s">
        <v>13413</v>
      </c>
      <c r="G5439" s="58" t="s">
        <v>13414</v>
      </c>
      <c r="H5439" s="546">
        <v>200000</v>
      </c>
      <c r="I5439" s="66">
        <v>45163</v>
      </c>
      <c r="J5439" s="411" t="s">
        <v>13411</v>
      </c>
      <c r="K5439" s="58"/>
      <c r="L5439" s="99"/>
      <c r="M5439" s="70"/>
      <c r="N5439" s="97"/>
      <c r="O5439" s="58" t="s">
        <v>13412</v>
      </c>
      <c r="P5439" s="58" t="s">
        <v>19</v>
      </c>
      <c r="Q5439" s="58" t="s">
        <v>27</v>
      </c>
      <c r="R5439" s="58" t="s">
        <v>272</v>
      </c>
    </row>
    <row r="5440" spans="1:18" ht="69" customHeight="1">
      <c r="A5440" s="168"/>
      <c r="B5440" s="207">
        <v>2577</v>
      </c>
      <c r="C5440" s="207" t="s">
        <v>13415</v>
      </c>
      <c r="D5440" s="301" t="s">
        <v>1285</v>
      </c>
      <c r="E5440" s="207" t="s">
        <v>11646</v>
      </c>
      <c r="F5440" s="208" t="s">
        <v>13416</v>
      </c>
      <c r="G5440" s="160" t="s">
        <v>13392</v>
      </c>
      <c r="H5440" s="300">
        <v>8484.32</v>
      </c>
      <c r="I5440" s="209">
        <v>45163</v>
      </c>
      <c r="J5440" s="322" t="s">
        <v>13417</v>
      </c>
      <c r="K5440" s="160" t="s">
        <v>10804</v>
      </c>
      <c r="M5440" s="379"/>
      <c r="N5440" s="76"/>
      <c r="O5440" s="160" t="s">
        <v>12058</v>
      </c>
      <c r="P5440" s="160" t="s">
        <v>67</v>
      </c>
      <c r="Q5440" s="160" t="s">
        <v>96</v>
      </c>
      <c r="R5440" s="160" t="s">
        <v>272</v>
      </c>
    </row>
    <row r="5441" spans="1:18" ht="69" customHeight="1">
      <c r="A5441" s="168"/>
      <c r="B5441" s="207">
        <v>2578</v>
      </c>
      <c r="C5441" s="207" t="s">
        <v>13415</v>
      </c>
      <c r="D5441" s="301" t="s">
        <v>1509</v>
      </c>
      <c r="E5441" s="207" t="s">
        <v>11646</v>
      </c>
      <c r="F5441" s="208" t="s">
        <v>13418</v>
      </c>
      <c r="G5441" s="160" t="s">
        <v>13392</v>
      </c>
      <c r="H5441" s="300">
        <v>3373.4</v>
      </c>
      <c r="I5441" s="209">
        <v>45163</v>
      </c>
      <c r="J5441" s="322" t="s">
        <v>13417</v>
      </c>
      <c r="K5441" s="160" t="s">
        <v>10804</v>
      </c>
      <c r="M5441" s="379"/>
      <c r="N5441" s="76"/>
      <c r="O5441" s="160" t="s">
        <v>12058</v>
      </c>
      <c r="P5441" s="160" t="s">
        <v>67</v>
      </c>
      <c r="Q5441" s="160" t="s">
        <v>96</v>
      </c>
      <c r="R5441" s="160" t="s">
        <v>272</v>
      </c>
    </row>
    <row r="5442" spans="1:18" ht="69" customHeight="1">
      <c r="A5442" s="168"/>
      <c r="B5442" s="207">
        <v>2579</v>
      </c>
      <c r="C5442" s="207" t="s">
        <v>13415</v>
      </c>
      <c r="D5442" s="301" t="s">
        <v>522</v>
      </c>
      <c r="E5442" s="207" t="s">
        <v>11646</v>
      </c>
      <c r="F5442" s="208" t="s">
        <v>13419</v>
      </c>
      <c r="G5442" s="160" t="s">
        <v>13392</v>
      </c>
      <c r="H5442" s="300">
        <v>331.48</v>
      </c>
      <c r="I5442" s="209">
        <v>45163</v>
      </c>
      <c r="J5442" s="322" t="s">
        <v>13417</v>
      </c>
      <c r="K5442" s="160" t="s">
        <v>10804</v>
      </c>
      <c r="M5442" s="379"/>
      <c r="N5442" s="76"/>
      <c r="O5442" s="160" t="s">
        <v>12058</v>
      </c>
      <c r="P5442" s="160" t="s">
        <v>67</v>
      </c>
      <c r="Q5442" s="160" t="s">
        <v>96</v>
      </c>
      <c r="R5442" s="160" t="s">
        <v>272</v>
      </c>
    </row>
    <row r="5443" spans="1:18" s="98" customFormat="1" ht="69" customHeight="1">
      <c r="A5443" s="169"/>
      <c r="B5443" s="59">
        <v>2580</v>
      </c>
      <c r="C5443" s="59" t="s">
        <v>13420</v>
      </c>
      <c r="D5443" s="581" t="s">
        <v>13421</v>
      </c>
      <c r="E5443" s="59" t="s">
        <v>4033</v>
      </c>
      <c r="F5443" s="569" t="s">
        <v>13422</v>
      </c>
      <c r="G5443" s="45" t="s">
        <v>13423</v>
      </c>
      <c r="H5443" s="546">
        <v>266795.2</v>
      </c>
      <c r="I5443" s="47">
        <v>45163</v>
      </c>
      <c r="J5443" s="410" t="s">
        <v>13424</v>
      </c>
      <c r="K5443" s="45"/>
      <c r="L5443" s="99"/>
      <c r="M5443" s="385"/>
      <c r="N5443" s="75"/>
      <c r="O5443" s="45" t="s">
        <v>441</v>
      </c>
      <c r="P5443" s="45" t="s">
        <v>22</v>
      </c>
      <c r="Q5443" s="45" t="s">
        <v>35</v>
      </c>
      <c r="R5443" s="45" t="s">
        <v>272</v>
      </c>
    </row>
    <row r="5444" spans="1:18" ht="69" customHeight="1">
      <c r="A5444" s="169"/>
      <c r="B5444" s="178">
        <v>2581</v>
      </c>
      <c r="C5444" s="178" t="s">
        <v>11052</v>
      </c>
      <c r="D5444" s="575" t="s">
        <v>5148</v>
      </c>
      <c r="E5444" s="178" t="s">
        <v>4033</v>
      </c>
      <c r="F5444" s="210" t="s">
        <v>13425</v>
      </c>
      <c r="G5444" s="58" t="s">
        <v>13426</v>
      </c>
      <c r="H5444" s="546">
        <v>238712.4</v>
      </c>
      <c r="I5444" s="66">
        <v>45163</v>
      </c>
      <c r="J5444" s="411" t="s">
        <v>13424</v>
      </c>
      <c r="K5444" s="58"/>
      <c r="L5444" s="99"/>
      <c r="M5444" s="70"/>
      <c r="N5444" s="97"/>
      <c r="O5444" s="58" t="s">
        <v>441</v>
      </c>
      <c r="P5444" s="58" t="s">
        <v>22</v>
      </c>
      <c r="Q5444" s="58" t="s">
        <v>37</v>
      </c>
      <c r="R5444" s="58" t="s">
        <v>272</v>
      </c>
    </row>
    <row r="5445" spans="1:18" ht="69" customHeight="1">
      <c r="A5445" s="168"/>
      <c r="B5445" s="178">
        <v>2582</v>
      </c>
      <c r="C5445" s="178" t="s">
        <v>657</v>
      </c>
      <c r="D5445" s="575" t="s">
        <v>13427</v>
      </c>
      <c r="E5445" s="178" t="s">
        <v>382</v>
      </c>
      <c r="F5445" s="210" t="s">
        <v>13428</v>
      </c>
      <c r="G5445" s="58" t="s">
        <v>13429</v>
      </c>
      <c r="H5445" s="546">
        <v>29180</v>
      </c>
      <c r="I5445" s="66">
        <v>45163</v>
      </c>
      <c r="J5445" s="411" t="s">
        <v>13430</v>
      </c>
      <c r="K5445" s="58"/>
      <c r="L5445" s="99"/>
      <c r="M5445" s="70"/>
      <c r="N5445" s="97"/>
      <c r="O5445" s="58" t="s">
        <v>150</v>
      </c>
      <c r="P5445" s="58" t="s">
        <v>51</v>
      </c>
      <c r="Q5445" s="58" t="s">
        <v>106</v>
      </c>
      <c r="R5445" s="58" t="s">
        <v>265</v>
      </c>
    </row>
    <row r="5446" spans="1:18" ht="69" customHeight="1">
      <c r="A5446" s="168"/>
      <c r="B5446" s="178">
        <v>2583</v>
      </c>
      <c r="C5446" s="178" t="s">
        <v>657</v>
      </c>
      <c r="D5446" s="575" t="s">
        <v>6339</v>
      </c>
      <c r="E5446" s="178" t="s">
        <v>382</v>
      </c>
      <c r="F5446" s="210" t="s">
        <v>13431</v>
      </c>
      <c r="G5446" s="58" t="s">
        <v>13429</v>
      </c>
      <c r="H5446" s="546">
        <v>12000</v>
      </c>
      <c r="I5446" s="66">
        <v>45163</v>
      </c>
      <c r="J5446" s="411" t="s">
        <v>13430</v>
      </c>
      <c r="K5446" s="58"/>
      <c r="L5446" s="99"/>
      <c r="M5446" s="70"/>
      <c r="N5446" s="97"/>
      <c r="O5446" s="58" t="s">
        <v>150</v>
      </c>
      <c r="P5446" s="58" t="s">
        <v>51</v>
      </c>
      <c r="Q5446" s="58" t="s">
        <v>106</v>
      </c>
      <c r="R5446" s="58" t="s">
        <v>265</v>
      </c>
    </row>
    <row r="5447" spans="1:18" s="98" customFormat="1" ht="69" customHeight="1">
      <c r="A5447" s="169"/>
      <c r="B5447" s="59">
        <v>2584</v>
      </c>
      <c r="C5447" s="59" t="s">
        <v>657</v>
      </c>
      <c r="D5447" s="581" t="s">
        <v>6131</v>
      </c>
      <c r="E5447" s="59" t="s">
        <v>382</v>
      </c>
      <c r="F5447" s="569" t="s">
        <v>13432</v>
      </c>
      <c r="G5447" s="45" t="s">
        <v>13429</v>
      </c>
      <c r="H5447" s="546">
        <v>12000</v>
      </c>
      <c r="I5447" s="47">
        <v>45163</v>
      </c>
      <c r="J5447" s="410" t="s">
        <v>13430</v>
      </c>
      <c r="K5447" s="45"/>
      <c r="L5447" s="99"/>
      <c r="M5447" s="385"/>
      <c r="N5447" s="75"/>
      <c r="O5447" s="45" t="s">
        <v>150</v>
      </c>
      <c r="P5447" s="45" t="s">
        <v>51</v>
      </c>
      <c r="Q5447" s="45" t="s">
        <v>102</v>
      </c>
      <c r="R5447" s="45" t="s">
        <v>265</v>
      </c>
    </row>
    <row r="5448" spans="1:18" ht="69" customHeight="1">
      <c r="A5448" s="168"/>
      <c r="B5448" s="178">
        <v>2585</v>
      </c>
      <c r="C5448" s="178" t="s">
        <v>657</v>
      </c>
      <c r="D5448" s="575" t="s">
        <v>2448</v>
      </c>
      <c r="E5448" s="178" t="s">
        <v>382</v>
      </c>
      <c r="F5448" s="210" t="s">
        <v>13433</v>
      </c>
      <c r="G5448" s="58" t="s">
        <v>13429</v>
      </c>
      <c r="H5448" s="546">
        <v>7808</v>
      </c>
      <c r="I5448" s="66">
        <v>45163</v>
      </c>
      <c r="J5448" s="411" t="s">
        <v>13430</v>
      </c>
      <c r="K5448" s="58"/>
      <c r="L5448" s="99"/>
      <c r="M5448" s="70"/>
      <c r="N5448" s="97"/>
      <c r="O5448" s="58" t="s">
        <v>150</v>
      </c>
      <c r="P5448" s="58" t="s">
        <v>51</v>
      </c>
      <c r="Q5448" s="58" t="s">
        <v>109</v>
      </c>
      <c r="R5448" s="58" t="s">
        <v>265</v>
      </c>
    </row>
    <row r="5449" spans="1:18" ht="69" customHeight="1">
      <c r="A5449" s="168"/>
      <c r="B5449" s="178">
        <v>2586</v>
      </c>
      <c r="C5449" s="178" t="s">
        <v>657</v>
      </c>
      <c r="D5449" s="575" t="s">
        <v>2151</v>
      </c>
      <c r="E5449" s="178" t="s">
        <v>382</v>
      </c>
      <c r="F5449" s="210" t="s">
        <v>13434</v>
      </c>
      <c r="G5449" s="58" t="s">
        <v>13429</v>
      </c>
      <c r="H5449" s="546">
        <v>2000</v>
      </c>
      <c r="I5449" s="66">
        <v>45163</v>
      </c>
      <c r="J5449" s="411" t="s">
        <v>13430</v>
      </c>
      <c r="K5449" s="58"/>
      <c r="L5449" s="99"/>
      <c r="M5449" s="70"/>
      <c r="N5449" s="97"/>
      <c r="O5449" s="58" t="s">
        <v>150</v>
      </c>
      <c r="P5449" s="58" t="s">
        <v>51</v>
      </c>
      <c r="Q5449" s="58" t="s">
        <v>109</v>
      </c>
      <c r="R5449" s="58" t="s">
        <v>265</v>
      </c>
    </row>
    <row r="5450" spans="1:18" s="98" customFormat="1" ht="69" customHeight="1">
      <c r="A5450" s="169"/>
      <c r="B5450" s="178">
        <v>2587</v>
      </c>
      <c r="C5450" s="178" t="s">
        <v>13435</v>
      </c>
      <c r="D5450" s="575" t="s">
        <v>4344</v>
      </c>
      <c r="E5450" s="178" t="s">
        <v>13436</v>
      </c>
      <c r="F5450" s="210" t="s">
        <v>13437</v>
      </c>
      <c r="G5450" s="58" t="s">
        <v>13438</v>
      </c>
      <c r="H5450" s="546">
        <v>422520.06</v>
      </c>
      <c r="I5450" s="66">
        <v>45153</v>
      </c>
      <c r="J5450" s="411" t="s">
        <v>13439</v>
      </c>
      <c r="K5450" s="58"/>
      <c r="L5450" s="99"/>
      <c r="M5450" s="70"/>
      <c r="N5450" s="97"/>
      <c r="O5450" s="58" t="s">
        <v>154</v>
      </c>
      <c r="P5450" s="58" t="s">
        <v>59</v>
      </c>
      <c r="Q5450" s="58" t="s">
        <v>13</v>
      </c>
      <c r="R5450" s="58" t="s">
        <v>272</v>
      </c>
    </row>
    <row r="5451" spans="1:18" ht="69" customHeight="1">
      <c r="A5451" s="168"/>
      <c r="B5451" s="178">
        <v>2588</v>
      </c>
      <c r="C5451" s="178" t="s">
        <v>657</v>
      </c>
      <c r="D5451" s="575" t="s">
        <v>9371</v>
      </c>
      <c r="E5451" s="178" t="s">
        <v>10954</v>
      </c>
      <c r="F5451" s="210" t="s">
        <v>13440</v>
      </c>
      <c r="G5451" s="58" t="s">
        <v>13441</v>
      </c>
      <c r="H5451" s="546">
        <v>200000</v>
      </c>
      <c r="I5451" s="66">
        <v>45163</v>
      </c>
      <c r="J5451" s="411" t="s">
        <v>13442</v>
      </c>
      <c r="K5451" s="58"/>
      <c r="L5451" s="99"/>
      <c r="M5451" s="70"/>
      <c r="N5451" s="97"/>
      <c r="O5451" s="58" t="s">
        <v>141</v>
      </c>
      <c r="P5451" s="58" t="s">
        <v>19</v>
      </c>
      <c r="Q5451" s="58" t="s">
        <v>97</v>
      </c>
      <c r="R5451" s="58" t="s">
        <v>272</v>
      </c>
    </row>
    <row r="5452" spans="1:18" s="98" customFormat="1" ht="69" customHeight="1">
      <c r="A5452" s="169"/>
      <c r="B5452" s="178">
        <v>2589</v>
      </c>
      <c r="C5452" s="178" t="s">
        <v>3647</v>
      </c>
      <c r="D5452" s="575" t="s">
        <v>13443</v>
      </c>
      <c r="E5452" s="59" t="s">
        <v>13444</v>
      </c>
      <c r="F5452" s="210" t="s">
        <v>13445</v>
      </c>
      <c r="G5452" s="58" t="s">
        <v>13446</v>
      </c>
      <c r="H5452" s="546">
        <v>40000</v>
      </c>
      <c r="I5452" s="66">
        <v>45163</v>
      </c>
      <c r="J5452" s="411" t="s">
        <v>13447</v>
      </c>
      <c r="K5452" s="58"/>
      <c r="L5452" s="99"/>
      <c r="M5452" s="388"/>
      <c r="N5452" s="108"/>
      <c r="O5452" s="45" t="s">
        <v>13448</v>
      </c>
      <c r="P5452" s="45" t="s">
        <v>57</v>
      </c>
      <c r="Q5452" s="45" t="s">
        <v>47</v>
      </c>
      <c r="R5452" s="45" t="s">
        <v>265</v>
      </c>
    </row>
    <row r="5453" spans="1:18" ht="69" customHeight="1">
      <c r="A5453" s="168"/>
      <c r="B5453" s="191">
        <v>2590</v>
      </c>
      <c r="C5453" s="191" t="s">
        <v>5558</v>
      </c>
      <c r="D5453" s="533" t="s">
        <v>13449</v>
      </c>
      <c r="E5453" s="191" t="s">
        <v>4173</v>
      </c>
      <c r="F5453" s="211" t="s">
        <v>13450</v>
      </c>
      <c r="G5453" s="46" t="s">
        <v>13451</v>
      </c>
      <c r="H5453" s="534">
        <v>5800</v>
      </c>
      <c r="I5453" s="56">
        <v>45163</v>
      </c>
      <c r="J5453" s="412" t="s">
        <v>13452</v>
      </c>
      <c r="K5453" s="46" t="s">
        <v>13453</v>
      </c>
      <c r="L5453" s="99"/>
      <c r="M5453" s="70"/>
      <c r="N5453" s="97"/>
      <c r="O5453" s="46" t="s">
        <v>441</v>
      </c>
      <c r="P5453" s="46" t="s">
        <v>65</v>
      </c>
      <c r="Q5453" s="46" t="s">
        <v>64</v>
      </c>
      <c r="R5453" s="46" t="s">
        <v>265</v>
      </c>
    </row>
    <row r="5454" spans="1:18" ht="69" customHeight="1">
      <c r="A5454" s="168"/>
      <c r="B5454" s="59">
        <v>2591</v>
      </c>
      <c r="C5454" s="59" t="s">
        <v>3647</v>
      </c>
      <c r="D5454" s="581" t="s">
        <v>13454</v>
      </c>
      <c r="E5454" s="59" t="s">
        <v>13455</v>
      </c>
      <c r="F5454" s="569" t="s">
        <v>13456</v>
      </c>
      <c r="G5454" s="45" t="s">
        <v>13457</v>
      </c>
      <c r="H5454" s="546">
        <v>29200</v>
      </c>
      <c r="I5454" s="47">
        <v>45163</v>
      </c>
      <c r="J5454" s="410" t="s">
        <v>13458</v>
      </c>
      <c r="K5454" s="45"/>
      <c r="L5454" s="99"/>
      <c r="M5454" s="389"/>
      <c r="N5454" s="105"/>
      <c r="O5454" s="45" t="s">
        <v>13448</v>
      </c>
      <c r="P5454" s="45" t="s">
        <v>57</v>
      </c>
      <c r="Q5454" s="58" t="s">
        <v>47</v>
      </c>
      <c r="R5454" s="58" t="s">
        <v>272</v>
      </c>
    </row>
    <row r="5455" spans="1:18" ht="69" customHeight="1">
      <c r="A5455" s="168"/>
      <c r="B5455" s="178">
        <v>2592</v>
      </c>
      <c r="C5455" s="178" t="s">
        <v>11052</v>
      </c>
      <c r="D5455" s="575" t="s">
        <v>4076</v>
      </c>
      <c r="E5455" s="178" t="s">
        <v>4173</v>
      </c>
      <c r="F5455" s="210" t="s">
        <v>13459</v>
      </c>
      <c r="G5455" s="58" t="s">
        <v>13460</v>
      </c>
      <c r="H5455" s="546">
        <v>28962.98</v>
      </c>
      <c r="I5455" s="66">
        <v>45149</v>
      </c>
      <c r="J5455" s="411" t="s">
        <v>13461</v>
      </c>
      <c r="K5455" s="58"/>
      <c r="L5455" s="99"/>
      <c r="M5455" s="70"/>
      <c r="N5455" s="97"/>
      <c r="O5455" s="58" t="s">
        <v>441</v>
      </c>
      <c r="P5455" s="58" t="s">
        <v>22</v>
      </c>
      <c r="Q5455" s="58" t="s">
        <v>37</v>
      </c>
      <c r="R5455" s="58" t="s">
        <v>265</v>
      </c>
    </row>
    <row r="5456" spans="1:18" ht="69" customHeight="1">
      <c r="A5456" s="168"/>
      <c r="B5456" s="207">
        <v>2593</v>
      </c>
      <c r="C5456" s="207" t="s">
        <v>3340</v>
      </c>
      <c r="D5456" s="301" t="s">
        <v>4566</v>
      </c>
      <c r="E5456" s="207" t="s">
        <v>266</v>
      </c>
      <c r="F5456" s="208" t="s">
        <v>13462</v>
      </c>
      <c r="G5456" s="160" t="s">
        <v>11285</v>
      </c>
      <c r="H5456" s="300">
        <v>26970</v>
      </c>
      <c r="I5456" s="209">
        <v>45174</v>
      </c>
      <c r="J5456" s="322" t="s">
        <v>13463</v>
      </c>
      <c r="K5456" s="160" t="s">
        <v>10804</v>
      </c>
      <c r="M5456" s="379"/>
      <c r="N5456" s="76"/>
      <c r="O5456" s="160" t="s">
        <v>9509</v>
      </c>
      <c r="P5456" s="160" t="s">
        <v>67</v>
      </c>
      <c r="Q5456" s="160" t="s">
        <v>96</v>
      </c>
      <c r="R5456" s="160" t="s">
        <v>272</v>
      </c>
    </row>
    <row r="5457" spans="1:18" ht="69" customHeight="1">
      <c r="A5457" s="168"/>
      <c r="B5457" s="191">
        <v>2594</v>
      </c>
      <c r="C5457" s="191" t="s">
        <v>3647</v>
      </c>
      <c r="D5457" s="533" t="s">
        <v>13464</v>
      </c>
      <c r="E5457" s="191" t="s">
        <v>266</v>
      </c>
      <c r="F5457" s="211" t="s">
        <v>13465</v>
      </c>
      <c r="G5457" s="46" t="s">
        <v>13466</v>
      </c>
      <c r="H5457" s="534">
        <v>21000</v>
      </c>
      <c r="I5457" s="56">
        <v>45163</v>
      </c>
      <c r="J5457" s="412" t="s">
        <v>13467</v>
      </c>
      <c r="K5457" s="46" t="s">
        <v>1170</v>
      </c>
      <c r="L5457" s="99"/>
      <c r="M5457" s="379"/>
      <c r="N5457" s="76"/>
      <c r="O5457" s="46" t="s">
        <v>1171</v>
      </c>
      <c r="P5457" s="46" t="s">
        <v>71</v>
      </c>
      <c r="Q5457" s="46" t="s">
        <v>47</v>
      </c>
      <c r="R5457" s="46" t="s">
        <v>272</v>
      </c>
    </row>
    <row r="5458" spans="1:18" ht="69" customHeight="1">
      <c r="A5458" s="168"/>
      <c r="B5458" s="191">
        <v>2595</v>
      </c>
      <c r="C5458" s="191" t="s">
        <v>3647</v>
      </c>
      <c r="D5458" s="533" t="s">
        <v>13468</v>
      </c>
      <c r="E5458" s="191" t="s">
        <v>266</v>
      </c>
      <c r="F5458" s="211" t="s">
        <v>13469</v>
      </c>
      <c r="G5458" s="46" t="s">
        <v>13466</v>
      </c>
      <c r="H5458" s="534">
        <v>21000</v>
      </c>
      <c r="I5458" s="56">
        <v>45163</v>
      </c>
      <c r="J5458" s="412" t="s">
        <v>13467</v>
      </c>
      <c r="K5458" s="46" t="s">
        <v>1170</v>
      </c>
      <c r="L5458" s="99"/>
      <c r="M5458" s="379"/>
      <c r="N5458" s="76"/>
      <c r="O5458" s="46" t="s">
        <v>1171</v>
      </c>
      <c r="P5458" s="46" t="s">
        <v>71</v>
      </c>
      <c r="Q5458" s="46" t="s">
        <v>52</v>
      </c>
      <c r="R5458" s="46" t="s">
        <v>272</v>
      </c>
    </row>
    <row r="5459" spans="1:18" ht="69" customHeight="1">
      <c r="A5459" s="168"/>
      <c r="B5459" s="191">
        <v>2596</v>
      </c>
      <c r="C5459" s="191" t="s">
        <v>4277</v>
      </c>
      <c r="D5459" s="533" t="s">
        <v>13470</v>
      </c>
      <c r="E5459" s="191" t="s">
        <v>266</v>
      </c>
      <c r="F5459" s="211" t="s">
        <v>13471</v>
      </c>
      <c r="G5459" s="46" t="s">
        <v>13466</v>
      </c>
      <c r="H5459" s="534">
        <v>20266.650000000001</v>
      </c>
      <c r="I5459" s="56">
        <v>45163</v>
      </c>
      <c r="J5459" s="412" t="s">
        <v>13467</v>
      </c>
      <c r="K5459" s="46" t="s">
        <v>1170</v>
      </c>
      <c r="L5459" s="99"/>
      <c r="M5459" s="379"/>
      <c r="N5459" s="76"/>
      <c r="O5459" s="46" t="s">
        <v>1171</v>
      </c>
      <c r="P5459" s="46" t="s">
        <v>71</v>
      </c>
      <c r="Q5459" s="46" t="s">
        <v>60</v>
      </c>
      <c r="R5459" s="46" t="s">
        <v>272</v>
      </c>
    </row>
    <row r="5460" spans="1:18" ht="69" customHeight="1">
      <c r="A5460" s="168"/>
      <c r="B5460" s="191">
        <v>2597</v>
      </c>
      <c r="C5460" s="191" t="s">
        <v>4277</v>
      </c>
      <c r="D5460" s="533" t="s">
        <v>13472</v>
      </c>
      <c r="E5460" s="191" t="s">
        <v>266</v>
      </c>
      <c r="F5460" s="211" t="s">
        <v>13473</v>
      </c>
      <c r="G5460" s="46" t="s">
        <v>13466</v>
      </c>
      <c r="H5460" s="534">
        <v>20266.650000000001</v>
      </c>
      <c r="I5460" s="56">
        <v>45163</v>
      </c>
      <c r="J5460" s="412" t="s">
        <v>13467</v>
      </c>
      <c r="K5460" s="46" t="s">
        <v>1170</v>
      </c>
      <c r="L5460" s="99"/>
      <c r="M5460" s="379"/>
      <c r="N5460" s="76"/>
      <c r="O5460" s="46" t="s">
        <v>1171</v>
      </c>
      <c r="P5460" s="46" t="s">
        <v>71</v>
      </c>
      <c r="Q5460" s="46" t="s">
        <v>62</v>
      </c>
      <c r="R5460" s="46" t="s">
        <v>272</v>
      </c>
    </row>
    <row r="5461" spans="1:18" ht="69" customHeight="1">
      <c r="A5461" s="168"/>
      <c r="B5461" s="256">
        <v>2598</v>
      </c>
      <c r="C5461" s="256" t="s">
        <v>3647</v>
      </c>
      <c r="D5461" s="299" t="s">
        <v>13474</v>
      </c>
      <c r="E5461" s="256" t="s">
        <v>13475</v>
      </c>
      <c r="F5461" s="263" t="s">
        <v>13476</v>
      </c>
      <c r="G5461" s="118" t="s">
        <v>13477</v>
      </c>
      <c r="H5461" s="300">
        <v>40030.15</v>
      </c>
      <c r="I5461" s="262">
        <v>45163</v>
      </c>
      <c r="J5461" s="409" t="s">
        <v>13478</v>
      </c>
      <c r="K5461" s="118" t="s">
        <v>13479</v>
      </c>
      <c r="L5461" s="99"/>
      <c r="M5461" s="387"/>
      <c r="N5461" s="107"/>
      <c r="O5461" s="118" t="s">
        <v>441</v>
      </c>
      <c r="P5461" s="118" t="s">
        <v>67</v>
      </c>
      <c r="Q5461" s="118" t="s">
        <v>52</v>
      </c>
      <c r="R5461" s="118" t="s">
        <v>272</v>
      </c>
    </row>
    <row r="5462" spans="1:18" ht="69" customHeight="1">
      <c r="A5462" s="168"/>
      <c r="B5462" s="178">
        <v>2599</v>
      </c>
      <c r="C5462" s="178" t="s">
        <v>5558</v>
      </c>
      <c r="D5462" s="575" t="s">
        <v>13480</v>
      </c>
      <c r="E5462" s="178" t="s">
        <v>4173</v>
      </c>
      <c r="F5462" s="210" t="s">
        <v>13481</v>
      </c>
      <c r="G5462" s="58" t="s">
        <v>13482</v>
      </c>
      <c r="H5462" s="546">
        <v>57270</v>
      </c>
      <c r="I5462" s="66">
        <v>45163</v>
      </c>
      <c r="J5462" s="411" t="s">
        <v>13483</v>
      </c>
      <c r="K5462" s="58"/>
      <c r="L5462" s="99"/>
      <c r="M5462" s="70"/>
      <c r="N5462" s="97"/>
      <c r="O5462" s="58" t="s">
        <v>441</v>
      </c>
      <c r="P5462" s="58" t="s">
        <v>22</v>
      </c>
      <c r="Q5462" s="58" t="s">
        <v>64</v>
      </c>
      <c r="R5462" s="58" t="s">
        <v>265</v>
      </c>
    </row>
    <row r="5463" spans="1:18" ht="69" customHeight="1">
      <c r="A5463" s="168"/>
      <c r="B5463" s="178">
        <v>2600</v>
      </c>
      <c r="C5463" s="178" t="s">
        <v>1593</v>
      </c>
      <c r="D5463" s="575" t="s">
        <v>13484</v>
      </c>
      <c r="E5463" s="178" t="s">
        <v>755</v>
      </c>
      <c r="F5463" s="210" t="s">
        <v>13485</v>
      </c>
      <c r="G5463" s="58" t="s">
        <v>13367</v>
      </c>
      <c r="H5463" s="546">
        <v>1049620.3</v>
      </c>
      <c r="I5463" s="66">
        <v>45153</v>
      </c>
      <c r="J5463" s="411" t="s">
        <v>13486</v>
      </c>
      <c r="K5463" s="58" t="s">
        <v>13487</v>
      </c>
      <c r="L5463" s="99"/>
      <c r="M5463" s="70"/>
      <c r="N5463" s="97"/>
      <c r="O5463" s="58" t="s">
        <v>1566</v>
      </c>
      <c r="P5463" s="58" t="s">
        <v>28</v>
      </c>
      <c r="Q5463" s="58" t="s">
        <v>27</v>
      </c>
      <c r="R5463" s="58" t="s">
        <v>272</v>
      </c>
    </row>
    <row r="5464" spans="1:18" ht="69" customHeight="1">
      <c r="A5464" s="168"/>
      <c r="B5464" s="48">
        <v>2601</v>
      </c>
      <c r="C5464" s="59" t="s">
        <v>13488</v>
      </c>
      <c r="D5464" s="84" t="s">
        <v>13489</v>
      </c>
      <c r="E5464" s="59" t="s">
        <v>13436</v>
      </c>
      <c r="F5464" s="569" t="s">
        <v>13490</v>
      </c>
      <c r="G5464" s="45" t="s">
        <v>13491</v>
      </c>
      <c r="H5464" s="546">
        <v>122202.12</v>
      </c>
      <c r="I5464" s="47">
        <v>45163</v>
      </c>
      <c r="J5464" s="410" t="s">
        <v>13492</v>
      </c>
      <c r="K5464" s="45"/>
      <c r="L5464" s="99"/>
      <c r="M5464" s="70"/>
      <c r="N5464" s="97"/>
      <c r="O5464" s="58" t="s">
        <v>154</v>
      </c>
      <c r="P5464" s="58" t="s">
        <v>57</v>
      </c>
      <c r="Q5464" s="58" t="s">
        <v>70</v>
      </c>
      <c r="R5464" s="58" t="s">
        <v>272</v>
      </c>
    </row>
    <row r="5465" spans="1:18" ht="69" customHeight="1">
      <c r="A5465" s="168"/>
      <c r="B5465" s="191">
        <v>2602</v>
      </c>
      <c r="C5465" s="191" t="s">
        <v>4411</v>
      </c>
      <c r="D5465" s="533" t="s">
        <v>13493</v>
      </c>
      <c r="E5465" s="191" t="s">
        <v>877</v>
      </c>
      <c r="F5465" s="211" t="s">
        <v>13494</v>
      </c>
      <c r="G5465" s="46" t="s">
        <v>13495</v>
      </c>
      <c r="H5465" s="534">
        <v>21654.19</v>
      </c>
      <c r="I5465" s="56">
        <v>45163</v>
      </c>
      <c r="J5465" s="412" t="s">
        <v>13496</v>
      </c>
      <c r="K5465" s="46" t="s">
        <v>1170</v>
      </c>
      <c r="L5465" s="99"/>
      <c r="M5465" s="379"/>
      <c r="N5465" s="76"/>
      <c r="O5465" s="46" t="s">
        <v>1171</v>
      </c>
      <c r="P5465" s="46" t="s">
        <v>71</v>
      </c>
      <c r="Q5465" s="46" t="s">
        <v>54</v>
      </c>
      <c r="R5465" s="46" t="s">
        <v>272</v>
      </c>
    </row>
    <row r="5466" spans="1:18" ht="69" customHeight="1">
      <c r="A5466" s="168"/>
      <c r="B5466" s="191">
        <v>2603</v>
      </c>
      <c r="C5466" s="191" t="s">
        <v>3510</v>
      </c>
      <c r="D5466" s="533" t="s">
        <v>13497</v>
      </c>
      <c r="E5466" s="191" t="s">
        <v>877</v>
      </c>
      <c r="F5466" s="211" t="s">
        <v>13498</v>
      </c>
      <c r="G5466" s="46" t="s">
        <v>13495</v>
      </c>
      <c r="H5466" s="534">
        <v>21654.19</v>
      </c>
      <c r="I5466" s="56">
        <v>45163</v>
      </c>
      <c r="J5466" s="412" t="s">
        <v>13496</v>
      </c>
      <c r="K5466" s="46" t="s">
        <v>1170</v>
      </c>
      <c r="L5466" s="99"/>
      <c r="M5466" s="379"/>
      <c r="N5466" s="76"/>
      <c r="O5466" s="46" t="s">
        <v>1171</v>
      </c>
      <c r="P5466" s="46" t="s">
        <v>71</v>
      </c>
      <c r="Q5466" s="46" t="s">
        <v>43</v>
      </c>
      <c r="R5466" s="46" t="s">
        <v>272</v>
      </c>
    </row>
    <row r="5467" spans="1:18" ht="69" customHeight="1">
      <c r="A5467" s="168"/>
      <c r="B5467" s="191">
        <v>2604</v>
      </c>
      <c r="C5467" s="191" t="s">
        <v>753</v>
      </c>
      <c r="D5467" s="533" t="s">
        <v>13499</v>
      </c>
      <c r="E5467" s="191" t="s">
        <v>877</v>
      </c>
      <c r="F5467" s="211" t="s">
        <v>13500</v>
      </c>
      <c r="G5467" s="46" t="s">
        <v>13495</v>
      </c>
      <c r="H5467" s="534">
        <v>25241.9</v>
      </c>
      <c r="I5467" s="56">
        <v>45163</v>
      </c>
      <c r="J5467" s="412" t="s">
        <v>13496</v>
      </c>
      <c r="K5467" s="46" t="s">
        <v>1170</v>
      </c>
      <c r="L5467" s="99"/>
      <c r="M5467" s="379"/>
      <c r="N5467" s="76"/>
      <c r="O5467" s="46" t="s">
        <v>1171</v>
      </c>
      <c r="P5467" s="46" t="s">
        <v>71</v>
      </c>
      <c r="Q5467" s="46" t="s">
        <v>20</v>
      </c>
      <c r="R5467" s="46" t="s">
        <v>272</v>
      </c>
    </row>
    <row r="5468" spans="1:18" ht="69" customHeight="1">
      <c r="A5468" s="168"/>
      <c r="B5468" s="52">
        <v>2605</v>
      </c>
      <c r="C5468" s="191" t="s">
        <v>4728</v>
      </c>
      <c r="D5468" s="251" t="s">
        <v>13501</v>
      </c>
      <c r="E5468" s="191" t="s">
        <v>877</v>
      </c>
      <c r="F5468" s="211" t="s">
        <v>13502</v>
      </c>
      <c r="G5468" s="46" t="s">
        <v>13495</v>
      </c>
      <c r="H5468" s="534">
        <v>14962.45</v>
      </c>
      <c r="I5468" s="56">
        <v>45163</v>
      </c>
      <c r="J5468" s="412" t="s">
        <v>13496</v>
      </c>
      <c r="K5468" s="46" t="s">
        <v>1170</v>
      </c>
      <c r="L5468" s="99"/>
      <c r="M5468" s="379"/>
      <c r="N5468" s="76"/>
      <c r="O5468" s="46" t="s">
        <v>1171</v>
      </c>
      <c r="P5468" s="46" t="s">
        <v>71</v>
      </c>
      <c r="Q5468" s="46" t="s">
        <v>56</v>
      </c>
      <c r="R5468" s="46" t="s">
        <v>272</v>
      </c>
    </row>
    <row r="5469" spans="1:18" ht="69" customHeight="1">
      <c r="A5469" s="168"/>
      <c r="B5469" s="191">
        <v>2606</v>
      </c>
      <c r="C5469" s="191" t="s">
        <v>4277</v>
      </c>
      <c r="D5469" s="533" t="s">
        <v>13503</v>
      </c>
      <c r="E5469" s="191" t="s">
        <v>877</v>
      </c>
      <c r="F5469" s="211" t="s">
        <v>13504</v>
      </c>
      <c r="G5469" s="46" t="s">
        <v>13495</v>
      </c>
      <c r="H5469" s="534">
        <v>14962.45</v>
      </c>
      <c r="I5469" s="56">
        <v>45163</v>
      </c>
      <c r="J5469" s="412" t="s">
        <v>13496</v>
      </c>
      <c r="K5469" s="46" t="s">
        <v>1170</v>
      </c>
      <c r="L5469" s="99"/>
      <c r="M5469" s="379"/>
      <c r="N5469" s="76"/>
      <c r="O5469" s="46" t="s">
        <v>1171</v>
      </c>
      <c r="P5469" s="46" t="s">
        <v>71</v>
      </c>
      <c r="Q5469" s="46" t="s">
        <v>58</v>
      </c>
      <c r="R5469" s="46" t="s">
        <v>272</v>
      </c>
    </row>
    <row r="5470" spans="1:18" ht="69" customHeight="1">
      <c r="A5470" s="168"/>
      <c r="B5470" s="191">
        <v>2607</v>
      </c>
      <c r="C5470" s="191" t="s">
        <v>7521</v>
      </c>
      <c r="D5470" s="533" t="s">
        <v>13505</v>
      </c>
      <c r="E5470" s="191" t="s">
        <v>877</v>
      </c>
      <c r="F5470" s="211" t="s">
        <v>13506</v>
      </c>
      <c r="G5470" s="46" t="s">
        <v>13495</v>
      </c>
      <c r="H5470" s="534">
        <v>14962.44</v>
      </c>
      <c r="I5470" s="56">
        <v>45163</v>
      </c>
      <c r="J5470" s="412" t="s">
        <v>13496</v>
      </c>
      <c r="K5470" s="46" t="s">
        <v>1170</v>
      </c>
      <c r="L5470" s="99"/>
      <c r="M5470" s="379"/>
      <c r="N5470" s="76"/>
      <c r="O5470" s="46" t="s">
        <v>1171</v>
      </c>
      <c r="P5470" s="46" t="s">
        <v>71</v>
      </c>
      <c r="Q5470" s="46" t="s">
        <v>102</v>
      </c>
      <c r="R5470" s="46" t="s">
        <v>272</v>
      </c>
    </row>
    <row r="5471" spans="1:18" ht="69" customHeight="1">
      <c r="A5471" s="168"/>
      <c r="B5471" s="191">
        <v>2608</v>
      </c>
      <c r="C5471" s="191" t="s">
        <v>7452</v>
      </c>
      <c r="D5471" s="533" t="s">
        <v>6740</v>
      </c>
      <c r="E5471" s="191" t="s">
        <v>877</v>
      </c>
      <c r="F5471" s="211" t="s">
        <v>13507</v>
      </c>
      <c r="G5471" s="46" t="s">
        <v>13495</v>
      </c>
      <c r="H5471" s="534">
        <v>14962.44</v>
      </c>
      <c r="I5471" s="56">
        <v>45163</v>
      </c>
      <c r="J5471" s="412" t="s">
        <v>13496</v>
      </c>
      <c r="K5471" s="46" t="s">
        <v>1170</v>
      </c>
      <c r="L5471" s="99"/>
      <c r="M5471" s="379"/>
      <c r="N5471" s="76"/>
      <c r="O5471" s="46" t="s">
        <v>1171</v>
      </c>
      <c r="P5471" s="46" t="s">
        <v>71</v>
      </c>
      <c r="Q5471" s="46" t="s">
        <v>101</v>
      </c>
      <c r="R5471" s="46" t="s">
        <v>272</v>
      </c>
    </row>
    <row r="5472" spans="1:18" ht="69" customHeight="1">
      <c r="A5472" s="168"/>
      <c r="B5472" s="191">
        <v>2609</v>
      </c>
      <c r="C5472" s="191" t="s">
        <v>9322</v>
      </c>
      <c r="D5472" s="533" t="s">
        <v>13508</v>
      </c>
      <c r="E5472" s="191" t="s">
        <v>877</v>
      </c>
      <c r="F5472" s="211" t="s">
        <v>13509</v>
      </c>
      <c r="G5472" s="46" t="s">
        <v>13495</v>
      </c>
      <c r="H5472" s="534">
        <v>22211.07</v>
      </c>
      <c r="I5472" s="56">
        <v>45163</v>
      </c>
      <c r="J5472" s="412" t="s">
        <v>13496</v>
      </c>
      <c r="K5472" s="46" t="s">
        <v>1170</v>
      </c>
      <c r="L5472" s="99"/>
      <c r="M5472" s="379"/>
      <c r="N5472" s="76"/>
      <c r="O5472" s="46" t="s">
        <v>1171</v>
      </c>
      <c r="P5472" s="46" t="s">
        <v>71</v>
      </c>
      <c r="Q5472" s="46" t="s">
        <v>114</v>
      </c>
      <c r="R5472" s="46" t="s">
        <v>272</v>
      </c>
    </row>
    <row r="5473" spans="1:18" ht="69" customHeight="1">
      <c r="A5473" s="168"/>
      <c r="B5473" s="52">
        <v>2610</v>
      </c>
      <c r="C5473" s="191" t="s">
        <v>9436</v>
      </c>
      <c r="D5473" s="533" t="s">
        <v>2699</v>
      </c>
      <c r="E5473" s="191" t="s">
        <v>877</v>
      </c>
      <c r="F5473" s="211" t="s">
        <v>13510</v>
      </c>
      <c r="G5473" s="46" t="s">
        <v>13495</v>
      </c>
      <c r="H5473" s="534">
        <v>22211.07</v>
      </c>
      <c r="I5473" s="56">
        <v>45163</v>
      </c>
      <c r="J5473" s="412" t="s">
        <v>13496</v>
      </c>
      <c r="K5473" s="46" t="s">
        <v>1170</v>
      </c>
      <c r="L5473" s="99"/>
      <c r="M5473" s="379"/>
      <c r="N5473" s="76"/>
      <c r="O5473" s="46" t="s">
        <v>1171</v>
      </c>
      <c r="P5473" s="46" t="s">
        <v>71</v>
      </c>
      <c r="Q5473" s="46" t="s">
        <v>116</v>
      </c>
      <c r="R5473" s="46" t="s">
        <v>272</v>
      </c>
    </row>
    <row r="5474" spans="1:18" ht="69" customHeight="1">
      <c r="A5474" s="168"/>
      <c r="B5474" s="52">
        <v>2611</v>
      </c>
      <c r="C5474" s="191" t="s">
        <v>9596</v>
      </c>
      <c r="D5474" s="533" t="s">
        <v>9246</v>
      </c>
      <c r="E5474" s="191" t="s">
        <v>877</v>
      </c>
      <c r="F5474" s="211" t="s">
        <v>13511</v>
      </c>
      <c r="G5474" s="46" t="s">
        <v>13495</v>
      </c>
      <c r="H5474" s="534">
        <v>22211.07</v>
      </c>
      <c r="I5474" s="56">
        <v>45163</v>
      </c>
      <c r="J5474" s="412" t="s">
        <v>13496</v>
      </c>
      <c r="K5474" s="46" t="s">
        <v>1170</v>
      </c>
      <c r="L5474" s="99"/>
      <c r="M5474" s="379"/>
      <c r="N5474" s="76"/>
      <c r="O5474" s="46" t="s">
        <v>1171</v>
      </c>
      <c r="P5474" s="46" t="s">
        <v>71</v>
      </c>
      <c r="Q5474" s="46" t="s">
        <v>118</v>
      </c>
      <c r="R5474" s="46" t="s">
        <v>272</v>
      </c>
    </row>
    <row r="5475" spans="1:18" ht="69" customHeight="1">
      <c r="A5475" s="168"/>
      <c r="B5475" s="207">
        <v>2612</v>
      </c>
      <c r="C5475" s="207" t="s">
        <v>309</v>
      </c>
      <c r="D5475" s="301" t="s">
        <v>5152</v>
      </c>
      <c r="E5475" s="207" t="s">
        <v>266</v>
      </c>
      <c r="F5475" s="208" t="s">
        <v>13512</v>
      </c>
      <c r="G5475" s="160" t="s">
        <v>13513</v>
      </c>
      <c r="H5475" s="300">
        <v>1400</v>
      </c>
      <c r="I5475" s="209">
        <v>45174</v>
      </c>
      <c r="J5475" s="322" t="s">
        <v>13514</v>
      </c>
      <c r="K5475" s="160" t="s">
        <v>10804</v>
      </c>
      <c r="M5475" s="379"/>
      <c r="N5475" s="76"/>
      <c r="O5475" s="160" t="s">
        <v>13515</v>
      </c>
      <c r="P5475" s="160" t="s">
        <v>67</v>
      </c>
      <c r="Q5475" s="160" t="s">
        <v>96</v>
      </c>
      <c r="R5475" s="160" t="s">
        <v>272</v>
      </c>
    </row>
    <row r="5476" spans="1:18" s="98" customFormat="1" ht="69" customHeight="1">
      <c r="A5476" s="169"/>
      <c r="B5476" s="48">
        <v>2613</v>
      </c>
      <c r="C5476" s="59" t="s">
        <v>458</v>
      </c>
      <c r="D5476" s="84" t="s">
        <v>6598</v>
      </c>
      <c r="E5476" s="59" t="s">
        <v>741</v>
      </c>
      <c r="F5476" s="569" t="s">
        <v>13516</v>
      </c>
      <c r="G5476" s="45" t="s">
        <v>9846</v>
      </c>
      <c r="H5476" s="546">
        <v>68666.91</v>
      </c>
      <c r="I5476" s="47">
        <v>45163</v>
      </c>
      <c r="J5476" s="410" t="s">
        <v>13517</v>
      </c>
      <c r="K5476" s="58" t="s">
        <v>13518</v>
      </c>
      <c r="L5476" s="99"/>
      <c r="M5476" s="70"/>
      <c r="N5476" s="97"/>
      <c r="O5476" s="58" t="s">
        <v>8228</v>
      </c>
      <c r="P5476" s="58" t="s">
        <v>59</v>
      </c>
      <c r="Q5476" s="58" t="s">
        <v>119</v>
      </c>
      <c r="R5476" s="58" t="s">
        <v>272</v>
      </c>
    </row>
    <row r="5477" spans="1:18" s="98" customFormat="1" ht="69" customHeight="1">
      <c r="A5477" s="169"/>
      <c r="B5477" s="48">
        <v>2614</v>
      </c>
      <c r="C5477" s="59" t="s">
        <v>458</v>
      </c>
      <c r="D5477" s="84" t="s">
        <v>4525</v>
      </c>
      <c r="E5477" s="59" t="s">
        <v>741</v>
      </c>
      <c r="F5477" s="569" t="s">
        <v>13519</v>
      </c>
      <c r="G5477" s="45" t="s">
        <v>9846</v>
      </c>
      <c r="H5477" s="546">
        <v>274667.62</v>
      </c>
      <c r="I5477" s="47">
        <v>45163</v>
      </c>
      <c r="J5477" s="410" t="s">
        <v>13517</v>
      </c>
      <c r="K5477" s="58" t="s">
        <v>13518</v>
      </c>
      <c r="L5477" s="99"/>
      <c r="M5477" s="70"/>
      <c r="N5477" s="97"/>
      <c r="O5477" s="58" t="s">
        <v>8228</v>
      </c>
      <c r="P5477" s="58" t="s">
        <v>59</v>
      </c>
      <c r="Q5477" s="58" t="s">
        <v>119</v>
      </c>
      <c r="R5477" s="58" t="s">
        <v>272</v>
      </c>
    </row>
    <row r="5478" spans="1:18" ht="69" customHeight="1">
      <c r="A5478" s="168"/>
      <c r="B5478" s="48">
        <v>2615</v>
      </c>
      <c r="C5478" s="59" t="s">
        <v>11050</v>
      </c>
      <c r="D5478" s="84" t="s">
        <v>5156</v>
      </c>
      <c r="E5478" s="59" t="s">
        <v>4173</v>
      </c>
      <c r="F5478" s="569" t="s">
        <v>13520</v>
      </c>
      <c r="G5478" s="45" t="s">
        <v>13521</v>
      </c>
      <c r="H5478" s="546">
        <v>25000</v>
      </c>
      <c r="I5478" s="47">
        <v>45163</v>
      </c>
      <c r="J5478" s="410" t="s">
        <v>13522</v>
      </c>
      <c r="K5478" s="45"/>
      <c r="L5478" s="99"/>
      <c r="M5478" s="70"/>
      <c r="N5478" s="97"/>
      <c r="O5478" s="58" t="s">
        <v>441</v>
      </c>
      <c r="P5478" s="58" t="s">
        <v>22</v>
      </c>
      <c r="Q5478" s="58" t="s">
        <v>35</v>
      </c>
      <c r="R5478" s="58" t="s">
        <v>265</v>
      </c>
    </row>
    <row r="5479" spans="1:18" s="98" customFormat="1" ht="69" customHeight="1">
      <c r="A5479" s="169"/>
      <c r="B5479" s="48">
        <v>2616</v>
      </c>
      <c r="C5479" s="59" t="s">
        <v>11050</v>
      </c>
      <c r="D5479" s="84" t="s">
        <v>5181</v>
      </c>
      <c r="E5479" s="45" t="s">
        <v>4173</v>
      </c>
      <c r="F5479" s="45" t="s">
        <v>13523</v>
      </c>
      <c r="G5479" s="45" t="s">
        <v>13524</v>
      </c>
      <c r="H5479" s="546">
        <v>41000</v>
      </c>
      <c r="I5479" s="47">
        <v>45163</v>
      </c>
      <c r="J5479" s="73" t="s">
        <v>13522</v>
      </c>
      <c r="K5479" s="45"/>
      <c r="L5479" s="99"/>
      <c r="M5479" s="385"/>
      <c r="N5479" s="75"/>
      <c r="O5479" s="45" t="s">
        <v>441</v>
      </c>
      <c r="P5479" s="45" t="s">
        <v>22</v>
      </c>
      <c r="Q5479" s="45" t="s">
        <v>35</v>
      </c>
      <c r="R5479" s="45" t="s">
        <v>265</v>
      </c>
    </row>
    <row r="5480" spans="1:18" ht="69" customHeight="1">
      <c r="A5480" s="168"/>
      <c r="B5480" s="261">
        <v>2617</v>
      </c>
      <c r="C5480" s="256" t="s">
        <v>1853</v>
      </c>
      <c r="D5480" s="255" t="s">
        <v>5484</v>
      </c>
      <c r="E5480" s="256" t="s">
        <v>4173</v>
      </c>
      <c r="F5480" s="263" t="s">
        <v>13525</v>
      </c>
      <c r="G5480" s="118" t="s">
        <v>13526</v>
      </c>
      <c r="H5480" s="300">
        <v>25000</v>
      </c>
      <c r="I5480" s="262">
        <v>45163</v>
      </c>
      <c r="J5480" s="409" t="s">
        <v>13522</v>
      </c>
      <c r="K5480" s="118" t="s">
        <v>13527</v>
      </c>
      <c r="L5480" s="99"/>
      <c r="M5480" s="387"/>
      <c r="N5480" s="107"/>
      <c r="O5480" s="118" t="s">
        <v>441</v>
      </c>
      <c r="P5480" s="118" t="s">
        <v>67</v>
      </c>
      <c r="Q5480" s="118" t="s">
        <v>29</v>
      </c>
      <c r="R5480" s="118" t="s">
        <v>265</v>
      </c>
    </row>
    <row r="5481" spans="1:18" ht="69" customHeight="1">
      <c r="A5481" s="168"/>
      <c r="B5481" s="261">
        <v>2618</v>
      </c>
      <c r="C5481" s="256" t="s">
        <v>11052</v>
      </c>
      <c r="D5481" s="255" t="s">
        <v>5158</v>
      </c>
      <c r="E5481" s="256" t="s">
        <v>4173</v>
      </c>
      <c r="F5481" s="263" t="s">
        <v>13528</v>
      </c>
      <c r="G5481" s="118" t="s">
        <v>13526</v>
      </c>
      <c r="H5481" s="300">
        <v>25000</v>
      </c>
      <c r="I5481" s="262">
        <v>45163</v>
      </c>
      <c r="J5481" s="409" t="s">
        <v>13522</v>
      </c>
      <c r="K5481" s="118" t="s">
        <v>13527</v>
      </c>
      <c r="L5481" s="99"/>
      <c r="M5481" s="387"/>
      <c r="N5481" s="107"/>
      <c r="O5481" s="118" t="s">
        <v>441</v>
      </c>
      <c r="P5481" s="118" t="s">
        <v>67</v>
      </c>
      <c r="Q5481" s="118" t="s">
        <v>37</v>
      </c>
      <c r="R5481" s="118" t="s">
        <v>265</v>
      </c>
    </row>
    <row r="5482" spans="1:18" ht="69" customHeight="1">
      <c r="A5482" s="168"/>
      <c r="B5482" s="48">
        <v>2619</v>
      </c>
      <c r="C5482" s="59" t="s">
        <v>2182</v>
      </c>
      <c r="D5482" s="84" t="s">
        <v>13063</v>
      </c>
      <c r="E5482" s="59" t="s">
        <v>4173</v>
      </c>
      <c r="F5482" s="569" t="s">
        <v>13529</v>
      </c>
      <c r="G5482" s="45" t="s">
        <v>13530</v>
      </c>
      <c r="H5482" s="546">
        <v>68836</v>
      </c>
      <c r="I5482" s="47">
        <v>45163</v>
      </c>
      <c r="J5482" s="410" t="s">
        <v>13522</v>
      </c>
      <c r="K5482" s="45"/>
      <c r="L5482" s="99"/>
      <c r="M5482" s="70"/>
      <c r="N5482" s="97"/>
      <c r="O5482" s="58" t="s">
        <v>441</v>
      </c>
      <c r="P5482" s="58" t="s">
        <v>22</v>
      </c>
      <c r="Q5482" s="58" t="s">
        <v>31</v>
      </c>
      <c r="R5482" s="58" t="s">
        <v>265</v>
      </c>
    </row>
    <row r="5483" spans="1:18" ht="69" customHeight="1">
      <c r="A5483" s="168"/>
      <c r="B5483" s="48">
        <v>2620</v>
      </c>
      <c r="C5483" s="59" t="s">
        <v>4277</v>
      </c>
      <c r="D5483" s="84" t="s">
        <v>13531</v>
      </c>
      <c r="E5483" s="59" t="s">
        <v>10954</v>
      </c>
      <c r="F5483" s="569" t="s">
        <v>13532</v>
      </c>
      <c r="G5483" s="45" t="s">
        <v>13441</v>
      </c>
      <c r="H5483" s="546">
        <v>103415.23</v>
      </c>
      <c r="I5483" s="47">
        <v>45174</v>
      </c>
      <c r="J5483" s="410" t="s">
        <v>13533</v>
      </c>
      <c r="K5483" s="45"/>
      <c r="L5483" s="99"/>
      <c r="M5483" s="70"/>
      <c r="N5483" s="97"/>
      <c r="O5483" s="58" t="s">
        <v>141</v>
      </c>
      <c r="P5483" s="58" t="s">
        <v>19</v>
      </c>
      <c r="Q5483" s="58" t="s">
        <v>56</v>
      </c>
      <c r="R5483" s="58" t="s">
        <v>272</v>
      </c>
    </row>
    <row r="5484" spans="1:18" ht="69" customHeight="1">
      <c r="A5484" s="168"/>
      <c r="B5484" s="48">
        <v>2621</v>
      </c>
      <c r="C5484" s="59" t="s">
        <v>4277</v>
      </c>
      <c r="D5484" s="84" t="s">
        <v>13534</v>
      </c>
      <c r="E5484" s="59" t="s">
        <v>10954</v>
      </c>
      <c r="F5484" s="569" t="s">
        <v>13535</v>
      </c>
      <c r="G5484" s="45" t="s">
        <v>13441</v>
      </c>
      <c r="H5484" s="546">
        <v>21354.84</v>
      </c>
      <c r="I5484" s="47">
        <v>45174</v>
      </c>
      <c r="J5484" s="410" t="s">
        <v>13533</v>
      </c>
      <c r="K5484" s="45"/>
      <c r="L5484" s="99"/>
      <c r="M5484" s="70"/>
      <c r="N5484" s="97"/>
      <c r="O5484" s="58" t="s">
        <v>141</v>
      </c>
      <c r="P5484" s="58" t="s">
        <v>19</v>
      </c>
      <c r="Q5484" s="58" t="s">
        <v>58</v>
      </c>
      <c r="R5484" s="58" t="s">
        <v>272</v>
      </c>
    </row>
    <row r="5485" spans="1:18" ht="69" customHeight="1">
      <c r="A5485" s="168"/>
      <c r="B5485" s="191">
        <v>2622</v>
      </c>
      <c r="C5485" s="191" t="s">
        <v>11058</v>
      </c>
      <c r="D5485" s="533" t="s">
        <v>5486</v>
      </c>
      <c r="E5485" s="191" t="s">
        <v>266</v>
      </c>
      <c r="F5485" s="211" t="s">
        <v>13536</v>
      </c>
      <c r="G5485" s="46" t="s">
        <v>13537</v>
      </c>
      <c r="H5485" s="534">
        <v>20688.2</v>
      </c>
      <c r="I5485" s="56">
        <v>45163</v>
      </c>
      <c r="J5485" s="412" t="s">
        <v>13538</v>
      </c>
      <c r="K5485" s="46" t="s">
        <v>1170</v>
      </c>
      <c r="L5485" s="99"/>
      <c r="M5485" s="379"/>
      <c r="N5485" s="76"/>
      <c r="O5485" s="46" t="s">
        <v>1171</v>
      </c>
      <c r="P5485" s="46" t="s">
        <v>71</v>
      </c>
      <c r="Q5485" s="46" t="s">
        <v>23</v>
      </c>
      <c r="R5485" s="46" t="s">
        <v>272</v>
      </c>
    </row>
    <row r="5486" spans="1:18" ht="69" customHeight="1">
      <c r="A5486" s="168"/>
      <c r="B5486" s="191">
        <v>2623</v>
      </c>
      <c r="C5486" s="191" t="s">
        <v>309</v>
      </c>
      <c r="D5486" s="533" t="s">
        <v>13068</v>
      </c>
      <c r="E5486" s="191" t="s">
        <v>266</v>
      </c>
      <c r="F5486" s="211" t="s">
        <v>13539</v>
      </c>
      <c r="G5486" s="46" t="s">
        <v>13540</v>
      </c>
      <c r="H5486" s="534">
        <v>11239.02</v>
      </c>
      <c r="I5486" s="56">
        <v>45163</v>
      </c>
      <c r="J5486" s="412" t="s">
        <v>13538</v>
      </c>
      <c r="K5486" s="46" t="s">
        <v>1170</v>
      </c>
      <c r="L5486" s="99"/>
      <c r="M5486" s="379"/>
      <c r="N5486" s="76"/>
      <c r="O5486" s="46" t="s">
        <v>1171</v>
      </c>
      <c r="P5486" s="46" t="s">
        <v>71</v>
      </c>
      <c r="Q5486" s="46" t="s">
        <v>31</v>
      </c>
      <c r="R5486" s="46" t="s">
        <v>272</v>
      </c>
    </row>
    <row r="5487" spans="1:18" ht="69" customHeight="1">
      <c r="A5487" s="168"/>
      <c r="B5487" s="191">
        <v>2624</v>
      </c>
      <c r="C5487" s="191" t="s">
        <v>10856</v>
      </c>
      <c r="D5487" s="533" t="s">
        <v>6208</v>
      </c>
      <c r="E5487" s="191" t="s">
        <v>266</v>
      </c>
      <c r="F5487" s="211" t="s">
        <v>13541</v>
      </c>
      <c r="G5487" s="46" t="s">
        <v>13537</v>
      </c>
      <c r="H5487" s="534">
        <v>20688.2</v>
      </c>
      <c r="I5487" s="56">
        <v>45163</v>
      </c>
      <c r="J5487" s="412" t="s">
        <v>13538</v>
      </c>
      <c r="K5487" s="46" t="s">
        <v>1170</v>
      </c>
      <c r="L5487" s="99"/>
      <c r="M5487" s="379"/>
      <c r="N5487" s="76"/>
      <c r="O5487" s="46" t="s">
        <v>1171</v>
      </c>
      <c r="P5487" s="46" t="s">
        <v>71</v>
      </c>
      <c r="Q5487" s="46" t="s">
        <v>39</v>
      </c>
      <c r="R5487" s="46" t="s">
        <v>272</v>
      </c>
    </row>
    <row r="5488" spans="1:18" ht="69" customHeight="1">
      <c r="A5488" s="168"/>
      <c r="B5488" s="191">
        <v>2625</v>
      </c>
      <c r="C5488" s="191" t="s">
        <v>11042</v>
      </c>
      <c r="D5488" s="533" t="s">
        <v>13071</v>
      </c>
      <c r="E5488" s="191" t="s">
        <v>266</v>
      </c>
      <c r="F5488" s="211" t="s">
        <v>13542</v>
      </c>
      <c r="G5488" s="46" t="s">
        <v>13537</v>
      </c>
      <c r="H5488" s="534">
        <v>20688.2</v>
      </c>
      <c r="I5488" s="56">
        <v>45163</v>
      </c>
      <c r="J5488" s="412" t="s">
        <v>13538</v>
      </c>
      <c r="K5488" s="46" t="s">
        <v>1170</v>
      </c>
      <c r="L5488" s="99"/>
      <c r="M5488" s="379"/>
      <c r="N5488" s="76"/>
      <c r="O5488" s="46" t="s">
        <v>1171</v>
      </c>
      <c r="P5488" s="46" t="s">
        <v>71</v>
      </c>
      <c r="Q5488" s="46" t="s">
        <v>41</v>
      </c>
      <c r="R5488" s="46" t="s">
        <v>272</v>
      </c>
    </row>
    <row r="5489" spans="1:18" ht="69" customHeight="1">
      <c r="A5489" s="168"/>
      <c r="B5489" s="191">
        <v>2626</v>
      </c>
      <c r="C5489" s="191" t="s">
        <v>309</v>
      </c>
      <c r="D5489" s="533" t="s">
        <v>13073</v>
      </c>
      <c r="E5489" s="191" t="s">
        <v>266</v>
      </c>
      <c r="F5489" s="211" t="s">
        <v>13543</v>
      </c>
      <c r="G5489" s="46" t="s">
        <v>13540</v>
      </c>
      <c r="H5489" s="534">
        <v>12239.02</v>
      </c>
      <c r="I5489" s="56">
        <v>45163</v>
      </c>
      <c r="J5489" s="412" t="s">
        <v>13538</v>
      </c>
      <c r="K5489" s="46" t="s">
        <v>1170</v>
      </c>
      <c r="L5489" s="99"/>
      <c r="M5489" s="379"/>
      <c r="N5489" s="76"/>
      <c r="O5489" s="46" t="s">
        <v>1171</v>
      </c>
      <c r="P5489" s="46" t="s">
        <v>71</v>
      </c>
      <c r="Q5489" s="46" t="s">
        <v>45</v>
      </c>
      <c r="R5489" s="46" t="s">
        <v>272</v>
      </c>
    </row>
    <row r="5490" spans="1:18" ht="69" customHeight="1">
      <c r="A5490" s="168"/>
      <c r="B5490" s="191">
        <v>2627</v>
      </c>
      <c r="C5490" s="191" t="s">
        <v>309</v>
      </c>
      <c r="D5490" s="533" t="s">
        <v>13076</v>
      </c>
      <c r="E5490" s="191" t="s">
        <v>266</v>
      </c>
      <c r="F5490" s="211" t="s">
        <v>13544</v>
      </c>
      <c r="G5490" s="46" t="s">
        <v>13545</v>
      </c>
      <c r="H5490" s="534">
        <v>8964.8799999999992</v>
      </c>
      <c r="I5490" s="56">
        <v>45163</v>
      </c>
      <c r="J5490" s="412" t="s">
        <v>13538</v>
      </c>
      <c r="K5490" s="46" t="s">
        <v>1170</v>
      </c>
      <c r="L5490" s="99"/>
      <c r="M5490" s="379"/>
      <c r="N5490" s="76"/>
      <c r="O5490" s="46" t="s">
        <v>1171</v>
      </c>
      <c r="P5490" s="46" t="s">
        <v>71</v>
      </c>
      <c r="Q5490" s="46" t="s">
        <v>45</v>
      </c>
      <c r="R5490" s="46" t="s">
        <v>272</v>
      </c>
    </row>
    <row r="5491" spans="1:18" ht="69" customHeight="1">
      <c r="A5491" s="168"/>
      <c r="B5491" s="48">
        <v>2628</v>
      </c>
      <c r="C5491" s="59" t="s">
        <v>657</v>
      </c>
      <c r="D5491" s="84" t="s">
        <v>9941</v>
      </c>
      <c r="E5491" s="59" t="s">
        <v>13546</v>
      </c>
      <c r="F5491" s="569" t="s">
        <v>13547</v>
      </c>
      <c r="G5491" s="45" t="s">
        <v>13548</v>
      </c>
      <c r="H5491" s="546">
        <v>143589.32999999999</v>
      </c>
      <c r="I5491" s="47">
        <v>45166</v>
      </c>
      <c r="J5491" s="410" t="s">
        <v>13549</v>
      </c>
      <c r="K5491" s="45"/>
      <c r="L5491" s="99"/>
      <c r="M5491" s="70"/>
      <c r="N5491" s="97"/>
      <c r="O5491" s="58" t="s">
        <v>10607</v>
      </c>
      <c r="P5491" s="58" t="s">
        <v>22</v>
      </c>
      <c r="Q5491" s="58" t="s">
        <v>111</v>
      </c>
      <c r="R5491" s="58" t="s">
        <v>265</v>
      </c>
    </row>
    <row r="5492" spans="1:18" ht="69" customHeight="1">
      <c r="A5492" s="168"/>
      <c r="B5492" s="207">
        <v>2629</v>
      </c>
      <c r="C5492" s="207" t="s">
        <v>309</v>
      </c>
      <c r="D5492" s="301" t="s">
        <v>4354</v>
      </c>
      <c r="E5492" s="207" t="s">
        <v>13550</v>
      </c>
      <c r="F5492" s="208" t="s">
        <v>13551</v>
      </c>
      <c r="G5492" s="160" t="s">
        <v>13552</v>
      </c>
      <c r="H5492" s="300">
        <v>11783.2</v>
      </c>
      <c r="I5492" s="209">
        <v>45163</v>
      </c>
      <c r="J5492" s="322" t="s">
        <v>13553</v>
      </c>
      <c r="K5492" s="160" t="s">
        <v>4128</v>
      </c>
      <c r="M5492" s="379"/>
      <c r="N5492" s="76"/>
      <c r="O5492" s="160" t="s">
        <v>12529</v>
      </c>
      <c r="P5492" s="160" t="s">
        <v>67</v>
      </c>
      <c r="Q5492" s="160" t="s">
        <v>96</v>
      </c>
      <c r="R5492" s="160" t="s">
        <v>272</v>
      </c>
    </row>
    <row r="5493" spans="1:18" ht="69" customHeight="1">
      <c r="A5493" s="168"/>
      <c r="B5493" s="207">
        <v>2630</v>
      </c>
      <c r="C5493" s="207" t="s">
        <v>458</v>
      </c>
      <c r="D5493" s="301" t="s">
        <v>5515</v>
      </c>
      <c r="E5493" s="207" t="s">
        <v>13550</v>
      </c>
      <c r="F5493" s="208" t="s">
        <v>13554</v>
      </c>
      <c r="G5493" s="160" t="s">
        <v>13552</v>
      </c>
      <c r="H5493" s="300">
        <v>1223.25</v>
      </c>
      <c r="I5493" s="209">
        <v>45163</v>
      </c>
      <c r="J5493" s="322" t="s">
        <v>13555</v>
      </c>
      <c r="K5493" s="160" t="s">
        <v>4128</v>
      </c>
      <c r="M5493" s="379"/>
      <c r="N5493" s="76"/>
      <c r="O5493" s="160" t="s">
        <v>13556</v>
      </c>
      <c r="P5493" s="160" t="s">
        <v>67</v>
      </c>
      <c r="Q5493" s="160" t="s">
        <v>96</v>
      </c>
      <c r="R5493" s="160" t="s">
        <v>272</v>
      </c>
    </row>
    <row r="5494" spans="1:18" ht="69" customHeight="1">
      <c r="A5494" s="168"/>
      <c r="B5494" s="191">
        <v>2631</v>
      </c>
      <c r="C5494" s="191" t="s">
        <v>309</v>
      </c>
      <c r="D5494" s="533" t="s">
        <v>4080</v>
      </c>
      <c r="E5494" s="191" t="s">
        <v>585</v>
      </c>
      <c r="F5494" s="211" t="s">
        <v>13557</v>
      </c>
      <c r="G5494" s="46" t="s">
        <v>13558</v>
      </c>
      <c r="H5494" s="534">
        <v>2900</v>
      </c>
      <c r="I5494" s="56">
        <v>45174</v>
      </c>
      <c r="J5494" s="412" t="s">
        <v>13559</v>
      </c>
      <c r="K5494" s="46" t="s">
        <v>1170</v>
      </c>
      <c r="L5494" s="99"/>
      <c r="M5494" s="379"/>
      <c r="N5494" s="76"/>
      <c r="O5494" s="46" t="s">
        <v>1253</v>
      </c>
      <c r="P5494" s="46" t="s">
        <v>65</v>
      </c>
      <c r="Q5494" s="46" t="s">
        <v>23</v>
      </c>
      <c r="R5494" s="46" t="s">
        <v>272</v>
      </c>
    </row>
    <row r="5495" spans="1:18" ht="69" customHeight="1">
      <c r="A5495" s="168"/>
      <c r="B5495" s="191">
        <v>2632</v>
      </c>
      <c r="C5495" s="191" t="s">
        <v>309</v>
      </c>
      <c r="D5495" s="533" t="s">
        <v>4084</v>
      </c>
      <c r="E5495" s="191" t="s">
        <v>585</v>
      </c>
      <c r="F5495" s="211" t="s">
        <v>13560</v>
      </c>
      <c r="G5495" s="46" t="s">
        <v>13558</v>
      </c>
      <c r="H5495" s="534">
        <v>2600</v>
      </c>
      <c r="I5495" s="56">
        <v>45174</v>
      </c>
      <c r="J5495" s="412" t="s">
        <v>13559</v>
      </c>
      <c r="K5495" s="46" t="s">
        <v>1170</v>
      </c>
      <c r="L5495" s="99"/>
      <c r="M5495" s="379"/>
      <c r="N5495" s="76"/>
      <c r="O5495" s="46" t="s">
        <v>1253</v>
      </c>
      <c r="P5495" s="46" t="s">
        <v>65</v>
      </c>
      <c r="Q5495" s="46" t="s">
        <v>39</v>
      </c>
      <c r="R5495" s="46" t="s">
        <v>272</v>
      </c>
    </row>
    <row r="5496" spans="1:18" ht="69" customHeight="1">
      <c r="A5496" s="168"/>
      <c r="B5496" s="191">
        <v>2633</v>
      </c>
      <c r="C5496" s="191" t="s">
        <v>309</v>
      </c>
      <c r="D5496" s="533" t="s">
        <v>13087</v>
      </c>
      <c r="E5496" s="191" t="s">
        <v>585</v>
      </c>
      <c r="F5496" s="211" t="s">
        <v>13561</v>
      </c>
      <c r="G5496" s="46" t="s">
        <v>13558</v>
      </c>
      <c r="H5496" s="534">
        <v>1100</v>
      </c>
      <c r="I5496" s="56">
        <v>45174</v>
      </c>
      <c r="J5496" s="412" t="s">
        <v>13559</v>
      </c>
      <c r="K5496" s="46" t="s">
        <v>1170</v>
      </c>
      <c r="L5496" s="99"/>
      <c r="M5496" s="379"/>
      <c r="N5496" s="76"/>
      <c r="O5496" s="46" t="s">
        <v>1253</v>
      </c>
      <c r="P5496" s="46" t="s">
        <v>65</v>
      </c>
      <c r="Q5496" s="46" t="s">
        <v>41</v>
      </c>
      <c r="R5496" s="46" t="s">
        <v>272</v>
      </c>
    </row>
    <row r="5497" spans="1:18" ht="69" customHeight="1">
      <c r="A5497" s="168"/>
      <c r="B5497" s="48">
        <v>2634</v>
      </c>
      <c r="C5497" s="59" t="s">
        <v>13562</v>
      </c>
      <c r="D5497" s="84" t="s">
        <v>13563</v>
      </c>
      <c r="E5497" s="59" t="s">
        <v>266</v>
      </c>
      <c r="F5497" s="569" t="s">
        <v>13564</v>
      </c>
      <c r="G5497" s="45" t="s">
        <v>13565</v>
      </c>
      <c r="H5497" s="546">
        <v>6206.9</v>
      </c>
      <c r="I5497" s="47">
        <v>45174</v>
      </c>
      <c r="J5497" s="410" t="s">
        <v>13566</v>
      </c>
      <c r="K5497" s="45"/>
      <c r="L5497" s="99"/>
      <c r="M5497" s="70"/>
      <c r="N5497" s="97"/>
      <c r="O5497" s="58" t="s">
        <v>684</v>
      </c>
      <c r="P5497" s="58" t="s">
        <v>46</v>
      </c>
      <c r="Q5497" s="58" t="s">
        <v>88</v>
      </c>
      <c r="R5497" s="58" t="s">
        <v>272</v>
      </c>
    </row>
    <row r="5498" spans="1:18" ht="69" customHeight="1">
      <c r="A5498" s="168"/>
      <c r="B5498" s="48">
        <v>2635</v>
      </c>
      <c r="C5498" s="59" t="s">
        <v>7189</v>
      </c>
      <c r="D5498" s="84" t="s">
        <v>6349</v>
      </c>
      <c r="E5498" s="59" t="s">
        <v>266</v>
      </c>
      <c r="F5498" s="569" t="s">
        <v>13567</v>
      </c>
      <c r="G5498" s="45" t="s">
        <v>13565</v>
      </c>
      <c r="H5498" s="546">
        <v>6206.9</v>
      </c>
      <c r="I5498" s="47">
        <v>45174</v>
      </c>
      <c r="J5498" s="410" t="s">
        <v>13566</v>
      </c>
      <c r="K5498" s="45"/>
      <c r="L5498" s="99"/>
      <c r="M5498" s="70"/>
      <c r="N5498" s="97"/>
      <c r="O5498" s="58" t="s">
        <v>684</v>
      </c>
      <c r="P5498" s="58" t="s">
        <v>46</v>
      </c>
      <c r="Q5498" s="58" t="s">
        <v>97</v>
      </c>
      <c r="R5498" s="58" t="s">
        <v>272</v>
      </c>
    </row>
    <row r="5499" spans="1:18" ht="69" customHeight="1">
      <c r="A5499" s="168"/>
      <c r="B5499" s="48">
        <v>2636</v>
      </c>
      <c r="C5499" s="59" t="s">
        <v>6888</v>
      </c>
      <c r="D5499" s="84" t="s">
        <v>13568</v>
      </c>
      <c r="E5499" s="59" t="s">
        <v>266</v>
      </c>
      <c r="F5499" s="569" t="s">
        <v>13569</v>
      </c>
      <c r="G5499" s="45" t="s">
        <v>13565</v>
      </c>
      <c r="H5499" s="546">
        <v>6206.9</v>
      </c>
      <c r="I5499" s="47">
        <v>45174</v>
      </c>
      <c r="J5499" s="410" t="s">
        <v>13566</v>
      </c>
      <c r="K5499" s="45"/>
      <c r="L5499" s="99"/>
      <c r="M5499" s="70"/>
      <c r="N5499" s="97"/>
      <c r="O5499" s="58" t="s">
        <v>684</v>
      </c>
      <c r="P5499" s="58" t="s">
        <v>46</v>
      </c>
      <c r="Q5499" s="58" t="s">
        <v>84</v>
      </c>
      <c r="R5499" s="58" t="s">
        <v>272</v>
      </c>
    </row>
    <row r="5500" spans="1:18" ht="69" customHeight="1">
      <c r="A5500" s="168"/>
      <c r="B5500" s="48">
        <v>2637</v>
      </c>
      <c r="C5500" s="59" t="s">
        <v>11055</v>
      </c>
      <c r="D5500" s="84" t="s">
        <v>5489</v>
      </c>
      <c r="E5500" s="59" t="s">
        <v>266</v>
      </c>
      <c r="F5500" s="569" t="s">
        <v>13570</v>
      </c>
      <c r="G5500" s="45" t="s">
        <v>13565</v>
      </c>
      <c r="H5500" s="546">
        <v>6206.9</v>
      </c>
      <c r="I5500" s="47">
        <v>45174</v>
      </c>
      <c r="J5500" s="410" t="s">
        <v>13566</v>
      </c>
      <c r="K5500" s="45"/>
      <c r="L5500" s="99"/>
      <c r="M5500" s="70"/>
      <c r="N5500" s="97"/>
      <c r="O5500" s="58" t="s">
        <v>684</v>
      </c>
      <c r="P5500" s="58" t="s">
        <v>46</v>
      </c>
      <c r="Q5500" s="58" t="s">
        <v>45</v>
      </c>
      <c r="R5500" s="58" t="s">
        <v>272</v>
      </c>
    </row>
    <row r="5501" spans="1:18" ht="69" customHeight="1">
      <c r="A5501" s="168"/>
      <c r="B5501" s="48">
        <v>2638</v>
      </c>
      <c r="C5501" s="59" t="s">
        <v>11047</v>
      </c>
      <c r="D5501" s="84" t="s">
        <v>5164</v>
      </c>
      <c r="E5501" s="59" t="s">
        <v>266</v>
      </c>
      <c r="F5501" s="569" t="s">
        <v>13571</v>
      </c>
      <c r="G5501" s="45" t="s">
        <v>13565</v>
      </c>
      <c r="H5501" s="546">
        <v>6206.9</v>
      </c>
      <c r="I5501" s="47">
        <v>45174</v>
      </c>
      <c r="J5501" s="410" t="s">
        <v>13566</v>
      </c>
      <c r="K5501" s="45"/>
      <c r="L5501" s="99"/>
      <c r="M5501" s="70"/>
      <c r="N5501" s="97"/>
      <c r="O5501" s="58" t="s">
        <v>684</v>
      </c>
      <c r="P5501" s="58" t="s">
        <v>46</v>
      </c>
      <c r="Q5501" s="58" t="s">
        <v>33</v>
      </c>
      <c r="R5501" s="58" t="s">
        <v>272</v>
      </c>
    </row>
    <row r="5502" spans="1:18" ht="69" customHeight="1">
      <c r="A5502" s="168"/>
      <c r="B5502" s="48">
        <v>2639</v>
      </c>
      <c r="C5502" s="59" t="s">
        <v>9545</v>
      </c>
      <c r="D5502" s="84" t="s">
        <v>6421</v>
      </c>
      <c r="E5502" s="59" t="s">
        <v>266</v>
      </c>
      <c r="F5502" s="569" t="s">
        <v>13572</v>
      </c>
      <c r="G5502" s="45" t="s">
        <v>13565</v>
      </c>
      <c r="H5502" s="546">
        <v>6206.9</v>
      </c>
      <c r="I5502" s="47">
        <v>45174</v>
      </c>
      <c r="J5502" s="410" t="s">
        <v>13566</v>
      </c>
      <c r="K5502" s="45"/>
      <c r="L5502" s="99"/>
      <c r="M5502" s="70"/>
      <c r="N5502" s="97"/>
      <c r="O5502" s="58" t="s">
        <v>684</v>
      </c>
      <c r="P5502" s="58" t="s">
        <v>46</v>
      </c>
      <c r="Q5502" s="58" t="s">
        <v>117</v>
      </c>
      <c r="R5502" s="58" t="s">
        <v>272</v>
      </c>
    </row>
    <row r="5503" spans="1:18" ht="69" customHeight="1">
      <c r="A5503" s="168"/>
      <c r="B5503" s="48">
        <v>2640</v>
      </c>
      <c r="C5503" s="59" t="s">
        <v>9004</v>
      </c>
      <c r="D5503" s="84" t="s">
        <v>13573</v>
      </c>
      <c r="E5503" s="59" t="s">
        <v>266</v>
      </c>
      <c r="F5503" s="569" t="s">
        <v>13574</v>
      </c>
      <c r="G5503" s="45" t="s">
        <v>13565</v>
      </c>
      <c r="H5503" s="546">
        <v>6206.9</v>
      </c>
      <c r="I5503" s="47">
        <v>45174</v>
      </c>
      <c r="J5503" s="410" t="s">
        <v>13566</v>
      </c>
      <c r="K5503" s="45"/>
      <c r="L5503" s="99"/>
      <c r="M5503" s="70"/>
      <c r="N5503" s="97"/>
      <c r="O5503" s="58" t="s">
        <v>684</v>
      </c>
      <c r="P5503" s="58" t="s">
        <v>46</v>
      </c>
      <c r="Q5503" s="58" t="s">
        <v>111</v>
      </c>
      <c r="R5503" s="58" t="s">
        <v>272</v>
      </c>
    </row>
    <row r="5504" spans="1:18" ht="69" customHeight="1">
      <c r="A5504" s="168"/>
      <c r="B5504" s="48">
        <v>2641</v>
      </c>
      <c r="C5504" s="59" t="s">
        <v>5558</v>
      </c>
      <c r="D5504" s="84" t="s">
        <v>13575</v>
      </c>
      <c r="E5504" s="59" t="s">
        <v>266</v>
      </c>
      <c r="F5504" s="569" t="s">
        <v>13576</v>
      </c>
      <c r="G5504" s="45" t="s">
        <v>13565</v>
      </c>
      <c r="H5504" s="546">
        <v>6206.9</v>
      </c>
      <c r="I5504" s="47">
        <v>45174</v>
      </c>
      <c r="J5504" s="410" t="s">
        <v>13566</v>
      </c>
      <c r="K5504" s="45"/>
      <c r="L5504" s="99"/>
      <c r="M5504" s="70"/>
      <c r="N5504" s="97"/>
      <c r="O5504" s="58" t="s">
        <v>684</v>
      </c>
      <c r="P5504" s="58" t="s">
        <v>46</v>
      </c>
      <c r="Q5504" s="58" t="s">
        <v>64</v>
      </c>
      <c r="R5504" s="58" t="s">
        <v>272</v>
      </c>
    </row>
    <row r="5505" spans="1:18" ht="69" customHeight="1">
      <c r="A5505" s="168"/>
      <c r="B5505" s="48">
        <v>2642</v>
      </c>
      <c r="C5505" s="59" t="s">
        <v>11618</v>
      </c>
      <c r="D5505" s="84" t="s">
        <v>6425</v>
      </c>
      <c r="E5505" s="59" t="s">
        <v>266</v>
      </c>
      <c r="F5505" s="569" t="s">
        <v>13577</v>
      </c>
      <c r="G5505" s="45" t="s">
        <v>13565</v>
      </c>
      <c r="H5505" s="546">
        <v>6206.9</v>
      </c>
      <c r="I5505" s="47">
        <v>45174</v>
      </c>
      <c r="J5505" s="410" t="s">
        <v>13566</v>
      </c>
      <c r="K5505" s="45"/>
      <c r="L5505" s="99"/>
      <c r="M5505" s="70"/>
      <c r="N5505" s="97"/>
      <c r="O5505" s="58" t="s">
        <v>684</v>
      </c>
      <c r="P5505" s="58" t="s">
        <v>46</v>
      </c>
      <c r="Q5505" s="58" t="s">
        <v>122</v>
      </c>
      <c r="R5505" s="58" t="s">
        <v>272</v>
      </c>
    </row>
    <row r="5506" spans="1:18" ht="69" customHeight="1">
      <c r="A5506" s="168"/>
      <c r="B5506" s="48">
        <v>2643</v>
      </c>
      <c r="C5506" s="59" t="s">
        <v>5658</v>
      </c>
      <c r="D5506" s="84" t="s">
        <v>13578</v>
      </c>
      <c r="E5506" s="59" t="s">
        <v>266</v>
      </c>
      <c r="F5506" s="569" t="s">
        <v>13579</v>
      </c>
      <c r="G5506" s="45" t="s">
        <v>13565</v>
      </c>
      <c r="H5506" s="546">
        <v>6206.9</v>
      </c>
      <c r="I5506" s="47">
        <v>45174</v>
      </c>
      <c r="J5506" s="410" t="s">
        <v>13566</v>
      </c>
      <c r="K5506" s="45"/>
      <c r="L5506" s="99"/>
      <c r="M5506" s="70"/>
      <c r="N5506" s="97"/>
      <c r="O5506" s="58" t="s">
        <v>684</v>
      </c>
      <c r="P5506" s="58" t="s">
        <v>46</v>
      </c>
      <c r="Q5506" s="58" t="s">
        <v>114</v>
      </c>
      <c r="R5506" s="58" t="s">
        <v>272</v>
      </c>
    </row>
    <row r="5507" spans="1:18" ht="69" customHeight="1">
      <c r="A5507" s="168"/>
      <c r="B5507" s="48">
        <v>2644</v>
      </c>
      <c r="C5507" s="59" t="s">
        <v>5658</v>
      </c>
      <c r="D5507" s="84" t="s">
        <v>13580</v>
      </c>
      <c r="E5507" s="59" t="s">
        <v>266</v>
      </c>
      <c r="F5507" s="569" t="s">
        <v>13581</v>
      </c>
      <c r="G5507" s="45" t="s">
        <v>13565</v>
      </c>
      <c r="H5507" s="546">
        <v>6206.9</v>
      </c>
      <c r="I5507" s="47">
        <v>45174</v>
      </c>
      <c r="J5507" s="410" t="s">
        <v>13566</v>
      </c>
      <c r="K5507" s="45"/>
      <c r="L5507" s="99"/>
      <c r="M5507" s="70"/>
      <c r="N5507" s="97"/>
      <c r="O5507" s="58" t="s">
        <v>684</v>
      </c>
      <c r="P5507" s="58" t="s">
        <v>46</v>
      </c>
      <c r="Q5507" s="58" t="s">
        <v>66</v>
      </c>
      <c r="R5507" s="58" t="s">
        <v>272</v>
      </c>
    </row>
    <row r="5508" spans="1:18" ht="69" customHeight="1">
      <c r="A5508" s="168"/>
      <c r="B5508" s="48">
        <v>2645</v>
      </c>
      <c r="C5508" s="59" t="s">
        <v>5658</v>
      </c>
      <c r="D5508" s="84" t="s">
        <v>13582</v>
      </c>
      <c r="E5508" s="59" t="s">
        <v>266</v>
      </c>
      <c r="F5508" s="569" t="s">
        <v>13583</v>
      </c>
      <c r="G5508" s="45" t="s">
        <v>13565</v>
      </c>
      <c r="H5508" s="546">
        <v>6206.9</v>
      </c>
      <c r="I5508" s="47">
        <v>45174</v>
      </c>
      <c r="J5508" s="410" t="s">
        <v>13566</v>
      </c>
      <c r="K5508" s="45"/>
      <c r="L5508" s="99"/>
      <c r="M5508" s="70"/>
      <c r="N5508" s="97"/>
      <c r="O5508" s="58" t="s">
        <v>684</v>
      </c>
      <c r="P5508" s="58" t="s">
        <v>46</v>
      </c>
      <c r="Q5508" s="58" t="s">
        <v>116</v>
      </c>
      <c r="R5508" s="58" t="s">
        <v>272</v>
      </c>
    </row>
    <row r="5509" spans="1:18" ht="69" customHeight="1">
      <c r="A5509" s="168"/>
      <c r="B5509" s="48">
        <v>2646</v>
      </c>
      <c r="C5509" s="59" t="s">
        <v>11933</v>
      </c>
      <c r="D5509" s="84" t="s">
        <v>6601</v>
      </c>
      <c r="E5509" s="59" t="s">
        <v>266</v>
      </c>
      <c r="F5509" s="569" t="s">
        <v>13584</v>
      </c>
      <c r="G5509" s="45" t="s">
        <v>13565</v>
      </c>
      <c r="H5509" s="546">
        <v>6206.9</v>
      </c>
      <c r="I5509" s="47">
        <v>45174</v>
      </c>
      <c r="J5509" s="410" t="s">
        <v>13566</v>
      </c>
      <c r="K5509" s="45"/>
      <c r="L5509" s="99"/>
      <c r="M5509" s="70"/>
      <c r="N5509" s="97"/>
      <c r="O5509" s="58" t="s">
        <v>684</v>
      </c>
      <c r="P5509" s="58" t="s">
        <v>46</v>
      </c>
      <c r="Q5509" s="58" t="s">
        <v>123</v>
      </c>
      <c r="R5509" s="58" t="s">
        <v>272</v>
      </c>
    </row>
    <row r="5510" spans="1:18" ht="69" customHeight="1">
      <c r="A5510" s="168"/>
      <c r="B5510" s="48">
        <v>2647</v>
      </c>
      <c r="C5510" s="59" t="s">
        <v>9094</v>
      </c>
      <c r="D5510" s="84" t="s">
        <v>13585</v>
      </c>
      <c r="E5510" s="59" t="s">
        <v>266</v>
      </c>
      <c r="F5510" s="569" t="s">
        <v>13586</v>
      </c>
      <c r="G5510" s="45" t="s">
        <v>13565</v>
      </c>
      <c r="H5510" s="546">
        <v>6206.9</v>
      </c>
      <c r="I5510" s="47">
        <v>45174</v>
      </c>
      <c r="J5510" s="410" t="s">
        <v>13566</v>
      </c>
      <c r="K5510" s="45"/>
      <c r="L5510" s="99"/>
      <c r="M5510" s="70"/>
      <c r="N5510" s="97"/>
      <c r="O5510" s="58" t="s">
        <v>684</v>
      </c>
      <c r="P5510" s="58" t="s">
        <v>46</v>
      </c>
      <c r="Q5510" s="58" t="s">
        <v>112</v>
      </c>
      <c r="R5510" s="58" t="s">
        <v>272</v>
      </c>
    </row>
    <row r="5511" spans="1:18" ht="69" customHeight="1">
      <c r="A5511" s="168"/>
      <c r="B5511" s="52">
        <v>2648</v>
      </c>
      <c r="C5511" s="191" t="s">
        <v>309</v>
      </c>
      <c r="D5511" s="251" t="s">
        <v>10770</v>
      </c>
      <c r="E5511" s="46" t="s">
        <v>266</v>
      </c>
      <c r="F5511" s="46" t="s">
        <v>13587</v>
      </c>
      <c r="G5511" s="46" t="s">
        <v>13588</v>
      </c>
      <c r="H5511" s="534">
        <v>1350</v>
      </c>
      <c r="I5511" s="56">
        <v>45174</v>
      </c>
      <c r="J5511" s="199" t="s">
        <v>13589</v>
      </c>
      <c r="K5511" s="46" t="s">
        <v>1170</v>
      </c>
      <c r="L5511" s="99"/>
      <c r="M5511" s="379"/>
      <c r="N5511" s="76"/>
      <c r="O5511" s="46" t="s">
        <v>13590</v>
      </c>
      <c r="P5511" s="46" t="s">
        <v>65</v>
      </c>
      <c r="Q5511" s="46" t="s">
        <v>35</v>
      </c>
      <c r="R5511" s="46" t="s">
        <v>272</v>
      </c>
    </row>
    <row r="5512" spans="1:18" s="98" customFormat="1" ht="69" customHeight="1">
      <c r="A5512" s="169"/>
      <c r="B5512" s="48">
        <v>2649</v>
      </c>
      <c r="C5512" s="44" t="s">
        <v>657</v>
      </c>
      <c r="D5512" s="84" t="s">
        <v>6530</v>
      </c>
      <c r="E5512" s="45" t="s">
        <v>6192</v>
      </c>
      <c r="F5512" s="45" t="s">
        <v>13591</v>
      </c>
      <c r="G5512" s="45" t="s">
        <v>13592</v>
      </c>
      <c r="H5512" s="546">
        <v>122865.33</v>
      </c>
      <c r="I5512" s="47">
        <v>45163</v>
      </c>
      <c r="J5512" s="73" t="s">
        <v>13593</v>
      </c>
      <c r="K5512" s="45"/>
      <c r="L5512" s="99"/>
      <c r="M5512" s="385"/>
      <c r="N5512" s="75"/>
      <c r="O5512" s="45" t="s">
        <v>147</v>
      </c>
      <c r="P5512" s="45" t="s">
        <v>22</v>
      </c>
      <c r="Q5512" s="45" t="s">
        <v>97</v>
      </c>
      <c r="R5512" s="45" t="s">
        <v>272</v>
      </c>
    </row>
    <row r="5513" spans="1:18" s="98" customFormat="1" ht="69" customHeight="1">
      <c r="A5513" s="169"/>
      <c r="B5513" s="48">
        <v>2650</v>
      </c>
      <c r="C5513" s="44" t="s">
        <v>657</v>
      </c>
      <c r="D5513" s="84" t="s">
        <v>1401</v>
      </c>
      <c r="E5513" s="45" t="s">
        <v>6192</v>
      </c>
      <c r="F5513" s="45" t="s">
        <v>13594</v>
      </c>
      <c r="G5513" s="45" t="s">
        <v>13595</v>
      </c>
      <c r="H5513" s="546">
        <v>66158.259999999995</v>
      </c>
      <c r="I5513" s="47">
        <v>45163</v>
      </c>
      <c r="J5513" s="73" t="s">
        <v>13593</v>
      </c>
      <c r="K5513" s="45"/>
      <c r="L5513" s="99"/>
      <c r="M5513" s="385"/>
      <c r="N5513" s="75"/>
      <c r="O5513" s="45" t="s">
        <v>147</v>
      </c>
      <c r="P5513" s="45" t="s">
        <v>22</v>
      </c>
      <c r="Q5513" s="45" t="s">
        <v>97</v>
      </c>
      <c r="R5513" s="45" t="s">
        <v>272</v>
      </c>
    </row>
    <row r="5514" spans="1:18" s="98" customFormat="1" ht="69" customHeight="1">
      <c r="A5514" s="169"/>
      <c r="B5514" s="48">
        <v>2651</v>
      </c>
      <c r="C5514" s="59" t="s">
        <v>309</v>
      </c>
      <c r="D5514" s="84" t="s">
        <v>4359</v>
      </c>
      <c r="E5514" s="59" t="s">
        <v>350</v>
      </c>
      <c r="F5514" s="45" t="s">
        <v>13596</v>
      </c>
      <c r="G5514" s="45" t="s">
        <v>13597</v>
      </c>
      <c r="H5514" s="546">
        <v>240415</v>
      </c>
      <c r="I5514" s="47">
        <v>45174</v>
      </c>
      <c r="J5514" s="73" t="s">
        <v>13598</v>
      </c>
      <c r="K5514" s="45"/>
      <c r="L5514" s="99"/>
      <c r="M5514" s="385"/>
      <c r="N5514" s="75"/>
      <c r="O5514" s="45" t="s">
        <v>141</v>
      </c>
      <c r="P5514" s="45" t="s">
        <v>19</v>
      </c>
      <c r="Q5514" s="45" t="s">
        <v>27</v>
      </c>
      <c r="R5514" s="45" t="s">
        <v>265</v>
      </c>
    </row>
    <row r="5515" spans="1:18" s="98" customFormat="1" ht="69" customHeight="1">
      <c r="A5515" s="169"/>
      <c r="B5515" s="48">
        <v>2652</v>
      </c>
      <c r="C5515" s="59" t="s">
        <v>3667</v>
      </c>
      <c r="D5515" s="84" t="s">
        <v>13599</v>
      </c>
      <c r="E5515" s="45" t="s">
        <v>6192</v>
      </c>
      <c r="F5515" s="45" t="s">
        <v>13600</v>
      </c>
      <c r="G5515" s="45" t="s">
        <v>13601</v>
      </c>
      <c r="H5515" s="546">
        <v>320820.2</v>
      </c>
      <c r="I5515" s="47">
        <v>45163</v>
      </c>
      <c r="J5515" s="73" t="s">
        <v>13602</v>
      </c>
      <c r="K5515" s="45" t="s">
        <v>13603</v>
      </c>
      <c r="L5515" s="99"/>
      <c r="M5515" s="385"/>
      <c r="N5515" s="75"/>
      <c r="O5515" s="45" t="s">
        <v>147</v>
      </c>
      <c r="P5515" s="45" t="s">
        <v>22</v>
      </c>
      <c r="Q5515" s="45" t="s">
        <v>76</v>
      </c>
      <c r="R5515" s="45" t="s">
        <v>272</v>
      </c>
    </row>
    <row r="5516" spans="1:18" s="98" customFormat="1" ht="69" customHeight="1">
      <c r="A5516" s="169"/>
      <c r="B5516" s="48">
        <v>2653</v>
      </c>
      <c r="C5516" s="44" t="s">
        <v>11050</v>
      </c>
      <c r="D5516" s="84" t="s">
        <v>13096</v>
      </c>
      <c r="E5516" s="45" t="s">
        <v>13604</v>
      </c>
      <c r="F5516" s="45" t="s">
        <v>13605</v>
      </c>
      <c r="G5516" s="45" t="s">
        <v>13606</v>
      </c>
      <c r="H5516" s="546">
        <v>42301.599999999999</v>
      </c>
      <c r="I5516" s="47">
        <v>45174</v>
      </c>
      <c r="J5516" s="73" t="s">
        <v>13607</v>
      </c>
      <c r="K5516" s="45"/>
      <c r="L5516" s="99"/>
      <c r="M5516" s="385"/>
      <c r="N5516" s="75"/>
      <c r="O5516" s="45" t="s">
        <v>186</v>
      </c>
      <c r="P5516" s="45" t="s">
        <v>57</v>
      </c>
      <c r="Q5516" s="45" t="s">
        <v>35</v>
      </c>
      <c r="R5516" s="45" t="s">
        <v>265</v>
      </c>
    </row>
    <row r="5517" spans="1:18" ht="69" customHeight="1">
      <c r="A5517" s="168"/>
      <c r="B5517" s="52">
        <v>2654</v>
      </c>
      <c r="C5517" s="191" t="s">
        <v>309</v>
      </c>
      <c r="D5517" s="251" t="s">
        <v>13098</v>
      </c>
      <c r="E5517" s="46" t="s">
        <v>1056</v>
      </c>
      <c r="F5517" s="46" t="s">
        <v>13608</v>
      </c>
      <c r="G5517" s="46" t="s">
        <v>13609</v>
      </c>
      <c r="H5517" s="546">
        <v>27000</v>
      </c>
      <c r="I5517" s="56">
        <v>45174</v>
      </c>
      <c r="J5517" s="199" t="s">
        <v>13610</v>
      </c>
      <c r="K5517" s="46" t="s">
        <v>11441</v>
      </c>
      <c r="L5517" s="99"/>
      <c r="M5517" s="379"/>
      <c r="N5517" s="76"/>
      <c r="O5517" s="46" t="s">
        <v>1061</v>
      </c>
      <c r="P5517" s="46" t="s">
        <v>36</v>
      </c>
      <c r="Q5517" s="46" t="s">
        <v>15</v>
      </c>
      <c r="R5517" s="46" t="s">
        <v>272</v>
      </c>
    </row>
    <row r="5518" spans="1:18" ht="69" customHeight="1">
      <c r="A5518" s="168"/>
      <c r="B5518" s="52">
        <v>2655</v>
      </c>
      <c r="C5518" s="191" t="s">
        <v>458</v>
      </c>
      <c r="D5518" s="251" t="s">
        <v>4529</v>
      </c>
      <c r="E5518" s="46" t="s">
        <v>1056</v>
      </c>
      <c r="F5518" s="46" t="s">
        <v>13611</v>
      </c>
      <c r="G5518" s="46" t="s">
        <v>13609</v>
      </c>
      <c r="H5518" s="546">
        <v>27000</v>
      </c>
      <c r="I5518" s="56">
        <v>45174</v>
      </c>
      <c r="J5518" s="199" t="s">
        <v>13610</v>
      </c>
      <c r="K5518" s="46" t="s">
        <v>11441</v>
      </c>
      <c r="L5518" s="99"/>
      <c r="M5518" s="379"/>
      <c r="N5518" s="76"/>
      <c r="O5518" s="46" t="s">
        <v>1061</v>
      </c>
      <c r="P5518" s="46" t="s">
        <v>36</v>
      </c>
      <c r="Q5518" s="46" t="s">
        <v>90</v>
      </c>
      <c r="R5518" s="46" t="s">
        <v>272</v>
      </c>
    </row>
    <row r="5519" spans="1:18" ht="69" customHeight="1">
      <c r="A5519" s="168"/>
      <c r="B5519" s="52">
        <v>2656</v>
      </c>
      <c r="C5519" s="191" t="s">
        <v>657</v>
      </c>
      <c r="D5519" s="251" t="s">
        <v>833</v>
      </c>
      <c r="E5519" s="46" t="s">
        <v>1056</v>
      </c>
      <c r="F5519" s="46" t="s">
        <v>13612</v>
      </c>
      <c r="G5519" s="46" t="s">
        <v>13609</v>
      </c>
      <c r="H5519" s="546">
        <v>19440</v>
      </c>
      <c r="I5519" s="56">
        <v>45174</v>
      </c>
      <c r="J5519" s="199" t="s">
        <v>13610</v>
      </c>
      <c r="K5519" s="46" t="s">
        <v>11441</v>
      </c>
      <c r="L5519" s="99"/>
      <c r="M5519" s="379"/>
      <c r="N5519" s="76"/>
      <c r="O5519" s="46" t="s">
        <v>1061</v>
      </c>
      <c r="P5519" s="46" t="s">
        <v>36</v>
      </c>
      <c r="Q5519" s="46" t="s">
        <v>99</v>
      </c>
      <c r="R5519" s="46" t="s">
        <v>272</v>
      </c>
    </row>
    <row r="5520" spans="1:18" ht="69" customHeight="1">
      <c r="A5520" s="168"/>
      <c r="B5520" s="52">
        <v>2657</v>
      </c>
      <c r="C5520" s="59" t="s">
        <v>3667</v>
      </c>
      <c r="D5520" s="251" t="s">
        <v>13613</v>
      </c>
      <c r="E5520" s="46" t="s">
        <v>1056</v>
      </c>
      <c r="F5520" s="46" t="s">
        <v>13614</v>
      </c>
      <c r="G5520" s="46" t="s">
        <v>13609</v>
      </c>
      <c r="H5520" s="546">
        <v>34560</v>
      </c>
      <c r="I5520" s="56">
        <v>45174</v>
      </c>
      <c r="J5520" s="199" t="s">
        <v>13610</v>
      </c>
      <c r="K5520" s="46" t="s">
        <v>11441</v>
      </c>
      <c r="L5520" s="99"/>
      <c r="M5520" s="379"/>
      <c r="N5520" s="76"/>
      <c r="O5520" s="46" t="s">
        <v>1061</v>
      </c>
      <c r="P5520" s="46" t="s">
        <v>36</v>
      </c>
      <c r="Q5520" s="46" t="s">
        <v>49</v>
      </c>
      <c r="R5520" s="46" t="s">
        <v>272</v>
      </c>
    </row>
    <row r="5521" spans="1:18" ht="69" customHeight="1">
      <c r="A5521" s="168"/>
      <c r="B5521" s="52">
        <v>2658</v>
      </c>
      <c r="C5521" s="59" t="s">
        <v>3667</v>
      </c>
      <c r="D5521" s="251" t="s">
        <v>13615</v>
      </c>
      <c r="E5521" s="46" t="s">
        <v>1056</v>
      </c>
      <c r="F5521" s="46" t="s">
        <v>13616</v>
      </c>
      <c r="G5521" s="46" t="s">
        <v>13609</v>
      </c>
      <c r="H5521" s="546">
        <v>160493.70000000001</v>
      </c>
      <c r="I5521" s="56">
        <v>45174</v>
      </c>
      <c r="J5521" s="199" t="s">
        <v>13610</v>
      </c>
      <c r="K5521" s="46" t="s">
        <v>11441</v>
      </c>
      <c r="L5521" s="99"/>
      <c r="M5521" s="379"/>
      <c r="N5521" s="76"/>
      <c r="O5521" s="46" t="s">
        <v>1061</v>
      </c>
      <c r="P5521" s="46" t="s">
        <v>36</v>
      </c>
      <c r="Q5521" s="46" t="s">
        <v>49</v>
      </c>
      <c r="R5521" s="46" t="s">
        <v>272</v>
      </c>
    </row>
    <row r="5522" spans="1:18" ht="69" customHeight="1">
      <c r="A5522" s="168"/>
      <c r="B5522" s="52">
        <v>2659</v>
      </c>
      <c r="C5522" s="191" t="s">
        <v>309</v>
      </c>
      <c r="D5522" s="251" t="s">
        <v>5493</v>
      </c>
      <c r="E5522" s="46" t="s">
        <v>1056</v>
      </c>
      <c r="F5522" s="46" t="s">
        <v>13617</v>
      </c>
      <c r="G5522" s="46" t="s">
        <v>13609</v>
      </c>
      <c r="H5522" s="546">
        <v>125385.7</v>
      </c>
      <c r="I5522" s="56">
        <v>45174</v>
      </c>
      <c r="J5522" s="199" t="s">
        <v>13610</v>
      </c>
      <c r="K5522" s="46" t="s">
        <v>11441</v>
      </c>
      <c r="L5522" s="99"/>
      <c r="M5522" s="379"/>
      <c r="N5522" s="76"/>
      <c r="O5522" s="46" t="s">
        <v>1061</v>
      </c>
      <c r="P5522" s="46" t="s">
        <v>36</v>
      </c>
      <c r="Q5522" s="46" t="s">
        <v>15</v>
      </c>
      <c r="R5522" s="46" t="s">
        <v>272</v>
      </c>
    </row>
    <row r="5523" spans="1:18" ht="69" customHeight="1">
      <c r="A5523" s="168"/>
      <c r="B5523" s="52">
        <v>2660</v>
      </c>
      <c r="C5523" s="191" t="s">
        <v>458</v>
      </c>
      <c r="D5523" s="251" t="s">
        <v>4709</v>
      </c>
      <c r="E5523" s="46" t="s">
        <v>1056</v>
      </c>
      <c r="F5523" s="46" t="s">
        <v>13618</v>
      </c>
      <c r="G5523" s="46" t="s">
        <v>13609</v>
      </c>
      <c r="H5523" s="546">
        <v>125385.7</v>
      </c>
      <c r="I5523" s="56">
        <v>45174</v>
      </c>
      <c r="J5523" s="199" t="s">
        <v>13610</v>
      </c>
      <c r="K5523" s="46" t="s">
        <v>11441</v>
      </c>
      <c r="L5523" s="99"/>
      <c r="M5523" s="379"/>
      <c r="N5523" s="76"/>
      <c r="O5523" s="46" t="s">
        <v>1061</v>
      </c>
      <c r="P5523" s="46" t="s">
        <v>36</v>
      </c>
      <c r="Q5523" s="46" t="s">
        <v>90</v>
      </c>
      <c r="R5523" s="46" t="s">
        <v>272</v>
      </c>
    </row>
    <row r="5524" spans="1:18" ht="69" customHeight="1">
      <c r="A5524" s="168"/>
      <c r="B5524" s="52">
        <v>2661</v>
      </c>
      <c r="C5524" s="191" t="s">
        <v>657</v>
      </c>
      <c r="D5524" s="251" t="s">
        <v>837</v>
      </c>
      <c r="E5524" s="46" t="s">
        <v>1056</v>
      </c>
      <c r="F5524" s="46" t="s">
        <v>13619</v>
      </c>
      <c r="G5524" s="46" t="s">
        <v>13609</v>
      </c>
      <c r="H5524" s="546">
        <v>90277.7</v>
      </c>
      <c r="I5524" s="56">
        <v>45174</v>
      </c>
      <c r="J5524" s="199" t="s">
        <v>13610</v>
      </c>
      <c r="K5524" s="46" t="s">
        <v>11441</v>
      </c>
      <c r="L5524" s="99"/>
      <c r="M5524" s="379"/>
      <c r="N5524" s="76"/>
      <c r="O5524" s="46" t="s">
        <v>1061</v>
      </c>
      <c r="P5524" s="46" t="s">
        <v>36</v>
      </c>
      <c r="Q5524" s="46" t="s">
        <v>99</v>
      </c>
      <c r="R5524" s="46" t="s">
        <v>272</v>
      </c>
    </row>
    <row r="5525" spans="1:18" s="98" customFormat="1" ht="69" customHeight="1">
      <c r="A5525" s="169"/>
      <c r="B5525" s="48">
        <v>2662</v>
      </c>
      <c r="C5525" s="59" t="s">
        <v>458</v>
      </c>
      <c r="D5525" s="84" t="s">
        <v>13620</v>
      </c>
      <c r="E5525" s="45" t="s">
        <v>6192</v>
      </c>
      <c r="F5525" s="59" t="s">
        <v>13621</v>
      </c>
      <c r="G5525" s="59" t="s">
        <v>13622</v>
      </c>
      <c r="H5525" s="546">
        <v>10582.62</v>
      </c>
      <c r="I5525" s="47">
        <v>45163</v>
      </c>
      <c r="J5525" s="73" t="s">
        <v>13623</v>
      </c>
      <c r="K5525" s="45" t="s">
        <v>13624</v>
      </c>
      <c r="L5525" s="99"/>
      <c r="M5525" s="385"/>
      <c r="N5525" s="75"/>
      <c r="O5525" s="45" t="s">
        <v>147</v>
      </c>
      <c r="P5525" s="45" t="s">
        <v>22</v>
      </c>
      <c r="Q5525" s="45" t="s">
        <v>107</v>
      </c>
      <c r="R5525" s="45" t="s">
        <v>272</v>
      </c>
    </row>
    <row r="5526" spans="1:18" s="98" customFormat="1" ht="69" customHeight="1">
      <c r="A5526" s="169"/>
      <c r="B5526" s="48">
        <v>2663</v>
      </c>
      <c r="C5526" s="59" t="s">
        <v>458</v>
      </c>
      <c r="D5526" s="84" t="s">
        <v>13625</v>
      </c>
      <c r="E5526" s="45" t="s">
        <v>6192</v>
      </c>
      <c r="F5526" s="59" t="s">
        <v>13626</v>
      </c>
      <c r="G5526" s="59" t="s">
        <v>13627</v>
      </c>
      <c r="H5526" s="546">
        <v>5698.34</v>
      </c>
      <c r="I5526" s="47">
        <v>45163</v>
      </c>
      <c r="J5526" s="73" t="s">
        <v>13623</v>
      </c>
      <c r="K5526" s="45" t="s">
        <v>13624</v>
      </c>
      <c r="L5526" s="99"/>
      <c r="M5526" s="385"/>
      <c r="N5526" s="75"/>
      <c r="O5526" s="45" t="s">
        <v>147</v>
      </c>
      <c r="P5526" s="45" t="s">
        <v>22</v>
      </c>
      <c r="Q5526" s="45" t="s">
        <v>107</v>
      </c>
      <c r="R5526" s="45" t="s">
        <v>272</v>
      </c>
    </row>
    <row r="5527" spans="1:18" s="98" customFormat="1" ht="69" customHeight="1">
      <c r="A5527" s="169"/>
      <c r="B5527" s="48">
        <v>2664</v>
      </c>
      <c r="C5527" s="59" t="s">
        <v>458</v>
      </c>
      <c r="D5527" s="581" t="s">
        <v>13628</v>
      </c>
      <c r="E5527" s="45" t="s">
        <v>6192</v>
      </c>
      <c r="F5527" s="569" t="s">
        <v>13629</v>
      </c>
      <c r="G5527" s="45" t="s">
        <v>13630</v>
      </c>
      <c r="H5527" s="546">
        <v>58169.04</v>
      </c>
      <c r="I5527" s="47">
        <v>45163</v>
      </c>
      <c r="J5527" s="73" t="s">
        <v>13631</v>
      </c>
      <c r="K5527" s="45"/>
      <c r="L5527" s="99"/>
      <c r="M5527" s="385"/>
      <c r="N5527" s="75"/>
      <c r="O5527" s="45" t="s">
        <v>147</v>
      </c>
      <c r="P5527" s="45" t="s">
        <v>22</v>
      </c>
      <c r="Q5527" s="45" t="s">
        <v>119</v>
      </c>
      <c r="R5527" s="45" t="s">
        <v>272</v>
      </c>
    </row>
    <row r="5528" spans="1:18" s="98" customFormat="1" ht="69" customHeight="1">
      <c r="A5528" s="169"/>
      <c r="B5528" s="48">
        <v>2665</v>
      </c>
      <c r="C5528" s="59" t="s">
        <v>458</v>
      </c>
      <c r="D5528" s="581" t="s">
        <v>6428</v>
      </c>
      <c r="E5528" s="45" t="s">
        <v>6192</v>
      </c>
      <c r="F5528" s="569" t="s">
        <v>13632</v>
      </c>
      <c r="G5528" s="45" t="s">
        <v>13633</v>
      </c>
      <c r="H5528" s="546">
        <v>31321.79</v>
      </c>
      <c r="I5528" s="47">
        <v>45163</v>
      </c>
      <c r="J5528" s="73" t="s">
        <v>13631</v>
      </c>
      <c r="K5528" s="45"/>
      <c r="L5528" s="99"/>
      <c r="M5528" s="385"/>
      <c r="N5528" s="75"/>
      <c r="O5528" s="45" t="s">
        <v>147</v>
      </c>
      <c r="P5528" s="45" t="s">
        <v>22</v>
      </c>
      <c r="Q5528" s="45" t="s">
        <v>119</v>
      </c>
      <c r="R5528" s="45" t="s">
        <v>272</v>
      </c>
    </row>
    <row r="5529" spans="1:18" s="98" customFormat="1" ht="69" customHeight="1">
      <c r="A5529" s="169"/>
      <c r="B5529" s="48">
        <v>2668</v>
      </c>
      <c r="C5529" s="59" t="s">
        <v>11933</v>
      </c>
      <c r="D5529" s="581" t="s">
        <v>13634</v>
      </c>
      <c r="E5529" s="45" t="s">
        <v>13635</v>
      </c>
      <c r="F5529" s="569" t="s">
        <v>13636</v>
      </c>
      <c r="G5529" s="45" t="s">
        <v>13637</v>
      </c>
      <c r="H5529" s="546">
        <v>300924.32</v>
      </c>
      <c r="I5529" s="47">
        <v>45163</v>
      </c>
      <c r="J5529" s="73" t="s">
        <v>13638</v>
      </c>
      <c r="K5529" s="45"/>
      <c r="L5529" s="99"/>
      <c r="M5529" s="385"/>
      <c r="N5529" s="75"/>
      <c r="O5529" s="45" t="s">
        <v>217</v>
      </c>
      <c r="P5529" s="45" t="s">
        <v>59</v>
      </c>
      <c r="Q5529" s="45" t="s">
        <v>123</v>
      </c>
      <c r="R5529" s="45" t="s">
        <v>272</v>
      </c>
    </row>
    <row r="5530" spans="1:18" s="98" customFormat="1" ht="69" customHeight="1">
      <c r="A5530" s="169"/>
      <c r="B5530" s="48">
        <v>2669</v>
      </c>
      <c r="C5530" s="59" t="s">
        <v>11050</v>
      </c>
      <c r="D5530" s="581" t="s">
        <v>13100</v>
      </c>
      <c r="E5530" s="45" t="s">
        <v>4173</v>
      </c>
      <c r="F5530" s="569" t="s">
        <v>13639</v>
      </c>
      <c r="G5530" s="45" t="s">
        <v>13640</v>
      </c>
      <c r="H5530" s="546">
        <v>25600</v>
      </c>
      <c r="I5530" s="47">
        <v>45174</v>
      </c>
      <c r="J5530" s="73" t="s">
        <v>13641</v>
      </c>
      <c r="K5530" s="45"/>
      <c r="L5530" s="99"/>
      <c r="M5530" s="385"/>
      <c r="N5530" s="75"/>
      <c r="O5530" s="45" t="s">
        <v>441</v>
      </c>
      <c r="P5530" s="45" t="s">
        <v>22</v>
      </c>
      <c r="Q5530" s="45" t="s">
        <v>35</v>
      </c>
      <c r="R5530" s="45" t="s">
        <v>265</v>
      </c>
    </row>
    <row r="5531" spans="1:18" ht="69" customHeight="1">
      <c r="A5531" s="168"/>
      <c r="B5531" s="48">
        <f t="shared" ref="B5531:B5562" si="0">B5530+1</f>
        <v>2670</v>
      </c>
      <c r="C5531" s="59" t="s">
        <v>2182</v>
      </c>
      <c r="D5531" s="581" t="s">
        <v>13104</v>
      </c>
      <c r="E5531" s="45" t="s">
        <v>4173</v>
      </c>
      <c r="F5531" s="569" t="s">
        <v>13642</v>
      </c>
      <c r="G5531" s="45" t="s">
        <v>13643</v>
      </c>
      <c r="H5531" s="546">
        <v>29005.77</v>
      </c>
      <c r="I5531" s="47">
        <v>45174</v>
      </c>
      <c r="J5531" s="73" t="s">
        <v>13641</v>
      </c>
      <c r="K5531" s="45"/>
      <c r="L5531" s="99"/>
      <c r="M5531" s="385"/>
      <c r="N5531" s="75"/>
      <c r="O5531" s="45" t="s">
        <v>441</v>
      </c>
      <c r="P5531" s="45" t="s">
        <v>22</v>
      </c>
      <c r="Q5531" s="45" t="s">
        <v>31</v>
      </c>
      <c r="R5531" s="45" t="s">
        <v>265</v>
      </c>
    </row>
    <row r="5532" spans="1:18" ht="69" customHeight="1">
      <c r="A5532" s="168"/>
      <c r="B5532" s="48">
        <f t="shared" si="0"/>
        <v>2671</v>
      </c>
      <c r="C5532" s="59" t="s">
        <v>13644</v>
      </c>
      <c r="D5532" s="581" t="s">
        <v>5167</v>
      </c>
      <c r="E5532" s="45" t="s">
        <v>4173</v>
      </c>
      <c r="F5532" s="569" t="s">
        <v>13645</v>
      </c>
      <c r="G5532" s="45" t="s">
        <v>13640</v>
      </c>
      <c r="H5532" s="546">
        <v>36100</v>
      </c>
      <c r="I5532" s="47">
        <v>45174</v>
      </c>
      <c r="J5532" s="73" t="s">
        <v>13641</v>
      </c>
      <c r="K5532" s="45"/>
      <c r="L5532" s="99"/>
      <c r="M5532" s="385"/>
      <c r="N5532" s="75"/>
      <c r="O5532" s="45" t="s">
        <v>441</v>
      </c>
      <c r="P5532" s="45" t="s">
        <v>22</v>
      </c>
      <c r="Q5532" s="45" t="s">
        <v>33</v>
      </c>
      <c r="R5532" s="45" t="s">
        <v>265</v>
      </c>
    </row>
    <row r="5533" spans="1:18" ht="69" customHeight="1">
      <c r="A5533" s="168"/>
      <c r="B5533" s="48">
        <f t="shared" si="0"/>
        <v>2672</v>
      </c>
      <c r="C5533" s="59" t="s">
        <v>1853</v>
      </c>
      <c r="D5533" s="581" t="s">
        <v>5496</v>
      </c>
      <c r="E5533" s="45" t="s">
        <v>4173</v>
      </c>
      <c r="F5533" s="569" t="s">
        <v>13646</v>
      </c>
      <c r="G5533" s="45" t="s">
        <v>13647</v>
      </c>
      <c r="H5533" s="546">
        <v>30000</v>
      </c>
      <c r="I5533" s="47">
        <v>45174</v>
      </c>
      <c r="J5533" s="73" t="s">
        <v>13641</v>
      </c>
      <c r="K5533" s="45"/>
      <c r="L5533" s="99"/>
      <c r="M5533" s="385"/>
      <c r="N5533" s="75"/>
      <c r="O5533" s="45" t="s">
        <v>441</v>
      </c>
      <c r="P5533" s="45" t="s">
        <v>22</v>
      </c>
      <c r="Q5533" s="45" t="s">
        <v>29</v>
      </c>
      <c r="R5533" s="45" t="s">
        <v>265</v>
      </c>
    </row>
    <row r="5534" spans="1:18" ht="69" customHeight="1">
      <c r="A5534" s="168"/>
      <c r="B5534" s="52">
        <f t="shared" si="0"/>
        <v>2673</v>
      </c>
      <c r="C5534" s="191" t="s">
        <v>309</v>
      </c>
      <c r="D5534" s="533" t="s">
        <v>5170</v>
      </c>
      <c r="E5534" s="46" t="s">
        <v>1056</v>
      </c>
      <c r="F5534" s="211" t="s">
        <v>13648</v>
      </c>
      <c r="G5534" s="46" t="s">
        <v>13609</v>
      </c>
      <c r="H5534" s="546">
        <v>8268.75</v>
      </c>
      <c r="I5534" s="56">
        <v>45174</v>
      </c>
      <c r="J5534" s="199" t="s">
        <v>13649</v>
      </c>
      <c r="K5534" s="46" t="s">
        <v>11441</v>
      </c>
      <c r="L5534" s="99"/>
      <c r="M5534" s="379"/>
      <c r="N5534" s="76"/>
      <c r="O5534" s="46" t="s">
        <v>1061</v>
      </c>
      <c r="P5534" s="46" t="s">
        <v>36</v>
      </c>
      <c r="Q5534" s="46" t="s">
        <v>15</v>
      </c>
      <c r="R5534" s="46" t="s">
        <v>272</v>
      </c>
    </row>
    <row r="5535" spans="1:18" ht="69" customHeight="1">
      <c r="A5535" s="168"/>
      <c r="B5535" s="52">
        <f t="shared" si="0"/>
        <v>2674</v>
      </c>
      <c r="C5535" s="191" t="s">
        <v>458</v>
      </c>
      <c r="D5535" s="533" t="s">
        <v>4818</v>
      </c>
      <c r="E5535" s="46" t="s">
        <v>1056</v>
      </c>
      <c r="F5535" s="211" t="s">
        <v>13650</v>
      </c>
      <c r="G5535" s="46" t="s">
        <v>13609</v>
      </c>
      <c r="H5535" s="546">
        <v>8268.75</v>
      </c>
      <c r="I5535" s="56">
        <v>45174</v>
      </c>
      <c r="J5535" s="199" t="s">
        <v>13649</v>
      </c>
      <c r="K5535" s="46" t="s">
        <v>11441</v>
      </c>
      <c r="L5535" s="99"/>
      <c r="M5535" s="379"/>
      <c r="N5535" s="76"/>
      <c r="O5535" s="46" t="s">
        <v>1061</v>
      </c>
      <c r="P5535" s="46" t="s">
        <v>36</v>
      </c>
      <c r="Q5535" s="46" t="s">
        <v>90</v>
      </c>
      <c r="R5535" s="46" t="s">
        <v>272</v>
      </c>
    </row>
    <row r="5536" spans="1:18" ht="69" customHeight="1">
      <c r="A5536" s="168"/>
      <c r="B5536" s="52">
        <f t="shared" si="0"/>
        <v>2675</v>
      </c>
      <c r="C5536" s="59" t="s">
        <v>3667</v>
      </c>
      <c r="D5536" s="533" t="s">
        <v>13651</v>
      </c>
      <c r="E5536" s="46" t="s">
        <v>1056</v>
      </c>
      <c r="F5536" s="211" t="s">
        <v>13652</v>
      </c>
      <c r="G5536" s="46" t="s">
        <v>13609</v>
      </c>
      <c r="H5536" s="546">
        <v>10584</v>
      </c>
      <c r="I5536" s="56">
        <v>45174</v>
      </c>
      <c r="J5536" s="199" t="s">
        <v>13649</v>
      </c>
      <c r="K5536" s="46" t="s">
        <v>11441</v>
      </c>
      <c r="L5536" s="99"/>
      <c r="M5536" s="379"/>
      <c r="N5536" s="76"/>
      <c r="O5536" s="46" t="s">
        <v>1061</v>
      </c>
      <c r="P5536" s="46" t="s">
        <v>36</v>
      </c>
      <c r="Q5536" s="46" t="s">
        <v>49</v>
      </c>
      <c r="R5536" s="46" t="s">
        <v>272</v>
      </c>
    </row>
    <row r="5537" spans="1:18" ht="69" customHeight="1">
      <c r="A5537" s="168"/>
      <c r="B5537" s="52">
        <f t="shared" si="0"/>
        <v>2676</v>
      </c>
      <c r="C5537" s="191" t="s">
        <v>657</v>
      </c>
      <c r="D5537" s="533" t="s">
        <v>13653</v>
      </c>
      <c r="E5537" s="46" t="s">
        <v>1056</v>
      </c>
      <c r="F5537" s="211" t="s">
        <v>13654</v>
      </c>
      <c r="G5537" s="46" t="s">
        <v>13609</v>
      </c>
      <c r="H5537" s="546">
        <v>5953.5</v>
      </c>
      <c r="I5537" s="56">
        <v>45174</v>
      </c>
      <c r="J5537" s="199" t="s">
        <v>13649</v>
      </c>
      <c r="K5537" s="46" t="s">
        <v>11441</v>
      </c>
      <c r="L5537" s="99"/>
      <c r="M5537" s="379"/>
      <c r="N5537" s="76"/>
      <c r="O5537" s="46" t="s">
        <v>1061</v>
      </c>
      <c r="P5537" s="46" t="s">
        <v>36</v>
      </c>
      <c r="Q5537" s="46" t="s">
        <v>99</v>
      </c>
      <c r="R5537" s="46" t="s">
        <v>272</v>
      </c>
    </row>
    <row r="5538" spans="1:18" ht="69" customHeight="1">
      <c r="A5538" s="168"/>
      <c r="B5538" s="48">
        <f t="shared" si="0"/>
        <v>2677</v>
      </c>
      <c r="C5538" s="59" t="s">
        <v>5558</v>
      </c>
      <c r="D5538" s="581" t="s">
        <v>13655</v>
      </c>
      <c r="E5538" s="45" t="s">
        <v>4173</v>
      </c>
      <c r="F5538" s="569" t="s">
        <v>13656</v>
      </c>
      <c r="G5538" s="45" t="s">
        <v>13657</v>
      </c>
      <c r="H5538" s="546">
        <v>25000</v>
      </c>
      <c r="I5538" s="47">
        <v>45174</v>
      </c>
      <c r="J5538" s="73" t="s">
        <v>13658</v>
      </c>
      <c r="K5538" s="45"/>
      <c r="L5538" s="99"/>
      <c r="M5538" s="385"/>
      <c r="N5538" s="75"/>
      <c r="O5538" s="45" t="s">
        <v>441</v>
      </c>
      <c r="P5538" s="45" t="s">
        <v>22</v>
      </c>
      <c r="Q5538" s="45" t="s">
        <v>64</v>
      </c>
      <c r="R5538" s="45" t="s">
        <v>265</v>
      </c>
    </row>
    <row r="5539" spans="1:18" ht="69" customHeight="1">
      <c r="A5539" s="168"/>
      <c r="B5539" s="48">
        <f t="shared" si="0"/>
        <v>2678</v>
      </c>
      <c r="C5539" s="59" t="s">
        <v>657</v>
      </c>
      <c r="D5539" s="581" t="s">
        <v>1210</v>
      </c>
      <c r="E5539" s="45" t="s">
        <v>7890</v>
      </c>
      <c r="F5539" s="569" t="s">
        <v>13659</v>
      </c>
      <c r="G5539" s="45" t="s">
        <v>13660</v>
      </c>
      <c r="H5539" s="546">
        <v>44424.78</v>
      </c>
      <c r="I5539" s="47">
        <v>45174</v>
      </c>
      <c r="J5539" s="73" t="s">
        <v>13661</v>
      </c>
      <c r="K5539" s="45"/>
      <c r="L5539" s="99"/>
      <c r="M5539" s="385"/>
      <c r="N5539" s="75"/>
      <c r="O5539" s="45" t="s">
        <v>147</v>
      </c>
      <c r="P5539" s="45" t="s">
        <v>22</v>
      </c>
      <c r="Q5539" s="45" t="s">
        <v>97</v>
      </c>
      <c r="R5539" s="45" t="s">
        <v>265</v>
      </c>
    </row>
    <row r="5540" spans="1:18" ht="69" customHeight="1">
      <c r="A5540" s="168"/>
      <c r="B5540" s="48">
        <f t="shared" si="0"/>
        <v>2679</v>
      </c>
      <c r="C5540" s="59" t="s">
        <v>259</v>
      </c>
      <c r="D5540" s="581" t="s">
        <v>7839</v>
      </c>
      <c r="E5540" s="45" t="s">
        <v>266</v>
      </c>
      <c r="F5540" s="569" t="s">
        <v>13662</v>
      </c>
      <c r="G5540" s="45" t="s">
        <v>13663</v>
      </c>
      <c r="H5540" s="546">
        <v>3500</v>
      </c>
      <c r="I5540" s="47">
        <v>45174</v>
      </c>
      <c r="J5540" s="73" t="s">
        <v>13664</v>
      </c>
      <c r="K5540" s="45"/>
      <c r="L5540" s="99"/>
      <c r="M5540" s="385"/>
      <c r="N5540" s="75"/>
      <c r="O5540" s="45" t="s">
        <v>467</v>
      </c>
      <c r="P5540" s="45" t="s">
        <v>61</v>
      </c>
      <c r="Q5540" s="45" t="s">
        <v>13</v>
      </c>
      <c r="R5540" s="45" t="s">
        <v>272</v>
      </c>
    </row>
    <row r="5541" spans="1:18" ht="69" customHeight="1">
      <c r="A5541" s="168"/>
      <c r="B5541" s="48">
        <f t="shared" si="0"/>
        <v>2680</v>
      </c>
      <c r="C5541" s="59" t="s">
        <v>13665</v>
      </c>
      <c r="D5541" s="581" t="s">
        <v>405</v>
      </c>
      <c r="E5541" s="45" t="s">
        <v>266</v>
      </c>
      <c r="F5541" s="569" t="s">
        <v>13666</v>
      </c>
      <c r="G5541" s="45" t="s">
        <v>13663</v>
      </c>
      <c r="H5541" s="546">
        <v>4827.6000000000004</v>
      </c>
      <c r="I5541" s="47">
        <v>45174</v>
      </c>
      <c r="J5541" s="73" t="s">
        <v>13667</v>
      </c>
      <c r="K5541" s="45"/>
      <c r="L5541" s="99"/>
      <c r="M5541" s="385"/>
      <c r="N5541" s="75"/>
      <c r="O5541" s="45" t="s">
        <v>467</v>
      </c>
      <c r="P5541" s="45" t="s">
        <v>44</v>
      </c>
      <c r="Q5541" s="45" t="s">
        <v>31</v>
      </c>
      <c r="R5541" s="45" t="s">
        <v>272</v>
      </c>
    </row>
    <row r="5542" spans="1:18" ht="69" customHeight="1">
      <c r="A5542" s="168"/>
      <c r="B5542" s="48">
        <f t="shared" si="0"/>
        <v>2681</v>
      </c>
      <c r="C5542" s="59" t="s">
        <v>458</v>
      </c>
      <c r="D5542" s="84" t="s">
        <v>4396</v>
      </c>
      <c r="E5542" s="59" t="s">
        <v>350</v>
      </c>
      <c r="F5542" s="45" t="s">
        <v>13668</v>
      </c>
      <c r="G5542" s="45" t="s">
        <v>13669</v>
      </c>
      <c r="H5542" s="546">
        <v>84999.95</v>
      </c>
      <c r="I5542" s="47">
        <v>45174</v>
      </c>
      <c r="J5542" s="73" t="s">
        <v>13670</v>
      </c>
      <c r="K5542" s="45"/>
      <c r="L5542" s="99"/>
      <c r="M5542" s="385"/>
      <c r="N5542" s="75"/>
      <c r="O5542" s="45" t="s">
        <v>141</v>
      </c>
      <c r="P5542" s="45" t="s">
        <v>19</v>
      </c>
      <c r="Q5542" s="45" t="s">
        <v>107</v>
      </c>
      <c r="R5542" s="45" t="s">
        <v>265</v>
      </c>
    </row>
    <row r="5543" spans="1:18" ht="69" customHeight="1">
      <c r="A5543" s="168"/>
      <c r="B5543" s="52">
        <f t="shared" si="0"/>
        <v>2682</v>
      </c>
      <c r="C5543" s="191" t="s">
        <v>458</v>
      </c>
      <c r="D5543" s="533" t="s">
        <v>13671</v>
      </c>
      <c r="E5543" s="46" t="s">
        <v>266</v>
      </c>
      <c r="F5543" s="211" t="s">
        <v>13672</v>
      </c>
      <c r="G5543" s="46" t="s">
        <v>13673</v>
      </c>
      <c r="H5543" s="534">
        <v>11687.04</v>
      </c>
      <c r="I5543" s="56">
        <v>45174</v>
      </c>
      <c r="J5543" s="199" t="s">
        <v>13674</v>
      </c>
      <c r="K5543" s="46" t="s">
        <v>1170</v>
      </c>
      <c r="L5543" s="99"/>
      <c r="M5543" s="379"/>
      <c r="N5543" s="76"/>
      <c r="O5543" s="46" t="s">
        <v>1171</v>
      </c>
      <c r="P5543" s="46" t="s">
        <v>71</v>
      </c>
      <c r="Q5543" s="46" t="s">
        <v>113</v>
      </c>
      <c r="R5543" s="46" t="s">
        <v>272</v>
      </c>
    </row>
    <row r="5544" spans="1:18" ht="69" customHeight="1">
      <c r="A5544" s="168"/>
      <c r="B5544" s="52">
        <f t="shared" si="0"/>
        <v>2683</v>
      </c>
      <c r="C5544" s="191" t="s">
        <v>458</v>
      </c>
      <c r="D5544" s="533" t="s">
        <v>4704</v>
      </c>
      <c r="E5544" s="46" t="s">
        <v>266</v>
      </c>
      <c r="F5544" s="211" t="s">
        <v>13675</v>
      </c>
      <c r="G5544" s="46" t="s">
        <v>13676</v>
      </c>
      <c r="H5544" s="534">
        <v>21046.560000000001</v>
      </c>
      <c r="I5544" s="56">
        <v>45174</v>
      </c>
      <c r="J5544" s="199" t="s">
        <v>13674</v>
      </c>
      <c r="K5544" s="46" t="s">
        <v>1170</v>
      </c>
      <c r="L5544" s="99"/>
      <c r="M5544" s="379"/>
      <c r="N5544" s="76"/>
      <c r="O5544" s="46" t="s">
        <v>1171</v>
      </c>
      <c r="P5544" s="46" t="s">
        <v>71</v>
      </c>
      <c r="Q5544" s="46" t="s">
        <v>119</v>
      </c>
      <c r="R5544" s="46" t="s">
        <v>272</v>
      </c>
    </row>
    <row r="5545" spans="1:18" ht="69" customHeight="1">
      <c r="A5545" s="168"/>
      <c r="B5545" s="52">
        <f t="shared" si="0"/>
        <v>2684</v>
      </c>
      <c r="C5545" s="191" t="s">
        <v>657</v>
      </c>
      <c r="D5545" s="533" t="s">
        <v>7408</v>
      </c>
      <c r="E5545" s="46" t="s">
        <v>266</v>
      </c>
      <c r="F5545" s="211" t="s">
        <v>13677</v>
      </c>
      <c r="G5545" s="46" t="s">
        <v>13676</v>
      </c>
      <c r="H5545" s="534">
        <v>21046.560000000001</v>
      </c>
      <c r="I5545" s="56">
        <v>45174</v>
      </c>
      <c r="J5545" s="199" t="s">
        <v>13674</v>
      </c>
      <c r="K5545" s="46" t="s">
        <v>1170</v>
      </c>
      <c r="L5545" s="99"/>
      <c r="M5545" s="379"/>
      <c r="N5545" s="76"/>
      <c r="O5545" s="46" t="s">
        <v>1171</v>
      </c>
      <c r="P5545" s="46" t="s">
        <v>71</v>
      </c>
      <c r="Q5545" s="46" t="s">
        <v>121</v>
      </c>
      <c r="R5545" s="46" t="s">
        <v>272</v>
      </c>
    </row>
    <row r="5546" spans="1:18" ht="69" customHeight="1">
      <c r="A5546" s="168"/>
      <c r="B5546" s="52">
        <f t="shared" si="0"/>
        <v>2685</v>
      </c>
      <c r="C5546" s="191" t="s">
        <v>10418</v>
      </c>
      <c r="D5546" s="533" t="s">
        <v>4814</v>
      </c>
      <c r="E5546" s="46" t="s">
        <v>266</v>
      </c>
      <c r="F5546" s="211" t="s">
        <v>13678</v>
      </c>
      <c r="G5546" s="46" t="s">
        <v>13676</v>
      </c>
      <c r="H5546" s="534">
        <v>21046.560000000001</v>
      </c>
      <c r="I5546" s="56">
        <v>45174</v>
      </c>
      <c r="J5546" s="199" t="s">
        <v>13674</v>
      </c>
      <c r="K5546" s="46" t="s">
        <v>1170</v>
      </c>
      <c r="L5546" s="99"/>
      <c r="M5546" s="379"/>
      <c r="N5546" s="76"/>
      <c r="O5546" s="46" t="s">
        <v>1171</v>
      </c>
      <c r="P5546" s="46" t="s">
        <v>71</v>
      </c>
      <c r="Q5546" s="46" t="s">
        <v>120</v>
      </c>
      <c r="R5546" s="46" t="s">
        <v>272</v>
      </c>
    </row>
    <row r="5547" spans="1:18" ht="69" customHeight="1">
      <c r="A5547" s="168"/>
      <c r="B5547" s="52">
        <f t="shared" si="0"/>
        <v>2686</v>
      </c>
      <c r="C5547" s="191" t="s">
        <v>657</v>
      </c>
      <c r="D5547" s="533" t="s">
        <v>6528</v>
      </c>
      <c r="E5547" s="46" t="s">
        <v>266</v>
      </c>
      <c r="F5547" s="211" t="s">
        <v>13679</v>
      </c>
      <c r="G5547" s="46" t="s">
        <v>13676</v>
      </c>
      <c r="H5547" s="534">
        <v>13298.45</v>
      </c>
      <c r="I5547" s="56">
        <v>45174</v>
      </c>
      <c r="J5547" s="199" t="s">
        <v>13674</v>
      </c>
      <c r="K5547" s="46"/>
      <c r="L5547" s="99"/>
      <c r="M5547" s="379"/>
      <c r="N5547" s="76"/>
      <c r="O5547" s="46" t="s">
        <v>1171</v>
      </c>
      <c r="P5547" s="46" t="s">
        <v>71</v>
      </c>
      <c r="Q5547" s="46" t="s">
        <v>97</v>
      </c>
      <c r="R5547" s="46" t="s">
        <v>272</v>
      </c>
    </row>
    <row r="5548" spans="1:18" ht="69" customHeight="1">
      <c r="A5548" s="168"/>
      <c r="B5548" s="52">
        <f t="shared" si="0"/>
        <v>2687</v>
      </c>
      <c r="C5548" s="191" t="s">
        <v>458</v>
      </c>
      <c r="D5548" s="533" t="s">
        <v>13680</v>
      </c>
      <c r="E5548" s="46" t="s">
        <v>266</v>
      </c>
      <c r="F5548" s="211" t="s">
        <v>13681</v>
      </c>
      <c r="G5548" s="46" t="s">
        <v>13676</v>
      </c>
      <c r="H5548" s="534">
        <v>10878.8</v>
      </c>
      <c r="I5548" s="56">
        <v>45174</v>
      </c>
      <c r="J5548" s="199" t="s">
        <v>13674</v>
      </c>
      <c r="K5548" s="46" t="s">
        <v>1170</v>
      </c>
      <c r="L5548" s="99"/>
      <c r="M5548" s="379"/>
      <c r="N5548" s="76"/>
      <c r="O5548" s="46" t="s">
        <v>1171</v>
      </c>
      <c r="P5548" s="46" t="s">
        <v>71</v>
      </c>
      <c r="Q5548" s="46" t="s">
        <v>107</v>
      </c>
      <c r="R5548" s="46" t="s">
        <v>272</v>
      </c>
    </row>
    <row r="5549" spans="1:18" ht="69" customHeight="1">
      <c r="A5549" s="168"/>
      <c r="B5549" s="52">
        <f t="shared" si="0"/>
        <v>2688</v>
      </c>
      <c r="C5549" s="191" t="s">
        <v>458</v>
      </c>
      <c r="D5549" s="533" t="s">
        <v>13682</v>
      </c>
      <c r="E5549" s="46" t="s">
        <v>266</v>
      </c>
      <c r="F5549" s="211" t="s">
        <v>13683</v>
      </c>
      <c r="G5549" s="46" t="s">
        <v>13676</v>
      </c>
      <c r="H5549" s="534">
        <v>11687.04</v>
      </c>
      <c r="I5549" s="56">
        <v>45174</v>
      </c>
      <c r="J5549" s="199" t="s">
        <v>13674</v>
      </c>
      <c r="K5549" s="46" t="s">
        <v>1170</v>
      </c>
      <c r="L5549" s="99"/>
      <c r="M5549" s="379"/>
      <c r="N5549" s="76"/>
      <c r="O5549" s="46" t="s">
        <v>1171</v>
      </c>
      <c r="P5549" s="46" t="s">
        <v>71</v>
      </c>
      <c r="Q5549" s="46" t="s">
        <v>103</v>
      </c>
      <c r="R5549" s="46" t="s">
        <v>272</v>
      </c>
    </row>
    <row r="5550" spans="1:18" ht="69" customHeight="1">
      <c r="A5550" s="168"/>
      <c r="B5550" s="172">
        <f t="shared" si="0"/>
        <v>2689</v>
      </c>
      <c r="C5550" s="171" t="s">
        <v>657</v>
      </c>
      <c r="D5550" s="593" t="s">
        <v>6347</v>
      </c>
      <c r="E5550" s="100" t="s">
        <v>266</v>
      </c>
      <c r="F5550" s="594" t="s">
        <v>13684</v>
      </c>
      <c r="G5550" s="100" t="s">
        <v>13676</v>
      </c>
      <c r="H5550" s="534">
        <v>10878.8</v>
      </c>
      <c r="I5550" s="96">
        <v>45174</v>
      </c>
      <c r="J5550" s="268" t="s">
        <v>13674</v>
      </c>
      <c r="K5550" s="100" t="s">
        <v>13685</v>
      </c>
      <c r="L5550" s="99"/>
      <c r="M5550" s="390"/>
      <c r="N5550" s="109"/>
      <c r="O5550" s="46" t="s">
        <v>1171</v>
      </c>
      <c r="P5550" s="46" t="s">
        <v>71</v>
      </c>
      <c r="Q5550" s="100" t="s">
        <v>104</v>
      </c>
      <c r="R5550" s="100" t="s">
        <v>272</v>
      </c>
    </row>
    <row r="5551" spans="1:18" ht="69" customHeight="1">
      <c r="A5551" s="168"/>
      <c r="B5551" s="48">
        <f t="shared" si="0"/>
        <v>2690</v>
      </c>
      <c r="C5551" s="59" t="s">
        <v>309</v>
      </c>
      <c r="D5551" s="581" t="s">
        <v>5177</v>
      </c>
      <c r="E5551" s="45" t="s">
        <v>382</v>
      </c>
      <c r="F5551" s="569" t="s">
        <v>13686</v>
      </c>
      <c r="G5551" s="45" t="s">
        <v>13687</v>
      </c>
      <c r="H5551" s="546">
        <v>12000</v>
      </c>
      <c r="I5551" s="47">
        <v>45174</v>
      </c>
      <c r="J5551" s="73" t="s">
        <v>13688</v>
      </c>
      <c r="K5551" s="45"/>
      <c r="L5551" s="99"/>
      <c r="M5551" s="385"/>
      <c r="N5551" s="75"/>
      <c r="O5551" s="45" t="s">
        <v>150</v>
      </c>
      <c r="P5551" s="45" t="s">
        <v>51</v>
      </c>
      <c r="Q5551" s="45" t="s">
        <v>25</v>
      </c>
      <c r="R5551" s="45" t="s">
        <v>265</v>
      </c>
    </row>
    <row r="5552" spans="1:18" ht="69" customHeight="1">
      <c r="A5552" s="168"/>
      <c r="B5552" s="48">
        <f t="shared" si="0"/>
        <v>2691</v>
      </c>
      <c r="C5552" s="59" t="s">
        <v>309</v>
      </c>
      <c r="D5552" s="581" t="s">
        <v>13180</v>
      </c>
      <c r="E5552" s="45" t="s">
        <v>382</v>
      </c>
      <c r="F5552" s="569" t="s">
        <v>13689</v>
      </c>
      <c r="G5552" s="45" t="s">
        <v>13687</v>
      </c>
      <c r="H5552" s="546">
        <v>12000</v>
      </c>
      <c r="I5552" s="47">
        <v>45174</v>
      </c>
      <c r="J5552" s="73" t="s">
        <v>13688</v>
      </c>
      <c r="K5552" s="45"/>
      <c r="L5552" s="99"/>
      <c r="M5552" s="385"/>
      <c r="N5552" s="75"/>
      <c r="O5552" s="45" t="s">
        <v>150</v>
      </c>
      <c r="P5552" s="45" t="s">
        <v>51</v>
      </c>
      <c r="Q5552" s="45" t="s">
        <v>20</v>
      </c>
      <c r="R5552" s="45" t="s">
        <v>265</v>
      </c>
    </row>
    <row r="5553" spans="1:18" ht="69" customHeight="1">
      <c r="A5553" s="168"/>
      <c r="B5553" s="261">
        <f t="shared" si="0"/>
        <v>2692</v>
      </c>
      <c r="C5553" s="256" t="s">
        <v>458</v>
      </c>
      <c r="D5553" s="299" t="s">
        <v>13690</v>
      </c>
      <c r="E5553" s="118" t="s">
        <v>382</v>
      </c>
      <c r="F5553" s="263" t="s">
        <v>13691</v>
      </c>
      <c r="G5553" s="118" t="s">
        <v>13692</v>
      </c>
      <c r="H5553" s="300">
        <v>2000</v>
      </c>
      <c r="I5553" s="262">
        <v>45174</v>
      </c>
      <c r="J5553" s="258" t="s">
        <v>13688</v>
      </c>
      <c r="K5553" s="118" t="s">
        <v>13527</v>
      </c>
      <c r="L5553" s="99"/>
      <c r="M5553" s="390"/>
      <c r="N5553" s="109"/>
      <c r="O5553" s="118" t="s">
        <v>150</v>
      </c>
      <c r="P5553" s="118" t="s">
        <v>67</v>
      </c>
      <c r="Q5553" s="118" t="s">
        <v>121</v>
      </c>
      <c r="R5553" s="118" t="s">
        <v>265</v>
      </c>
    </row>
    <row r="5554" spans="1:18" ht="69" customHeight="1">
      <c r="A5554" s="168"/>
      <c r="B5554" s="48">
        <f t="shared" si="0"/>
        <v>2693</v>
      </c>
      <c r="C5554" s="59" t="s">
        <v>309</v>
      </c>
      <c r="D5554" s="581" t="s">
        <v>4812</v>
      </c>
      <c r="E5554" s="45" t="s">
        <v>382</v>
      </c>
      <c r="F5554" s="569" t="s">
        <v>13693</v>
      </c>
      <c r="G5554" s="45" t="s">
        <v>13694</v>
      </c>
      <c r="H5554" s="546">
        <v>2032</v>
      </c>
      <c r="I5554" s="47">
        <v>45174</v>
      </c>
      <c r="J5554" s="73" t="s">
        <v>13688</v>
      </c>
      <c r="K5554" s="45"/>
      <c r="L5554" s="99"/>
      <c r="M5554" s="385"/>
      <c r="N5554" s="75"/>
      <c r="O5554" s="45" t="s">
        <v>150</v>
      </c>
      <c r="P5554" s="45" t="s">
        <v>51</v>
      </c>
      <c r="Q5554" s="45" t="s">
        <v>25</v>
      </c>
      <c r="R5554" s="45" t="s">
        <v>265</v>
      </c>
    </row>
    <row r="5555" spans="1:18" ht="69" customHeight="1">
      <c r="A5555" s="168"/>
      <c r="B5555" s="48">
        <f t="shared" si="0"/>
        <v>2694</v>
      </c>
      <c r="C5555" s="59" t="s">
        <v>309</v>
      </c>
      <c r="D5555" s="581" t="s">
        <v>6820</v>
      </c>
      <c r="E5555" s="45" t="s">
        <v>382</v>
      </c>
      <c r="F5555" s="569" t="s">
        <v>13695</v>
      </c>
      <c r="G5555" s="45" t="s">
        <v>13694</v>
      </c>
      <c r="H5555" s="546">
        <v>2032</v>
      </c>
      <c r="I5555" s="47">
        <v>45174</v>
      </c>
      <c r="J5555" s="73" t="s">
        <v>13688</v>
      </c>
      <c r="K5555" s="45"/>
      <c r="L5555" s="99"/>
      <c r="M5555" s="385"/>
      <c r="N5555" s="75"/>
      <c r="O5555" s="45" t="s">
        <v>150</v>
      </c>
      <c r="P5555" s="45" t="s">
        <v>51</v>
      </c>
      <c r="Q5555" s="45" t="s">
        <v>20</v>
      </c>
      <c r="R5555" s="45" t="s">
        <v>265</v>
      </c>
    </row>
    <row r="5556" spans="1:18" ht="69" customHeight="1">
      <c r="A5556" s="168"/>
      <c r="B5556" s="48">
        <f t="shared" si="0"/>
        <v>2695</v>
      </c>
      <c r="C5556" s="59" t="s">
        <v>458</v>
      </c>
      <c r="D5556" s="581" t="s">
        <v>4054</v>
      </c>
      <c r="E5556" s="45" t="s">
        <v>382</v>
      </c>
      <c r="F5556" s="569" t="s">
        <v>13696</v>
      </c>
      <c r="G5556" s="45" t="s">
        <v>13694</v>
      </c>
      <c r="H5556" s="546">
        <v>2478</v>
      </c>
      <c r="I5556" s="47">
        <v>45174</v>
      </c>
      <c r="J5556" s="73" t="s">
        <v>13688</v>
      </c>
      <c r="K5556" s="45"/>
      <c r="L5556" s="99"/>
      <c r="M5556" s="385"/>
      <c r="N5556" s="75"/>
      <c r="O5556" s="45" t="s">
        <v>150</v>
      </c>
      <c r="P5556" s="45" t="s">
        <v>51</v>
      </c>
      <c r="Q5556" s="45" t="s">
        <v>108</v>
      </c>
      <c r="R5556" s="45" t="s">
        <v>272</v>
      </c>
    </row>
    <row r="5557" spans="1:18" ht="69" customHeight="1">
      <c r="A5557" s="168"/>
      <c r="B5557" s="48">
        <f t="shared" si="0"/>
        <v>2696</v>
      </c>
      <c r="C5557" s="59" t="s">
        <v>458</v>
      </c>
      <c r="D5557" s="581" t="s">
        <v>13697</v>
      </c>
      <c r="E5557" s="45" t="s">
        <v>382</v>
      </c>
      <c r="F5557" s="569" t="s">
        <v>13698</v>
      </c>
      <c r="G5557" s="45" t="s">
        <v>13694</v>
      </c>
      <c r="H5557" s="546">
        <v>2477.98</v>
      </c>
      <c r="I5557" s="47">
        <v>45174</v>
      </c>
      <c r="J5557" s="73" t="s">
        <v>13688</v>
      </c>
      <c r="K5557" s="45"/>
      <c r="L5557" s="99"/>
      <c r="M5557" s="385"/>
      <c r="N5557" s="75"/>
      <c r="O5557" s="45" t="s">
        <v>150</v>
      </c>
      <c r="P5557" s="45" t="s">
        <v>51</v>
      </c>
      <c r="Q5557" s="45" t="s">
        <v>119</v>
      </c>
      <c r="R5557" s="45" t="s">
        <v>265</v>
      </c>
    </row>
    <row r="5558" spans="1:18" ht="69" customHeight="1">
      <c r="A5558" s="168"/>
      <c r="B5558" s="48">
        <f t="shared" si="0"/>
        <v>2697</v>
      </c>
      <c r="C5558" s="59" t="s">
        <v>10944</v>
      </c>
      <c r="D5558" s="581" t="s">
        <v>6067</v>
      </c>
      <c r="E5558" s="45" t="s">
        <v>11692</v>
      </c>
      <c r="F5558" s="569" t="s">
        <v>13699</v>
      </c>
      <c r="G5558" s="45" t="s">
        <v>13700</v>
      </c>
      <c r="H5558" s="546">
        <v>2922.45</v>
      </c>
      <c r="I5558" s="47">
        <v>45174</v>
      </c>
      <c r="J5558" s="73" t="s">
        <v>13701</v>
      </c>
      <c r="K5558" s="45"/>
      <c r="L5558" s="99"/>
      <c r="M5558" s="385"/>
      <c r="N5558" s="75"/>
      <c r="O5558" s="45" t="s">
        <v>13702</v>
      </c>
      <c r="P5558" s="45" t="s">
        <v>44</v>
      </c>
      <c r="Q5558" s="45" t="s">
        <v>120</v>
      </c>
      <c r="R5558" s="45" t="s">
        <v>272</v>
      </c>
    </row>
    <row r="5559" spans="1:18" ht="69" customHeight="1">
      <c r="A5559" s="168"/>
      <c r="B5559" s="62">
        <f t="shared" si="0"/>
        <v>2698</v>
      </c>
      <c r="C5559" s="59" t="s">
        <v>7415</v>
      </c>
      <c r="D5559" s="581" t="s">
        <v>13703</v>
      </c>
      <c r="E5559" s="45" t="s">
        <v>11692</v>
      </c>
      <c r="F5559" s="569" t="s">
        <v>13704</v>
      </c>
      <c r="G5559" s="45" t="s">
        <v>13700</v>
      </c>
      <c r="H5559" s="546">
        <v>2987.4</v>
      </c>
      <c r="I5559" s="47">
        <v>45174</v>
      </c>
      <c r="J5559" s="73" t="s">
        <v>13701</v>
      </c>
      <c r="K5559" s="45"/>
      <c r="L5559" s="99"/>
      <c r="M5559" s="385"/>
      <c r="N5559" s="75"/>
      <c r="O5559" s="45" t="s">
        <v>13702</v>
      </c>
      <c r="P5559" s="45" t="s">
        <v>44</v>
      </c>
      <c r="Q5559" s="45" t="s">
        <v>119</v>
      </c>
      <c r="R5559" s="45" t="s">
        <v>272</v>
      </c>
    </row>
    <row r="5560" spans="1:18" s="98" customFormat="1" ht="69" customHeight="1">
      <c r="A5560" s="169"/>
      <c r="B5560" s="48">
        <f t="shared" si="0"/>
        <v>2699</v>
      </c>
      <c r="C5560" s="59" t="s">
        <v>1853</v>
      </c>
      <c r="D5560" s="84" t="s">
        <v>13705</v>
      </c>
      <c r="E5560" s="44" t="s">
        <v>4173</v>
      </c>
      <c r="F5560" s="45" t="s">
        <v>13706</v>
      </c>
      <c r="G5560" s="45" t="s">
        <v>13707</v>
      </c>
      <c r="H5560" s="546">
        <v>30000</v>
      </c>
      <c r="I5560" s="47">
        <v>45174</v>
      </c>
      <c r="J5560" s="73" t="s">
        <v>13708</v>
      </c>
      <c r="K5560" s="45"/>
      <c r="L5560" s="99"/>
      <c r="M5560" s="385"/>
      <c r="N5560" s="75"/>
      <c r="O5560" s="45" t="s">
        <v>441</v>
      </c>
      <c r="P5560" s="45" t="s">
        <v>22</v>
      </c>
      <c r="Q5560" s="45" t="s">
        <v>29</v>
      </c>
      <c r="R5560" s="45" t="s">
        <v>265</v>
      </c>
    </row>
    <row r="5561" spans="1:18" ht="69" customHeight="1">
      <c r="A5561" s="168"/>
      <c r="B5561" s="48">
        <f t="shared" si="0"/>
        <v>2700</v>
      </c>
      <c r="C5561" s="59" t="s">
        <v>2182</v>
      </c>
      <c r="D5561" s="581" t="s">
        <v>4099</v>
      </c>
      <c r="E5561" s="45" t="s">
        <v>4173</v>
      </c>
      <c r="F5561" s="569" t="s">
        <v>13709</v>
      </c>
      <c r="G5561" s="45" t="s">
        <v>13710</v>
      </c>
      <c r="H5561" s="546">
        <v>30581</v>
      </c>
      <c r="I5561" s="47">
        <v>45174</v>
      </c>
      <c r="J5561" s="73" t="s">
        <v>13708</v>
      </c>
      <c r="K5561" s="45"/>
      <c r="L5561" s="99"/>
      <c r="M5561" s="385"/>
      <c r="N5561" s="75"/>
      <c r="O5561" s="45" t="s">
        <v>441</v>
      </c>
      <c r="P5561" s="45" t="s">
        <v>22</v>
      </c>
      <c r="Q5561" s="45" t="s">
        <v>31</v>
      </c>
      <c r="R5561" s="45" t="s">
        <v>265</v>
      </c>
    </row>
    <row r="5562" spans="1:18" ht="69" customHeight="1">
      <c r="A5562" s="168"/>
      <c r="B5562" s="48">
        <f t="shared" si="0"/>
        <v>2701</v>
      </c>
      <c r="C5562" s="59" t="s">
        <v>11050</v>
      </c>
      <c r="D5562" s="581" t="s">
        <v>5967</v>
      </c>
      <c r="E5562" s="45" t="s">
        <v>4173</v>
      </c>
      <c r="F5562" s="569" t="s">
        <v>13711</v>
      </c>
      <c r="G5562" s="45" t="s">
        <v>13712</v>
      </c>
      <c r="H5562" s="546">
        <v>43000</v>
      </c>
      <c r="I5562" s="47">
        <v>45174</v>
      </c>
      <c r="J5562" s="73" t="s">
        <v>13708</v>
      </c>
      <c r="K5562" s="45"/>
      <c r="L5562" s="99"/>
      <c r="M5562" s="385"/>
      <c r="N5562" s="75"/>
      <c r="O5562" s="45" t="s">
        <v>441</v>
      </c>
      <c r="P5562" s="45" t="s">
        <v>22</v>
      </c>
      <c r="Q5562" s="45" t="s">
        <v>35</v>
      </c>
      <c r="R5562" s="45" t="s">
        <v>265</v>
      </c>
    </row>
    <row r="5563" spans="1:18" ht="69" customHeight="1">
      <c r="A5563" s="168"/>
      <c r="B5563" s="48">
        <f t="shared" ref="B5563:B5594" si="1">B5562+1</f>
        <v>2702</v>
      </c>
      <c r="C5563" s="59" t="s">
        <v>11050</v>
      </c>
      <c r="D5563" s="581" t="s">
        <v>4702</v>
      </c>
      <c r="E5563" s="45" t="s">
        <v>4173</v>
      </c>
      <c r="F5563" s="569" t="s">
        <v>13713</v>
      </c>
      <c r="G5563" s="45" t="s">
        <v>13714</v>
      </c>
      <c r="H5563" s="546">
        <v>36480</v>
      </c>
      <c r="I5563" s="47">
        <v>45174</v>
      </c>
      <c r="J5563" s="73" t="s">
        <v>13715</v>
      </c>
      <c r="K5563" s="45"/>
      <c r="L5563" s="99"/>
      <c r="M5563" s="385"/>
      <c r="N5563" s="75"/>
      <c r="O5563" s="45" t="s">
        <v>441</v>
      </c>
      <c r="P5563" s="45" t="s">
        <v>22</v>
      </c>
      <c r="Q5563" s="45" t="s">
        <v>35</v>
      </c>
      <c r="R5563" s="45" t="s">
        <v>265</v>
      </c>
    </row>
    <row r="5564" spans="1:18" ht="69" customHeight="1">
      <c r="A5564" s="168"/>
      <c r="B5564" s="48">
        <f t="shared" si="1"/>
        <v>2703</v>
      </c>
      <c r="C5564" s="59" t="s">
        <v>11052</v>
      </c>
      <c r="D5564" s="581" t="s">
        <v>5190</v>
      </c>
      <c r="E5564" s="45" t="s">
        <v>4173</v>
      </c>
      <c r="F5564" s="569" t="s">
        <v>13716</v>
      </c>
      <c r="G5564" s="45" t="s">
        <v>13714</v>
      </c>
      <c r="H5564" s="546">
        <v>36480</v>
      </c>
      <c r="I5564" s="47">
        <v>45174</v>
      </c>
      <c r="J5564" s="73" t="s">
        <v>13715</v>
      </c>
      <c r="K5564" s="45"/>
      <c r="L5564" s="99"/>
      <c r="M5564" s="385"/>
      <c r="N5564" s="75"/>
      <c r="O5564" s="45" t="s">
        <v>441</v>
      </c>
      <c r="P5564" s="45" t="s">
        <v>22</v>
      </c>
      <c r="Q5564" s="45" t="s">
        <v>37</v>
      </c>
      <c r="R5564" s="45" t="s">
        <v>265</v>
      </c>
    </row>
    <row r="5565" spans="1:18" ht="69" customHeight="1">
      <c r="A5565" s="168"/>
      <c r="B5565" s="48">
        <f t="shared" si="1"/>
        <v>2704</v>
      </c>
      <c r="C5565" s="59" t="s">
        <v>1853</v>
      </c>
      <c r="D5565" s="581" t="s">
        <v>5513</v>
      </c>
      <c r="E5565" s="45" t="s">
        <v>4173</v>
      </c>
      <c r="F5565" s="569" t="s">
        <v>13717</v>
      </c>
      <c r="G5565" s="45" t="s">
        <v>13718</v>
      </c>
      <c r="H5565" s="546">
        <v>31500</v>
      </c>
      <c r="I5565" s="47">
        <v>45174</v>
      </c>
      <c r="J5565" s="73" t="s">
        <v>13719</v>
      </c>
      <c r="K5565" s="45"/>
      <c r="L5565" s="99"/>
      <c r="M5565" s="385"/>
      <c r="N5565" s="75"/>
      <c r="O5565" s="45" t="s">
        <v>441</v>
      </c>
      <c r="P5565" s="45" t="s">
        <v>22</v>
      </c>
      <c r="Q5565" s="45" t="s">
        <v>29</v>
      </c>
      <c r="R5565" s="45" t="s">
        <v>265</v>
      </c>
    </row>
    <row r="5566" spans="1:18" ht="69" customHeight="1">
      <c r="A5566" s="168"/>
      <c r="B5566" s="48">
        <f t="shared" si="1"/>
        <v>2705</v>
      </c>
      <c r="C5566" s="59" t="s">
        <v>11052</v>
      </c>
      <c r="D5566" s="581" t="s">
        <v>5499</v>
      </c>
      <c r="E5566" s="45" t="s">
        <v>4173</v>
      </c>
      <c r="F5566" s="569" t="s">
        <v>13720</v>
      </c>
      <c r="G5566" s="45" t="s">
        <v>13718</v>
      </c>
      <c r="H5566" s="546">
        <v>31500</v>
      </c>
      <c r="I5566" s="47">
        <v>45174</v>
      </c>
      <c r="J5566" s="73" t="s">
        <v>13719</v>
      </c>
      <c r="K5566" s="45"/>
      <c r="L5566" s="99"/>
      <c r="M5566" s="385"/>
      <c r="N5566" s="75"/>
      <c r="O5566" s="45" t="s">
        <v>441</v>
      </c>
      <c r="P5566" s="45" t="s">
        <v>22</v>
      </c>
      <c r="Q5566" s="45" t="s">
        <v>37</v>
      </c>
      <c r="R5566" s="45" t="s">
        <v>265</v>
      </c>
    </row>
    <row r="5567" spans="1:18" ht="69" customHeight="1">
      <c r="A5567" s="168"/>
      <c r="B5567" s="259">
        <f t="shared" si="1"/>
        <v>2706</v>
      </c>
      <c r="C5567" s="207" t="s">
        <v>309</v>
      </c>
      <c r="D5567" s="301" t="s">
        <v>6419</v>
      </c>
      <c r="E5567" s="160" t="s">
        <v>13550</v>
      </c>
      <c r="F5567" s="208" t="s">
        <v>13721</v>
      </c>
      <c r="G5567" s="160" t="s">
        <v>13722</v>
      </c>
      <c r="H5567" s="300">
        <v>58951.34</v>
      </c>
      <c r="I5567" s="209">
        <v>45158</v>
      </c>
      <c r="J5567" s="316" t="s">
        <v>13723</v>
      </c>
      <c r="K5567" s="160" t="s">
        <v>4128</v>
      </c>
      <c r="M5567" s="379"/>
      <c r="N5567" s="76"/>
      <c r="O5567" s="160" t="s">
        <v>1805</v>
      </c>
      <c r="P5567" s="160" t="s">
        <v>67</v>
      </c>
      <c r="Q5567" s="160" t="s">
        <v>113</v>
      </c>
      <c r="R5567" s="160" t="s">
        <v>272</v>
      </c>
    </row>
    <row r="5568" spans="1:18" ht="69" customHeight="1">
      <c r="A5568" s="168"/>
      <c r="B5568" s="259">
        <f t="shared" si="1"/>
        <v>2707</v>
      </c>
      <c r="C5568" s="207" t="s">
        <v>309</v>
      </c>
      <c r="D5568" s="301" t="s">
        <v>5732</v>
      </c>
      <c r="E5568" s="160" t="s">
        <v>13550</v>
      </c>
      <c r="F5568" s="208" t="s">
        <v>13724</v>
      </c>
      <c r="G5568" s="160" t="s">
        <v>13725</v>
      </c>
      <c r="H5568" s="300">
        <v>58951.34</v>
      </c>
      <c r="I5568" s="209">
        <v>45158</v>
      </c>
      <c r="J5568" s="316" t="s">
        <v>13723</v>
      </c>
      <c r="K5568" s="160" t="s">
        <v>4128</v>
      </c>
      <c r="M5568" s="379"/>
      <c r="N5568" s="76"/>
      <c r="O5568" s="160" t="s">
        <v>1805</v>
      </c>
      <c r="P5568" s="160" t="s">
        <v>67</v>
      </c>
      <c r="Q5568" s="160" t="s">
        <v>113</v>
      </c>
      <c r="R5568" s="160" t="s">
        <v>272</v>
      </c>
    </row>
    <row r="5569" spans="1:18" ht="69" customHeight="1">
      <c r="A5569" s="168"/>
      <c r="B5569" s="48">
        <f t="shared" si="1"/>
        <v>2708</v>
      </c>
      <c r="C5569" s="59" t="s">
        <v>7521</v>
      </c>
      <c r="D5569" s="581" t="s">
        <v>3520</v>
      </c>
      <c r="E5569" s="45" t="s">
        <v>755</v>
      </c>
      <c r="F5569" s="569" t="s">
        <v>13726</v>
      </c>
      <c r="G5569" s="45" t="s">
        <v>3531</v>
      </c>
      <c r="H5569" s="546">
        <v>645486.73</v>
      </c>
      <c r="I5569" s="47">
        <v>45174</v>
      </c>
      <c r="J5569" s="73" t="s">
        <v>13727</v>
      </c>
      <c r="K5569" s="45"/>
      <c r="L5569" s="99"/>
      <c r="M5569" s="385"/>
      <c r="N5569" s="75"/>
      <c r="O5569" s="45" t="s">
        <v>1566</v>
      </c>
      <c r="P5569" s="45" t="s">
        <v>28</v>
      </c>
      <c r="Q5569" s="45" t="s">
        <v>102</v>
      </c>
      <c r="R5569" s="45" t="s">
        <v>272</v>
      </c>
    </row>
    <row r="5570" spans="1:18" ht="69" customHeight="1">
      <c r="A5570" s="168"/>
      <c r="B5570" s="48">
        <f t="shared" si="1"/>
        <v>2709</v>
      </c>
      <c r="C5570" s="59" t="s">
        <v>3667</v>
      </c>
      <c r="D5570" s="581" t="s">
        <v>13728</v>
      </c>
      <c r="E5570" s="45" t="s">
        <v>11692</v>
      </c>
      <c r="F5570" s="569" t="s">
        <v>13729</v>
      </c>
      <c r="G5570" s="45" t="s">
        <v>13730</v>
      </c>
      <c r="H5570" s="546">
        <v>5000</v>
      </c>
      <c r="I5570" s="47">
        <v>45174</v>
      </c>
      <c r="J5570" s="73" t="s">
        <v>13731</v>
      </c>
      <c r="K5570" s="45"/>
      <c r="L5570" s="99"/>
      <c r="M5570" s="385"/>
      <c r="N5570" s="75"/>
      <c r="O5570" s="45" t="s">
        <v>13702</v>
      </c>
      <c r="P5570" s="45" t="s">
        <v>44</v>
      </c>
      <c r="Q5570" s="45" t="s">
        <v>58</v>
      </c>
      <c r="R5570" s="45" t="s">
        <v>272</v>
      </c>
    </row>
    <row r="5571" spans="1:18" ht="69" customHeight="1">
      <c r="A5571" s="168"/>
      <c r="B5571" s="259">
        <f t="shared" si="1"/>
        <v>2710</v>
      </c>
      <c r="C5571" s="207" t="s">
        <v>12081</v>
      </c>
      <c r="D5571" s="301" t="s">
        <v>8267</v>
      </c>
      <c r="E5571" s="160" t="s">
        <v>266</v>
      </c>
      <c r="F5571" s="208" t="s">
        <v>13732</v>
      </c>
      <c r="G5571" s="160" t="s">
        <v>13733</v>
      </c>
      <c r="H5571" s="300">
        <v>26250</v>
      </c>
      <c r="I5571" s="209">
        <v>45174</v>
      </c>
      <c r="J5571" s="316" t="s">
        <v>13734</v>
      </c>
      <c r="K5571" s="160" t="s">
        <v>67</v>
      </c>
      <c r="M5571" s="379"/>
      <c r="N5571" s="76"/>
      <c r="O5571" s="160" t="s">
        <v>13735</v>
      </c>
      <c r="P5571" s="160" t="s">
        <v>67</v>
      </c>
      <c r="Q5571" s="160" t="s">
        <v>96</v>
      </c>
      <c r="R5571" s="160" t="s">
        <v>272</v>
      </c>
    </row>
    <row r="5572" spans="1:18" ht="69" customHeight="1">
      <c r="A5572" s="168"/>
      <c r="B5572" s="259">
        <f t="shared" si="1"/>
        <v>2711</v>
      </c>
      <c r="C5572" s="207" t="s">
        <v>3340</v>
      </c>
      <c r="D5572" s="303" t="s">
        <v>6774</v>
      </c>
      <c r="E5572" s="304" t="s">
        <v>266</v>
      </c>
      <c r="F5572" s="160" t="s">
        <v>13736</v>
      </c>
      <c r="G5572" s="160" t="s">
        <v>13737</v>
      </c>
      <c r="H5572" s="300">
        <v>30000</v>
      </c>
      <c r="I5572" s="209">
        <v>45184</v>
      </c>
      <c r="J5572" s="316" t="s">
        <v>13738</v>
      </c>
      <c r="K5572" s="160" t="s">
        <v>13739</v>
      </c>
      <c r="M5572" s="379"/>
      <c r="N5572" s="76"/>
      <c r="O5572" s="160" t="s">
        <v>13740</v>
      </c>
      <c r="P5572" s="160" t="s">
        <v>67</v>
      </c>
      <c r="Q5572" s="160" t="s">
        <v>96</v>
      </c>
      <c r="R5572" s="160" t="s">
        <v>272</v>
      </c>
    </row>
    <row r="5573" spans="1:18" ht="69" customHeight="1">
      <c r="A5573" s="168"/>
      <c r="B5573" s="259">
        <f t="shared" si="1"/>
        <v>2712</v>
      </c>
      <c r="C5573" s="302" t="s">
        <v>11464</v>
      </c>
      <c r="D5573" s="303" t="s">
        <v>2716</v>
      </c>
      <c r="E5573" s="304" t="s">
        <v>266</v>
      </c>
      <c r="F5573" s="160" t="s">
        <v>13741</v>
      </c>
      <c r="G5573" s="160" t="s">
        <v>13737</v>
      </c>
      <c r="H5573" s="300">
        <v>120000</v>
      </c>
      <c r="I5573" s="209">
        <v>45184</v>
      </c>
      <c r="J5573" s="316" t="s">
        <v>13738</v>
      </c>
      <c r="K5573" s="160" t="s">
        <v>13739</v>
      </c>
      <c r="M5573" s="379"/>
      <c r="N5573" s="76"/>
      <c r="O5573" s="160" t="s">
        <v>13740</v>
      </c>
      <c r="P5573" s="160" t="s">
        <v>67</v>
      </c>
      <c r="Q5573" s="160" t="s">
        <v>96</v>
      </c>
      <c r="R5573" s="160" t="s">
        <v>272</v>
      </c>
    </row>
    <row r="5574" spans="1:18" ht="69" customHeight="1">
      <c r="A5574" s="168"/>
      <c r="B5574" s="48">
        <f t="shared" si="1"/>
        <v>2713</v>
      </c>
      <c r="C5574" s="59" t="s">
        <v>4277</v>
      </c>
      <c r="D5574" s="84" t="s">
        <v>13742</v>
      </c>
      <c r="E5574" s="607" t="s">
        <v>4033</v>
      </c>
      <c r="F5574" s="45" t="s">
        <v>13743</v>
      </c>
      <c r="G5574" s="45" t="s">
        <v>13744</v>
      </c>
      <c r="H5574" s="546">
        <v>15822.47</v>
      </c>
      <c r="I5574" s="47">
        <v>45163</v>
      </c>
      <c r="J5574" s="73" t="s">
        <v>13745</v>
      </c>
      <c r="K5574" s="45"/>
      <c r="L5574" s="99"/>
      <c r="M5574" s="385"/>
      <c r="N5574" s="75"/>
      <c r="O5574" s="45" t="s">
        <v>441</v>
      </c>
      <c r="P5574" s="45" t="s">
        <v>22</v>
      </c>
      <c r="Q5574" s="45" t="s">
        <v>60</v>
      </c>
      <c r="R5574" s="45" t="s">
        <v>272</v>
      </c>
    </row>
    <row r="5575" spans="1:18" ht="69" customHeight="1">
      <c r="A5575" s="168"/>
      <c r="B5575" s="48">
        <f t="shared" si="1"/>
        <v>2714</v>
      </c>
      <c r="C5575" s="59" t="s">
        <v>4277</v>
      </c>
      <c r="D5575" s="84" t="s">
        <v>13746</v>
      </c>
      <c r="E5575" s="607" t="s">
        <v>4033</v>
      </c>
      <c r="F5575" s="45" t="s">
        <v>13747</v>
      </c>
      <c r="G5575" s="45" t="s">
        <v>13744</v>
      </c>
      <c r="H5575" s="546">
        <v>15965.22</v>
      </c>
      <c r="I5575" s="47">
        <v>45163</v>
      </c>
      <c r="J5575" s="73" t="s">
        <v>13745</v>
      </c>
      <c r="K5575" s="45"/>
      <c r="L5575" s="99"/>
      <c r="M5575" s="385"/>
      <c r="N5575" s="75"/>
      <c r="O5575" s="45" t="s">
        <v>441</v>
      </c>
      <c r="P5575" s="45" t="s">
        <v>22</v>
      </c>
      <c r="Q5575" s="45" t="s">
        <v>62</v>
      </c>
      <c r="R5575" s="45" t="s">
        <v>272</v>
      </c>
    </row>
    <row r="5576" spans="1:18" s="98" customFormat="1" ht="69" customHeight="1">
      <c r="A5576" s="169"/>
      <c r="B5576" s="48">
        <f t="shared" si="1"/>
        <v>2715</v>
      </c>
      <c r="C5576" s="59" t="s">
        <v>458</v>
      </c>
      <c r="D5576" s="84" t="s">
        <v>13748</v>
      </c>
      <c r="E5576" s="59" t="s">
        <v>7649</v>
      </c>
      <c r="F5576" s="569" t="s">
        <v>13749</v>
      </c>
      <c r="G5576" s="45" t="s">
        <v>13750</v>
      </c>
      <c r="H5576" s="546">
        <v>32187.62</v>
      </c>
      <c r="I5576" s="47">
        <v>45168</v>
      </c>
      <c r="J5576" s="73" t="s">
        <v>13751</v>
      </c>
      <c r="K5576" s="45"/>
      <c r="L5576" s="99"/>
      <c r="M5576" s="385"/>
      <c r="N5576" s="75"/>
      <c r="O5576" s="45" t="s">
        <v>147</v>
      </c>
      <c r="P5576" s="45" t="s">
        <v>22</v>
      </c>
      <c r="Q5576" s="45" t="s">
        <v>121</v>
      </c>
      <c r="R5576" s="45" t="s">
        <v>272</v>
      </c>
    </row>
    <row r="5577" spans="1:18" s="98" customFormat="1" ht="69" customHeight="1">
      <c r="A5577" s="169"/>
      <c r="B5577" s="48">
        <f t="shared" si="1"/>
        <v>2716</v>
      </c>
      <c r="C5577" s="59" t="s">
        <v>458</v>
      </c>
      <c r="D5577" s="84" t="s">
        <v>13752</v>
      </c>
      <c r="E5577" s="59" t="s">
        <v>7649</v>
      </c>
      <c r="F5577" s="569" t="s">
        <v>13753</v>
      </c>
      <c r="G5577" s="45" t="s">
        <v>13754</v>
      </c>
      <c r="H5577" s="546">
        <v>17331.79</v>
      </c>
      <c r="I5577" s="47">
        <v>45168</v>
      </c>
      <c r="J5577" s="73" t="s">
        <v>13751</v>
      </c>
      <c r="K5577" s="45"/>
      <c r="L5577" s="99"/>
      <c r="M5577" s="385"/>
      <c r="N5577" s="75"/>
      <c r="O5577" s="45" t="s">
        <v>147</v>
      </c>
      <c r="P5577" s="45" t="s">
        <v>22</v>
      </c>
      <c r="Q5577" s="45" t="s">
        <v>121</v>
      </c>
      <c r="R5577" s="45" t="s">
        <v>272</v>
      </c>
    </row>
    <row r="5578" spans="1:18" s="98" customFormat="1" ht="69" customHeight="1">
      <c r="A5578" s="169"/>
      <c r="B5578" s="48">
        <f t="shared" si="1"/>
        <v>2717</v>
      </c>
      <c r="C5578" s="45" t="s">
        <v>458</v>
      </c>
      <c r="D5578" s="84" t="s">
        <v>9205</v>
      </c>
      <c r="E5578" s="45" t="s">
        <v>6192</v>
      </c>
      <c r="F5578" s="569" t="s">
        <v>13755</v>
      </c>
      <c r="G5578" s="45" t="s">
        <v>13756</v>
      </c>
      <c r="H5578" s="546">
        <v>73142.149999999994</v>
      </c>
      <c r="I5578" s="47">
        <v>45168</v>
      </c>
      <c r="J5578" s="73" t="s">
        <v>13757</v>
      </c>
      <c r="K5578" s="45" t="s">
        <v>13624</v>
      </c>
      <c r="L5578" s="99"/>
      <c r="M5578" s="385"/>
      <c r="N5578" s="75"/>
      <c r="O5578" s="45" t="s">
        <v>147</v>
      </c>
      <c r="P5578" s="45" t="s">
        <v>22</v>
      </c>
      <c r="Q5578" s="45" t="s">
        <v>107</v>
      </c>
      <c r="R5578" s="45" t="s">
        <v>272</v>
      </c>
    </row>
    <row r="5579" spans="1:18" s="98" customFormat="1" ht="69" customHeight="1">
      <c r="A5579" s="169"/>
      <c r="B5579" s="48">
        <f t="shared" si="1"/>
        <v>2718</v>
      </c>
      <c r="C5579" s="45" t="s">
        <v>458</v>
      </c>
      <c r="D5579" s="84" t="s">
        <v>13758</v>
      </c>
      <c r="E5579" s="45" t="s">
        <v>6192</v>
      </c>
      <c r="F5579" s="569" t="s">
        <v>13759</v>
      </c>
      <c r="G5579" s="45" t="s">
        <v>13760</v>
      </c>
      <c r="H5579" s="546">
        <v>39384.239999999998</v>
      </c>
      <c r="I5579" s="47">
        <v>45168</v>
      </c>
      <c r="J5579" s="73" t="s">
        <v>13757</v>
      </c>
      <c r="K5579" s="45" t="s">
        <v>13624</v>
      </c>
      <c r="L5579" s="99"/>
      <c r="M5579" s="385"/>
      <c r="N5579" s="75"/>
      <c r="O5579" s="45" t="s">
        <v>147</v>
      </c>
      <c r="P5579" s="45" t="s">
        <v>22</v>
      </c>
      <c r="Q5579" s="45" t="s">
        <v>107</v>
      </c>
      <c r="R5579" s="45" t="s">
        <v>272</v>
      </c>
    </row>
    <row r="5580" spans="1:18" ht="69" customHeight="1">
      <c r="A5580" s="169"/>
      <c r="B5580" s="48">
        <f t="shared" si="1"/>
        <v>2719</v>
      </c>
      <c r="C5580" s="59" t="s">
        <v>5558</v>
      </c>
      <c r="D5580" s="581" t="s">
        <v>13761</v>
      </c>
      <c r="E5580" s="59" t="s">
        <v>4033</v>
      </c>
      <c r="F5580" s="569" t="s">
        <v>13762</v>
      </c>
      <c r="G5580" s="45" t="s">
        <v>13763</v>
      </c>
      <c r="H5580" s="546">
        <v>429158.40000000002</v>
      </c>
      <c r="I5580" s="47">
        <v>45163</v>
      </c>
      <c r="J5580" s="73" t="s">
        <v>13764</v>
      </c>
      <c r="K5580" s="45"/>
      <c r="L5580" s="99"/>
      <c r="M5580" s="385"/>
      <c r="N5580" s="75"/>
      <c r="O5580" s="45" t="s">
        <v>441</v>
      </c>
      <c r="P5580" s="45" t="s">
        <v>22</v>
      </c>
      <c r="Q5580" s="45" t="s">
        <v>64</v>
      </c>
      <c r="R5580" s="45" t="s">
        <v>272</v>
      </c>
    </row>
    <row r="5581" spans="1:18" s="98" customFormat="1" ht="69" customHeight="1">
      <c r="A5581" s="169"/>
      <c r="B5581" s="48">
        <f t="shared" si="1"/>
        <v>2720</v>
      </c>
      <c r="C5581" s="45" t="s">
        <v>458</v>
      </c>
      <c r="D5581" s="84" t="s">
        <v>13765</v>
      </c>
      <c r="E5581" s="45" t="s">
        <v>10495</v>
      </c>
      <c r="F5581" s="569" t="s">
        <v>13766</v>
      </c>
      <c r="G5581" s="45" t="s">
        <v>13767</v>
      </c>
      <c r="H5581" s="546">
        <v>181084.48</v>
      </c>
      <c r="I5581" s="47">
        <v>45163</v>
      </c>
      <c r="J5581" s="73" t="s">
        <v>13768</v>
      </c>
      <c r="K5581" s="45"/>
      <c r="L5581" s="99"/>
      <c r="M5581" s="385"/>
      <c r="N5581" s="75"/>
      <c r="O5581" s="45" t="s">
        <v>147</v>
      </c>
      <c r="P5581" s="45" t="s">
        <v>22</v>
      </c>
      <c r="Q5581" s="45" t="s">
        <v>122</v>
      </c>
      <c r="R5581" s="45" t="s">
        <v>272</v>
      </c>
    </row>
    <row r="5582" spans="1:18" s="98" customFormat="1" ht="69" customHeight="1">
      <c r="A5582" s="169"/>
      <c r="B5582" s="48">
        <f t="shared" si="1"/>
        <v>2721</v>
      </c>
      <c r="C5582" s="45" t="s">
        <v>458</v>
      </c>
      <c r="D5582" s="84" t="s">
        <v>6615</v>
      </c>
      <c r="E5582" s="45" t="s">
        <v>10495</v>
      </c>
      <c r="F5582" s="569" t="s">
        <v>13769</v>
      </c>
      <c r="G5582" s="45" t="s">
        <v>13770</v>
      </c>
      <c r="H5582" s="546">
        <v>97507.02</v>
      </c>
      <c r="I5582" s="47">
        <v>45163</v>
      </c>
      <c r="J5582" s="73" t="s">
        <v>13768</v>
      </c>
      <c r="K5582" s="45"/>
      <c r="L5582" s="99"/>
      <c r="M5582" s="385"/>
      <c r="N5582" s="75"/>
      <c r="O5582" s="45" t="s">
        <v>147</v>
      </c>
      <c r="P5582" s="45" t="s">
        <v>22</v>
      </c>
      <c r="Q5582" s="45" t="s">
        <v>122</v>
      </c>
      <c r="R5582" s="45" t="s">
        <v>272</v>
      </c>
    </row>
    <row r="5583" spans="1:18" ht="69" customHeight="1">
      <c r="A5583" s="168"/>
      <c r="B5583" s="48">
        <f t="shared" si="1"/>
        <v>2722</v>
      </c>
      <c r="C5583" s="59" t="s">
        <v>11568</v>
      </c>
      <c r="D5583" s="84" t="s">
        <v>6438</v>
      </c>
      <c r="E5583" s="45" t="s">
        <v>266</v>
      </c>
      <c r="F5583" s="569" t="s">
        <v>13771</v>
      </c>
      <c r="G5583" s="45" t="s">
        <v>13772</v>
      </c>
      <c r="H5583" s="546">
        <v>18000</v>
      </c>
      <c r="I5583" s="47">
        <v>45174</v>
      </c>
      <c r="J5583" s="73" t="s">
        <v>13773</v>
      </c>
      <c r="K5583" s="45"/>
      <c r="L5583" s="99"/>
      <c r="M5583" s="385"/>
      <c r="N5583" s="75"/>
      <c r="O5583" s="45" t="s">
        <v>971</v>
      </c>
      <c r="P5583" s="45" t="s">
        <v>38</v>
      </c>
      <c r="Q5583" s="45" t="s">
        <v>107</v>
      </c>
      <c r="R5583" s="45" t="s">
        <v>272</v>
      </c>
    </row>
    <row r="5584" spans="1:18" ht="69" customHeight="1">
      <c r="A5584" s="168"/>
      <c r="B5584" s="48">
        <f t="shared" si="1"/>
        <v>2723</v>
      </c>
      <c r="C5584" s="59" t="s">
        <v>10634</v>
      </c>
      <c r="D5584" s="84" t="s">
        <v>13774</v>
      </c>
      <c r="E5584" s="45" t="s">
        <v>266</v>
      </c>
      <c r="F5584" s="569" t="s">
        <v>13775</v>
      </c>
      <c r="G5584" s="45" t="s">
        <v>13776</v>
      </c>
      <c r="H5584" s="546">
        <v>17200</v>
      </c>
      <c r="I5584" s="47">
        <v>45174</v>
      </c>
      <c r="J5584" s="73" t="s">
        <v>13777</v>
      </c>
      <c r="K5584" s="45"/>
      <c r="L5584" s="99"/>
      <c r="M5584" s="385"/>
      <c r="N5584" s="75"/>
      <c r="O5584" s="45" t="s">
        <v>971</v>
      </c>
      <c r="P5584" s="45" t="s">
        <v>38</v>
      </c>
      <c r="Q5584" s="45" t="s">
        <v>93</v>
      </c>
      <c r="R5584" s="45" t="s">
        <v>272</v>
      </c>
    </row>
    <row r="5585" spans="1:18" ht="69" customHeight="1">
      <c r="A5585" s="168"/>
      <c r="B5585" s="48">
        <f t="shared" si="1"/>
        <v>2724</v>
      </c>
      <c r="C5585" s="59" t="s">
        <v>10639</v>
      </c>
      <c r="D5585" s="84" t="s">
        <v>13778</v>
      </c>
      <c r="E5585" s="45" t="s">
        <v>266</v>
      </c>
      <c r="F5585" s="569" t="s">
        <v>13779</v>
      </c>
      <c r="G5585" s="45" t="s">
        <v>13776</v>
      </c>
      <c r="H5585" s="546">
        <v>17200</v>
      </c>
      <c r="I5585" s="47">
        <v>45174</v>
      </c>
      <c r="J5585" s="73" t="s">
        <v>13777</v>
      </c>
      <c r="K5585" s="45"/>
      <c r="L5585" s="99"/>
      <c r="M5585" s="385"/>
      <c r="N5585" s="75"/>
      <c r="O5585" s="45" t="s">
        <v>971</v>
      </c>
      <c r="P5585" s="45" t="s">
        <v>38</v>
      </c>
      <c r="Q5585" s="45" t="s">
        <v>95</v>
      </c>
      <c r="R5585" s="45" t="s">
        <v>272</v>
      </c>
    </row>
    <row r="5586" spans="1:18" s="98" customFormat="1" ht="69" customHeight="1">
      <c r="A5586" s="169"/>
      <c r="B5586" s="48">
        <f t="shared" si="1"/>
        <v>2725</v>
      </c>
      <c r="C5586" s="59" t="s">
        <v>657</v>
      </c>
      <c r="D5586" s="84" t="s">
        <v>13780</v>
      </c>
      <c r="E5586" s="45" t="s">
        <v>6192</v>
      </c>
      <c r="F5586" s="569" t="s">
        <v>13781</v>
      </c>
      <c r="G5586" s="45" t="s">
        <v>13782</v>
      </c>
      <c r="H5586" s="546">
        <v>166513.9</v>
      </c>
      <c r="I5586" s="47">
        <v>45168</v>
      </c>
      <c r="J5586" s="73" t="s">
        <v>13783</v>
      </c>
      <c r="K5586" s="45"/>
      <c r="L5586" s="99"/>
      <c r="M5586" s="385"/>
      <c r="N5586" s="75"/>
      <c r="O5586" s="45" t="s">
        <v>147</v>
      </c>
      <c r="P5586" s="45" t="s">
        <v>22</v>
      </c>
      <c r="Q5586" s="45" t="s">
        <v>97</v>
      </c>
      <c r="R5586" s="45" t="s">
        <v>272</v>
      </c>
    </row>
    <row r="5587" spans="1:18" s="98" customFormat="1" ht="69" customHeight="1">
      <c r="A5587" s="169"/>
      <c r="B5587" s="48">
        <f t="shared" si="1"/>
        <v>2726</v>
      </c>
      <c r="C5587" s="59" t="s">
        <v>657</v>
      </c>
      <c r="D5587" s="84" t="s">
        <v>9947</v>
      </c>
      <c r="E5587" s="45" t="s">
        <v>6192</v>
      </c>
      <c r="F5587" s="569" t="s">
        <v>13784</v>
      </c>
      <c r="G5587" s="45" t="s">
        <v>13785</v>
      </c>
      <c r="H5587" s="546">
        <v>89661.33</v>
      </c>
      <c r="I5587" s="47">
        <v>45168</v>
      </c>
      <c r="J5587" s="73" t="s">
        <v>13783</v>
      </c>
      <c r="K5587" s="45"/>
      <c r="L5587" s="99"/>
      <c r="M5587" s="385"/>
      <c r="N5587" s="75"/>
      <c r="O5587" s="45" t="s">
        <v>147</v>
      </c>
      <c r="P5587" s="45" t="s">
        <v>22</v>
      </c>
      <c r="Q5587" s="45" t="s">
        <v>97</v>
      </c>
      <c r="R5587" s="45" t="s">
        <v>272</v>
      </c>
    </row>
    <row r="5588" spans="1:18" s="98" customFormat="1" ht="69" customHeight="1">
      <c r="A5588" s="169"/>
      <c r="B5588" s="48">
        <f t="shared" si="1"/>
        <v>2727</v>
      </c>
      <c r="C5588" s="45" t="s">
        <v>458</v>
      </c>
      <c r="D5588" s="84" t="s">
        <v>6442</v>
      </c>
      <c r="E5588" s="45" t="s">
        <v>6192</v>
      </c>
      <c r="F5588" s="569" t="s">
        <v>13786</v>
      </c>
      <c r="G5588" s="45" t="s">
        <v>13787</v>
      </c>
      <c r="H5588" s="546">
        <v>111464.76</v>
      </c>
      <c r="I5588" s="47">
        <v>45168</v>
      </c>
      <c r="J5588" s="73" t="s">
        <v>13788</v>
      </c>
      <c r="K5588" s="58" t="s">
        <v>13789</v>
      </c>
      <c r="L5588" s="99"/>
      <c r="M5588" s="385"/>
      <c r="N5588" s="75"/>
      <c r="O5588" s="45" t="s">
        <v>147</v>
      </c>
      <c r="P5588" s="45" t="s">
        <v>22</v>
      </c>
      <c r="Q5588" s="45" t="s">
        <v>107</v>
      </c>
      <c r="R5588" s="45" t="s">
        <v>272</v>
      </c>
    </row>
    <row r="5589" spans="1:18" s="98" customFormat="1" ht="69" customHeight="1">
      <c r="A5589" s="169"/>
      <c r="B5589" s="48">
        <f t="shared" si="1"/>
        <v>2728</v>
      </c>
      <c r="C5589" s="45" t="s">
        <v>458</v>
      </c>
      <c r="D5589" s="84" t="s">
        <v>6609</v>
      </c>
      <c r="E5589" s="45" t="s">
        <v>6192</v>
      </c>
      <c r="F5589" s="569" t="s">
        <v>13790</v>
      </c>
      <c r="G5589" s="45" t="s">
        <v>13791</v>
      </c>
      <c r="H5589" s="546">
        <v>60019.48</v>
      </c>
      <c r="I5589" s="47">
        <v>45168</v>
      </c>
      <c r="J5589" s="73" t="s">
        <v>13788</v>
      </c>
      <c r="K5589" s="58" t="s">
        <v>13789</v>
      </c>
      <c r="L5589" s="99"/>
      <c r="M5589" s="385"/>
      <c r="N5589" s="75"/>
      <c r="O5589" s="45" t="s">
        <v>147</v>
      </c>
      <c r="P5589" s="45" t="s">
        <v>22</v>
      </c>
      <c r="Q5589" s="45" t="s">
        <v>107</v>
      </c>
      <c r="R5589" s="45" t="s">
        <v>272</v>
      </c>
    </row>
    <row r="5590" spans="1:18" s="98" customFormat="1" ht="69" customHeight="1">
      <c r="A5590" s="169"/>
      <c r="B5590" s="48">
        <f t="shared" si="1"/>
        <v>2729</v>
      </c>
      <c r="C5590" s="45" t="s">
        <v>458</v>
      </c>
      <c r="D5590" s="84" t="s">
        <v>6613</v>
      </c>
      <c r="E5590" s="45" t="s">
        <v>6192</v>
      </c>
      <c r="F5590" s="569" t="s">
        <v>13792</v>
      </c>
      <c r="G5590" s="45" t="s">
        <v>13793</v>
      </c>
      <c r="H5590" s="546">
        <v>56511.44</v>
      </c>
      <c r="I5590" s="47">
        <v>45168</v>
      </c>
      <c r="J5590" s="73" t="s">
        <v>13794</v>
      </c>
      <c r="K5590" s="45"/>
      <c r="L5590" s="99"/>
      <c r="M5590" s="385"/>
      <c r="N5590" s="75"/>
      <c r="O5590" s="45" t="s">
        <v>147</v>
      </c>
      <c r="P5590" s="45" t="s">
        <v>22</v>
      </c>
      <c r="Q5590" s="45" t="s">
        <v>104</v>
      </c>
      <c r="R5590" s="45" t="s">
        <v>272</v>
      </c>
    </row>
    <row r="5591" spans="1:18" s="98" customFormat="1" ht="69" customHeight="1">
      <c r="A5591" s="169"/>
      <c r="B5591" s="48">
        <f t="shared" si="1"/>
        <v>2730</v>
      </c>
      <c r="C5591" s="45" t="s">
        <v>458</v>
      </c>
      <c r="D5591" s="84" t="s">
        <v>13795</v>
      </c>
      <c r="E5591" s="45" t="s">
        <v>6192</v>
      </c>
      <c r="F5591" s="569" t="s">
        <v>13796</v>
      </c>
      <c r="G5591" s="45" t="s">
        <v>13797</v>
      </c>
      <c r="H5591" s="546">
        <v>30429.23</v>
      </c>
      <c r="I5591" s="47">
        <v>45168</v>
      </c>
      <c r="J5591" s="73" t="s">
        <v>13794</v>
      </c>
      <c r="K5591" s="45"/>
      <c r="L5591" s="99"/>
      <c r="M5591" s="385"/>
      <c r="N5591" s="75"/>
      <c r="O5591" s="45" t="s">
        <v>147</v>
      </c>
      <c r="P5591" s="45" t="s">
        <v>22</v>
      </c>
      <c r="Q5591" s="45" t="s">
        <v>104</v>
      </c>
      <c r="R5591" s="45" t="s">
        <v>272</v>
      </c>
    </row>
    <row r="5592" spans="1:18" ht="69" customHeight="1">
      <c r="A5592" s="168"/>
      <c r="B5592" s="52">
        <f t="shared" si="1"/>
        <v>2731</v>
      </c>
      <c r="C5592" s="191" t="s">
        <v>7415</v>
      </c>
      <c r="D5592" s="533" t="s">
        <v>6237</v>
      </c>
      <c r="E5592" s="46" t="s">
        <v>266</v>
      </c>
      <c r="F5592" s="211" t="s">
        <v>13798</v>
      </c>
      <c r="G5592" s="46" t="s">
        <v>13799</v>
      </c>
      <c r="H5592" s="534">
        <v>2490</v>
      </c>
      <c r="I5592" s="56">
        <v>45174</v>
      </c>
      <c r="J5592" s="199" t="s">
        <v>13800</v>
      </c>
      <c r="K5592" s="46" t="s">
        <v>1170</v>
      </c>
      <c r="L5592" s="99"/>
      <c r="M5592" s="379"/>
      <c r="N5592" s="76"/>
      <c r="O5592" s="46" t="s">
        <v>13801</v>
      </c>
      <c r="P5592" s="46" t="s">
        <v>65</v>
      </c>
      <c r="Q5592" s="46" t="s">
        <v>119</v>
      </c>
      <c r="R5592" s="46" t="s">
        <v>272</v>
      </c>
    </row>
    <row r="5593" spans="1:18" ht="69" customHeight="1">
      <c r="A5593" s="168"/>
      <c r="B5593" s="52">
        <f t="shared" si="1"/>
        <v>2732</v>
      </c>
      <c r="C5593" s="191" t="s">
        <v>10418</v>
      </c>
      <c r="D5593" s="533" t="s">
        <v>13802</v>
      </c>
      <c r="E5593" s="46" t="s">
        <v>266</v>
      </c>
      <c r="F5593" s="211" t="s">
        <v>13803</v>
      </c>
      <c r="G5593" s="46" t="s">
        <v>13799</v>
      </c>
      <c r="H5593" s="534">
        <v>2490</v>
      </c>
      <c r="I5593" s="56">
        <v>45174</v>
      </c>
      <c r="J5593" s="199" t="s">
        <v>13800</v>
      </c>
      <c r="K5593" s="46" t="s">
        <v>1170</v>
      </c>
      <c r="L5593" s="99"/>
      <c r="M5593" s="379"/>
      <c r="N5593" s="76"/>
      <c r="O5593" s="46" t="s">
        <v>13801</v>
      </c>
      <c r="P5593" s="46" t="s">
        <v>65</v>
      </c>
      <c r="Q5593" s="46" t="s">
        <v>121</v>
      </c>
      <c r="R5593" s="46" t="s">
        <v>272</v>
      </c>
    </row>
    <row r="5594" spans="1:18" ht="69" customHeight="1">
      <c r="A5594" s="168"/>
      <c r="B5594" s="52">
        <f t="shared" si="1"/>
        <v>2733</v>
      </c>
      <c r="C5594" s="191" t="s">
        <v>10205</v>
      </c>
      <c r="D5594" s="533" t="s">
        <v>9951</v>
      </c>
      <c r="E5594" s="46" t="s">
        <v>266</v>
      </c>
      <c r="F5594" s="211" t="s">
        <v>13804</v>
      </c>
      <c r="G5594" s="46" t="s">
        <v>13799</v>
      </c>
      <c r="H5594" s="534">
        <v>2490</v>
      </c>
      <c r="I5594" s="56">
        <v>45174</v>
      </c>
      <c r="J5594" s="199" t="s">
        <v>13800</v>
      </c>
      <c r="K5594" s="46" t="s">
        <v>1170</v>
      </c>
      <c r="L5594" s="99"/>
      <c r="M5594" s="379"/>
      <c r="N5594" s="76"/>
      <c r="O5594" s="46" t="s">
        <v>13801</v>
      </c>
      <c r="P5594" s="46" t="s">
        <v>65</v>
      </c>
      <c r="Q5594" s="46" t="s">
        <v>120</v>
      </c>
      <c r="R5594" s="46" t="s">
        <v>272</v>
      </c>
    </row>
    <row r="5595" spans="1:18" ht="69" customHeight="1">
      <c r="A5595" s="168"/>
      <c r="B5595" s="52">
        <f t="shared" ref="B5595:B5626" si="2">B5594+1</f>
        <v>2734</v>
      </c>
      <c r="C5595" s="191" t="s">
        <v>5558</v>
      </c>
      <c r="D5595" s="533" t="s">
        <v>13805</v>
      </c>
      <c r="E5595" s="46" t="s">
        <v>266</v>
      </c>
      <c r="F5595" s="211" t="s">
        <v>13806</v>
      </c>
      <c r="G5595" s="46" t="s">
        <v>13807</v>
      </c>
      <c r="H5595" s="534">
        <v>10039.15</v>
      </c>
      <c r="I5595" s="56">
        <v>45174</v>
      </c>
      <c r="J5595" s="199" t="s">
        <v>13800</v>
      </c>
      <c r="K5595" s="46" t="s">
        <v>1170</v>
      </c>
      <c r="L5595" s="99"/>
      <c r="M5595" s="379"/>
      <c r="N5595" s="76"/>
      <c r="O5595" s="46" t="s">
        <v>13808</v>
      </c>
      <c r="P5595" s="46" t="s">
        <v>65</v>
      </c>
      <c r="Q5595" s="46" t="s">
        <v>64</v>
      </c>
      <c r="R5595" s="46" t="s">
        <v>272</v>
      </c>
    </row>
    <row r="5596" spans="1:18" ht="69" customHeight="1">
      <c r="A5596" s="168"/>
      <c r="B5596" s="259">
        <f t="shared" si="2"/>
        <v>2735</v>
      </c>
      <c r="C5596" s="207" t="s">
        <v>3667</v>
      </c>
      <c r="D5596" s="301" t="s">
        <v>13809</v>
      </c>
      <c r="E5596" s="160" t="s">
        <v>266</v>
      </c>
      <c r="F5596" s="208" t="s">
        <v>13810</v>
      </c>
      <c r="G5596" s="160" t="s">
        <v>13811</v>
      </c>
      <c r="H5596" s="300">
        <v>13891.29</v>
      </c>
      <c r="I5596" s="209">
        <v>45166</v>
      </c>
      <c r="J5596" s="316" t="s">
        <v>13812</v>
      </c>
      <c r="K5596" s="160" t="s">
        <v>4128</v>
      </c>
      <c r="M5596" s="379"/>
      <c r="N5596" s="76"/>
      <c r="O5596" s="160" t="s">
        <v>150</v>
      </c>
      <c r="P5596" s="160" t="s">
        <v>67</v>
      </c>
      <c r="Q5596" s="160" t="s">
        <v>74</v>
      </c>
      <c r="R5596" s="160" t="s">
        <v>272</v>
      </c>
    </row>
    <row r="5597" spans="1:18" ht="69" customHeight="1">
      <c r="A5597" s="168"/>
      <c r="B5597" s="259">
        <f t="shared" si="2"/>
        <v>2736</v>
      </c>
      <c r="C5597" s="207" t="s">
        <v>3667</v>
      </c>
      <c r="D5597" s="301" t="s">
        <v>13813</v>
      </c>
      <c r="E5597" s="160" t="s">
        <v>266</v>
      </c>
      <c r="F5597" s="208" t="s">
        <v>13814</v>
      </c>
      <c r="G5597" s="160" t="s">
        <v>13811</v>
      </c>
      <c r="H5597" s="300">
        <v>5620.2</v>
      </c>
      <c r="I5597" s="209">
        <v>45166</v>
      </c>
      <c r="J5597" s="316" t="s">
        <v>13812</v>
      </c>
      <c r="K5597" s="160" t="s">
        <v>4128</v>
      </c>
      <c r="M5597" s="379"/>
      <c r="N5597" s="76"/>
      <c r="O5597" s="160" t="s">
        <v>150</v>
      </c>
      <c r="P5597" s="160" t="s">
        <v>67</v>
      </c>
      <c r="Q5597" s="160" t="s">
        <v>74</v>
      </c>
      <c r="R5597" s="160" t="s">
        <v>272</v>
      </c>
    </row>
    <row r="5598" spans="1:18" ht="69" customHeight="1">
      <c r="A5598" s="168"/>
      <c r="B5598" s="259">
        <f t="shared" si="2"/>
        <v>2737</v>
      </c>
      <c r="C5598" s="207" t="s">
        <v>3667</v>
      </c>
      <c r="D5598" s="301" t="s">
        <v>13815</v>
      </c>
      <c r="E5598" s="160" t="s">
        <v>266</v>
      </c>
      <c r="F5598" s="208" t="s">
        <v>13816</v>
      </c>
      <c r="G5598" s="160" t="s">
        <v>13811</v>
      </c>
      <c r="H5598" s="300">
        <v>13891.29</v>
      </c>
      <c r="I5598" s="209">
        <v>45166</v>
      </c>
      <c r="J5598" s="316" t="s">
        <v>13812</v>
      </c>
      <c r="K5598" s="160" t="s">
        <v>4128</v>
      </c>
      <c r="M5598" s="379"/>
      <c r="N5598" s="76"/>
      <c r="O5598" s="160" t="s">
        <v>150</v>
      </c>
      <c r="P5598" s="160" t="s">
        <v>67</v>
      </c>
      <c r="Q5598" s="160" t="s">
        <v>76</v>
      </c>
      <c r="R5598" s="160" t="s">
        <v>272</v>
      </c>
    </row>
    <row r="5599" spans="1:18" ht="69" customHeight="1">
      <c r="A5599" s="168"/>
      <c r="B5599" s="259">
        <f t="shared" si="2"/>
        <v>2738</v>
      </c>
      <c r="C5599" s="207" t="s">
        <v>3667</v>
      </c>
      <c r="D5599" s="301" t="s">
        <v>13817</v>
      </c>
      <c r="E5599" s="160" t="s">
        <v>266</v>
      </c>
      <c r="F5599" s="208" t="s">
        <v>13818</v>
      </c>
      <c r="G5599" s="160" t="s">
        <v>13811</v>
      </c>
      <c r="H5599" s="300">
        <v>5620.2</v>
      </c>
      <c r="I5599" s="209">
        <v>45166</v>
      </c>
      <c r="J5599" s="316" t="s">
        <v>13812</v>
      </c>
      <c r="K5599" s="160" t="s">
        <v>4128</v>
      </c>
      <c r="M5599" s="379"/>
      <c r="N5599" s="76"/>
      <c r="O5599" s="160" t="s">
        <v>150</v>
      </c>
      <c r="P5599" s="160" t="s">
        <v>67</v>
      </c>
      <c r="Q5599" s="160" t="s">
        <v>76</v>
      </c>
      <c r="R5599" s="160" t="s">
        <v>272</v>
      </c>
    </row>
    <row r="5600" spans="1:18" ht="69" customHeight="1">
      <c r="A5600" s="168"/>
      <c r="B5600" s="259">
        <f t="shared" si="2"/>
        <v>2739</v>
      </c>
      <c r="C5600" s="207" t="s">
        <v>3667</v>
      </c>
      <c r="D5600" s="301" t="s">
        <v>13819</v>
      </c>
      <c r="E5600" s="160" t="s">
        <v>266</v>
      </c>
      <c r="F5600" s="208" t="s">
        <v>13820</v>
      </c>
      <c r="G5600" s="160" t="s">
        <v>13811</v>
      </c>
      <c r="H5600" s="300">
        <v>13891.29</v>
      </c>
      <c r="I5600" s="209">
        <v>45166</v>
      </c>
      <c r="J5600" s="316" t="s">
        <v>13812</v>
      </c>
      <c r="K5600" s="160" t="s">
        <v>4128</v>
      </c>
      <c r="M5600" s="379"/>
      <c r="N5600" s="76"/>
      <c r="O5600" s="160" t="s">
        <v>150</v>
      </c>
      <c r="P5600" s="160" t="s">
        <v>67</v>
      </c>
      <c r="Q5600" s="160" t="s">
        <v>68</v>
      </c>
      <c r="R5600" s="160" t="s">
        <v>272</v>
      </c>
    </row>
    <row r="5601" spans="1:18" ht="69" customHeight="1">
      <c r="A5601" s="168"/>
      <c r="B5601" s="259">
        <f t="shared" si="2"/>
        <v>2740</v>
      </c>
      <c r="C5601" s="207" t="s">
        <v>3667</v>
      </c>
      <c r="D5601" s="301" t="s">
        <v>13821</v>
      </c>
      <c r="E5601" s="160" t="s">
        <v>266</v>
      </c>
      <c r="F5601" s="208" t="s">
        <v>13822</v>
      </c>
      <c r="G5601" s="160" t="s">
        <v>13811</v>
      </c>
      <c r="H5601" s="300">
        <v>5620.2</v>
      </c>
      <c r="I5601" s="209">
        <v>45166</v>
      </c>
      <c r="J5601" s="316" t="s">
        <v>13812</v>
      </c>
      <c r="K5601" s="160" t="s">
        <v>4128</v>
      </c>
      <c r="M5601" s="379"/>
      <c r="N5601" s="76"/>
      <c r="O5601" s="160" t="s">
        <v>150</v>
      </c>
      <c r="P5601" s="160" t="s">
        <v>67</v>
      </c>
      <c r="Q5601" s="160" t="s">
        <v>68</v>
      </c>
      <c r="R5601" s="160" t="s">
        <v>272</v>
      </c>
    </row>
    <row r="5602" spans="1:18" ht="69" customHeight="1">
      <c r="A5602" s="168"/>
      <c r="B5602" s="259">
        <f t="shared" si="2"/>
        <v>2741</v>
      </c>
      <c r="C5602" s="207" t="s">
        <v>3667</v>
      </c>
      <c r="D5602" s="301" t="s">
        <v>13823</v>
      </c>
      <c r="E5602" s="160" t="s">
        <v>266</v>
      </c>
      <c r="F5602" s="208" t="s">
        <v>13824</v>
      </c>
      <c r="G5602" s="160" t="s">
        <v>13811</v>
      </c>
      <c r="H5602" s="300">
        <v>13891.29</v>
      </c>
      <c r="I5602" s="209">
        <v>45166</v>
      </c>
      <c r="J5602" s="316" t="s">
        <v>13812</v>
      </c>
      <c r="K5602" s="160" t="s">
        <v>4128</v>
      </c>
      <c r="M5602" s="379"/>
      <c r="N5602" s="76"/>
      <c r="O5602" s="160" t="s">
        <v>150</v>
      </c>
      <c r="P5602" s="160" t="s">
        <v>67</v>
      </c>
      <c r="Q5602" s="160" t="s">
        <v>70</v>
      </c>
      <c r="R5602" s="160" t="s">
        <v>272</v>
      </c>
    </row>
    <row r="5603" spans="1:18" ht="69" customHeight="1">
      <c r="A5603" s="168"/>
      <c r="B5603" s="259">
        <f t="shared" si="2"/>
        <v>2742</v>
      </c>
      <c r="C5603" s="207" t="s">
        <v>3667</v>
      </c>
      <c r="D5603" s="301" t="s">
        <v>13825</v>
      </c>
      <c r="E5603" s="160" t="s">
        <v>266</v>
      </c>
      <c r="F5603" s="208" t="s">
        <v>13826</v>
      </c>
      <c r="G5603" s="160" t="s">
        <v>13811</v>
      </c>
      <c r="H5603" s="300">
        <v>5620.2</v>
      </c>
      <c r="I5603" s="209">
        <v>45166</v>
      </c>
      <c r="J5603" s="316" t="s">
        <v>13812</v>
      </c>
      <c r="K5603" s="160" t="s">
        <v>4128</v>
      </c>
      <c r="M5603" s="379"/>
      <c r="N5603" s="76"/>
      <c r="O5603" s="160" t="s">
        <v>150</v>
      </c>
      <c r="P5603" s="160" t="s">
        <v>67</v>
      </c>
      <c r="Q5603" s="160" t="s">
        <v>70</v>
      </c>
      <c r="R5603" s="160" t="s">
        <v>272</v>
      </c>
    </row>
    <row r="5604" spans="1:18" ht="69" customHeight="1">
      <c r="A5604" s="168"/>
      <c r="B5604" s="259">
        <f t="shared" si="2"/>
        <v>2743</v>
      </c>
      <c r="C5604" s="207" t="s">
        <v>3667</v>
      </c>
      <c r="D5604" s="301" t="s">
        <v>13827</v>
      </c>
      <c r="E5604" s="160" t="s">
        <v>266</v>
      </c>
      <c r="F5604" s="208" t="s">
        <v>13828</v>
      </c>
      <c r="G5604" s="160" t="s">
        <v>13811</v>
      </c>
      <c r="H5604" s="300">
        <v>13891.29</v>
      </c>
      <c r="I5604" s="209">
        <v>45166</v>
      </c>
      <c r="J5604" s="316" t="s">
        <v>13812</v>
      </c>
      <c r="K5604" s="160" t="s">
        <v>4128</v>
      </c>
      <c r="M5604" s="379"/>
      <c r="N5604" s="76"/>
      <c r="O5604" s="160" t="s">
        <v>150</v>
      </c>
      <c r="P5604" s="160" t="s">
        <v>67</v>
      </c>
      <c r="Q5604" s="160" t="s">
        <v>97</v>
      </c>
      <c r="R5604" s="160" t="s">
        <v>272</v>
      </c>
    </row>
    <row r="5605" spans="1:18" ht="69" customHeight="1">
      <c r="A5605" s="168"/>
      <c r="B5605" s="259">
        <f t="shared" si="2"/>
        <v>2744</v>
      </c>
      <c r="C5605" s="207" t="s">
        <v>3667</v>
      </c>
      <c r="D5605" s="301" t="s">
        <v>13829</v>
      </c>
      <c r="E5605" s="160" t="s">
        <v>266</v>
      </c>
      <c r="F5605" s="208" t="s">
        <v>13830</v>
      </c>
      <c r="G5605" s="160" t="s">
        <v>13811</v>
      </c>
      <c r="H5605" s="300">
        <v>5620.2</v>
      </c>
      <c r="I5605" s="209">
        <v>45166</v>
      </c>
      <c r="J5605" s="316" t="s">
        <v>13812</v>
      </c>
      <c r="K5605" s="160" t="s">
        <v>4128</v>
      </c>
      <c r="M5605" s="379"/>
      <c r="N5605" s="76"/>
      <c r="O5605" s="160" t="s">
        <v>150</v>
      </c>
      <c r="P5605" s="160" t="s">
        <v>67</v>
      </c>
      <c r="Q5605" s="160" t="s">
        <v>97</v>
      </c>
      <c r="R5605" s="160" t="s">
        <v>272</v>
      </c>
    </row>
    <row r="5606" spans="1:18" ht="69" customHeight="1">
      <c r="A5606" s="168"/>
      <c r="B5606" s="259">
        <f t="shared" si="2"/>
        <v>2745</v>
      </c>
      <c r="C5606" s="207" t="s">
        <v>3667</v>
      </c>
      <c r="D5606" s="301" t="s">
        <v>13831</v>
      </c>
      <c r="E5606" s="160" t="s">
        <v>266</v>
      </c>
      <c r="F5606" s="208" t="s">
        <v>13832</v>
      </c>
      <c r="G5606" s="160" t="s">
        <v>13811</v>
      </c>
      <c r="H5606" s="300">
        <v>13891.29</v>
      </c>
      <c r="I5606" s="209">
        <v>45166</v>
      </c>
      <c r="J5606" s="316" t="s">
        <v>13812</v>
      </c>
      <c r="K5606" s="160" t="s">
        <v>4128</v>
      </c>
      <c r="M5606" s="379"/>
      <c r="N5606" s="76"/>
      <c r="O5606" s="160" t="s">
        <v>150</v>
      </c>
      <c r="P5606" s="160" t="s">
        <v>67</v>
      </c>
      <c r="Q5606" s="160" t="s">
        <v>86</v>
      </c>
      <c r="R5606" s="160" t="s">
        <v>272</v>
      </c>
    </row>
    <row r="5607" spans="1:18" ht="69" customHeight="1">
      <c r="A5607" s="168"/>
      <c r="B5607" s="259">
        <f t="shared" si="2"/>
        <v>2746</v>
      </c>
      <c r="C5607" s="207" t="s">
        <v>3667</v>
      </c>
      <c r="D5607" s="301" t="s">
        <v>13833</v>
      </c>
      <c r="E5607" s="160" t="s">
        <v>266</v>
      </c>
      <c r="F5607" s="208" t="s">
        <v>13834</v>
      </c>
      <c r="G5607" s="160" t="s">
        <v>13811</v>
      </c>
      <c r="H5607" s="300">
        <v>5620.2</v>
      </c>
      <c r="I5607" s="209">
        <v>45166</v>
      </c>
      <c r="J5607" s="316" t="s">
        <v>13812</v>
      </c>
      <c r="K5607" s="160" t="s">
        <v>4128</v>
      </c>
      <c r="M5607" s="379"/>
      <c r="N5607" s="76"/>
      <c r="O5607" s="160" t="s">
        <v>150</v>
      </c>
      <c r="P5607" s="160" t="s">
        <v>67</v>
      </c>
      <c r="Q5607" s="160" t="s">
        <v>86</v>
      </c>
      <c r="R5607" s="160" t="s">
        <v>272</v>
      </c>
    </row>
    <row r="5608" spans="1:18" ht="69" customHeight="1">
      <c r="A5608" s="168"/>
      <c r="B5608" s="259">
        <f t="shared" si="2"/>
        <v>2747</v>
      </c>
      <c r="C5608" s="207" t="s">
        <v>3667</v>
      </c>
      <c r="D5608" s="301" t="s">
        <v>13835</v>
      </c>
      <c r="E5608" s="160" t="s">
        <v>266</v>
      </c>
      <c r="F5608" s="208" t="s">
        <v>13836</v>
      </c>
      <c r="G5608" s="160" t="s">
        <v>13811</v>
      </c>
      <c r="H5608" s="300">
        <v>13891.29</v>
      </c>
      <c r="I5608" s="209">
        <v>45166</v>
      </c>
      <c r="J5608" s="316" t="s">
        <v>13812</v>
      </c>
      <c r="K5608" s="160" t="s">
        <v>4128</v>
      </c>
      <c r="M5608" s="379"/>
      <c r="N5608" s="76"/>
      <c r="O5608" s="160" t="s">
        <v>150</v>
      </c>
      <c r="P5608" s="160" t="s">
        <v>67</v>
      </c>
      <c r="Q5608" s="160" t="s">
        <v>103</v>
      </c>
      <c r="R5608" s="160" t="s">
        <v>272</v>
      </c>
    </row>
    <row r="5609" spans="1:18" ht="69" customHeight="1">
      <c r="A5609" s="168"/>
      <c r="B5609" s="259">
        <f t="shared" si="2"/>
        <v>2748</v>
      </c>
      <c r="C5609" s="207" t="s">
        <v>458</v>
      </c>
      <c r="D5609" s="301" t="s">
        <v>5199</v>
      </c>
      <c r="E5609" s="160" t="s">
        <v>266</v>
      </c>
      <c r="F5609" s="208" t="s">
        <v>13837</v>
      </c>
      <c r="G5609" s="160" t="s">
        <v>13811</v>
      </c>
      <c r="H5609" s="300">
        <v>5620.2</v>
      </c>
      <c r="I5609" s="209">
        <v>45166</v>
      </c>
      <c r="J5609" s="316" t="s">
        <v>13812</v>
      </c>
      <c r="K5609" s="160" t="s">
        <v>4128</v>
      </c>
      <c r="M5609" s="379"/>
      <c r="N5609" s="76"/>
      <c r="O5609" s="160" t="s">
        <v>150</v>
      </c>
      <c r="P5609" s="160" t="s">
        <v>67</v>
      </c>
      <c r="Q5609" s="160" t="s">
        <v>103</v>
      </c>
      <c r="R5609" s="160" t="s">
        <v>272</v>
      </c>
    </row>
    <row r="5610" spans="1:18" ht="69" customHeight="1">
      <c r="A5610" s="168"/>
      <c r="B5610" s="259">
        <f t="shared" si="2"/>
        <v>2749</v>
      </c>
      <c r="C5610" s="207" t="s">
        <v>458</v>
      </c>
      <c r="D5610" s="301" t="s">
        <v>6212</v>
      </c>
      <c r="E5610" s="160" t="s">
        <v>266</v>
      </c>
      <c r="F5610" s="208" t="s">
        <v>13838</v>
      </c>
      <c r="G5610" s="160" t="s">
        <v>13811</v>
      </c>
      <c r="H5610" s="300">
        <v>13891.29</v>
      </c>
      <c r="I5610" s="209">
        <v>45166</v>
      </c>
      <c r="J5610" s="316" t="s">
        <v>13812</v>
      </c>
      <c r="K5610" s="160" t="s">
        <v>4128</v>
      </c>
      <c r="M5610" s="379"/>
      <c r="N5610" s="76"/>
      <c r="O5610" s="160" t="s">
        <v>150</v>
      </c>
      <c r="P5610" s="160" t="s">
        <v>67</v>
      </c>
      <c r="Q5610" s="160" t="s">
        <v>113</v>
      </c>
      <c r="R5610" s="160" t="s">
        <v>272</v>
      </c>
    </row>
    <row r="5611" spans="1:18" ht="69" customHeight="1">
      <c r="A5611" s="168"/>
      <c r="B5611" s="259">
        <f t="shared" si="2"/>
        <v>2750</v>
      </c>
      <c r="C5611" s="207" t="s">
        <v>458</v>
      </c>
      <c r="D5611" s="301" t="s">
        <v>10795</v>
      </c>
      <c r="E5611" s="160" t="s">
        <v>266</v>
      </c>
      <c r="F5611" s="208" t="s">
        <v>13839</v>
      </c>
      <c r="G5611" s="160" t="s">
        <v>13811</v>
      </c>
      <c r="H5611" s="300">
        <v>5620.2</v>
      </c>
      <c r="I5611" s="209">
        <v>45166</v>
      </c>
      <c r="J5611" s="316" t="s">
        <v>13812</v>
      </c>
      <c r="K5611" s="160" t="s">
        <v>4128</v>
      </c>
      <c r="M5611" s="379"/>
      <c r="N5611" s="76"/>
      <c r="O5611" s="160" t="s">
        <v>150</v>
      </c>
      <c r="P5611" s="160" t="s">
        <v>67</v>
      </c>
      <c r="Q5611" s="160" t="s">
        <v>113</v>
      </c>
      <c r="R5611" s="160" t="s">
        <v>272</v>
      </c>
    </row>
    <row r="5612" spans="1:18" ht="69" customHeight="1">
      <c r="A5612" s="168"/>
      <c r="B5612" s="259">
        <f t="shared" si="2"/>
        <v>2751</v>
      </c>
      <c r="C5612" s="304" t="s">
        <v>458</v>
      </c>
      <c r="D5612" s="303" t="s">
        <v>10775</v>
      </c>
      <c r="E5612" s="304" t="s">
        <v>266</v>
      </c>
      <c r="F5612" s="160" t="s">
        <v>13840</v>
      </c>
      <c r="G5612" s="160" t="s">
        <v>13841</v>
      </c>
      <c r="H5612" s="300">
        <v>78.7</v>
      </c>
      <c r="I5612" s="209">
        <v>45174</v>
      </c>
      <c r="J5612" s="316" t="s">
        <v>13842</v>
      </c>
      <c r="K5612" s="160" t="s">
        <v>67</v>
      </c>
      <c r="M5612" s="379"/>
      <c r="N5612" s="76"/>
      <c r="O5612" s="160" t="s">
        <v>13843</v>
      </c>
      <c r="P5612" s="160" t="s">
        <v>67</v>
      </c>
      <c r="Q5612" s="160" t="s">
        <v>96</v>
      </c>
      <c r="R5612" s="160" t="s">
        <v>272</v>
      </c>
    </row>
    <row r="5613" spans="1:18" ht="69" customHeight="1">
      <c r="A5613" s="168"/>
      <c r="B5613" s="259">
        <f t="shared" si="2"/>
        <v>2752</v>
      </c>
      <c r="C5613" s="207" t="s">
        <v>458</v>
      </c>
      <c r="D5613" s="301" t="s">
        <v>13844</v>
      </c>
      <c r="E5613" s="160" t="s">
        <v>266</v>
      </c>
      <c r="F5613" s="208" t="s">
        <v>13845</v>
      </c>
      <c r="G5613" s="160" t="s">
        <v>13811</v>
      </c>
      <c r="H5613" s="300">
        <v>192</v>
      </c>
      <c r="I5613" s="209">
        <v>45174</v>
      </c>
      <c r="J5613" s="316" t="s">
        <v>13846</v>
      </c>
      <c r="K5613" s="160" t="s">
        <v>4128</v>
      </c>
      <c r="M5613" s="379"/>
      <c r="N5613" s="76"/>
      <c r="O5613" s="160" t="s">
        <v>13847</v>
      </c>
      <c r="P5613" s="160" t="s">
        <v>67</v>
      </c>
      <c r="Q5613" s="160" t="s">
        <v>103</v>
      </c>
      <c r="R5613" s="160" t="s">
        <v>272</v>
      </c>
    </row>
    <row r="5614" spans="1:18" ht="69" customHeight="1">
      <c r="A5614" s="168"/>
      <c r="B5614" s="259">
        <f t="shared" si="2"/>
        <v>2753</v>
      </c>
      <c r="C5614" s="207" t="s">
        <v>458</v>
      </c>
      <c r="D5614" s="301" t="s">
        <v>4530</v>
      </c>
      <c r="E5614" s="160" t="s">
        <v>266</v>
      </c>
      <c r="F5614" s="208" t="s">
        <v>13848</v>
      </c>
      <c r="G5614" s="160" t="s">
        <v>13811</v>
      </c>
      <c r="H5614" s="300">
        <v>10326</v>
      </c>
      <c r="I5614" s="209">
        <v>45174</v>
      </c>
      <c r="J5614" s="316" t="s">
        <v>13846</v>
      </c>
      <c r="K5614" s="160" t="s">
        <v>4128</v>
      </c>
      <c r="M5614" s="379"/>
      <c r="N5614" s="76"/>
      <c r="O5614" s="160" t="s">
        <v>13847</v>
      </c>
      <c r="P5614" s="160" t="s">
        <v>67</v>
      </c>
      <c r="Q5614" s="160" t="s">
        <v>107</v>
      </c>
      <c r="R5614" s="160" t="s">
        <v>272</v>
      </c>
    </row>
    <row r="5615" spans="1:18" ht="69" customHeight="1">
      <c r="A5615" s="168"/>
      <c r="B5615" s="259">
        <f t="shared" si="2"/>
        <v>2754</v>
      </c>
      <c r="C5615" s="207" t="s">
        <v>458</v>
      </c>
      <c r="D5615" s="301" t="s">
        <v>4103</v>
      </c>
      <c r="E5615" s="160" t="s">
        <v>266</v>
      </c>
      <c r="F5615" s="208" t="s">
        <v>13849</v>
      </c>
      <c r="G5615" s="160" t="s">
        <v>13811</v>
      </c>
      <c r="H5615" s="300">
        <v>5016</v>
      </c>
      <c r="I5615" s="209">
        <v>45174</v>
      </c>
      <c r="J5615" s="316" t="s">
        <v>13846</v>
      </c>
      <c r="K5615" s="160" t="s">
        <v>4128</v>
      </c>
      <c r="M5615" s="379"/>
      <c r="N5615" s="76"/>
      <c r="O5615" s="160" t="s">
        <v>13847</v>
      </c>
      <c r="P5615" s="160" t="s">
        <v>67</v>
      </c>
      <c r="Q5615" s="160" t="s">
        <v>103</v>
      </c>
      <c r="R5615" s="160" t="s">
        <v>272</v>
      </c>
    </row>
    <row r="5616" spans="1:18" ht="69" customHeight="1">
      <c r="A5616" s="168"/>
      <c r="B5616" s="48">
        <f t="shared" si="2"/>
        <v>2755</v>
      </c>
      <c r="C5616" s="45" t="s">
        <v>458</v>
      </c>
      <c r="D5616" s="84" t="s">
        <v>13850</v>
      </c>
      <c r="E5616" s="44" t="s">
        <v>6192</v>
      </c>
      <c r="F5616" s="45" t="s">
        <v>13851</v>
      </c>
      <c r="G5616" s="45" t="s">
        <v>13852</v>
      </c>
      <c r="H5616" s="546">
        <v>13300.56</v>
      </c>
      <c r="I5616" s="47">
        <v>45168</v>
      </c>
      <c r="J5616" s="73" t="s">
        <v>13853</v>
      </c>
      <c r="K5616" s="45"/>
      <c r="L5616" s="99"/>
      <c r="M5616" s="385"/>
      <c r="N5616" s="75"/>
      <c r="O5616" s="45" t="s">
        <v>147</v>
      </c>
      <c r="P5616" s="45" t="s">
        <v>22</v>
      </c>
      <c r="Q5616" s="45" t="s">
        <v>103</v>
      </c>
      <c r="R5616" s="45" t="s">
        <v>272</v>
      </c>
    </row>
    <row r="5617" spans="1:18" ht="69" customHeight="1">
      <c r="A5617" s="168"/>
      <c r="B5617" s="48">
        <f t="shared" si="2"/>
        <v>2756</v>
      </c>
      <c r="C5617" s="45" t="s">
        <v>458</v>
      </c>
      <c r="D5617" s="84" t="s">
        <v>13854</v>
      </c>
      <c r="E5617" s="44" t="s">
        <v>6192</v>
      </c>
      <c r="F5617" s="45" t="s">
        <v>13855</v>
      </c>
      <c r="G5617" s="45" t="s">
        <v>13856</v>
      </c>
      <c r="H5617" s="546">
        <v>7161.84</v>
      </c>
      <c r="I5617" s="47">
        <v>45168</v>
      </c>
      <c r="J5617" s="73" t="s">
        <v>13853</v>
      </c>
      <c r="K5617" s="45"/>
      <c r="L5617" s="99"/>
      <c r="M5617" s="385"/>
      <c r="N5617" s="75"/>
      <c r="O5617" s="45" t="s">
        <v>147</v>
      </c>
      <c r="P5617" s="45" t="s">
        <v>22</v>
      </c>
      <c r="Q5617" s="45" t="s">
        <v>103</v>
      </c>
      <c r="R5617" s="45" t="s">
        <v>272</v>
      </c>
    </row>
    <row r="5618" spans="1:18" ht="69" customHeight="1">
      <c r="A5618" s="168"/>
      <c r="B5618" s="48">
        <f t="shared" si="2"/>
        <v>2757</v>
      </c>
      <c r="C5618" s="45" t="s">
        <v>458</v>
      </c>
      <c r="D5618" s="84" t="s">
        <v>13857</v>
      </c>
      <c r="E5618" s="44" t="s">
        <v>6192</v>
      </c>
      <c r="F5618" s="45" t="s">
        <v>13858</v>
      </c>
      <c r="G5618" s="45" t="s">
        <v>13852</v>
      </c>
      <c r="H5618" s="546">
        <v>39901.68</v>
      </c>
      <c r="I5618" s="47">
        <v>45168</v>
      </c>
      <c r="J5618" s="73" t="s">
        <v>13853</v>
      </c>
      <c r="K5618" s="45"/>
      <c r="L5618" s="99"/>
      <c r="M5618" s="385"/>
      <c r="N5618" s="75"/>
      <c r="O5618" s="45" t="s">
        <v>147</v>
      </c>
      <c r="P5618" s="45" t="s">
        <v>22</v>
      </c>
      <c r="Q5618" s="45" t="s">
        <v>88</v>
      </c>
      <c r="R5618" s="45" t="s">
        <v>272</v>
      </c>
    </row>
    <row r="5619" spans="1:18" ht="69" customHeight="1">
      <c r="A5619" s="168"/>
      <c r="B5619" s="48">
        <f t="shared" si="2"/>
        <v>2758</v>
      </c>
      <c r="C5619" s="45" t="s">
        <v>458</v>
      </c>
      <c r="D5619" s="84" t="s">
        <v>13859</v>
      </c>
      <c r="E5619" s="44" t="s">
        <v>6192</v>
      </c>
      <c r="F5619" s="45" t="s">
        <v>13860</v>
      </c>
      <c r="G5619" s="45" t="s">
        <v>13856</v>
      </c>
      <c r="H5619" s="546">
        <v>21485.52</v>
      </c>
      <c r="I5619" s="47">
        <v>45168</v>
      </c>
      <c r="J5619" s="73" t="s">
        <v>13853</v>
      </c>
      <c r="K5619" s="45"/>
      <c r="L5619" s="99"/>
      <c r="M5619" s="385"/>
      <c r="N5619" s="75"/>
      <c r="O5619" s="45" t="s">
        <v>147</v>
      </c>
      <c r="P5619" s="45" t="s">
        <v>22</v>
      </c>
      <c r="Q5619" s="45" t="s">
        <v>88</v>
      </c>
      <c r="R5619" s="45" t="s">
        <v>272</v>
      </c>
    </row>
    <row r="5620" spans="1:18" ht="69" customHeight="1">
      <c r="A5620" s="168"/>
      <c r="B5620" s="48">
        <f t="shared" si="2"/>
        <v>2759</v>
      </c>
      <c r="C5620" s="45" t="s">
        <v>458</v>
      </c>
      <c r="D5620" s="84" t="s">
        <v>5546</v>
      </c>
      <c r="E5620" s="44" t="s">
        <v>6192</v>
      </c>
      <c r="F5620" s="45" t="s">
        <v>13861</v>
      </c>
      <c r="G5620" s="45" t="s">
        <v>13852</v>
      </c>
      <c r="H5620" s="546">
        <v>39901.68</v>
      </c>
      <c r="I5620" s="47">
        <v>45168</v>
      </c>
      <c r="J5620" s="73" t="s">
        <v>13853</v>
      </c>
      <c r="K5620" s="45"/>
      <c r="L5620" s="99"/>
      <c r="M5620" s="385"/>
      <c r="N5620" s="75"/>
      <c r="O5620" s="45" t="s">
        <v>147</v>
      </c>
      <c r="P5620" s="45" t="s">
        <v>22</v>
      </c>
      <c r="Q5620" s="45" t="s">
        <v>112</v>
      </c>
      <c r="R5620" s="45" t="s">
        <v>272</v>
      </c>
    </row>
    <row r="5621" spans="1:18" ht="69" customHeight="1">
      <c r="A5621" s="168"/>
      <c r="B5621" s="48">
        <f t="shared" si="2"/>
        <v>2760</v>
      </c>
      <c r="C5621" s="45" t="s">
        <v>458</v>
      </c>
      <c r="D5621" s="84" t="s">
        <v>5203</v>
      </c>
      <c r="E5621" s="44" t="s">
        <v>6192</v>
      </c>
      <c r="F5621" s="45" t="s">
        <v>13862</v>
      </c>
      <c r="G5621" s="45" t="s">
        <v>13856</v>
      </c>
      <c r="H5621" s="546">
        <v>21485.52</v>
      </c>
      <c r="I5621" s="47">
        <v>45168</v>
      </c>
      <c r="J5621" s="73" t="s">
        <v>13853</v>
      </c>
      <c r="K5621" s="45"/>
      <c r="L5621" s="99"/>
      <c r="M5621" s="385"/>
      <c r="N5621" s="75"/>
      <c r="O5621" s="45" t="s">
        <v>147</v>
      </c>
      <c r="P5621" s="45" t="s">
        <v>22</v>
      </c>
      <c r="Q5621" s="45" t="s">
        <v>112</v>
      </c>
      <c r="R5621" s="45" t="s">
        <v>272</v>
      </c>
    </row>
    <row r="5622" spans="1:18" ht="69" customHeight="1">
      <c r="A5622" s="168"/>
      <c r="B5622" s="48">
        <f t="shared" si="2"/>
        <v>2761</v>
      </c>
      <c r="C5622" s="59" t="s">
        <v>3667</v>
      </c>
      <c r="D5622" s="84" t="s">
        <v>13863</v>
      </c>
      <c r="E5622" s="44" t="s">
        <v>11417</v>
      </c>
      <c r="F5622" s="45" t="s">
        <v>13864</v>
      </c>
      <c r="G5622" s="45" t="s">
        <v>13865</v>
      </c>
      <c r="H5622" s="546">
        <v>36518</v>
      </c>
      <c r="I5622" s="47">
        <v>45163</v>
      </c>
      <c r="J5622" s="73" t="s">
        <v>13866</v>
      </c>
      <c r="K5622" s="45"/>
      <c r="L5622" s="99"/>
      <c r="M5622" s="385"/>
      <c r="N5622" s="75"/>
      <c r="O5622" s="45" t="s">
        <v>147</v>
      </c>
      <c r="P5622" s="45" t="s">
        <v>22</v>
      </c>
      <c r="Q5622" s="45" t="s">
        <v>76</v>
      </c>
      <c r="R5622" s="45" t="s">
        <v>265</v>
      </c>
    </row>
    <row r="5623" spans="1:18" ht="69" customHeight="1">
      <c r="A5623" s="168"/>
      <c r="B5623" s="48">
        <f t="shared" si="2"/>
        <v>2762</v>
      </c>
      <c r="C5623" s="59" t="s">
        <v>3667</v>
      </c>
      <c r="D5623" s="84" t="s">
        <v>13867</v>
      </c>
      <c r="E5623" s="44" t="s">
        <v>11417</v>
      </c>
      <c r="F5623" s="45" t="s">
        <v>13868</v>
      </c>
      <c r="G5623" s="45" t="s">
        <v>13869</v>
      </c>
      <c r="H5623" s="546">
        <v>27224</v>
      </c>
      <c r="I5623" s="47">
        <v>45163</v>
      </c>
      <c r="J5623" s="73" t="s">
        <v>13866</v>
      </c>
      <c r="K5623" s="45"/>
      <c r="L5623" s="99"/>
      <c r="M5623" s="385"/>
      <c r="N5623" s="75"/>
      <c r="O5623" s="45" t="s">
        <v>147</v>
      </c>
      <c r="P5623" s="45" t="s">
        <v>22</v>
      </c>
      <c r="Q5623" s="45" t="s">
        <v>72</v>
      </c>
      <c r="R5623" s="45" t="s">
        <v>265</v>
      </c>
    </row>
    <row r="5624" spans="1:18" ht="69" customHeight="1">
      <c r="A5624" s="168"/>
      <c r="B5624" s="48">
        <f t="shared" si="2"/>
        <v>2763</v>
      </c>
      <c r="C5624" s="59" t="s">
        <v>3667</v>
      </c>
      <c r="D5624" s="84" t="s">
        <v>13870</v>
      </c>
      <c r="E5624" s="44" t="s">
        <v>11417</v>
      </c>
      <c r="F5624" s="45" t="s">
        <v>13871</v>
      </c>
      <c r="G5624" s="45" t="s">
        <v>13869</v>
      </c>
      <c r="H5624" s="546">
        <v>25626</v>
      </c>
      <c r="I5624" s="47">
        <v>45163</v>
      </c>
      <c r="J5624" s="73" t="s">
        <v>13866</v>
      </c>
      <c r="K5624" s="45"/>
      <c r="L5624" s="99"/>
      <c r="M5624" s="385"/>
      <c r="N5624" s="75"/>
      <c r="O5624" s="45" t="s">
        <v>147</v>
      </c>
      <c r="P5624" s="45" t="s">
        <v>22</v>
      </c>
      <c r="Q5624" s="45" t="s">
        <v>78</v>
      </c>
      <c r="R5624" s="45" t="s">
        <v>265</v>
      </c>
    </row>
    <row r="5625" spans="1:18" ht="69" customHeight="1">
      <c r="A5625" s="168"/>
      <c r="B5625" s="48">
        <f t="shared" si="2"/>
        <v>2764</v>
      </c>
      <c r="C5625" s="59" t="s">
        <v>3667</v>
      </c>
      <c r="D5625" s="84" t="s">
        <v>13872</v>
      </c>
      <c r="E5625" s="44" t="s">
        <v>11417</v>
      </c>
      <c r="F5625" s="45" t="s">
        <v>13873</v>
      </c>
      <c r="G5625" s="45" t="s">
        <v>13865</v>
      </c>
      <c r="H5625" s="546">
        <v>83230.02</v>
      </c>
      <c r="I5625" s="47">
        <v>45163</v>
      </c>
      <c r="J5625" s="73" t="s">
        <v>13866</v>
      </c>
      <c r="K5625" s="45"/>
      <c r="L5625" s="99"/>
      <c r="M5625" s="385"/>
      <c r="N5625" s="75"/>
      <c r="O5625" s="45" t="s">
        <v>147</v>
      </c>
      <c r="P5625" s="45" t="s">
        <v>22</v>
      </c>
      <c r="Q5625" s="45" t="s">
        <v>74</v>
      </c>
      <c r="R5625" s="45" t="s">
        <v>265</v>
      </c>
    </row>
    <row r="5626" spans="1:18" ht="69" customHeight="1">
      <c r="A5626" s="168"/>
      <c r="B5626" s="52">
        <f t="shared" si="2"/>
        <v>2765</v>
      </c>
      <c r="C5626" s="191" t="s">
        <v>1333</v>
      </c>
      <c r="D5626" s="533" t="s">
        <v>5637</v>
      </c>
      <c r="E5626" s="46" t="s">
        <v>877</v>
      </c>
      <c r="F5626" s="211" t="s">
        <v>13874</v>
      </c>
      <c r="G5626" s="46" t="s">
        <v>13495</v>
      </c>
      <c r="H5626" s="534">
        <v>19705.09</v>
      </c>
      <c r="I5626" s="56">
        <v>45174</v>
      </c>
      <c r="J5626" s="199" t="s">
        <v>13875</v>
      </c>
      <c r="K5626" s="46" t="s">
        <v>1170</v>
      </c>
      <c r="L5626" s="99"/>
      <c r="M5626" s="379"/>
      <c r="N5626" s="76"/>
      <c r="O5626" s="46" t="s">
        <v>1171</v>
      </c>
      <c r="P5626" s="46" t="s">
        <v>71</v>
      </c>
      <c r="Q5626" s="46" t="s">
        <v>25</v>
      </c>
      <c r="R5626" s="46" t="s">
        <v>272</v>
      </c>
    </row>
    <row r="5627" spans="1:18" ht="69" customHeight="1">
      <c r="A5627" s="168"/>
      <c r="B5627" s="48">
        <f t="shared" ref="B5627:B5663" si="3">B5626+1</f>
        <v>2766</v>
      </c>
      <c r="C5627" s="45" t="s">
        <v>309</v>
      </c>
      <c r="D5627" s="84" t="s">
        <v>4872</v>
      </c>
      <c r="E5627" s="44" t="s">
        <v>350</v>
      </c>
      <c r="F5627" s="45" t="s">
        <v>13876</v>
      </c>
      <c r="G5627" s="45" t="s">
        <v>744</v>
      </c>
      <c r="H5627" s="546">
        <v>118860</v>
      </c>
      <c r="I5627" s="47">
        <v>44762</v>
      </c>
      <c r="J5627" s="73" t="s">
        <v>13877</v>
      </c>
      <c r="K5627" s="45" t="s">
        <v>13878</v>
      </c>
      <c r="L5627" s="99"/>
      <c r="M5627" s="385"/>
      <c r="N5627" s="75"/>
      <c r="O5627" s="45" t="s">
        <v>13176</v>
      </c>
      <c r="P5627" s="45" t="s">
        <v>73</v>
      </c>
      <c r="Q5627" s="45" t="s">
        <v>18</v>
      </c>
      <c r="R5627" s="45" t="s">
        <v>265</v>
      </c>
    </row>
    <row r="5628" spans="1:18" s="98" customFormat="1" ht="69" customHeight="1">
      <c r="A5628" s="169"/>
      <c r="B5628" s="48">
        <f t="shared" si="3"/>
        <v>2767</v>
      </c>
      <c r="C5628" s="45" t="s">
        <v>657</v>
      </c>
      <c r="D5628" s="84" t="s">
        <v>10413</v>
      </c>
      <c r="E5628" s="44" t="s">
        <v>7649</v>
      </c>
      <c r="F5628" s="45" t="s">
        <v>13879</v>
      </c>
      <c r="G5628" s="45" t="s">
        <v>13880</v>
      </c>
      <c r="H5628" s="546">
        <v>27400.799999999999</v>
      </c>
      <c r="I5628" s="47">
        <v>45168</v>
      </c>
      <c r="J5628" s="73" t="s">
        <v>13881</v>
      </c>
      <c r="K5628" s="45"/>
      <c r="L5628" s="99"/>
      <c r="M5628" s="385"/>
      <c r="N5628" s="75"/>
      <c r="O5628" s="45" t="s">
        <v>147</v>
      </c>
      <c r="P5628" s="45" t="s">
        <v>22</v>
      </c>
      <c r="Q5628" s="45" t="s">
        <v>97</v>
      </c>
      <c r="R5628" s="45" t="s">
        <v>272</v>
      </c>
    </row>
    <row r="5629" spans="1:18" s="98" customFormat="1" ht="69" customHeight="1">
      <c r="A5629" s="169"/>
      <c r="B5629" s="48">
        <f t="shared" si="3"/>
        <v>2768</v>
      </c>
      <c r="C5629" s="45" t="s">
        <v>657</v>
      </c>
      <c r="D5629" s="84" t="s">
        <v>10416</v>
      </c>
      <c r="E5629" s="44" t="s">
        <v>7649</v>
      </c>
      <c r="F5629" s="45" t="s">
        <v>13882</v>
      </c>
      <c r="G5629" s="45" t="s">
        <v>13883</v>
      </c>
      <c r="H5629" s="546">
        <v>14754.28</v>
      </c>
      <c r="I5629" s="47">
        <v>45168</v>
      </c>
      <c r="J5629" s="73" t="s">
        <v>13881</v>
      </c>
      <c r="K5629" s="45"/>
      <c r="L5629" s="99"/>
      <c r="M5629" s="385"/>
      <c r="N5629" s="75"/>
      <c r="O5629" s="45" t="s">
        <v>147</v>
      </c>
      <c r="P5629" s="45" t="s">
        <v>22</v>
      </c>
      <c r="Q5629" s="45" t="s">
        <v>97</v>
      </c>
      <c r="R5629" s="45" t="s">
        <v>272</v>
      </c>
    </row>
    <row r="5630" spans="1:18" s="98" customFormat="1" ht="69" customHeight="1">
      <c r="A5630" s="169"/>
      <c r="B5630" s="48">
        <f t="shared" si="3"/>
        <v>2769</v>
      </c>
      <c r="C5630" s="45" t="s">
        <v>458</v>
      </c>
      <c r="D5630" s="84" t="s">
        <v>5549</v>
      </c>
      <c r="E5630" s="44" t="s">
        <v>7649</v>
      </c>
      <c r="F5630" s="45" t="s">
        <v>13884</v>
      </c>
      <c r="G5630" s="45" t="s">
        <v>13880</v>
      </c>
      <c r="H5630" s="546">
        <v>30708.66</v>
      </c>
      <c r="I5630" s="47">
        <v>45168</v>
      </c>
      <c r="J5630" s="73" t="s">
        <v>13881</v>
      </c>
      <c r="K5630" s="45"/>
      <c r="L5630" s="99"/>
      <c r="M5630" s="385"/>
      <c r="N5630" s="75"/>
      <c r="O5630" s="45" t="s">
        <v>147</v>
      </c>
      <c r="P5630" s="45" t="s">
        <v>22</v>
      </c>
      <c r="Q5630" s="45" t="s">
        <v>103</v>
      </c>
      <c r="R5630" s="45" t="s">
        <v>272</v>
      </c>
    </row>
    <row r="5631" spans="1:18" s="98" customFormat="1" ht="69" customHeight="1">
      <c r="A5631" s="169"/>
      <c r="B5631" s="48">
        <f t="shared" si="3"/>
        <v>2770</v>
      </c>
      <c r="C5631" s="45" t="s">
        <v>458</v>
      </c>
      <c r="D5631" s="84" t="s">
        <v>4819</v>
      </c>
      <c r="E5631" s="44" t="s">
        <v>7649</v>
      </c>
      <c r="F5631" s="45" t="s">
        <v>13885</v>
      </c>
      <c r="G5631" s="45" t="s">
        <v>13883</v>
      </c>
      <c r="H5631" s="546">
        <v>16535.43</v>
      </c>
      <c r="I5631" s="47">
        <v>45168</v>
      </c>
      <c r="J5631" s="73" t="s">
        <v>13881</v>
      </c>
      <c r="K5631" s="45"/>
      <c r="L5631" s="99"/>
      <c r="M5631" s="385"/>
      <c r="N5631" s="75"/>
      <c r="O5631" s="45" t="s">
        <v>147</v>
      </c>
      <c r="P5631" s="45" t="s">
        <v>22</v>
      </c>
      <c r="Q5631" s="45" t="s">
        <v>103</v>
      </c>
      <c r="R5631" s="45" t="s">
        <v>272</v>
      </c>
    </row>
    <row r="5632" spans="1:18" s="98" customFormat="1" ht="69" customHeight="1">
      <c r="A5632" s="169"/>
      <c r="B5632" s="48">
        <f t="shared" si="3"/>
        <v>2771</v>
      </c>
      <c r="C5632" s="45" t="s">
        <v>458</v>
      </c>
      <c r="D5632" s="84" t="s">
        <v>4710</v>
      </c>
      <c r="E5632" s="44" t="s">
        <v>7649</v>
      </c>
      <c r="F5632" s="45" t="s">
        <v>13886</v>
      </c>
      <c r="G5632" s="45" t="s">
        <v>13880</v>
      </c>
      <c r="H5632" s="546">
        <v>13129.2</v>
      </c>
      <c r="I5632" s="47">
        <v>45168</v>
      </c>
      <c r="J5632" s="73" t="s">
        <v>13887</v>
      </c>
      <c r="K5632" s="45"/>
      <c r="L5632" s="99"/>
      <c r="M5632" s="385"/>
      <c r="N5632" s="75"/>
      <c r="O5632" s="45" t="s">
        <v>147</v>
      </c>
      <c r="P5632" s="45" t="s">
        <v>22</v>
      </c>
      <c r="Q5632" s="45" t="s">
        <v>104</v>
      </c>
      <c r="R5632" s="45" t="s">
        <v>272</v>
      </c>
    </row>
    <row r="5633" spans="1:18" s="98" customFormat="1" ht="69" customHeight="1">
      <c r="A5633" s="169"/>
      <c r="B5633" s="48">
        <f t="shared" si="3"/>
        <v>2772</v>
      </c>
      <c r="C5633" s="45" t="s">
        <v>458</v>
      </c>
      <c r="D5633" s="84" t="s">
        <v>5207</v>
      </c>
      <c r="E5633" s="44" t="s">
        <v>7649</v>
      </c>
      <c r="F5633" s="45" t="s">
        <v>13888</v>
      </c>
      <c r="G5633" s="45" t="s">
        <v>13883</v>
      </c>
      <c r="H5633" s="546">
        <v>7069.57</v>
      </c>
      <c r="I5633" s="47">
        <v>45168</v>
      </c>
      <c r="J5633" s="73" t="s">
        <v>13887</v>
      </c>
      <c r="K5633" s="45"/>
      <c r="L5633" s="99"/>
      <c r="M5633" s="385"/>
      <c r="N5633" s="75"/>
      <c r="O5633" s="45" t="s">
        <v>147</v>
      </c>
      <c r="P5633" s="45" t="s">
        <v>22</v>
      </c>
      <c r="Q5633" s="45" t="s">
        <v>104</v>
      </c>
      <c r="R5633" s="45" t="s">
        <v>272</v>
      </c>
    </row>
    <row r="5634" spans="1:18" s="98" customFormat="1" ht="69" customHeight="1">
      <c r="A5634" s="169"/>
      <c r="B5634" s="48">
        <f t="shared" si="3"/>
        <v>2773</v>
      </c>
      <c r="C5634" s="45" t="s">
        <v>458</v>
      </c>
      <c r="D5634" s="84" t="s">
        <v>4714</v>
      </c>
      <c r="E5634" s="44" t="s">
        <v>7649</v>
      </c>
      <c r="F5634" s="45" t="s">
        <v>13889</v>
      </c>
      <c r="G5634" s="45" t="s">
        <v>13880</v>
      </c>
      <c r="H5634" s="546">
        <v>29828.31</v>
      </c>
      <c r="I5634" s="47">
        <v>45168</v>
      </c>
      <c r="J5634" s="73" t="s">
        <v>13887</v>
      </c>
      <c r="K5634" s="45" t="s">
        <v>13890</v>
      </c>
      <c r="L5634" s="99"/>
      <c r="M5634" s="385"/>
      <c r="N5634" s="75"/>
      <c r="O5634" s="45" t="s">
        <v>147</v>
      </c>
      <c r="P5634" s="45" t="s">
        <v>22</v>
      </c>
      <c r="Q5634" s="45" t="s">
        <v>107</v>
      </c>
      <c r="R5634" s="45" t="s">
        <v>272</v>
      </c>
    </row>
    <row r="5635" spans="1:18" s="98" customFormat="1" ht="69" customHeight="1">
      <c r="A5635" s="169"/>
      <c r="B5635" s="48">
        <f t="shared" si="3"/>
        <v>2774</v>
      </c>
      <c r="C5635" s="45" t="s">
        <v>458</v>
      </c>
      <c r="D5635" s="84" t="s">
        <v>5971</v>
      </c>
      <c r="E5635" s="44" t="s">
        <v>7649</v>
      </c>
      <c r="F5635" s="45" t="s">
        <v>13891</v>
      </c>
      <c r="G5635" s="45" t="s">
        <v>13883</v>
      </c>
      <c r="H5635" s="546">
        <v>16061.4</v>
      </c>
      <c r="I5635" s="47">
        <v>45168</v>
      </c>
      <c r="J5635" s="73" t="s">
        <v>13887</v>
      </c>
      <c r="K5635" s="45" t="s">
        <v>13890</v>
      </c>
      <c r="L5635" s="99"/>
      <c r="M5635" s="385"/>
      <c r="N5635" s="75"/>
      <c r="O5635" s="45" t="s">
        <v>147</v>
      </c>
      <c r="P5635" s="45" t="s">
        <v>22</v>
      </c>
      <c r="Q5635" s="45" t="s">
        <v>107</v>
      </c>
      <c r="R5635" s="45" t="s">
        <v>272</v>
      </c>
    </row>
    <row r="5636" spans="1:18" s="98" customFormat="1" ht="69" customHeight="1">
      <c r="A5636" s="169"/>
      <c r="B5636" s="48">
        <f t="shared" si="3"/>
        <v>2775</v>
      </c>
      <c r="C5636" s="45" t="s">
        <v>458</v>
      </c>
      <c r="D5636" s="84" t="s">
        <v>5551</v>
      </c>
      <c r="E5636" s="44" t="s">
        <v>7649</v>
      </c>
      <c r="F5636" s="45" t="s">
        <v>13892</v>
      </c>
      <c r="G5636" s="45" t="s">
        <v>13880</v>
      </c>
      <c r="H5636" s="546">
        <v>49886.45</v>
      </c>
      <c r="I5636" s="47">
        <v>45168</v>
      </c>
      <c r="J5636" s="73" t="s">
        <v>13893</v>
      </c>
      <c r="K5636" s="45"/>
      <c r="L5636" s="99"/>
      <c r="M5636" s="385"/>
      <c r="N5636" s="75"/>
      <c r="O5636" s="45" t="s">
        <v>147</v>
      </c>
      <c r="P5636" s="45" t="s">
        <v>22</v>
      </c>
      <c r="Q5636" s="45" t="s">
        <v>88</v>
      </c>
      <c r="R5636" s="45" t="s">
        <v>272</v>
      </c>
    </row>
    <row r="5637" spans="1:18" s="98" customFormat="1" ht="69" customHeight="1">
      <c r="A5637" s="169"/>
      <c r="B5637" s="48">
        <f t="shared" si="3"/>
        <v>2776</v>
      </c>
      <c r="C5637" s="45" t="s">
        <v>458</v>
      </c>
      <c r="D5637" s="84" t="s">
        <v>6886</v>
      </c>
      <c r="E5637" s="44" t="s">
        <v>7649</v>
      </c>
      <c r="F5637" s="45" t="s">
        <v>13894</v>
      </c>
      <c r="G5637" s="45" t="s">
        <v>13883</v>
      </c>
      <c r="H5637" s="546">
        <v>26861.93</v>
      </c>
      <c r="I5637" s="47">
        <v>45168</v>
      </c>
      <c r="J5637" s="73" t="s">
        <v>13893</v>
      </c>
      <c r="K5637" s="45"/>
      <c r="L5637" s="99"/>
      <c r="M5637" s="385"/>
      <c r="N5637" s="75"/>
      <c r="O5637" s="45" t="s">
        <v>147</v>
      </c>
      <c r="P5637" s="45" t="s">
        <v>22</v>
      </c>
      <c r="Q5637" s="45" t="s">
        <v>88</v>
      </c>
      <c r="R5637" s="45" t="s">
        <v>272</v>
      </c>
    </row>
    <row r="5638" spans="1:18" s="98" customFormat="1" ht="69" customHeight="1">
      <c r="A5638" s="169"/>
      <c r="B5638" s="48">
        <f t="shared" si="3"/>
        <v>2777</v>
      </c>
      <c r="C5638" s="45" t="s">
        <v>458</v>
      </c>
      <c r="D5638" s="84" t="s">
        <v>6444</v>
      </c>
      <c r="E5638" s="178" t="s">
        <v>10553</v>
      </c>
      <c r="F5638" s="45" t="s">
        <v>13895</v>
      </c>
      <c r="G5638" s="45" t="s">
        <v>13880</v>
      </c>
      <c r="H5638" s="546">
        <v>49886.45</v>
      </c>
      <c r="I5638" s="47">
        <v>45168</v>
      </c>
      <c r="J5638" s="73" t="s">
        <v>13893</v>
      </c>
      <c r="K5638" s="45"/>
      <c r="L5638" s="99"/>
      <c r="M5638" s="385"/>
      <c r="N5638" s="75"/>
      <c r="O5638" s="45" t="s">
        <v>147</v>
      </c>
      <c r="P5638" s="45" t="s">
        <v>22</v>
      </c>
      <c r="Q5638" s="45" t="s">
        <v>123</v>
      </c>
      <c r="R5638" s="45" t="s">
        <v>272</v>
      </c>
    </row>
    <row r="5639" spans="1:18" s="98" customFormat="1" ht="69" customHeight="1">
      <c r="A5639" s="169"/>
      <c r="B5639" s="48">
        <f t="shared" si="3"/>
        <v>2778</v>
      </c>
      <c r="C5639" s="45" t="s">
        <v>458</v>
      </c>
      <c r="D5639" s="84" t="s">
        <v>5734</v>
      </c>
      <c r="E5639" s="178" t="s">
        <v>10553</v>
      </c>
      <c r="F5639" s="45" t="s">
        <v>13896</v>
      </c>
      <c r="G5639" s="45" t="s">
        <v>13883</v>
      </c>
      <c r="H5639" s="546">
        <v>26861.93</v>
      </c>
      <c r="I5639" s="47">
        <v>45168</v>
      </c>
      <c r="J5639" s="73" t="s">
        <v>13893</v>
      </c>
      <c r="K5639" s="45"/>
      <c r="L5639" s="99"/>
      <c r="M5639" s="385"/>
      <c r="N5639" s="75"/>
      <c r="O5639" s="45" t="s">
        <v>147</v>
      </c>
      <c r="P5639" s="45" t="s">
        <v>22</v>
      </c>
      <c r="Q5639" s="45" t="s">
        <v>123</v>
      </c>
      <c r="R5639" s="45" t="s">
        <v>272</v>
      </c>
    </row>
    <row r="5640" spans="1:18" s="98" customFormat="1" ht="69" customHeight="1">
      <c r="A5640" s="169"/>
      <c r="B5640" s="48">
        <f t="shared" si="3"/>
        <v>2779</v>
      </c>
      <c r="C5640" s="45" t="s">
        <v>458</v>
      </c>
      <c r="D5640" s="84" t="s">
        <v>4533</v>
      </c>
      <c r="E5640" s="44" t="s">
        <v>7649</v>
      </c>
      <c r="F5640" s="45" t="s">
        <v>13897</v>
      </c>
      <c r="G5640" s="45" t="s">
        <v>13880</v>
      </c>
      <c r="H5640" s="546">
        <v>49886.45</v>
      </c>
      <c r="I5640" s="47">
        <v>45168</v>
      </c>
      <c r="J5640" s="73" t="s">
        <v>13898</v>
      </c>
      <c r="K5640" s="45"/>
      <c r="L5640" s="99"/>
      <c r="M5640" s="385"/>
      <c r="N5640" s="75"/>
      <c r="O5640" s="45" t="s">
        <v>147</v>
      </c>
      <c r="P5640" s="45" t="s">
        <v>22</v>
      </c>
      <c r="Q5640" s="45" t="s">
        <v>112</v>
      </c>
      <c r="R5640" s="45" t="s">
        <v>272</v>
      </c>
    </row>
    <row r="5641" spans="1:18" s="98" customFormat="1" ht="69" customHeight="1">
      <c r="A5641" s="169"/>
      <c r="B5641" s="48">
        <f t="shared" si="3"/>
        <v>2780</v>
      </c>
      <c r="C5641" s="45" t="s">
        <v>458</v>
      </c>
      <c r="D5641" s="84" t="s">
        <v>5642</v>
      </c>
      <c r="E5641" s="44" t="s">
        <v>7649</v>
      </c>
      <c r="F5641" s="45" t="s">
        <v>13899</v>
      </c>
      <c r="G5641" s="45" t="s">
        <v>13883</v>
      </c>
      <c r="H5641" s="546">
        <v>26861.93</v>
      </c>
      <c r="I5641" s="47">
        <v>45168</v>
      </c>
      <c r="J5641" s="73" t="s">
        <v>13898</v>
      </c>
      <c r="K5641" s="45"/>
      <c r="L5641" s="99"/>
      <c r="M5641" s="385"/>
      <c r="N5641" s="75"/>
      <c r="O5641" s="45" t="s">
        <v>147</v>
      </c>
      <c r="P5641" s="45" t="s">
        <v>22</v>
      </c>
      <c r="Q5641" s="45" t="s">
        <v>112</v>
      </c>
      <c r="R5641" s="45" t="s">
        <v>272</v>
      </c>
    </row>
    <row r="5642" spans="1:18" s="98" customFormat="1" ht="69" customHeight="1">
      <c r="A5642" s="169"/>
      <c r="B5642" s="48">
        <f t="shared" si="3"/>
        <v>2781</v>
      </c>
      <c r="C5642" s="45" t="s">
        <v>458</v>
      </c>
      <c r="D5642" s="84" t="s">
        <v>5644</v>
      </c>
      <c r="E5642" s="44" t="s">
        <v>7649</v>
      </c>
      <c r="F5642" s="45" t="s">
        <v>13900</v>
      </c>
      <c r="G5642" s="45" t="s">
        <v>13880</v>
      </c>
      <c r="H5642" s="546">
        <v>29094.63</v>
      </c>
      <c r="I5642" s="47">
        <v>45168</v>
      </c>
      <c r="J5642" s="73" t="s">
        <v>13898</v>
      </c>
      <c r="K5642" s="45"/>
      <c r="L5642" s="99"/>
      <c r="M5642" s="385"/>
      <c r="N5642" s="75"/>
      <c r="O5642" s="45" t="s">
        <v>147</v>
      </c>
      <c r="P5642" s="45" t="s">
        <v>22</v>
      </c>
      <c r="Q5642" s="45" t="s">
        <v>113</v>
      </c>
      <c r="R5642" s="45" t="s">
        <v>272</v>
      </c>
    </row>
    <row r="5643" spans="1:18" s="98" customFormat="1" ht="69" customHeight="1">
      <c r="A5643" s="169"/>
      <c r="B5643" s="48">
        <f t="shared" si="3"/>
        <v>2782</v>
      </c>
      <c r="C5643" s="45" t="s">
        <v>458</v>
      </c>
      <c r="D5643" s="84" t="s">
        <v>5646</v>
      </c>
      <c r="E5643" s="44" t="s">
        <v>7649</v>
      </c>
      <c r="F5643" s="45" t="s">
        <v>13901</v>
      </c>
      <c r="G5643" s="45" t="s">
        <v>13883</v>
      </c>
      <c r="H5643" s="546">
        <v>15666.34</v>
      </c>
      <c r="I5643" s="47">
        <v>45168</v>
      </c>
      <c r="J5643" s="73" t="s">
        <v>13898</v>
      </c>
      <c r="K5643" s="45"/>
      <c r="L5643" s="99"/>
      <c r="M5643" s="385"/>
      <c r="N5643" s="75"/>
      <c r="O5643" s="45" t="s">
        <v>147</v>
      </c>
      <c r="P5643" s="45" t="s">
        <v>22</v>
      </c>
      <c r="Q5643" s="45" t="s">
        <v>113</v>
      </c>
      <c r="R5643" s="45" t="s">
        <v>272</v>
      </c>
    </row>
    <row r="5644" spans="1:18" s="98" customFormat="1" ht="69" customHeight="1">
      <c r="A5644" s="169"/>
      <c r="B5644" s="48">
        <f t="shared" si="3"/>
        <v>2783</v>
      </c>
      <c r="C5644" s="45" t="s">
        <v>458</v>
      </c>
      <c r="D5644" s="84" t="s">
        <v>6889</v>
      </c>
      <c r="E5644" s="45" t="s">
        <v>10495</v>
      </c>
      <c r="F5644" s="45" t="s">
        <v>13902</v>
      </c>
      <c r="G5644" s="45" t="s">
        <v>13880</v>
      </c>
      <c r="H5644" s="546">
        <v>49886.45</v>
      </c>
      <c r="I5644" s="47">
        <v>45168</v>
      </c>
      <c r="J5644" s="73" t="s">
        <v>13903</v>
      </c>
      <c r="K5644" s="45"/>
      <c r="L5644" s="99"/>
      <c r="M5644" s="385"/>
      <c r="N5644" s="75"/>
      <c r="O5644" s="45" t="s">
        <v>147</v>
      </c>
      <c r="P5644" s="45" t="s">
        <v>22</v>
      </c>
      <c r="Q5644" s="45" t="s">
        <v>122</v>
      </c>
      <c r="R5644" s="45" t="s">
        <v>272</v>
      </c>
    </row>
    <row r="5645" spans="1:18" s="98" customFormat="1" ht="69" customHeight="1">
      <c r="A5645" s="169"/>
      <c r="B5645" s="48">
        <f t="shared" si="3"/>
        <v>2784</v>
      </c>
      <c r="C5645" s="45" t="s">
        <v>458</v>
      </c>
      <c r="D5645" s="84" t="s">
        <v>5736</v>
      </c>
      <c r="E5645" s="45" t="s">
        <v>10495</v>
      </c>
      <c r="F5645" s="45" t="s">
        <v>13904</v>
      </c>
      <c r="G5645" s="45" t="s">
        <v>13883</v>
      </c>
      <c r="H5645" s="546">
        <v>26861.93</v>
      </c>
      <c r="I5645" s="47">
        <v>45168</v>
      </c>
      <c r="J5645" s="73" t="s">
        <v>13903</v>
      </c>
      <c r="K5645" s="45"/>
      <c r="L5645" s="99"/>
      <c r="M5645" s="385"/>
      <c r="N5645" s="75"/>
      <c r="O5645" s="45" t="s">
        <v>147</v>
      </c>
      <c r="P5645" s="45" t="s">
        <v>22</v>
      </c>
      <c r="Q5645" s="45" t="s">
        <v>122</v>
      </c>
      <c r="R5645" s="45" t="s">
        <v>272</v>
      </c>
    </row>
    <row r="5646" spans="1:18" s="98" customFormat="1" ht="69" customHeight="1">
      <c r="A5646" s="169"/>
      <c r="B5646" s="48">
        <f t="shared" si="3"/>
        <v>2785</v>
      </c>
      <c r="C5646" s="45" t="s">
        <v>458</v>
      </c>
      <c r="D5646" s="84" t="s">
        <v>4106</v>
      </c>
      <c r="E5646" s="44" t="s">
        <v>7649</v>
      </c>
      <c r="F5646" s="45" t="s">
        <v>13905</v>
      </c>
      <c r="G5646" s="45" t="s">
        <v>13880</v>
      </c>
      <c r="H5646" s="546">
        <v>4814.53</v>
      </c>
      <c r="I5646" s="47">
        <v>45168</v>
      </c>
      <c r="J5646" s="73" t="s">
        <v>13903</v>
      </c>
      <c r="K5646" s="45"/>
      <c r="L5646" s="99"/>
      <c r="M5646" s="385"/>
      <c r="N5646" s="75"/>
      <c r="O5646" s="45" t="s">
        <v>147</v>
      </c>
      <c r="P5646" s="45" t="s">
        <v>22</v>
      </c>
      <c r="Q5646" s="45" t="s">
        <v>119</v>
      </c>
      <c r="R5646" s="45" t="s">
        <v>272</v>
      </c>
    </row>
    <row r="5647" spans="1:18" s="98" customFormat="1" ht="69" customHeight="1">
      <c r="A5647" s="169"/>
      <c r="B5647" s="48">
        <f t="shared" si="3"/>
        <v>2786</v>
      </c>
      <c r="C5647" s="45" t="s">
        <v>458</v>
      </c>
      <c r="D5647" s="84" t="s">
        <v>4110</v>
      </c>
      <c r="E5647" s="44" t="s">
        <v>7649</v>
      </c>
      <c r="F5647" s="45" t="s">
        <v>13906</v>
      </c>
      <c r="G5647" s="45" t="s">
        <v>13883</v>
      </c>
      <c r="H5647" s="546">
        <v>2592.44</v>
      </c>
      <c r="I5647" s="47">
        <v>45168</v>
      </c>
      <c r="J5647" s="73" t="s">
        <v>13903</v>
      </c>
      <c r="K5647" s="45"/>
      <c r="L5647" s="99"/>
      <c r="M5647" s="385"/>
      <c r="N5647" s="75"/>
      <c r="O5647" s="45" t="s">
        <v>147</v>
      </c>
      <c r="P5647" s="45" t="s">
        <v>22</v>
      </c>
      <c r="Q5647" s="45" t="s">
        <v>119</v>
      </c>
      <c r="R5647" s="45" t="s">
        <v>272</v>
      </c>
    </row>
    <row r="5648" spans="1:18" s="98" customFormat="1" ht="69" customHeight="1">
      <c r="A5648" s="169"/>
      <c r="B5648" s="48">
        <f t="shared" si="3"/>
        <v>2787</v>
      </c>
      <c r="C5648" s="45" t="s">
        <v>458</v>
      </c>
      <c r="D5648" s="84" t="s">
        <v>4113</v>
      </c>
      <c r="E5648" s="44" t="s">
        <v>7649</v>
      </c>
      <c r="F5648" s="45" t="s">
        <v>13907</v>
      </c>
      <c r="G5648" s="45" t="s">
        <v>13880</v>
      </c>
      <c r="H5648" s="546">
        <v>3178.7</v>
      </c>
      <c r="I5648" s="47">
        <v>45168</v>
      </c>
      <c r="J5648" s="73" t="s">
        <v>13908</v>
      </c>
      <c r="K5648" s="45"/>
      <c r="L5648" s="99"/>
      <c r="M5648" s="385"/>
      <c r="N5648" s="75"/>
      <c r="O5648" s="45" t="s">
        <v>147</v>
      </c>
      <c r="P5648" s="45" t="s">
        <v>22</v>
      </c>
      <c r="Q5648" s="45" t="s">
        <v>120</v>
      </c>
      <c r="R5648" s="45" t="s">
        <v>272</v>
      </c>
    </row>
    <row r="5649" spans="1:18" s="98" customFormat="1" ht="69" customHeight="1">
      <c r="A5649" s="169"/>
      <c r="B5649" s="48">
        <f t="shared" si="3"/>
        <v>2788</v>
      </c>
      <c r="C5649" s="45" t="s">
        <v>458</v>
      </c>
      <c r="D5649" s="84" t="s">
        <v>4402</v>
      </c>
      <c r="E5649" s="44" t="s">
        <v>7649</v>
      </c>
      <c r="F5649" s="45" t="s">
        <v>13909</v>
      </c>
      <c r="G5649" s="45" t="s">
        <v>13883</v>
      </c>
      <c r="H5649" s="546">
        <v>1711.61</v>
      </c>
      <c r="I5649" s="47">
        <v>45168</v>
      </c>
      <c r="J5649" s="73" t="s">
        <v>13908</v>
      </c>
      <c r="K5649" s="45"/>
      <c r="L5649" s="99"/>
      <c r="M5649" s="385"/>
      <c r="N5649" s="75"/>
      <c r="O5649" s="45" t="s">
        <v>147</v>
      </c>
      <c r="P5649" s="45" t="s">
        <v>22</v>
      </c>
      <c r="Q5649" s="45" t="s">
        <v>120</v>
      </c>
      <c r="R5649" s="45" t="s">
        <v>272</v>
      </c>
    </row>
    <row r="5650" spans="1:18" s="98" customFormat="1" ht="69" customHeight="1">
      <c r="A5650" s="169"/>
      <c r="B5650" s="48">
        <f t="shared" si="3"/>
        <v>2789</v>
      </c>
      <c r="C5650" s="45" t="s">
        <v>458</v>
      </c>
      <c r="D5650" s="84" t="s">
        <v>4117</v>
      </c>
      <c r="E5650" s="44" t="s">
        <v>7649</v>
      </c>
      <c r="F5650" s="45" t="s">
        <v>13910</v>
      </c>
      <c r="G5650" s="45" t="s">
        <v>13880</v>
      </c>
      <c r="H5650" s="546">
        <v>3720.06</v>
      </c>
      <c r="I5650" s="47">
        <v>45168</v>
      </c>
      <c r="J5650" s="73" t="s">
        <v>13908</v>
      </c>
      <c r="K5650" s="45"/>
      <c r="L5650" s="99"/>
      <c r="M5650" s="385"/>
      <c r="N5650" s="75"/>
      <c r="O5650" s="45" t="s">
        <v>147</v>
      </c>
      <c r="P5650" s="45" t="s">
        <v>22</v>
      </c>
      <c r="Q5650" s="45" t="s">
        <v>121</v>
      </c>
      <c r="R5650" s="45" t="s">
        <v>272</v>
      </c>
    </row>
    <row r="5651" spans="1:18" s="98" customFormat="1" ht="69" customHeight="1">
      <c r="A5651" s="169"/>
      <c r="B5651" s="48">
        <f t="shared" si="3"/>
        <v>2790</v>
      </c>
      <c r="C5651" s="45" t="s">
        <v>458</v>
      </c>
      <c r="D5651" s="84" t="s">
        <v>4389</v>
      </c>
      <c r="E5651" s="44" t="s">
        <v>7649</v>
      </c>
      <c r="F5651" s="45" t="s">
        <v>13911</v>
      </c>
      <c r="G5651" s="45" t="s">
        <v>13883</v>
      </c>
      <c r="H5651" s="546">
        <v>2003.11</v>
      </c>
      <c r="I5651" s="47">
        <v>45168</v>
      </c>
      <c r="J5651" s="73" t="s">
        <v>13908</v>
      </c>
      <c r="K5651" s="45"/>
      <c r="L5651" s="99"/>
      <c r="M5651" s="385"/>
      <c r="N5651" s="75"/>
      <c r="O5651" s="45" t="s">
        <v>147</v>
      </c>
      <c r="P5651" s="45" t="s">
        <v>22</v>
      </c>
      <c r="Q5651" s="45" t="s">
        <v>121</v>
      </c>
      <c r="R5651" s="45" t="s">
        <v>272</v>
      </c>
    </row>
    <row r="5652" spans="1:18" s="98" customFormat="1" ht="69" customHeight="1">
      <c r="A5652" s="169"/>
      <c r="B5652" s="48">
        <f t="shared" si="3"/>
        <v>2791</v>
      </c>
      <c r="C5652" s="45" t="s">
        <v>7452</v>
      </c>
      <c r="D5652" s="84" t="s">
        <v>4393</v>
      </c>
      <c r="E5652" s="44" t="s">
        <v>13912</v>
      </c>
      <c r="F5652" s="45" t="s">
        <v>13913</v>
      </c>
      <c r="G5652" s="45" t="s">
        <v>13914</v>
      </c>
      <c r="H5652" s="546">
        <v>37372.07</v>
      </c>
      <c r="I5652" s="47">
        <v>45174</v>
      </c>
      <c r="J5652" s="73" t="s">
        <v>13915</v>
      </c>
      <c r="K5652" s="45"/>
      <c r="L5652" s="99"/>
      <c r="M5652" s="385"/>
      <c r="N5652" s="75"/>
      <c r="O5652" s="45" t="s">
        <v>13916</v>
      </c>
      <c r="P5652" s="45" t="s">
        <v>57</v>
      </c>
      <c r="Q5652" s="45" t="s">
        <v>101</v>
      </c>
      <c r="R5652" s="45" t="s">
        <v>272</v>
      </c>
    </row>
    <row r="5653" spans="1:18" s="98" customFormat="1" ht="69" customHeight="1">
      <c r="A5653" s="169"/>
      <c r="B5653" s="48">
        <f t="shared" si="3"/>
        <v>2792</v>
      </c>
      <c r="C5653" s="45" t="s">
        <v>7521</v>
      </c>
      <c r="D5653" s="84" t="s">
        <v>5334</v>
      </c>
      <c r="E5653" s="44" t="s">
        <v>13912</v>
      </c>
      <c r="F5653" s="45" t="s">
        <v>13917</v>
      </c>
      <c r="G5653" s="45" t="s">
        <v>13914</v>
      </c>
      <c r="H5653" s="546">
        <v>28080.639999999999</v>
      </c>
      <c r="I5653" s="47">
        <v>45174</v>
      </c>
      <c r="J5653" s="73" t="s">
        <v>13915</v>
      </c>
      <c r="K5653" s="45"/>
      <c r="L5653" s="99"/>
      <c r="M5653" s="385"/>
      <c r="N5653" s="75"/>
      <c r="O5653" s="45" t="s">
        <v>13916</v>
      </c>
      <c r="P5653" s="45" t="s">
        <v>57</v>
      </c>
      <c r="Q5653" s="45" t="s">
        <v>102</v>
      </c>
      <c r="R5653" s="45" t="s">
        <v>272</v>
      </c>
    </row>
    <row r="5654" spans="1:18" ht="69" customHeight="1">
      <c r="A5654" s="168"/>
      <c r="B5654" s="52">
        <f t="shared" si="3"/>
        <v>2793</v>
      </c>
      <c r="C5654" s="51" t="s">
        <v>458</v>
      </c>
      <c r="D5654" s="251" t="s">
        <v>5521</v>
      </c>
      <c r="E5654" s="51" t="s">
        <v>266</v>
      </c>
      <c r="F5654" s="46" t="s">
        <v>13918</v>
      </c>
      <c r="G5654" s="46" t="s">
        <v>13919</v>
      </c>
      <c r="H5654" s="534">
        <v>16415</v>
      </c>
      <c r="I5654" s="56">
        <v>45174</v>
      </c>
      <c r="J5654" s="199" t="s">
        <v>13920</v>
      </c>
      <c r="K5654" s="46" t="s">
        <v>5103</v>
      </c>
      <c r="L5654" s="99"/>
      <c r="M5654" s="379"/>
      <c r="N5654" s="76"/>
      <c r="O5654" s="46" t="s">
        <v>13921</v>
      </c>
      <c r="P5654" s="46" t="s">
        <v>65</v>
      </c>
      <c r="Q5654" s="46" t="s">
        <v>112</v>
      </c>
      <c r="R5654" s="46" t="s">
        <v>272</v>
      </c>
    </row>
    <row r="5655" spans="1:18" ht="69" customHeight="1">
      <c r="A5655" s="168"/>
      <c r="B5655" s="52">
        <f t="shared" si="3"/>
        <v>2794</v>
      </c>
      <c r="C5655" s="51" t="s">
        <v>458</v>
      </c>
      <c r="D5655" s="251" t="s">
        <v>5535</v>
      </c>
      <c r="E5655" s="51" t="s">
        <v>266</v>
      </c>
      <c r="F5655" s="46" t="s">
        <v>13922</v>
      </c>
      <c r="G5655" s="46" t="s">
        <v>13919</v>
      </c>
      <c r="H5655" s="534">
        <v>16415</v>
      </c>
      <c r="I5655" s="56">
        <v>45174</v>
      </c>
      <c r="J5655" s="199" t="s">
        <v>13920</v>
      </c>
      <c r="K5655" s="46" t="s">
        <v>1170</v>
      </c>
      <c r="L5655" s="99"/>
      <c r="M5655" s="379"/>
      <c r="N5655" s="76"/>
      <c r="O5655" s="46" t="s">
        <v>13921</v>
      </c>
      <c r="P5655" s="46" t="s">
        <v>65</v>
      </c>
      <c r="Q5655" s="46" t="s">
        <v>123</v>
      </c>
      <c r="R5655" s="46" t="s">
        <v>272</v>
      </c>
    </row>
    <row r="5656" spans="1:18" ht="69" customHeight="1">
      <c r="A5656" s="168"/>
      <c r="B5656" s="48">
        <f t="shared" si="3"/>
        <v>2795</v>
      </c>
      <c r="C5656" s="45" t="s">
        <v>657</v>
      </c>
      <c r="D5656" s="84" t="s">
        <v>3858</v>
      </c>
      <c r="E5656" s="44" t="s">
        <v>11417</v>
      </c>
      <c r="F5656" s="45" t="s">
        <v>13923</v>
      </c>
      <c r="G5656" s="45" t="s">
        <v>13924</v>
      </c>
      <c r="H5656" s="546">
        <v>40000</v>
      </c>
      <c r="I5656" s="47">
        <v>45174</v>
      </c>
      <c r="J5656" s="73" t="s">
        <v>13925</v>
      </c>
      <c r="K5656" s="45"/>
      <c r="L5656" s="99"/>
      <c r="M5656" s="385"/>
      <c r="N5656" s="75"/>
      <c r="O5656" s="45" t="s">
        <v>147</v>
      </c>
      <c r="P5656" s="45" t="s">
        <v>22</v>
      </c>
      <c r="Q5656" s="45" t="s">
        <v>104</v>
      </c>
      <c r="R5656" s="48" t="s">
        <v>265</v>
      </c>
    </row>
    <row r="5657" spans="1:18" ht="69" customHeight="1">
      <c r="A5657" s="168"/>
      <c r="B5657" s="48">
        <f t="shared" si="3"/>
        <v>2796</v>
      </c>
      <c r="C5657" s="45" t="s">
        <v>458</v>
      </c>
      <c r="D5657" s="84" t="s">
        <v>5525</v>
      </c>
      <c r="E5657" s="44" t="s">
        <v>11417</v>
      </c>
      <c r="F5657" s="45" t="s">
        <v>13926</v>
      </c>
      <c r="G5657" s="45" t="s">
        <v>13924</v>
      </c>
      <c r="H5657" s="546">
        <v>40000</v>
      </c>
      <c r="I5657" s="47">
        <v>45174</v>
      </c>
      <c r="J5657" s="73" t="s">
        <v>13925</v>
      </c>
      <c r="K5657" s="45"/>
      <c r="L5657" s="99"/>
      <c r="M5657" s="385"/>
      <c r="N5657" s="75"/>
      <c r="O5657" s="45" t="s">
        <v>147</v>
      </c>
      <c r="P5657" s="45" t="s">
        <v>22</v>
      </c>
      <c r="Q5657" s="45" t="s">
        <v>103</v>
      </c>
      <c r="R5657" s="48" t="s">
        <v>265</v>
      </c>
    </row>
    <row r="5658" spans="1:18" ht="69" customHeight="1">
      <c r="A5658" s="168"/>
      <c r="B5658" s="48">
        <f t="shared" si="3"/>
        <v>2797</v>
      </c>
      <c r="C5658" s="45" t="s">
        <v>458</v>
      </c>
      <c r="D5658" s="84" t="s">
        <v>5537</v>
      </c>
      <c r="E5658" s="44" t="s">
        <v>11417</v>
      </c>
      <c r="F5658" s="45" t="s">
        <v>13927</v>
      </c>
      <c r="G5658" s="45" t="s">
        <v>13924</v>
      </c>
      <c r="H5658" s="546">
        <v>40000</v>
      </c>
      <c r="I5658" s="47">
        <v>45174</v>
      </c>
      <c r="J5658" s="73" t="s">
        <v>13925</v>
      </c>
      <c r="K5658" s="45"/>
      <c r="L5658" s="99"/>
      <c r="M5658" s="385"/>
      <c r="N5658" s="75"/>
      <c r="O5658" s="45" t="s">
        <v>147</v>
      </c>
      <c r="P5658" s="45" t="s">
        <v>22</v>
      </c>
      <c r="Q5658" s="45" t="s">
        <v>107</v>
      </c>
      <c r="R5658" s="48" t="s">
        <v>265</v>
      </c>
    </row>
    <row r="5659" spans="1:18" ht="69" customHeight="1">
      <c r="A5659" s="168"/>
      <c r="B5659" s="48">
        <f t="shared" si="3"/>
        <v>2798</v>
      </c>
      <c r="C5659" s="45" t="s">
        <v>458</v>
      </c>
      <c r="D5659" s="84" t="s">
        <v>5529</v>
      </c>
      <c r="E5659" s="44" t="s">
        <v>11417</v>
      </c>
      <c r="F5659" s="45" t="s">
        <v>13928</v>
      </c>
      <c r="G5659" s="45" t="s">
        <v>13924</v>
      </c>
      <c r="H5659" s="546">
        <v>43055.44</v>
      </c>
      <c r="I5659" s="47">
        <v>45174</v>
      </c>
      <c r="J5659" s="73" t="s">
        <v>13925</v>
      </c>
      <c r="K5659" s="45"/>
      <c r="L5659" s="99"/>
      <c r="M5659" s="385"/>
      <c r="N5659" s="75"/>
      <c r="O5659" s="45" t="s">
        <v>147</v>
      </c>
      <c r="P5659" s="45" t="s">
        <v>22</v>
      </c>
      <c r="Q5659" s="45" t="s">
        <v>113</v>
      </c>
      <c r="R5659" s="48" t="s">
        <v>265</v>
      </c>
    </row>
    <row r="5660" spans="1:18" ht="69" customHeight="1">
      <c r="A5660" s="168"/>
      <c r="B5660" s="259">
        <f t="shared" si="3"/>
        <v>2799</v>
      </c>
      <c r="C5660" s="302" t="s">
        <v>11464</v>
      </c>
      <c r="D5660" s="303" t="s">
        <v>13929</v>
      </c>
      <c r="E5660" s="290" t="s">
        <v>585</v>
      </c>
      <c r="F5660" s="160" t="s">
        <v>13930</v>
      </c>
      <c r="G5660" s="160" t="s">
        <v>13931</v>
      </c>
      <c r="H5660" s="300">
        <v>31011.61</v>
      </c>
      <c r="I5660" s="209">
        <v>45170</v>
      </c>
      <c r="J5660" s="316" t="s">
        <v>13932</v>
      </c>
      <c r="K5660" s="160" t="s">
        <v>10804</v>
      </c>
      <c r="M5660" s="379"/>
      <c r="N5660" s="76"/>
      <c r="O5660" s="160"/>
      <c r="P5660" s="160" t="s">
        <v>10804</v>
      </c>
      <c r="Q5660" s="160" t="s">
        <v>96</v>
      </c>
      <c r="R5660" s="160" t="s">
        <v>272</v>
      </c>
    </row>
    <row r="5661" spans="1:18" ht="69" customHeight="1">
      <c r="A5661" s="168"/>
      <c r="B5661" s="52">
        <f t="shared" si="3"/>
        <v>2800</v>
      </c>
      <c r="C5661" s="191" t="s">
        <v>309</v>
      </c>
      <c r="D5661" s="251" t="s">
        <v>4087</v>
      </c>
      <c r="E5661" s="53" t="s">
        <v>585</v>
      </c>
      <c r="F5661" s="46" t="s">
        <v>13933</v>
      </c>
      <c r="G5661" s="46" t="s">
        <v>13934</v>
      </c>
      <c r="H5661" s="534">
        <v>46053.9</v>
      </c>
      <c r="I5661" s="56">
        <v>45163</v>
      </c>
      <c r="J5661" s="199" t="s">
        <v>13935</v>
      </c>
      <c r="K5661" s="46" t="s">
        <v>1170</v>
      </c>
      <c r="L5661" s="99"/>
      <c r="M5661" s="379"/>
      <c r="N5661" s="76"/>
      <c r="O5661" s="46" t="s">
        <v>13936</v>
      </c>
      <c r="P5661" s="46" t="s">
        <v>65</v>
      </c>
      <c r="Q5661" s="46" t="s">
        <v>33</v>
      </c>
      <c r="R5661" s="46" t="s">
        <v>272</v>
      </c>
    </row>
    <row r="5662" spans="1:18" ht="69" customHeight="1">
      <c r="A5662" s="168"/>
      <c r="B5662" s="48">
        <f t="shared" si="3"/>
        <v>2801</v>
      </c>
      <c r="C5662" s="45" t="s">
        <v>3647</v>
      </c>
      <c r="D5662" s="84" t="s">
        <v>13937</v>
      </c>
      <c r="E5662" s="44" t="s">
        <v>13938</v>
      </c>
      <c r="F5662" s="45" t="s">
        <v>13939</v>
      </c>
      <c r="G5662" s="45" t="s">
        <v>13940</v>
      </c>
      <c r="H5662" s="546">
        <v>26000</v>
      </c>
      <c r="I5662" s="47">
        <v>45174</v>
      </c>
      <c r="J5662" s="73" t="s">
        <v>13941</v>
      </c>
      <c r="K5662" s="45"/>
      <c r="L5662" s="99"/>
      <c r="M5662" s="385"/>
      <c r="N5662" s="75"/>
      <c r="O5662" s="45" t="s">
        <v>13345</v>
      </c>
      <c r="P5662" s="45" t="s">
        <v>57</v>
      </c>
      <c r="Q5662" s="45" t="s">
        <v>47</v>
      </c>
      <c r="R5662" s="48" t="s">
        <v>265</v>
      </c>
    </row>
    <row r="5663" spans="1:18" s="98" customFormat="1" ht="69" customHeight="1">
      <c r="A5663" s="169"/>
      <c r="B5663" s="48">
        <f t="shared" si="3"/>
        <v>2802</v>
      </c>
      <c r="C5663" s="59" t="s">
        <v>3667</v>
      </c>
      <c r="D5663" s="84" t="s">
        <v>13942</v>
      </c>
      <c r="E5663" s="44" t="s">
        <v>13546</v>
      </c>
      <c r="F5663" s="45" t="s">
        <v>13943</v>
      </c>
      <c r="G5663" s="45" t="s">
        <v>13944</v>
      </c>
      <c r="H5663" s="546">
        <v>77789.259999999995</v>
      </c>
      <c r="I5663" s="47">
        <v>45172</v>
      </c>
      <c r="J5663" s="73" t="s">
        <v>13945</v>
      </c>
      <c r="K5663" s="45"/>
      <c r="L5663" s="99"/>
      <c r="M5663" s="385"/>
      <c r="N5663" s="75"/>
      <c r="O5663" s="45" t="s">
        <v>10607</v>
      </c>
      <c r="P5663" s="45" t="s">
        <v>22</v>
      </c>
      <c r="Q5663" s="45" t="s">
        <v>117</v>
      </c>
      <c r="R5663" s="48" t="s">
        <v>265</v>
      </c>
    </row>
    <row r="5664" spans="1:18" ht="69" customHeight="1">
      <c r="A5664" s="168"/>
      <c r="B5664" s="62">
        <v>2803</v>
      </c>
      <c r="C5664" s="178" t="s">
        <v>458</v>
      </c>
      <c r="D5664" s="575" t="s">
        <v>3091</v>
      </c>
      <c r="E5664" s="178" t="s">
        <v>4651</v>
      </c>
      <c r="F5664" s="210" t="s">
        <v>13946</v>
      </c>
      <c r="G5664" s="58" t="s">
        <v>1905</v>
      </c>
      <c r="H5664" s="546">
        <v>2850</v>
      </c>
      <c r="I5664" s="66">
        <v>44988</v>
      </c>
      <c r="J5664" s="411" t="s">
        <v>7786</v>
      </c>
      <c r="K5664" s="58"/>
      <c r="M5664" s="386"/>
      <c r="N5664" s="223"/>
      <c r="O5664" s="58" t="s">
        <v>13947</v>
      </c>
      <c r="P5664" s="58" t="s">
        <v>19</v>
      </c>
      <c r="Q5664" s="58" t="s">
        <v>107</v>
      </c>
      <c r="R5664" s="58" t="s">
        <v>265</v>
      </c>
    </row>
    <row r="5665" spans="1:18" s="98" customFormat="1" ht="69" customHeight="1">
      <c r="A5665" s="169"/>
      <c r="B5665" s="259">
        <f t="shared" ref="B5665:B5696" si="4">B5664+1</f>
        <v>2804</v>
      </c>
      <c r="C5665" s="304" t="s">
        <v>4277</v>
      </c>
      <c r="D5665" s="303" t="s">
        <v>13948</v>
      </c>
      <c r="E5665" s="160" t="s">
        <v>5084</v>
      </c>
      <c r="F5665" s="160" t="s">
        <v>13949</v>
      </c>
      <c r="G5665" s="160" t="s">
        <v>13950</v>
      </c>
      <c r="H5665" s="300">
        <v>31000</v>
      </c>
      <c r="I5665" s="209">
        <v>45174</v>
      </c>
      <c r="J5665" s="316" t="s">
        <v>13951</v>
      </c>
      <c r="K5665" s="160" t="s">
        <v>67</v>
      </c>
      <c r="M5665" s="379"/>
      <c r="N5665" s="76"/>
      <c r="O5665" s="160"/>
      <c r="P5665" s="160" t="s">
        <v>67</v>
      </c>
      <c r="Q5665" s="160" t="s">
        <v>96</v>
      </c>
      <c r="R5665" s="160" t="s">
        <v>272</v>
      </c>
    </row>
    <row r="5666" spans="1:18" s="98" customFormat="1" ht="69" customHeight="1">
      <c r="A5666" s="169"/>
      <c r="B5666" s="48">
        <f t="shared" si="4"/>
        <v>2805</v>
      </c>
      <c r="C5666" s="45" t="s">
        <v>11618</v>
      </c>
      <c r="D5666" s="84" t="s">
        <v>5539</v>
      </c>
      <c r="E5666" s="44" t="s">
        <v>409</v>
      </c>
      <c r="F5666" s="45" t="s">
        <v>13952</v>
      </c>
      <c r="G5666" s="45" t="s">
        <v>13953</v>
      </c>
      <c r="H5666" s="546">
        <v>6360.4</v>
      </c>
      <c r="I5666" s="47">
        <v>45174</v>
      </c>
      <c r="J5666" s="73" t="s">
        <v>13954</v>
      </c>
      <c r="K5666" s="45"/>
      <c r="L5666" s="99"/>
      <c r="M5666" s="385"/>
      <c r="N5666" s="75"/>
      <c r="O5666" s="45" t="s">
        <v>8228</v>
      </c>
      <c r="P5666" s="45" t="s">
        <v>59</v>
      </c>
      <c r="Q5666" s="45" t="s">
        <v>122</v>
      </c>
      <c r="R5666" s="48" t="s">
        <v>272</v>
      </c>
    </row>
    <row r="5667" spans="1:18" s="98" customFormat="1" ht="69" customHeight="1">
      <c r="A5667" s="169"/>
      <c r="B5667" s="48">
        <f t="shared" si="4"/>
        <v>2806</v>
      </c>
      <c r="C5667" s="45" t="s">
        <v>11618</v>
      </c>
      <c r="D5667" s="84" t="s">
        <v>5543</v>
      </c>
      <c r="E5667" s="44" t="s">
        <v>409</v>
      </c>
      <c r="F5667" s="45" t="s">
        <v>13955</v>
      </c>
      <c r="G5667" s="45" t="s">
        <v>13956</v>
      </c>
      <c r="H5667" s="546">
        <v>25441.599999999999</v>
      </c>
      <c r="I5667" s="47">
        <v>45174</v>
      </c>
      <c r="J5667" s="73" t="s">
        <v>13954</v>
      </c>
      <c r="K5667" s="45"/>
      <c r="L5667" s="99"/>
      <c r="M5667" s="385"/>
      <c r="N5667" s="75"/>
      <c r="O5667" s="45" t="s">
        <v>8228</v>
      </c>
      <c r="P5667" s="45" t="s">
        <v>59</v>
      </c>
      <c r="Q5667" s="45" t="s">
        <v>122</v>
      </c>
      <c r="R5667" s="48" t="s">
        <v>272</v>
      </c>
    </row>
    <row r="5668" spans="1:18" s="98" customFormat="1" ht="69" customHeight="1">
      <c r="A5668" s="169"/>
      <c r="B5668" s="48">
        <f t="shared" si="4"/>
        <v>2807</v>
      </c>
      <c r="C5668" s="59" t="s">
        <v>458</v>
      </c>
      <c r="D5668" s="581" t="s">
        <v>13957</v>
      </c>
      <c r="E5668" s="59" t="s">
        <v>409</v>
      </c>
      <c r="F5668" s="569" t="s">
        <v>13958</v>
      </c>
      <c r="G5668" s="45" t="s">
        <v>13959</v>
      </c>
      <c r="H5668" s="546">
        <v>16339.65</v>
      </c>
      <c r="I5668" s="47">
        <v>45174</v>
      </c>
      <c r="J5668" s="73" t="s">
        <v>13960</v>
      </c>
      <c r="K5668" s="45"/>
      <c r="L5668" s="99"/>
      <c r="M5668" s="385"/>
      <c r="N5668" s="75"/>
      <c r="O5668" s="45" t="s">
        <v>8228</v>
      </c>
      <c r="P5668" s="45" t="s">
        <v>59</v>
      </c>
      <c r="Q5668" s="45" t="s">
        <v>112</v>
      </c>
      <c r="R5668" s="45" t="s">
        <v>272</v>
      </c>
    </row>
    <row r="5669" spans="1:18" s="98" customFormat="1" ht="69" customHeight="1">
      <c r="A5669" s="169"/>
      <c r="B5669" s="48">
        <f t="shared" si="4"/>
        <v>2808</v>
      </c>
      <c r="C5669" s="59" t="s">
        <v>458</v>
      </c>
      <c r="D5669" s="581" t="s">
        <v>10599</v>
      </c>
      <c r="E5669" s="59" t="s">
        <v>409</v>
      </c>
      <c r="F5669" s="569" t="s">
        <v>13961</v>
      </c>
      <c r="G5669" s="45" t="s">
        <v>13959</v>
      </c>
      <c r="H5669" s="546">
        <v>65358.58</v>
      </c>
      <c r="I5669" s="47">
        <v>45174</v>
      </c>
      <c r="J5669" s="73" t="s">
        <v>13960</v>
      </c>
      <c r="K5669" s="45"/>
      <c r="L5669" s="99"/>
      <c r="M5669" s="385"/>
      <c r="N5669" s="75"/>
      <c r="O5669" s="45" t="s">
        <v>8228</v>
      </c>
      <c r="P5669" s="45" t="s">
        <v>59</v>
      </c>
      <c r="Q5669" s="45" t="s">
        <v>112</v>
      </c>
      <c r="R5669" s="45" t="s">
        <v>272</v>
      </c>
    </row>
    <row r="5670" spans="1:18" s="98" customFormat="1" ht="69" customHeight="1">
      <c r="A5670" s="169"/>
      <c r="B5670" s="48">
        <f t="shared" si="4"/>
        <v>2809</v>
      </c>
      <c r="C5670" s="59" t="s">
        <v>458</v>
      </c>
      <c r="D5670" s="581" t="s">
        <v>4059</v>
      </c>
      <c r="E5670" s="59" t="s">
        <v>409</v>
      </c>
      <c r="F5670" s="569" t="s">
        <v>13962</v>
      </c>
      <c r="G5670" s="45" t="s">
        <v>13963</v>
      </c>
      <c r="H5670" s="546">
        <v>11316.88</v>
      </c>
      <c r="I5670" s="47">
        <v>45174</v>
      </c>
      <c r="J5670" s="73" t="s">
        <v>13964</v>
      </c>
      <c r="K5670" s="45"/>
      <c r="L5670" s="99"/>
      <c r="M5670" s="385"/>
      <c r="N5670" s="75"/>
      <c r="O5670" s="45" t="s">
        <v>8228</v>
      </c>
      <c r="P5670" s="45" t="s">
        <v>59</v>
      </c>
      <c r="Q5670" s="45" t="s">
        <v>103</v>
      </c>
      <c r="R5670" s="45" t="s">
        <v>272</v>
      </c>
    </row>
    <row r="5671" spans="1:18" s="98" customFormat="1" ht="69" customHeight="1">
      <c r="A5671" s="169"/>
      <c r="B5671" s="48">
        <f t="shared" si="4"/>
        <v>2810</v>
      </c>
      <c r="C5671" s="59" t="s">
        <v>458</v>
      </c>
      <c r="D5671" s="581" t="s">
        <v>6607</v>
      </c>
      <c r="E5671" s="59" t="s">
        <v>409</v>
      </c>
      <c r="F5671" s="569" t="s">
        <v>13965</v>
      </c>
      <c r="G5671" s="45" t="s">
        <v>13963</v>
      </c>
      <c r="H5671" s="546">
        <v>45267.54</v>
      </c>
      <c r="I5671" s="47">
        <v>45174</v>
      </c>
      <c r="J5671" s="73" t="s">
        <v>13964</v>
      </c>
      <c r="K5671" s="45"/>
      <c r="L5671" s="99"/>
      <c r="M5671" s="385"/>
      <c r="N5671" s="75"/>
      <c r="O5671" s="45" t="s">
        <v>8228</v>
      </c>
      <c r="P5671" s="45" t="s">
        <v>59</v>
      </c>
      <c r="Q5671" s="45" t="s">
        <v>103</v>
      </c>
      <c r="R5671" s="45" t="s">
        <v>272</v>
      </c>
    </row>
    <row r="5672" spans="1:18" ht="69" customHeight="1">
      <c r="A5672" s="168"/>
      <c r="B5672" s="48">
        <f t="shared" si="4"/>
        <v>2811</v>
      </c>
      <c r="C5672" s="59" t="s">
        <v>12862</v>
      </c>
      <c r="D5672" s="84" t="s">
        <v>4362</v>
      </c>
      <c r="E5672" s="55" t="s">
        <v>7649</v>
      </c>
      <c r="F5672" s="45" t="s">
        <v>13966</v>
      </c>
      <c r="G5672" s="45" t="s">
        <v>13967</v>
      </c>
      <c r="H5672" s="546">
        <v>79570.67</v>
      </c>
      <c r="I5672" s="47">
        <v>45174</v>
      </c>
      <c r="J5672" s="73" t="s">
        <v>13968</v>
      </c>
      <c r="K5672" s="45"/>
      <c r="L5672" s="99"/>
      <c r="M5672" s="385"/>
      <c r="N5672" s="75"/>
      <c r="O5672" s="45" t="s">
        <v>147</v>
      </c>
      <c r="P5672" s="45" t="s">
        <v>22</v>
      </c>
      <c r="Q5672" s="45" t="s">
        <v>45</v>
      </c>
      <c r="R5672" s="45" t="s">
        <v>272</v>
      </c>
    </row>
    <row r="5673" spans="1:18" ht="69" customHeight="1">
      <c r="A5673" s="168"/>
      <c r="B5673" s="48">
        <f t="shared" si="4"/>
        <v>2812</v>
      </c>
      <c r="C5673" s="59" t="s">
        <v>12862</v>
      </c>
      <c r="D5673" s="84" t="s">
        <v>4364</v>
      </c>
      <c r="E5673" s="55" t="s">
        <v>7649</v>
      </c>
      <c r="F5673" s="45" t="s">
        <v>13969</v>
      </c>
      <c r="G5673" s="45" t="s">
        <v>13970</v>
      </c>
      <c r="H5673" s="546">
        <v>65103.27</v>
      </c>
      <c r="I5673" s="47">
        <v>45174</v>
      </c>
      <c r="J5673" s="73" t="s">
        <v>13968</v>
      </c>
      <c r="K5673" s="45"/>
      <c r="L5673" s="99"/>
      <c r="M5673" s="385"/>
      <c r="N5673" s="75"/>
      <c r="O5673" s="45" t="s">
        <v>147</v>
      </c>
      <c r="P5673" s="45" t="s">
        <v>22</v>
      </c>
      <c r="Q5673" s="45" t="s">
        <v>45</v>
      </c>
      <c r="R5673" s="45" t="s">
        <v>272</v>
      </c>
    </row>
    <row r="5674" spans="1:18" s="98" customFormat="1" ht="69" customHeight="1">
      <c r="A5674" s="169"/>
      <c r="B5674" s="48">
        <f t="shared" si="4"/>
        <v>2813</v>
      </c>
      <c r="C5674" s="59" t="s">
        <v>8703</v>
      </c>
      <c r="D5674" s="84" t="s">
        <v>843</v>
      </c>
      <c r="E5674" s="55" t="s">
        <v>755</v>
      </c>
      <c r="F5674" s="45" t="s">
        <v>13971</v>
      </c>
      <c r="G5674" s="45" t="s">
        <v>13972</v>
      </c>
      <c r="H5674" s="546">
        <v>37208.800000000003</v>
      </c>
      <c r="I5674" s="47">
        <v>45174</v>
      </c>
      <c r="J5674" s="73" t="s">
        <v>13973</v>
      </c>
      <c r="K5674" s="45"/>
      <c r="L5674" s="99"/>
      <c r="M5674" s="385"/>
      <c r="N5674" s="75"/>
      <c r="O5674" s="45" t="s">
        <v>227</v>
      </c>
      <c r="P5674" s="45" t="s">
        <v>57</v>
      </c>
      <c r="Q5674" s="45" t="s">
        <v>109</v>
      </c>
      <c r="R5674" s="45" t="s">
        <v>272</v>
      </c>
    </row>
    <row r="5675" spans="1:18" s="98" customFormat="1" ht="69" customHeight="1">
      <c r="A5675" s="169"/>
      <c r="B5675" s="48">
        <f t="shared" si="4"/>
        <v>2814</v>
      </c>
      <c r="C5675" s="59" t="s">
        <v>3667</v>
      </c>
      <c r="D5675" s="84" t="s">
        <v>13974</v>
      </c>
      <c r="E5675" s="55" t="s">
        <v>10553</v>
      </c>
      <c r="F5675" s="45" t="s">
        <v>13975</v>
      </c>
      <c r="G5675" s="45" t="s">
        <v>13976</v>
      </c>
      <c r="H5675" s="546">
        <v>32567.1</v>
      </c>
      <c r="I5675" s="47">
        <v>45174</v>
      </c>
      <c r="J5675" s="73" t="s">
        <v>13977</v>
      </c>
      <c r="K5675" s="45"/>
      <c r="L5675" s="99"/>
      <c r="M5675" s="385"/>
      <c r="N5675" s="75"/>
      <c r="O5675" s="45" t="s">
        <v>147</v>
      </c>
      <c r="P5675" s="45" t="s">
        <v>22</v>
      </c>
      <c r="Q5675" s="45" t="s">
        <v>74</v>
      </c>
      <c r="R5675" s="45" t="s">
        <v>272</v>
      </c>
    </row>
    <row r="5676" spans="1:18" s="98" customFormat="1" ht="69" customHeight="1">
      <c r="A5676" s="168"/>
      <c r="B5676" s="48">
        <f t="shared" si="4"/>
        <v>2815</v>
      </c>
      <c r="C5676" s="59" t="s">
        <v>3667</v>
      </c>
      <c r="D5676" s="84" t="s">
        <v>13978</v>
      </c>
      <c r="E5676" s="55" t="s">
        <v>10553</v>
      </c>
      <c r="F5676" s="45" t="s">
        <v>13979</v>
      </c>
      <c r="G5676" s="45" t="s">
        <v>13980</v>
      </c>
      <c r="H5676" s="546">
        <v>17536.13</v>
      </c>
      <c r="I5676" s="47">
        <v>45174</v>
      </c>
      <c r="J5676" s="73" t="s">
        <v>13977</v>
      </c>
      <c r="K5676" s="45"/>
      <c r="L5676" s="99"/>
      <c r="M5676" s="385"/>
      <c r="N5676" s="75"/>
      <c r="O5676" s="45" t="s">
        <v>147</v>
      </c>
      <c r="P5676" s="45" t="s">
        <v>22</v>
      </c>
      <c r="Q5676" s="45" t="s">
        <v>74</v>
      </c>
      <c r="R5676" s="45" t="s">
        <v>272</v>
      </c>
    </row>
    <row r="5677" spans="1:18" ht="69" customHeight="1">
      <c r="A5677" s="168"/>
      <c r="B5677" s="48">
        <f t="shared" si="4"/>
        <v>2816</v>
      </c>
      <c r="C5677" s="59" t="s">
        <v>3667</v>
      </c>
      <c r="D5677" s="84" t="s">
        <v>13981</v>
      </c>
      <c r="E5677" s="55" t="s">
        <v>10553</v>
      </c>
      <c r="F5677" s="45" t="s">
        <v>13982</v>
      </c>
      <c r="G5677" s="45" t="s">
        <v>13983</v>
      </c>
      <c r="H5677" s="546">
        <v>331772.09000000003</v>
      </c>
      <c r="I5677" s="47">
        <v>45174</v>
      </c>
      <c r="J5677" s="73" t="s">
        <v>13977</v>
      </c>
      <c r="K5677" s="45"/>
      <c r="L5677" s="99"/>
      <c r="M5677" s="385"/>
      <c r="N5677" s="75"/>
      <c r="O5677" s="45" t="s">
        <v>147</v>
      </c>
      <c r="P5677" s="45" t="s">
        <v>22</v>
      </c>
      <c r="Q5677" s="45" t="s">
        <v>74</v>
      </c>
      <c r="R5677" s="45" t="s">
        <v>272</v>
      </c>
    </row>
    <row r="5678" spans="1:18" s="98" customFormat="1" ht="69" customHeight="1">
      <c r="A5678" s="169"/>
      <c r="B5678" s="48">
        <f t="shared" si="4"/>
        <v>2817</v>
      </c>
      <c r="C5678" s="59" t="s">
        <v>3667</v>
      </c>
      <c r="D5678" s="84" t="s">
        <v>13984</v>
      </c>
      <c r="E5678" s="55" t="s">
        <v>10553</v>
      </c>
      <c r="F5678" s="45" t="s">
        <v>13985</v>
      </c>
      <c r="G5678" s="45" t="s">
        <v>13986</v>
      </c>
      <c r="H5678" s="546">
        <v>178646.51</v>
      </c>
      <c r="I5678" s="47">
        <v>45184</v>
      </c>
      <c r="J5678" s="73" t="s">
        <v>13977</v>
      </c>
      <c r="K5678" s="45"/>
      <c r="L5678" s="99"/>
      <c r="M5678" s="385"/>
      <c r="N5678" s="75"/>
      <c r="O5678" s="45" t="s">
        <v>147</v>
      </c>
      <c r="P5678" s="45" t="s">
        <v>22</v>
      </c>
      <c r="Q5678" s="45" t="s">
        <v>74</v>
      </c>
      <c r="R5678" s="45" t="s">
        <v>272</v>
      </c>
    </row>
    <row r="5679" spans="1:18" ht="69" customHeight="1">
      <c r="A5679" s="168"/>
      <c r="B5679" s="48">
        <f t="shared" si="4"/>
        <v>2818</v>
      </c>
      <c r="C5679" s="59" t="s">
        <v>3667</v>
      </c>
      <c r="D5679" s="84" t="s">
        <v>13987</v>
      </c>
      <c r="E5679" s="55" t="s">
        <v>10553</v>
      </c>
      <c r="F5679" s="45" t="s">
        <v>13988</v>
      </c>
      <c r="G5679" s="45" t="s">
        <v>13983</v>
      </c>
      <c r="H5679" s="546">
        <v>73202.320000000007</v>
      </c>
      <c r="I5679" s="47">
        <v>45174</v>
      </c>
      <c r="J5679" s="73" t="s">
        <v>13989</v>
      </c>
      <c r="K5679" s="45" t="s">
        <v>13990</v>
      </c>
      <c r="L5679" s="99"/>
      <c r="M5679" s="385"/>
      <c r="N5679" s="75"/>
      <c r="O5679" s="45" t="s">
        <v>147</v>
      </c>
      <c r="P5679" s="45" t="s">
        <v>22</v>
      </c>
      <c r="Q5679" s="45" t="s">
        <v>76</v>
      </c>
      <c r="R5679" s="45" t="s">
        <v>272</v>
      </c>
    </row>
    <row r="5680" spans="1:18" ht="69" customHeight="1">
      <c r="A5680" s="168"/>
      <c r="B5680" s="48">
        <f t="shared" si="4"/>
        <v>2819</v>
      </c>
      <c r="C5680" s="59" t="s">
        <v>3667</v>
      </c>
      <c r="D5680" s="84" t="s">
        <v>13991</v>
      </c>
      <c r="E5680" s="55" t="s">
        <v>10553</v>
      </c>
      <c r="F5680" s="45" t="s">
        <v>13992</v>
      </c>
      <c r="G5680" s="45" t="s">
        <v>13986</v>
      </c>
      <c r="H5680" s="546">
        <v>39416.550000000003</v>
      </c>
      <c r="I5680" s="47">
        <v>45174</v>
      </c>
      <c r="J5680" s="73" t="s">
        <v>13989</v>
      </c>
      <c r="K5680" s="45" t="s">
        <v>13990</v>
      </c>
      <c r="L5680" s="99"/>
      <c r="M5680" s="385"/>
      <c r="N5680" s="75"/>
      <c r="O5680" s="45" t="s">
        <v>147</v>
      </c>
      <c r="P5680" s="45" t="s">
        <v>22</v>
      </c>
      <c r="Q5680" s="45" t="s">
        <v>76</v>
      </c>
      <c r="R5680" s="45" t="s">
        <v>272</v>
      </c>
    </row>
    <row r="5681" spans="1:18" ht="69" customHeight="1">
      <c r="A5681" s="168"/>
      <c r="B5681" s="48">
        <f t="shared" si="4"/>
        <v>2820</v>
      </c>
      <c r="C5681" s="59" t="s">
        <v>3667</v>
      </c>
      <c r="D5681" s="84" t="s">
        <v>13993</v>
      </c>
      <c r="E5681" s="55" t="s">
        <v>10553</v>
      </c>
      <c r="F5681" s="45" t="s">
        <v>13994</v>
      </c>
      <c r="G5681" s="45" t="s">
        <v>13995</v>
      </c>
      <c r="H5681" s="546">
        <v>222732.52</v>
      </c>
      <c r="I5681" s="47">
        <v>45174</v>
      </c>
      <c r="J5681" s="73" t="s">
        <v>13989</v>
      </c>
      <c r="K5681" s="45" t="s">
        <v>13996</v>
      </c>
      <c r="L5681" s="99"/>
      <c r="M5681" s="385"/>
      <c r="N5681" s="75"/>
      <c r="O5681" s="45" t="s">
        <v>147</v>
      </c>
      <c r="P5681" s="45" t="s">
        <v>22</v>
      </c>
      <c r="Q5681" s="45" t="s">
        <v>76</v>
      </c>
      <c r="R5681" s="45" t="s">
        <v>272</v>
      </c>
    </row>
    <row r="5682" spans="1:18" ht="69" customHeight="1">
      <c r="A5682" s="168"/>
      <c r="B5682" s="48">
        <f t="shared" si="4"/>
        <v>2821</v>
      </c>
      <c r="C5682" s="59" t="s">
        <v>3667</v>
      </c>
      <c r="D5682" s="84" t="s">
        <v>13997</v>
      </c>
      <c r="E5682" s="55" t="s">
        <v>10553</v>
      </c>
      <c r="F5682" s="45" t="s">
        <v>13998</v>
      </c>
      <c r="G5682" s="45" t="s">
        <v>13999</v>
      </c>
      <c r="H5682" s="546">
        <v>119932.9</v>
      </c>
      <c r="I5682" s="47">
        <v>45174</v>
      </c>
      <c r="J5682" s="73" t="s">
        <v>13989</v>
      </c>
      <c r="K5682" s="45" t="s">
        <v>13996</v>
      </c>
      <c r="L5682" s="99"/>
      <c r="M5682" s="385"/>
      <c r="N5682" s="75"/>
      <c r="O5682" s="45" t="s">
        <v>147</v>
      </c>
      <c r="P5682" s="45" t="s">
        <v>22</v>
      </c>
      <c r="Q5682" s="45" t="s">
        <v>76</v>
      </c>
      <c r="R5682" s="45" t="s">
        <v>272</v>
      </c>
    </row>
    <row r="5683" spans="1:18" ht="69" customHeight="1">
      <c r="A5683" s="168"/>
      <c r="B5683" s="48">
        <f t="shared" si="4"/>
        <v>2822</v>
      </c>
      <c r="C5683" s="59" t="s">
        <v>3667</v>
      </c>
      <c r="D5683" s="84" t="s">
        <v>14000</v>
      </c>
      <c r="E5683" s="55" t="s">
        <v>10553</v>
      </c>
      <c r="F5683" s="45" t="s">
        <v>14001</v>
      </c>
      <c r="G5683" s="45" t="s">
        <v>14002</v>
      </c>
      <c r="H5683" s="546">
        <v>81417.75</v>
      </c>
      <c r="I5683" s="47">
        <v>45174</v>
      </c>
      <c r="J5683" s="73" t="s">
        <v>14003</v>
      </c>
      <c r="K5683" s="45"/>
      <c r="L5683" s="99"/>
      <c r="M5683" s="385"/>
      <c r="N5683" s="75"/>
      <c r="O5683" s="45" t="s">
        <v>147</v>
      </c>
      <c r="P5683" s="45" t="s">
        <v>22</v>
      </c>
      <c r="Q5683" s="45" t="s">
        <v>78</v>
      </c>
      <c r="R5683" s="45" t="s">
        <v>272</v>
      </c>
    </row>
    <row r="5684" spans="1:18" ht="69" customHeight="1">
      <c r="A5684" s="168"/>
      <c r="B5684" s="48">
        <f t="shared" si="4"/>
        <v>2823</v>
      </c>
      <c r="C5684" s="59" t="s">
        <v>3667</v>
      </c>
      <c r="D5684" s="84" t="s">
        <v>14004</v>
      </c>
      <c r="E5684" s="55" t="s">
        <v>10553</v>
      </c>
      <c r="F5684" s="45" t="s">
        <v>14005</v>
      </c>
      <c r="G5684" s="45" t="s">
        <v>14006</v>
      </c>
      <c r="H5684" s="546">
        <v>43840.32</v>
      </c>
      <c r="I5684" s="47">
        <v>45174</v>
      </c>
      <c r="J5684" s="73" t="s">
        <v>14003</v>
      </c>
      <c r="K5684" s="45"/>
      <c r="L5684" s="99"/>
      <c r="M5684" s="385"/>
      <c r="N5684" s="75"/>
      <c r="O5684" s="45" t="s">
        <v>147</v>
      </c>
      <c r="P5684" s="45" t="s">
        <v>22</v>
      </c>
      <c r="Q5684" s="45" t="s">
        <v>78</v>
      </c>
      <c r="R5684" s="45" t="s">
        <v>272</v>
      </c>
    </row>
    <row r="5685" spans="1:18" ht="69" customHeight="1">
      <c r="A5685" s="168"/>
      <c r="B5685" s="48">
        <f t="shared" si="4"/>
        <v>2824</v>
      </c>
      <c r="C5685" s="59" t="s">
        <v>458</v>
      </c>
      <c r="D5685" s="84" t="s">
        <v>14007</v>
      </c>
      <c r="E5685" s="55" t="s">
        <v>10553</v>
      </c>
      <c r="F5685" s="45" t="s">
        <v>14008</v>
      </c>
      <c r="G5685" s="45" t="s">
        <v>14009</v>
      </c>
      <c r="H5685" s="546">
        <v>32265.67</v>
      </c>
      <c r="I5685" s="47">
        <v>45174</v>
      </c>
      <c r="J5685" s="73" t="s">
        <v>14010</v>
      </c>
      <c r="K5685" s="45"/>
      <c r="L5685" s="99"/>
      <c r="M5685" s="385"/>
      <c r="N5685" s="75"/>
      <c r="O5685" s="45" t="s">
        <v>147</v>
      </c>
      <c r="P5685" s="45" t="s">
        <v>22</v>
      </c>
      <c r="Q5685" s="45" t="s">
        <v>100</v>
      </c>
      <c r="R5685" s="45" t="s">
        <v>272</v>
      </c>
    </row>
    <row r="5686" spans="1:18" ht="69" customHeight="1">
      <c r="A5686" s="168"/>
      <c r="B5686" s="48">
        <f t="shared" si="4"/>
        <v>2825</v>
      </c>
      <c r="C5686" s="59" t="s">
        <v>458</v>
      </c>
      <c r="D5686" s="84" t="s">
        <v>6446</v>
      </c>
      <c r="E5686" s="55" t="s">
        <v>10553</v>
      </c>
      <c r="F5686" s="45" t="s">
        <v>14011</v>
      </c>
      <c r="G5686" s="45" t="s">
        <v>14012</v>
      </c>
      <c r="H5686" s="546">
        <v>17373.82</v>
      </c>
      <c r="I5686" s="47">
        <v>45174</v>
      </c>
      <c r="J5686" s="73" t="s">
        <v>14010</v>
      </c>
      <c r="K5686" s="45"/>
      <c r="L5686" s="99"/>
      <c r="M5686" s="385"/>
      <c r="N5686" s="75"/>
      <c r="O5686" s="45" t="s">
        <v>147</v>
      </c>
      <c r="P5686" s="45" t="s">
        <v>22</v>
      </c>
      <c r="Q5686" s="45" t="s">
        <v>100</v>
      </c>
      <c r="R5686" s="45" t="s">
        <v>272</v>
      </c>
    </row>
    <row r="5687" spans="1:18" ht="69" customHeight="1">
      <c r="A5687" s="168"/>
      <c r="B5687" s="52">
        <f t="shared" si="4"/>
        <v>2826</v>
      </c>
      <c r="C5687" s="191" t="s">
        <v>309</v>
      </c>
      <c r="D5687" s="533" t="s">
        <v>4368</v>
      </c>
      <c r="E5687" s="46" t="s">
        <v>1056</v>
      </c>
      <c r="F5687" s="211" t="s">
        <v>14013</v>
      </c>
      <c r="G5687" s="46" t="s">
        <v>14014</v>
      </c>
      <c r="H5687" s="546">
        <v>8268.75</v>
      </c>
      <c r="I5687" s="56">
        <v>45184</v>
      </c>
      <c r="J5687" s="199" t="s">
        <v>14015</v>
      </c>
      <c r="K5687" s="46" t="s">
        <v>11441</v>
      </c>
      <c r="L5687" s="99"/>
      <c r="M5687" s="379"/>
      <c r="N5687" s="76"/>
      <c r="O5687" s="46" t="s">
        <v>1061</v>
      </c>
      <c r="P5687" s="46" t="s">
        <v>36</v>
      </c>
      <c r="Q5687" s="46" t="s">
        <v>15</v>
      </c>
      <c r="R5687" s="46" t="s">
        <v>272</v>
      </c>
    </row>
    <row r="5688" spans="1:18" ht="69" customHeight="1">
      <c r="A5688" s="168"/>
      <c r="B5688" s="52">
        <f t="shared" si="4"/>
        <v>2827</v>
      </c>
      <c r="C5688" s="191" t="s">
        <v>458</v>
      </c>
      <c r="D5688" s="533" t="s">
        <v>6433</v>
      </c>
      <c r="E5688" s="46" t="s">
        <v>1056</v>
      </c>
      <c r="F5688" s="211" t="s">
        <v>14016</v>
      </c>
      <c r="G5688" s="46" t="s">
        <v>14014</v>
      </c>
      <c r="H5688" s="546">
        <v>8268.75</v>
      </c>
      <c r="I5688" s="56">
        <v>45184</v>
      </c>
      <c r="J5688" s="199" t="s">
        <v>14015</v>
      </c>
      <c r="K5688" s="46" t="s">
        <v>11441</v>
      </c>
      <c r="L5688" s="99"/>
      <c r="M5688" s="379"/>
      <c r="N5688" s="76"/>
      <c r="O5688" s="46" t="s">
        <v>1061</v>
      </c>
      <c r="P5688" s="46" t="s">
        <v>36</v>
      </c>
      <c r="Q5688" s="46" t="s">
        <v>90</v>
      </c>
      <c r="R5688" s="46" t="s">
        <v>272</v>
      </c>
    </row>
    <row r="5689" spans="1:18" ht="69" customHeight="1">
      <c r="A5689" s="168"/>
      <c r="B5689" s="52">
        <f t="shared" si="4"/>
        <v>2828</v>
      </c>
      <c r="C5689" s="59" t="s">
        <v>3667</v>
      </c>
      <c r="D5689" s="533" t="s">
        <v>14017</v>
      </c>
      <c r="E5689" s="46" t="s">
        <v>1056</v>
      </c>
      <c r="F5689" s="211" t="s">
        <v>14018</v>
      </c>
      <c r="G5689" s="46" t="s">
        <v>14014</v>
      </c>
      <c r="H5689" s="546">
        <v>10584</v>
      </c>
      <c r="I5689" s="56">
        <v>45184</v>
      </c>
      <c r="J5689" s="199" t="s">
        <v>14015</v>
      </c>
      <c r="K5689" s="46" t="s">
        <v>11441</v>
      </c>
      <c r="L5689" s="99"/>
      <c r="M5689" s="379"/>
      <c r="N5689" s="76"/>
      <c r="O5689" s="46" t="s">
        <v>1061</v>
      </c>
      <c r="P5689" s="46" t="s">
        <v>36</v>
      </c>
      <c r="Q5689" s="46" t="s">
        <v>49</v>
      </c>
      <c r="R5689" s="46" t="s">
        <v>272</v>
      </c>
    </row>
    <row r="5690" spans="1:18" ht="69" customHeight="1">
      <c r="A5690" s="168"/>
      <c r="B5690" s="52">
        <f t="shared" si="4"/>
        <v>2829</v>
      </c>
      <c r="C5690" s="191" t="s">
        <v>657</v>
      </c>
      <c r="D5690" s="533" t="s">
        <v>1405</v>
      </c>
      <c r="E5690" s="46" t="s">
        <v>1056</v>
      </c>
      <c r="F5690" s="211" t="s">
        <v>14019</v>
      </c>
      <c r="G5690" s="46" t="s">
        <v>14014</v>
      </c>
      <c r="H5690" s="546">
        <v>5953.5</v>
      </c>
      <c r="I5690" s="56">
        <v>45184</v>
      </c>
      <c r="J5690" s="199" t="s">
        <v>14015</v>
      </c>
      <c r="K5690" s="46" t="s">
        <v>11441</v>
      </c>
      <c r="L5690" s="99"/>
      <c r="M5690" s="379"/>
      <c r="N5690" s="76"/>
      <c r="O5690" s="46" t="s">
        <v>1061</v>
      </c>
      <c r="P5690" s="46" t="s">
        <v>36</v>
      </c>
      <c r="Q5690" s="46" t="s">
        <v>99</v>
      </c>
      <c r="R5690" s="46" t="s">
        <v>272</v>
      </c>
    </row>
    <row r="5691" spans="1:18" s="98" customFormat="1" ht="69" customHeight="1">
      <c r="A5691" s="169"/>
      <c r="B5691" s="52">
        <f t="shared" si="4"/>
        <v>2830</v>
      </c>
      <c r="C5691" s="191" t="s">
        <v>309</v>
      </c>
      <c r="D5691" s="533" t="s">
        <v>4371</v>
      </c>
      <c r="E5691" s="46" t="s">
        <v>1056</v>
      </c>
      <c r="F5691" s="211" t="s">
        <v>14020</v>
      </c>
      <c r="G5691" s="46" t="s">
        <v>13609</v>
      </c>
      <c r="H5691" s="546">
        <v>18569.07</v>
      </c>
      <c r="I5691" s="56">
        <v>45184</v>
      </c>
      <c r="J5691" s="199" t="s">
        <v>14021</v>
      </c>
      <c r="K5691" s="46" t="s">
        <v>11441</v>
      </c>
      <c r="L5691" s="99"/>
      <c r="M5691" s="379"/>
      <c r="N5691" s="76"/>
      <c r="O5691" s="46" t="s">
        <v>1061</v>
      </c>
      <c r="P5691" s="46" t="s">
        <v>36</v>
      </c>
      <c r="Q5691" s="46" t="s">
        <v>15</v>
      </c>
      <c r="R5691" s="46" t="s">
        <v>272</v>
      </c>
    </row>
    <row r="5692" spans="1:18" s="98" customFormat="1" ht="69" customHeight="1">
      <c r="A5692" s="169"/>
      <c r="B5692" s="52">
        <f t="shared" si="4"/>
        <v>2831</v>
      </c>
      <c r="C5692" s="191" t="s">
        <v>458</v>
      </c>
      <c r="D5692" s="533" t="s">
        <v>4399</v>
      </c>
      <c r="E5692" s="46" t="s">
        <v>1056</v>
      </c>
      <c r="F5692" s="211" t="s">
        <v>14022</v>
      </c>
      <c r="G5692" s="46" t="s">
        <v>13609</v>
      </c>
      <c r="H5692" s="546">
        <v>18569.07</v>
      </c>
      <c r="I5692" s="56">
        <v>45184</v>
      </c>
      <c r="J5692" s="199" t="s">
        <v>14021</v>
      </c>
      <c r="K5692" s="46" t="s">
        <v>11441</v>
      </c>
      <c r="L5692" s="99"/>
      <c r="M5692" s="379"/>
      <c r="N5692" s="76"/>
      <c r="O5692" s="46" t="s">
        <v>1061</v>
      </c>
      <c r="P5692" s="46" t="s">
        <v>36</v>
      </c>
      <c r="Q5692" s="46" t="s">
        <v>90</v>
      </c>
      <c r="R5692" s="46" t="s">
        <v>272</v>
      </c>
    </row>
    <row r="5693" spans="1:18" s="98" customFormat="1" ht="69" customHeight="1">
      <c r="A5693" s="169"/>
      <c r="B5693" s="52">
        <f t="shared" si="4"/>
        <v>2832</v>
      </c>
      <c r="C5693" s="191" t="s">
        <v>657</v>
      </c>
      <c r="D5693" s="533" t="s">
        <v>1632</v>
      </c>
      <c r="E5693" s="46" t="s">
        <v>1056</v>
      </c>
      <c r="F5693" s="211" t="s">
        <v>14023</v>
      </c>
      <c r="G5693" s="46" t="s">
        <v>13609</v>
      </c>
      <c r="H5693" s="546">
        <v>13369.73</v>
      </c>
      <c r="I5693" s="56">
        <v>45184</v>
      </c>
      <c r="J5693" s="199" t="s">
        <v>14021</v>
      </c>
      <c r="K5693" s="46" t="s">
        <v>11441</v>
      </c>
      <c r="L5693" s="99"/>
      <c r="M5693" s="379"/>
      <c r="N5693" s="76"/>
      <c r="O5693" s="46" t="s">
        <v>1061</v>
      </c>
      <c r="P5693" s="46" t="s">
        <v>36</v>
      </c>
      <c r="Q5693" s="46" t="s">
        <v>99</v>
      </c>
      <c r="R5693" s="46" t="s">
        <v>272</v>
      </c>
    </row>
    <row r="5694" spans="1:18" s="98" customFormat="1" ht="69" customHeight="1">
      <c r="A5694" s="169"/>
      <c r="B5694" s="52">
        <f t="shared" si="4"/>
        <v>2833</v>
      </c>
      <c r="C5694" s="59" t="s">
        <v>3667</v>
      </c>
      <c r="D5694" s="533" t="s">
        <v>14024</v>
      </c>
      <c r="E5694" s="46" t="s">
        <v>1056</v>
      </c>
      <c r="F5694" s="211" t="s">
        <v>14025</v>
      </c>
      <c r="G5694" s="46" t="s">
        <v>13609</v>
      </c>
      <c r="H5694" s="546">
        <v>23768.41</v>
      </c>
      <c r="I5694" s="56">
        <v>45184</v>
      </c>
      <c r="J5694" s="199" t="s">
        <v>14021</v>
      </c>
      <c r="K5694" s="46" t="s">
        <v>11441</v>
      </c>
      <c r="L5694" s="99"/>
      <c r="M5694" s="379"/>
      <c r="N5694" s="76"/>
      <c r="O5694" s="46" t="s">
        <v>1061</v>
      </c>
      <c r="P5694" s="46" t="s">
        <v>36</v>
      </c>
      <c r="Q5694" s="46" t="s">
        <v>49</v>
      </c>
      <c r="R5694" s="46" t="s">
        <v>272</v>
      </c>
    </row>
    <row r="5695" spans="1:18" s="98" customFormat="1" ht="69" customHeight="1">
      <c r="A5695" s="169"/>
      <c r="B5695" s="52">
        <f t="shared" si="4"/>
        <v>2834</v>
      </c>
      <c r="C5695" s="59" t="s">
        <v>3667</v>
      </c>
      <c r="D5695" s="533" t="s">
        <v>14026</v>
      </c>
      <c r="E5695" s="46" t="s">
        <v>1056</v>
      </c>
      <c r="F5695" s="211" t="s">
        <v>14027</v>
      </c>
      <c r="G5695" s="46" t="s">
        <v>13609</v>
      </c>
      <c r="H5695" s="546">
        <v>174792.88</v>
      </c>
      <c r="I5695" s="56">
        <v>45184</v>
      </c>
      <c r="J5695" s="199" t="s">
        <v>14021</v>
      </c>
      <c r="K5695" s="46" t="s">
        <v>11441</v>
      </c>
      <c r="L5695" s="99"/>
      <c r="M5695" s="379"/>
      <c r="N5695" s="76"/>
      <c r="O5695" s="46" t="s">
        <v>1061</v>
      </c>
      <c r="P5695" s="46" t="s">
        <v>36</v>
      </c>
      <c r="Q5695" s="46" t="s">
        <v>49</v>
      </c>
      <c r="R5695" s="46" t="s">
        <v>272</v>
      </c>
    </row>
    <row r="5696" spans="1:18" s="98" customFormat="1" ht="69" customHeight="1">
      <c r="A5696" s="169"/>
      <c r="B5696" s="52">
        <f t="shared" si="4"/>
        <v>2835</v>
      </c>
      <c r="C5696" s="191" t="s">
        <v>309</v>
      </c>
      <c r="D5696" s="533" t="s">
        <v>5504</v>
      </c>
      <c r="E5696" s="46" t="s">
        <v>1056</v>
      </c>
      <c r="F5696" s="211" t="s">
        <v>14028</v>
      </c>
      <c r="G5696" s="46" t="s">
        <v>13609</v>
      </c>
      <c r="H5696" s="546">
        <v>136556.94</v>
      </c>
      <c r="I5696" s="56">
        <v>45184</v>
      </c>
      <c r="J5696" s="199" t="s">
        <v>14021</v>
      </c>
      <c r="K5696" s="46" t="s">
        <v>11441</v>
      </c>
      <c r="L5696" s="99"/>
      <c r="M5696" s="379"/>
      <c r="N5696" s="76"/>
      <c r="O5696" s="46" t="s">
        <v>1061</v>
      </c>
      <c r="P5696" s="46" t="s">
        <v>36</v>
      </c>
      <c r="Q5696" s="46" t="s">
        <v>15</v>
      </c>
      <c r="R5696" s="46" t="s">
        <v>272</v>
      </c>
    </row>
    <row r="5697" spans="1:18" s="98" customFormat="1" ht="69" customHeight="1">
      <c r="A5697" s="169"/>
      <c r="B5697" s="52">
        <f t="shared" ref="B5697:B5728" si="5">B5696+1</f>
        <v>2836</v>
      </c>
      <c r="C5697" s="191" t="s">
        <v>458</v>
      </c>
      <c r="D5697" s="533" t="s">
        <v>6450</v>
      </c>
      <c r="E5697" s="46" t="s">
        <v>1056</v>
      </c>
      <c r="F5697" s="211" t="s">
        <v>14029</v>
      </c>
      <c r="G5697" s="46" t="s">
        <v>13609</v>
      </c>
      <c r="H5697" s="546">
        <v>136556.94</v>
      </c>
      <c r="I5697" s="56">
        <v>45184</v>
      </c>
      <c r="J5697" s="199" t="s">
        <v>14021</v>
      </c>
      <c r="K5697" s="46" t="s">
        <v>11441</v>
      </c>
      <c r="L5697" s="99"/>
      <c r="M5697" s="379"/>
      <c r="N5697" s="76"/>
      <c r="O5697" s="46" t="s">
        <v>1061</v>
      </c>
      <c r="P5697" s="46" t="s">
        <v>36</v>
      </c>
      <c r="Q5697" s="46" t="s">
        <v>90</v>
      </c>
      <c r="R5697" s="46" t="s">
        <v>272</v>
      </c>
    </row>
    <row r="5698" spans="1:18" s="98" customFormat="1" ht="69" customHeight="1">
      <c r="A5698" s="169"/>
      <c r="B5698" s="52">
        <f t="shared" si="5"/>
        <v>2837</v>
      </c>
      <c r="C5698" s="191" t="s">
        <v>657</v>
      </c>
      <c r="D5698" s="533" t="s">
        <v>3533</v>
      </c>
      <c r="E5698" s="46" t="s">
        <v>1056</v>
      </c>
      <c r="F5698" s="211" t="s">
        <v>14030</v>
      </c>
      <c r="G5698" s="46" t="s">
        <v>13609</v>
      </c>
      <c r="H5698" s="546">
        <v>98321</v>
      </c>
      <c r="I5698" s="56">
        <v>45184</v>
      </c>
      <c r="J5698" s="199" t="s">
        <v>14021</v>
      </c>
      <c r="K5698" s="46" t="s">
        <v>11441</v>
      </c>
      <c r="L5698" s="99"/>
      <c r="M5698" s="379"/>
      <c r="N5698" s="76"/>
      <c r="O5698" s="46" t="s">
        <v>1061</v>
      </c>
      <c r="P5698" s="46" t="s">
        <v>36</v>
      </c>
      <c r="Q5698" s="46" t="s">
        <v>99</v>
      </c>
      <c r="R5698" s="46" t="s">
        <v>272</v>
      </c>
    </row>
    <row r="5699" spans="1:18" ht="69" customHeight="1">
      <c r="A5699" s="168"/>
      <c r="B5699" s="48">
        <f t="shared" si="5"/>
        <v>2838</v>
      </c>
      <c r="C5699" s="59" t="s">
        <v>10947</v>
      </c>
      <c r="D5699" s="84" t="s">
        <v>6619</v>
      </c>
      <c r="E5699" s="44" t="s">
        <v>14031</v>
      </c>
      <c r="F5699" s="45" t="s">
        <v>14032</v>
      </c>
      <c r="G5699" s="45" t="s">
        <v>14033</v>
      </c>
      <c r="H5699" s="546">
        <v>83902</v>
      </c>
      <c r="I5699" s="47">
        <v>45174</v>
      </c>
      <c r="J5699" s="73" t="s">
        <v>14034</v>
      </c>
      <c r="K5699" s="45"/>
      <c r="L5699" s="99"/>
      <c r="M5699" s="385"/>
      <c r="N5699" s="75"/>
      <c r="O5699" s="45" t="s">
        <v>9971</v>
      </c>
      <c r="P5699" s="45" t="s">
        <v>61</v>
      </c>
      <c r="Q5699" s="45" t="s">
        <v>100</v>
      </c>
      <c r="R5699" s="45" t="s">
        <v>272</v>
      </c>
    </row>
    <row r="5700" spans="1:18" ht="69" customHeight="1">
      <c r="A5700" s="168"/>
      <c r="B5700" s="48">
        <f t="shared" si="5"/>
        <v>2839</v>
      </c>
      <c r="C5700" s="59" t="s">
        <v>458</v>
      </c>
      <c r="D5700" s="84" t="s">
        <v>6622</v>
      </c>
      <c r="E5700" s="45" t="s">
        <v>11417</v>
      </c>
      <c r="F5700" s="45" t="s">
        <v>14035</v>
      </c>
      <c r="G5700" s="45" t="s">
        <v>14036</v>
      </c>
      <c r="H5700" s="546">
        <v>37920</v>
      </c>
      <c r="I5700" s="47">
        <v>45184</v>
      </c>
      <c r="J5700" s="73" t="s">
        <v>14037</v>
      </c>
      <c r="K5700" s="45"/>
      <c r="L5700" s="99"/>
      <c r="M5700" s="385"/>
      <c r="N5700" s="75"/>
      <c r="O5700" s="45" t="s">
        <v>147</v>
      </c>
      <c r="P5700" s="45" t="s">
        <v>22</v>
      </c>
      <c r="Q5700" s="45" t="s">
        <v>122</v>
      </c>
      <c r="R5700" s="45" t="s">
        <v>265</v>
      </c>
    </row>
    <row r="5701" spans="1:18" ht="69" customHeight="1">
      <c r="A5701" s="168"/>
      <c r="B5701" s="48">
        <f t="shared" si="5"/>
        <v>2840</v>
      </c>
      <c r="C5701" s="59" t="s">
        <v>458</v>
      </c>
      <c r="D5701" s="84" t="s">
        <v>6453</v>
      </c>
      <c r="E5701" s="55" t="s">
        <v>11417</v>
      </c>
      <c r="F5701" s="45" t="s">
        <v>14038</v>
      </c>
      <c r="G5701" s="45" t="s">
        <v>14036</v>
      </c>
      <c r="H5701" s="546">
        <v>37960</v>
      </c>
      <c r="I5701" s="47">
        <v>45184</v>
      </c>
      <c r="J5701" s="73" t="s">
        <v>14037</v>
      </c>
      <c r="K5701" s="45"/>
      <c r="L5701" s="99"/>
      <c r="M5701" s="385"/>
      <c r="N5701" s="75"/>
      <c r="O5701" s="45" t="s">
        <v>147</v>
      </c>
      <c r="P5701" s="45" t="s">
        <v>22</v>
      </c>
      <c r="Q5701" s="45" t="s">
        <v>112</v>
      </c>
      <c r="R5701" s="45" t="s">
        <v>265</v>
      </c>
    </row>
    <row r="5702" spans="1:18" ht="69" customHeight="1">
      <c r="A5702" s="168"/>
      <c r="B5702" s="48">
        <f t="shared" si="5"/>
        <v>2841</v>
      </c>
      <c r="C5702" s="59" t="s">
        <v>458</v>
      </c>
      <c r="D5702" s="84" t="s">
        <v>6225</v>
      </c>
      <c r="E5702" s="55" t="s">
        <v>11417</v>
      </c>
      <c r="F5702" s="45" t="s">
        <v>14039</v>
      </c>
      <c r="G5702" s="45" t="s">
        <v>14036</v>
      </c>
      <c r="H5702" s="546">
        <v>38136</v>
      </c>
      <c r="I5702" s="47">
        <v>45184</v>
      </c>
      <c r="J5702" s="73" t="s">
        <v>14037</v>
      </c>
      <c r="K5702" s="45"/>
      <c r="L5702" s="99"/>
      <c r="M5702" s="385"/>
      <c r="N5702" s="75"/>
      <c r="O5702" s="45" t="s">
        <v>147</v>
      </c>
      <c r="P5702" s="45" t="s">
        <v>22</v>
      </c>
      <c r="Q5702" s="45" t="s">
        <v>88</v>
      </c>
      <c r="R5702" s="45" t="s">
        <v>265</v>
      </c>
    </row>
    <row r="5703" spans="1:18" ht="69" customHeight="1">
      <c r="A5703" s="168"/>
      <c r="B5703" s="48">
        <f t="shared" si="5"/>
        <v>2842</v>
      </c>
      <c r="C5703" s="59" t="s">
        <v>11052</v>
      </c>
      <c r="D5703" s="84" t="s">
        <v>5185</v>
      </c>
      <c r="E5703" s="55" t="s">
        <v>4033</v>
      </c>
      <c r="F5703" s="45" t="s">
        <v>14040</v>
      </c>
      <c r="G5703" s="45" t="s">
        <v>14041</v>
      </c>
      <c r="H5703" s="546">
        <v>104972.46</v>
      </c>
      <c r="I5703" s="47">
        <v>45174</v>
      </c>
      <c r="J5703" s="73" t="s">
        <v>14042</v>
      </c>
      <c r="K5703" s="45"/>
      <c r="L5703" s="99"/>
      <c r="M5703" s="385"/>
      <c r="N5703" s="75"/>
      <c r="O5703" s="45" t="s">
        <v>441</v>
      </c>
      <c r="P5703" s="45" t="s">
        <v>22</v>
      </c>
      <c r="Q5703" s="45" t="s">
        <v>37</v>
      </c>
      <c r="R5703" s="45" t="s">
        <v>272</v>
      </c>
    </row>
    <row r="5704" spans="1:18" ht="69" customHeight="1">
      <c r="A5704" s="168"/>
      <c r="B5704" s="259">
        <f t="shared" si="5"/>
        <v>2843</v>
      </c>
      <c r="C5704" s="207" t="s">
        <v>12081</v>
      </c>
      <c r="D5704" s="301" t="s">
        <v>14043</v>
      </c>
      <c r="E5704" s="207" t="s">
        <v>585</v>
      </c>
      <c r="F5704" s="208" t="s">
        <v>14044</v>
      </c>
      <c r="G5704" s="160" t="s">
        <v>14045</v>
      </c>
      <c r="H5704" s="300">
        <v>23100</v>
      </c>
      <c r="I5704" s="209">
        <v>45174</v>
      </c>
      <c r="J5704" s="316" t="s">
        <v>14046</v>
      </c>
      <c r="K5704" s="160" t="s">
        <v>67</v>
      </c>
      <c r="M5704" s="379"/>
      <c r="N5704" s="76"/>
      <c r="O5704" s="160"/>
      <c r="P5704" s="160" t="s">
        <v>67</v>
      </c>
      <c r="Q5704" s="160" t="s">
        <v>96</v>
      </c>
      <c r="R5704" s="160" t="s">
        <v>272</v>
      </c>
    </row>
    <row r="5705" spans="1:18" ht="69" customHeight="1">
      <c r="A5705" s="168"/>
      <c r="B5705" s="52">
        <f t="shared" si="5"/>
        <v>2844</v>
      </c>
      <c r="C5705" s="191" t="s">
        <v>3667</v>
      </c>
      <c r="D5705" s="533" t="s">
        <v>14047</v>
      </c>
      <c r="E5705" s="191" t="s">
        <v>585</v>
      </c>
      <c r="F5705" s="211" t="s">
        <v>14048</v>
      </c>
      <c r="G5705" s="46" t="s">
        <v>14049</v>
      </c>
      <c r="H5705" s="534">
        <v>500</v>
      </c>
      <c r="I5705" s="56">
        <v>45174</v>
      </c>
      <c r="J5705" s="199" t="s">
        <v>14050</v>
      </c>
      <c r="K5705" s="46" t="s">
        <v>1170</v>
      </c>
      <c r="L5705" s="99"/>
      <c r="M5705" s="379"/>
      <c r="N5705" s="76"/>
      <c r="O5705" s="46" t="s">
        <v>14051</v>
      </c>
      <c r="P5705" s="46" t="s">
        <v>65</v>
      </c>
      <c r="Q5705" s="46" t="s">
        <v>86</v>
      </c>
      <c r="R5705" s="46" t="s">
        <v>272</v>
      </c>
    </row>
    <row r="5706" spans="1:18" ht="69" customHeight="1">
      <c r="A5706" s="168"/>
      <c r="B5706" s="48">
        <f t="shared" si="5"/>
        <v>2845</v>
      </c>
      <c r="C5706" s="59" t="s">
        <v>458</v>
      </c>
      <c r="D5706" s="84" t="s">
        <v>10630</v>
      </c>
      <c r="E5706" s="178" t="s">
        <v>7890</v>
      </c>
      <c r="F5706" s="45" t="s">
        <v>14052</v>
      </c>
      <c r="G5706" s="45" t="s">
        <v>14053</v>
      </c>
      <c r="H5706" s="546">
        <v>76980</v>
      </c>
      <c r="I5706" s="47">
        <v>45184</v>
      </c>
      <c r="J5706" s="73" t="s">
        <v>14054</v>
      </c>
      <c r="K5706" s="45"/>
      <c r="L5706" s="99"/>
      <c r="M5706" s="385"/>
      <c r="N5706" s="75"/>
      <c r="O5706" s="45" t="s">
        <v>147</v>
      </c>
      <c r="P5706" s="45" t="s">
        <v>22</v>
      </c>
      <c r="Q5706" s="45" t="s">
        <v>123</v>
      </c>
      <c r="R5706" s="45" t="s">
        <v>265</v>
      </c>
    </row>
    <row r="5707" spans="1:18" ht="69" customHeight="1">
      <c r="A5707" s="168"/>
      <c r="B5707" s="48">
        <f t="shared" si="5"/>
        <v>2846</v>
      </c>
      <c r="C5707" s="59" t="s">
        <v>458</v>
      </c>
      <c r="D5707" s="84" t="s">
        <v>14055</v>
      </c>
      <c r="E5707" s="55" t="s">
        <v>11417</v>
      </c>
      <c r="F5707" s="45" t="s">
        <v>14056</v>
      </c>
      <c r="G5707" s="45" t="s">
        <v>14053</v>
      </c>
      <c r="H5707" s="546">
        <v>76980</v>
      </c>
      <c r="I5707" s="47">
        <v>45184</v>
      </c>
      <c r="J5707" s="73" t="s">
        <v>14054</v>
      </c>
      <c r="K5707" s="45"/>
      <c r="L5707" s="99"/>
      <c r="M5707" s="385"/>
      <c r="N5707" s="75"/>
      <c r="O5707" s="45" t="s">
        <v>147</v>
      </c>
      <c r="P5707" s="45" t="s">
        <v>22</v>
      </c>
      <c r="Q5707" s="45" t="s">
        <v>88</v>
      </c>
      <c r="R5707" s="45" t="s">
        <v>265</v>
      </c>
    </row>
    <row r="5708" spans="1:18" ht="69" customHeight="1">
      <c r="A5708" s="168"/>
      <c r="B5708" s="48">
        <f t="shared" si="5"/>
        <v>2847</v>
      </c>
      <c r="C5708" s="59" t="s">
        <v>458</v>
      </c>
      <c r="D5708" s="84" t="s">
        <v>10613</v>
      </c>
      <c r="E5708" s="55" t="s">
        <v>11417</v>
      </c>
      <c r="F5708" s="45" t="s">
        <v>14057</v>
      </c>
      <c r="G5708" s="45" t="s">
        <v>14053</v>
      </c>
      <c r="H5708" s="546">
        <v>56640</v>
      </c>
      <c r="I5708" s="47">
        <v>45184</v>
      </c>
      <c r="J5708" s="73" t="s">
        <v>14054</v>
      </c>
      <c r="K5708" s="45"/>
      <c r="L5708" s="99"/>
      <c r="M5708" s="385"/>
      <c r="N5708" s="75"/>
      <c r="O5708" s="45" t="s">
        <v>147</v>
      </c>
      <c r="P5708" s="45" t="s">
        <v>22</v>
      </c>
      <c r="Q5708" s="45" t="s">
        <v>112</v>
      </c>
      <c r="R5708" s="45" t="s">
        <v>265</v>
      </c>
    </row>
    <row r="5709" spans="1:18" ht="69" customHeight="1">
      <c r="A5709" s="168"/>
      <c r="B5709" s="48">
        <f t="shared" si="5"/>
        <v>2848</v>
      </c>
      <c r="C5709" s="59" t="s">
        <v>458</v>
      </c>
      <c r="D5709" s="84" t="s">
        <v>10601</v>
      </c>
      <c r="E5709" s="178" t="s">
        <v>7890</v>
      </c>
      <c r="F5709" s="45" t="s">
        <v>14058</v>
      </c>
      <c r="G5709" s="45" t="s">
        <v>14053</v>
      </c>
      <c r="H5709" s="546">
        <v>38408</v>
      </c>
      <c r="I5709" s="47">
        <v>45184</v>
      </c>
      <c r="J5709" s="73" t="s">
        <v>14054</v>
      </c>
      <c r="K5709" s="45"/>
      <c r="L5709" s="99"/>
      <c r="M5709" s="385"/>
      <c r="N5709" s="75"/>
      <c r="O5709" s="45" t="s">
        <v>147</v>
      </c>
      <c r="P5709" s="45" t="s">
        <v>22</v>
      </c>
      <c r="Q5709" s="45" t="s">
        <v>123</v>
      </c>
      <c r="R5709" s="45" t="s">
        <v>265</v>
      </c>
    </row>
    <row r="5710" spans="1:18" ht="69" customHeight="1">
      <c r="A5710" s="168"/>
      <c r="B5710" s="48">
        <f t="shared" si="5"/>
        <v>2849</v>
      </c>
      <c r="C5710" s="59" t="s">
        <v>3667</v>
      </c>
      <c r="D5710" s="84" t="s">
        <v>14059</v>
      </c>
      <c r="E5710" s="55" t="s">
        <v>11537</v>
      </c>
      <c r="F5710" s="45" t="s">
        <v>14060</v>
      </c>
      <c r="G5710" s="45" t="s">
        <v>14061</v>
      </c>
      <c r="H5710" s="546">
        <v>46397.48</v>
      </c>
      <c r="I5710" s="47">
        <v>45174</v>
      </c>
      <c r="J5710" s="73" t="s">
        <v>14062</v>
      </c>
      <c r="K5710" s="45"/>
      <c r="L5710" s="99"/>
      <c r="M5710" s="385"/>
      <c r="N5710" s="75"/>
      <c r="O5710" s="45" t="s">
        <v>175</v>
      </c>
      <c r="P5710" s="45" t="s">
        <v>59</v>
      </c>
      <c r="Q5710" s="45" t="s">
        <v>86</v>
      </c>
      <c r="R5710" s="45" t="s">
        <v>272</v>
      </c>
    </row>
    <row r="5711" spans="1:18" ht="69" customHeight="1">
      <c r="A5711" s="168"/>
      <c r="B5711" s="48">
        <f t="shared" si="5"/>
        <v>2850</v>
      </c>
      <c r="C5711" s="59" t="s">
        <v>3667</v>
      </c>
      <c r="D5711" s="84" t="s">
        <v>14063</v>
      </c>
      <c r="E5711" s="55" t="s">
        <v>11537</v>
      </c>
      <c r="F5711" s="45" t="s">
        <v>14064</v>
      </c>
      <c r="G5711" s="45" t="s">
        <v>14061</v>
      </c>
      <c r="H5711" s="546">
        <v>33063.699999999997</v>
      </c>
      <c r="I5711" s="47">
        <v>45174</v>
      </c>
      <c r="J5711" s="73" t="s">
        <v>14065</v>
      </c>
      <c r="K5711" s="45"/>
      <c r="L5711" s="99"/>
      <c r="M5711" s="385"/>
      <c r="N5711" s="75"/>
      <c r="O5711" s="45" t="s">
        <v>175</v>
      </c>
      <c r="P5711" s="45" t="s">
        <v>59</v>
      </c>
      <c r="Q5711" s="45" t="s">
        <v>84</v>
      </c>
      <c r="R5711" s="45" t="s">
        <v>272</v>
      </c>
    </row>
    <row r="5712" spans="1:18" ht="69" customHeight="1">
      <c r="A5712" s="168"/>
      <c r="B5712" s="48">
        <f t="shared" si="5"/>
        <v>2851</v>
      </c>
      <c r="C5712" s="59" t="s">
        <v>3667</v>
      </c>
      <c r="D5712" s="84" t="s">
        <v>14066</v>
      </c>
      <c r="E5712" s="55" t="s">
        <v>14067</v>
      </c>
      <c r="F5712" s="45" t="s">
        <v>14068</v>
      </c>
      <c r="G5712" s="45" t="s">
        <v>14069</v>
      </c>
      <c r="H5712" s="546">
        <v>187360.93</v>
      </c>
      <c r="I5712" s="47">
        <v>45174</v>
      </c>
      <c r="J5712" s="73" t="s">
        <v>14065</v>
      </c>
      <c r="K5712" s="45"/>
      <c r="L5712" s="99"/>
      <c r="M5712" s="385"/>
      <c r="N5712" s="75"/>
      <c r="O5712" s="45" t="s">
        <v>175</v>
      </c>
      <c r="P5712" s="45" t="s">
        <v>59</v>
      </c>
      <c r="Q5712" s="45" t="s">
        <v>84</v>
      </c>
      <c r="R5712" s="45" t="s">
        <v>265</v>
      </c>
    </row>
    <row r="5713" spans="1:18" ht="69" customHeight="1">
      <c r="A5713" s="168"/>
      <c r="B5713" s="62">
        <f t="shared" si="5"/>
        <v>2852</v>
      </c>
      <c r="C5713" s="178" t="s">
        <v>11050</v>
      </c>
      <c r="D5713" s="575" t="s">
        <v>14070</v>
      </c>
      <c r="E5713" s="178" t="s">
        <v>14071</v>
      </c>
      <c r="F5713" s="210" t="s">
        <v>14072</v>
      </c>
      <c r="G5713" s="58" t="s">
        <v>14073</v>
      </c>
      <c r="H5713" s="552">
        <v>12000</v>
      </c>
      <c r="I5713" s="66">
        <v>45184</v>
      </c>
      <c r="J5713" s="65" t="s">
        <v>14074</v>
      </c>
      <c r="K5713" s="58"/>
      <c r="L5713" s="99"/>
      <c r="M5713" s="379"/>
      <c r="N5713" s="76"/>
      <c r="O5713" s="62" t="s">
        <v>6918</v>
      </c>
      <c r="P5713" s="58" t="s">
        <v>44</v>
      </c>
      <c r="Q5713" s="58" t="s">
        <v>35</v>
      </c>
      <c r="R5713" s="58" t="s">
        <v>272</v>
      </c>
    </row>
    <row r="5714" spans="1:18" ht="69" customHeight="1">
      <c r="A5714" s="168"/>
      <c r="B5714" s="48">
        <f t="shared" si="5"/>
        <v>2853</v>
      </c>
      <c r="C5714" s="59" t="s">
        <v>3667</v>
      </c>
      <c r="D5714" s="84" t="s">
        <v>14075</v>
      </c>
      <c r="E5714" s="55" t="s">
        <v>14076</v>
      </c>
      <c r="F5714" s="45" t="s">
        <v>14077</v>
      </c>
      <c r="G5714" s="45" t="s">
        <v>14078</v>
      </c>
      <c r="H5714" s="546">
        <v>197781.92</v>
      </c>
      <c r="I5714" s="47">
        <v>45174</v>
      </c>
      <c r="J5714" s="73" t="s">
        <v>14079</v>
      </c>
      <c r="K5714" s="45"/>
      <c r="L5714" s="99"/>
      <c r="M5714" s="385"/>
      <c r="N5714" s="75"/>
      <c r="O5714" s="45" t="s">
        <v>186</v>
      </c>
      <c r="P5714" s="45" t="s">
        <v>57</v>
      </c>
      <c r="Q5714" s="45" t="s">
        <v>72</v>
      </c>
      <c r="R5714" s="45" t="s">
        <v>272</v>
      </c>
    </row>
    <row r="5715" spans="1:18" ht="69" customHeight="1">
      <c r="A5715" s="168"/>
      <c r="B5715" s="48">
        <f t="shared" si="5"/>
        <v>2854</v>
      </c>
      <c r="C5715" s="59" t="s">
        <v>3667</v>
      </c>
      <c r="D5715" s="84" t="s">
        <v>14080</v>
      </c>
      <c r="E5715" s="55" t="s">
        <v>14076</v>
      </c>
      <c r="F5715" s="45" t="s">
        <v>14081</v>
      </c>
      <c r="G5715" s="45" t="s">
        <v>14082</v>
      </c>
      <c r="H5715" s="546">
        <v>76454.87</v>
      </c>
      <c r="I5715" s="47">
        <v>45174</v>
      </c>
      <c r="J5715" s="73" t="s">
        <v>14079</v>
      </c>
      <c r="K5715" s="45"/>
      <c r="L5715" s="99"/>
      <c r="M5715" s="385"/>
      <c r="N5715" s="75"/>
      <c r="O5715" s="45" t="s">
        <v>186</v>
      </c>
      <c r="P5715" s="45" t="s">
        <v>57</v>
      </c>
      <c r="Q5715" s="45" t="s">
        <v>72</v>
      </c>
      <c r="R5715" s="45" t="s">
        <v>272</v>
      </c>
    </row>
    <row r="5716" spans="1:18" s="98" customFormat="1" ht="69" customHeight="1">
      <c r="A5716" s="169"/>
      <c r="B5716" s="48">
        <f t="shared" si="5"/>
        <v>2855</v>
      </c>
      <c r="C5716" s="44" t="s">
        <v>450</v>
      </c>
      <c r="D5716" s="84" t="s">
        <v>14083</v>
      </c>
      <c r="E5716" s="44" t="s">
        <v>4173</v>
      </c>
      <c r="F5716" s="45" t="s">
        <v>14084</v>
      </c>
      <c r="G5716" s="45" t="s">
        <v>14085</v>
      </c>
      <c r="H5716" s="546">
        <v>25000</v>
      </c>
      <c r="I5716" s="47">
        <v>45184</v>
      </c>
      <c r="J5716" s="73" t="s">
        <v>14086</v>
      </c>
      <c r="K5716" s="45"/>
      <c r="L5716" s="99"/>
      <c r="M5716" s="385"/>
      <c r="N5716" s="75"/>
      <c r="O5716" s="45" t="s">
        <v>441</v>
      </c>
      <c r="P5716" s="45" t="s">
        <v>22</v>
      </c>
      <c r="Q5716" s="45" t="s">
        <v>13</v>
      </c>
      <c r="R5716" s="45" t="s">
        <v>265</v>
      </c>
    </row>
    <row r="5717" spans="1:18" ht="69" customHeight="1">
      <c r="A5717" s="168"/>
      <c r="B5717" s="48">
        <f t="shared" si="5"/>
        <v>2856</v>
      </c>
      <c r="C5717" s="59" t="s">
        <v>5558</v>
      </c>
      <c r="D5717" s="84" t="s">
        <v>14087</v>
      </c>
      <c r="E5717" s="55" t="s">
        <v>4173</v>
      </c>
      <c r="F5717" s="45" t="s">
        <v>14088</v>
      </c>
      <c r="G5717" s="45" t="s">
        <v>14085</v>
      </c>
      <c r="H5717" s="546">
        <v>25255.08</v>
      </c>
      <c r="I5717" s="47">
        <v>45184</v>
      </c>
      <c r="J5717" s="73" t="s">
        <v>14086</v>
      </c>
      <c r="K5717" s="45"/>
      <c r="L5717" s="99"/>
      <c r="M5717" s="385"/>
      <c r="N5717" s="75"/>
      <c r="O5717" s="45" t="s">
        <v>441</v>
      </c>
      <c r="P5717" s="45" t="s">
        <v>22</v>
      </c>
      <c r="Q5717" s="45" t="s">
        <v>64</v>
      </c>
      <c r="R5717" s="45" t="s">
        <v>265</v>
      </c>
    </row>
    <row r="5718" spans="1:18" ht="69" customHeight="1">
      <c r="A5718" s="168"/>
      <c r="B5718" s="48">
        <f t="shared" si="5"/>
        <v>2857</v>
      </c>
      <c r="C5718" s="59" t="s">
        <v>5558</v>
      </c>
      <c r="D5718" s="84" t="s">
        <v>14089</v>
      </c>
      <c r="E5718" s="55" t="s">
        <v>4173</v>
      </c>
      <c r="F5718" s="45" t="s">
        <v>14090</v>
      </c>
      <c r="G5718" s="45" t="s">
        <v>14085</v>
      </c>
      <c r="H5718" s="546">
        <v>44366</v>
      </c>
      <c r="I5718" s="47">
        <v>45184</v>
      </c>
      <c r="J5718" s="73" t="s">
        <v>14086</v>
      </c>
      <c r="K5718" s="45"/>
      <c r="L5718" s="99"/>
      <c r="M5718" s="385"/>
      <c r="N5718" s="75"/>
      <c r="O5718" s="45" t="s">
        <v>441</v>
      </c>
      <c r="P5718" s="45" t="s">
        <v>22</v>
      </c>
      <c r="Q5718" s="45" t="s">
        <v>64</v>
      </c>
      <c r="R5718" s="45" t="s">
        <v>265</v>
      </c>
    </row>
    <row r="5719" spans="1:18" ht="69" customHeight="1">
      <c r="A5719" s="168"/>
      <c r="B5719" s="48">
        <f t="shared" si="5"/>
        <v>2858</v>
      </c>
      <c r="C5719" s="59" t="s">
        <v>3933</v>
      </c>
      <c r="D5719" s="84" t="s">
        <v>14091</v>
      </c>
      <c r="E5719" s="55" t="s">
        <v>11332</v>
      </c>
      <c r="F5719" s="45" t="s">
        <v>14092</v>
      </c>
      <c r="G5719" s="45" t="s">
        <v>14093</v>
      </c>
      <c r="H5719" s="546">
        <v>301281</v>
      </c>
      <c r="I5719" s="47">
        <v>45184</v>
      </c>
      <c r="J5719" s="73" t="s">
        <v>14094</v>
      </c>
      <c r="K5719" s="45"/>
      <c r="L5719" s="99"/>
      <c r="M5719" s="385"/>
      <c r="N5719" s="75"/>
      <c r="O5719" s="45" t="s">
        <v>195</v>
      </c>
      <c r="P5719" s="45" t="s">
        <v>19</v>
      </c>
      <c r="Q5719" s="45" t="s">
        <v>52</v>
      </c>
      <c r="R5719" s="45" t="s">
        <v>272</v>
      </c>
    </row>
    <row r="5720" spans="1:18" s="98" customFormat="1" ht="69" customHeight="1">
      <c r="A5720" s="168"/>
      <c r="B5720" s="48">
        <f t="shared" si="5"/>
        <v>2859</v>
      </c>
      <c r="C5720" s="59" t="s">
        <v>3647</v>
      </c>
      <c r="D5720" s="84" t="s">
        <v>14095</v>
      </c>
      <c r="E5720" s="55" t="s">
        <v>11332</v>
      </c>
      <c r="F5720" s="45" t="s">
        <v>14096</v>
      </c>
      <c r="G5720" s="45" t="s">
        <v>14093</v>
      </c>
      <c r="H5720" s="546">
        <v>192100</v>
      </c>
      <c r="I5720" s="47">
        <v>45184</v>
      </c>
      <c r="J5720" s="73" t="s">
        <v>14094</v>
      </c>
      <c r="K5720" s="45"/>
      <c r="L5720" s="99"/>
      <c r="M5720" s="388"/>
      <c r="N5720" s="108"/>
      <c r="O5720" s="45" t="s">
        <v>195</v>
      </c>
      <c r="P5720" s="45" t="s">
        <v>19</v>
      </c>
      <c r="Q5720" s="45" t="s">
        <v>47</v>
      </c>
      <c r="R5720" s="45" t="s">
        <v>272</v>
      </c>
    </row>
    <row r="5721" spans="1:18" ht="69" customHeight="1">
      <c r="A5721" s="168"/>
      <c r="B5721" s="48">
        <f t="shared" si="5"/>
        <v>2860</v>
      </c>
      <c r="C5721" s="59" t="s">
        <v>657</v>
      </c>
      <c r="D5721" s="84" t="s">
        <v>2847</v>
      </c>
      <c r="E5721" s="55" t="s">
        <v>350</v>
      </c>
      <c r="F5721" s="45" t="s">
        <v>14097</v>
      </c>
      <c r="G5721" s="45" t="s">
        <v>14098</v>
      </c>
      <c r="H5721" s="546">
        <v>48661</v>
      </c>
      <c r="I5721" s="47">
        <v>45184</v>
      </c>
      <c r="J5721" s="73" t="s">
        <v>14099</v>
      </c>
      <c r="K5721" s="45"/>
      <c r="L5721" s="99"/>
      <c r="M5721" s="385"/>
      <c r="N5721" s="75"/>
      <c r="O5721" s="45" t="s">
        <v>141</v>
      </c>
      <c r="P5721" s="45" t="s">
        <v>19</v>
      </c>
      <c r="Q5721" s="45" t="s">
        <v>97</v>
      </c>
      <c r="R5721" s="45" t="s">
        <v>265</v>
      </c>
    </row>
    <row r="5722" spans="1:18" ht="69" customHeight="1">
      <c r="A5722" s="168"/>
      <c r="B5722" s="48">
        <f t="shared" si="5"/>
        <v>2861</v>
      </c>
      <c r="C5722" s="59" t="s">
        <v>8797</v>
      </c>
      <c r="D5722" s="84" t="s">
        <v>2849</v>
      </c>
      <c r="E5722" s="55" t="s">
        <v>350</v>
      </c>
      <c r="F5722" s="45" t="s">
        <v>14100</v>
      </c>
      <c r="G5722" s="45" t="s">
        <v>14098</v>
      </c>
      <c r="H5722" s="546">
        <v>56822</v>
      </c>
      <c r="I5722" s="47">
        <v>45184</v>
      </c>
      <c r="J5722" s="73" t="s">
        <v>14099</v>
      </c>
      <c r="K5722" s="45"/>
      <c r="L5722" s="99"/>
      <c r="M5722" s="385"/>
      <c r="N5722" s="75"/>
      <c r="O5722" s="45" t="s">
        <v>141</v>
      </c>
      <c r="P5722" s="45" t="s">
        <v>19</v>
      </c>
      <c r="Q5722" s="45" t="s">
        <v>110</v>
      </c>
      <c r="R5722" s="45" t="s">
        <v>265</v>
      </c>
    </row>
    <row r="5723" spans="1:18" ht="69" customHeight="1">
      <c r="A5723" s="168"/>
      <c r="B5723" s="48">
        <f t="shared" si="5"/>
        <v>2862</v>
      </c>
      <c r="C5723" s="59" t="s">
        <v>11052</v>
      </c>
      <c r="D5723" s="84" t="s">
        <v>4095</v>
      </c>
      <c r="E5723" s="55" t="s">
        <v>4173</v>
      </c>
      <c r="F5723" s="45" t="s">
        <v>14101</v>
      </c>
      <c r="G5723" s="45" t="s">
        <v>14102</v>
      </c>
      <c r="H5723" s="546">
        <v>30000</v>
      </c>
      <c r="I5723" s="47">
        <v>45184</v>
      </c>
      <c r="J5723" s="73" t="s">
        <v>14103</v>
      </c>
      <c r="K5723" s="45"/>
      <c r="L5723" s="99"/>
      <c r="M5723" s="385"/>
      <c r="N5723" s="75"/>
      <c r="O5723" s="45" t="s">
        <v>441</v>
      </c>
      <c r="P5723" s="45" t="s">
        <v>22</v>
      </c>
      <c r="Q5723" s="45" t="s">
        <v>37</v>
      </c>
      <c r="R5723" s="45" t="s">
        <v>265</v>
      </c>
    </row>
    <row r="5724" spans="1:18" ht="69" customHeight="1">
      <c r="A5724" s="168"/>
      <c r="B5724" s="48">
        <f t="shared" si="5"/>
        <v>2863</v>
      </c>
      <c r="C5724" s="59" t="s">
        <v>1853</v>
      </c>
      <c r="D5724" s="84" t="s">
        <v>4375</v>
      </c>
      <c r="E5724" s="55" t="s">
        <v>4173</v>
      </c>
      <c r="F5724" s="45" t="s">
        <v>14104</v>
      </c>
      <c r="G5724" s="45" t="s">
        <v>14102</v>
      </c>
      <c r="H5724" s="546">
        <v>30000</v>
      </c>
      <c r="I5724" s="47">
        <v>45184</v>
      </c>
      <c r="J5724" s="73" t="s">
        <v>14103</v>
      </c>
      <c r="K5724" s="45"/>
      <c r="L5724" s="99"/>
      <c r="M5724" s="385"/>
      <c r="N5724" s="75"/>
      <c r="O5724" s="45" t="s">
        <v>441</v>
      </c>
      <c r="P5724" s="45" t="s">
        <v>22</v>
      </c>
      <c r="Q5724" s="45" t="s">
        <v>29</v>
      </c>
      <c r="R5724" s="45" t="s">
        <v>265</v>
      </c>
    </row>
    <row r="5725" spans="1:18" ht="69" customHeight="1">
      <c r="A5725" s="168"/>
      <c r="B5725" s="48">
        <f t="shared" si="5"/>
        <v>2864</v>
      </c>
      <c r="C5725" s="59" t="s">
        <v>8797</v>
      </c>
      <c r="D5725" s="84" t="s">
        <v>2616</v>
      </c>
      <c r="E5725" s="55" t="s">
        <v>409</v>
      </c>
      <c r="F5725" s="45" t="s">
        <v>14105</v>
      </c>
      <c r="G5725" s="45" t="s">
        <v>14106</v>
      </c>
      <c r="H5725" s="546">
        <v>11594.87</v>
      </c>
      <c r="I5725" s="47">
        <v>45184</v>
      </c>
      <c r="J5725" s="73" t="s">
        <v>14107</v>
      </c>
      <c r="K5725" s="45"/>
      <c r="L5725" s="99"/>
      <c r="M5725" s="385"/>
      <c r="N5725" s="75"/>
      <c r="O5725" s="45" t="s">
        <v>8228</v>
      </c>
      <c r="P5725" s="45" t="s">
        <v>59</v>
      </c>
      <c r="Q5725" s="45" t="s">
        <v>110</v>
      </c>
      <c r="R5725" s="45" t="s">
        <v>272</v>
      </c>
    </row>
    <row r="5726" spans="1:18" ht="69" customHeight="1">
      <c r="A5726" s="168"/>
      <c r="B5726" s="48">
        <f t="shared" si="5"/>
        <v>2865</v>
      </c>
      <c r="C5726" s="59" t="s">
        <v>8797</v>
      </c>
      <c r="D5726" s="84" t="s">
        <v>3113</v>
      </c>
      <c r="E5726" s="55" t="s">
        <v>409</v>
      </c>
      <c r="F5726" s="45" t="s">
        <v>14108</v>
      </c>
      <c r="G5726" s="45" t="s">
        <v>14106</v>
      </c>
      <c r="H5726" s="546">
        <v>46379.519999999997</v>
      </c>
      <c r="I5726" s="47">
        <v>45184</v>
      </c>
      <c r="J5726" s="73" t="s">
        <v>14107</v>
      </c>
      <c r="K5726" s="45"/>
      <c r="L5726" s="99"/>
      <c r="M5726" s="385"/>
      <c r="N5726" s="75"/>
      <c r="O5726" s="45" t="s">
        <v>8228</v>
      </c>
      <c r="P5726" s="45" t="s">
        <v>59</v>
      </c>
      <c r="Q5726" s="45" t="s">
        <v>110</v>
      </c>
      <c r="R5726" s="45" t="s">
        <v>272</v>
      </c>
    </row>
    <row r="5727" spans="1:18" ht="69" customHeight="1">
      <c r="A5727" s="168"/>
      <c r="B5727" s="48">
        <f t="shared" si="5"/>
        <v>2866</v>
      </c>
      <c r="C5727" s="59" t="s">
        <v>657</v>
      </c>
      <c r="D5727" s="84" t="s">
        <v>2620</v>
      </c>
      <c r="E5727" s="55" t="s">
        <v>409</v>
      </c>
      <c r="F5727" s="45" t="s">
        <v>14109</v>
      </c>
      <c r="G5727" s="45" t="s">
        <v>14110</v>
      </c>
      <c r="H5727" s="546">
        <v>7403.63</v>
      </c>
      <c r="I5727" s="47">
        <v>45184</v>
      </c>
      <c r="J5727" s="73" t="s">
        <v>14111</v>
      </c>
      <c r="K5727" s="45"/>
      <c r="L5727" s="99"/>
      <c r="M5727" s="385"/>
      <c r="N5727" s="75"/>
      <c r="O5727" s="45" t="s">
        <v>8228</v>
      </c>
      <c r="P5727" s="45" t="s">
        <v>59</v>
      </c>
      <c r="Q5727" s="45" t="s">
        <v>111</v>
      </c>
      <c r="R5727" s="45" t="s">
        <v>272</v>
      </c>
    </row>
    <row r="5728" spans="1:18" ht="69" customHeight="1">
      <c r="A5728" s="168"/>
      <c r="B5728" s="48">
        <f t="shared" si="5"/>
        <v>2867</v>
      </c>
      <c r="C5728" s="59" t="s">
        <v>657</v>
      </c>
      <c r="D5728" s="84" t="s">
        <v>5048</v>
      </c>
      <c r="E5728" s="55" t="s">
        <v>409</v>
      </c>
      <c r="F5728" s="45" t="s">
        <v>14112</v>
      </c>
      <c r="G5728" s="45" t="s">
        <v>14113</v>
      </c>
      <c r="H5728" s="546">
        <v>29614.52</v>
      </c>
      <c r="I5728" s="47">
        <v>45184</v>
      </c>
      <c r="J5728" s="73" t="s">
        <v>14111</v>
      </c>
      <c r="K5728" s="45"/>
      <c r="L5728" s="99"/>
      <c r="M5728" s="385"/>
      <c r="N5728" s="75"/>
      <c r="O5728" s="45" t="s">
        <v>8228</v>
      </c>
      <c r="P5728" s="45" t="s">
        <v>59</v>
      </c>
      <c r="Q5728" s="45" t="s">
        <v>111</v>
      </c>
      <c r="R5728" s="45" t="s">
        <v>272</v>
      </c>
    </row>
    <row r="5729" spans="1:18" ht="69" customHeight="1">
      <c r="A5729" s="168"/>
      <c r="B5729" s="52">
        <f t="shared" ref="B5729:B5760" si="6">B5728+1</f>
        <v>2868</v>
      </c>
      <c r="C5729" s="191" t="s">
        <v>10418</v>
      </c>
      <c r="D5729" s="533" t="s">
        <v>14114</v>
      </c>
      <c r="E5729" s="191" t="s">
        <v>266</v>
      </c>
      <c r="F5729" s="211" t="s">
        <v>14115</v>
      </c>
      <c r="G5729" s="46" t="s">
        <v>14116</v>
      </c>
      <c r="H5729" s="534">
        <v>600</v>
      </c>
      <c r="I5729" s="56">
        <v>45184</v>
      </c>
      <c r="J5729" s="199" t="s">
        <v>14117</v>
      </c>
      <c r="K5729" s="46" t="s">
        <v>65</v>
      </c>
      <c r="L5729" s="99"/>
      <c r="M5729" s="379"/>
      <c r="N5729" s="76"/>
      <c r="O5729" s="46" t="s">
        <v>14118</v>
      </c>
      <c r="P5729" s="46" t="s">
        <v>65</v>
      </c>
      <c r="Q5729" s="46" t="s">
        <v>121</v>
      </c>
      <c r="R5729" s="46" t="s">
        <v>272</v>
      </c>
    </row>
    <row r="5730" spans="1:18" ht="69" customHeight="1">
      <c r="A5730" s="168"/>
      <c r="B5730" s="52">
        <f t="shared" si="6"/>
        <v>2869</v>
      </c>
      <c r="C5730" s="191" t="s">
        <v>7415</v>
      </c>
      <c r="D5730" s="533" t="s">
        <v>14119</v>
      </c>
      <c r="E5730" s="191" t="s">
        <v>266</v>
      </c>
      <c r="F5730" s="211" t="s">
        <v>14120</v>
      </c>
      <c r="G5730" s="46" t="s">
        <v>14116</v>
      </c>
      <c r="H5730" s="534">
        <v>600</v>
      </c>
      <c r="I5730" s="56">
        <v>45184</v>
      </c>
      <c r="J5730" s="199" t="s">
        <v>14117</v>
      </c>
      <c r="K5730" s="46" t="s">
        <v>65</v>
      </c>
      <c r="L5730" s="99"/>
      <c r="M5730" s="379"/>
      <c r="N5730" s="76"/>
      <c r="O5730" s="46" t="s">
        <v>14118</v>
      </c>
      <c r="P5730" s="46" t="s">
        <v>65</v>
      </c>
      <c r="Q5730" s="46" t="s">
        <v>119</v>
      </c>
      <c r="R5730" s="46" t="s">
        <v>272</v>
      </c>
    </row>
    <row r="5731" spans="1:18" ht="69" customHeight="1">
      <c r="A5731" s="168"/>
      <c r="B5731" s="52">
        <f t="shared" si="6"/>
        <v>2870</v>
      </c>
      <c r="C5731" s="191" t="s">
        <v>10944</v>
      </c>
      <c r="D5731" s="533" t="s">
        <v>9953</v>
      </c>
      <c r="E5731" s="191" t="s">
        <v>266</v>
      </c>
      <c r="F5731" s="211" t="s">
        <v>14121</v>
      </c>
      <c r="G5731" s="46" t="s">
        <v>14116</v>
      </c>
      <c r="H5731" s="534">
        <v>600</v>
      </c>
      <c r="I5731" s="56">
        <v>45184</v>
      </c>
      <c r="J5731" s="199" t="s">
        <v>14117</v>
      </c>
      <c r="K5731" s="46" t="s">
        <v>65</v>
      </c>
      <c r="L5731" s="99"/>
      <c r="M5731" s="379"/>
      <c r="N5731" s="76"/>
      <c r="O5731" s="46" t="s">
        <v>14118</v>
      </c>
      <c r="P5731" s="46" t="s">
        <v>65</v>
      </c>
      <c r="Q5731" s="46" t="s">
        <v>120</v>
      </c>
      <c r="R5731" s="46" t="s">
        <v>272</v>
      </c>
    </row>
    <row r="5732" spans="1:18" ht="69" customHeight="1">
      <c r="A5732" s="168"/>
      <c r="B5732" s="259">
        <f t="shared" si="6"/>
        <v>2871</v>
      </c>
      <c r="C5732" s="207" t="s">
        <v>458</v>
      </c>
      <c r="D5732" s="301" t="s">
        <v>14122</v>
      </c>
      <c r="E5732" s="207" t="s">
        <v>409</v>
      </c>
      <c r="F5732" s="208" t="s">
        <v>14123</v>
      </c>
      <c r="G5732" s="160" t="s">
        <v>14124</v>
      </c>
      <c r="H5732" s="300">
        <v>15335.28</v>
      </c>
      <c r="I5732" s="209">
        <v>45187</v>
      </c>
      <c r="J5732" s="316" t="s">
        <v>14125</v>
      </c>
      <c r="K5732" s="160" t="s">
        <v>67</v>
      </c>
      <c r="M5732" s="379"/>
      <c r="N5732" s="76"/>
      <c r="O5732" s="160" t="s">
        <v>11192</v>
      </c>
      <c r="P5732" s="160" t="s">
        <v>67</v>
      </c>
      <c r="Q5732" s="160" t="s">
        <v>90</v>
      </c>
      <c r="R5732" s="160" t="s">
        <v>272</v>
      </c>
    </row>
    <row r="5733" spans="1:18" ht="69" customHeight="1">
      <c r="A5733" s="168"/>
      <c r="B5733" s="259">
        <f t="shared" si="6"/>
        <v>2872</v>
      </c>
      <c r="C5733" s="207" t="s">
        <v>3667</v>
      </c>
      <c r="D5733" s="301" t="s">
        <v>14126</v>
      </c>
      <c r="E5733" s="207" t="s">
        <v>409</v>
      </c>
      <c r="F5733" s="208" t="s">
        <v>14127</v>
      </c>
      <c r="G5733" s="160" t="s">
        <v>14124</v>
      </c>
      <c r="H5733" s="300">
        <v>19629.16</v>
      </c>
      <c r="I5733" s="209">
        <v>45187</v>
      </c>
      <c r="J5733" s="316" t="s">
        <v>14125</v>
      </c>
      <c r="K5733" s="160" t="s">
        <v>67</v>
      </c>
      <c r="M5733" s="379"/>
      <c r="N5733" s="76"/>
      <c r="O5733" s="160" t="s">
        <v>11192</v>
      </c>
      <c r="P5733" s="160" t="s">
        <v>67</v>
      </c>
      <c r="Q5733" s="160" t="s">
        <v>49</v>
      </c>
      <c r="R5733" s="160" t="s">
        <v>272</v>
      </c>
    </row>
    <row r="5734" spans="1:18" ht="69" customHeight="1">
      <c r="A5734" s="168"/>
      <c r="B5734" s="259">
        <f t="shared" si="6"/>
        <v>2873</v>
      </c>
      <c r="C5734" s="207" t="s">
        <v>309</v>
      </c>
      <c r="D5734" s="301" t="s">
        <v>13680</v>
      </c>
      <c r="E5734" s="207" t="s">
        <v>409</v>
      </c>
      <c r="F5734" s="208" t="s">
        <v>14128</v>
      </c>
      <c r="G5734" s="160" t="s">
        <v>14124</v>
      </c>
      <c r="H5734" s="300">
        <v>15335.28</v>
      </c>
      <c r="I5734" s="209">
        <v>45187</v>
      </c>
      <c r="J5734" s="316" t="s">
        <v>14125</v>
      </c>
      <c r="K5734" s="160" t="s">
        <v>67</v>
      </c>
      <c r="M5734" s="379"/>
      <c r="N5734" s="76"/>
      <c r="O5734" s="160" t="s">
        <v>11192</v>
      </c>
      <c r="P5734" s="160" t="s">
        <v>67</v>
      </c>
      <c r="Q5734" s="160" t="s">
        <v>15</v>
      </c>
      <c r="R5734" s="160" t="s">
        <v>272</v>
      </c>
    </row>
    <row r="5735" spans="1:18" ht="69" customHeight="1">
      <c r="A5735" s="168"/>
      <c r="B5735" s="259">
        <f t="shared" si="6"/>
        <v>2874</v>
      </c>
      <c r="C5735" s="207" t="s">
        <v>657</v>
      </c>
      <c r="D5735" s="301" t="s">
        <v>839</v>
      </c>
      <c r="E5735" s="207" t="s">
        <v>409</v>
      </c>
      <c r="F5735" s="208" t="s">
        <v>14129</v>
      </c>
      <c r="G5735" s="160" t="s">
        <v>14124</v>
      </c>
      <c r="H5735" s="300">
        <v>11041.39</v>
      </c>
      <c r="I5735" s="209">
        <v>45187</v>
      </c>
      <c r="J5735" s="316" t="s">
        <v>14125</v>
      </c>
      <c r="K5735" s="160" t="s">
        <v>67</v>
      </c>
      <c r="M5735" s="379"/>
      <c r="N5735" s="76"/>
      <c r="O5735" s="160" t="s">
        <v>11192</v>
      </c>
      <c r="P5735" s="160" t="s">
        <v>67</v>
      </c>
      <c r="Q5735" s="160" t="s">
        <v>99</v>
      </c>
      <c r="R5735" s="160" t="s">
        <v>272</v>
      </c>
    </row>
    <row r="5736" spans="1:18" ht="69" customHeight="1">
      <c r="A5736" s="168"/>
      <c r="B5736" s="48">
        <f t="shared" si="6"/>
        <v>2875</v>
      </c>
      <c r="C5736" s="59" t="s">
        <v>3667</v>
      </c>
      <c r="D5736" s="84" t="s">
        <v>14130</v>
      </c>
      <c r="E5736" s="55" t="s">
        <v>10553</v>
      </c>
      <c r="F5736" s="45" t="s">
        <v>14131</v>
      </c>
      <c r="G5736" s="45" t="s">
        <v>14132</v>
      </c>
      <c r="H5736" s="546">
        <v>236553.26</v>
      </c>
      <c r="I5736" s="47">
        <v>45174</v>
      </c>
      <c r="J5736" s="73" t="s">
        <v>14133</v>
      </c>
      <c r="K5736" s="45" t="s">
        <v>14134</v>
      </c>
      <c r="L5736" s="99"/>
      <c r="M5736" s="385"/>
      <c r="N5736" s="75"/>
      <c r="O5736" s="45" t="s">
        <v>147</v>
      </c>
      <c r="P5736" s="45" t="s">
        <v>22</v>
      </c>
      <c r="Q5736" s="45" t="s">
        <v>76</v>
      </c>
      <c r="R5736" s="45" t="s">
        <v>272</v>
      </c>
    </row>
    <row r="5737" spans="1:18" ht="69" customHeight="1">
      <c r="A5737" s="168"/>
      <c r="B5737" s="48">
        <f t="shared" si="6"/>
        <v>2876</v>
      </c>
      <c r="C5737" s="59" t="s">
        <v>3667</v>
      </c>
      <c r="D5737" s="84" t="s">
        <v>14135</v>
      </c>
      <c r="E5737" s="55" t="s">
        <v>10553</v>
      </c>
      <c r="F5737" s="45" t="s">
        <v>14136</v>
      </c>
      <c r="G5737" s="45" t="s">
        <v>14137</v>
      </c>
      <c r="H5737" s="546">
        <v>127374.83</v>
      </c>
      <c r="I5737" s="47">
        <v>45174</v>
      </c>
      <c r="J5737" s="73" t="s">
        <v>14133</v>
      </c>
      <c r="K5737" s="45" t="s">
        <v>14134</v>
      </c>
      <c r="L5737" s="99"/>
      <c r="M5737" s="385"/>
      <c r="N5737" s="75"/>
      <c r="O5737" s="45" t="s">
        <v>147</v>
      </c>
      <c r="P5737" s="45" t="s">
        <v>22</v>
      </c>
      <c r="Q5737" s="45" t="s">
        <v>76</v>
      </c>
      <c r="R5737" s="45" t="s">
        <v>272</v>
      </c>
    </row>
    <row r="5738" spans="1:18" ht="69" customHeight="1">
      <c r="A5738" s="168"/>
      <c r="B5738" s="48">
        <f t="shared" si="6"/>
        <v>2877</v>
      </c>
      <c r="C5738" s="59" t="s">
        <v>309</v>
      </c>
      <c r="D5738" s="84" t="s">
        <v>4381</v>
      </c>
      <c r="E5738" s="55" t="s">
        <v>11212</v>
      </c>
      <c r="F5738" s="45" t="s">
        <v>14138</v>
      </c>
      <c r="G5738" s="45" t="s">
        <v>14139</v>
      </c>
      <c r="H5738" s="546">
        <v>5337</v>
      </c>
      <c r="I5738" s="47">
        <v>45163</v>
      </c>
      <c r="J5738" s="73" t="s">
        <v>14140</v>
      </c>
      <c r="K5738" s="45"/>
      <c r="L5738" s="99"/>
      <c r="M5738" s="385"/>
      <c r="N5738" s="75"/>
      <c r="O5738" s="45" t="s">
        <v>14141</v>
      </c>
      <c r="P5738" s="45" t="s">
        <v>44</v>
      </c>
      <c r="Q5738" s="45" t="s">
        <v>13</v>
      </c>
      <c r="R5738" s="45" t="s">
        <v>272</v>
      </c>
    </row>
    <row r="5739" spans="1:18" ht="69" customHeight="1">
      <c r="A5739" s="168"/>
      <c r="B5739" s="48">
        <f t="shared" si="6"/>
        <v>2878</v>
      </c>
      <c r="C5739" s="59" t="s">
        <v>657</v>
      </c>
      <c r="D5739" s="84" t="s">
        <v>5052</v>
      </c>
      <c r="E5739" s="55" t="s">
        <v>382</v>
      </c>
      <c r="F5739" s="45" t="s">
        <v>14142</v>
      </c>
      <c r="G5739" s="45" t="s">
        <v>14143</v>
      </c>
      <c r="H5739" s="546">
        <v>2477.98</v>
      </c>
      <c r="I5739" s="47">
        <v>45184</v>
      </c>
      <c r="J5739" s="73" t="s">
        <v>14144</v>
      </c>
      <c r="K5739" s="45"/>
      <c r="L5739" s="99"/>
      <c r="M5739" s="385"/>
      <c r="N5739" s="75"/>
      <c r="O5739" s="45" t="s">
        <v>150</v>
      </c>
      <c r="P5739" s="45" t="s">
        <v>51</v>
      </c>
      <c r="Q5739" s="45" t="s">
        <v>106</v>
      </c>
      <c r="R5739" s="45" t="s">
        <v>265</v>
      </c>
    </row>
    <row r="5740" spans="1:18" ht="69" customHeight="1">
      <c r="A5740" s="168"/>
      <c r="B5740" s="48">
        <f t="shared" si="6"/>
        <v>2879</v>
      </c>
      <c r="C5740" s="59" t="s">
        <v>657</v>
      </c>
      <c r="D5740" s="84" t="s">
        <v>3525</v>
      </c>
      <c r="E5740" s="55" t="s">
        <v>382</v>
      </c>
      <c r="F5740" s="45" t="s">
        <v>14145</v>
      </c>
      <c r="G5740" s="45" t="s">
        <v>14143</v>
      </c>
      <c r="H5740" s="546">
        <v>2031.99</v>
      </c>
      <c r="I5740" s="47">
        <v>45184</v>
      </c>
      <c r="J5740" s="73" t="s">
        <v>14144</v>
      </c>
      <c r="K5740" s="45"/>
      <c r="L5740" s="99"/>
      <c r="M5740" s="385"/>
      <c r="N5740" s="75"/>
      <c r="O5740" s="45" t="s">
        <v>150</v>
      </c>
      <c r="P5740" s="45" t="s">
        <v>51</v>
      </c>
      <c r="Q5740" s="45" t="s">
        <v>109</v>
      </c>
      <c r="R5740" s="45" t="s">
        <v>265</v>
      </c>
    </row>
    <row r="5741" spans="1:18" ht="69" customHeight="1">
      <c r="A5741" s="168"/>
      <c r="B5741" s="48">
        <f t="shared" si="6"/>
        <v>2880</v>
      </c>
      <c r="C5741" s="59" t="s">
        <v>458</v>
      </c>
      <c r="D5741" s="84" t="s">
        <v>4404</v>
      </c>
      <c r="E5741" s="55" t="s">
        <v>382</v>
      </c>
      <c r="F5741" s="45" t="s">
        <v>14146</v>
      </c>
      <c r="G5741" s="45" t="s">
        <v>14147</v>
      </c>
      <c r="H5741" s="546">
        <v>12000</v>
      </c>
      <c r="I5741" s="47">
        <v>45184</v>
      </c>
      <c r="J5741" s="73" t="s">
        <v>14144</v>
      </c>
      <c r="K5741" s="45"/>
      <c r="L5741" s="99"/>
      <c r="M5741" s="385"/>
      <c r="N5741" s="75"/>
      <c r="O5741" s="45" t="s">
        <v>150</v>
      </c>
      <c r="P5741" s="45" t="s">
        <v>51</v>
      </c>
      <c r="Q5741" s="45" t="s">
        <v>101</v>
      </c>
      <c r="R5741" s="45" t="s">
        <v>265</v>
      </c>
    </row>
    <row r="5742" spans="1:18" ht="69" customHeight="1">
      <c r="A5742" s="168"/>
      <c r="B5742" s="52">
        <f t="shared" si="6"/>
        <v>2881</v>
      </c>
      <c r="C5742" s="191" t="s">
        <v>657</v>
      </c>
      <c r="D5742" s="533" t="s">
        <v>5055</v>
      </c>
      <c r="E5742" s="191" t="s">
        <v>266</v>
      </c>
      <c r="F5742" s="211" t="s">
        <v>14148</v>
      </c>
      <c r="G5742" s="46" t="s">
        <v>14149</v>
      </c>
      <c r="H5742" s="534">
        <v>13891.29</v>
      </c>
      <c r="I5742" s="56">
        <v>45184</v>
      </c>
      <c r="J5742" s="199" t="s">
        <v>14150</v>
      </c>
      <c r="K5742" s="46" t="s">
        <v>10804</v>
      </c>
      <c r="L5742" s="99"/>
      <c r="M5742" s="379"/>
      <c r="N5742" s="76"/>
      <c r="O5742" s="46" t="s">
        <v>150</v>
      </c>
      <c r="P5742" s="46" t="s">
        <v>67</v>
      </c>
      <c r="Q5742" s="46" t="s">
        <v>97</v>
      </c>
      <c r="R5742" s="46" t="s">
        <v>272</v>
      </c>
    </row>
    <row r="5743" spans="1:18" ht="69" customHeight="1">
      <c r="A5743" s="168"/>
      <c r="B5743" s="52">
        <f t="shared" si="6"/>
        <v>2882</v>
      </c>
      <c r="C5743" s="191" t="s">
        <v>657</v>
      </c>
      <c r="D5743" s="533" t="s">
        <v>2369</v>
      </c>
      <c r="E5743" s="191" t="s">
        <v>266</v>
      </c>
      <c r="F5743" s="211" t="s">
        <v>14151</v>
      </c>
      <c r="G5743" s="46" t="s">
        <v>14149</v>
      </c>
      <c r="H5743" s="534">
        <v>5620.2</v>
      </c>
      <c r="I5743" s="56">
        <v>45184</v>
      </c>
      <c r="J5743" s="199" t="s">
        <v>14150</v>
      </c>
      <c r="K5743" s="46" t="s">
        <v>10804</v>
      </c>
      <c r="L5743" s="99"/>
      <c r="M5743" s="379"/>
      <c r="N5743" s="76"/>
      <c r="O5743" s="46" t="s">
        <v>150</v>
      </c>
      <c r="P5743" s="46" t="s">
        <v>67</v>
      </c>
      <c r="Q5743" s="46" t="s">
        <v>97</v>
      </c>
      <c r="R5743" s="46" t="s">
        <v>272</v>
      </c>
    </row>
    <row r="5744" spans="1:18" ht="69" customHeight="1">
      <c r="A5744" s="168"/>
      <c r="B5744" s="52">
        <f t="shared" si="6"/>
        <v>2883</v>
      </c>
      <c r="C5744" s="191" t="s">
        <v>3667</v>
      </c>
      <c r="D5744" s="533" t="s">
        <v>14152</v>
      </c>
      <c r="E5744" s="191" t="s">
        <v>266</v>
      </c>
      <c r="F5744" s="211" t="s">
        <v>14153</v>
      </c>
      <c r="G5744" s="46" t="s">
        <v>14149</v>
      </c>
      <c r="H5744" s="534">
        <v>13891.29</v>
      </c>
      <c r="I5744" s="56">
        <v>45184</v>
      </c>
      <c r="J5744" s="199" t="s">
        <v>14150</v>
      </c>
      <c r="K5744" s="46" t="s">
        <v>10804</v>
      </c>
      <c r="L5744" s="99"/>
      <c r="M5744" s="379"/>
      <c r="N5744" s="76"/>
      <c r="O5744" s="46" t="s">
        <v>150</v>
      </c>
      <c r="P5744" s="46" t="s">
        <v>67</v>
      </c>
      <c r="Q5744" s="46" t="s">
        <v>64</v>
      </c>
      <c r="R5744" s="46" t="s">
        <v>272</v>
      </c>
    </row>
    <row r="5745" spans="1:18" ht="69" customHeight="1">
      <c r="A5745" s="168"/>
      <c r="B5745" s="52">
        <f t="shared" si="6"/>
        <v>2884</v>
      </c>
      <c r="C5745" s="191" t="s">
        <v>3667</v>
      </c>
      <c r="D5745" s="533" t="s">
        <v>14154</v>
      </c>
      <c r="E5745" s="191" t="s">
        <v>266</v>
      </c>
      <c r="F5745" s="211" t="s">
        <v>14155</v>
      </c>
      <c r="G5745" s="46" t="s">
        <v>14149</v>
      </c>
      <c r="H5745" s="534">
        <v>5620.2</v>
      </c>
      <c r="I5745" s="56">
        <v>45184</v>
      </c>
      <c r="J5745" s="199" t="s">
        <v>14150</v>
      </c>
      <c r="K5745" s="46" t="s">
        <v>10804</v>
      </c>
      <c r="L5745" s="99"/>
      <c r="M5745" s="379"/>
      <c r="N5745" s="76"/>
      <c r="O5745" s="46" t="s">
        <v>150</v>
      </c>
      <c r="P5745" s="46" t="s">
        <v>67</v>
      </c>
      <c r="Q5745" s="46" t="s">
        <v>64</v>
      </c>
      <c r="R5745" s="46" t="s">
        <v>272</v>
      </c>
    </row>
    <row r="5746" spans="1:18" ht="69" customHeight="1">
      <c r="A5746" s="168"/>
      <c r="B5746" s="48">
        <f t="shared" si="6"/>
        <v>2885</v>
      </c>
      <c r="C5746" s="59" t="s">
        <v>13435</v>
      </c>
      <c r="D5746" s="84" t="s">
        <v>4383</v>
      </c>
      <c r="E5746" s="55" t="s">
        <v>14156</v>
      </c>
      <c r="F5746" s="45" t="s">
        <v>14157</v>
      </c>
      <c r="G5746" s="45" t="s">
        <v>14158</v>
      </c>
      <c r="H5746" s="546">
        <v>40247.730000000003</v>
      </c>
      <c r="I5746" s="47">
        <v>45184</v>
      </c>
      <c r="J5746" s="73" t="s">
        <v>14159</v>
      </c>
      <c r="K5746" s="45"/>
      <c r="L5746" s="99"/>
      <c r="M5746" s="385"/>
      <c r="N5746" s="75"/>
      <c r="O5746" s="45" t="s">
        <v>14160</v>
      </c>
      <c r="P5746" s="45" t="s">
        <v>26</v>
      </c>
      <c r="Q5746" s="45" t="s">
        <v>13</v>
      </c>
      <c r="R5746" s="45" t="s">
        <v>272</v>
      </c>
    </row>
    <row r="5747" spans="1:18" ht="69" customHeight="1">
      <c r="A5747" s="168"/>
      <c r="B5747" s="48">
        <f t="shared" si="6"/>
        <v>2886</v>
      </c>
      <c r="C5747" s="59" t="s">
        <v>9004</v>
      </c>
      <c r="D5747" s="84" t="s">
        <v>2373</v>
      </c>
      <c r="E5747" s="55" t="s">
        <v>14156</v>
      </c>
      <c r="F5747" s="45" t="s">
        <v>14161</v>
      </c>
      <c r="G5747" s="45" t="s">
        <v>14162</v>
      </c>
      <c r="H5747" s="546">
        <v>57845.07</v>
      </c>
      <c r="I5747" s="47">
        <v>45184</v>
      </c>
      <c r="J5747" s="73" t="s">
        <v>14159</v>
      </c>
      <c r="K5747" s="45"/>
      <c r="L5747" s="99"/>
      <c r="M5747" s="385"/>
      <c r="N5747" s="75"/>
      <c r="O5747" s="45" t="s">
        <v>14160</v>
      </c>
      <c r="P5747" s="45" t="s">
        <v>26</v>
      </c>
      <c r="Q5747" s="45" t="s">
        <v>111</v>
      </c>
      <c r="R5747" s="45" t="s">
        <v>272</v>
      </c>
    </row>
    <row r="5748" spans="1:18" ht="69" customHeight="1">
      <c r="A5748" s="168"/>
      <c r="B5748" s="48">
        <f t="shared" si="6"/>
        <v>2887</v>
      </c>
      <c r="C5748" s="59" t="s">
        <v>5658</v>
      </c>
      <c r="D5748" s="84" t="s">
        <v>14163</v>
      </c>
      <c r="E5748" s="55" t="s">
        <v>14156</v>
      </c>
      <c r="F5748" s="45" t="s">
        <v>14164</v>
      </c>
      <c r="G5748" s="45" t="s">
        <v>14162</v>
      </c>
      <c r="H5748" s="546">
        <v>40246.51</v>
      </c>
      <c r="I5748" s="47">
        <v>45184</v>
      </c>
      <c r="J5748" s="73" t="s">
        <v>14159</v>
      </c>
      <c r="K5748" s="45"/>
      <c r="L5748" s="99"/>
      <c r="M5748" s="385"/>
      <c r="N5748" s="75"/>
      <c r="O5748" s="45" t="s">
        <v>14160</v>
      </c>
      <c r="P5748" s="45" t="s">
        <v>26</v>
      </c>
      <c r="Q5748" s="45" t="s">
        <v>66</v>
      </c>
      <c r="R5748" s="45" t="s">
        <v>272</v>
      </c>
    </row>
    <row r="5749" spans="1:18" ht="69" customHeight="1">
      <c r="A5749" s="168"/>
      <c r="B5749" s="48">
        <f t="shared" si="6"/>
        <v>2888</v>
      </c>
      <c r="C5749" s="59" t="s">
        <v>9545</v>
      </c>
      <c r="D5749" s="84" t="s">
        <v>4543</v>
      </c>
      <c r="E5749" s="55" t="s">
        <v>14156</v>
      </c>
      <c r="F5749" s="45" t="s">
        <v>14165</v>
      </c>
      <c r="G5749" s="45" t="s">
        <v>14162</v>
      </c>
      <c r="H5749" s="546">
        <v>66484.350000000006</v>
      </c>
      <c r="I5749" s="47">
        <v>45184</v>
      </c>
      <c r="J5749" s="73" t="s">
        <v>14159</v>
      </c>
      <c r="K5749" s="45"/>
      <c r="L5749" s="99"/>
      <c r="M5749" s="385"/>
      <c r="N5749" s="75"/>
      <c r="O5749" s="45" t="s">
        <v>14160</v>
      </c>
      <c r="P5749" s="45" t="s">
        <v>26</v>
      </c>
      <c r="Q5749" s="45" t="s">
        <v>117</v>
      </c>
      <c r="R5749" s="45" t="s">
        <v>272</v>
      </c>
    </row>
    <row r="5750" spans="1:18" ht="69" customHeight="1">
      <c r="A5750" s="168"/>
      <c r="B5750" s="48">
        <f t="shared" si="6"/>
        <v>2889</v>
      </c>
      <c r="C5750" s="59" t="s">
        <v>11618</v>
      </c>
      <c r="D5750" s="84" t="s">
        <v>5648</v>
      </c>
      <c r="E5750" s="55" t="s">
        <v>14156</v>
      </c>
      <c r="F5750" s="45" t="s">
        <v>14166</v>
      </c>
      <c r="G5750" s="45" t="s">
        <v>14162</v>
      </c>
      <c r="H5750" s="546">
        <v>37866.78</v>
      </c>
      <c r="I5750" s="47">
        <v>45184</v>
      </c>
      <c r="J5750" s="73" t="s">
        <v>14159</v>
      </c>
      <c r="K5750" s="45"/>
      <c r="L5750" s="99"/>
      <c r="M5750" s="385"/>
      <c r="N5750" s="75"/>
      <c r="O5750" s="45" t="s">
        <v>14160</v>
      </c>
      <c r="P5750" s="45" t="s">
        <v>26</v>
      </c>
      <c r="Q5750" s="45" t="s">
        <v>122</v>
      </c>
      <c r="R5750" s="45" t="s">
        <v>272</v>
      </c>
    </row>
    <row r="5751" spans="1:18" ht="69" customHeight="1">
      <c r="A5751" s="168"/>
      <c r="B5751" s="48">
        <f t="shared" si="6"/>
        <v>2890</v>
      </c>
      <c r="C5751" s="59" t="s">
        <v>11933</v>
      </c>
      <c r="D5751" s="84" t="s">
        <v>10635</v>
      </c>
      <c r="E5751" s="55" t="s">
        <v>14156</v>
      </c>
      <c r="F5751" s="45" t="s">
        <v>14167</v>
      </c>
      <c r="G5751" s="45" t="s">
        <v>14162</v>
      </c>
      <c r="H5751" s="546">
        <v>47598.12</v>
      </c>
      <c r="I5751" s="47">
        <v>45184</v>
      </c>
      <c r="J5751" s="73" t="s">
        <v>14159</v>
      </c>
      <c r="K5751" s="45"/>
      <c r="L5751" s="99"/>
      <c r="M5751" s="385"/>
      <c r="N5751" s="75"/>
      <c r="O5751" s="45" t="s">
        <v>14160</v>
      </c>
      <c r="P5751" s="45" t="s">
        <v>26</v>
      </c>
      <c r="Q5751" s="45" t="s">
        <v>123</v>
      </c>
      <c r="R5751" s="45" t="s">
        <v>272</v>
      </c>
    </row>
    <row r="5752" spans="1:18" ht="69" customHeight="1">
      <c r="A5752" s="168"/>
      <c r="B5752" s="48">
        <f t="shared" si="6"/>
        <v>2891</v>
      </c>
      <c r="C5752" s="59" t="s">
        <v>9596</v>
      </c>
      <c r="D5752" s="84" t="s">
        <v>5060</v>
      </c>
      <c r="E5752" s="55" t="s">
        <v>11297</v>
      </c>
      <c r="F5752" s="45" t="s">
        <v>14168</v>
      </c>
      <c r="G5752" s="45" t="s">
        <v>14169</v>
      </c>
      <c r="H5752" s="546">
        <v>44978.77</v>
      </c>
      <c r="I5752" s="47">
        <v>45184</v>
      </c>
      <c r="J5752" s="73" t="s">
        <v>14170</v>
      </c>
      <c r="K5752" s="45"/>
      <c r="L5752" s="99"/>
      <c r="M5752" s="385"/>
      <c r="N5752" s="75"/>
      <c r="O5752" s="45" t="s">
        <v>11301</v>
      </c>
      <c r="P5752" s="45" t="s">
        <v>61</v>
      </c>
      <c r="Q5752" s="45" t="s">
        <v>118</v>
      </c>
      <c r="R5752" s="45" t="s">
        <v>272</v>
      </c>
    </row>
    <row r="5753" spans="1:18" ht="69" customHeight="1">
      <c r="A5753" s="168"/>
      <c r="B5753" s="48">
        <f t="shared" si="6"/>
        <v>2892</v>
      </c>
      <c r="C5753" s="59" t="s">
        <v>10937</v>
      </c>
      <c r="D5753" s="84" t="s">
        <v>8121</v>
      </c>
      <c r="E5753" s="55" t="s">
        <v>11297</v>
      </c>
      <c r="F5753" s="45" t="s">
        <v>14171</v>
      </c>
      <c r="G5753" s="45" t="s">
        <v>14169</v>
      </c>
      <c r="H5753" s="546">
        <v>53057.49</v>
      </c>
      <c r="I5753" s="47">
        <v>45184</v>
      </c>
      <c r="J5753" s="73" t="s">
        <v>14170</v>
      </c>
      <c r="K5753" s="45"/>
      <c r="L5753" s="99"/>
      <c r="M5753" s="385"/>
      <c r="N5753" s="75"/>
      <c r="O5753" s="45" t="s">
        <v>11301</v>
      </c>
      <c r="P5753" s="45" t="s">
        <v>61</v>
      </c>
      <c r="Q5753" s="45" t="s">
        <v>104</v>
      </c>
      <c r="R5753" s="45" t="s">
        <v>272</v>
      </c>
    </row>
    <row r="5754" spans="1:18" ht="69" customHeight="1">
      <c r="A5754" s="168"/>
      <c r="B5754" s="48">
        <f t="shared" si="6"/>
        <v>2893</v>
      </c>
      <c r="C5754" s="59" t="s">
        <v>8057</v>
      </c>
      <c r="D5754" s="84" t="s">
        <v>10640</v>
      </c>
      <c r="E5754" s="55" t="s">
        <v>11297</v>
      </c>
      <c r="F5754" s="45" t="s">
        <v>14172</v>
      </c>
      <c r="G5754" s="45" t="s">
        <v>14169</v>
      </c>
      <c r="H5754" s="546">
        <v>60897.49</v>
      </c>
      <c r="I5754" s="47">
        <v>45184</v>
      </c>
      <c r="J5754" s="73" t="s">
        <v>14170</v>
      </c>
      <c r="K5754" s="45"/>
      <c r="L5754" s="99"/>
      <c r="M5754" s="385"/>
      <c r="N5754" s="75"/>
      <c r="O5754" s="45" t="s">
        <v>11301</v>
      </c>
      <c r="P5754" s="45" t="s">
        <v>61</v>
      </c>
      <c r="Q5754" s="45" t="s">
        <v>105</v>
      </c>
      <c r="R5754" s="45" t="s">
        <v>272</v>
      </c>
    </row>
    <row r="5755" spans="1:18" ht="69" customHeight="1">
      <c r="A5755" s="168"/>
      <c r="B5755" s="48">
        <f t="shared" si="6"/>
        <v>2894</v>
      </c>
      <c r="C5755" s="59" t="s">
        <v>11568</v>
      </c>
      <c r="D5755" s="84" t="s">
        <v>14173</v>
      </c>
      <c r="E5755" s="55" t="s">
        <v>11297</v>
      </c>
      <c r="F5755" s="45" t="s">
        <v>14174</v>
      </c>
      <c r="G5755" s="45" t="s">
        <v>14169</v>
      </c>
      <c r="H5755" s="546">
        <v>51567.74</v>
      </c>
      <c r="I5755" s="47">
        <v>45184</v>
      </c>
      <c r="J5755" s="73" t="s">
        <v>14170</v>
      </c>
      <c r="K5755" s="45"/>
      <c r="L5755" s="99"/>
      <c r="M5755" s="385"/>
      <c r="N5755" s="75"/>
      <c r="O5755" s="45" t="s">
        <v>11301</v>
      </c>
      <c r="P5755" s="45" t="s">
        <v>61</v>
      </c>
      <c r="Q5755" s="45" t="s">
        <v>107</v>
      </c>
      <c r="R5755" s="45" t="s">
        <v>272</v>
      </c>
    </row>
    <row r="5756" spans="1:18" ht="69" customHeight="1">
      <c r="A5756" s="168"/>
      <c r="B5756" s="48">
        <f t="shared" si="6"/>
        <v>2895</v>
      </c>
      <c r="C5756" s="59" t="s">
        <v>9596</v>
      </c>
      <c r="D5756" s="84" t="s">
        <v>3529</v>
      </c>
      <c r="E5756" s="55" t="s">
        <v>11297</v>
      </c>
      <c r="F5756" s="45" t="s">
        <v>14175</v>
      </c>
      <c r="G5756" s="45" t="s">
        <v>14176</v>
      </c>
      <c r="H5756" s="546">
        <v>32187.43</v>
      </c>
      <c r="I5756" s="47">
        <v>45184</v>
      </c>
      <c r="J5756" s="73" t="s">
        <v>14170</v>
      </c>
      <c r="K5756" s="45"/>
      <c r="L5756" s="99"/>
      <c r="M5756" s="385"/>
      <c r="N5756" s="75"/>
      <c r="O5756" s="45" t="s">
        <v>11301</v>
      </c>
      <c r="P5756" s="45" t="s">
        <v>61</v>
      </c>
      <c r="Q5756" s="45" t="s">
        <v>118</v>
      </c>
      <c r="R5756" s="45" t="s">
        <v>272</v>
      </c>
    </row>
    <row r="5757" spans="1:18" ht="69" customHeight="1">
      <c r="A5757" s="168"/>
      <c r="B5757" s="48">
        <f t="shared" si="6"/>
        <v>2896</v>
      </c>
      <c r="C5757" s="59" t="s">
        <v>9596</v>
      </c>
      <c r="D5757" s="84" t="s">
        <v>3116</v>
      </c>
      <c r="E5757" s="55" t="s">
        <v>11297</v>
      </c>
      <c r="F5757" s="45" t="s">
        <v>14177</v>
      </c>
      <c r="G5757" s="45" t="s">
        <v>14178</v>
      </c>
      <c r="H5757" s="546">
        <v>15500</v>
      </c>
      <c r="I5757" s="47">
        <v>45184</v>
      </c>
      <c r="J5757" s="73" t="s">
        <v>14170</v>
      </c>
      <c r="K5757" s="45"/>
      <c r="L5757" s="99"/>
      <c r="M5757" s="385"/>
      <c r="N5757" s="75"/>
      <c r="O5757" s="45" t="s">
        <v>11301</v>
      </c>
      <c r="P5757" s="45" t="s">
        <v>61</v>
      </c>
      <c r="Q5757" s="45" t="s">
        <v>118</v>
      </c>
      <c r="R5757" s="45" t="s">
        <v>272</v>
      </c>
    </row>
    <row r="5758" spans="1:18" ht="69" customHeight="1">
      <c r="A5758" s="168"/>
      <c r="B5758" s="48">
        <f t="shared" si="6"/>
        <v>2897</v>
      </c>
      <c r="C5758" s="59" t="s">
        <v>5558</v>
      </c>
      <c r="D5758" s="84" t="s">
        <v>14179</v>
      </c>
      <c r="E5758" s="44" t="s">
        <v>14180</v>
      </c>
      <c r="F5758" s="45" t="s">
        <v>14181</v>
      </c>
      <c r="G5758" s="45" t="s">
        <v>14182</v>
      </c>
      <c r="H5758" s="546">
        <v>45618.21</v>
      </c>
      <c r="I5758" s="47">
        <v>45184</v>
      </c>
      <c r="J5758" s="73" t="s">
        <v>14183</v>
      </c>
      <c r="K5758" s="45"/>
      <c r="L5758" s="99"/>
      <c r="M5758" s="385"/>
      <c r="N5758" s="75"/>
      <c r="O5758" s="45" t="s">
        <v>156</v>
      </c>
      <c r="P5758" s="45" t="s">
        <v>26</v>
      </c>
      <c r="Q5758" s="45" t="s">
        <v>64</v>
      </c>
      <c r="R5758" s="45" t="s">
        <v>265</v>
      </c>
    </row>
    <row r="5759" spans="1:18" ht="69" customHeight="1">
      <c r="A5759" s="168"/>
      <c r="B5759" s="48">
        <f t="shared" si="6"/>
        <v>2898</v>
      </c>
      <c r="C5759" s="59" t="s">
        <v>9094</v>
      </c>
      <c r="D5759" s="84" t="s">
        <v>14184</v>
      </c>
      <c r="E5759" s="44" t="s">
        <v>14180</v>
      </c>
      <c r="F5759" s="45" t="s">
        <v>14185</v>
      </c>
      <c r="G5759" s="45" t="s">
        <v>14182</v>
      </c>
      <c r="H5759" s="546">
        <v>42923.38</v>
      </c>
      <c r="I5759" s="47">
        <v>45184</v>
      </c>
      <c r="J5759" s="73" t="s">
        <v>14183</v>
      </c>
      <c r="K5759" s="45"/>
      <c r="L5759" s="99"/>
      <c r="M5759" s="385"/>
      <c r="N5759" s="75"/>
      <c r="O5759" s="45" t="s">
        <v>156</v>
      </c>
      <c r="P5759" s="45" t="s">
        <v>26</v>
      </c>
      <c r="Q5759" s="45" t="s">
        <v>112</v>
      </c>
      <c r="R5759" s="45" t="s">
        <v>265</v>
      </c>
    </row>
    <row r="5760" spans="1:18" ht="69" customHeight="1">
      <c r="A5760" s="168"/>
      <c r="B5760" s="48">
        <f t="shared" si="6"/>
        <v>2899</v>
      </c>
      <c r="C5760" s="59" t="s">
        <v>13562</v>
      </c>
      <c r="D5760" s="84" t="s">
        <v>14186</v>
      </c>
      <c r="E5760" s="44" t="s">
        <v>14180</v>
      </c>
      <c r="F5760" s="45" t="s">
        <v>14187</v>
      </c>
      <c r="G5760" s="45" t="s">
        <v>14182</v>
      </c>
      <c r="H5760" s="546">
        <v>46458.41</v>
      </c>
      <c r="I5760" s="47">
        <v>45184</v>
      </c>
      <c r="J5760" s="73" t="s">
        <v>14183</v>
      </c>
      <c r="K5760" s="45"/>
      <c r="L5760" s="99"/>
      <c r="M5760" s="385"/>
      <c r="N5760" s="75"/>
      <c r="O5760" s="45" t="s">
        <v>156</v>
      </c>
      <c r="P5760" s="45" t="s">
        <v>26</v>
      </c>
      <c r="Q5760" s="45" t="s">
        <v>88</v>
      </c>
      <c r="R5760" s="45" t="s">
        <v>265</v>
      </c>
    </row>
    <row r="5761" spans="1:18" ht="69" customHeight="1">
      <c r="A5761" s="168"/>
      <c r="B5761" s="48">
        <f t="shared" ref="B5761:B5792" si="7">B5760+1</f>
        <v>2900</v>
      </c>
      <c r="C5761" s="45" t="s">
        <v>6888</v>
      </c>
      <c r="D5761" s="84" t="s">
        <v>14188</v>
      </c>
      <c r="E5761" s="44" t="s">
        <v>14180</v>
      </c>
      <c r="F5761" s="45" t="s">
        <v>14189</v>
      </c>
      <c r="G5761" s="45" t="s">
        <v>14182</v>
      </c>
      <c r="H5761" s="546">
        <v>19591.650000000001</v>
      </c>
      <c r="I5761" s="47">
        <v>45184</v>
      </c>
      <c r="J5761" s="73" t="s">
        <v>14190</v>
      </c>
      <c r="K5761" s="45"/>
      <c r="L5761" s="99"/>
      <c r="M5761" s="385"/>
      <c r="N5761" s="75"/>
      <c r="O5761" s="45" t="s">
        <v>156</v>
      </c>
      <c r="P5761" s="45" t="s">
        <v>26</v>
      </c>
      <c r="Q5761" s="45" t="s">
        <v>84</v>
      </c>
      <c r="R5761" s="45" t="s">
        <v>265</v>
      </c>
    </row>
    <row r="5762" spans="1:18" ht="69" customHeight="1">
      <c r="A5762" s="168"/>
      <c r="B5762" s="48">
        <f t="shared" si="7"/>
        <v>2901</v>
      </c>
      <c r="C5762" s="59" t="s">
        <v>10634</v>
      </c>
      <c r="D5762" s="84" t="s">
        <v>14191</v>
      </c>
      <c r="E5762" s="44" t="s">
        <v>14180</v>
      </c>
      <c r="F5762" s="45" t="s">
        <v>14192</v>
      </c>
      <c r="G5762" s="45" t="s">
        <v>14182</v>
      </c>
      <c r="H5762" s="546">
        <v>6254.7</v>
      </c>
      <c r="I5762" s="47">
        <v>45184</v>
      </c>
      <c r="J5762" s="73" t="s">
        <v>14190</v>
      </c>
      <c r="K5762" s="45"/>
      <c r="L5762" s="99"/>
      <c r="M5762" s="385"/>
      <c r="N5762" s="75"/>
      <c r="O5762" s="45" t="s">
        <v>156</v>
      </c>
      <c r="P5762" s="45" t="s">
        <v>26</v>
      </c>
      <c r="Q5762" s="45" t="s">
        <v>93</v>
      </c>
      <c r="R5762" s="45" t="s">
        <v>265</v>
      </c>
    </row>
    <row r="5763" spans="1:18" ht="69" customHeight="1">
      <c r="A5763" s="168"/>
      <c r="B5763" s="48">
        <f t="shared" si="7"/>
        <v>2902</v>
      </c>
      <c r="C5763" s="59" t="s">
        <v>10639</v>
      </c>
      <c r="D5763" s="84" t="s">
        <v>14193</v>
      </c>
      <c r="E5763" s="44" t="s">
        <v>14180</v>
      </c>
      <c r="F5763" s="45" t="s">
        <v>14194</v>
      </c>
      <c r="G5763" s="45" t="s">
        <v>14182</v>
      </c>
      <c r="H5763" s="546">
        <v>4261.75</v>
      </c>
      <c r="I5763" s="47">
        <v>45184</v>
      </c>
      <c r="J5763" s="73" t="s">
        <v>14190</v>
      </c>
      <c r="K5763" s="45"/>
      <c r="L5763" s="99"/>
      <c r="M5763" s="385"/>
      <c r="N5763" s="75"/>
      <c r="O5763" s="45" t="s">
        <v>156</v>
      </c>
      <c r="P5763" s="45" t="s">
        <v>26</v>
      </c>
      <c r="Q5763" s="45" t="s">
        <v>95</v>
      </c>
      <c r="R5763" s="45" t="s">
        <v>265</v>
      </c>
    </row>
    <row r="5764" spans="1:18" ht="69" customHeight="1">
      <c r="A5764" s="168"/>
      <c r="B5764" s="48">
        <f t="shared" si="7"/>
        <v>2903</v>
      </c>
      <c r="C5764" s="59" t="s">
        <v>2182</v>
      </c>
      <c r="D5764" s="84" t="s">
        <v>4091</v>
      </c>
      <c r="E5764" s="44" t="s">
        <v>14180</v>
      </c>
      <c r="F5764" s="45" t="s">
        <v>14195</v>
      </c>
      <c r="G5764" s="45" t="s">
        <v>14182</v>
      </c>
      <c r="H5764" s="546">
        <v>21248.63</v>
      </c>
      <c r="I5764" s="47">
        <v>45184</v>
      </c>
      <c r="J5764" s="73" t="s">
        <v>14190</v>
      </c>
      <c r="K5764" s="45"/>
      <c r="L5764" s="99"/>
      <c r="M5764" s="385"/>
      <c r="N5764" s="75"/>
      <c r="O5764" s="45" t="s">
        <v>156</v>
      </c>
      <c r="P5764" s="45" t="s">
        <v>26</v>
      </c>
      <c r="Q5764" s="45" t="s">
        <v>31</v>
      </c>
      <c r="R5764" s="45" t="s">
        <v>272</v>
      </c>
    </row>
    <row r="5765" spans="1:18" ht="69" customHeight="1">
      <c r="A5765" s="168"/>
      <c r="B5765" s="48">
        <f t="shared" si="7"/>
        <v>2904</v>
      </c>
      <c r="C5765" s="44" t="s">
        <v>11055</v>
      </c>
      <c r="D5765" s="84" t="s">
        <v>14196</v>
      </c>
      <c r="E5765" s="44" t="s">
        <v>14180</v>
      </c>
      <c r="F5765" s="45" t="s">
        <v>14197</v>
      </c>
      <c r="G5765" s="45" t="s">
        <v>14182</v>
      </c>
      <c r="H5765" s="546">
        <v>9433.27</v>
      </c>
      <c r="I5765" s="47">
        <v>45184</v>
      </c>
      <c r="J5765" s="73" t="s">
        <v>14190</v>
      </c>
      <c r="K5765" s="45"/>
      <c r="L5765" s="99"/>
      <c r="M5765" s="385"/>
      <c r="N5765" s="75"/>
      <c r="O5765" s="45" t="s">
        <v>156</v>
      </c>
      <c r="P5765" s="45" t="s">
        <v>26</v>
      </c>
      <c r="Q5765" s="45" t="s">
        <v>45</v>
      </c>
      <c r="R5765" s="45" t="s">
        <v>265</v>
      </c>
    </row>
    <row r="5766" spans="1:18" ht="69" customHeight="1">
      <c r="A5766" s="168"/>
      <c r="B5766" s="52">
        <f t="shared" si="7"/>
        <v>2905</v>
      </c>
      <c r="C5766" s="191" t="s">
        <v>657</v>
      </c>
      <c r="D5766" s="533" t="s">
        <v>1873</v>
      </c>
      <c r="E5766" s="46" t="s">
        <v>266</v>
      </c>
      <c r="F5766" s="211" t="s">
        <v>14198</v>
      </c>
      <c r="G5766" s="46" t="s">
        <v>14199</v>
      </c>
      <c r="H5766" s="534">
        <v>11509.96</v>
      </c>
      <c r="I5766" s="56">
        <v>45184</v>
      </c>
      <c r="J5766" s="199" t="s">
        <v>14200</v>
      </c>
      <c r="K5766" s="46" t="s">
        <v>1170</v>
      </c>
      <c r="L5766" s="99"/>
      <c r="M5766" s="379"/>
      <c r="N5766" s="76"/>
      <c r="O5766" s="46" t="s">
        <v>1171</v>
      </c>
      <c r="P5766" s="46" t="s">
        <v>71</v>
      </c>
      <c r="Q5766" s="46" t="s">
        <v>110</v>
      </c>
      <c r="R5766" s="46" t="s">
        <v>272</v>
      </c>
    </row>
    <row r="5767" spans="1:18" ht="69" customHeight="1">
      <c r="A5767" s="168"/>
      <c r="B5767" s="48">
        <f t="shared" si="7"/>
        <v>2906</v>
      </c>
      <c r="C5767" s="59" t="s">
        <v>3667</v>
      </c>
      <c r="D5767" s="84" t="s">
        <v>14201</v>
      </c>
      <c r="E5767" s="55" t="s">
        <v>14202</v>
      </c>
      <c r="F5767" s="45" t="s">
        <v>14203</v>
      </c>
      <c r="G5767" s="45" t="s">
        <v>14204</v>
      </c>
      <c r="H5767" s="546">
        <v>145600</v>
      </c>
      <c r="I5767" s="47">
        <v>45184</v>
      </c>
      <c r="J5767" s="73" t="s">
        <v>14205</v>
      </c>
      <c r="K5767" s="45"/>
      <c r="L5767" s="99"/>
      <c r="M5767" s="385"/>
      <c r="N5767" s="75"/>
      <c r="O5767" s="45" t="s">
        <v>12198</v>
      </c>
      <c r="P5767" s="45" t="s">
        <v>57</v>
      </c>
      <c r="Q5767" s="45" t="s">
        <v>76</v>
      </c>
      <c r="R5767" s="45" t="s">
        <v>272</v>
      </c>
    </row>
    <row r="5768" spans="1:18" ht="69" customHeight="1">
      <c r="A5768" s="168"/>
      <c r="B5768" s="62">
        <f t="shared" si="7"/>
        <v>2907</v>
      </c>
      <c r="C5768" s="59" t="s">
        <v>3667</v>
      </c>
      <c r="D5768" s="84" t="s">
        <v>14206</v>
      </c>
      <c r="E5768" s="55" t="s">
        <v>14202</v>
      </c>
      <c r="F5768" s="45" t="s">
        <v>14207</v>
      </c>
      <c r="G5768" s="45" t="s">
        <v>14208</v>
      </c>
      <c r="H5768" s="546">
        <v>81900</v>
      </c>
      <c r="I5768" s="47">
        <v>45184</v>
      </c>
      <c r="J5768" s="73" t="s">
        <v>14205</v>
      </c>
      <c r="K5768" s="58"/>
      <c r="L5768" s="99"/>
      <c r="M5768" s="70"/>
      <c r="N5768" s="97"/>
      <c r="O5768" s="45" t="s">
        <v>12198</v>
      </c>
      <c r="P5768" s="45" t="s">
        <v>57</v>
      </c>
      <c r="Q5768" s="45" t="s">
        <v>76</v>
      </c>
      <c r="R5768" s="45" t="s">
        <v>272</v>
      </c>
    </row>
    <row r="5769" spans="1:18" ht="69" customHeight="1">
      <c r="A5769" s="168"/>
      <c r="B5769" s="62">
        <f t="shared" si="7"/>
        <v>2908</v>
      </c>
      <c r="C5769" s="59" t="s">
        <v>3667</v>
      </c>
      <c r="D5769" s="84" t="s">
        <v>14209</v>
      </c>
      <c r="E5769" s="55" t="s">
        <v>14202</v>
      </c>
      <c r="F5769" s="45" t="s">
        <v>14210</v>
      </c>
      <c r="G5769" s="45" t="s">
        <v>14211</v>
      </c>
      <c r="H5769" s="546">
        <v>111000</v>
      </c>
      <c r="I5769" s="47">
        <v>45184</v>
      </c>
      <c r="J5769" s="73" t="s">
        <v>14205</v>
      </c>
      <c r="K5769" s="58"/>
      <c r="L5769" s="99"/>
      <c r="M5769" s="70"/>
      <c r="N5769" s="97"/>
      <c r="O5769" s="45" t="s">
        <v>12198</v>
      </c>
      <c r="P5769" s="45" t="s">
        <v>57</v>
      </c>
      <c r="Q5769" s="58" t="s">
        <v>74</v>
      </c>
      <c r="R5769" s="45" t="s">
        <v>272</v>
      </c>
    </row>
    <row r="5770" spans="1:18" ht="69" customHeight="1">
      <c r="A5770" s="168"/>
      <c r="B5770" s="52">
        <f t="shared" si="7"/>
        <v>2909</v>
      </c>
      <c r="C5770" s="191" t="s">
        <v>309</v>
      </c>
      <c r="D5770" s="533" t="s">
        <v>5861</v>
      </c>
      <c r="E5770" s="191" t="s">
        <v>585</v>
      </c>
      <c r="F5770" s="211" t="s">
        <v>14212</v>
      </c>
      <c r="G5770" s="46" t="s">
        <v>12757</v>
      </c>
      <c r="H5770" s="534">
        <v>2050</v>
      </c>
      <c r="I5770" s="56">
        <v>45184</v>
      </c>
      <c r="J5770" s="199" t="s">
        <v>14213</v>
      </c>
      <c r="K5770" s="46" t="s">
        <v>1170</v>
      </c>
      <c r="L5770" s="99"/>
      <c r="M5770" s="379"/>
      <c r="N5770" s="76"/>
      <c r="O5770" s="46" t="s">
        <v>11200</v>
      </c>
      <c r="P5770" s="46" t="s">
        <v>65</v>
      </c>
      <c r="Q5770" s="46" t="s">
        <v>23</v>
      </c>
      <c r="R5770" s="46" t="s">
        <v>272</v>
      </c>
    </row>
    <row r="5771" spans="1:18" ht="69" customHeight="1">
      <c r="A5771" s="168"/>
      <c r="B5771" s="48">
        <f t="shared" si="7"/>
        <v>2910</v>
      </c>
      <c r="C5771" s="59" t="s">
        <v>5558</v>
      </c>
      <c r="D5771" s="84" t="s">
        <v>14214</v>
      </c>
      <c r="E5771" s="44" t="s">
        <v>14180</v>
      </c>
      <c r="F5771" s="45" t="s">
        <v>14215</v>
      </c>
      <c r="G5771" s="45" t="s">
        <v>14182</v>
      </c>
      <c r="H5771" s="546">
        <v>5352.82</v>
      </c>
      <c r="I5771" s="47">
        <v>45184</v>
      </c>
      <c r="J5771" s="73" t="s">
        <v>14216</v>
      </c>
      <c r="K5771" s="58"/>
      <c r="L5771" s="99"/>
      <c r="M5771" s="70"/>
      <c r="N5771" s="97"/>
      <c r="O5771" s="45" t="s">
        <v>156</v>
      </c>
      <c r="P5771" s="45" t="s">
        <v>26</v>
      </c>
      <c r="Q5771" s="45" t="s">
        <v>64</v>
      </c>
      <c r="R5771" s="45" t="s">
        <v>265</v>
      </c>
    </row>
    <row r="5772" spans="1:18" ht="69" customHeight="1">
      <c r="A5772" s="168"/>
      <c r="B5772" s="48">
        <f t="shared" si="7"/>
        <v>2911</v>
      </c>
      <c r="C5772" s="59" t="s">
        <v>13562</v>
      </c>
      <c r="D5772" s="84" t="s">
        <v>4408</v>
      </c>
      <c r="E5772" s="44" t="s">
        <v>14180</v>
      </c>
      <c r="F5772" s="45" t="s">
        <v>14217</v>
      </c>
      <c r="G5772" s="45" t="s">
        <v>14182</v>
      </c>
      <c r="H5772" s="546">
        <v>5352.82</v>
      </c>
      <c r="I5772" s="47">
        <v>45184</v>
      </c>
      <c r="J5772" s="73" t="s">
        <v>14216</v>
      </c>
      <c r="K5772" s="58"/>
      <c r="L5772" s="99"/>
      <c r="M5772" s="70"/>
      <c r="N5772" s="97"/>
      <c r="O5772" s="45" t="s">
        <v>156</v>
      </c>
      <c r="P5772" s="45" t="s">
        <v>26</v>
      </c>
      <c r="Q5772" s="45" t="s">
        <v>88</v>
      </c>
      <c r="R5772" s="45" t="s">
        <v>265</v>
      </c>
    </row>
    <row r="5773" spans="1:18" ht="69" customHeight="1">
      <c r="A5773" s="168"/>
      <c r="B5773" s="48">
        <f t="shared" si="7"/>
        <v>2912</v>
      </c>
      <c r="C5773" s="45" t="s">
        <v>6888</v>
      </c>
      <c r="D5773" s="84" t="s">
        <v>14218</v>
      </c>
      <c r="E5773" s="44" t="s">
        <v>14180</v>
      </c>
      <c r="F5773" s="45" t="s">
        <v>14219</v>
      </c>
      <c r="G5773" s="45" t="s">
        <v>14182</v>
      </c>
      <c r="H5773" s="546">
        <v>5352.82</v>
      </c>
      <c r="I5773" s="47">
        <v>45184</v>
      </c>
      <c r="J5773" s="73" t="s">
        <v>14216</v>
      </c>
      <c r="K5773" s="58"/>
      <c r="L5773" s="99"/>
      <c r="M5773" s="70"/>
      <c r="N5773" s="97"/>
      <c r="O5773" s="45" t="s">
        <v>156</v>
      </c>
      <c r="P5773" s="45" t="s">
        <v>26</v>
      </c>
      <c r="Q5773" s="45" t="s">
        <v>84</v>
      </c>
      <c r="R5773" s="45" t="s">
        <v>265</v>
      </c>
    </row>
    <row r="5774" spans="1:18" ht="69" customHeight="1">
      <c r="A5774" s="168"/>
      <c r="B5774" s="48">
        <f t="shared" si="7"/>
        <v>2913</v>
      </c>
      <c r="C5774" s="59" t="s">
        <v>10634</v>
      </c>
      <c r="D5774" s="84" t="s">
        <v>14220</v>
      </c>
      <c r="E5774" s="44" t="s">
        <v>14180</v>
      </c>
      <c r="F5774" s="45" t="s">
        <v>14221</v>
      </c>
      <c r="G5774" s="45" t="s">
        <v>14182</v>
      </c>
      <c r="H5774" s="546">
        <v>5352.82</v>
      </c>
      <c r="I5774" s="47">
        <v>45184</v>
      </c>
      <c r="J5774" s="73" t="s">
        <v>14216</v>
      </c>
      <c r="K5774" s="58"/>
      <c r="L5774" s="99"/>
      <c r="M5774" s="70"/>
      <c r="N5774" s="97"/>
      <c r="O5774" s="45" t="s">
        <v>156</v>
      </c>
      <c r="P5774" s="45" t="s">
        <v>26</v>
      </c>
      <c r="Q5774" s="45" t="s">
        <v>93</v>
      </c>
      <c r="R5774" s="45" t="s">
        <v>265</v>
      </c>
    </row>
    <row r="5775" spans="1:18" ht="69" customHeight="1">
      <c r="A5775" s="168"/>
      <c r="B5775" s="48">
        <f t="shared" si="7"/>
        <v>2914</v>
      </c>
      <c r="C5775" s="59" t="s">
        <v>10639</v>
      </c>
      <c r="D5775" s="84" t="s">
        <v>14222</v>
      </c>
      <c r="E5775" s="44" t="s">
        <v>14180</v>
      </c>
      <c r="F5775" s="45" t="s">
        <v>14223</v>
      </c>
      <c r="G5775" s="45" t="s">
        <v>14182</v>
      </c>
      <c r="H5775" s="546">
        <v>5352.82</v>
      </c>
      <c r="I5775" s="47">
        <v>45184</v>
      </c>
      <c r="J5775" s="73" t="s">
        <v>14216</v>
      </c>
      <c r="K5775" s="58"/>
      <c r="L5775" s="99"/>
      <c r="M5775" s="70"/>
      <c r="N5775" s="97"/>
      <c r="O5775" s="45" t="s">
        <v>156</v>
      </c>
      <c r="P5775" s="45" t="s">
        <v>26</v>
      </c>
      <c r="Q5775" s="45" t="s">
        <v>95</v>
      </c>
      <c r="R5775" s="45" t="s">
        <v>265</v>
      </c>
    </row>
    <row r="5776" spans="1:18" ht="69" customHeight="1">
      <c r="A5776" s="168"/>
      <c r="B5776" s="48">
        <f t="shared" si="7"/>
        <v>2915</v>
      </c>
      <c r="C5776" s="59" t="s">
        <v>9094</v>
      </c>
      <c r="D5776" s="84" t="s">
        <v>6624</v>
      </c>
      <c r="E5776" s="44" t="s">
        <v>14180</v>
      </c>
      <c r="F5776" s="45" t="s">
        <v>14224</v>
      </c>
      <c r="G5776" s="45" t="s">
        <v>14182</v>
      </c>
      <c r="H5776" s="546">
        <v>5352.82</v>
      </c>
      <c r="I5776" s="47">
        <v>45184</v>
      </c>
      <c r="J5776" s="73" t="s">
        <v>14216</v>
      </c>
      <c r="K5776" s="58"/>
      <c r="L5776" s="99"/>
      <c r="M5776" s="70"/>
      <c r="N5776" s="97"/>
      <c r="O5776" s="45" t="s">
        <v>156</v>
      </c>
      <c r="P5776" s="45" t="s">
        <v>26</v>
      </c>
      <c r="Q5776" s="45" t="s">
        <v>112</v>
      </c>
      <c r="R5776" s="45" t="s">
        <v>265</v>
      </c>
    </row>
    <row r="5777" spans="1:18" ht="69" customHeight="1">
      <c r="A5777" s="168"/>
      <c r="B5777" s="48">
        <f t="shared" si="7"/>
        <v>2916</v>
      </c>
      <c r="C5777" s="59" t="s">
        <v>2182</v>
      </c>
      <c r="D5777" s="84" t="s">
        <v>6740</v>
      </c>
      <c r="E5777" s="44" t="s">
        <v>14180</v>
      </c>
      <c r="F5777" s="45" t="s">
        <v>14225</v>
      </c>
      <c r="G5777" s="45" t="s">
        <v>14182</v>
      </c>
      <c r="H5777" s="546">
        <v>5352.82</v>
      </c>
      <c r="I5777" s="47">
        <v>45184</v>
      </c>
      <c r="J5777" s="73" t="s">
        <v>14216</v>
      </c>
      <c r="K5777" s="58"/>
      <c r="L5777" s="99"/>
      <c r="M5777" s="70"/>
      <c r="N5777" s="97"/>
      <c r="O5777" s="45" t="s">
        <v>156</v>
      </c>
      <c r="P5777" s="45" t="s">
        <v>26</v>
      </c>
      <c r="Q5777" s="45" t="s">
        <v>31</v>
      </c>
      <c r="R5777" s="45" t="s">
        <v>272</v>
      </c>
    </row>
    <row r="5778" spans="1:18" ht="69" customHeight="1">
      <c r="A5778" s="168"/>
      <c r="B5778" s="48">
        <f t="shared" si="7"/>
        <v>2917</v>
      </c>
      <c r="C5778" s="44" t="s">
        <v>10612</v>
      </c>
      <c r="D5778" s="84" t="s">
        <v>14226</v>
      </c>
      <c r="E5778" s="44" t="s">
        <v>14180</v>
      </c>
      <c r="F5778" s="45" t="s">
        <v>14227</v>
      </c>
      <c r="G5778" s="45" t="s">
        <v>14182</v>
      </c>
      <c r="H5778" s="546">
        <v>5352.82</v>
      </c>
      <c r="I5778" s="47">
        <v>45184</v>
      </c>
      <c r="J5778" s="73" t="s">
        <v>14216</v>
      </c>
      <c r="K5778" s="58"/>
      <c r="L5778" s="99"/>
      <c r="M5778" s="70"/>
      <c r="N5778" s="97"/>
      <c r="O5778" s="45" t="s">
        <v>156</v>
      </c>
      <c r="P5778" s="45" t="s">
        <v>26</v>
      </c>
      <c r="Q5778" s="45" t="s">
        <v>86</v>
      </c>
      <c r="R5778" s="45" t="s">
        <v>265</v>
      </c>
    </row>
    <row r="5779" spans="1:18" ht="69" customHeight="1">
      <c r="A5779" s="168"/>
      <c r="B5779" s="48">
        <f t="shared" si="7"/>
        <v>2918</v>
      </c>
      <c r="C5779" s="44" t="s">
        <v>11055</v>
      </c>
      <c r="D5779" s="84" t="s">
        <v>13508</v>
      </c>
      <c r="E5779" s="44" t="s">
        <v>14180</v>
      </c>
      <c r="F5779" s="45" t="s">
        <v>14228</v>
      </c>
      <c r="G5779" s="45" t="s">
        <v>14182</v>
      </c>
      <c r="H5779" s="546">
        <v>5352.82</v>
      </c>
      <c r="I5779" s="47">
        <v>45184</v>
      </c>
      <c r="J5779" s="73" t="s">
        <v>14216</v>
      </c>
      <c r="K5779" s="58"/>
      <c r="L5779" s="99"/>
      <c r="M5779" s="70"/>
      <c r="N5779" s="97"/>
      <c r="O5779" s="45" t="s">
        <v>156</v>
      </c>
      <c r="P5779" s="45" t="s">
        <v>26</v>
      </c>
      <c r="Q5779" s="45" t="s">
        <v>45</v>
      </c>
      <c r="R5779" s="45" t="s">
        <v>265</v>
      </c>
    </row>
    <row r="5780" spans="1:18" ht="69" customHeight="1">
      <c r="A5780" s="168"/>
      <c r="B5780" s="48">
        <f t="shared" si="7"/>
        <v>2919</v>
      </c>
      <c r="C5780" s="44" t="s">
        <v>5832</v>
      </c>
      <c r="D5780" s="84" t="s">
        <v>14229</v>
      </c>
      <c r="E5780" s="44" t="s">
        <v>14180</v>
      </c>
      <c r="F5780" s="45" t="s">
        <v>14230</v>
      </c>
      <c r="G5780" s="45" t="s">
        <v>14182</v>
      </c>
      <c r="H5780" s="546">
        <v>5352.82</v>
      </c>
      <c r="I5780" s="47">
        <v>45184</v>
      </c>
      <c r="J5780" s="73" t="s">
        <v>14216</v>
      </c>
      <c r="K5780" s="45"/>
      <c r="L5780" s="99"/>
      <c r="M5780" s="70"/>
      <c r="N5780" s="97"/>
      <c r="O5780" s="45" t="s">
        <v>156</v>
      </c>
      <c r="P5780" s="45" t="s">
        <v>26</v>
      </c>
      <c r="Q5780" s="45" t="s">
        <v>68</v>
      </c>
      <c r="R5780" s="45" t="s">
        <v>265</v>
      </c>
    </row>
    <row r="5781" spans="1:18" ht="69" customHeight="1">
      <c r="A5781" s="168"/>
      <c r="B5781" s="48">
        <f t="shared" si="7"/>
        <v>2920</v>
      </c>
      <c r="C5781" s="44" t="s">
        <v>3906</v>
      </c>
      <c r="D5781" s="84" t="s">
        <v>14231</v>
      </c>
      <c r="E5781" s="44" t="s">
        <v>14180</v>
      </c>
      <c r="F5781" s="45" t="s">
        <v>14232</v>
      </c>
      <c r="G5781" s="45" t="s">
        <v>14182</v>
      </c>
      <c r="H5781" s="546">
        <v>5352.82</v>
      </c>
      <c r="I5781" s="47">
        <v>45184</v>
      </c>
      <c r="J5781" s="73" t="s">
        <v>14216</v>
      </c>
      <c r="K5781" s="58"/>
      <c r="L5781" s="99"/>
      <c r="M5781" s="70"/>
      <c r="N5781" s="97"/>
      <c r="O5781" s="45" t="s">
        <v>156</v>
      </c>
      <c r="P5781" s="45" t="s">
        <v>26</v>
      </c>
      <c r="Q5781" s="45" t="s">
        <v>70</v>
      </c>
      <c r="R5781" s="45" t="s">
        <v>265</v>
      </c>
    </row>
    <row r="5782" spans="1:18" ht="69" customHeight="1">
      <c r="A5782" s="168"/>
      <c r="B5782" s="259">
        <f t="shared" si="7"/>
        <v>2921</v>
      </c>
      <c r="C5782" s="207" t="s">
        <v>309</v>
      </c>
      <c r="D5782" s="303" t="s">
        <v>6595</v>
      </c>
      <c r="E5782" s="160" t="s">
        <v>266</v>
      </c>
      <c r="F5782" s="208" t="s">
        <v>14233</v>
      </c>
      <c r="G5782" s="160" t="s">
        <v>14234</v>
      </c>
      <c r="H5782" s="300">
        <v>22750</v>
      </c>
      <c r="I5782" s="209">
        <v>45184</v>
      </c>
      <c r="J5782" s="316" t="s">
        <v>14235</v>
      </c>
      <c r="K5782" s="160" t="s">
        <v>67</v>
      </c>
      <c r="M5782" s="379"/>
      <c r="N5782" s="76"/>
      <c r="O5782" s="160" t="s">
        <v>11361</v>
      </c>
      <c r="P5782" s="160" t="s">
        <v>67</v>
      </c>
      <c r="Q5782" s="160" t="s">
        <v>96</v>
      </c>
      <c r="R5782" s="160" t="s">
        <v>272</v>
      </c>
    </row>
    <row r="5783" spans="1:18" ht="69" customHeight="1">
      <c r="A5783" s="168"/>
      <c r="B5783" s="62">
        <f t="shared" si="7"/>
        <v>2922</v>
      </c>
      <c r="C5783" s="69" t="s">
        <v>458</v>
      </c>
      <c r="D5783" s="174" t="s">
        <v>14236</v>
      </c>
      <c r="E5783" s="608" t="s">
        <v>10602</v>
      </c>
      <c r="F5783" s="45" t="s">
        <v>14237</v>
      </c>
      <c r="G5783" s="45" t="s">
        <v>14238</v>
      </c>
      <c r="H5783" s="546">
        <v>221715.22</v>
      </c>
      <c r="I5783" s="47">
        <v>45184</v>
      </c>
      <c r="J5783" s="65" t="s">
        <v>14239</v>
      </c>
      <c r="K5783" s="58"/>
      <c r="L5783" s="99"/>
      <c r="M5783" s="70"/>
      <c r="N5783" s="97"/>
      <c r="O5783" s="58" t="s">
        <v>10607</v>
      </c>
      <c r="P5783" s="58" t="s">
        <v>22</v>
      </c>
      <c r="Q5783" s="58" t="s">
        <v>117</v>
      </c>
      <c r="R5783" s="58" t="s">
        <v>272</v>
      </c>
    </row>
    <row r="5784" spans="1:18" ht="69" customHeight="1">
      <c r="A5784" s="168"/>
      <c r="B5784" s="62">
        <f t="shared" si="7"/>
        <v>2923</v>
      </c>
      <c r="C5784" s="59" t="s">
        <v>3667</v>
      </c>
      <c r="D5784" s="174" t="s">
        <v>14240</v>
      </c>
      <c r="E5784" s="608" t="s">
        <v>10602</v>
      </c>
      <c r="F5784" s="45" t="s">
        <v>14241</v>
      </c>
      <c r="G5784" s="45" t="s">
        <v>14242</v>
      </c>
      <c r="H5784" s="546">
        <v>343602.13</v>
      </c>
      <c r="I5784" s="47">
        <v>45184</v>
      </c>
      <c r="J5784" s="65" t="s">
        <v>14239</v>
      </c>
      <c r="K5784" s="58"/>
      <c r="L5784" s="99"/>
      <c r="M5784" s="70"/>
      <c r="N5784" s="97"/>
      <c r="O5784" s="58" t="s">
        <v>10607</v>
      </c>
      <c r="P5784" s="58" t="s">
        <v>22</v>
      </c>
      <c r="Q5784" s="58" t="s">
        <v>66</v>
      </c>
      <c r="R5784" s="58" t="s">
        <v>272</v>
      </c>
    </row>
    <row r="5785" spans="1:18" ht="69" customHeight="1">
      <c r="A5785" s="168"/>
      <c r="B5785" s="62">
        <f t="shared" si="7"/>
        <v>2924</v>
      </c>
      <c r="C5785" s="59" t="s">
        <v>3667</v>
      </c>
      <c r="D5785" s="174" t="s">
        <v>14243</v>
      </c>
      <c r="E5785" s="608" t="s">
        <v>10602</v>
      </c>
      <c r="F5785" s="45" t="s">
        <v>14244</v>
      </c>
      <c r="G5785" s="45" t="s">
        <v>14242</v>
      </c>
      <c r="H5785" s="546">
        <v>647045.17000000004</v>
      </c>
      <c r="I5785" s="47">
        <v>45184</v>
      </c>
      <c r="J5785" s="65" t="s">
        <v>14239</v>
      </c>
      <c r="K5785" s="58"/>
      <c r="L5785" s="99"/>
      <c r="M5785" s="70"/>
      <c r="N5785" s="97"/>
      <c r="O5785" s="58" t="s">
        <v>10607</v>
      </c>
      <c r="P5785" s="58" t="s">
        <v>22</v>
      </c>
      <c r="Q5785" s="58" t="s">
        <v>86</v>
      </c>
      <c r="R5785" s="58" t="s">
        <v>272</v>
      </c>
    </row>
    <row r="5786" spans="1:18" ht="69" customHeight="1">
      <c r="A5786" s="168"/>
      <c r="B5786" s="62">
        <f t="shared" si="7"/>
        <v>2925</v>
      </c>
      <c r="C5786" s="59" t="s">
        <v>3667</v>
      </c>
      <c r="D5786" s="174" t="s">
        <v>14245</v>
      </c>
      <c r="E5786" s="608" t="s">
        <v>10602</v>
      </c>
      <c r="F5786" s="45" t="s">
        <v>14246</v>
      </c>
      <c r="G5786" s="45" t="s">
        <v>14242</v>
      </c>
      <c r="H5786" s="546">
        <v>971512.55</v>
      </c>
      <c r="I5786" s="47">
        <v>45184</v>
      </c>
      <c r="J5786" s="65" t="s">
        <v>14239</v>
      </c>
      <c r="K5786" s="58"/>
      <c r="L5786" s="99"/>
      <c r="M5786" s="70"/>
      <c r="N5786" s="97"/>
      <c r="O5786" s="58" t="s">
        <v>10607</v>
      </c>
      <c r="P5786" s="58" t="s">
        <v>22</v>
      </c>
      <c r="Q5786" s="58" t="s">
        <v>68</v>
      </c>
      <c r="R5786" s="58" t="s">
        <v>272</v>
      </c>
    </row>
    <row r="5787" spans="1:18" ht="69" customHeight="1">
      <c r="A5787" s="168"/>
      <c r="B5787" s="62">
        <f t="shared" si="7"/>
        <v>2926</v>
      </c>
      <c r="C5787" s="59" t="s">
        <v>3667</v>
      </c>
      <c r="D5787" s="174" t="s">
        <v>14247</v>
      </c>
      <c r="E5787" s="608" t="s">
        <v>10602</v>
      </c>
      <c r="F5787" s="45" t="s">
        <v>14248</v>
      </c>
      <c r="G5787" s="45" t="s">
        <v>14242</v>
      </c>
      <c r="H5787" s="546">
        <v>425323.74</v>
      </c>
      <c r="I5787" s="47">
        <v>45184</v>
      </c>
      <c r="J5787" s="65" t="s">
        <v>14239</v>
      </c>
      <c r="K5787" s="58"/>
      <c r="L5787" s="99"/>
      <c r="M5787" s="70"/>
      <c r="N5787" s="97"/>
      <c r="O5787" s="58" t="s">
        <v>10607</v>
      </c>
      <c r="P5787" s="58" t="s">
        <v>22</v>
      </c>
      <c r="Q5787" s="58" t="s">
        <v>70</v>
      </c>
      <c r="R5787" s="58" t="s">
        <v>272</v>
      </c>
    </row>
    <row r="5788" spans="1:18" ht="69" customHeight="1">
      <c r="A5788" s="168"/>
      <c r="B5788" s="62">
        <f t="shared" si="7"/>
        <v>2927</v>
      </c>
      <c r="C5788" s="69" t="s">
        <v>657</v>
      </c>
      <c r="D5788" s="174" t="s">
        <v>2375</v>
      </c>
      <c r="E5788" s="608" t="s">
        <v>10602</v>
      </c>
      <c r="F5788" s="45" t="s">
        <v>14249</v>
      </c>
      <c r="G5788" s="45" t="s">
        <v>14242</v>
      </c>
      <c r="H5788" s="546">
        <v>306819.64</v>
      </c>
      <c r="I5788" s="47">
        <v>45184</v>
      </c>
      <c r="J5788" s="65" t="s">
        <v>14239</v>
      </c>
      <c r="K5788" s="58"/>
      <c r="L5788" s="99"/>
      <c r="M5788" s="70"/>
      <c r="N5788" s="97"/>
      <c r="O5788" s="58" t="s">
        <v>10607</v>
      </c>
      <c r="P5788" s="58" t="s">
        <v>22</v>
      </c>
      <c r="Q5788" s="58" t="s">
        <v>111</v>
      </c>
      <c r="R5788" s="58" t="s">
        <v>272</v>
      </c>
    </row>
    <row r="5789" spans="1:18" ht="69" customHeight="1">
      <c r="A5789" s="168"/>
      <c r="B5789" s="62">
        <f t="shared" si="7"/>
        <v>2928</v>
      </c>
      <c r="C5789" s="178" t="s">
        <v>11047</v>
      </c>
      <c r="D5789" s="174" t="s">
        <v>6598</v>
      </c>
      <c r="E5789" s="58" t="s">
        <v>4173</v>
      </c>
      <c r="F5789" s="45" t="s">
        <v>14250</v>
      </c>
      <c r="G5789" s="45" t="s">
        <v>14251</v>
      </c>
      <c r="H5789" s="546">
        <v>117600</v>
      </c>
      <c r="I5789" s="47">
        <v>45184</v>
      </c>
      <c r="J5789" s="65" t="s">
        <v>14252</v>
      </c>
      <c r="K5789" s="58"/>
      <c r="L5789" s="99"/>
      <c r="M5789" s="70"/>
      <c r="N5789" s="97"/>
      <c r="O5789" s="58" t="s">
        <v>441</v>
      </c>
      <c r="P5789" s="58" t="s">
        <v>22</v>
      </c>
      <c r="Q5789" s="58" t="s">
        <v>33</v>
      </c>
      <c r="R5789" s="58" t="s">
        <v>265</v>
      </c>
    </row>
    <row r="5790" spans="1:18" ht="69" customHeight="1">
      <c r="A5790" s="168"/>
      <c r="B5790" s="62">
        <f t="shared" si="7"/>
        <v>2929</v>
      </c>
      <c r="C5790" s="178" t="s">
        <v>1593</v>
      </c>
      <c r="D5790" s="174" t="s">
        <v>4525</v>
      </c>
      <c r="E5790" s="58" t="s">
        <v>755</v>
      </c>
      <c r="F5790" s="45" t="s">
        <v>14253</v>
      </c>
      <c r="G5790" s="45" t="s">
        <v>4521</v>
      </c>
      <c r="H5790" s="546">
        <v>1091530.55</v>
      </c>
      <c r="I5790" s="47">
        <v>45184</v>
      </c>
      <c r="J5790" s="65" t="s">
        <v>14254</v>
      </c>
      <c r="K5790" s="58" t="s">
        <v>13487</v>
      </c>
      <c r="L5790" s="99"/>
      <c r="M5790" s="70"/>
      <c r="N5790" s="97"/>
      <c r="O5790" s="58" t="s">
        <v>1566</v>
      </c>
      <c r="P5790" s="58" t="s">
        <v>28</v>
      </c>
      <c r="Q5790" s="58" t="s">
        <v>27</v>
      </c>
      <c r="R5790" s="58" t="s">
        <v>272</v>
      </c>
    </row>
    <row r="5791" spans="1:18" ht="69" customHeight="1">
      <c r="A5791" s="168"/>
      <c r="B5791" s="62">
        <f t="shared" si="7"/>
        <v>2930</v>
      </c>
      <c r="C5791" s="178" t="s">
        <v>14255</v>
      </c>
      <c r="D5791" s="174" t="s">
        <v>14256</v>
      </c>
      <c r="E5791" s="58" t="s">
        <v>14180</v>
      </c>
      <c r="F5791" s="45" t="s">
        <v>14257</v>
      </c>
      <c r="G5791" s="45" t="s">
        <v>14258</v>
      </c>
      <c r="H5791" s="546">
        <v>128924.31</v>
      </c>
      <c r="I5791" s="47">
        <v>45184</v>
      </c>
      <c r="J5791" s="65" t="s">
        <v>14259</v>
      </c>
      <c r="K5791" s="58"/>
      <c r="L5791" s="99"/>
      <c r="M5791" s="70"/>
      <c r="N5791" s="97"/>
      <c r="O5791" s="58" t="s">
        <v>156</v>
      </c>
      <c r="P5791" s="58" t="s">
        <v>26</v>
      </c>
      <c r="Q5791" s="58" t="s">
        <v>107</v>
      </c>
      <c r="R5791" s="58" t="s">
        <v>265</v>
      </c>
    </row>
    <row r="5792" spans="1:18" ht="69" customHeight="1">
      <c r="A5792" s="168"/>
      <c r="B5792" s="62">
        <f t="shared" si="7"/>
        <v>2931</v>
      </c>
      <c r="C5792" s="178" t="s">
        <v>3906</v>
      </c>
      <c r="D5792" s="174" t="s">
        <v>14260</v>
      </c>
      <c r="E5792" s="58" t="s">
        <v>14180</v>
      </c>
      <c r="F5792" s="45" t="s">
        <v>14261</v>
      </c>
      <c r="G5792" s="45" t="s">
        <v>14258</v>
      </c>
      <c r="H5792" s="546">
        <v>112717.24</v>
      </c>
      <c r="I5792" s="47">
        <v>45184</v>
      </c>
      <c r="J5792" s="65" t="s">
        <v>14259</v>
      </c>
      <c r="K5792" s="58"/>
      <c r="L5792" s="99"/>
      <c r="M5792" s="70"/>
      <c r="N5792" s="97"/>
      <c r="O5792" s="58" t="s">
        <v>156</v>
      </c>
      <c r="P5792" s="58" t="s">
        <v>26</v>
      </c>
      <c r="Q5792" s="58" t="s">
        <v>70</v>
      </c>
      <c r="R5792" s="58" t="s">
        <v>265</v>
      </c>
    </row>
    <row r="5793" spans="1:18" ht="69" customHeight="1">
      <c r="A5793" s="168"/>
      <c r="B5793" s="62">
        <f t="shared" ref="B5793:B5824" si="8">B5792+1</f>
        <v>2932</v>
      </c>
      <c r="C5793" s="178" t="s">
        <v>5558</v>
      </c>
      <c r="D5793" s="174" t="s">
        <v>14262</v>
      </c>
      <c r="E5793" s="58" t="s">
        <v>14180</v>
      </c>
      <c r="F5793" s="45" t="s">
        <v>14263</v>
      </c>
      <c r="G5793" s="45" t="s">
        <v>14258</v>
      </c>
      <c r="H5793" s="546">
        <v>169184.35</v>
      </c>
      <c r="I5793" s="47">
        <v>45184</v>
      </c>
      <c r="J5793" s="65" t="s">
        <v>14259</v>
      </c>
      <c r="K5793" s="58"/>
      <c r="L5793" s="99"/>
      <c r="M5793" s="70"/>
      <c r="N5793" s="97"/>
      <c r="O5793" s="58" t="s">
        <v>156</v>
      </c>
      <c r="P5793" s="58" t="s">
        <v>26</v>
      </c>
      <c r="Q5793" s="58" t="s">
        <v>64</v>
      </c>
      <c r="R5793" s="58" t="s">
        <v>265</v>
      </c>
    </row>
    <row r="5794" spans="1:18" ht="69" customHeight="1">
      <c r="A5794" s="168"/>
      <c r="B5794" s="62">
        <f t="shared" si="8"/>
        <v>2933</v>
      </c>
      <c r="C5794" s="178" t="s">
        <v>14264</v>
      </c>
      <c r="D5794" s="174" t="s">
        <v>6456</v>
      </c>
      <c r="E5794" s="58" t="s">
        <v>14180</v>
      </c>
      <c r="F5794" s="45" t="s">
        <v>14265</v>
      </c>
      <c r="G5794" s="45" t="s">
        <v>14258</v>
      </c>
      <c r="H5794" s="546">
        <v>123218.84</v>
      </c>
      <c r="I5794" s="47">
        <v>45184</v>
      </c>
      <c r="J5794" s="65" t="s">
        <v>14259</v>
      </c>
      <c r="K5794" s="58"/>
      <c r="L5794" s="99"/>
      <c r="M5794" s="70"/>
      <c r="N5794" s="97"/>
      <c r="O5794" s="58" t="s">
        <v>156</v>
      </c>
      <c r="P5794" s="58" t="s">
        <v>26</v>
      </c>
      <c r="Q5794" s="58" t="s">
        <v>88</v>
      </c>
      <c r="R5794" s="58" t="s">
        <v>265</v>
      </c>
    </row>
    <row r="5795" spans="1:18" ht="69" customHeight="1">
      <c r="A5795" s="168"/>
      <c r="B5795" s="62">
        <f t="shared" si="8"/>
        <v>2934</v>
      </c>
      <c r="C5795" s="178" t="s">
        <v>6888</v>
      </c>
      <c r="D5795" s="174" t="s">
        <v>14266</v>
      </c>
      <c r="E5795" s="58" t="s">
        <v>14180</v>
      </c>
      <c r="F5795" s="45" t="s">
        <v>14267</v>
      </c>
      <c r="G5795" s="45" t="s">
        <v>14258</v>
      </c>
      <c r="H5795" s="546">
        <v>152535.54999999999</v>
      </c>
      <c r="I5795" s="47">
        <v>45184</v>
      </c>
      <c r="J5795" s="65" t="s">
        <v>14259</v>
      </c>
      <c r="K5795" s="58"/>
      <c r="L5795" s="99"/>
      <c r="M5795" s="70"/>
      <c r="N5795" s="97"/>
      <c r="O5795" s="58" t="s">
        <v>156</v>
      </c>
      <c r="P5795" s="58" t="s">
        <v>26</v>
      </c>
      <c r="Q5795" s="58" t="s">
        <v>84</v>
      </c>
      <c r="R5795" s="58" t="s">
        <v>265</v>
      </c>
    </row>
    <row r="5796" spans="1:18" ht="69" customHeight="1">
      <c r="A5796" s="168"/>
      <c r="B5796" s="62">
        <f t="shared" si="8"/>
        <v>2935</v>
      </c>
      <c r="C5796" s="178" t="s">
        <v>10634</v>
      </c>
      <c r="D5796" s="174" t="s">
        <v>14268</v>
      </c>
      <c r="E5796" s="58" t="s">
        <v>14180</v>
      </c>
      <c r="F5796" s="45" t="s">
        <v>14269</v>
      </c>
      <c r="G5796" s="45" t="s">
        <v>14258</v>
      </c>
      <c r="H5796" s="546">
        <v>134793.35999999999</v>
      </c>
      <c r="I5796" s="47">
        <v>45184</v>
      </c>
      <c r="J5796" s="65" t="s">
        <v>14259</v>
      </c>
      <c r="K5796" s="58"/>
      <c r="L5796" s="99"/>
      <c r="M5796" s="70"/>
      <c r="N5796" s="97"/>
      <c r="O5796" s="58" t="s">
        <v>156</v>
      </c>
      <c r="P5796" s="58" t="s">
        <v>26</v>
      </c>
      <c r="Q5796" s="58" t="s">
        <v>93</v>
      </c>
      <c r="R5796" s="58" t="s">
        <v>265</v>
      </c>
    </row>
    <row r="5797" spans="1:18" ht="69" customHeight="1">
      <c r="A5797" s="168"/>
      <c r="B5797" s="62">
        <f t="shared" si="8"/>
        <v>2936</v>
      </c>
      <c r="C5797" s="178" t="s">
        <v>9094</v>
      </c>
      <c r="D5797" s="174" t="s">
        <v>6628</v>
      </c>
      <c r="E5797" s="58" t="s">
        <v>14180</v>
      </c>
      <c r="F5797" s="45" t="s">
        <v>14270</v>
      </c>
      <c r="G5797" s="45" t="s">
        <v>14258</v>
      </c>
      <c r="H5797" s="546">
        <v>98692.58</v>
      </c>
      <c r="I5797" s="47">
        <v>45184</v>
      </c>
      <c r="J5797" s="65" t="s">
        <v>14259</v>
      </c>
      <c r="K5797" s="58"/>
      <c r="L5797" s="99"/>
      <c r="M5797" s="70"/>
      <c r="N5797" s="97"/>
      <c r="O5797" s="58" t="s">
        <v>156</v>
      </c>
      <c r="P5797" s="58" t="s">
        <v>26</v>
      </c>
      <c r="Q5797" s="58" t="s">
        <v>112</v>
      </c>
      <c r="R5797" s="58" t="s">
        <v>265</v>
      </c>
    </row>
    <row r="5798" spans="1:18" ht="69" customHeight="1">
      <c r="A5798" s="168"/>
      <c r="B5798" s="62">
        <f t="shared" si="8"/>
        <v>2937</v>
      </c>
      <c r="C5798" s="178" t="s">
        <v>14271</v>
      </c>
      <c r="D5798" s="174" t="s">
        <v>13620</v>
      </c>
      <c r="E5798" s="58" t="s">
        <v>14180</v>
      </c>
      <c r="F5798" s="45" t="s">
        <v>14272</v>
      </c>
      <c r="G5798" s="45" t="s">
        <v>14258</v>
      </c>
      <c r="H5798" s="546">
        <v>83851.929999999993</v>
      </c>
      <c r="I5798" s="47">
        <v>45184</v>
      </c>
      <c r="J5798" s="65" t="s">
        <v>14259</v>
      </c>
      <c r="K5798" s="58"/>
      <c r="L5798" s="99"/>
      <c r="M5798" s="70"/>
      <c r="N5798" s="97"/>
      <c r="O5798" s="58" t="s">
        <v>156</v>
      </c>
      <c r="P5798" s="58" t="s">
        <v>26</v>
      </c>
      <c r="Q5798" s="58" t="s">
        <v>31</v>
      </c>
      <c r="R5798" s="58" t="s">
        <v>265</v>
      </c>
    </row>
    <row r="5799" spans="1:18" ht="69" customHeight="1">
      <c r="A5799" s="168"/>
      <c r="B5799" s="62">
        <f t="shared" si="8"/>
        <v>2938</v>
      </c>
      <c r="C5799" s="178" t="s">
        <v>10612</v>
      </c>
      <c r="D5799" s="174" t="s">
        <v>14273</v>
      </c>
      <c r="E5799" s="58" t="s">
        <v>14180</v>
      </c>
      <c r="F5799" s="45" t="s">
        <v>14274</v>
      </c>
      <c r="G5799" s="45" t="s">
        <v>14258</v>
      </c>
      <c r="H5799" s="546">
        <v>127476.84</v>
      </c>
      <c r="I5799" s="47">
        <v>45184</v>
      </c>
      <c r="J5799" s="65" t="s">
        <v>14259</v>
      </c>
      <c r="K5799" s="58"/>
      <c r="L5799" s="99"/>
      <c r="M5799" s="70"/>
      <c r="N5799" s="97"/>
      <c r="O5799" s="58" t="s">
        <v>156</v>
      </c>
      <c r="P5799" s="58" t="s">
        <v>26</v>
      </c>
      <c r="Q5799" s="58" t="s">
        <v>86</v>
      </c>
      <c r="R5799" s="58" t="s">
        <v>265</v>
      </c>
    </row>
    <row r="5800" spans="1:18" ht="69" customHeight="1">
      <c r="A5800" s="168"/>
      <c r="B5800" s="62">
        <f t="shared" si="8"/>
        <v>2939</v>
      </c>
      <c r="C5800" s="178" t="s">
        <v>11055</v>
      </c>
      <c r="D5800" s="174" t="s">
        <v>14275</v>
      </c>
      <c r="E5800" s="58" t="s">
        <v>14180</v>
      </c>
      <c r="F5800" s="45" t="s">
        <v>14276</v>
      </c>
      <c r="G5800" s="45" t="s">
        <v>14258</v>
      </c>
      <c r="H5800" s="546">
        <v>43493.71</v>
      </c>
      <c r="I5800" s="47">
        <v>45184</v>
      </c>
      <c r="J5800" s="65" t="s">
        <v>14259</v>
      </c>
      <c r="K5800" s="58"/>
      <c r="L5800" s="99"/>
      <c r="M5800" s="70"/>
      <c r="N5800" s="97"/>
      <c r="O5800" s="58" t="s">
        <v>156</v>
      </c>
      <c r="P5800" s="58" t="s">
        <v>26</v>
      </c>
      <c r="Q5800" s="58" t="s">
        <v>45</v>
      </c>
      <c r="R5800" s="58" t="s">
        <v>265</v>
      </c>
    </row>
    <row r="5801" spans="1:18" ht="69" customHeight="1">
      <c r="A5801" s="168"/>
      <c r="B5801" s="62">
        <f t="shared" si="8"/>
        <v>2940</v>
      </c>
      <c r="C5801" s="178" t="s">
        <v>5832</v>
      </c>
      <c r="D5801" s="174" t="s">
        <v>14277</v>
      </c>
      <c r="E5801" s="58" t="s">
        <v>14180</v>
      </c>
      <c r="F5801" s="45" t="s">
        <v>14278</v>
      </c>
      <c r="G5801" s="45" t="s">
        <v>14258</v>
      </c>
      <c r="H5801" s="546">
        <v>81516.009999999995</v>
      </c>
      <c r="I5801" s="47">
        <v>45184</v>
      </c>
      <c r="J5801" s="65" t="s">
        <v>14259</v>
      </c>
      <c r="K5801" s="58"/>
      <c r="L5801" s="99"/>
      <c r="M5801" s="70"/>
      <c r="N5801" s="97"/>
      <c r="O5801" s="58" t="s">
        <v>156</v>
      </c>
      <c r="P5801" s="58" t="s">
        <v>26</v>
      </c>
      <c r="Q5801" s="58" t="s">
        <v>68</v>
      </c>
      <c r="R5801" s="58" t="s">
        <v>265</v>
      </c>
    </row>
    <row r="5802" spans="1:18" ht="69" customHeight="1">
      <c r="A5802" s="168"/>
      <c r="B5802" s="62">
        <f t="shared" si="8"/>
        <v>2941</v>
      </c>
      <c r="C5802" s="178" t="s">
        <v>10639</v>
      </c>
      <c r="D5802" s="174" t="s">
        <v>14279</v>
      </c>
      <c r="E5802" s="58" t="s">
        <v>14180</v>
      </c>
      <c r="F5802" s="45" t="s">
        <v>14280</v>
      </c>
      <c r="G5802" s="45" t="s">
        <v>14258</v>
      </c>
      <c r="H5802" s="546">
        <v>184715.26</v>
      </c>
      <c r="I5802" s="47">
        <v>45184</v>
      </c>
      <c r="J5802" s="65" t="s">
        <v>14259</v>
      </c>
      <c r="K5802" s="58"/>
      <c r="L5802" s="99"/>
      <c r="M5802" s="70"/>
      <c r="N5802" s="97"/>
      <c r="O5802" s="58" t="s">
        <v>156</v>
      </c>
      <c r="P5802" s="58" t="s">
        <v>26</v>
      </c>
      <c r="Q5802" s="58" t="s">
        <v>95</v>
      </c>
      <c r="R5802" s="58" t="s">
        <v>265</v>
      </c>
    </row>
    <row r="5803" spans="1:18" ht="69" customHeight="1">
      <c r="A5803" s="168"/>
      <c r="B5803" s="52">
        <f t="shared" si="8"/>
        <v>2942</v>
      </c>
      <c r="C5803" s="191" t="s">
        <v>13644</v>
      </c>
      <c r="D5803" s="251" t="s">
        <v>5515</v>
      </c>
      <c r="E5803" s="46" t="s">
        <v>4173</v>
      </c>
      <c r="F5803" s="46" t="s">
        <v>14281</v>
      </c>
      <c r="G5803" s="46" t="s">
        <v>14282</v>
      </c>
      <c r="H5803" s="534">
        <v>32000</v>
      </c>
      <c r="I5803" s="56">
        <v>45184</v>
      </c>
      <c r="J5803" s="199" t="s">
        <v>14283</v>
      </c>
      <c r="K5803" s="46" t="s">
        <v>1170</v>
      </c>
      <c r="L5803" s="99"/>
      <c r="M5803" s="379"/>
      <c r="N5803" s="76"/>
      <c r="O5803" s="46" t="s">
        <v>441</v>
      </c>
      <c r="P5803" s="46" t="s">
        <v>65</v>
      </c>
      <c r="Q5803" s="46" t="s">
        <v>33</v>
      </c>
      <c r="R5803" s="46" t="s">
        <v>272</v>
      </c>
    </row>
    <row r="5804" spans="1:18" ht="69" customHeight="1">
      <c r="A5804" s="168"/>
      <c r="B5804" s="259">
        <f t="shared" si="8"/>
        <v>2943</v>
      </c>
      <c r="C5804" s="207" t="s">
        <v>309</v>
      </c>
      <c r="D5804" s="303" t="s">
        <v>4385</v>
      </c>
      <c r="E5804" s="160" t="s">
        <v>266</v>
      </c>
      <c r="F5804" s="160" t="s">
        <v>14284</v>
      </c>
      <c r="G5804" s="160" t="s">
        <v>11014</v>
      </c>
      <c r="H5804" s="300">
        <v>3927.04</v>
      </c>
      <c r="I5804" s="209">
        <v>45184</v>
      </c>
      <c r="J5804" s="316" t="s">
        <v>14285</v>
      </c>
      <c r="K5804" s="160" t="s">
        <v>4128</v>
      </c>
      <c r="M5804" s="379"/>
      <c r="N5804" s="76"/>
      <c r="O5804" s="160" t="s">
        <v>12529</v>
      </c>
      <c r="P5804" s="160" t="s">
        <v>67</v>
      </c>
      <c r="Q5804" s="160" t="s">
        <v>29</v>
      </c>
      <c r="R5804" s="160" t="s">
        <v>272</v>
      </c>
    </row>
    <row r="5805" spans="1:18" ht="69" customHeight="1">
      <c r="A5805" s="168"/>
      <c r="B5805" s="62">
        <f t="shared" si="8"/>
        <v>2944</v>
      </c>
      <c r="C5805" s="59" t="s">
        <v>309</v>
      </c>
      <c r="D5805" s="174" t="s">
        <v>13563</v>
      </c>
      <c r="E5805" s="58" t="s">
        <v>5842</v>
      </c>
      <c r="F5805" s="45" t="s">
        <v>14286</v>
      </c>
      <c r="G5805" s="45" t="s">
        <v>9088</v>
      </c>
      <c r="H5805" s="546">
        <v>17490.189999999999</v>
      </c>
      <c r="I5805" s="47">
        <v>45174</v>
      </c>
      <c r="J5805" s="65" t="s">
        <v>14287</v>
      </c>
      <c r="K5805" s="58"/>
      <c r="L5805" s="99"/>
      <c r="M5805" s="70"/>
      <c r="N5805" s="97"/>
      <c r="O5805" s="58" t="s">
        <v>141</v>
      </c>
      <c r="P5805" s="58" t="s">
        <v>17</v>
      </c>
      <c r="Q5805" s="58" t="s">
        <v>13</v>
      </c>
      <c r="R5805" s="58" t="s">
        <v>265</v>
      </c>
    </row>
    <row r="5806" spans="1:18" ht="69" customHeight="1">
      <c r="A5806" s="168"/>
      <c r="B5806" s="52">
        <f t="shared" si="8"/>
        <v>2945</v>
      </c>
      <c r="C5806" s="191" t="s">
        <v>11050</v>
      </c>
      <c r="D5806" s="251" t="s">
        <v>6601</v>
      </c>
      <c r="E5806" s="46" t="s">
        <v>266</v>
      </c>
      <c r="F5806" s="46" t="s">
        <v>14288</v>
      </c>
      <c r="G5806" s="46" t="s">
        <v>14289</v>
      </c>
      <c r="H5806" s="534">
        <v>6000</v>
      </c>
      <c r="I5806" s="56">
        <v>45184</v>
      </c>
      <c r="J5806" s="199" t="s">
        <v>14290</v>
      </c>
      <c r="K5806" s="46" t="s">
        <v>1170</v>
      </c>
      <c r="L5806" s="99"/>
      <c r="M5806" s="379"/>
      <c r="N5806" s="76"/>
      <c r="O5806" s="46" t="s">
        <v>1238</v>
      </c>
      <c r="P5806" s="46" t="s">
        <v>65</v>
      </c>
      <c r="Q5806" s="46" t="s">
        <v>35</v>
      </c>
      <c r="R5806" s="46" t="s">
        <v>272</v>
      </c>
    </row>
    <row r="5807" spans="1:18" ht="69" customHeight="1">
      <c r="A5807" s="168"/>
      <c r="B5807" s="52">
        <f t="shared" si="8"/>
        <v>2946</v>
      </c>
      <c r="C5807" s="191" t="s">
        <v>11052</v>
      </c>
      <c r="D5807" s="251" t="s">
        <v>6605</v>
      </c>
      <c r="E5807" s="46" t="s">
        <v>266</v>
      </c>
      <c r="F5807" s="46" t="s">
        <v>14291</v>
      </c>
      <c r="G5807" s="46" t="s">
        <v>14289</v>
      </c>
      <c r="H5807" s="534">
        <v>3800</v>
      </c>
      <c r="I5807" s="56">
        <v>45184</v>
      </c>
      <c r="J5807" s="199" t="s">
        <v>14290</v>
      </c>
      <c r="K5807" s="46" t="s">
        <v>1170</v>
      </c>
      <c r="L5807" s="99"/>
      <c r="M5807" s="379"/>
      <c r="N5807" s="76"/>
      <c r="O5807" s="46" t="s">
        <v>1238</v>
      </c>
      <c r="P5807" s="46" t="s">
        <v>65</v>
      </c>
      <c r="Q5807" s="46" t="s">
        <v>37</v>
      </c>
      <c r="R5807" s="46" t="s">
        <v>272</v>
      </c>
    </row>
    <row r="5808" spans="1:18" ht="69" customHeight="1">
      <c r="A5808" s="168"/>
      <c r="B5808" s="259">
        <f t="shared" si="8"/>
        <v>2947</v>
      </c>
      <c r="C5808" s="207" t="s">
        <v>309</v>
      </c>
      <c r="D5808" s="303" t="s">
        <v>13628</v>
      </c>
      <c r="E5808" s="160" t="s">
        <v>12983</v>
      </c>
      <c r="F5808" s="160" t="s">
        <v>14292</v>
      </c>
      <c r="G5808" s="160" t="s">
        <v>11014</v>
      </c>
      <c r="H5808" s="300">
        <v>61326.3</v>
      </c>
      <c r="I5808" s="209">
        <v>45184</v>
      </c>
      <c r="J5808" s="316" t="s">
        <v>14293</v>
      </c>
      <c r="K5808" s="160" t="s">
        <v>4128</v>
      </c>
      <c r="M5808" s="379"/>
      <c r="N5808" s="76"/>
      <c r="O5808" s="160" t="s">
        <v>141</v>
      </c>
      <c r="P5808" s="160" t="s">
        <v>67</v>
      </c>
      <c r="Q5808" s="160" t="s">
        <v>113</v>
      </c>
      <c r="R5808" s="160" t="s">
        <v>272</v>
      </c>
    </row>
    <row r="5809" spans="1:18" ht="69" customHeight="1">
      <c r="A5809" s="168"/>
      <c r="B5809" s="259">
        <f t="shared" si="8"/>
        <v>2948</v>
      </c>
      <c r="C5809" s="207" t="s">
        <v>309</v>
      </c>
      <c r="D5809" s="303" t="s">
        <v>6428</v>
      </c>
      <c r="E5809" s="160" t="s">
        <v>12983</v>
      </c>
      <c r="F5809" s="160" t="s">
        <v>14294</v>
      </c>
      <c r="G5809" s="160" t="s">
        <v>11014</v>
      </c>
      <c r="H5809" s="300">
        <v>42999</v>
      </c>
      <c r="I5809" s="209">
        <v>45184</v>
      </c>
      <c r="J5809" s="316" t="s">
        <v>14293</v>
      </c>
      <c r="K5809" s="160" t="s">
        <v>4128</v>
      </c>
      <c r="M5809" s="379"/>
      <c r="N5809" s="76"/>
      <c r="O5809" s="160" t="s">
        <v>141</v>
      </c>
      <c r="P5809" s="160" t="s">
        <v>67</v>
      </c>
      <c r="Q5809" s="160" t="s">
        <v>113</v>
      </c>
      <c r="R5809" s="160" t="s">
        <v>272</v>
      </c>
    </row>
    <row r="5810" spans="1:18" ht="69" customHeight="1">
      <c r="A5810" s="168"/>
      <c r="B5810" s="62">
        <f t="shared" si="8"/>
        <v>2949</v>
      </c>
      <c r="C5810" s="178" t="s">
        <v>657</v>
      </c>
      <c r="D5810" s="174" t="s">
        <v>2852</v>
      </c>
      <c r="E5810" s="58" t="s">
        <v>11417</v>
      </c>
      <c r="F5810" s="45" t="s">
        <v>14295</v>
      </c>
      <c r="G5810" s="45" t="s">
        <v>14296</v>
      </c>
      <c r="H5810" s="546">
        <v>44424.78</v>
      </c>
      <c r="I5810" s="47">
        <v>45184</v>
      </c>
      <c r="J5810" s="65" t="s">
        <v>14297</v>
      </c>
      <c r="K5810" s="58"/>
      <c r="L5810" s="99"/>
      <c r="M5810" s="70"/>
      <c r="N5810" s="97"/>
      <c r="O5810" s="58" t="s">
        <v>206</v>
      </c>
      <c r="P5810" s="58" t="s">
        <v>22</v>
      </c>
      <c r="Q5810" s="58" t="s">
        <v>110</v>
      </c>
      <c r="R5810" s="58" t="s">
        <v>265</v>
      </c>
    </row>
    <row r="5811" spans="1:18" ht="69" customHeight="1">
      <c r="A5811" s="168"/>
      <c r="B5811" s="62">
        <f t="shared" si="8"/>
        <v>2950</v>
      </c>
      <c r="C5811" s="59" t="s">
        <v>3667</v>
      </c>
      <c r="D5811" s="174" t="s">
        <v>14298</v>
      </c>
      <c r="E5811" s="58" t="s">
        <v>11417</v>
      </c>
      <c r="F5811" s="45" t="s">
        <v>14299</v>
      </c>
      <c r="G5811" s="45" t="s">
        <v>14296</v>
      </c>
      <c r="H5811" s="546">
        <v>46470.46</v>
      </c>
      <c r="I5811" s="47">
        <v>45184</v>
      </c>
      <c r="J5811" s="65" t="s">
        <v>14297</v>
      </c>
      <c r="K5811" s="58"/>
      <c r="L5811" s="99"/>
      <c r="M5811" s="70"/>
      <c r="N5811" s="97"/>
      <c r="O5811" s="58" t="s">
        <v>4116</v>
      </c>
      <c r="P5811" s="58" t="s">
        <v>22</v>
      </c>
      <c r="Q5811" s="58" t="s">
        <v>76</v>
      </c>
      <c r="R5811" s="58" t="s">
        <v>265</v>
      </c>
    </row>
    <row r="5812" spans="1:18" ht="69" customHeight="1">
      <c r="A5812" s="168"/>
      <c r="B5812" s="62">
        <f t="shared" si="8"/>
        <v>2951</v>
      </c>
      <c r="C5812" s="59" t="s">
        <v>3667</v>
      </c>
      <c r="D5812" s="174" t="s">
        <v>14300</v>
      </c>
      <c r="E5812" s="58" t="s">
        <v>11417</v>
      </c>
      <c r="F5812" s="45" t="s">
        <v>14301</v>
      </c>
      <c r="G5812" s="45" t="s">
        <v>14296</v>
      </c>
      <c r="H5812" s="546">
        <v>49540.22</v>
      </c>
      <c r="I5812" s="47">
        <v>45184</v>
      </c>
      <c r="J5812" s="65" t="s">
        <v>14297</v>
      </c>
      <c r="K5812" s="58"/>
      <c r="L5812" s="99"/>
      <c r="M5812" s="70"/>
      <c r="N5812" s="97"/>
      <c r="O5812" s="58" t="s">
        <v>4116</v>
      </c>
      <c r="P5812" s="58" t="s">
        <v>22</v>
      </c>
      <c r="Q5812" s="58" t="s">
        <v>78</v>
      </c>
      <c r="R5812" s="58" t="s">
        <v>265</v>
      </c>
    </row>
    <row r="5813" spans="1:18" ht="69" customHeight="1">
      <c r="A5813" s="168"/>
      <c r="B5813" s="62">
        <f t="shared" si="8"/>
        <v>2952</v>
      </c>
      <c r="C5813" s="59" t="s">
        <v>3667</v>
      </c>
      <c r="D5813" s="174" t="s">
        <v>14302</v>
      </c>
      <c r="E5813" s="58" t="s">
        <v>11417</v>
      </c>
      <c r="F5813" s="45" t="s">
        <v>14303</v>
      </c>
      <c r="G5813" s="45" t="s">
        <v>14296</v>
      </c>
      <c r="H5813" s="546">
        <v>44424.78</v>
      </c>
      <c r="I5813" s="47">
        <v>45184</v>
      </c>
      <c r="J5813" s="65" t="s">
        <v>14297</v>
      </c>
      <c r="K5813" s="58"/>
      <c r="L5813" s="99"/>
      <c r="M5813" s="70"/>
      <c r="N5813" s="97"/>
      <c r="O5813" s="58" t="s">
        <v>4116</v>
      </c>
      <c r="P5813" s="58" t="s">
        <v>22</v>
      </c>
      <c r="Q5813" s="58" t="s">
        <v>72</v>
      </c>
      <c r="R5813" s="58" t="s">
        <v>265</v>
      </c>
    </row>
    <row r="5814" spans="1:18" ht="69" customHeight="1">
      <c r="A5814" s="168"/>
      <c r="B5814" s="62">
        <f t="shared" si="8"/>
        <v>2953</v>
      </c>
      <c r="C5814" s="59" t="s">
        <v>458</v>
      </c>
      <c r="D5814" s="174" t="s">
        <v>6630</v>
      </c>
      <c r="E5814" s="58" t="s">
        <v>11417</v>
      </c>
      <c r="F5814" s="45" t="s">
        <v>14304</v>
      </c>
      <c r="G5814" s="45" t="s">
        <v>14296</v>
      </c>
      <c r="H5814" s="546">
        <v>44424.78</v>
      </c>
      <c r="I5814" s="47">
        <v>45184</v>
      </c>
      <c r="J5814" s="65" t="s">
        <v>14297</v>
      </c>
      <c r="K5814" s="58"/>
      <c r="L5814" s="99"/>
      <c r="M5814" s="70"/>
      <c r="N5814" s="97"/>
      <c r="O5814" s="58" t="s">
        <v>4116</v>
      </c>
      <c r="P5814" s="58" t="s">
        <v>22</v>
      </c>
      <c r="Q5814" s="58" t="s">
        <v>100</v>
      </c>
      <c r="R5814" s="58" t="s">
        <v>265</v>
      </c>
    </row>
    <row r="5815" spans="1:18" ht="69" customHeight="1">
      <c r="A5815" s="168"/>
      <c r="B5815" s="62">
        <f t="shared" si="8"/>
        <v>2954</v>
      </c>
      <c r="C5815" s="44" t="s">
        <v>1853</v>
      </c>
      <c r="D5815" s="174" t="s">
        <v>13703</v>
      </c>
      <c r="E5815" s="58" t="s">
        <v>4173</v>
      </c>
      <c r="F5815" s="45" t="s">
        <v>14305</v>
      </c>
      <c r="G5815" s="45" t="s">
        <v>14306</v>
      </c>
      <c r="H5815" s="546">
        <v>51659.75</v>
      </c>
      <c r="I5815" s="47">
        <v>45184</v>
      </c>
      <c r="J5815" s="65" t="s">
        <v>14307</v>
      </c>
      <c r="K5815" s="58"/>
      <c r="L5815" s="99"/>
      <c r="M5815" s="70"/>
      <c r="N5815" s="97"/>
      <c r="O5815" s="58" t="s">
        <v>441</v>
      </c>
      <c r="P5815" s="58" t="s">
        <v>22</v>
      </c>
      <c r="Q5815" s="58" t="s">
        <v>29</v>
      </c>
      <c r="R5815" s="58" t="s">
        <v>265</v>
      </c>
    </row>
    <row r="5816" spans="1:18" ht="69" customHeight="1">
      <c r="A5816" s="168"/>
      <c r="B5816" s="62">
        <f t="shared" si="8"/>
        <v>2955</v>
      </c>
      <c r="C5816" s="178" t="s">
        <v>2182</v>
      </c>
      <c r="D5816" s="174" t="s">
        <v>10775</v>
      </c>
      <c r="E5816" s="58" t="s">
        <v>4173</v>
      </c>
      <c r="F5816" s="45" t="s">
        <v>14308</v>
      </c>
      <c r="G5816" s="45" t="s">
        <v>14306</v>
      </c>
      <c r="H5816" s="546">
        <v>69918.759999999995</v>
      </c>
      <c r="I5816" s="47">
        <v>45184</v>
      </c>
      <c r="J5816" s="65" t="s">
        <v>14309</v>
      </c>
      <c r="K5816" s="58"/>
      <c r="L5816" s="99"/>
      <c r="M5816" s="70"/>
      <c r="N5816" s="97"/>
      <c r="O5816" s="58" t="s">
        <v>441</v>
      </c>
      <c r="P5816" s="58" t="s">
        <v>22</v>
      </c>
      <c r="Q5816" s="58" t="s">
        <v>31</v>
      </c>
      <c r="R5816" s="58" t="s">
        <v>265</v>
      </c>
    </row>
    <row r="5817" spans="1:18" ht="69" customHeight="1">
      <c r="A5817" s="168"/>
      <c r="B5817" s="62">
        <f t="shared" si="8"/>
        <v>2956</v>
      </c>
      <c r="C5817" s="59" t="s">
        <v>1853</v>
      </c>
      <c r="D5817" s="174" t="s">
        <v>4709</v>
      </c>
      <c r="E5817" s="58" t="s">
        <v>3721</v>
      </c>
      <c r="F5817" s="45" t="s">
        <v>14310</v>
      </c>
      <c r="G5817" s="45" t="s">
        <v>14311</v>
      </c>
      <c r="H5817" s="546">
        <v>25000</v>
      </c>
      <c r="I5817" s="47">
        <v>45184</v>
      </c>
      <c r="J5817" s="65" t="s">
        <v>14312</v>
      </c>
      <c r="K5817" s="58"/>
      <c r="L5817" s="99"/>
      <c r="M5817" s="70"/>
      <c r="N5817" s="97"/>
      <c r="O5817" s="58" t="s">
        <v>441</v>
      </c>
      <c r="P5817" s="58" t="s">
        <v>22</v>
      </c>
      <c r="Q5817" s="58" t="s">
        <v>29</v>
      </c>
      <c r="R5817" s="58" t="s">
        <v>265</v>
      </c>
    </row>
    <row r="5818" spans="1:18" ht="69" customHeight="1">
      <c r="A5818" s="168"/>
      <c r="B5818" s="62">
        <f t="shared" si="8"/>
        <v>2957</v>
      </c>
      <c r="C5818" s="178" t="s">
        <v>13644</v>
      </c>
      <c r="D5818" s="174" t="s">
        <v>4818</v>
      </c>
      <c r="E5818" s="58" t="s">
        <v>3721</v>
      </c>
      <c r="F5818" s="45" t="s">
        <v>14313</v>
      </c>
      <c r="G5818" s="45" t="s">
        <v>14311</v>
      </c>
      <c r="H5818" s="546">
        <v>25000</v>
      </c>
      <c r="I5818" s="47">
        <v>45184</v>
      </c>
      <c r="J5818" s="65" t="s">
        <v>14312</v>
      </c>
      <c r="K5818" s="58"/>
      <c r="L5818" s="99"/>
      <c r="M5818" s="70"/>
      <c r="N5818" s="97"/>
      <c r="O5818" s="58" t="s">
        <v>441</v>
      </c>
      <c r="P5818" s="58" t="s">
        <v>22</v>
      </c>
      <c r="Q5818" s="58" t="s">
        <v>33</v>
      </c>
      <c r="R5818" s="58" t="s">
        <v>265</v>
      </c>
    </row>
    <row r="5819" spans="1:18" ht="69" customHeight="1">
      <c r="A5819" s="168"/>
      <c r="B5819" s="62">
        <f t="shared" si="8"/>
        <v>2958</v>
      </c>
      <c r="C5819" s="59" t="s">
        <v>309</v>
      </c>
      <c r="D5819" s="174" t="s">
        <v>14314</v>
      </c>
      <c r="E5819" s="58" t="s">
        <v>350</v>
      </c>
      <c r="F5819" s="45" t="s">
        <v>14315</v>
      </c>
      <c r="G5819" s="45" t="s">
        <v>744</v>
      </c>
      <c r="H5819" s="546">
        <v>118860</v>
      </c>
      <c r="I5819" s="47">
        <v>44833</v>
      </c>
      <c r="J5819" s="609" t="s">
        <v>14316</v>
      </c>
      <c r="K5819" s="58" t="s">
        <v>14317</v>
      </c>
      <c r="L5819" s="99"/>
      <c r="M5819" s="70"/>
      <c r="N5819" s="97"/>
      <c r="O5819" s="58" t="s">
        <v>141</v>
      </c>
      <c r="P5819" s="58" t="s">
        <v>19</v>
      </c>
      <c r="Q5819" s="58" t="s">
        <v>41</v>
      </c>
      <c r="R5819" s="58" t="s">
        <v>265</v>
      </c>
    </row>
    <row r="5820" spans="1:18" ht="69" customHeight="1">
      <c r="A5820" s="168"/>
      <c r="B5820" s="62">
        <f t="shared" si="8"/>
        <v>2959</v>
      </c>
      <c r="C5820" s="59" t="s">
        <v>309</v>
      </c>
      <c r="D5820" s="174" t="s">
        <v>14318</v>
      </c>
      <c r="E5820" s="58" t="s">
        <v>350</v>
      </c>
      <c r="F5820" s="45" t="s">
        <v>14319</v>
      </c>
      <c r="G5820" s="45" t="s">
        <v>744</v>
      </c>
      <c r="H5820" s="546">
        <v>118860</v>
      </c>
      <c r="I5820" s="47">
        <v>44833</v>
      </c>
      <c r="J5820" s="609" t="s">
        <v>14320</v>
      </c>
      <c r="K5820" s="58" t="s">
        <v>14321</v>
      </c>
      <c r="L5820" s="99"/>
      <c r="M5820" s="70"/>
      <c r="N5820" s="97"/>
      <c r="O5820" s="58" t="s">
        <v>141</v>
      </c>
      <c r="P5820" s="58" t="s">
        <v>19</v>
      </c>
      <c r="Q5820" s="58" t="s">
        <v>41</v>
      </c>
      <c r="R5820" s="58" t="s">
        <v>265</v>
      </c>
    </row>
    <row r="5821" spans="1:18" s="98" customFormat="1" ht="69" customHeight="1">
      <c r="A5821" s="168"/>
      <c r="B5821" s="52">
        <f t="shared" si="8"/>
        <v>2960</v>
      </c>
      <c r="C5821" s="191" t="s">
        <v>11050</v>
      </c>
      <c r="D5821" s="251" t="s">
        <v>13671</v>
      </c>
      <c r="E5821" s="251" t="s">
        <v>266</v>
      </c>
      <c r="F5821" s="46" t="s">
        <v>14322</v>
      </c>
      <c r="G5821" s="46" t="s">
        <v>14323</v>
      </c>
      <c r="H5821" s="534">
        <v>11200</v>
      </c>
      <c r="I5821" s="56">
        <v>45184</v>
      </c>
      <c r="J5821" s="199" t="s">
        <v>14324</v>
      </c>
      <c r="K5821" s="46" t="s">
        <v>65</v>
      </c>
      <c r="L5821" s="99"/>
      <c r="M5821" s="379"/>
      <c r="N5821" s="76"/>
      <c r="O5821" s="46" t="s">
        <v>14325</v>
      </c>
      <c r="P5821" s="46" t="s">
        <v>65</v>
      </c>
      <c r="Q5821" s="46" t="s">
        <v>35</v>
      </c>
      <c r="R5821" s="46" t="s">
        <v>272</v>
      </c>
    </row>
    <row r="5822" spans="1:18" s="98" customFormat="1" ht="69" customHeight="1">
      <c r="A5822" s="168"/>
      <c r="B5822" s="52">
        <f t="shared" si="8"/>
        <v>2961</v>
      </c>
      <c r="C5822" s="191" t="s">
        <v>11052</v>
      </c>
      <c r="D5822" s="251" t="s">
        <v>4704</v>
      </c>
      <c r="E5822" s="251" t="s">
        <v>266</v>
      </c>
      <c r="F5822" s="46" t="s">
        <v>14326</v>
      </c>
      <c r="G5822" s="46" t="s">
        <v>14323</v>
      </c>
      <c r="H5822" s="534">
        <v>11200</v>
      </c>
      <c r="I5822" s="56">
        <v>45184</v>
      </c>
      <c r="J5822" s="199" t="s">
        <v>14324</v>
      </c>
      <c r="K5822" s="46" t="s">
        <v>65</v>
      </c>
      <c r="L5822" s="99"/>
      <c r="M5822" s="379"/>
      <c r="N5822" s="76"/>
      <c r="O5822" s="46" t="s">
        <v>14325</v>
      </c>
      <c r="P5822" s="46" t="s">
        <v>65</v>
      </c>
      <c r="Q5822" s="46" t="s">
        <v>37</v>
      </c>
      <c r="R5822" s="46" t="s">
        <v>272</v>
      </c>
    </row>
    <row r="5823" spans="1:18" ht="69" customHeight="1">
      <c r="A5823" s="168"/>
      <c r="B5823" s="52">
        <f t="shared" si="8"/>
        <v>2962</v>
      </c>
      <c r="C5823" s="191" t="s">
        <v>309</v>
      </c>
      <c r="D5823" s="251" t="s">
        <v>8838</v>
      </c>
      <c r="E5823" s="46" t="s">
        <v>350</v>
      </c>
      <c r="F5823" s="46" t="s">
        <v>14327</v>
      </c>
      <c r="G5823" s="46" t="s">
        <v>744</v>
      </c>
      <c r="H5823" s="534">
        <v>118860</v>
      </c>
      <c r="I5823" s="56">
        <v>45184</v>
      </c>
      <c r="J5823" s="536" t="s">
        <v>14328</v>
      </c>
      <c r="K5823" s="46" t="s">
        <v>14329</v>
      </c>
      <c r="L5823" s="99"/>
      <c r="M5823" s="70"/>
      <c r="N5823" s="97"/>
      <c r="O5823" s="46" t="s">
        <v>141</v>
      </c>
      <c r="P5823" s="46" t="s">
        <v>65</v>
      </c>
      <c r="Q5823" s="46" t="s">
        <v>20</v>
      </c>
      <c r="R5823" s="46" t="s">
        <v>265</v>
      </c>
    </row>
    <row r="5824" spans="1:18" s="98" customFormat="1" ht="69" customHeight="1">
      <c r="A5824" s="169"/>
      <c r="B5824" s="52">
        <f t="shared" si="8"/>
        <v>2963</v>
      </c>
      <c r="C5824" s="191" t="s">
        <v>3667</v>
      </c>
      <c r="D5824" s="251" t="s">
        <v>14330</v>
      </c>
      <c r="E5824" s="251" t="s">
        <v>266</v>
      </c>
      <c r="F5824" s="46" t="s">
        <v>14331</v>
      </c>
      <c r="G5824" s="46" t="s">
        <v>14332</v>
      </c>
      <c r="H5824" s="534">
        <v>14259.5</v>
      </c>
      <c r="I5824" s="56">
        <v>45204</v>
      </c>
      <c r="J5824" s="199" t="s">
        <v>14333</v>
      </c>
      <c r="K5824" s="46" t="s">
        <v>65</v>
      </c>
      <c r="L5824" s="99"/>
      <c r="M5824" s="385"/>
      <c r="N5824" s="75"/>
      <c r="O5824" s="46" t="s">
        <v>14334</v>
      </c>
      <c r="P5824" s="46" t="s">
        <v>65</v>
      </c>
      <c r="Q5824" s="46" t="s">
        <v>86</v>
      </c>
      <c r="R5824" s="46" t="s">
        <v>272</v>
      </c>
    </row>
    <row r="5825" spans="1:18" s="98" customFormat="1" ht="69" customHeight="1">
      <c r="A5825" s="169"/>
      <c r="B5825" s="52">
        <f t="shared" ref="B5825:B5835" si="9">B5824+1</f>
        <v>2964</v>
      </c>
      <c r="C5825" s="191" t="s">
        <v>3667</v>
      </c>
      <c r="D5825" s="251" t="s">
        <v>14335</v>
      </c>
      <c r="E5825" s="251" t="s">
        <v>266</v>
      </c>
      <c r="F5825" s="46" t="s">
        <v>14336</v>
      </c>
      <c r="G5825" s="46" t="s">
        <v>14332</v>
      </c>
      <c r="H5825" s="534">
        <v>14259.5</v>
      </c>
      <c r="I5825" s="56">
        <v>45204</v>
      </c>
      <c r="J5825" s="199" t="s">
        <v>14333</v>
      </c>
      <c r="K5825" s="46" t="s">
        <v>65</v>
      </c>
      <c r="L5825" s="99"/>
      <c r="M5825" s="385"/>
      <c r="N5825" s="75"/>
      <c r="O5825" s="46" t="s">
        <v>14334</v>
      </c>
      <c r="P5825" s="46" t="s">
        <v>65</v>
      </c>
      <c r="Q5825" s="46" t="s">
        <v>66</v>
      </c>
      <c r="R5825" s="46" t="s">
        <v>272</v>
      </c>
    </row>
    <row r="5826" spans="1:18" s="98" customFormat="1" ht="69" customHeight="1">
      <c r="A5826" s="169"/>
      <c r="B5826" s="52">
        <f t="shared" si="9"/>
        <v>2965</v>
      </c>
      <c r="C5826" s="51" t="s">
        <v>458</v>
      </c>
      <c r="D5826" s="251" t="s">
        <v>14337</v>
      </c>
      <c r="E5826" s="251" t="s">
        <v>266</v>
      </c>
      <c r="F5826" s="46" t="s">
        <v>14338</v>
      </c>
      <c r="G5826" s="46" t="s">
        <v>14332</v>
      </c>
      <c r="H5826" s="534">
        <v>14259.5</v>
      </c>
      <c r="I5826" s="56">
        <v>45194</v>
      </c>
      <c r="J5826" s="199" t="s">
        <v>14333</v>
      </c>
      <c r="K5826" s="46" t="s">
        <v>65</v>
      </c>
      <c r="L5826" s="99"/>
      <c r="M5826" s="385"/>
      <c r="N5826" s="75"/>
      <c r="O5826" s="46" t="s">
        <v>14334</v>
      </c>
      <c r="P5826" s="46" t="s">
        <v>65</v>
      </c>
      <c r="Q5826" s="46" t="s">
        <v>117</v>
      </c>
      <c r="R5826" s="46" t="s">
        <v>272</v>
      </c>
    </row>
    <row r="5827" spans="1:18" s="98" customFormat="1" ht="69" customHeight="1">
      <c r="A5827" s="169"/>
      <c r="B5827" s="259">
        <f t="shared" si="9"/>
        <v>2966</v>
      </c>
      <c r="C5827" s="207" t="s">
        <v>309</v>
      </c>
      <c r="D5827" s="303" t="s">
        <v>4814</v>
      </c>
      <c r="E5827" s="290" t="s">
        <v>266</v>
      </c>
      <c r="F5827" s="160" t="s">
        <v>14339</v>
      </c>
      <c r="G5827" s="160" t="s">
        <v>14340</v>
      </c>
      <c r="H5827" s="300">
        <v>29539.4</v>
      </c>
      <c r="I5827" s="209">
        <v>45181</v>
      </c>
      <c r="J5827" s="316" t="s">
        <v>14341</v>
      </c>
      <c r="K5827" s="160" t="s">
        <v>4128</v>
      </c>
      <c r="M5827" s="385"/>
      <c r="N5827" s="75"/>
      <c r="O5827" s="160" t="s">
        <v>1805</v>
      </c>
      <c r="P5827" s="160" t="s">
        <v>67</v>
      </c>
      <c r="Q5827" s="160" t="s">
        <v>113</v>
      </c>
      <c r="R5827" s="160" t="s">
        <v>272</v>
      </c>
    </row>
    <row r="5828" spans="1:18" s="98" customFormat="1" ht="69" customHeight="1">
      <c r="A5828" s="169"/>
      <c r="B5828" s="259">
        <f t="shared" si="9"/>
        <v>2967</v>
      </c>
      <c r="C5828" s="207" t="s">
        <v>12081</v>
      </c>
      <c r="D5828" s="303" t="s">
        <v>610</v>
      </c>
      <c r="E5828" s="160" t="s">
        <v>266</v>
      </c>
      <c r="F5828" s="160" t="s">
        <v>14342</v>
      </c>
      <c r="G5828" s="160" t="s">
        <v>14343</v>
      </c>
      <c r="H5828" s="300">
        <v>35000</v>
      </c>
      <c r="I5828" s="209">
        <v>45194</v>
      </c>
      <c r="J5828" s="316" t="s">
        <v>14344</v>
      </c>
      <c r="K5828" s="160" t="s">
        <v>67</v>
      </c>
      <c r="M5828" s="385"/>
      <c r="N5828" s="75"/>
      <c r="O5828" s="160" t="s">
        <v>13735</v>
      </c>
      <c r="P5828" s="160" t="s">
        <v>67</v>
      </c>
      <c r="Q5828" s="160" t="s">
        <v>96</v>
      </c>
      <c r="R5828" s="160" t="s">
        <v>272</v>
      </c>
    </row>
    <row r="5829" spans="1:18" s="98" customFormat="1" ht="69" customHeight="1">
      <c r="A5829" s="169"/>
      <c r="B5829" s="259">
        <f t="shared" si="9"/>
        <v>2968</v>
      </c>
      <c r="C5829" s="207" t="s">
        <v>309</v>
      </c>
      <c r="D5829" s="303" t="s">
        <v>13682</v>
      </c>
      <c r="E5829" s="160" t="s">
        <v>266</v>
      </c>
      <c r="F5829" s="160" t="s">
        <v>14345</v>
      </c>
      <c r="G5829" s="160" t="s">
        <v>14340</v>
      </c>
      <c r="H5829" s="300">
        <v>49947.199999999997</v>
      </c>
      <c r="I5829" s="209">
        <v>45181</v>
      </c>
      <c r="J5829" s="316" t="s">
        <v>14346</v>
      </c>
      <c r="K5829" s="160" t="s">
        <v>4128</v>
      </c>
      <c r="M5829" s="385"/>
      <c r="N5829" s="75"/>
      <c r="O5829" s="160" t="s">
        <v>1805</v>
      </c>
      <c r="P5829" s="160" t="s">
        <v>67</v>
      </c>
      <c r="Q5829" s="160" t="s">
        <v>113</v>
      </c>
      <c r="R5829" s="160" t="s">
        <v>272</v>
      </c>
    </row>
    <row r="5830" spans="1:18" s="98" customFormat="1" ht="69" customHeight="1">
      <c r="A5830" s="169"/>
      <c r="B5830" s="259">
        <f t="shared" si="9"/>
        <v>2969</v>
      </c>
      <c r="C5830" s="160" t="s">
        <v>309</v>
      </c>
      <c r="D5830" s="303" t="s">
        <v>13690</v>
      </c>
      <c r="E5830" s="160" t="s">
        <v>266</v>
      </c>
      <c r="F5830" s="160" t="s">
        <v>14347</v>
      </c>
      <c r="G5830" s="160" t="s">
        <v>14340</v>
      </c>
      <c r="H5830" s="300">
        <v>49242.3</v>
      </c>
      <c r="I5830" s="209">
        <v>45181</v>
      </c>
      <c r="J5830" s="316" t="s">
        <v>14348</v>
      </c>
      <c r="K5830" s="160" t="s">
        <v>4128</v>
      </c>
      <c r="M5830" s="385"/>
      <c r="N5830" s="75"/>
      <c r="O5830" s="160" t="s">
        <v>1805</v>
      </c>
      <c r="P5830" s="160" t="s">
        <v>67</v>
      </c>
      <c r="Q5830" s="160" t="s">
        <v>113</v>
      </c>
      <c r="R5830" s="160" t="s">
        <v>272</v>
      </c>
    </row>
    <row r="5831" spans="1:18" s="98" customFormat="1" ht="69" customHeight="1">
      <c r="A5831" s="169"/>
      <c r="B5831" s="48">
        <f t="shared" si="9"/>
        <v>2970</v>
      </c>
      <c r="C5831" s="59" t="s">
        <v>458</v>
      </c>
      <c r="D5831" s="581" t="s">
        <v>14349</v>
      </c>
      <c r="E5831" s="59" t="s">
        <v>409</v>
      </c>
      <c r="F5831" s="569" t="s">
        <v>14350</v>
      </c>
      <c r="G5831" s="45" t="s">
        <v>14351</v>
      </c>
      <c r="H5831" s="546">
        <v>16207.74</v>
      </c>
      <c r="I5831" s="47">
        <v>45194</v>
      </c>
      <c r="J5831" s="73" t="s">
        <v>14352</v>
      </c>
      <c r="K5831" s="45"/>
      <c r="L5831" s="99"/>
      <c r="M5831" s="385"/>
      <c r="N5831" s="75"/>
      <c r="O5831" s="45" t="s">
        <v>8228</v>
      </c>
      <c r="P5831" s="45" t="s">
        <v>59</v>
      </c>
      <c r="Q5831" s="45" t="s">
        <v>88</v>
      </c>
      <c r="R5831" s="45" t="s">
        <v>272</v>
      </c>
    </row>
    <row r="5832" spans="1:18" s="98" customFormat="1" ht="69" customHeight="1">
      <c r="A5832" s="169"/>
      <c r="B5832" s="48">
        <f t="shared" si="9"/>
        <v>2971</v>
      </c>
      <c r="C5832" s="59" t="s">
        <v>458</v>
      </c>
      <c r="D5832" s="581" t="s">
        <v>4545</v>
      </c>
      <c r="E5832" s="59" t="s">
        <v>409</v>
      </c>
      <c r="F5832" s="569" t="s">
        <v>14353</v>
      </c>
      <c r="G5832" s="45" t="s">
        <v>13305</v>
      </c>
      <c r="H5832" s="546">
        <v>64830.97</v>
      </c>
      <c r="I5832" s="47">
        <v>45194</v>
      </c>
      <c r="J5832" s="73" t="s">
        <v>14352</v>
      </c>
      <c r="K5832" s="45"/>
      <c r="L5832" s="99"/>
      <c r="M5832" s="385"/>
      <c r="N5832" s="75"/>
      <c r="O5832" s="45" t="s">
        <v>8228</v>
      </c>
      <c r="P5832" s="45" t="s">
        <v>59</v>
      </c>
      <c r="Q5832" s="45" t="s">
        <v>88</v>
      </c>
      <c r="R5832" s="45" t="s">
        <v>272</v>
      </c>
    </row>
    <row r="5833" spans="1:18" ht="69" customHeight="1">
      <c r="A5833" s="168"/>
      <c r="B5833" s="62">
        <f t="shared" si="9"/>
        <v>2972</v>
      </c>
      <c r="C5833" s="178" t="s">
        <v>9215</v>
      </c>
      <c r="D5833" s="174" t="s">
        <v>14354</v>
      </c>
      <c r="E5833" s="58" t="s">
        <v>14355</v>
      </c>
      <c r="F5833" s="45" t="s">
        <v>14356</v>
      </c>
      <c r="G5833" s="45" t="s">
        <v>14357</v>
      </c>
      <c r="H5833" s="546">
        <v>64528.65</v>
      </c>
      <c r="I5833" s="47">
        <v>45194</v>
      </c>
      <c r="J5833" s="73" t="s">
        <v>14358</v>
      </c>
      <c r="K5833" s="58"/>
      <c r="L5833" s="99"/>
      <c r="M5833" s="70"/>
      <c r="N5833" s="97"/>
      <c r="O5833" s="58" t="s">
        <v>14160</v>
      </c>
      <c r="P5833" s="58" t="s">
        <v>26</v>
      </c>
      <c r="Q5833" s="58" t="s">
        <v>113</v>
      </c>
      <c r="R5833" s="58" t="s">
        <v>272</v>
      </c>
    </row>
    <row r="5834" spans="1:18" ht="69" customHeight="1">
      <c r="A5834" s="168"/>
      <c r="B5834" s="62">
        <f t="shared" si="9"/>
        <v>2973</v>
      </c>
      <c r="C5834" s="178" t="s">
        <v>7189</v>
      </c>
      <c r="D5834" s="174" t="s">
        <v>3307</v>
      </c>
      <c r="E5834" s="58" t="s">
        <v>14355</v>
      </c>
      <c r="F5834" s="45" t="s">
        <v>14359</v>
      </c>
      <c r="G5834" s="45" t="s">
        <v>14357</v>
      </c>
      <c r="H5834" s="546">
        <v>39696.93</v>
      </c>
      <c r="I5834" s="47">
        <v>45194</v>
      </c>
      <c r="J5834" s="73" t="s">
        <v>14358</v>
      </c>
      <c r="K5834" s="58"/>
      <c r="L5834" s="99"/>
      <c r="M5834" s="70"/>
      <c r="N5834" s="97"/>
      <c r="O5834" s="58" t="s">
        <v>14160</v>
      </c>
      <c r="P5834" s="58" t="s">
        <v>26</v>
      </c>
      <c r="Q5834" s="58" t="s">
        <v>97</v>
      </c>
      <c r="R5834" s="58" t="s">
        <v>272</v>
      </c>
    </row>
    <row r="5835" spans="1:18" ht="69" customHeight="1">
      <c r="A5835" s="168"/>
      <c r="B5835" s="62">
        <f t="shared" si="9"/>
        <v>2974</v>
      </c>
      <c r="C5835" s="178" t="s">
        <v>309</v>
      </c>
      <c r="D5835" s="174" t="s">
        <v>4054</v>
      </c>
      <c r="E5835" s="58" t="s">
        <v>350</v>
      </c>
      <c r="F5835" s="45" t="s">
        <v>14360</v>
      </c>
      <c r="G5835" s="45" t="s">
        <v>14361</v>
      </c>
      <c r="H5835" s="546">
        <v>50952.76</v>
      </c>
      <c r="I5835" s="47">
        <v>45200</v>
      </c>
      <c r="J5835" s="65" t="s">
        <v>14362</v>
      </c>
      <c r="K5835" s="58"/>
      <c r="L5835" s="99"/>
      <c r="M5835" s="70"/>
      <c r="N5835" s="97"/>
      <c r="O5835" s="58" t="s">
        <v>141</v>
      </c>
      <c r="P5835" s="58" t="s">
        <v>19</v>
      </c>
      <c r="Q5835" s="58" t="s">
        <v>113</v>
      </c>
      <c r="R5835" s="58" t="s">
        <v>265</v>
      </c>
    </row>
    <row r="5836" spans="1:18" ht="69" customHeight="1">
      <c r="A5836" s="169"/>
      <c r="B5836" s="207">
        <v>2975</v>
      </c>
      <c r="C5836" s="207" t="s">
        <v>309</v>
      </c>
      <c r="D5836" s="301" t="s">
        <v>13697</v>
      </c>
      <c r="E5836" s="207" t="s">
        <v>305</v>
      </c>
      <c r="F5836" s="208" t="s">
        <v>14363</v>
      </c>
      <c r="G5836" s="160" t="s">
        <v>13201</v>
      </c>
      <c r="H5836" s="300">
        <v>16359.66</v>
      </c>
      <c r="I5836" s="209">
        <v>45194</v>
      </c>
      <c r="J5836" s="316" t="s">
        <v>14364</v>
      </c>
      <c r="K5836" s="160" t="s">
        <v>67</v>
      </c>
      <c r="M5836" s="385"/>
      <c r="N5836" s="75"/>
      <c r="O5836" s="160"/>
      <c r="P5836" s="160" t="s">
        <v>67</v>
      </c>
      <c r="Q5836" s="160" t="s">
        <v>96</v>
      </c>
      <c r="R5836" s="160" t="s">
        <v>272</v>
      </c>
    </row>
    <row r="5837" spans="1:18" s="98" customFormat="1" ht="69" customHeight="1">
      <c r="A5837" s="169"/>
      <c r="B5837" s="52">
        <f t="shared" ref="B5837:B5868" si="10">B5836+1</f>
        <v>2976</v>
      </c>
      <c r="C5837" s="191" t="s">
        <v>11058</v>
      </c>
      <c r="D5837" s="251" t="s">
        <v>13585</v>
      </c>
      <c r="E5837" s="46" t="s">
        <v>266</v>
      </c>
      <c r="F5837" s="46" t="s">
        <v>14365</v>
      </c>
      <c r="G5837" s="46" t="s">
        <v>14366</v>
      </c>
      <c r="H5837" s="534">
        <v>11150</v>
      </c>
      <c r="I5837" s="56">
        <v>45184</v>
      </c>
      <c r="J5837" s="199" t="s">
        <v>14367</v>
      </c>
      <c r="K5837" s="46" t="s">
        <v>1170</v>
      </c>
      <c r="L5837" s="99"/>
      <c r="M5837" s="385"/>
      <c r="N5837" s="75"/>
      <c r="O5837" s="46" t="s">
        <v>14368</v>
      </c>
      <c r="P5837" s="46" t="s">
        <v>65</v>
      </c>
      <c r="Q5837" s="46" t="s">
        <v>23</v>
      </c>
      <c r="R5837" s="46" t="s">
        <v>272</v>
      </c>
    </row>
    <row r="5838" spans="1:18" ht="69" customHeight="1">
      <c r="A5838" s="168"/>
      <c r="B5838" s="62">
        <f t="shared" si="10"/>
        <v>2977</v>
      </c>
      <c r="C5838" s="178" t="s">
        <v>3647</v>
      </c>
      <c r="D5838" s="174" t="s">
        <v>14369</v>
      </c>
      <c r="E5838" s="58" t="s">
        <v>14370</v>
      </c>
      <c r="F5838" s="58" t="s">
        <v>14371</v>
      </c>
      <c r="G5838" s="58" t="s">
        <v>14372</v>
      </c>
      <c r="H5838" s="546">
        <v>25000</v>
      </c>
      <c r="I5838" s="47">
        <v>45194</v>
      </c>
      <c r="J5838" s="65" t="s">
        <v>14373</v>
      </c>
      <c r="K5838" s="58"/>
      <c r="L5838" s="99"/>
      <c r="M5838" s="70"/>
      <c r="N5838" s="97"/>
      <c r="O5838" s="58" t="s">
        <v>13448</v>
      </c>
      <c r="P5838" s="58" t="s">
        <v>57</v>
      </c>
      <c r="Q5838" s="58" t="s">
        <v>47</v>
      </c>
      <c r="R5838" s="58" t="s">
        <v>272</v>
      </c>
    </row>
    <row r="5839" spans="1:18" ht="69" customHeight="1">
      <c r="A5839" s="168"/>
      <c r="B5839" s="62">
        <f t="shared" si="10"/>
        <v>2978</v>
      </c>
      <c r="C5839" s="178" t="s">
        <v>3647</v>
      </c>
      <c r="D5839" s="174" t="s">
        <v>14374</v>
      </c>
      <c r="E5839" s="58" t="s">
        <v>14370</v>
      </c>
      <c r="F5839" s="58" t="s">
        <v>14375</v>
      </c>
      <c r="G5839" s="58" t="s">
        <v>14376</v>
      </c>
      <c r="H5839" s="546">
        <v>25000</v>
      </c>
      <c r="I5839" s="47">
        <v>45194</v>
      </c>
      <c r="J5839" s="65" t="s">
        <v>14377</v>
      </c>
      <c r="K5839" s="58"/>
      <c r="L5839" s="99"/>
      <c r="M5839" s="391"/>
      <c r="N5839" s="78"/>
      <c r="O5839" s="58" t="s">
        <v>13448</v>
      </c>
      <c r="P5839" s="58" t="s">
        <v>57</v>
      </c>
      <c r="Q5839" s="58" t="s">
        <v>47</v>
      </c>
      <c r="R5839" s="58" t="s">
        <v>265</v>
      </c>
    </row>
    <row r="5840" spans="1:18" s="98" customFormat="1" ht="69" customHeight="1">
      <c r="A5840" s="169"/>
      <c r="B5840" s="48">
        <f t="shared" si="10"/>
        <v>2979</v>
      </c>
      <c r="C5840" s="59" t="s">
        <v>13435</v>
      </c>
      <c r="D5840" s="581" t="s">
        <v>13748</v>
      </c>
      <c r="E5840" s="59" t="s">
        <v>13436</v>
      </c>
      <c r="F5840" s="569" t="s">
        <v>14378</v>
      </c>
      <c r="G5840" s="45" t="s">
        <v>14379</v>
      </c>
      <c r="H5840" s="546">
        <v>459516.85</v>
      </c>
      <c r="I5840" s="47">
        <v>45153</v>
      </c>
      <c r="J5840" s="73" t="s">
        <v>14380</v>
      </c>
      <c r="K5840" s="45"/>
      <c r="L5840" s="99"/>
      <c r="M5840" s="392"/>
      <c r="N5840" s="83"/>
      <c r="O5840" s="45" t="s">
        <v>154</v>
      </c>
      <c r="P5840" s="45" t="s">
        <v>59</v>
      </c>
      <c r="Q5840" s="45" t="s">
        <v>13</v>
      </c>
      <c r="R5840" s="45" t="s">
        <v>272</v>
      </c>
    </row>
    <row r="5841" spans="1:19" s="115" customFormat="1" ht="69" customHeight="1">
      <c r="A5841" s="169"/>
      <c r="B5841" s="261">
        <f t="shared" si="10"/>
        <v>2980</v>
      </c>
      <c r="C5841" s="256" t="s">
        <v>1853</v>
      </c>
      <c r="D5841" s="255" t="s">
        <v>13752</v>
      </c>
      <c r="E5841" s="118" t="s">
        <v>3721</v>
      </c>
      <c r="F5841" s="118" t="s">
        <v>14381</v>
      </c>
      <c r="G5841" s="118" t="s">
        <v>14382</v>
      </c>
      <c r="H5841" s="300">
        <v>30000</v>
      </c>
      <c r="I5841" s="262">
        <v>45194</v>
      </c>
      <c r="J5841" s="258" t="s">
        <v>14383</v>
      </c>
      <c r="K5841" s="118"/>
      <c r="L5841" s="117"/>
      <c r="M5841" s="393"/>
      <c r="N5841" s="224"/>
      <c r="O5841" s="118" t="s">
        <v>441</v>
      </c>
      <c r="P5841" s="118" t="s">
        <v>67</v>
      </c>
      <c r="Q5841" s="118" t="s">
        <v>29</v>
      </c>
      <c r="R5841" s="118" t="s">
        <v>265</v>
      </c>
      <c r="S5841" s="98"/>
    </row>
    <row r="5842" spans="1:19" s="98" customFormat="1" ht="69" customHeight="1">
      <c r="A5842" s="169"/>
      <c r="B5842" s="52">
        <f t="shared" si="10"/>
        <v>2981</v>
      </c>
      <c r="C5842" s="191" t="s">
        <v>4411</v>
      </c>
      <c r="D5842" s="533" t="s">
        <v>14384</v>
      </c>
      <c r="E5842" s="191" t="s">
        <v>877</v>
      </c>
      <c r="F5842" s="211" t="s">
        <v>14385</v>
      </c>
      <c r="G5842" s="46" t="s">
        <v>13495</v>
      </c>
      <c r="H5842" s="534">
        <v>21654.19</v>
      </c>
      <c r="I5842" s="56">
        <v>45194</v>
      </c>
      <c r="J5842" s="199" t="s">
        <v>14386</v>
      </c>
      <c r="K5842" s="46" t="s">
        <v>167</v>
      </c>
      <c r="L5842" s="99"/>
      <c r="M5842" s="394"/>
      <c r="N5842" s="110"/>
      <c r="O5842" s="46" t="s">
        <v>1171</v>
      </c>
      <c r="P5842" s="46" t="s">
        <v>71</v>
      </c>
      <c r="Q5842" s="46" t="s">
        <v>54</v>
      </c>
      <c r="R5842" s="46" t="s">
        <v>272</v>
      </c>
    </row>
    <row r="5843" spans="1:19" s="98" customFormat="1" ht="69" customHeight="1">
      <c r="A5843" s="169"/>
      <c r="B5843" s="52">
        <f t="shared" si="10"/>
        <v>2982</v>
      </c>
      <c r="C5843" s="191" t="s">
        <v>3510</v>
      </c>
      <c r="D5843" s="533" t="s">
        <v>9205</v>
      </c>
      <c r="E5843" s="191" t="s">
        <v>877</v>
      </c>
      <c r="F5843" s="211" t="s">
        <v>14387</v>
      </c>
      <c r="G5843" s="46" t="s">
        <v>13495</v>
      </c>
      <c r="H5843" s="534">
        <v>21654.19</v>
      </c>
      <c r="I5843" s="56">
        <v>45194</v>
      </c>
      <c r="J5843" s="199" t="s">
        <v>14386</v>
      </c>
      <c r="K5843" s="46" t="s">
        <v>167</v>
      </c>
      <c r="L5843" s="99"/>
      <c r="M5843" s="395"/>
      <c r="N5843" s="95"/>
      <c r="O5843" s="46" t="s">
        <v>1171</v>
      </c>
      <c r="P5843" s="46" t="s">
        <v>71</v>
      </c>
      <c r="Q5843" s="46" t="s">
        <v>43</v>
      </c>
      <c r="R5843" s="46" t="s">
        <v>272</v>
      </c>
    </row>
    <row r="5844" spans="1:19" s="98" customFormat="1" ht="69" customHeight="1">
      <c r="A5844" s="169"/>
      <c r="B5844" s="52">
        <f t="shared" si="10"/>
        <v>2983</v>
      </c>
      <c r="C5844" s="191" t="s">
        <v>753</v>
      </c>
      <c r="D5844" s="533" t="s">
        <v>13758</v>
      </c>
      <c r="E5844" s="191" t="s">
        <v>877</v>
      </c>
      <c r="F5844" s="211" t="s">
        <v>14388</v>
      </c>
      <c r="G5844" s="46" t="s">
        <v>13495</v>
      </c>
      <c r="H5844" s="534">
        <v>25241.9</v>
      </c>
      <c r="I5844" s="56">
        <v>45194</v>
      </c>
      <c r="J5844" s="199" t="s">
        <v>14386</v>
      </c>
      <c r="K5844" s="46" t="s">
        <v>167</v>
      </c>
      <c r="L5844" s="99"/>
      <c r="M5844" s="71"/>
      <c r="N5844" s="81"/>
      <c r="O5844" s="46" t="s">
        <v>1171</v>
      </c>
      <c r="P5844" s="46" t="s">
        <v>71</v>
      </c>
      <c r="Q5844" s="46" t="s">
        <v>20</v>
      </c>
      <c r="R5844" s="46" t="s">
        <v>272</v>
      </c>
    </row>
    <row r="5845" spans="1:19" s="98" customFormat="1" ht="69" customHeight="1">
      <c r="A5845" s="169"/>
      <c r="B5845" s="52">
        <f t="shared" si="10"/>
        <v>2984</v>
      </c>
      <c r="C5845" s="191" t="s">
        <v>4728</v>
      </c>
      <c r="D5845" s="251" t="s">
        <v>14389</v>
      </c>
      <c r="E5845" s="191" t="s">
        <v>877</v>
      </c>
      <c r="F5845" s="211" t="s">
        <v>14390</v>
      </c>
      <c r="G5845" s="46" t="s">
        <v>13495</v>
      </c>
      <c r="H5845" s="534">
        <v>14962.45</v>
      </c>
      <c r="I5845" s="56">
        <v>45194</v>
      </c>
      <c r="J5845" s="199" t="s">
        <v>14386</v>
      </c>
      <c r="K5845" s="46" t="s">
        <v>167</v>
      </c>
      <c r="L5845" s="99"/>
      <c r="M5845" s="71"/>
      <c r="N5845" s="81"/>
      <c r="O5845" s="46" t="s">
        <v>1171</v>
      </c>
      <c r="P5845" s="46" t="s">
        <v>71</v>
      </c>
      <c r="Q5845" s="46" t="s">
        <v>58</v>
      </c>
      <c r="R5845" s="46" t="s">
        <v>272</v>
      </c>
    </row>
    <row r="5846" spans="1:19" s="98" customFormat="1" ht="69" customHeight="1">
      <c r="A5846" s="169"/>
      <c r="B5846" s="52">
        <f t="shared" si="10"/>
        <v>2985</v>
      </c>
      <c r="C5846" s="191" t="s">
        <v>4277</v>
      </c>
      <c r="D5846" s="533" t="s">
        <v>14391</v>
      </c>
      <c r="E5846" s="191" t="s">
        <v>877</v>
      </c>
      <c r="F5846" s="211" t="s">
        <v>14392</v>
      </c>
      <c r="G5846" s="46" t="s">
        <v>13495</v>
      </c>
      <c r="H5846" s="534">
        <v>14962.45</v>
      </c>
      <c r="I5846" s="56">
        <v>45194</v>
      </c>
      <c r="J5846" s="199" t="s">
        <v>14386</v>
      </c>
      <c r="K5846" s="46" t="s">
        <v>167</v>
      </c>
      <c r="L5846" s="99"/>
      <c r="M5846" s="396"/>
      <c r="N5846" s="114"/>
      <c r="O5846" s="46" t="s">
        <v>1171</v>
      </c>
      <c r="P5846" s="46" t="s">
        <v>71</v>
      </c>
      <c r="Q5846" s="46" t="s">
        <v>56</v>
      </c>
      <c r="R5846" s="46" t="s">
        <v>272</v>
      </c>
    </row>
    <row r="5847" spans="1:19" s="98" customFormat="1" ht="69" customHeight="1">
      <c r="A5847" s="169"/>
      <c r="B5847" s="52">
        <f t="shared" si="10"/>
        <v>2986</v>
      </c>
      <c r="C5847" s="191" t="s">
        <v>7521</v>
      </c>
      <c r="D5847" s="533" t="s">
        <v>14393</v>
      </c>
      <c r="E5847" s="191" t="s">
        <v>877</v>
      </c>
      <c r="F5847" s="211" t="s">
        <v>14394</v>
      </c>
      <c r="G5847" s="46" t="s">
        <v>13495</v>
      </c>
      <c r="H5847" s="534">
        <v>14962.45</v>
      </c>
      <c r="I5847" s="56">
        <v>45194</v>
      </c>
      <c r="J5847" s="199" t="s">
        <v>14386</v>
      </c>
      <c r="K5847" s="46" t="s">
        <v>167</v>
      </c>
      <c r="L5847" s="99"/>
      <c r="M5847" s="385"/>
      <c r="N5847" s="75"/>
      <c r="O5847" s="46" t="s">
        <v>1171</v>
      </c>
      <c r="P5847" s="46" t="s">
        <v>71</v>
      </c>
      <c r="Q5847" s="46" t="s">
        <v>102</v>
      </c>
      <c r="R5847" s="46" t="s">
        <v>272</v>
      </c>
    </row>
    <row r="5848" spans="1:19" s="98" customFormat="1" ht="69" customHeight="1">
      <c r="A5848" s="169"/>
      <c r="B5848" s="52">
        <f t="shared" si="10"/>
        <v>2987</v>
      </c>
      <c r="C5848" s="191" t="s">
        <v>7452</v>
      </c>
      <c r="D5848" s="533" t="s">
        <v>5209</v>
      </c>
      <c r="E5848" s="191" t="s">
        <v>877</v>
      </c>
      <c r="F5848" s="211" t="s">
        <v>14395</v>
      </c>
      <c r="G5848" s="46" t="s">
        <v>13495</v>
      </c>
      <c r="H5848" s="534">
        <v>14962.44</v>
      </c>
      <c r="I5848" s="56">
        <v>45194</v>
      </c>
      <c r="J5848" s="199" t="s">
        <v>14386</v>
      </c>
      <c r="K5848" s="46" t="s">
        <v>167</v>
      </c>
      <c r="L5848" s="99"/>
      <c r="M5848" s="385"/>
      <c r="N5848" s="75"/>
      <c r="O5848" s="46" t="s">
        <v>1171</v>
      </c>
      <c r="P5848" s="46" t="s">
        <v>71</v>
      </c>
      <c r="Q5848" s="46" t="s">
        <v>101</v>
      </c>
      <c r="R5848" s="46" t="s">
        <v>272</v>
      </c>
    </row>
    <row r="5849" spans="1:19" s="98" customFormat="1" ht="69" customHeight="1">
      <c r="A5849" s="169"/>
      <c r="B5849" s="52">
        <f t="shared" si="10"/>
        <v>2988</v>
      </c>
      <c r="C5849" s="191" t="s">
        <v>9322</v>
      </c>
      <c r="D5849" s="533" t="s">
        <v>5228</v>
      </c>
      <c r="E5849" s="191" t="s">
        <v>877</v>
      </c>
      <c r="F5849" s="211" t="s">
        <v>14396</v>
      </c>
      <c r="G5849" s="46" t="s">
        <v>13495</v>
      </c>
      <c r="H5849" s="534">
        <v>22211.07</v>
      </c>
      <c r="I5849" s="56">
        <v>45194</v>
      </c>
      <c r="J5849" s="199" t="s">
        <v>14386</v>
      </c>
      <c r="K5849" s="46" t="s">
        <v>167</v>
      </c>
      <c r="L5849" s="99"/>
      <c r="M5849" s="385"/>
      <c r="N5849" s="75"/>
      <c r="O5849" s="46" t="s">
        <v>1171</v>
      </c>
      <c r="P5849" s="46" t="s">
        <v>71</v>
      </c>
      <c r="Q5849" s="46" t="s">
        <v>114</v>
      </c>
      <c r="R5849" s="46" t="s">
        <v>272</v>
      </c>
    </row>
    <row r="5850" spans="1:19" s="98" customFormat="1" ht="69" customHeight="1">
      <c r="A5850" s="169"/>
      <c r="B5850" s="52">
        <f t="shared" si="10"/>
        <v>2989</v>
      </c>
      <c r="C5850" s="191" t="s">
        <v>9436</v>
      </c>
      <c r="D5850" s="533" t="s">
        <v>14397</v>
      </c>
      <c r="E5850" s="191" t="s">
        <v>877</v>
      </c>
      <c r="F5850" s="211" t="s">
        <v>14398</v>
      </c>
      <c r="G5850" s="46" t="s">
        <v>13495</v>
      </c>
      <c r="H5850" s="534">
        <v>22211.07</v>
      </c>
      <c r="I5850" s="56">
        <v>45194</v>
      </c>
      <c r="J5850" s="199" t="s">
        <v>14386</v>
      </c>
      <c r="K5850" s="46" t="s">
        <v>167</v>
      </c>
      <c r="L5850" s="99"/>
      <c r="M5850" s="385"/>
      <c r="N5850" s="75"/>
      <c r="O5850" s="46" t="s">
        <v>1171</v>
      </c>
      <c r="P5850" s="46" t="s">
        <v>71</v>
      </c>
      <c r="Q5850" s="46" t="s">
        <v>116</v>
      </c>
      <c r="R5850" s="46" t="s">
        <v>272</v>
      </c>
    </row>
    <row r="5851" spans="1:19" s="98" customFormat="1" ht="69" customHeight="1">
      <c r="A5851" s="169"/>
      <c r="B5851" s="934">
        <f t="shared" si="10"/>
        <v>2990</v>
      </c>
      <c r="C5851" s="543" t="s">
        <v>9596</v>
      </c>
      <c r="D5851" s="935" t="s">
        <v>14399</v>
      </c>
      <c r="E5851" s="543" t="s">
        <v>877</v>
      </c>
      <c r="F5851" s="936" t="s">
        <v>14400</v>
      </c>
      <c r="G5851" s="281" t="s">
        <v>13495</v>
      </c>
      <c r="H5851" s="662">
        <v>22211.07</v>
      </c>
      <c r="I5851" s="937">
        <v>45194</v>
      </c>
      <c r="J5851" s="185" t="s">
        <v>14386</v>
      </c>
      <c r="K5851" s="281" t="s">
        <v>167</v>
      </c>
      <c r="L5851" s="99"/>
      <c r="M5851" s="385"/>
      <c r="N5851" s="75"/>
      <c r="O5851" s="281" t="s">
        <v>1171</v>
      </c>
      <c r="P5851" s="281" t="s">
        <v>71</v>
      </c>
      <c r="Q5851" s="281" t="s">
        <v>118</v>
      </c>
      <c r="R5851" s="281" t="s">
        <v>272</v>
      </c>
    </row>
    <row r="5852" spans="1:19" ht="69" customHeight="1">
      <c r="A5852" s="168"/>
      <c r="B5852" s="62">
        <f t="shared" si="10"/>
        <v>2991</v>
      </c>
      <c r="C5852" s="178" t="s">
        <v>5558</v>
      </c>
      <c r="D5852" s="174" t="s">
        <v>14401</v>
      </c>
      <c r="E5852" s="58" t="s">
        <v>3721</v>
      </c>
      <c r="F5852" s="58" t="s">
        <v>14402</v>
      </c>
      <c r="G5852" s="58" t="s">
        <v>14403</v>
      </c>
      <c r="H5852" s="546">
        <v>36200</v>
      </c>
      <c r="I5852" s="66">
        <v>45194</v>
      </c>
      <c r="J5852" s="62" t="s">
        <v>14404</v>
      </c>
      <c r="K5852" s="58"/>
      <c r="L5852" s="99"/>
      <c r="M5852" s="229"/>
      <c r="N5852" s="63"/>
      <c r="O5852" s="58" t="s">
        <v>441</v>
      </c>
      <c r="P5852" s="58" t="s">
        <v>22</v>
      </c>
      <c r="Q5852" s="58" t="s">
        <v>64</v>
      </c>
      <c r="R5852" s="58" t="s">
        <v>265</v>
      </c>
    </row>
    <row r="5853" spans="1:19" s="98" customFormat="1" ht="69" customHeight="1">
      <c r="A5853" s="169"/>
      <c r="B5853" s="265">
        <f t="shared" si="10"/>
        <v>2992</v>
      </c>
      <c r="C5853" s="938" t="s">
        <v>657</v>
      </c>
      <c r="D5853" s="939" t="s">
        <v>1906</v>
      </c>
      <c r="E5853" s="266" t="s">
        <v>266</v>
      </c>
      <c r="F5853" s="266" t="s">
        <v>14405</v>
      </c>
      <c r="G5853" s="266" t="s">
        <v>14406</v>
      </c>
      <c r="H5853" s="559">
        <v>244.57</v>
      </c>
      <c r="I5853" s="560">
        <v>45194</v>
      </c>
      <c r="J5853" s="271" t="s">
        <v>14407</v>
      </c>
      <c r="K5853" s="266" t="s">
        <v>167</v>
      </c>
      <c r="L5853" s="99"/>
      <c r="M5853" s="385"/>
      <c r="N5853" s="75"/>
      <c r="O5853" s="266" t="s">
        <v>14408</v>
      </c>
      <c r="P5853" s="266" t="s">
        <v>65</v>
      </c>
      <c r="Q5853" s="266" t="s">
        <v>101</v>
      </c>
      <c r="R5853" s="266" t="s">
        <v>272</v>
      </c>
    </row>
    <row r="5854" spans="1:19" s="98" customFormat="1" ht="69" customHeight="1">
      <c r="A5854" s="169"/>
      <c r="B5854" s="48">
        <f t="shared" si="10"/>
        <v>2993</v>
      </c>
      <c r="C5854" s="59" t="s">
        <v>11050</v>
      </c>
      <c r="D5854" s="84" t="s">
        <v>13765</v>
      </c>
      <c r="E5854" s="45" t="s">
        <v>14409</v>
      </c>
      <c r="F5854" s="45" t="s">
        <v>14410</v>
      </c>
      <c r="G5854" s="45" t="s">
        <v>14411</v>
      </c>
      <c r="H5854" s="546">
        <v>204769.25</v>
      </c>
      <c r="I5854" s="47">
        <v>45194</v>
      </c>
      <c r="J5854" s="73" t="s">
        <v>14412</v>
      </c>
      <c r="K5854" s="45"/>
      <c r="L5854" s="99"/>
      <c r="M5854" s="385"/>
      <c r="N5854" s="75"/>
      <c r="O5854" s="45" t="s">
        <v>14413</v>
      </c>
      <c r="P5854" s="45" t="s">
        <v>57</v>
      </c>
      <c r="Q5854" s="45" t="s">
        <v>35</v>
      </c>
      <c r="R5854" s="45" t="s">
        <v>272</v>
      </c>
    </row>
    <row r="5855" spans="1:19" s="98" customFormat="1" ht="69" customHeight="1">
      <c r="A5855" s="169"/>
      <c r="B5855" s="48">
        <f t="shared" si="10"/>
        <v>2994</v>
      </c>
      <c r="C5855" s="44" t="s">
        <v>14414</v>
      </c>
      <c r="D5855" s="84" t="s">
        <v>5644</v>
      </c>
      <c r="E5855" s="45" t="s">
        <v>3721</v>
      </c>
      <c r="F5855" s="45" t="s">
        <v>14415</v>
      </c>
      <c r="G5855" s="45" t="s">
        <v>14416</v>
      </c>
      <c r="H5855" s="546">
        <v>35732.69</v>
      </c>
      <c r="I5855" s="47">
        <v>45194</v>
      </c>
      <c r="J5855" s="73" t="s">
        <v>14417</v>
      </c>
      <c r="K5855" s="45"/>
      <c r="L5855" s="99"/>
      <c r="M5855" s="385"/>
      <c r="N5855" s="75"/>
      <c r="O5855" s="45" t="s">
        <v>441</v>
      </c>
      <c r="P5855" s="45" t="s">
        <v>22</v>
      </c>
      <c r="Q5855" s="45" t="s">
        <v>33</v>
      </c>
      <c r="R5855" s="45" t="s">
        <v>265</v>
      </c>
    </row>
    <row r="5856" spans="1:19" s="98" customFormat="1" ht="69" customHeight="1">
      <c r="A5856" s="169"/>
      <c r="B5856" s="52">
        <f t="shared" si="10"/>
        <v>2995</v>
      </c>
      <c r="C5856" s="191" t="s">
        <v>3647</v>
      </c>
      <c r="D5856" s="251" t="s">
        <v>14418</v>
      </c>
      <c r="E5856" s="46" t="s">
        <v>266</v>
      </c>
      <c r="F5856" s="46" t="s">
        <v>14419</v>
      </c>
      <c r="G5856" s="46" t="s">
        <v>14420</v>
      </c>
      <c r="H5856" s="534">
        <v>21000</v>
      </c>
      <c r="I5856" s="56">
        <v>45194</v>
      </c>
      <c r="J5856" s="199" t="s">
        <v>14421</v>
      </c>
      <c r="K5856" s="46" t="s">
        <v>167</v>
      </c>
      <c r="L5856" s="99"/>
      <c r="M5856" s="385"/>
      <c r="N5856" s="75"/>
      <c r="O5856" s="46" t="s">
        <v>4116</v>
      </c>
      <c r="P5856" s="46" t="s">
        <v>71</v>
      </c>
      <c r="Q5856" s="46" t="s">
        <v>47</v>
      </c>
      <c r="R5856" s="46" t="s">
        <v>272</v>
      </c>
    </row>
    <row r="5857" spans="1:18" s="98" customFormat="1" ht="69" customHeight="1">
      <c r="A5857" s="169"/>
      <c r="B5857" s="52">
        <f t="shared" si="10"/>
        <v>2996</v>
      </c>
      <c r="C5857" s="191" t="s">
        <v>3647</v>
      </c>
      <c r="D5857" s="251" t="s">
        <v>14422</v>
      </c>
      <c r="E5857" s="46" t="s">
        <v>266</v>
      </c>
      <c r="F5857" s="46" t="s">
        <v>14423</v>
      </c>
      <c r="G5857" s="46" t="s">
        <v>14420</v>
      </c>
      <c r="H5857" s="534">
        <v>21000</v>
      </c>
      <c r="I5857" s="56">
        <v>45194</v>
      </c>
      <c r="J5857" s="199" t="s">
        <v>14421</v>
      </c>
      <c r="K5857" s="46" t="s">
        <v>167</v>
      </c>
      <c r="L5857" s="99"/>
      <c r="M5857" s="385"/>
      <c r="N5857" s="75"/>
      <c r="O5857" s="46" t="s">
        <v>4116</v>
      </c>
      <c r="P5857" s="46" t="s">
        <v>71</v>
      </c>
      <c r="Q5857" s="46" t="s">
        <v>52</v>
      </c>
      <c r="R5857" s="46" t="s">
        <v>272</v>
      </c>
    </row>
    <row r="5858" spans="1:18" s="98" customFormat="1" ht="69" customHeight="1">
      <c r="A5858" s="169"/>
      <c r="B5858" s="52">
        <f t="shared" si="10"/>
        <v>2997</v>
      </c>
      <c r="C5858" s="191" t="s">
        <v>4277</v>
      </c>
      <c r="D5858" s="251" t="s">
        <v>14424</v>
      </c>
      <c r="E5858" s="46" t="s">
        <v>266</v>
      </c>
      <c r="F5858" s="46" t="s">
        <v>14425</v>
      </c>
      <c r="G5858" s="46" t="s">
        <v>14420</v>
      </c>
      <c r="H5858" s="534">
        <v>20266.650000000001</v>
      </c>
      <c r="I5858" s="56">
        <v>45194</v>
      </c>
      <c r="J5858" s="199" t="s">
        <v>14421</v>
      </c>
      <c r="K5858" s="46" t="s">
        <v>167</v>
      </c>
      <c r="L5858" s="99"/>
      <c r="M5858" s="385"/>
      <c r="N5858" s="75"/>
      <c r="O5858" s="46" t="s">
        <v>4116</v>
      </c>
      <c r="P5858" s="46" t="s">
        <v>71</v>
      </c>
      <c r="Q5858" s="46" t="s">
        <v>60</v>
      </c>
      <c r="R5858" s="46" t="s">
        <v>272</v>
      </c>
    </row>
    <row r="5859" spans="1:18" s="98" customFormat="1" ht="69" customHeight="1">
      <c r="A5859" s="169"/>
      <c r="B5859" s="52">
        <f t="shared" si="10"/>
        <v>2998</v>
      </c>
      <c r="C5859" s="191" t="s">
        <v>4277</v>
      </c>
      <c r="D5859" s="251" t="s">
        <v>14426</v>
      </c>
      <c r="E5859" s="46" t="s">
        <v>266</v>
      </c>
      <c r="F5859" s="46" t="s">
        <v>14427</v>
      </c>
      <c r="G5859" s="46" t="s">
        <v>14420</v>
      </c>
      <c r="H5859" s="534">
        <v>20266.650000000001</v>
      </c>
      <c r="I5859" s="56">
        <v>45194</v>
      </c>
      <c r="J5859" s="199" t="s">
        <v>14421</v>
      </c>
      <c r="K5859" s="46" t="s">
        <v>167</v>
      </c>
      <c r="L5859" s="99"/>
      <c r="M5859" s="385"/>
      <c r="N5859" s="75"/>
      <c r="O5859" s="46" t="s">
        <v>4116</v>
      </c>
      <c r="P5859" s="46" t="s">
        <v>71</v>
      </c>
      <c r="Q5859" s="46" t="s">
        <v>62</v>
      </c>
      <c r="R5859" s="46" t="s">
        <v>272</v>
      </c>
    </row>
    <row r="5860" spans="1:18" s="98" customFormat="1" ht="69" customHeight="1">
      <c r="A5860" s="169"/>
      <c r="B5860" s="48">
        <f t="shared" si="10"/>
        <v>2999</v>
      </c>
      <c r="C5860" s="59" t="s">
        <v>3933</v>
      </c>
      <c r="D5860" s="84" t="s">
        <v>14428</v>
      </c>
      <c r="E5860" s="45" t="s">
        <v>14370</v>
      </c>
      <c r="F5860" s="45" t="s">
        <v>14429</v>
      </c>
      <c r="G5860" s="45" t="s">
        <v>14430</v>
      </c>
      <c r="H5860" s="546">
        <v>25000</v>
      </c>
      <c r="I5860" s="47">
        <v>45194</v>
      </c>
      <c r="J5860" s="73" t="s">
        <v>14431</v>
      </c>
      <c r="K5860" s="45"/>
      <c r="L5860" s="99"/>
      <c r="M5860" s="385"/>
      <c r="N5860" s="75"/>
      <c r="O5860" s="45" t="s">
        <v>13448</v>
      </c>
      <c r="P5860" s="45" t="s">
        <v>57</v>
      </c>
      <c r="Q5860" s="45" t="s">
        <v>52</v>
      </c>
      <c r="R5860" s="45" t="s">
        <v>272</v>
      </c>
    </row>
    <row r="5861" spans="1:18" s="98" customFormat="1" ht="69" customHeight="1">
      <c r="A5861" s="169"/>
      <c r="B5861" s="259">
        <f t="shared" si="10"/>
        <v>3000</v>
      </c>
      <c r="C5861" s="207" t="s">
        <v>3667</v>
      </c>
      <c r="D5861" s="301" t="s">
        <v>14432</v>
      </c>
      <c r="E5861" s="207" t="s">
        <v>266</v>
      </c>
      <c r="F5861" s="208" t="s">
        <v>14433</v>
      </c>
      <c r="G5861" s="160" t="s">
        <v>13359</v>
      </c>
      <c r="H5861" s="300">
        <v>11144.32</v>
      </c>
      <c r="I5861" s="209">
        <v>45194</v>
      </c>
      <c r="J5861" s="316" t="s">
        <v>14434</v>
      </c>
      <c r="K5861" s="160" t="s">
        <v>10804</v>
      </c>
      <c r="M5861" s="385"/>
      <c r="N5861" s="75"/>
      <c r="O5861" s="160" t="s">
        <v>10810</v>
      </c>
      <c r="P5861" s="160" t="s">
        <v>67</v>
      </c>
      <c r="Q5861" s="160" t="s">
        <v>96</v>
      </c>
      <c r="R5861" s="160" t="s">
        <v>272</v>
      </c>
    </row>
    <row r="5862" spans="1:18" s="98" customFormat="1" ht="69" customHeight="1">
      <c r="A5862" s="169"/>
      <c r="B5862" s="259">
        <f t="shared" si="10"/>
        <v>3001</v>
      </c>
      <c r="C5862" s="207" t="s">
        <v>309</v>
      </c>
      <c r="D5862" s="301" t="s">
        <v>6442</v>
      </c>
      <c r="E5862" s="207" t="s">
        <v>266</v>
      </c>
      <c r="F5862" s="208" t="s">
        <v>14435</v>
      </c>
      <c r="G5862" s="160" t="s">
        <v>13359</v>
      </c>
      <c r="H5862" s="300">
        <v>8706.5</v>
      </c>
      <c r="I5862" s="209">
        <v>45194</v>
      </c>
      <c r="J5862" s="316" t="s">
        <v>14434</v>
      </c>
      <c r="K5862" s="160" t="s">
        <v>10804</v>
      </c>
      <c r="M5862" s="385"/>
      <c r="N5862" s="75"/>
      <c r="O5862" s="160" t="s">
        <v>10810</v>
      </c>
      <c r="P5862" s="160" t="s">
        <v>67</v>
      </c>
      <c r="Q5862" s="160" t="s">
        <v>96</v>
      </c>
      <c r="R5862" s="160" t="s">
        <v>272</v>
      </c>
    </row>
    <row r="5863" spans="1:18" s="98" customFormat="1" ht="69" customHeight="1">
      <c r="A5863" s="169"/>
      <c r="B5863" s="259">
        <f t="shared" si="10"/>
        <v>3002</v>
      </c>
      <c r="C5863" s="207" t="s">
        <v>458</v>
      </c>
      <c r="D5863" s="301" t="s">
        <v>14436</v>
      </c>
      <c r="E5863" s="207" t="s">
        <v>266</v>
      </c>
      <c r="F5863" s="208" t="s">
        <v>14437</v>
      </c>
      <c r="G5863" s="160" t="s">
        <v>13359</v>
      </c>
      <c r="H5863" s="300">
        <v>8706.5</v>
      </c>
      <c r="I5863" s="209">
        <v>45194</v>
      </c>
      <c r="J5863" s="316" t="s">
        <v>14434</v>
      </c>
      <c r="K5863" s="160" t="s">
        <v>10804</v>
      </c>
      <c r="M5863" s="385"/>
      <c r="N5863" s="75"/>
      <c r="O5863" s="160" t="s">
        <v>10810</v>
      </c>
      <c r="P5863" s="160" t="s">
        <v>67</v>
      </c>
      <c r="Q5863" s="160" t="s">
        <v>96</v>
      </c>
      <c r="R5863" s="160" t="s">
        <v>272</v>
      </c>
    </row>
    <row r="5864" spans="1:18" s="98" customFormat="1" ht="69" customHeight="1">
      <c r="A5864" s="169"/>
      <c r="B5864" s="259">
        <f t="shared" si="10"/>
        <v>3003</v>
      </c>
      <c r="C5864" s="207" t="s">
        <v>657</v>
      </c>
      <c r="D5864" s="301" t="s">
        <v>851</v>
      </c>
      <c r="E5864" s="207" t="s">
        <v>266</v>
      </c>
      <c r="F5864" s="208" t="s">
        <v>14438</v>
      </c>
      <c r="G5864" s="160" t="s">
        <v>13359</v>
      </c>
      <c r="H5864" s="300">
        <v>6268.68</v>
      </c>
      <c r="I5864" s="209">
        <v>45194</v>
      </c>
      <c r="J5864" s="316" t="s">
        <v>14434</v>
      </c>
      <c r="K5864" s="160" t="s">
        <v>10804</v>
      </c>
      <c r="M5864" s="385"/>
      <c r="N5864" s="75"/>
      <c r="O5864" s="160" t="s">
        <v>10810</v>
      </c>
      <c r="P5864" s="160" t="s">
        <v>67</v>
      </c>
      <c r="Q5864" s="160" t="s">
        <v>96</v>
      </c>
      <c r="R5864" s="160" t="s">
        <v>272</v>
      </c>
    </row>
    <row r="5865" spans="1:18" ht="69" customHeight="1">
      <c r="A5865" s="168"/>
      <c r="B5865" s="48">
        <f t="shared" si="10"/>
        <v>3004</v>
      </c>
      <c r="C5865" s="178" t="s">
        <v>3647</v>
      </c>
      <c r="D5865" s="84" t="s">
        <v>14439</v>
      </c>
      <c r="E5865" s="45" t="s">
        <v>14370</v>
      </c>
      <c r="F5865" s="45" t="s">
        <v>14440</v>
      </c>
      <c r="G5865" s="45" t="s">
        <v>14441</v>
      </c>
      <c r="H5865" s="546">
        <v>26500</v>
      </c>
      <c r="I5865" s="47">
        <v>45194</v>
      </c>
      <c r="J5865" s="73" t="s">
        <v>14442</v>
      </c>
      <c r="K5865" s="45"/>
      <c r="L5865" s="99"/>
      <c r="M5865" s="385"/>
      <c r="N5865" s="75"/>
      <c r="O5865" s="45" t="s">
        <v>13448</v>
      </c>
      <c r="P5865" s="45" t="s">
        <v>57</v>
      </c>
      <c r="Q5865" s="45" t="s">
        <v>47</v>
      </c>
      <c r="R5865" s="58" t="s">
        <v>272</v>
      </c>
    </row>
    <row r="5866" spans="1:18" s="98" customFormat="1" ht="69" customHeight="1">
      <c r="A5866" s="169"/>
      <c r="B5866" s="48">
        <f t="shared" si="10"/>
        <v>3005</v>
      </c>
      <c r="C5866" s="59" t="s">
        <v>13488</v>
      </c>
      <c r="D5866" s="84" t="s">
        <v>14443</v>
      </c>
      <c r="E5866" s="45" t="s">
        <v>14444</v>
      </c>
      <c r="F5866" s="45" t="s">
        <v>14445</v>
      </c>
      <c r="G5866" s="45" t="s">
        <v>14446</v>
      </c>
      <c r="H5866" s="546">
        <v>262634.59000000003</v>
      </c>
      <c r="I5866" s="47">
        <v>45194</v>
      </c>
      <c r="J5866" s="73" t="s">
        <v>14447</v>
      </c>
      <c r="K5866" s="45"/>
      <c r="L5866" s="99"/>
      <c r="M5866" s="385"/>
      <c r="N5866" s="75"/>
      <c r="O5866" s="45" t="s">
        <v>14448</v>
      </c>
      <c r="P5866" s="45" t="s">
        <v>57</v>
      </c>
      <c r="Q5866" s="45" t="s">
        <v>70</v>
      </c>
      <c r="R5866" s="45" t="s">
        <v>272</v>
      </c>
    </row>
    <row r="5867" spans="1:18" s="98" customFormat="1" ht="69" customHeight="1">
      <c r="A5867" s="169"/>
      <c r="B5867" s="62">
        <f t="shared" si="10"/>
        <v>3006</v>
      </c>
      <c r="C5867" s="178" t="s">
        <v>11052</v>
      </c>
      <c r="D5867" s="575" t="s">
        <v>6609</v>
      </c>
      <c r="E5867" s="178" t="s">
        <v>14071</v>
      </c>
      <c r="F5867" s="210" t="s">
        <v>14449</v>
      </c>
      <c r="G5867" s="58" t="s">
        <v>14073</v>
      </c>
      <c r="H5867" s="552">
        <v>12000</v>
      </c>
      <c r="I5867" s="66">
        <v>45194</v>
      </c>
      <c r="J5867" s="65" t="s">
        <v>14450</v>
      </c>
      <c r="K5867" s="58"/>
      <c r="L5867" s="99"/>
      <c r="M5867" s="385"/>
      <c r="N5867" s="75"/>
      <c r="O5867" s="62" t="s">
        <v>6918</v>
      </c>
      <c r="P5867" s="58" t="s">
        <v>44</v>
      </c>
      <c r="Q5867" s="58" t="s">
        <v>37</v>
      </c>
      <c r="R5867" s="58" t="s">
        <v>272</v>
      </c>
    </row>
    <row r="5868" spans="1:18" s="98" customFormat="1" ht="69" customHeight="1">
      <c r="A5868" s="169"/>
      <c r="B5868" s="62">
        <f t="shared" si="10"/>
        <v>3007</v>
      </c>
      <c r="C5868" s="178" t="s">
        <v>4277</v>
      </c>
      <c r="D5868" s="575" t="s">
        <v>14451</v>
      </c>
      <c r="E5868" s="178" t="s">
        <v>14071</v>
      </c>
      <c r="F5868" s="210" t="s">
        <v>14452</v>
      </c>
      <c r="G5868" s="58" t="s">
        <v>14073</v>
      </c>
      <c r="H5868" s="552">
        <v>12000</v>
      </c>
      <c r="I5868" s="66">
        <v>45194</v>
      </c>
      <c r="J5868" s="65" t="s">
        <v>14450</v>
      </c>
      <c r="K5868" s="58"/>
      <c r="L5868" s="99"/>
      <c r="M5868" s="385"/>
      <c r="N5868" s="75"/>
      <c r="O5868" s="62" t="s">
        <v>6918</v>
      </c>
      <c r="P5868" s="58" t="s">
        <v>44</v>
      </c>
      <c r="Q5868" s="58" t="s">
        <v>56</v>
      </c>
      <c r="R5868" s="58" t="s">
        <v>272</v>
      </c>
    </row>
    <row r="5869" spans="1:18" s="98" customFormat="1" ht="69" customHeight="1">
      <c r="A5869" s="169"/>
      <c r="B5869" s="62">
        <f t="shared" ref="B5869:B5891" si="11">B5868+1</f>
        <v>3008</v>
      </c>
      <c r="C5869" s="178" t="s">
        <v>4728</v>
      </c>
      <c r="D5869" s="575" t="s">
        <v>14453</v>
      </c>
      <c r="E5869" s="178" t="s">
        <v>14071</v>
      </c>
      <c r="F5869" s="210" t="s">
        <v>14454</v>
      </c>
      <c r="G5869" s="58" t="s">
        <v>14073</v>
      </c>
      <c r="H5869" s="552">
        <v>12000</v>
      </c>
      <c r="I5869" s="66">
        <v>45194</v>
      </c>
      <c r="J5869" s="65" t="s">
        <v>14450</v>
      </c>
      <c r="K5869" s="58"/>
      <c r="L5869" s="99"/>
      <c r="M5869" s="385"/>
      <c r="N5869" s="75"/>
      <c r="O5869" s="62" t="s">
        <v>6918</v>
      </c>
      <c r="P5869" s="58" t="s">
        <v>44</v>
      </c>
      <c r="Q5869" s="58" t="s">
        <v>58</v>
      </c>
      <c r="R5869" s="58" t="s">
        <v>272</v>
      </c>
    </row>
    <row r="5870" spans="1:18" ht="69" customHeight="1">
      <c r="A5870" s="168"/>
      <c r="B5870" s="48">
        <f t="shared" si="11"/>
        <v>3009</v>
      </c>
      <c r="C5870" s="59" t="s">
        <v>3647</v>
      </c>
      <c r="D5870" s="581" t="s">
        <v>14455</v>
      </c>
      <c r="E5870" s="59" t="s">
        <v>4033</v>
      </c>
      <c r="F5870" s="569" t="s">
        <v>14456</v>
      </c>
      <c r="G5870" s="45" t="s">
        <v>14457</v>
      </c>
      <c r="H5870" s="546">
        <v>29702.26</v>
      </c>
      <c r="I5870" s="47">
        <v>45194</v>
      </c>
      <c r="J5870" s="73" t="s">
        <v>14458</v>
      </c>
      <c r="K5870" s="45"/>
      <c r="L5870" s="99"/>
      <c r="M5870" s="385"/>
      <c r="N5870" s="75"/>
      <c r="O5870" s="45" t="s">
        <v>14459</v>
      </c>
      <c r="P5870" s="45" t="s">
        <v>22</v>
      </c>
      <c r="Q5870" s="45" t="s">
        <v>47</v>
      </c>
      <c r="R5870" s="45" t="s">
        <v>272</v>
      </c>
    </row>
    <row r="5871" spans="1:18" ht="69" customHeight="1">
      <c r="A5871" s="168"/>
      <c r="B5871" s="48">
        <f t="shared" si="11"/>
        <v>3010</v>
      </c>
      <c r="C5871" s="59" t="s">
        <v>3647</v>
      </c>
      <c r="D5871" s="581" t="s">
        <v>14460</v>
      </c>
      <c r="E5871" s="59" t="s">
        <v>4033</v>
      </c>
      <c r="F5871" s="569" t="s">
        <v>14461</v>
      </c>
      <c r="G5871" s="45" t="s">
        <v>14457</v>
      </c>
      <c r="H5871" s="546">
        <v>20559.27</v>
      </c>
      <c r="I5871" s="47">
        <v>45194</v>
      </c>
      <c r="J5871" s="73" t="s">
        <v>14458</v>
      </c>
      <c r="K5871" s="45"/>
      <c r="L5871" s="99"/>
      <c r="M5871" s="385"/>
      <c r="N5871" s="75"/>
      <c r="O5871" s="45" t="s">
        <v>441</v>
      </c>
      <c r="P5871" s="45" t="s">
        <v>22</v>
      </c>
      <c r="Q5871" s="45" t="s">
        <v>52</v>
      </c>
      <c r="R5871" s="45" t="s">
        <v>272</v>
      </c>
    </row>
    <row r="5872" spans="1:18" ht="69" customHeight="1">
      <c r="A5872" s="168"/>
      <c r="B5872" s="48">
        <f t="shared" si="11"/>
        <v>3011</v>
      </c>
      <c r="C5872" s="59" t="s">
        <v>458</v>
      </c>
      <c r="D5872" s="581" t="s">
        <v>5220</v>
      </c>
      <c r="E5872" s="59" t="s">
        <v>409</v>
      </c>
      <c r="F5872" s="569" t="s">
        <v>14462</v>
      </c>
      <c r="G5872" s="45" t="s">
        <v>13959</v>
      </c>
      <c r="H5872" s="546">
        <v>6413.99</v>
      </c>
      <c r="I5872" s="47">
        <v>45194</v>
      </c>
      <c r="J5872" s="73" t="s">
        <v>14463</v>
      </c>
      <c r="K5872" s="45"/>
      <c r="L5872" s="99"/>
      <c r="M5872" s="385"/>
      <c r="N5872" s="75"/>
      <c r="O5872" s="45" t="s">
        <v>8228</v>
      </c>
      <c r="P5872" s="45" t="s">
        <v>59</v>
      </c>
      <c r="Q5872" s="45" t="s">
        <v>112</v>
      </c>
      <c r="R5872" s="45" t="s">
        <v>272</v>
      </c>
    </row>
    <row r="5873" spans="1:18" ht="69" customHeight="1">
      <c r="A5873" s="168"/>
      <c r="B5873" s="48">
        <f t="shared" si="11"/>
        <v>3012</v>
      </c>
      <c r="C5873" s="59" t="s">
        <v>458</v>
      </c>
      <c r="D5873" s="581" t="s">
        <v>5223</v>
      </c>
      <c r="E5873" s="59" t="s">
        <v>409</v>
      </c>
      <c r="F5873" s="569" t="s">
        <v>14464</v>
      </c>
      <c r="G5873" s="45" t="s">
        <v>13959</v>
      </c>
      <c r="H5873" s="546">
        <v>25655.96</v>
      </c>
      <c r="I5873" s="47">
        <v>45194</v>
      </c>
      <c r="J5873" s="73" t="s">
        <v>14463</v>
      </c>
      <c r="K5873" s="45"/>
      <c r="L5873" s="99"/>
      <c r="M5873" s="385"/>
      <c r="N5873" s="75"/>
      <c r="O5873" s="45" t="s">
        <v>8228</v>
      </c>
      <c r="P5873" s="45" t="s">
        <v>59</v>
      </c>
      <c r="Q5873" s="45" t="s">
        <v>112</v>
      </c>
      <c r="R5873" s="45" t="s">
        <v>272</v>
      </c>
    </row>
    <row r="5874" spans="1:18" s="103" customFormat="1" ht="69" customHeight="1">
      <c r="A5874" s="169"/>
      <c r="B5874" s="52">
        <f t="shared" si="11"/>
        <v>3013</v>
      </c>
      <c r="C5874" s="191" t="s">
        <v>8080</v>
      </c>
      <c r="D5874" s="533" t="s">
        <v>9249</v>
      </c>
      <c r="E5874" s="191" t="s">
        <v>877</v>
      </c>
      <c r="F5874" s="211" t="s">
        <v>14465</v>
      </c>
      <c r="G5874" s="46" t="s">
        <v>12909</v>
      </c>
      <c r="H5874" s="534">
        <v>19732.68</v>
      </c>
      <c r="I5874" s="56">
        <v>45194</v>
      </c>
      <c r="J5874" s="199" t="s">
        <v>14466</v>
      </c>
      <c r="K5874" s="46" t="s">
        <v>1170</v>
      </c>
      <c r="L5874" s="99"/>
      <c r="M5874" s="388"/>
      <c r="N5874" s="108"/>
      <c r="O5874" s="46" t="s">
        <v>13240</v>
      </c>
      <c r="P5874" s="46" t="s">
        <v>71</v>
      </c>
      <c r="Q5874" s="46" t="s">
        <v>106</v>
      </c>
      <c r="R5874" s="46" t="s">
        <v>272</v>
      </c>
    </row>
    <row r="5875" spans="1:18" s="98" customFormat="1" ht="69" customHeight="1">
      <c r="A5875" s="169"/>
      <c r="B5875" s="52">
        <f t="shared" si="11"/>
        <v>3014</v>
      </c>
      <c r="C5875" s="191" t="s">
        <v>8529</v>
      </c>
      <c r="D5875" s="533" t="s">
        <v>5226</v>
      </c>
      <c r="E5875" s="191" t="s">
        <v>877</v>
      </c>
      <c r="F5875" s="211" t="s">
        <v>14467</v>
      </c>
      <c r="G5875" s="46" t="s">
        <v>12909</v>
      </c>
      <c r="H5875" s="534">
        <v>19732.68</v>
      </c>
      <c r="I5875" s="56">
        <v>45194</v>
      </c>
      <c r="J5875" s="199" t="s">
        <v>14466</v>
      </c>
      <c r="K5875" s="46" t="s">
        <v>1170</v>
      </c>
      <c r="L5875" s="99"/>
      <c r="M5875" s="385"/>
      <c r="N5875" s="75"/>
      <c r="O5875" s="46" t="s">
        <v>13240</v>
      </c>
      <c r="P5875" s="46" t="s">
        <v>71</v>
      </c>
      <c r="Q5875" s="46" t="s">
        <v>108</v>
      </c>
      <c r="R5875" s="46" t="s">
        <v>272</v>
      </c>
    </row>
    <row r="5876" spans="1:18" s="98" customFormat="1" ht="69" customHeight="1">
      <c r="A5876" s="169"/>
      <c r="B5876" s="52">
        <f t="shared" si="11"/>
        <v>3015</v>
      </c>
      <c r="C5876" s="191" t="s">
        <v>8703</v>
      </c>
      <c r="D5876" s="533" t="s">
        <v>14468</v>
      </c>
      <c r="E5876" s="191" t="s">
        <v>877</v>
      </c>
      <c r="F5876" s="211" t="s">
        <v>14469</v>
      </c>
      <c r="G5876" s="46" t="s">
        <v>12909</v>
      </c>
      <c r="H5876" s="534">
        <v>19732.68</v>
      </c>
      <c r="I5876" s="56">
        <v>45194</v>
      </c>
      <c r="J5876" s="199" t="s">
        <v>14466</v>
      </c>
      <c r="K5876" s="46" t="s">
        <v>1170</v>
      </c>
      <c r="L5876" s="99"/>
      <c r="M5876" s="397"/>
      <c r="N5876" s="80"/>
      <c r="O5876" s="46" t="s">
        <v>13240</v>
      </c>
      <c r="P5876" s="46" t="s">
        <v>71</v>
      </c>
      <c r="Q5876" s="46" t="s">
        <v>109</v>
      </c>
      <c r="R5876" s="46" t="s">
        <v>272</v>
      </c>
    </row>
    <row r="5877" spans="1:18" ht="69" customHeight="1">
      <c r="A5877" s="168"/>
      <c r="B5877" s="62">
        <f t="shared" si="11"/>
        <v>3016</v>
      </c>
      <c r="C5877" s="59" t="s">
        <v>13435</v>
      </c>
      <c r="D5877" s="545" t="s">
        <v>6613</v>
      </c>
      <c r="E5877" s="174" t="s">
        <v>4173</v>
      </c>
      <c r="F5877" s="58" t="s">
        <v>14470</v>
      </c>
      <c r="G5877" s="58" t="s">
        <v>14471</v>
      </c>
      <c r="H5877" s="546">
        <v>44258</v>
      </c>
      <c r="I5877" s="47">
        <v>45194</v>
      </c>
      <c r="J5877" s="65" t="s">
        <v>14472</v>
      </c>
      <c r="K5877" s="58"/>
      <c r="L5877" s="99"/>
      <c r="M5877" s="229"/>
      <c r="N5877" s="63"/>
      <c r="O5877" s="58" t="s">
        <v>441</v>
      </c>
      <c r="P5877" s="58" t="s">
        <v>22</v>
      </c>
      <c r="Q5877" s="58" t="s">
        <v>13</v>
      </c>
      <c r="R5877" s="58" t="s">
        <v>265</v>
      </c>
    </row>
    <row r="5878" spans="1:18" s="98" customFormat="1" ht="69" customHeight="1">
      <c r="A5878" s="169"/>
      <c r="B5878" s="48">
        <f t="shared" si="11"/>
        <v>3017</v>
      </c>
      <c r="C5878" s="59" t="s">
        <v>14473</v>
      </c>
      <c r="D5878" s="84" t="s">
        <v>14474</v>
      </c>
      <c r="E5878" s="45" t="s">
        <v>14370</v>
      </c>
      <c r="F5878" s="45" t="s">
        <v>14475</v>
      </c>
      <c r="G5878" s="45" t="s">
        <v>14476</v>
      </c>
      <c r="H5878" s="546">
        <v>43000</v>
      </c>
      <c r="I5878" s="47">
        <v>45214</v>
      </c>
      <c r="J5878" s="73" t="s">
        <v>14477</v>
      </c>
      <c r="K5878" s="45" t="s">
        <v>14478</v>
      </c>
      <c r="L5878" s="99"/>
      <c r="M5878" s="392"/>
      <c r="N5878" s="83"/>
      <c r="O5878" s="45" t="s">
        <v>13448</v>
      </c>
      <c r="P5878" s="45" t="s">
        <v>57</v>
      </c>
      <c r="Q5878" s="45" t="s">
        <v>47</v>
      </c>
      <c r="R5878" s="45" t="s">
        <v>272</v>
      </c>
    </row>
    <row r="5879" spans="1:18" ht="69" customHeight="1">
      <c r="A5879" s="168"/>
      <c r="B5879" s="62">
        <f t="shared" si="11"/>
        <v>3018</v>
      </c>
      <c r="C5879" s="59" t="s">
        <v>14479</v>
      </c>
      <c r="D5879" s="545" t="s">
        <v>13795</v>
      </c>
      <c r="E5879" s="58" t="s">
        <v>755</v>
      </c>
      <c r="F5879" s="58" t="s">
        <v>14480</v>
      </c>
      <c r="G5879" s="58" t="s">
        <v>14481</v>
      </c>
      <c r="H5879" s="546">
        <v>545765.28</v>
      </c>
      <c r="I5879" s="66">
        <v>45194</v>
      </c>
      <c r="J5879" s="65" t="s">
        <v>14482</v>
      </c>
      <c r="K5879" s="67"/>
      <c r="L5879" s="99"/>
      <c r="M5879" s="122"/>
      <c r="N5879" s="112"/>
      <c r="O5879" s="58" t="s">
        <v>1566</v>
      </c>
      <c r="P5879" s="58" t="s">
        <v>28</v>
      </c>
      <c r="Q5879" s="58" t="s">
        <v>27</v>
      </c>
      <c r="R5879" s="58" t="s">
        <v>272</v>
      </c>
    </row>
    <row r="5880" spans="1:18" ht="69" customHeight="1">
      <c r="A5880" s="168"/>
      <c r="B5880" s="62">
        <f t="shared" si="11"/>
        <v>3019</v>
      </c>
      <c r="C5880" s="178" t="s">
        <v>5558</v>
      </c>
      <c r="D5880" s="174" t="s">
        <v>14483</v>
      </c>
      <c r="E5880" s="174" t="s">
        <v>4173</v>
      </c>
      <c r="F5880" s="58" t="s">
        <v>14484</v>
      </c>
      <c r="G5880" s="131" t="s">
        <v>14485</v>
      </c>
      <c r="H5880" s="546">
        <v>48097</v>
      </c>
      <c r="I5880" s="66">
        <v>45194</v>
      </c>
      <c r="J5880" s="65" t="s">
        <v>14486</v>
      </c>
      <c r="K5880" s="58"/>
      <c r="L5880" s="99"/>
      <c r="M5880" s="233"/>
      <c r="N5880" s="113"/>
      <c r="O5880" s="58" t="s">
        <v>441</v>
      </c>
      <c r="P5880" s="58" t="s">
        <v>22</v>
      </c>
      <c r="Q5880" s="58" t="s">
        <v>64</v>
      </c>
      <c r="R5880" s="58" t="s">
        <v>265</v>
      </c>
    </row>
    <row r="5881" spans="1:18" s="98" customFormat="1" ht="69" customHeight="1">
      <c r="A5881" s="169"/>
      <c r="B5881" s="48">
        <f t="shared" si="11"/>
        <v>3020</v>
      </c>
      <c r="C5881" s="59" t="s">
        <v>13435</v>
      </c>
      <c r="D5881" s="84" t="s">
        <v>5646</v>
      </c>
      <c r="E5881" s="84" t="s">
        <v>4173</v>
      </c>
      <c r="F5881" s="45" t="s">
        <v>14487</v>
      </c>
      <c r="G5881" s="132" t="s">
        <v>14488</v>
      </c>
      <c r="H5881" s="546">
        <v>38842</v>
      </c>
      <c r="I5881" s="47">
        <v>45194</v>
      </c>
      <c r="J5881" s="73" t="s">
        <v>14489</v>
      </c>
      <c r="K5881" s="45"/>
      <c r="L5881" s="99"/>
      <c r="M5881" s="71"/>
      <c r="N5881" s="81"/>
      <c r="O5881" s="45" t="s">
        <v>441</v>
      </c>
      <c r="P5881" s="45" t="s">
        <v>22</v>
      </c>
      <c r="Q5881" s="45" t="s">
        <v>13</v>
      </c>
      <c r="R5881" s="45" t="s">
        <v>265</v>
      </c>
    </row>
    <row r="5882" spans="1:18" ht="69" customHeight="1">
      <c r="A5882" s="168"/>
      <c r="B5882" s="62">
        <f t="shared" si="11"/>
        <v>3021</v>
      </c>
      <c r="C5882" s="59" t="s">
        <v>3667</v>
      </c>
      <c r="D5882" s="174" t="s">
        <v>14490</v>
      </c>
      <c r="E5882" s="174" t="s">
        <v>14491</v>
      </c>
      <c r="F5882" s="58" t="s">
        <v>14492</v>
      </c>
      <c r="G5882" s="132" t="s">
        <v>14493</v>
      </c>
      <c r="H5882" s="546">
        <v>58950</v>
      </c>
      <c r="I5882" s="66">
        <v>45184</v>
      </c>
      <c r="J5882" s="65" t="s">
        <v>14494</v>
      </c>
      <c r="K5882" s="58"/>
      <c r="L5882" s="99"/>
      <c r="M5882" s="229"/>
      <c r="N5882" s="63"/>
      <c r="O5882" s="58" t="s">
        <v>175</v>
      </c>
      <c r="P5882" s="58" t="s">
        <v>59</v>
      </c>
      <c r="Q5882" s="58" t="s">
        <v>84</v>
      </c>
      <c r="R5882" s="58" t="s">
        <v>265</v>
      </c>
    </row>
    <row r="5883" spans="1:18" s="98" customFormat="1" ht="69" customHeight="1">
      <c r="A5883" s="169"/>
      <c r="B5883" s="52">
        <f t="shared" si="11"/>
        <v>3022</v>
      </c>
      <c r="C5883" s="51" t="s">
        <v>10418</v>
      </c>
      <c r="D5883" s="251" t="s">
        <v>10567</v>
      </c>
      <c r="E5883" s="53" t="s">
        <v>266</v>
      </c>
      <c r="F5883" s="46" t="s">
        <v>14495</v>
      </c>
      <c r="G5883" s="46" t="s">
        <v>14496</v>
      </c>
      <c r="H5883" s="534">
        <v>295</v>
      </c>
      <c r="I5883" s="56">
        <v>45194</v>
      </c>
      <c r="J5883" s="199" t="s">
        <v>14497</v>
      </c>
      <c r="K5883" s="46" t="s">
        <v>12981</v>
      </c>
      <c r="L5883" s="99"/>
      <c r="M5883" s="396"/>
      <c r="N5883" s="114"/>
      <c r="O5883" s="46" t="s">
        <v>14498</v>
      </c>
      <c r="P5883" s="46" t="s">
        <v>65</v>
      </c>
      <c r="Q5883" s="46" t="s">
        <v>121</v>
      </c>
      <c r="R5883" s="46" t="s">
        <v>272</v>
      </c>
    </row>
    <row r="5884" spans="1:18" s="104" customFormat="1" ht="69" customHeight="1">
      <c r="A5884" s="169"/>
      <c r="B5884" s="52">
        <f t="shared" si="11"/>
        <v>3023</v>
      </c>
      <c r="C5884" s="191" t="s">
        <v>1333</v>
      </c>
      <c r="D5884" s="533" t="s">
        <v>6237</v>
      </c>
      <c r="E5884" s="191" t="s">
        <v>877</v>
      </c>
      <c r="F5884" s="211" t="s">
        <v>14499</v>
      </c>
      <c r="G5884" s="46" t="s">
        <v>13495</v>
      </c>
      <c r="H5884" s="534">
        <v>19705.09</v>
      </c>
      <c r="I5884" s="56">
        <v>45194</v>
      </c>
      <c r="J5884" s="199" t="s">
        <v>14500</v>
      </c>
      <c r="K5884" s="46" t="s">
        <v>167</v>
      </c>
      <c r="L5884" s="99"/>
      <c r="M5884" s="388"/>
      <c r="N5884" s="108"/>
      <c r="O5884" s="46" t="s">
        <v>1171</v>
      </c>
      <c r="P5884" s="46" t="s">
        <v>71</v>
      </c>
      <c r="Q5884" s="46" t="s">
        <v>25</v>
      </c>
      <c r="R5884" s="46" t="s">
        <v>272</v>
      </c>
    </row>
    <row r="5885" spans="1:18" ht="69" customHeight="1">
      <c r="A5885" s="168"/>
      <c r="B5885" s="62">
        <f t="shared" si="11"/>
        <v>3024</v>
      </c>
      <c r="C5885" s="69" t="s">
        <v>2182</v>
      </c>
      <c r="D5885" s="174" t="s">
        <v>5199</v>
      </c>
      <c r="E5885" s="58" t="s">
        <v>3721</v>
      </c>
      <c r="F5885" s="569" t="s">
        <v>14501</v>
      </c>
      <c r="G5885" s="45" t="s">
        <v>14502</v>
      </c>
      <c r="H5885" s="546">
        <v>25216</v>
      </c>
      <c r="I5885" s="47">
        <v>45194</v>
      </c>
      <c r="J5885" s="65" t="s">
        <v>14503</v>
      </c>
      <c r="K5885" s="58"/>
      <c r="L5885" s="99"/>
      <c r="M5885" s="70"/>
      <c r="N5885" s="97"/>
      <c r="O5885" s="58" t="s">
        <v>441</v>
      </c>
      <c r="P5885" s="58" t="s">
        <v>22</v>
      </c>
      <c r="Q5885" s="58" t="s">
        <v>31</v>
      </c>
      <c r="R5885" s="58" t="s">
        <v>265</v>
      </c>
    </row>
    <row r="5886" spans="1:18" ht="69" customHeight="1">
      <c r="A5886" s="168"/>
      <c r="B5886" s="48">
        <f t="shared" si="11"/>
        <v>3025</v>
      </c>
      <c r="C5886" s="59" t="s">
        <v>5558</v>
      </c>
      <c r="D5886" s="581" t="s">
        <v>14504</v>
      </c>
      <c r="E5886" s="59" t="s">
        <v>4033</v>
      </c>
      <c r="F5886" s="569" t="s">
        <v>14505</v>
      </c>
      <c r="G5886" s="45" t="s">
        <v>14506</v>
      </c>
      <c r="H5886" s="546">
        <v>256358.39999999999</v>
      </c>
      <c r="I5886" s="47">
        <v>45194</v>
      </c>
      <c r="J5886" s="73" t="s">
        <v>14507</v>
      </c>
      <c r="K5886" s="45"/>
      <c r="L5886" s="99"/>
      <c r="M5886" s="385"/>
      <c r="N5886" s="75"/>
      <c r="O5886" s="45" t="s">
        <v>441</v>
      </c>
      <c r="P5886" s="45" t="s">
        <v>22</v>
      </c>
      <c r="Q5886" s="45" t="s">
        <v>64</v>
      </c>
      <c r="R5886" s="45" t="s">
        <v>272</v>
      </c>
    </row>
    <row r="5887" spans="1:18" ht="69" customHeight="1">
      <c r="A5887" s="168"/>
      <c r="B5887" s="48">
        <f t="shared" si="11"/>
        <v>3026</v>
      </c>
      <c r="C5887" s="45" t="s">
        <v>657</v>
      </c>
      <c r="D5887" s="84" t="s">
        <v>14508</v>
      </c>
      <c r="E5887" s="44" t="s">
        <v>7649</v>
      </c>
      <c r="F5887" s="45" t="s">
        <v>14509</v>
      </c>
      <c r="G5887" s="45" t="s">
        <v>14510</v>
      </c>
      <c r="H5887" s="546">
        <v>62248.03</v>
      </c>
      <c r="I5887" s="47">
        <v>45194</v>
      </c>
      <c r="J5887" s="73" t="s">
        <v>14511</v>
      </c>
      <c r="K5887" s="45"/>
      <c r="L5887" s="99"/>
      <c r="M5887" s="385"/>
      <c r="N5887" s="75"/>
      <c r="O5887" s="45" t="s">
        <v>147</v>
      </c>
      <c r="P5887" s="45" t="s">
        <v>22</v>
      </c>
      <c r="Q5887" s="45" t="s">
        <v>97</v>
      </c>
      <c r="R5887" s="58" t="s">
        <v>272</v>
      </c>
    </row>
    <row r="5888" spans="1:18" ht="69" customHeight="1">
      <c r="A5888" s="168"/>
      <c r="B5888" s="48">
        <f t="shared" si="11"/>
        <v>3027</v>
      </c>
      <c r="C5888" s="45" t="s">
        <v>657</v>
      </c>
      <c r="D5888" s="84" t="s">
        <v>14512</v>
      </c>
      <c r="E5888" s="44" t="s">
        <v>7649</v>
      </c>
      <c r="F5888" s="45" t="s">
        <v>14513</v>
      </c>
      <c r="G5888" s="45" t="s">
        <v>14514</v>
      </c>
      <c r="H5888" s="546">
        <v>33518.17</v>
      </c>
      <c r="I5888" s="47">
        <v>45194</v>
      </c>
      <c r="J5888" s="73" t="s">
        <v>14511</v>
      </c>
      <c r="K5888" s="45"/>
      <c r="L5888" s="99"/>
      <c r="M5888" s="385"/>
      <c r="N5888" s="75"/>
      <c r="O5888" s="45" t="s">
        <v>147</v>
      </c>
      <c r="P5888" s="45" t="s">
        <v>22</v>
      </c>
      <c r="Q5888" s="45" t="s">
        <v>97</v>
      </c>
      <c r="R5888" s="58" t="s">
        <v>272</v>
      </c>
    </row>
    <row r="5889" spans="1:18" s="98" customFormat="1" ht="69" customHeight="1">
      <c r="A5889" s="169"/>
      <c r="B5889" s="48">
        <f t="shared" si="11"/>
        <v>3028</v>
      </c>
      <c r="C5889" s="44" t="s">
        <v>1853</v>
      </c>
      <c r="D5889" s="84" t="s">
        <v>6889</v>
      </c>
      <c r="E5889" s="44" t="s">
        <v>3721</v>
      </c>
      <c r="F5889" s="45" t="s">
        <v>14515</v>
      </c>
      <c r="G5889" s="45" t="s">
        <v>14516</v>
      </c>
      <c r="H5889" s="546">
        <v>45150</v>
      </c>
      <c r="I5889" s="47">
        <v>45194</v>
      </c>
      <c r="J5889" s="73" t="s">
        <v>14517</v>
      </c>
      <c r="K5889" s="45"/>
      <c r="L5889" s="99"/>
      <c r="M5889" s="385"/>
      <c r="N5889" s="75"/>
      <c r="O5889" s="45" t="s">
        <v>441</v>
      </c>
      <c r="P5889" s="45" t="s">
        <v>22</v>
      </c>
      <c r="Q5889" s="45" t="s">
        <v>29</v>
      </c>
      <c r="R5889" s="45" t="s">
        <v>265</v>
      </c>
    </row>
    <row r="5890" spans="1:18" ht="69" customHeight="1">
      <c r="A5890" s="168"/>
      <c r="B5890" s="48">
        <f t="shared" si="11"/>
        <v>3029</v>
      </c>
      <c r="C5890" s="45" t="s">
        <v>458</v>
      </c>
      <c r="D5890" s="84" t="s">
        <v>5867</v>
      </c>
      <c r="E5890" s="44" t="s">
        <v>7649</v>
      </c>
      <c r="F5890" s="45" t="s">
        <v>14518</v>
      </c>
      <c r="G5890" s="45" t="s">
        <v>14519</v>
      </c>
      <c r="H5890" s="546">
        <v>23386.84</v>
      </c>
      <c r="I5890" s="47">
        <v>45194</v>
      </c>
      <c r="J5890" s="73" t="s">
        <v>14520</v>
      </c>
      <c r="K5890" s="45" t="s">
        <v>14521</v>
      </c>
      <c r="L5890" s="99"/>
      <c r="M5890" s="385"/>
      <c r="N5890" s="75"/>
      <c r="O5890" s="45" t="s">
        <v>147</v>
      </c>
      <c r="P5890" s="58" t="s">
        <v>22</v>
      </c>
      <c r="Q5890" s="58" t="s">
        <v>107</v>
      </c>
      <c r="R5890" s="58" t="s">
        <v>272</v>
      </c>
    </row>
    <row r="5891" spans="1:18" ht="69" customHeight="1">
      <c r="A5891" s="168"/>
      <c r="B5891" s="48">
        <f t="shared" si="11"/>
        <v>3030</v>
      </c>
      <c r="C5891" s="45" t="s">
        <v>458</v>
      </c>
      <c r="D5891" s="84" t="s">
        <v>6221</v>
      </c>
      <c r="E5891" s="44" t="s">
        <v>7649</v>
      </c>
      <c r="F5891" s="45" t="s">
        <v>14522</v>
      </c>
      <c r="G5891" s="45" t="s">
        <v>14523</v>
      </c>
      <c r="H5891" s="546">
        <v>12592.91</v>
      </c>
      <c r="I5891" s="47">
        <v>45194</v>
      </c>
      <c r="J5891" s="73" t="s">
        <v>14517</v>
      </c>
      <c r="K5891" s="45" t="s">
        <v>14521</v>
      </c>
      <c r="L5891" s="99"/>
      <c r="M5891" s="385"/>
      <c r="N5891" s="75"/>
      <c r="O5891" s="45" t="s">
        <v>147</v>
      </c>
      <c r="P5891" s="58" t="s">
        <v>22</v>
      </c>
      <c r="Q5891" s="58" t="s">
        <v>107</v>
      </c>
      <c r="R5891" s="58" t="s">
        <v>272</v>
      </c>
    </row>
    <row r="5892" spans="1:18" ht="69" customHeight="1">
      <c r="A5892" s="168"/>
      <c r="B5892" s="62">
        <v>3031</v>
      </c>
      <c r="C5892" s="58" t="s">
        <v>13435</v>
      </c>
      <c r="D5892" s="174" t="s">
        <v>5537</v>
      </c>
      <c r="E5892" s="72" t="s">
        <v>4173</v>
      </c>
      <c r="F5892" s="58" t="s">
        <v>14524</v>
      </c>
      <c r="G5892" s="58" t="s">
        <v>14525</v>
      </c>
      <c r="H5892" s="546">
        <v>33024.730000000003</v>
      </c>
      <c r="I5892" s="66">
        <v>45194</v>
      </c>
      <c r="J5892" s="65" t="s">
        <v>14520</v>
      </c>
      <c r="K5892" s="58"/>
      <c r="L5892" s="99"/>
      <c r="M5892" s="70"/>
      <c r="N5892" s="97"/>
      <c r="O5892" s="58" t="s">
        <v>441</v>
      </c>
      <c r="P5892" s="58" t="s">
        <v>22</v>
      </c>
      <c r="Q5892" s="58" t="s">
        <v>13</v>
      </c>
      <c r="R5892" s="58" t="s">
        <v>265</v>
      </c>
    </row>
    <row r="5893" spans="1:18" ht="69" customHeight="1">
      <c r="A5893" s="168"/>
      <c r="B5893" s="62">
        <v>3032</v>
      </c>
      <c r="C5893" s="59" t="s">
        <v>9004</v>
      </c>
      <c r="D5893" s="174" t="s">
        <v>14526</v>
      </c>
      <c r="E5893" s="178" t="s">
        <v>358</v>
      </c>
      <c r="F5893" s="58" t="s">
        <v>14527</v>
      </c>
      <c r="G5893" s="58" t="s">
        <v>14528</v>
      </c>
      <c r="H5893" s="546">
        <v>540000</v>
      </c>
      <c r="I5893" s="66">
        <v>45194</v>
      </c>
      <c r="J5893" s="65" t="s">
        <v>14529</v>
      </c>
      <c r="K5893" s="58"/>
      <c r="L5893" s="99"/>
      <c r="M5893" s="70"/>
      <c r="N5893" s="97"/>
      <c r="O5893" s="58" t="s">
        <v>141</v>
      </c>
      <c r="P5893" s="58" t="s">
        <v>19</v>
      </c>
      <c r="Q5893" s="58" t="s">
        <v>111</v>
      </c>
      <c r="R5893" s="58" t="s">
        <v>272</v>
      </c>
    </row>
    <row r="5894" spans="1:18" ht="69" customHeight="1">
      <c r="A5894" s="168"/>
      <c r="B5894" s="62">
        <v>3033</v>
      </c>
      <c r="C5894" s="59" t="s">
        <v>9004</v>
      </c>
      <c r="D5894" s="174" t="s">
        <v>14530</v>
      </c>
      <c r="E5894" s="178" t="s">
        <v>358</v>
      </c>
      <c r="F5894" s="58" t="s">
        <v>14531</v>
      </c>
      <c r="G5894" s="58" t="s">
        <v>14528</v>
      </c>
      <c r="H5894" s="546">
        <v>762800</v>
      </c>
      <c r="I5894" s="66">
        <v>45194</v>
      </c>
      <c r="J5894" s="65" t="s">
        <v>14529</v>
      </c>
      <c r="K5894" s="58"/>
      <c r="L5894" s="99"/>
      <c r="M5894" s="70"/>
      <c r="N5894" s="97"/>
      <c r="O5894" s="58" t="s">
        <v>141</v>
      </c>
      <c r="P5894" s="58" t="s">
        <v>19</v>
      </c>
      <c r="Q5894" s="58" t="s">
        <v>111</v>
      </c>
      <c r="R5894" s="58" t="s">
        <v>272</v>
      </c>
    </row>
    <row r="5895" spans="1:18" ht="69" customHeight="1">
      <c r="A5895" s="168"/>
      <c r="B5895" s="62">
        <v>3034</v>
      </c>
      <c r="C5895" s="59" t="s">
        <v>9322</v>
      </c>
      <c r="D5895" s="174" t="s">
        <v>14532</v>
      </c>
      <c r="E5895" s="178" t="s">
        <v>358</v>
      </c>
      <c r="F5895" s="58" t="s">
        <v>14533</v>
      </c>
      <c r="G5895" s="58" t="s">
        <v>14528</v>
      </c>
      <c r="H5895" s="546">
        <v>14000</v>
      </c>
      <c r="I5895" s="66">
        <v>45194</v>
      </c>
      <c r="J5895" s="65" t="s">
        <v>14534</v>
      </c>
      <c r="K5895" s="58"/>
      <c r="L5895" s="99"/>
      <c r="M5895" s="70"/>
      <c r="N5895" s="97"/>
      <c r="O5895" s="58" t="s">
        <v>141</v>
      </c>
      <c r="P5895" s="58" t="s">
        <v>19</v>
      </c>
      <c r="Q5895" s="58" t="s">
        <v>114</v>
      </c>
      <c r="R5895" s="58" t="s">
        <v>272</v>
      </c>
    </row>
    <row r="5896" spans="1:18" ht="69" customHeight="1">
      <c r="A5896" s="168"/>
      <c r="B5896" s="62">
        <v>3035</v>
      </c>
      <c r="C5896" s="178" t="s">
        <v>9596</v>
      </c>
      <c r="D5896" s="174" t="s">
        <v>861</v>
      </c>
      <c r="E5896" s="178" t="s">
        <v>358</v>
      </c>
      <c r="F5896" s="58" t="s">
        <v>14535</v>
      </c>
      <c r="G5896" s="58" t="s">
        <v>14528</v>
      </c>
      <c r="H5896" s="546">
        <v>89235.86</v>
      </c>
      <c r="I5896" s="66">
        <v>45194</v>
      </c>
      <c r="J5896" s="65" t="s">
        <v>14534</v>
      </c>
      <c r="K5896" s="58"/>
      <c r="L5896" s="99"/>
      <c r="M5896" s="70"/>
      <c r="N5896" s="97"/>
      <c r="O5896" s="58" t="s">
        <v>141</v>
      </c>
      <c r="P5896" s="58" t="s">
        <v>19</v>
      </c>
      <c r="Q5896" s="58" t="s">
        <v>118</v>
      </c>
      <c r="R5896" s="58" t="s">
        <v>272</v>
      </c>
    </row>
    <row r="5897" spans="1:18" ht="69" customHeight="1">
      <c r="A5897" s="168"/>
      <c r="B5897" s="62">
        <v>3036</v>
      </c>
      <c r="C5897" s="59" t="s">
        <v>11908</v>
      </c>
      <c r="D5897" s="174" t="s">
        <v>4539</v>
      </c>
      <c r="E5897" s="178" t="s">
        <v>358</v>
      </c>
      <c r="F5897" s="58" t="s">
        <v>14536</v>
      </c>
      <c r="G5897" s="58" t="s">
        <v>14528</v>
      </c>
      <c r="H5897" s="546">
        <v>80000</v>
      </c>
      <c r="I5897" s="66">
        <v>45194</v>
      </c>
      <c r="J5897" s="65" t="s">
        <v>14537</v>
      </c>
      <c r="K5897" s="58"/>
      <c r="L5897" s="99"/>
      <c r="M5897" s="70"/>
      <c r="N5897" s="97"/>
      <c r="O5897" s="58" t="s">
        <v>141</v>
      </c>
      <c r="P5897" s="58" t="s">
        <v>19</v>
      </c>
      <c r="Q5897" s="58" t="s">
        <v>103</v>
      </c>
      <c r="R5897" s="58" t="s">
        <v>272</v>
      </c>
    </row>
    <row r="5898" spans="1:18" ht="69" customHeight="1">
      <c r="A5898" s="168"/>
      <c r="B5898" s="62">
        <v>3037</v>
      </c>
      <c r="C5898" s="178" t="s">
        <v>11568</v>
      </c>
      <c r="D5898" s="174" t="s">
        <v>4541</v>
      </c>
      <c r="E5898" s="178" t="s">
        <v>358</v>
      </c>
      <c r="F5898" s="58" t="s">
        <v>14538</v>
      </c>
      <c r="G5898" s="58" t="s">
        <v>14539</v>
      </c>
      <c r="H5898" s="546">
        <v>50000</v>
      </c>
      <c r="I5898" s="66">
        <v>45194</v>
      </c>
      <c r="J5898" s="65" t="s">
        <v>14540</v>
      </c>
      <c r="K5898" s="58"/>
      <c r="L5898" s="99"/>
      <c r="M5898" s="70"/>
      <c r="N5898" s="97"/>
      <c r="O5898" s="58" t="s">
        <v>141</v>
      </c>
      <c r="P5898" s="58" t="s">
        <v>19</v>
      </c>
      <c r="Q5898" s="58" t="s">
        <v>107</v>
      </c>
      <c r="R5898" s="58" t="s">
        <v>272</v>
      </c>
    </row>
    <row r="5899" spans="1:18" s="98" customFormat="1" ht="69" customHeight="1">
      <c r="A5899" s="169"/>
      <c r="B5899" s="48">
        <v>3038</v>
      </c>
      <c r="C5899" s="59" t="s">
        <v>1593</v>
      </c>
      <c r="D5899" s="581" t="s">
        <v>10795</v>
      </c>
      <c r="E5899" s="59" t="s">
        <v>809</v>
      </c>
      <c r="F5899" s="569" t="s">
        <v>14541</v>
      </c>
      <c r="G5899" s="45" t="s">
        <v>14542</v>
      </c>
      <c r="H5899" s="546">
        <v>17833.330000000002</v>
      </c>
      <c r="I5899" s="66">
        <v>45194</v>
      </c>
      <c r="J5899" s="73" t="s">
        <v>14543</v>
      </c>
      <c r="K5899" s="45"/>
      <c r="L5899" s="99"/>
      <c r="M5899" s="385"/>
      <c r="N5899" s="75"/>
      <c r="O5899" s="45" t="s">
        <v>8711</v>
      </c>
      <c r="P5899" s="45" t="s">
        <v>36</v>
      </c>
      <c r="Q5899" s="45" t="s">
        <v>27</v>
      </c>
      <c r="R5899" s="45" t="s">
        <v>272</v>
      </c>
    </row>
    <row r="5900" spans="1:18" s="98" customFormat="1" ht="69" customHeight="1">
      <c r="A5900" s="169"/>
      <c r="B5900" s="48">
        <v>3039</v>
      </c>
      <c r="C5900" s="59" t="s">
        <v>4277</v>
      </c>
      <c r="D5900" s="581" t="s">
        <v>14544</v>
      </c>
      <c r="E5900" s="59" t="s">
        <v>809</v>
      </c>
      <c r="F5900" s="569" t="s">
        <v>14545</v>
      </c>
      <c r="G5900" s="45" t="s">
        <v>14542</v>
      </c>
      <c r="H5900" s="546">
        <v>17833.330000000002</v>
      </c>
      <c r="I5900" s="66">
        <v>45194</v>
      </c>
      <c r="J5900" s="73" t="s">
        <v>14543</v>
      </c>
      <c r="K5900" s="45"/>
      <c r="L5900" s="99"/>
      <c r="M5900" s="385"/>
      <c r="N5900" s="75"/>
      <c r="O5900" s="45" t="s">
        <v>8711</v>
      </c>
      <c r="P5900" s="45" t="s">
        <v>36</v>
      </c>
      <c r="Q5900" s="45" t="s">
        <v>56</v>
      </c>
      <c r="R5900" s="45" t="s">
        <v>272</v>
      </c>
    </row>
    <row r="5901" spans="1:18" s="98" customFormat="1" ht="69" customHeight="1">
      <c r="A5901" s="169"/>
      <c r="B5901" s="48">
        <v>3040</v>
      </c>
      <c r="C5901" s="59" t="s">
        <v>4277</v>
      </c>
      <c r="D5901" s="581" t="s">
        <v>14546</v>
      </c>
      <c r="E5901" s="59" t="s">
        <v>809</v>
      </c>
      <c r="F5901" s="569" t="s">
        <v>14547</v>
      </c>
      <c r="G5901" s="45" t="s">
        <v>14542</v>
      </c>
      <c r="H5901" s="546">
        <v>17833.330000000002</v>
      </c>
      <c r="I5901" s="66">
        <v>45194</v>
      </c>
      <c r="J5901" s="73" t="s">
        <v>14543</v>
      </c>
      <c r="K5901" s="45"/>
      <c r="L5901" s="99"/>
      <c r="M5901" s="385"/>
      <c r="N5901" s="75"/>
      <c r="O5901" s="45" t="s">
        <v>8711</v>
      </c>
      <c r="P5901" s="45" t="s">
        <v>36</v>
      </c>
      <c r="Q5901" s="45" t="s">
        <v>58</v>
      </c>
      <c r="R5901" s="45" t="s">
        <v>272</v>
      </c>
    </row>
    <row r="5902" spans="1:18" ht="69" customHeight="1">
      <c r="A5902" s="168"/>
      <c r="B5902" s="62">
        <v>3041</v>
      </c>
      <c r="C5902" s="59" t="s">
        <v>9322</v>
      </c>
      <c r="D5902" s="174" t="s">
        <v>4120</v>
      </c>
      <c r="E5902" s="178" t="s">
        <v>382</v>
      </c>
      <c r="F5902" s="58" t="s">
        <v>14548</v>
      </c>
      <c r="G5902" s="58" t="s">
        <v>14549</v>
      </c>
      <c r="H5902" s="546">
        <v>5821.02</v>
      </c>
      <c r="I5902" s="66">
        <v>45194</v>
      </c>
      <c r="J5902" s="65" t="s">
        <v>14550</v>
      </c>
      <c r="K5902" s="58"/>
      <c r="L5902" s="99"/>
      <c r="M5902" s="70" t="s">
        <v>8045</v>
      </c>
      <c r="N5902" s="97" t="s">
        <v>387</v>
      </c>
      <c r="O5902" s="58" t="s">
        <v>150</v>
      </c>
      <c r="P5902" s="58" t="s">
        <v>51</v>
      </c>
      <c r="Q5902" s="58" t="s">
        <v>114</v>
      </c>
      <c r="R5902" s="58" t="s">
        <v>265</v>
      </c>
    </row>
    <row r="5903" spans="1:18" s="98" customFormat="1" ht="69" customHeight="1">
      <c r="A5903" s="169"/>
      <c r="B5903" s="52">
        <v>3042</v>
      </c>
      <c r="C5903" s="191" t="s">
        <v>2182</v>
      </c>
      <c r="D5903" s="251" t="s">
        <v>5736</v>
      </c>
      <c r="E5903" s="191" t="s">
        <v>14071</v>
      </c>
      <c r="F5903" s="46" t="s">
        <v>14551</v>
      </c>
      <c r="G5903" s="46" t="s">
        <v>14552</v>
      </c>
      <c r="H5903" s="534">
        <v>828</v>
      </c>
      <c r="I5903" s="56">
        <v>45200</v>
      </c>
      <c r="J5903" s="199" t="s">
        <v>14553</v>
      </c>
      <c r="K5903" s="46" t="s">
        <v>1170</v>
      </c>
      <c r="L5903" s="99"/>
      <c r="M5903" s="385"/>
      <c r="N5903" s="75"/>
      <c r="O5903" s="46" t="s">
        <v>14554</v>
      </c>
      <c r="P5903" s="46" t="s">
        <v>65</v>
      </c>
      <c r="Q5903" s="46" t="s">
        <v>31</v>
      </c>
      <c r="R5903" s="46" t="s">
        <v>272</v>
      </c>
    </row>
    <row r="5904" spans="1:18" s="98" customFormat="1" ht="69" customHeight="1">
      <c r="A5904" s="169"/>
      <c r="B5904" s="52">
        <v>3043</v>
      </c>
      <c r="C5904" s="191" t="s">
        <v>1853</v>
      </c>
      <c r="D5904" s="251" t="s">
        <v>4106</v>
      </c>
      <c r="E5904" s="191" t="s">
        <v>14071</v>
      </c>
      <c r="F5904" s="46" t="s">
        <v>14555</v>
      </c>
      <c r="G5904" s="46" t="s">
        <v>14552</v>
      </c>
      <c r="H5904" s="534">
        <v>828</v>
      </c>
      <c r="I5904" s="56">
        <v>45200</v>
      </c>
      <c r="J5904" s="199" t="s">
        <v>14553</v>
      </c>
      <c r="K5904" s="46" t="s">
        <v>1170</v>
      </c>
      <c r="L5904" s="99"/>
      <c r="M5904" s="385"/>
      <c r="N5904" s="75"/>
      <c r="O5904" s="46" t="s">
        <v>14554</v>
      </c>
      <c r="P5904" s="46" t="s">
        <v>65</v>
      </c>
      <c r="Q5904" s="46" t="s">
        <v>29</v>
      </c>
      <c r="R5904" s="46" t="s">
        <v>272</v>
      </c>
    </row>
    <row r="5905" spans="1:18" s="98" customFormat="1" ht="69" customHeight="1">
      <c r="A5905" s="169"/>
      <c r="B5905" s="52">
        <v>3044</v>
      </c>
      <c r="C5905" s="51" t="s">
        <v>11047</v>
      </c>
      <c r="D5905" s="251" t="s">
        <v>4110</v>
      </c>
      <c r="E5905" s="191" t="s">
        <v>14071</v>
      </c>
      <c r="F5905" s="46" t="s">
        <v>14556</v>
      </c>
      <c r="G5905" s="46" t="s">
        <v>14552</v>
      </c>
      <c r="H5905" s="534">
        <v>828</v>
      </c>
      <c r="I5905" s="56">
        <v>45200</v>
      </c>
      <c r="J5905" s="199" t="s">
        <v>14553</v>
      </c>
      <c r="K5905" s="46" t="s">
        <v>1170</v>
      </c>
      <c r="L5905" s="99"/>
      <c r="M5905" s="385"/>
      <c r="N5905" s="75"/>
      <c r="O5905" s="46" t="s">
        <v>14554</v>
      </c>
      <c r="P5905" s="46" t="s">
        <v>65</v>
      </c>
      <c r="Q5905" s="46" t="s">
        <v>33</v>
      </c>
      <c r="R5905" s="46" t="s">
        <v>272</v>
      </c>
    </row>
    <row r="5906" spans="1:18" ht="69" customHeight="1">
      <c r="A5906" s="168"/>
      <c r="B5906" s="62">
        <v>3045</v>
      </c>
      <c r="C5906" s="178" t="s">
        <v>581</v>
      </c>
      <c r="D5906" s="174" t="s">
        <v>5867</v>
      </c>
      <c r="E5906" s="58" t="s">
        <v>14355</v>
      </c>
      <c r="F5906" s="45" t="s">
        <v>14557</v>
      </c>
      <c r="G5906" s="45" t="s">
        <v>14357</v>
      </c>
      <c r="H5906" s="546">
        <v>70008.5</v>
      </c>
      <c r="I5906" s="66">
        <v>45194</v>
      </c>
      <c r="J5906" s="65" t="s">
        <v>14558</v>
      </c>
      <c r="K5906" s="58"/>
      <c r="L5906" s="99"/>
      <c r="M5906" s="70"/>
      <c r="N5906" s="97"/>
      <c r="O5906" s="58" t="s">
        <v>14160</v>
      </c>
      <c r="P5906" s="58" t="s">
        <v>26</v>
      </c>
      <c r="Q5906" s="58" t="s">
        <v>18</v>
      </c>
      <c r="R5906" s="58" t="s">
        <v>272</v>
      </c>
    </row>
    <row r="5907" spans="1:18" ht="69" customHeight="1">
      <c r="A5907" s="168"/>
      <c r="B5907" s="172">
        <v>3046</v>
      </c>
      <c r="C5907" s="171" t="s">
        <v>458</v>
      </c>
      <c r="D5907" s="541" t="s">
        <v>4720</v>
      </c>
      <c r="E5907" s="171" t="s">
        <v>358</v>
      </c>
      <c r="F5907" s="100" t="s">
        <v>14559</v>
      </c>
      <c r="G5907" s="100" t="s">
        <v>14560</v>
      </c>
      <c r="H5907" s="534">
        <v>0</v>
      </c>
      <c r="I5907" s="96">
        <v>45194</v>
      </c>
      <c r="J5907" s="268" t="s">
        <v>14561</v>
      </c>
      <c r="K5907" s="100"/>
      <c r="L5907" s="99"/>
      <c r="M5907" s="382"/>
      <c r="N5907" s="101"/>
      <c r="O5907" s="102" t="s">
        <v>141</v>
      </c>
      <c r="P5907" s="102" t="s">
        <v>19</v>
      </c>
      <c r="Q5907" s="102" t="s">
        <v>113</v>
      </c>
      <c r="R5907" s="102" t="s">
        <v>272</v>
      </c>
    </row>
    <row r="5908" spans="1:18" s="98" customFormat="1" ht="69" customHeight="1">
      <c r="A5908" s="169"/>
      <c r="B5908" s="48">
        <v>3047</v>
      </c>
      <c r="C5908" s="59" t="s">
        <v>13665</v>
      </c>
      <c r="D5908" s="84" t="s">
        <v>6755</v>
      </c>
      <c r="E5908" s="59" t="s">
        <v>14562</v>
      </c>
      <c r="F5908" s="45" t="s">
        <v>14563</v>
      </c>
      <c r="G5908" s="45" t="s">
        <v>14564</v>
      </c>
      <c r="H5908" s="546">
        <v>400000</v>
      </c>
      <c r="I5908" s="47">
        <v>45194</v>
      </c>
      <c r="J5908" s="73" t="s">
        <v>14565</v>
      </c>
      <c r="K5908" s="45" t="s">
        <v>14566</v>
      </c>
      <c r="L5908" s="99"/>
      <c r="M5908" s="388"/>
      <c r="N5908" s="108"/>
      <c r="O5908" s="45" t="s">
        <v>156</v>
      </c>
      <c r="P5908" s="45" t="s">
        <v>19</v>
      </c>
      <c r="Q5908" s="45" t="s">
        <v>93</v>
      </c>
      <c r="R5908" s="45" t="s">
        <v>272</v>
      </c>
    </row>
    <row r="5909" spans="1:18" ht="69" customHeight="1">
      <c r="A5909" s="168"/>
      <c r="B5909" s="62">
        <v>3048</v>
      </c>
      <c r="C5909" s="69" t="s">
        <v>12295</v>
      </c>
      <c r="D5909" s="174" t="s">
        <v>14567</v>
      </c>
      <c r="E5909" s="58" t="s">
        <v>14568</v>
      </c>
      <c r="F5909" s="58" t="s">
        <v>14569</v>
      </c>
      <c r="G5909" s="58" t="s">
        <v>14570</v>
      </c>
      <c r="H5909" s="546">
        <v>41967.85</v>
      </c>
      <c r="I5909" s="66">
        <v>45194</v>
      </c>
      <c r="J5909" s="65" t="s">
        <v>14571</v>
      </c>
      <c r="K5909" s="58"/>
      <c r="L5909" s="99"/>
      <c r="M5909" s="70"/>
      <c r="N5909" s="97"/>
      <c r="O5909" s="58" t="s">
        <v>156</v>
      </c>
      <c r="P5909" s="58" t="s">
        <v>26</v>
      </c>
      <c r="Q5909" s="58" t="s">
        <v>68</v>
      </c>
      <c r="R5909" s="58" t="s">
        <v>272</v>
      </c>
    </row>
    <row r="5910" spans="1:18" ht="69" customHeight="1">
      <c r="A5910" s="168"/>
      <c r="B5910" s="62">
        <v>3049</v>
      </c>
      <c r="C5910" s="72" t="s">
        <v>3906</v>
      </c>
      <c r="D5910" s="174" t="s">
        <v>14572</v>
      </c>
      <c r="E5910" s="58" t="s">
        <v>14568</v>
      </c>
      <c r="F5910" s="58" t="s">
        <v>14573</v>
      </c>
      <c r="G5910" s="58" t="s">
        <v>14570</v>
      </c>
      <c r="H5910" s="546">
        <v>45246.59</v>
      </c>
      <c r="I5910" s="66">
        <v>45194</v>
      </c>
      <c r="J5910" s="65" t="s">
        <v>14571</v>
      </c>
      <c r="K5910" s="58"/>
      <c r="L5910" s="99"/>
      <c r="M5910" s="70"/>
      <c r="N5910" s="97"/>
      <c r="O5910" s="58" t="s">
        <v>156</v>
      </c>
      <c r="P5910" s="58" t="s">
        <v>26</v>
      </c>
      <c r="Q5910" s="58" t="s">
        <v>70</v>
      </c>
      <c r="R5910" s="58" t="s">
        <v>272</v>
      </c>
    </row>
    <row r="5911" spans="1:18" ht="69" customHeight="1">
      <c r="A5911" s="168"/>
      <c r="B5911" s="62">
        <v>3050</v>
      </c>
      <c r="C5911" s="44" t="s">
        <v>5558</v>
      </c>
      <c r="D5911" s="174" t="s">
        <v>14574</v>
      </c>
      <c r="E5911" s="58" t="s">
        <v>14568</v>
      </c>
      <c r="F5911" s="58" t="s">
        <v>14575</v>
      </c>
      <c r="G5911" s="58" t="s">
        <v>14570</v>
      </c>
      <c r="H5911" s="546">
        <v>57541.86</v>
      </c>
      <c r="I5911" s="66">
        <v>45194</v>
      </c>
      <c r="J5911" s="65" t="s">
        <v>14571</v>
      </c>
      <c r="K5911" s="58"/>
      <c r="L5911" s="99"/>
      <c r="M5911" s="70"/>
      <c r="N5911" s="97"/>
      <c r="O5911" s="58" t="s">
        <v>156</v>
      </c>
      <c r="P5911" s="58" t="s">
        <v>26</v>
      </c>
      <c r="Q5911" s="58" t="s">
        <v>64</v>
      </c>
      <c r="R5911" s="58" t="s">
        <v>272</v>
      </c>
    </row>
    <row r="5912" spans="1:18" ht="69" customHeight="1">
      <c r="A5912" s="168"/>
      <c r="B5912" s="62">
        <v>3051</v>
      </c>
      <c r="C5912" s="69" t="s">
        <v>6888</v>
      </c>
      <c r="D5912" s="174" t="s">
        <v>14576</v>
      </c>
      <c r="E5912" s="58" t="s">
        <v>14568</v>
      </c>
      <c r="F5912" s="58" t="s">
        <v>14577</v>
      </c>
      <c r="G5912" s="58" t="s">
        <v>14570</v>
      </c>
      <c r="H5912" s="546">
        <v>58443.51</v>
      </c>
      <c r="I5912" s="66">
        <v>45194</v>
      </c>
      <c r="J5912" s="65" t="s">
        <v>14571</v>
      </c>
      <c r="K5912" s="58"/>
      <c r="L5912" s="99"/>
      <c r="M5912" s="70"/>
      <c r="N5912" s="97"/>
      <c r="O5912" s="58" t="s">
        <v>156</v>
      </c>
      <c r="P5912" s="58" t="s">
        <v>26</v>
      </c>
      <c r="Q5912" s="58" t="s">
        <v>84</v>
      </c>
      <c r="R5912" s="58" t="s">
        <v>272</v>
      </c>
    </row>
    <row r="5913" spans="1:18" ht="69" customHeight="1">
      <c r="A5913" s="168"/>
      <c r="B5913" s="62">
        <v>3052</v>
      </c>
      <c r="C5913" s="72" t="s">
        <v>10634</v>
      </c>
      <c r="D5913" s="174" t="s">
        <v>14578</v>
      </c>
      <c r="E5913" s="58" t="s">
        <v>14568</v>
      </c>
      <c r="F5913" s="58" t="s">
        <v>14579</v>
      </c>
      <c r="G5913" s="58" t="s">
        <v>14570</v>
      </c>
      <c r="H5913" s="546">
        <v>50656.51</v>
      </c>
      <c r="I5913" s="66">
        <v>45194</v>
      </c>
      <c r="J5913" s="65" t="s">
        <v>14571</v>
      </c>
      <c r="K5913" s="58"/>
      <c r="L5913" s="99"/>
      <c r="M5913" s="70"/>
      <c r="N5913" s="97"/>
      <c r="O5913" s="58" t="s">
        <v>156</v>
      </c>
      <c r="P5913" s="58" t="s">
        <v>26</v>
      </c>
      <c r="Q5913" s="58" t="s">
        <v>93</v>
      </c>
      <c r="R5913" s="58" t="s">
        <v>272</v>
      </c>
    </row>
    <row r="5914" spans="1:18" ht="69" customHeight="1">
      <c r="A5914" s="168"/>
      <c r="B5914" s="62">
        <v>3053</v>
      </c>
      <c r="C5914" s="44" t="s">
        <v>10639</v>
      </c>
      <c r="D5914" s="174" t="s">
        <v>14580</v>
      </c>
      <c r="E5914" s="58" t="s">
        <v>14568</v>
      </c>
      <c r="F5914" s="58" t="s">
        <v>14581</v>
      </c>
      <c r="G5914" s="58" t="s">
        <v>14570</v>
      </c>
      <c r="H5914" s="546">
        <v>74017.52</v>
      </c>
      <c r="I5914" s="66">
        <v>45194</v>
      </c>
      <c r="J5914" s="65" t="s">
        <v>14571</v>
      </c>
      <c r="K5914" s="58"/>
      <c r="L5914" s="99"/>
      <c r="M5914" s="70"/>
      <c r="N5914" s="97"/>
      <c r="O5914" s="58" t="s">
        <v>156</v>
      </c>
      <c r="P5914" s="58" t="s">
        <v>26</v>
      </c>
      <c r="Q5914" s="58" t="s">
        <v>95</v>
      </c>
      <c r="R5914" s="58" t="s">
        <v>272</v>
      </c>
    </row>
    <row r="5915" spans="1:18" ht="69" customHeight="1">
      <c r="A5915" s="168"/>
      <c r="B5915" s="62">
        <v>3054</v>
      </c>
      <c r="C5915" s="69" t="s">
        <v>10612</v>
      </c>
      <c r="D5915" s="174" t="s">
        <v>14582</v>
      </c>
      <c r="E5915" s="58" t="s">
        <v>14568</v>
      </c>
      <c r="F5915" s="58" t="s">
        <v>14583</v>
      </c>
      <c r="G5915" s="58" t="s">
        <v>14570</v>
      </c>
      <c r="H5915" s="546">
        <v>50820.44</v>
      </c>
      <c r="I5915" s="66">
        <v>45194</v>
      </c>
      <c r="J5915" s="65" t="s">
        <v>14571</v>
      </c>
      <c r="K5915" s="58"/>
      <c r="L5915" s="99"/>
      <c r="M5915" s="70"/>
      <c r="N5915" s="97"/>
      <c r="O5915" s="58" t="s">
        <v>156</v>
      </c>
      <c r="P5915" s="58" t="s">
        <v>26</v>
      </c>
      <c r="Q5915" s="58" t="s">
        <v>86</v>
      </c>
      <c r="R5915" s="58" t="s">
        <v>272</v>
      </c>
    </row>
    <row r="5916" spans="1:18" ht="69" customHeight="1">
      <c r="A5916" s="168"/>
      <c r="B5916" s="62">
        <v>3055</v>
      </c>
      <c r="C5916" s="69" t="s">
        <v>14264</v>
      </c>
      <c r="D5916" s="174" t="s">
        <v>6634</v>
      </c>
      <c r="E5916" s="58" t="s">
        <v>14568</v>
      </c>
      <c r="F5916" s="58" t="s">
        <v>14584</v>
      </c>
      <c r="G5916" s="58" t="s">
        <v>14570</v>
      </c>
      <c r="H5916" s="546">
        <v>45164.62</v>
      </c>
      <c r="I5916" s="66">
        <v>45194</v>
      </c>
      <c r="J5916" s="65" t="s">
        <v>14571</v>
      </c>
      <c r="K5916" s="58"/>
      <c r="L5916" s="99"/>
      <c r="M5916" s="70"/>
      <c r="N5916" s="97"/>
      <c r="O5916" s="58" t="s">
        <v>156</v>
      </c>
      <c r="P5916" s="58" t="s">
        <v>26</v>
      </c>
      <c r="Q5916" s="58" t="s">
        <v>88</v>
      </c>
      <c r="R5916" s="58" t="s">
        <v>272</v>
      </c>
    </row>
    <row r="5917" spans="1:18" ht="69" customHeight="1">
      <c r="A5917" s="168"/>
      <c r="B5917" s="62">
        <v>3056</v>
      </c>
      <c r="C5917" s="69" t="s">
        <v>9094</v>
      </c>
      <c r="D5917" s="174" t="s">
        <v>4722</v>
      </c>
      <c r="E5917" s="58" t="s">
        <v>14568</v>
      </c>
      <c r="F5917" s="58" t="s">
        <v>14585</v>
      </c>
      <c r="G5917" s="58" t="s">
        <v>14570</v>
      </c>
      <c r="H5917" s="546">
        <v>41885.879999999997</v>
      </c>
      <c r="I5917" s="66">
        <v>45194</v>
      </c>
      <c r="J5917" s="65" t="s">
        <v>14571</v>
      </c>
      <c r="K5917" s="58"/>
      <c r="L5917" s="99"/>
      <c r="M5917" s="70"/>
      <c r="N5917" s="97"/>
      <c r="O5917" s="58" t="s">
        <v>156</v>
      </c>
      <c r="P5917" s="58" t="s">
        <v>26</v>
      </c>
      <c r="Q5917" s="58" t="s">
        <v>112</v>
      </c>
      <c r="R5917" s="58" t="s">
        <v>272</v>
      </c>
    </row>
    <row r="5918" spans="1:18" ht="69" customHeight="1">
      <c r="A5918" s="168"/>
      <c r="B5918" s="62">
        <v>3057</v>
      </c>
      <c r="C5918" s="69" t="s">
        <v>2182</v>
      </c>
      <c r="D5918" s="174" t="s">
        <v>4710</v>
      </c>
      <c r="E5918" s="58" t="s">
        <v>14568</v>
      </c>
      <c r="F5918" s="58" t="s">
        <v>14586</v>
      </c>
      <c r="G5918" s="58" t="s">
        <v>14570</v>
      </c>
      <c r="H5918" s="546">
        <v>48590.9</v>
      </c>
      <c r="I5918" s="66">
        <v>45194</v>
      </c>
      <c r="J5918" s="65" t="s">
        <v>14571</v>
      </c>
      <c r="K5918" s="58"/>
      <c r="L5918" s="99"/>
      <c r="M5918" s="70"/>
      <c r="N5918" s="97"/>
      <c r="O5918" s="58" t="s">
        <v>156</v>
      </c>
      <c r="P5918" s="58" t="s">
        <v>26</v>
      </c>
      <c r="Q5918" s="58" t="s">
        <v>31</v>
      </c>
      <c r="R5918" s="58" t="s">
        <v>272</v>
      </c>
    </row>
    <row r="5919" spans="1:18" ht="69" customHeight="1">
      <c r="A5919" s="168"/>
      <c r="B5919" s="62">
        <v>3058</v>
      </c>
      <c r="C5919" s="69" t="s">
        <v>11055</v>
      </c>
      <c r="D5919" s="174" t="s">
        <v>4819</v>
      </c>
      <c r="E5919" s="58" t="s">
        <v>14568</v>
      </c>
      <c r="F5919" s="58" t="s">
        <v>14587</v>
      </c>
      <c r="G5919" s="58" t="s">
        <v>14570</v>
      </c>
      <c r="H5919" s="546">
        <v>17623.22</v>
      </c>
      <c r="I5919" s="66">
        <v>45194</v>
      </c>
      <c r="J5919" s="65" t="s">
        <v>14571</v>
      </c>
      <c r="K5919" s="58"/>
      <c r="L5919" s="99"/>
      <c r="M5919" s="70"/>
      <c r="N5919" s="97"/>
      <c r="O5919" s="58" t="s">
        <v>156</v>
      </c>
      <c r="P5919" s="58" t="s">
        <v>26</v>
      </c>
      <c r="Q5919" s="58" t="s">
        <v>45</v>
      </c>
      <c r="R5919" s="58" t="s">
        <v>272</v>
      </c>
    </row>
    <row r="5920" spans="1:18" s="98" customFormat="1" ht="69" customHeight="1">
      <c r="A5920" s="169"/>
      <c r="B5920" s="48">
        <v>3059</v>
      </c>
      <c r="C5920" s="44" t="s">
        <v>14588</v>
      </c>
      <c r="D5920" s="84" t="s">
        <v>13859</v>
      </c>
      <c r="E5920" s="59" t="s">
        <v>4033</v>
      </c>
      <c r="F5920" s="45" t="s">
        <v>14589</v>
      </c>
      <c r="G5920" s="45" t="s">
        <v>14590</v>
      </c>
      <c r="H5920" s="546">
        <v>52097.56</v>
      </c>
      <c r="I5920" s="47">
        <v>45204</v>
      </c>
      <c r="J5920" s="73" t="s">
        <v>14591</v>
      </c>
      <c r="K5920" s="45"/>
      <c r="L5920" s="99"/>
      <c r="M5920" s="385"/>
      <c r="N5920" s="75"/>
      <c r="O5920" s="45" t="s">
        <v>441</v>
      </c>
      <c r="P5920" s="45" t="s">
        <v>22</v>
      </c>
      <c r="Q5920" s="45" t="s">
        <v>33</v>
      </c>
      <c r="R5920" s="45" t="s">
        <v>272</v>
      </c>
    </row>
    <row r="5921" spans="1:18" ht="69" customHeight="1">
      <c r="A5921" s="168"/>
      <c r="B5921" s="62">
        <v>3060</v>
      </c>
      <c r="C5921" s="178" t="s">
        <v>3933</v>
      </c>
      <c r="D5921" s="174" t="s">
        <v>14592</v>
      </c>
      <c r="E5921" s="59" t="s">
        <v>14593</v>
      </c>
      <c r="F5921" s="58" t="s">
        <v>14594</v>
      </c>
      <c r="G5921" s="58" t="s">
        <v>14595</v>
      </c>
      <c r="H5921" s="546">
        <v>154841</v>
      </c>
      <c r="I5921" s="66">
        <v>45194</v>
      </c>
      <c r="J5921" s="65" t="s">
        <v>14596</v>
      </c>
      <c r="K5921" s="58"/>
      <c r="L5921" s="99"/>
      <c r="M5921" s="70"/>
      <c r="N5921" s="97"/>
      <c r="O5921" s="58" t="s">
        <v>192</v>
      </c>
      <c r="P5921" s="58" t="s">
        <v>57</v>
      </c>
      <c r="Q5921" s="58" t="s">
        <v>52</v>
      </c>
      <c r="R5921" s="58" t="s">
        <v>272</v>
      </c>
    </row>
    <row r="5922" spans="1:18" s="98" customFormat="1" ht="69" customHeight="1">
      <c r="A5922" s="169"/>
      <c r="B5922" s="48">
        <v>3061</v>
      </c>
      <c r="C5922" s="59" t="s">
        <v>11052</v>
      </c>
      <c r="D5922" s="84" t="s">
        <v>5546</v>
      </c>
      <c r="E5922" s="59" t="s">
        <v>4033</v>
      </c>
      <c r="F5922" s="45" t="s">
        <v>14597</v>
      </c>
      <c r="G5922" s="45" t="s">
        <v>14590</v>
      </c>
      <c r="H5922" s="546">
        <v>40590.49</v>
      </c>
      <c r="I5922" s="47">
        <v>45204</v>
      </c>
      <c r="J5922" s="73" t="s">
        <v>14598</v>
      </c>
      <c r="K5922" s="45"/>
      <c r="L5922" s="99"/>
      <c r="M5922" s="385"/>
      <c r="N5922" s="75"/>
      <c r="O5922" s="45" t="s">
        <v>441</v>
      </c>
      <c r="P5922" s="45" t="s">
        <v>22</v>
      </c>
      <c r="Q5922" s="45" t="s">
        <v>37</v>
      </c>
      <c r="R5922" s="45" t="s">
        <v>272</v>
      </c>
    </row>
    <row r="5923" spans="1:18" ht="69" customHeight="1">
      <c r="A5923" s="168"/>
      <c r="B5923" s="62">
        <v>3062</v>
      </c>
      <c r="C5923" s="178" t="s">
        <v>657</v>
      </c>
      <c r="D5923" s="174" t="s">
        <v>1411</v>
      </c>
      <c r="E5923" s="178" t="s">
        <v>358</v>
      </c>
      <c r="F5923" s="58" t="s">
        <v>14599</v>
      </c>
      <c r="G5923" s="45" t="s">
        <v>14528</v>
      </c>
      <c r="H5923" s="546">
        <v>50000</v>
      </c>
      <c r="I5923" s="66">
        <v>45194</v>
      </c>
      <c r="J5923" s="65" t="s">
        <v>14600</v>
      </c>
      <c r="K5923" s="58"/>
      <c r="L5923" s="99"/>
      <c r="M5923" s="70"/>
      <c r="N5923" s="97"/>
      <c r="O5923" s="58" t="s">
        <v>141</v>
      </c>
      <c r="P5923" s="58" t="s">
        <v>19</v>
      </c>
      <c r="Q5923" s="58" t="s">
        <v>110</v>
      </c>
      <c r="R5923" s="58" t="s">
        <v>272</v>
      </c>
    </row>
    <row r="5924" spans="1:18" ht="69" customHeight="1">
      <c r="A5924" s="168"/>
      <c r="B5924" s="62">
        <v>3063</v>
      </c>
      <c r="C5924" s="178" t="s">
        <v>458</v>
      </c>
      <c r="D5924" s="174" t="s">
        <v>14601</v>
      </c>
      <c r="E5924" s="178" t="s">
        <v>358</v>
      </c>
      <c r="F5924" s="58" t="s">
        <v>14602</v>
      </c>
      <c r="G5924" s="45" t="s">
        <v>14603</v>
      </c>
      <c r="H5924" s="546">
        <v>100000</v>
      </c>
      <c r="I5924" s="66">
        <v>45194</v>
      </c>
      <c r="J5924" s="65" t="s">
        <v>14600</v>
      </c>
      <c r="K5924" s="58"/>
      <c r="L5924" s="99"/>
      <c r="M5924" s="70"/>
      <c r="N5924" s="97"/>
      <c r="O5924" s="58" t="s">
        <v>141</v>
      </c>
      <c r="P5924" s="58" t="s">
        <v>19</v>
      </c>
      <c r="Q5924" s="58" t="s">
        <v>113</v>
      </c>
      <c r="R5924" s="58" t="s">
        <v>272</v>
      </c>
    </row>
    <row r="5925" spans="1:18" s="98" customFormat="1" ht="69" customHeight="1">
      <c r="A5925" s="169"/>
      <c r="B5925" s="52">
        <v>3064</v>
      </c>
      <c r="C5925" s="191" t="s">
        <v>11055</v>
      </c>
      <c r="D5925" s="251" t="s">
        <v>4530</v>
      </c>
      <c r="E5925" s="191" t="s">
        <v>14071</v>
      </c>
      <c r="F5925" s="46" t="s">
        <v>14604</v>
      </c>
      <c r="G5925" s="46" t="s">
        <v>14605</v>
      </c>
      <c r="H5925" s="534">
        <v>2500</v>
      </c>
      <c r="I5925" s="56">
        <v>45194</v>
      </c>
      <c r="J5925" s="199" t="s">
        <v>14606</v>
      </c>
      <c r="K5925" s="46" t="s">
        <v>167</v>
      </c>
      <c r="L5925" s="99"/>
      <c r="M5925" s="385"/>
      <c r="N5925" s="75"/>
      <c r="O5925" s="46" t="s">
        <v>14607</v>
      </c>
      <c r="P5925" s="46" t="s">
        <v>65</v>
      </c>
      <c r="Q5925" s="46" t="s">
        <v>45</v>
      </c>
      <c r="R5925" s="46" t="s">
        <v>272</v>
      </c>
    </row>
    <row r="5926" spans="1:18" s="98" customFormat="1" ht="69" customHeight="1">
      <c r="A5926" s="169"/>
      <c r="B5926" s="52">
        <v>3065</v>
      </c>
      <c r="C5926" s="191" t="s">
        <v>14608</v>
      </c>
      <c r="D5926" s="251" t="s">
        <v>4103</v>
      </c>
      <c r="E5926" s="191" t="s">
        <v>14071</v>
      </c>
      <c r="F5926" s="46" t="s">
        <v>14609</v>
      </c>
      <c r="G5926" s="46" t="s">
        <v>14605</v>
      </c>
      <c r="H5926" s="534">
        <v>2000</v>
      </c>
      <c r="I5926" s="56">
        <v>45194</v>
      </c>
      <c r="J5926" s="199" t="s">
        <v>14606</v>
      </c>
      <c r="K5926" s="46" t="s">
        <v>167</v>
      </c>
      <c r="L5926" s="99"/>
      <c r="M5926" s="385"/>
      <c r="N5926" s="75"/>
      <c r="O5926" s="46" t="s">
        <v>14607</v>
      </c>
      <c r="P5926" s="46" t="s">
        <v>65</v>
      </c>
      <c r="Q5926" s="46" t="s">
        <v>31</v>
      </c>
      <c r="R5926" s="46" t="s">
        <v>272</v>
      </c>
    </row>
    <row r="5927" spans="1:18" s="98" customFormat="1" ht="69" customHeight="1">
      <c r="A5927" s="169"/>
      <c r="B5927" s="52">
        <v>3066</v>
      </c>
      <c r="C5927" s="191" t="s">
        <v>3667</v>
      </c>
      <c r="D5927" s="251" t="s">
        <v>14610</v>
      </c>
      <c r="E5927" s="191" t="s">
        <v>14071</v>
      </c>
      <c r="F5927" s="46" t="s">
        <v>14611</v>
      </c>
      <c r="G5927" s="46" t="s">
        <v>14612</v>
      </c>
      <c r="H5927" s="534">
        <v>7980</v>
      </c>
      <c r="I5927" s="56">
        <v>45204</v>
      </c>
      <c r="J5927" s="199" t="s">
        <v>14613</v>
      </c>
      <c r="K5927" s="46" t="s">
        <v>167</v>
      </c>
      <c r="L5927" s="99"/>
      <c r="M5927" s="385"/>
      <c r="N5927" s="75"/>
      <c r="O5927" s="46" t="s">
        <v>14614</v>
      </c>
      <c r="P5927" s="46" t="s">
        <v>65</v>
      </c>
      <c r="Q5927" s="46" t="s">
        <v>72</v>
      </c>
      <c r="R5927" s="46" t="s">
        <v>272</v>
      </c>
    </row>
    <row r="5928" spans="1:18" s="98" customFormat="1" ht="69" customHeight="1">
      <c r="A5928" s="169"/>
      <c r="B5928" s="52">
        <v>3067</v>
      </c>
      <c r="C5928" s="191" t="s">
        <v>3667</v>
      </c>
      <c r="D5928" s="251" t="s">
        <v>14615</v>
      </c>
      <c r="E5928" s="191" t="s">
        <v>14071</v>
      </c>
      <c r="F5928" s="46" t="s">
        <v>14616</v>
      </c>
      <c r="G5928" s="46" t="s">
        <v>14617</v>
      </c>
      <c r="H5928" s="534">
        <v>51056.84</v>
      </c>
      <c r="I5928" s="56">
        <v>45194</v>
      </c>
      <c r="J5928" s="199" t="s">
        <v>14618</v>
      </c>
      <c r="K5928" s="46" t="s">
        <v>167</v>
      </c>
      <c r="L5928" s="99"/>
      <c r="M5928" s="385"/>
      <c r="N5928" s="75"/>
      <c r="O5928" s="46" t="s">
        <v>1171</v>
      </c>
      <c r="P5928" s="46" t="s">
        <v>71</v>
      </c>
      <c r="Q5928" s="46" t="s">
        <v>78</v>
      </c>
      <c r="R5928" s="46" t="s">
        <v>272</v>
      </c>
    </row>
    <row r="5929" spans="1:18" s="98" customFormat="1" ht="69" customHeight="1">
      <c r="A5929" s="169"/>
      <c r="B5929" s="52">
        <v>3068</v>
      </c>
      <c r="C5929" s="191" t="s">
        <v>657</v>
      </c>
      <c r="D5929" s="251" t="s">
        <v>3869</v>
      </c>
      <c r="E5929" s="191" t="s">
        <v>14071</v>
      </c>
      <c r="F5929" s="46" t="s">
        <v>14619</v>
      </c>
      <c r="G5929" s="46" t="s">
        <v>14620</v>
      </c>
      <c r="H5929" s="534">
        <v>11509.96</v>
      </c>
      <c r="I5929" s="56">
        <v>45194</v>
      </c>
      <c r="J5929" s="199" t="s">
        <v>14618</v>
      </c>
      <c r="K5929" s="46" t="s">
        <v>167</v>
      </c>
      <c r="L5929" s="99"/>
      <c r="M5929" s="385"/>
      <c r="N5929" s="75"/>
      <c r="O5929" s="46" t="s">
        <v>1171</v>
      </c>
      <c r="P5929" s="46" t="s">
        <v>71</v>
      </c>
      <c r="Q5929" s="46" t="s">
        <v>110</v>
      </c>
      <c r="R5929" s="46" t="s">
        <v>272</v>
      </c>
    </row>
    <row r="5930" spans="1:18" ht="69" customHeight="1">
      <c r="A5930" s="168"/>
      <c r="B5930" s="62">
        <v>3069</v>
      </c>
      <c r="C5930" s="59" t="s">
        <v>3667</v>
      </c>
      <c r="D5930" s="84" t="s">
        <v>14621</v>
      </c>
      <c r="E5930" s="55" t="s">
        <v>11537</v>
      </c>
      <c r="F5930" s="45" t="s">
        <v>14622</v>
      </c>
      <c r="G5930" s="45" t="s">
        <v>14623</v>
      </c>
      <c r="H5930" s="546">
        <v>29076.09</v>
      </c>
      <c r="I5930" s="66">
        <v>45194</v>
      </c>
      <c r="J5930" s="65" t="s">
        <v>14624</v>
      </c>
      <c r="K5930" s="58"/>
      <c r="L5930" s="99"/>
      <c r="M5930" s="70"/>
      <c r="N5930" s="97"/>
      <c r="O5930" s="58" t="s">
        <v>14625</v>
      </c>
      <c r="P5930" s="58" t="s">
        <v>59</v>
      </c>
      <c r="Q5930" s="58" t="s">
        <v>84</v>
      </c>
      <c r="R5930" s="58" t="s">
        <v>272</v>
      </c>
    </row>
    <row r="5931" spans="1:18" ht="69" customHeight="1">
      <c r="A5931" s="168"/>
      <c r="B5931" s="62">
        <v>3070</v>
      </c>
      <c r="C5931" s="59" t="s">
        <v>3667</v>
      </c>
      <c r="D5931" s="84" t="s">
        <v>14626</v>
      </c>
      <c r="E5931" s="55" t="s">
        <v>14067</v>
      </c>
      <c r="F5931" s="45" t="s">
        <v>14627</v>
      </c>
      <c r="G5931" s="45" t="s">
        <v>14069</v>
      </c>
      <c r="H5931" s="546">
        <v>161500</v>
      </c>
      <c r="I5931" s="66">
        <v>45194</v>
      </c>
      <c r="J5931" s="65" t="s">
        <v>14624</v>
      </c>
      <c r="K5931" s="58"/>
      <c r="L5931" s="99"/>
      <c r="M5931" s="70"/>
      <c r="N5931" s="97"/>
      <c r="O5931" s="58" t="s">
        <v>175</v>
      </c>
      <c r="P5931" s="58" t="s">
        <v>59</v>
      </c>
      <c r="Q5931" s="58" t="s">
        <v>84</v>
      </c>
      <c r="R5931" s="58" t="s">
        <v>272</v>
      </c>
    </row>
    <row r="5932" spans="1:18" ht="69" customHeight="1">
      <c r="A5932" s="168"/>
      <c r="B5932" s="62">
        <v>3071</v>
      </c>
      <c r="C5932" s="72" t="s">
        <v>6261</v>
      </c>
      <c r="D5932" s="174" t="s">
        <v>14628</v>
      </c>
      <c r="E5932" s="72" t="s">
        <v>14568</v>
      </c>
      <c r="F5932" s="58" t="s">
        <v>14629</v>
      </c>
      <c r="G5932" s="45" t="s">
        <v>14570</v>
      </c>
      <c r="H5932" s="546">
        <v>59650.26</v>
      </c>
      <c r="I5932" s="66">
        <v>45194</v>
      </c>
      <c r="J5932" s="65" t="s">
        <v>14630</v>
      </c>
      <c r="K5932" s="58"/>
      <c r="L5932" s="99"/>
      <c r="M5932" s="70"/>
      <c r="N5932" s="97"/>
      <c r="O5932" s="58" t="s">
        <v>156</v>
      </c>
      <c r="P5932" s="58" t="s">
        <v>26</v>
      </c>
      <c r="Q5932" s="58" t="s">
        <v>74</v>
      </c>
      <c r="R5932" s="58" t="s">
        <v>272</v>
      </c>
    </row>
    <row r="5933" spans="1:18" ht="69" customHeight="1">
      <c r="A5933" s="168"/>
      <c r="B5933" s="62">
        <v>3072</v>
      </c>
      <c r="C5933" s="72" t="s">
        <v>6468</v>
      </c>
      <c r="D5933" s="174" t="s">
        <v>14631</v>
      </c>
      <c r="E5933" s="72" t="s">
        <v>14568</v>
      </c>
      <c r="F5933" s="58" t="s">
        <v>14632</v>
      </c>
      <c r="G5933" s="45" t="s">
        <v>14570</v>
      </c>
      <c r="H5933" s="546">
        <v>43039.01</v>
      </c>
      <c r="I5933" s="66">
        <v>45194</v>
      </c>
      <c r="J5933" s="65" t="s">
        <v>14630</v>
      </c>
      <c r="K5933" s="58"/>
      <c r="L5933" s="99"/>
      <c r="M5933" s="70"/>
      <c r="N5933" s="97"/>
      <c r="O5933" s="58" t="s">
        <v>156</v>
      </c>
      <c r="P5933" s="58" t="s">
        <v>26</v>
      </c>
      <c r="Q5933" s="58" t="s">
        <v>76</v>
      </c>
      <c r="R5933" s="58" t="s">
        <v>272</v>
      </c>
    </row>
    <row r="5934" spans="1:18" ht="69" customHeight="1">
      <c r="A5934" s="168"/>
      <c r="B5934" s="62">
        <v>3073</v>
      </c>
      <c r="C5934" s="178" t="s">
        <v>657</v>
      </c>
      <c r="D5934" s="174" t="s">
        <v>1229</v>
      </c>
      <c r="E5934" s="178" t="s">
        <v>358</v>
      </c>
      <c r="F5934" s="58" t="s">
        <v>14633</v>
      </c>
      <c r="G5934" s="45" t="s">
        <v>14634</v>
      </c>
      <c r="H5934" s="546">
        <v>40000</v>
      </c>
      <c r="I5934" s="66">
        <v>45194</v>
      </c>
      <c r="J5934" s="65" t="s">
        <v>14635</v>
      </c>
      <c r="K5934" s="62"/>
      <c r="L5934" s="99"/>
      <c r="M5934" s="70"/>
      <c r="N5934" s="97" t="s">
        <v>141</v>
      </c>
      <c r="O5934" s="58" t="s">
        <v>141</v>
      </c>
      <c r="P5934" s="58" t="s">
        <v>19</v>
      </c>
      <c r="Q5934" s="58" t="s">
        <v>104</v>
      </c>
      <c r="R5934" s="58" t="s">
        <v>272</v>
      </c>
    </row>
    <row r="5935" spans="1:18" ht="69" customHeight="1">
      <c r="A5935" s="168"/>
      <c r="B5935" s="62">
        <v>3074</v>
      </c>
      <c r="C5935" s="178" t="s">
        <v>657</v>
      </c>
      <c r="D5935" s="174" t="s">
        <v>2643</v>
      </c>
      <c r="E5935" s="178" t="s">
        <v>358</v>
      </c>
      <c r="F5935" s="58" t="s">
        <v>14636</v>
      </c>
      <c r="G5935" s="45" t="s">
        <v>14634</v>
      </c>
      <c r="H5935" s="546">
        <v>100000</v>
      </c>
      <c r="I5935" s="66">
        <v>45194</v>
      </c>
      <c r="J5935" s="65" t="s">
        <v>14635</v>
      </c>
      <c r="K5935" s="58"/>
      <c r="L5935" s="99"/>
      <c r="M5935" s="70"/>
      <c r="N5935" s="97"/>
      <c r="O5935" s="58" t="s">
        <v>141</v>
      </c>
      <c r="P5935" s="58" t="s">
        <v>19</v>
      </c>
      <c r="Q5935" s="58" t="s">
        <v>97</v>
      </c>
      <c r="R5935" s="58" t="s">
        <v>272</v>
      </c>
    </row>
    <row r="5936" spans="1:18" ht="69" customHeight="1">
      <c r="A5936" s="168"/>
      <c r="B5936" s="62">
        <v>3075</v>
      </c>
      <c r="C5936" s="59" t="s">
        <v>8797</v>
      </c>
      <c r="D5936" s="84" t="s">
        <v>2866</v>
      </c>
      <c r="E5936" s="55" t="s">
        <v>409</v>
      </c>
      <c r="F5936" s="45" t="s">
        <v>14637</v>
      </c>
      <c r="G5936" s="45" t="s">
        <v>14638</v>
      </c>
      <c r="H5936" s="546">
        <v>35361.51</v>
      </c>
      <c r="I5936" s="66">
        <v>45194</v>
      </c>
      <c r="J5936" s="65" t="s">
        <v>14639</v>
      </c>
      <c r="K5936" s="45"/>
      <c r="L5936" s="99"/>
      <c r="M5936" s="385"/>
      <c r="N5936" s="75"/>
      <c r="O5936" s="45" t="s">
        <v>8228</v>
      </c>
      <c r="P5936" s="45" t="s">
        <v>59</v>
      </c>
      <c r="Q5936" s="45" t="s">
        <v>110</v>
      </c>
      <c r="R5936" s="58" t="s">
        <v>272</v>
      </c>
    </row>
    <row r="5937" spans="1:18" ht="69" customHeight="1">
      <c r="A5937" s="168"/>
      <c r="B5937" s="62">
        <v>3076</v>
      </c>
      <c r="C5937" s="59" t="s">
        <v>8797</v>
      </c>
      <c r="D5937" s="84" t="s">
        <v>1162</v>
      </c>
      <c r="E5937" s="55" t="s">
        <v>409</v>
      </c>
      <c r="F5937" s="45" t="s">
        <v>14640</v>
      </c>
      <c r="G5937" s="45" t="s">
        <v>14638</v>
      </c>
      <c r="H5937" s="546">
        <v>141446.04</v>
      </c>
      <c r="I5937" s="66">
        <v>45194</v>
      </c>
      <c r="J5937" s="65" t="s">
        <v>14639</v>
      </c>
      <c r="K5937" s="45"/>
      <c r="L5937" s="99"/>
      <c r="M5937" s="385"/>
      <c r="N5937" s="75"/>
      <c r="O5937" s="45" t="s">
        <v>8228</v>
      </c>
      <c r="P5937" s="45" t="s">
        <v>59</v>
      </c>
      <c r="Q5937" s="45" t="s">
        <v>110</v>
      </c>
      <c r="R5937" s="58" t="s">
        <v>272</v>
      </c>
    </row>
    <row r="5938" spans="1:18" ht="69" customHeight="1">
      <c r="A5938" s="168"/>
      <c r="B5938" s="48">
        <f t="shared" ref="B5938:B6001" si="12">B5937+1</f>
        <v>3077</v>
      </c>
      <c r="C5938" s="178" t="s">
        <v>14641</v>
      </c>
      <c r="D5938" s="84" t="s">
        <v>14642</v>
      </c>
      <c r="E5938" s="178" t="s">
        <v>266</v>
      </c>
      <c r="F5938" s="210" t="s">
        <v>14643</v>
      </c>
      <c r="G5938" s="45" t="s">
        <v>14644</v>
      </c>
      <c r="H5938" s="546">
        <v>1750</v>
      </c>
      <c r="I5938" s="47">
        <v>45194</v>
      </c>
      <c r="J5938" s="73" t="s">
        <v>14645</v>
      </c>
      <c r="K5938" s="45"/>
      <c r="L5938" s="99"/>
      <c r="M5938" s="385"/>
      <c r="N5938" s="75"/>
      <c r="O5938" s="45" t="s">
        <v>467</v>
      </c>
      <c r="P5938" s="45" t="s">
        <v>44</v>
      </c>
      <c r="Q5938" s="45" t="s">
        <v>66</v>
      </c>
      <c r="R5938" s="58" t="s">
        <v>272</v>
      </c>
    </row>
    <row r="5939" spans="1:18" ht="69" customHeight="1">
      <c r="A5939" s="168"/>
      <c r="B5939" s="48">
        <f t="shared" si="12"/>
        <v>3078</v>
      </c>
      <c r="C5939" s="59" t="s">
        <v>3667</v>
      </c>
      <c r="D5939" s="84" t="s">
        <v>14646</v>
      </c>
      <c r="E5939" s="178" t="s">
        <v>266</v>
      </c>
      <c r="F5939" s="210" t="s">
        <v>14647</v>
      </c>
      <c r="G5939" s="45" t="s">
        <v>14644</v>
      </c>
      <c r="H5939" s="546">
        <v>10174.5</v>
      </c>
      <c r="I5939" s="47">
        <v>45194</v>
      </c>
      <c r="J5939" s="73" t="s">
        <v>14645</v>
      </c>
      <c r="K5939" s="45"/>
      <c r="L5939" s="99"/>
      <c r="M5939" s="385"/>
      <c r="N5939" s="75"/>
      <c r="O5939" s="45" t="s">
        <v>467</v>
      </c>
      <c r="P5939" s="45" t="s">
        <v>44</v>
      </c>
      <c r="Q5939" s="45" t="s">
        <v>84</v>
      </c>
      <c r="R5939" s="58" t="s">
        <v>272</v>
      </c>
    </row>
    <row r="5940" spans="1:18" s="98" customFormat="1" ht="69" customHeight="1">
      <c r="A5940" s="169"/>
      <c r="B5940" s="52">
        <f t="shared" si="12"/>
        <v>3079</v>
      </c>
      <c r="C5940" s="51" t="s">
        <v>14648</v>
      </c>
      <c r="D5940" s="251" t="s">
        <v>5207</v>
      </c>
      <c r="E5940" s="53" t="s">
        <v>266</v>
      </c>
      <c r="F5940" s="46" t="s">
        <v>14649</v>
      </c>
      <c r="G5940" s="46" t="s">
        <v>14650</v>
      </c>
      <c r="H5940" s="534">
        <v>1100</v>
      </c>
      <c r="I5940" s="56">
        <v>45194</v>
      </c>
      <c r="J5940" s="199" t="s">
        <v>14651</v>
      </c>
      <c r="K5940" s="46" t="s">
        <v>1170</v>
      </c>
      <c r="L5940" s="99"/>
      <c r="M5940" s="385"/>
      <c r="N5940" s="75"/>
      <c r="O5940" s="46" t="s">
        <v>14652</v>
      </c>
      <c r="P5940" s="46" t="s">
        <v>65</v>
      </c>
      <c r="Q5940" s="46" t="s">
        <v>41</v>
      </c>
      <c r="R5940" s="46" t="s">
        <v>272</v>
      </c>
    </row>
    <row r="5941" spans="1:18" s="98" customFormat="1" ht="69" customHeight="1">
      <c r="A5941" s="169"/>
      <c r="B5941" s="52">
        <f t="shared" si="12"/>
        <v>3080</v>
      </c>
      <c r="C5941" s="51" t="s">
        <v>14648</v>
      </c>
      <c r="D5941" s="251" t="s">
        <v>5971</v>
      </c>
      <c r="E5941" s="53" t="s">
        <v>266</v>
      </c>
      <c r="F5941" s="46" t="s">
        <v>14653</v>
      </c>
      <c r="G5941" s="46" t="s">
        <v>14650</v>
      </c>
      <c r="H5941" s="534">
        <v>2900</v>
      </c>
      <c r="I5941" s="56">
        <v>45194</v>
      </c>
      <c r="J5941" s="199" t="s">
        <v>14651</v>
      </c>
      <c r="K5941" s="46" t="s">
        <v>1170</v>
      </c>
      <c r="L5941" s="99"/>
      <c r="M5941" s="385"/>
      <c r="N5941" s="75"/>
      <c r="O5941" s="46" t="s">
        <v>14652</v>
      </c>
      <c r="P5941" s="46" t="s">
        <v>65</v>
      </c>
      <c r="Q5941" s="46" t="s">
        <v>23</v>
      </c>
      <c r="R5941" s="46" t="s">
        <v>272</v>
      </c>
    </row>
    <row r="5942" spans="1:18" s="98" customFormat="1" ht="69" customHeight="1">
      <c r="A5942" s="169"/>
      <c r="B5942" s="52">
        <f t="shared" si="12"/>
        <v>3081</v>
      </c>
      <c r="C5942" s="51" t="s">
        <v>14648</v>
      </c>
      <c r="D5942" s="251" t="s">
        <v>5551</v>
      </c>
      <c r="E5942" s="53" t="s">
        <v>266</v>
      </c>
      <c r="F5942" s="46" t="s">
        <v>14654</v>
      </c>
      <c r="G5942" s="46" t="s">
        <v>14650</v>
      </c>
      <c r="H5942" s="534">
        <v>2600</v>
      </c>
      <c r="I5942" s="56">
        <v>45194</v>
      </c>
      <c r="J5942" s="199" t="s">
        <v>14651</v>
      </c>
      <c r="K5942" s="46" t="s">
        <v>1170</v>
      </c>
      <c r="L5942" s="99"/>
      <c r="M5942" s="385"/>
      <c r="N5942" s="75"/>
      <c r="O5942" s="46" t="s">
        <v>14652</v>
      </c>
      <c r="P5942" s="46" t="s">
        <v>65</v>
      </c>
      <c r="Q5942" s="46" t="s">
        <v>39</v>
      </c>
      <c r="R5942" s="46" t="s">
        <v>272</v>
      </c>
    </row>
    <row r="5943" spans="1:18" s="98" customFormat="1" ht="69" customHeight="1">
      <c r="A5943" s="169"/>
      <c r="B5943" s="261">
        <f t="shared" si="12"/>
        <v>3082</v>
      </c>
      <c r="C5943" s="256" t="s">
        <v>14655</v>
      </c>
      <c r="D5943" s="255" t="s">
        <v>4714</v>
      </c>
      <c r="E5943" s="118" t="s">
        <v>14656</v>
      </c>
      <c r="F5943" s="118" t="s">
        <v>14657</v>
      </c>
      <c r="G5943" s="118" t="s">
        <v>14658</v>
      </c>
      <c r="H5943" s="300">
        <v>0</v>
      </c>
      <c r="I5943" s="262">
        <v>45194</v>
      </c>
      <c r="J5943" s="258" t="s">
        <v>14659</v>
      </c>
      <c r="K5943" s="118"/>
      <c r="L5943" s="99"/>
      <c r="M5943" s="390"/>
      <c r="N5943" s="109"/>
      <c r="O5943" s="118" t="s">
        <v>186</v>
      </c>
      <c r="P5943" s="118" t="s">
        <v>67</v>
      </c>
      <c r="Q5943" s="118" t="s">
        <v>35</v>
      </c>
      <c r="R5943" s="118" t="s">
        <v>272</v>
      </c>
    </row>
    <row r="5944" spans="1:18" s="98" customFormat="1" ht="69" customHeight="1">
      <c r="A5944" s="169"/>
      <c r="B5944" s="48">
        <f t="shared" si="12"/>
        <v>3083</v>
      </c>
      <c r="C5944" s="59" t="s">
        <v>1853</v>
      </c>
      <c r="D5944" s="84" t="s">
        <v>6886</v>
      </c>
      <c r="E5944" s="45" t="s">
        <v>14656</v>
      </c>
      <c r="F5944" s="45" t="s">
        <v>14660</v>
      </c>
      <c r="G5944" s="45" t="s">
        <v>14658</v>
      </c>
      <c r="H5944" s="546">
        <v>79652.88</v>
      </c>
      <c r="I5944" s="47">
        <v>45194</v>
      </c>
      <c r="J5944" s="73" t="s">
        <v>14661</v>
      </c>
      <c r="K5944" s="45"/>
      <c r="L5944" s="99"/>
      <c r="M5944" s="385"/>
      <c r="N5944" s="75"/>
      <c r="O5944" s="45" t="s">
        <v>186</v>
      </c>
      <c r="P5944" s="45" t="s">
        <v>57</v>
      </c>
      <c r="Q5944" s="45" t="s">
        <v>29</v>
      </c>
      <c r="R5944" s="45" t="s">
        <v>272</v>
      </c>
    </row>
    <row r="5945" spans="1:18" s="98" customFormat="1" ht="69" customHeight="1">
      <c r="A5945" s="169"/>
      <c r="B5945" s="48">
        <f t="shared" si="12"/>
        <v>3084</v>
      </c>
      <c r="C5945" s="44" t="s">
        <v>2182</v>
      </c>
      <c r="D5945" s="84" t="s">
        <v>6444</v>
      </c>
      <c r="E5945" s="45" t="s">
        <v>14656</v>
      </c>
      <c r="F5945" s="45" t="s">
        <v>14662</v>
      </c>
      <c r="G5945" s="45" t="s">
        <v>14658</v>
      </c>
      <c r="H5945" s="546">
        <v>115287.16</v>
      </c>
      <c r="I5945" s="47">
        <v>45194</v>
      </c>
      <c r="J5945" s="73" t="s">
        <v>14661</v>
      </c>
      <c r="K5945" s="45"/>
      <c r="L5945" s="99"/>
      <c r="M5945" s="385"/>
      <c r="N5945" s="75"/>
      <c r="O5945" s="45" t="s">
        <v>14413</v>
      </c>
      <c r="P5945" s="45" t="s">
        <v>57</v>
      </c>
      <c r="Q5945" s="45" t="s">
        <v>31</v>
      </c>
      <c r="R5945" s="45" t="s">
        <v>272</v>
      </c>
    </row>
    <row r="5946" spans="1:18" s="98" customFormat="1" ht="69" customHeight="1">
      <c r="A5946" s="169"/>
      <c r="B5946" s="48">
        <f t="shared" si="12"/>
        <v>3085</v>
      </c>
      <c r="C5946" s="59" t="s">
        <v>13268</v>
      </c>
      <c r="D5946" s="84" t="s">
        <v>5668</v>
      </c>
      <c r="E5946" s="55" t="s">
        <v>10845</v>
      </c>
      <c r="F5946" s="45" t="s">
        <v>14663</v>
      </c>
      <c r="G5946" s="45" t="s">
        <v>14664</v>
      </c>
      <c r="H5946" s="546">
        <v>400000</v>
      </c>
      <c r="I5946" s="47">
        <v>45194</v>
      </c>
      <c r="J5946" s="73" t="s">
        <v>14665</v>
      </c>
      <c r="K5946" s="45"/>
      <c r="L5946" s="99"/>
      <c r="M5946" s="385"/>
      <c r="N5946" s="75"/>
      <c r="O5946" s="45" t="s">
        <v>156</v>
      </c>
      <c r="P5946" s="45" t="s">
        <v>19</v>
      </c>
      <c r="Q5946" s="45" t="s">
        <v>95</v>
      </c>
      <c r="R5946" s="45" t="s">
        <v>272</v>
      </c>
    </row>
    <row r="5947" spans="1:18" s="98" customFormat="1" ht="69" customHeight="1">
      <c r="A5947" s="169"/>
      <c r="B5947" s="52">
        <f t="shared" si="12"/>
        <v>3086</v>
      </c>
      <c r="C5947" s="191" t="s">
        <v>14648</v>
      </c>
      <c r="D5947" s="251" t="s">
        <v>5734</v>
      </c>
      <c r="E5947" s="46" t="s">
        <v>266</v>
      </c>
      <c r="F5947" s="46" t="s">
        <v>14666</v>
      </c>
      <c r="G5947" s="46" t="s">
        <v>14667</v>
      </c>
      <c r="H5947" s="534">
        <v>246</v>
      </c>
      <c r="I5947" s="56">
        <v>45194</v>
      </c>
      <c r="J5947" s="199" t="s">
        <v>14668</v>
      </c>
      <c r="K5947" s="46" t="s">
        <v>1170</v>
      </c>
      <c r="L5947" s="99"/>
      <c r="M5947" s="385"/>
      <c r="N5947" s="75"/>
      <c r="O5947" s="46" t="s">
        <v>14669</v>
      </c>
      <c r="P5947" s="46" t="s">
        <v>65</v>
      </c>
      <c r="Q5947" s="46" t="s">
        <v>39</v>
      </c>
      <c r="R5947" s="46" t="s">
        <v>272</v>
      </c>
    </row>
    <row r="5948" spans="1:18" s="98" customFormat="1" ht="69" customHeight="1">
      <c r="A5948" s="169"/>
      <c r="B5948" s="48">
        <f t="shared" si="12"/>
        <v>3087</v>
      </c>
      <c r="C5948" s="59" t="s">
        <v>14648</v>
      </c>
      <c r="D5948" s="84" t="s">
        <v>4533</v>
      </c>
      <c r="E5948" s="44" t="s">
        <v>14568</v>
      </c>
      <c r="F5948" s="45" t="s">
        <v>14670</v>
      </c>
      <c r="G5948" s="45" t="s">
        <v>14664</v>
      </c>
      <c r="H5948" s="546">
        <v>94807.51</v>
      </c>
      <c r="I5948" s="47">
        <v>45194</v>
      </c>
      <c r="J5948" s="73" t="s">
        <v>14671</v>
      </c>
      <c r="K5948" s="45"/>
      <c r="L5948" s="99"/>
      <c r="M5948" s="385"/>
      <c r="N5948" s="75"/>
      <c r="O5948" s="45" t="s">
        <v>156</v>
      </c>
      <c r="P5948" s="45" t="s">
        <v>26</v>
      </c>
      <c r="Q5948" s="45" t="s">
        <v>29</v>
      </c>
      <c r="R5948" s="45" t="s">
        <v>272</v>
      </c>
    </row>
    <row r="5949" spans="1:18" s="98" customFormat="1" ht="69" customHeight="1">
      <c r="A5949" s="169"/>
      <c r="B5949" s="48">
        <f t="shared" si="12"/>
        <v>3088</v>
      </c>
      <c r="C5949" s="59" t="s">
        <v>14648</v>
      </c>
      <c r="D5949" s="84" t="s">
        <v>5642</v>
      </c>
      <c r="E5949" s="44" t="s">
        <v>14568</v>
      </c>
      <c r="F5949" s="45" t="s">
        <v>14672</v>
      </c>
      <c r="G5949" s="45" t="s">
        <v>14664</v>
      </c>
      <c r="H5949" s="546">
        <v>125193.88</v>
      </c>
      <c r="I5949" s="47">
        <v>45194</v>
      </c>
      <c r="J5949" s="73" t="s">
        <v>14671</v>
      </c>
      <c r="K5949" s="45"/>
      <c r="L5949" s="99"/>
      <c r="M5949" s="385"/>
      <c r="N5949" s="75"/>
      <c r="O5949" s="45" t="s">
        <v>156</v>
      </c>
      <c r="P5949" s="45" t="s">
        <v>26</v>
      </c>
      <c r="Q5949" s="45" t="s">
        <v>33</v>
      </c>
      <c r="R5949" s="45" t="s">
        <v>272</v>
      </c>
    </row>
    <row r="5950" spans="1:18" s="98" customFormat="1" ht="69" customHeight="1">
      <c r="A5950" s="169"/>
      <c r="B5950" s="48">
        <f t="shared" si="12"/>
        <v>3089</v>
      </c>
      <c r="C5950" s="44" t="s">
        <v>12295</v>
      </c>
      <c r="D5950" s="84" t="s">
        <v>14673</v>
      </c>
      <c r="E5950" s="44" t="s">
        <v>14568</v>
      </c>
      <c r="F5950" s="45" t="s">
        <v>14674</v>
      </c>
      <c r="G5950" s="45" t="s">
        <v>14675</v>
      </c>
      <c r="H5950" s="546">
        <v>276299.64</v>
      </c>
      <c r="I5950" s="47">
        <v>45194</v>
      </c>
      <c r="J5950" s="73" t="s">
        <v>14676</v>
      </c>
      <c r="K5950" s="45" t="s">
        <v>14677</v>
      </c>
      <c r="L5950" s="99"/>
      <c r="M5950" s="385"/>
      <c r="N5950" s="75"/>
      <c r="O5950" s="45" t="s">
        <v>156</v>
      </c>
      <c r="P5950" s="45" t="s">
        <v>26</v>
      </c>
      <c r="Q5950" s="45" t="s">
        <v>68</v>
      </c>
      <c r="R5950" s="45" t="s">
        <v>272</v>
      </c>
    </row>
    <row r="5951" spans="1:18" s="98" customFormat="1" ht="69" customHeight="1">
      <c r="A5951" s="169"/>
      <c r="B5951" s="48">
        <f t="shared" si="12"/>
        <v>3090</v>
      </c>
      <c r="C5951" s="44" t="s">
        <v>3906</v>
      </c>
      <c r="D5951" s="84" t="s">
        <v>14678</v>
      </c>
      <c r="E5951" s="44" t="s">
        <v>14568</v>
      </c>
      <c r="F5951" s="45" t="s">
        <v>14679</v>
      </c>
      <c r="G5951" s="45" t="s">
        <v>14675</v>
      </c>
      <c r="H5951" s="546">
        <v>289149.13</v>
      </c>
      <c r="I5951" s="47">
        <v>45194</v>
      </c>
      <c r="J5951" s="73" t="s">
        <v>14676</v>
      </c>
      <c r="K5951" s="45" t="s">
        <v>14677</v>
      </c>
      <c r="L5951" s="99"/>
      <c r="M5951" s="385"/>
      <c r="N5951" s="75"/>
      <c r="O5951" s="45" t="s">
        <v>156</v>
      </c>
      <c r="P5951" s="45" t="s">
        <v>26</v>
      </c>
      <c r="Q5951" s="45" t="s">
        <v>70</v>
      </c>
      <c r="R5951" s="45" t="s">
        <v>272</v>
      </c>
    </row>
    <row r="5952" spans="1:18" s="98" customFormat="1" ht="69" customHeight="1">
      <c r="A5952" s="169"/>
      <c r="B5952" s="48">
        <f t="shared" si="12"/>
        <v>3091</v>
      </c>
      <c r="C5952" s="44" t="s">
        <v>10612</v>
      </c>
      <c r="D5952" s="84" t="s">
        <v>14680</v>
      </c>
      <c r="E5952" s="44" t="s">
        <v>14568</v>
      </c>
      <c r="F5952" s="45" t="s">
        <v>14681</v>
      </c>
      <c r="G5952" s="45" t="s">
        <v>14675</v>
      </c>
      <c r="H5952" s="546">
        <v>308326.52</v>
      </c>
      <c r="I5952" s="47">
        <v>45194</v>
      </c>
      <c r="J5952" s="73" t="s">
        <v>14676</v>
      </c>
      <c r="K5952" s="45" t="s">
        <v>14677</v>
      </c>
      <c r="L5952" s="99"/>
      <c r="M5952" s="385"/>
      <c r="N5952" s="75"/>
      <c r="O5952" s="45" t="s">
        <v>156</v>
      </c>
      <c r="P5952" s="45" t="s">
        <v>26</v>
      </c>
      <c r="Q5952" s="45" t="s">
        <v>86</v>
      </c>
      <c r="R5952" s="45" t="s">
        <v>272</v>
      </c>
    </row>
    <row r="5953" spans="1:18" s="98" customFormat="1" ht="69" customHeight="1">
      <c r="A5953" s="169"/>
      <c r="B5953" s="52">
        <f t="shared" si="12"/>
        <v>3092</v>
      </c>
      <c r="C5953" s="191" t="s">
        <v>14255</v>
      </c>
      <c r="D5953" s="251" t="s">
        <v>10562</v>
      </c>
      <c r="E5953" s="46" t="s">
        <v>14682</v>
      </c>
      <c r="F5953" s="211" t="s">
        <v>14683</v>
      </c>
      <c r="G5953" s="46" t="s">
        <v>13386</v>
      </c>
      <c r="H5953" s="534">
        <v>31000</v>
      </c>
      <c r="I5953" s="56">
        <v>45194</v>
      </c>
      <c r="J5953" s="199" t="s">
        <v>14684</v>
      </c>
      <c r="K5953" s="46" t="s">
        <v>167</v>
      </c>
      <c r="L5953" s="99"/>
      <c r="M5953" s="385"/>
      <c r="N5953" s="75"/>
      <c r="O5953" s="46" t="s">
        <v>141</v>
      </c>
      <c r="P5953" s="46" t="s">
        <v>65</v>
      </c>
      <c r="Q5953" s="46" t="s">
        <v>106</v>
      </c>
      <c r="R5953" s="46" t="s">
        <v>272</v>
      </c>
    </row>
    <row r="5954" spans="1:18" s="98" customFormat="1" ht="69" customHeight="1">
      <c r="A5954" s="169"/>
      <c r="B5954" s="48">
        <f t="shared" si="12"/>
        <v>3093</v>
      </c>
      <c r="C5954" s="44" t="s">
        <v>11047</v>
      </c>
      <c r="D5954" s="84" t="s">
        <v>4402</v>
      </c>
      <c r="E5954" s="44" t="s">
        <v>4173</v>
      </c>
      <c r="F5954" s="45" t="s">
        <v>14685</v>
      </c>
      <c r="G5954" s="45" t="s">
        <v>14686</v>
      </c>
      <c r="H5954" s="546">
        <v>33558.54</v>
      </c>
      <c r="I5954" s="47">
        <v>45194</v>
      </c>
      <c r="J5954" s="73" t="s">
        <v>14687</v>
      </c>
      <c r="K5954" s="45"/>
      <c r="L5954" s="99"/>
      <c r="M5954" s="385"/>
      <c r="N5954" s="75"/>
      <c r="O5954" s="45" t="s">
        <v>441</v>
      </c>
      <c r="P5954" s="45" t="s">
        <v>22</v>
      </c>
      <c r="Q5954" s="45" t="s">
        <v>33</v>
      </c>
      <c r="R5954" s="45" t="s">
        <v>265</v>
      </c>
    </row>
    <row r="5955" spans="1:18" s="98" customFormat="1" ht="69" customHeight="1">
      <c r="A5955" s="169"/>
      <c r="B5955" s="48">
        <f t="shared" si="12"/>
        <v>3094</v>
      </c>
      <c r="C5955" s="59" t="s">
        <v>1853</v>
      </c>
      <c r="D5955" s="84" t="s">
        <v>4117</v>
      </c>
      <c r="E5955" s="59" t="s">
        <v>4033</v>
      </c>
      <c r="F5955" s="45" t="s">
        <v>14688</v>
      </c>
      <c r="G5955" s="45" t="s">
        <v>14689</v>
      </c>
      <c r="H5955" s="546">
        <v>184342.32</v>
      </c>
      <c r="I5955" s="138">
        <v>45204</v>
      </c>
      <c r="J5955" s="73" t="s">
        <v>14690</v>
      </c>
      <c r="K5955" s="45"/>
      <c r="L5955" s="99"/>
      <c r="M5955" s="385"/>
      <c r="N5955" s="75"/>
      <c r="O5955" s="45" t="s">
        <v>441</v>
      </c>
      <c r="P5955" s="45" t="s">
        <v>22</v>
      </c>
      <c r="Q5955" s="45" t="s">
        <v>29</v>
      </c>
      <c r="R5955" s="45" t="s">
        <v>272</v>
      </c>
    </row>
    <row r="5956" spans="1:18" s="98" customFormat="1" ht="69" customHeight="1">
      <c r="A5956" s="169"/>
      <c r="B5956" s="48">
        <f t="shared" si="12"/>
        <v>3095</v>
      </c>
      <c r="C5956" s="610" t="s">
        <v>450</v>
      </c>
      <c r="D5956" s="84" t="s">
        <v>4389</v>
      </c>
      <c r="E5956" s="44" t="s">
        <v>4173</v>
      </c>
      <c r="F5956" s="45" t="s">
        <v>14691</v>
      </c>
      <c r="G5956" s="45" t="s">
        <v>14692</v>
      </c>
      <c r="H5956" s="546">
        <v>25000</v>
      </c>
      <c r="I5956" s="47">
        <v>45194</v>
      </c>
      <c r="J5956" s="73" t="s">
        <v>14693</v>
      </c>
      <c r="K5956" s="45"/>
      <c r="L5956" s="99"/>
      <c r="M5956" s="385"/>
      <c r="N5956" s="75"/>
      <c r="O5956" s="45" t="s">
        <v>441</v>
      </c>
      <c r="P5956" s="45" t="s">
        <v>22</v>
      </c>
      <c r="Q5956" s="45" t="s">
        <v>13</v>
      </c>
      <c r="R5956" s="45" t="s">
        <v>265</v>
      </c>
    </row>
    <row r="5957" spans="1:18" s="98" customFormat="1" ht="69" customHeight="1">
      <c r="A5957" s="169"/>
      <c r="B5957" s="48">
        <f t="shared" si="12"/>
        <v>3096</v>
      </c>
      <c r="C5957" s="59" t="s">
        <v>3933</v>
      </c>
      <c r="D5957" s="84" t="s">
        <v>14694</v>
      </c>
      <c r="E5957" s="45" t="s">
        <v>14695</v>
      </c>
      <c r="F5957" s="45" t="s">
        <v>14696</v>
      </c>
      <c r="G5957" s="45" t="s">
        <v>14697</v>
      </c>
      <c r="H5957" s="546">
        <v>30000</v>
      </c>
      <c r="I5957" s="47">
        <v>45194</v>
      </c>
      <c r="J5957" s="73" t="s">
        <v>14698</v>
      </c>
      <c r="K5957" s="45"/>
      <c r="L5957" s="99"/>
      <c r="M5957" s="385"/>
      <c r="N5957" s="75"/>
      <c r="O5957" s="45" t="s">
        <v>192</v>
      </c>
      <c r="P5957" s="45" t="s">
        <v>57</v>
      </c>
      <c r="Q5957" s="45" t="s">
        <v>52</v>
      </c>
      <c r="R5957" s="45" t="s">
        <v>272</v>
      </c>
    </row>
    <row r="5958" spans="1:18" ht="69" customHeight="1">
      <c r="A5958" s="168"/>
      <c r="B5958" s="62">
        <f t="shared" si="12"/>
        <v>3097</v>
      </c>
      <c r="C5958" s="178" t="s">
        <v>5558</v>
      </c>
      <c r="D5958" s="174" t="s">
        <v>14699</v>
      </c>
      <c r="E5958" s="72" t="s">
        <v>4173</v>
      </c>
      <c r="F5958" s="58" t="s">
        <v>14700</v>
      </c>
      <c r="G5958" s="45" t="s">
        <v>14701</v>
      </c>
      <c r="H5958" s="546">
        <v>25700</v>
      </c>
      <c r="I5958" s="66">
        <v>45184</v>
      </c>
      <c r="J5958" s="65" t="s">
        <v>14702</v>
      </c>
      <c r="K5958" s="58"/>
      <c r="L5958" s="99"/>
      <c r="M5958" s="70"/>
      <c r="N5958" s="97"/>
      <c r="O5958" s="58" t="s">
        <v>441</v>
      </c>
      <c r="P5958" s="58" t="s">
        <v>22</v>
      </c>
      <c r="Q5958" s="58" t="s">
        <v>64</v>
      </c>
      <c r="R5958" s="58" t="s">
        <v>265</v>
      </c>
    </row>
    <row r="5959" spans="1:18" ht="69" customHeight="1">
      <c r="A5959" s="168"/>
      <c r="B5959" s="62">
        <f t="shared" si="12"/>
        <v>3098</v>
      </c>
      <c r="C5959" s="69" t="s">
        <v>11047</v>
      </c>
      <c r="D5959" s="174" t="s">
        <v>4393</v>
      </c>
      <c r="E5959" s="72" t="s">
        <v>4173</v>
      </c>
      <c r="F5959" s="58" t="s">
        <v>14703</v>
      </c>
      <c r="G5959" s="45" t="s">
        <v>14704</v>
      </c>
      <c r="H5959" s="546">
        <v>25135.54</v>
      </c>
      <c r="I5959" s="47">
        <v>45204</v>
      </c>
      <c r="J5959" s="65" t="s">
        <v>14705</v>
      </c>
      <c r="K5959" s="58"/>
      <c r="L5959" s="99"/>
      <c r="M5959" s="70"/>
      <c r="N5959" s="97"/>
      <c r="O5959" s="58" t="s">
        <v>441</v>
      </c>
      <c r="P5959" s="58" t="s">
        <v>22</v>
      </c>
      <c r="Q5959" s="58" t="s">
        <v>33</v>
      </c>
      <c r="R5959" s="58" t="s">
        <v>265</v>
      </c>
    </row>
    <row r="5960" spans="1:18" ht="69" customHeight="1">
      <c r="A5960" s="168"/>
      <c r="B5960" s="62">
        <f t="shared" si="12"/>
        <v>3099</v>
      </c>
      <c r="C5960" s="72" t="s">
        <v>458</v>
      </c>
      <c r="D5960" s="174" t="s">
        <v>14706</v>
      </c>
      <c r="E5960" s="85" t="s">
        <v>350</v>
      </c>
      <c r="F5960" s="58" t="s">
        <v>14707</v>
      </c>
      <c r="G5960" s="45" t="s">
        <v>14708</v>
      </c>
      <c r="H5960" s="546">
        <v>149800</v>
      </c>
      <c r="I5960" s="66">
        <v>45198</v>
      </c>
      <c r="J5960" s="65" t="s">
        <v>14709</v>
      </c>
      <c r="K5960" s="58"/>
      <c r="L5960" s="99"/>
      <c r="M5960" s="70"/>
      <c r="N5960" s="97"/>
      <c r="O5960" s="58" t="s">
        <v>141</v>
      </c>
      <c r="P5960" s="58" t="s">
        <v>19</v>
      </c>
      <c r="Q5960" s="58" t="s">
        <v>14710</v>
      </c>
      <c r="R5960" s="58" t="s">
        <v>265</v>
      </c>
    </row>
    <row r="5961" spans="1:18" ht="69" customHeight="1">
      <c r="A5961" s="168"/>
      <c r="B5961" s="62">
        <f t="shared" si="12"/>
        <v>3100</v>
      </c>
      <c r="C5961" s="72" t="s">
        <v>657</v>
      </c>
      <c r="D5961" s="174" t="s">
        <v>3123</v>
      </c>
      <c r="E5961" s="85" t="s">
        <v>350</v>
      </c>
      <c r="F5961" s="58" t="s">
        <v>14711</v>
      </c>
      <c r="G5961" s="45" t="s">
        <v>14708</v>
      </c>
      <c r="H5961" s="546">
        <v>142000</v>
      </c>
      <c r="I5961" s="66">
        <v>45198</v>
      </c>
      <c r="J5961" s="65" t="s">
        <v>14712</v>
      </c>
      <c r="K5961" s="58"/>
      <c r="L5961" s="99"/>
      <c r="M5961" s="70"/>
      <c r="N5961" s="97"/>
      <c r="O5961" s="58" t="s">
        <v>141</v>
      </c>
      <c r="P5961" s="58" t="s">
        <v>19</v>
      </c>
      <c r="Q5961" s="58" t="s">
        <v>104</v>
      </c>
      <c r="R5961" s="58" t="s">
        <v>265</v>
      </c>
    </row>
    <row r="5962" spans="1:18" ht="69" customHeight="1">
      <c r="A5962" s="168"/>
      <c r="B5962" s="62">
        <f t="shared" si="12"/>
        <v>3101</v>
      </c>
      <c r="C5962" s="178" t="s">
        <v>14648</v>
      </c>
      <c r="D5962" s="174" t="s">
        <v>6639</v>
      </c>
      <c r="E5962" s="85" t="s">
        <v>350</v>
      </c>
      <c r="F5962" s="58" t="s">
        <v>14713</v>
      </c>
      <c r="G5962" s="45" t="s">
        <v>14708</v>
      </c>
      <c r="H5962" s="546">
        <v>78569.23</v>
      </c>
      <c r="I5962" s="66">
        <v>45204</v>
      </c>
      <c r="J5962" s="65" t="s">
        <v>14714</v>
      </c>
      <c r="K5962" s="58"/>
      <c r="L5962" s="99"/>
      <c r="M5962" s="70"/>
      <c r="N5962" s="97"/>
      <c r="O5962" s="58" t="s">
        <v>141</v>
      </c>
      <c r="P5962" s="58" t="s">
        <v>19</v>
      </c>
      <c r="Q5962" s="58" t="s">
        <v>41</v>
      </c>
      <c r="R5962" s="58" t="s">
        <v>265</v>
      </c>
    </row>
    <row r="5963" spans="1:18" ht="69" customHeight="1">
      <c r="A5963" s="168"/>
      <c r="B5963" s="62">
        <f t="shared" si="12"/>
        <v>3102</v>
      </c>
      <c r="C5963" s="178" t="s">
        <v>14648</v>
      </c>
      <c r="D5963" s="174" t="s">
        <v>6634</v>
      </c>
      <c r="E5963" s="85" t="s">
        <v>350</v>
      </c>
      <c r="F5963" s="58" t="s">
        <v>14715</v>
      </c>
      <c r="G5963" s="45" t="s">
        <v>14708</v>
      </c>
      <c r="H5963" s="546">
        <v>78688.460000000006</v>
      </c>
      <c r="I5963" s="66">
        <v>45204</v>
      </c>
      <c r="J5963" s="65" t="s">
        <v>14714</v>
      </c>
      <c r="K5963" s="58" t="s">
        <v>14716</v>
      </c>
      <c r="L5963" s="99"/>
      <c r="M5963" s="70"/>
      <c r="N5963" s="97"/>
      <c r="O5963" s="58" t="s">
        <v>141</v>
      </c>
      <c r="P5963" s="58" t="s">
        <v>19</v>
      </c>
      <c r="Q5963" s="58" t="s">
        <v>39</v>
      </c>
      <c r="R5963" s="58" t="s">
        <v>265</v>
      </c>
    </row>
    <row r="5964" spans="1:18" ht="69" customHeight="1">
      <c r="A5964" s="168"/>
      <c r="B5964" s="259">
        <f t="shared" si="12"/>
        <v>3103</v>
      </c>
      <c r="C5964" s="207" t="s">
        <v>13156</v>
      </c>
      <c r="D5964" s="301" t="s">
        <v>6828</v>
      </c>
      <c r="E5964" s="207" t="s">
        <v>585</v>
      </c>
      <c r="F5964" s="208" t="s">
        <v>14717</v>
      </c>
      <c r="G5964" s="160" t="s">
        <v>13118</v>
      </c>
      <c r="H5964" s="300">
        <v>1950</v>
      </c>
      <c r="I5964" s="209">
        <v>45204</v>
      </c>
      <c r="J5964" s="316" t="s">
        <v>14718</v>
      </c>
      <c r="K5964" s="160" t="s">
        <v>10804</v>
      </c>
      <c r="M5964" s="385"/>
      <c r="N5964" s="75"/>
      <c r="O5964" s="160"/>
      <c r="P5964" s="160" t="s">
        <v>67</v>
      </c>
      <c r="Q5964" s="160" t="s">
        <v>96</v>
      </c>
      <c r="R5964" s="160" t="s">
        <v>272</v>
      </c>
    </row>
    <row r="5965" spans="1:18" ht="69" customHeight="1">
      <c r="A5965" s="168"/>
      <c r="B5965" s="259">
        <f t="shared" si="12"/>
        <v>3104</v>
      </c>
      <c r="C5965" s="207" t="s">
        <v>13156</v>
      </c>
      <c r="D5965" s="301" t="s">
        <v>6893</v>
      </c>
      <c r="E5965" s="207" t="s">
        <v>585</v>
      </c>
      <c r="F5965" s="208" t="s">
        <v>14719</v>
      </c>
      <c r="G5965" s="160" t="s">
        <v>13118</v>
      </c>
      <c r="H5965" s="300">
        <v>2325</v>
      </c>
      <c r="I5965" s="209">
        <v>45204</v>
      </c>
      <c r="J5965" s="316" t="s">
        <v>14718</v>
      </c>
      <c r="K5965" s="160" t="s">
        <v>10804</v>
      </c>
      <c r="M5965" s="385"/>
      <c r="N5965" s="75"/>
      <c r="O5965" s="160"/>
      <c r="P5965" s="160" t="s">
        <v>67</v>
      </c>
      <c r="Q5965" s="160" t="s">
        <v>96</v>
      </c>
      <c r="R5965" s="160" t="s">
        <v>272</v>
      </c>
    </row>
    <row r="5966" spans="1:18" ht="69" customHeight="1">
      <c r="A5966" s="168"/>
      <c r="B5966" s="259">
        <f t="shared" si="12"/>
        <v>3105</v>
      </c>
      <c r="C5966" s="207" t="s">
        <v>13156</v>
      </c>
      <c r="D5966" s="301" t="s">
        <v>5660</v>
      </c>
      <c r="E5966" s="207" t="s">
        <v>585</v>
      </c>
      <c r="F5966" s="208" t="s">
        <v>14720</v>
      </c>
      <c r="G5966" s="160" t="s">
        <v>13118</v>
      </c>
      <c r="H5966" s="300">
        <v>1275</v>
      </c>
      <c r="I5966" s="209">
        <v>45204</v>
      </c>
      <c r="J5966" s="316" t="s">
        <v>14718</v>
      </c>
      <c r="K5966" s="160" t="s">
        <v>10804</v>
      </c>
      <c r="M5966" s="385"/>
      <c r="N5966" s="75"/>
      <c r="O5966" s="160"/>
      <c r="P5966" s="160" t="s">
        <v>67</v>
      </c>
      <c r="Q5966" s="160" t="s">
        <v>96</v>
      </c>
      <c r="R5966" s="160" t="s">
        <v>272</v>
      </c>
    </row>
    <row r="5967" spans="1:18" ht="69" customHeight="1">
      <c r="A5967" s="168"/>
      <c r="B5967" s="259">
        <f t="shared" si="12"/>
        <v>3106</v>
      </c>
      <c r="C5967" s="207" t="s">
        <v>13156</v>
      </c>
      <c r="D5967" s="301" t="s">
        <v>405</v>
      </c>
      <c r="E5967" s="207" t="s">
        <v>585</v>
      </c>
      <c r="F5967" s="208" t="s">
        <v>14721</v>
      </c>
      <c r="G5967" s="160" t="s">
        <v>13118</v>
      </c>
      <c r="H5967" s="300">
        <v>1400</v>
      </c>
      <c r="I5967" s="209">
        <v>45204</v>
      </c>
      <c r="J5967" s="316" t="s">
        <v>14718</v>
      </c>
      <c r="K5967" s="160" t="s">
        <v>10804</v>
      </c>
      <c r="M5967" s="385"/>
      <c r="N5967" s="75"/>
      <c r="O5967" s="160"/>
      <c r="P5967" s="160" t="s">
        <v>67</v>
      </c>
      <c r="Q5967" s="160" t="s">
        <v>96</v>
      </c>
      <c r="R5967" s="160" t="s">
        <v>272</v>
      </c>
    </row>
    <row r="5968" spans="1:18" ht="69" customHeight="1">
      <c r="A5968" s="168"/>
      <c r="B5968" s="52">
        <f t="shared" si="12"/>
        <v>3107</v>
      </c>
      <c r="C5968" s="51" t="s">
        <v>458</v>
      </c>
      <c r="D5968" s="533" t="s">
        <v>14722</v>
      </c>
      <c r="E5968" s="53" t="s">
        <v>266</v>
      </c>
      <c r="F5968" s="211" t="s">
        <v>14723</v>
      </c>
      <c r="G5968" s="46" t="s">
        <v>14724</v>
      </c>
      <c r="H5968" s="534">
        <v>21046.560000000001</v>
      </c>
      <c r="I5968" s="56">
        <v>45204</v>
      </c>
      <c r="J5968" s="199" t="s">
        <v>14725</v>
      </c>
      <c r="K5968" s="46" t="s">
        <v>1170</v>
      </c>
      <c r="L5968" s="99"/>
      <c r="M5968" s="385"/>
      <c r="N5968" s="75"/>
      <c r="O5968" s="46" t="s">
        <v>1171</v>
      </c>
      <c r="P5968" s="46" t="s">
        <v>71</v>
      </c>
      <c r="Q5968" s="46" t="s">
        <v>119</v>
      </c>
      <c r="R5968" s="46" t="s">
        <v>272</v>
      </c>
    </row>
    <row r="5969" spans="1:18" ht="69" customHeight="1">
      <c r="A5969" s="168"/>
      <c r="B5969" s="52">
        <f t="shared" si="12"/>
        <v>3108</v>
      </c>
      <c r="C5969" s="51" t="s">
        <v>10418</v>
      </c>
      <c r="D5969" s="533" t="s">
        <v>14726</v>
      </c>
      <c r="E5969" s="53" t="s">
        <v>266</v>
      </c>
      <c r="F5969" s="211" t="s">
        <v>14727</v>
      </c>
      <c r="G5969" s="46" t="s">
        <v>14724</v>
      </c>
      <c r="H5969" s="534">
        <v>21046.560000000001</v>
      </c>
      <c r="I5969" s="56">
        <v>45204</v>
      </c>
      <c r="J5969" s="199" t="s">
        <v>14725</v>
      </c>
      <c r="K5969" s="46" t="s">
        <v>1170</v>
      </c>
      <c r="L5969" s="99"/>
      <c r="M5969" s="385"/>
      <c r="N5969" s="75"/>
      <c r="O5969" s="46" t="s">
        <v>1171</v>
      </c>
      <c r="P5969" s="46" t="s">
        <v>71</v>
      </c>
      <c r="Q5969" s="46" t="s">
        <v>121</v>
      </c>
      <c r="R5969" s="46" t="s">
        <v>272</v>
      </c>
    </row>
    <row r="5970" spans="1:18" s="98" customFormat="1" ht="69" customHeight="1">
      <c r="A5970" s="169"/>
      <c r="B5970" s="52">
        <f t="shared" si="12"/>
        <v>3109</v>
      </c>
      <c r="C5970" s="51" t="s">
        <v>458</v>
      </c>
      <c r="D5970" s="533" t="s">
        <v>14728</v>
      </c>
      <c r="E5970" s="53" t="s">
        <v>266</v>
      </c>
      <c r="F5970" s="211" t="s">
        <v>14729</v>
      </c>
      <c r="G5970" s="46" t="s">
        <v>14730</v>
      </c>
      <c r="H5970" s="534">
        <v>10878.8</v>
      </c>
      <c r="I5970" s="56">
        <v>45204</v>
      </c>
      <c r="J5970" s="199" t="s">
        <v>14725</v>
      </c>
      <c r="K5970" s="46" t="s">
        <v>1170</v>
      </c>
      <c r="L5970" s="99"/>
      <c r="M5970" s="385"/>
      <c r="N5970" s="75"/>
      <c r="O5970" s="46" t="s">
        <v>1171</v>
      </c>
      <c r="P5970" s="46" t="s">
        <v>71</v>
      </c>
      <c r="Q5970" s="46" t="s">
        <v>107</v>
      </c>
      <c r="R5970" s="46" t="s">
        <v>272</v>
      </c>
    </row>
    <row r="5971" spans="1:18" ht="69" customHeight="1">
      <c r="A5971" s="168"/>
      <c r="B5971" s="52">
        <f t="shared" si="12"/>
        <v>3110</v>
      </c>
      <c r="C5971" s="51" t="s">
        <v>458</v>
      </c>
      <c r="D5971" s="533" t="s">
        <v>14731</v>
      </c>
      <c r="E5971" s="53" t="s">
        <v>266</v>
      </c>
      <c r="F5971" s="211" t="s">
        <v>14732</v>
      </c>
      <c r="G5971" s="46" t="s">
        <v>14730</v>
      </c>
      <c r="H5971" s="534">
        <v>11687.04</v>
      </c>
      <c r="I5971" s="56">
        <v>45204</v>
      </c>
      <c r="J5971" s="199" t="s">
        <v>14725</v>
      </c>
      <c r="K5971" s="46" t="s">
        <v>1170</v>
      </c>
      <c r="L5971" s="99"/>
      <c r="M5971" s="385"/>
      <c r="N5971" s="75"/>
      <c r="O5971" s="46" t="s">
        <v>1171</v>
      </c>
      <c r="P5971" s="46" t="s">
        <v>71</v>
      </c>
      <c r="Q5971" s="46" t="s">
        <v>103</v>
      </c>
      <c r="R5971" s="46" t="s">
        <v>272</v>
      </c>
    </row>
    <row r="5972" spans="1:18" ht="69" customHeight="1">
      <c r="A5972" s="168"/>
      <c r="B5972" s="52">
        <f t="shared" si="12"/>
        <v>3111</v>
      </c>
      <c r="C5972" s="51" t="s">
        <v>657</v>
      </c>
      <c r="D5972" s="251" t="s">
        <v>2637</v>
      </c>
      <c r="E5972" s="53" t="s">
        <v>266</v>
      </c>
      <c r="F5972" s="211" t="s">
        <v>14733</v>
      </c>
      <c r="G5972" s="46" t="s">
        <v>14724</v>
      </c>
      <c r="H5972" s="534">
        <v>21046.560000000001</v>
      </c>
      <c r="I5972" s="56">
        <v>45204</v>
      </c>
      <c r="J5972" s="199" t="s">
        <v>14725</v>
      </c>
      <c r="K5972" s="46" t="s">
        <v>1170</v>
      </c>
      <c r="L5972" s="99"/>
      <c r="M5972" s="385"/>
      <c r="N5972" s="75"/>
      <c r="O5972" s="46" t="s">
        <v>1171</v>
      </c>
      <c r="P5972" s="46" t="s">
        <v>71</v>
      </c>
      <c r="Q5972" s="46" t="s">
        <v>120</v>
      </c>
      <c r="R5972" s="46" t="s">
        <v>272</v>
      </c>
    </row>
    <row r="5973" spans="1:18" ht="69" customHeight="1">
      <c r="A5973" s="168"/>
      <c r="B5973" s="52">
        <f t="shared" si="12"/>
        <v>3112</v>
      </c>
      <c r="C5973" s="51" t="s">
        <v>657</v>
      </c>
      <c r="D5973" s="251" t="s">
        <v>2640</v>
      </c>
      <c r="E5973" s="53" t="s">
        <v>266</v>
      </c>
      <c r="F5973" s="211" t="s">
        <v>14734</v>
      </c>
      <c r="G5973" s="46" t="s">
        <v>14730</v>
      </c>
      <c r="H5973" s="534">
        <v>10195.48</v>
      </c>
      <c r="I5973" s="56">
        <v>45204</v>
      </c>
      <c r="J5973" s="199" t="s">
        <v>14725</v>
      </c>
      <c r="K5973" s="46"/>
      <c r="L5973" s="99"/>
      <c r="M5973" s="385"/>
      <c r="N5973" s="75"/>
      <c r="O5973" s="46" t="s">
        <v>1171</v>
      </c>
      <c r="P5973" s="46" t="s">
        <v>71</v>
      </c>
      <c r="Q5973" s="46" t="s">
        <v>97</v>
      </c>
      <c r="R5973" s="46" t="s">
        <v>272</v>
      </c>
    </row>
    <row r="5974" spans="1:18" ht="69" customHeight="1">
      <c r="A5974" s="168"/>
      <c r="B5974" s="52">
        <f t="shared" si="12"/>
        <v>3113</v>
      </c>
      <c r="C5974" s="51" t="s">
        <v>458</v>
      </c>
      <c r="D5974" s="251" t="s">
        <v>14735</v>
      </c>
      <c r="E5974" s="53" t="s">
        <v>266</v>
      </c>
      <c r="F5974" s="211" t="s">
        <v>14736</v>
      </c>
      <c r="G5974" s="46" t="s">
        <v>14724</v>
      </c>
      <c r="H5974" s="534">
        <v>11687.04</v>
      </c>
      <c r="I5974" s="56">
        <v>45204</v>
      </c>
      <c r="J5974" s="199" t="s">
        <v>14725</v>
      </c>
      <c r="K5974" s="46" t="s">
        <v>1170</v>
      </c>
      <c r="L5974" s="99"/>
      <c r="M5974" s="385"/>
      <c r="N5974" s="75"/>
      <c r="O5974" s="46" t="s">
        <v>1171</v>
      </c>
      <c r="P5974" s="46" t="s">
        <v>71</v>
      </c>
      <c r="Q5974" s="46" t="s">
        <v>113</v>
      </c>
      <c r="R5974" s="46" t="s">
        <v>272</v>
      </c>
    </row>
    <row r="5975" spans="1:18" ht="69" customHeight="1">
      <c r="A5975" s="168"/>
      <c r="B5975" s="62">
        <f t="shared" si="12"/>
        <v>3114</v>
      </c>
      <c r="C5975" s="59" t="s">
        <v>3667</v>
      </c>
      <c r="D5975" s="174" t="s">
        <v>14737</v>
      </c>
      <c r="E5975" s="85" t="s">
        <v>10553</v>
      </c>
      <c r="F5975" s="58" t="s">
        <v>14738</v>
      </c>
      <c r="G5975" s="45" t="s">
        <v>14739</v>
      </c>
      <c r="H5975" s="546">
        <v>300291.78999999998</v>
      </c>
      <c r="I5975" s="47">
        <v>45189</v>
      </c>
      <c r="J5975" s="65" t="s">
        <v>14740</v>
      </c>
      <c r="K5975" s="58"/>
      <c r="L5975" s="99"/>
      <c r="M5975" s="70"/>
      <c r="N5975" s="97"/>
      <c r="O5975" s="58" t="s">
        <v>147</v>
      </c>
      <c r="P5975" s="58" t="s">
        <v>22</v>
      </c>
      <c r="Q5975" s="58" t="s">
        <v>74</v>
      </c>
      <c r="R5975" s="58" t="s">
        <v>272</v>
      </c>
    </row>
    <row r="5976" spans="1:18" ht="69" customHeight="1">
      <c r="A5976" s="168"/>
      <c r="B5976" s="62">
        <f t="shared" si="12"/>
        <v>3115</v>
      </c>
      <c r="C5976" s="59" t="s">
        <v>3667</v>
      </c>
      <c r="D5976" s="174" t="s">
        <v>14741</v>
      </c>
      <c r="E5976" s="85" t="s">
        <v>10553</v>
      </c>
      <c r="F5976" s="58" t="s">
        <v>14742</v>
      </c>
      <c r="G5976" s="45" t="s">
        <v>14743</v>
      </c>
      <c r="H5976" s="546">
        <v>105102.13</v>
      </c>
      <c r="I5976" s="47">
        <v>45189</v>
      </c>
      <c r="J5976" s="65" t="s">
        <v>14740</v>
      </c>
      <c r="K5976" s="58"/>
      <c r="L5976" s="99"/>
      <c r="M5976" s="70"/>
      <c r="N5976" s="97"/>
      <c r="O5976" s="58" t="s">
        <v>147</v>
      </c>
      <c r="P5976" s="58" t="s">
        <v>22</v>
      </c>
      <c r="Q5976" s="58" t="s">
        <v>74</v>
      </c>
      <c r="R5976" s="58" t="s">
        <v>272</v>
      </c>
    </row>
    <row r="5977" spans="1:18" ht="69" customHeight="1">
      <c r="A5977" s="168"/>
      <c r="B5977" s="62">
        <f t="shared" si="12"/>
        <v>3116</v>
      </c>
      <c r="C5977" s="59" t="s">
        <v>3667</v>
      </c>
      <c r="D5977" s="174" t="s">
        <v>14744</v>
      </c>
      <c r="E5977" s="85" t="s">
        <v>10553</v>
      </c>
      <c r="F5977" s="58" t="s">
        <v>14745</v>
      </c>
      <c r="G5977" s="45" t="s">
        <v>14746</v>
      </c>
      <c r="H5977" s="546">
        <v>338691.52</v>
      </c>
      <c r="I5977" s="47">
        <v>45189</v>
      </c>
      <c r="J5977" s="65" t="s">
        <v>14740</v>
      </c>
      <c r="K5977" s="58" t="s">
        <v>14747</v>
      </c>
      <c r="L5977" s="99"/>
      <c r="M5977" s="70"/>
      <c r="N5977" s="97"/>
      <c r="O5977" s="58" t="s">
        <v>147</v>
      </c>
      <c r="P5977" s="58" t="s">
        <v>22</v>
      </c>
      <c r="Q5977" s="58" t="s">
        <v>76</v>
      </c>
      <c r="R5977" s="58" t="s">
        <v>272</v>
      </c>
    </row>
    <row r="5978" spans="1:18" ht="69" customHeight="1">
      <c r="A5978" s="168"/>
      <c r="B5978" s="62">
        <f t="shared" si="12"/>
        <v>3117</v>
      </c>
      <c r="C5978" s="59" t="s">
        <v>3667</v>
      </c>
      <c r="D5978" s="174" t="s">
        <v>14748</v>
      </c>
      <c r="E5978" s="85" t="s">
        <v>10553</v>
      </c>
      <c r="F5978" s="58" t="s">
        <v>14749</v>
      </c>
      <c r="G5978" s="45" t="s">
        <v>14750</v>
      </c>
      <c r="H5978" s="546">
        <v>118542.03</v>
      </c>
      <c r="I5978" s="47">
        <v>45189</v>
      </c>
      <c r="J5978" s="65" t="s">
        <v>14740</v>
      </c>
      <c r="K5978" s="58" t="s">
        <v>14747</v>
      </c>
      <c r="L5978" s="99"/>
      <c r="M5978" s="70"/>
      <c r="N5978" s="97"/>
      <c r="O5978" s="58" t="s">
        <v>147</v>
      </c>
      <c r="P5978" s="58" t="s">
        <v>22</v>
      </c>
      <c r="Q5978" s="58" t="s">
        <v>76</v>
      </c>
      <c r="R5978" s="58" t="s">
        <v>272</v>
      </c>
    </row>
    <row r="5979" spans="1:18" ht="69" customHeight="1">
      <c r="A5979" s="168"/>
      <c r="B5979" s="62">
        <f t="shared" si="12"/>
        <v>3118</v>
      </c>
      <c r="C5979" s="59" t="s">
        <v>3667</v>
      </c>
      <c r="D5979" s="174" t="s">
        <v>14751</v>
      </c>
      <c r="E5979" s="85" t="s">
        <v>10553</v>
      </c>
      <c r="F5979" s="58" t="s">
        <v>14752</v>
      </c>
      <c r="G5979" s="45" t="s">
        <v>14753</v>
      </c>
      <c r="H5979" s="546">
        <v>60445.13</v>
      </c>
      <c r="I5979" s="47">
        <v>45189</v>
      </c>
      <c r="J5979" s="65" t="s">
        <v>14740</v>
      </c>
      <c r="K5979" s="58"/>
      <c r="L5979" s="99"/>
      <c r="M5979" s="70"/>
      <c r="N5979" s="97"/>
      <c r="O5979" s="58" t="s">
        <v>147</v>
      </c>
      <c r="P5979" s="58" t="s">
        <v>22</v>
      </c>
      <c r="Q5979" s="58" t="s">
        <v>72</v>
      </c>
      <c r="R5979" s="58" t="s">
        <v>272</v>
      </c>
    </row>
    <row r="5980" spans="1:18" ht="69" customHeight="1">
      <c r="A5980" s="168"/>
      <c r="B5980" s="62">
        <f t="shared" si="12"/>
        <v>3119</v>
      </c>
      <c r="C5980" s="59" t="s">
        <v>3667</v>
      </c>
      <c r="D5980" s="174" t="s">
        <v>14754</v>
      </c>
      <c r="E5980" s="85" t="s">
        <v>10553</v>
      </c>
      <c r="F5980" s="58" t="s">
        <v>14755</v>
      </c>
      <c r="G5980" s="45" t="s">
        <v>14756</v>
      </c>
      <c r="H5980" s="546">
        <v>21155.79</v>
      </c>
      <c r="I5980" s="47">
        <v>45189</v>
      </c>
      <c r="J5980" s="65" t="s">
        <v>14740</v>
      </c>
      <c r="K5980" s="58"/>
      <c r="L5980" s="99"/>
      <c r="M5980" s="70"/>
      <c r="N5980" s="97"/>
      <c r="O5980" s="58" t="s">
        <v>147</v>
      </c>
      <c r="P5980" s="58" t="s">
        <v>22</v>
      </c>
      <c r="Q5980" s="58" t="s">
        <v>72</v>
      </c>
      <c r="R5980" s="58" t="s">
        <v>272</v>
      </c>
    </row>
    <row r="5981" spans="1:18" ht="69" customHeight="1">
      <c r="A5981" s="168"/>
      <c r="B5981" s="62">
        <f t="shared" si="12"/>
        <v>3120</v>
      </c>
      <c r="C5981" s="44" t="s">
        <v>2182</v>
      </c>
      <c r="D5981" s="84" t="s">
        <v>5535</v>
      </c>
      <c r="E5981" s="44" t="s">
        <v>4173</v>
      </c>
      <c r="F5981" s="45" t="s">
        <v>14757</v>
      </c>
      <c r="G5981" s="45" t="s">
        <v>14758</v>
      </c>
      <c r="H5981" s="546">
        <v>30000</v>
      </c>
      <c r="I5981" s="47">
        <v>45204</v>
      </c>
      <c r="J5981" s="73" t="s">
        <v>14759</v>
      </c>
      <c r="K5981" s="45"/>
      <c r="L5981" s="99"/>
      <c r="M5981" s="70"/>
      <c r="N5981" s="97"/>
      <c r="O5981" s="58" t="s">
        <v>441</v>
      </c>
      <c r="P5981" s="58" t="s">
        <v>22</v>
      </c>
      <c r="Q5981" s="58" t="s">
        <v>31</v>
      </c>
      <c r="R5981" s="58" t="s">
        <v>265</v>
      </c>
    </row>
    <row r="5982" spans="1:18" ht="69" customHeight="1">
      <c r="A5982" s="168"/>
      <c r="B5982" s="62">
        <f t="shared" si="12"/>
        <v>3121</v>
      </c>
      <c r="C5982" s="44" t="s">
        <v>11047</v>
      </c>
      <c r="D5982" s="84" t="s">
        <v>5525</v>
      </c>
      <c r="E5982" s="44" t="s">
        <v>4173</v>
      </c>
      <c r="F5982" s="45" t="s">
        <v>14760</v>
      </c>
      <c r="G5982" s="45" t="s">
        <v>14758</v>
      </c>
      <c r="H5982" s="546">
        <v>30000</v>
      </c>
      <c r="I5982" s="47">
        <v>45204</v>
      </c>
      <c r="J5982" s="73" t="s">
        <v>14759</v>
      </c>
      <c r="K5982" s="45"/>
      <c r="L5982" s="99"/>
      <c r="M5982" s="70"/>
      <c r="N5982" s="97"/>
      <c r="O5982" s="58" t="s">
        <v>441</v>
      </c>
      <c r="P5982" s="58" t="s">
        <v>22</v>
      </c>
      <c r="Q5982" s="58" t="s">
        <v>33</v>
      </c>
      <c r="R5982" s="58" t="s">
        <v>265</v>
      </c>
    </row>
    <row r="5983" spans="1:18" ht="69" customHeight="1">
      <c r="A5983" s="168"/>
      <c r="B5983" s="62">
        <f t="shared" si="12"/>
        <v>3122</v>
      </c>
      <c r="C5983" s="178" t="s">
        <v>8529</v>
      </c>
      <c r="D5983" s="174" t="s">
        <v>14761</v>
      </c>
      <c r="E5983" s="72" t="s">
        <v>755</v>
      </c>
      <c r="F5983" s="58" t="s">
        <v>14762</v>
      </c>
      <c r="G5983" s="45" t="s">
        <v>14763</v>
      </c>
      <c r="H5983" s="546">
        <v>73843.64</v>
      </c>
      <c r="I5983" s="66">
        <v>45204</v>
      </c>
      <c r="J5983" s="65" t="s">
        <v>14764</v>
      </c>
      <c r="K5983" s="58"/>
      <c r="L5983" s="99"/>
      <c r="M5983" s="70"/>
      <c r="N5983" s="97"/>
      <c r="O5983" s="58" t="s">
        <v>1566</v>
      </c>
      <c r="P5983" s="58" t="s">
        <v>28</v>
      </c>
      <c r="Q5983" s="58" t="s">
        <v>108</v>
      </c>
      <c r="R5983" s="58" t="s">
        <v>272</v>
      </c>
    </row>
    <row r="5984" spans="1:18" ht="69" customHeight="1">
      <c r="A5984" s="168"/>
      <c r="B5984" s="62">
        <f t="shared" si="12"/>
        <v>3123</v>
      </c>
      <c r="C5984" s="178" t="s">
        <v>5558</v>
      </c>
      <c r="D5984" s="174" t="s">
        <v>14765</v>
      </c>
      <c r="E5984" s="72" t="s">
        <v>4173</v>
      </c>
      <c r="F5984" s="58" t="s">
        <v>14766</v>
      </c>
      <c r="G5984" s="45" t="s">
        <v>14767</v>
      </c>
      <c r="H5984" s="546">
        <v>33119</v>
      </c>
      <c r="I5984" s="213">
        <v>45194</v>
      </c>
      <c r="J5984" s="65" t="s">
        <v>14768</v>
      </c>
      <c r="K5984" s="58"/>
      <c r="L5984" s="99"/>
      <c r="M5984" s="70"/>
      <c r="N5984" s="97"/>
      <c r="O5984" s="58" t="s">
        <v>441</v>
      </c>
      <c r="P5984" s="58" t="s">
        <v>22</v>
      </c>
      <c r="Q5984" s="58" t="s">
        <v>64</v>
      </c>
      <c r="R5984" s="58" t="s">
        <v>265</v>
      </c>
    </row>
    <row r="5985" spans="1:18" ht="69" customHeight="1">
      <c r="A5985" s="168"/>
      <c r="B5985" s="259">
        <f t="shared" si="12"/>
        <v>3124</v>
      </c>
      <c r="C5985" s="302" t="s">
        <v>11464</v>
      </c>
      <c r="D5985" s="303" t="s">
        <v>2933</v>
      </c>
      <c r="E5985" s="290" t="s">
        <v>585</v>
      </c>
      <c r="F5985" s="160" t="s">
        <v>14769</v>
      </c>
      <c r="G5985" s="160" t="s">
        <v>14770</v>
      </c>
      <c r="H5985" s="300">
        <v>31011.61</v>
      </c>
      <c r="I5985" s="209">
        <v>45201</v>
      </c>
      <c r="J5985" s="316" t="s">
        <v>14771</v>
      </c>
      <c r="K5985" s="160" t="s">
        <v>10804</v>
      </c>
      <c r="M5985" s="385"/>
      <c r="N5985" s="75"/>
      <c r="O5985" s="160" t="s">
        <v>194</v>
      </c>
      <c r="P5985" s="160" t="s">
        <v>67</v>
      </c>
      <c r="Q5985" s="160" t="s">
        <v>96</v>
      </c>
      <c r="R5985" s="160" t="s">
        <v>272</v>
      </c>
    </row>
    <row r="5986" spans="1:18" ht="69" customHeight="1">
      <c r="A5986" s="168"/>
      <c r="B5986" s="62">
        <f t="shared" si="12"/>
        <v>3125</v>
      </c>
      <c r="C5986" s="72" t="s">
        <v>458</v>
      </c>
      <c r="D5986" s="174" t="s">
        <v>14772</v>
      </c>
      <c r="E5986" s="72" t="s">
        <v>350</v>
      </c>
      <c r="F5986" s="58" t="s">
        <v>14773</v>
      </c>
      <c r="G5986" s="45" t="s">
        <v>14774</v>
      </c>
      <c r="H5986" s="546">
        <v>57580.1</v>
      </c>
      <c r="I5986" s="66">
        <v>45214</v>
      </c>
      <c r="J5986" s="65" t="s">
        <v>14775</v>
      </c>
      <c r="K5986" s="58"/>
      <c r="L5986" s="99"/>
      <c r="M5986" s="70"/>
      <c r="N5986" s="97"/>
      <c r="O5986" s="58" t="s">
        <v>141</v>
      </c>
      <c r="P5986" s="58" t="s">
        <v>19</v>
      </c>
      <c r="Q5986" s="58" t="s">
        <v>100</v>
      </c>
      <c r="R5986" s="58" t="s">
        <v>265</v>
      </c>
    </row>
    <row r="5987" spans="1:18" ht="69" customHeight="1">
      <c r="A5987" s="168"/>
      <c r="B5987" s="259">
        <f t="shared" si="12"/>
        <v>3126</v>
      </c>
      <c r="C5987" s="304" t="s">
        <v>10961</v>
      </c>
      <c r="D5987" s="303" t="s">
        <v>14776</v>
      </c>
      <c r="E5987" s="290" t="s">
        <v>266</v>
      </c>
      <c r="F5987" s="208" t="s">
        <v>14777</v>
      </c>
      <c r="G5987" s="160" t="s">
        <v>11038</v>
      </c>
      <c r="H5987" s="300">
        <v>10060.959999999999</v>
      </c>
      <c r="I5987" s="209">
        <v>45204</v>
      </c>
      <c r="J5987" s="316" t="s">
        <v>14778</v>
      </c>
      <c r="K5987" s="160" t="s">
        <v>67</v>
      </c>
      <c r="M5987" s="385"/>
      <c r="N5987" s="75"/>
      <c r="O5987" s="160" t="s">
        <v>14779</v>
      </c>
      <c r="P5987" s="160" t="s">
        <v>67</v>
      </c>
      <c r="Q5987" s="160" t="s">
        <v>96</v>
      </c>
      <c r="R5987" s="160" t="s">
        <v>272</v>
      </c>
    </row>
    <row r="5988" spans="1:18" ht="69" customHeight="1">
      <c r="A5988" s="168"/>
      <c r="B5988" s="48">
        <f t="shared" si="12"/>
        <v>3127</v>
      </c>
      <c r="C5988" s="44" t="s">
        <v>11055</v>
      </c>
      <c r="D5988" s="84" t="s">
        <v>5529</v>
      </c>
      <c r="E5988" s="55" t="s">
        <v>10553</v>
      </c>
      <c r="F5988" s="45" t="s">
        <v>14780</v>
      </c>
      <c r="G5988" s="45" t="s">
        <v>14781</v>
      </c>
      <c r="H5988" s="546">
        <v>83527.91</v>
      </c>
      <c r="I5988" s="47">
        <v>45204</v>
      </c>
      <c r="J5988" s="73" t="s">
        <v>14782</v>
      </c>
      <c r="K5988" s="45"/>
      <c r="L5988" s="99"/>
      <c r="M5988" s="385"/>
      <c r="N5988" s="75"/>
      <c r="O5988" s="45" t="s">
        <v>147</v>
      </c>
      <c r="P5988" s="45" t="s">
        <v>22</v>
      </c>
      <c r="Q5988" s="45" t="s">
        <v>45</v>
      </c>
      <c r="R5988" s="45" t="s">
        <v>272</v>
      </c>
    </row>
    <row r="5989" spans="1:18" ht="69" customHeight="1">
      <c r="A5989" s="168"/>
      <c r="B5989" s="48">
        <f t="shared" si="12"/>
        <v>3128</v>
      </c>
      <c r="C5989" s="44" t="s">
        <v>11055</v>
      </c>
      <c r="D5989" s="84" t="s">
        <v>5531</v>
      </c>
      <c r="E5989" s="55" t="s">
        <v>10553</v>
      </c>
      <c r="F5989" s="45" t="s">
        <v>14783</v>
      </c>
      <c r="G5989" s="45" t="s">
        <v>14784</v>
      </c>
      <c r="H5989" s="546">
        <v>68341.02</v>
      </c>
      <c r="I5989" s="47">
        <v>45204</v>
      </c>
      <c r="J5989" s="73" t="s">
        <v>14782</v>
      </c>
      <c r="K5989" s="45"/>
      <c r="L5989" s="99"/>
      <c r="M5989" s="385"/>
      <c r="N5989" s="75"/>
      <c r="O5989" s="45" t="s">
        <v>147</v>
      </c>
      <c r="P5989" s="45" t="s">
        <v>22</v>
      </c>
      <c r="Q5989" s="45" t="s">
        <v>45</v>
      </c>
      <c r="R5989" s="45" t="s">
        <v>272</v>
      </c>
    </row>
    <row r="5990" spans="1:18" ht="69" customHeight="1">
      <c r="A5990" s="168"/>
      <c r="B5990" s="62">
        <f t="shared" si="12"/>
        <v>3129</v>
      </c>
      <c r="C5990" s="69" t="s">
        <v>2182</v>
      </c>
      <c r="D5990" s="174" t="s">
        <v>5533</v>
      </c>
      <c r="E5990" s="72" t="s">
        <v>4173</v>
      </c>
      <c r="F5990" s="58" t="s">
        <v>14785</v>
      </c>
      <c r="G5990" s="45" t="s">
        <v>14786</v>
      </c>
      <c r="H5990" s="546">
        <v>45459.6</v>
      </c>
      <c r="I5990" s="66">
        <v>45204</v>
      </c>
      <c r="J5990" s="65" t="s">
        <v>14787</v>
      </c>
      <c r="K5990" s="58"/>
      <c r="L5990" s="99"/>
      <c r="M5990" s="70"/>
      <c r="N5990" s="97"/>
      <c r="O5990" s="58" t="s">
        <v>441</v>
      </c>
      <c r="P5990" s="58" t="s">
        <v>22</v>
      </c>
      <c r="Q5990" s="58" t="s">
        <v>31</v>
      </c>
      <c r="R5990" s="58" t="s">
        <v>265</v>
      </c>
    </row>
    <row r="5991" spans="1:18" ht="69" customHeight="1">
      <c r="A5991" s="168"/>
      <c r="B5991" s="62">
        <f t="shared" si="12"/>
        <v>3130</v>
      </c>
      <c r="C5991" s="69" t="s">
        <v>11047</v>
      </c>
      <c r="D5991" s="174" t="s">
        <v>7011</v>
      </c>
      <c r="E5991" s="72" t="s">
        <v>4173</v>
      </c>
      <c r="F5991" s="58" t="s">
        <v>14788</v>
      </c>
      <c r="G5991" s="45" t="s">
        <v>14786</v>
      </c>
      <c r="H5991" s="546">
        <v>45459.6</v>
      </c>
      <c r="I5991" s="66">
        <v>45204</v>
      </c>
      <c r="J5991" s="65" t="s">
        <v>14787</v>
      </c>
      <c r="K5991" s="58"/>
      <c r="L5991" s="99"/>
      <c r="M5991" s="70"/>
      <c r="N5991" s="97"/>
      <c r="O5991" s="58" t="s">
        <v>441</v>
      </c>
      <c r="P5991" s="58" t="s">
        <v>22</v>
      </c>
      <c r="Q5991" s="58" t="s">
        <v>33</v>
      </c>
      <c r="R5991" s="58" t="s">
        <v>265</v>
      </c>
    </row>
    <row r="5992" spans="1:18" ht="69" customHeight="1">
      <c r="A5992" s="168"/>
      <c r="B5992" s="62">
        <f t="shared" si="12"/>
        <v>3131</v>
      </c>
      <c r="C5992" s="69" t="s">
        <v>1853</v>
      </c>
      <c r="D5992" s="174" t="s">
        <v>7015</v>
      </c>
      <c r="E5992" s="72" t="s">
        <v>4173</v>
      </c>
      <c r="F5992" s="58" t="s">
        <v>14789</v>
      </c>
      <c r="G5992" s="45" t="s">
        <v>14786</v>
      </c>
      <c r="H5992" s="546">
        <v>45459.6</v>
      </c>
      <c r="I5992" s="66">
        <v>45204</v>
      </c>
      <c r="J5992" s="65" t="s">
        <v>14787</v>
      </c>
      <c r="K5992" s="58"/>
      <c r="L5992" s="99"/>
      <c r="M5992" s="70"/>
      <c r="N5992" s="97"/>
      <c r="O5992" s="58" t="s">
        <v>441</v>
      </c>
      <c r="P5992" s="58" t="s">
        <v>22</v>
      </c>
      <c r="Q5992" s="58" t="s">
        <v>29</v>
      </c>
      <c r="R5992" s="58" t="s">
        <v>265</v>
      </c>
    </row>
    <row r="5993" spans="1:18" ht="69" customHeight="1">
      <c r="A5993" s="168"/>
      <c r="B5993" s="62">
        <f t="shared" si="12"/>
        <v>3132</v>
      </c>
      <c r="C5993" s="69" t="s">
        <v>11050</v>
      </c>
      <c r="D5993" s="174" t="s">
        <v>5539</v>
      </c>
      <c r="E5993" s="72" t="s">
        <v>4173</v>
      </c>
      <c r="F5993" s="58" t="s">
        <v>14790</v>
      </c>
      <c r="G5993" s="45" t="s">
        <v>14786</v>
      </c>
      <c r="H5993" s="546">
        <v>45459.6</v>
      </c>
      <c r="I5993" s="66">
        <v>45204</v>
      </c>
      <c r="J5993" s="65" t="s">
        <v>14787</v>
      </c>
      <c r="K5993" s="58"/>
      <c r="L5993" s="99"/>
      <c r="M5993" s="70"/>
      <c r="N5993" s="97"/>
      <c r="O5993" s="58" t="s">
        <v>441</v>
      </c>
      <c r="P5993" s="58" t="s">
        <v>22</v>
      </c>
      <c r="Q5993" s="58" t="s">
        <v>35</v>
      </c>
      <c r="R5993" s="58" t="s">
        <v>265</v>
      </c>
    </row>
    <row r="5994" spans="1:18" ht="69" customHeight="1">
      <c r="A5994" s="168"/>
      <c r="B5994" s="62">
        <f t="shared" si="12"/>
        <v>3133</v>
      </c>
      <c r="C5994" s="69" t="s">
        <v>11052</v>
      </c>
      <c r="D5994" s="174" t="s">
        <v>5543</v>
      </c>
      <c r="E5994" s="72" t="s">
        <v>4173</v>
      </c>
      <c r="F5994" s="58" t="s">
        <v>14791</v>
      </c>
      <c r="G5994" s="45" t="s">
        <v>14786</v>
      </c>
      <c r="H5994" s="546">
        <v>45459.6</v>
      </c>
      <c r="I5994" s="66">
        <v>45204</v>
      </c>
      <c r="J5994" s="65" t="s">
        <v>14787</v>
      </c>
      <c r="K5994" s="58"/>
      <c r="L5994" s="99"/>
      <c r="M5994" s="70"/>
      <c r="N5994" s="97"/>
      <c r="O5994" s="58" t="s">
        <v>441</v>
      </c>
      <c r="P5994" s="58" t="s">
        <v>22</v>
      </c>
      <c r="Q5994" s="58" t="s">
        <v>37</v>
      </c>
      <c r="R5994" s="58" t="s">
        <v>265</v>
      </c>
    </row>
    <row r="5995" spans="1:18" ht="69" customHeight="1">
      <c r="A5995" s="168"/>
      <c r="B5995" s="62">
        <f t="shared" si="12"/>
        <v>3134</v>
      </c>
      <c r="C5995" s="69" t="s">
        <v>1853</v>
      </c>
      <c r="D5995" s="174" t="s">
        <v>13957</v>
      </c>
      <c r="E5995" s="58" t="s">
        <v>4173</v>
      </c>
      <c r="F5995" s="58" t="s">
        <v>14792</v>
      </c>
      <c r="G5995" s="45" t="s">
        <v>14793</v>
      </c>
      <c r="H5995" s="546">
        <v>42976.57</v>
      </c>
      <c r="I5995" s="66">
        <v>45204</v>
      </c>
      <c r="J5995" s="65" t="s">
        <v>14794</v>
      </c>
      <c r="K5995" s="58"/>
      <c r="L5995" s="99"/>
      <c r="M5995" s="70"/>
      <c r="N5995" s="97"/>
      <c r="O5995" s="58" t="s">
        <v>441</v>
      </c>
      <c r="P5995" s="58" t="s">
        <v>22</v>
      </c>
      <c r="Q5995" s="58" t="s">
        <v>29</v>
      </c>
      <c r="R5995" s="58" t="s">
        <v>265</v>
      </c>
    </row>
    <row r="5996" spans="1:18" ht="69" customHeight="1">
      <c r="A5996" s="168"/>
      <c r="B5996" s="62">
        <f t="shared" si="12"/>
        <v>3135</v>
      </c>
      <c r="C5996" s="69" t="s">
        <v>11047</v>
      </c>
      <c r="D5996" s="174" t="s">
        <v>10599</v>
      </c>
      <c r="E5996" s="58" t="s">
        <v>4173</v>
      </c>
      <c r="F5996" s="58" t="s">
        <v>14795</v>
      </c>
      <c r="G5996" s="45" t="s">
        <v>14793</v>
      </c>
      <c r="H5996" s="546">
        <v>46461.15</v>
      </c>
      <c r="I5996" s="66">
        <v>45204</v>
      </c>
      <c r="J5996" s="65" t="s">
        <v>14794</v>
      </c>
      <c r="K5996" s="58"/>
      <c r="L5996" s="99"/>
      <c r="M5996" s="70"/>
      <c r="N5996" s="97"/>
      <c r="O5996" s="58" t="s">
        <v>441</v>
      </c>
      <c r="P5996" s="58" t="s">
        <v>22</v>
      </c>
      <c r="Q5996" s="58" t="s">
        <v>33</v>
      </c>
      <c r="R5996" s="58" t="s">
        <v>265</v>
      </c>
    </row>
    <row r="5997" spans="1:18" s="98" customFormat="1" ht="69" customHeight="1">
      <c r="A5997" s="169"/>
      <c r="B5997" s="48">
        <f t="shared" si="12"/>
        <v>3136</v>
      </c>
      <c r="C5997" s="44" t="s">
        <v>11050</v>
      </c>
      <c r="D5997" s="84" t="s">
        <v>14256</v>
      </c>
      <c r="E5997" s="45" t="s">
        <v>4173</v>
      </c>
      <c r="F5997" s="45" t="s">
        <v>14796</v>
      </c>
      <c r="G5997" s="45" t="s">
        <v>14797</v>
      </c>
      <c r="H5997" s="546">
        <v>25000</v>
      </c>
      <c r="I5997" s="47">
        <v>45204</v>
      </c>
      <c r="J5997" s="73" t="s">
        <v>14798</v>
      </c>
      <c r="K5997" s="45"/>
      <c r="L5997" s="99"/>
      <c r="M5997" s="385"/>
      <c r="N5997" s="75"/>
      <c r="O5997" s="45" t="s">
        <v>441</v>
      </c>
      <c r="P5997" s="45" t="s">
        <v>22</v>
      </c>
      <c r="Q5997" s="45" t="s">
        <v>35</v>
      </c>
      <c r="R5997" s="45" t="s">
        <v>265</v>
      </c>
    </row>
    <row r="5998" spans="1:18" s="98" customFormat="1" ht="69" customHeight="1">
      <c r="A5998" s="169"/>
      <c r="B5998" s="48">
        <f t="shared" si="12"/>
        <v>3137</v>
      </c>
      <c r="C5998" s="44" t="s">
        <v>11052</v>
      </c>
      <c r="D5998" s="84" t="s">
        <v>6628</v>
      </c>
      <c r="E5998" s="45" t="s">
        <v>4173</v>
      </c>
      <c r="F5998" s="45" t="s">
        <v>14799</v>
      </c>
      <c r="G5998" s="45" t="s">
        <v>14797</v>
      </c>
      <c r="H5998" s="546">
        <v>25000</v>
      </c>
      <c r="I5998" s="47">
        <v>45204</v>
      </c>
      <c r="J5998" s="73" t="s">
        <v>14798</v>
      </c>
      <c r="K5998" s="45"/>
      <c r="L5998" s="99"/>
      <c r="M5998" s="385"/>
      <c r="N5998" s="75"/>
      <c r="O5998" s="45" t="s">
        <v>441</v>
      </c>
      <c r="P5998" s="45" t="s">
        <v>22</v>
      </c>
      <c r="Q5998" s="45" t="s">
        <v>37</v>
      </c>
      <c r="R5998" s="45" t="s">
        <v>265</v>
      </c>
    </row>
    <row r="5999" spans="1:18" ht="69" customHeight="1">
      <c r="A5999" s="168"/>
      <c r="B5999" s="62">
        <f t="shared" si="12"/>
        <v>3138</v>
      </c>
      <c r="C5999" s="69" t="s">
        <v>1853</v>
      </c>
      <c r="D5999" s="174" t="s">
        <v>6463</v>
      </c>
      <c r="E5999" s="72" t="s">
        <v>4173</v>
      </c>
      <c r="F5999" s="58" t="s">
        <v>14800</v>
      </c>
      <c r="G5999" s="45" t="s">
        <v>14801</v>
      </c>
      <c r="H5999" s="546">
        <v>30000</v>
      </c>
      <c r="I5999" s="66">
        <v>45204</v>
      </c>
      <c r="J5999" s="65" t="s">
        <v>14802</v>
      </c>
      <c r="K5999" s="58"/>
      <c r="L5999" s="99"/>
      <c r="M5999" s="70"/>
      <c r="N5999" s="97"/>
      <c r="O5999" s="58" t="s">
        <v>441</v>
      </c>
      <c r="P5999" s="58" t="s">
        <v>22</v>
      </c>
      <c r="Q5999" s="58" t="s">
        <v>29</v>
      </c>
      <c r="R5999" s="58" t="s">
        <v>265</v>
      </c>
    </row>
    <row r="6000" spans="1:18" ht="69" customHeight="1">
      <c r="A6000" s="168"/>
      <c r="B6000" s="62">
        <f t="shared" si="12"/>
        <v>3139</v>
      </c>
      <c r="C6000" s="69" t="s">
        <v>2182</v>
      </c>
      <c r="D6000" s="174" t="s">
        <v>6607</v>
      </c>
      <c r="E6000" s="72" t="s">
        <v>4173</v>
      </c>
      <c r="F6000" s="58" t="s">
        <v>14803</v>
      </c>
      <c r="G6000" s="45" t="s">
        <v>14804</v>
      </c>
      <c r="H6000" s="546">
        <v>29005.77</v>
      </c>
      <c r="I6000" s="66">
        <v>45204</v>
      </c>
      <c r="J6000" s="65" t="s">
        <v>14805</v>
      </c>
      <c r="K6000" s="58"/>
      <c r="L6000" s="99"/>
      <c r="M6000" s="70"/>
      <c r="N6000" s="97"/>
      <c r="O6000" s="58" t="s">
        <v>441</v>
      </c>
      <c r="P6000" s="58" t="s">
        <v>22</v>
      </c>
      <c r="Q6000" s="58" t="s">
        <v>31</v>
      </c>
      <c r="R6000" s="58" t="s">
        <v>265</v>
      </c>
    </row>
    <row r="6001" spans="1:18" ht="69" customHeight="1">
      <c r="A6001" s="168"/>
      <c r="B6001" s="62">
        <f t="shared" si="12"/>
        <v>3140</v>
      </c>
      <c r="C6001" s="69" t="s">
        <v>1853</v>
      </c>
      <c r="D6001" s="174" t="s">
        <v>6433</v>
      </c>
      <c r="E6001" s="72" t="s">
        <v>4173</v>
      </c>
      <c r="F6001" s="58" t="s">
        <v>14806</v>
      </c>
      <c r="G6001" s="45" t="s">
        <v>14807</v>
      </c>
      <c r="H6001" s="546">
        <v>25700</v>
      </c>
      <c r="I6001" s="66">
        <v>45204</v>
      </c>
      <c r="J6001" s="65" t="s">
        <v>14808</v>
      </c>
      <c r="K6001" s="58"/>
      <c r="L6001" s="99"/>
      <c r="M6001" s="70"/>
      <c r="N6001" s="97"/>
      <c r="O6001" s="58" t="s">
        <v>441</v>
      </c>
      <c r="P6001" s="58" t="s">
        <v>22</v>
      </c>
      <c r="Q6001" s="58" t="s">
        <v>29</v>
      </c>
      <c r="R6001" s="58" t="s">
        <v>265</v>
      </c>
    </row>
    <row r="6002" spans="1:18" s="98" customFormat="1" ht="69" customHeight="1">
      <c r="A6002" s="169"/>
      <c r="B6002" s="48">
        <f t="shared" ref="B6002:B6065" si="13">B6001+1</f>
        <v>3141</v>
      </c>
      <c r="C6002" s="44" t="s">
        <v>2182</v>
      </c>
      <c r="D6002" s="84" t="s">
        <v>10601</v>
      </c>
      <c r="E6002" s="44" t="s">
        <v>4173</v>
      </c>
      <c r="F6002" s="45" t="s">
        <v>14809</v>
      </c>
      <c r="G6002" s="45" t="s">
        <v>14810</v>
      </c>
      <c r="H6002" s="546">
        <v>40500</v>
      </c>
      <c r="I6002" s="47">
        <v>45204</v>
      </c>
      <c r="J6002" s="73" t="s">
        <v>14811</v>
      </c>
      <c r="K6002" s="45"/>
      <c r="L6002" s="99"/>
      <c r="M6002" s="385"/>
      <c r="N6002" s="75"/>
      <c r="O6002" s="45" t="s">
        <v>441</v>
      </c>
      <c r="P6002" s="45" t="s">
        <v>22</v>
      </c>
      <c r="Q6002" s="45" t="s">
        <v>31</v>
      </c>
      <c r="R6002" s="45" t="s">
        <v>265</v>
      </c>
    </row>
    <row r="6003" spans="1:18" ht="69" customHeight="1">
      <c r="A6003" s="168"/>
      <c r="B6003" s="62">
        <f t="shared" si="13"/>
        <v>3142</v>
      </c>
      <c r="C6003" s="58" t="s">
        <v>11052</v>
      </c>
      <c r="D6003" s="174" t="s">
        <v>4399</v>
      </c>
      <c r="E6003" s="72" t="s">
        <v>4173</v>
      </c>
      <c r="F6003" s="58" t="s">
        <v>14812</v>
      </c>
      <c r="G6003" s="45" t="s">
        <v>14807</v>
      </c>
      <c r="H6003" s="546">
        <v>25600</v>
      </c>
      <c r="I6003" s="66">
        <v>45204</v>
      </c>
      <c r="J6003" s="65" t="s">
        <v>14813</v>
      </c>
      <c r="K6003" s="58"/>
      <c r="L6003" s="99"/>
      <c r="M6003" s="70"/>
      <c r="N6003" s="97"/>
      <c r="O6003" s="58" t="s">
        <v>441</v>
      </c>
      <c r="P6003" s="58" t="s">
        <v>22</v>
      </c>
      <c r="Q6003" s="58" t="s">
        <v>37</v>
      </c>
      <c r="R6003" s="58" t="s">
        <v>265</v>
      </c>
    </row>
    <row r="6004" spans="1:18" s="98" customFormat="1" ht="69" customHeight="1">
      <c r="A6004" s="169"/>
      <c r="B6004" s="259">
        <f t="shared" si="13"/>
        <v>3143</v>
      </c>
      <c r="C6004" s="207" t="s">
        <v>10639</v>
      </c>
      <c r="D6004" s="303" t="s">
        <v>14814</v>
      </c>
      <c r="E6004" s="304" t="s">
        <v>266</v>
      </c>
      <c r="F6004" s="160" t="s">
        <v>14815</v>
      </c>
      <c r="G6004" s="160" t="s">
        <v>14816</v>
      </c>
      <c r="H6004" s="300">
        <v>96.92</v>
      </c>
      <c r="I6004" s="209">
        <v>45184</v>
      </c>
      <c r="J6004" s="316" t="s">
        <v>14817</v>
      </c>
      <c r="K6004" s="160" t="s">
        <v>10804</v>
      </c>
      <c r="M6004" s="385"/>
      <c r="N6004" s="75"/>
      <c r="O6004" s="160" t="s">
        <v>11386</v>
      </c>
      <c r="P6004" s="160" t="s">
        <v>67</v>
      </c>
      <c r="Q6004" s="160" t="s">
        <v>95</v>
      </c>
      <c r="R6004" s="160" t="s">
        <v>272</v>
      </c>
    </row>
    <row r="6005" spans="1:18" s="98" customFormat="1" ht="69" customHeight="1">
      <c r="A6005" s="169"/>
      <c r="B6005" s="259">
        <f t="shared" si="13"/>
        <v>3144</v>
      </c>
      <c r="C6005" s="207" t="s">
        <v>5558</v>
      </c>
      <c r="D6005" s="303" t="s">
        <v>14818</v>
      </c>
      <c r="E6005" s="304" t="s">
        <v>266</v>
      </c>
      <c r="F6005" s="160" t="s">
        <v>14819</v>
      </c>
      <c r="G6005" s="160" t="s">
        <v>14816</v>
      </c>
      <c r="H6005" s="300">
        <v>96.92</v>
      </c>
      <c r="I6005" s="209">
        <v>45184</v>
      </c>
      <c r="J6005" s="316" t="s">
        <v>14817</v>
      </c>
      <c r="K6005" s="160" t="s">
        <v>10804</v>
      </c>
      <c r="M6005" s="385"/>
      <c r="N6005" s="75"/>
      <c r="O6005" s="160" t="s">
        <v>11386</v>
      </c>
      <c r="P6005" s="160" t="s">
        <v>67</v>
      </c>
      <c r="Q6005" s="160" t="s">
        <v>64</v>
      </c>
      <c r="R6005" s="160" t="s">
        <v>272</v>
      </c>
    </row>
    <row r="6006" spans="1:18" s="98" customFormat="1" ht="69" customHeight="1">
      <c r="A6006" s="169"/>
      <c r="B6006" s="259">
        <f t="shared" si="13"/>
        <v>3145</v>
      </c>
      <c r="C6006" s="207" t="s">
        <v>6693</v>
      </c>
      <c r="D6006" s="303" t="s">
        <v>14820</v>
      </c>
      <c r="E6006" s="304" t="s">
        <v>266</v>
      </c>
      <c r="F6006" s="160" t="s">
        <v>14821</v>
      </c>
      <c r="G6006" s="160" t="s">
        <v>14816</v>
      </c>
      <c r="H6006" s="300">
        <v>96.92</v>
      </c>
      <c r="I6006" s="209">
        <v>45184</v>
      </c>
      <c r="J6006" s="316" t="s">
        <v>14817</v>
      </c>
      <c r="K6006" s="160" t="s">
        <v>10804</v>
      </c>
      <c r="M6006" s="385"/>
      <c r="N6006" s="75"/>
      <c r="O6006" s="160" t="s">
        <v>11386</v>
      </c>
      <c r="P6006" s="160" t="s">
        <v>67</v>
      </c>
      <c r="Q6006" s="160" t="s">
        <v>78</v>
      </c>
      <c r="R6006" s="160" t="s">
        <v>272</v>
      </c>
    </row>
    <row r="6007" spans="1:18" s="98" customFormat="1" ht="69" customHeight="1">
      <c r="A6007" s="169"/>
      <c r="B6007" s="259">
        <f t="shared" si="13"/>
        <v>3146</v>
      </c>
      <c r="C6007" s="207" t="s">
        <v>6468</v>
      </c>
      <c r="D6007" s="303" t="s">
        <v>14822</v>
      </c>
      <c r="E6007" s="304" t="s">
        <v>266</v>
      </c>
      <c r="F6007" s="160" t="s">
        <v>14823</v>
      </c>
      <c r="G6007" s="160" t="s">
        <v>14816</v>
      </c>
      <c r="H6007" s="300">
        <v>96.92</v>
      </c>
      <c r="I6007" s="209">
        <v>45184</v>
      </c>
      <c r="J6007" s="316" t="s">
        <v>14817</v>
      </c>
      <c r="K6007" s="160" t="s">
        <v>10804</v>
      </c>
      <c r="M6007" s="385"/>
      <c r="N6007" s="75"/>
      <c r="O6007" s="160" t="s">
        <v>11386</v>
      </c>
      <c r="P6007" s="160" t="s">
        <v>67</v>
      </c>
      <c r="Q6007" s="160" t="s">
        <v>76</v>
      </c>
      <c r="R6007" s="160" t="s">
        <v>272</v>
      </c>
    </row>
    <row r="6008" spans="1:18" s="98" customFormat="1" ht="69" customHeight="1">
      <c r="A6008" s="169"/>
      <c r="B6008" s="259">
        <f t="shared" si="13"/>
        <v>3147</v>
      </c>
      <c r="C6008" s="207" t="s">
        <v>6261</v>
      </c>
      <c r="D6008" s="303" t="s">
        <v>14824</v>
      </c>
      <c r="E6008" s="304" t="s">
        <v>266</v>
      </c>
      <c r="F6008" s="160" t="s">
        <v>14825</v>
      </c>
      <c r="G6008" s="160" t="s">
        <v>14816</v>
      </c>
      <c r="H6008" s="300">
        <v>96.92</v>
      </c>
      <c r="I6008" s="209">
        <v>45184</v>
      </c>
      <c r="J6008" s="316" t="s">
        <v>14817</v>
      </c>
      <c r="K6008" s="160" t="s">
        <v>10804</v>
      </c>
      <c r="M6008" s="385"/>
      <c r="N6008" s="75"/>
      <c r="O6008" s="160" t="s">
        <v>11386</v>
      </c>
      <c r="P6008" s="160" t="s">
        <v>67</v>
      </c>
      <c r="Q6008" s="160" t="s">
        <v>74</v>
      </c>
      <c r="R6008" s="160" t="s">
        <v>272</v>
      </c>
    </row>
    <row r="6009" spans="1:18" s="98" customFormat="1" ht="69" customHeight="1">
      <c r="A6009" s="169"/>
      <c r="B6009" s="259">
        <f t="shared" si="13"/>
        <v>3148</v>
      </c>
      <c r="C6009" s="304" t="s">
        <v>10612</v>
      </c>
      <c r="D6009" s="303" t="s">
        <v>14826</v>
      </c>
      <c r="E6009" s="304" t="s">
        <v>266</v>
      </c>
      <c r="F6009" s="160" t="s">
        <v>14827</v>
      </c>
      <c r="G6009" s="160" t="s">
        <v>14816</v>
      </c>
      <c r="H6009" s="300">
        <v>96.92</v>
      </c>
      <c r="I6009" s="209">
        <v>45184</v>
      </c>
      <c r="J6009" s="316" t="s">
        <v>14817</v>
      </c>
      <c r="K6009" s="160" t="s">
        <v>10804</v>
      </c>
      <c r="M6009" s="385"/>
      <c r="N6009" s="75"/>
      <c r="O6009" s="160" t="s">
        <v>11386</v>
      </c>
      <c r="P6009" s="160" t="s">
        <v>67</v>
      </c>
      <c r="Q6009" s="160" t="s">
        <v>86</v>
      </c>
      <c r="R6009" s="160" t="s">
        <v>272</v>
      </c>
    </row>
    <row r="6010" spans="1:18" s="98" customFormat="1" ht="69" customHeight="1">
      <c r="A6010" s="169"/>
      <c r="B6010" s="259">
        <f t="shared" si="13"/>
        <v>3149</v>
      </c>
      <c r="C6010" s="207" t="s">
        <v>14828</v>
      </c>
      <c r="D6010" s="303" t="s">
        <v>14829</v>
      </c>
      <c r="E6010" s="304" t="s">
        <v>266</v>
      </c>
      <c r="F6010" s="160" t="s">
        <v>14830</v>
      </c>
      <c r="G6010" s="160" t="s">
        <v>14816</v>
      </c>
      <c r="H6010" s="300">
        <v>96.92</v>
      </c>
      <c r="I6010" s="209">
        <v>45184</v>
      </c>
      <c r="J6010" s="316" t="s">
        <v>14817</v>
      </c>
      <c r="K6010" s="160" t="s">
        <v>10804</v>
      </c>
      <c r="M6010" s="385"/>
      <c r="N6010" s="75"/>
      <c r="O6010" s="160" t="s">
        <v>11386</v>
      </c>
      <c r="P6010" s="160" t="s">
        <v>67</v>
      </c>
      <c r="Q6010" s="160" t="s">
        <v>68</v>
      </c>
      <c r="R6010" s="160" t="s">
        <v>272</v>
      </c>
    </row>
    <row r="6011" spans="1:18" s="98" customFormat="1" ht="69" customHeight="1">
      <c r="A6011" s="169"/>
      <c r="B6011" s="259">
        <f t="shared" si="13"/>
        <v>3150</v>
      </c>
      <c r="C6011" s="207" t="s">
        <v>14831</v>
      </c>
      <c r="D6011" s="303" t="s">
        <v>14832</v>
      </c>
      <c r="E6011" s="304" t="s">
        <v>266</v>
      </c>
      <c r="F6011" s="160" t="s">
        <v>14833</v>
      </c>
      <c r="G6011" s="160" t="s">
        <v>14816</v>
      </c>
      <c r="H6011" s="300">
        <v>96.92</v>
      </c>
      <c r="I6011" s="209">
        <v>45184</v>
      </c>
      <c r="J6011" s="316" t="s">
        <v>14817</v>
      </c>
      <c r="K6011" s="160" t="s">
        <v>10804</v>
      </c>
      <c r="M6011" s="385"/>
      <c r="N6011" s="75"/>
      <c r="O6011" s="160" t="s">
        <v>11386</v>
      </c>
      <c r="P6011" s="160" t="s">
        <v>67</v>
      </c>
      <c r="Q6011" s="160" t="s">
        <v>70</v>
      </c>
      <c r="R6011" s="160" t="s">
        <v>272</v>
      </c>
    </row>
    <row r="6012" spans="1:18" ht="69" customHeight="1">
      <c r="A6012" s="168"/>
      <c r="B6012" s="259">
        <f t="shared" si="13"/>
        <v>3151</v>
      </c>
      <c r="C6012" s="304" t="s">
        <v>5658</v>
      </c>
      <c r="D6012" s="303" t="s">
        <v>14834</v>
      </c>
      <c r="E6012" s="304" t="s">
        <v>266</v>
      </c>
      <c r="F6012" s="160" t="s">
        <v>14835</v>
      </c>
      <c r="G6012" s="160" t="s">
        <v>14816</v>
      </c>
      <c r="H6012" s="300">
        <v>96.62</v>
      </c>
      <c r="I6012" s="209">
        <v>45184</v>
      </c>
      <c r="J6012" s="316" t="s">
        <v>14817</v>
      </c>
      <c r="K6012" s="160" t="s">
        <v>10804</v>
      </c>
      <c r="M6012" s="385"/>
      <c r="N6012" s="75"/>
      <c r="O6012" s="160" t="s">
        <v>11386</v>
      </c>
      <c r="P6012" s="160" t="s">
        <v>67</v>
      </c>
      <c r="Q6012" s="160" t="s">
        <v>66</v>
      </c>
      <c r="R6012" s="160" t="s">
        <v>272</v>
      </c>
    </row>
    <row r="6013" spans="1:18" ht="69" customHeight="1">
      <c r="A6013" s="168"/>
      <c r="B6013" s="259">
        <f t="shared" si="13"/>
        <v>3152</v>
      </c>
      <c r="C6013" s="304" t="s">
        <v>5658</v>
      </c>
      <c r="D6013" s="303" t="s">
        <v>14836</v>
      </c>
      <c r="E6013" s="304" t="s">
        <v>266</v>
      </c>
      <c r="F6013" s="160" t="s">
        <v>14835</v>
      </c>
      <c r="G6013" s="160" t="s">
        <v>14816</v>
      </c>
      <c r="H6013" s="300">
        <v>96.62</v>
      </c>
      <c r="I6013" s="209">
        <v>45184</v>
      </c>
      <c r="J6013" s="316" t="s">
        <v>14817</v>
      </c>
      <c r="K6013" s="160" t="s">
        <v>10804</v>
      </c>
      <c r="M6013" s="388"/>
      <c r="N6013" s="108"/>
      <c r="O6013" s="160" t="s">
        <v>11386</v>
      </c>
      <c r="P6013" s="160" t="s">
        <v>67</v>
      </c>
      <c r="Q6013" s="160" t="s">
        <v>66</v>
      </c>
      <c r="R6013" s="160" t="s">
        <v>272</v>
      </c>
    </row>
    <row r="6014" spans="1:18" ht="69" customHeight="1">
      <c r="A6014" s="168"/>
      <c r="B6014" s="259">
        <f t="shared" si="13"/>
        <v>3153</v>
      </c>
      <c r="C6014" s="304" t="s">
        <v>5658</v>
      </c>
      <c r="D6014" s="303" t="s">
        <v>14837</v>
      </c>
      <c r="E6014" s="304" t="s">
        <v>266</v>
      </c>
      <c r="F6014" s="160" t="s">
        <v>14835</v>
      </c>
      <c r="G6014" s="160" t="s">
        <v>14816</v>
      </c>
      <c r="H6014" s="300">
        <v>96.62</v>
      </c>
      <c r="I6014" s="209">
        <v>45184</v>
      </c>
      <c r="J6014" s="316" t="s">
        <v>14817</v>
      </c>
      <c r="K6014" s="160" t="s">
        <v>10804</v>
      </c>
      <c r="M6014" s="388"/>
      <c r="N6014" s="108"/>
      <c r="O6014" s="160" t="s">
        <v>11386</v>
      </c>
      <c r="P6014" s="160" t="s">
        <v>67</v>
      </c>
      <c r="Q6014" s="160" t="s">
        <v>66</v>
      </c>
      <c r="R6014" s="160" t="s">
        <v>272</v>
      </c>
    </row>
    <row r="6015" spans="1:18" ht="69" customHeight="1">
      <c r="A6015" s="168"/>
      <c r="B6015" s="259">
        <f t="shared" si="13"/>
        <v>3154</v>
      </c>
      <c r="C6015" s="304" t="s">
        <v>6888</v>
      </c>
      <c r="D6015" s="303" t="s">
        <v>14838</v>
      </c>
      <c r="E6015" s="304" t="s">
        <v>266</v>
      </c>
      <c r="F6015" s="160" t="s">
        <v>14839</v>
      </c>
      <c r="G6015" s="160" t="s">
        <v>14816</v>
      </c>
      <c r="H6015" s="300">
        <v>96.62</v>
      </c>
      <c r="I6015" s="209">
        <v>45184</v>
      </c>
      <c r="J6015" s="316" t="s">
        <v>14817</v>
      </c>
      <c r="K6015" s="160" t="s">
        <v>10804</v>
      </c>
      <c r="M6015" s="385"/>
      <c r="N6015" s="75"/>
      <c r="O6015" s="160" t="s">
        <v>11386</v>
      </c>
      <c r="P6015" s="160" t="s">
        <v>67</v>
      </c>
      <c r="Q6015" s="160" t="s">
        <v>84</v>
      </c>
      <c r="R6015" s="160" t="s">
        <v>272</v>
      </c>
    </row>
    <row r="6016" spans="1:18" ht="69" customHeight="1">
      <c r="A6016" s="168"/>
      <c r="B6016" s="259">
        <f t="shared" si="13"/>
        <v>3155</v>
      </c>
      <c r="C6016" s="304" t="s">
        <v>10634</v>
      </c>
      <c r="D6016" s="303" t="s">
        <v>14840</v>
      </c>
      <c r="E6016" s="304" t="s">
        <v>266</v>
      </c>
      <c r="F6016" s="160" t="s">
        <v>14841</v>
      </c>
      <c r="G6016" s="160" t="s">
        <v>14816</v>
      </c>
      <c r="H6016" s="300">
        <v>96.62</v>
      </c>
      <c r="I6016" s="209">
        <v>45184</v>
      </c>
      <c r="J6016" s="316" t="s">
        <v>14817</v>
      </c>
      <c r="K6016" s="160" t="s">
        <v>10804</v>
      </c>
      <c r="M6016" s="385"/>
      <c r="N6016" s="75"/>
      <c r="O6016" s="160" t="s">
        <v>11386</v>
      </c>
      <c r="P6016" s="160" t="s">
        <v>67</v>
      </c>
      <c r="Q6016" s="160" t="s">
        <v>93</v>
      </c>
      <c r="R6016" s="160" t="s">
        <v>272</v>
      </c>
    </row>
    <row r="6017" spans="1:18" ht="69" customHeight="1">
      <c r="A6017" s="168"/>
      <c r="B6017" s="52">
        <f t="shared" si="13"/>
        <v>3156</v>
      </c>
      <c r="C6017" s="51" t="s">
        <v>11047</v>
      </c>
      <c r="D6017" s="251" t="s">
        <v>14007</v>
      </c>
      <c r="E6017" s="51" t="s">
        <v>4173</v>
      </c>
      <c r="F6017" s="46" t="s">
        <v>14842</v>
      </c>
      <c r="G6017" s="46" t="s">
        <v>14843</v>
      </c>
      <c r="H6017" s="534">
        <v>64641.2</v>
      </c>
      <c r="I6017" s="56">
        <v>45204</v>
      </c>
      <c r="J6017" s="199" t="s">
        <v>14844</v>
      </c>
      <c r="K6017" s="46" t="s">
        <v>65</v>
      </c>
      <c r="L6017" s="99"/>
      <c r="M6017" s="385"/>
      <c r="N6017" s="75"/>
      <c r="O6017" s="46" t="s">
        <v>441</v>
      </c>
      <c r="P6017" s="46" t="s">
        <v>65</v>
      </c>
      <c r="Q6017" s="46" t="s">
        <v>33</v>
      </c>
      <c r="R6017" s="46" t="s">
        <v>265</v>
      </c>
    </row>
    <row r="6018" spans="1:18" ht="69" customHeight="1">
      <c r="A6018" s="168"/>
      <c r="B6018" s="62">
        <f t="shared" si="13"/>
        <v>3157</v>
      </c>
      <c r="C6018" s="69" t="s">
        <v>309</v>
      </c>
      <c r="D6018" s="174" t="s">
        <v>6446</v>
      </c>
      <c r="E6018" s="58" t="s">
        <v>350</v>
      </c>
      <c r="F6018" s="58" t="s">
        <v>14845</v>
      </c>
      <c r="G6018" s="45" t="s">
        <v>14846</v>
      </c>
      <c r="H6018" s="546">
        <v>69702.92</v>
      </c>
      <c r="I6018" s="66">
        <v>45204</v>
      </c>
      <c r="J6018" s="65" t="s">
        <v>14847</v>
      </c>
      <c r="K6018" s="58"/>
      <c r="L6018" s="99"/>
      <c r="M6018" s="70"/>
      <c r="N6018" s="97"/>
      <c r="O6018" s="58" t="s">
        <v>141</v>
      </c>
      <c r="P6018" s="58" t="s">
        <v>19</v>
      </c>
      <c r="Q6018" s="58" t="s">
        <v>27</v>
      </c>
      <c r="R6018" s="58" t="s">
        <v>265</v>
      </c>
    </row>
    <row r="6019" spans="1:18" ht="69" customHeight="1">
      <c r="A6019" s="168"/>
      <c r="B6019" s="52">
        <f t="shared" si="13"/>
        <v>3158</v>
      </c>
      <c r="C6019" s="51" t="s">
        <v>309</v>
      </c>
      <c r="D6019" s="251" t="s">
        <v>6619</v>
      </c>
      <c r="E6019" s="53" t="s">
        <v>1056</v>
      </c>
      <c r="F6019" s="211" t="s">
        <v>14848</v>
      </c>
      <c r="G6019" s="46" t="s">
        <v>14849</v>
      </c>
      <c r="H6019" s="546">
        <v>18569.07</v>
      </c>
      <c r="I6019" s="56">
        <v>45204</v>
      </c>
      <c r="J6019" s="199" t="s">
        <v>14850</v>
      </c>
      <c r="K6019" s="46" t="s">
        <v>67</v>
      </c>
      <c r="L6019" s="99"/>
      <c r="M6019" s="385"/>
      <c r="N6019" s="75"/>
      <c r="O6019" s="46" t="s">
        <v>1061</v>
      </c>
      <c r="P6019" s="46" t="s">
        <v>36</v>
      </c>
      <c r="Q6019" s="46" t="s">
        <v>15</v>
      </c>
      <c r="R6019" s="46" t="s">
        <v>272</v>
      </c>
    </row>
    <row r="6020" spans="1:18" ht="69" customHeight="1">
      <c r="A6020" s="168"/>
      <c r="B6020" s="52">
        <f t="shared" si="13"/>
        <v>3159</v>
      </c>
      <c r="C6020" s="51" t="s">
        <v>458</v>
      </c>
      <c r="D6020" s="251" t="s">
        <v>14851</v>
      </c>
      <c r="E6020" s="53" t="s">
        <v>1056</v>
      </c>
      <c r="F6020" s="211" t="s">
        <v>14852</v>
      </c>
      <c r="G6020" s="46" t="s">
        <v>14849</v>
      </c>
      <c r="H6020" s="546">
        <v>18569.07</v>
      </c>
      <c r="I6020" s="56">
        <v>45204</v>
      </c>
      <c r="J6020" s="199" t="s">
        <v>14850</v>
      </c>
      <c r="K6020" s="46" t="s">
        <v>67</v>
      </c>
      <c r="L6020" s="99"/>
      <c r="M6020" s="385"/>
      <c r="N6020" s="75"/>
      <c r="O6020" s="46" t="s">
        <v>1061</v>
      </c>
      <c r="P6020" s="46" t="s">
        <v>36</v>
      </c>
      <c r="Q6020" s="46" t="s">
        <v>90</v>
      </c>
      <c r="R6020" s="46" t="s">
        <v>272</v>
      </c>
    </row>
    <row r="6021" spans="1:18" ht="69" customHeight="1">
      <c r="A6021" s="168"/>
      <c r="B6021" s="52">
        <f t="shared" si="13"/>
        <v>3160</v>
      </c>
      <c r="C6021" s="51" t="s">
        <v>657</v>
      </c>
      <c r="D6021" s="251" t="s">
        <v>2861</v>
      </c>
      <c r="E6021" s="53" t="s">
        <v>1056</v>
      </c>
      <c r="F6021" s="211" t="s">
        <v>14853</v>
      </c>
      <c r="G6021" s="46" t="s">
        <v>14849</v>
      </c>
      <c r="H6021" s="546">
        <v>13369.73</v>
      </c>
      <c r="I6021" s="56">
        <v>45204</v>
      </c>
      <c r="J6021" s="199" t="s">
        <v>14850</v>
      </c>
      <c r="K6021" s="46" t="s">
        <v>67</v>
      </c>
      <c r="L6021" s="99"/>
      <c r="M6021" s="385"/>
      <c r="N6021" s="75"/>
      <c r="O6021" s="46" t="s">
        <v>1061</v>
      </c>
      <c r="P6021" s="46" t="s">
        <v>36</v>
      </c>
      <c r="Q6021" s="46" t="s">
        <v>99</v>
      </c>
      <c r="R6021" s="46" t="s">
        <v>272</v>
      </c>
    </row>
    <row r="6022" spans="1:18" ht="69" customHeight="1">
      <c r="A6022" s="168"/>
      <c r="B6022" s="52">
        <f t="shared" si="13"/>
        <v>3161</v>
      </c>
      <c r="C6022" s="191" t="s">
        <v>3667</v>
      </c>
      <c r="D6022" s="251" t="s">
        <v>14854</v>
      </c>
      <c r="E6022" s="53" t="s">
        <v>1056</v>
      </c>
      <c r="F6022" s="211" t="s">
        <v>14855</v>
      </c>
      <c r="G6022" s="46" t="s">
        <v>14849</v>
      </c>
      <c r="H6022" s="546">
        <v>23768.41</v>
      </c>
      <c r="I6022" s="56">
        <v>45204</v>
      </c>
      <c r="J6022" s="199" t="s">
        <v>14850</v>
      </c>
      <c r="K6022" s="46" t="s">
        <v>67</v>
      </c>
      <c r="L6022" s="99"/>
      <c r="M6022" s="385"/>
      <c r="N6022" s="75"/>
      <c r="O6022" s="46" t="s">
        <v>1061</v>
      </c>
      <c r="P6022" s="46" t="s">
        <v>36</v>
      </c>
      <c r="Q6022" s="46" t="s">
        <v>49</v>
      </c>
      <c r="R6022" s="46" t="s">
        <v>272</v>
      </c>
    </row>
    <row r="6023" spans="1:18" ht="69" customHeight="1">
      <c r="A6023" s="168"/>
      <c r="B6023" s="52">
        <f t="shared" si="13"/>
        <v>3162</v>
      </c>
      <c r="C6023" s="51" t="s">
        <v>309</v>
      </c>
      <c r="D6023" s="251" t="s">
        <v>6622</v>
      </c>
      <c r="E6023" s="53" t="s">
        <v>1056</v>
      </c>
      <c r="F6023" s="211" t="s">
        <v>14856</v>
      </c>
      <c r="G6023" s="46" t="s">
        <v>14857</v>
      </c>
      <c r="H6023" s="546">
        <v>136556.94</v>
      </c>
      <c r="I6023" s="56">
        <v>45204</v>
      </c>
      <c r="J6023" s="199" t="s">
        <v>14850</v>
      </c>
      <c r="K6023" s="46" t="s">
        <v>67</v>
      </c>
      <c r="L6023" s="99"/>
      <c r="M6023" s="385"/>
      <c r="N6023" s="75"/>
      <c r="O6023" s="46" t="s">
        <v>1061</v>
      </c>
      <c r="P6023" s="46" t="s">
        <v>36</v>
      </c>
      <c r="Q6023" s="46" t="s">
        <v>15</v>
      </c>
      <c r="R6023" s="46" t="s">
        <v>272</v>
      </c>
    </row>
    <row r="6024" spans="1:18" ht="69" customHeight="1">
      <c r="A6024" s="168"/>
      <c r="B6024" s="52">
        <f t="shared" si="13"/>
        <v>3163</v>
      </c>
      <c r="C6024" s="51" t="s">
        <v>458</v>
      </c>
      <c r="D6024" s="251" t="s">
        <v>14858</v>
      </c>
      <c r="E6024" s="53" t="s">
        <v>1056</v>
      </c>
      <c r="F6024" s="211" t="s">
        <v>14859</v>
      </c>
      <c r="G6024" s="46" t="s">
        <v>14857</v>
      </c>
      <c r="H6024" s="546">
        <v>136556.94</v>
      </c>
      <c r="I6024" s="56">
        <v>45204</v>
      </c>
      <c r="J6024" s="199" t="s">
        <v>14850</v>
      </c>
      <c r="K6024" s="46" t="s">
        <v>67</v>
      </c>
      <c r="L6024" s="99"/>
      <c r="M6024" s="385"/>
      <c r="N6024" s="75"/>
      <c r="O6024" s="46" t="s">
        <v>1061</v>
      </c>
      <c r="P6024" s="46" t="s">
        <v>36</v>
      </c>
      <c r="Q6024" s="46" t="s">
        <v>90</v>
      </c>
      <c r="R6024" s="46" t="s">
        <v>272</v>
      </c>
    </row>
    <row r="6025" spans="1:18" ht="69" customHeight="1">
      <c r="A6025" s="168"/>
      <c r="B6025" s="52">
        <f t="shared" si="13"/>
        <v>3164</v>
      </c>
      <c r="C6025" s="51" t="s">
        <v>657</v>
      </c>
      <c r="D6025" s="251" t="s">
        <v>3224</v>
      </c>
      <c r="E6025" s="53" t="s">
        <v>1056</v>
      </c>
      <c r="F6025" s="211" t="s">
        <v>14860</v>
      </c>
      <c r="G6025" s="46" t="s">
        <v>14857</v>
      </c>
      <c r="H6025" s="546">
        <v>98321</v>
      </c>
      <c r="I6025" s="56">
        <v>45204</v>
      </c>
      <c r="J6025" s="199" t="s">
        <v>14850</v>
      </c>
      <c r="K6025" s="46" t="s">
        <v>67</v>
      </c>
      <c r="L6025" s="99"/>
      <c r="M6025" s="385"/>
      <c r="N6025" s="75"/>
      <c r="O6025" s="46" t="s">
        <v>1061</v>
      </c>
      <c r="P6025" s="46" t="s">
        <v>36</v>
      </c>
      <c r="Q6025" s="46" t="s">
        <v>99</v>
      </c>
      <c r="R6025" s="46" t="s">
        <v>272</v>
      </c>
    </row>
    <row r="6026" spans="1:18" ht="69" customHeight="1">
      <c r="A6026" s="168"/>
      <c r="B6026" s="52">
        <f t="shared" si="13"/>
        <v>3165</v>
      </c>
      <c r="C6026" s="59" t="s">
        <v>3667</v>
      </c>
      <c r="D6026" s="251" t="s">
        <v>14861</v>
      </c>
      <c r="E6026" s="53" t="s">
        <v>1056</v>
      </c>
      <c r="F6026" s="211" t="s">
        <v>14862</v>
      </c>
      <c r="G6026" s="46" t="s">
        <v>14857</v>
      </c>
      <c r="H6026" s="546">
        <v>174792.88</v>
      </c>
      <c r="I6026" s="56">
        <v>45204</v>
      </c>
      <c r="J6026" s="199" t="s">
        <v>14850</v>
      </c>
      <c r="K6026" s="46" t="s">
        <v>67</v>
      </c>
      <c r="L6026" s="99"/>
      <c r="M6026" s="385"/>
      <c r="N6026" s="75"/>
      <c r="O6026" s="46" t="s">
        <v>1061</v>
      </c>
      <c r="P6026" s="46" t="s">
        <v>36</v>
      </c>
      <c r="Q6026" s="46" t="s">
        <v>49</v>
      </c>
      <c r="R6026" s="46" t="s">
        <v>272</v>
      </c>
    </row>
    <row r="6027" spans="1:18" ht="69" customHeight="1">
      <c r="A6027" s="168"/>
      <c r="B6027" s="52">
        <f t="shared" si="13"/>
        <v>3166</v>
      </c>
      <c r="C6027" s="51" t="s">
        <v>309</v>
      </c>
      <c r="D6027" s="251" t="s">
        <v>5217</v>
      </c>
      <c r="E6027" s="53" t="s">
        <v>1056</v>
      </c>
      <c r="F6027" s="211" t="s">
        <v>14863</v>
      </c>
      <c r="G6027" s="46" t="s">
        <v>14864</v>
      </c>
      <c r="H6027" s="546">
        <v>8268.75</v>
      </c>
      <c r="I6027" s="56">
        <v>45204</v>
      </c>
      <c r="J6027" s="199" t="s">
        <v>14865</v>
      </c>
      <c r="K6027" s="46" t="s">
        <v>67</v>
      </c>
      <c r="L6027" s="99"/>
      <c r="M6027" s="385"/>
      <c r="N6027" s="75"/>
      <c r="O6027" s="46" t="s">
        <v>1061</v>
      </c>
      <c r="P6027" s="46" t="s">
        <v>36</v>
      </c>
      <c r="Q6027" s="46" t="s">
        <v>15</v>
      </c>
      <c r="R6027" s="46" t="s">
        <v>272</v>
      </c>
    </row>
    <row r="6028" spans="1:18" ht="69" customHeight="1">
      <c r="A6028" s="168"/>
      <c r="B6028" s="52">
        <f t="shared" si="13"/>
        <v>3167</v>
      </c>
      <c r="C6028" s="51" t="s">
        <v>458</v>
      </c>
      <c r="D6028" s="251" t="s">
        <v>14866</v>
      </c>
      <c r="E6028" s="53" t="s">
        <v>1056</v>
      </c>
      <c r="F6028" s="211" t="s">
        <v>14867</v>
      </c>
      <c r="G6028" s="46" t="s">
        <v>14864</v>
      </c>
      <c r="H6028" s="546">
        <v>8268.75</v>
      </c>
      <c r="I6028" s="56">
        <v>45204</v>
      </c>
      <c r="J6028" s="199" t="s">
        <v>14865</v>
      </c>
      <c r="K6028" s="46" t="s">
        <v>67</v>
      </c>
      <c r="L6028" s="99"/>
      <c r="M6028" s="385"/>
      <c r="N6028" s="75"/>
      <c r="O6028" s="46" t="s">
        <v>1061</v>
      </c>
      <c r="P6028" s="46" t="s">
        <v>36</v>
      </c>
      <c r="Q6028" s="46" t="s">
        <v>90</v>
      </c>
      <c r="R6028" s="46" t="s">
        <v>272</v>
      </c>
    </row>
    <row r="6029" spans="1:18" ht="69" customHeight="1">
      <c r="A6029" s="168"/>
      <c r="B6029" s="52">
        <f t="shared" si="13"/>
        <v>3168</v>
      </c>
      <c r="C6029" s="51" t="s">
        <v>657</v>
      </c>
      <c r="D6029" s="251" t="s">
        <v>6356</v>
      </c>
      <c r="E6029" s="53" t="s">
        <v>1056</v>
      </c>
      <c r="F6029" s="211" t="s">
        <v>14868</v>
      </c>
      <c r="G6029" s="46" t="s">
        <v>14864</v>
      </c>
      <c r="H6029" s="546">
        <v>5953.5</v>
      </c>
      <c r="I6029" s="56">
        <v>45204</v>
      </c>
      <c r="J6029" s="199" t="s">
        <v>14865</v>
      </c>
      <c r="K6029" s="46" t="s">
        <v>67</v>
      </c>
      <c r="L6029" s="99"/>
      <c r="M6029" s="385"/>
      <c r="N6029" s="75"/>
      <c r="O6029" s="46" t="s">
        <v>1061</v>
      </c>
      <c r="P6029" s="46" t="s">
        <v>36</v>
      </c>
      <c r="Q6029" s="46" t="s">
        <v>99</v>
      </c>
      <c r="R6029" s="46" t="s">
        <v>272</v>
      </c>
    </row>
    <row r="6030" spans="1:18" ht="69" customHeight="1">
      <c r="A6030" s="168"/>
      <c r="B6030" s="52">
        <f t="shared" si="13"/>
        <v>3169</v>
      </c>
      <c r="C6030" s="59" t="s">
        <v>3667</v>
      </c>
      <c r="D6030" s="251" t="s">
        <v>14869</v>
      </c>
      <c r="E6030" s="53" t="s">
        <v>1056</v>
      </c>
      <c r="F6030" s="211" t="s">
        <v>14870</v>
      </c>
      <c r="G6030" s="46" t="s">
        <v>14864</v>
      </c>
      <c r="H6030" s="546">
        <v>10584</v>
      </c>
      <c r="I6030" s="56">
        <v>45204</v>
      </c>
      <c r="J6030" s="199" t="s">
        <v>14865</v>
      </c>
      <c r="K6030" s="46" t="s">
        <v>67</v>
      </c>
      <c r="L6030" s="99"/>
      <c r="M6030" s="385"/>
      <c r="N6030" s="75"/>
      <c r="O6030" s="46" t="s">
        <v>1061</v>
      </c>
      <c r="P6030" s="46" t="s">
        <v>36</v>
      </c>
      <c r="Q6030" s="46" t="s">
        <v>49</v>
      </c>
      <c r="R6030" s="46" t="s">
        <v>272</v>
      </c>
    </row>
    <row r="6031" spans="1:18" ht="69" customHeight="1">
      <c r="A6031" s="168"/>
      <c r="B6031" s="52">
        <f t="shared" si="13"/>
        <v>3170</v>
      </c>
      <c r="C6031" s="191" t="s">
        <v>3667</v>
      </c>
      <c r="D6031" s="251" t="s">
        <v>14871</v>
      </c>
      <c r="E6031" s="46" t="s">
        <v>266</v>
      </c>
      <c r="F6031" s="46" t="s">
        <v>14872</v>
      </c>
      <c r="G6031" s="46" t="s">
        <v>14873</v>
      </c>
      <c r="H6031" s="534">
        <v>3000</v>
      </c>
      <c r="I6031" s="214">
        <v>45187</v>
      </c>
      <c r="J6031" s="199" t="s">
        <v>14874</v>
      </c>
      <c r="K6031" s="46" t="s">
        <v>167</v>
      </c>
      <c r="L6031" s="99"/>
      <c r="M6031" s="385"/>
      <c r="N6031" s="75"/>
      <c r="O6031" s="46" t="s">
        <v>14875</v>
      </c>
      <c r="P6031" s="46" t="s">
        <v>65</v>
      </c>
      <c r="Q6031" s="46" t="s">
        <v>93</v>
      </c>
      <c r="R6031" s="46" t="s">
        <v>272</v>
      </c>
    </row>
    <row r="6032" spans="1:18" ht="69" customHeight="1">
      <c r="A6032" s="168"/>
      <c r="B6032" s="62">
        <f t="shared" si="13"/>
        <v>3171</v>
      </c>
      <c r="C6032" s="59" t="s">
        <v>3667</v>
      </c>
      <c r="D6032" s="174" t="s">
        <v>14876</v>
      </c>
      <c r="E6032" s="178" t="s">
        <v>382</v>
      </c>
      <c r="F6032" s="58" t="s">
        <v>14877</v>
      </c>
      <c r="G6032" s="45" t="s">
        <v>14878</v>
      </c>
      <c r="H6032" s="546">
        <v>3767.13</v>
      </c>
      <c r="I6032" s="66">
        <v>45204</v>
      </c>
      <c r="J6032" s="65" t="s">
        <v>14879</v>
      </c>
      <c r="K6032" s="58"/>
      <c r="L6032" s="99"/>
      <c r="M6032" s="70" t="s">
        <v>8045</v>
      </c>
      <c r="N6032" s="97" t="s">
        <v>387</v>
      </c>
      <c r="O6032" s="58" t="s">
        <v>150</v>
      </c>
      <c r="P6032" s="58" t="s">
        <v>51</v>
      </c>
      <c r="Q6032" s="58" t="s">
        <v>60</v>
      </c>
      <c r="R6032" s="58" t="s">
        <v>265</v>
      </c>
    </row>
    <row r="6033" spans="1:18" ht="69" customHeight="1">
      <c r="A6033" s="168"/>
      <c r="B6033" s="62">
        <f t="shared" si="13"/>
        <v>3172</v>
      </c>
      <c r="C6033" s="59" t="s">
        <v>3667</v>
      </c>
      <c r="D6033" s="174" t="s">
        <v>14880</v>
      </c>
      <c r="E6033" s="178" t="s">
        <v>382</v>
      </c>
      <c r="F6033" s="58" t="s">
        <v>14881</v>
      </c>
      <c r="G6033" s="45" t="s">
        <v>14882</v>
      </c>
      <c r="H6033" s="546">
        <v>3767.13</v>
      </c>
      <c r="I6033" s="66">
        <v>45204</v>
      </c>
      <c r="J6033" s="65" t="s">
        <v>14879</v>
      </c>
      <c r="K6033" s="58"/>
      <c r="L6033" s="99"/>
      <c r="M6033" s="70"/>
      <c r="N6033" s="97"/>
      <c r="O6033" s="58" t="s">
        <v>150</v>
      </c>
      <c r="P6033" s="58" t="s">
        <v>51</v>
      </c>
      <c r="Q6033" s="58" t="s">
        <v>62</v>
      </c>
      <c r="R6033" s="58" t="s">
        <v>265</v>
      </c>
    </row>
    <row r="6034" spans="1:18" ht="69" customHeight="1">
      <c r="A6034" s="168"/>
      <c r="B6034" s="62">
        <f t="shared" si="13"/>
        <v>3173</v>
      </c>
      <c r="C6034" s="178" t="s">
        <v>458</v>
      </c>
      <c r="D6034" s="174" t="s">
        <v>14883</v>
      </c>
      <c r="E6034" s="178" t="s">
        <v>382</v>
      </c>
      <c r="F6034" s="58" t="s">
        <v>14884</v>
      </c>
      <c r="G6034" s="45" t="s">
        <v>14885</v>
      </c>
      <c r="H6034" s="546">
        <v>2000</v>
      </c>
      <c r="I6034" s="66">
        <v>45204</v>
      </c>
      <c r="J6034" s="65" t="s">
        <v>14879</v>
      </c>
      <c r="K6034" s="58"/>
      <c r="L6034" s="99"/>
      <c r="M6034" s="70"/>
      <c r="N6034" s="97"/>
      <c r="O6034" s="58" t="s">
        <v>150</v>
      </c>
      <c r="P6034" s="58" t="s">
        <v>51</v>
      </c>
      <c r="Q6034" s="58" t="s">
        <v>108</v>
      </c>
      <c r="R6034" s="58" t="s">
        <v>272</v>
      </c>
    </row>
    <row r="6035" spans="1:18" ht="69" customHeight="1">
      <c r="A6035" s="168"/>
      <c r="B6035" s="62">
        <f t="shared" si="13"/>
        <v>3174</v>
      </c>
      <c r="C6035" s="178" t="s">
        <v>458</v>
      </c>
      <c r="D6035" s="174" t="s">
        <v>14886</v>
      </c>
      <c r="E6035" s="72" t="s">
        <v>7890</v>
      </c>
      <c r="F6035" s="58" t="s">
        <v>14887</v>
      </c>
      <c r="G6035" s="45" t="s">
        <v>14888</v>
      </c>
      <c r="H6035" s="546">
        <v>67500.5</v>
      </c>
      <c r="I6035" s="66">
        <v>45204</v>
      </c>
      <c r="J6035" s="65" t="s">
        <v>14889</v>
      </c>
      <c r="K6035" s="58"/>
      <c r="L6035" s="99"/>
      <c r="M6035" s="70"/>
      <c r="N6035" s="97"/>
      <c r="O6035" s="58" t="s">
        <v>147</v>
      </c>
      <c r="P6035" s="58" t="s">
        <v>22</v>
      </c>
      <c r="Q6035" s="58" t="s">
        <v>107</v>
      </c>
      <c r="R6035" s="58" t="s">
        <v>265</v>
      </c>
    </row>
    <row r="6036" spans="1:18" ht="69" customHeight="1">
      <c r="A6036" s="168"/>
      <c r="B6036" s="62">
        <f t="shared" si="13"/>
        <v>3175</v>
      </c>
      <c r="C6036" s="178" t="s">
        <v>458</v>
      </c>
      <c r="D6036" s="174" t="s">
        <v>10778</v>
      </c>
      <c r="E6036" s="72" t="s">
        <v>7890</v>
      </c>
      <c r="F6036" s="58" t="s">
        <v>14890</v>
      </c>
      <c r="G6036" s="45" t="s">
        <v>14888</v>
      </c>
      <c r="H6036" s="546">
        <v>28956</v>
      </c>
      <c r="I6036" s="66">
        <v>45204</v>
      </c>
      <c r="J6036" s="65" t="s">
        <v>14889</v>
      </c>
      <c r="K6036" s="58"/>
      <c r="L6036" s="99"/>
      <c r="M6036" s="70"/>
      <c r="N6036" s="97"/>
      <c r="O6036" s="58" t="s">
        <v>147</v>
      </c>
      <c r="P6036" s="58" t="s">
        <v>22</v>
      </c>
      <c r="Q6036" s="58" t="s">
        <v>107</v>
      </c>
      <c r="R6036" s="58" t="s">
        <v>265</v>
      </c>
    </row>
    <row r="6037" spans="1:18" s="98" customFormat="1" ht="69" customHeight="1">
      <c r="A6037" s="169"/>
      <c r="B6037" s="48">
        <f t="shared" si="13"/>
        <v>3176</v>
      </c>
      <c r="C6037" s="59" t="s">
        <v>5558</v>
      </c>
      <c r="D6037" s="84" t="s">
        <v>14891</v>
      </c>
      <c r="E6037" s="45" t="s">
        <v>4173</v>
      </c>
      <c r="F6037" s="45" t="s">
        <v>14892</v>
      </c>
      <c r="G6037" s="45" t="s">
        <v>14893</v>
      </c>
      <c r="H6037" s="546">
        <v>25000</v>
      </c>
      <c r="I6037" s="47">
        <v>45204</v>
      </c>
      <c r="J6037" s="73" t="s">
        <v>14894</v>
      </c>
      <c r="K6037" s="45"/>
      <c r="L6037" s="99"/>
      <c r="M6037" s="385"/>
      <c r="N6037" s="75"/>
      <c r="O6037" s="45" t="s">
        <v>441</v>
      </c>
      <c r="P6037" s="45" t="s">
        <v>22</v>
      </c>
      <c r="Q6037" s="45" t="s">
        <v>64</v>
      </c>
      <c r="R6037" s="45" t="s">
        <v>265</v>
      </c>
    </row>
    <row r="6038" spans="1:18" s="98" customFormat="1" ht="69" customHeight="1">
      <c r="A6038" s="169"/>
      <c r="B6038" s="48">
        <f t="shared" si="13"/>
        <v>3177</v>
      </c>
      <c r="C6038" s="44" t="s">
        <v>11055</v>
      </c>
      <c r="D6038" s="84" t="s">
        <v>14055</v>
      </c>
      <c r="E6038" s="45" t="s">
        <v>14895</v>
      </c>
      <c r="F6038" s="45" t="s">
        <v>14896</v>
      </c>
      <c r="G6038" s="45" t="s">
        <v>14897</v>
      </c>
      <c r="H6038" s="546">
        <v>77906.62</v>
      </c>
      <c r="I6038" s="47">
        <v>45204</v>
      </c>
      <c r="J6038" s="73" t="s">
        <v>14898</v>
      </c>
      <c r="K6038" s="45"/>
      <c r="L6038" s="99"/>
      <c r="M6038" s="385"/>
      <c r="N6038" s="75"/>
      <c r="O6038" s="45" t="s">
        <v>192</v>
      </c>
      <c r="P6038" s="45" t="s">
        <v>57</v>
      </c>
      <c r="Q6038" s="45" t="s">
        <v>45</v>
      </c>
      <c r="R6038" s="45" t="s">
        <v>272</v>
      </c>
    </row>
    <row r="6039" spans="1:18" s="98" customFormat="1" ht="69" customHeight="1">
      <c r="A6039" s="169"/>
      <c r="B6039" s="48">
        <f t="shared" si="13"/>
        <v>3178</v>
      </c>
      <c r="C6039" s="44" t="s">
        <v>2182</v>
      </c>
      <c r="D6039" s="84" t="s">
        <v>14349</v>
      </c>
      <c r="E6039" s="44" t="s">
        <v>4173</v>
      </c>
      <c r="F6039" s="45" t="s">
        <v>14899</v>
      </c>
      <c r="G6039" s="45" t="s">
        <v>14900</v>
      </c>
      <c r="H6039" s="546">
        <v>25000</v>
      </c>
      <c r="I6039" s="47">
        <v>45204</v>
      </c>
      <c r="J6039" s="73" t="s">
        <v>14901</v>
      </c>
      <c r="K6039" s="45"/>
      <c r="L6039" s="99"/>
      <c r="M6039" s="385"/>
      <c r="N6039" s="75"/>
      <c r="O6039" s="45" t="s">
        <v>441</v>
      </c>
      <c r="P6039" s="45" t="s">
        <v>22</v>
      </c>
      <c r="Q6039" s="45" t="s">
        <v>31</v>
      </c>
      <c r="R6039" s="45" t="s">
        <v>265</v>
      </c>
    </row>
    <row r="6040" spans="1:18" ht="69" customHeight="1">
      <c r="A6040" s="168"/>
      <c r="B6040" s="52">
        <f t="shared" si="13"/>
        <v>3179</v>
      </c>
      <c r="C6040" s="191" t="s">
        <v>11058</v>
      </c>
      <c r="D6040" s="251" t="s">
        <v>10613</v>
      </c>
      <c r="E6040" s="51" t="s">
        <v>266</v>
      </c>
      <c r="F6040" s="46" t="s">
        <v>14902</v>
      </c>
      <c r="G6040" s="46" t="s">
        <v>14903</v>
      </c>
      <c r="H6040" s="534">
        <v>6843.66</v>
      </c>
      <c r="I6040" s="56">
        <v>45204</v>
      </c>
      <c r="J6040" s="199" t="s">
        <v>14904</v>
      </c>
      <c r="K6040" s="46" t="s">
        <v>1170</v>
      </c>
      <c r="L6040" s="99"/>
      <c r="M6040" s="385"/>
      <c r="N6040" s="75"/>
      <c r="O6040" s="46" t="s">
        <v>14905</v>
      </c>
      <c r="P6040" s="46" t="s">
        <v>65</v>
      </c>
      <c r="Q6040" s="46" t="s">
        <v>23</v>
      </c>
      <c r="R6040" s="46" t="s">
        <v>272</v>
      </c>
    </row>
    <row r="6041" spans="1:18" ht="69" customHeight="1">
      <c r="A6041" s="168"/>
      <c r="B6041" s="62">
        <f t="shared" si="13"/>
        <v>3180</v>
      </c>
      <c r="C6041" s="44" t="s">
        <v>14414</v>
      </c>
      <c r="D6041" s="174" t="s">
        <v>10630</v>
      </c>
      <c r="E6041" s="72" t="s">
        <v>4173</v>
      </c>
      <c r="F6041" s="58" t="s">
        <v>14906</v>
      </c>
      <c r="G6041" s="45" t="s">
        <v>14907</v>
      </c>
      <c r="H6041" s="546">
        <v>45150</v>
      </c>
      <c r="I6041" s="66">
        <v>45204</v>
      </c>
      <c r="J6041" s="65" t="s">
        <v>14908</v>
      </c>
      <c r="K6041" s="58"/>
      <c r="L6041" s="99"/>
      <c r="M6041" s="70"/>
      <c r="N6041" s="97"/>
      <c r="O6041" s="58" t="s">
        <v>441</v>
      </c>
      <c r="P6041" s="58" t="s">
        <v>22</v>
      </c>
      <c r="Q6041" s="58" t="s">
        <v>33</v>
      </c>
      <c r="R6041" s="58" t="s">
        <v>265</v>
      </c>
    </row>
    <row r="6042" spans="1:18" ht="69" customHeight="1">
      <c r="A6042" s="168"/>
      <c r="B6042" s="62">
        <f t="shared" si="13"/>
        <v>3181</v>
      </c>
      <c r="C6042" s="44" t="s">
        <v>14414</v>
      </c>
      <c r="D6042" s="174" t="s">
        <v>10609</v>
      </c>
      <c r="E6042" s="72" t="s">
        <v>4173</v>
      </c>
      <c r="F6042" s="58" t="s">
        <v>14909</v>
      </c>
      <c r="G6042" s="45" t="s">
        <v>14910</v>
      </c>
      <c r="H6042" s="546">
        <v>30000</v>
      </c>
      <c r="I6042" s="66">
        <v>45204</v>
      </c>
      <c r="J6042" s="65" t="s">
        <v>14911</v>
      </c>
      <c r="K6042" s="58"/>
      <c r="L6042" s="99"/>
      <c r="M6042" s="70"/>
      <c r="N6042" s="97"/>
      <c r="O6042" s="58" t="s">
        <v>441</v>
      </c>
      <c r="P6042" s="58" t="s">
        <v>22</v>
      </c>
      <c r="Q6042" s="58" t="s">
        <v>33</v>
      </c>
      <c r="R6042" s="58" t="s">
        <v>265</v>
      </c>
    </row>
    <row r="6043" spans="1:18" ht="69" customHeight="1">
      <c r="A6043" s="168"/>
      <c r="B6043" s="62">
        <f t="shared" si="13"/>
        <v>3182</v>
      </c>
      <c r="C6043" s="59" t="s">
        <v>3667</v>
      </c>
      <c r="D6043" s="84" t="s">
        <v>14912</v>
      </c>
      <c r="E6043" s="72" t="s">
        <v>14913</v>
      </c>
      <c r="F6043" s="58" t="s">
        <v>14914</v>
      </c>
      <c r="G6043" s="45" t="s">
        <v>13944</v>
      </c>
      <c r="H6043" s="546">
        <v>85009.22</v>
      </c>
      <c r="I6043" s="66">
        <v>45194</v>
      </c>
      <c r="J6043" s="65" t="s">
        <v>14915</v>
      </c>
      <c r="K6043" s="58"/>
      <c r="L6043" s="99"/>
      <c r="M6043" s="70"/>
      <c r="N6043" s="97"/>
      <c r="O6043" s="58" t="s">
        <v>10607</v>
      </c>
      <c r="P6043" s="58" t="s">
        <v>22</v>
      </c>
      <c r="Q6043" s="58" t="s">
        <v>66</v>
      </c>
      <c r="R6043" s="58" t="s">
        <v>265</v>
      </c>
    </row>
    <row r="6044" spans="1:18" s="98" customFormat="1" ht="69" customHeight="1">
      <c r="A6044" s="169"/>
      <c r="B6044" s="48">
        <f t="shared" si="13"/>
        <v>3183</v>
      </c>
      <c r="C6044" s="45" t="s">
        <v>2182</v>
      </c>
      <c r="D6044" s="84" t="s">
        <v>14916</v>
      </c>
      <c r="E6044" s="45" t="s">
        <v>4173</v>
      </c>
      <c r="F6044" s="45" t="s">
        <v>14917</v>
      </c>
      <c r="G6044" s="45" t="s">
        <v>14918</v>
      </c>
      <c r="H6044" s="546">
        <v>27000</v>
      </c>
      <c r="I6044" s="47">
        <v>45204</v>
      </c>
      <c r="J6044" s="73" t="s">
        <v>14919</v>
      </c>
      <c r="K6044" s="45"/>
      <c r="L6044" s="99"/>
      <c r="M6044" s="385"/>
      <c r="N6044" s="75"/>
      <c r="O6044" s="45" t="s">
        <v>441</v>
      </c>
      <c r="P6044" s="45" t="s">
        <v>22</v>
      </c>
      <c r="Q6044" s="45" t="s">
        <v>31</v>
      </c>
      <c r="R6044" s="45" t="s">
        <v>265</v>
      </c>
    </row>
    <row r="6045" spans="1:18" ht="69" customHeight="1">
      <c r="A6045" s="168"/>
      <c r="B6045" s="62">
        <f t="shared" si="13"/>
        <v>3184</v>
      </c>
      <c r="C6045" s="44" t="s">
        <v>11055</v>
      </c>
      <c r="D6045" s="174" t="s">
        <v>10622</v>
      </c>
      <c r="E6045" s="58" t="s">
        <v>7890</v>
      </c>
      <c r="F6045" s="58" t="s">
        <v>14920</v>
      </c>
      <c r="G6045" s="45" t="s">
        <v>14921</v>
      </c>
      <c r="H6045" s="546">
        <v>72577.83</v>
      </c>
      <c r="I6045" s="66">
        <v>45204</v>
      </c>
      <c r="J6045" s="65" t="s">
        <v>14922</v>
      </c>
      <c r="K6045" s="58"/>
      <c r="L6045" s="99"/>
      <c r="M6045" s="70"/>
      <c r="N6045" s="97"/>
      <c r="O6045" s="58" t="s">
        <v>147</v>
      </c>
      <c r="P6045" s="58" t="s">
        <v>22</v>
      </c>
      <c r="Q6045" s="58" t="s">
        <v>45</v>
      </c>
      <c r="R6045" s="58" t="s">
        <v>265</v>
      </c>
    </row>
    <row r="6046" spans="1:18" s="98" customFormat="1" ht="69" customHeight="1">
      <c r="A6046" s="169"/>
      <c r="B6046" s="48">
        <f t="shared" si="13"/>
        <v>3185</v>
      </c>
      <c r="C6046" s="59" t="s">
        <v>13435</v>
      </c>
      <c r="D6046" s="84" t="s">
        <v>10562</v>
      </c>
      <c r="E6046" s="45" t="s">
        <v>4173</v>
      </c>
      <c r="F6046" s="45" t="s">
        <v>14923</v>
      </c>
      <c r="G6046" s="45" t="s">
        <v>14924</v>
      </c>
      <c r="H6046" s="546">
        <v>26232</v>
      </c>
      <c r="I6046" s="47">
        <v>45204</v>
      </c>
      <c r="J6046" s="73" t="s">
        <v>14925</v>
      </c>
      <c r="K6046" s="45"/>
      <c r="L6046" s="99"/>
      <c r="M6046" s="385"/>
      <c r="N6046" s="75"/>
      <c r="O6046" s="45" t="s">
        <v>441</v>
      </c>
      <c r="P6046" s="45" t="s">
        <v>22</v>
      </c>
      <c r="Q6046" s="45" t="s">
        <v>13</v>
      </c>
      <c r="R6046" s="45" t="s">
        <v>265</v>
      </c>
    </row>
    <row r="6047" spans="1:18" ht="69" customHeight="1">
      <c r="A6047" s="168"/>
      <c r="B6047" s="52">
        <f t="shared" si="13"/>
        <v>3186</v>
      </c>
      <c r="C6047" s="51" t="s">
        <v>14414</v>
      </c>
      <c r="D6047" s="251" t="s">
        <v>14114</v>
      </c>
      <c r="E6047" s="51" t="s">
        <v>266</v>
      </c>
      <c r="F6047" s="46" t="s">
        <v>14926</v>
      </c>
      <c r="G6047" s="46" t="s">
        <v>14927</v>
      </c>
      <c r="H6047" s="534">
        <v>6000</v>
      </c>
      <c r="I6047" s="56">
        <v>45204</v>
      </c>
      <c r="J6047" s="199" t="s">
        <v>14928</v>
      </c>
      <c r="K6047" s="46" t="s">
        <v>167</v>
      </c>
      <c r="L6047" s="99"/>
      <c r="M6047" s="385"/>
      <c r="N6047" s="75"/>
      <c r="O6047" s="46" t="s">
        <v>14929</v>
      </c>
      <c r="P6047" s="46" t="s">
        <v>65</v>
      </c>
      <c r="Q6047" s="46" t="s">
        <v>33</v>
      </c>
      <c r="R6047" s="46" t="s">
        <v>272</v>
      </c>
    </row>
    <row r="6048" spans="1:18" ht="69" customHeight="1">
      <c r="A6048" s="168"/>
      <c r="B6048" s="52">
        <f t="shared" si="13"/>
        <v>3187</v>
      </c>
      <c r="C6048" s="191" t="s">
        <v>309</v>
      </c>
      <c r="D6048" s="251" t="s">
        <v>14930</v>
      </c>
      <c r="E6048" s="51" t="s">
        <v>266</v>
      </c>
      <c r="F6048" s="46" t="s">
        <v>14931</v>
      </c>
      <c r="G6048" s="46" t="s">
        <v>14932</v>
      </c>
      <c r="H6048" s="534">
        <v>1000.49</v>
      </c>
      <c r="I6048" s="56">
        <v>45204</v>
      </c>
      <c r="J6048" s="199" t="s">
        <v>14928</v>
      </c>
      <c r="K6048" s="46" t="s">
        <v>167</v>
      </c>
      <c r="L6048" s="99"/>
      <c r="M6048" s="385"/>
      <c r="N6048" s="75"/>
      <c r="O6048" s="46" t="s">
        <v>14933</v>
      </c>
      <c r="P6048" s="46" t="s">
        <v>65</v>
      </c>
      <c r="Q6048" s="46" t="s">
        <v>39</v>
      </c>
      <c r="R6048" s="46" t="s">
        <v>272</v>
      </c>
    </row>
    <row r="6049" spans="1:18" ht="69" customHeight="1">
      <c r="A6049" s="168"/>
      <c r="B6049" s="52">
        <f t="shared" si="13"/>
        <v>3188</v>
      </c>
      <c r="C6049" s="191" t="s">
        <v>309</v>
      </c>
      <c r="D6049" s="251" t="s">
        <v>14119</v>
      </c>
      <c r="E6049" s="51" t="s">
        <v>266</v>
      </c>
      <c r="F6049" s="46" t="s">
        <v>14934</v>
      </c>
      <c r="G6049" s="46" t="s">
        <v>14935</v>
      </c>
      <c r="H6049" s="534">
        <v>2050</v>
      </c>
      <c r="I6049" s="56">
        <v>45204</v>
      </c>
      <c r="J6049" s="199" t="s">
        <v>14928</v>
      </c>
      <c r="K6049" s="46" t="s">
        <v>1170</v>
      </c>
      <c r="L6049" s="99"/>
      <c r="M6049" s="385"/>
      <c r="N6049" s="75"/>
      <c r="O6049" s="46" t="s">
        <v>11200</v>
      </c>
      <c r="P6049" s="46" t="s">
        <v>65</v>
      </c>
      <c r="Q6049" s="46" t="s">
        <v>23</v>
      </c>
      <c r="R6049" s="46" t="s">
        <v>272</v>
      </c>
    </row>
    <row r="6050" spans="1:18" ht="69" customHeight="1">
      <c r="A6050" s="168"/>
      <c r="B6050" s="52">
        <f t="shared" si="13"/>
        <v>3189</v>
      </c>
      <c r="C6050" s="191" t="s">
        <v>11055</v>
      </c>
      <c r="D6050" s="251" t="s">
        <v>14936</v>
      </c>
      <c r="E6050" s="51" t="s">
        <v>266</v>
      </c>
      <c r="F6050" s="46" t="s">
        <v>14937</v>
      </c>
      <c r="G6050" s="46" t="s">
        <v>14938</v>
      </c>
      <c r="H6050" s="534">
        <v>13600</v>
      </c>
      <c r="I6050" s="56">
        <v>45204</v>
      </c>
      <c r="J6050" s="199" t="s">
        <v>14928</v>
      </c>
      <c r="K6050" s="46" t="s">
        <v>167</v>
      </c>
      <c r="L6050" s="99"/>
      <c r="M6050" s="385"/>
      <c r="N6050" s="75"/>
      <c r="O6050" s="46" t="s">
        <v>14939</v>
      </c>
      <c r="P6050" s="46" t="s">
        <v>65</v>
      </c>
      <c r="Q6050" s="46" t="s">
        <v>45</v>
      </c>
      <c r="R6050" s="46" t="s">
        <v>272</v>
      </c>
    </row>
    <row r="6051" spans="1:18" ht="69" customHeight="1">
      <c r="A6051" s="168"/>
      <c r="B6051" s="52">
        <f t="shared" si="13"/>
        <v>3190</v>
      </c>
      <c r="C6051" s="191" t="s">
        <v>309</v>
      </c>
      <c r="D6051" s="251" t="s">
        <v>4404</v>
      </c>
      <c r="E6051" s="51" t="s">
        <v>266</v>
      </c>
      <c r="F6051" s="46" t="s">
        <v>14940</v>
      </c>
      <c r="G6051" s="46" t="s">
        <v>14941</v>
      </c>
      <c r="H6051" s="534">
        <v>11239.02</v>
      </c>
      <c r="I6051" s="56">
        <v>45204</v>
      </c>
      <c r="J6051" s="199" t="s">
        <v>14942</v>
      </c>
      <c r="K6051" s="46" t="s">
        <v>167</v>
      </c>
      <c r="L6051" s="99"/>
      <c r="M6051" s="385"/>
      <c r="N6051" s="75"/>
      <c r="O6051" s="46" t="s">
        <v>1171</v>
      </c>
      <c r="P6051" s="46" t="s">
        <v>71</v>
      </c>
      <c r="Q6051" s="46" t="s">
        <v>31</v>
      </c>
      <c r="R6051" s="46" t="s">
        <v>272</v>
      </c>
    </row>
    <row r="6052" spans="1:18" ht="69" customHeight="1">
      <c r="A6052" s="168"/>
      <c r="B6052" s="52">
        <f t="shared" si="13"/>
        <v>3191</v>
      </c>
      <c r="C6052" s="191" t="s">
        <v>11058</v>
      </c>
      <c r="D6052" s="251" t="s">
        <v>4543</v>
      </c>
      <c r="E6052" s="51" t="s">
        <v>266</v>
      </c>
      <c r="F6052" s="46" t="s">
        <v>14943</v>
      </c>
      <c r="G6052" s="46" t="s">
        <v>14941</v>
      </c>
      <c r="H6052" s="534">
        <v>20688.2</v>
      </c>
      <c r="I6052" s="56">
        <v>45204</v>
      </c>
      <c r="J6052" s="199" t="s">
        <v>14942</v>
      </c>
      <c r="K6052" s="46" t="s">
        <v>167</v>
      </c>
      <c r="L6052" s="99"/>
      <c r="M6052" s="385"/>
      <c r="N6052" s="75"/>
      <c r="O6052" s="46" t="s">
        <v>1171</v>
      </c>
      <c r="P6052" s="46" t="s">
        <v>71</v>
      </c>
      <c r="Q6052" s="46" t="s">
        <v>23</v>
      </c>
      <c r="R6052" s="46" t="s">
        <v>272</v>
      </c>
    </row>
    <row r="6053" spans="1:18" ht="69" customHeight="1">
      <c r="A6053" s="168"/>
      <c r="B6053" s="52">
        <f t="shared" si="13"/>
        <v>3192</v>
      </c>
      <c r="C6053" s="191" t="s">
        <v>309</v>
      </c>
      <c r="D6053" s="251" t="s">
        <v>5648</v>
      </c>
      <c r="E6053" s="51" t="s">
        <v>266</v>
      </c>
      <c r="F6053" s="46" t="s">
        <v>14944</v>
      </c>
      <c r="G6053" s="46" t="s">
        <v>14941</v>
      </c>
      <c r="H6053" s="534">
        <v>12239.02</v>
      </c>
      <c r="I6053" s="56">
        <v>45204</v>
      </c>
      <c r="J6053" s="199" t="s">
        <v>14942</v>
      </c>
      <c r="K6053" s="46" t="s">
        <v>167</v>
      </c>
      <c r="L6053" s="99"/>
      <c r="M6053" s="385"/>
      <c r="N6053" s="75"/>
      <c r="O6053" s="46" t="s">
        <v>1171</v>
      </c>
      <c r="P6053" s="46" t="s">
        <v>71</v>
      </c>
      <c r="Q6053" s="46" t="s">
        <v>45</v>
      </c>
      <c r="R6053" s="46" t="s">
        <v>272</v>
      </c>
    </row>
    <row r="6054" spans="1:18" ht="69" customHeight="1">
      <c r="A6054" s="168"/>
      <c r="B6054" s="52">
        <f t="shared" si="13"/>
        <v>3193</v>
      </c>
      <c r="C6054" s="51" t="s">
        <v>14945</v>
      </c>
      <c r="D6054" s="251" t="s">
        <v>10635</v>
      </c>
      <c r="E6054" s="51" t="s">
        <v>266</v>
      </c>
      <c r="F6054" s="46" t="s">
        <v>14946</v>
      </c>
      <c r="G6054" s="46" t="s">
        <v>14941</v>
      </c>
      <c r="H6054" s="534">
        <v>20688.2</v>
      </c>
      <c r="I6054" s="56">
        <v>45204</v>
      </c>
      <c r="J6054" s="199" t="s">
        <v>14942</v>
      </c>
      <c r="K6054" s="46" t="s">
        <v>167</v>
      </c>
      <c r="L6054" s="99"/>
      <c r="M6054" s="385"/>
      <c r="N6054" s="75"/>
      <c r="O6054" s="46" t="s">
        <v>1171</v>
      </c>
      <c r="P6054" s="46" t="s">
        <v>71</v>
      </c>
      <c r="Q6054" s="46" t="s">
        <v>39</v>
      </c>
      <c r="R6054" s="46" t="s">
        <v>272</v>
      </c>
    </row>
    <row r="6055" spans="1:18" ht="69" customHeight="1">
      <c r="A6055" s="168"/>
      <c r="B6055" s="52">
        <f t="shared" si="13"/>
        <v>3194</v>
      </c>
      <c r="C6055" s="51" t="s">
        <v>3331</v>
      </c>
      <c r="D6055" s="251" t="s">
        <v>14173</v>
      </c>
      <c r="E6055" s="51" t="s">
        <v>266</v>
      </c>
      <c r="F6055" s="46" t="s">
        <v>14947</v>
      </c>
      <c r="G6055" s="46" t="s">
        <v>14941</v>
      </c>
      <c r="H6055" s="534">
        <v>20688.2</v>
      </c>
      <c r="I6055" s="56">
        <v>45204</v>
      </c>
      <c r="J6055" s="199" t="s">
        <v>14942</v>
      </c>
      <c r="K6055" s="46" t="s">
        <v>167</v>
      </c>
      <c r="L6055" s="99"/>
      <c r="M6055" s="385"/>
      <c r="N6055" s="75"/>
      <c r="O6055" s="46" t="s">
        <v>1171</v>
      </c>
      <c r="P6055" s="46" t="s">
        <v>71</v>
      </c>
      <c r="Q6055" s="46" t="s">
        <v>41</v>
      </c>
      <c r="R6055" s="46" t="s">
        <v>272</v>
      </c>
    </row>
    <row r="6056" spans="1:18" s="98" customFormat="1" ht="69" customHeight="1">
      <c r="A6056" s="168"/>
      <c r="B6056" s="48">
        <f t="shared" si="13"/>
        <v>3195</v>
      </c>
      <c r="C6056" s="59" t="s">
        <v>11052</v>
      </c>
      <c r="D6056" s="84" t="s">
        <v>14184</v>
      </c>
      <c r="E6056" s="59" t="s">
        <v>4033</v>
      </c>
      <c r="F6056" s="45" t="s">
        <v>14948</v>
      </c>
      <c r="G6056" s="45" t="s">
        <v>14949</v>
      </c>
      <c r="H6056" s="546">
        <v>121771.48</v>
      </c>
      <c r="I6056" s="66">
        <v>45204</v>
      </c>
      <c r="J6056" s="73" t="s">
        <v>14950</v>
      </c>
      <c r="K6056" s="45"/>
      <c r="L6056" s="99"/>
      <c r="M6056" s="385"/>
      <c r="N6056" s="75"/>
      <c r="O6056" s="45" t="s">
        <v>441</v>
      </c>
      <c r="P6056" s="45" t="s">
        <v>22</v>
      </c>
      <c r="Q6056" s="45" t="s">
        <v>37</v>
      </c>
      <c r="R6056" s="45" t="s">
        <v>272</v>
      </c>
    </row>
    <row r="6057" spans="1:18" s="98" customFormat="1" ht="69" customHeight="1">
      <c r="A6057" s="169"/>
      <c r="B6057" s="48">
        <f t="shared" si="13"/>
        <v>3196</v>
      </c>
      <c r="C6057" s="44" t="s">
        <v>14414</v>
      </c>
      <c r="D6057" s="84" t="s">
        <v>14122</v>
      </c>
      <c r="E6057" s="44" t="s">
        <v>4173</v>
      </c>
      <c r="F6057" s="45" t="s">
        <v>14951</v>
      </c>
      <c r="G6057" s="45" t="s">
        <v>14952</v>
      </c>
      <c r="H6057" s="546">
        <v>31220</v>
      </c>
      <c r="I6057" s="47">
        <v>45204</v>
      </c>
      <c r="J6057" s="73" t="s">
        <v>14953</v>
      </c>
      <c r="K6057" s="45"/>
      <c r="L6057" s="99"/>
      <c r="M6057" s="385"/>
      <c r="N6057" s="75"/>
      <c r="O6057" s="45" t="s">
        <v>441</v>
      </c>
      <c r="P6057" s="45" t="s">
        <v>22</v>
      </c>
      <c r="Q6057" s="45" t="s">
        <v>33</v>
      </c>
      <c r="R6057" s="45" t="s">
        <v>265</v>
      </c>
    </row>
    <row r="6058" spans="1:18" ht="69" customHeight="1">
      <c r="A6058" s="168"/>
      <c r="B6058" s="62">
        <f t="shared" si="13"/>
        <v>3197</v>
      </c>
      <c r="C6058" s="58" t="s">
        <v>14414</v>
      </c>
      <c r="D6058" s="174" t="s">
        <v>14186</v>
      </c>
      <c r="E6058" s="72" t="s">
        <v>4173</v>
      </c>
      <c r="F6058" s="58" t="s">
        <v>14954</v>
      </c>
      <c r="G6058" s="45" t="s">
        <v>14955</v>
      </c>
      <c r="H6058" s="546">
        <v>31590</v>
      </c>
      <c r="I6058" s="66">
        <v>45204</v>
      </c>
      <c r="J6058" s="65" t="s">
        <v>14956</v>
      </c>
      <c r="K6058" s="58"/>
      <c r="L6058" s="99"/>
      <c r="M6058" s="70"/>
      <c r="N6058" s="97"/>
      <c r="O6058" s="58" t="s">
        <v>441</v>
      </c>
      <c r="P6058" s="58" t="s">
        <v>22</v>
      </c>
      <c r="Q6058" s="58" t="s">
        <v>33</v>
      </c>
      <c r="R6058" s="58" t="s">
        <v>265</v>
      </c>
    </row>
    <row r="6059" spans="1:18" s="98" customFormat="1" ht="69" customHeight="1">
      <c r="A6059" s="169"/>
      <c r="B6059" s="48">
        <f t="shared" si="13"/>
        <v>3198</v>
      </c>
      <c r="C6059" s="44" t="s">
        <v>2182</v>
      </c>
      <c r="D6059" s="84" t="s">
        <v>6630</v>
      </c>
      <c r="E6059" s="44" t="s">
        <v>4173</v>
      </c>
      <c r="F6059" s="45" t="s">
        <v>14957</v>
      </c>
      <c r="G6059" s="45" t="s">
        <v>14958</v>
      </c>
      <c r="H6059" s="546">
        <v>41057.5</v>
      </c>
      <c r="I6059" s="47">
        <v>45204</v>
      </c>
      <c r="J6059" s="73" t="s">
        <v>14959</v>
      </c>
      <c r="K6059" s="45"/>
      <c r="L6059" s="99"/>
      <c r="M6059" s="385"/>
      <c r="N6059" s="75"/>
      <c r="O6059" s="45" t="s">
        <v>441</v>
      </c>
      <c r="P6059" s="45" t="s">
        <v>22</v>
      </c>
      <c r="Q6059" s="45" t="s">
        <v>31</v>
      </c>
      <c r="R6059" s="45" t="s">
        <v>265</v>
      </c>
    </row>
    <row r="6060" spans="1:18" s="98" customFormat="1" ht="69" customHeight="1">
      <c r="A6060" s="169"/>
      <c r="B6060" s="48">
        <f t="shared" si="13"/>
        <v>3199</v>
      </c>
      <c r="C6060" s="44" t="s">
        <v>1853</v>
      </c>
      <c r="D6060" s="84" t="s">
        <v>6632</v>
      </c>
      <c r="E6060" s="45" t="s">
        <v>4173</v>
      </c>
      <c r="F6060" s="45" t="s">
        <v>14960</v>
      </c>
      <c r="G6060" s="45" t="s">
        <v>14952</v>
      </c>
      <c r="H6060" s="546">
        <v>38660</v>
      </c>
      <c r="I6060" s="47">
        <v>45204</v>
      </c>
      <c r="J6060" s="73" t="s">
        <v>14961</v>
      </c>
      <c r="K6060" s="45" t="s">
        <v>14962</v>
      </c>
      <c r="L6060" s="99"/>
      <c r="M6060" s="385"/>
      <c r="N6060" s="75"/>
      <c r="O6060" s="45" t="s">
        <v>441</v>
      </c>
      <c r="P6060" s="45" t="s">
        <v>22</v>
      </c>
      <c r="Q6060" s="45" t="s">
        <v>29</v>
      </c>
      <c r="R6060" s="45" t="s">
        <v>265</v>
      </c>
    </row>
    <row r="6061" spans="1:18" ht="69" customHeight="1">
      <c r="A6061" s="168"/>
      <c r="B6061" s="62">
        <f t="shared" si="13"/>
        <v>3200</v>
      </c>
      <c r="C6061" s="178" t="s">
        <v>11055</v>
      </c>
      <c r="D6061" s="174" t="s">
        <v>4124</v>
      </c>
      <c r="E6061" s="58" t="s">
        <v>7890</v>
      </c>
      <c r="F6061" s="58" t="s">
        <v>14963</v>
      </c>
      <c r="G6061" s="45" t="s">
        <v>14964</v>
      </c>
      <c r="H6061" s="546">
        <v>40850</v>
      </c>
      <c r="I6061" s="66">
        <v>45204</v>
      </c>
      <c r="J6061" s="65" t="s">
        <v>14965</v>
      </c>
      <c r="K6061" s="58"/>
      <c r="L6061" s="99"/>
      <c r="M6061" s="70"/>
      <c r="N6061" s="97"/>
      <c r="O6061" s="58" t="s">
        <v>147</v>
      </c>
      <c r="P6061" s="58" t="s">
        <v>22</v>
      </c>
      <c r="Q6061" s="58" t="s">
        <v>45</v>
      </c>
      <c r="R6061" s="58" t="s">
        <v>265</v>
      </c>
    </row>
    <row r="6062" spans="1:18" s="98" customFormat="1" ht="69" customHeight="1">
      <c r="A6062" s="169"/>
      <c r="B6062" s="259">
        <f t="shared" si="13"/>
        <v>3201</v>
      </c>
      <c r="C6062" s="304" t="s">
        <v>309</v>
      </c>
      <c r="D6062" s="303" t="s">
        <v>14236</v>
      </c>
      <c r="E6062" s="290" t="s">
        <v>266</v>
      </c>
      <c r="F6062" s="160" t="s">
        <v>14966</v>
      </c>
      <c r="G6062" s="160" t="s">
        <v>11014</v>
      </c>
      <c r="H6062" s="300">
        <v>20664.62</v>
      </c>
      <c r="I6062" s="209">
        <v>45204</v>
      </c>
      <c r="J6062" s="316" t="s">
        <v>14967</v>
      </c>
      <c r="K6062" s="160" t="s">
        <v>4128</v>
      </c>
      <c r="M6062" s="385"/>
      <c r="N6062" s="75"/>
      <c r="O6062" s="160" t="s">
        <v>150</v>
      </c>
      <c r="P6062" s="160" t="s">
        <v>67</v>
      </c>
      <c r="Q6062" s="160" t="s">
        <v>25</v>
      </c>
      <c r="R6062" s="160" t="s">
        <v>272</v>
      </c>
    </row>
    <row r="6063" spans="1:18" s="98" customFormat="1" ht="69" customHeight="1">
      <c r="A6063" s="169"/>
      <c r="B6063" s="259">
        <f t="shared" si="13"/>
        <v>3202</v>
      </c>
      <c r="C6063" s="304" t="s">
        <v>309</v>
      </c>
      <c r="D6063" s="303" t="s">
        <v>6624</v>
      </c>
      <c r="E6063" s="290" t="s">
        <v>266</v>
      </c>
      <c r="F6063" s="160" t="s">
        <v>14968</v>
      </c>
      <c r="G6063" s="160" t="s">
        <v>11014</v>
      </c>
      <c r="H6063" s="300">
        <v>16783.97</v>
      </c>
      <c r="I6063" s="209">
        <v>45204</v>
      </c>
      <c r="J6063" s="316" t="s">
        <v>14967</v>
      </c>
      <c r="K6063" s="160" t="s">
        <v>4128</v>
      </c>
      <c r="M6063" s="385"/>
      <c r="N6063" s="75"/>
      <c r="O6063" s="160" t="s">
        <v>150</v>
      </c>
      <c r="P6063" s="160" t="s">
        <v>67</v>
      </c>
      <c r="Q6063" s="160" t="s">
        <v>25</v>
      </c>
      <c r="R6063" s="160" t="s">
        <v>272</v>
      </c>
    </row>
    <row r="6064" spans="1:18" s="98" customFormat="1" ht="69" customHeight="1">
      <c r="A6064" s="169"/>
      <c r="B6064" s="259">
        <f t="shared" si="13"/>
        <v>3203</v>
      </c>
      <c r="C6064" s="207" t="s">
        <v>3667</v>
      </c>
      <c r="D6064" s="303" t="s">
        <v>14969</v>
      </c>
      <c r="E6064" s="290" t="s">
        <v>266</v>
      </c>
      <c r="F6064" s="160" t="s">
        <v>14970</v>
      </c>
      <c r="G6064" s="160" t="s">
        <v>11014</v>
      </c>
      <c r="H6064" s="300">
        <v>25295.05</v>
      </c>
      <c r="I6064" s="209">
        <v>45204</v>
      </c>
      <c r="J6064" s="316" t="s">
        <v>14967</v>
      </c>
      <c r="K6064" s="160" t="s">
        <v>4128</v>
      </c>
      <c r="M6064" s="385"/>
      <c r="N6064" s="75"/>
      <c r="O6064" s="160" t="s">
        <v>150</v>
      </c>
      <c r="P6064" s="160" t="s">
        <v>67</v>
      </c>
      <c r="Q6064" s="160" t="s">
        <v>62</v>
      </c>
      <c r="R6064" s="160" t="s">
        <v>272</v>
      </c>
    </row>
    <row r="6065" spans="1:18" s="98" customFormat="1" ht="69" customHeight="1">
      <c r="A6065" s="169"/>
      <c r="B6065" s="259">
        <f t="shared" si="13"/>
        <v>3204</v>
      </c>
      <c r="C6065" s="207" t="s">
        <v>3667</v>
      </c>
      <c r="D6065" s="303" t="s">
        <v>14971</v>
      </c>
      <c r="E6065" s="290" t="s">
        <v>266</v>
      </c>
      <c r="F6065" s="160" t="s">
        <v>14972</v>
      </c>
      <c r="G6065" s="160" t="s">
        <v>11014</v>
      </c>
      <c r="H6065" s="300">
        <v>39819.519999999997</v>
      </c>
      <c r="I6065" s="209">
        <v>45204</v>
      </c>
      <c r="J6065" s="316" t="s">
        <v>14967</v>
      </c>
      <c r="K6065" s="160" t="s">
        <v>4128</v>
      </c>
      <c r="M6065" s="385"/>
      <c r="N6065" s="75"/>
      <c r="O6065" s="160" t="s">
        <v>150</v>
      </c>
      <c r="P6065" s="160" t="s">
        <v>67</v>
      </c>
      <c r="Q6065" s="160" t="s">
        <v>62</v>
      </c>
      <c r="R6065" s="160" t="s">
        <v>272</v>
      </c>
    </row>
    <row r="6066" spans="1:18" s="98" customFormat="1" ht="69" customHeight="1">
      <c r="A6066" s="169"/>
      <c r="B6066" s="259">
        <f t="shared" ref="B6066:B6129" si="14">B6065+1</f>
        <v>3205</v>
      </c>
      <c r="C6066" s="207" t="s">
        <v>3667</v>
      </c>
      <c r="D6066" s="303" t="s">
        <v>14973</v>
      </c>
      <c r="E6066" s="290" t="s">
        <v>266</v>
      </c>
      <c r="F6066" s="160" t="s">
        <v>14974</v>
      </c>
      <c r="G6066" s="160" t="s">
        <v>11014</v>
      </c>
      <c r="H6066" s="300">
        <v>25295.05</v>
      </c>
      <c r="I6066" s="209">
        <v>45204</v>
      </c>
      <c r="J6066" s="316" t="s">
        <v>14967</v>
      </c>
      <c r="K6066" s="160" t="s">
        <v>4128</v>
      </c>
      <c r="M6066" s="385"/>
      <c r="N6066" s="75"/>
      <c r="O6066" s="160" t="s">
        <v>150</v>
      </c>
      <c r="P6066" s="160" t="s">
        <v>67</v>
      </c>
      <c r="Q6066" s="160" t="s">
        <v>60</v>
      </c>
      <c r="R6066" s="160" t="s">
        <v>272</v>
      </c>
    </row>
    <row r="6067" spans="1:18" s="98" customFormat="1" ht="69" customHeight="1">
      <c r="A6067" s="169"/>
      <c r="B6067" s="259">
        <f t="shared" si="14"/>
        <v>3206</v>
      </c>
      <c r="C6067" s="207" t="s">
        <v>3667</v>
      </c>
      <c r="D6067" s="303" t="s">
        <v>14975</v>
      </c>
      <c r="E6067" s="290" t="s">
        <v>266</v>
      </c>
      <c r="F6067" s="160" t="s">
        <v>14976</v>
      </c>
      <c r="G6067" s="160" t="s">
        <v>11014</v>
      </c>
      <c r="H6067" s="300">
        <v>39819.519999999997</v>
      </c>
      <c r="I6067" s="209">
        <v>45204</v>
      </c>
      <c r="J6067" s="316" t="s">
        <v>14967</v>
      </c>
      <c r="K6067" s="160" t="s">
        <v>4128</v>
      </c>
      <c r="M6067" s="385"/>
      <c r="N6067" s="75"/>
      <c r="O6067" s="160" t="s">
        <v>150</v>
      </c>
      <c r="P6067" s="160" t="s">
        <v>67</v>
      </c>
      <c r="Q6067" s="160" t="s">
        <v>60</v>
      </c>
      <c r="R6067" s="160" t="s">
        <v>272</v>
      </c>
    </row>
    <row r="6068" spans="1:18" s="98" customFormat="1" ht="69" customHeight="1">
      <c r="A6068" s="169"/>
      <c r="B6068" s="259">
        <f t="shared" si="14"/>
        <v>3207</v>
      </c>
      <c r="C6068" s="118" t="s">
        <v>13479</v>
      </c>
      <c r="D6068" s="118" t="s">
        <v>13479</v>
      </c>
      <c r="E6068" s="118" t="s">
        <v>13479</v>
      </c>
      <c r="F6068" s="118" t="s">
        <v>13479</v>
      </c>
      <c r="G6068" s="118" t="s">
        <v>13479</v>
      </c>
      <c r="H6068" s="300">
        <v>0</v>
      </c>
      <c r="I6068" s="209" t="s">
        <v>96</v>
      </c>
      <c r="J6068" s="378" t="s">
        <v>13479</v>
      </c>
      <c r="K6068" s="118" t="s">
        <v>13479</v>
      </c>
      <c r="L6068" s="99"/>
      <c r="M6068" s="386"/>
      <c r="N6068" s="223"/>
      <c r="O6068" s="118" t="s">
        <v>96</v>
      </c>
      <c r="P6068" s="118" t="s">
        <v>67</v>
      </c>
      <c r="Q6068" s="118" t="s">
        <v>13</v>
      </c>
      <c r="R6068" s="118" t="s">
        <v>272</v>
      </c>
    </row>
    <row r="6069" spans="1:18" ht="69" customHeight="1">
      <c r="A6069" s="168"/>
      <c r="B6069" s="62">
        <f t="shared" si="14"/>
        <v>3208</v>
      </c>
      <c r="C6069" s="59" t="s">
        <v>3667</v>
      </c>
      <c r="D6069" s="174" t="s">
        <v>14977</v>
      </c>
      <c r="E6069" s="58" t="s">
        <v>14978</v>
      </c>
      <c r="F6069" s="58" t="s">
        <v>14979</v>
      </c>
      <c r="G6069" s="58" t="s">
        <v>14980</v>
      </c>
      <c r="H6069" s="546">
        <v>106388.18</v>
      </c>
      <c r="I6069" s="66">
        <v>45204</v>
      </c>
      <c r="J6069" s="65" t="s">
        <v>14981</v>
      </c>
      <c r="K6069" s="58"/>
      <c r="L6069" s="99"/>
      <c r="M6069" s="70"/>
      <c r="N6069" s="97"/>
      <c r="O6069" s="58" t="s">
        <v>11943</v>
      </c>
      <c r="P6069" s="58" t="s">
        <v>59</v>
      </c>
      <c r="Q6069" s="58" t="s">
        <v>66</v>
      </c>
      <c r="R6069" s="58" t="s">
        <v>272</v>
      </c>
    </row>
    <row r="6070" spans="1:18" ht="69" customHeight="1">
      <c r="A6070" s="168"/>
      <c r="B6070" s="62">
        <f t="shared" si="14"/>
        <v>3209</v>
      </c>
      <c r="C6070" s="178" t="s">
        <v>1853</v>
      </c>
      <c r="D6070" s="174" t="s">
        <v>4408</v>
      </c>
      <c r="E6070" s="59" t="s">
        <v>4033</v>
      </c>
      <c r="F6070" s="45" t="s">
        <v>14982</v>
      </c>
      <c r="G6070" s="45" t="s">
        <v>14983</v>
      </c>
      <c r="H6070" s="546">
        <v>225050</v>
      </c>
      <c r="I6070" s="66">
        <v>45204</v>
      </c>
      <c r="J6070" s="65" t="s">
        <v>14984</v>
      </c>
      <c r="K6070" s="58"/>
      <c r="L6070" s="99"/>
      <c r="M6070" s="70"/>
      <c r="N6070" s="97"/>
      <c r="O6070" s="58" t="s">
        <v>14459</v>
      </c>
      <c r="P6070" s="58" t="s">
        <v>22</v>
      </c>
      <c r="Q6070" s="58" t="s">
        <v>29</v>
      </c>
      <c r="R6070" s="58" t="s">
        <v>272</v>
      </c>
    </row>
    <row r="6071" spans="1:18" ht="69" customHeight="1">
      <c r="A6071" s="168"/>
      <c r="B6071" s="62">
        <f t="shared" si="14"/>
        <v>3210</v>
      </c>
      <c r="C6071" s="59" t="s">
        <v>3667</v>
      </c>
      <c r="D6071" s="174" t="s">
        <v>14985</v>
      </c>
      <c r="E6071" s="58" t="s">
        <v>7890</v>
      </c>
      <c r="F6071" s="45" t="s">
        <v>14986</v>
      </c>
      <c r="G6071" s="58" t="s">
        <v>14987</v>
      </c>
      <c r="H6071" s="546">
        <v>46800</v>
      </c>
      <c r="I6071" s="66">
        <v>45204</v>
      </c>
      <c r="J6071" s="65" t="s">
        <v>14988</v>
      </c>
      <c r="K6071" s="58"/>
      <c r="L6071" s="99"/>
      <c r="M6071" s="70"/>
      <c r="N6071" s="97"/>
      <c r="O6071" s="58" t="s">
        <v>147</v>
      </c>
      <c r="P6071" s="58" t="s">
        <v>22</v>
      </c>
      <c r="Q6071" s="58" t="s">
        <v>74</v>
      </c>
      <c r="R6071" s="58" t="s">
        <v>265</v>
      </c>
    </row>
    <row r="6072" spans="1:18" ht="69" customHeight="1">
      <c r="A6072" s="168"/>
      <c r="B6072" s="62">
        <f t="shared" si="14"/>
        <v>3211</v>
      </c>
      <c r="C6072" s="59" t="s">
        <v>3667</v>
      </c>
      <c r="D6072" s="174" t="s">
        <v>14989</v>
      </c>
      <c r="E6072" s="58" t="s">
        <v>7890</v>
      </c>
      <c r="F6072" s="45" t="s">
        <v>14990</v>
      </c>
      <c r="G6072" s="58" t="s">
        <v>14987</v>
      </c>
      <c r="H6072" s="546">
        <v>46800</v>
      </c>
      <c r="I6072" s="66">
        <v>45204</v>
      </c>
      <c r="J6072" s="65" t="s">
        <v>14988</v>
      </c>
      <c r="K6072" s="58"/>
      <c r="L6072" s="99"/>
      <c r="M6072" s="70"/>
      <c r="N6072" s="97"/>
      <c r="O6072" s="58" t="s">
        <v>147</v>
      </c>
      <c r="P6072" s="58" t="s">
        <v>22</v>
      </c>
      <c r="Q6072" s="58" t="s">
        <v>78</v>
      </c>
      <c r="R6072" s="58" t="s">
        <v>265</v>
      </c>
    </row>
    <row r="6073" spans="1:18" ht="69" customHeight="1">
      <c r="A6073" s="168"/>
      <c r="B6073" s="62">
        <f t="shared" si="14"/>
        <v>3212</v>
      </c>
      <c r="C6073" s="59" t="s">
        <v>3667</v>
      </c>
      <c r="D6073" s="84" t="s">
        <v>14991</v>
      </c>
      <c r="E6073" s="55" t="s">
        <v>10553</v>
      </c>
      <c r="F6073" s="45" t="s">
        <v>14992</v>
      </c>
      <c r="G6073" s="45" t="s">
        <v>14993</v>
      </c>
      <c r="H6073" s="546">
        <v>18330.75</v>
      </c>
      <c r="I6073" s="47">
        <v>45204</v>
      </c>
      <c r="J6073" s="73" t="s">
        <v>14994</v>
      </c>
      <c r="K6073" s="45"/>
      <c r="L6073" s="99"/>
      <c r="M6073" s="70"/>
      <c r="N6073" s="97"/>
      <c r="O6073" s="58" t="s">
        <v>147</v>
      </c>
      <c r="P6073" s="58" t="s">
        <v>22</v>
      </c>
      <c r="Q6073" s="58" t="s">
        <v>72</v>
      </c>
      <c r="R6073" s="58" t="s">
        <v>272</v>
      </c>
    </row>
    <row r="6074" spans="1:18" ht="69" customHeight="1">
      <c r="A6074" s="168"/>
      <c r="B6074" s="62">
        <f t="shared" si="14"/>
        <v>3213</v>
      </c>
      <c r="C6074" s="59" t="s">
        <v>3667</v>
      </c>
      <c r="D6074" s="84" t="s">
        <v>14995</v>
      </c>
      <c r="E6074" s="55" t="s">
        <v>10553</v>
      </c>
      <c r="F6074" s="45" t="s">
        <v>14996</v>
      </c>
      <c r="G6074" s="45" t="s">
        <v>14997</v>
      </c>
      <c r="H6074" s="546">
        <v>9870.41</v>
      </c>
      <c r="I6074" s="47">
        <v>45204</v>
      </c>
      <c r="J6074" s="73" t="s">
        <v>14994</v>
      </c>
      <c r="K6074" s="45"/>
      <c r="L6074" s="99"/>
      <c r="M6074" s="70"/>
      <c r="N6074" s="97"/>
      <c r="O6074" s="58" t="s">
        <v>147</v>
      </c>
      <c r="P6074" s="58" t="s">
        <v>22</v>
      </c>
      <c r="Q6074" s="58" t="s">
        <v>72</v>
      </c>
      <c r="R6074" s="58" t="s">
        <v>272</v>
      </c>
    </row>
    <row r="6075" spans="1:18" ht="69" customHeight="1">
      <c r="A6075" s="168"/>
      <c r="B6075" s="62">
        <f t="shared" si="14"/>
        <v>3214</v>
      </c>
      <c r="C6075" s="59" t="s">
        <v>3667</v>
      </c>
      <c r="D6075" s="84" t="s">
        <v>14998</v>
      </c>
      <c r="E6075" s="55" t="s">
        <v>10553</v>
      </c>
      <c r="F6075" s="45" t="s">
        <v>14999</v>
      </c>
      <c r="G6075" s="45" t="s">
        <v>14993</v>
      </c>
      <c r="H6075" s="546">
        <v>41491.800000000003</v>
      </c>
      <c r="I6075" s="47">
        <v>45204</v>
      </c>
      <c r="J6075" s="73" t="s">
        <v>14994</v>
      </c>
      <c r="K6075" s="45"/>
      <c r="L6075" s="99"/>
      <c r="M6075" s="70"/>
      <c r="N6075" s="97"/>
      <c r="O6075" s="58" t="s">
        <v>147</v>
      </c>
      <c r="P6075" s="58" t="s">
        <v>22</v>
      </c>
      <c r="Q6075" s="58" t="s">
        <v>74</v>
      </c>
      <c r="R6075" s="58" t="s">
        <v>272</v>
      </c>
    </row>
    <row r="6076" spans="1:18" ht="69" customHeight="1">
      <c r="A6076" s="168"/>
      <c r="B6076" s="62">
        <f t="shared" si="14"/>
        <v>3215</v>
      </c>
      <c r="C6076" s="59" t="s">
        <v>3667</v>
      </c>
      <c r="D6076" s="84" t="s">
        <v>15000</v>
      </c>
      <c r="E6076" s="55" t="s">
        <v>10553</v>
      </c>
      <c r="F6076" s="45" t="s">
        <v>15001</v>
      </c>
      <c r="G6076" s="45" t="s">
        <v>14997</v>
      </c>
      <c r="H6076" s="546">
        <v>22341.74</v>
      </c>
      <c r="I6076" s="47">
        <v>45204</v>
      </c>
      <c r="J6076" s="73" t="s">
        <v>14994</v>
      </c>
      <c r="K6076" s="45"/>
      <c r="L6076" s="99"/>
      <c r="M6076" s="70"/>
      <c r="N6076" s="97"/>
      <c r="O6076" s="58" t="s">
        <v>147</v>
      </c>
      <c r="P6076" s="58" t="s">
        <v>22</v>
      </c>
      <c r="Q6076" s="58" t="s">
        <v>74</v>
      </c>
      <c r="R6076" s="58" t="s">
        <v>272</v>
      </c>
    </row>
    <row r="6077" spans="1:18" ht="69" customHeight="1">
      <c r="A6077" s="168"/>
      <c r="B6077" s="261">
        <f t="shared" si="14"/>
        <v>3216</v>
      </c>
      <c r="C6077" s="207" t="s">
        <v>3667</v>
      </c>
      <c r="D6077" s="255" t="s">
        <v>15002</v>
      </c>
      <c r="E6077" s="305" t="s">
        <v>10553</v>
      </c>
      <c r="F6077" s="118" t="s">
        <v>15003</v>
      </c>
      <c r="G6077" s="118" t="s">
        <v>14993</v>
      </c>
      <c r="H6077" s="300">
        <v>41491.81</v>
      </c>
      <c r="I6077" s="262">
        <v>45204</v>
      </c>
      <c r="J6077" s="258" t="s">
        <v>14994</v>
      </c>
      <c r="K6077" s="118" t="s">
        <v>15004</v>
      </c>
      <c r="L6077" s="99"/>
      <c r="M6077" s="387"/>
      <c r="N6077" s="107"/>
      <c r="O6077" s="118" t="s">
        <v>147</v>
      </c>
      <c r="P6077" s="118" t="s">
        <v>67</v>
      </c>
      <c r="Q6077" s="118" t="s">
        <v>76</v>
      </c>
      <c r="R6077" s="118" t="s">
        <v>272</v>
      </c>
    </row>
    <row r="6078" spans="1:18" s="98" customFormat="1" ht="69" customHeight="1">
      <c r="A6078" s="169"/>
      <c r="B6078" s="261">
        <f t="shared" si="14"/>
        <v>3217</v>
      </c>
      <c r="C6078" s="207" t="s">
        <v>3667</v>
      </c>
      <c r="D6078" s="255" t="s">
        <v>15005</v>
      </c>
      <c r="E6078" s="305" t="s">
        <v>10553</v>
      </c>
      <c r="F6078" s="118" t="s">
        <v>15006</v>
      </c>
      <c r="G6078" s="118" t="s">
        <v>14997</v>
      </c>
      <c r="H6078" s="300">
        <v>22341.74</v>
      </c>
      <c r="I6078" s="262">
        <v>45204</v>
      </c>
      <c r="J6078" s="258" t="s">
        <v>14994</v>
      </c>
      <c r="K6078" s="118" t="s">
        <v>15004</v>
      </c>
      <c r="L6078" s="99"/>
      <c r="M6078" s="390"/>
      <c r="N6078" s="109"/>
      <c r="O6078" s="118" t="s">
        <v>147</v>
      </c>
      <c r="P6078" s="118" t="s">
        <v>67</v>
      </c>
      <c r="Q6078" s="118" t="s">
        <v>76</v>
      </c>
      <c r="R6078" s="118" t="s">
        <v>272</v>
      </c>
    </row>
    <row r="6079" spans="1:18" ht="69" customHeight="1">
      <c r="A6079" s="168"/>
      <c r="B6079" s="62">
        <f t="shared" si="14"/>
        <v>3218</v>
      </c>
      <c r="C6079" s="59" t="s">
        <v>3667</v>
      </c>
      <c r="D6079" s="174" t="s">
        <v>15007</v>
      </c>
      <c r="E6079" s="58" t="s">
        <v>13546</v>
      </c>
      <c r="F6079" s="45" t="s">
        <v>15008</v>
      </c>
      <c r="G6079" s="58" t="s">
        <v>15009</v>
      </c>
      <c r="H6079" s="546">
        <v>72401.69</v>
      </c>
      <c r="I6079" s="66">
        <v>45210</v>
      </c>
      <c r="J6079" s="65" t="s">
        <v>15010</v>
      </c>
      <c r="K6079" s="58"/>
      <c r="L6079" s="99"/>
      <c r="M6079" s="70"/>
      <c r="N6079" s="97"/>
      <c r="O6079" s="58" t="s">
        <v>10607</v>
      </c>
      <c r="P6079" s="58" t="s">
        <v>22</v>
      </c>
      <c r="Q6079" s="58" t="s">
        <v>84</v>
      </c>
      <c r="R6079" s="58" t="s">
        <v>265</v>
      </c>
    </row>
    <row r="6080" spans="1:18" ht="69" customHeight="1">
      <c r="A6080" s="168"/>
      <c r="B6080" s="62">
        <f t="shared" si="14"/>
        <v>3219</v>
      </c>
      <c r="C6080" s="44" t="s">
        <v>2182</v>
      </c>
      <c r="D6080" s="174" t="s">
        <v>6456</v>
      </c>
      <c r="E6080" s="58" t="s">
        <v>4173</v>
      </c>
      <c r="F6080" s="45" t="s">
        <v>15011</v>
      </c>
      <c r="G6080" s="58" t="s">
        <v>15012</v>
      </c>
      <c r="H6080" s="546">
        <v>25000</v>
      </c>
      <c r="I6080" s="66">
        <v>45204</v>
      </c>
      <c r="J6080" s="65" t="s">
        <v>15013</v>
      </c>
      <c r="K6080" s="58"/>
      <c r="L6080" s="99"/>
      <c r="M6080" s="70"/>
      <c r="N6080" s="97"/>
      <c r="O6080" s="58" t="s">
        <v>441</v>
      </c>
      <c r="P6080" s="58" t="s">
        <v>22</v>
      </c>
      <c r="Q6080" s="58" t="s">
        <v>31</v>
      </c>
      <c r="R6080" s="58" t="s">
        <v>265</v>
      </c>
    </row>
    <row r="6081" spans="1:18" ht="69" customHeight="1">
      <c r="A6081" s="168"/>
      <c r="B6081" s="62">
        <f t="shared" si="14"/>
        <v>3220</v>
      </c>
      <c r="C6081" s="44" t="s">
        <v>2182</v>
      </c>
      <c r="D6081" s="545" t="s">
        <v>4545</v>
      </c>
      <c r="E6081" s="58" t="s">
        <v>4173</v>
      </c>
      <c r="F6081" s="45" t="s">
        <v>15014</v>
      </c>
      <c r="G6081" s="58" t="s">
        <v>15015</v>
      </c>
      <c r="H6081" s="546">
        <v>100000</v>
      </c>
      <c r="I6081" s="66">
        <v>45204</v>
      </c>
      <c r="J6081" s="65" t="s">
        <v>15016</v>
      </c>
      <c r="K6081" s="58"/>
      <c r="L6081" s="99"/>
      <c r="M6081" s="70"/>
      <c r="N6081" s="97"/>
      <c r="O6081" s="58" t="s">
        <v>441</v>
      </c>
      <c r="P6081" s="58" t="s">
        <v>22</v>
      </c>
      <c r="Q6081" s="58" t="s">
        <v>31</v>
      </c>
      <c r="R6081" s="58" t="s">
        <v>265</v>
      </c>
    </row>
    <row r="6082" spans="1:18" s="98" customFormat="1" ht="69" customHeight="1">
      <c r="A6082" s="169"/>
      <c r="B6082" s="48">
        <f t="shared" si="14"/>
        <v>3221</v>
      </c>
      <c r="C6082" s="44" t="s">
        <v>2182</v>
      </c>
      <c r="D6082" s="84" t="s">
        <v>5656</v>
      </c>
      <c r="E6082" s="45" t="s">
        <v>4173</v>
      </c>
      <c r="F6082" s="45" t="s">
        <v>15017</v>
      </c>
      <c r="G6082" s="45" t="s">
        <v>15018</v>
      </c>
      <c r="H6082" s="546">
        <v>114300</v>
      </c>
      <c r="I6082" s="47">
        <v>45204</v>
      </c>
      <c r="J6082" s="73" t="s">
        <v>15016</v>
      </c>
      <c r="K6082" s="45"/>
      <c r="L6082" s="99"/>
      <c r="M6082" s="385"/>
      <c r="N6082" s="75"/>
      <c r="O6082" s="45" t="s">
        <v>441</v>
      </c>
      <c r="P6082" s="45" t="s">
        <v>22</v>
      </c>
      <c r="Q6082" s="45" t="s">
        <v>31</v>
      </c>
      <c r="R6082" s="45" t="s">
        <v>265</v>
      </c>
    </row>
    <row r="6083" spans="1:18" s="98" customFormat="1" ht="69" customHeight="1">
      <c r="A6083" s="169"/>
      <c r="B6083" s="48">
        <f t="shared" si="14"/>
        <v>3222</v>
      </c>
      <c r="C6083" s="44" t="s">
        <v>458</v>
      </c>
      <c r="D6083" s="84" t="s">
        <v>15019</v>
      </c>
      <c r="E6083" s="55" t="s">
        <v>409</v>
      </c>
      <c r="F6083" s="45" t="s">
        <v>15020</v>
      </c>
      <c r="G6083" s="45" t="s">
        <v>15021</v>
      </c>
      <c r="H6083" s="546">
        <v>59023.12</v>
      </c>
      <c r="I6083" s="47">
        <v>45214</v>
      </c>
      <c r="J6083" s="73" t="s">
        <v>15022</v>
      </c>
      <c r="K6083" s="45"/>
      <c r="L6083" s="99"/>
      <c r="M6083" s="397"/>
      <c r="N6083" s="80"/>
      <c r="O6083" s="45" t="s">
        <v>8228</v>
      </c>
      <c r="P6083" s="45" t="s">
        <v>59</v>
      </c>
      <c r="Q6083" s="45" t="s">
        <v>103</v>
      </c>
      <c r="R6083" s="45" t="s">
        <v>272</v>
      </c>
    </row>
    <row r="6084" spans="1:18" s="98" customFormat="1" ht="69" customHeight="1">
      <c r="A6084" s="169"/>
      <c r="B6084" s="48">
        <f t="shared" si="14"/>
        <v>3223</v>
      </c>
      <c r="C6084" s="44" t="s">
        <v>458</v>
      </c>
      <c r="D6084" s="84" t="s">
        <v>15023</v>
      </c>
      <c r="E6084" s="55" t="s">
        <v>409</v>
      </c>
      <c r="F6084" s="45" t="s">
        <v>15024</v>
      </c>
      <c r="G6084" s="45" t="s">
        <v>15025</v>
      </c>
      <c r="H6084" s="546">
        <v>14755.78</v>
      </c>
      <c r="I6084" s="47">
        <v>45214</v>
      </c>
      <c r="J6084" s="73" t="s">
        <v>15022</v>
      </c>
      <c r="K6084" s="45"/>
      <c r="L6084" s="99"/>
      <c r="M6084" s="121"/>
      <c r="N6084" s="116"/>
      <c r="O6084" s="45" t="s">
        <v>8228</v>
      </c>
      <c r="P6084" s="45" t="s">
        <v>59</v>
      </c>
      <c r="Q6084" s="45" t="s">
        <v>103</v>
      </c>
      <c r="R6084" s="45" t="s">
        <v>272</v>
      </c>
    </row>
    <row r="6085" spans="1:18" s="98" customFormat="1" ht="69" customHeight="1">
      <c r="A6085" s="169"/>
      <c r="B6085" s="48">
        <f t="shared" si="14"/>
        <v>3224</v>
      </c>
      <c r="C6085" s="45" t="s">
        <v>458</v>
      </c>
      <c r="D6085" s="84" t="s">
        <v>15026</v>
      </c>
      <c r="E6085" s="45" t="s">
        <v>409</v>
      </c>
      <c r="F6085" s="45" t="s">
        <v>15027</v>
      </c>
      <c r="G6085" s="45" t="s">
        <v>15021</v>
      </c>
      <c r="H6085" s="546">
        <v>71554.81</v>
      </c>
      <c r="I6085" s="47">
        <v>45214</v>
      </c>
      <c r="J6085" s="73" t="s">
        <v>15028</v>
      </c>
      <c r="K6085" s="45"/>
      <c r="L6085" s="99"/>
      <c r="M6085" s="396"/>
      <c r="N6085" s="114"/>
      <c r="O6085" s="45" t="s">
        <v>8228</v>
      </c>
      <c r="P6085" s="45" t="s">
        <v>59</v>
      </c>
      <c r="Q6085" s="45" t="s">
        <v>107</v>
      </c>
      <c r="R6085" s="45" t="s">
        <v>272</v>
      </c>
    </row>
    <row r="6086" spans="1:18" s="98" customFormat="1" ht="69" customHeight="1">
      <c r="A6086" s="169"/>
      <c r="B6086" s="48">
        <f t="shared" si="14"/>
        <v>3225</v>
      </c>
      <c r="C6086" s="45" t="s">
        <v>458</v>
      </c>
      <c r="D6086" s="84" t="s">
        <v>15029</v>
      </c>
      <c r="E6086" s="45" t="s">
        <v>409</v>
      </c>
      <c r="F6086" s="45" t="s">
        <v>15030</v>
      </c>
      <c r="G6086" s="45" t="s">
        <v>15025</v>
      </c>
      <c r="H6086" s="546">
        <v>17888.7</v>
      </c>
      <c r="I6086" s="47">
        <v>45214</v>
      </c>
      <c r="J6086" s="73" t="s">
        <v>15028</v>
      </c>
      <c r="K6086" s="45"/>
      <c r="L6086" s="99"/>
      <c r="M6086" s="385"/>
      <c r="N6086" s="75"/>
      <c r="O6086" s="45" t="s">
        <v>8228</v>
      </c>
      <c r="P6086" s="45" t="s">
        <v>59</v>
      </c>
      <c r="Q6086" s="45" t="s">
        <v>107</v>
      </c>
      <c r="R6086" s="45" t="s">
        <v>272</v>
      </c>
    </row>
    <row r="6087" spans="1:18" ht="69" customHeight="1">
      <c r="A6087" s="168"/>
      <c r="B6087" s="62">
        <f t="shared" si="14"/>
        <v>3226</v>
      </c>
      <c r="C6087" s="59" t="s">
        <v>3667</v>
      </c>
      <c r="D6087" s="174" t="s">
        <v>15031</v>
      </c>
      <c r="E6087" s="58" t="s">
        <v>7890</v>
      </c>
      <c r="F6087" s="45" t="s">
        <v>15032</v>
      </c>
      <c r="G6087" s="58" t="s">
        <v>15033</v>
      </c>
      <c r="H6087" s="546">
        <v>75474.2</v>
      </c>
      <c r="I6087" s="66">
        <v>45194</v>
      </c>
      <c r="J6087" s="73" t="s">
        <v>15034</v>
      </c>
      <c r="K6087" s="58"/>
      <c r="L6087" s="99"/>
      <c r="M6087" s="70"/>
      <c r="N6087" s="97"/>
      <c r="O6087" s="58" t="s">
        <v>147</v>
      </c>
      <c r="P6087" s="58" t="s">
        <v>22</v>
      </c>
      <c r="Q6087" s="58" t="s">
        <v>74</v>
      </c>
      <c r="R6087" s="58" t="s">
        <v>265</v>
      </c>
    </row>
    <row r="6088" spans="1:18" s="98" customFormat="1" ht="69" customHeight="1">
      <c r="A6088" s="169"/>
      <c r="B6088" s="52">
        <f t="shared" si="14"/>
        <v>3227</v>
      </c>
      <c r="C6088" s="191" t="s">
        <v>3667</v>
      </c>
      <c r="D6088" s="251" t="s">
        <v>15035</v>
      </c>
      <c r="E6088" s="46" t="s">
        <v>266</v>
      </c>
      <c r="F6088" s="46" t="s">
        <v>15036</v>
      </c>
      <c r="G6088" s="46" t="s">
        <v>15037</v>
      </c>
      <c r="H6088" s="534">
        <v>9741.2000000000007</v>
      </c>
      <c r="I6088" s="56">
        <v>45214</v>
      </c>
      <c r="J6088" s="199" t="s">
        <v>15038</v>
      </c>
      <c r="K6088" s="53" t="s">
        <v>1170</v>
      </c>
      <c r="L6088" s="99"/>
      <c r="M6088" s="385"/>
      <c r="N6088" s="75"/>
      <c r="O6088" s="46" t="s">
        <v>14614</v>
      </c>
      <c r="P6088" s="46" t="s">
        <v>65</v>
      </c>
      <c r="Q6088" s="46" t="s">
        <v>86</v>
      </c>
      <c r="R6088" s="46" t="s">
        <v>272</v>
      </c>
    </row>
    <row r="6089" spans="1:18" s="98" customFormat="1" ht="69" customHeight="1">
      <c r="A6089" s="169"/>
      <c r="B6089" s="48">
        <f t="shared" si="14"/>
        <v>3228</v>
      </c>
      <c r="C6089" s="44" t="s">
        <v>12406</v>
      </c>
      <c r="D6089" s="84" t="s">
        <v>15039</v>
      </c>
      <c r="E6089" s="45" t="s">
        <v>266</v>
      </c>
      <c r="F6089" s="44" t="s">
        <v>15040</v>
      </c>
      <c r="G6089" s="44" t="s">
        <v>15041</v>
      </c>
      <c r="H6089" s="546">
        <v>352.8</v>
      </c>
      <c r="I6089" s="47">
        <v>45214</v>
      </c>
      <c r="J6089" s="73" t="s">
        <v>15042</v>
      </c>
      <c r="K6089" s="45"/>
      <c r="L6089" s="99"/>
      <c r="M6089" s="385"/>
      <c r="N6089" s="75"/>
      <c r="O6089" s="45"/>
      <c r="P6089" s="45" t="s">
        <v>44</v>
      </c>
      <c r="Q6089" s="45" t="s">
        <v>84</v>
      </c>
      <c r="R6089" s="45" t="s">
        <v>272</v>
      </c>
    </row>
    <row r="6090" spans="1:18" s="98" customFormat="1" ht="69" customHeight="1">
      <c r="A6090" s="169"/>
      <c r="B6090" s="48">
        <f t="shared" si="14"/>
        <v>3229</v>
      </c>
      <c r="C6090" s="44" t="s">
        <v>12406</v>
      </c>
      <c r="D6090" s="84" t="s">
        <v>15043</v>
      </c>
      <c r="E6090" s="45" t="s">
        <v>266</v>
      </c>
      <c r="F6090" s="44" t="s">
        <v>15044</v>
      </c>
      <c r="G6090" s="44" t="s">
        <v>15041</v>
      </c>
      <c r="H6090" s="546">
        <v>376.59</v>
      </c>
      <c r="I6090" s="47">
        <v>45214</v>
      </c>
      <c r="J6090" s="73" t="s">
        <v>15042</v>
      </c>
      <c r="K6090" s="45"/>
      <c r="L6090" s="99"/>
      <c r="M6090" s="385"/>
      <c r="N6090" s="75"/>
      <c r="O6090" s="45"/>
      <c r="P6090" s="45" t="s">
        <v>44</v>
      </c>
      <c r="Q6090" s="45" t="s">
        <v>84</v>
      </c>
      <c r="R6090" s="45" t="s">
        <v>272</v>
      </c>
    </row>
    <row r="6091" spans="1:18" s="98" customFormat="1" ht="69" customHeight="1">
      <c r="A6091" s="169"/>
      <c r="B6091" s="259">
        <f t="shared" si="14"/>
        <v>3230</v>
      </c>
      <c r="C6091" s="207" t="s">
        <v>3340</v>
      </c>
      <c r="D6091" s="301" t="s">
        <v>7280</v>
      </c>
      <c r="E6091" s="207" t="s">
        <v>266</v>
      </c>
      <c r="F6091" s="208" t="s">
        <v>15045</v>
      </c>
      <c r="G6091" s="160" t="s">
        <v>11285</v>
      </c>
      <c r="H6091" s="300">
        <v>26970</v>
      </c>
      <c r="I6091" s="209">
        <v>45214</v>
      </c>
      <c r="J6091" s="316" t="s">
        <v>15046</v>
      </c>
      <c r="K6091" s="160" t="s">
        <v>67</v>
      </c>
      <c r="M6091" s="385"/>
      <c r="N6091" s="75"/>
      <c r="O6091" s="160"/>
      <c r="P6091" s="160" t="s">
        <v>67</v>
      </c>
      <c r="Q6091" s="160" t="s">
        <v>96</v>
      </c>
      <c r="R6091" s="160" t="s">
        <v>272</v>
      </c>
    </row>
    <row r="6092" spans="1:18" ht="69" customHeight="1">
      <c r="A6092" s="168"/>
      <c r="B6092" s="62">
        <f t="shared" si="14"/>
        <v>3231</v>
      </c>
      <c r="C6092" s="69" t="s">
        <v>3933</v>
      </c>
      <c r="D6092" s="174" t="s">
        <v>15047</v>
      </c>
      <c r="E6092" s="45" t="s">
        <v>266</v>
      </c>
      <c r="F6092" s="58" t="s">
        <v>15048</v>
      </c>
      <c r="G6092" s="58" t="s">
        <v>15049</v>
      </c>
      <c r="H6092" s="546">
        <v>3610.8</v>
      </c>
      <c r="I6092" s="66">
        <v>45214</v>
      </c>
      <c r="J6092" s="65" t="s">
        <v>15050</v>
      </c>
      <c r="K6092" s="58"/>
      <c r="L6092" s="99"/>
      <c r="M6092" s="70"/>
      <c r="N6092" s="97"/>
      <c r="O6092" s="58" t="s">
        <v>15051</v>
      </c>
      <c r="P6092" s="58" t="s">
        <v>44</v>
      </c>
      <c r="Q6092" s="58" t="s">
        <v>52</v>
      </c>
      <c r="R6092" s="58" t="s">
        <v>272</v>
      </c>
    </row>
    <row r="6093" spans="1:18" ht="69" customHeight="1">
      <c r="A6093" s="168"/>
      <c r="B6093" s="62">
        <f t="shared" si="14"/>
        <v>3232</v>
      </c>
      <c r="C6093" s="69" t="s">
        <v>3647</v>
      </c>
      <c r="D6093" s="174" t="s">
        <v>15052</v>
      </c>
      <c r="E6093" s="45" t="s">
        <v>266</v>
      </c>
      <c r="F6093" s="58" t="s">
        <v>15053</v>
      </c>
      <c r="G6093" s="58" t="s">
        <v>15049</v>
      </c>
      <c r="H6093" s="546">
        <v>3610.8</v>
      </c>
      <c r="I6093" s="66">
        <v>45214</v>
      </c>
      <c r="J6093" s="65" t="s">
        <v>15050</v>
      </c>
      <c r="K6093" s="58"/>
      <c r="L6093" s="99"/>
      <c r="M6093" s="70"/>
      <c r="N6093" s="97"/>
      <c r="O6093" s="58" t="s">
        <v>15051</v>
      </c>
      <c r="P6093" s="58" t="s">
        <v>44</v>
      </c>
      <c r="Q6093" s="58" t="s">
        <v>47</v>
      </c>
      <c r="R6093" s="58" t="s">
        <v>272</v>
      </c>
    </row>
    <row r="6094" spans="1:18" ht="69" customHeight="1">
      <c r="A6094" s="168"/>
      <c r="B6094" s="62">
        <f t="shared" si="14"/>
        <v>3233</v>
      </c>
      <c r="C6094" s="69" t="s">
        <v>4411</v>
      </c>
      <c r="D6094" s="174" t="s">
        <v>15054</v>
      </c>
      <c r="E6094" s="45" t="s">
        <v>266</v>
      </c>
      <c r="F6094" s="58" t="s">
        <v>15055</v>
      </c>
      <c r="G6094" s="58" t="s">
        <v>15049</v>
      </c>
      <c r="H6094" s="546">
        <v>3369.6</v>
      </c>
      <c r="I6094" s="66">
        <v>45214</v>
      </c>
      <c r="J6094" s="65" t="s">
        <v>15050</v>
      </c>
      <c r="K6094" s="58"/>
      <c r="L6094" s="99"/>
      <c r="M6094" s="70"/>
      <c r="N6094" s="97"/>
      <c r="O6094" s="58" t="s">
        <v>15051</v>
      </c>
      <c r="P6094" s="58" t="s">
        <v>44</v>
      </c>
      <c r="Q6094" s="58" t="s">
        <v>54</v>
      </c>
      <c r="R6094" s="58" t="s">
        <v>272</v>
      </c>
    </row>
    <row r="6095" spans="1:18" ht="69" customHeight="1">
      <c r="A6095" s="168"/>
      <c r="B6095" s="62">
        <f t="shared" si="14"/>
        <v>3234</v>
      </c>
      <c r="C6095" s="69" t="s">
        <v>4277</v>
      </c>
      <c r="D6095" s="174" t="s">
        <v>15056</v>
      </c>
      <c r="E6095" s="45" t="s">
        <v>266</v>
      </c>
      <c r="F6095" s="58" t="s">
        <v>15057</v>
      </c>
      <c r="G6095" s="58" t="s">
        <v>15049</v>
      </c>
      <c r="H6095" s="546">
        <v>3369.6</v>
      </c>
      <c r="I6095" s="66">
        <v>45214</v>
      </c>
      <c r="J6095" s="65" t="s">
        <v>15050</v>
      </c>
      <c r="K6095" s="58"/>
      <c r="L6095" s="99"/>
      <c r="M6095" s="70"/>
      <c r="N6095" s="97"/>
      <c r="O6095" s="58" t="s">
        <v>15051</v>
      </c>
      <c r="P6095" s="58" t="s">
        <v>44</v>
      </c>
      <c r="Q6095" s="58" t="s">
        <v>56</v>
      </c>
      <c r="R6095" s="58" t="s">
        <v>272</v>
      </c>
    </row>
    <row r="6096" spans="1:18" ht="69" customHeight="1">
      <c r="A6096" s="168"/>
      <c r="B6096" s="62">
        <f t="shared" si="14"/>
        <v>3235</v>
      </c>
      <c r="C6096" s="69" t="s">
        <v>4728</v>
      </c>
      <c r="D6096" s="174" t="s">
        <v>15058</v>
      </c>
      <c r="E6096" s="45" t="s">
        <v>266</v>
      </c>
      <c r="F6096" s="58" t="s">
        <v>15059</v>
      </c>
      <c r="G6096" s="58" t="s">
        <v>15049</v>
      </c>
      <c r="H6096" s="546">
        <v>3369.6</v>
      </c>
      <c r="I6096" s="66">
        <v>45214</v>
      </c>
      <c r="J6096" s="65" t="s">
        <v>15050</v>
      </c>
      <c r="K6096" s="58"/>
      <c r="L6096" s="99"/>
      <c r="M6096" s="70"/>
      <c r="N6096" s="97"/>
      <c r="O6096" s="58" t="s">
        <v>15051</v>
      </c>
      <c r="P6096" s="58" t="s">
        <v>44</v>
      </c>
      <c r="Q6096" s="58" t="s">
        <v>58</v>
      </c>
      <c r="R6096" s="58" t="s">
        <v>272</v>
      </c>
    </row>
    <row r="6097" spans="1:18" ht="69" customHeight="1">
      <c r="A6097" s="168"/>
      <c r="B6097" s="62">
        <f t="shared" si="14"/>
        <v>3236</v>
      </c>
      <c r="C6097" s="69" t="s">
        <v>5082</v>
      </c>
      <c r="D6097" s="84" t="s">
        <v>15060</v>
      </c>
      <c r="E6097" s="45" t="s">
        <v>266</v>
      </c>
      <c r="F6097" s="58" t="s">
        <v>15061</v>
      </c>
      <c r="G6097" s="58" t="s">
        <v>15049</v>
      </c>
      <c r="H6097" s="546">
        <v>3610.8</v>
      </c>
      <c r="I6097" s="66">
        <v>45214</v>
      </c>
      <c r="J6097" s="65" t="s">
        <v>15050</v>
      </c>
      <c r="K6097" s="58"/>
      <c r="L6097" s="99"/>
      <c r="M6097" s="70"/>
      <c r="N6097" s="97"/>
      <c r="O6097" s="58" t="s">
        <v>15051</v>
      </c>
      <c r="P6097" s="58" t="s">
        <v>44</v>
      </c>
      <c r="Q6097" s="58" t="s">
        <v>60</v>
      </c>
      <c r="R6097" s="58" t="s">
        <v>272</v>
      </c>
    </row>
    <row r="6098" spans="1:18" ht="69" customHeight="1">
      <c r="A6098" s="168"/>
      <c r="B6098" s="62">
        <f t="shared" si="14"/>
        <v>3237</v>
      </c>
      <c r="C6098" s="69" t="s">
        <v>5189</v>
      </c>
      <c r="D6098" s="84" t="s">
        <v>15062</v>
      </c>
      <c r="E6098" s="45" t="s">
        <v>266</v>
      </c>
      <c r="F6098" s="58" t="s">
        <v>15063</v>
      </c>
      <c r="G6098" s="58" t="s">
        <v>15049</v>
      </c>
      <c r="H6098" s="546">
        <v>3610.8</v>
      </c>
      <c r="I6098" s="66">
        <v>45214</v>
      </c>
      <c r="J6098" s="65" t="s">
        <v>15050</v>
      </c>
      <c r="K6098" s="58"/>
      <c r="L6098" s="99"/>
      <c r="M6098" s="70"/>
      <c r="N6098" s="97"/>
      <c r="O6098" s="58" t="s">
        <v>15051</v>
      </c>
      <c r="P6098" s="58" t="s">
        <v>44</v>
      </c>
      <c r="Q6098" s="58" t="s">
        <v>62</v>
      </c>
      <c r="R6098" s="58" t="s">
        <v>272</v>
      </c>
    </row>
    <row r="6099" spans="1:18" ht="69" customHeight="1">
      <c r="A6099" s="168"/>
      <c r="B6099" s="62">
        <f t="shared" si="14"/>
        <v>3238</v>
      </c>
      <c r="C6099" s="69" t="s">
        <v>753</v>
      </c>
      <c r="D6099" s="174" t="s">
        <v>14354</v>
      </c>
      <c r="E6099" s="45" t="s">
        <v>266</v>
      </c>
      <c r="F6099" s="58" t="s">
        <v>15064</v>
      </c>
      <c r="G6099" s="58" t="s">
        <v>15049</v>
      </c>
      <c r="H6099" s="546">
        <v>3038.4</v>
      </c>
      <c r="I6099" s="66">
        <v>45214</v>
      </c>
      <c r="J6099" s="65" t="s">
        <v>15050</v>
      </c>
      <c r="K6099" s="58"/>
      <c r="L6099" s="99"/>
      <c r="M6099" s="70"/>
      <c r="N6099" s="97"/>
      <c r="O6099" s="58" t="s">
        <v>15051</v>
      </c>
      <c r="P6099" s="58" t="s">
        <v>44</v>
      </c>
      <c r="Q6099" s="58" t="s">
        <v>20</v>
      </c>
      <c r="R6099" s="58" t="s">
        <v>272</v>
      </c>
    </row>
    <row r="6100" spans="1:18" ht="69" customHeight="1">
      <c r="A6100" s="168"/>
      <c r="B6100" s="62">
        <f t="shared" si="14"/>
        <v>3239</v>
      </c>
      <c r="C6100" s="69" t="s">
        <v>8529</v>
      </c>
      <c r="D6100" s="174" t="s">
        <v>15065</v>
      </c>
      <c r="E6100" s="45" t="s">
        <v>266</v>
      </c>
      <c r="F6100" s="58" t="s">
        <v>15066</v>
      </c>
      <c r="G6100" s="58" t="s">
        <v>15049</v>
      </c>
      <c r="H6100" s="546">
        <v>3369.6</v>
      </c>
      <c r="I6100" s="66">
        <v>45214</v>
      </c>
      <c r="J6100" s="65" t="s">
        <v>15050</v>
      </c>
      <c r="K6100" s="58"/>
      <c r="L6100" s="99"/>
      <c r="M6100" s="70"/>
      <c r="N6100" s="97"/>
      <c r="O6100" s="58" t="s">
        <v>15051</v>
      </c>
      <c r="P6100" s="58" t="s">
        <v>44</v>
      </c>
      <c r="Q6100" s="58" t="s">
        <v>108</v>
      </c>
      <c r="R6100" s="58" t="s">
        <v>272</v>
      </c>
    </row>
    <row r="6101" spans="1:18" ht="69" customHeight="1">
      <c r="A6101" s="168"/>
      <c r="B6101" s="62">
        <f t="shared" si="14"/>
        <v>3240</v>
      </c>
      <c r="C6101" s="69" t="s">
        <v>7452</v>
      </c>
      <c r="D6101" s="174" t="s">
        <v>15067</v>
      </c>
      <c r="E6101" s="45" t="s">
        <v>266</v>
      </c>
      <c r="F6101" s="58" t="s">
        <v>15068</v>
      </c>
      <c r="G6101" s="58" t="s">
        <v>15049</v>
      </c>
      <c r="H6101" s="546">
        <v>3369.6</v>
      </c>
      <c r="I6101" s="66">
        <v>45214</v>
      </c>
      <c r="J6101" s="65" t="s">
        <v>15050</v>
      </c>
      <c r="K6101" s="58"/>
      <c r="L6101" s="99"/>
      <c r="M6101" s="70"/>
      <c r="N6101" s="97"/>
      <c r="O6101" s="58" t="s">
        <v>15051</v>
      </c>
      <c r="P6101" s="58" t="s">
        <v>44</v>
      </c>
      <c r="Q6101" s="58" t="s">
        <v>101</v>
      </c>
      <c r="R6101" s="58" t="s">
        <v>272</v>
      </c>
    </row>
    <row r="6102" spans="1:18" ht="69" customHeight="1">
      <c r="A6102" s="168"/>
      <c r="B6102" s="62">
        <f t="shared" si="14"/>
        <v>3241</v>
      </c>
      <c r="C6102" s="69" t="s">
        <v>8721</v>
      </c>
      <c r="D6102" s="174" t="s">
        <v>1911</v>
      </c>
      <c r="E6102" s="45" t="s">
        <v>266</v>
      </c>
      <c r="F6102" s="58" t="s">
        <v>15069</v>
      </c>
      <c r="G6102" s="58" t="s">
        <v>15049</v>
      </c>
      <c r="H6102" s="546">
        <v>3038.4</v>
      </c>
      <c r="I6102" s="66">
        <v>45214</v>
      </c>
      <c r="J6102" s="65" t="s">
        <v>15050</v>
      </c>
      <c r="K6102" s="58"/>
      <c r="L6102" s="99"/>
      <c r="M6102" s="70"/>
      <c r="N6102" s="97"/>
      <c r="O6102" s="58" t="s">
        <v>15051</v>
      </c>
      <c r="P6102" s="58" t="s">
        <v>44</v>
      </c>
      <c r="Q6102" s="58" t="s">
        <v>109</v>
      </c>
      <c r="R6102" s="58" t="s">
        <v>272</v>
      </c>
    </row>
    <row r="6103" spans="1:18" ht="69" customHeight="1">
      <c r="A6103" s="168"/>
      <c r="B6103" s="62">
        <f t="shared" si="14"/>
        <v>3242</v>
      </c>
      <c r="C6103" s="69" t="s">
        <v>7521</v>
      </c>
      <c r="D6103" s="174" t="s">
        <v>3535</v>
      </c>
      <c r="E6103" s="45" t="s">
        <v>266</v>
      </c>
      <c r="F6103" s="58" t="s">
        <v>15070</v>
      </c>
      <c r="G6103" s="58" t="s">
        <v>15049</v>
      </c>
      <c r="H6103" s="546">
        <v>3009.6</v>
      </c>
      <c r="I6103" s="66">
        <v>45214</v>
      </c>
      <c r="J6103" s="65" t="s">
        <v>15050</v>
      </c>
      <c r="K6103" s="58"/>
      <c r="L6103" s="99"/>
      <c r="M6103" s="391"/>
      <c r="N6103" s="78"/>
      <c r="O6103" s="58" t="s">
        <v>15051</v>
      </c>
      <c r="P6103" s="58" t="s">
        <v>44</v>
      </c>
      <c r="Q6103" s="58" t="s">
        <v>102</v>
      </c>
      <c r="R6103" s="58" t="s">
        <v>272</v>
      </c>
    </row>
    <row r="6104" spans="1:18" ht="69" customHeight="1">
      <c r="A6104" s="168"/>
      <c r="B6104" s="62">
        <f t="shared" si="14"/>
        <v>3243</v>
      </c>
      <c r="C6104" s="69" t="s">
        <v>8080</v>
      </c>
      <c r="D6104" s="200" t="s">
        <v>15071</v>
      </c>
      <c r="E6104" s="45" t="s">
        <v>266</v>
      </c>
      <c r="F6104" s="58" t="s">
        <v>15072</v>
      </c>
      <c r="G6104" s="58" t="s">
        <v>15049</v>
      </c>
      <c r="H6104" s="546">
        <v>3369.6</v>
      </c>
      <c r="I6104" s="66">
        <v>45214</v>
      </c>
      <c r="J6104" s="65" t="s">
        <v>15050</v>
      </c>
      <c r="K6104" s="62"/>
      <c r="L6104" s="99"/>
      <c r="M6104" s="398"/>
      <c r="N6104" s="225"/>
      <c r="O6104" s="58" t="s">
        <v>15051</v>
      </c>
      <c r="P6104" s="58" t="s">
        <v>44</v>
      </c>
      <c r="Q6104" s="58" t="s">
        <v>106</v>
      </c>
      <c r="R6104" s="58" t="s">
        <v>272</v>
      </c>
    </row>
    <row r="6105" spans="1:18" ht="69" customHeight="1">
      <c r="A6105" s="168"/>
      <c r="B6105" s="62">
        <f t="shared" si="14"/>
        <v>3244</v>
      </c>
      <c r="C6105" s="59" t="s">
        <v>10937</v>
      </c>
      <c r="D6105" s="84" t="s">
        <v>855</v>
      </c>
      <c r="E6105" s="55" t="s">
        <v>11297</v>
      </c>
      <c r="F6105" s="45" t="s">
        <v>15073</v>
      </c>
      <c r="G6105" s="45" t="s">
        <v>14169</v>
      </c>
      <c r="H6105" s="546">
        <v>35371.660000000003</v>
      </c>
      <c r="I6105" s="66">
        <v>45214</v>
      </c>
      <c r="J6105" s="65" t="s">
        <v>15074</v>
      </c>
      <c r="K6105" s="58"/>
      <c r="L6105" s="99"/>
      <c r="M6105" s="229"/>
      <c r="N6105" s="63"/>
      <c r="O6105" s="45" t="s">
        <v>11301</v>
      </c>
      <c r="P6105" s="58" t="s">
        <v>61</v>
      </c>
      <c r="Q6105" s="58" t="s">
        <v>104</v>
      </c>
      <c r="R6105" s="58" t="s">
        <v>272</v>
      </c>
    </row>
    <row r="6106" spans="1:18" ht="69" customHeight="1">
      <c r="A6106" s="168"/>
      <c r="B6106" s="62">
        <f t="shared" si="14"/>
        <v>3245</v>
      </c>
      <c r="C6106" s="69" t="s">
        <v>9322</v>
      </c>
      <c r="D6106" s="174" t="s">
        <v>15075</v>
      </c>
      <c r="E6106" s="45" t="s">
        <v>266</v>
      </c>
      <c r="F6106" s="58" t="s">
        <v>15076</v>
      </c>
      <c r="G6106" s="58" t="s">
        <v>15049</v>
      </c>
      <c r="H6106" s="546">
        <v>3369.6</v>
      </c>
      <c r="I6106" s="66">
        <v>45214</v>
      </c>
      <c r="J6106" s="65" t="s">
        <v>15077</v>
      </c>
      <c r="K6106" s="58"/>
      <c r="L6106" s="99"/>
      <c r="M6106" s="399"/>
      <c r="N6106" s="119"/>
      <c r="O6106" s="58" t="s">
        <v>15051</v>
      </c>
      <c r="P6106" s="58" t="s">
        <v>44</v>
      </c>
      <c r="Q6106" s="58" t="s">
        <v>114</v>
      </c>
      <c r="R6106" s="58" t="s">
        <v>272</v>
      </c>
    </row>
    <row r="6107" spans="1:18" ht="69" customHeight="1">
      <c r="A6107" s="168"/>
      <c r="B6107" s="62">
        <f t="shared" si="14"/>
        <v>3246</v>
      </c>
      <c r="C6107" s="69" t="s">
        <v>3368</v>
      </c>
      <c r="D6107" s="174" t="s">
        <v>5232</v>
      </c>
      <c r="E6107" s="45" t="s">
        <v>266</v>
      </c>
      <c r="F6107" s="58" t="s">
        <v>15078</v>
      </c>
      <c r="G6107" s="58" t="s">
        <v>15049</v>
      </c>
      <c r="H6107" s="546">
        <v>2688</v>
      </c>
      <c r="I6107" s="66">
        <v>45214</v>
      </c>
      <c r="J6107" s="65" t="s">
        <v>15077</v>
      </c>
      <c r="K6107" s="58"/>
      <c r="L6107" s="99"/>
      <c r="M6107" s="70"/>
      <c r="N6107" s="97"/>
      <c r="O6107" s="58" t="s">
        <v>15051</v>
      </c>
      <c r="P6107" s="58" t="s">
        <v>44</v>
      </c>
      <c r="Q6107" s="58" t="s">
        <v>43</v>
      </c>
      <c r="R6107" s="58" t="s">
        <v>272</v>
      </c>
    </row>
    <row r="6108" spans="1:18" ht="69" customHeight="1">
      <c r="A6108" s="168"/>
      <c r="B6108" s="62">
        <f t="shared" si="14"/>
        <v>3247</v>
      </c>
      <c r="C6108" s="69" t="s">
        <v>11058</v>
      </c>
      <c r="D6108" s="174" t="s">
        <v>6217</v>
      </c>
      <c r="E6108" s="45" t="s">
        <v>266</v>
      </c>
      <c r="F6108" s="58" t="s">
        <v>15079</v>
      </c>
      <c r="G6108" s="58" t="s">
        <v>15049</v>
      </c>
      <c r="H6108" s="546">
        <v>2929.2</v>
      </c>
      <c r="I6108" s="66">
        <v>45214</v>
      </c>
      <c r="J6108" s="65" t="s">
        <v>15077</v>
      </c>
      <c r="K6108" s="58"/>
      <c r="L6108" s="99"/>
      <c r="M6108" s="70"/>
      <c r="N6108" s="97"/>
      <c r="O6108" s="58" t="s">
        <v>15051</v>
      </c>
      <c r="P6108" s="58" t="s">
        <v>44</v>
      </c>
      <c r="Q6108" s="58" t="s">
        <v>23</v>
      </c>
      <c r="R6108" s="58" t="s">
        <v>272</v>
      </c>
    </row>
    <row r="6109" spans="1:18" ht="69" customHeight="1">
      <c r="A6109" s="168"/>
      <c r="B6109" s="62">
        <f t="shared" si="14"/>
        <v>3248</v>
      </c>
      <c r="C6109" s="69" t="s">
        <v>1333</v>
      </c>
      <c r="D6109" s="174" t="s">
        <v>15080</v>
      </c>
      <c r="E6109" s="45" t="s">
        <v>266</v>
      </c>
      <c r="F6109" s="58" t="s">
        <v>15081</v>
      </c>
      <c r="G6109" s="58" t="s">
        <v>15049</v>
      </c>
      <c r="H6109" s="546">
        <v>45204</v>
      </c>
      <c r="I6109" s="66">
        <v>45214</v>
      </c>
      <c r="J6109" s="65" t="s">
        <v>15077</v>
      </c>
      <c r="K6109" s="58"/>
      <c r="L6109" s="99"/>
      <c r="M6109" s="70"/>
      <c r="N6109" s="97"/>
      <c r="O6109" s="58" t="s">
        <v>15051</v>
      </c>
      <c r="P6109" s="58" t="s">
        <v>44</v>
      </c>
      <c r="Q6109" s="58" t="s">
        <v>25</v>
      </c>
      <c r="R6109" s="58" t="s">
        <v>272</v>
      </c>
    </row>
    <row r="6110" spans="1:18" ht="69" customHeight="1">
      <c r="A6110" s="168"/>
      <c r="B6110" s="62">
        <f t="shared" si="14"/>
        <v>3249</v>
      </c>
      <c r="C6110" s="72" t="s">
        <v>1593</v>
      </c>
      <c r="D6110" s="174" t="s">
        <v>5209</v>
      </c>
      <c r="E6110" s="45" t="s">
        <v>266</v>
      </c>
      <c r="F6110" s="58" t="s">
        <v>15082</v>
      </c>
      <c r="G6110" s="58" t="s">
        <v>15049</v>
      </c>
      <c r="H6110" s="546">
        <v>3028.8</v>
      </c>
      <c r="I6110" s="66">
        <v>45214</v>
      </c>
      <c r="J6110" s="65" t="s">
        <v>15077</v>
      </c>
      <c r="K6110" s="58"/>
      <c r="L6110" s="99"/>
      <c r="M6110" s="70"/>
      <c r="N6110" s="97"/>
      <c r="O6110" s="58" t="s">
        <v>15051</v>
      </c>
      <c r="P6110" s="58" t="s">
        <v>44</v>
      </c>
      <c r="Q6110" s="58" t="s">
        <v>27</v>
      </c>
      <c r="R6110" s="58" t="s">
        <v>272</v>
      </c>
    </row>
    <row r="6111" spans="1:18" ht="69" customHeight="1">
      <c r="A6111" s="168"/>
      <c r="B6111" s="62">
        <f t="shared" si="14"/>
        <v>3250</v>
      </c>
      <c r="C6111" s="69" t="s">
        <v>9967</v>
      </c>
      <c r="D6111" s="174" t="s">
        <v>15083</v>
      </c>
      <c r="E6111" s="45" t="s">
        <v>266</v>
      </c>
      <c r="F6111" s="58" t="s">
        <v>15084</v>
      </c>
      <c r="G6111" s="58" t="s">
        <v>15049</v>
      </c>
      <c r="H6111" s="546">
        <v>3610.8</v>
      </c>
      <c r="I6111" s="66">
        <v>45214</v>
      </c>
      <c r="J6111" s="65" t="s">
        <v>15077</v>
      </c>
      <c r="K6111" s="58"/>
      <c r="L6111" s="99"/>
      <c r="M6111" s="70"/>
      <c r="N6111" s="97"/>
      <c r="O6111" s="58" t="s">
        <v>15051</v>
      </c>
      <c r="P6111" s="58" t="s">
        <v>44</v>
      </c>
      <c r="Q6111" s="58" t="s">
        <v>119</v>
      </c>
      <c r="R6111" s="58" t="s">
        <v>272</v>
      </c>
    </row>
    <row r="6112" spans="1:18" ht="69" customHeight="1">
      <c r="A6112" s="168"/>
      <c r="B6112" s="62">
        <f t="shared" si="14"/>
        <v>3251</v>
      </c>
      <c r="C6112" s="69" t="s">
        <v>10418</v>
      </c>
      <c r="D6112" s="174" t="s">
        <v>15085</v>
      </c>
      <c r="E6112" s="45" t="s">
        <v>266</v>
      </c>
      <c r="F6112" s="58" t="s">
        <v>15086</v>
      </c>
      <c r="G6112" s="58" t="s">
        <v>15049</v>
      </c>
      <c r="H6112" s="546">
        <v>3610.8</v>
      </c>
      <c r="I6112" s="66">
        <v>45214</v>
      </c>
      <c r="J6112" s="65" t="s">
        <v>15077</v>
      </c>
      <c r="K6112" s="58"/>
      <c r="L6112" s="99"/>
      <c r="M6112" s="70"/>
      <c r="N6112" s="97"/>
      <c r="O6112" s="58" t="s">
        <v>15051</v>
      </c>
      <c r="P6112" s="58" t="s">
        <v>44</v>
      </c>
      <c r="Q6112" s="58" t="s">
        <v>121</v>
      </c>
      <c r="R6112" s="58" t="s">
        <v>272</v>
      </c>
    </row>
    <row r="6113" spans="1:18" ht="69" customHeight="1">
      <c r="A6113" s="168"/>
      <c r="B6113" s="62">
        <f t="shared" si="14"/>
        <v>3252</v>
      </c>
      <c r="C6113" s="69" t="s">
        <v>9441</v>
      </c>
      <c r="D6113" s="174" t="s">
        <v>1915</v>
      </c>
      <c r="E6113" s="45" t="s">
        <v>266</v>
      </c>
      <c r="F6113" s="58" t="s">
        <v>15087</v>
      </c>
      <c r="G6113" s="58" t="s">
        <v>15049</v>
      </c>
      <c r="H6113" s="546">
        <v>3369.6</v>
      </c>
      <c r="I6113" s="66">
        <v>45214</v>
      </c>
      <c r="J6113" s="65" t="s">
        <v>15077</v>
      </c>
      <c r="K6113" s="58"/>
      <c r="L6113" s="99"/>
      <c r="M6113" s="70"/>
      <c r="N6113" s="97"/>
      <c r="O6113" s="58" t="s">
        <v>15051</v>
      </c>
      <c r="P6113" s="58" t="s">
        <v>44</v>
      </c>
      <c r="Q6113" s="58" t="s">
        <v>116</v>
      </c>
      <c r="R6113" s="58" t="s">
        <v>272</v>
      </c>
    </row>
    <row r="6114" spans="1:18" ht="69" customHeight="1">
      <c r="A6114" s="168"/>
      <c r="B6114" s="62">
        <f t="shared" si="14"/>
        <v>3253</v>
      </c>
      <c r="C6114" s="69" t="s">
        <v>9596</v>
      </c>
      <c r="D6114" s="174" t="s">
        <v>1233</v>
      </c>
      <c r="E6114" s="45" t="s">
        <v>266</v>
      </c>
      <c r="F6114" s="58" t="s">
        <v>15088</v>
      </c>
      <c r="G6114" s="58" t="s">
        <v>15049</v>
      </c>
      <c r="H6114" s="546">
        <v>3610.8</v>
      </c>
      <c r="I6114" s="66">
        <v>45214</v>
      </c>
      <c r="J6114" s="65" t="s">
        <v>15077</v>
      </c>
      <c r="K6114" s="58"/>
      <c r="L6114" s="99"/>
      <c r="M6114" s="70"/>
      <c r="N6114" s="97"/>
      <c r="O6114" s="58" t="s">
        <v>15051</v>
      </c>
      <c r="P6114" s="58" t="s">
        <v>44</v>
      </c>
      <c r="Q6114" s="58" t="s">
        <v>118</v>
      </c>
      <c r="R6114" s="58" t="s">
        <v>272</v>
      </c>
    </row>
    <row r="6115" spans="1:18" ht="69" customHeight="1">
      <c r="A6115" s="168"/>
      <c r="B6115" s="62">
        <f t="shared" si="14"/>
        <v>3254</v>
      </c>
      <c r="C6115" s="72" t="s">
        <v>10944</v>
      </c>
      <c r="D6115" s="174" t="s">
        <v>865</v>
      </c>
      <c r="E6115" s="45" t="s">
        <v>266</v>
      </c>
      <c r="F6115" s="58" t="s">
        <v>15089</v>
      </c>
      <c r="G6115" s="58" t="s">
        <v>15049</v>
      </c>
      <c r="H6115" s="546">
        <v>3610.8</v>
      </c>
      <c r="I6115" s="66">
        <v>45214</v>
      </c>
      <c r="J6115" s="65" t="s">
        <v>15077</v>
      </c>
      <c r="K6115" s="58"/>
      <c r="L6115" s="99"/>
      <c r="M6115" s="70"/>
      <c r="N6115" s="97"/>
      <c r="O6115" s="58" t="s">
        <v>15051</v>
      </c>
      <c r="P6115" s="58" t="s">
        <v>44</v>
      </c>
      <c r="Q6115" s="58" t="s">
        <v>120</v>
      </c>
      <c r="R6115" s="58" t="s">
        <v>272</v>
      </c>
    </row>
    <row r="6116" spans="1:18" s="98" customFormat="1" ht="69" customHeight="1">
      <c r="A6116" s="169"/>
      <c r="B6116" s="48">
        <f t="shared" si="14"/>
        <v>3255</v>
      </c>
      <c r="C6116" s="45" t="s">
        <v>458</v>
      </c>
      <c r="D6116" s="611" t="s">
        <v>10571</v>
      </c>
      <c r="E6116" s="55" t="s">
        <v>409</v>
      </c>
      <c r="F6116" s="45" t="s">
        <v>15090</v>
      </c>
      <c r="G6116" s="45" t="s">
        <v>15091</v>
      </c>
      <c r="H6116" s="546">
        <v>150251.57999999999</v>
      </c>
      <c r="I6116" s="66">
        <v>45214</v>
      </c>
      <c r="J6116" s="73" t="s">
        <v>15092</v>
      </c>
      <c r="K6116" s="45"/>
      <c r="L6116" s="99"/>
      <c r="M6116" s="385"/>
      <c r="N6116" s="75"/>
      <c r="O6116" s="45" t="s">
        <v>8228</v>
      </c>
      <c r="P6116" s="45" t="s">
        <v>59</v>
      </c>
      <c r="Q6116" s="45" t="s">
        <v>103</v>
      </c>
      <c r="R6116" s="45" t="s">
        <v>272</v>
      </c>
    </row>
    <row r="6117" spans="1:18" s="98" customFormat="1" ht="69" customHeight="1">
      <c r="A6117" s="169"/>
      <c r="B6117" s="48">
        <f t="shared" si="14"/>
        <v>3256</v>
      </c>
      <c r="C6117" s="45" t="s">
        <v>458</v>
      </c>
      <c r="D6117" s="84" t="s">
        <v>15093</v>
      </c>
      <c r="E6117" s="55" t="s">
        <v>409</v>
      </c>
      <c r="F6117" s="45" t="s">
        <v>15094</v>
      </c>
      <c r="G6117" s="45" t="s">
        <v>15095</v>
      </c>
      <c r="H6117" s="546">
        <v>37562.89</v>
      </c>
      <c r="I6117" s="66">
        <v>45214</v>
      </c>
      <c r="J6117" s="73" t="s">
        <v>15092</v>
      </c>
      <c r="K6117" s="45"/>
      <c r="L6117" s="99"/>
      <c r="M6117" s="385"/>
      <c r="N6117" s="75"/>
      <c r="O6117" s="45" t="s">
        <v>8228</v>
      </c>
      <c r="P6117" s="45" t="s">
        <v>59</v>
      </c>
      <c r="Q6117" s="45" t="s">
        <v>103</v>
      </c>
      <c r="R6117" s="45" t="s">
        <v>272</v>
      </c>
    </row>
    <row r="6118" spans="1:18" ht="69" customHeight="1">
      <c r="A6118" s="168"/>
      <c r="B6118" s="62">
        <f t="shared" si="14"/>
        <v>3257</v>
      </c>
      <c r="C6118" s="69" t="s">
        <v>5082</v>
      </c>
      <c r="D6118" s="174" t="s">
        <v>15096</v>
      </c>
      <c r="E6118" s="178" t="s">
        <v>382</v>
      </c>
      <c r="F6118" s="58" t="s">
        <v>15097</v>
      </c>
      <c r="G6118" s="58" t="s">
        <v>14549</v>
      </c>
      <c r="H6118" s="546">
        <v>5821.02</v>
      </c>
      <c r="I6118" s="66">
        <v>45214</v>
      </c>
      <c r="J6118" s="65" t="s">
        <v>15098</v>
      </c>
      <c r="K6118" s="58"/>
      <c r="L6118" s="99"/>
      <c r="M6118" s="70"/>
      <c r="N6118" s="97"/>
      <c r="O6118" s="58" t="s">
        <v>150</v>
      </c>
      <c r="P6118" s="58" t="s">
        <v>51</v>
      </c>
      <c r="Q6118" s="58" t="s">
        <v>60</v>
      </c>
      <c r="R6118" s="58" t="s">
        <v>265</v>
      </c>
    </row>
    <row r="6119" spans="1:18" ht="69" customHeight="1">
      <c r="A6119" s="168"/>
      <c r="B6119" s="62">
        <f t="shared" si="14"/>
        <v>3258</v>
      </c>
      <c r="C6119" s="69" t="s">
        <v>5189</v>
      </c>
      <c r="D6119" s="174" t="s">
        <v>15099</v>
      </c>
      <c r="E6119" s="178" t="s">
        <v>382</v>
      </c>
      <c r="F6119" s="58" t="s">
        <v>15100</v>
      </c>
      <c r="G6119" s="58" t="s">
        <v>14549</v>
      </c>
      <c r="H6119" s="546">
        <v>5821.02</v>
      </c>
      <c r="I6119" s="66">
        <v>45214</v>
      </c>
      <c r="J6119" s="65" t="s">
        <v>15098</v>
      </c>
      <c r="K6119" s="58"/>
      <c r="L6119" s="99"/>
      <c r="M6119" s="70"/>
      <c r="N6119" s="97"/>
      <c r="O6119" s="58" t="s">
        <v>150</v>
      </c>
      <c r="P6119" s="58" t="s">
        <v>51</v>
      </c>
      <c r="Q6119" s="58" t="s">
        <v>62</v>
      </c>
      <c r="R6119" s="58" t="s">
        <v>265</v>
      </c>
    </row>
    <row r="6120" spans="1:18" s="98" customFormat="1" ht="69" customHeight="1">
      <c r="A6120" s="169"/>
      <c r="B6120" s="48">
        <f t="shared" si="14"/>
        <v>3259</v>
      </c>
      <c r="C6120" s="59" t="s">
        <v>1853</v>
      </c>
      <c r="D6120" s="84" t="s">
        <v>5220</v>
      </c>
      <c r="E6120" s="59" t="s">
        <v>4033</v>
      </c>
      <c r="F6120" s="45" t="s">
        <v>15101</v>
      </c>
      <c r="G6120" s="45" t="s">
        <v>15102</v>
      </c>
      <c r="H6120" s="546">
        <v>194220</v>
      </c>
      <c r="I6120" s="66">
        <v>45214</v>
      </c>
      <c r="J6120" s="73" t="s">
        <v>15103</v>
      </c>
      <c r="K6120" s="45"/>
      <c r="L6120" s="99"/>
      <c r="M6120" s="385"/>
      <c r="N6120" s="75"/>
      <c r="O6120" s="45" t="s">
        <v>14459</v>
      </c>
      <c r="P6120" s="45" t="s">
        <v>22</v>
      </c>
      <c r="Q6120" s="45" t="s">
        <v>29</v>
      </c>
      <c r="R6120" s="45" t="s">
        <v>272</v>
      </c>
    </row>
    <row r="6121" spans="1:18" s="98" customFormat="1" ht="69" customHeight="1">
      <c r="A6121" s="169"/>
      <c r="B6121" s="48">
        <f t="shared" si="14"/>
        <v>3260</v>
      </c>
      <c r="C6121" s="59" t="s">
        <v>11052</v>
      </c>
      <c r="D6121" s="84" t="s">
        <v>5223</v>
      </c>
      <c r="E6121" s="59" t="s">
        <v>4033</v>
      </c>
      <c r="F6121" s="45" t="s">
        <v>15104</v>
      </c>
      <c r="G6121" s="45" t="s">
        <v>15102</v>
      </c>
      <c r="H6121" s="546">
        <v>51372.82</v>
      </c>
      <c r="I6121" s="66">
        <v>45214</v>
      </c>
      <c r="J6121" s="73" t="s">
        <v>15105</v>
      </c>
      <c r="K6121" s="45"/>
      <c r="L6121" s="99"/>
      <c r="M6121" s="385"/>
      <c r="N6121" s="75"/>
      <c r="O6121" s="48" t="s">
        <v>14459</v>
      </c>
      <c r="P6121" s="59" t="s">
        <v>22</v>
      </c>
      <c r="Q6121" s="84" t="s">
        <v>37</v>
      </c>
      <c r="R6121" s="59" t="s">
        <v>272</v>
      </c>
    </row>
    <row r="6122" spans="1:18" s="98" customFormat="1" ht="69" customHeight="1">
      <c r="A6122" s="169"/>
      <c r="B6122" s="48">
        <f t="shared" si="14"/>
        <v>3261</v>
      </c>
      <c r="C6122" s="45" t="s">
        <v>458</v>
      </c>
      <c r="D6122" s="84" t="s">
        <v>15106</v>
      </c>
      <c r="E6122" s="55" t="s">
        <v>10553</v>
      </c>
      <c r="F6122" s="45" t="s">
        <v>15107</v>
      </c>
      <c r="G6122" s="45" t="s">
        <v>15108</v>
      </c>
      <c r="H6122" s="546">
        <v>34634.870000000003</v>
      </c>
      <c r="I6122" s="47">
        <v>45214</v>
      </c>
      <c r="J6122" s="73" t="s">
        <v>15109</v>
      </c>
      <c r="K6122" s="45"/>
      <c r="L6122" s="99"/>
      <c r="M6122" s="385"/>
      <c r="N6122" s="75"/>
      <c r="O6122" s="48" t="s">
        <v>147</v>
      </c>
      <c r="P6122" s="45" t="s">
        <v>22</v>
      </c>
      <c r="Q6122" s="84" t="s">
        <v>119</v>
      </c>
      <c r="R6122" s="55" t="s">
        <v>272</v>
      </c>
    </row>
    <row r="6123" spans="1:18" s="98" customFormat="1" ht="69" customHeight="1">
      <c r="A6123" s="169"/>
      <c r="B6123" s="48">
        <f t="shared" si="14"/>
        <v>3262</v>
      </c>
      <c r="C6123" s="45" t="s">
        <v>458</v>
      </c>
      <c r="D6123" s="84" t="s">
        <v>15110</v>
      </c>
      <c r="E6123" s="55" t="s">
        <v>10553</v>
      </c>
      <c r="F6123" s="45" t="s">
        <v>15111</v>
      </c>
      <c r="G6123" s="45" t="s">
        <v>15112</v>
      </c>
      <c r="H6123" s="546">
        <v>18649.54</v>
      </c>
      <c r="I6123" s="47">
        <v>45214</v>
      </c>
      <c r="J6123" s="73" t="s">
        <v>15109</v>
      </c>
      <c r="K6123" s="45"/>
      <c r="L6123" s="99"/>
      <c r="M6123" s="385"/>
      <c r="N6123" s="75"/>
      <c r="O6123" s="48" t="s">
        <v>147</v>
      </c>
      <c r="P6123" s="45" t="s">
        <v>22</v>
      </c>
      <c r="Q6123" s="84" t="s">
        <v>119</v>
      </c>
      <c r="R6123" s="55" t="s">
        <v>272</v>
      </c>
    </row>
    <row r="6124" spans="1:18" s="98" customFormat="1" ht="69" customHeight="1">
      <c r="A6124" s="169"/>
      <c r="B6124" s="48">
        <f t="shared" si="14"/>
        <v>3263</v>
      </c>
      <c r="C6124" s="45" t="s">
        <v>458</v>
      </c>
      <c r="D6124" s="84" t="s">
        <v>15113</v>
      </c>
      <c r="E6124" s="55" t="s">
        <v>10553</v>
      </c>
      <c r="F6124" s="45" t="s">
        <v>15114</v>
      </c>
      <c r="G6124" s="45" t="s">
        <v>15115</v>
      </c>
      <c r="H6124" s="546">
        <v>141914.82999999999</v>
      </c>
      <c r="I6124" s="47">
        <v>45214</v>
      </c>
      <c r="J6124" s="73" t="s">
        <v>15116</v>
      </c>
      <c r="K6124" s="45"/>
      <c r="L6124" s="99"/>
      <c r="M6124" s="385"/>
      <c r="N6124" s="75"/>
      <c r="O6124" s="48" t="s">
        <v>147</v>
      </c>
      <c r="P6124" s="45" t="s">
        <v>22</v>
      </c>
      <c r="Q6124" s="84" t="s">
        <v>88</v>
      </c>
      <c r="R6124" s="55" t="s">
        <v>272</v>
      </c>
    </row>
    <row r="6125" spans="1:18" s="98" customFormat="1" ht="69" customHeight="1">
      <c r="A6125" s="169"/>
      <c r="B6125" s="48">
        <f t="shared" si="14"/>
        <v>3264</v>
      </c>
      <c r="C6125" s="45" t="s">
        <v>458</v>
      </c>
      <c r="D6125" s="84" t="s">
        <v>15117</v>
      </c>
      <c r="E6125" s="55" t="s">
        <v>10553</v>
      </c>
      <c r="F6125" s="45" t="s">
        <v>15118</v>
      </c>
      <c r="G6125" s="45" t="s">
        <v>15119</v>
      </c>
      <c r="H6125" s="546">
        <v>76415.679999999993</v>
      </c>
      <c r="I6125" s="47">
        <v>45214</v>
      </c>
      <c r="J6125" s="73" t="s">
        <v>15116</v>
      </c>
      <c r="K6125" s="45"/>
      <c r="L6125" s="99"/>
      <c r="M6125" s="385"/>
      <c r="N6125" s="75"/>
      <c r="O6125" s="48" t="s">
        <v>147</v>
      </c>
      <c r="P6125" s="45" t="s">
        <v>22</v>
      </c>
      <c r="Q6125" s="84" t="s">
        <v>88</v>
      </c>
      <c r="R6125" s="55" t="s">
        <v>272</v>
      </c>
    </row>
    <row r="6126" spans="1:18" s="98" customFormat="1" ht="69" customHeight="1">
      <c r="A6126" s="169"/>
      <c r="B6126" s="48">
        <f t="shared" si="14"/>
        <v>3265</v>
      </c>
      <c r="C6126" s="45" t="s">
        <v>458</v>
      </c>
      <c r="D6126" s="84" t="s">
        <v>15120</v>
      </c>
      <c r="E6126" s="178" t="s">
        <v>10553</v>
      </c>
      <c r="F6126" s="45" t="s">
        <v>15121</v>
      </c>
      <c r="G6126" s="45" t="s">
        <v>15122</v>
      </c>
      <c r="H6126" s="546">
        <v>227816.08</v>
      </c>
      <c r="I6126" s="47">
        <v>45214</v>
      </c>
      <c r="J6126" s="73" t="s">
        <v>15123</v>
      </c>
      <c r="K6126" s="45"/>
      <c r="L6126" s="99"/>
      <c r="M6126" s="385"/>
      <c r="N6126" s="75"/>
      <c r="O6126" s="48" t="s">
        <v>147</v>
      </c>
      <c r="P6126" s="45" t="s">
        <v>22</v>
      </c>
      <c r="Q6126" s="84" t="s">
        <v>123</v>
      </c>
      <c r="R6126" s="44" t="s">
        <v>272</v>
      </c>
    </row>
    <row r="6127" spans="1:18" s="98" customFormat="1" ht="69" customHeight="1">
      <c r="A6127" s="169"/>
      <c r="B6127" s="48">
        <f t="shared" si="14"/>
        <v>3266</v>
      </c>
      <c r="C6127" s="45" t="s">
        <v>458</v>
      </c>
      <c r="D6127" s="84" t="s">
        <v>15124</v>
      </c>
      <c r="E6127" s="178" t="s">
        <v>10553</v>
      </c>
      <c r="F6127" s="45" t="s">
        <v>15125</v>
      </c>
      <c r="G6127" s="45" t="s">
        <v>15119</v>
      </c>
      <c r="H6127" s="546">
        <v>122670.2</v>
      </c>
      <c r="I6127" s="47">
        <v>45214</v>
      </c>
      <c r="J6127" s="73" t="s">
        <v>15123</v>
      </c>
      <c r="K6127" s="45"/>
      <c r="L6127" s="99"/>
      <c r="M6127" s="385"/>
      <c r="N6127" s="75"/>
      <c r="O6127" s="48" t="s">
        <v>147</v>
      </c>
      <c r="P6127" s="45" t="s">
        <v>22</v>
      </c>
      <c r="Q6127" s="84" t="s">
        <v>123</v>
      </c>
      <c r="R6127" s="44" t="s">
        <v>272</v>
      </c>
    </row>
    <row r="6128" spans="1:18" s="98" customFormat="1" ht="69" customHeight="1">
      <c r="A6128" s="169"/>
      <c r="B6128" s="48">
        <f t="shared" si="14"/>
        <v>3267</v>
      </c>
      <c r="C6128" s="45" t="s">
        <v>458</v>
      </c>
      <c r="D6128" s="84" t="s">
        <v>15126</v>
      </c>
      <c r="E6128" s="45" t="s">
        <v>10495</v>
      </c>
      <c r="F6128" s="45" t="s">
        <v>15127</v>
      </c>
      <c r="G6128" s="45" t="s">
        <v>15128</v>
      </c>
      <c r="H6128" s="546">
        <v>99555.96</v>
      </c>
      <c r="I6128" s="47">
        <v>45214</v>
      </c>
      <c r="J6128" s="73" t="s">
        <v>15129</v>
      </c>
      <c r="K6128" s="45"/>
      <c r="L6128" s="99"/>
      <c r="M6128" s="385"/>
      <c r="N6128" s="75"/>
      <c r="O6128" s="48" t="s">
        <v>147</v>
      </c>
      <c r="P6128" s="45" t="s">
        <v>22</v>
      </c>
      <c r="Q6128" s="84" t="s">
        <v>122</v>
      </c>
      <c r="R6128" s="45" t="s">
        <v>272</v>
      </c>
    </row>
    <row r="6129" spans="1:18" s="98" customFormat="1" ht="69" customHeight="1">
      <c r="A6129" s="169"/>
      <c r="B6129" s="48">
        <f t="shared" si="14"/>
        <v>3268</v>
      </c>
      <c r="C6129" s="45" t="s">
        <v>458</v>
      </c>
      <c r="D6129" s="84" t="s">
        <v>10657</v>
      </c>
      <c r="E6129" s="45" t="s">
        <v>10495</v>
      </c>
      <c r="F6129" s="45" t="s">
        <v>15130</v>
      </c>
      <c r="G6129" s="45" t="s">
        <v>15131</v>
      </c>
      <c r="H6129" s="546">
        <v>53607.05</v>
      </c>
      <c r="I6129" s="47">
        <v>45214</v>
      </c>
      <c r="J6129" s="73" t="s">
        <v>15129</v>
      </c>
      <c r="K6129" s="45"/>
      <c r="L6129" s="99"/>
      <c r="M6129" s="385"/>
      <c r="N6129" s="75"/>
      <c r="O6129" s="48" t="s">
        <v>147</v>
      </c>
      <c r="P6129" s="45" t="s">
        <v>22</v>
      </c>
      <c r="Q6129" s="84" t="s">
        <v>122</v>
      </c>
      <c r="R6129" s="45" t="s">
        <v>272</v>
      </c>
    </row>
    <row r="6130" spans="1:18" s="98" customFormat="1" ht="69" customHeight="1">
      <c r="A6130" s="169"/>
      <c r="B6130" s="48">
        <f t="shared" ref="B6130:B6193" si="15">B6129+1</f>
        <v>3269</v>
      </c>
      <c r="C6130" s="45" t="s">
        <v>458</v>
      </c>
      <c r="D6130" s="84" t="s">
        <v>10661</v>
      </c>
      <c r="E6130" s="45" t="s">
        <v>7649</v>
      </c>
      <c r="F6130" s="45" t="s">
        <v>15132</v>
      </c>
      <c r="G6130" s="45" t="s">
        <v>15133</v>
      </c>
      <c r="H6130" s="546">
        <v>294612.23</v>
      </c>
      <c r="I6130" s="47">
        <v>45214</v>
      </c>
      <c r="J6130" s="73" t="s">
        <v>15134</v>
      </c>
      <c r="K6130" s="45"/>
      <c r="L6130" s="99"/>
      <c r="M6130" s="385"/>
      <c r="N6130" s="75"/>
      <c r="O6130" s="48" t="s">
        <v>147</v>
      </c>
      <c r="P6130" s="45" t="s">
        <v>22</v>
      </c>
      <c r="Q6130" s="84" t="s">
        <v>97</v>
      </c>
      <c r="R6130" s="45" t="s">
        <v>272</v>
      </c>
    </row>
    <row r="6131" spans="1:18" s="98" customFormat="1" ht="69" customHeight="1">
      <c r="A6131" s="169"/>
      <c r="B6131" s="48">
        <f t="shared" si="15"/>
        <v>3270</v>
      </c>
      <c r="C6131" s="45" t="s">
        <v>458</v>
      </c>
      <c r="D6131" s="84" t="s">
        <v>15135</v>
      </c>
      <c r="E6131" s="45" t="s">
        <v>7649</v>
      </c>
      <c r="F6131" s="45" t="s">
        <v>15136</v>
      </c>
      <c r="G6131" s="45" t="s">
        <v>15137</v>
      </c>
      <c r="H6131" s="546">
        <v>158637.35</v>
      </c>
      <c r="I6131" s="47">
        <v>45214</v>
      </c>
      <c r="J6131" s="73" t="s">
        <v>15134</v>
      </c>
      <c r="K6131" s="45"/>
      <c r="L6131" s="99"/>
      <c r="M6131" s="385"/>
      <c r="N6131" s="75"/>
      <c r="O6131" s="48" t="s">
        <v>147</v>
      </c>
      <c r="P6131" s="45" t="s">
        <v>22</v>
      </c>
      <c r="Q6131" s="84" t="s">
        <v>97</v>
      </c>
      <c r="R6131" s="45" t="s">
        <v>272</v>
      </c>
    </row>
    <row r="6132" spans="1:18" s="98" customFormat="1" ht="69" customHeight="1">
      <c r="A6132" s="169"/>
      <c r="B6132" s="48">
        <f t="shared" si="15"/>
        <v>3271</v>
      </c>
      <c r="C6132" s="45" t="s">
        <v>458</v>
      </c>
      <c r="D6132" s="84" t="s">
        <v>15138</v>
      </c>
      <c r="E6132" s="45" t="s">
        <v>7649</v>
      </c>
      <c r="F6132" s="45" t="s">
        <v>15139</v>
      </c>
      <c r="G6132" s="45" t="s">
        <v>15140</v>
      </c>
      <c r="H6132" s="546">
        <v>270492.5</v>
      </c>
      <c r="I6132" s="47">
        <v>45214</v>
      </c>
      <c r="J6132" s="73" t="s">
        <v>15141</v>
      </c>
      <c r="K6132" s="45"/>
      <c r="L6132" s="99"/>
      <c r="M6132" s="385"/>
      <c r="N6132" s="75"/>
      <c r="O6132" s="48" t="s">
        <v>147</v>
      </c>
      <c r="P6132" s="45" t="s">
        <v>22</v>
      </c>
      <c r="Q6132" s="84" t="s">
        <v>107</v>
      </c>
      <c r="R6132" s="45" t="s">
        <v>272</v>
      </c>
    </row>
    <row r="6133" spans="1:18" s="98" customFormat="1" ht="69" customHeight="1">
      <c r="A6133" s="169"/>
      <c r="B6133" s="48">
        <f t="shared" si="15"/>
        <v>3272</v>
      </c>
      <c r="C6133" s="45" t="s">
        <v>458</v>
      </c>
      <c r="D6133" s="84" t="s">
        <v>10665</v>
      </c>
      <c r="E6133" s="45" t="s">
        <v>7649</v>
      </c>
      <c r="F6133" s="45" t="s">
        <v>15142</v>
      </c>
      <c r="G6133" s="45" t="s">
        <v>15143</v>
      </c>
      <c r="H6133" s="546">
        <v>145649.81</v>
      </c>
      <c r="I6133" s="47">
        <v>45214</v>
      </c>
      <c r="J6133" s="73" t="s">
        <v>15141</v>
      </c>
      <c r="K6133" s="45"/>
      <c r="L6133" s="99"/>
      <c r="M6133" s="385"/>
      <c r="N6133" s="75"/>
      <c r="O6133" s="48" t="s">
        <v>147</v>
      </c>
      <c r="P6133" s="45" t="s">
        <v>22</v>
      </c>
      <c r="Q6133" s="84" t="s">
        <v>107</v>
      </c>
      <c r="R6133" s="45" t="s">
        <v>272</v>
      </c>
    </row>
    <row r="6134" spans="1:18" s="98" customFormat="1" ht="69" customHeight="1">
      <c r="A6134" s="169"/>
      <c r="B6134" s="48">
        <f t="shared" si="15"/>
        <v>3273</v>
      </c>
      <c r="C6134" s="45" t="s">
        <v>458</v>
      </c>
      <c r="D6134" s="84" t="s">
        <v>10667</v>
      </c>
      <c r="E6134" s="45" t="s">
        <v>7649</v>
      </c>
      <c r="F6134" s="45" t="s">
        <v>15144</v>
      </c>
      <c r="G6134" s="45" t="s">
        <v>15115</v>
      </c>
      <c r="H6134" s="546">
        <v>155135.82999999999</v>
      </c>
      <c r="I6134" s="47">
        <v>45214</v>
      </c>
      <c r="J6134" s="73" t="s">
        <v>15145</v>
      </c>
      <c r="K6134" s="45"/>
      <c r="L6134" s="99"/>
      <c r="M6134" s="385"/>
      <c r="N6134" s="75"/>
      <c r="O6134" s="48" t="s">
        <v>147</v>
      </c>
      <c r="P6134" s="45" t="s">
        <v>22</v>
      </c>
      <c r="Q6134" s="84" t="s">
        <v>112</v>
      </c>
      <c r="R6134" s="45" t="s">
        <v>272</v>
      </c>
    </row>
    <row r="6135" spans="1:18" s="98" customFormat="1" ht="69" customHeight="1">
      <c r="A6135" s="169"/>
      <c r="B6135" s="48">
        <f t="shared" si="15"/>
        <v>3274</v>
      </c>
      <c r="C6135" s="45" t="s">
        <v>458</v>
      </c>
      <c r="D6135" s="84" t="s">
        <v>10669</v>
      </c>
      <c r="E6135" s="45" t="s">
        <v>7649</v>
      </c>
      <c r="F6135" s="45" t="s">
        <v>15146</v>
      </c>
      <c r="G6135" s="45" t="s">
        <v>15119</v>
      </c>
      <c r="H6135" s="546">
        <v>83534.679999999993</v>
      </c>
      <c r="I6135" s="47">
        <v>45214</v>
      </c>
      <c r="J6135" s="73" t="s">
        <v>15145</v>
      </c>
      <c r="K6135" s="45"/>
      <c r="L6135" s="99"/>
      <c r="M6135" s="385"/>
      <c r="N6135" s="75"/>
      <c r="O6135" s="48" t="s">
        <v>147</v>
      </c>
      <c r="P6135" s="45" t="s">
        <v>22</v>
      </c>
      <c r="Q6135" s="84" t="s">
        <v>112</v>
      </c>
      <c r="R6135" s="45" t="s">
        <v>272</v>
      </c>
    </row>
    <row r="6136" spans="1:18" s="98" customFormat="1" ht="69" customHeight="1">
      <c r="A6136" s="169"/>
      <c r="B6136" s="48">
        <f t="shared" si="15"/>
        <v>3275</v>
      </c>
      <c r="C6136" s="59" t="s">
        <v>4277</v>
      </c>
      <c r="D6136" s="84" t="s">
        <v>15147</v>
      </c>
      <c r="E6136" s="45" t="s">
        <v>3825</v>
      </c>
      <c r="F6136" s="45" t="s">
        <v>15148</v>
      </c>
      <c r="G6136" s="45" t="s">
        <v>15149</v>
      </c>
      <c r="H6136" s="546">
        <v>68905.100000000006</v>
      </c>
      <c r="I6136" s="47">
        <v>45214</v>
      </c>
      <c r="J6136" s="73" t="s">
        <v>15150</v>
      </c>
      <c r="K6136" s="45"/>
      <c r="L6136" s="99"/>
      <c r="M6136" s="385"/>
      <c r="N6136" s="75"/>
      <c r="O6136" s="48" t="s">
        <v>14459</v>
      </c>
      <c r="P6136" s="59" t="s">
        <v>22</v>
      </c>
      <c r="Q6136" s="84" t="s">
        <v>60</v>
      </c>
      <c r="R6136" s="45" t="s">
        <v>272</v>
      </c>
    </row>
    <row r="6137" spans="1:18" s="98" customFormat="1" ht="69" customHeight="1">
      <c r="A6137" s="169"/>
      <c r="B6137" s="48">
        <f t="shared" si="15"/>
        <v>3276</v>
      </c>
      <c r="C6137" s="59" t="s">
        <v>4277</v>
      </c>
      <c r="D6137" s="84" t="s">
        <v>15151</v>
      </c>
      <c r="E6137" s="45" t="s">
        <v>3825</v>
      </c>
      <c r="F6137" s="45" t="s">
        <v>15152</v>
      </c>
      <c r="G6137" s="45" t="s">
        <v>15149</v>
      </c>
      <c r="H6137" s="546">
        <v>66305.61</v>
      </c>
      <c r="I6137" s="47">
        <v>45214</v>
      </c>
      <c r="J6137" s="73" t="s">
        <v>15150</v>
      </c>
      <c r="K6137" s="45"/>
      <c r="L6137" s="99"/>
      <c r="M6137" s="385"/>
      <c r="N6137" s="75"/>
      <c r="O6137" s="48" t="s">
        <v>14459</v>
      </c>
      <c r="P6137" s="59" t="s">
        <v>22</v>
      </c>
      <c r="Q6137" s="84" t="s">
        <v>62</v>
      </c>
      <c r="R6137" s="45" t="s">
        <v>272</v>
      </c>
    </row>
    <row r="6138" spans="1:18" s="98" customFormat="1" ht="69" customHeight="1">
      <c r="A6138" s="169"/>
      <c r="B6138" s="48">
        <f t="shared" si="15"/>
        <v>3277</v>
      </c>
      <c r="C6138" s="59" t="s">
        <v>3647</v>
      </c>
      <c r="D6138" s="84" t="s">
        <v>15153</v>
      </c>
      <c r="E6138" s="45" t="s">
        <v>3825</v>
      </c>
      <c r="F6138" s="45" t="s">
        <v>15154</v>
      </c>
      <c r="G6138" s="45" t="s">
        <v>15149</v>
      </c>
      <c r="H6138" s="546">
        <v>50132.04</v>
      </c>
      <c r="I6138" s="47">
        <v>45214</v>
      </c>
      <c r="J6138" s="73" t="s">
        <v>15155</v>
      </c>
      <c r="K6138" s="45"/>
      <c r="L6138" s="99"/>
      <c r="M6138" s="385"/>
      <c r="N6138" s="75"/>
      <c r="O6138" s="48" t="s">
        <v>14459</v>
      </c>
      <c r="P6138" s="59" t="s">
        <v>22</v>
      </c>
      <c r="Q6138" s="84" t="s">
        <v>47</v>
      </c>
      <c r="R6138" s="45" t="s">
        <v>272</v>
      </c>
    </row>
    <row r="6139" spans="1:18" s="98" customFormat="1" ht="69" customHeight="1">
      <c r="A6139" s="169"/>
      <c r="B6139" s="48">
        <f t="shared" si="15"/>
        <v>3278</v>
      </c>
      <c r="C6139" s="59" t="s">
        <v>3647</v>
      </c>
      <c r="D6139" s="84" t="s">
        <v>15156</v>
      </c>
      <c r="E6139" s="45" t="s">
        <v>3825</v>
      </c>
      <c r="F6139" s="45" t="s">
        <v>15157</v>
      </c>
      <c r="G6139" s="45" t="s">
        <v>15149</v>
      </c>
      <c r="H6139" s="546">
        <v>28096.2</v>
      </c>
      <c r="I6139" s="47">
        <v>45214</v>
      </c>
      <c r="J6139" s="73" t="s">
        <v>15155</v>
      </c>
      <c r="K6139" s="45"/>
      <c r="L6139" s="99"/>
      <c r="M6139" s="385"/>
      <c r="N6139" s="75"/>
      <c r="O6139" s="48" t="s">
        <v>14459</v>
      </c>
      <c r="P6139" s="59" t="s">
        <v>22</v>
      </c>
      <c r="Q6139" s="84" t="s">
        <v>52</v>
      </c>
      <c r="R6139" s="45" t="s">
        <v>272</v>
      </c>
    </row>
    <row r="6140" spans="1:18" s="98" customFormat="1" ht="69" customHeight="1">
      <c r="A6140" s="169"/>
      <c r="B6140" s="52">
        <f t="shared" si="15"/>
        <v>3279</v>
      </c>
      <c r="C6140" s="46" t="s">
        <v>458</v>
      </c>
      <c r="D6140" s="251" t="s">
        <v>10709</v>
      </c>
      <c r="E6140" s="46" t="s">
        <v>7649</v>
      </c>
      <c r="F6140" s="46" t="s">
        <v>15158</v>
      </c>
      <c r="G6140" s="46" t="s">
        <v>15159</v>
      </c>
      <c r="H6140" s="546">
        <v>71323.37</v>
      </c>
      <c r="I6140" s="56">
        <v>45214</v>
      </c>
      <c r="J6140" s="199" t="s">
        <v>15160</v>
      </c>
      <c r="K6140" s="46"/>
      <c r="L6140" s="99"/>
      <c r="M6140" s="385"/>
      <c r="N6140" s="75"/>
      <c r="O6140" s="52" t="s">
        <v>147</v>
      </c>
      <c r="P6140" s="46" t="s">
        <v>22</v>
      </c>
      <c r="Q6140" s="46" t="s">
        <v>96</v>
      </c>
      <c r="R6140" s="46" t="s">
        <v>272</v>
      </c>
    </row>
    <row r="6141" spans="1:18" s="98" customFormat="1" ht="69" customHeight="1">
      <c r="A6141" s="169"/>
      <c r="B6141" s="52">
        <f t="shared" si="15"/>
        <v>3280</v>
      </c>
      <c r="C6141" s="46" t="s">
        <v>458</v>
      </c>
      <c r="D6141" s="251" t="s">
        <v>10711</v>
      </c>
      <c r="E6141" s="46" t="s">
        <v>7649</v>
      </c>
      <c r="F6141" s="46" t="s">
        <v>15161</v>
      </c>
      <c r="G6141" s="46" t="s">
        <v>15162</v>
      </c>
      <c r="H6141" s="546">
        <v>38404.89</v>
      </c>
      <c r="I6141" s="56">
        <v>45214</v>
      </c>
      <c r="J6141" s="199" t="s">
        <v>15160</v>
      </c>
      <c r="K6141" s="46"/>
      <c r="L6141" s="99"/>
      <c r="M6141" s="385"/>
      <c r="N6141" s="75"/>
      <c r="O6141" s="52" t="s">
        <v>147</v>
      </c>
      <c r="P6141" s="46" t="s">
        <v>22</v>
      </c>
      <c r="Q6141" s="46" t="s">
        <v>96</v>
      </c>
      <c r="R6141" s="46" t="s">
        <v>272</v>
      </c>
    </row>
    <row r="6142" spans="1:18" ht="69" customHeight="1">
      <c r="A6142" s="168"/>
      <c r="B6142" s="62">
        <f t="shared" si="15"/>
        <v>3281</v>
      </c>
      <c r="C6142" s="59" t="s">
        <v>309</v>
      </c>
      <c r="D6142" s="174" t="s">
        <v>6221</v>
      </c>
      <c r="E6142" s="58" t="s">
        <v>4651</v>
      </c>
      <c r="F6142" s="58" t="s">
        <v>15163</v>
      </c>
      <c r="G6142" s="58" t="s">
        <v>15164</v>
      </c>
      <c r="H6142" s="546">
        <v>111339.85</v>
      </c>
      <c r="I6142" s="66">
        <v>45214</v>
      </c>
      <c r="J6142" s="65" t="s">
        <v>15165</v>
      </c>
      <c r="K6142" s="58"/>
      <c r="L6142" s="99"/>
      <c r="M6142" s="70"/>
      <c r="N6142" s="97"/>
      <c r="O6142" s="58" t="s">
        <v>141</v>
      </c>
      <c r="P6142" s="58" t="s">
        <v>19</v>
      </c>
      <c r="Q6142" s="58" t="s">
        <v>113</v>
      </c>
      <c r="R6142" s="58" t="s">
        <v>265</v>
      </c>
    </row>
    <row r="6143" spans="1:18" ht="69" customHeight="1">
      <c r="A6143" s="168"/>
      <c r="B6143" s="62">
        <f t="shared" si="15"/>
        <v>3282</v>
      </c>
      <c r="C6143" s="59" t="s">
        <v>309</v>
      </c>
      <c r="D6143" s="174" t="s">
        <v>5652</v>
      </c>
      <c r="E6143" s="58" t="s">
        <v>4651</v>
      </c>
      <c r="F6143" s="58" t="s">
        <v>15166</v>
      </c>
      <c r="G6143" s="58" t="s">
        <v>15167</v>
      </c>
      <c r="H6143" s="546">
        <v>12500</v>
      </c>
      <c r="I6143" s="66">
        <v>45214</v>
      </c>
      <c r="J6143" s="65" t="s">
        <v>15165</v>
      </c>
      <c r="K6143" s="58"/>
      <c r="L6143" s="99"/>
      <c r="M6143" s="70"/>
      <c r="N6143" s="97"/>
      <c r="O6143" s="58" t="s">
        <v>141</v>
      </c>
      <c r="P6143" s="58" t="s">
        <v>19</v>
      </c>
      <c r="Q6143" s="58" t="s">
        <v>113</v>
      </c>
      <c r="R6143" s="58" t="s">
        <v>265</v>
      </c>
    </row>
    <row r="6144" spans="1:18" ht="69" customHeight="1">
      <c r="A6144" s="168"/>
      <c r="B6144" s="62">
        <f t="shared" si="15"/>
        <v>3283</v>
      </c>
      <c r="C6144" s="59" t="s">
        <v>458</v>
      </c>
      <c r="D6144" s="174" t="s">
        <v>10713</v>
      </c>
      <c r="E6144" s="58" t="s">
        <v>7890</v>
      </c>
      <c r="F6144" s="58" t="s">
        <v>15168</v>
      </c>
      <c r="G6144" s="58" t="s">
        <v>15169</v>
      </c>
      <c r="H6144" s="546">
        <v>37619</v>
      </c>
      <c r="I6144" s="66">
        <v>45214</v>
      </c>
      <c r="J6144" s="65" t="s">
        <v>15170</v>
      </c>
      <c r="K6144" s="58"/>
      <c r="L6144" s="99"/>
      <c r="M6144" s="70"/>
      <c r="N6144" s="97"/>
      <c r="O6144" s="58" t="s">
        <v>147</v>
      </c>
      <c r="P6144" s="58" t="s">
        <v>22</v>
      </c>
      <c r="Q6144" s="58" t="s">
        <v>112</v>
      </c>
      <c r="R6144" s="58" t="s">
        <v>265</v>
      </c>
    </row>
    <row r="6145" spans="1:18" ht="69" customHeight="1">
      <c r="A6145" s="168"/>
      <c r="B6145" s="62">
        <f t="shared" si="15"/>
        <v>3284</v>
      </c>
      <c r="C6145" s="178" t="s">
        <v>8529</v>
      </c>
      <c r="D6145" s="174" t="s">
        <v>10715</v>
      </c>
      <c r="E6145" s="178" t="s">
        <v>755</v>
      </c>
      <c r="F6145" s="210" t="s">
        <v>15171</v>
      </c>
      <c r="G6145" s="58" t="s">
        <v>15172</v>
      </c>
      <c r="H6145" s="546">
        <v>109448.44</v>
      </c>
      <c r="I6145" s="66">
        <v>45214</v>
      </c>
      <c r="J6145" s="65" t="s">
        <v>15173</v>
      </c>
      <c r="K6145" s="58"/>
      <c r="L6145" s="99"/>
      <c r="M6145" s="70"/>
      <c r="N6145" s="97"/>
      <c r="O6145" s="58" t="s">
        <v>1566</v>
      </c>
      <c r="P6145" s="58" t="s">
        <v>28</v>
      </c>
      <c r="Q6145" s="58" t="s">
        <v>108</v>
      </c>
      <c r="R6145" s="58" t="s">
        <v>272</v>
      </c>
    </row>
    <row r="6146" spans="1:18" ht="69" customHeight="1">
      <c r="A6146" s="168"/>
      <c r="B6146" s="62">
        <f t="shared" si="15"/>
        <v>3285</v>
      </c>
      <c r="C6146" s="59" t="s">
        <v>3667</v>
      </c>
      <c r="D6146" s="174" t="s">
        <v>15174</v>
      </c>
      <c r="E6146" s="58" t="s">
        <v>13546</v>
      </c>
      <c r="F6146" s="58" t="s">
        <v>15175</v>
      </c>
      <c r="G6146" s="58" t="s">
        <v>15176</v>
      </c>
      <c r="H6146" s="546">
        <v>127086.04</v>
      </c>
      <c r="I6146" s="66">
        <v>45204</v>
      </c>
      <c r="J6146" s="65" t="s">
        <v>15177</v>
      </c>
      <c r="K6146" s="58"/>
      <c r="L6146" s="99"/>
      <c r="M6146" s="70"/>
      <c r="N6146" s="97"/>
      <c r="O6146" s="58" t="s">
        <v>10607</v>
      </c>
      <c r="P6146" s="58" t="s">
        <v>22</v>
      </c>
      <c r="Q6146" s="58" t="s">
        <v>68</v>
      </c>
      <c r="R6146" s="58" t="s">
        <v>265</v>
      </c>
    </row>
    <row r="6147" spans="1:18" ht="69" customHeight="1">
      <c r="A6147" s="168"/>
      <c r="B6147" s="62">
        <f t="shared" si="15"/>
        <v>3286</v>
      </c>
      <c r="C6147" s="59" t="s">
        <v>3667</v>
      </c>
      <c r="D6147" s="174" t="s">
        <v>15178</v>
      </c>
      <c r="E6147" s="58" t="s">
        <v>13546</v>
      </c>
      <c r="F6147" s="58" t="s">
        <v>15179</v>
      </c>
      <c r="G6147" s="58" t="s">
        <v>15176</v>
      </c>
      <c r="H6147" s="546">
        <v>134648.43</v>
      </c>
      <c r="I6147" s="66">
        <v>45204</v>
      </c>
      <c r="J6147" s="65" t="s">
        <v>15177</v>
      </c>
      <c r="K6147" s="58"/>
      <c r="L6147" s="99"/>
      <c r="M6147" s="70"/>
      <c r="N6147" s="97"/>
      <c r="O6147" s="58" t="s">
        <v>10607</v>
      </c>
      <c r="P6147" s="58" t="s">
        <v>22</v>
      </c>
      <c r="Q6147" s="58" t="s">
        <v>70</v>
      </c>
      <c r="R6147" s="58" t="s">
        <v>265</v>
      </c>
    </row>
    <row r="6148" spans="1:18" s="98" customFormat="1" ht="69" customHeight="1">
      <c r="A6148" s="169"/>
      <c r="B6148" s="48">
        <f t="shared" si="15"/>
        <v>3287</v>
      </c>
      <c r="C6148" s="59" t="s">
        <v>11050</v>
      </c>
      <c r="D6148" s="84" t="s">
        <v>15180</v>
      </c>
      <c r="E6148" s="45" t="s">
        <v>14409</v>
      </c>
      <c r="F6148" s="45" t="s">
        <v>15181</v>
      </c>
      <c r="G6148" s="45" t="s">
        <v>15182</v>
      </c>
      <c r="H6148" s="546">
        <v>120184.4</v>
      </c>
      <c r="I6148" s="66">
        <v>45214</v>
      </c>
      <c r="J6148" s="73" t="s">
        <v>15183</v>
      </c>
      <c r="K6148" s="45"/>
      <c r="L6148" s="99"/>
      <c r="M6148" s="385"/>
      <c r="N6148" s="75"/>
      <c r="O6148" s="45" t="s">
        <v>15184</v>
      </c>
      <c r="P6148" s="45" t="s">
        <v>57</v>
      </c>
      <c r="Q6148" s="45" t="s">
        <v>35</v>
      </c>
      <c r="R6148" s="45" t="s">
        <v>272</v>
      </c>
    </row>
    <row r="6149" spans="1:18" ht="69" customHeight="1">
      <c r="A6149" s="168"/>
      <c r="B6149" s="62">
        <f t="shared" si="15"/>
        <v>3288</v>
      </c>
      <c r="C6149" s="178" t="s">
        <v>9545</v>
      </c>
      <c r="D6149" s="84" t="s">
        <v>10724</v>
      </c>
      <c r="E6149" s="45" t="s">
        <v>266</v>
      </c>
      <c r="F6149" s="45" t="s">
        <v>15185</v>
      </c>
      <c r="G6149" s="45" t="s">
        <v>15186</v>
      </c>
      <c r="H6149" s="546">
        <v>7500</v>
      </c>
      <c r="I6149" s="66">
        <v>45214</v>
      </c>
      <c r="J6149" s="65" t="s">
        <v>15187</v>
      </c>
      <c r="K6149" s="58"/>
      <c r="L6149" s="99"/>
      <c r="M6149" s="70"/>
      <c r="N6149" s="97"/>
      <c r="O6149" s="45" t="s">
        <v>13735</v>
      </c>
      <c r="P6149" s="45" t="s">
        <v>44</v>
      </c>
      <c r="Q6149" s="58" t="s">
        <v>117</v>
      </c>
      <c r="R6149" s="58" t="s">
        <v>272</v>
      </c>
    </row>
    <row r="6150" spans="1:18" ht="69" customHeight="1">
      <c r="A6150" s="168"/>
      <c r="B6150" s="62">
        <f t="shared" si="15"/>
        <v>3289</v>
      </c>
      <c r="C6150" s="178" t="s">
        <v>10947</v>
      </c>
      <c r="D6150" s="174" t="s">
        <v>10726</v>
      </c>
      <c r="E6150" s="45" t="s">
        <v>266</v>
      </c>
      <c r="F6150" s="45" t="s">
        <v>15188</v>
      </c>
      <c r="G6150" s="45" t="s">
        <v>15189</v>
      </c>
      <c r="H6150" s="546">
        <v>1875</v>
      </c>
      <c r="I6150" s="66">
        <v>45214</v>
      </c>
      <c r="J6150" s="65" t="s">
        <v>15187</v>
      </c>
      <c r="K6150" s="58"/>
      <c r="L6150" s="99"/>
      <c r="M6150" s="70"/>
      <c r="N6150" s="97"/>
      <c r="O6150" s="45" t="s">
        <v>13735</v>
      </c>
      <c r="P6150" s="45" t="s">
        <v>44</v>
      </c>
      <c r="Q6150" s="58" t="s">
        <v>100</v>
      </c>
      <c r="R6150" s="58" t="s">
        <v>272</v>
      </c>
    </row>
    <row r="6151" spans="1:18" ht="69" customHeight="1">
      <c r="A6151" s="168"/>
      <c r="B6151" s="62">
        <f t="shared" si="15"/>
        <v>3290</v>
      </c>
      <c r="C6151" s="178" t="s">
        <v>3647</v>
      </c>
      <c r="D6151" s="174" t="s">
        <v>15190</v>
      </c>
      <c r="E6151" s="45" t="s">
        <v>266</v>
      </c>
      <c r="F6151" s="45" t="s">
        <v>15191</v>
      </c>
      <c r="G6151" s="45" t="s">
        <v>15192</v>
      </c>
      <c r="H6151" s="546">
        <v>3750</v>
      </c>
      <c r="I6151" s="66">
        <v>45214</v>
      </c>
      <c r="J6151" s="65" t="s">
        <v>15187</v>
      </c>
      <c r="K6151" s="58"/>
      <c r="L6151" s="99"/>
      <c r="M6151" s="70"/>
      <c r="N6151" s="97"/>
      <c r="O6151" s="45" t="s">
        <v>13735</v>
      </c>
      <c r="P6151" s="45" t="s">
        <v>44</v>
      </c>
      <c r="Q6151" s="58" t="s">
        <v>47</v>
      </c>
      <c r="R6151" s="58" t="s">
        <v>272</v>
      </c>
    </row>
    <row r="6152" spans="1:18" ht="69" customHeight="1">
      <c r="A6152" s="168"/>
      <c r="B6152" s="62">
        <f t="shared" si="15"/>
        <v>3291</v>
      </c>
      <c r="C6152" s="178" t="s">
        <v>7189</v>
      </c>
      <c r="D6152" s="174" t="s">
        <v>15193</v>
      </c>
      <c r="E6152" s="45" t="s">
        <v>266</v>
      </c>
      <c r="F6152" s="45" t="s">
        <v>15194</v>
      </c>
      <c r="G6152" s="45" t="s">
        <v>15192</v>
      </c>
      <c r="H6152" s="546">
        <v>3750</v>
      </c>
      <c r="I6152" s="66">
        <v>45214</v>
      </c>
      <c r="J6152" s="65" t="s">
        <v>15187</v>
      </c>
      <c r="K6152" s="58"/>
      <c r="L6152" s="99"/>
      <c r="M6152" s="70"/>
      <c r="N6152" s="97"/>
      <c r="O6152" s="45" t="s">
        <v>13735</v>
      </c>
      <c r="P6152" s="45" t="s">
        <v>44</v>
      </c>
      <c r="Q6152" s="58" t="s">
        <v>97</v>
      </c>
      <c r="R6152" s="58" t="s">
        <v>272</v>
      </c>
    </row>
    <row r="6153" spans="1:18" ht="69" customHeight="1">
      <c r="A6153" s="168"/>
      <c r="B6153" s="62">
        <f t="shared" si="15"/>
        <v>3292</v>
      </c>
      <c r="C6153" s="178" t="s">
        <v>11568</v>
      </c>
      <c r="D6153" s="174" t="s">
        <v>15195</v>
      </c>
      <c r="E6153" s="45" t="s">
        <v>266</v>
      </c>
      <c r="F6153" s="45" t="s">
        <v>15196</v>
      </c>
      <c r="G6153" s="45" t="s">
        <v>15192</v>
      </c>
      <c r="H6153" s="546">
        <v>1875</v>
      </c>
      <c r="I6153" s="66">
        <v>45214</v>
      </c>
      <c r="J6153" s="65" t="s">
        <v>15187</v>
      </c>
      <c r="K6153" s="58"/>
      <c r="L6153" s="99"/>
      <c r="M6153" s="70"/>
      <c r="N6153" s="97"/>
      <c r="O6153" s="45" t="s">
        <v>13735</v>
      </c>
      <c r="P6153" s="45" t="s">
        <v>44</v>
      </c>
      <c r="Q6153" s="58" t="s">
        <v>103</v>
      </c>
      <c r="R6153" s="58" t="s">
        <v>272</v>
      </c>
    </row>
    <row r="6154" spans="1:18" ht="69" customHeight="1">
      <c r="A6154" s="168"/>
      <c r="B6154" s="62">
        <f t="shared" si="15"/>
        <v>3293</v>
      </c>
      <c r="C6154" s="178" t="s">
        <v>13435</v>
      </c>
      <c r="D6154" s="174" t="s">
        <v>15197</v>
      </c>
      <c r="E6154" s="58" t="s">
        <v>4173</v>
      </c>
      <c r="F6154" s="58" t="s">
        <v>15198</v>
      </c>
      <c r="G6154" s="58" t="s">
        <v>15199</v>
      </c>
      <c r="H6154" s="546">
        <v>25000</v>
      </c>
      <c r="I6154" s="66">
        <v>45204</v>
      </c>
      <c r="J6154" s="65" t="s">
        <v>15200</v>
      </c>
      <c r="K6154" s="58"/>
      <c r="L6154" s="99"/>
      <c r="M6154" s="70"/>
      <c r="N6154" s="97"/>
      <c r="O6154" s="58" t="s">
        <v>14459</v>
      </c>
      <c r="P6154" s="58" t="s">
        <v>22</v>
      </c>
      <c r="Q6154" s="58" t="s">
        <v>13</v>
      </c>
      <c r="R6154" s="58" t="s">
        <v>265</v>
      </c>
    </row>
    <row r="6155" spans="1:18" ht="69" customHeight="1">
      <c r="A6155" s="168"/>
      <c r="B6155" s="62">
        <f t="shared" si="15"/>
        <v>3294</v>
      </c>
      <c r="C6155" s="59" t="s">
        <v>3667</v>
      </c>
      <c r="D6155" s="575" t="s">
        <v>15201</v>
      </c>
      <c r="E6155" s="178" t="s">
        <v>15202</v>
      </c>
      <c r="F6155" s="45" t="s">
        <v>15203</v>
      </c>
      <c r="G6155" s="58" t="s">
        <v>15204</v>
      </c>
      <c r="H6155" s="546">
        <v>24999.3</v>
      </c>
      <c r="I6155" s="66">
        <v>45214</v>
      </c>
      <c r="J6155" s="65" t="s">
        <v>15205</v>
      </c>
      <c r="K6155" s="58"/>
      <c r="L6155" s="99"/>
      <c r="M6155" s="70"/>
      <c r="N6155" s="97"/>
      <c r="O6155" s="58" t="s">
        <v>14625</v>
      </c>
      <c r="P6155" s="58" t="s">
        <v>59</v>
      </c>
      <c r="Q6155" s="58" t="s">
        <v>84</v>
      </c>
      <c r="R6155" s="58" t="s">
        <v>272</v>
      </c>
    </row>
    <row r="6156" spans="1:18" ht="69" customHeight="1">
      <c r="A6156" s="168"/>
      <c r="B6156" s="62">
        <f t="shared" si="15"/>
        <v>3295</v>
      </c>
      <c r="C6156" s="59" t="s">
        <v>3667</v>
      </c>
      <c r="D6156" s="84" t="s">
        <v>15206</v>
      </c>
      <c r="E6156" s="55" t="s">
        <v>14067</v>
      </c>
      <c r="F6156" s="45" t="s">
        <v>15207</v>
      </c>
      <c r="G6156" s="58" t="s">
        <v>15208</v>
      </c>
      <c r="H6156" s="546">
        <v>118117.19</v>
      </c>
      <c r="I6156" s="66">
        <v>45214</v>
      </c>
      <c r="J6156" s="65" t="s">
        <v>15205</v>
      </c>
      <c r="K6156" s="58"/>
      <c r="L6156" s="99"/>
      <c r="M6156" s="70"/>
      <c r="N6156" s="97"/>
      <c r="O6156" s="58" t="s">
        <v>175</v>
      </c>
      <c r="P6156" s="58" t="s">
        <v>59</v>
      </c>
      <c r="Q6156" s="58" t="s">
        <v>84</v>
      </c>
      <c r="R6156" s="58" t="s">
        <v>265</v>
      </c>
    </row>
    <row r="6157" spans="1:18" ht="69" customHeight="1">
      <c r="A6157" s="168"/>
      <c r="B6157" s="62">
        <f t="shared" si="15"/>
        <v>3296</v>
      </c>
      <c r="C6157" s="59" t="s">
        <v>3667</v>
      </c>
      <c r="D6157" s="174" t="s">
        <v>15209</v>
      </c>
      <c r="E6157" s="55" t="s">
        <v>14067</v>
      </c>
      <c r="F6157" s="210" t="s">
        <v>15210</v>
      </c>
      <c r="G6157" s="58" t="s">
        <v>15211</v>
      </c>
      <c r="H6157" s="546">
        <v>61037.9</v>
      </c>
      <c r="I6157" s="66">
        <v>45214</v>
      </c>
      <c r="J6157" s="65" t="s">
        <v>15205</v>
      </c>
      <c r="K6157" s="58"/>
      <c r="L6157" s="99"/>
      <c r="M6157" s="70"/>
      <c r="N6157" s="97"/>
      <c r="O6157" s="58" t="s">
        <v>175</v>
      </c>
      <c r="P6157" s="58" t="s">
        <v>59</v>
      </c>
      <c r="Q6157" s="58" t="s">
        <v>84</v>
      </c>
      <c r="R6157" s="58" t="s">
        <v>265</v>
      </c>
    </row>
    <row r="6158" spans="1:18" ht="69" customHeight="1">
      <c r="A6158" s="168"/>
      <c r="B6158" s="62">
        <f t="shared" si="15"/>
        <v>3297</v>
      </c>
      <c r="C6158" s="59" t="s">
        <v>3667</v>
      </c>
      <c r="D6158" s="174" t="s">
        <v>15212</v>
      </c>
      <c r="E6158" s="58" t="s">
        <v>15213</v>
      </c>
      <c r="F6158" s="45" t="s">
        <v>15214</v>
      </c>
      <c r="G6158" s="58" t="s">
        <v>15215</v>
      </c>
      <c r="H6158" s="546">
        <v>55000</v>
      </c>
      <c r="I6158" s="66">
        <v>45214</v>
      </c>
      <c r="J6158" s="65" t="s">
        <v>15216</v>
      </c>
      <c r="K6158" s="58" t="s">
        <v>15217</v>
      </c>
      <c r="L6158" s="99"/>
      <c r="M6158" s="70"/>
      <c r="N6158" s="97"/>
      <c r="O6158" s="58" t="s">
        <v>11943</v>
      </c>
      <c r="P6158" s="58" t="s">
        <v>61</v>
      </c>
      <c r="Q6158" s="58" t="s">
        <v>72</v>
      </c>
      <c r="R6158" s="58" t="s">
        <v>272</v>
      </c>
    </row>
    <row r="6159" spans="1:18" ht="69" customHeight="1">
      <c r="A6159" s="168"/>
      <c r="B6159" s="62">
        <f t="shared" si="15"/>
        <v>3298</v>
      </c>
      <c r="C6159" s="45" t="s">
        <v>458</v>
      </c>
      <c r="D6159" s="174" t="s">
        <v>10844</v>
      </c>
      <c r="E6159" s="58" t="s">
        <v>15213</v>
      </c>
      <c r="F6159" s="45" t="s">
        <v>15218</v>
      </c>
      <c r="G6159" s="58" t="s">
        <v>15215</v>
      </c>
      <c r="H6159" s="546">
        <v>466371.8</v>
      </c>
      <c r="I6159" s="66">
        <v>45214</v>
      </c>
      <c r="J6159" s="65" t="s">
        <v>15219</v>
      </c>
      <c r="K6159" s="58"/>
      <c r="L6159" s="99"/>
      <c r="M6159" s="70"/>
      <c r="N6159" s="97"/>
      <c r="O6159" s="58" t="s">
        <v>11943</v>
      </c>
      <c r="P6159" s="58" t="s">
        <v>59</v>
      </c>
      <c r="Q6159" s="58" t="s">
        <v>117</v>
      </c>
      <c r="R6159" s="58" t="s">
        <v>272</v>
      </c>
    </row>
    <row r="6160" spans="1:18" s="98" customFormat="1" ht="69" customHeight="1">
      <c r="A6160" s="169"/>
      <c r="B6160" s="259">
        <f t="shared" si="15"/>
        <v>3299</v>
      </c>
      <c r="C6160" s="207" t="s">
        <v>3667</v>
      </c>
      <c r="D6160" s="301" t="s">
        <v>15220</v>
      </c>
      <c r="E6160" s="207" t="s">
        <v>409</v>
      </c>
      <c r="F6160" s="208" t="s">
        <v>15221</v>
      </c>
      <c r="G6160" s="160" t="s">
        <v>15222</v>
      </c>
      <c r="H6160" s="300">
        <v>19629.16</v>
      </c>
      <c r="I6160" s="209">
        <v>45218</v>
      </c>
      <c r="J6160" s="316" t="s">
        <v>15223</v>
      </c>
      <c r="K6160" s="160" t="s">
        <v>67</v>
      </c>
      <c r="M6160" s="385"/>
      <c r="N6160" s="75"/>
      <c r="O6160" s="160" t="s">
        <v>11192</v>
      </c>
      <c r="P6160" s="160" t="s">
        <v>67</v>
      </c>
      <c r="Q6160" s="160" t="s">
        <v>49</v>
      </c>
      <c r="R6160" s="160" t="s">
        <v>272</v>
      </c>
    </row>
    <row r="6161" spans="1:18" s="98" customFormat="1" ht="69" customHeight="1">
      <c r="A6161" s="169"/>
      <c r="B6161" s="259">
        <f t="shared" si="15"/>
        <v>3300</v>
      </c>
      <c r="C6161" s="207" t="s">
        <v>657</v>
      </c>
      <c r="D6161" s="301" t="s">
        <v>3611</v>
      </c>
      <c r="E6161" s="207" t="s">
        <v>409</v>
      </c>
      <c r="F6161" s="208" t="s">
        <v>15224</v>
      </c>
      <c r="G6161" s="160" t="s">
        <v>15222</v>
      </c>
      <c r="H6161" s="300">
        <v>11041.39</v>
      </c>
      <c r="I6161" s="209">
        <v>45218</v>
      </c>
      <c r="J6161" s="316" t="s">
        <v>15223</v>
      </c>
      <c r="K6161" s="160" t="s">
        <v>67</v>
      </c>
      <c r="M6161" s="385"/>
      <c r="N6161" s="75"/>
      <c r="O6161" s="160" t="s">
        <v>11192</v>
      </c>
      <c r="P6161" s="160" t="s">
        <v>67</v>
      </c>
      <c r="Q6161" s="160" t="s">
        <v>99</v>
      </c>
      <c r="R6161" s="160" t="s">
        <v>272</v>
      </c>
    </row>
    <row r="6162" spans="1:18" s="98" customFormat="1" ht="69" customHeight="1">
      <c r="A6162" s="169"/>
      <c r="B6162" s="259">
        <f t="shared" si="15"/>
        <v>3301</v>
      </c>
      <c r="C6162" s="207" t="s">
        <v>309</v>
      </c>
      <c r="D6162" s="301" t="s">
        <v>4821</v>
      </c>
      <c r="E6162" s="207" t="s">
        <v>409</v>
      </c>
      <c r="F6162" s="208" t="s">
        <v>15225</v>
      </c>
      <c r="G6162" s="160" t="s">
        <v>15222</v>
      </c>
      <c r="H6162" s="300">
        <v>15335.28</v>
      </c>
      <c r="I6162" s="209">
        <v>45218</v>
      </c>
      <c r="J6162" s="316" t="s">
        <v>15223</v>
      </c>
      <c r="K6162" s="160" t="s">
        <v>67</v>
      </c>
      <c r="M6162" s="385"/>
      <c r="N6162" s="75"/>
      <c r="O6162" s="160" t="s">
        <v>11192</v>
      </c>
      <c r="P6162" s="160" t="s">
        <v>67</v>
      </c>
      <c r="Q6162" s="160" t="s">
        <v>15</v>
      </c>
      <c r="R6162" s="160" t="s">
        <v>272</v>
      </c>
    </row>
    <row r="6163" spans="1:18" s="98" customFormat="1" ht="69" customHeight="1">
      <c r="A6163" s="169"/>
      <c r="B6163" s="259">
        <f t="shared" si="15"/>
        <v>3302</v>
      </c>
      <c r="C6163" s="207" t="s">
        <v>458</v>
      </c>
      <c r="D6163" s="301" t="s">
        <v>15226</v>
      </c>
      <c r="E6163" s="207" t="s">
        <v>409</v>
      </c>
      <c r="F6163" s="208" t="s">
        <v>15227</v>
      </c>
      <c r="G6163" s="160" t="s">
        <v>15222</v>
      </c>
      <c r="H6163" s="300">
        <v>15335.28</v>
      </c>
      <c r="I6163" s="209">
        <v>45218</v>
      </c>
      <c r="J6163" s="316" t="s">
        <v>15223</v>
      </c>
      <c r="K6163" s="160" t="s">
        <v>67</v>
      </c>
      <c r="M6163" s="385"/>
      <c r="N6163" s="75"/>
      <c r="O6163" s="160" t="s">
        <v>11192</v>
      </c>
      <c r="P6163" s="160" t="s">
        <v>67</v>
      </c>
      <c r="Q6163" s="160" t="s">
        <v>90</v>
      </c>
      <c r="R6163" s="160" t="s">
        <v>272</v>
      </c>
    </row>
    <row r="6164" spans="1:18" ht="69" customHeight="1">
      <c r="A6164" s="168"/>
      <c r="B6164" s="62">
        <f t="shared" si="15"/>
        <v>3303</v>
      </c>
      <c r="C6164" s="59" t="s">
        <v>259</v>
      </c>
      <c r="D6164" s="612" t="s">
        <v>1992</v>
      </c>
      <c r="E6164" s="59" t="s">
        <v>266</v>
      </c>
      <c r="F6164" s="569" t="s">
        <v>15228</v>
      </c>
      <c r="G6164" s="58" t="s">
        <v>15229</v>
      </c>
      <c r="H6164" s="546">
        <v>46.63</v>
      </c>
      <c r="I6164" s="66">
        <v>45194</v>
      </c>
      <c r="J6164" s="65" t="s">
        <v>15230</v>
      </c>
      <c r="K6164" s="58"/>
      <c r="L6164" s="99"/>
      <c r="M6164" s="70"/>
      <c r="N6164" s="97"/>
      <c r="O6164" s="58" t="s">
        <v>15231</v>
      </c>
      <c r="P6164" s="58" t="s">
        <v>44</v>
      </c>
      <c r="Q6164" s="58" t="s">
        <v>18</v>
      </c>
      <c r="R6164" s="58" t="s">
        <v>272</v>
      </c>
    </row>
    <row r="6165" spans="1:18" ht="69" customHeight="1">
      <c r="A6165" s="168"/>
      <c r="B6165" s="62">
        <f t="shared" si="15"/>
        <v>3304</v>
      </c>
      <c r="C6165" s="59" t="s">
        <v>11908</v>
      </c>
      <c r="D6165" s="174" t="s">
        <v>10576</v>
      </c>
      <c r="E6165" s="58" t="s">
        <v>15232</v>
      </c>
      <c r="F6165" s="45" t="s">
        <v>15233</v>
      </c>
      <c r="G6165" s="45" t="s">
        <v>15234</v>
      </c>
      <c r="H6165" s="546">
        <v>43629.440000000002</v>
      </c>
      <c r="I6165" s="47">
        <v>45214</v>
      </c>
      <c r="J6165" s="65" t="s">
        <v>15235</v>
      </c>
      <c r="K6165" s="58"/>
      <c r="L6165" s="99"/>
      <c r="M6165" s="70"/>
      <c r="N6165" s="97"/>
      <c r="O6165" s="58" t="s">
        <v>14160</v>
      </c>
      <c r="P6165" s="58" t="s">
        <v>26</v>
      </c>
      <c r="Q6165" s="58" t="s">
        <v>103</v>
      </c>
      <c r="R6165" s="58" t="s">
        <v>272</v>
      </c>
    </row>
    <row r="6166" spans="1:18" s="98" customFormat="1" ht="69" customHeight="1">
      <c r="A6166" s="169"/>
      <c r="B6166" s="48">
        <f t="shared" si="15"/>
        <v>3305</v>
      </c>
      <c r="C6166" s="59" t="s">
        <v>10937</v>
      </c>
      <c r="D6166" s="84" t="s">
        <v>3615</v>
      </c>
      <c r="E6166" s="45" t="s">
        <v>15232</v>
      </c>
      <c r="F6166" s="45" t="s">
        <v>15236</v>
      </c>
      <c r="G6166" s="45" t="s">
        <v>15234</v>
      </c>
      <c r="H6166" s="546">
        <v>42847.92</v>
      </c>
      <c r="I6166" s="47">
        <v>45214</v>
      </c>
      <c r="J6166" s="73" t="s">
        <v>15235</v>
      </c>
      <c r="K6166" s="45"/>
      <c r="L6166" s="99"/>
      <c r="M6166" s="385"/>
      <c r="N6166" s="75"/>
      <c r="O6166" s="45" t="s">
        <v>14160</v>
      </c>
      <c r="P6166" s="45" t="s">
        <v>26</v>
      </c>
      <c r="Q6166" s="45" t="s">
        <v>104</v>
      </c>
      <c r="R6166" s="45" t="s">
        <v>272</v>
      </c>
    </row>
    <row r="6167" spans="1:18" ht="69" customHeight="1">
      <c r="A6167" s="168"/>
      <c r="B6167" s="261">
        <f t="shared" si="15"/>
        <v>3306</v>
      </c>
      <c r="C6167" s="207" t="s">
        <v>3667</v>
      </c>
      <c r="D6167" s="255" t="s">
        <v>15237</v>
      </c>
      <c r="E6167" s="118" t="s">
        <v>7649</v>
      </c>
      <c r="F6167" s="118" t="s">
        <v>15238</v>
      </c>
      <c r="G6167" s="118" t="s">
        <v>15239</v>
      </c>
      <c r="H6167" s="300">
        <v>48850.239999999998</v>
      </c>
      <c r="I6167" s="262">
        <v>45214</v>
      </c>
      <c r="J6167" s="258" t="s">
        <v>15240</v>
      </c>
      <c r="K6167" s="118" t="s">
        <v>15004</v>
      </c>
      <c r="L6167" s="99"/>
      <c r="M6167" s="400"/>
      <c r="N6167" s="194"/>
      <c r="O6167" s="160" t="s">
        <v>147</v>
      </c>
      <c r="P6167" s="118" t="s">
        <v>67</v>
      </c>
      <c r="Q6167" s="160" t="s">
        <v>76</v>
      </c>
      <c r="R6167" s="160" t="s">
        <v>272</v>
      </c>
    </row>
    <row r="6168" spans="1:18" ht="69" customHeight="1">
      <c r="A6168" s="168"/>
      <c r="B6168" s="261">
        <f t="shared" si="15"/>
        <v>3307</v>
      </c>
      <c r="C6168" s="207" t="s">
        <v>3667</v>
      </c>
      <c r="D6168" s="255" t="s">
        <v>15241</v>
      </c>
      <c r="E6168" s="118" t="s">
        <v>7649</v>
      </c>
      <c r="F6168" s="118" t="s">
        <v>15242</v>
      </c>
      <c r="G6168" s="118" t="s">
        <v>15243</v>
      </c>
      <c r="H6168" s="300">
        <v>26303.97</v>
      </c>
      <c r="I6168" s="262">
        <v>45214</v>
      </c>
      <c r="J6168" s="258" t="s">
        <v>15240</v>
      </c>
      <c r="K6168" s="118" t="s">
        <v>15004</v>
      </c>
      <c r="L6168" s="99"/>
      <c r="M6168" s="400"/>
      <c r="N6168" s="194"/>
      <c r="O6168" s="160" t="s">
        <v>147</v>
      </c>
      <c r="P6168" s="118" t="s">
        <v>67</v>
      </c>
      <c r="Q6168" s="160" t="s">
        <v>76</v>
      </c>
      <c r="R6168" s="160" t="s">
        <v>272</v>
      </c>
    </row>
    <row r="6169" spans="1:18" ht="69" customHeight="1">
      <c r="A6169" s="168"/>
      <c r="B6169" s="62">
        <f t="shared" si="15"/>
        <v>3308</v>
      </c>
      <c r="C6169" s="59" t="s">
        <v>3667</v>
      </c>
      <c r="D6169" s="174" t="s">
        <v>15244</v>
      </c>
      <c r="E6169" s="58" t="s">
        <v>7649</v>
      </c>
      <c r="F6169" s="58" t="s">
        <v>15245</v>
      </c>
      <c r="G6169" s="45" t="s">
        <v>15246</v>
      </c>
      <c r="H6169" s="546">
        <v>235270.36</v>
      </c>
      <c r="I6169" s="66">
        <v>45214</v>
      </c>
      <c r="J6169" s="65" t="s">
        <v>15240</v>
      </c>
      <c r="K6169" s="58" t="s">
        <v>15247</v>
      </c>
      <c r="L6169" s="99"/>
      <c r="M6169" s="70"/>
      <c r="N6169" s="97"/>
      <c r="O6169" s="58" t="s">
        <v>147</v>
      </c>
      <c r="P6169" s="58" t="s">
        <v>22</v>
      </c>
      <c r="Q6169" s="58" t="s">
        <v>74</v>
      </c>
      <c r="R6169" s="58" t="s">
        <v>272</v>
      </c>
    </row>
    <row r="6170" spans="1:18" ht="69" customHeight="1">
      <c r="A6170" s="168"/>
      <c r="B6170" s="62">
        <f t="shared" si="15"/>
        <v>3309</v>
      </c>
      <c r="C6170" s="59" t="s">
        <v>3667</v>
      </c>
      <c r="D6170" s="174" t="s">
        <v>15248</v>
      </c>
      <c r="E6170" s="58" t="s">
        <v>7649</v>
      </c>
      <c r="F6170" s="58" t="s">
        <v>15249</v>
      </c>
      <c r="G6170" s="45" t="s">
        <v>15250</v>
      </c>
      <c r="H6170" s="546">
        <v>126684.04</v>
      </c>
      <c r="I6170" s="66">
        <v>45214</v>
      </c>
      <c r="J6170" s="65" t="s">
        <v>15240</v>
      </c>
      <c r="K6170" s="58" t="s">
        <v>15247</v>
      </c>
      <c r="L6170" s="99"/>
      <c r="M6170" s="70"/>
      <c r="N6170" s="97"/>
      <c r="O6170" s="58" t="s">
        <v>147</v>
      </c>
      <c r="P6170" s="58" t="s">
        <v>22</v>
      </c>
      <c r="Q6170" s="58" t="s">
        <v>74</v>
      </c>
      <c r="R6170" s="58" t="s">
        <v>272</v>
      </c>
    </row>
    <row r="6171" spans="1:18" ht="69" customHeight="1">
      <c r="A6171" s="168"/>
      <c r="B6171" s="62">
        <f t="shared" si="15"/>
        <v>3310</v>
      </c>
      <c r="C6171" s="59" t="s">
        <v>3667</v>
      </c>
      <c r="D6171" s="174" t="s">
        <v>15251</v>
      </c>
      <c r="E6171" s="58" t="s">
        <v>7649</v>
      </c>
      <c r="F6171" s="58" t="s">
        <v>15252</v>
      </c>
      <c r="G6171" s="45" t="s">
        <v>15253</v>
      </c>
      <c r="H6171" s="546">
        <v>254201.08</v>
      </c>
      <c r="I6171" s="66">
        <v>45214</v>
      </c>
      <c r="J6171" s="65" t="s">
        <v>15240</v>
      </c>
      <c r="K6171" s="58" t="s">
        <v>15254</v>
      </c>
      <c r="L6171" s="99"/>
      <c r="M6171" s="70"/>
      <c r="N6171" s="97"/>
      <c r="O6171" s="58" t="s">
        <v>147</v>
      </c>
      <c r="P6171" s="58" t="s">
        <v>22</v>
      </c>
      <c r="Q6171" s="58" t="s">
        <v>74</v>
      </c>
      <c r="R6171" s="58" t="s">
        <v>272</v>
      </c>
    </row>
    <row r="6172" spans="1:18" ht="69" customHeight="1">
      <c r="A6172" s="168"/>
      <c r="B6172" s="62">
        <f t="shared" si="15"/>
        <v>3311</v>
      </c>
      <c r="C6172" s="59" t="s">
        <v>3667</v>
      </c>
      <c r="D6172" s="174" t="s">
        <v>15255</v>
      </c>
      <c r="E6172" s="58" t="s">
        <v>7649</v>
      </c>
      <c r="F6172" s="58" t="s">
        <v>15256</v>
      </c>
      <c r="G6172" s="45" t="s">
        <v>15257</v>
      </c>
      <c r="H6172" s="546">
        <v>136877.51</v>
      </c>
      <c r="I6172" s="66">
        <v>45214</v>
      </c>
      <c r="J6172" s="65" t="s">
        <v>15240</v>
      </c>
      <c r="K6172" s="58" t="s">
        <v>15254</v>
      </c>
      <c r="L6172" s="99"/>
      <c r="M6172" s="70"/>
      <c r="N6172" s="97"/>
      <c r="O6172" s="58" t="s">
        <v>147</v>
      </c>
      <c r="P6172" s="58" t="s">
        <v>22</v>
      </c>
      <c r="Q6172" s="58" t="s">
        <v>74</v>
      </c>
      <c r="R6172" s="58" t="s">
        <v>272</v>
      </c>
    </row>
    <row r="6173" spans="1:18" s="98" customFormat="1" ht="69" customHeight="1">
      <c r="A6173" s="169"/>
      <c r="B6173" s="48">
        <f t="shared" si="15"/>
        <v>3312</v>
      </c>
      <c r="C6173" s="59" t="s">
        <v>3667</v>
      </c>
      <c r="D6173" s="84" t="s">
        <v>15258</v>
      </c>
      <c r="E6173" s="55" t="s">
        <v>13546</v>
      </c>
      <c r="F6173" s="45" t="s">
        <v>15259</v>
      </c>
      <c r="G6173" s="45" t="s">
        <v>15260</v>
      </c>
      <c r="H6173" s="546">
        <v>24618.6</v>
      </c>
      <c r="I6173" s="47">
        <v>45214</v>
      </c>
      <c r="J6173" s="73" t="s">
        <v>15261</v>
      </c>
      <c r="K6173" s="45"/>
      <c r="L6173" s="99"/>
      <c r="M6173" s="385"/>
      <c r="N6173" s="75"/>
      <c r="O6173" s="45" t="s">
        <v>10607</v>
      </c>
      <c r="P6173" s="45" t="s">
        <v>22</v>
      </c>
      <c r="Q6173" s="45" t="s">
        <v>66</v>
      </c>
      <c r="R6173" s="45" t="s">
        <v>272</v>
      </c>
    </row>
    <row r="6174" spans="1:18" ht="69" customHeight="1">
      <c r="A6174" s="168"/>
      <c r="B6174" s="259">
        <f t="shared" si="15"/>
        <v>3313</v>
      </c>
      <c r="C6174" s="207" t="s">
        <v>13221</v>
      </c>
      <c r="D6174" s="306" t="s">
        <v>2927</v>
      </c>
      <c r="E6174" s="207" t="s">
        <v>266</v>
      </c>
      <c r="F6174" s="208" t="s">
        <v>15262</v>
      </c>
      <c r="G6174" s="160" t="s">
        <v>15263</v>
      </c>
      <c r="H6174" s="300">
        <v>12.81</v>
      </c>
      <c r="I6174" s="209">
        <v>45194</v>
      </c>
      <c r="J6174" s="316" t="s">
        <v>15264</v>
      </c>
      <c r="K6174" s="160" t="s">
        <v>67</v>
      </c>
      <c r="M6174" s="385"/>
      <c r="N6174" s="75"/>
      <c r="O6174" s="160"/>
      <c r="P6174" s="160" t="s">
        <v>67</v>
      </c>
      <c r="Q6174" s="160" t="s">
        <v>96</v>
      </c>
      <c r="R6174" s="160" t="s">
        <v>272</v>
      </c>
    </row>
    <row r="6175" spans="1:18" ht="69" customHeight="1">
      <c r="A6175" s="168"/>
      <c r="B6175" s="259">
        <f t="shared" si="15"/>
        <v>3314</v>
      </c>
      <c r="C6175" s="207" t="s">
        <v>13221</v>
      </c>
      <c r="D6175" s="306" t="s">
        <v>4570</v>
      </c>
      <c r="E6175" s="207" t="s">
        <v>266</v>
      </c>
      <c r="F6175" s="208" t="s">
        <v>15265</v>
      </c>
      <c r="G6175" s="160" t="s">
        <v>15266</v>
      </c>
      <c r="H6175" s="300">
        <v>30.22</v>
      </c>
      <c r="I6175" s="209">
        <v>45194</v>
      </c>
      <c r="J6175" s="316" t="s">
        <v>15264</v>
      </c>
      <c r="K6175" s="160" t="s">
        <v>67</v>
      </c>
      <c r="M6175" s="385"/>
      <c r="N6175" s="75"/>
      <c r="O6175" s="160"/>
      <c r="P6175" s="160" t="s">
        <v>67</v>
      </c>
      <c r="Q6175" s="160" t="s">
        <v>96</v>
      </c>
      <c r="R6175" s="160" t="s">
        <v>272</v>
      </c>
    </row>
    <row r="6176" spans="1:18" ht="69" customHeight="1">
      <c r="A6176" s="168"/>
      <c r="B6176" s="259">
        <f t="shared" si="15"/>
        <v>3315</v>
      </c>
      <c r="C6176" s="207" t="s">
        <v>13221</v>
      </c>
      <c r="D6176" s="306" t="s">
        <v>4566</v>
      </c>
      <c r="E6176" s="207" t="s">
        <v>266</v>
      </c>
      <c r="F6176" s="208" t="s">
        <v>15267</v>
      </c>
      <c r="G6176" s="160" t="s">
        <v>15268</v>
      </c>
      <c r="H6176" s="300">
        <v>32.979999999999997</v>
      </c>
      <c r="I6176" s="209">
        <v>45194</v>
      </c>
      <c r="J6176" s="316" t="s">
        <v>15264</v>
      </c>
      <c r="K6176" s="160" t="s">
        <v>67</v>
      </c>
      <c r="M6176" s="385"/>
      <c r="N6176" s="75"/>
      <c r="O6176" s="160"/>
      <c r="P6176" s="160" t="s">
        <v>67</v>
      </c>
      <c r="Q6176" s="160" t="s">
        <v>96</v>
      </c>
      <c r="R6176" s="160" t="s">
        <v>272</v>
      </c>
    </row>
    <row r="6177" spans="1:18" ht="69" customHeight="1">
      <c r="A6177" s="168"/>
      <c r="B6177" s="259">
        <f t="shared" si="15"/>
        <v>3316</v>
      </c>
      <c r="C6177" s="207" t="s">
        <v>13221</v>
      </c>
      <c r="D6177" s="306" t="s">
        <v>6774</v>
      </c>
      <c r="E6177" s="207" t="s">
        <v>266</v>
      </c>
      <c r="F6177" s="208" t="s">
        <v>15269</v>
      </c>
      <c r="G6177" s="160" t="s">
        <v>15270</v>
      </c>
      <c r="H6177" s="300">
        <v>51.39</v>
      </c>
      <c r="I6177" s="209">
        <v>45194</v>
      </c>
      <c r="J6177" s="316" t="s">
        <v>15264</v>
      </c>
      <c r="K6177" s="160" t="s">
        <v>67</v>
      </c>
      <c r="M6177" s="385"/>
      <c r="N6177" s="75"/>
      <c r="O6177" s="160"/>
      <c r="P6177" s="160" t="s">
        <v>67</v>
      </c>
      <c r="Q6177" s="160" t="s">
        <v>96</v>
      </c>
      <c r="R6177" s="160" t="s">
        <v>272</v>
      </c>
    </row>
    <row r="6178" spans="1:18" ht="69" customHeight="1">
      <c r="A6178" s="168"/>
      <c r="B6178" s="62">
        <f t="shared" si="15"/>
        <v>3317</v>
      </c>
      <c r="C6178" s="72" t="s">
        <v>6062</v>
      </c>
      <c r="D6178" s="613" t="s">
        <v>15271</v>
      </c>
      <c r="E6178" s="178" t="s">
        <v>266</v>
      </c>
      <c r="F6178" s="210" t="s">
        <v>15272</v>
      </c>
      <c r="G6178" s="58" t="s">
        <v>12488</v>
      </c>
      <c r="H6178" s="552">
        <v>12000</v>
      </c>
      <c r="I6178" s="66">
        <v>45214</v>
      </c>
      <c r="J6178" s="65" t="s">
        <v>15273</v>
      </c>
      <c r="K6178" s="58"/>
      <c r="L6178" s="99"/>
      <c r="M6178" s="385"/>
      <c r="N6178" s="75"/>
      <c r="O6178" s="62" t="s">
        <v>6918</v>
      </c>
      <c r="P6178" s="58" t="s">
        <v>44</v>
      </c>
      <c r="Q6178" s="58" t="s">
        <v>72</v>
      </c>
      <c r="R6178" s="58" t="s">
        <v>272</v>
      </c>
    </row>
    <row r="6179" spans="1:18" ht="69" customHeight="1">
      <c r="A6179" s="168"/>
      <c r="B6179" s="259">
        <f t="shared" si="15"/>
        <v>3318</v>
      </c>
      <c r="C6179" s="207" t="s">
        <v>13221</v>
      </c>
      <c r="D6179" s="306" t="s">
        <v>7280</v>
      </c>
      <c r="E6179" s="207" t="s">
        <v>266</v>
      </c>
      <c r="F6179" s="208" t="s">
        <v>15274</v>
      </c>
      <c r="G6179" s="160" t="s">
        <v>15275</v>
      </c>
      <c r="H6179" s="300">
        <v>2.99</v>
      </c>
      <c r="I6179" s="209">
        <v>45194</v>
      </c>
      <c r="J6179" s="316" t="s">
        <v>15264</v>
      </c>
      <c r="K6179" s="160" t="s">
        <v>67</v>
      </c>
      <c r="M6179" s="385"/>
      <c r="N6179" s="75"/>
      <c r="O6179" s="160"/>
      <c r="P6179" s="160" t="s">
        <v>67</v>
      </c>
      <c r="Q6179" s="160" t="s">
        <v>96</v>
      </c>
      <c r="R6179" s="160" t="s">
        <v>272</v>
      </c>
    </row>
    <row r="6180" spans="1:18" ht="69" customHeight="1">
      <c r="A6180" s="168"/>
      <c r="B6180" s="52">
        <f t="shared" si="15"/>
        <v>3319</v>
      </c>
      <c r="C6180" s="51" t="s">
        <v>5558</v>
      </c>
      <c r="D6180" s="251" t="s">
        <v>15276</v>
      </c>
      <c r="E6180" s="191" t="s">
        <v>266</v>
      </c>
      <c r="F6180" s="46" t="s">
        <v>15277</v>
      </c>
      <c r="G6180" s="46" t="s">
        <v>15278</v>
      </c>
      <c r="H6180" s="534">
        <v>1020.78</v>
      </c>
      <c r="I6180" s="56">
        <v>45214</v>
      </c>
      <c r="J6180" s="199" t="s">
        <v>15279</v>
      </c>
      <c r="K6180" s="46" t="s">
        <v>167</v>
      </c>
      <c r="L6180" s="99"/>
      <c r="M6180" s="385"/>
      <c r="N6180" s="75"/>
      <c r="O6180" s="46" t="s">
        <v>1840</v>
      </c>
      <c r="P6180" s="46" t="s">
        <v>65</v>
      </c>
      <c r="Q6180" s="46" t="s">
        <v>64</v>
      </c>
      <c r="R6180" s="46" t="s">
        <v>272</v>
      </c>
    </row>
    <row r="6181" spans="1:18" ht="69" customHeight="1">
      <c r="A6181" s="168"/>
      <c r="B6181" s="62">
        <f t="shared" si="15"/>
        <v>3320</v>
      </c>
      <c r="C6181" s="59" t="s">
        <v>3667</v>
      </c>
      <c r="D6181" s="174" t="s">
        <v>15280</v>
      </c>
      <c r="E6181" s="58" t="s">
        <v>15281</v>
      </c>
      <c r="F6181" s="58" t="s">
        <v>15282</v>
      </c>
      <c r="G6181" s="58" t="s">
        <v>15283</v>
      </c>
      <c r="H6181" s="546">
        <v>150229.54999999999</v>
      </c>
      <c r="I6181" s="66">
        <v>45214</v>
      </c>
      <c r="J6181" s="65" t="s">
        <v>15284</v>
      </c>
      <c r="K6181" s="58"/>
      <c r="L6181" s="99"/>
      <c r="M6181" s="70"/>
      <c r="N6181" s="97"/>
      <c r="O6181" s="58" t="s">
        <v>10607</v>
      </c>
      <c r="P6181" s="58" t="s">
        <v>22</v>
      </c>
      <c r="Q6181" s="58" t="s">
        <v>68</v>
      </c>
      <c r="R6181" s="58" t="s">
        <v>272</v>
      </c>
    </row>
    <row r="6182" spans="1:18" ht="69" customHeight="1">
      <c r="A6182" s="168"/>
      <c r="B6182" s="62">
        <f t="shared" si="15"/>
        <v>3321</v>
      </c>
      <c r="C6182" s="59" t="s">
        <v>3667</v>
      </c>
      <c r="D6182" s="174" t="s">
        <v>15285</v>
      </c>
      <c r="E6182" s="58" t="s">
        <v>15281</v>
      </c>
      <c r="F6182" s="58" t="s">
        <v>15286</v>
      </c>
      <c r="G6182" s="58" t="s">
        <v>15283</v>
      </c>
      <c r="H6182" s="546">
        <v>684450.41</v>
      </c>
      <c r="I6182" s="66">
        <v>45214</v>
      </c>
      <c r="J6182" s="65" t="s">
        <v>15284</v>
      </c>
      <c r="K6182" s="58"/>
      <c r="L6182" s="99"/>
      <c r="M6182" s="70"/>
      <c r="N6182" s="97"/>
      <c r="O6182" s="58" t="s">
        <v>10607</v>
      </c>
      <c r="P6182" s="58" t="s">
        <v>22</v>
      </c>
      <c r="Q6182" s="58" t="s">
        <v>70</v>
      </c>
      <c r="R6182" s="58" t="s">
        <v>272</v>
      </c>
    </row>
    <row r="6183" spans="1:18" ht="69" customHeight="1">
      <c r="A6183" s="168"/>
      <c r="B6183" s="62">
        <f t="shared" si="15"/>
        <v>3322</v>
      </c>
      <c r="C6183" s="59" t="s">
        <v>3667</v>
      </c>
      <c r="D6183" s="174" t="s">
        <v>15287</v>
      </c>
      <c r="E6183" s="58" t="s">
        <v>15281</v>
      </c>
      <c r="F6183" s="58" t="s">
        <v>15288</v>
      </c>
      <c r="G6183" s="58" t="s">
        <v>15283</v>
      </c>
      <c r="H6183" s="546">
        <v>530244.56999999995</v>
      </c>
      <c r="I6183" s="66">
        <v>45214</v>
      </c>
      <c r="J6183" s="65" t="s">
        <v>15284</v>
      </c>
      <c r="K6183" s="58"/>
      <c r="L6183" s="99"/>
      <c r="M6183" s="70"/>
      <c r="N6183" s="97"/>
      <c r="O6183" s="58" t="s">
        <v>10607</v>
      </c>
      <c r="P6183" s="58" t="s">
        <v>22</v>
      </c>
      <c r="Q6183" s="58" t="s">
        <v>86</v>
      </c>
      <c r="R6183" s="58" t="s">
        <v>272</v>
      </c>
    </row>
    <row r="6184" spans="1:18" ht="69" customHeight="1">
      <c r="A6184" s="168"/>
      <c r="B6184" s="62">
        <f t="shared" si="15"/>
        <v>3323</v>
      </c>
      <c r="C6184" s="59" t="s">
        <v>3667</v>
      </c>
      <c r="D6184" s="174" t="s">
        <v>15289</v>
      </c>
      <c r="E6184" s="58" t="s">
        <v>15281</v>
      </c>
      <c r="F6184" s="58" t="s">
        <v>15290</v>
      </c>
      <c r="G6184" s="58" t="s">
        <v>15283</v>
      </c>
      <c r="H6184" s="546">
        <v>99844.14</v>
      </c>
      <c r="I6184" s="66">
        <v>45214</v>
      </c>
      <c r="J6184" s="65" t="s">
        <v>15284</v>
      </c>
      <c r="K6184" s="58"/>
      <c r="L6184" s="99"/>
      <c r="M6184" s="70"/>
      <c r="N6184" s="97"/>
      <c r="O6184" s="58" t="s">
        <v>10607</v>
      </c>
      <c r="P6184" s="58" t="s">
        <v>22</v>
      </c>
      <c r="Q6184" s="58" t="s">
        <v>66</v>
      </c>
      <c r="R6184" s="58" t="s">
        <v>272</v>
      </c>
    </row>
    <row r="6185" spans="1:18" ht="69" customHeight="1">
      <c r="A6185" s="168"/>
      <c r="B6185" s="62">
        <f t="shared" si="15"/>
        <v>3324</v>
      </c>
      <c r="C6185" s="59" t="s">
        <v>458</v>
      </c>
      <c r="D6185" s="174" t="s">
        <v>10588</v>
      </c>
      <c r="E6185" s="58" t="s">
        <v>15281</v>
      </c>
      <c r="F6185" s="58" t="s">
        <v>15291</v>
      </c>
      <c r="G6185" s="58" t="s">
        <v>15283</v>
      </c>
      <c r="H6185" s="546">
        <v>98203.18</v>
      </c>
      <c r="I6185" s="66">
        <v>45214</v>
      </c>
      <c r="J6185" s="65" t="s">
        <v>15284</v>
      </c>
      <c r="K6185" s="58"/>
      <c r="L6185" s="99"/>
      <c r="M6185" s="70"/>
      <c r="N6185" s="97"/>
      <c r="O6185" s="58" t="s">
        <v>10607</v>
      </c>
      <c r="P6185" s="58" t="s">
        <v>22</v>
      </c>
      <c r="Q6185" s="58" t="s">
        <v>117</v>
      </c>
      <c r="R6185" s="58" t="s">
        <v>272</v>
      </c>
    </row>
    <row r="6186" spans="1:18" ht="69" customHeight="1">
      <c r="A6186" s="168"/>
      <c r="B6186" s="62">
        <f t="shared" si="15"/>
        <v>3325</v>
      </c>
      <c r="C6186" s="59" t="s">
        <v>3667</v>
      </c>
      <c r="D6186" s="174" t="s">
        <v>15292</v>
      </c>
      <c r="E6186" s="58" t="s">
        <v>15281</v>
      </c>
      <c r="F6186" s="58" t="s">
        <v>15293</v>
      </c>
      <c r="G6186" s="58" t="s">
        <v>15283</v>
      </c>
      <c r="H6186" s="546">
        <v>823580.69</v>
      </c>
      <c r="I6186" s="66">
        <v>45214</v>
      </c>
      <c r="J6186" s="65" t="s">
        <v>15284</v>
      </c>
      <c r="K6186" s="58"/>
      <c r="L6186" s="99"/>
      <c r="M6186" s="70"/>
      <c r="N6186" s="97"/>
      <c r="O6186" s="58" t="s">
        <v>10607</v>
      </c>
      <c r="P6186" s="58" t="s">
        <v>22</v>
      </c>
      <c r="Q6186" s="58" t="s">
        <v>84</v>
      </c>
      <c r="R6186" s="58" t="s">
        <v>272</v>
      </c>
    </row>
    <row r="6187" spans="1:18" ht="69" customHeight="1">
      <c r="A6187" s="168"/>
      <c r="B6187" s="62">
        <f t="shared" si="15"/>
        <v>3326</v>
      </c>
      <c r="C6187" s="69" t="s">
        <v>657</v>
      </c>
      <c r="D6187" s="174" t="s">
        <v>7074</v>
      </c>
      <c r="E6187" s="58" t="s">
        <v>15281</v>
      </c>
      <c r="F6187" s="58" t="s">
        <v>15294</v>
      </c>
      <c r="G6187" s="58" t="s">
        <v>15283</v>
      </c>
      <c r="H6187" s="546">
        <v>781364.92</v>
      </c>
      <c r="I6187" s="66">
        <v>45214</v>
      </c>
      <c r="J6187" s="65" t="s">
        <v>15284</v>
      </c>
      <c r="K6187" s="58"/>
      <c r="L6187" s="99"/>
      <c r="M6187" s="70"/>
      <c r="N6187" s="97"/>
      <c r="O6187" s="58" t="s">
        <v>10607</v>
      </c>
      <c r="P6187" s="58" t="s">
        <v>22</v>
      </c>
      <c r="Q6187" s="58" t="s">
        <v>111</v>
      </c>
      <c r="R6187" s="58" t="s">
        <v>272</v>
      </c>
    </row>
    <row r="6188" spans="1:18" s="98" customFormat="1" ht="69" customHeight="1">
      <c r="A6188" s="169"/>
      <c r="B6188" s="48">
        <f t="shared" si="15"/>
        <v>3327</v>
      </c>
      <c r="C6188" s="614" t="s">
        <v>13435</v>
      </c>
      <c r="D6188" s="84" t="s">
        <v>4120</v>
      </c>
      <c r="E6188" s="44" t="s">
        <v>4173</v>
      </c>
      <c r="F6188" s="45" t="s">
        <v>15295</v>
      </c>
      <c r="G6188" s="45" t="s">
        <v>15296</v>
      </c>
      <c r="H6188" s="546">
        <v>41141.06</v>
      </c>
      <c r="I6188" s="47">
        <v>45214</v>
      </c>
      <c r="J6188" s="73" t="s">
        <v>15297</v>
      </c>
      <c r="K6188" s="45"/>
      <c r="L6188" s="99"/>
      <c r="M6188" s="385"/>
      <c r="N6188" s="75"/>
      <c r="O6188" s="45" t="s">
        <v>15298</v>
      </c>
      <c r="P6188" s="45" t="s">
        <v>22</v>
      </c>
      <c r="Q6188" s="45" t="s">
        <v>13</v>
      </c>
      <c r="R6188" s="45" t="s">
        <v>265</v>
      </c>
    </row>
    <row r="6189" spans="1:18" ht="69" customHeight="1">
      <c r="A6189" s="168"/>
      <c r="B6189" s="62">
        <f t="shared" si="15"/>
        <v>3328</v>
      </c>
      <c r="C6189" s="59" t="s">
        <v>3667</v>
      </c>
      <c r="D6189" s="174" t="s">
        <v>15299</v>
      </c>
      <c r="E6189" s="58" t="s">
        <v>13546</v>
      </c>
      <c r="F6189" s="58" t="s">
        <v>15300</v>
      </c>
      <c r="G6189" s="58" t="s">
        <v>15301</v>
      </c>
      <c r="H6189" s="546">
        <v>118607.33</v>
      </c>
      <c r="I6189" s="66">
        <v>45217</v>
      </c>
      <c r="J6189" s="65" t="s">
        <v>15302</v>
      </c>
      <c r="K6189" s="58"/>
      <c r="L6189" s="99"/>
      <c r="M6189" s="70"/>
      <c r="N6189" s="97"/>
      <c r="O6189" s="58" t="s">
        <v>10607</v>
      </c>
      <c r="P6189" s="58" t="s">
        <v>22</v>
      </c>
      <c r="Q6189" s="58" t="s">
        <v>86</v>
      </c>
      <c r="R6189" s="58" t="s">
        <v>265</v>
      </c>
    </row>
    <row r="6190" spans="1:18" ht="69" customHeight="1">
      <c r="A6190" s="168"/>
      <c r="B6190" s="62">
        <f t="shared" si="15"/>
        <v>3329</v>
      </c>
      <c r="C6190" s="59" t="s">
        <v>3667</v>
      </c>
      <c r="D6190" s="174" t="s">
        <v>15303</v>
      </c>
      <c r="E6190" s="178" t="s">
        <v>382</v>
      </c>
      <c r="F6190" s="58" t="s">
        <v>15304</v>
      </c>
      <c r="G6190" s="58" t="s">
        <v>15305</v>
      </c>
      <c r="H6190" s="546">
        <v>29180</v>
      </c>
      <c r="I6190" s="66">
        <v>45214</v>
      </c>
      <c r="J6190" s="65" t="s">
        <v>15306</v>
      </c>
      <c r="K6190" s="58"/>
      <c r="L6190" s="99"/>
      <c r="M6190" s="70"/>
      <c r="N6190" s="97"/>
      <c r="O6190" s="58" t="s">
        <v>150</v>
      </c>
      <c r="P6190" s="58" t="s">
        <v>51</v>
      </c>
      <c r="Q6190" s="58" t="s">
        <v>62</v>
      </c>
      <c r="R6190" s="58" t="s">
        <v>265</v>
      </c>
    </row>
    <row r="6191" spans="1:18" ht="69" customHeight="1">
      <c r="A6191" s="168"/>
      <c r="B6191" s="62">
        <f t="shared" si="15"/>
        <v>3330</v>
      </c>
      <c r="C6191" s="59" t="s">
        <v>3667</v>
      </c>
      <c r="D6191" s="174" t="s">
        <v>15307</v>
      </c>
      <c r="E6191" s="178" t="s">
        <v>382</v>
      </c>
      <c r="F6191" s="58" t="s">
        <v>15308</v>
      </c>
      <c r="G6191" s="58" t="s">
        <v>15305</v>
      </c>
      <c r="H6191" s="546">
        <v>29180</v>
      </c>
      <c r="I6191" s="66">
        <v>45214</v>
      </c>
      <c r="J6191" s="65" t="s">
        <v>15306</v>
      </c>
      <c r="K6191" s="58"/>
      <c r="L6191" s="99"/>
      <c r="M6191" s="70"/>
      <c r="N6191" s="97"/>
      <c r="O6191" s="58" t="s">
        <v>150</v>
      </c>
      <c r="P6191" s="58" t="s">
        <v>51</v>
      </c>
      <c r="Q6191" s="58" t="s">
        <v>60</v>
      </c>
      <c r="R6191" s="58" t="s">
        <v>265</v>
      </c>
    </row>
    <row r="6192" spans="1:18" ht="69" customHeight="1">
      <c r="A6192" s="170"/>
      <c r="B6192" s="261">
        <f t="shared" si="15"/>
        <v>3331</v>
      </c>
      <c r="C6192" s="256" t="s">
        <v>309</v>
      </c>
      <c r="D6192" s="255" t="s">
        <v>96</v>
      </c>
      <c r="E6192" s="118" t="s">
        <v>15309</v>
      </c>
      <c r="F6192" s="118" t="s">
        <v>15310</v>
      </c>
      <c r="G6192" s="118" t="s">
        <v>15311</v>
      </c>
      <c r="H6192" s="300">
        <v>3950</v>
      </c>
      <c r="I6192" s="262" t="s">
        <v>96</v>
      </c>
      <c r="J6192" s="258" t="s">
        <v>15312</v>
      </c>
      <c r="K6192" s="118"/>
      <c r="L6192" s="99"/>
      <c r="M6192" s="386"/>
      <c r="N6192" s="223"/>
      <c r="O6192" s="118" t="s">
        <v>15313</v>
      </c>
      <c r="P6192" s="118" t="s">
        <v>67</v>
      </c>
      <c r="Q6192" s="118" t="s">
        <v>39</v>
      </c>
      <c r="R6192" s="118" t="s">
        <v>272</v>
      </c>
    </row>
    <row r="6193" spans="1:18" s="98" customFormat="1" ht="69" customHeight="1">
      <c r="A6193" s="169"/>
      <c r="B6193" s="259">
        <f t="shared" si="15"/>
        <v>3332</v>
      </c>
      <c r="C6193" s="207" t="s">
        <v>12081</v>
      </c>
      <c r="D6193" s="303" t="s">
        <v>1659</v>
      </c>
      <c r="E6193" s="207" t="s">
        <v>266</v>
      </c>
      <c r="F6193" s="160" t="s">
        <v>15314</v>
      </c>
      <c r="G6193" s="160" t="s">
        <v>15315</v>
      </c>
      <c r="H6193" s="300">
        <v>205210.21</v>
      </c>
      <c r="I6193" s="209">
        <v>45194</v>
      </c>
      <c r="J6193" s="316" t="s">
        <v>15316</v>
      </c>
      <c r="K6193" s="160" t="s">
        <v>67</v>
      </c>
      <c r="M6193" s="385"/>
      <c r="N6193" s="75"/>
      <c r="O6193" s="160" t="s">
        <v>15317</v>
      </c>
      <c r="P6193" s="160" t="s">
        <v>67</v>
      </c>
      <c r="Q6193" s="160" t="s">
        <v>96</v>
      </c>
      <c r="R6193" s="160" t="s">
        <v>272</v>
      </c>
    </row>
    <row r="6194" spans="1:18" s="98" customFormat="1" ht="69" customHeight="1">
      <c r="A6194" s="169"/>
      <c r="B6194" s="48">
        <f t="shared" ref="B6194:B6257" si="16">B6193+1</f>
        <v>3333</v>
      </c>
      <c r="C6194" s="59" t="s">
        <v>1853</v>
      </c>
      <c r="D6194" s="84" t="s">
        <v>14532</v>
      </c>
      <c r="E6194" s="59" t="s">
        <v>4173</v>
      </c>
      <c r="F6194" s="45" t="s">
        <v>15318</v>
      </c>
      <c r="G6194" s="45" t="s">
        <v>15319</v>
      </c>
      <c r="H6194" s="546">
        <v>38428</v>
      </c>
      <c r="I6194" s="47">
        <v>45214</v>
      </c>
      <c r="J6194" s="73" t="s">
        <v>15320</v>
      </c>
      <c r="K6194" s="45"/>
      <c r="L6194" s="99"/>
      <c r="M6194" s="385"/>
      <c r="N6194" s="75"/>
      <c r="O6194" s="45" t="s">
        <v>441</v>
      </c>
      <c r="P6194" s="45" t="s">
        <v>22</v>
      </c>
      <c r="Q6194" s="45" t="s">
        <v>29</v>
      </c>
      <c r="R6194" s="45" t="s">
        <v>265</v>
      </c>
    </row>
    <row r="6195" spans="1:18" s="98" customFormat="1" ht="69" customHeight="1">
      <c r="A6195" s="169"/>
      <c r="B6195" s="48">
        <f t="shared" si="16"/>
        <v>3334</v>
      </c>
      <c r="C6195" s="45" t="s">
        <v>14414</v>
      </c>
      <c r="D6195" s="84" t="s">
        <v>4539</v>
      </c>
      <c r="E6195" s="59" t="s">
        <v>4173</v>
      </c>
      <c r="F6195" s="45" t="s">
        <v>15321</v>
      </c>
      <c r="G6195" s="45" t="s">
        <v>15319</v>
      </c>
      <c r="H6195" s="546">
        <v>38000</v>
      </c>
      <c r="I6195" s="47">
        <v>45214</v>
      </c>
      <c r="J6195" s="73" t="s">
        <v>15320</v>
      </c>
      <c r="K6195" s="45"/>
      <c r="L6195" s="99"/>
      <c r="M6195" s="385"/>
      <c r="N6195" s="75"/>
      <c r="O6195" s="45" t="s">
        <v>441</v>
      </c>
      <c r="P6195" s="45" t="s">
        <v>22</v>
      </c>
      <c r="Q6195" s="45" t="s">
        <v>33</v>
      </c>
      <c r="R6195" s="45" t="s">
        <v>265</v>
      </c>
    </row>
    <row r="6196" spans="1:18" s="98" customFormat="1" ht="69" customHeight="1">
      <c r="A6196" s="169"/>
      <c r="B6196" s="52">
        <f t="shared" si="16"/>
        <v>3335</v>
      </c>
      <c r="C6196" s="46" t="s">
        <v>14414</v>
      </c>
      <c r="D6196" s="251" t="s">
        <v>4535</v>
      </c>
      <c r="E6196" s="191" t="s">
        <v>266</v>
      </c>
      <c r="F6196" s="46" t="s">
        <v>15322</v>
      </c>
      <c r="G6196" s="46" t="s">
        <v>15323</v>
      </c>
      <c r="H6196" s="534">
        <v>1260</v>
      </c>
      <c r="I6196" s="56">
        <v>45214</v>
      </c>
      <c r="J6196" s="199" t="s">
        <v>15324</v>
      </c>
      <c r="K6196" s="46" t="s">
        <v>15325</v>
      </c>
      <c r="L6196" s="99"/>
      <c r="M6196" s="385"/>
      <c r="N6196" s="75"/>
      <c r="O6196" s="46" t="s">
        <v>15326</v>
      </c>
      <c r="P6196" s="46" t="s">
        <v>65</v>
      </c>
      <c r="Q6196" s="46" t="s">
        <v>33</v>
      </c>
      <c r="R6196" s="46" t="s">
        <v>272</v>
      </c>
    </row>
    <row r="6197" spans="1:18" ht="69" customHeight="1">
      <c r="A6197" s="168"/>
      <c r="B6197" s="62">
        <f t="shared" si="16"/>
        <v>3336</v>
      </c>
      <c r="C6197" s="58" t="s">
        <v>14414</v>
      </c>
      <c r="D6197" s="174" t="s">
        <v>14601</v>
      </c>
      <c r="E6197" s="72" t="s">
        <v>4173</v>
      </c>
      <c r="F6197" s="58" t="s">
        <v>15327</v>
      </c>
      <c r="G6197" s="45" t="s">
        <v>15328</v>
      </c>
      <c r="H6197" s="546">
        <v>25000</v>
      </c>
      <c r="I6197" s="66">
        <v>45214</v>
      </c>
      <c r="J6197" s="65" t="s">
        <v>15329</v>
      </c>
      <c r="K6197" s="58"/>
      <c r="L6197" s="99"/>
      <c r="M6197" s="70"/>
      <c r="N6197" s="97"/>
      <c r="O6197" s="58" t="s">
        <v>441</v>
      </c>
      <c r="P6197" s="58" t="s">
        <v>22</v>
      </c>
      <c r="Q6197" s="58" t="s">
        <v>33</v>
      </c>
      <c r="R6197" s="58" t="s">
        <v>265</v>
      </c>
    </row>
    <row r="6198" spans="1:18" ht="69" customHeight="1">
      <c r="A6198" s="168"/>
      <c r="B6198" s="52">
        <f t="shared" si="16"/>
        <v>3337</v>
      </c>
      <c r="C6198" s="191" t="s">
        <v>3331</v>
      </c>
      <c r="D6198" s="251" t="s">
        <v>4720</v>
      </c>
      <c r="E6198" s="191" t="s">
        <v>10662</v>
      </c>
      <c r="F6198" s="46" t="s">
        <v>15330</v>
      </c>
      <c r="G6198" s="46" t="s">
        <v>15331</v>
      </c>
      <c r="H6198" s="534">
        <v>12858.59</v>
      </c>
      <c r="I6198" s="56">
        <v>45204</v>
      </c>
      <c r="J6198" s="199" t="s">
        <v>15332</v>
      </c>
      <c r="K6198" s="46" t="s">
        <v>167</v>
      </c>
      <c r="L6198" s="99"/>
      <c r="M6198" s="70"/>
      <c r="N6198" s="97"/>
      <c r="O6198" s="46" t="s">
        <v>141</v>
      </c>
      <c r="P6198" s="46" t="s">
        <v>65</v>
      </c>
      <c r="Q6198" s="46" t="s">
        <v>41</v>
      </c>
      <c r="R6198" s="46" t="s">
        <v>272</v>
      </c>
    </row>
    <row r="6199" spans="1:18" ht="69" customHeight="1">
      <c r="A6199" s="168"/>
      <c r="B6199" s="62">
        <f t="shared" si="16"/>
        <v>3338</v>
      </c>
      <c r="C6199" s="69" t="s">
        <v>657</v>
      </c>
      <c r="D6199" s="174" t="s">
        <v>10617</v>
      </c>
      <c r="E6199" s="178" t="s">
        <v>382</v>
      </c>
      <c r="F6199" s="58" t="s">
        <v>15333</v>
      </c>
      <c r="G6199" s="58" t="s">
        <v>15334</v>
      </c>
      <c r="H6199" s="546">
        <v>2477.98</v>
      </c>
      <c r="I6199" s="66">
        <v>45204</v>
      </c>
      <c r="J6199" s="65" t="s">
        <v>15335</v>
      </c>
      <c r="K6199" s="58"/>
      <c r="L6199" s="99"/>
      <c r="M6199" s="70"/>
      <c r="N6199" s="97"/>
      <c r="O6199" s="58" t="s">
        <v>150</v>
      </c>
      <c r="P6199" s="58" t="s">
        <v>51</v>
      </c>
      <c r="Q6199" s="58" t="s">
        <v>120</v>
      </c>
      <c r="R6199" s="58" t="s">
        <v>265</v>
      </c>
    </row>
    <row r="6200" spans="1:18" ht="69" customHeight="1">
      <c r="A6200" s="168"/>
      <c r="B6200" s="62">
        <f t="shared" si="16"/>
        <v>3339</v>
      </c>
      <c r="C6200" s="45" t="s">
        <v>14414</v>
      </c>
      <c r="D6200" s="84" t="s">
        <v>4722</v>
      </c>
      <c r="E6200" s="59" t="s">
        <v>4173</v>
      </c>
      <c r="F6200" s="45" t="s">
        <v>15336</v>
      </c>
      <c r="G6200" s="45" t="s">
        <v>15337</v>
      </c>
      <c r="H6200" s="546">
        <v>30000</v>
      </c>
      <c r="I6200" s="47">
        <v>45214</v>
      </c>
      <c r="J6200" s="73" t="s">
        <v>15338</v>
      </c>
      <c r="K6200" s="58"/>
      <c r="L6200" s="99"/>
      <c r="M6200" s="70"/>
      <c r="N6200" s="97"/>
      <c r="O6200" s="58" t="s">
        <v>441</v>
      </c>
      <c r="P6200" s="58" t="s">
        <v>22</v>
      </c>
      <c r="Q6200" s="58" t="s">
        <v>33</v>
      </c>
      <c r="R6200" s="58" t="s">
        <v>265</v>
      </c>
    </row>
    <row r="6201" spans="1:18" s="98" customFormat="1" ht="69" customHeight="1">
      <c r="A6201" s="169"/>
      <c r="B6201" s="52">
        <f t="shared" si="16"/>
        <v>3340</v>
      </c>
      <c r="C6201" s="191" t="s">
        <v>10947</v>
      </c>
      <c r="D6201" s="251" t="s">
        <v>10743</v>
      </c>
      <c r="E6201" s="46" t="s">
        <v>266</v>
      </c>
      <c r="F6201" s="46" t="s">
        <v>15339</v>
      </c>
      <c r="G6201" s="46" t="s">
        <v>15340</v>
      </c>
      <c r="H6201" s="534">
        <v>1875</v>
      </c>
      <c r="I6201" s="56">
        <v>45214</v>
      </c>
      <c r="J6201" s="199" t="s">
        <v>15341</v>
      </c>
      <c r="K6201" s="46" t="s">
        <v>65</v>
      </c>
      <c r="L6201" s="99"/>
      <c r="M6201" s="385"/>
      <c r="N6201" s="75"/>
      <c r="O6201" s="46" t="s">
        <v>13735</v>
      </c>
      <c r="P6201" s="46" t="s">
        <v>65</v>
      </c>
      <c r="Q6201" s="46" t="s">
        <v>100</v>
      </c>
      <c r="R6201" s="46" t="s">
        <v>272</v>
      </c>
    </row>
    <row r="6202" spans="1:18" s="98" customFormat="1" ht="69" customHeight="1">
      <c r="A6202" s="169"/>
      <c r="B6202" s="259">
        <f t="shared" si="16"/>
        <v>3341</v>
      </c>
      <c r="C6202" s="207" t="s">
        <v>309</v>
      </c>
      <c r="D6202" s="303" t="s">
        <v>4824</v>
      </c>
      <c r="E6202" s="160" t="s">
        <v>350</v>
      </c>
      <c r="F6202" s="160" t="s">
        <v>14319</v>
      </c>
      <c r="G6202" s="160" t="s">
        <v>15342</v>
      </c>
      <c r="H6202" s="300">
        <v>118860</v>
      </c>
      <c r="I6202" s="209">
        <v>45198</v>
      </c>
      <c r="J6202" s="413" t="s">
        <v>14320</v>
      </c>
      <c r="K6202" s="307" t="s">
        <v>15343</v>
      </c>
      <c r="M6202" s="385"/>
      <c r="N6202" s="75"/>
      <c r="O6202" s="160"/>
      <c r="P6202" s="160" t="s">
        <v>67</v>
      </c>
      <c r="Q6202" s="160" t="s">
        <v>41</v>
      </c>
      <c r="R6202" s="160" t="s">
        <v>272</v>
      </c>
    </row>
    <row r="6203" spans="1:18" s="98" customFormat="1" ht="69" customHeight="1">
      <c r="A6203" s="169"/>
      <c r="B6203" s="259">
        <f t="shared" si="16"/>
        <v>3342</v>
      </c>
      <c r="C6203" s="207" t="s">
        <v>12081</v>
      </c>
      <c r="D6203" s="303" t="s">
        <v>2670</v>
      </c>
      <c r="E6203" s="207" t="s">
        <v>266</v>
      </c>
      <c r="F6203" s="160" t="s">
        <v>15344</v>
      </c>
      <c r="G6203" s="160" t="s">
        <v>15345</v>
      </c>
      <c r="H6203" s="300">
        <v>9877.26</v>
      </c>
      <c r="I6203" s="209">
        <v>45204</v>
      </c>
      <c r="J6203" s="316" t="s">
        <v>15346</v>
      </c>
      <c r="K6203" s="160" t="s">
        <v>67</v>
      </c>
      <c r="M6203" s="385"/>
      <c r="N6203" s="75"/>
      <c r="O6203" s="160" t="s">
        <v>15347</v>
      </c>
      <c r="P6203" s="160" t="s">
        <v>67</v>
      </c>
      <c r="Q6203" s="160" t="s">
        <v>96</v>
      </c>
      <c r="R6203" s="160" t="s">
        <v>272</v>
      </c>
    </row>
    <row r="6204" spans="1:18" s="98" customFormat="1" ht="69" customHeight="1">
      <c r="A6204" s="169"/>
      <c r="B6204" s="259">
        <f t="shared" si="16"/>
        <v>3343</v>
      </c>
      <c r="C6204" s="207" t="s">
        <v>12081</v>
      </c>
      <c r="D6204" s="303" t="s">
        <v>2900</v>
      </c>
      <c r="E6204" s="207" t="s">
        <v>266</v>
      </c>
      <c r="F6204" s="160" t="s">
        <v>15348</v>
      </c>
      <c r="G6204" s="160" t="s">
        <v>15349</v>
      </c>
      <c r="H6204" s="300">
        <v>1394.05</v>
      </c>
      <c r="I6204" s="209">
        <v>45204</v>
      </c>
      <c r="J6204" s="316" t="s">
        <v>15346</v>
      </c>
      <c r="K6204" s="160" t="s">
        <v>67</v>
      </c>
      <c r="M6204" s="385"/>
      <c r="N6204" s="75"/>
      <c r="O6204" s="160"/>
      <c r="P6204" s="160" t="s">
        <v>67</v>
      </c>
      <c r="Q6204" s="160" t="s">
        <v>96</v>
      </c>
      <c r="R6204" s="160" t="s">
        <v>272</v>
      </c>
    </row>
    <row r="6205" spans="1:18" s="98" customFormat="1" ht="69" customHeight="1">
      <c r="A6205" s="169"/>
      <c r="B6205" s="259">
        <f t="shared" si="16"/>
        <v>3344</v>
      </c>
      <c r="C6205" s="207" t="s">
        <v>309</v>
      </c>
      <c r="D6205" s="303" t="s">
        <v>14761</v>
      </c>
      <c r="E6205" s="207" t="s">
        <v>266</v>
      </c>
      <c r="F6205" s="160" t="s">
        <v>15350</v>
      </c>
      <c r="G6205" s="160" t="s">
        <v>15351</v>
      </c>
      <c r="H6205" s="300">
        <v>2881.92</v>
      </c>
      <c r="I6205" s="209">
        <v>45214</v>
      </c>
      <c r="J6205" s="316" t="s">
        <v>15352</v>
      </c>
      <c r="K6205" s="160" t="s">
        <v>4128</v>
      </c>
      <c r="M6205" s="385"/>
      <c r="N6205" s="75"/>
      <c r="O6205" s="160"/>
      <c r="P6205" s="160" t="s">
        <v>67</v>
      </c>
      <c r="Q6205" s="160" t="s">
        <v>104</v>
      </c>
      <c r="R6205" s="160" t="s">
        <v>272</v>
      </c>
    </row>
    <row r="6206" spans="1:18" ht="69" customHeight="1">
      <c r="A6206" s="168"/>
      <c r="B6206" s="62">
        <f t="shared" si="16"/>
        <v>3345</v>
      </c>
      <c r="C6206" s="59" t="s">
        <v>8797</v>
      </c>
      <c r="D6206" s="611" t="s">
        <v>15353</v>
      </c>
      <c r="E6206" s="55" t="s">
        <v>409</v>
      </c>
      <c r="F6206" s="45" t="s">
        <v>15354</v>
      </c>
      <c r="G6206" s="45" t="s">
        <v>15355</v>
      </c>
      <c r="H6206" s="546">
        <v>39013.519999999997</v>
      </c>
      <c r="I6206" s="47">
        <v>45224</v>
      </c>
      <c r="J6206" s="73" t="s">
        <v>15356</v>
      </c>
      <c r="K6206" s="58"/>
      <c r="L6206" s="99"/>
      <c r="M6206" s="70"/>
      <c r="N6206" s="97"/>
      <c r="O6206" s="58" t="s">
        <v>8228</v>
      </c>
      <c r="P6206" s="58" t="s">
        <v>59</v>
      </c>
      <c r="Q6206" s="58" t="s">
        <v>110</v>
      </c>
      <c r="R6206" s="58" t="s">
        <v>272</v>
      </c>
    </row>
    <row r="6207" spans="1:18" ht="69" customHeight="1">
      <c r="A6207" s="168"/>
      <c r="B6207" s="62">
        <f t="shared" si="16"/>
        <v>3346</v>
      </c>
      <c r="C6207" s="59" t="s">
        <v>8797</v>
      </c>
      <c r="D6207" s="611" t="s">
        <v>1919</v>
      </c>
      <c r="E6207" s="55" t="s">
        <v>409</v>
      </c>
      <c r="F6207" s="45" t="s">
        <v>15357</v>
      </c>
      <c r="G6207" s="45" t="s">
        <v>15358</v>
      </c>
      <c r="H6207" s="546">
        <v>156054.1</v>
      </c>
      <c r="I6207" s="47">
        <v>45224</v>
      </c>
      <c r="J6207" s="73" t="s">
        <v>15356</v>
      </c>
      <c r="K6207" s="58"/>
      <c r="L6207" s="99"/>
      <c r="M6207" s="70"/>
      <c r="N6207" s="97"/>
      <c r="O6207" s="58" t="s">
        <v>8228</v>
      </c>
      <c r="P6207" s="58" t="s">
        <v>59</v>
      </c>
      <c r="Q6207" s="58" t="s">
        <v>110</v>
      </c>
      <c r="R6207" s="58" t="s">
        <v>272</v>
      </c>
    </row>
    <row r="6208" spans="1:18" s="98" customFormat="1" ht="69" customHeight="1">
      <c r="A6208" s="169"/>
      <c r="B6208" s="52">
        <f t="shared" si="16"/>
        <v>3347</v>
      </c>
      <c r="C6208" s="191" t="s">
        <v>10937</v>
      </c>
      <c r="D6208" s="251" t="s">
        <v>2871</v>
      </c>
      <c r="E6208" s="46" t="s">
        <v>15359</v>
      </c>
      <c r="F6208" s="46" t="s">
        <v>15360</v>
      </c>
      <c r="G6208" s="46" t="s">
        <v>15361</v>
      </c>
      <c r="H6208" s="534">
        <v>27629.279999999999</v>
      </c>
      <c r="I6208" s="56">
        <v>45224</v>
      </c>
      <c r="J6208" s="199" t="s">
        <v>15362</v>
      </c>
      <c r="K6208" s="46" t="s">
        <v>1170</v>
      </c>
      <c r="L6208" s="99"/>
      <c r="M6208" s="385"/>
      <c r="N6208" s="75"/>
      <c r="O6208" s="46" t="s">
        <v>15363</v>
      </c>
      <c r="P6208" s="46" t="s">
        <v>65</v>
      </c>
      <c r="Q6208" s="46" t="s">
        <v>104</v>
      </c>
      <c r="R6208" s="46" t="s">
        <v>272</v>
      </c>
    </row>
    <row r="6209" spans="1:18" s="98" customFormat="1" ht="69" customHeight="1">
      <c r="A6209" s="169"/>
      <c r="B6209" s="259">
        <f t="shared" si="16"/>
        <v>3348</v>
      </c>
      <c r="C6209" s="207" t="s">
        <v>309</v>
      </c>
      <c r="D6209" s="301" t="s">
        <v>14726</v>
      </c>
      <c r="E6209" s="207" t="s">
        <v>305</v>
      </c>
      <c r="F6209" s="208" t="s">
        <v>15364</v>
      </c>
      <c r="G6209" s="160" t="s">
        <v>13201</v>
      </c>
      <c r="H6209" s="300">
        <v>17448.62</v>
      </c>
      <c r="I6209" s="209">
        <v>45224</v>
      </c>
      <c r="J6209" s="316" t="s">
        <v>15365</v>
      </c>
      <c r="K6209" s="160" t="s">
        <v>67</v>
      </c>
      <c r="M6209" s="385"/>
      <c r="N6209" s="75"/>
      <c r="O6209" s="160" t="s">
        <v>15366</v>
      </c>
      <c r="P6209" s="160" t="s">
        <v>67</v>
      </c>
      <c r="Q6209" s="160" t="s">
        <v>96</v>
      </c>
      <c r="R6209" s="160" t="s">
        <v>272</v>
      </c>
    </row>
    <row r="6210" spans="1:18" s="98" customFormat="1" ht="69" customHeight="1">
      <c r="A6210" s="169"/>
      <c r="B6210" s="48">
        <f t="shared" si="16"/>
        <v>3349</v>
      </c>
      <c r="C6210" s="59" t="s">
        <v>13435</v>
      </c>
      <c r="D6210" s="581" t="s">
        <v>14735</v>
      </c>
      <c r="E6210" s="59" t="s">
        <v>13436</v>
      </c>
      <c r="F6210" s="569" t="s">
        <v>15367</v>
      </c>
      <c r="G6210" s="45" t="s">
        <v>15368</v>
      </c>
      <c r="H6210" s="546">
        <v>125800.53</v>
      </c>
      <c r="I6210" s="66" t="s">
        <v>96</v>
      </c>
      <c r="J6210" s="73" t="s">
        <v>15369</v>
      </c>
      <c r="K6210" s="45"/>
      <c r="L6210" s="99"/>
      <c r="M6210" s="392"/>
      <c r="N6210" s="83"/>
      <c r="O6210" s="45" t="s">
        <v>154</v>
      </c>
      <c r="P6210" s="45" t="s">
        <v>59</v>
      </c>
      <c r="Q6210" s="45" t="s">
        <v>13</v>
      </c>
      <c r="R6210" s="45" t="s">
        <v>272</v>
      </c>
    </row>
    <row r="6211" spans="1:18" ht="69" customHeight="1">
      <c r="A6211" s="168"/>
      <c r="B6211" s="48">
        <f t="shared" si="16"/>
        <v>3350</v>
      </c>
      <c r="C6211" s="45" t="s">
        <v>458</v>
      </c>
      <c r="D6211" s="84" t="s">
        <v>15370</v>
      </c>
      <c r="E6211" s="55" t="s">
        <v>409</v>
      </c>
      <c r="F6211" s="45" t="s">
        <v>15371</v>
      </c>
      <c r="G6211" s="45" t="s">
        <v>15372</v>
      </c>
      <c r="H6211" s="546">
        <v>7186.36</v>
      </c>
      <c r="I6211" s="47">
        <v>45224</v>
      </c>
      <c r="J6211" s="73" t="s">
        <v>15373</v>
      </c>
      <c r="K6211" s="45"/>
      <c r="L6211" s="99"/>
      <c r="M6211" s="70"/>
      <c r="N6211" s="97"/>
      <c r="O6211" s="58" t="s">
        <v>8228</v>
      </c>
      <c r="P6211" s="58" t="s">
        <v>59</v>
      </c>
      <c r="Q6211" s="58" t="s">
        <v>103</v>
      </c>
      <c r="R6211" s="58" t="s">
        <v>272</v>
      </c>
    </row>
    <row r="6212" spans="1:18" ht="69" customHeight="1">
      <c r="A6212" s="168"/>
      <c r="B6212" s="48">
        <f t="shared" si="16"/>
        <v>3351</v>
      </c>
      <c r="C6212" s="45" t="s">
        <v>458</v>
      </c>
      <c r="D6212" s="84" t="s">
        <v>15374</v>
      </c>
      <c r="E6212" s="55" t="s">
        <v>409</v>
      </c>
      <c r="F6212" s="45" t="s">
        <v>15375</v>
      </c>
      <c r="G6212" s="45" t="s">
        <v>15376</v>
      </c>
      <c r="H6212" s="546">
        <v>28745.439999999999</v>
      </c>
      <c r="I6212" s="47">
        <v>45224</v>
      </c>
      <c r="J6212" s="73" t="s">
        <v>15373</v>
      </c>
      <c r="K6212" s="45"/>
      <c r="L6212" s="99"/>
      <c r="M6212" s="70"/>
      <c r="N6212" s="97"/>
      <c r="O6212" s="58" t="s">
        <v>8228</v>
      </c>
      <c r="P6212" s="58" t="s">
        <v>59</v>
      </c>
      <c r="Q6212" s="58" t="s">
        <v>103</v>
      </c>
      <c r="R6212" s="58" t="s">
        <v>272</v>
      </c>
    </row>
    <row r="6213" spans="1:18" s="98" customFormat="1" ht="69" customHeight="1">
      <c r="A6213" s="168"/>
      <c r="B6213" s="62">
        <f t="shared" si="16"/>
        <v>3352</v>
      </c>
      <c r="C6213" s="72" t="s">
        <v>15377</v>
      </c>
      <c r="D6213" s="174" t="s">
        <v>15378</v>
      </c>
      <c r="E6213" s="58" t="s">
        <v>14444</v>
      </c>
      <c r="F6213" s="58" t="s">
        <v>15379</v>
      </c>
      <c r="G6213" s="58" t="s">
        <v>15380</v>
      </c>
      <c r="H6213" s="546">
        <v>110482.4</v>
      </c>
      <c r="I6213" s="66">
        <v>45224</v>
      </c>
      <c r="J6213" s="65" t="s">
        <v>15381</v>
      </c>
      <c r="K6213" s="58"/>
      <c r="L6213" s="99"/>
      <c r="M6213" s="385"/>
      <c r="N6213" s="75"/>
      <c r="O6213" s="45" t="s">
        <v>154</v>
      </c>
      <c r="P6213" s="45" t="s">
        <v>57</v>
      </c>
      <c r="Q6213" s="45" t="s">
        <v>70</v>
      </c>
      <c r="R6213" s="45" t="s">
        <v>272</v>
      </c>
    </row>
    <row r="6214" spans="1:18" ht="69" customHeight="1">
      <c r="A6214" s="168"/>
      <c r="B6214" s="62">
        <f t="shared" si="16"/>
        <v>3353</v>
      </c>
      <c r="C6214" s="59" t="s">
        <v>3667</v>
      </c>
      <c r="D6214" s="575" t="s">
        <v>96</v>
      </c>
      <c r="E6214" s="178" t="s">
        <v>283</v>
      </c>
      <c r="F6214" s="210" t="s">
        <v>15382</v>
      </c>
      <c r="G6214" s="58" t="s">
        <v>5946</v>
      </c>
      <c r="H6214" s="546">
        <v>50000</v>
      </c>
      <c r="I6214" s="66">
        <v>44496</v>
      </c>
      <c r="J6214" s="615" t="s">
        <v>96</v>
      </c>
      <c r="K6214" s="58" t="s">
        <v>15383</v>
      </c>
      <c r="L6214" s="99"/>
      <c r="M6214" s="70"/>
      <c r="N6214" s="97"/>
      <c r="O6214" s="596" t="s">
        <v>141</v>
      </c>
      <c r="P6214" s="58" t="s">
        <v>17</v>
      </c>
      <c r="Q6214" s="58" t="s">
        <v>68</v>
      </c>
      <c r="R6214" s="58" t="s">
        <v>272</v>
      </c>
    </row>
    <row r="6215" spans="1:18" ht="69" customHeight="1">
      <c r="A6215" s="168"/>
      <c r="B6215" s="62">
        <f t="shared" si="16"/>
        <v>3354</v>
      </c>
      <c r="C6215" s="59" t="s">
        <v>3667</v>
      </c>
      <c r="D6215" s="575"/>
      <c r="E6215" s="178" t="s">
        <v>15384</v>
      </c>
      <c r="F6215" s="210" t="s">
        <v>15385</v>
      </c>
      <c r="G6215" s="58" t="s">
        <v>5946</v>
      </c>
      <c r="H6215" s="546">
        <v>62500</v>
      </c>
      <c r="I6215" s="66">
        <v>44496</v>
      </c>
      <c r="J6215" s="65"/>
      <c r="K6215" s="58" t="s">
        <v>15383</v>
      </c>
      <c r="L6215" s="99"/>
      <c r="M6215" s="70"/>
      <c r="N6215" s="97"/>
      <c r="O6215" s="58" t="s">
        <v>15386</v>
      </c>
      <c r="P6215" s="58" t="s">
        <v>17</v>
      </c>
      <c r="Q6215" s="58" t="s">
        <v>70</v>
      </c>
      <c r="R6215" s="58" t="s">
        <v>265</v>
      </c>
    </row>
    <row r="6216" spans="1:18" ht="69" customHeight="1">
      <c r="A6216" s="168"/>
      <c r="B6216" s="62">
        <f t="shared" si="16"/>
        <v>3355</v>
      </c>
      <c r="C6216" s="72" t="s">
        <v>5558</v>
      </c>
      <c r="D6216" s="575" t="s">
        <v>96</v>
      </c>
      <c r="E6216" s="178" t="s">
        <v>283</v>
      </c>
      <c r="F6216" s="210" t="s">
        <v>15387</v>
      </c>
      <c r="G6216" s="58" t="s">
        <v>5946</v>
      </c>
      <c r="H6216" s="546">
        <v>28000</v>
      </c>
      <c r="I6216" s="66">
        <v>44496</v>
      </c>
      <c r="J6216" s="615" t="s">
        <v>96</v>
      </c>
      <c r="K6216" s="58" t="s">
        <v>15388</v>
      </c>
      <c r="L6216" s="99"/>
      <c r="M6216" s="70"/>
      <c r="N6216" s="97"/>
      <c r="O6216" s="596" t="s">
        <v>141</v>
      </c>
      <c r="P6216" s="58" t="s">
        <v>17</v>
      </c>
      <c r="Q6216" s="58" t="s">
        <v>68</v>
      </c>
      <c r="R6216" s="58" t="s">
        <v>272</v>
      </c>
    </row>
    <row r="6217" spans="1:18" ht="69" customHeight="1">
      <c r="A6217" s="168"/>
      <c r="B6217" s="62">
        <f t="shared" si="16"/>
        <v>3356</v>
      </c>
      <c r="C6217" s="72" t="s">
        <v>5558</v>
      </c>
      <c r="D6217" s="575" t="s">
        <v>96</v>
      </c>
      <c r="E6217" s="178" t="s">
        <v>283</v>
      </c>
      <c r="F6217" s="210" t="s">
        <v>15389</v>
      </c>
      <c r="G6217" s="58" t="s">
        <v>5946</v>
      </c>
      <c r="H6217" s="546">
        <v>142000</v>
      </c>
      <c r="I6217" s="66">
        <v>44581</v>
      </c>
      <c r="J6217" s="615" t="s">
        <v>96</v>
      </c>
      <c r="K6217" s="58" t="s">
        <v>15383</v>
      </c>
      <c r="L6217" s="99"/>
      <c r="M6217" s="70"/>
      <c r="N6217" s="97"/>
      <c r="O6217" s="596" t="s">
        <v>141</v>
      </c>
      <c r="P6217" s="58" t="s">
        <v>17</v>
      </c>
      <c r="Q6217" s="58" t="s">
        <v>64</v>
      </c>
      <c r="R6217" s="58" t="s">
        <v>272</v>
      </c>
    </row>
    <row r="6218" spans="1:18" s="98" customFormat="1" ht="69" customHeight="1">
      <c r="A6218" s="169"/>
      <c r="B6218" s="48">
        <f t="shared" si="16"/>
        <v>3357</v>
      </c>
      <c r="C6218" s="59" t="s">
        <v>5558</v>
      </c>
      <c r="D6218" s="581" t="s">
        <v>15390</v>
      </c>
      <c r="E6218" s="59" t="s">
        <v>4033</v>
      </c>
      <c r="F6218" s="569" t="s">
        <v>15391</v>
      </c>
      <c r="G6218" s="45" t="s">
        <v>15392</v>
      </c>
      <c r="H6218" s="546">
        <v>167257.65</v>
      </c>
      <c r="I6218" s="47">
        <v>45224</v>
      </c>
      <c r="J6218" s="73" t="s">
        <v>15393</v>
      </c>
      <c r="K6218" s="45"/>
      <c r="L6218" s="99"/>
      <c r="M6218" s="385"/>
      <c r="N6218" s="75"/>
      <c r="O6218" s="45" t="s">
        <v>441</v>
      </c>
      <c r="P6218" s="45" t="s">
        <v>22</v>
      </c>
      <c r="Q6218" s="45" t="s">
        <v>64</v>
      </c>
      <c r="R6218" s="45" t="s">
        <v>272</v>
      </c>
    </row>
    <row r="6219" spans="1:18" s="98" customFormat="1" ht="69" customHeight="1">
      <c r="A6219" s="169"/>
      <c r="B6219" s="52">
        <f t="shared" si="16"/>
        <v>3358</v>
      </c>
      <c r="C6219" s="191" t="s">
        <v>458</v>
      </c>
      <c r="D6219" s="533" t="s">
        <v>10797</v>
      </c>
      <c r="E6219" s="191" t="s">
        <v>266</v>
      </c>
      <c r="F6219" s="211" t="s">
        <v>15394</v>
      </c>
      <c r="G6219" s="46" t="s">
        <v>15395</v>
      </c>
      <c r="H6219" s="534">
        <v>16415</v>
      </c>
      <c r="I6219" s="56">
        <v>45224</v>
      </c>
      <c r="J6219" s="199" t="s">
        <v>15396</v>
      </c>
      <c r="K6219" s="46" t="s">
        <v>5103</v>
      </c>
      <c r="L6219" s="99"/>
      <c r="M6219" s="385"/>
      <c r="N6219" s="75"/>
      <c r="O6219" s="46" t="s">
        <v>15397</v>
      </c>
      <c r="P6219" s="46" t="s">
        <v>65</v>
      </c>
      <c r="Q6219" s="46" t="s">
        <v>88</v>
      </c>
      <c r="R6219" s="46" t="s">
        <v>272</v>
      </c>
    </row>
    <row r="6220" spans="1:18" ht="69" customHeight="1">
      <c r="A6220" s="168"/>
      <c r="B6220" s="62">
        <f t="shared" si="16"/>
        <v>3359</v>
      </c>
      <c r="C6220" s="575" t="s">
        <v>309</v>
      </c>
      <c r="D6220" s="575" t="s">
        <v>8822</v>
      </c>
      <c r="E6220" s="210" t="s">
        <v>283</v>
      </c>
      <c r="F6220" s="58" t="s">
        <v>15398</v>
      </c>
      <c r="G6220" s="552" t="s">
        <v>5946</v>
      </c>
      <c r="H6220" s="546">
        <v>7000</v>
      </c>
      <c r="I6220" s="66">
        <v>44804</v>
      </c>
      <c r="J6220" s="63" t="s">
        <v>15399</v>
      </c>
      <c r="K6220" s="178" t="s">
        <v>15400</v>
      </c>
      <c r="L6220" s="99"/>
      <c r="M6220" s="385"/>
      <c r="N6220" s="75" t="s">
        <v>17</v>
      </c>
      <c r="O6220" s="58" t="s">
        <v>141</v>
      </c>
      <c r="P6220" s="58" t="s">
        <v>17</v>
      </c>
      <c r="Q6220" s="58" t="s">
        <v>41</v>
      </c>
      <c r="R6220" s="58" t="s">
        <v>272</v>
      </c>
    </row>
    <row r="6221" spans="1:18" ht="69" customHeight="1">
      <c r="A6221" s="168"/>
      <c r="B6221" s="62">
        <f t="shared" si="16"/>
        <v>3360</v>
      </c>
      <c r="C6221" s="575" t="s">
        <v>309</v>
      </c>
      <c r="D6221" s="178" t="s">
        <v>8773</v>
      </c>
      <c r="E6221" s="210" t="s">
        <v>260</v>
      </c>
      <c r="F6221" s="58" t="s">
        <v>15401</v>
      </c>
      <c r="G6221" s="552" t="s">
        <v>2919</v>
      </c>
      <c r="H6221" s="546">
        <v>52458</v>
      </c>
      <c r="I6221" s="66">
        <v>44578</v>
      </c>
      <c r="J6221" s="63" t="s">
        <v>15402</v>
      </c>
      <c r="K6221" s="58" t="s">
        <v>15403</v>
      </c>
      <c r="L6221" s="99"/>
      <c r="M6221" s="70" t="s">
        <v>15404</v>
      </c>
      <c r="N6221" s="97"/>
      <c r="O6221" s="58" t="s">
        <v>141</v>
      </c>
      <c r="P6221" s="58" t="s">
        <v>17</v>
      </c>
      <c r="Q6221" s="58" t="s">
        <v>39</v>
      </c>
      <c r="R6221" s="58" t="s">
        <v>272</v>
      </c>
    </row>
    <row r="6222" spans="1:18" ht="69" customHeight="1">
      <c r="A6222" s="168"/>
      <c r="B6222" s="62">
        <f t="shared" si="16"/>
        <v>3361</v>
      </c>
      <c r="C6222" s="575" t="s">
        <v>309</v>
      </c>
      <c r="D6222" s="575" t="s">
        <v>10053</v>
      </c>
      <c r="E6222" s="210" t="s">
        <v>283</v>
      </c>
      <c r="F6222" s="58" t="s">
        <v>15405</v>
      </c>
      <c r="G6222" s="552" t="s">
        <v>5946</v>
      </c>
      <c r="H6222" s="546">
        <v>2818.05</v>
      </c>
      <c r="I6222" s="66">
        <v>44804</v>
      </c>
      <c r="J6222" s="63" t="s">
        <v>15406</v>
      </c>
      <c r="K6222" s="178" t="s">
        <v>15400</v>
      </c>
      <c r="L6222" s="99"/>
      <c r="M6222" s="70"/>
      <c r="N6222" s="97"/>
      <c r="O6222" s="58" t="s">
        <v>141</v>
      </c>
      <c r="P6222" s="58" t="s">
        <v>17</v>
      </c>
      <c r="Q6222" s="58" t="s">
        <v>39</v>
      </c>
      <c r="R6222" s="58" t="s">
        <v>272</v>
      </c>
    </row>
    <row r="6223" spans="1:18" ht="69" customHeight="1">
      <c r="A6223" s="168"/>
      <c r="B6223" s="62">
        <f t="shared" si="16"/>
        <v>3362</v>
      </c>
      <c r="C6223" s="178" t="s">
        <v>458</v>
      </c>
      <c r="D6223" s="178"/>
      <c r="E6223" s="210" t="s">
        <v>15407</v>
      </c>
      <c r="F6223" s="58" t="s">
        <v>15408</v>
      </c>
      <c r="G6223" s="552" t="s">
        <v>2919</v>
      </c>
      <c r="H6223" s="546">
        <v>7905</v>
      </c>
      <c r="I6223" s="66">
        <v>44322</v>
      </c>
      <c r="J6223" s="63" t="s">
        <v>15409</v>
      </c>
      <c r="K6223" s="178" t="s">
        <v>15410</v>
      </c>
      <c r="L6223" s="99"/>
      <c r="M6223" s="70"/>
      <c r="N6223" s="97"/>
      <c r="O6223" s="58" t="s">
        <v>141</v>
      </c>
      <c r="P6223" s="58" t="s">
        <v>17</v>
      </c>
      <c r="Q6223" s="58" t="s">
        <v>122</v>
      </c>
      <c r="R6223" s="58" t="s">
        <v>265</v>
      </c>
    </row>
    <row r="6224" spans="1:18" s="98" customFormat="1" ht="69" customHeight="1">
      <c r="A6224" s="169"/>
      <c r="B6224" s="52">
        <f t="shared" si="16"/>
        <v>3363</v>
      </c>
      <c r="C6224" s="51" t="s">
        <v>657</v>
      </c>
      <c r="D6224" s="251" t="s">
        <v>10429</v>
      </c>
      <c r="E6224" s="191" t="s">
        <v>266</v>
      </c>
      <c r="F6224" s="46" t="s">
        <v>15411</v>
      </c>
      <c r="G6224" s="46" t="s">
        <v>15412</v>
      </c>
      <c r="H6224" s="534">
        <v>10195.48</v>
      </c>
      <c r="I6224" s="56">
        <v>45224</v>
      </c>
      <c r="J6224" s="199" t="s">
        <v>15413</v>
      </c>
      <c r="K6224" s="46"/>
      <c r="L6224" s="99"/>
      <c r="M6224" s="385"/>
      <c r="N6224" s="75"/>
      <c r="O6224" s="46" t="s">
        <v>1171</v>
      </c>
      <c r="P6224" s="46" t="s">
        <v>71</v>
      </c>
      <c r="Q6224" s="46" t="s">
        <v>97</v>
      </c>
      <c r="R6224" s="46" t="s">
        <v>272</v>
      </c>
    </row>
    <row r="6225" spans="1:18" s="98" customFormat="1" ht="69" customHeight="1">
      <c r="A6225" s="169"/>
      <c r="B6225" s="261">
        <f t="shared" si="16"/>
        <v>3364</v>
      </c>
      <c r="C6225" s="308" t="s">
        <v>458</v>
      </c>
      <c r="D6225" s="255" t="s">
        <v>10836</v>
      </c>
      <c r="E6225" s="256" t="s">
        <v>266</v>
      </c>
      <c r="F6225" s="118" t="s">
        <v>15414</v>
      </c>
      <c r="G6225" s="118" t="s">
        <v>15412</v>
      </c>
      <c r="H6225" s="300">
        <v>0</v>
      </c>
      <c r="I6225" s="262">
        <v>45224</v>
      </c>
      <c r="J6225" s="258" t="s">
        <v>15413</v>
      </c>
      <c r="K6225" s="160" t="s">
        <v>15415</v>
      </c>
      <c r="L6225" s="99"/>
      <c r="M6225" s="390"/>
      <c r="N6225" s="109"/>
      <c r="O6225" s="118" t="s">
        <v>1171</v>
      </c>
      <c r="P6225" s="118" t="s">
        <v>67</v>
      </c>
      <c r="Q6225" s="118" t="s">
        <v>107</v>
      </c>
      <c r="R6225" s="118" t="s">
        <v>272</v>
      </c>
    </row>
    <row r="6226" spans="1:18" s="98" customFormat="1" ht="69" customHeight="1">
      <c r="A6226" s="169"/>
      <c r="B6226" s="261">
        <f t="shared" si="16"/>
        <v>3365</v>
      </c>
      <c r="C6226" s="308" t="s">
        <v>458</v>
      </c>
      <c r="D6226" s="255" t="s">
        <v>10840</v>
      </c>
      <c r="E6226" s="256" t="s">
        <v>266</v>
      </c>
      <c r="F6226" s="118" t="s">
        <v>15416</v>
      </c>
      <c r="G6226" s="118" t="s">
        <v>15412</v>
      </c>
      <c r="H6226" s="300">
        <v>0</v>
      </c>
      <c r="I6226" s="262">
        <v>45224</v>
      </c>
      <c r="J6226" s="258" t="s">
        <v>15413</v>
      </c>
      <c r="K6226" s="160" t="s">
        <v>15415</v>
      </c>
      <c r="L6226" s="99"/>
      <c r="M6226" s="390"/>
      <c r="N6226" s="109"/>
      <c r="O6226" s="118" t="s">
        <v>1171</v>
      </c>
      <c r="P6226" s="118" t="s">
        <v>67</v>
      </c>
      <c r="Q6226" s="118" t="s">
        <v>103</v>
      </c>
      <c r="R6226" s="118" t="s">
        <v>272</v>
      </c>
    </row>
    <row r="6227" spans="1:18" s="98" customFormat="1" ht="69" customHeight="1">
      <c r="A6227" s="169"/>
      <c r="B6227" s="261">
        <f t="shared" si="16"/>
        <v>3366</v>
      </c>
      <c r="C6227" s="308" t="s">
        <v>458</v>
      </c>
      <c r="D6227" s="255" t="s">
        <v>15417</v>
      </c>
      <c r="E6227" s="256" t="s">
        <v>266</v>
      </c>
      <c r="F6227" s="118" t="s">
        <v>15418</v>
      </c>
      <c r="G6227" s="118" t="s">
        <v>15412</v>
      </c>
      <c r="H6227" s="300">
        <v>0</v>
      </c>
      <c r="I6227" s="262">
        <v>45224</v>
      </c>
      <c r="J6227" s="258" t="s">
        <v>15413</v>
      </c>
      <c r="K6227" s="160" t="s">
        <v>15415</v>
      </c>
      <c r="L6227" s="99"/>
      <c r="M6227" s="390"/>
      <c r="N6227" s="109"/>
      <c r="O6227" s="118" t="s">
        <v>1171</v>
      </c>
      <c r="P6227" s="118" t="s">
        <v>67</v>
      </c>
      <c r="Q6227" s="118" t="s">
        <v>113</v>
      </c>
      <c r="R6227" s="118" t="s">
        <v>272</v>
      </c>
    </row>
    <row r="6228" spans="1:18" s="98" customFormat="1" ht="69" customHeight="1">
      <c r="A6228" s="169"/>
      <c r="B6228" s="261">
        <f t="shared" si="16"/>
        <v>3367</v>
      </c>
      <c r="C6228" s="308" t="s">
        <v>458</v>
      </c>
      <c r="D6228" s="255" t="s">
        <v>15419</v>
      </c>
      <c r="E6228" s="256" t="s">
        <v>266</v>
      </c>
      <c r="F6228" s="118" t="s">
        <v>15420</v>
      </c>
      <c r="G6228" s="118" t="s">
        <v>15412</v>
      </c>
      <c r="H6228" s="300">
        <v>0</v>
      </c>
      <c r="I6228" s="262">
        <v>45224</v>
      </c>
      <c r="J6228" s="258" t="s">
        <v>15413</v>
      </c>
      <c r="K6228" s="160" t="s">
        <v>15415</v>
      </c>
      <c r="L6228" s="99"/>
      <c r="M6228" s="390"/>
      <c r="N6228" s="109"/>
      <c r="O6228" s="118" t="s">
        <v>1171</v>
      </c>
      <c r="P6228" s="118" t="s">
        <v>67</v>
      </c>
      <c r="Q6228" s="118" t="s">
        <v>119</v>
      </c>
      <c r="R6228" s="118" t="s">
        <v>272</v>
      </c>
    </row>
    <row r="6229" spans="1:18" s="98" customFormat="1" ht="69" customHeight="1">
      <c r="A6229" s="169"/>
      <c r="B6229" s="52">
        <f t="shared" si="16"/>
        <v>3368</v>
      </c>
      <c r="C6229" s="51" t="s">
        <v>657</v>
      </c>
      <c r="D6229" s="251" t="s">
        <v>6548</v>
      </c>
      <c r="E6229" s="191" t="s">
        <v>266</v>
      </c>
      <c r="F6229" s="46" t="s">
        <v>15421</v>
      </c>
      <c r="G6229" s="46" t="s">
        <v>15412</v>
      </c>
      <c r="H6229" s="534">
        <v>21046.560000000001</v>
      </c>
      <c r="I6229" s="56">
        <v>45224</v>
      </c>
      <c r="J6229" s="199" t="s">
        <v>15413</v>
      </c>
      <c r="K6229" s="46" t="s">
        <v>1170</v>
      </c>
      <c r="L6229" s="99"/>
      <c r="M6229" s="385"/>
      <c r="N6229" s="75"/>
      <c r="O6229" s="46" t="s">
        <v>1171</v>
      </c>
      <c r="P6229" s="46" t="s">
        <v>71</v>
      </c>
      <c r="Q6229" s="46" t="s">
        <v>120</v>
      </c>
      <c r="R6229" s="46" t="s">
        <v>272</v>
      </c>
    </row>
    <row r="6230" spans="1:18" s="98" customFormat="1" ht="69" customHeight="1">
      <c r="A6230" s="169"/>
      <c r="B6230" s="261">
        <f t="shared" si="16"/>
        <v>3369</v>
      </c>
      <c r="C6230" s="308" t="s">
        <v>10418</v>
      </c>
      <c r="D6230" s="255" t="s">
        <v>15422</v>
      </c>
      <c r="E6230" s="256" t="s">
        <v>266</v>
      </c>
      <c r="F6230" s="118" t="s">
        <v>15423</v>
      </c>
      <c r="G6230" s="118" t="s">
        <v>15412</v>
      </c>
      <c r="H6230" s="300">
        <v>21046.560000000001</v>
      </c>
      <c r="I6230" s="262">
        <v>45224</v>
      </c>
      <c r="J6230" s="258" t="s">
        <v>15413</v>
      </c>
      <c r="K6230" s="160" t="s">
        <v>15415</v>
      </c>
      <c r="L6230" s="99"/>
      <c r="M6230" s="386"/>
      <c r="N6230" s="223"/>
      <c r="O6230" s="118" t="s">
        <v>1171</v>
      </c>
      <c r="P6230" s="118" t="s">
        <v>67</v>
      </c>
      <c r="Q6230" s="118" t="s">
        <v>121</v>
      </c>
      <c r="R6230" s="118" t="s">
        <v>272</v>
      </c>
    </row>
    <row r="6231" spans="1:18" ht="69" customHeight="1">
      <c r="A6231" s="168"/>
      <c r="B6231" s="62">
        <f t="shared" si="16"/>
        <v>3370</v>
      </c>
      <c r="C6231" s="178" t="s">
        <v>458</v>
      </c>
      <c r="D6231" s="178"/>
      <c r="E6231" s="210" t="s">
        <v>260</v>
      </c>
      <c r="F6231" s="58" t="s">
        <v>15424</v>
      </c>
      <c r="G6231" s="552" t="s">
        <v>7080</v>
      </c>
      <c r="H6231" s="546">
        <v>19050.93</v>
      </c>
      <c r="I6231" s="66">
        <v>44370</v>
      </c>
      <c r="J6231" s="63" t="s">
        <v>7081</v>
      </c>
      <c r="K6231" s="178" t="s">
        <v>15410</v>
      </c>
      <c r="L6231" s="99"/>
      <c r="M6231" s="70"/>
      <c r="N6231" s="97"/>
      <c r="O6231" s="58" t="s">
        <v>141</v>
      </c>
      <c r="P6231" s="58" t="s">
        <v>17</v>
      </c>
      <c r="Q6231" s="58" t="s">
        <v>122</v>
      </c>
      <c r="R6231" s="58" t="s">
        <v>265</v>
      </c>
    </row>
    <row r="6232" spans="1:18" ht="69" customHeight="1">
      <c r="A6232" s="168"/>
      <c r="B6232" s="48">
        <f t="shared" si="16"/>
        <v>3371</v>
      </c>
      <c r="C6232" s="59" t="s">
        <v>14828</v>
      </c>
      <c r="D6232" s="84" t="s">
        <v>15425</v>
      </c>
      <c r="E6232" s="45" t="s">
        <v>14444</v>
      </c>
      <c r="F6232" s="45" t="s">
        <v>15426</v>
      </c>
      <c r="G6232" s="45" t="s">
        <v>15427</v>
      </c>
      <c r="H6232" s="546">
        <v>169438.65</v>
      </c>
      <c r="I6232" s="47">
        <v>45224</v>
      </c>
      <c r="J6232" s="73" t="s">
        <v>15428</v>
      </c>
      <c r="K6232" s="45"/>
      <c r="L6232" s="99"/>
      <c r="M6232" s="70"/>
      <c r="N6232" s="97"/>
      <c r="O6232" s="58" t="s">
        <v>154</v>
      </c>
      <c r="P6232" s="58" t="s">
        <v>57</v>
      </c>
      <c r="Q6232" s="58" t="s">
        <v>68</v>
      </c>
      <c r="R6232" s="58" t="s">
        <v>272</v>
      </c>
    </row>
    <row r="6233" spans="1:18" s="98" customFormat="1" ht="69" customHeight="1">
      <c r="A6233" s="169"/>
      <c r="B6233" s="259">
        <f t="shared" si="16"/>
        <v>3372</v>
      </c>
      <c r="C6233" s="207" t="s">
        <v>3667</v>
      </c>
      <c r="D6233" s="301" t="s">
        <v>15429</v>
      </c>
      <c r="E6233" s="207" t="s">
        <v>266</v>
      </c>
      <c r="F6233" s="208" t="s">
        <v>15430</v>
      </c>
      <c r="G6233" s="160" t="s">
        <v>13359</v>
      </c>
      <c r="H6233" s="300">
        <v>11102.08</v>
      </c>
      <c r="I6233" s="209">
        <v>45224</v>
      </c>
      <c r="J6233" s="316" t="s">
        <v>15431</v>
      </c>
      <c r="K6233" s="160" t="s">
        <v>10804</v>
      </c>
      <c r="M6233" s="385"/>
      <c r="N6233" s="75"/>
      <c r="O6233" s="160" t="s">
        <v>10810</v>
      </c>
      <c r="P6233" s="160" t="s">
        <v>67</v>
      </c>
      <c r="Q6233" s="160" t="s">
        <v>96</v>
      </c>
      <c r="R6233" s="160" t="s">
        <v>272</v>
      </c>
    </row>
    <row r="6234" spans="1:18" s="98" customFormat="1" ht="69" customHeight="1">
      <c r="A6234" s="169"/>
      <c r="B6234" s="259">
        <f t="shared" si="16"/>
        <v>3373</v>
      </c>
      <c r="C6234" s="207" t="s">
        <v>309</v>
      </c>
      <c r="D6234" s="301" t="s">
        <v>14858</v>
      </c>
      <c r="E6234" s="207" t="s">
        <v>266</v>
      </c>
      <c r="F6234" s="208" t="s">
        <v>15432</v>
      </c>
      <c r="G6234" s="160" t="s">
        <v>13359</v>
      </c>
      <c r="H6234" s="300">
        <v>8673.5</v>
      </c>
      <c r="I6234" s="209">
        <v>45224</v>
      </c>
      <c r="J6234" s="316" t="s">
        <v>15431</v>
      </c>
      <c r="K6234" s="160" t="s">
        <v>10804</v>
      </c>
      <c r="M6234" s="385"/>
      <c r="N6234" s="75"/>
      <c r="O6234" s="160" t="s">
        <v>10810</v>
      </c>
      <c r="P6234" s="160" t="s">
        <v>67</v>
      </c>
      <c r="Q6234" s="160" t="s">
        <v>96</v>
      </c>
      <c r="R6234" s="160" t="s">
        <v>272</v>
      </c>
    </row>
    <row r="6235" spans="1:18" s="98" customFormat="1" ht="69" customHeight="1">
      <c r="A6235" s="169"/>
      <c r="B6235" s="259">
        <f t="shared" si="16"/>
        <v>3374</v>
      </c>
      <c r="C6235" s="207" t="s">
        <v>458</v>
      </c>
      <c r="D6235" s="301" t="s">
        <v>15433</v>
      </c>
      <c r="E6235" s="207" t="s">
        <v>266</v>
      </c>
      <c r="F6235" s="208" t="s">
        <v>15434</v>
      </c>
      <c r="G6235" s="160" t="s">
        <v>13359</v>
      </c>
      <c r="H6235" s="300">
        <v>8673.5</v>
      </c>
      <c r="I6235" s="209">
        <v>45224</v>
      </c>
      <c r="J6235" s="316" t="s">
        <v>15431</v>
      </c>
      <c r="K6235" s="160" t="s">
        <v>10804</v>
      </c>
      <c r="M6235" s="385"/>
      <c r="N6235" s="75"/>
      <c r="O6235" s="160" t="s">
        <v>10810</v>
      </c>
      <c r="P6235" s="160" t="s">
        <v>67</v>
      </c>
      <c r="Q6235" s="160" t="s">
        <v>96</v>
      </c>
      <c r="R6235" s="160" t="s">
        <v>272</v>
      </c>
    </row>
    <row r="6236" spans="1:18" s="98" customFormat="1" ht="69" customHeight="1">
      <c r="A6236" s="169"/>
      <c r="B6236" s="259">
        <f t="shared" si="16"/>
        <v>3375</v>
      </c>
      <c r="C6236" s="207" t="s">
        <v>657</v>
      </c>
      <c r="D6236" s="301" t="s">
        <v>2875</v>
      </c>
      <c r="E6236" s="207" t="s">
        <v>266</v>
      </c>
      <c r="F6236" s="208" t="s">
        <v>15435</v>
      </c>
      <c r="G6236" s="160" t="s">
        <v>13359</v>
      </c>
      <c r="H6236" s="300">
        <v>6244.92</v>
      </c>
      <c r="I6236" s="209">
        <v>45224</v>
      </c>
      <c r="J6236" s="316" t="s">
        <v>15431</v>
      </c>
      <c r="K6236" s="160" t="s">
        <v>10804</v>
      </c>
      <c r="M6236" s="385"/>
      <c r="N6236" s="75"/>
      <c r="O6236" s="160" t="s">
        <v>10810</v>
      </c>
      <c r="P6236" s="160" t="s">
        <v>67</v>
      </c>
      <c r="Q6236" s="160" t="s">
        <v>96</v>
      </c>
      <c r="R6236" s="160" t="s">
        <v>272</v>
      </c>
    </row>
    <row r="6237" spans="1:18" ht="69" customHeight="1">
      <c r="A6237" s="168"/>
      <c r="B6237" s="48">
        <f t="shared" si="16"/>
        <v>3376</v>
      </c>
      <c r="C6237" s="59" t="s">
        <v>14479</v>
      </c>
      <c r="D6237" s="84" t="s">
        <v>15083</v>
      </c>
      <c r="E6237" s="45" t="s">
        <v>15436</v>
      </c>
      <c r="F6237" s="45" t="s">
        <v>15437</v>
      </c>
      <c r="G6237" s="45" t="s">
        <v>15438</v>
      </c>
      <c r="H6237" s="546">
        <v>51929.37</v>
      </c>
      <c r="I6237" s="47">
        <v>45224</v>
      </c>
      <c r="J6237" s="73" t="s">
        <v>15439</v>
      </c>
      <c r="K6237" s="45"/>
      <c r="L6237" s="99"/>
      <c r="M6237" s="70"/>
      <c r="N6237" s="97"/>
      <c r="O6237" s="45" t="s">
        <v>15440</v>
      </c>
      <c r="P6237" s="45" t="s">
        <v>55</v>
      </c>
      <c r="Q6237" s="58" t="s">
        <v>27</v>
      </c>
      <c r="R6237" s="45" t="s">
        <v>272</v>
      </c>
    </row>
    <row r="6238" spans="1:18" ht="69" customHeight="1">
      <c r="A6238" s="168"/>
      <c r="B6238" s="48">
        <f t="shared" si="16"/>
        <v>3377</v>
      </c>
      <c r="C6238" s="44" t="s">
        <v>3368</v>
      </c>
      <c r="D6238" s="84" t="s">
        <v>15085</v>
      </c>
      <c r="E6238" s="45" t="s">
        <v>15436</v>
      </c>
      <c r="F6238" s="45" t="s">
        <v>15441</v>
      </c>
      <c r="G6238" s="45" t="s">
        <v>15438</v>
      </c>
      <c r="H6238" s="546">
        <v>51929.37</v>
      </c>
      <c r="I6238" s="47">
        <v>45224</v>
      </c>
      <c r="J6238" s="73" t="s">
        <v>15439</v>
      </c>
      <c r="K6238" s="45"/>
      <c r="L6238" s="99"/>
      <c r="M6238" s="70"/>
      <c r="N6238" s="97"/>
      <c r="O6238" s="45" t="s">
        <v>15440</v>
      </c>
      <c r="P6238" s="45" t="s">
        <v>55</v>
      </c>
      <c r="Q6238" s="58" t="s">
        <v>43</v>
      </c>
      <c r="R6238" s="45" t="s">
        <v>272</v>
      </c>
    </row>
    <row r="6239" spans="1:18" ht="69" customHeight="1">
      <c r="A6239" s="168"/>
      <c r="B6239" s="48">
        <f t="shared" si="16"/>
        <v>3378</v>
      </c>
      <c r="C6239" s="44" t="s">
        <v>11058</v>
      </c>
      <c r="D6239" s="84" t="s">
        <v>10571</v>
      </c>
      <c r="E6239" s="45" t="s">
        <v>15436</v>
      </c>
      <c r="F6239" s="45" t="s">
        <v>15442</v>
      </c>
      <c r="G6239" s="45" t="s">
        <v>15438</v>
      </c>
      <c r="H6239" s="546">
        <v>51929.37</v>
      </c>
      <c r="I6239" s="47">
        <v>45224</v>
      </c>
      <c r="J6239" s="73" t="s">
        <v>15439</v>
      </c>
      <c r="K6239" s="45"/>
      <c r="L6239" s="99"/>
      <c r="M6239" s="70"/>
      <c r="N6239" s="97"/>
      <c r="O6239" s="45" t="s">
        <v>15440</v>
      </c>
      <c r="P6239" s="45" t="s">
        <v>55</v>
      </c>
      <c r="Q6239" s="45" t="s">
        <v>23</v>
      </c>
      <c r="R6239" s="45" t="s">
        <v>272</v>
      </c>
    </row>
    <row r="6240" spans="1:18" ht="69" customHeight="1">
      <c r="A6240" s="168"/>
      <c r="B6240" s="48">
        <f t="shared" si="16"/>
        <v>3379</v>
      </c>
      <c r="C6240" s="215" t="s">
        <v>1333</v>
      </c>
      <c r="D6240" s="84" t="s">
        <v>15093</v>
      </c>
      <c r="E6240" s="45" t="s">
        <v>15436</v>
      </c>
      <c r="F6240" s="45" t="s">
        <v>15443</v>
      </c>
      <c r="G6240" s="45" t="s">
        <v>15438</v>
      </c>
      <c r="H6240" s="546">
        <v>59746.25</v>
      </c>
      <c r="I6240" s="47">
        <v>45224</v>
      </c>
      <c r="J6240" s="73" t="s">
        <v>15439</v>
      </c>
      <c r="K6240" s="45"/>
      <c r="L6240" s="99"/>
      <c r="M6240" s="70"/>
      <c r="N6240" s="97"/>
      <c r="O6240" s="45" t="s">
        <v>15440</v>
      </c>
      <c r="P6240" s="45" t="s">
        <v>55</v>
      </c>
      <c r="Q6240" s="45" t="s">
        <v>25</v>
      </c>
      <c r="R6240" s="45" t="s">
        <v>272</v>
      </c>
    </row>
    <row r="6241" spans="1:18" ht="69" customHeight="1">
      <c r="A6241" s="168"/>
      <c r="B6241" s="48">
        <f t="shared" si="16"/>
        <v>3380</v>
      </c>
      <c r="C6241" s="59" t="s">
        <v>4277</v>
      </c>
      <c r="D6241" s="84" t="s">
        <v>15444</v>
      </c>
      <c r="E6241" s="45" t="s">
        <v>15436</v>
      </c>
      <c r="F6241" s="45" t="s">
        <v>15445</v>
      </c>
      <c r="G6241" s="45" t="s">
        <v>15438</v>
      </c>
      <c r="H6241" s="546">
        <v>62103.64</v>
      </c>
      <c r="I6241" s="47">
        <v>45224</v>
      </c>
      <c r="J6241" s="73" t="s">
        <v>15439</v>
      </c>
      <c r="K6241" s="45"/>
      <c r="L6241" s="99"/>
      <c r="M6241" s="70"/>
      <c r="N6241" s="97"/>
      <c r="O6241" s="45" t="s">
        <v>15440</v>
      </c>
      <c r="P6241" s="45" t="s">
        <v>55</v>
      </c>
      <c r="Q6241" s="45" t="s">
        <v>56</v>
      </c>
      <c r="R6241" s="45" t="s">
        <v>272</v>
      </c>
    </row>
    <row r="6242" spans="1:18" ht="69" customHeight="1">
      <c r="A6242" s="168"/>
      <c r="B6242" s="48">
        <f t="shared" si="16"/>
        <v>3381</v>
      </c>
      <c r="C6242" s="59" t="s">
        <v>4728</v>
      </c>
      <c r="D6242" s="84" t="s">
        <v>15446</v>
      </c>
      <c r="E6242" s="45" t="s">
        <v>15436</v>
      </c>
      <c r="F6242" s="45" t="s">
        <v>15447</v>
      </c>
      <c r="G6242" s="45" t="s">
        <v>15438</v>
      </c>
      <c r="H6242" s="546">
        <v>62103.64</v>
      </c>
      <c r="I6242" s="47">
        <v>45224</v>
      </c>
      <c r="J6242" s="73" t="s">
        <v>15439</v>
      </c>
      <c r="K6242" s="45"/>
      <c r="L6242" s="99"/>
      <c r="M6242" s="70"/>
      <c r="N6242" s="97"/>
      <c r="O6242" s="45" t="s">
        <v>15440</v>
      </c>
      <c r="P6242" s="45" t="s">
        <v>55</v>
      </c>
      <c r="Q6242" s="45" t="s">
        <v>58</v>
      </c>
      <c r="R6242" s="45" t="s">
        <v>272</v>
      </c>
    </row>
    <row r="6243" spans="1:18" ht="69" customHeight="1">
      <c r="A6243" s="168"/>
      <c r="B6243" s="48">
        <f t="shared" si="16"/>
        <v>3382</v>
      </c>
      <c r="C6243" s="59" t="s">
        <v>8703</v>
      </c>
      <c r="D6243" s="84" t="s">
        <v>3318</v>
      </c>
      <c r="E6243" s="45" t="s">
        <v>15436</v>
      </c>
      <c r="F6243" s="45" t="s">
        <v>15448</v>
      </c>
      <c r="G6243" s="45" t="s">
        <v>15438</v>
      </c>
      <c r="H6243" s="546">
        <v>62103.64</v>
      </c>
      <c r="I6243" s="47">
        <v>45224</v>
      </c>
      <c r="J6243" s="73" t="s">
        <v>15439</v>
      </c>
      <c r="K6243" s="45"/>
      <c r="L6243" s="99"/>
      <c r="M6243" s="70"/>
      <c r="N6243" s="97"/>
      <c r="O6243" s="45" t="s">
        <v>15440</v>
      </c>
      <c r="P6243" s="45" t="s">
        <v>55</v>
      </c>
      <c r="Q6243" s="45" t="s">
        <v>109</v>
      </c>
      <c r="R6243" s="45" t="s">
        <v>272</v>
      </c>
    </row>
    <row r="6244" spans="1:18" ht="69" customHeight="1">
      <c r="A6244" s="168"/>
      <c r="B6244" s="48">
        <f t="shared" si="16"/>
        <v>3383</v>
      </c>
      <c r="C6244" s="201" t="s">
        <v>15449</v>
      </c>
      <c r="D6244" s="84" t="s">
        <v>15023</v>
      </c>
      <c r="E6244" s="45" t="s">
        <v>15436</v>
      </c>
      <c r="F6244" s="45" t="s">
        <v>15450</v>
      </c>
      <c r="G6244" s="45" t="s">
        <v>15438</v>
      </c>
      <c r="H6244" s="546">
        <v>64137.7</v>
      </c>
      <c r="I6244" s="47">
        <v>45224</v>
      </c>
      <c r="J6244" s="73" t="s">
        <v>15439</v>
      </c>
      <c r="K6244" s="45"/>
      <c r="L6244" s="99"/>
      <c r="M6244" s="70"/>
      <c r="N6244" s="97"/>
      <c r="O6244" s="45" t="s">
        <v>15440</v>
      </c>
      <c r="P6244" s="45" t="s">
        <v>55</v>
      </c>
      <c r="Q6244" s="45" t="s">
        <v>41</v>
      </c>
      <c r="R6244" s="45" t="s">
        <v>272</v>
      </c>
    </row>
    <row r="6245" spans="1:18" ht="69" customHeight="1">
      <c r="A6245" s="168"/>
      <c r="B6245" s="48">
        <f t="shared" si="16"/>
        <v>3384</v>
      </c>
      <c r="C6245" s="59" t="s">
        <v>3933</v>
      </c>
      <c r="D6245" s="84" t="s">
        <v>15451</v>
      </c>
      <c r="E6245" s="45" t="s">
        <v>15436</v>
      </c>
      <c r="F6245" s="45" t="s">
        <v>15452</v>
      </c>
      <c r="G6245" s="45" t="s">
        <v>15438</v>
      </c>
      <c r="H6245" s="546">
        <v>64137.7</v>
      </c>
      <c r="I6245" s="47">
        <v>45224</v>
      </c>
      <c r="J6245" s="73" t="s">
        <v>15439</v>
      </c>
      <c r="K6245" s="45"/>
      <c r="L6245" s="99"/>
      <c r="M6245" s="70"/>
      <c r="N6245" s="97"/>
      <c r="O6245" s="45" t="s">
        <v>15440</v>
      </c>
      <c r="P6245" s="45" t="s">
        <v>55</v>
      </c>
      <c r="Q6245" s="45" t="s">
        <v>52</v>
      </c>
      <c r="R6245" s="45" t="s">
        <v>272</v>
      </c>
    </row>
    <row r="6246" spans="1:18" ht="69" customHeight="1">
      <c r="A6246" s="168"/>
      <c r="B6246" s="48">
        <f t="shared" si="16"/>
        <v>3385</v>
      </c>
      <c r="C6246" s="44" t="s">
        <v>14945</v>
      </c>
      <c r="D6246" s="84" t="s">
        <v>15029</v>
      </c>
      <c r="E6246" s="45" t="s">
        <v>15436</v>
      </c>
      <c r="F6246" s="45" t="s">
        <v>15453</v>
      </c>
      <c r="G6246" s="45" t="s">
        <v>15438</v>
      </c>
      <c r="H6246" s="546">
        <v>65417.07</v>
      </c>
      <c r="I6246" s="47">
        <v>45224</v>
      </c>
      <c r="J6246" s="73" t="s">
        <v>15439</v>
      </c>
      <c r="K6246" s="45"/>
      <c r="L6246" s="99"/>
      <c r="M6246" s="70"/>
      <c r="N6246" s="97"/>
      <c r="O6246" s="45" t="s">
        <v>15440</v>
      </c>
      <c r="P6246" s="45" t="s">
        <v>55</v>
      </c>
      <c r="Q6246" s="45" t="s">
        <v>39</v>
      </c>
      <c r="R6246" s="45" t="s">
        <v>272</v>
      </c>
    </row>
    <row r="6247" spans="1:18" ht="69" customHeight="1">
      <c r="A6247" s="168"/>
      <c r="B6247" s="48">
        <f t="shared" si="16"/>
        <v>3386</v>
      </c>
      <c r="C6247" s="44" t="s">
        <v>7452</v>
      </c>
      <c r="D6247" s="84" t="s">
        <v>10885</v>
      </c>
      <c r="E6247" s="45" t="s">
        <v>15436</v>
      </c>
      <c r="F6247" s="45" t="s">
        <v>15454</v>
      </c>
      <c r="G6247" s="45" t="s">
        <v>15438</v>
      </c>
      <c r="H6247" s="546">
        <v>65417.07</v>
      </c>
      <c r="I6247" s="47">
        <v>45224</v>
      </c>
      <c r="J6247" s="73" t="s">
        <v>15439</v>
      </c>
      <c r="K6247" s="45"/>
      <c r="L6247" s="99"/>
      <c r="M6247" s="70"/>
      <c r="N6247" s="97"/>
      <c r="O6247" s="45" t="s">
        <v>15440</v>
      </c>
      <c r="P6247" s="45" t="s">
        <v>55</v>
      </c>
      <c r="Q6247" s="45" t="s">
        <v>101</v>
      </c>
      <c r="R6247" s="45" t="s">
        <v>272</v>
      </c>
    </row>
    <row r="6248" spans="1:18" ht="69" customHeight="1">
      <c r="A6248" s="168"/>
      <c r="B6248" s="48">
        <f t="shared" si="16"/>
        <v>3387</v>
      </c>
      <c r="C6248" s="44" t="s">
        <v>9596</v>
      </c>
      <c r="D6248" s="84" t="s">
        <v>592</v>
      </c>
      <c r="E6248" s="45" t="s">
        <v>15436</v>
      </c>
      <c r="F6248" s="45" t="s">
        <v>15455</v>
      </c>
      <c r="G6248" s="45" t="s">
        <v>15438</v>
      </c>
      <c r="H6248" s="546">
        <v>65815.360000000001</v>
      </c>
      <c r="I6248" s="47">
        <v>45224</v>
      </c>
      <c r="J6248" s="73" t="s">
        <v>15439</v>
      </c>
      <c r="K6248" s="45"/>
      <c r="L6248" s="99"/>
      <c r="M6248" s="70"/>
      <c r="N6248" s="97"/>
      <c r="O6248" s="45" t="s">
        <v>15440</v>
      </c>
      <c r="P6248" s="45" t="s">
        <v>55</v>
      </c>
      <c r="Q6248" s="45" t="s">
        <v>118</v>
      </c>
      <c r="R6248" s="45" t="s">
        <v>272</v>
      </c>
    </row>
    <row r="6249" spans="1:18" ht="69" customHeight="1">
      <c r="A6249" s="168"/>
      <c r="B6249" s="48">
        <f t="shared" si="16"/>
        <v>3388</v>
      </c>
      <c r="C6249" s="59" t="s">
        <v>10947</v>
      </c>
      <c r="D6249" s="84" t="s">
        <v>15456</v>
      </c>
      <c r="E6249" s="45" t="s">
        <v>15436</v>
      </c>
      <c r="F6249" s="45" t="s">
        <v>15457</v>
      </c>
      <c r="G6249" s="45" t="s">
        <v>15438</v>
      </c>
      <c r="H6249" s="546">
        <v>67560.23</v>
      </c>
      <c r="I6249" s="47">
        <v>45224</v>
      </c>
      <c r="J6249" s="73" t="s">
        <v>15439</v>
      </c>
      <c r="K6249" s="45"/>
      <c r="L6249" s="99"/>
      <c r="M6249" s="70"/>
      <c r="N6249" s="97"/>
      <c r="O6249" s="45" t="s">
        <v>15440</v>
      </c>
      <c r="P6249" s="45" t="s">
        <v>55</v>
      </c>
      <c r="Q6249" s="45" t="s">
        <v>100</v>
      </c>
      <c r="R6249" s="45" t="s">
        <v>272</v>
      </c>
    </row>
    <row r="6250" spans="1:18" ht="69" customHeight="1">
      <c r="A6250" s="168"/>
      <c r="B6250" s="48">
        <f t="shared" si="16"/>
        <v>3389</v>
      </c>
      <c r="C6250" s="59" t="s">
        <v>7521</v>
      </c>
      <c r="D6250" s="84" t="s">
        <v>2391</v>
      </c>
      <c r="E6250" s="45" t="s">
        <v>15436</v>
      </c>
      <c r="F6250" s="45" t="s">
        <v>15458</v>
      </c>
      <c r="G6250" s="45" t="s">
        <v>15438</v>
      </c>
      <c r="H6250" s="546">
        <v>71366.78</v>
      </c>
      <c r="I6250" s="47">
        <v>45224</v>
      </c>
      <c r="J6250" s="73" t="s">
        <v>15439</v>
      </c>
      <c r="K6250" s="45"/>
      <c r="L6250" s="99"/>
      <c r="M6250" s="70"/>
      <c r="N6250" s="97"/>
      <c r="O6250" s="45" t="s">
        <v>15440</v>
      </c>
      <c r="P6250" s="45" t="s">
        <v>55</v>
      </c>
      <c r="Q6250" s="45" t="s">
        <v>102</v>
      </c>
      <c r="R6250" s="45" t="s">
        <v>272</v>
      </c>
    </row>
    <row r="6251" spans="1:18" ht="69" customHeight="1">
      <c r="A6251" s="168"/>
      <c r="B6251" s="48">
        <f t="shared" si="16"/>
        <v>3390</v>
      </c>
      <c r="C6251" s="44" t="s">
        <v>5082</v>
      </c>
      <c r="D6251" s="84" t="s">
        <v>15459</v>
      </c>
      <c r="E6251" s="45" t="s">
        <v>15436</v>
      </c>
      <c r="F6251" s="45" t="s">
        <v>15460</v>
      </c>
      <c r="G6251" s="45" t="s">
        <v>15438</v>
      </c>
      <c r="H6251" s="546">
        <v>71366.78</v>
      </c>
      <c r="I6251" s="47">
        <v>45224</v>
      </c>
      <c r="J6251" s="73" t="s">
        <v>15439</v>
      </c>
      <c r="K6251" s="45"/>
      <c r="L6251" s="99"/>
      <c r="M6251" s="70"/>
      <c r="N6251" s="97"/>
      <c r="O6251" s="45" t="s">
        <v>15440</v>
      </c>
      <c r="P6251" s="45" t="s">
        <v>55</v>
      </c>
      <c r="Q6251" s="45" t="s">
        <v>62</v>
      </c>
      <c r="R6251" s="45" t="s">
        <v>272</v>
      </c>
    </row>
    <row r="6252" spans="1:18" ht="69" customHeight="1">
      <c r="A6252" s="168"/>
      <c r="B6252" s="48">
        <f t="shared" si="16"/>
        <v>3391</v>
      </c>
      <c r="C6252" s="59" t="s">
        <v>3647</v>
      </c>
      <c r="D6252" s="84" t="s">
        <v>15461</v>
      </c>
      <c r="E6252" s="45" t="s">
        <v>15436</v>
      </c>
      <c r="F6252" s="45" t="s">
        <v>15462</v>
      </c>
      <c r="G6252" s="45" t="s">
        <v>15438</v>
      </c>
      <c r="H6252" s="546">
        <v>72419.600000000006</v>
      </c>
      <c r="I6252" s="47">
        <v>45224</v>
      </c>
      <c r="J6252" s="73" t="s">
        <v>15439</v>
      </c>
      <c r="K6252" s="45"/>
      <c r="L6252" s="99"/>
      <c r="M6252" s="70"/>
      <c r="N6252" s="97"/>
      <c r="O6252" s="45" t="s">
        <v>15440</v>
      </c>
      <c r="P6252" s="45" t="s">
        <v>55</v>
      </c>
      <c r="Q6252" s="45" t="s">
        <v>47</v>
      </c>
      <c r="R6252" s="45" t="s">
        <v>272</v>
      </c>
    </row>
    <row r="6253" spans="1:18" ht="69" customHeight="1">
      <c r="A6253" s="168"/>
      <c r="B6253" s="48">
        <f t="shared" si="16"/>
        <v>3392</v>
      </c>
      <c r="C6253" s="44" t="s">
        <v>9967</v>
      </c>
      <c r="D6253" s="84" t="s">
        <v>15463</v>
      </c>
      <c r="E6253" s="45" t="s">
        <v>15436</v>
      </c>
      <c r="F6253" s="45" t="s">
        <v>15464</v>
      </c>
      <c r="G6253" s="45" t="s">
        <v>15438</v>
      </c>
      <c r="H6253" s="546">
        <v>72419.600000000006</v>
      </c>
      <c r="I6253" s="47">
        <v>45224</v>
      </c>
      <c r="J6253" s="73" t="s">
        <v>15439</v>
      </c>
      <c r="K6253" s="45"/>
      <c r="L6253" s="99"/>
      <c r="M6253" s="70"/>
      <c r="N6253" s="97"/>
      <c r="O6253" s="45" t="s">
        <v>15440</v>
      </c>
      <c r="P6253" s="45" t="s">
        <v>55</v>
      </c>
      <c r="Q6253" s="45" t="s">
        <v>119</v>
      </c>
      <c r="R6253" s="45" t="s">
        <v>272</v>
      </c>
    </row>
    <row r="6254" spans="1:18" ht="69" customHeight="1">
      <c r="A6254" s="168"/>
      <c r="B6254" s="48">
        <f t="shared" si="16"/>
        <v>3393</v>
      </c>
      <c r="C6254" s="59" t="s">
        <v>9322</v>
      </c>
      <c r="D6254" s="84" t="s">
        <v>15465</v>
      </c>
      <c r="E6254" s="45" t="s">
        <v>15436</v>
      </c>
      <c r="F6254" s="45" t="s">
        <v>15466</v>
      </c>
      <c r="G6254" s="45" t="s">
        <v>15438</v>
      </c>
      <c r="H6254" s="546">
        <v>72419.600000000006</v>
      </c>
      <c r="I6254" s="47">
        <v>45224</v>
      </c>
      <c r="J6254" s="73" t="s">
        <v>15439</v>
      </c>
      <c r="K6254" s="45"/>
      <c r="L6254" s="99"/>
      <c r="M6254" s="70"/>
      <c r="N6254" s="97"/>
      <c r="O6254" s="45" t="s">
        <v>15440</v>
      </c>
      <c r="P6254" s="45" t="s">
        <v>55</v>
      </c>
      <c r="Q6254" s="45" t="s">
        <v>114</v>
      </c>
      <c r="R6254" s="45" t="s">
        <v>272</v>
      </c>
    </row>
    <row r="6255" spans="1:18" ht="69" customHeight="1">
      <c r="A6255" s="168"/>
      <c r="B6255" s="48">
        <f t="shared" si="16"/>
        <v>3394</v>
      </c>
      <c r="C6255" s="44" t="s">
        <v>10944</v>
      </c>
      <c r="D6255" s="84" t="s">
        <v>2650</v>
      </c>
      <c r="E6255" s="45" t="s">
        <v>15436</v>
      </c>
      <c r="F6255" s="45" t="s">
        <v>15467</v>
      </c>
      <c r="G6255" s="45" t="s">
        <v>15438</v>
      </c>
      <c r="H6255" s="546">
        <v>72460.23</v>
      </c>
      <c r="I6255" s="47">
        <v>45224</v>
      </c>
      <c r="J6255" s="73" t="s">
        <v>15439</v>
      </c>
      <c r="K6255" s="45"/>
      <c r="L6255" s="99"/>
      <c r="M6255" s="70"/>
      <c r="N6255" s="97"/>
      <c r="O6255" s="45" t="s">
        <v>15440</v>
      </c>
      <c r="P6255" s="45" t="s">
        <v>55</v>
      </c>
      <c r="Q6255" s="45" t="s">
        <v>120</v>
      </c>
      <c r="R6255" s="45" t="s">
        <v>272</v>
      </c>
    </row>
    <row r="6256" spans="1:18" ht="69" customHeight="1">
      <c r="A6256" s="168"/>
      <c r="B6256" s="48">
        <f t="shared" si="16"/>
        <v>3395</v>
      </c>
      <c r="C6256" s="44" t="s">
        <v>753</v>
      </c>
      <c r="D6256" s="84" t="s">
        <v>15117</v>
      </c>
      <c r="E6256" s="45" t="s">
        <v>15436</v>
      </c>
      <c r="F6256" s="45" t="s">
        <v>15468</v>
      </c>
      <c r="G6256" s="45" t="s">
        <v>15438</v>
      </c>
      <c r="H6256" s="546">
        <v>72460.23</v>
      </c>
      <c r="I6256" s="47">
        <v>45224</v>
      </c>
      <c r="J6256" s="73" t="s">
        <v>15439</v>
      </c>
      <c r="K6256" s="45"/>
      <c r="L6256" s="99"/>
      <c r="M6256" s="70"/>
      <c r="N6256" s="97"/>
      <c r="O6256" s="45" t="s">
        <v>15440</v>
      </c>
      <c r="P6256" s="45" t="s">
        <v>55</v>
      </c>
      <c r="Q6256" s="45" t="s">
        <v>20</v>
      </c>
      <c r="R6256" s="45" t="s">
        <v>272</v>
      </c>
    </row>
    <row r="6257" spans="1:18" ht="69" customHeight="1">
      <c r="A6257" s="168"/>
      <c r="B6257" s="48">
        <f t="shared" si="16"/>
        <v>3396</v>
      </c>
      <c r="C6257" s="59" t="s">
        <v>8080</v>
      </c>
      <c r="D6257" s="84" t="s">
        <v>15469</v>
      </c>
      <c r="E6257" s="45" t="s">
        <v>15436</v>
      </c>
      <c r="F6257" s="45" t="s">
        <v>15470</v>
      </c>
      <c r="G6257" s="45" t="s">
        <v>15438</v>
      </c>
      <c r="H6257" s="546">
        <v>72460.23</v>
      </c>
      <c r="I6257" s="47">
        <v>45224</v>
      </c>
      <c r="J6257" s="73" t="s">
        <v>15439</v>
      </c>
      <c r="K6257" s="45"/>
      <c r="L6257" s="99"/>
      <c r="M6257" s="70"/>
      <c r="N6257" s="97"/>
      <c r="O6257" s="45" t="s">
        <v>15440</v>
      </c>
      <c r="P6257" s="45" t="s">
        <v>55</v>
      </c>
      <c r="Q6257" s="45" t="s">
        <v>106</v>
      </c>
      <c r="R6257" s="45" t="s">
        <v>272</v>
      </c>
    </row>
    <row r="6258" spans="1:18" ht="69" customHeight="1">
      <c r="A6258" s="168"/>
      <c r="B6258" s="48">
        <f t="shared" ref="B6258:B6286" si="17">B6257+1</f>
        <v>3397</v>
      </c>
      <c r="C6258" s="44" t="s">
        <v>5189</v>
      </c>
      <c r="D6258" s="84" t="s">
        <v>15471</v>
      </c>
      <c r="E6258" s="45" t="s">
        <v>15436</v>
      </c>
      <c r="F6258" s="45" t="s">
        <v>15472</v>
      </c>
      <c r="G6258" s="45" t="s">
        <v>15438</v>
      </c>
      <c r="H6258" s="546">
        <v>73979.63</v>
      </c>
      <c r="I6258" s="47">
        <v>45224</v>
      </c>
      <c r="J6258" s="73" t="s">
        <v>15439</v>
      </c>
      <c r="K6258" s="45"/>
      <c r="L6258" s="99"/>
      <c r="M6258" s="70"/>
      <c r="N6258" s="97"/>
      <c r="O6258" s="45" t="s">
        <v>15440</v>
      </c>
      <c r="P6258" s="45" t="s">
        <v>55</v>
      </c>
      <c r="Q6258" s="45" t="s">
        <v>60</v>
      </c>
      <c r="R6258" s="45" t="s">
        <v>272</v>
      </c>
    </row>
    <row r="6259" spans="1:18" ht="69" customHeight="1">
      <c r="A6259" s="168"/>
      <c r="B6259" s="48">
        <f t="shared" si="17"/>
        <v>3398</v>
      </c>
      <c r="C6259" s="59" t="s">
        <v>9436</v>
      </c>
      <c r="D6259" s="84" t="s">
        <v>2879</v>
      </c>
      <c r="E6259" s="45" t="s">
        <v>15436</v>
      </c>
      <c r="F6259" s="45" t="s">
        <v>15473</v>
      </c>
      <c r="G6259" s="45" t="s">
        <v>15438</v>
      </c>
      <c r="H6259" s="546">
        <v>73979.63</v>
      </c>
      <c r="I6259" s="47">
        <v>45224</v>
      </c>
      <c r="J6259" s="73" t="s">
        <v>15439</v>
      </c>
      <c r="K6259" s="45"/>
      <c r="L6259" s="99"/>
      <c r="M6259" s="70"/>
      <c r="N6259" s="97"/>
      <c r="O6259" s="45" t="s">
        <v>15440</v>
      </c>
      <c r="P6259" s="45" t="s">
        <v>55</v>
      </c>
      <c r="Q6259" s="45" t="s">
        <v>116</v>
      </c>
      <c r="R6259" s="45" t="s">
        <v>272</v>
      </c>
    </row>
    <row r="6260" spans="1:18" ht="69" customHeight="1">
      <c r="A6260" s="168"/>
      <c r="B6260" s="48">
        <f t="shared" si="17"/>
        <v>3399</v>
      </c>
      <c r="C6260" s="45" t="s">
        <v>8057</v>
      </c>
      <c r="D6260" s="84" t="s">
        <v>15474</v>
      </c>
      <c r="E6260" s="45" t="s">
        <v>15436</v>
      </c>
      <c r="F6260" s="45" t="s">
        <v>15475</v>
      </c>
      <c r="G6260" s="45" t="s">
        <v>15438</v>
      </c>
      <c r="H6260" s="546">
        <v>80734.95</v>
      </c>
      <c r="I6260" s="47">
        <v>45224</v>
      </c>
      <c r="J6260" s="73" t="s">
        <v>15439</v>
      </c>
      <c r="K6260" s="45"/>
      <c r="L6260" s="99"/>
      <c r="M6260" s="70"/>
      <c r="N6260" s="97"/>
      <c r="O6260" s="45" t="s">
        <v>15440</v>
      </c>
      <c r="P6260" s="45" t="s">
        <v>55</v>
      </c>
      <c r="Q6260" s="45" t="s">
        <v>105</v>
      </c>
      <c r="R6260" s="45" t="s">
        <v>272</v>
      </c>
    </row>
    <row r="6261" spans="1:18" ht="69" customHeight="1">
      <c r="A6261" s="168"/>
      <c r="B6261" s="48">
        <f t="shared" si="17"/>
        <v>3400</v>
      </c>
      <c r="C6261" s="44" t="s">
        <v>10418</v>
      </c>
      <c r="D6261" s="84" t="s">
        <v>15476</v>
      </c>
      <c r="E6261" s="45" t="s">
        <v>15436</v>
      </c>
      <c r="F6261" s="45" t="s">
        <v>15477</v>
      </c>
      <c r="G6261" s="45" t="s">
        <v>15438</v>
      </c>
      <c r="H6261" s="546">
        <v>80734.95</v>
      </c>
      <c r="I6261" s="47">
        <v>45224</v>
      </c>
      <c r="J6261" s="73" t="s">
        <v>15439</v>
      </c>
      <c r="K6261" s="45"/>
      <c r="L6261" s="99"/>
      <c r="M6261" s="70"/>
      <c r="N6261" s="97"/>
      <c r="O6261" s="45" t="s">
        <v>15440</v>
      </c>
      <c r="P6261" s="45" t="s">
        <v>55</v>
      </c>
      <c r="Q6261" s="45" t="s">
        <v>121</v>
      </c>
      <c r="R6261" s="45" t="s">
        <v>272</v>
      </c>
    </row>
    <row r="6262" spans="1:18" s="98" customFormat="1" ht="69" customHeight="1">
      <c r="A6262" s="168"/>
      <c r="B6262" s="48">
        <f t="shared" si="17"/>
        <v>3401</v>
      </c>
      <c r="C6262" s="44" t="s">
        <v>8529</v>
      </c>
      <c r="D6262" s="84" t="s">
        <v>11261</v>
      </c>
      <c r="E6262" s="45" t="s">
        <v>15436</v>
      </c>
      <c r="F6262" s="45" t="s">
        <v>15478</v>
      </c>
      <c r="G6262" s="45" t="s">
        <v>15438</v>
      </c>
      <c r="H6262" s="546">
        <v>85983.2</v>
      </c>
      <c r="I6262" s="47">
        <v>45224</v>
      </c>
      <c r="J6262" s="73" t="s">
        <v>15439</v>
      </c>
      <c r="K6262" s="45"/>
      <c r="L6262" s="99"/>
      <c r="M6262" s="385"/>
      <c r="N6262" s="75"/>
      <c r="O6262" s="45" t="s">
        <v>15440</v>
      </c>
      <c r="P6262" s="45" t="s">
        <v>55</v>
      </c>
      <c r="Q6262" s="45" t="s">
        <v>108</v>
      </c>
      <c r="R6262" s="45" t="s">
        <v>272</v>
      </c>
    </row>
    <row r="6263" spans="1:18" s="98" customFormat="1" ht="69" customHeight="1">
      <c r="A6263" s="169"/>
      <c r="B6263" s="48">
        <f t="shared" si="17"/>
        <v>3402</v>
      </c>
      <c r="C6263" s="59" t="s">
        <v>11058</v>
      </c>
      <c r="D6263" s="84" t="s">
        <v>14772</v>
      </c>
      <c r="E6263" s="59" t="s">
        <v>11794</v>
      </c>
      <c r="F6263" s="569" t="s">
        <v>15479</v>
      </c>
      <c r="G6263" s="45" t="s">
        <v>15480</v>
      </c>
      <c r="H6263" s="546">
        <v>5500</v>
      </c>
      <c r="I6263" s="47">
        <v>45224</v>
      </c>
      <c r="J6263" s="73" t="s">
        <v>15481</v>
      </c>
      <c r="K6263" s="45"/>
      <c r="L6263" s="99"/>
      <c r="M6263" s="385"/>
      <c r="N6263" s="75"/>
      <c r="O6263" s="45" t="s">
        <v>971</v>
      </c>
      <c r="P6263" s="45" t="s">
        <v>38</v>
      </c>
      <c r="Q6263" s="45" t="s">
        <v>23</v>
      </c>
      <c r="R6263" s="45" t="s">
        <v>272</v>
      </c>
    </row>
    <row r="6264" spans="1:18" s="98" customFormat="1" ht="69" customHeight="1">
      <c r="A6264" s="169"/>
      <c r="B6264" s="48">
        <f t="shared" si="17"/>
        <v>3403</v>
      </c>
      <c r="C6264" s="59" t="s">
        <v>1853</v>
      </c>
      <c r="D6264" s="84" t="s">
        <v>14866</v>
      </c>
      <c r="E6264" s="59" t="s">
        <v>11794</v>
      </c>
      <c r="F6264" s="569" t="s">
        <v>15482</v>
      </c>
      <c r="G6264" s="45" t="s">
        <v>15480</v>
      </c>
      <c r="H6264" s="546">
        <v>5500</v>
      </c>
      <c r="I6264" s="47">
        <v>45224</v>
      </c>
      <c r="J6264" s="73" t="s">
        <v>15481</v>
      </c>
      <c r="K6264" s="45"/>
      <c r="L6264" s="99"/>
      <c r="M6264" s="385"/>
      <c r="N6264" s="75"/>
      <c r="O6264" s="45" t="s">
        <v>971</v>
      </c>
      <c r="P6264" s="45" t="s">
        <v>38</v>
      </c>
      <c r="Q6264" s="45" t="s">
        <v>29</v>
      </c>
      <c r="R6264" s="45" t="s">
        <v>272</v>
      </c>
    </row>
    <row r="6265" spans="1:18" s="98" customFormat="1" ht="69" customHeight="1">
      <c r="A6265" s="169"/>
      <c r="B6265" s="48">
        <f t="shared" si="17"/>
        <v>3404</v>
      </c>
      <c r="C6265" s="44" t="s">
        <v>14414</v>
      </c>
      <c r="D6265" s="84" t="s">
        <v>15483</v>
      </c>
      <c r="E6265" s="59" t="s">
        <v>11794</v>
      </c>
      <c r="F6265" s="569" t="s">
        <v>15484</v>
      </c>
      <c r="G6265" s="45" t="s">
        <v>15480</v>
      </c>
      <c r="H6265" s="546">
        <v>5500</v>
      </c>
      <c r="I6265" s="47">
        <v>45224</v>
      </c>
      <c r="J6265" s="73" t="s">
        <v>15481</v>
      </c>
      <c r="K6265" s="45"/>
      <c r="L6265" s="99"/>
      <c r="M6265" s="385"/>
      <c r="N6265" s="75"/>
      <c r="O6265" s="45" t="s">
        <v>971</v>
      </c>
      <c r="P6265" s="45" t="s">
        <v>38</v>
      </c>
      <c r="Q6265" s="45" t="s">
        <v>33</v>
      </c>
      <c r="R6265" s="45" t="s">
        <v>272</v>
      </c>
    </row>
    <row r="6266" spans="1:18" s="98" customFormat="1" ht="69" customHeight="1">
      <c r="A6266" s="169"/>
      <c r="B6266" s="48">
        <f t="shared" si="17"/>
        <v>3405</v>
      </c>
      <c r="C6266" s="59" t="s">
        <v>11052</v>
      </c>
      <c r="D6266" s="84" t="s">
        <v>15485</v>
      </c>
      <c r="E6266" s="59" t="s">
        <v>11794</v>
      </c>
      <c r="F6266" s="569" t="s">
        <v>15486</v>
      </c>
      <c r="G6266" s="45" t="s">
        <v>15480</v>
      </c>
      <c r="H6266" s="546">
        <v>5500</v>
      </c>
      <c r="I6266" s="47">
        <v>45224</v>
      </c>
      <c r="J6266" s="73" t="s">
        <v>15481</v>
      </c>
      <c r="K6266" s="45"/>
      <c r="L6266" s="99"/>
      <c r="M6266" s="385"/>
      <c r="N6266" s="75"/>
      <c r="O6266" s="45" t="s">
        <v>971</v>
      </c>
      <c r="P6266" s="45" t="s">
        <v>38</v>
      </c>
      <c r="Q6266" s="45" t="s">
        <v>37</v>
      </c>
      <c r="R6266" s="45" t="s">
        <v>272</v>
      </c>
    </row>
    <row r="6267" spans="1:18" ht="69" customHeight="1">
      <c r="A6267" s="168"/>
      <c r="B6267" s="52">
        <f t="shared" si="17"/>
        <v>3406</v>
      </c>
      <c r="C6267" s="191" t="s">
        <v>458</v>
      </c>
      <c r="D6267" s="251" t="s">
        <v>10814</v>
      </c>
      <c r="E6267" s="46" t="s">
        <v>15487</v>
      </c>
      <c r="F6267" s="46" t="s">
        <v>15488</v>
      </c>
      <c r="G6267" s="46" t="s">
        <v>15489</v>
      </c>
      <c r="H6267" s="534">
        <v>12468</v>
      </c>
      <c r="I6267" s="56">
        <v>45224</v>
      </c>
      <c r="J6267" s="199" t="s">
        <v>15490</v>
      </c>
      <c r="K6267" s="46" t="s">
        <v>65</v>
      </c>
      <c r="L6267" s="99"/>
      <c r="M6267" s="70"/>
      <c r="N6267" s="97"/>
      <c r="O6267" s="46" t="s">
        <v>141</v>
      </c>
      <c r="P6267" s="46" t="s">
        <v>65</v>
      </c>
      <c r="Q6267" s="46" t="s">
        <v>119</v>
      </c>
      <c r="R6267" s="46" t="s">
        <v>272</v>
      </c>
    </row>
    <row r="6268" spans="1:18" ht="69" customHeight="1">
      <c r="A6268" s="168"/>
      <c r="B6268" s="62">
        <f t="shared" si="17"/>
        <v>3407</v>
      </c>
      <c r="C6268" s="59" t="s">
        <v>3667</v>
      </c>
      <c r="D6268" s="84" t="s">
        <v>1349</v>
      </c>
      <c r="E6268" s="58" t="s">
        <v>283</v>
      </c>
      <c r="F6268" s="58" t="s">
        <v>15491</v>
      </c>
      <c r="G6268" s="58" t="s">
        <v>15492</v>
      </c>
      <c r="H6268" s="546">
        <v>40400</v>
      </c>
      <c r="I6268" s="66">
        <v>44804</v>
      </c>
      <c r="J6268" s="65" t="s">
        <v>15493</v>
      </c>
      <c r="K6268" s="45"/>
      <c r="L6268" s="99"/>
      <c r="M6268" s="385"/>
      <c r="N6268" s="75"/>
      <c r="O6268" s="45" t="s">
        <v>141</v>
      </c>
      <c r="P6268" s="45" t="s">
        <v>17</v>
      </c>
      <c r="Q6268" s="45" t="s">
        <v>68</v>
      </c>
      <c r="R6268" s="45" t="s">
        <v>265</v>
      </c>
    </row>
    <row r="6269" spans="1:18" s="98" customFormat="1" ht="69" customHeight="1">
      <c r="A6269" s="169"/>
      <c r="B6269" s="52">
        <f t="shared" si="17"/>
        <v>3408</v>
      </c>
      <c r="C6269" s="191" t="s">
        <v>3647</v>
      </c>
      <c r="D6269" s="251" t="s">
        <v>15494</v>
      </c>
      <c r="E6269" s="46" t="s">
        <v>15495</v>
      </c>
      <c r="F6269" s="46" t="s">
        <v>15496</v>
      </c>
      <c r="G6269" s="46" t="s">
        <v>15497</v>
      </c>
      <c r="H6269" s="534">
        <v>22684.2</v>
      </c>
      <c r="I6269" s="56">
        <v>45224</v>
      </c>
      <c r="J6269" s="199" t="s">
        <v>15498</v>
      </c>
      <c r="K6269" s="46" t="s">
        <v>65</v>
      </c>
      <c r="L6269" s="99"/>
      <c r="M6269" s="385"/>
      <c r="N6269" s="75"/>
      <c r="O6269" s="46" t="s">
        <v>192</v>
      </c>
      <c r="P6269" s="46" t="s">
        <v>65</v>
      </c>
      <c r="Q6269" s="46" t="s">
        <v>47</v>
      </c>
      <c r="R6269" s="46" t="s">
        <v>272</v>
      </c>
    </row>
    <row r="6270" spans="1:18" s="98" customFormat="1" ht="69" customHeight="1">
      <c r="A6270" s="169"/>
      <c r="B6270" s="52">
        <f t="shared" si="17"/>
        <v>3409</v>
      </c>
      <c r="C6270" s="191" t="s">
        <v>3933</v>
      </c>
      <c r="D6270" s="251" t="s">
        <v>15499</v>
      </c>
      <c r="E6270" s="46" t="s">
        <v>15495</v>
      </c>
      <c r="F6270" s="46" t="s">
        <v>15500</v>
      </c>
      <c r="G6270" s="46" t="s">
        <v>15497</v>
      </c>
      <c r="H6270" s="534">
        <v>27722.799999999999</v>
      </c>
      <c r="I6270" s="56">
        <v>45224</v>
      </c>
      <c r="J6270" s="199" t="s">
        <v>15498</v>
      </c>
      <c r="K6270" s="46" t="s">
        <v>65</v>
      </c>
      <c r="L6270" s="99"/>
      <c r="M6270" s="385"/>
      <c r="N6270" s="75"/>
      <c r="O6270" s="46" t="s">
        <v>192</v>
      </c>
      <c r="P6270" s="46" t="s">
        <v>65</v>
      </c>
      <c r="Q6270" s="46" t="s">
        <v>52</v>
      </c>
      <c r="R6270" s="46" t="s">
        <v>272</v>
      </c>
    </row>
    <row r="6271" spans="1:18" ht="69" customHeight="1">
      <c r="A6271" s="168"/>
      <c r="B6271" s="62">
        <f t="shared" si="17"/>
        <v>3410</v>
      </c>
      <c r="C6271" s="59" t="s">
        <v>458</v>
      </c>
      <c r="D6271" s="174" t="s">
        <v>10822</v>
      </c>
      <c r="E6271" s="58" t="s">
        <v>15501</v>
      </c>
      <c r="F6271" s="58" t="s">
        <v>15502</v>
      </c>
      <c r="G6271" s="58" t="s">
        <v>15503</v>
      </c>
      <c r="H6271" s="546">
        <v>28775</v>
      </c>
      <c r="I6271" s="66">
        <v>45224</v>
      </c>
      <c r="J6271" s="65" t="s">
        <v>15504</v>
      </c>
      <c r="K6271" s="58"/>
      <c r="L6271" s="99"/>
      <c r="M6271" s="70"/>
      <c r="N6271" s="97"/>
      <c r="O6271" s="58" t="s">
        <v>147</v>
      </c>
      <c r="P6271" s="58" t="s">
        <v>22</v>
      </c>
      <c r="Q6271" s="58" t="s">
        <v>88</v>
      </c>
      <c r="R6271" s="58" t="s">
        <v>265</v>
      </c>
    </row>
    <row r="6272" spans="1:18" s="98" customFormat="1" ht="69" customHeight="1">
      <c r="A6272" s="169"/>
      <c r="B6272" s="48">
        <f t="shared" si="17"/>
        <v>3411</v>
      </c>
      <c r="C6272" s="59" t="s">
        <v>458</v>
      </c>
      <c r="D6272" s="84" t="s">
        <v>10824</v>
      </c>
      <c r="E6272" s="45" t="s">
        <v>266</v>
      </c>
      <c r="F6272" s="45" t="s">
        <v>15505</v>
      </c>
      <c r="G6272" s="45" t="s">
        <v>12061</v>
      </c>
      <c r="H6272" s="546">
        <v>34317.03</v>
      </c>
      <c r="I6272" s="47">
        <v>45204</v>
      </c>
      <c r="J6272" s="73" t="s">
        <v>15506</v>
      </c>
      <c r="K6272" s="45"/>
      <c r="L6272" s="99"/>
      <c r="M6272" s="385"/>
      <c r="N6272" s="75"/>
      <c r="O6272" s="45" t="s">
        <v>2091</v>
      </c>
      <c r="P6272" s="45" t="s">
        <v>53</v>
      </c>
      <c r="Q6272" s="45" t="s">
        <v>88</v>
      </c>
      <c r="R6272" s="45" t="s">
        <v>272</v>
      </c>
    </row>
    <row r="6273" spans="1:18" s="98" customFormat="1" ht="69" customHeight="1">
      <c r="A6273" s="169"/>
      <c r="B6273" s="48">
        <f t="shared" si="17"/>
        <v>3412</v>
      </c>
      <c r="C6273" s="59" t="s">
        <v>5558</v>
      </c>
      <c r="D6273" s="84" t="s">
        <v>15507</v>
      </c>
      <c r="E6273" s="45" t="s">
        <v>266</v>
      </c>
      <c r="F6273" s="45" t="s">
        <v>15508</v>
      </c>
      <c r="G6273" s="45" t="s">
        <v>12061</v>
      </c>
      <c r="H6273" s="546">
        <v>34317.03</v>
      </c>
      <c r="I6273" s="47">
        <v>45204</v>
      </c>
      <c r="J6273" s="73" t="s">
        <v>15506</v>
      </c>
      <c r="K6273" s="45"/>
      <c r="L6273" s="99"/>
      <c r="M6273" s="385"/>
      <c r="N6273" s="75"/>
      <c r="O6273" s="45" t="s">
        <v>2091</v>
      </c>
      <c r="P6273" s="45" t="s">
        <v>53</v>
      </c>
      <c r="Q6273" s="45" t="s">
        <v>64</v>
      </c>
      <c r="R6273" s="45" t="s">
        <v>272</v>
      </c>
    </row>
    <row r="6274" spans="1:18" s="98" customFormat="1" ht="69" customHeight="1">
      <c r="A6274" s="169"/>
      <c r="B6274" s="261">
        <f t="shared" si="17"/>
        <v>3413</v>
      </c>
      <c r="C6274" s="118" t="s">
        <v>458</v>
      </c>
      <c r="D6274" s="255" t="s">
        <v>11248</v>
      </c>
      <c r="E6274" s="118" t="s">
        <v>15501</v>
      </c>
      <c r="F6274" s="118" t="s">
        <v>15509</v>
      </c>
      <c r="G6274" s="118" t="s">
        <v>15510</v>
      </c>
      <c r="H6274" s="300">
        <v>147000</v>
      </c>
      <c r="I6274" s="309">
        <v>45224</v>
      </c>
      <c r="J6274" s="258" t="s">
        <v>15511</v>
      </c>
      <c r="K6274" s="118" t="s">
        <v>13479</v>
      </c>
      <c r="L6274" s="99"/>
      <c r="M6274" s="386"/>
      <c r="N6274" s="223"/>
      <c r="O6274" s="118" t="s">
        <v>147</v>
      </c>
      <c r="P6274" s="118" t="s">
        <v>67</v>
      </c>
      <c r="Q6274" s="118" t="s">
        <v>113</v>
      </c>
      <c r="R6274" s="118" t="s">
        <v>265</v>
      </c>
    </row>
    <row r="6275" spans="1:18" ht="69" customHeight="1">
      <c r="A6275" s="169"/>
      <c r="B6275" s="62">
        <f t="shared" si="17"/>
        <v>3414</v>
      </c>
      <c r="C6275" s="59" t="s">
        <v>5558</v>
      </c>
      <c r="D6275" s="174" t="s">
        <v>15512</v>
      </c>
      <c r="E6275" s="45" t="s">
        <v>15513</v>
      </c>
      <c r="F6275" s="45" t="s">
        <v>15514</v>
      </c>
      <c r="G6275" s="45" t="s">
        <v>15515</v>
      </c>
      <c r="H6275" s="546">
        <v>26133</v>
      </c>
      <c r="I6275" s="47">
        <v>45224</v>
      </c>
      <c r="J6275" s="73" t="s">
        <v>15516</v>
      </c>
      <c r="K6275" s="58"/>
      <c r="L6275" s="99"/>
      <c r="M6275" s="70"/>
      <c r="N6275" s="97"/>
      <c r="O6275" s="58" t="s">
        <v>441</v>
      </c>
      <c r="P6275" s="58" t="s">
        <v>22</v>
      </c>
      <c r="Q6275" s="58" t="s">
        <v>64</v>
      </c>
      <c r="R6275" s="58" t="s">
        <v>265</v>
      </c>
    </row>
    <row r="6276" spans="1:18" s="98" customFormat="1" ht="69" customHeight="1">
      <c r="A6276" s="169"/>
      <c r="B6276" s="48">
        <f t="shared" si="17"/>
        <v>3415</v>
      </c>
      <c r="C6276" s="59" t="s">
        <v>13435</v>
      </c>
      <c r="D6276" s="84" t="s">
        <v>15517</v>
      </c>
      <c r="E6276" s="45" t="s">
        <v>15513</v>
      </c>
      <c r="F6276" s="45" t="s">
        <v>15518</v>
      </c>
      <c r="G6276" s="45" t="s">
        <v>15519</v>
      </c>
      <c r="H6276" s="546">
        <v>76038.899999999994</v>
      </c>
      <c r="I6276" s="47">
        <v>45224</v>
      </c>
      <c r="J6276" s="73" t="s">
        <v>15520</v>
      </c>
      <c r="K6276" s="45"/>
      <c r="L6276" s="99"/>
      <c r="M6276" s="385"/>
      <c r="N6276" s="75"/>
      <c r="O6276" s="45" t="s">
        <v>441</v>
      </c>
      <c r="P6276" s="45" t="s">
        <v>22</v>
      </c>
      <c r="Q6276" s="45" t="s">
        <v>13</v>
      </c>
      <c r="R6276" s="45" t="s">
        <v>265</v>
      </c>
    </row>
    <row r="6277" spans="1:18" ht="69" customHeight="1">
      <c r="A6277" s="168"/>
      <c r="B6277" s="62">
        <f t="shared" si="17"/>
        <v>3416</v>
      </c>
      <c r="C6277" s="59" t="s">
        <v>3667</v>
      </c>
      <c r="D6277" s="174" t="s">
        <v>15521</v>
      </c>
      <c r="E6277" s="45" t="s">
        <v>15522</v>
      </c>
      <c r="F6277" s="45" t="s">
        <v>15523</v>
      </c>
      <c r="G6277" s="45" t="s">
        <v>15524</v>
      </c>
      <c r="H6277" s="546">
        <v>66420</v>
      </c>
      <c r="I6277" s="47">
        <v>45224</v>
      </c>
      <c r="J6277" s="73" t="s">
        <v>15525</v>
      </c>
      <c r="K6277" s="58"/>
      <c r="L6277" s="99"/>
      <c r="M6277" s="70"/>
      <c r="N6277" s="97"/>
      <c r="O6277" s="58" t="s">
        <v>10607</v>
      </c>
      <c r="P6277" s="58" t="s">
        <v>22</v>
      </c>
      <c r="Q6277" s="58" t="s">
        <v>66</v>
      </c>
      <c r="R6277" s="58" t="s">
        <v>265</v>
      </c>
    </row>
    <row r="6278" spans="1:18" ht="69" customHeight="1">
      <c r="A6278" s="168"/>
      <c r="B6278" s="62">
        <f t="shared" si="17"/>
        <v>3417</v>
      </c>
      <c r="C6278" s="45" t="s">
        <v>458</v>
      </c>
      <c r="D6278" s="174" t="s">
        <v>15526</v>
      </c>
      <c r="E6278" s="58" t="s">
        <v>15501</v>
      </c>
      <c r="F6278" s="45" t="s">
        <v>15527</v>
      </c>
      <c r="G6278" s="45" t="s">
        <v>15528</v>
      </c>
      <c r="H6278" s="546">
        <v>44424.78</v>
      </c>
      <c r="I6278" s="47">
        <v>45224</v>
      </c>
      <c r="J6278" s="65" t="s">
        <v>15529</v>
      </c>
      <c r="K6278" s="58"/>
      <c r="L6278" s="99"/>
      <c r="M6278" s="70"/>
      <c r="N6278" s="97"/>
      <c r="O6278" s="58" t="s">
        <v>147</v>
      </c>
      <c r="P6278" s="58" t="s">
        <v>22</v>
      </c>
      <c r="Q6278" s="58" t="s">
        <v>100</v>
      </c>
      <c r="R6278" s="58" t="s">
        <v>265</v>
      </c>
    </row>
    <row r="6279" spans="1:18" ht="69" customHeight="1">
      <c r="A6279" s="168"/>
      <c r="B6279" s="62">
        <f t="shared" si="17"/>
        <v>3418</v>
      </c>
      <c r="C6279" s="59" t="s">
        <v>3667</v>
      </c>
      <c r="D6279" s="174" t="s">
        <v>15530</v>
      </c>
      <c r="E6279" s="58" t="s">
        <v>15531</v>
      </c>
      <c r="F6279" s="58" t="s">
        <v>15532</v>
      </c>
      <c r="G6279" s="58" t="s">
        <v>15533</v>
      </c>
      <c r="H6279" s="546">
        <v>135900</v>
      </c>
      <c r="I6279" s="47">
        <v>45224</v>
      </c>
      <c r="J6279" s="73" t="s">
        <v>15534</v>
      </c>
      <c r="K6279" s="58"/>
      <c r="L6279" s="99"/>
      <c r="M6279" s="70"/>
      <c r="N6279" s="97"/>
      <c r="O6279" s="58" t="s">
        <v>156</v>
      </c>
      <c r="P6279" s="58" t="s">
        <v>19</v>
      </c>
      <c r="Q6279" s="58" t="s">
        <v>93</v>
      </c>
      <c r="R6279" s="58" t="s">
        <v>265</v>
      </c>
    </row>
    <row r="6280" spans="1:18" ht="69" customHeight="1">
      <c r="A6280" s="168"/>
      <c r="B6280" s="62">
        <f t="shared" si="17"/>
        <v>3419</v>
      </c>
      <c r="C6280" s="59" t="s">
        <v>3667</v>
      </c>
      <c r="D6280" s="174" t="s">
        <v>15535</v>
      </c>
      <c r="E6280" s="58" t="s">
        <v>15531</v>
      </c>
      <c r="F6280" s="58" t="s">
        <v>15536</v>
      </c>
      <c r="G6280" s="58" t="s">
        <v>15533</v>
      </c>
      <c r="H6280" s="546">
        <v>135900</v>
      </c>
      <c r="I6280" s="47">
        <v>45224</v>
      </c>
      <c r="J6280" s="73" t="s">
        <v>15534</v>
      </c>
      <c r="K6280" s="58"/>
      <c r="L6280" s="99"/>
      <c r="M6280" s="70"/>
      <c r="N6280" s="97"/>
      <c r="O6280" s="58" t="s">
        <v>156</v>
      </c>
      <c r="P6280" s="58" t="s">
        <v>19</v>
      </c>
      <c r="Q6280" s="58" t="s">
        <v>95</v>
      </c>
      <c r="R6280" s="58" t="s">
        <v>265</v>
      </c>
    </row>
    <row r="6281" spans="1:18" s="98" customFormat="1" ht="69" customHeight="1">
      <c r="A6281" s="169"/>
      <c r="B6281" s="52">
        <f t="shared" si="17"/>
        <v>3420</v>
      </c>
      <c r="C6281" s="191" t="s">
        <v>3667</v>
      </c>
      <c r="D6281" s="251" t="s">
        <v>15537</v>
      </c>
      <c r="E6281" s="191" t="s">
        <v>266</v>
      </c>
      <c r="F6281" s="46" t="s">
        <v>15538</v>
      </c>
      <c r="G6281" s="46" t="s">
        <v>15539</v>
      </c>
      <c r="H6281" s="534">
        <v>12764.21</v>
      </c>
      <c r="I6281" s="56">
        <v>45224</v>
      </c>
      <c r="J6281" s="199" t="s">
        <v>15540</v>
      </c>
      <c r="K6281" s="46" t="s">
        <v>65</v>
      </c>
      <c r="L6281" s="99"/>
      <c r="M6281" s="385"/>
      <c r="N6281" s="75"/>
      <c r="O6281" s="46" t="s">
        <v>4116</v>
      </c>
      <c r="P6281" s="46" t="s">
        <v>71</v>
      </c>
      <c r="Q6281" s="46" t="s">
        <v>78</v>
      </c>
      <c r="R6281" s="46" t="s">
        <v>272</v>
      </c>
    </row>
    <row r="6282" spans="1:18" ht="69" customHeight="1">
      <c r="A6282" s="168"/>
      <c r="B6282" s="52">
        <f t="shared" si="17"/>
        <v>3421</v>
      </c>
      <c r="C6282" s="51" t="s">
        <v>657</v>
      </c>
      <c r="D6282" s="251" t="s">
        <v>15541</v>
      </c>
      <c r="E6282" s="191" t="s">
        <v>266</v>
      </c>
      <c r="F6282" s="46" t="s">
        <v>15542</v>
      </c>
      <c r="G6282" s="46" t="s">
        <v>15539</v>
      </c>
      <c r="H6282" s="534">
        <v>11509.96</v>
      </c>
      <c r="I6282" s="56">
        <v>45224</v>
      </c>
      <c r="J6282" s="199" t="s">
        <v>15540</v>
      </c>
      <c r="K6282" s="46" t="s">
        <v>65</v>
      </c>
      <c r="L6282" s="99"/>
      <c r="M6282" s="70"/>
      <c r="N6282" s="97"/>
      <c r="O6282" s="46" t="s">
        <v>1171</v>
      </c>
      <c r="P6282" s="46" t="s">
        <v>71</v>
      </c>
      <c r="Q6282" s="46" t="s">
        <v>110</v>
      </c>
      <c r="R6282" s="46" t="s">
        <v>272</v>
      </c>
    </row>
    <row r="6283" spans="1:18" ht="69" customHeight="1">
      <c r="A6283" s="168"/>
      <c r="B6283" s="48">
        <f t="shared" si="17"/>
        <v>3422</v>
      </c>
      <c r="C6283" s="59" t="s">
        <v>8797</v>
      </c>
      <c r="D6283" s="84" t="s">
        <v>2165</v>
      </c>
      <c r="E6283" s="59" t="s">
        <v>11794</v>
      </c>
      <c r="F6283" s="569" t="s">
        <v>15543</v>
      </c>
      <c r="G6283" s="45" t="s">
        <v>15544</v>
      </c>
      <c r="H6283" s="546">
        <v>8850</v>
      </c>
      <c r="I6283" s="47">
        <v>45224</v>
      </c>
      <c r="J6283" s="73" t="s">
        <v>15545</v>
      </c>
      <c r="K6283" s="45"/>
      <c r="L6283" s="99"/>
      <c r="M6283" s="389"/>
      <c r="N6283" s="105"/>
      <c r="O6283" s="58" t="s">
        <v>971</v>
      </c>
      <c r="P6283" s="58" t="s">
        <v>38</v>
      </c>
      <c r="Q6283" s="58" t="s">
        <v>110</v>
      </c>
      <c r="R6283" s="58" t="s">
        <v>272</v>
      </c>
    </row>
    <row r="6284" spans="1:18" s="98" customFormat="1" ht="69" customHeight="1">
      <c r="A6284" s="168"/>
      <c r="B6284" s="48">
        <f t="shared" si="17"/>
        <v>3423</v>
      </c>
      <c r="C6284" s="59" t="s">
        <v>1853</v>
      </c>
      <c r="D6284" s="84" t="s">
        <v>15546</v>
      </c>
      <c r="E6284" s="59" t="s">
        <v>4033</v>
      </c>
      <c r="F6284" s="45" t="s">
        <v>15547</v>
      </c>
      <c r="G6284" s="45" t="s">
        <v>14949</v>
      </c>
      <c r="H6284" s="546">
        <v>22706.25</v>
      </c>
      <c r="I6284" s="47">
        <v>45224</v>
      </c>
      <c r="J6284" s="73" t="s">
        <v>15548</v>
      </c>
      <c r="K6284" s="45"/>
      <c r="L6284" s="99"/>
      <c r="M6284" s="385"/>
      <c r="N6284" s="75"/>
      <c r="O6284" s="45" t="s">
        <v>441</v>
      </c>
      <c r="P6284" s="45" t="s">
        <v>22</v>
      </c>
      <c r="Q6284" s="45" t="s">
        <v>29</v>
      </c>
      <c r="R6284" s="45" t="s">
        <v>272</v>
      </c>
    </row>
    <row r="6285" spans="1:18" ht="69" customHeight="1">
      <c r="A6285" s="168"/>
      <c r="B6285" s="48">
        <f t="shared" si="17"/>
        <v>3424</v>
      </c>
      <c r="C6285" s="44" t="s">
        <v>11055</v>
      </c>
      <c r="D6285" s="84" t="s">
        <v>14883</v>
      </c>
      <c r="E6285" s="55" t="s">
        <v>10553</v>
      </c>
      <c r="F6285" s="45" t="s">
        <v>15549</v>
      </c>
      <c r="G6285" s="45" t="s">
        <v>15550</v>
      </c>
      <c r="H6285" s="546">
        <v>77465.64</v>
      </c>
      <c r="I6285" s="47">
        <v>45224</v>
      </c>
      <c r="J6285" s="73" t="s">
        <v>15551</v>
      </c>
      <c r="K6285" s="45"/>
      <c r="L6285" s="99"/>
      <c r="M6285" s="385"/>
      <c r="N6285" s="75"/>
      <c r="O6285" s="45" t="s">
        <v>147</v>
      </c>
      <c r="P6285" s="45" t="s">
        <v>22</v>
      </c>
      <c r="Q6285" s="45" t="s">
        <v>45</v>
      </c>
      <c r="R6285" s="45" t="s">
        <v>272</v>
      </c>
    </row>
    <row r="6286" spans="1:18" ht="69" customHeight="1">
      <c r="A6286" s="168"/>
      <c r="B6286" s="48">
        <f t="shared" si="17"/>
        <v>3425</v>
      </c>
      <c r="C6286" s="44" t="s">
        <v>11055</v>
      </c>
      <c r="D6286" s="84" t="s">
        <v>14886</v>
      </c>
      <c r="E6286" s="55" t="s">
        <v>10553</v>
      </c>
      <c r="F6286" s="45" t="s">
        <v>15552</v>
      </c>
      <c r="G6286" s="45" t="s">
        <v>15553</v>
      </c>
      <c r="H6286" s="546">
        <v>94680.22</v>
      </c>
      <c r="I6286" s="47">
        <v>45224</v>
      </c>
      <c r="J6286" s="73" t="s">
        <v>15551</v>
      </c>
      <c r="K6286" s="45"/>
      <c r="L6286" s="99"/>
      <c r="M6286" s="385"/>
      <c r="N6286" s="75"/>
      <c r="O6286" s="45" t="s">
        <v>147</v>
      </c>
      <c r="P6286" s="45" t="s">
        <v>22</v>
      </c>
      <c r="Q6286" s="45" t="s">
        <v>45</v>
      </c>
      <c r="R6286" s="45" t="s">
        <v>272</v>
      </c>
    </row>
    <row r="6287" spans="1:18" s="98" customFormat="1" ht="69" customHeight="1">
      <c r="A6287" s="169"/>
      <c r="B6287" s="62"/>
      <c r="C6287" s="616" t="s">
        <v>458</v>
      </c>
      <c r="D6287" s="210">
        <v>2314</v>
      </c>
      <c r="E6287" s="45" t="s">
        <v>15554</v>
      </c>
      <c r="F6287" s="210" t="s">
        <v>15555</v>
      </c>
      <c r="G6287" s="58" t="s">
        <v>15556</v>
      </c>
      <c r="H6287" s="546">
        <v>48148.1</v>
      </c>
      <c r="I6287" s="66">
        <v>45212</v>
      </c>
      <c r="J6287" s="65" t="s">
        <v>15557</v>
      </c>
      <c r="K6287" s="58" t="s">
        <v>15558</v>
      </c>
      <c r="M6287" s="386"/>
      <c r="N6287" s="223"/>
      <c r="O6287" s="58" t="s">
        <v>147</v>
      </c>
      <c r="P6287" s="45" t="s">
        <v>42</v>
      </c>
      <c r="Q6287" s="58" t="s">
        <v>88</v>
      </c>
      <c r="R6287" s="58" t="s">
        <v>272</v>
      </c>
    </row>
    <row r="6288" spans="1:18" s="98" customFormat="1" ht="69" customHeight="1">
      <c r="A6288" s="169"/>
      <c r="B6288" s="62"/>
      <c r="C6288" s="616" t="s">
        <v>458</v>
      </c>
      <c r="D6288" s="210">
        <v>2314</v>
      </c>
      <c r="E6288" s="45" t="s">
        <v>15554</v>
      </c>
      <c r="F6288" s="210" t="s">
        <v>15555</v>
      </c>
      <c r="G6288" s="58" t="s">
        <v>15556</v>
      </c>
      <c r="H6288" s="546">
        <v>48148.1</v>
      </c>
      <c r="I6288" s="66">
        <v>45212</v>
      </c>
      <c r="J6288" s="65" t="s">
        <v>15557</v>
      </c>
      <c r="K6288" s="58" t="s">
        <v>15558</v>
      </c>
      <c r="M6288" s="70"/>
      <c r="N6288" s="97"/>
      <c r="O6288" s="58" t="s">
        <v>147</v>
      </c>
      <c r="P6288" s="45" t="s">
        <v>42</v>
      </c>
      <c r="Q6288" s="58" t="s">
        <v>112</v>
      </c>
      <c r="R6288" s="58" t="s">
        <v>272</v>
      </c>
    </row>
    <row r="6289" spans="1:18" s="98" customFormat="1" ht="69" customHeight="1">
      <c r="A6289" s="169"/>
      <c r="B6289" s="261">
        <f t="shared" ref="B6289:B6352" si="18">B6288+1</f>
        <v>1</v>
      </c>
      <c r="C6289" s="325" t="s">
        <v>309</v>
      </c>
      <c r="D6289" s="118">
        <v>625</v>
      </c>
      <c r="E6289" s="256" t="s">
        <v>350</v>
      </c>
      <c r="F6289" s="263" t="s">
        <v>14319</v>
      </c>
      <c r="G6289" s="118" t="s">
        <v>744</v>
      </c>
      <c r="H6289" s="280">
        <v>118860</v>
      </c>
      <c r="I6289" s="262">
        <v>44802</v>
      </c>
      <c r="J6289" s="258" t="s">
        <v>14320</v>
      </c>
      <c r="K6289" s="160" t="s">
        <v>15559</v>
      </c>
      <c r="M6289" s="386"/>
      <c r="N6289" s="223"/>
      <c r="O6289" s="118" t="s">
        <v>13176</v>
      </c>
      <c r="P6289" s="118" t="s">
        <v>67</v>
      </c>
      <c r="Q6289" s="118" t="s">
        <v>41</v>
      </c>
      <c r="R6289" s="118" t="s">
        <v>272</v>
      </c>
    </row>
    <row r="6290" spans="1:18" s="98" customFormat="1" ht="69" customHeight="1">
      <c r="A6290" s="169"/>
      <c r="B6290" s="48">
        <f t="shared" si="18"/>
        <v>2</v>
      </c>
      <c r="C6290" s="59" t="s">
        <v>5558</v>
      </c>
      <c r="D6290" s="84" t="s">
        <v>15560</v>
      </c>
      <c r="E6290" s="59" t="s">
        <v>10845</v>
      </c>
      <c r="F6290" s="45" t="s">
        <v>15561</v>
      </c>
      <c r="G6290" s="45" t="s">
        <v>15562</v>
      </c>
      <c r="H6290" s="546">
        <v>18238.63</v>
      </c>
      <c r="I6290" s="47">
        <v>45224</v>
      </c>
      <c r="J6290" s="73" t="s">
        <v>15563</v>
      </c>
      <c r="K6290" s="45"/>
      <c r="L6290" s="99"/>
      <c r="M6290" s="385"/>
      <c r="N6290" s="75"/>
      <c r="O6290" s="45" t="s">
        <v>156</v>
      </c>
      <c r="P6290" s="45" t="s">
        <v>19</v>
      </c>
      <c r="Q6290" s="45" t="s">
        <v>64</v>
      </c>
      <c r="R6290" s="45" t="s">
        <v>272</v>
      </c>
    </row>
    <row r="6291" spans="1:18" s="98" customFormat="1" ht="69" customHeight="1">
      <c r="A6291" s="169"/>
      <c r="B6291" s="48">
        <f t="shared" si="18"/>
        <v>3</v>
      </c>
      <c r="C6291" s="59" t="s">
        <v>2182</v>
      </c>
      <c r="D6291" s="84" t="s">
        <v>15067</v>
      </c>
      <c r="E6291" s="59" t="s">
        <v>10845</v>
      </c>
      <c r="F6291" s="45" t="s">
        <v>15564</v>
      </c>
      <c r="G6291" s="45" t="s">
        <v>15562</v>
      </c>
      <c r="H6291" s="546">
        <v>93374.84</v>
      </c>
      <c r="I6291" s="47">
        <v>45224</v>
      </c>
      <c r="J6291" s="73" t="s">
        <v>15563</v>
      </c>
      <c r="K6291" s="45"/>
      <c r="L6291" s="99"/>
      <c r="M6291" s="385"/>
      <c r="N6291" s="75"/>
      <c r="O6291" s="45" t="s">
        <v>156</v>
      </c>
      <c r="P6291" s="45" t="s">
        <v>19</v>
      </c>
      <c r="Q6291" s="45" t="s">
        <v>31</v>
      </c>
      <c r="R6291" s="45" t="s">
        <v>272</v>
      </c>
    </row>
    <row r="6292" spans="1:18" s="98" customFormat="1" ht="69" customHeight="1">
      <c r="A6292" s="169"/>
      <c r="B6292" s="48">
        <f t="shared" si="18"/>
        <v>4</v>
      </c>
      <c r="C6292" s="59" t="s">
        <v>11055</v>
      </c>
      <c r="D6292" s="84" t="s">
        <v>15075</v>
      </c>
      <c r="E6292" s="59" t="s">
        <v>10845</v>
      </c>
      <c r="F6292" s="45" t="s">
        <v>15565</v>
      </c>
      <c r="G6292" s="45" t="s">
        <v>15562</v>
      </c>
      <c r="H6292" s="546">
        <v>272304.42</v>
      </c>
      <c r="I6292" s="47">
        <v>45224</v>
      </c>
      <c r="J6292" s="73" t="s">
        <v>15563</v>
      </c>
      <c r="K6292" s="45"/>
      <c r="L6292" s="99"/>
      <c r="M6292" s="385"/>
      <c r="N6292" s="75"/>
      <c r="O6292" s="45" t="s">
        <v>156</v>
      </c>
      <c r="P6292" s="45" t="s">
        <v>19</v>
      </c>
      <c r="Q6292" s="45" t="s">
        <v>45</v>
      </c>
      <c r="R6292" s="45" t="s">
        <v>272</v>
      </c>
    </row>
    <row r="6293" spans="1:18" s="98" customFormat="1" ht="69" customHeight="1">
      <c r="A6293" s="169"/>
      <c r="B6293" s="48">
        <f t="shared" si="18"/>
        <v>5</v>
      </c>
      <c r="C6293" s="59" t="s">
        <v>9094</v>
      </c>
      <c r="D6293" s="84" t="s">
        <v>10849</v>
      </c>
      <c r="E6293" s="59" t="s">
        <v>10845</v>
      </c>
      <c r="F6293" s="45" t="s">
        <v>15566</v>
      </c>
      <c r="G6293" s="45" t="s">
        <v>15562</v>
      </c>
      <c r="H6293" s="546">
        <v>385864.74</v>
      </c>
      <c r="I6293" s="47">
        <v>45224</v>
      </c>
      <c r="J6293" s="73" t="s">
        <v>15567</v>
      </c>
      <c r="K6293" s="45"/>
      <c r="L6293" s="99"/>
      <c r="M6293" s="385"/>
      <c r="N6293" s="75"/>
      <c r="O6293" s="45" t="s">
        <v>156</v>
      </c>
      <c r="P6293" s="45" t="s">
        <v>73</v>
      </c>
      <c r="Q6293" s="45" t="s">
        <v>112</v>
      </c>
      <c r="R6293" s="45" t="s">
        <v>272</v>
      </c>
    </row>
    <row r="6294" spans="1:18" s="98" customFormat="1" ht="69" customHeight="1">
      <c r="A6294" s="169"/>
      <c r="B6294" s="48">
        <f t="shared" si="18"/>
        <v>6</v>
      </c>
      <c r="C6294" s="59" t="s">
        <v>13562</v>
      </c>
      <c r="D6294" s="84" t="s">
        <v>15568</v>
      </c>
      <c r="E6294" s="59" t="s">
        <v>10845</v>
      </c>
      <c r="F6294" s="45" t="s">
        <v>15569</v>
      </c>
      <c r="G6294" s="45" t="s">
        <v>15562</v>
      </c>
      <c r="H6294" s="546">
        <v>334909.49</v>
      </c>
      <c r="I6294" s="47">
        <v>45224</v>
      </c>
      <c r="J6294" s="73" t="s">
        <v>15567</v>
      </c>
      <c r="K6294" s="45"/>
      <c r="L6294" s="99"/>
      <c r="M6294" s="385"/>
      <c r="N6294" s="75"/>
      <c r="O6294" s="45" t="s">
        <v>156</v>
      </c>
      <c r="P6294" s="58" t="s">
        <v>73</v>
      </c>
      <c r="Q6294" s="45" t="s">
        <v>88</v>
      </c>
      <c r="R6294" s="45" t="s">
        <v>272</v>
      </c>
    </row>
    <row r="6295" spans="1:18" s="98" customFormat="1" ht="69" customHeight="1">
      <c r="A6295" s="169"/>
      <c r="B6295" s="261">
        <f t="shared" si="18"/>
        <v>7</v>
      </c>
      <c r="C6295" s="256" t="s">
        <v>12503</v>
      </c>
      <c r="D6295" s="255" t="s">
        <v>96</v>
      </c>
      <c r="E6295" s="256" t="s">
        <v>266</v>
      </c>
      <c r="F6295" s="263" t="s">
        <v>15570</v>
      </c>
      <c r="G6295" s="118" t="s">
        <v>15571</v>
      </c>
      <c r="H6295" s="300">
        <v>0</v>
      </c>
      <c r="I6295" s="262">
        <v>45224</v>
      </c>
      <c r="J6295" s="258" t="s">
        <v>15572</v>
      </c>
      <c r="K6295" s="118" t="s">
        <v>15573</v>
      </c>
      <c r="L6295" s="99"/>
      <c r="M6295" s="386"/>
      <c r="N6295" s="223"/>
      <c r="O6295" s="118" t="s">
        <v>5969</v>
      </c>
      <c r="P6295" s="118" t="s">
        <v>67</v>
      </c>
      <c r="Q6295" s="118" t="s">
        <v>113</v>
      </c>
      <c r="R6295" s="118" t="s">
        <v>272</v>
      </c>
    </row>
    <row r="6296" spans="1:18" s="98" customFormat="1" ht="69" customHeight="1">
      <c r="A6296" s="169"/>
      <c r="B6296" s="261">
        <f t="shared" si="18"/>
        <v>8</v>
      </c>
      <c r="C6296" s="256" t="s">
        <v>12503</v>
      </c>
      <c r="D6296" s="255" t="s">
        <v>96</v>
      </c>
      <c r="E6296" s="256" t="s">
        <v>266</v>
      </c>
      <c r="F6296" s="263" t="s">
        <v>15574</v>
      </c>
      <c r="G6296" s="118" t="s">
        <v>15575</v>
      </c>
      <c r="H6296" s="300">
        <v>0</v>
      </c>
      <c r="I6296" s="262">
        <v>45224</v>
      </c>
      <c r="J6296" s="258" t="s">
        <v>15567</v>
      </c>
      <c r="K6296" s="118" t="s">
        <v>15573</v>
      </c>
      <c r="L6296" s="99"/>
      <c r="M6296" s="386"/>
      <c r="N6296" s="223"/>
      <c r="O6296" s="118" t="s">
        <v>5969</v>
      </c>
      <c r="P6296" s="118" t="s">
        <v>67</v>
      </c>
      <c r="Q6296" s="118" t="s">
        <v>113</v>
      </c>
      <c r="R6296" s="118" t="s">
        <v>272</v>
      </c>
    </row>
    <row r="6297" spans="1:18" s="98" customFormat="1" ht="69" customHeight="1">
      <c r="A6297" s="169"/>
      <c r="B6297" s="261">
        <f t="shared" si="18"/>
        <v>9</v>
      </c>
      <c r="C6297" s="256" t="s">
        <v>12503</v>
      </c>
      <c r="D6297" s="255" t="s">
        <v>96</v>
      </c>
      <c r="E6297" s="256" t="s">
        <v>266</v>
      </c>
      <c r="F6297" s="263" t="s">
        <v>15574</v>
      </c>
      <c r="G6297" s="118" t="s">
        <v>15575</v>
      </c>
      <c r="H6297" s="300">
        <v>0</v>
      </c>
      <c r="I6297" s="262">
        <v>45224</v>
      </c>
      <c r="J6297" s="258" t="s">
        <v>15567</v>
      </c>
      <c r="K6297" s="118" t="s">
        <v>15573</v>
      </c>
      <c r="L6297" s="99"/>
      <c r="M6297" s="386"/>
      <c r="N6297" s="223"/>
      <c r="O6297" s="118" t="s">
        <v>5969</v>
      </c>
      <c r="P6297" s="118" t="s">
        <v>67</v>
      </c>
      <c r="Q6297" s="118" t="s">
        <v>113</v>
      </c>
      <c r="R6297" s="118" t="s">
        <v>272</v>
      </c>
    </row>
    <row r="6298" spans="1:18" s="98" customFormat="1" ht="69" customHeight="1">
      <c r="A6298" s="169"/>
      <c r="B6298" s="52">
        <f t="shared" si="18"/>
        <v>10</v>
      </c>
      <c r="C6298" s="191" t="s">
        <v>3667</v>
      </c>
      <c r="D6298" s="251" t="s">
        <v>15576</v>
      </c>
      <c r="E6298" s="191" t="s">
        <v>266</v>
      </c>
      <c r="F6298" s="46" t="s">
        <v>15577</v>
      </c>
      <c r="G6298" s="46" t="s">
        <v>15578</v>
      </c>
      <c r="H6298" s="534">
        <v>4209</v>
      </c>
      <c r="I6298" s="56">
        <v>45224</v>
      </c>
      <c r="J6298" s="199" t="s">
        <v>15572</v>
      </c>
      <c r="K6298" s="46" t="s">
        <v>1170</v>
      </c>
      <c r="L6298" s="99"/>
      <c r="M6298" s="385"/>
      <c r="N6298" s="75"/>
      <c r="O6298" s="46" t="s">
        <v>14051</v>
      </c>
      <c r="P6298" s="46" t="s">
        <v>65</v>
      </c>
      <c r="Q6298" s="46" t="s">
        <v>84</v>
      </c>
      <c r="R6298" s="160" t="s">
        <v>272</v>
      </c>
    </row>
    <row r="6299" spans="1:18" ht="69" customHeight="1">
      <c r="A6299" s="168"/>
      <c r="B6299" s="216">
        <f t="shared" si="18"/>
        <v>11</v>
      </c>
      <c r="C6299" s="59" t="s">
        <v>3667</v>
      </c>
      <c r="D6299" s="617"/>
      <c r="E6299" s="133" t="s">
        <v>15579</v>
      </c>
      <c r="F6299" s="133" t="s">
        <v>15580</v>
      </c>
      <c r="G6299" s="133" t="s">
        <v>4496</v>
      </c>
      <c r="H6299" s="546">
        <v>62500</v>
      </c>
      <c r="I6299" s="218">
        <v>44593</v>
      </c>
      <c r="J6299" s="414"/>
      <c r="K6299" s="133" t="s">
        <v>15581</v>
      </c>
      <c r="L6299" s="99"/>
      <c r="M6299" s="70"/>
      <c r="N6299" s="97"/>
      <c r="O6299" s="58" t="s">
        <v>141</v>
      </c>
      <c r="P6299" s="58" t="s">
        <v>17</v>
      </c>
      <c r="Q6299" s="58" t="s">
        <v>68</v>
      </c>
      <c r="R6299" s="58" t="s">
        <v>265</v>
      </c>
    </row>
    <row r="6300" spans="1:18" ht="69" customHeight="1">
      <c r="A6300" s="168"/>
      <c r="B6300" s="216">
        <f t="shared" si="18"/>
        <v>12</v>
      </c>
      <c r="C6300" s="59" t="s">
        <v>3667</v>
      </c>
      <c r="D6300" s="617"/>
      <c r="E6300" s="133" t="s">
        <v>15582</v>
      </c>
      <c r="F6300" s="133" t="s">
        <v>15580</v>
      </c>
      <c r="G6300" s="133" t="s">
        <v>15583</v>
      </c>
      <c r="H6300" s="546">
        <v>37500</v>
      </c>
      <c r="I6300" s="218">
        <v>44496</v>
      </c>
      <c r="J6300" s="414"/>
      <c r="K6300" s="133" t="s">
        <v>15584</v>
      </c>
      <c r="L6300" s="99"/>
      <c r="M6300" s="70"/>
      <c r="N6300" s="97"/>
      <c r="O6300" s="58" t="s">
        <v>141</v>
      </c>
      <c r="P6300" s="58" t="s">
        <v>17</v>
      </c>
      <c r="Q6300" s="58" t="s">
        <v>68</v>
      </c>
      <c r="R6300" s="58" t="s">
        <v>272</v>
      </c>
    </row>
    <row r="6301" spans="1:18" s="98" customFormat="1" ht="69" customHeight="1">
      <c r="A6301" s="168"/>
      <c r="B6301" s="48">
        <f t="shared" si="18"/>
        <v>13</v>
      </c>
      <c r="C6301" s="59" t="s">
        <v>11047</v>
      </c>
      <c r="D6301" s="84" t="s">
        <v>15026</v>
      </c>
      <c r="E6301" s="45" t="s">
        <v>4033</v>
      </c>
      <c r="F6301" s="45" t="s">
        <v>15585</v>
      </c>
      <c r="G6301" s="45" t="s">
        <v>14983</v>
      </c>
      <c r="H6301" s="546">
        <v>528255.28</v>
      </c>
      <c r="I6301" s="47">
        <v>45224</v>
      </c>
      <c r="J6301" s="73" t="s">
        <v>15586</v>
      </c>
      <c r="K6301" s="45"/>
      <c r="L6301" s="99"/>
      <c r="M6301" s="385"/>
      <c r="N6301" s="75"/>
      <c r="O6301" s="45" t="s">
        <v>441</v>
      </c>
      <c r="P6301" s="45" t="s">
        <v>22</v>
      </c>
      <c r="Q6301" s="45" t="s">
        <v>33</v>
      </c>
      <c r="R6301" s="45" t="s">
        <v>272</v>
      </c>
    </row>
    <row r="6302" spans="1:18" ht="69" customHeight="1">
      <c r="A6302" s="168"/>
      <c r="B6302" s="219">
        <f t="shared" si="18"/>
        <v>14</v>
      </c>
      <c r="C6302" s="217" t="s">
        <v>458</v>
      </c>
      <c r="D6302" s="617"/>
      <c r="E6302" s="133" t="s">
        <v>283</v>
      </c>
      <c r="F6302" s="133" t="s">
        <v>5837</v>
      </c>
      <c r="G6302" s="133" t="s">
        <v>5838</v>
      </c>
      <c r="H6302" s="546">
        <v>252279.67</v>
      </c>
      <c r="I6302" s="216" t="s">
        <v>96</v>
      </c>
      <c r="J6302" s="414" t="s">
        <v>5839</v>
      </c>
      <c r="K6302" s="133" t="s">
        <v>5840</v>
      </c>
      <c r="L6302" s="99"/>
      <c r="M6302" s="70" t="s">
        <v>141</v>
      </c>
      <c r="N6302" s="97" t="s">
        <v>17</v>
      </c>
      <c r="O6302" s="58" t="s">
        <v>103</v>
      </c>
      <c r="P6302" s="58" t="s">
        <v>17</v>
      </c>
      <c r="Q6302" s="58" t="s">
        <v>123</v>
      </c>
      <c r="R6302" s="58" t="s">
        <v>272</v>
      </c>
    </row>
    <row r="6303" spans="1:18" ht="69" customHeight="1">
      <c r="A6303" s="168"/>
      <c r="B6303" s="62">
        <f t="shared" si="18"/>
        <v>15</v>
      </c>
      <c r="C6303" s="178" t="s">
        <v>309</v>
      </c>
      <c r="D6303" s="174" t="s">
        <v>15106</v>
      </c>
      <c r="E6303" s="58" t="s">
        <v>15587</v>
      </c>
      <c r="F6303" s="45" t="s">
        <v>15588</v>
      </c>
      <c r="G6303" s="45" t="s">
        <v>15589</v>
      </c>
      <c r="H6303" s="546">
        <v>40631.79</v>
      </c>
      <c r="I6303" s="47">
        <v>45224</v>
      </c>
      <c r="J6303" s="73" t="s">
        <v>15590</v>
      </c>
      <c r="K6303" s="58"/>
      <c r="L6303" s="99"/>
      <c r="M6303" s="70"/>
      <c r="N6303" s="97"/>
      <c r="O6303" s="58" t="s">
        <v>156</v>
      </c>
      <c r="P6303" s="58" t="s">
        <v>26</v>
      </c>
      <c r="Q6303" s="58" t="s">
        <v>29</v>
      </c>
      <c r="R6303" s="58" t="s">
        <v>272</v>
      </c>
    </row>
    <row r="6304" spans="1:18" ht="69" customHeight="1">
      <c r="A6304" s="168"/>
      <c r="B6304" s="62">
        <f t="shared" si="18"/>
        <v>16</v>
      </c>
      <c r="C6304" s="178" t="s">
        <v>309</v>
      </c>
      <c r="D6304" s="174" t="s">
        <v>15110</v>
      </c>
      <c r="E6304" s="58" t="s">
        <v>15587</v>
      </c>
      <c r="F6304" s="45" t="s">
        <v>15591</v>
      </c>
      <c r="G6304" s="45" t="s">
        <v>15589</v>
      </c>
      <c r="H6304" s="546">
        <v>53654.52</v>
      </c>
      <c r="I6304" s="47">
        <v>45224</v>
      </c>
      <c r="J6304" s="73" t="s">
        <v>15590</v>
      </c>
      <c r="K6304" s="58"/>
      <c r="L6304" s="99"/>
      <c r="M6304" s="70"/>
      <c r="N6304" s="97"/>
      <c r="O6304" s="58" t="s">
        <v>156</v>
      </c>
      <c r="P6304" s="58" t="s">
        <v>26</v>
      </c>
      <c r="Q6304" s="58" t="s">
        <v>33</v>
      </c>
      <c r="R6304" s="58" t="s">
        <v>272</v>
      </c>
    </row>
    <row r="6305" spans="1:18" ht="69" customHeight="1">
      <c r="A6305" s="168"/>
      <c r="B6305" s="220">
        <f t="shared" si="18"/>
        <v>17</v>
      </c>
      <c r="C6305" s="618" t="s">
        <v>458</v>
      </c>
      <c r="D6305" s="619"/>
      <c r="E6305" s="618" t="s">
        <v>283</v>
      </c>
      <c r="F6305" s="620" t="s">
        <v>7272</v>
      </c>
      <c r="G6305" s="568" t="s">
        <v>7080</v>
      </c>
      <c r="H6305" s="546">
        <v>200000</v>
      </c>
      <c r="I6305" s="66" t="s">
        <v>96</v>
      </c>
      <c r="J6305" s="621" t="s">
        <v>7081</v>
      </c>
      <c r="K6305" s="568" t="s">
        <v>7253</v>
      </c>
      <c r="L6305" s="99"/>
      <c r="M6305" s="70"/>
      <c r="N6305" s="97"/>
      <c r="O6305" s="58" t="s">
        <v>141</v>
      </c>
      <c r="P6305" s="58" t="s">
        <v>17</v>
      </c>
      <c r="Q6305" s="58" t="s">
        <v>112</v>
      </c>
      <c r="R6305" s="58" t="s">
        <v>272</v>
      </c>
    </row>
    <row r="6306" spans="1:18" ht="69" customHeight="1">
      <c r="A6306" s="168"/>
      <c r="B6306" s="52">
        <f t="shared" si="18"/>
        <v>18</v>
      </c>
      <c r="C6306" s="191" t="s">
        <v>3647</v>
      </c>
      <c r="D6306" s="251" t="s">
        <v>15592</v>
      </c>
      <c r="E6306" s="46" t="s">
        <v>266</v>
      </c>
      <c r="F6306" s="46" t="s">
        <v>15593</v>
      </c>
      <c r="G6306" s="46" t="s">
        <v>15594</v>
      </c>
      <c r="H6306" s="534">
        <v>21000</v>
      </c>
      <c r="I6306" s="56">
        <v>45224</v>
      </c>
      <c r="J6306" s="199" t="s">
        <v>15595</v>
      </c>
      <c r="K6306" s="46" t="s">
        <v>65</v>
      </c>
      <c r="L6306" s="99"/>
      <c r="M6306" s="70"/>
      <c r="N6306" s="97"/>
      <c r="O6306" s="46" t="s">
        <v>4116</v>
      </c>
      <c r="P6306" s="46" t="s">
        <v>71</v>
      </c>
      <c r="Q6306" s="46" t="s">
        <v>47</v>
      </c>
      <c r="R6306" s="46" t="s">
        <v>272</v>
      </c>
    </row>
    <row r="6307" spans="1:18" s="98" customFormat="1" ht="69" customHeight="1">
      <c r="A6307" s="169"/>
      <c r="B6307" s="52">
        <f t="shared" si="18"/>
        <v>19</v>
      </c>
      <c r="C6307" s="191" t="s">
        <v>3933</v>
      </c>
      <c r="D6307" s="251" t="s">
        <v>15596</v>
      </c>
      <c r="E6307" s="46" t="s">
        <v>266</v>
      </c>
      <c r="F6307" s="46" t="s">
        <v>15597</v>
      </c>
      <c r="G6307" s="46" t="s">
        <v>15594</v>
      </c>
      <c r="H6307" s="534">
        <v>21000</v>
      </c>
      <c r="I6307" s="56">
        <v>45224</v>
      </c>
      <c r="J6307" s="199" t="s">
        <v>15595</v>
      </c>
      <c r="K6307" s="46" t="s">
        <v>65</v>
      </c>
      <c r="L6307" s="99"/>
      <c r="M6307" s="385"/>
      <c r="N6307" s="75"/>
      <c r="O6307" s="46" t="s">
        <v>1171</v>
      </c>
      <c r="P6307" s="46" t="s">
        <v>71</v>
      </c>
      <c r="Q6307" s="46" t="s">
        <v>52</v>
      </c>
      <c r="R6307" s="46" t="s">
        <v>272</v>
      </c>
    </row>
    <row r="6308" spans="1:18" s="98" customFormat="1" ht="69" customHeight="1">
      <c r="A6308" s="169"/>
      <c r="B6308" s="52">
        <f t="shared" si="18"/>
        <v>20</v>
      </c>
      <c r="C6308" s="191" t="s">
        <v>5082</v>
      </c>
      <c r="D6308" s="251" t="s">
        <v>15598</v>
      </c>
      <c r="E6308" s="46" t="s">
        <v>266</v>
      </c>
      <c r="F6308" s="46" t="s">
        <v>15599</v>
      </c>
      <c r="G6308" s="46" t="s">
        <v>15594</v>
      </c>
      <c r="H6308" s="534">
        <v>20266.650000000001</v>
      </c>
      <c r="I6308" s="56">
        <v>45224</v>
      </c>
      <c r="J6308" s="199" t="s">
        <v>15595</v>
      </c>
      <c r="K6308" s="46" t="s">
        <v>65</v>
      </c>
      <c r="L6308" s="99"/>
      <c r="M6308" s="385"/>
      <c r="N6308" s="75"/>
      <c r="O6308" s="46" t="s">
        <v>1171</v>
      </c>
      <c r="P6308" s="46" t="s">
        <v>71</v>
      </c>
      <c r="Q6308" s="46" t="s">
        <v>60</v>
      </c>
      <c r="R6308" s="46" t="s">
        <v>272</v>
      </c>
    </row>
    <row r="6309" spans="1:18" s="98" customFormat="1" ht="69" customHeight="1">
      <c r="A6309" s="169"/>
      <c r="B6309" s="52">
        <f t="shared" si="18"/>
        <v>21</v>
      </c>
      <c r="C6309" s="191" t="s">
        <v>5189</v>
      </c>
      <c r="D6309" s="251" t="s">
        <v>15600</v>
      </c>
      <c r="E6309" s="46" t="s">
        <v>266</v>
      </c>
      <c r="F6309" s="46" t="s">
        <v>15601</v>
      </c>
      <c r="G6309" s="46" t="s">
        <v>15594</v>
      </c>
      <c r="H6309" s="534">
        <v>20266.650000000001</v>
      </c>
      <c r="I6309" s="56">
        <v>45224</v>
      </c>
      <c r="J6309" s="199" t="s">
        <v>15595</v>
      </c>
      <c r="K6309" s="46" t="s">
        <v>65</v>
      </c>
      <c r="L6309" s="99"/>
      <c r="M6309" s="385"/>
      <c r="N6309" s="75"/>
      <c r="O6309" s="46" t="s">
        <v>1171</v>
      </c>
      <c r="P6309" s="46" t="s">
        <v>71</v>
      </c>
      <c r="Q6309" s="46" t="s">
        <v>62</v>
      </c>
      <c r="R6309" s="46" t="s">
        <v>272</v>
      </c>
    </row>
    <row r="6310" spans="1:18" ht="69" customHeight="1">
      <c r="A6310" s="168"/>
      <c r="B6310" s="62">
        <f t="shared" si="18"/>
        <v>22</v>
      </c>
      <c r="C6310" s="59" t="s">
        <v>3667</v>
      </c>
      <c r="D6310" s="174" t="s">
        <v>15602</v>
      </c>
      <c r="E6310" s="58" t="s">
        <v>15554</v>
      </c>
      <c r="F6310" s="58" t="s">
        <v>15603</v>
      </c>
      <c r="G6310" s="58" t="s">
        <v>15556</v>
      </c>
      <c r="H6310" s="546">
        <v>48148.1</v>
      </c>
      <c r="I6310" s="66">
        <v>45212</v>
      </c>
      <c r="J6310" s="65" t="s">
        <v>15557</v>
      </c>
      <c r="K6310" s="58" t="s">
        <v>15604</v>
      </c>
      <c r="L6310" s="99"/>
      <c r="M6310" s="401"/>
      <c r="N6310" s="226"/>
      <c r="O6310" s="58" t="s">
        <v>147</v>
      </c>
      <c r="P6310" s="45" t="s">
        <v>42</v>
      </c>
      <c r="Q6310" s="58" t="s">
        <v>64</v>
      </c>
      <c r="R6310" s="58" t="s">
        <v>272</v>
      </c>
    </row>
    <row r="6311" spans="1:18" ht="69" customHeight="1">
      <c r="A6311" s="168"/>
      <c r="B6311" s="62">
        <f t="shared" si="18"/>
        <v>23</v>
      </c>
      <c r="C6311" s="178" t="s">
        <v>309</v>
      </c>
      <c r="D6311" s="174" t="s">
        <v>15120</v>
      </c>
      <c r="E6311" s="58" t="s">
        <v>15554</v>
      </c>
      <c r="F6311" s="58" t="s">
        <v>15605</v>
      </c>
      <c r="G6311" s="58" t="s">
        <v>15556</v>
      </c>
      <c r="H6311" s="546">
        <v>48148.1</v>
      </c>
      <c r="I6311" s="66">
        <v>45212</v>
      </c>
      <c r="J6311" s="65" t="s">
        <v>15557</v>
      </c>
      <c r="K6311" s="58" t="s">
        <v>15606</v>
      </c>
      <c r="L6311" s="99"/>
      <c r="M6311" s="401"/>
      <c r="N6311" s="226"/>
      <c r="O6311" s="58" t="s">
        <v>147</v>
      </c>
      <c r="P6311" s="45" t="s">
        <v>42</v>
      </c>
      <c r="Q6311" s="58" t="s">
        <v>13</v>
      </c>
      <c r="R6311" s="58" t="s">
        <v>272</v>
      </c>
    </row>
    <row r="6312" spans="1:18" s="98" customFormat="1" ht="69" customHeight="1">
      <c r="A6312" s="169"/>
      <c r="B6312" s="62">
        <f t="shared" si="18"/>
        <v>24</v>
      </c>
      <c r="C6312" s="178" t="s">
        <v>458</v>
      </c>
      <c r="D6312" s="174" t="s">
        <v>11128</v>
      </c>
      <c r="E6312" s="58" t="s">
        <v>15554</v>
      </c>
      <c r="F6312" s="58" t="s">
        <v>15555</v>
      </c>
      <c r="G6312" s="58" t="s">
        <v>15556</v>
      </c>
      <c r="H6312" s="546">
        <f>48148.1-5277</f>
        <v>42871.1</v>
      </c>
      <c r="I6312" s="66">
        <v>45212</v>
      </c>
      <c r="J6312" s="65" t="s">
        <v>15557</v>
      </c>
      <c r="K6312" s="58" t="s">
        <v>15607</v>
      </c>
      <c r="L6312" s="99"/>
      <c r="M6312" s="401"/>
      <c r="N6312" s="226"/>
      <c r="O6312" s="58" t="s">
        <v>147</v>
      </c>
      <c r="P6312" s="45" t="s">
        <v>42</v>
      </c>
      <c r="Q6312" s="58" t="s">
        <v>103</v>
      </c>
      <c r="R6312" s="58" t="s">
        <v>272</v>
      </c>
    </row>
    <row r="6313" spans="1:18" s="98" customFormat="1" ht="69" customHeight="1">
      <c r="A6313" s="169"/>
      <c r="B6313" s="62">
        <f t="shared" si="18"/>
        <v>25</v>
      </c>
      <c r="C6313" s="178" t="s">
        <v>657</v>
      </c>
      <c r="D6313" s="174" t="s">
        <v>3320</v>
      </c>
      <c r="E6313" s="58" t="s">
        <v>15554</v>
      </c>
      <c r="F6313" s="58" t="s">
        <v>15608</v>
      </c>
      <c r="G6313" s="58" t="s">
        <v>15556</v>
      </c>
      <c r="H6313" s="546">
        <v>48148.083330000001</v>
      </c>
      <c r="I6313" s="66">
        <v>45212</v>
      </c>
      <c r="J6313" s="65" t="s">
        <v>15557</v>
      </c>
      <c r="K6313" s="58" t="s">
        <v>15609</v>
      </c>
      <c r="L6313" s="99"/>
      <c r="M6313" s="401"/>
      <c r="N6313" s="226"/>
      <c r="O6313" s="58" t="s">
        <v>147</v>
      </c>
      <c r="P6313" s="45" t="s">
        <v>42</v>
      </c>
      <c r="Q6313" s="58" t="s">
        <v>97</v>
      </c>
      <c r="R6313" s="58" t="s">
        <v>272</v>
      </c>
    </row>
    <row r="6314" spans="1:18" s="98" customFormat="1" ht="69" customHeight="1">
      <c r="A6314" s="169"/>
      <c r="B6314" s="52">
        <f t="shared" si="18"/>
        <v>26</v>
      </c>
      <c r="C6314" s="191" t="s">
        <v>8080</v>
      </c>
      <c r="D6314" s="251" t="s">
        <v>2652</v>
      </c>
      <c r="E6314" s="46" t="s">
        <v>266</v>
      </c>
      <c r="F6314" s="46" t="s">
        <v>15610</v>
      </c>
      <c r="G6314" s="46" t="s">
        <v>15611</v>
      </c>
      <c r="H6314" s="534">
        <v>19732.68</v>
      </c>
      <c r="I6314" s="56">
        <v>45224</v>
      </c>
      <c r="J6314" s="199" t="s">
        <v>15612</v>
      </c>
      <c r="K6314" s="46" t="s">
        <v>65</v>
      </c>
      <c r="L6314" s="99"/>
      <c r="M6314" s="385"/>
      <c r="N6314" s="75"/>
      <c r="O6314" s="46" t="s">
        <v>13240</v>
      </c>
      <c r="P6314" s="46" t="s">
        <v>71</v>
      </c>
      <c r="Q6314" s="46" t="s">
        <v>106</v>
      </c>
      <c r="R6314" s="46" t="s">
        <v>272</v>
      </c>
    </row>
    <row r="6315" spans="1:18" s="98" customFormat="1" ht="69" customHeight="1">
      <c r="A6315" s="169"/>
      <c r="B6315" s="52">
        <f t="shared" si="18"/>
        <v>27</v>
      </c>
      <c r="C6315" s="191" t="s">
        <v>8529</v>
      </c>
      <c r="D6315" s="251" t="s">
        <v>10997</v>
      </c>
      <c r="E6315" s="46" t="s">
        <v>266</v>
      </c>
      <c r="F6315" s="46" t="s">
        <v>15613</v>
      </c>
      <c r="G6315" s="46" t="s">
        <v>15611</v>
      </c>
      <c r="H6315" s="534">
        <v>19732.68</v>
      </c>
      <c r="I6315" s="56">
        <v>45224</v>
      </c>
      <c r="J6315" s="199" t="s">
        <v>15612</v>
      </c>
      <c r="K6315" s="46" t="s">
        <v>65</v>
      </c>
      <c r="L6315" s="99"/>
      <c r="M6315" s="385"/>
      <c r="N6315" s="75"/>
      <c r="O6315" s="46" t="s">
        <v>13240</v>
      </c>
      <c r="P6315" s="46" t="s">
        <v>71</v>
      </c>
      <c r="Q6315" s="46" t="s">
        <v>108</v>
      </c>
      <c r="R6315" s="46" t="s">
        <v>272</v>
      </c>
    </row>
    <row r="6316" spans="1:18" s="98" customFormat="1" ht="69" customHeight="1">
      <c r="A6316" s="169"/>
      <c r="B6316" s="52">
        <f t="shared" si="18"/>
        <v>28</v>
      </c>
      <c r="C6316" s="191" t="s">
        <v>8703</v>
      </c>
      <c r="D6316" s="251" t="s">
        <v>2654</v>
      </c>
      <c r="E6316" s="46" t="s">
        <v>266</v>
      </c>
      <c r="F6316" s="46" t="s">
        <v>15614</v>
      </c>
      <c r="G6316" s="46" t="s">
        <v>15611</v>
      </c>
      <c r="H6316" s="534">
        <v>19732.68</v>
      </c>
      <c r="I6316" s="56">
        <v>45224</v>
      </c>
      <c r="J6316" s="199" t="s">
        <v>15612</v>
      </c>
      <c r="K6316" s="46" t="s">
        <v>65</v>
      </c>
      <c r="L6316" s="99"/>
      <c r="M6316" s="385"/>
      <c r="N6316" s="75"/>
      <c r="O6316" s="46" t="s">
        <v>13240</v>
      </c>
      <c r="P6316" s="46" t="s">
        <v>71</v>
      </c>
      <c r="Q6316" s="46" t="s">
        <v>109</v>
      </c>
      <c r="R6316" s="46" t="s">
        <v>272</v>
      </c>
    </row>
    <row r="6317" spans="1:18" s="98" customFormat="1" ht="69" customHeight="1">
      <c r="A6317" s="169"/>
      <c r="B6317" s="52">
        <f t="shared" si="18"/>
        <v>29</v>
      </c>
      <c r="C6317" s="191" t="s">
        <v>7521</v>
      </c>
      <c r="D6317" s="251" t="s">
        <v>2656</v>
      </c>
      <c r="E6317" s="46" t="s">
        <v>266</v>
      </c>
      <c r="F6317" s="46" t="s">
        <v>15615</v>
      </c>
      <c r="G6317" s="46" t="s">
        <v>15611</v>
      </c>
      <c r="H6317" s="534">
        <v>14962.45</v>
      </c>
      <c r="I6317" s="56">
        <v>45224</v>
      </c>
      <c r="J6317" s="199" t="s">
        <v>15616</v>
      </c>
      <c r="K6317" s="46" t="s">
        <v>65</v>
      </c>
      <c r="L6317" s="99"/>
      <c r="M6317" s="385"/>
      <c r="N6317" s="75"/>
      <c r="O6317" s="46" t="s">
        <v>1171</v>
      </c>
      <c r="P6317" s="46" t="s">
        <v>71</v>
      </c>
      <c r="Q6317" s="46" t="s">
        <v>102</v>
      </c>
      <c r="R6317" s="46" t="s">
        <v>272</v>
      </c>
    </row>
    <row r="6318" spans="1:18" s="98" customFormat="1" ht="69" customHeight="1">
      <c r="A6318" s="169"/>
      <c r="B6318" s="52">
        <f t="shared" si="18"/>
        <v>30</v>
      </c>
      <c r="C6318" s="191" t="s">
        <v>7452</v>
      </c>
      <c r="D6318" s="251" t="s">
        <v>10999</v>
      </c>
      <c r="E6318" s="46" t="s">
        <v>266</v>
      </c>
      <c r="F6318" s="46" t="s">
        <v>15617</v>
      </c>
      <c r="G6318" s="46" t="s">
        <v>15611</v>
      </c>
      <c r="H6318" s="534">
        <v>14962.45</v>
      </c>
      <c r="I6318" s="56">
        <v>45224</v>
      </c>
      <c r="J6318" s="199" t="s">
        <v>15616</v>
      </c>
      <c r="K6318" s="46" t="s">
        <v>65</v>
      </c>
      <c r="L6318" s="99"/>
      <c r="M6318" s="385"/>
      <c r="N6318" s="75"/>
      <c r="O6318" s="46" t="s">
        <v>1171</v>
      </c>
      <c r="P6318" s="46" t="s">
        <v>71</v>
      </c>
      <c r="Q6318" s="46" t="s">
        <v>101</v>
      </c>
      <c r="R6318" s="46" t="s">
        <v>272</v>
      </c>
    </row>
    <row r="6319" spans="1:18" s="98" customFormat="1" ht="69" customHeight="1">
      <c r="A6319" s="169"/>
      <c r="B6319" s="52">
        <f t="shared" si="18"/>
        <v>31</v>
      </c>
      <c r="C6319" s="191" t="s">
        <v>753</v>
      </c>
      <c r="D6319" s="251" t="s">
        <v>15126</v>
      </c>
      <c r="E6319" s="46" t="s">
        <v>266</v>
      </c>
      <c r="F6319" s="46" t="s">
        <v>15618</v>
      </c>
      <c r="G6319" s="46" t="s">
        <v>15611</v>
      </c>
      <c r="H6319" s="534">
        <v>25241.9</v>
      </c>
      <c r="I6319" s="56">
        <v>45224</v>
      </c>
      <c r="J6319" s="199" t="s">
        <v>15616</v>
      </c>
      <c r="K6319" s="46" t="s">
        <v>65</v>
      </c>
      <c r="L6319" s="99"/>
      <c r="M6319" s="385"/>
      <c r="N6319" s="75"/>
      <c r="O6319" s="46" t="s">
        <v>1171</v>
      </c>
      <c r="P6319" s="46" t="s">
        <v>71</v>
      </c>
      <c r="Q6319" s="46" t="s">
        <v>20</v>
      </c>
      <c r="R6319" s="46" t="s">
        <v>272</v>
      </c>
    </row>
    <row r="6320" spans="1:18" s="98" customFormat="1" ht="69" customHeight="1">
      <c r="A6320" s="169"/>
      <c r="B6320" s="52">
        <f t="shared" si="18"/>
        <v>32</v>
      </c>
      <c r="C6320" s="191" t="s">
        <v>9436</v>
      </c>
      <c r="D6320" s="251" t="s">
        <v>2881</v>
      </c>
      <c r="E6320" s="46" t="s">
        <v>266</v>
      </c>
      <c r="F6320" s="46" t="s">
        <v>15619</v>
      </c>
      <c r="G6320" s="46" t="s">
        <v>15611</v>
      </c>
      <c r="H6320" s="534">
        <v>22211.07</v>
      </c>
      <c r="I6320" s="56">
        <v>45224</v>
      </c>
      <c r="J6320" s="199" t="s">
        <v>15616</v>
      </c>
      <c r="K6320" s="46" t="s">
        <v>65</v>
      </c>
      <c r="L6320" s="99"/>
      <c r="M6320" s="385"/>
      <c r="N6320" s="75"/>
      <c r="O6320" s="46" t="s">
        <v>1171</v>
      </c>
      <c r="P6320" s="46" t="s">
        <v>71</v>
      </c>
      <c r="Q6320" s="46" t="s">
        <v>116</v>
      </c>
      <c r="R6320" s="46" t="s">
        <v>272</v>
      </c>
    </row>
    <row r="6321" spans="1:18" s="98" customFormat="1" ht="69" customHeight="1">
      <c r="A6321" s="169"/>
      <c r="B6321" s="52">
        <f t="shared" si="18"/>
        <v>33</v>
      </c>
      <c r="C6321" s="191" t="s">
        <v>9596</v>
      </c>
      <c r="D6321" s="251" t="s">
        <v>2883</v>
      </c>
      <c r="E6321" s="46" t="s">
        <v>266</v>
      </c>
      <c r="F6321" s="46" t="s">
        <v>15620</v>
      </c>
      <c r="G6321" s="46" t="s">
        <v>15611</v>
      </c>
      <c r="H6321" s="534">
        <v>22211.07</v>
      </c>
      <c r="I6321" s="56">
        <v>45224</v>
      </c>
      <c r="J6321" s="199" t="s">
        <v>15616</v>
      </c>
      <c r="K6321" s="46" t="s">
        <v>65</v>
      </c>
      <c r="L6321" s="99"/>
      <c r="M6321" s="385"/>
      <c r="N6321" s="75"/>
      <c r="O6321" s="46" t="s">
        <v>1171</v>
      </c>
      <c r="P6321" s="46" t="s">
        <v>71</v>
      </c>
      <c r="Q6321" s="46" t="s">
        <v>118</v>
      </c>
      <c r="R6321" s="46" t="s">
        <v>272</v>
      </c>
    </row>
    <row r="6322" spans="1:18" s="98" customFormat="1" ht="69" customHeight="1">
      <c r="A6322" s="169"/>
      <c r="B6322" s="52">
        <f t="shared" si="18"/>
        <v>34</v>
      </c>
      <c r="C6322" s="191" t="s">
        <v>4411</v>
      </c>
      <c r="D6322" s="251" t="s">
        <v>15621</v>
      </c>
      <c r="E6322" s="46" t="s">
        <v>266</v>
      </c>
      <c r="F6322" s="46" t="s">
        <v>15622</v>
      </c>
      <c r="G6322" s="46" t="s">
        <v>15611</v>
      </c>
      <c r="H6322" s="534">
        <v>21654.19</v>
      </c>
      <c r="I6322" s="56">
        <v>45224</v>
      </c>
      <c r="J6322" s="199" t="s">
        <v>15616</v>
      </c>
      <c r="K6322" s="46" t="s">
        <v>65</v>
      </c>
      <c r="L6322" s="99"/>
      <c r="M6322" s="385"/>
      <c r="N6322" s="75"/>
      <c r="O6322" s="46" t="s">
        <v>1171</v>
      </c>
      <c r="P6322" s="46" t="s">
        <v>71</v>
      </c>
      <c r="Q6322" s="46" t="s">
        <v>54</v>
      </c>
      <c r="R6322" s="46" t="s">
        <v>272</v>
      </c>
    </row>
    <row r="6323" spans="1:18" s="98" customFormat="1" ht="69" customHeight="1">
      <c r="A6323" s="169"/>
      <c r="B6323" s="52">
        <f t="shared" si="18"/>
        <v>35</v>
      </c>
      <c r="C6323" s="191" t="s">
        <v>15623</v>
      </c>
      <c r="D6323" s="251" t="s">
        <v>10657</v>
      </c>
      <c r="E6323" s="46" t="s">
        <v>266</v>
      </c>
      <c r="F6323" s="46" t="s">
        <v>15624</v>
      </c>
      <c r="G6323" s="46" t="s">
        <v>15611</v>
      </c>
      <c r="H6323" s="534">
        <v>25241.9</v>
      </c>
      <c r="I6323" s="56">
        <v>45224</v>
      </c>
      <c r="J6323" s="199" t="s">
        <v>15616</v>
      </c>
      <c r="K6323" s="46" t="s">
        <v>65</v>
      </c>
      <c r="L6323" s="99"/>
      <c r="M6323" s="385"/>
      <c r="N6323" s="75"/>
      <c r="O6323" s="46" t="s">
        <v>1171</v>
      </c>
      <c r="P6323" s="46" t="s">
        <v>71</v>
      </c>
      <c r="Q6323" s="46" t="s">
        <v>43</v>
      </c>
      <c r="R6323" s="46" t="s">
        <v>272</v>
      </c>
    </row>
    <row r="6324" spans="1:18" s="98" customFormat="1" ht="69" customHeight="1">
      <c r="A6324" s="169"/>
      <c r="B6324" s="52">
        <f t="shared" si="18"/>
        <v>36</v>
      </c>
      <c r="C6324" s="191" t="s">
        <v>1333</v>
      </c>
      <c r="D6324" s="251" t="s">
        <v>15135</v>
      </c>
      <c r="E6324" s="46" t="s">
        <v>266</v>
      </c>
      <c r="F6324" s="46" t="s">
        <v>15625</v>
      </c>
      <c r="G6324" s="46" t="s">
        <v>15611</v>
      </c>
      <c r="H6324" s="534">
        <v>19705.09</v>
      </c>
      <c r="I6324" s="56">
        <v>45224</v>
      </c>
      <c r="J6324" s="199" t="s">
        <v>15616</v>
      </c>
      <c r="K6324" s="46" t="s">
        <v>65</v>
      </c>
      <c r="L6324" s="99"/>
      <c r="M6324" s="385"/>
      <c r="N6324" s="75"/>
      <c r="O6324" s="46" t="s">
        <v>1171</v>
      </c>
      <c r="P6324" s="46" t="s">
        <v>71</v>
      </c>
      <c r="Q6324" s="46" t="s">
        <v>25</v>
      </c>
      <c r="R6324" s="46" t="s">
        <v>272</v>
      </c>
    </row>
    <row r="6325" spans="1:18" s="98" customFormat="1" ht="69" customHeight="1">
      <c r="A6325" s="169"/>
      <c r="B6325" s="52">
        <f t="shared" si="18"/>
        <v>37</v>
      </c>
      <c r="C6325" s="191" t="s">
        <v>9322</v>
      </c>
      <c r="D6325" s="251" t="s">
        <v>11172</v>
      </c>
      <c r="E6325" s="46" t="s">
        <v>266</v>
      </c>
      <c r="F6325" s="46" t="s">
        <v>15626</v>
      </c>
      <c r="G6325" s="46" t="s">
        <v>15611</v>
      </c>
      <c r="H6325" s="534">
        <v>22211.07</v>
      </c>
      <c r="I6325" s="56">
        <v>45224</v>
      </c>
      <c r="J6325" s="199" t="s">
        <v>15616</v>
      </c>
      <c r="K6325" s="46" t="s">
        <v>65</v>
      </c>
      <c r="L6325" s="99"/>
      <c r="M6325" s="385"/>
      <c r="N6325" s="75"/>
      <c r="O6325" s="46" t="s">
        <v>1171</v>
      </c>
      <c r="P6325" s="46" t="s">
        <v>71</v>
      </c>
      <c r="Q6325" s="46" t="s">
        <v>114</v>
      </c>
      <c r="R6325" s="46" t="s">
        <v>272</v>
      </c>
    </row>
    <row r="6326" spans="1:18" ht="69" customHeight="1">
      <c r="A6326" s="168"/>
      <c r="B6326" s="62">
        <f t="shared" si="18"/>
        <v>38</v>
      </c>
      <c r="C6326" s="178" t="s">
        <v>11055</v>
      </c>
      <c r="D6326" s="174" t="s">
        <v>10661</v>
      </c>
      <c r="E6326" s="58" t="s">
        <v>15627</v>
      </c>
      <c r="F6326" s="45" t="s">
        <v>15628</v>
      </c>
      <c r="G6326" s="45" t="s">
        <v>15629</v>
      </c>
      <c r="H6326" s="546">
        <v>28000</v>
      </c>
      <c r="I6326" s="47">
        <v>45224</v>
      </c>
      <c r="J6326" s="73" t="s">
        <v>15630</v>
      </c>
      <c r="K6326" s="58"/>
      <c r="L6326" s="99"/>
      <c r="M6326" s="70"/>
      <c r="N6326" s="97"/>
      <c r="O6326" s="58" t="s">
        <v>192</v>
      </c>
      <c r="P6326" s="58" t="s">
        <v>57</v>
      </c>
      <c r="Q6326" s="58" t="s">
        <v>45</v>
      </c>
      <c r="R6326" s="58" t="s">
        <v>265</v>
      </c>
    </row>
    <row r="6327" spans="1:18" ht="69" customHeight="1">
      <c r="A6327" s="168"/>
      <c r="B6327" s="62">
        <f t="shared" si="18"/>
        <v>39</v>
      </c>
      <c r="C6327" s="59" t="s">
        <v>3667</v>
      </c>
      <c r="D6327" s="174" t="s">
        <v>15631</v>
      </c>
      <c r="E6327" s="58" t="s">
        <v>15501</v>
      </c>
      <c r="F6327" s="45" t="s">
        <v>15632</v>
      </c>
      <c r="G6327" s="45" t="s">
        <v>15633</v>
      </c>
      <c r="H6327" s="546">
        <v>48514</v>
      </c>
      <c r="I6327" s="47">
        <v>45224</v>
      </c>
      <c r="J6327" s="73" t="s">
        <v>15634</v>
      </c>
      <c r="K6327" s="58"/>
      <c r="L6327" s="99"/>
      <c r="M6327" s="70"/>
      <c r="N6327" s="97"/>
      <c r="O6327" s="58" t="s">
        <v>147</v>
      </c>
      <c r="P6327" s="58" t="s">
        <v>22</v>
      </c>
      <c r="Q6327" s="58" t="s">
        <v>78</v>
      </c>
      <c r="R6327" s="58" t="s">
        <v>265</v>
      </c>
    </row>
    <row r="6328" spans="1:18" s="98" customFormat="1" ht="69" customHeight="1">
      <c r="A6328" s="169"/>
      <c r="B6328" s="62">
        <f t="shared" si="18"/>
        <v>40</v>
      </c>
      <c r="C6328" s="178" t="s">
        <v>11055</v>
      </c>
      <c r="D6328" s="174" t="s">
        <v>15526</v>
      </c>
      <c r="E6328" s="58" t="s">
        <v>15627</v>
      </c>
      <c r="F6328" s="45" t="s">
        <v>15635</v>
      </c>
      <c r="G6328" s="45" t="s">
        <v>15636</v>
      </c>
      <c r="H6328" s="546">
        <v>25000</v>
      </c>
      <c r="I6328" s="47">
        <v>45224</v>
      </c>
      <c r="J6328" s="73" t="s">
        <v>15630</v>
      </c>
      <c r="K6328" s="58"/>
      <c r="L6328" s="99"/>
      <c r="M6328" s="385"/>
      <c r="N6328" s="75"/>
      <c r="O6328" s="45" t="s">
        <v>192</v>
      </c>
      <c r="P6328" s="45" t="s">
        <v>57</v>
      </c>
      <c r="Q6328" s="45" t="s">
        <v>45</v>
      </c>
      <c r="R6328" s="45" t="s">
        <v>265</v>
      </c>
    </row>
    <row r="6329" spans="1:18" ht="69" customHeight="1">
      <c r="A6329" s="168"/>
      <c r="B6329" s="62">
        <f t="shared" si="18"/>
        <v>41</v>
      </c>
      <c r="C6329" s="178" t="s">
        <v>5558</v>
      </c>
      <c r="D6329" s="174" t="s">
        <v>15637</v>
      </c>
      <c r="E6329" s="58" t="s">
        <v>15587</v>
      </c>
      <c r="F6329" s="45" t="s">
        <v>15638</v>
      </c>
      <c r="G6329" s="45" t="s">
        <v>15639</v>
      </c>
      <c r="H6329" s="546">
        <v>297721.23</v>
      </c>
      <c r="I6329" s="47">
        <v>45224</v>
      </c>
      <c r="J6329" s="73" t="s">
        <v>15640</v>
      </c>
      <c r="K6329" s="58"/>
      <c r="L6329" s="99"/>
      <c r="M6329" s="70"/>
      <c r="N6329" s="97"/>
      <c r="O6329" s="58" t="s">
        <v>156</v>
      </c>
      <c r="P6329" s="58" t="s">
        <v>26</v>
      </c>
      <c r="Q6329" s="58" t="s">
        <v>64</v>
      </c>
      <c r="R6329" s="58" t="s">
        <v>272</v>
      </c>
    </row>
    <row r="6330" spans="1:18" ht="69" customHeight="1">
      <c r="A6330" s="168"/>
      <c r="B6330" s="62">
        <f t="shared" si="18"/>
        <v>42</v>
      </c>
      <c r="C6330" s="178" t="s">
        <v>11055</v>
      </c>
      <c r="D6330" s="174" t="s">
        <v>10665</v>
      </c>
      <c r="E6330" s="58" t="s">
        <v>15587</v>
      </c>
      <c r="F6330" s="45" t="s">
        <v>15641</v>
      </c>
      <c r="G6330" s="45" t="s">
        <v>15639</v>
      </c>
      <c r="H6330" s="546">
        <v>100329.06</v>
      </c>
      <c r="I6330" s="47">
        <v>45224</v>
      </c>
      <c r="J6330" s="73" t="s">
        <v>15640</v>
      </c>
      <c r="K6330" s="58"/>
      <c r="L6330" s="99"/>
      <c r="M6330" s="70"/>
      <c r="N6330" s="97"/>
      <c r="O6330" s="58" t="s">
        <v>156</v>
      </c>
      <c r="P6330" s="58" t="s">
        <v>26</v>
      </c>
      <c r="Q6330" s="58" t="s">
        <v>45</v>
      </c>
      <c r="R6330" s="58" t="s">
        <v>272</v>
      </c>
    </row>
    <row r="6331" spans="1:18" ht="69" customHeight="1">
      <c r="A6331" s="168"/>
      <c r="B6331" s="62">
        <f t="shared" si="18"/>
        <v>43</v>
      </c>
      <c r="C6331" s="178" t="s">
        <v>15642</v>
      </c>
      <c r="D6331" s="174" t="s">
        <v>15643</v>
      </c>
      <c r="E6331" s="58" t="s">
        <v>15587</v>
      </c>
      <c r="F6331" s="45" t="s">
        <v>15644</v>
      </c>
      <c r="G6331" s="45" t="s">
        <v>15639</v>
      </c>
      <c r="H6331" s="546">
        <v>16227.71</v>
      </c>
      <c r="I6331" s="47">
        <v>45224</v>
      </c>
      <c r="J6331" s="73" t="s">
        <v>15640</v>
      </c>
      <c r="K6331" s="58"/>
      <c r="L6331" s="99"/>
      <c r="M6331" s="70"/>
      <c r="N6331" s="97"/>
      <c r="O6331" s="58" t="s">
        <v>156</v>
      </c>
      <c r="P6331" s="58" t="s">
        <v>26</v>
      </c>
      <c r="Q6331" s="58" t="s">
        <v>86</v>
      </c>
      <c r="R6331" s="58" t="s">
        <v>272</v>
      </c>
    </row>
    <row r="6332" spans="1:18" ht="69" customHeight="1">
      <c r="A6332" s="168"/>
      <c r="B6332" s="62">
        <f t="shared" si="18"/>
        <v>44</v>
      </c>
      <c r="C6332" s="178" t="s">
        <v>5832</v>
      </c>
      <c r="D6332" s="174" t="s">
        <v>15645</v>
      </c>
      <c r="E6332" s="58" t="s">
        <v>15587</v>
      </c>
      <c r="F6332" s="45" t="s">
        <v>15646</v>
      </c>
      <c r="G6332" s="45" t="s">
        <v>15639</v>
      </c>
      <c r="H6332" s="546">
        <v>14542.09</v>
      </c>
      <c r="I6332" s="47">
        <v>45224</v>
      </c>
      <c r="J6332" s="73" t="s">
        <v>15640</v>
      </c>
      <c r="K6332" s="58"/>
      <c r="L6332" s="99"/>
      <c r="M6332" s="70"/>
      <c r="N6332" s="97"/>
      <c r="O6332" s="58" t="s">
        <v>156</v>
      </c>
      <c r="P6332" s="58" t="s">
        <v>26</v>
      </c>
      <c r="Q6332" s="58" t="s">
        <v>68</v>
      </c>
      <c r="R6332" s="58" t="s">
        <v>272</v>
      </c>
    </row>
    <row r="6333" spans="1:18" ht="69" customHeight="1">
      <c r="A6333" s="168"/>
      <c r="B6333" s="62">
        <f t="shared" si="18"/>
        <v>45</v>
      </c>
      <c r="C6333" s="178" t="s">
        <v>1593</v>
      </c>
      <c r="D6333" s="174" t="s">
        <v>10667</v>
      </c>
      <c r="E6333" s="58" t="s">
        <v>809</v>
      </c>
      <c r="F6333" s="45" t="s">
        <v>15647</v>
      </c>
      <c r="G6333" s="45" t="s">
        <v>15648</v>
      </c>
      <c r="H6333" s="546">
        <v>14266.67</v>
      </c>
      <c r="I6333" s="47">
        <v>45224</v>
      </c>
      <c r="J6333" s="73" t="s">
        <v>15649</v>
      </c>
      <c r="K6333" s="58"/>
      <c r="L6333" s="99"/>
      <c r="M6333" s="70"/>
      <c r="N6333" s="97"/>
      <c r="O6333" s="45" t="s">
        <v>8711</v>
      </c>
      <c r="P6333" s="45" t="s">
        <v>36</v>
      </c>
      <c r="Q6333" s="45" t="s">
        <v>27</v>
      </c>
      <c r="R6333" s="45" t="s">
        <v>272</v>
      </c>
    </row>
    <row r="6334" spans="1:18" ht="69" customHeight="1">
      <c r="A6334" s="168"/>
      <c r="B6334" s="62">
        <f t="shared" si="18"/>
        <v>46</v>
      </c>
      <c r="C6334" s="178" t="s">
        <v>15650</v>
      </c>
      <c r="D6334" s="174" t="s">
        <v>15651</v>
      </c>
      <c r="E6334" s="58" t="s">
        <v>809</v>
      </c>
      <c r="F6334" s="45" t="s">
        <v>15652</v>
      </c>
      <c r="G6334" s="45" t="s">
        <v>15648</v>
      </c>
      <c r="H6334" s="546">
        <v>14266.67</v>
      </c>
      <c r="I6334" s="47">
        <v>45224</v>
      </c>
      <c r="J6334" s="73" t="s">
        <v>15649</v>
      </c>
      <c r="K6334" s="58"/>
      <c r="L6334" s="99"/>
      <c r="M6334" s="70"/>
      <c r="N6334" s="97"/>
      <c r="O6334" s="45" t="s">
        <v>8711</v>
      </c>
      <c r="P6334" s="45" t="s">
        <v>36</v>
      </c>
      <c r="Q6334" s="45" t="s">
        <v>56</v>
      </c>
      <c r="R6334" s="45" t="s">
        <v>272</v>
      </c>
    </row>
    <row r="6335" spans="1:18" ht="69" customHeight="1">
      <c r="A6335" s="168"/>
      <c r="B6335" s="62">
        <f t="shared" si="18"/>
        <v>47</v>
      </c>
      <c r="C6335" s="178" t="s">
        <v>4728</v>
      </c>
      <c r="D6335" s="174" t="s">
        <v>15653</v>
      </c>
      <c r="E6335" s="58" t="s">
        <v>809</v>
      </c>
      <c r="F6335" s="45" t="s">
        <v>15654</v>
      </c>
      <c r="G6335" s="45" t="s">
        <v>15648</v>
      </c>
      <c r="H6335" s="546">
        <v>14266.67</v>
      </c>
      <c r="I6335" s="47">
        <v>45224</v>
      </c>
      <c r="J6335" s="73" t="s">
        <v>15649</v>
      </c>
      <c r="K6335" s="58"/>
      <c r="L6335" s="99"/>
      <c r="M6335" s="70"/>
      <c r="N6335" s="97"/>
      <c r="O6335" s="45" t="s">
        <v>8711</v>
      </c>
      <c r="P6335" s="45" t="s">
        <v>36</v>
      </c>
      <c r="Q6335" s="45" t="s">
        <v>58</v>
      </c>
      <c r="R6335" s="45" t="s">
        <v>272</v>
      </c>
    </row>
    <row r="6336" spans="1:18" ht="69" customHeight="1">
      <c r="A6336" s="168"/>
      <c r="B6336" s="62">
        <f t="shared" si="18"/>
        <v>48</v>
      </c>
      <c r="C6336" s="178" t="s">
        <v>11050</v>
      </c>
      <c r="D6336" s="174" t="s">
        <v>10669</v>
      </c>
      <c r="E6336" s="58" t="s">
        <v>14409</v>
      </c>
      <c r="F6336" s="45" t="s">
        <v>15655</v>
      </c>
      <c r="G6336" s="45" t="s">
        <v>15656</v>
      </c>
      <c r="H6336" s="546">
        <v>39255.24</v>
      </c>
      <c r="I6336" s="47">
        <v>45224</v>
      </c>
      <c r="J6336" s="73" t="s">
        <v>15657</v>
      </c>
      <c r="K6336" s="58"/>
      <c r="L6336" s="99"/>
      <c r="M6336" s="385"/>
      <c r="N6336" s="75"/>
      <c r="O6336" s="45" t="s">
        <v>15184</v>
      </c>
      <c r="P6336" s="45" t="s">
        <v>57</v>
      </c>
      <c r="Q6336" s="45" t="s">
        <v>35</v>
      </c>
      <c r="R6336" s="45" t="s">
        <v>272</v>
      </c>
    </row>
    <row r="6337" spans="1:18" ht="69" customHeight="1">
      <c r="A6337" s="168"/>
      <c r="B6337" s="62">
        <f t="shared" si="18"/>
        <v>49</v>
      </c>
      <c r="C6337" s="178" t="s">
        <v>11050</v>
      </c>
      <c r="D6337" s="174" t="s">
        <v>10709</v>
      </c>
      <c r="E6337" s="58" t="s">
        <v>14409</v>
      </c>
      <c r="F6337" s="45" t="s">
        <v>15658</v>
      </c>
      <c r="G6337" s="45" t="s">
        <v>15659</v>
      </c>
      <c r="H6337" s="546">
        <v>5828.44</v>
      </c>
      <c r="I6337" s="47">
        <v>45224</v>
      </c>
      <c r="J6337" s="73" t="s">
        <v>15657</v>
      </c>
      <c r="K6337" s="58"/>
      <c r="L6337" s="99"/>
      <c r="M6337" s="385"/>
      <c r="N6337" s="75"/>
      <c r="O6337" s="45" t="s">
        <v>15184</v>
      </c>
      <c r="P6337" s="45" t="s">
        <v>57</v>
      </c>
      <c r="Q6337" s="45" t="s">
        <v>35</v>
      </c>
      <c r="R6337" s="45" t="s">
        <v>272</v>
      </c>
    </row>
    <row r="6338" spans="1:18" ht="69" customHeight="1">
      <c r="A6338" s="168"/>
      <c r="B6338" s="62">
        <f t="shared" si="18"/>
        <v>50</v>
      </c>
      <c r="C6338" s="178" t="s">
        <v>14414</v>
      </c>
      <c r="D6338" s="174" t="s">
        <v>15226</v>
      </c>
      <c r="E6338" s="58" t="s">
        <v>266</v>
      </c>
      <c r="F6338" s="45" t="s">
        <v>15660</v>
      </c>
      <c r="G6338" s="45" t="s">
        <v>15661</v>
      </c>
      <c r="H6338" s="546">
        <v>548.5</v>
      </c>
      <c r="I6338" s="47">
        <v>45224</v>
      </c>
      <c r="J6338" s="73" t="s">
        <v>15662</v>
      </c>
      <c r="K6338" s="58"/>
      <c r="L6338" s="99"/>
      <c r="M6338" s="70"/>
      <c r="N6338" s="97"/>
      <c r="O6338" s="58" t="s">
        <v>15051</v>
      </c>
      <c r="P6338" s="58" t="s">
        <v>44</v>
      </c>
      <c r="Q6338" s="58" t="s">
        <v>33</v>
      </c>
      <c r="R6338" s="58" t="s">
        <v>272</v>
      </c>
    </row>
    <row r="6339" spans="1:18" ht="69" customHeight="1">
      <c r="A6339" s="168"/>
      <c r="B6339" s="62">
        <f t="shared" si="18"/>
        <v>51</v>
      </c>
      <c r="C6339" s="178" t="s">
        <v>11050</v>
      </c>
      <c r="D6339" s="174" t="s">
        <v>10580</v>
      </c>
      <c r="E6339" s="58" t="s">
        <v>266</v>
      </c>
      <c r="F6339" s="45" t="s">
        <v>15663</v>
      </c>
      <c r="G6339" s="45" t="s">
        <v>15661</v>
      </c>
      <c r="H6339" s="546">
        <v>548.5</v>
      </c>
      <c r="I6339" s="47">
        <v>45224</v>
      </c>
      <c r="J6339" s="73" t="s">
        <v>15662</v>
      </c>
      <c r="K6339" s="58"/>
      <c r="L6339" s="99"/>
      <c r="M6339" s="70"/>
      <c r="N6339" s="97"/>
      <c r="O6339" s="58" t="s">
        <v>15051</v>
      </c>
      <c r="P6339" s="58" t="s">
        <v>44</v>
      </c>
      <c r="Q6339" s="58" t="s">
        <v>35</v>
      </c>
      <c r="R6339" s="58" t="s">
        <v>272</v>
      </c>
    </row>
    <row r="6340" spans="1:18" ht="69" customHeight="1">
      <c r="A6340" s="168"/>
      <c r="B6340" s="62">
        <f t="shared" si="18"/>
        <v>52</v>
      </c>
      <c r="C6340" s="178" t="s">
        <v>11052</v>
      </c>
      <c r="D6340" s="174" t="s">
        <v>10589</v>
      </c>
      <c r="E6340" s="58" t="s">
        <v>266</v>
      </c>
      <c r="F6340" s="45" t="s">
        <v>15664</v>
      </c>
      <c r="G6340" s="45" t="s">
        <v>15661</v>
      </c>
      <c r="H6340" s="546">
        <v>548.5</v>
      </c>
      <c r="I6340" s="47">
        <v>45224</v>
      </c>
      <c r="J6340" s="73" t="s">
        <v>15662</v>
      </c>
      <c r="K6340" s="58"/>
      <c r="L6340" s="99"/>
      <c r="M6340" s="70"/>
      <c r="N6340" s="97"/>
      <c r="O6340" s="58" t="s">
        <v>15051</v>
      </c>
      <c r="P6340" s="58" t="s">
        <v>44</v>
      </c>
      <c r="Q6340" s="58" t="s">
        <v>37</v>
      </c>
      <c r="R6340" s="58" t="s">
        <v>272</v>
      </c>
    </row>
    <row r="6341" spans="1:18" ht="69" customHeight="1">
      <c r="A6341" s="168"/>
      <c r="B6341" s="62">
        <f t="shared" si="18"/>
        <v>53</v>
      </c>
      <c r="C6341" s="178" t="s">
        <v>14945</v>
      </c>
      <c r="D6341" s="174" t="s">
        <v>10778</v>
      </c>
      <c r="E6341" s="58" t="s">
        <v>266</v>
      </c>
      <c r="F6341" s="45" t="s">
        <v>15665</v>
      </c>
      <c r="G6341" s="45" t="s">
        <v>15661</v>
      </c>
      <c r="H6341" s="546">
        <v>548.5</v>
      </c>
      <c r="I6341" s="47">
        <v>45224</v>
      </c>
      <c r="J6341" s="73" t="s">
        <v>15662</v>
      </c>
      <c r="K6341" s="58"/>
      <c r="L6341" s="99"/>
      <c r="M6341" s="70"/>
      <c r="N6341" s="97"/>
      <c r="O6341" s="58" t="s">
        <v>15051</v>
      </c>
      <c r="P6341" s="58" t="s">
        <v>44</v>
      </c>
      <c r="Q6341" s="58" t="s">
        <v>39</v>
      </c>
      <c r="R6341" s="58" t="s">
        <v>272</v>
      </c>
    </row>
    <row r="6342" spans="1:18" ht="69" customHeight="1">
      <c r="A6342" s="168"/>
      <c r="B6342" s="62">
        <f t="shared" si="18"/>
        <v>54</v>
      </c>
      <c r="C6342" s="178" t="s">
        <v>3331</v>
      </c>
      <c r="D6342" s="174" t="s">
        <v>10747</v>
      </c>
      <c r="E6342" s="58" t="s">
        <v>266</v>
      </c>
      <c r="F6342" s="45" t="s">
        <v>15666</v>
      </c>
      <c r="G6342" s="45" t="s">
        <v>15661</v>
      </c>
      <c r="H6342" s="546">
        <v>548.5</v>
      </c>
      <c r="I6342" s="47">
        <v>45224</v>
      </c>
      <c r="J6342" s="73" t="s">
        <v>15662</v>
      </c>
      <c r="K6342" s="58"/>
      <c r="L6342" s="99"/>
      <c r="M6342" s="70"/>
      <c r="N6342" s="97"/>
      <c r="O6342" s="58" t="s">
        <v>15051</v>
      </c>
      <c r="P6342" s="58" t="s">
        <v>44</v>
      </c>
      <c r="Q6342" s="58" t="s">
        <v>41</v>
      </c>
      <c r="R6342" s="58" t="s">
        <v>272</v>
      </c>
    </row>
    <row r="6343" spans="1:18" ht="69" customHeight="1">
      <c r="A6343" s="168"/>
      <c r="B6343" s="62">
        <f t="shared" si="18"/>
        <v>55</v>
      </c>
      <c r="C6343" s="178" t="s">
        <v>6261</v>
      </c>
      <c r="D6343" s="174" t="s">
        <v>15667</v>
      </c>
      <c r="E6343" s="58" t="s">
        <v>266</v>
      </c>
      <c r="F6343" s="45" t="s">
        <v>15668</v>
      </c>
      <c r="G6343" s="45" t="s">
        <v>15661</v>
      </c>
      <c r="H6343" s="546">
        <v>548.5</v>
      </c>
      <c r="I6343" s="47">
        <v>45224</v>
      </c>
      <c r="J6343" s="73" t="s">
        <v>15662</v>
      </c>
      <c r="K6343" s="58"/>
      <c r="L6343" s="99"/>
      <c r="M6343" s="70"/>
      <c r="N6343" s="97"/>
      <c r="O6343" s="58" t="s">
        <v>15051</v>
      </c>
      <c r="P6343" s="58" t="s">
        <v>44</v>
      </c>
      <c r="Q6343" s="58" t="s">
        <v>74</v>
      </c>
      <c r="R6343" s="58" t="s">
        <v>272</v>
      </c>
    </row>
    <row r="6344" spans="1:18" ht="69" customHeight="1">
      <c r="A6344" s="168"/>
      <c r="B6344" s="62">
        <f t="shared" si="18"/>
        <v>56</v>
      </c>
      <c r="C6344" s="178" t="s">
        <v>6468</v>
      </c>
      <c r="D6344" s="174" t="s">
        <v>15669</v>
      </c>
      <c r="E6344" s="58" t="s">
        <v>266</v>
      </c>
      <c r="F6344" s="45" t="s">
        <v>15670</v>
      </c>
      <c r="G6344" s="45" t="s">
        <v>15661</v>
      </c>
      <c r="H6344" s="546">
        <v>548.5</v>
      </c>
      <c r="I6344" s="47">
        <v>45224</v>
      </c>
      <c r="J6344" s="73" t="s">
        <v>15662</v>
      </c>
      <c r="K6344" s="58"/>
      <c r="L6344" s="99"/>
      <c r="M6344" s="70"/>
      <c r="N6344" s="97"/>
      <c r="O6344" s="58" t="s">
        <v>15051</v>
      </c>
      <c r="P6344" s="58" t="s">
        <v>44</v>
      </c>
      <c r="Q6344" s="58" t="s">
        <v>78</v>
      </c>
      <c r="R6344" s="58" t="s">
        <v>272</v>
      </c>
    </row>
    <row r="6345" spans="1:18" ht="69" customHeight="1">
      <c r="A6345" s="168"/>
      <c r="B6345" s="62">
        <f t="shared" si="18"/>
        <v>57</v>
      </c>
      <c r="C6345" s="178" t="s">
        <v>6693</v>
      </c>
      <c r="D6345" s="174" t="s">
        <v>15671</v>
      </c>
      <c r="E6345" s="58" t="s">
        <v>266</v>
      </c>
      <c r="F6345" s="45" t="s">
        <v>15672</v>
      </c>
      <c r="G6345" s="45" t="s">
        <v>15661</v>
      </c>
      <c r="H6345" s="546">
        <v>548.5</v>
      </c>
      <c r="I6345" s="47">
        <v>45224</v>
      </c>
      <c r="J6345" s="73" t="s">
        <v>15662</v>
      </c>
      <c r="K6345" s="58"/>
      <c r="L6345" s="99"/>
      <c r="M6345" s="70"/>
      <c r="N6345" s="97"/>
      <c r="O6345" s="58" t="s">
        <v>15051</v>
      </c>
      <c r="P6345" s="58" t="s">
        <v>44</v>
      </c>
      <c r="Q6345" s="58" t="s">
        <v>76</v>
      </c>
      <c r="R6345" s="58" t="s">
        <v>272</v>
      </c>
    </row>
    <row r="6346" spans="1:18" ht="69" customHeight="1">
      <c r="A6346" s="168"/>
      <c r="B6346" s="62">
        <f t="shared" si="18"/>
        <v>58</v>
      </c>
      <c r="C6346" s="178" t="s">
        <v>9215</v>
      </c>
      <c r="D6346" s="174" t="s">
        <v>15673</v>
      </c>
      <c r="E6346" s="58" t="s">
        <v>266</v>
      </c>
      <c r="F6346" s="45" t="s">
        <v>15674</v>
      </c>
      <c r="G6346" s="45" t="s">
        <v>15661</v>
      </c>
      <c r="H6346" s="546">
        <v>548.5</v>
      </c>
      <c r="I6346" s="47">
        <v>45224</v>
      </c>
      <c r="J6346" s="73" t="s">
        <v>15662</v>
      </c>
      <c r="K6346" s="58"/>
      <c r="L6346" s="99"/>
      <c r="M6346" s="70"/>
      <c r="N6346" s="97"/>
      <c r="O6346" s="58" t="s">
        <v>15051</v>
      </c>
      <c r="P6346" s="58" t="s">
        <v>44</v>
      </c>
      <c r="Q6346" s="58" t="s">
        <v>113</v>
      </c>
      <c r="R6346" s="58" t="s">
        <v>272</v>
      </c>
    </row>
    <row r="6347" spans="1:18" ht="69" customHeight="1">
      <c r="A6347" s="168"/>
      <c r="B6347" s="62">
        <f t="shared" si="18"/>
        <v>59</v>
      </c>
      <c r="C6347" s="178" t="s">
        <v>5658</v>
      </c>
      <c r="D6347" s="174" t="s">
        <v>15675</v>
      </c>
      <c r="E6347" s="58" t="s">
        <v>266</v>
      </c>
      <c r="F6347" s="45" t="s">
        <v>15676</v>
      </c>
      <c r="G6347" s="45" t="s">
        <v>15661</v>
      </c>
      <c r="H6347" s="546">
        <v>548.5</v>
      </c>
      <c r="I6347" s="47">
        <v>45224</v>
      </c>
      <c r="J6347" s="73" t="s">
        <v>15662</v>
      </c>
      <c r="K6347" s="58"/>
      <c r="L6347" s="99"/>
      <c r="M6347" s="70"/>
      <c r="N6347" s="97"/>
      <c r="O6347" s="58" t="s">
        <v>15051</v>
      </c>
      <c r="P6347" s="58" t="s">
        <v>44</v>
      </c>
      <c r="Q6347" s="58" t="s">
        <v>114</v>
      </c>
      <c r="R6347" s="58" t="s">
        <v>272</v>
      </c>
    </row>
    <row r="6348" spans="1:18" ht="69" customHeight="1">
      <c r="A6348" s="168"/>
      <c r="B6348" s="62">
        <f t="shared" si="18"/>
        <v>60</v>
      </c>
      <c r="C6348" s="178" t="s">
        <v>9545</v>
      </c>
      <c r="D6348" s="174" t="s">
        <v>11101</v>
      </c>
      <c r="E6348" s="58" t="s">
        <v>266</v>
      </c>
      <c r="F6348" s="45" t="s">
        <v>15677</v>
      </c>
      <c r="G6348" s="45" t="s">
        <v>15661</v>
      </c>
      <c r="H6348" s="546">
        <v>548.5</v>
      </c>
      <c r="I6348" s="47">
        <v>45224</v>
      </c>
      <c r="J6348" s="73" t="s">
        <v>15662</v>
      </c>
      <c r="K6348" s="58"/>
      <c r="L6348" s="99"/>
      <c r="M6348" s="70"/>
      <c r="N6348" s="97"/>
      <c r="O6348" s="58" t="s">
        <v>15051</v>
      </c>
      <c r="P6348" s="58" t="s">
        <v>44</v>
      </c>
      <c r="Q6348" s="58" t="s">
        <v>117</v>
      </c>
      <c r="R6348" s="58" t="s">
        <v>272</v>
      </c>
    </row>
    <row r="6349" spans="1:18" ht="69" customHeight="1">
      <c r="A6349" s="168"/>
      <c r="B6349" s="62">
        <f t="shared" si="18"/>
        <v>61</v>
      </c>
      <c r="C6349" s="178" t="s">
        <v>10612</v>
      </c>
      <c r="D6349" s="174" t="s">
        <v>15678</v>
      </c>
      <c r="E6349" s="58" t="s">
        <v>266</v>
      </c>
      <c r="F6349" s="45" t="s">
        <v>15679</v>
      </c>
      <c r="G6349" s="45" t="s">
        <v>15661</v>
      </c>
      <c r="H6349" s="546">
        <v>548.5</v>
      </c>
      <c r="I6349" s="47">
        <v>45224</v>
      </c>
      <c r="J6349" s="73" t="s">
        <v>15662</v>
      </c>
      <c r="K6349" s="58"/>
      <c r="L6349" s="99"/>
      <c r="M6349" s="70"/>
      <c r="N6349" s="97"/>
      <c r="O6349" s="58" t="s">
        <v>15051</v>
      </c>
      <c r="P6349" s="58" t="s">
        <v>44</v>
      </c>
      <c r="Q6349" s="58" t="s">
        <v>86</v>
      </c>
      <c r="R6349" s="58" t="s">
        <v>272</v>
      </c>
    </row>
    <row r="6350" spans="1:18" ht="69" customHeight="1">
      <c r="A6350" s="168"/>
      <c r="B6350" s="62">
        <f t="shared" si="18"/>
        <v>62</v>
      </c>
      <c r="C6350" s="178" t="s">
        <v>11618</v>
      </c>
      <c r="D6350" s="174" t="s">
        <v>11121</v>
      </c>
      <c r="E6350" s="58" t="s">
        <v>266</v>
      </c>
      <c r="F6350" s="45" t="s">
        <v>15680</v>
      </c>
      <c r="G6350" s="45" t="s">
        <v>15661</v>
      </c>
      <c r="H6350" s="546">
        <v>548.5</v>
      </c>
      <c r="I6350" s="47">
        <v>45224</v>
      </c>
      <c r="J6350" s="73" t="s">
        <v>15662</v>
      </c>
      <c r="K6350" s="58"/>
      <c r="L6350" s="99"/>
      <c r="M6350" s="70"/>
      <c r="N6350" s="97"/>
      <c r="O6350" s="58" t="s">
        <v>15051</v>
      </c>
      <c r="P6350" s="58" t="s">
        <v>44</v>
      </c>
      <c r="Q6350" s="58" t="s">
        <v>122</v>
      </c>
      <c r="R6350" s="58" t="s">
        <v>272</v>
      </c>
    </row>
    <row r="6351" spans="1:18" ht="69" customHeight="1">
      <c r="A6351" s="168"/>
      <c r="B6351" s="62">
        <f t="shared" si="18"/>
        <v>63</v>
      </c>
      <c r="C6351" s="178" t="s">
        <v>11055</v>
      </c>
      <c r="D6351" s="174" t="s">
        <v>10797</v>
      </c>
      <c r="E6351" s="58" t="s">
        <v>266</v>
      </c>
      <c r="F6351" s="45" t="s">
        <v>15681</v>
      </c>
      <c r="G6351" s="45" t="s">
        <v>15661</v>
      </c>
      <c r="H6351" s="546">
        <v>548.5</v>
      </c>
      <c r="I6351" s="47">
        <v>45224</v>
      </c>
      <c r="J6351" s="73" t="s">
        <v>15662</v>
      </c>
      <c r="K6351" s="58"/>
      <c r="L6351" s="99"/>
      <c r="M6351" s="70"/>
      <c r="N6351" s="97"/>
      <c r="O6351" s="58" t="s">
        <v>15051</v>
      </c>
      <c r="P6351" s="58" t="s">
        <v>44</v>
      </c>
      <c r="Q6351" s="58" t="s">
        <v>45</v>
      </c>
      <c r="R6351" s="58" t="s">
        <v>272</v>
      </c>
    </row>
    <row r="6352" spans="1:18" ht="69" customHeight="1">
      <c r="A6352" s="168"/>
      <c r="B6352" s="62">
        <f t="shared" si="18"/>
        <v>64</v>
      </c>
      <c r="C6352" s="178" t="s">
        <v>9094</v>
      </c>
      <c r="D6352" s="174" t="s">
        <v>11126</v>
      </c>
      <c r="E6352" s="58" t="s">
        <v>266</v>
      </c>
      <c r="F6352" s="45" t="s">
        <v>15682</v>
      </c>
      <c r="G6352" s="45" t="s">
        <v>15661</v>
      </c>
      <c r="H6352" s="546">
        <v>548.5</v>
      </c>
      <c r="I6352" s="47">
        <v>45224</v>
      </c>
      <c r="J6352" s="73" t="s">
        <v>15662</v>
      </c>
      <c r="K6352" s="58"/>
      <c r="L6352" s="99"/>
      <c r="M6352" s="70"/>
      <c r="N6352" s="97"/>
      <c r="O6352" s="58" t="s">
        <v>15051</v>
      </c>
      <c r="P6352" s="58" t="s">
        <v>44</v>
      </c>
      <c r="Q6352" s="58" t="s">
        <v>112</v>
      </c>
      <c r="R6352" s="58" t="s">
        <v>272</v>
      </c>
    </row>
    <row r="6353" spans="1:18" ht="69" customHeight="1">
      <c r="A6353" s="168"/>
      <c r="B6353" s="62">
        <f t="shared" ref="B6353:B6416" si="19">B6352+1</f>
        <v>65</v>
      </c>
      <c r="C6353" s="178" t="s">
        <v>9004</v>
      </c>
      <c r="D6353" s="174" t="s">
        <v>2885</v>
      </c>
      <c r="E6353" s="58" t="s">
        <v>266</v>
      </c>
      <c r="F6353" s="45" t="s">
        <v>15683</v>
      </c>
      <c r="G6353" s="45" t="s">
        <v>15661</v>
      </c>
      <c r="H6353" s="546">
        <v>548.5</v>
      </c>
      <c r="I6353" s="47">
        <v>45224</v>
      </c>
      <c r="J6353" s="73" t="s">
        <v>15662</v>
      </c>
      <c r="K6353" s="58"/>
      <c r="L6353" s="99"/>
      <c r="M6353" s="70"/>
      <c r="N6353" s="97"/>
      <c r="O6353" s="58" t="s">
        <v>15051</v>
      </c>
      <c r="P6353" s="58" t="s">
        <v>44</v>
      </c>
      <c r="Q6353" s="58" t="s">
        <v>111</v>
      </c>
      <c r="R6353" s="58" t="s">
        <v>272</v>
      </c>
    </row>
    <row r="6354" spans="1:18" ht="69" customHeight="1">
      <c r="A6354" s="168"/>
      <c r="B6354" s="62">
        <f t="shared" si="19"/>
        <v>66</v>
      </c>
      <c r="C6354" s="178" t="s">
        <v>1853</v>
      </c>
      <c r="D6354" s="174" t="s">
        <v>15684</v>
      </c>
      <c r="E6354" s="58" t="s">
        <v>266</v>
      </c>
      <c r="F6354" s="45" t="s">
        <v>15685</v>
      </c>
      <c r="G6354" s="45" t="s">
        <v>15661</v>
      </c>
      <c r="H6354" s="546">
        <v>548.5</v>
      </c>
      <c r="I6354" s="47">
        <v>45224</v>
      </c>
      <c r="J6354" s="73" t="s">
        <v>15662</v>
      </c>
      <c r="K6354" s="58"/>
      <c r="L6354" s="99"/>
      <c r="M6354" s="70"/>
      <c r="N6354" s="97"/>
      <c r="O6354" s="58" t="s">
        <v>15051</v>
      </c>
      <c r="P6354" s="58" t="s">
        <v>44</v>
      </c>
      <c r="Q6354" s="58" t="s">
        <v>29</v>
      </c>
      <c r="R6354" s="58" t="s">
        <v>272</v>
      </c>
    </row>
    <row r="6355" spans="1:18" ht="69" customHeight="1">
      <c r="A6355" s="168"/>
      <c r="B6355" s="62">
        <f t="shared" si="19"/>
        <v>67</v>
      </c>
      <c r="C6355" s="178" t="s">
        <v>2182</v>
      </c>
      <c r="D6355" s="174" t="s">
        <v>11082</v>
      </c>
      <c r="E6355" s="58" t="s">
        <v>266</v>
      </c>
      <c r="F6355" s="45" t="s">
        <v>15686</v>
      </c>
      <c r="G6355" s="45" t="s">
        <v>15661</v>
      </c>
      <c r="H6355" s="546">
        <v>548.5</v>
      </c>
      <c r="I6355" s="47">
        <v>45224</v>
      </c>
      <c r="J6355" s="73" t="s">
        <v>15662</v>
      </c>
      <c r="K6355" s="58"/>
      <c r="L6355" s="99"/>
      <c r="M6355" s="70"/>
      <c r="N6355" s="97"/>
      <c r="O6355" s="58" t="s">
        <v>15051</v>
      </c>
      <c r="P6355" s="58" t="s">
        <v>44</v>
      </c>
      <c r="Q6355" s="58" t="s">
        <v>31</v>
      </c>
      <c r="R6355" s="58" t="s">
        <v>272</v>
      </c>
    </row>
    <row r="6356" spans="1:18" ht="69" customHeight="1">
      <c r="A6356" s="168"/>
      <c r="B6356" s="52">
        <f t="shared" si="19"/>
        <v>68</v>
      </c>
      <c r="C6356" s="191" t="s">
        <v>309</v>
      </c>
      <c r="D6356" s="251" t="s">
        <v>10711</v>
      </c>
      <c r="E6356" s="46" t="s">
        <v>266</v>
      </c>
      <c r="F6356" s="46" t="s">
        <v>15687</v>
      </c>
      <c r="G6356" s="46" t="s">
        <v>15688</v>
      </c>
      <c r="H6356" s="534">
        <v>32400</v>
      </c>
      <c r="I6356" s="56">
        <v>45224</v>
      </c>
      <c r="J6356" s="199" t="s">
        <v>15689</v>
      </c>
      <c r="K6356" s="46" t="s">
        <v>1170</v>
      </c>
      <c r="L6356" s="99"/>
      <c r="M6356" s="385"/>
      <c r="N6356" s="75"/>
      <c r="O6356" s="46" t="s">
        <v>11361</v>
      </c>
      <c r="P6356" s="52" t="s">
        <v>65</v>
      </c>
      <c r="Q6356" s="46" t="s">
        <v>39</v>
      </c>
      <c r="R6356" s="46" t="s">
        <v>272</v>
      </c>
    </row>
    <row r="6357" spans="1:18" ht="69" customHeight="1">
      <c r="A6357" s="168"/>
      <c r="B6357" s="52">
        <f t="shared" si="19"/>
        <v>69</v>
      </c>
      <c r="C6357" s="191" t="s">
        <v>309</v>
      </c>
      <c r="D6357" s="251" t="s">
        <v>15370</v>
      </c>
      <c r="E6357" s="46" t="s">
        <v>266</v>
      </c>
      <c r="F6357" s="46" t="s">
        <v>15690</v>
      </c>
      <c r="G6357" s="46" t="s">
        <v>15688</v>
      </c>
      <c r="H6357" s="534">
        <v>2900</v>
      </c>
      <c r="I6357" s="56">
        <v>45224</v>
      </c>
      <c r="J6357" s="199" t="s">
        <v>15691</v>
      </c>
      <c r="K6357" s="46" t="s">
        <v>1170</v>
      </c>
      <c r="L6357" s="99"/>
      <c r="M6357" s="385"/>
      <c r="N6357" s="75"/>
      <c r="O6357" s="46" t="s">
        <v>1253</v>
      </c>
      <c r="P6357" s="52" t="s">
        <v>65</v>
      </c>
      <c r="Q6357" s="46" t="s">
        <v>23</v>
      </c>
      <c r="R6357" s="46" t="s">
        <v>272</v>
      </c>
    </row>
    <row r="6358" spans="1:18" ht="69" customHeight="1">
      <c r="A6358" s="168"/>
      <c r="B6358" s="52">
        <f t="shared" si="19"/>
        <v>70</v>
      </c>
      <c r="C6358" s="191" t="s">
        <v>309</v>
      </c>
      <c r="D6358" s="251" t="s">
        <v>15374</v>
      </c>
      <c r="E6358" s="46" t="s">
        <v>266</v>
      </c>
      <c r="F6358" s="46" t="s">
        <v>15692</v>
      </c>
      <c r="G6358" s="46" t="s">
        <v>15688</v>
      </c>
      <c r="H6358" s="534">
        <v>2600</v>
      </c>
      <c r="I6358" s="56">
        <v>45224</v>
      </c>
      <c r="J6358" s="199" t="s">
        <v>15691</v>
      </c>
      <c r="K6358" s="46" t="s">
        <v>1170</v>
      </c>
      <c r="L6358" s="99"/>
      <c r="M6358" s="385"/>
      <c r="N6358" s="75"/>
      <c r="O6358" s="46" t="s">
        <v>1253</v>
      </c>
      <c r="P6358" s="52" t="s">
        <v>65</v>
      </c>
      <c r="Q6358" s="46" t="s">
        <v>39</v>
      </c>
      <c r="R6358" s="46" t="s">
        <v>272</v>
      </c>
    </row>
    <row r="6359" spans="1:18" ht="69" customHeight="1">
      <c r="A6359" s="168"/>
      <c r="B6359" s="52">
        <f t="shared" si="19"/>
        <v>71</v>
      </c>
      <c r="C6359" s="191" t="s">
        <v>309</v>
      </c>
      <c r="D6359" s="251" t="s">
        <v>10801</v>
      </c>
      <c r="E6359" s="46" t="s">
        <v>266</v>
      </c>
      <c r="F6359" s="46" t="s">
        <v>15693</v>
      </c>
      <c r="G6359" s="46" t="s">
        <v>15688</v>
      </c>
      <c r="H6359" s="534">
        <v>1100</v>
      </c>
      <c r="I6359" s="56">
        <v>45224</v>
      </c>
      <c r="J6359" s="199" t="s">
        <v>15691</v>
      </c>
      <c r="K6359" s="46" t="s">
        <v>1170</v>
      </c>
      <c r="L6359" s="99"/>
      <c r="M6359" s="385"/>
      <c r="N6359" s="75"/>
      <c r="O6359" s="46" t="s">
        <v>1253</v>
      </c>
      <c r="P6359" s="52" t="s">
        <v>65</v>
      </c>
      <c r="Q6359" s="46" t="s">
        <v>41</v>
      </c>
      <c r="R6359" s="46" t="s">
        <v>272</v>
      </c>
    </row>
    <row r="6360" spans="1:18" ht="69" customHeight="1">
      <c r="A6360" s="168"/>
      <c r="B6360" s="52">
        <f t="shared" si="19"/>
        <v>72</v>
      </c>
      <c r="C6360" s="191" t="s">
        <v>309</v>
      </c>
      <c r="D6360" s="251" t="s">
        <v>15433</v>
      </c>
      <c r="E6360" s="46" t="s">
        <v>266</v>
      </c>
      <c r="F6360" s="46" t="s">
        <v>15694</v>
      </c>
      <c r="G6360" s="46" t="s">
        <v>15695</v>
      </c>
      <c r="H6360" s="534">
        <v>246</v>
      </c>
      <c r="I6360" s="56">
        <v>45224</v>
      </c>
      <c r="J6360" s="199" t="s">
        <v>15696</v>
      </c>
      <c r="K6360" s="46" t="s">
        <v>1170</v>
      </c>
      <c r="L6360" s="99"/>
      <c r="M6360" s="385"/>
      <c r="N6360" s="75"/>
      <c r="O6360" s="46" t="s">
        <v>14669</v>
      </c>
      <c r="P6360" s="52" t="s">
        <v>65</v>
      </c>
      <c r="Q6360" s="46" t="s">
        <v>39</v>
      </c>
      <c r="R6360" s="46" t="s">
        <v>272</v>
      </c>
    </row>
    <row r="6361" spans="1:18" ht="69" customHeight="1">
      <c r="A6361" s="168"/>
      <c r="B6361" s="52">
        <f t="shared" si="19"/>
        <v>73</v>
      </c>
      <c r="C6361" s="191" t="s">
        <v>11058</v>
      </c>
      <c r="D6361" s="251" t="s">
        <v>10713</v>
      </c>
      <c r="E6361" s="46" t="s">
        <v>266</v>
      </c>
      <c r="F6361" s="46" t="s">
        <v>15697</v>
      </c>
      <c r="G6361" s="46" t="s">
        <v>15698</v>
      </c>
      <c r="H6361" s="534">
        <v>20688.2</v>
      </c>
      <c r="I6361" s="56">
        <v>45224</v>
      </c>
      <c r="J6361" s="199" t="s">
        <v>15699</v>
      </c>
      <c r="K6361" s="46" t="s">
        <v>1170</v>
      </c>
      <c r="L6361" s="99"/>
      <c r="M6361" s="385"/>
      <c r="N6361" s="75"/>
      <c r="O6361" s="46" t="s">
        <v>1171</v>
      </c>
      <c r="P6361" s="46" t="s">
        <v>71</v>
      </c>
      <c r="Q6361" s="46" t="s">
        <v>23</v>
      </c>
      <c r="R6361" s="46" t="s">
        <v>272</v>
      </c>
    </row>
    <row r="6362" spans="1:18" ht="69" customHeight="1">
      <c r="A6362" s="168"/>
      <c r="B6362" s="52">
        <f t="shared" si="19"/>
        <v>74</v>
      </c>
      <c r="C6362" s="191" t="s">
        <v>15700</v>
      </c>
      <c r="D6362" s="251" t="s">
        <v>10715</v>
      </c>
      <c r="E6362" s="46" t="s">
        <v>266</v>
      </c>
      <c r="F6362" s="46" t="s">
        <v>15701</v>
      </c>
      <c r="G6362" s="46" t="s">
        <v>15698</v>
      </c>
      <c r="H6362" s="534">
        <v>20688.2</v>
      </c>
      <c r="I6362" s="56">
        <v>45224</v>
      </c>
      <c r="J6362" s="199" t="s">
        <v>15699</v>
      </c>
      <c r="K6362" s="46" t="s">
        <v>1170</v>
      </c>
      <c r="L6362" s="99"/>
      <c r="M6362" s="385"/>
      <c r="N6362" s="75"/>
      <c r="O6362" s="46" t="s">
        <v>1171</v>
      </c>
      <c r="P6362" s="46" t="s">
        <v>71</v>
      </c>
      <c r="Q6362" s="46" t="s">
        <v>39</v>
      </c>
      <c r="R6362" s="46" t="s">
        <v>272</v>
      </c>
    </row>
    <row r="6363" spans="1:18" ht="69" customHeight="1">
      <c r="A6363" s="168"/>
      <c r="B6363" s="52">
        <f t="shared" si="19"/>
        <v>75</v>
      </c>
      <c r="C6363" s="191" t="s">
        <v>15449</v>
      </c>
      <c r="D6363" s="251" t="s">
        <v>10724</v>
      </c>
      <c r="E6363" s="46" t="s">
        <v>266</v>
      </c>
      <c r="F6363" s="46" t="s">
        <v>15702</v>
      </c>
      <c r="G6363" s="46" t="s">
        <v>15698</v>
      </c>
      <c r="H6363" s="534">
        <v>20688.2</v>
      </c>
      <c r="I6363" s="56">
        <v>45224</v>
      </c>
      <c r="J6363" s="199" t="s">
        <v>15699</v>
      </c>
      <c r="K6363" s="46" t="s">
        <v>1170</v>
      </c>
      <c r="L6363" s="99"/>
      <c r="M6363" s="385"/>
      <c r="N6363" s="75"/>
      <c r="O6363" s="46" t="s">
        <v>1171</v>
      </c>
      <c r="P6363" s="46" t="s">
        <v>71</v>
      </c>
      <c r="Q6363" s="46" t="s">
        <v>41</v>
      </c>
      <c r="R6363" s="46" t="s">
        <v>272</v>
      </c>
    </row>
    <row r="6364" spans="1:18" ht="69" customHeight="1">
      <c r="A6364" s="168"/>
      <c r="B6364" s="52">
        <f t="shared" si="19"/>
        <v>76</v>
      </c>
      <c r="C6364" s="191" t="s">
        <v>309</v>
      </c>
      <c r="D6364" s="251" t="s">
        <v>10726</v>
      </c>
      <c r="E6364" s="46" t="s">
        <v>266</v>
      </c>
      <c r="F6364" s="46" t="s">
        <v>15703</v>
      </c>
      <c r="G6364" s="46" t="s">
        <v>15704</v>
      </c>
      <c r="H6364" s="534">
        <v>11239.02</v>
      </c>
      <c r="I6364" s="56">
        <v>45224</v>
      </c>
      <c r="J6364" s="199" t="s">
        <v>15699</v>
      </c>
      <c r="K6364" s="46" t="s">
        <v>1170</v>
      </c>
      <c r="L6364" s="99"/>
      <c r="M6364" s="385"/>
      <c r="N6364" s="75"/>
      <c r="O6364" s="46" t="s">
        <v>1171</v>
      </c>
      <c r="P6364" s="46" t="s">
        <v>71</v>
      </c>
      <c r="Q6364" s="46" t="s">
        <v>31</v>
      </c>
      <c r="R6364" s="46" t="s">
        <v>272</v>
      </c>
    </row>
    <row r="6365" spans="1:18" ht="69" customHeight="1">
      <c r="A6365" s="168"/>
      <c r="B6365" s="52">
        <f t="shared" si="19"/>
        <v>77</v>
      </c>
      <c r="C6365" s="191" t="s">
        <v>309</v>
      </c>
      <c r="D6365" s="251" t="s">
        <v>15705</v>
      </c>
      <c r="E6365" s="46" t="s">
        <v>266</v>
      </c>
      <c r="F6365" s="46" t="s">
        <v>15706</v>
      </c>
      <c r="G6365" s="46" t="s">
        <v>15707</v>
      </c>
      <c r="H6365" s="534">
        <v>8159.35</v>
      </c>
      <c r="I6365" s="56">
        <v>45224</v>
      </c>
      <c r="J6365" s="199" t="s">
        <v>15699</v>
      </c>
      <c r="K6365" s="46" t="s">
        <v>1170</v>
      </c>
      <c r="L6365" s="99"/>
      <c r="M6365" s="385"/>
      <c r="N6365" s="75"/>
      <c r="O6365" s="46" t="s">
        <v>1171</v>
      </c>
      <c r="P6365" s="46" t="s">
        <v>71</v>
      </c>
      <c r="Q6365" s="46" t="s">
        <v>45</v>
      </c>
      <c r="R6365" s="46" t="s">
        <v>272</v>
      </c>
    </row>
    <row r="6366" spans="1:18" ht="69" customHeight="1">
      <c r="A6366" s="168"/>
      <c r="B6366" s="52">
        <f t="shared" si="19"/>
        <v>78</v>
      </c>
      <c r="C6366" s="191" t="s">
        <v>11055</v>
      </c>
      <c r="D6366" s="251" t="s">
        <v>10582</v>
      </c>
      <c r="E6366" s="46" t="s">
        <v>266</v>
      </c>
      <c r="F6366" s="46" t="s">
        <v>15708</v>
      </c>
      <c r="G6366" s="46" t="s">
        <v>15709</v>
      </c>
      <c r="H6366" s="534">
        <v>116807</v>
      </c>
      <c r="I6366" s="56">
        <v>45224</v>
      </c>
      <c r="J6366" s="199" t="s">
        <v>15710</v>
      </c>
      <c r="K6366" s="46" t="s">
        <v>1170</v>
      </c>
      <c r="L6366" s="99"/>
      <c r="M6366" s="385"/>
      <c r="N6366" s="75"/>
      <c r="O6366" s="46" t="s">
        <v>15711</v>
      </c>
      <c r="P6366" s="52" t="s">
        <v>65</v>
      </c>
      <c r="Q6366" s="46" t="s">
        <v>45</v>
      </c>
      <c r="R6366" s="46" t="s">
        <v>272</v>
      </c>
    </row>
    <row r="6367" spans="1:18" ht="69" customHeight="1">
      <c r="A6367" s="168"/>
      <c r="B6367" s="62">
        <f t="shared" si="19"/>
        <v>79</v>
      </c>
      <c r="C6367" s="178" t="s">
        <v>458</v>
      </c>
      <c r="D6367" s="174" t="s">
        <v>11025</v>
      </c>
      <c r="E6367" s="58" t="s">
        <v>15712</v>
      </c>
      <c r="F6367" s="45" t="s">
        <v>15713</v>
      </c>
      <c r="G6367" s="45" t="s">
        <v>15714</v>
      </c>
      <c r="H6367" s="546">
        <v>178358</v>
      </c>
      <c r="I6367" s="47">
        <v>45224</v>
      </c>
      <c r="J6367" s="73" t="s">
        <v>15715</v>
      </c>
      <c r="K6367" s="58"/>
      <c r="L6367" s="99"/>
      <c r="M6367" s="70"/>
      <c r="N6367" s="97"/>
      <c r="O6367" s="58" t="s">
        <v>141</v>
      </c>
      <c r="P6367" s="58" t="s">
        <v>63</v>
      </c>
      <c r="Q6367" s="58" t="s">
        <v>119</v>
      </c>
      <c r="R6367" s="58" t="s">
        <v>272</v>
      </c>
    </row>
    <row r="6368" spans="1:18" ht="69" customHeight="1">
      <c r="A6368" s="168"/>
      <c r="B6368" s="62">
        <f t="shared" si="19"/>
        <v>80</v>
      </c>
      <c r="C6368" s="178" t="s">
        <v>458</v>
      </c>
      <c r="D6368" s="174" t="s">
        <v>11029</v>
      </c>
      <c r="E6368" s="58" t="s">
        <v>15712</v>
      </c>
      <c r="F6368" s="45" t="s">
        <v>15716</v>
      </c>
      <c r="G6368" s="45" t="s">
        <v>15717</v>
      </c>
      <c r="H6368" s="546">
        <v>32201.34</v>
      </c>
      <c r="I6368" s="47">
        <v>45224</v>
      </c>
      <c r="J6368" s="73" t="s">
        <v>15715</v>
      </c>
      <c r="K6368" s="58"/>
      <c r="L6368" s="99"/>
      <c r="M6368" s="70"/>
      <c r="N6368" s="97"/>
      <c r="O6368" s="58" t="s">
        <v>141</v>
      </c>
      <c r="P6368" s="58" t="s">
        <v>19</v>
      </c>
      <c r="Q6368" s="58" t="s">
        <v>105</v>
      </c>
      <c r="R6368" s="58" t="s">
        <v>272</v>
      </c>
    </row>
    <row r="6369" spans="1:18" ht="69" customHeight="1">
      <c r="A6369" s="168"/>
      <c r="B6369" s="62">
        <f t="shared" si="19"/>
        <v>81</v>
      </c>
      <c r="C6369" s="178" t="s">
        <v>581</v>
      </c>
      <c r="D6369" s="174" t="s">
        <v>10576</v>
      </c>
      <c r="E6369" s="58" t="s">
        <v>979</v>
      </c>
      <c r="F6369" s="45" t="s">
        <v>15718</v>
      </c>
      <c r="G6369" s="45" t="s">
        <v>15719</v>
      </c>
      <c r="H6369" s="546">
        <v>143608.71</v>
      </c>
      <c r="I6369" s="47">
        <v>45224</v>
      </c>
      <c r="J6369" s="73" t="s">
        <v>15720</v>
      </c>
      <c r="K6369" s="58"/>
      <c r="L6369" s="99"/>
      <c r="M6369" s="70"/>
      <c r="N6369" s="97"/>
      <c r="O6369" s="58" t="s">
        <v>156</v>
      </c>
      <c r="P6369" s="58" t="s">
        <v>73</v>
      </c>
      <c r="Q6369" s="58" t="s">
        <v>18</v>
      </c>
      <c r="R6369" s="58" t="s">
        <v>265</v>
      </c>
    </row>
    <row r="6370" spans="1:18" ht="69" customHeight="1">
      <c r="A6370" s="168"/>
      <c r="B6370" s="62">
        <f t="shared" si="19"/>
        <v>82</v>
      </c>
      <c r="C6370" s="178" t="s">
        <v>581</v>
      </c>
      <c r="D6370" s="174" t="s">
        <v>15721</v>
      </c>
      <c r="E6370" s="58" t="s">
        <v>979</v>
      </c>
      <c r="F6370" s="45" t="s">
        <v>15722</v>
      </c>
      <c r="G6370" s="45" t="s">
        <v>15723</v>
      </c>
      <c r="H6370" s="546">
        <v>100750</v>
      </c>
      <c r="I6370" s="47">
        <v>45224</v>
      </c>
      <c r="J6370" s="73" t="s">
        <v>15720</v>
      </c>
      <c r="K6370" s="58"/>
      <c r="L6370" s="99"/>
      <c r="M6370" s="70"/>
      <c r="N6370" s="97"/>
      <c r="O6370" s="58" t="s">
        <v>156</v>
      </c>
      <c r="P6370" s="58" t="s">
        <v>73</v>
      </c>
      <c r="Q6370" s="58" t="s">
        <v>18</v>
      </c>
      <c r="R6370" s="58" t="s">
        <v>265</v>
      </c>
    </row>
    <row r="6371" spans="1:18" ht="69" customHeight="1">
      <c r="A6371" s="168"/>
      <c r="B6371" s="62">
        <f t="shared" si="19"/>
        <v>83</v>
      </c>
      <c r="C6371" s="178" t="s">
        <v>581</v>
      </c>
      <c r="D6371" s="174" t="s">
        <v>10737</v>
      </c>
      <c r="E6371" s="58" t="s">
        <v>979</v>
      </c>
      <c r="F6371" s="45" t="s">
        <v>15724</v>
      </c>
      <c r="G6371" s="45" t="s">
        <v>15725</v>
      </c>
      <c r="H6371" s="546">
        <v>234970</v>
      </c>
      <c r="I6371" s="47">
        <v>45224</v>
      </c>
      <c r="J6371" s="73" t="s">
        <v>15720</v>
      </c>
      <c r="K6371" s="58"/>
      <c r="L6371" s="99"/>
      <c r="M6371" s="70"/>
      <c r="N6371" s="97"/>
      <c r="O6371" s="58" t="s">
        <v>156</v>
      </c>
      <c r="P6371" s="58" t="s">
        <v>73</v>
      </c>
      <c r="Q6371" s="58" t="s">
        <v>18</v>
      </c>
      <c r="R6371" s="58" t="s">
        <v>265</v>
      </c>
    </row>
    <row r="6372" spans="1:18" s="98" customFormat="1" ht="69" customHeight="1">
      <c r="A6372" s="169"/>
      <c r="B6372" s="62">
        <f t="shared" si="19"/>
        <v>84</v>
      </c>
      <c r="C6372" s="178" t="s">
        <v>9094</v>
      </c>
      <c r="D6372" s="174" t="s">
        <v>11252</v>
      </c>
      <c r="E6372" s="58" t="s">
        <v>979</v>
      </c>
      <c r="F6372" s="45" t="s">
        <v>15726</v>
      </c>
      <c r="G6372" s="45" t="s">
        <v>15725</v>
      </c>
      <c r="H6372" s="546">
        <v>135900</v>
      </c>
      <c r="I6372" s="47">
        <v>45224</v>
      </c>
      <c r="J6372" s="73" t="s">
        <v>15727</v>
      </c>
      <c r="K6372" s="58"/>
      <c r="L6372" s="99"/>
      <c r="M6372" s="385"/>
      <c r="N6372" s="75"/>
      <c r="O6372" s="45" t="s">
        <v>156</v>
      </c>
      <c r="P6372" s="45" t="s">
        <v>73</v>
      </c>
      <c r="Q6372" s="45" t="s">
        <v>112</v>
      </c>
      <c r="R6372" s="45" t="s">
        <v>265</v>
      </c>
    </row>
    <row r="6373" spans="1:18" ht="69" customHeight="1">
      <c r="A6373" s="168"/>
      <c r="B6373" s="62">
        <f t="shared" si="19"/>
        <v>85</v>
      </c>
      <c r="C6373" s="178" t="s">
        <v>9094</v>
      </c>
      <c r="D6373" s="174" t="s">
        <v>11082</v>
      </c>
      <c r="E6373" s="58" t="s">
        <v>979</v>
      </c>
      <c r="F6373" s="45" t="s">
        <v>15728</v>
      </c>
      <c r="G6373" s="45" t="s">
        <v>15725</v>
      </c>
      <c r="H6373" s="546">
        <v>367893.98</v>
      </c>
      <c r="I6373" s="47">
        <v>45224</v>
      </c>
      <c r="J6373" s="73" t="s">
        <v>15727</v>
      </c>
      <c r="K6373" s="58"/>
      <c r="L6373" s="99"/>
      <c r="M6373" s="70"/>
      <c r="N6373" s="97"/>
      <c r="O6373" s="58" t="s">
        <v>156</v>
      </c>
      <c r="P6373" s="45" t="s">
        <v>73</v>
      </c>
      <c r="Q6373" s="58" t="s">
        <v>112</v>
      </c>
      <c r="R6373" s="58" t="s">
        <v>265</v>
      </c>
    </row>
    <row r="6374" spans="1:18" ht="69" customHeight="1">
      <c r="A6374" s="168"/>
      <c r="B6374" s="62">
        <f t="shared" si="19"/>
        <v>86</v>
      </c>
      <c r="C6374" s="178" t="s">
        <v>9094</v>
      </c>
      <c r="D6374" s="174" t="s">
        <v>11098</v>
      </c>
      <c r="E6374" s="58" t="s">
        <v>979</v>
      </c>
      <c r="F6374" s="45" t="s">
        <v>15729</v>
      </c>
      <c r="G6374" s="45" t="s">
        <v>15725</v>
      </c>
      <c r="H6374" s="546">
        <v>5976.96</v>
      </c>
      <c r="I6374" s="47">
        <v>45224</v>
      </c>
      <c r="J6374" s="73" t="s">
        <v>15727</v>
      </c>
      <c r="K6374" s="58"/>
      <c r="L6374" s="99"/>
      <c r="M6374" s="70"/>
      <c r="N6374" s="97"/>
      <c r="O6374" s="58" t="s">
        <v>156</v>
      </c>
      <c r="P6374" s="45" t="s">
        <v>73</v>
      </c>
      <c r="Q6374" s="58" t="s">
        <v>112</v>
      </c>
      <c r="R6374" s="58" t="s">
        <v>265</v>
      </c>
    </row>
    <row r="6375" spans="1:18" ht="69" customHeight="1">
      <c r="A6375" s="168"/>
      <c r="B6375" s="62">
        <f t="shared" si="19"/>
        <v>87</v>
      </c>
      <c r="C6375" s="178" t="s">
        <v>9094</v>
      </c>
      <c r="D6375" s="174" t="s">
        <v>11096</v>
      </c>
      <c r="E6375" s="58" t="s">
        <v>979</v>
      </c>
      <c r="F6375" s="45" t="s">
        <v>15730</v>
      </c>
      <c r="G6375" s="45" t="s">
        <v>15725</v>
      </c>
      <c r="H6375" s="546">
        <v>83190</v>
      </c>
      <c r="I6375" s="47">
        <v>45224</v>
      </c>
      <c r="J6375" s="73" t="s">
        <v>15727</v>
      </c>
      <c r="K6375" s="58"/>
      <c r="L6375" s="99"/>
      <c r="M6375" s="70"/>
      <c r="N6375" s="97"/>
      <c r="O6375" s="58" t="s">
        <v>156</v>
      </c>
      <c r="P6375" s="45" t="s">
        <v>73</v>
      </c>
      <c r="Q6375" s="58" t="s">
        <v>112</v>
      </c>
      <c r="R6375" s="58" t="s">
        <v>265</v>
      </c>
    </row>
    <row r="6376" spans="1:18" ht="69" customHeight="1">
      <c r="A6376" s="168"/>
      <c r="B6376" s="62">
        <f t="shared" si="19"/>
        <v>88</v>
      </c>
      <c r="C6376" s="178" t="s">
        <v>13435</v>
      </c>
      <c r="D6376" s="174" t="s">
        <v>15731</v>
      </c>
      <c r="E6376" s="58" t="s">
        <v>979</v>
      </c>
      <c r="F6376" s="45" t="s">
        <v>15732</v>
      </c>
      <c r="G6376" s="45" t="s">
        <v>15725</v>
      </c>
      <c r="H6376" s="546">
        <v>450266.96</v>
      </c>
      <c r="I6376" s="47">
        <v>45224</v>
      </c>
      <c r="J6376" s="73" t="s">
        <v>15727</v>
      </c>
      <c r="K6376" s="58" t="s">
        <v>354</v>
      </c>
      <c r="L6376" s="99"/>
      <c r="M6376" s="70"/>
      <c r="N6376" s="97"/>
      <c r="O6376" s="58" t="s">
        <v>141</v>
      </c>
      <c r="P6376" s="58" t="s">
        <v>73</v>
      </c>
      <c r="Q6376" s="58" t="s">
        <v>13</v>
      </c>
      <c r="R6376" s="58" t="s">
        <v>265</v>
      </c>
    </row>
    <row r="6377" spans="1:18" ht="69" customHeight="1">
      <c r="A6377" s="168"/>
      <c r="B6377" s="62">
        <f t="shared" si="19"/>
        <v>89</v>
      </c>
      <c r="C6377" s="178" t="s">
        <v>13435</v>
      </c>
      <c r="D6377" s="174" t="s">
        <v>10743</v>
      </c>
      <c r="E6377" s="58" t="s">
        <v>979</v>
      </c>
      <c r="F6377" s="45" t="s">
        <v>15733</v>
      </c>
      <c r="G6377" s="45" t="s">
        <v>15725</v>
      </c>
      <c r="H6377" s="546">
        <v>6204.01</v>
      </c>
      <c r="I6377" s="47">
        <v>45224</v>
      </c>
      <c r="J6377" s="73" t="s">
        <v>15727</v>
      </c>
      <c r="K6377" s="58"/>
      <c r="L6377" s="99"/>
      <c r="M6377" s="70"/>
      <c r="N6377" s="97"/>
      <c r="O6377" s="58" t="s">
        <v>156</v>
      </c>
      <c r="P6377" s="58" t="s">
        <v>73</v>
      </c>
      <c r="Q6377" s="58" t="s">
        <v>13</v>
      </c>
      <c r="R6377" s="58" t="s">
        <v>265</v>
      </c>
    </row>
    <row r="6378" spans="1:18" ht="69" customHeight="1">
      <c r="A6378" s="168"/>
      <c r="B6378" s="62">
        <f t="shared" si="19"/>
        <v>90</v>
      </c>
      <c r="C6378" s="178" t="s">
        <v>13435</v>
      </c>
      <c r="D6378" s="174" t="s">
        <v>15734</v>
      </c>
      <c r="E6378" s="58" t="s">
        <v>979</v>
      </c>
      <c r="F6378" s="45" t="s">
        <v>15732</v>
      </c>
      <c r="G6378" s="45" t="s">
        <v>15725</v>
      </c>
      <c r="H6378" s="546">
        <v>145030</v>
      </c>
      <c r="I6378" s="47">
        <v>45224</v>
      </c>
      <c r="J6378" s="73" t="s">
        <v>15727</v>
      </c>
      <c r="K6378" s="58"/>
      <c r="L6378" s="99"/>
      <c r="M6378" s="70"/>
      <c r="N6378" s="97"/>
      <c r="O6378" s="58" t="s">
        <v>156</v>
      </c>
      <c r="P6378" s="58" t="s">
        <v>73</v>
      </c>
      <c r="Q6378" s="58" t="s">
        <v>13</v>
      </c>
      <c r="R6378" s="58" t="s">
        <v>265</v>
      </c>
    </row>
    <row r="6379" spans="1:18" ht="69" customHeight="1">
      <c r="A6379" s="168"/>
      <c r="B6379" s="62">
        <f t="shared" si="19"/>
        <v>91</v>
      </c>
      <c r="C6379" s="178" t="s">
        <v>13562</v>
      </c>
      <c r="D6379" s="174" t="s">
        <v>11110</v>
      </c>
      <c r="E6379" s="58" t="s">
        <v>979</v>
      </c>
      <c r="F6379" s="45" t="s">
        <v>15735</v>
      </c>
      <c r="G6379" s="45" t="s">
        <v>15725</v>
      </c>
      <c r="H6379" s="546">
        <v>65969.27</v>
      </c>
      <c r="I6379" s="47">
        <v>45224</v>
      </c>
      <c r="J6379" s="73" t="s">
        <v>15727</v>
      </c>
      <c r="K6379" s="58"/>
      <c r="L6379" s="99"/>
      <c r="M6379" s="70"/>
      <c r="N6379" s="97"/>
      <c r="O6379" s="58" t="s">
        <v>156</v>
      </c>
      <c r="P6379" s="58" t="s">
        <v>73</v>
      </c>
      <c r="Q6379" s="58" t="s">
        <v>88</v>
      </c>
      <c r="R6379" s="58" t="s">
        <v>265</v>
      </c>
    </row>
    <row r="6380" spans="1:18" s="98" customFormat="1" ht="69" customHeight="1">
      <c r="A6380" s="169"/>
      <c r="B6380" s="62">
        <f t="shared" si="19"/>
        <v>92</v>
      </c>
      <c r="C6380" s="178" t="s">
        <v>13562</v>
      </c>
      <c r="D6380" s="174" t="s">
        <v>15736</v>
      </c>
      <c r="E6380" s="58" t="s">
        <v>979</v>
      </c>
      <c r="F6380" s="45" t="s">
        <v>15737</v>
      </c>
      <c r="G6380" s="45" t="s">
        <v>15725</v>
      </c>
      <c r="H6380" s="546">
        <v>135900</v>
      </c>
      <c r="I6380" s="47">
        <v>45224</v>
      </c>
      <c r="J6380" s="73" t="s">
        <v>15727</v>
      </c>
      <c r="K6380" s="58"/>
      <c r="L6380" s="99"/>
      <c r="M6380" s="385"/>
      <c r="N6380" s="75"/>
      <c r="O6380" s="45" t="s">
        <v>156</v>
      </c>
      <c r="P6380" s="58" t="s">
        <v>73</v>
      </c>
      <c r="Q6380" s="45" t="s">
        <v>88</v>
      </c>
      <c r="R6380" s="45" t="s">
        <v>265</v>
      </c>
    </row>
    <row r="6381" spans="1:18" ht="69" customHeight="1">
      <c r="A6381" s="168"/>
      <c r="B6381" s="62">
        <f t="shared" si="19"/>
        <v>93</v>
      </c>
      <c r="C6381" s="59" t="s">
        <v>3667</v>
      </c>
      <c r="D6381" s="174" t="s">
        <v>15738</v>
      </c>
      <c r="E6381" s="58" t="s">
        <v>14202</v>
      </c>
      <c r="F6381" s="45" t="s">
        <v>15739</v>
      </c>
      <c r="G6381" s="45" t="s">
        <v>15740</v>
      </c>
      <c r="H6381" s="546">
        <v>273000</v>
      </c>
      <c r="I6381" s="47">
        <v>45224</v>
      </c>
      <c r="J6381" s="73" t="s">
        <v>15741</v>
      </c>
      <c r="K6381" s="58"/>
      <c r="L6381" s="99"/>
      <c r="M6381" s="70"/>
      <c r="N6381" s="97"/>
      <c r="O6381" s="45" t="s">
        <v>12198</v>
      </c>
      <c r="P6381" s="58" t="s">
        <v>57</v>
      </c>
      <c r="Q6381" s="58" t="s">
        <v>76</v>
      </c>
      <c r="R6381" s="58" t="s">
        <v>272</v>
      </c>
    </row>
    <row r="6382" spans="1:18" ht="69" customHeight="1">
      <c r="A6382" s="168"/>
      <c r="B6382" s="261">
        <f t="shared" si="19"/>
        <v>94</v>
      </c>
      <c r="C6382" s="207" t="s">
        <v>3667</v>
      </c>
      <c r="D6382" s="255" t="s">
        <v>96</v>
      </c>
      <c r="E6382" s="118" t="s">
        <v>266</v>
      </c>
      <c r="F6382" s="118" t="s">
        <v>15742</v>
      </c>
      <c r="G6382" s="118" t="s">
        <v>15743</v>
      </c>
      <c r="H6382" s="300">
        <v>0</v>
      </c>
      <c r="I6382" s="262">
        <v>45224</v>
      </c>
      <c r="J6382" s="258" t="s">
        <v>15744</v>
      </c>
      <c r="K6382" s="118"/>
      <c r="L6382" s="99"/>
      <c r="M6382" s="385"/>
      <c r="N6382" s="75"/>
      <c r="O6382" s="118" t="s">
        <v>5969</v>
      </c>
      <c r="P6382" s="118" t="s">
        <v>67</v>
      </c>
      <c r="Q6382" s="160" t="s">
        <v>66</v>
      </c>
      <c r="R6382" s="118" t="s">
        <v>272</v>
      </c>
    </row>
    <row r="6383" spans="1:18" ht="69" customHeight="1">
      <c r="A6383" s="168"/>
      <c r="B6383" s="261">
        <f t="shared" si="19"/>
        <v>95</v>
      </c>
      <c r="C6383" s="207" t="s">
        <v>3667</v>
      </c>
      <c r="D6383" s="255" t="s">
        <v>96</v>
      </c>
      <c r="E6383" s="118" t="s">
        <v>266</v>
      </c>
      <c r="F6383" s="118" t="s">
        <v>15745</v>
      </c>
      <c r="G6383" s="118" t="s">
        <v>15743</v>
      </c>
      <c r="H6383" s="300">
        <v>0</v>
      </c>
      <c r="I6383" s="262">
        <v>45224</v>
      </c>
      <c r="J6383" s="258" t="s">
        <v>15744</v>
      </c>
      <c r="K6383" s="118"/>
      <c r="L6383" s="99"/>
      <c r="M6383" s="385"/>
      <c r="N6383" s="75"/>
      <c r="O6383" s="118" t="s">
        <v>5969</v>
      </c>
      <c r="P6383" s="118" t="s">
        <v>67</v>
      </c>
      <c r="Q6383" s="160" t="s">
        <v>118</v>
      </c>
      <c r="R6383" s="118" t="s">
        <v>272</v>
      </c>
    </row>
    <row r="6384" spans="1:18" s="98" customFormat="1" ht="69" customHeight="1">
      <c r="A6384" s="169"/>
      <c r="B6384" s="62">
        <f t="shared" si="19"/>
        <v>96</v>
      </c>
      <c r="C6384" s="178" t="s">
        <v>458</v>
      </c>
      <c r="D6384" s="174" t="s">
        <v>11175</v>
      </c>
      <c r="E6384" s="58" t="s">
        <v>350</v>
      </c>
      <c r="F6384" s="45" t="s">
        <v>15746</v>
      </c>
      <c r="G6384" s="45" t="s">
        <v>15747</v>
      </c>
      <c r="H6384" s="546">
        <v>60000</v>
      </c>
      <c r="I6384" s="47">
        <v>45224</v>
      </c>
      <c r="J6384" s="73" t="s">
        <v>15748</v>
      </c>
      <c r="K6384" s="58"/>
      <c r="L6384" s="99"/>
      <c r="M6384" s="385"/>
      <c r="N6384" s="75"/>
      <c r="O6384" s="45" t="s">
        <v>141</v>
      </c>
      <c r="P6384" s="45" t="s">
        <v>19</v>
      </c>
      <c r="Q6384" s="45" t="s">
        <v>123</v>
      </c>
      <c r="R6384" s="45" t="s">
        <v>265</v>
      </c>
    </row>
    <row r="6385" spans="1:18" s="98" customFormat="1" ht="69" customHeight="1">
      <c r="A6385" s="169"/>
      <c r="B6385" s="62">
        <f t="shared" si="19"/>
        <v>97</v>
      </c>
      <c r="C6385" s="178" t="s">
        <v>9004</v>
      </c>
      <c r="D6385" s="174" t="s">
        <v>1934</v>
      </c>
      <c r="E6385" s="58" t="s">
        <v>350</v>
      </c>
      <c r="F6385" s="45" t="s">
        <v>15749</v>
      </c>
      <c r="G6385" s="45" t="s">
        <v>15747</v>
      </c>
      <c r="H6385" s="546">
        <v>60000</v>
      </c>
      <c r="I6385" s="47">
        <v>45224</v>
      </c>
      <c r="J6385" s="73" t="s">
        <v>15748</v>
      </c>
      <c r="K6385" s="58"/>
      <c r="L6385" s="99"/>
      <c r="M6385" s="385"/>
      <c r="N6385" s="75"/>
      <c r="O6385" s="45" t="s">
        <v>141</v>
      </c>
      <c r="P6385" s="45" t="s">
        <v>19</v>
      </c>
      <c r="Q6385" s="45" t="s">
        <v>111</v>
      </c>
      <c r="R6385" s="45" t="s">
        <v>265</v>
      </c>
    </row>
    <row r="6386" spans="1:18" ht="69" customHeight="1">
      <c r="A6386" s="168"/>
      <c r="B6386" s="52">
        <f t="shared" si="19"/>
        <v>98</v>
      </c>
      <c r="C6386" s="191" t="s">
        <v>458</v>
      </c>
      <c r="D6386" s="251" t="s">
        <v>15750</v>
      </c>
      <c r="E6386" s="46" t="s">
        <v>266</v>
      </c>
      <c r="F6386" s="46" t="s">
        <v>15751</v>
      </c>
      <c r="G6386" s="46" t="s">
        <v>15752</v>
      </c>
      <c r="H6386" s="534">
        <v>21046.560000000001</v>
      </c>
      <c r="I6386" s="56">
        <v>45224</v>
      </c>
      <c r="J6386" s="199" t="s">
        <v>15753</v>
      </c>
      <c r="K6386" s="46" t="s">
        <v>65</v>
      </c>
      <c r="L6386" s="99"/>
      <c r="M6386" s="385"/>
      <c r="N6386" s="75"/>
      <c r="O6386" s="46" t="s">
        <v>1171</v>
      </c>
      <c r="P6386" s="46" t="s">
        <v>71</v>
      </c>
      <c r="Q6386" s="46" t="s">
        <v>119</v>
      </c>
      <c r="R6386" s="46" t="s">
        <v>272</v>
      </c>
    </row>
    <row r="6387" spans="1:18" ht="69" customHeight="1">
      <c r="A6387" s="168"/>
      <c r="B6387" s="52">
        <f t="shared" si="19"/>
        <v>99</v>
      </c>
      <c r="C6387" s="191" t="s">
        <v>657</v>
      </c>
      <c r="D6387" s="251" t="s">
        <v>3324</v>
      </c>
      <c r="E6387" s="46" t="s">
        <v>266</v>
      </c>
      <c r="F6387" s="46" t="s">
        <v>15754</v>
      </c>
      <c r="G6387" s="46" t="s">
        <v>15752</v>
      </c>
      <c r="H6387" s="534">
        <v>21046.560000000001</v>
      </c>
      <c r="I6387" s="56">
        <v>45224</v>
      </c>
      <c r="J6387" s="199" t="s">
        <v>15753</v>
      </c>
      <c r="K6387" s="46" t="s">
        <v>65</v>
      </c>
      <c r="L6387" s="99"/>
      <c r="M6387" s="385"/>
      <c r="N6387" s="75"/>
      <c r="O6387" s="46" t="s">
        <v>1171</v>
      </c>
      <c r="P6387" s="46" t="s">
        <v>71</v>
      </c>
      <c r="Q6387" s="46" t="s">
        <v>120</v>
      </c>
      <c r="R6387" s="46" t="s">
        <v>272</v>
      </c>
    </row>
    <row r="6388" spans="1:18" ht="69" customHeight="1">
      <c r="A6388" s="168"/>
      <c r="B6388" s="62">
        <f t="shared" si="19"/>
        <v>100</v>
      </c>
      <c r="C6388" s="178" t="s">
        <v>458</v>
      </c>
      <c r="D6388" s="174" t="s">
        <v>15755</v>
      </c>
      <c r="E6388" s="58" t="s">
        <v>10553</v>
      </c>
      <c r="F6388" s="45" t="s">
        <v>15756</v>
      </c>
      <c r="G6388" s="45" t="s">
        <v>15757</v>
      </c>
      <c r="H6388" s="546">
        <v>181084.48</v>
      </c>
      <c r="I6388" s="47">
        <v>45227</v>
      </c>
      <c r="J6388" s="73" t="s">
        <v>15758</v>
      </c>
      <c r="K6388" s="58"/>
      <c r="L6388" s="99"/>
      <c r="M6388" s="70"/>
      <c r="N6388" s="97"/>
      <c r="O6388" s="58" t="s">
        <v>147</v>
      </c>
      <c r="P6388" s="58" t="s">
        <v>22</v>
      </c>
      <c r="Q6388" s="58" t="s">
        <v>88</v>
      </c>
      <c r="R6388" s="58" t="s">
        <v>272</v>
      </c>
    </row>
    <row r="6389" spans="1:18" ht="69" customHeight="1">
      <c r="A6389" s="168"/>
      <c r="B6389" s="62">
        <f t="shared" si="19"/>
        <v>101</v>
      </c>
      <c r="C6389" s="178" t="s">
        <v>458</v>
      </c>
      <c r="D6389" s="174" t="s">
        <v>11140</v>
      </c>
      <c r="E6389" s="58" t="s">
        <v>10553</v>
      </c>
      <c r="F6389" s="45" t="s">
        <v>15759</v>
      </c>
      <c r="G6389" s="45" t="s">
        <v>15760</v>
      </c>
      <c r="H6389" s="546">
        <v>97507.03</v>
      </c>
      <c r="I6389" s="47">
        <v>45224</v>
      </c>
      <c r="J6389" s="73" t="s">
        <v>15758</v>
      </c>
      <c r="K6389" s="58"/>
      <c r="L6389" s="99"/>
      <c r="M6389" s="70"/>
      <c r="N6389" s="97"/>
      <c r="O6389" s="58" t="s">
        <v>147</v>
      </c>
      <c r="P6389" s="58" t="s">
        <v>22</v>
      </c>
      <c r="Q6389" s="58" t="s">
        <v>88</v>
      </c>
      <c r="R6389" s="58" t="s">
        <v>272</v>
      </c>
    </row>
    <row r="6390" spans="1:18" ht="69" customHeight="1">
      <c r="A6390" s="168"/>
      <c r="B6390" s="62">
        <f t="shared" si="19"/>
        <v>102</v>
      </c>
      <c r="C6390" s="178" t="s">
        <v>458</v>
      </c>
      <c r="D6390" s="174" t="s">
        <v>15761</v>
      </c>
      <c r="E6390" s="58" t="s">
        <v>10553</v>
      </c>
      <c r="F6390" s="45" t="s">
        <v>15762</v>
      </c>
      <c r="G6390" s="45" t="s">
        <v>15757</v>
      </c>
      <c r="H6390" s="546">
        <v>181084.48</v>
      </c>
      <c r="I6390" s="47">
        <v>45224</v>
      </c>
      <c r="J6390" s="73" t="s">
        <v>15758</v>
      </c>
      <c r="K6390" s="58"/>
      <c r="L6390" s="99"/>
      <c r="M6390" s="70"/>
      <c r="N6390" s="97"/>
      <c r="O6390" s="58" t="s">
        <v>147</v>
      </c>
      <c r="P6390" s="58" t="s">
        <v>22</v>
      </c>
      <c r="Q6390" s="58" t="s">
        <v>112</v>
      </c>
      <c r="R6390" s="58" t="s">
        <v>272</v>
      </c>
    </row>
    <row r="6391" spans="1:18" ht="69" customHeight="1">
      <c r="A6391" s="168"/>
      <c r="B6391" s="62">
        <f t="shared" si="19"/>
        <v>103</v>
      </c>
      <c r="C6391" s="178" t="s">
        <v>458</v>
      </c>
      <c r="D6391" s="174" t="s">
        <v>11142</v>
      </c>
      <c r="E6391" s="58" t="s">
        <v>10553</v>
      </c>
      <c r="F6391" s="45" t="s">
        <v>15763</v>
      </c>
      <c r="G6391" s="45" t="s">
        <v>15760</v>
      </c>
      <c r="H6391" s="546">
        <v>97507.03</v>
      </c>
      <c r="I6391" s="47">
        <v>45224</v>
      </c>
      <c r="J6391" s="73" t="s">
        <v>15758</v>
      </c>
      <c r="K6391" s="58"/>
      <c r="L6391" s="99"/>
      <c r="M6391" s="70"/>
      <c r="N6391" s="97"/>
      <c r="O6391" s="58" t="s">
        <v>147</v>
      </c>
      <c r="P6391" s="58" t="s">
        <v>22</v>
      </c>
      <c r="Q6391" s="58" t="s">
        <v>112</v>
      </c>
      <c r="R6391" s="58" t="s">
        <v>272</v>
      </c>
    </row>
    <row r="6392" spans="1:18" ht="69" customHeight="1">
      <c r="A6392" s="168"/>
      <c r="B6392" s="62">
        <f t="shared" si="19"/>
        <v>104</v>
      </c>
      <c r="C6392" s="178" t="s">
        <v>13435</v>
      </c>
      <c r="D6392" s="174" t="s">
        <v>15764</v>
      </c>
      <c r="E6392" s="58" t="s">
        <v>266</v>
      </c>
      <c r="F6392" s="45" t="s">
        <v>15765</v>
      </c>
      <c r="G6392" s="45" t="s">
        <v>15661</v>
      </c>
      <c r="H6392" s="546">
        <v>514.76</v>
      </c>
      <c r="I6392" s="47">
        <v>45224</v>
      </c>
      <c r="J6392" s="73" t="s">
        <v>15766</v>
      </c>
      <c r="K6392" s="58"/>
      <c r="L6392" s="99"/>
      <c r="M6392" s="70"/>
      <c r="N6392" s="97"/>
      <c r="O6392" s="58" t="s">
        <v>15051</v>
      </c>
      <c r="P6392" s="58" t="s">
        <v>44</v>
      </c>
      <c r="Q6392" s="58" t="s">
        <v>13</v>
      </c>
      <c r="R6392" s="58" t="s">
        <v>272</v>
      </c>
    </row>
    <row r="6393" spans="1:18" ht="69" customHeight="1">
      <c r="A6393" s="168"/>
      <c r="B6393" s="62">
        <f t="shared" si="19"/>
        <v>105</v>
      </c>
      <c r="C6393" s="178" t="s">
        <v>581</v>
      </c>
      <c r="D6393" s="174" t="s">
        <v>10806</v>
      </c>
      <c r="E6393" s="58" t="s">
        <v>266</v>
      </c>
      <c r="F6393" s="45" t="s">
        <v>15767</v>
      </c>
      <c r="G6393" s="45" t="s">
        <v>15661</v>
      </c>
      <c r="H6393" s="546">
        <v>514.76</v>
      </c>
      <c r="I6393" s="47">
        <v>45224</v>
      </c>
      <c r="J6393" s="73" t="s">
        <v>15766</v>
      </c>
      <c r="K6393" s="58"/>
      <c r="L6393" s="99"/>
      <c r="M6393" s="70"/>
      <c r="N6393" s="97"/>
      <c r="O6393" s="58" t="s">
        <v>15051</v>
      </c>
      <c r="P6393" s="58" t="s">
        <v>44</v>
      </c>
      <c r="Q6393" s="58" t="s">
        <v>18</v>
      </c>
      <c r="R6393" s="58" t="s">
        <v>272</v>
      </c>
    </row>
    <row r="6394" spans="1:18" ht="69" customHeight="1">
      <c r="A6394" s="168"/>
      <c r="B6394" s="62">
        <f t="shared" si="19"/>
        <v>106</v>
      </c>
      <c r="C6394" s="178" t="s">
        <v>10947</v>
      </c>
      <c r="D6394" s="174" t="s">
        <v>11158</v>
      </c>
      <c r="E6394" s="58" t="s">
        <v>266</v>
      </c>
      <c r="F6394" s="45" t="s">
        <v>15768</v>
      </c>
      <c r="G6394" s="45" t="s">
        <v>15661</v>
      </c>
      <c r="H6394" s="546">
        <v>514.76</v>
      </c>
      <c r="I6394" s="47">
        <v>45224</v>
      </c>
      <c r="J6394" s="73" t="s">
        <v>15766</v>
      </c>
      <c r="K6394" s="58"/>
      <c r="L6394" s="99"/>
      <c r="M6394" s="70"/>
      <c r="N6394" s="97"/>
      <c r="O6394" s="58" t="s">
        <v>15051</v>
      </c>
      <c r="P6394" s="58" t="s">
        <v>44</v>
      </c>
      <c r="Q6394" s="58" t="s">
        <v>100</v>
      </c>
      <c r="R6394" s="58" t="s">
        <v>272</v>
      </c>
    </row>
    <row r="6395" spans="1:18" ht="69" customHeight="1">
      <c r="A6395" s="168"/>
      <c r="B6395" s="62">
        <f t="shared" si="19"/>
        <v>107</v>
      </c>
      <c r="C6395" s="178" t="s">
        <v>11908</v>
      </c>
      <c r="D6395" s="174" t="s">
        <v>11162</v>
      </c>
      <c r="E6395" s="58" t="s">
        <v>266</v>
      </c>
      <c r="F6395" s="45" t="s">
        <v>15769</v>
      </c>
      <c r="G6395" s="45" t="s">
        <v>15661</v>
      </c>
      <c r="H6395" s="546">
        <v>514.76</v>
      </c>
      <c r="I6395" s="47">
        <v>45224</v>
      </c>
      <c r="J6395" s="73" t="s">
        <v>15766</v>
      </c>
      <c r="K6395" s="58"/>
      <c r="L6395" s="99"/>
      <c r="M6395" s="70"/>
      <c r="N6395" s="97"/>
      <c r="O6395" s="58" t="s">
        <v>15051</v>
      </c>
      <c r="P6395" s="58" t="s">
        <v>44</v>
      </c>
      <c r="Q6395" s="58" t="s">
        <v>103</v>
      </c>
      <c r="R6395" s="58" t="s">
        <v>272</v>
      </c>
    </row>
    <row r="6396" spans="1:18" ht="69" customHeight="1">
      <c r="A6396" s="168"/>
      <c r="B6396" s="62">
        <f t="shared" si="19"/>
        <v>108</v>
      </c>
      <c r="C6396" s="178" t="s">
        <v>8057</v>
      </c>
      <c r="D6396" s="174" t="s">
        <v>15770</v>
      </c>
      <c r="E6396" s="58" t="s">
        <v>266</v>
      </c>
      <c r="F6396" s="45" t="s">
        <v>15771</v>
      </c>
      <c r="G6396" s="45" t="s">
        <v>15661</v>
      </c>
      <c r="H6396" s="546">
        <v>514.76</v>
      </c>
      <c r="I6396" s="47">
        <v>45224</v>
      </c>
      <c r="J6396" s="73" t="s">
        <v>15766</v>
      </c>
      <c r="K6396" s="58"/>
      <c r="L6396" s="99"/>
      <c r="M6396" s="70"/>
      <c r="N6396" s="97"/>
      <c r="O6396" s="58" t="s">
        <v>15051</v>
      </c>
      <c r="P6396" s="58" t="s">
        <v>44</v>
      </c>
      <c r="Q6396" s="58" t="s">
        <v>105</v>
      </c>
      <c r="R6396" s="58" t="s">
        <v>272</v>
      </c>
    </row>
    <row r="6397" spans="1:18" ht="69" customHeight="1">
      <c r="A6397" s="168"/>
      <c r="B6397" s="62">
        <f t="shared" si="19"/>
        <v>109</v>
      </c>
      <c r="C6397" s="178" t="s">
        <v>11568</v>
      </c>
      <c r="D6397" s="174" t="s">
        <v>11168</v>
      </c>
      <c r="E6397" s="58" t="s">
        <v>266</v>
      </c>
      <c r="F6397" s="45" t="s">
        <v>15772</v>
      </c>
      <c r="G6397" s="45" t="s">
        <v>15661</v>
      </c>
      <c r="H6397" s="546">
        <v>514.76</v>
      </c>
      <c r="I6397" s="47">
        <v>45224</v>
      </c>
      <c r="J6397" s="73" t="s">
        <v>15766</v>
      </c>
      <c r="K6397" s="58"/>
      <c r="L6397" s="99"/>
      <c r="M6397" s="70"/>
      <c r="N6397" s="97"/>
      <c r="O6397" s="58" t="s">
        <v>15051</v>
      </c>
      <c r="P6397" s="58" t="s">
        <v>44</v>
      </c>
      <c r="Q6397" s="58" t="s">
        <v>107</v>
      </c>
      <c r="R6397" s="58" t="s">
        <v>272</v>
      </c>
    </row>
    <row r="6398" spans="1:18" ht="69" customHeight="1">
      <c r="A6398" s="168"/>
      <c r="B6398" s="62">
        <f t="shared" si="19"/>
        <v>110</v>
      </c>
      <c r="C6398" s="178" t="s">
        <v>13562</v>
      </c>
      <c r="D6398" s="174" t="s">
        <v>11179</v>
      </c>
      <c r="E6398" s="58" t="s">
        <v>266</v>
      </c>
      <c r="F6398" s="45" t="s">
        <v>15773</v>
      </c>
      <c r="G6398" s="45" t="s">
        <v>15661</v>
      </c>
      <c r="H6398" s="546">
        <v>514.76</v>
      </c>
      <c r="I6398" s="47">
        <v>45224</v>
      </c>
      <c r="J6398" s="73" t="s">
        <v>15766</v>
      </c>
      <c r="K6398" s="58"/>
      <c r="L6398" s="99"/>
      <c r="M6398" s="70"/>
      <c r="N6398" s="97"/>
      <c r="O6398" s="58" t="s">
        <v>15051</v>
      </c>
      <c r="P6398" s="58" t="s">
        <v>44</v>
      </c>
      <c r="Q6398" s="58" t="s">
        <v>88</v>
      </c>
      <c r="R6398" s="58" t="s">
        <v>272</v>
      </c>
    </row>
    <row r="6399" spans="1:18" ht="69" customHeight="1">
      <c r="A6399" s="168"/>
      <c r="B6399" s="62">
        <f t="shared" si="19"/>
        <v>111</v>
      </c>
      <c r="C6399" s="178" t="s">
        <v>11933</v>
      </c>
      <c r="D6399" s="174" t="s">
        <v>11201</v>
      </c>
      <c r="E6399" s="58" t="s">
        <v>266</v>
      </c>
      <c r="F6399" s="45" t="s">
        <v>15774</v>
      </c>
      <c r="G6399" s="45" t="s">
        <v>15661</v>
      </c>
      <c r="H6399" s="546">
        <v>514.76</v>
      </c>
      <c r="I6399" s="47">
        <v>45224</v>
      </c>
      <c r="J6399" s="73" t="s">
        <v>15766</v>
      </c>
      <c r="K6399" s="58"/>
      <c r="L6399" s="99"/>
      <c r="M6399" s="70"/>
      <c r="N6399" s="97"/>
      <c r="O6399" s="58" t="s">
        <v>15051</v>
      </c>
      <c r="P6399" s="58" t="s">
        <v>44</v>
      </c>
      <c r="Q6399" s="58" t="s">
        <v>123</v>
      </c>
      <c r="R6399" s="58" t="s">
        <v>272</v>
      </c>
    </row>
    <row r="6400" spans="1:18" ht="69" customHeight="1">
      <c r="A6400" s="168"/>
      <c r="B6400" s="62">
        <f t="shared" si="19"/>
        <v>112</v>
      </c>
      <c r="C6400" s="178" t="s">
        <v>7189</v>
      </c>
      <c r="D6400" s="174" t="s">
        <v>1932</v>
      </c>
      <c r="E6400" s="58" t="s">
        <v>266</v>
      </c>
      <c r="F6400" s="45" t="s">
        <v>15775</v>
      </c>
      <c r="G6400" s="45" t="s">
        <v>15661</v>
      </c>
      <c r="H6400" s="546">
        <v>514.76</v>
      </c>
      <c r="I6400" s="47">
        <v>45224</v>
      </c>
      <c r="J6400" s="73" t="s">
        <v>15766</v>
      </c>
      <c r="K6400" s="58"/>
      <c r="L6400" s="99"/>
      <c r="M6400" s="70"/>
      <c r="N6400" s="97"/>
      <c r="O6400" s="58" t="s">
        <v>15051</v>
      </c>
      <c r="P6400" s="58" t="s">
        <v>44</v>
      </c>
      <c r="Q6400" s="58" t="s">
        <v>97</v>
      </c>
      <c r="R6400" s="58" t="s">
        <v>272</v>
      </c>
    </row>
    <row r="6401" spans="1:18" ht="69" customHeight="1">
      <c r="A6401" s="168"/>
      <c r="B6401" s="62">
        <f t="shared" si="19"/>
        <v>113</v>
      </c>
      <c r="C6401" s="178" t="s">
        <v>10937</v>
      </c>
      <c r="D6401" s="174" t="s">
        <v>5391</v>
      </c>
      <c r="E6401" s="58" t="s">
        <v>266</v>
      </c>
      <c r="F6401" s="45" t="s">
        <v>15776</v>
      </c>
      <c r="G6401" s="45" t="s">
        <v>15661</v>
      </c>
      <c r="H6401" s="546">
        <v>514.76</v>
      </c>
      <c r="I6401" s="47">
        <v>45224</v>
      </c>
      <c r="J6401" s="73" t="s">
        <v>15766</v>
      </c>
      <c r="K6401" s="58"/>
      <c r="L6401" s="99"/>
      <c r="M6401" s="70"/>
      <c r="N6401" s="97"/>
      <c r="O6401" s="58" t="s">
        <v>15051</v>
      </c>
      <c r="P6401" s="58" t="s">
        <v>44</v>
      </c>
      <c r="Q6401" s="58" t="s">
        <v>104</v>
      </c>
      <c r="R6401" s="58" t="s">
        <v>272</v>
      </c>
    </row>
    <row r="6402" spans="1:18" ht="69" customHeight="1">
      <c r="A6402" s="168"/>
      <c r="B6402" s="62">
        <f t="shared" si="19"/>
        <v>114</v>
      </c>
      <c r="C6402" s="178" t="s">
        <v>8797</v>
      </c>
      <c r="D6402" s="174" t="s">
        <v>1929</v>
      </c>
      <c r="E6402" s="58" t="s">
        <v>266</v>
      </c>
      <c r="F6402" s="45" t="s">
        <v>15777</v>
      </c>
      <c r="G6402" s="45" t="s">
        <v>15661</v>
      </c>
      <c r="H6402" s="546">
        <v>514.76</v>
      </c>
      <c r="I6402" s="47">
        <v>45224</v>
      </c>
      <c r="J6402" s="73" t="s">
        <v>15766</v>
      </c>
      <c r="K6402" s="58"/>
      <c r="L6402" s="99"/>
      <c r="M6402" s="70"/>
      <c r="N6402" s="97"/>
      <c r="O6402" s="58" t="s">
        <v>15051</v>
      </c>
      <c r="P6402" s="58" t="s">
        <v>44</v>
      </c>
      <c r="Q6402" s="58" t="s">
        <v>110</v>
      </c>
      <c r="R6402" s="58" t="s">
        <v>272</v>
      </c>
    </row>
    <row r="6403" spans="1:18" ht="69" customHeight="1">
      <c r="A6403" s="168"/>
      <c r="B6403" s="62">
        <f t="shared" si="19"/>
        <v>115</v>
      </c>
      <c r="C6403" s="59" t="s">
        <v>14828</v>
      </c>
      <c r="D6403" s="545" t="s">
        <v>15778</v>
      </c>
      <c r="E6403" s="85" t="s">
        <v>266</v>
      </c>
      <c r="F6403" s="58" t="s">
        <v>15779</v>
      </c>
      <c r="G6403" s="58" t="s">
        <v>15661</v>
      </c>
      <c r="H6403" s="546">
        <v>514.76</v>
      </c>
      <c r="I6403" s="66">
        <v>45224</v>
      </c>
      <c r="J6403" s="65" t="s">
        <v>15766</v>
      </c>
      <c r="K6403" s="58"/>
      <c r="L6403" s="99"/>
      <c r="M6403" s="70"/>
      <c r="N6403" s="97"/>
      <c r="O6403" s="58" t="s">
        <v>15051</v>
      </c>
      <c r="P6403" s="58" t="s">
        <v>44</v>
      </c>
      <c r="Q6403" s="58" t="s">
        <v>68</v>
      </c>
      <c r="R6403" s="58" t="s">
        <v>272</v>
      </c>
    </row>
    <row r="6404" spans="1:18" ht="69" customHeight="1">
      <c r="A6404" s="168"/>
      <c r="B6404" s="62">
        <f t="shared" si="19"/>
        <v>116</v>
      </c>
      <c r="C6404" s="72" t="s">
        <v>3906</v>
      </c>
      <c r="D6404" s="174" t="s">
        <v>15780</v>
      </c>
      <c r="E6404" s="85" t="s">
        <v>266</v>
      </c>
      <c r="F6404" s="58" t="s">
        <v>15781</v>
      </c>
      <c r="G6404" s="58" t="s">
        <v>15661</v>
      </c>
      <c r="H6404" s="546">
        <v>514.76</v>
      </c>
      <c r="I6404" s="66">
        <v>45224</v>
      </c>
      <c r="J6404" s="65" t="s">
        <v>15766</v>
      </c>
      <c r="K6404" s="58"/>
      <c r="L6404" s="99"/>
      <c r="M6404" s="70"/>
      <c r="N6404" s="97"/>
      <c r="O6404" s="58" t="s">
        <v>15051</v>
      </c>
      <c r="P6404" s="58" t="s">
        <v>44</v>
      </c>
      <c r="Q6404" s="58" t="s">
        <v>70</v>
      </c>
      <c r="R6404" s="58" t="s">
        <v>272</v>
      </c>
    </row>
    <row r="6405" spans="1:18" ht="69" customHeight="1">
      <c r="A6405" s="168"/>
      <c r="B6405" s="62">
        <f t="shared" si="19"/>
        <v>117</v>
      </c>
      <c r="C6405" s="69" t="s">
        <v>6062</v>
      </c>
      <c r="D6405" s="174" t="s">
        <v>15782</v>
      </c>
      <c r="E6405" s="85" t="s">
        <v>266</v>
      </c>
      <c r="F6405" s="58" t="s">
        <v>15783</v>
      </c>
      <c r="G6405" s="58" t="s">
        <v>15661</v>
      </c>
      <c r="H6405" s="546">
        <v>514.76</v>
      </c>
      <c r="I6405" s="66">
        <v>45224</v>
      </c>
      <c r="J6405" s="65" t="s">
        <v>15766</v>
      </c>
      <c r="K6405" s="58"/>
      <c r="L6405" s="99"/>
      <c r="M6405" s="70"/>
      <c r="N6405" s="97"/>
      <c r="O6405" s="58" t="s">
        <v>15051</v>
      </c>
      <c r="P6405" s="58" t="s">
        <v>44</v>
      </c>
      <c r="Q6405" s="58" t="s">
        <v>72</v>
      </c>
      <c r="R6405" s="58" t="s">
        <v>272</v>
      </c>
    </row>
    <row r="6406" spans="1:18" ht="69" customHeight="1">
      <c r="A6406" s="168"/>
      <c r="B6406" s="62">
        <f t="shared" si="19"/>
        <v>118</v>
      </c>
      <c r="C6406" s="58" t="s">
        <v>6888</v>
      </c>
      <c r="D6406" s="174" t="s">
        <v>15784</v>
      </c>
      <c r="E6406" s="85" t="s">
        <v>266</v>
      </c>
      <c r="F6406" s="58" t="s">
        <v>15785</v>
      </c>
      <c r="G6406" s="58" t="s">
        <v>15661</v>
      </c>
      <c r="H6406" s="546">
        <v>514.76</v>
      </c>
      <c r="I6406" s="66">
        <v>45224</v>
      </c>
      <c r="J6406" s="65" t="s">
        <v>15766</v>
      </c>
      <c r="K6406" s="58"/>
      <c r="L6406" s="99"/>
      <c r="M6406" s="70"/>
      <c r="N6406" s="97"/>
      <c r="O6406" s="58" t="s">
        <v>15051</v>
      </c>
      <c r="P6406" s="58" t="s">
        <v>44</v>
      </c>
      <c r="Q6406" s="58" t="s">
        <v>84</v>
      </c>
      <c r="R6406" s="58" t="s">
        <v>272</v>
      </c>
    </row>
    <row r="6407" spans="1:18" ht="69" customHeight="1">
      <c r="A6407" s="168"/>
      <c r="B6407" s="62">
        <f t="shared" si="19"/>
        <v>119</v>
      </c>
      <c r="C6407" s="59" t="s">
        <v>5558</v>
      </c>
      <c r="D6407" s="174" t="s">
        <v>15786</v>
      </c>
      <c r="E6407" s="85" t="s">
        <v>266</v>
      </c>
      <c r="F6407" s="58" t="s">
        <v>15787</v>
      </c>
      <c r="G6407" s="58" t="s">
        <v>15661</v>
      </c>
      <c r="H6407" s="546">
        <v>514.76</v>
      </c>
      <c r="I6407" s="66">
        <v>45224</v>
      </c>
      <c r="J6407" s="65" t="s">
        <v>15766</v>
      </c>
      <c r="K6407" s="58"/>
      <c r="L6407" s="99"/>
      <c r="M6407" s="70"/>
      <c r="N6407" s="97"/>
      <c r="O6407" s="58" t="s">
        <v>15051</v>
      </c>
      <c r="P6407" s="58" t="s">
        <v>44</v>
      </c>
      <c r="Q6407" s="58" t="s">
        <v>64</v>
      </c>
      <c r="R6407" s="58" t="s">
        <v>272</v>
      </c>
    </row>
    <row r="6408" spans="1:18" ht="69" customHeight="1">
      <c r="A6408" s="168"/>
      <c r="B6408" s="62">
        <f t="shared" si="19"/>
        <v>120</v>
      </c>
      <c r="C6408" s="44" t="s">
        <v>10634</v>
      </c>
      <c r="D6408" s="174" t="s">
        <v>15788</v>
      </c>
      <c r="E6408" s="85" t="s">
        <v>266</v>
      </c>
      <c r="F6408" s="58" t="s">
        <v>15789</v>
      </c>
      <c r="G6408" s="58" t="s">
        <v>15661</v>
      </c>
      <c r="H6408" s="546">
        <v>514.76</v>
      </c>
      <c r="I6408" s="66">
        <v>45224</v>
      </c>
      <c r="J6408" s="65" t="s">
        <v>15766</v>
      </c>
      <c r="K6408" s="58"/>
      <c r="L6408" s="99"/>
      <c r="M6408" s="70"/>
      <c r="N6408" s="97"/>
      <c r="O6408" s="58" t="s">
        <v>15051</v>
      </c>
      <c r="P6408" s="58" t="s">
        <v>44</v>
      </c>
      <c r="Q6408" s="58" t="s">
        <v>93</v>
      </c>
      <c r="R6408" s="58" t="s">
        <v>272</v>
      </c>
    </row>
    <row r="6409" spans="1:18" ht="69" customHeight="1">
      <c r="A6409" s="168"/>
      <c r="B6409" s="62">
        <f t="shared" si="19"/>
        <v>121</v>
      </c>
      <c r="C6409" s="44" t="s">
        <v>10639</v>
      </c>
      <c r="D6409" s="174" t="s">
        <v>15790</v>
      </c>
      <c r="E6409" s="85" t="s">
        <v>266</v>
      </c>
      <c r="F6409" s="58" t="s">
        <v>15791</v>
      </c>
      <c r="G6409" s="58" t="s">
        <v>15661</v>
      </c>
      <c r="H6409" s="546">
        <v>514.76</v>
      </c>
      <c r="I6409" s="66">
        <v>45224</v>
      </c>
      <c r="J6409" s="65" t="s">
        <v>15766</v>
      </c>
      <c r="K6409" s="58"/>
      <c r="L6409" s="99"/>
      <c r="M6409" s="70"/>
      <c r="N6409" s="97"/>
      <c r="O6409" s="58" t="s">
        <v>15051</v>
      </c>
      <c r="P6409" s="58" t="s">
        <v>44</v>
      </c>
      <c r="Q6409" s="58" t="s">
        <v>95</v>
      </c>
      <c r="R6409" s="58" t="s">
        <v>272</v>
      </c>
    </row>
    <row r="6410" spans="1:18" ht="69" customHeight="1">
      <c r="A6410" s="168"/>
      <c r="B6410" s="62">
        <f t="shared" si="19"/>
        <v>122</v>
      </c>
      <c r="C6410" s="45" t="s">
        <v>458</v>
      </c>
      <c r="D6410" s="174" t="s">
        <v>11144</v>
      </c>
      <c r="E6410" s="58" t="s">
        <v>11480</v>
      </c>
      <c r="F6410" s="58" t="s">
        <v>15792</v>
      </c>
      <c r="G6410" s="58" t="s">
        <v>15793</v>
      </c>
      <c r="H6410" s="546">
        <v>195000</v>
      </c>
      <c r="I6410" s="66">
        <v>45224</v>
      </c>
      <c r="J6410" s="65" t="s">
        <v>15794</v>
      </c>
      <c r="K6410" s="58"/>
      <c r="L6410" s="99"/>
      <c r="M6410" s="70"/>
      <c r="N6410" s="97"/>
      <c r="O6410" s="58" t="s">
        <v>141</v>
      </c>
      <c r="P6410" s="58" t="s">
        <v>63</v>
      </c>
      <c r="Q6410" s="58" t="s">
        <v>105</v>
      </c>
      <c r="R6410" s="58" t="s">
        <v>272</v>
      </c>
    </row>
    <row r="6411" spans="1:18" ht="69" customHeight="1">
      <c r="A6411" s="168"/>
      <c r="B6411" s="62">
        <f t="shared" si="19"/>
        <v>123</v>
      </c>
      <c r="C6411" s="178" t="s">
        <v>657</v>
      </c>
      <c r="D6411" s="174"/>
      <c r="E6411" s="58" t="s">
        <v>283</v>
      </c>
      <c r="F6411" s="58" t="s">
        <v>15795</v>
      </c>
      <c r="G6411" s="58" t="s">
        <v>5838</v>
      </c>
      <c r="H6411" s="546">
        <v>267443.52</v>
      </c>
      <c r="I6411" s="66">
        <v>44554</v>
      </c>
      <c r="J6411" s="73" t="s">
        <v>7821</v>
      </c>
      <c r="K6411" s="58" t="s">
        <v>7822</v>
      </c>
      <c r="L6411" s="99"/>
      <c r="M6411" s="70"/>
      <c r="N6411" s="97"/>
      <c r="O6411" s="58" t="s">
        <v>141</v>
      </c>
      <c r="P6411" s="58" t="s">
        <v>17</v>
      </c>
      <c r="Q6411" s="58" t="s">
        <v>120</v>
      </c>
      <c r="R6411" s="58" t="s">
        <v>272</v>
      </c>
    </row>
    <row r="6412" spans="1:18" ht="69" customHeight="1">
      <c r="A6412" s="168"/>
      <c r="B6412" s="48">
        <f t="shared" si="19"/>
        <v>124</v>
      </c>
      <c r="C6412" s="45" t="s">
        <v>458</v>
      </c>
      <c r="D6412" s="84" t="s">
        <v>15796</v>
      </c>
      <c r="E6412" s="44" t="s">
        <v>7649</v>
      </c>
      <c r="F6412" s="45" t="s">
        <v>15797</v>
      </c>
      <c r="G6412" s="45" t="s">
        <v>15798</v>
      </c>
      <c r="H6412" s="546">
        <v>28870.240000000002</v>
      </c>
      <c r="I6412" s="47">
        <v>45224</v>
      </c>
      <c r="J6412" s="73" t="s">
        <v>15799</v>
      </c>
      <c r="K6412" s="45"/>
      <c r="L6412" s="99"/>
      <c r="M6412" s="70"/>
      <c r="N6412" s="97"/>
      <c r="O6412" s="58" t="s">
        <v>147</v>
      </c>
      <c r="P6412" s="58" t="s">
        <v>22</v>
      </c>
      <c r="Q6412" s="58" t="s">
        <v>113</v>
      </c>
      <c r="R6412" s="58" t="s">
        <v>272</v>
      </c>
    </row>
    <row r="6413" spans="1:18" ht="69" customHeight="1">
      <c r="A6413" s="168"/>
      <c r="B6413" s="48">
        <f t="shared" si="19"/>
        <v>125</v>
      </c>
      <c r="C6413" s="45" t="s">
        <v>458</v>
      </c>
      <c r="D6413" s="84" t="s">
        <v>11207</v>
      </c>
      <c r="E6413" s="44" t="s">
        <v>7649</v>
      </c>
      <c r="F6413" s="45" t="s">
        <v>15800</v>
      </c>
      <c r="G6413" s="45" t="s">
        <v>15801</v>
      </c>
      <c r="H6413" s="546">
        <v>15545.52</v>
      </c>
      <c r="I6413" s="47">
        <v>45224</v>
      </c>
      <c r="J6413" s="73" t="s">
        <v>15799</v>
      </c>
      <c r="K6413" s="45"/>
      <c r="L6413" s="99"/>
      <c r="M6413" s="70"/>
      <c r="N6413" s="97"/>
      <c r="O6413" s="58" t="s">
        <v>147</v>
      </c>
      <c r="P6413" s="58" t="s">
        <v>22</v>
      </c>
      <c r="Q6413" s="58" t="s">
        <v>113</v>
      </c>
      <c r="R6413" s="58" t="s">
        <v>272</v>
      </c>
    </row>
    <row r="6414" spans="1:18" ht="69" customHeight="1">
      <c r="A6414" s="168"/>
      <c r="B6414" s="48">
        <f t="shared" si="19"/>
        <v>126</v>
      </c>
      <c r="C6414" s="45" t="s">
        <v>458</v>
      </c>
      <c r="D6414" s="84" t="s">
        <v>15802</v>
      </c>
      <c r="E6414" s="44" t="s">
        <v>7649</v>
      </c>
      <c r="F6414" s="45" t="s">
        <v>15803</v>
      </c>
      <c r="G6414" s="45" t="s">
        <v>15804</v>
      </c>
      <c r="H6414" s="546">
        <v>111038.12</v>
      </c>
      <c r="I6414" s="47">
        <v>45224</v>
      </c>
      <c r="J6414" s="73" t="s">
        <v>15799</v>
      </c>
      <c r="K6414" s="45"/>
      <c r="L6414" s="99"/>
      <c r="M6414" s="70"/>
      <c r="N6414" s="97"/>
      <c r="O6414" s="58" t="s">
        <v>147</v>
      </c>
      <c r="P6414" s="58" t="s">
        <v>22</v>
      </c>
      <c r="Q6414" s="58" t="s">
        <v>113</v>
      </c>
      <c r="R6414" s="58" t="s">
        <v>272</v>
      </c>
    </row>
    <row r="6415" spans="1:18" s="98" customFormat="1" ht="69" customHeight="1">
      <c r="A6415" s="169"/>
      <c r="B6415" s="48">
        <f t="shared" si="19"/>
        <v>127</v>
      </c>
      <c r="C6415" s="45" t="s">
        <v>458</v>
      </c>
      <c r="D6415" s="84" t="s">
        <v>15805</v>
      </c>
      <c r="E6415" s="44" t="s">
        <v>7649</v>
      </c>
      <c r="F6415" s="45" t="s">
        <v>15806</v>
      </c>
      <c r="G6415" s="45" t="s">
        <v>15807</v>
      </c>
      <c r="H6415" s="546">
        <v>59789.75</v>
      </c>
      <c r="I6415" s="47">
        <v>45224</v>
      </c>
      <c r="J6415" s="73" t="s">
        <v>15799</v>
      </c>
      <c r="K6415" s="45"/>
      <c r="M6415" s="385"/>
      <c r="N6415" s="75"/>
      <c r="O6415" s="45" t="s">
        <v>147</v>
      </c>
      <c r="P6415" s="45" t="s">
        <v>22</v>
      </c>
      <c r="Q6415" s="45" t="s">
        <v>113</v>
      </c>
      <c r="R6415" s="45" t="s">
        <v>272</v>
      </c>
    </row>
    <row r="6416" spans="1:18" s="98" customFormat="1" ht="69" customHeight="1">
      <c r="A6416" s="169"/>
      <c r="B6416" s="48">
        <f t="shared" si="19"/>
        <v>128</v>
      </c>
      <c r="C6416" s="59" t="s">
        <v>1853</v>
      </c>
      <c r="D6416" s="84" t="s">
        <v>10814</v>
      </c>
      <c r="E6416" s="45" t="s">
        <v>15808</v>
      </c>
      <c r="F6416" s="45" t="s">
        <v>15809</v>
      </c>
      <c r="G6416" s="45" t="s">
        <v>15810</v>
      </c>
      <c r="H6416" s="546">
        <v>30000</v>
      </c>
      <c r="I6416" s="47">
        <v>45224</v>
      </c>
      <c r="J6416" s="73" t="s">
        <v>15811</v>
      </c>
      <c r="K6416" s="45"/>
      <c r="M6416" s="385"/>
      <c r="N6416" s="75"/>
      <c r="O6416" s="45" t="s">
        <v>14459</v>
      </c>
      <c r="P6416" s="45" t="s">
        <v>22</v>
      </c>
      <c r="Q6416" s="45" t="s">
        <v>29</v>
      </c>
      <c r="R6416" s="45" t="s">
        <v>265</v>
      </c>
    </row>
    <row r="6417" spans="1:18" s="98" customFormat="1" ht="69" customHeight="1">
      <c r="A6417" s="169"/>
      <c r="B6417" s="52">
        <f t="shared" ref="B6417:B6480" si="20">B6416+1</f>
        <v>129</v>
      </c>
      <c r="C6417" s="191" t="s">
        <v>11050</v>
      </c>
      <c r="D6417" s="251" t="s">
        <v>15422</v>
      </c>
      <c r="E6417" s="53" t="s">
        <v>266</v>
      </c>
      <c r="F6417" s="46" t="s">
        <v>15812</v>
      </c>
      <c r="G6417" s="46" t="s">
        <v>15813</v>
      </c>
      <c r="H6417" s="534">
        <v>2911.92</v>
      </c>
      <c r="I6417" s="56">
        <v>45224</v>
      </c>
      <c r="J6417" s="199" t="s">
        <v>15814</v>
      </c>
      <c r="K6417" s="46" t="s">
        <v>167</v>
      </c>
      <c r="M6417" s="385"/>
      <c r="N6417" s="75"/>
      <c r="O6417" s="46" t="s">
        <v>13808</v>
      </c>
      <c r="P6417" s="46" t="s">
        <v>65</v>
      </c>
      <c r="Q6417" s="46" t="s">
        <v>35</v>
      </c>
      <c r="R6417" s="46" t="s">
        <v>272</v>
      </c>
    </row>
    <row r="6418" spans="1:18" s="98" customFormat="1" ht="69" customHeight="1">
      <c r="A6418" s="169"/>
      <c r="B6418" s="52">
        <f t="shared" si="20"/>
        <v>130</v>
      </c>
      <c r="C6418" s="191" t="s">
        <v>11052</v>
      </c>
      <c r="D6418" s="251" t="s">
        <v>10972</v>
      </c>
      <c r="E6418" s="53" t="s">
        <v>266</v>
      </c>
      <c r="F6418" s="46" t="s">
        <v>15815</v>
      </c>
      <c r="G6418" s="46" t="s">
        <v>15813</v>
      </c>
      <c r="H6418" s="534">
        <v>2911.92</v>
      </c>
      <c r="I6418" s="56">
        <v>45224</v>
      </c>
      <c r="J6418" s="199" t="s">
        <v>15814</v>
      </c>
      <c r="K6418" s="46" t="s">
        <v>167</v>
      </c>
      <c r="M6418" s="385"/>
      <c r="N6418" s="75"/>
      <c r="O6418" s="46" t="s">
        <v>13808</v>
      </c>
      <c r="P6418" s="46" t="s">
        <v>65</v>
      </c>
      <c r="Q6418" s="46" t="s">
        <v>37</v>
      </c>
      <c r="R6418" s="46" t="s">
        <v>272</v>
      </c>
    </row>
    <row r="6419" spans="1:18" s="98" customFormat="1" ht="69" customHeight="1">
      <c r="A6419" s="169"/>
      <c r="B6419" s="259">
        <f t="shared" si="20"/>
        <v>131</v>
      </c>
      <c r="C6419" s="302" t="s">
        <v>11464</v>
      </c>
      <c r="D6419" s="303" t="s">
        <v>7133</v>
      </c>
      <c r="E6419" s="290" t="s">
        <v>585</v>
      </c>
      <c r="F6419" s="160" t="s">
        <v>15816</v>
      </c>
      <c r="G6419" s="160" t="s">
        <v>15817</v>
      </c>
      <c r="H6419" s="300">
        <v>31011.61</v>
      </c>
      <c r="I6419" s="209">
        <v>45224</v>
      </c>
      <c r="J6419" s="316" t="s">
        <v>15818</v>
      </c>
      <c r="K6419" s="160" t="s">
        <v>67</v>
      </c>
      <c r="M6419" s="385"/>
      <c r="N6419" s="75"/>
      <c r="O6419" s="160"/>
      <c r="P6419" s="160" t="s">
        <v>67</v>
      </c>
      <c r="Q6419" s="160" t="s">
        <v>96</v>
      </c>
      <c r="R6419" s="160" t="s">
        <v>272</v>
      </c>
    </row>
    <row r="6420" spans="1:18" s="98" customFormat="1" ht="69" customHeight="1">
      <c r="A6420" s="169"/>
      <c r="B6420" s="261">
        <f t="shared" si="20"/>
        <v>132</v>
      </c>
      <c r="C6420" s="256" t="s">
        <v>1853</v>
      </c>
      <c r="D6420" s="255" t="s">
        <v>10854</v>
      </c>
      <c r="E6420" s="118" t="s">
        <v>15808</v>
      </c>
      <c r="F6420" s="118" t="s">
        <v>15819</v>
      </c>
      <c r="G6420" s="118" t="s">
        <v>15820</v>
      </c>
      <c r="H6420" s="300">
        <v>0</v>
      </c>
      <c r="I6420" s="262">
        <v>45224</v>
      </c>
      <c r="J6420" s="258" t="s">
        <v>15821</v>
      </c>
      <c r="K6420" s="118" t="s">
        <v>15822</v>
      </c>
      <c r="M6420" s="390"/>
      <c r="N6420" s="109"/>
      <c r="O6420" s="118" t="s">
        <v>441</v>
      </c>
      <c r="P6420" s="160" t="s">
        <v>67</v>
      </c>
      <c r="Q6420" s="118" t="s">
        <v>29</v>
      </c>
      <c r="R6420" s="118" t="s">
        <v>272</v>
      </c>
    </row>
    <row r="6421" spans="1:18" s="98" customFormat="1" ht="69" customHeight="1">
      <c r="A6421" s="169"/>
      <c r="B6421" s="48">
        <f t="shared" si="20"/>
        <v>133</v>
      </c>
      <c r="C6421" s="44" t="s">
        <v>14414</v>
      </c>
      <c r="D6421" s="84" t="s">
        <v>10849</v>
      </c>
      <c r="E6421" s="45" t="s">
        <v>15808</v>
      </c>
      <c r="F6421" s="45" t="s">
        <v>15823</v>
      </c>
      <c r="G6421" s="45" t="s">
        <v>15824</v>
      </c>
      <c r="H6421" s="546">
        <v>30000</v>
      </c>
      <c r="I6421" s="47">
        <v>45224</v>
      </c>
      <c r="J6421" s="73" t="s">
        <v>15825</v>
      </c>
      <c r="K6421" s="45"/>
      <c r="M6421" s="385"/>
      <c r="N6421" s="75"/>
      <c r="O6421" s="45" t="s">
        <v>441</v>
      </c>
      <c r="P6421" s="45" t="s">
        <v>22</v>
      </c>
      <c r="Q6421" s="45" t="s">
        <v>33</v>
      </c>
      <c r="R6421" s="45" t="s">
        <v>265</v>
      </c>
    </row>
    <row r="6422" spans="1:18" s="98" customFormat="1" ht="69" customHeight="1">
      <c r="A6422" s="169"/>
      <c r="B6422" s="52">
        <f t="shared" si="20"/>
        <v>134</v>
      </c>
      <c r="C6422" s="51" t="s">
        <v>14414</v>
      </c>
      <c r="D6422" s="251" t="s">
        <v>15568</v>
      </c>
      <c r="E6422" s="46" t="s">
        <v>15808</v>
      </c>
      <c r="F6422" s="46" t="s">
        <v>15826</v>
      </c>
      <c r="G6422" s="46" t="s">
        <v>15827</v>
      </c>
      <c r="H6422" s="534">
        <v>162750</v>
      </c>
      <c r="I6422" s="56">
        <v>45224</v>
      </c>
      <c r="J6422" s="199" t="s">
        <v>15825</v>
      </c>
      <c r="K6422" s="46" t="s">
        <v>65</v>
      </c>
      <c r="M6422" s="385"/>
      <c r="N6422" s="75"/>
      <c r="O6422" s="46" t="s">
        <v>441</v>
      </c>
      <c r="P6422" s="46" t="s">
        <v>65</v>
      </c>
      <c r="Q6422" s="46" t="s">
        <v>33</v>
      </c>
      <c r="R6422" s="46" t="s">
        <v>265</v>
      </c>
    </row>
    <row r="6423" spans="1:18" s="98" customFormat="1" ht="69" customHeight="1">
      <c r="A6423" s="169"/>
      <c r="B6423" s="48">
        <f t="shared" si="20"/>
        <v>135</v>
      </c>
      <c r="C6423" s="59" t="s">
        <v>2182</v>
      </c>
      <c r="D6423" s="84" t="s">
        <v>15828</v>
      </c>
      <c r="E6423" s="45" t="s">
        <v>15808</v>
      </c>
      <c r="F6423" s="45" t="s">
        <v>15829</v>
      </c>
      <c r="G6423" s="45" t="s">
        <v>15830</v>
      </c>
      <c r="H6423" s="546">
        <v>30000</v>
      </c>
      <c r="I6423" s="47">
        <v>45224</v>
      </c>
      <c r="J6423" s="73" t="s">
        <v>15831</v>
      </c>
      <c r="K6423" s="45"/>
      <c r="M6423" s="385"/>
      <c r="N6423" s="75"/>
      <c r="O6423" s="45" t="s">
        <v>441</v>
      </c>
      <c r="P6423" s="45" t="s">
        <v>22</v>
      </c>
      <c r="Q6423" s="45" t="s">
        <v>31</v>
      </c>
      <c r="R6423" s="45" t="s">
        <v>265</v>
      </c>
    </row>
    <row r="6424" spans="1:18" s="98" customFormat="1" ht="69" customHeight="1">
      <c r="A6424" s="169"/>
      <c r="B6424" s="48">
        <f t="shared" si="20"/>
        <v>136</v>
      </c>
      <c r="C6424" s="59" t="s">
        <v>13435</v>
      </c>
      <c r="D6424" s="84" t="s">
        <v>15832</v>
      </c>
      <c r="E6424" s="45" t="s">
        <v>15808</v>
      </c>
      <c r="F6424" s="45" t="s">
        <v>15833</v>
      </c>
      <c r="G6424" s="45" t="s">
        <v>15834</v>
      </c>
      <c r="H6424" s="546">
        <v>39000</v>
      </c>
      <c r="I6424" s="47">
        <v>45224</v>
      </c>
      <c r="J6424" s="73" t="s">
        <v>15835</v>
      </c>
      <c r="K6424" s="45"/>
      <c r="M6424" s="385"/>
      <c r="N6424" s="75"/>
      <c r="O6424" s="45" t="s">
        <v>441</v>
      </c>
      <c r="P6424" s="45" t="s">
        <v>22</v>
      </c>
      <c r="Q6424" s="45" t="s">
        <v>13</v>
      </c>
      <c r="R6424" s="45" t="s">
        <v>265</v>
      </c>
    </row>
    <row r="6425" spans="1:18" s="98" customFormat="1" ht="69" customHeight="1">
      <c r="A6425" s="169"/>
      <c r="B6425" s="48">
        <f t="shared" si="20"/>
        <v>137</v>
      </c>
      <c r="C6425" s="59" t="s">
        <v>2182</v>
      </c>
      <c r="D6425" s="84" t="s">
        <v>15836</v>
      </c>
      <c r="E6425" s="45" t="s">
        <v>15808</v>
      </c>
      <c r="F6425" s="45" t="s">
        <v>15837</v>
      </c>
      <c r="G6425" s="45" t="s">
        <v>15838</v>
      </c>
      <c r="H6425" s="546">
        <v>34050</v>
      </c>
      <c r="I6425" s="47">
        <v>45235</v>
      </c>
      <c r="J6425" s="73" t="s">
        <v>15839</v>
      </c>
      <c r="K6425" s="45"/>
      <c r="M6425" s="385"/>
      <c r="N6425" s="75"/>
      <c r="O6425" s="45" t="s">
        <v>441</v>
      </c>
      <c r="P6425" s="45" t="s">
        <v>22</v>
      </c>
      <c r="Q6425" s="45" t="s">
        <v>31</v>
      </c>
      <c r="R6425" s="45" t="s">
        <v>265</v>
      </c>
    </row>
    <row r="6426" spans="1:18" s="98" customFormat="1" ht="69" customHeight="1">
      <c r="A6426" s="169"/>
      <c r="B6426" s="48">
        <f t="shared" si="20"/>
        <v>138</v>
      </c>
      <c r="C6426" s="59" t="s">
        <v>2182</v>
      </c>
      <c r="D6426" s="84" t="s">
        <v>10883</v>
      </c>
      <c r="E6426" s="45" t="s">
        <v>15808</v>
      </c>
      <c r="F6426" s="45" t="s">
        <v>15840</v>
      </c>
      <c r="G6426" s="45" t="s">
        <v>15841</v>
      </c>
      <c r="H6426" s="546">
        <v>27478.3</v>
      </c>
      <c r="I6426" s="47">
        <v>45224</v>
      </c>
      <c r="J6426" s="73" t="s">
        <v>15842</v>
      </c>
      <c r="K6426" s="45"/>
      <c r="M6426" s="385"/>
      <c r="N6426" s="75"/>
      <c r="O6426" s="45" t="s">
        <v>441</v>
      </c>
      <c r="P6426" s="45" t="s">
        <v>22</v>
      </c>
      <c r="Q6426" s="45" t="s">
        <v>31</v>
      </c>
      <c r="R6426" s="45" t="s">
        <v>265</v>
      </c>
    </row>
    <row r="6427" spans="1:18" s="98" customFormat="1" ht="69" customHeight="1">
      <c r="A6427" s="169"/>
      <c r="B6427" s="48">
        <f t="shared" si="20"/>
        <v>139</v>
      </c>
      <c r="C6427" s="59" t="s">
        <v>11052</v>
      </c>
      <c r="D6427" s="84" t="s">
        <v>15843</v>
      </c>
      <c r="E6427" s="45" t="s">
        <v>15808</v>
      </c>
      <c r="F6427" s="45" t="s">
        <v>15844</v>
      </c>
      <c r="G6427" s="45" t="s">
        <v>15845</v>
      </c>
      <c r="H6427" s="546">
        <v>25000</v>
      </c>
      <c r="I6427" s="47">
        <v>45224</v>
      </c>
      <c r="J6427" s="73" t="s">
        <v>15846</v>
      </c>
      <c r="K6427" s="45"/>
      <c r="M6427" s="385"/>
      <c r="N6427" s="75"/>
      <c r="O6427" s="45" t="s">
        <v>441</v>
      </c>
      <c r="P6427" s="45" t="s">
        <v>22</v>
      </c>
      <c r="Q6427" s="45" t="s">
        <v>37</v>
      </c>
      <c r="R6427" s="45" t="s">
        <v>265</v>
      </c>
    </row>
    <row r="6428" spans="1:18" s="98" customFormat="1" ht="69" customHeight="1">
      <c r="A6428" s="169"/>
      <c r="B6428" s="48">
        <f t="shared" si="20"/>
        <v>140</v>
      </c>
      <c r="C6428" s="59" t="s">
        <v>1853</v>
      </c>
      <c r="D6428" s="84" t="s">
        <v>15456</v>
      </c>
      <c r="E6428" s="45" t="s">
        <v>15808</v>
      </c>
      <c r="F6428" s="45" t="s">
        <v>15847</v>
      </c>
      <c r="G6428" s="45" t="s">
        <v>15845</v>
      </c>
      <c r="H6428" s="546">
        <v>40000</v>
      </c>
      <c r="I6428" s="47">
        <v>45224</v>
      </c>
      <c r="J6428" s="73" t="s">
        <v>15846</v>
      </c>
      <c r="K6428" s="45"/>
      <c r="M6428" s="385"/>
      <c r="N6428" s="75"/>
      <c r="O6428" s="45" t="s">
        <v>441</v>
      </c>
      <c r="P6428" s="45" t="s">
        <v>22</v>
      </c>
      <c r="Q6428" s="45" t="s">
        <v>29</v>
      </c>
      <c r="R6428" s="45" t="s">
        <v>265</v>
      </c>
    </row>
    <row r="6429" spans="1:18" s="98" customFormat="1" ht="69" customHeight="1">
      <c r="A6429" s="169"/>
      <c r="B6429" s="259">
        <f t="shared" si="20"/>
        <v>141</v>
      </c>
      <c r="C6429" s="256" t="s">
        <v>11047</v>
      </c>
      <c r="D6429" s="255" t="s">
        <v>10885</v>
      </c>
      <c r="E6429" s="118" t="s">
        <v>15808</v>
      </c>
      <c r="F6429" s="118" t="s">
        <v>15848</v>
      </c>
      <c r="G6429" s="118" t="s">
        <v>15849</v>
      </c>
      <c r="H6429" s="300">
        <v>30000</v>
      </c>
      <c r="I6429" s="262">
        <v>45224</v>
      </c>
      <c r="J6429" s="258" t="s">
        <v>15850</v>
      </c>
      <c r="K6429" s="160" t="s">
        <v>727</v>
      </c>
      <c r="M6429" s="386"/>
      <c r="N6429" s="223"/>
      <c r="O6429" s="118" t="s">
        <v>441</v>
      </c>
      <c r="P6429" s="118" t="s">
        <v>67</v>
      </c>
      <c r="Q6429" s="118" t="s">
        <v>33</v>
      </c>
      <c r="R6429" s="118" t="s">
        <v>265</v>
      </c>
    </row>
    <row r="6430" spans="1:18" s="98" customFormat="1" ht="69" customHeight="1">
      <c r="A6430" s="169"/>
      <c r="B6430" s="48">
        <f t="shared" si="20"/>
        <v>142</v>
      </c>
      <c r="C6430" s="59" t="s">
        <v>458</v>
      </c>
      <c r="D6430" s="84" t="s">
        <v>11288</v>
      </c>
      <c r="E6430" s="45" t="s">
        <v>15851</v>
      </c>
      <c r="F6430" s="45" t="s">
        <v>15852</v>
      </c>
      <c r="G6430" s="45" t="s">
        <v>15853</v>
      </c>
      <c r="H6430" s="546">
        <v>45904.82</v>
      </c>
      <c r="I6430" s="47">
        <v>45224</v>
      </c>
      <c r="J6430" s="73" t="s">
        <v>15854</v>
      </c>
      <c r="K6430" s="45"/>
      <c r="M6430" s="385"/>
      <c r="N6430" s="75"/>
      <c r="O6430" s="45" t="s">
        <v>147</v>
      </c>
      <c r="P6430" s="45" t="s">
        <v>22</v>
      </c>
      <c r="Q6430" s="45" t="s">
        <v>112</v>
      </c>
      <c r="R6430" s="45" t="s">
        <v>265</v>
      </c>
    </row>
    <row r="6431" spans="1:18" s="98" customFormat="1" ht="69" customHeight="1">
      <c r="A6431" s="169"/>
      <c r="B6431" s="48">
        <f t="shared" si="20"/>
        <v>143</v>
      </c>
      <c r="C6431" s="59" t="s">
        <v>458</v>
      </c>
      <c r="D6431" s="84" t="s">
        <v>11302</v>
      </c>
      <c r="E6431" s="178" t="s">
        <v>7890</v>
      </c>
      <c r="F6431" s="45" t="s">
        <v>15855</v>
      </c>
      <c r="G6431" s="45" t="s">
        <v>15853</v>
      </c>
      <c r="H6431" s="546">
        <v>50328.82</v>
      </c>
      <c r="I6431" s="47">
        <v>45224</v>
      </c>
      <c r="J6431" s="73" t="s">
        <v>15854</v>
      </c>
      <c r="K6431" s="45"/>
      <c r="M6431" s="385"/>
      <c r="N6431" s="75"/>
      <c r="O6431" s="45" t="s">
        <v>147</v>
      </c>
      <c r="P6431" s="45" t="s">
        <v>22</v>
      </c>
      <c r="Q6431" s="45" t="s">
        <v>123</v>
      </c>
      <c r="R6431" s="45" t="s">
        <v>265</v>
      </c>
    </row>
    <row r="6432" spans="1:18" s="98" customFormat="1" ht="69" customHeight="1">
      <c r="A6432" s="169"/>
      <c r="B6432" s="48">
        <f t="shared" si="20"/>
        <v>144</v>
      </c>
      <c r="C6432" s="59" t="s">
        <v>2182</v>
      </c>
      <c r="D6432" s="84" t="s">
        <v>15463</v>
      </c>
      <c r="E6432" s="45" t="s">
        <v>4173</v>
      </c>
      <c r="F6432" s="45" t="s">
        <v>15856</v>
      </c>
      <c r="G6432" s="45" t="s">
        <v>14807</v>
      </c>
      <c r="H6432" s="546">
        <v>27700</v>
      </c>
      <c r="I6432" s="47">
        <v>45224</v>
      </c>
      <c r="J6432" s="73" t="s">
        <v>15857</v>
      </c>
      <c r="K6432" s="45"/>
      <c r="M6432" s="385"/>
      <c r="N6432" s="75"/>
      <c r="O6432" s="45" t="s">
        <v>441</v>
      </c>
      <c r="P6432" s="45" t="s">
        <v>22</v>
      </c>
      <c r="Q6432" s="45" t="s">
        <v>31</v>
      </c>
      <c r="R6432" s="45" t="s">
        <v>265</v>
      </c>
    </row>
    <row r="6433" spans="1:18" s="98" customFormat="1" ht="69" customHeight="1">
      <c r="A6433" s="169"/>
      <c r="B6433" s="48">
        <f t="shared" si="20"/>
        <v>145</v>
      </c>
      <c r="C6433" s="59" t="s">
        <v>2182</v>
      </c>
      <c r="D6433" s="84" t="s">
        <v>15465</v>
      </c>
      <c r="E6433" s="45" t="s">
        <v>4173</v>
      </c>
      <c r="F6433" s="45" t="s">
        <v>15858</v>
      </c>
      <c r="G6433" s="45" t="s">
        <v>15859</v>
      </c>
      <c r="H6433" s="546">
        <v>86941.32</v>
      </c>
      <c r="I6433" s="47">
        <v>45224</v>
      </c>
      <c r="J6433" s="73" t="s">
        <v>15860</v>
      </c>
      <c r="K6433" s="45"/>
      <c r="M6433" s="385"/>
      <c r="N6433" s="75"/>
      <c r="O6433" s="45" t="s">
        <v>441</v>
      </c>
      <c r="P6433" s="45" t="s">
        <v>22</v>
      </c>
      <c r="Q6433" s="45" t="s">
        <v>31</v>
      </c>
      <c r="R6433" s="45" t="s">
        <v>265</v>
      </c>
    </row>
    <row r="6434" spans="1:18" s="98" customFormat="1" ht="69" customHeight="1">
      <c r="A6434" s="169"/>
      <c r="B6434" s="62">
        <f t="shared" si="20"/>
        <v>146</v>
      </c>
      <c r="C6434" s="178" t="s">
        <v>11047</v>
      </c>
      <c r="D6434" s="174" t="s">
        <v>10928</v>
      </c>
      <c r="E6434" s="58" t="s">
        <v>4173</v>
      </c>
      <c r="F6434" s="58" t="s">
        <v>15861</v>
      </c>
      <c r="G6434" s="58" t="s">
        <v>15859</v>
      </c>
      <c r="H6434" s="546">
        <v>86941.32</v>
      </c>
      <c r="I6434" s="66">
        <v>45224</v>
      </c>
      <c r="J6434" s="65" t="s">
        <v>15862</v>
      </c>
      <c r="K6434" s="58"/>
      <c r="L6434" s="99"/>
      <c r="M6434" s="385"/>
      <c r="N6434" s="75"/>
      <c r="O6434" s="58" t="s">
        <v>441</v>
      </c>
      <c r="P6434" s="58" t="s">
        <v>22</v>
      </c>
      <c r="Q6434" s="58" t="s">
        <v>33</v>
      </c>
      <c r="R6434" s="58" t="s">
        <v>265</v>
      </c>
    </row>
    <row r="6435" spans="1:18" s="98" customFormat="1" ht="69" customHeight="1">
      <c r="A6435" s="169"/>
      <c r="B6435" s="48">
        <f t="shared" si="20"/>
        <v>147</v>
      </c>
      <c r="C6435" s="59" t="s">
        <v>3667</v>
      </c>
      <c r="D6435" s="84" t="s">
        <v>15863</v>
      </c>
      <c r="E6435" s="55" t="s">
        <v>11417</v>
      </c>
      <c r="F6435" s="45" t="s">
        <v>15864</v>
      </c>
      <c r="G6435" s="45" t="s">
        <v>15865</v>
      </c>
      <c r="H6435" s="546">
        <v>46470.46</v>
      </c>
      <c r="I6435" s="47">
        <v>45224</v>
      </c>
      <c r="J6435" s="73" t="s">
        <v>15866</v>
      </c>
      <c r="K6435" s="45"/>
      <c r="M6435" s="385"/>
      <c r="N6435" s="75"/>
      <c r="O6435" s="45" t="s">
        <v>4116</v>
      </c>
      <c r="P6435" s="45" t="s">
        <v>22</v>
      </c>
      <c r="Q6435" s="45" t="s">
        <v>74</v>
      </c>
      <c r="R6435" s="45" t="s">
        <v>265</v>
      </c>
    </row>
    <row r="6436" spans="1:18" s="98" customFormat="1" ht="69" customHeight="1">
      <c r="A6436" s="169"/>
      <c r="B6436" s="48">
        <f t="shared" si="20"/>
        <v>148</v>
      </c>
      <c r="C6436" s="59" t="s">
        <v>3667</v>
      </c>
      <c r="D6436" s="84" t="s">
        <v>15867</v>
      </c>
      <c r="E6436" s="55" t="s">
        <v>11417</v>
      </c>
      <c r="F6436" s="45" t="s">
        <v>15868</v>
      </c>
      <c r="G6436" s="45" t="s">
        <v>15865</v>
      </c>
      <c r="H6436" s="546">
        <v>49540.22</v>
      </c>
      <c r="I6436" s="47">
        <v>45224</v>
      </c>
      <c r="J6436" s="73" t="s">
        <v>15866</v>
      </c>
      <c r="K6436" s="45"/>
      <c r="M6436" s="385"/>
      <c r="N6436" s="75"/>
      <c r="O6436" s="45" t="s">
        <v>147</v>
      </c>
      <c r="P6436" s="45" t="s">
        <v>22</v>
      </c>
      <c r="Q6436" s="45" t="s">
        <v>78</v>
      </c>
      <c r="R6436" s="45" t="s">
        <v>265</v>
      </c>
    </row>
    <row r="6437" spans="1:18" s="98" customFormat="1" ht="69" customHeight="1">
      <c r="A6437" s="169"/>
      <c r="B6437" s="48">
        <f t="shared" si="20"/>
        <v>149</v>
      </c>
      <c r="C6437" s="44" t="s">
        <v>458</v>
      </c>
      <c r="D6437" s="84" t="s">
        <v>15869</v>
      </c>
      <c r="E6437" s="55" t="s">
        <v>11417</v>
      </c>
      <c r="F6437" s="45" t="s">
        <v>15870</v>
      </c>
      <c r="G6437" s="45" t="s">
        <v>15865</v>
      </c>
      <c r="H6437" s="546">
        <v>44424.78</v>
      </c>
      <c r="I6437" s="47">
        <v>45224</v>
      </c>
      <c r="J6437" s="73" t="s">
        <v>15866</v>
      </c>
      <c r="K6437" s="45"/>
      <c r="M6437" s="385"/>
      <c r="N6437" s="75"/>
      <c r="O6437" s="45" t="s">
        <v>147</v>
      </c>
      <c r="P6437" s="45" t="s">
        <v>22</v>
      </c>
      <c r="Q6437" s="45" t="s">
        <v>100</v>
      </c>
      <c r="R6437" s="45" t="s">
        <v>265</v>
      </c>
    </row>
    <row r="6438" spans="1:18" s="98" customFormat="1" ht="69" customHeight="1">
      <c r="A6438" s="169"/>
      <c r="B6438" s="48">
        <f t="shared" si="20"/>
        <v>150</v>
      </c>
      <c r="C6438" s="44" t="s">
        <v>657</v>
      </c>
      <c r="D6438" s="84" t="s">
        <v>1248</v>
      </c>
      <c r="E6438" s="55" t="s">
        <v>11417</v>
      </c>
      <c r="F6438" s="45" t="s">
        <v>15871</v>
      </c>
      <c r="G6438" s="45" t="s">
        <v>15865</v>
      </c>
      <c r="H6438" s="546">
        <v>44424.78</v>
      </c>
      <c r="I6438" s="47">
        <v>45224</v>
      </c>
      <c r="J6438" s="73" t="s">
        <v>15866</v>
      </c>
      <c r="K6438" s="45"/>
      <c r="M6438" s="385"/>
      <c r="N6438" s="75"/>
      <c r="O6438" s="45" t="s">
        <v>147</v>
      </c>
      <c r="P6438" s="45" t="s">
        <v>22</v>
      </c>
      <c r="Q6438" s="45" t="s">
        <v>110</v>
      </c>
      <c r="R6438" s="45" t="s">
        <v>265</v>
      </c>
    </row>
    <row r="6439" spans="1:18" s="98" customFormat="1" ht="69" customHeight="1">
      <c r="A6439" s="169"/>
      <c r="B6439" s="52">
        <f t="shared" si="20"/>
        <v>151</v>
      </c>
      <c r="C6439" s="191" t="s">
        <v>11047</v>
      </c>
      <c r="D6439" s="251" t="s">
        <v>15474</v>
      </c>
      <c r="E6439" s="46" t="s">
        <v>4173</v>
      </c>
      <c r="F6439" s="46" t="s">
        <v>15872</v>
      </c>
      <c r="G6439" s="46" t="s">
        <v>15873</v>
      </c>
      <c r="H6439" s="534">
        <v>123500</v>
      </c>
      <c r="I6439" s="56">
        <v>45224</v>
      </c>
      <c r="J6439" s="199" t="s">
        <v>15874</v>
      </c>
      <c r="K6439" s="46" t="s">
        <v>65</v>
      </c>
      <c r="M6439" s="385"/>
      <c r="N6439" s="75"/>
      <c r="O6439" s="46" t="s">
        <v>441</v>
      </c>
      <c r="P6439" s="46" t="s">
        <v>65</v>
      </c>
      <c r="Q6439" s="46" t="s">
        <v>33</v>
      </c>
      <c r="R6439" s="46" t="s">
        <v>265</v>
      </c>
    </row>
    <row r="6440" spans="1:18" s="98" customFormat="1" ht="69" customHeight="1">
      <c r="A6440" s="169"/>
      <c r="B6440" s="48">
        <f t="shared" si="20"/>
        <v>152</v>
      </c>
      <c r="C6440" s="59" t="s">
        <v>1853</v>
      </c>
      <c r="D6440" s="84" t="s">
        <v>15476</v>
      </c>
      <c r="E6440" s="45" t="s">
        <v>4173</v>
      </c>
      <c r="F6440" s="45" t="s">
        <v>15875</v>
      </c>
      <c r="G6440" s="45" t="s">
        <v>15876</v>
      </c>
      <c r="H6440" s="546">
        <v>27000</v>
      </c>
      <c r="I6440" s="47">
        <v>45224</v>
      </c>
      <c r="J6440" s="73" t="s">
        <v>15877</v>
      </c>
      <c r="K6440" s="45"/>
      <c r="M6440" s="385"/>
      <c r="N6440" s="75"/>
      <c r="O6440" s="45" t="s">
        <v>441</v>
      </c>
      <c r="P6440" s="45" t="s">
        <v>22</v>
      </c>
      <c r="Q6440" s="45" t="s">
        <v>29</v>
      </c>
      <c r="R6440" s="45" t="s">
        <v>265</v>
      </c>
    </row>
    <row r="6441" spans="1:18" s="98" customFormat="1" ht="69" customHeight="1">
      <c r="A6441" s="169"/>
      <c r="B6441" s="48">
        <f t="shared" si="20"/>
        <v>153</v>
      </c>
      <c r="C6441" s="59" t="s">
        <v>11052</v>
      </c>
      <c r="D6441" s="84" t="s">
        <v>10999</v>
      </c>
      <c r="E6441" s="45" t="s">
        <v>4173</v>
      </c>
      <c r="F6441" s="45" t="s">
        <v>15878</v>
      </c>
      <c r="G6441" s="45" t="s">
        <v>15879</v>
      </c>
      <c r="H6441" s="546">
        <v>25000</v>
      </c>
      <c r="I6441" s="47">
        <v>45224</v>
      </c>
      <c r="J6441" s="73" t="s">
        <v>15880</v>
      </c>
      <c r="K6441" s="45"/>
      <c r="M6441" s="385"/>
      <c r="N6441" s="75"/>
      <c r="O6441" s="45" t="s">
        <v>441</v>
      </c>
      <c r="P6441" s="45" t="s">
        <v>22</v>
      </c>
      <c r="Q6441" s="45" t="s">
        <v>37</v>
      </c>
      <c r="R6441" s="45" t="s">
        <v>265</v>
      </c>
    </row>
    <row r="6442" spans="1:18" s="98" customFormat="1" ht="69" customHeight="1">
      <c r="A6442" s="169"/>
      <c r="B6442" s="48">
        <f t="shared" si="20"/>
        <v>154</v>
      </c>
      <c r="C6442" s="59" t="s">
        <v>2182</v>
      </c>
      <c r="D6442" s="84" t="s">
        <v>15881</v>
      </c>
      <c r="E6442" s="45" t="s">
        <v>4173</v>
      </c>
      <c r="F6442" s="45" t="s">
        <v>15882</v>
      </c>
      <c r="G6442" s="45" t="s">
        <v>15883</v>
      </c>
      <c r="H6442" s="546">
        <v>80000</v>
      </c>
      <c r="I6442" s="47">
        <v>45224</v>
      </c>
      <c r="J6442" s="73" t="s">
        <v>15884</v>
      </c>
      <c r="K6442" s="45"/>
      <c r="M6442" s="385"/>
      <c r="N6442" s="75"/>
      <c r="O6442" s="45" t="s">
        <v>441</v>
      </c>
      <c r="P6442" s="45" t="s">
        <v>22</v>
      </c>
      <c r="Q6442" s="45" t="s">
        <v>31</v>
      </c>
      <c r="R6442" s="45" t="s">
        <v>265</v>
      </c>
    </row>
    <row r="6443" spans="1:18" s="98" customFormat="1" ht="69" customHeight="1">
      <c r="A6443" s="169"/>
      <c r="B6443" s="48">
        <f t="shared" si="20"/>
        <v>155</v>
      </c>
      <c r="C6443" s="59" t="s">
        <v>3667</v>
      </c>
      <c r="D6443" s="84" t="s">
        <v>15885</v>
      </c>
      <c r="E6443" s="59" t="s">
        <v>266</v>
      </c>
      <c r="F6443" s="569" t="s">
        <v>15886</v>
      </c>
      <c r="G6443" s="45" t="s">
        <v>14644</v>
      </c>
      <c r="H6443" s="546">
        <v>8139.6</v>
      </c>
      <c r="I6443" s="47">
        <v>45236</v>
      </c>
      <c r="J6443" s="73" t="s">
        <v>15887</v>
      </c>
      <c r="K6443" s="45"/>
      <c r="M6443" s="385"/>
      <c r="N6443" s="75"/>
      <c r="O6443" s="45" t="s">
        <v>467</v>
      </c>
      <c r="P6443" s="45" t="s">
        <v>44</v>
      </c>
      <c r="Q6443" s="45" t="s">
        <v>84</v>
      </c>
      <c r="R6443" s="45" t="s">
        <v>272</v>
      </c>
    </row>
    <row r="6444" spans="1:18" s="98" customFormat="1" ht="69" customHeight="1">
      <c r="A6444" s="169"/>
      <c r="B6444" s="52">
        <f t="shared" si="20"/>
        <v>156</v>
      </c>
      <c r="C6444" s="191" t="s">
        <v>458</v>
      </c>
      <c r="D6444" s="251" t="s">
        <v>11317</v>
      </c>
      <c r="E6444" s="191" t="s">
        <v>266</v>
      </c>
      <c r="F6444" s="46" t="s">
        <v>15888</v>
      </c>
      <c r="G6444" s="46" t="s">
        <v>15889</v>
      </c>
      <c r="H6444" s="534">
        <v>21046.560000000001</v>
      </c>
      <c r="I6444" s="56">
        <v>45224</v>
      </c>
      <c r="J6444" s="199" t="s">
        <v>15890</v>
      </c>
      <c r="K6444" s="46" t="s">
        <v>1170</v>
      </c>
      <c r="M6444" s="385"/>
      <c r="N6444" s="75"/>
      <c r="O6444" s="46" t="s">
        <v>1171</v>
      </c>
      <c r="P6444" s="46" t="s">
        <v>71</v>
      </c>
      <c r="Q6444" s="46" t="s">
        <v>119</v>
      </c>
      <c r="R6444" s="46" t="s">
        <v>272</v>
      </c>
    </row>
    <row r="6445" spans="1:18" s="103" customFormat="1" ht="69" customHeight="1">
      <c r="A6445" s="169"/>
      <c r="B6445" s="52">
        <f t="shared" si="20"/>
        <v>157</v>
      </c>
      <c r="C6445" s="191" t="s">
        <v>657</v>
      </c>
      <c r="D6445" s="251" t="s">
        <v>5099</v>
      </c>
      <c r="E6445" s="191" t="s">
        <v>266</v>
      </c>
      <c r="F6445" s="46" t="s">
        <v>15891</v>
      </c>
      <c r="G6445" s="46" t="s">
        <v>15889</v>
      </c>
      <c r="H6445" s="534">
        <v>21046.560000000001</v>
      </c>
      <c r="I6445" s="56">
        <v>45224</v>
      </c>
      <c r="J6445" s="199" t="s">
        <v>15890</v>
      </c>
      <c r="K6445" s="46" t="s">
        <v>15892</v>
      </c>
      <c r="L6445" s="98"/>
      <c r="M6445" s="388"/>
      <c r="N6445" s="108"/>
      <c r="O6445" s="46" t="s">
        <v>1171</v>
      </c>
      <c r="P6445" s="46" t="s">
        <v>71</v>
      </c>
      <c r="Q6445" s="46" t="s">
        <v>120</v>
      </c>
      <c r="R6445" s="46" t="s">
        <v>272</v>
      </c>
    </row>
    <row r="6446" spans="1:18" s="98" customFormat="1" ht="69" customHeight="1">
      <c r="A6446" s="169"/>
      <c r="B6446" s="52">
        <f t="shared" si="20"/>
        <v>158</v>
      </c>
      <c r="C6446" s="191" t="s">
        <v>458</v>
      </c>
      <c r="D6446" s="251" t="s">
        <v>11321</v>
      </c>
      <c r="E6446" s="191" t="s">
        <v>266</v>
      </c>
      <c r="F6446" s="46" t="s">
        <v>15893</v>
      </c>
      <c r="G6446" s="46" t="s">
        <v>15894</v>
      </c>
      <c r="H6446" s="534">
        <v>11687.04</v>
      </c>
      <c r="I6446" s="56">
        <v>45224</v>
      </c>
      <c r="J6446" s="199" t="s">
        <v>15890</v>
      </c>
      <c r="K6446" s="46" t="s">
        <v>1170</v>
      </c>
      <c r="M6446" s="385"/>
      <c r="N6446" s="75"/>
      <c r="O6446" s="46" t="s">
        <v>1171</v>
      </c>
      <c r="P6446" s="46" t="s">
        <v>71</v>
      </c>
      <c r="Q6446" s="46" t="s">
        <v>103</v>
      </c>
      <c r="R6446" s="46" t="s">
        <v>272</v>
      </c>
    </row>
    <row r="6447" spans="1:18" s="98" customFormat="1" ht="69" customHeight="1">
      <c r="A6447" s="169"/>
      <c r="B6447" s="52">
        <f t="shared" si="20"/>
        <v>159</v>
      </c>
      <c r="C6447" s="191" t="s">
        <v>458</v>
      </c>
      <c r="D6447" s="251" t="s">
        <v>11327</v>
      </c>
      <c r="E6447" s="191" t="s">
        <v>266</v>
      </c>
      <c r="F6447" s="46" t="s">
        <v>15895</v>
      </c>
      <c r="G6447" s="46" t="s">
        <v>15896</v>
      </c>
      <c r="H6447" s="534">
        <v>10878.8</v>
      </c>
      <c r="I6447" s="56">
        <v>45224</v>
      </c>
      <c r="J6447" s="199" t="s">
        <v>15890</v>
      </c>
      <c r="K6447" s="46" t="s">
        <v>1170</v>
      </c>
      <c r="M6447" s="385"/>
      <c r="N6447" s="75"/>
      <c r="O6447" s="46" t="s">
        <v>1171</v>
      </c>
      <c r="P6447" s="46" t="s">
        <v>71</v>
      </c>
      <c r="Q6447" s="46" t="s">
        <v>107</v>
      </c>
      <c r="R6447" s="46" t="s">
        <v>272</v>
      </c>
    </row>
    <row r="6448" spans="1:18" s="98" customFormat="1" ht="69" customHeight="1">
      <c r="A6448" s="169"/>
      <c r="B6448" s="52">
        <f t="shared" si="20"/>
        <v>160</v>
      </c>
      <c r="C6448" s="191" t="s">
        <v>458</v>
      </c>
      <c r="D6448" s="251" t="s">
        <v>11331</v>
      </c>
      <c r="E6448" s="191" t="s">
        <v>266</v>
      </c>
      <c r="F6448" s="46" t="s">
        <v>15897</v>
      </c>
      <c r="G6448" s="46" t="s">
        <v>15889</v>
      </c>
      <c r="H6448" s="534">
        <v>11687.04</v>
      </c>
      <c r="I6448" s="56">
        <v>45224</v>
      </c>
      <c r="J6448" s="199" t="s">
        <v>15890</v>
      </c>
      <c r="K6448" s="46" t="s">
        <v>1170</v>
      </c>
      <c r="M6448" s="385"/>
      <c r="N6448" s="75"/>
      <c r="O6448" s="46" t="s">
        <v>1171</v>
      </c>
      <c r="P6448" s="46" t="s">
        <v>71</v>
      </c>
      <c r="Q6448" s="46" t="s">
        <v>113</v>
      </c>
      <c r="R6448" s="46" t="s">
        <v>272</v>
      </c>
    </row>
    <row r="6449" spans="1:18" s="98" customFormat="1" ht="69" customHeight="1">
      <c r="A6449" s="169"/>
      <c r="B6449" s="48">
        <f t="shared" si="20"/>
        <v>161</v>
      </c>
      <c r="C6449" s="59" t="s">
        <v>13562</v>
      </c>
      <c r="D6449" s="84" t="s">
        <v>11319</v>
      </c>
      <c r="E6449" s="45" t="s">
        <v>979</v>
      </c>
      <c r="F6449" s="45" t="s">
        <v>15898</v>
      </c>
      <c r="G6449" s="45" t="s">
        <v>15899</v>
      </c>
      <c r="H6449" s="546">
        <v>81782.91</v>
      </c>
      <c r="I6449" s="47">
        <v>45235</v>
      </c>
      <c r="J6449" s="73" t="s">
        <v>15900</v>
      </c>
      <c r="K6449" s="45"/>
      <c r="M6449" s="385"/>
      <c r="N6449" s="75"/>
      <c r="O6449" s="45" t="s">
        <v>156</v>
      </c>
      <c r="P6449" s="58" t="s">
        <v>73</v>
      </c>
      <c r="Q6449" s="45" t="s">
        <v>88</v>
      </c>
      <c r="R6449" s="45" t="s">
        <v>265</v>
      </c>
    </row>
    <row r="6450" spans="1:18" s="98" customFormat="1" ht="69" customHeight="1">
      <c r="A6450" s="169"/>
      <c r="B6450" s="48">
        <f t="shared" si="20"/>
        <v>162</v>
      </c>
      <c r="C6450" s="59" t="s">
        <v>9094</v>
      </c>
      <c r="D6450" s="84" t="s">
        <v>11336</v>
      </c>
      <c r="E6450" s="45" t="s">
        <v>979</v>
      </c>
      <c r="F6450" s="45" t="s">
        <v>15901</v>
      </c>
      <c r="G6450" s="45" t="s">
        <v>15899</v>
      </c>
      <c r="H6450" s="546">
        <v>198264.59</v>
      </c>
      <c r="I6450" s="47">
        <v>45235</v>
      </c>
      <c r="J6450" s="73" t="s">
        <v>15902</v>
      </c>
      <c r="K6450" s="45"/>
      <c r="M6450" s="385"/>
      <c r="N6450" s="75"/>
      <c r="O6450" s="45" t="s">
        <v>156</v>
      </c>
      <c r="P6450" s="45" t="s">
        <v>73</v>
      </c>
      <c r="Q6450" s="45" t="s">
        <v>112</v>
      </c>
      <c r="R6450" s="45" t="s">
        <v>265</v>
      </c>
    </row>
    <row r="6451" spans="1:18" s="98" customFormat="1" ht="69" customHeight="1">
      <c r="A6451" s="169"/>
      <c r="B6451" s="48">
        <f t="shared" si="20"/>
        <v>163</v>
      </c>
      <c r="C6451" s="59" t="s">
        <v>9094</v>
      </c>
      <c r="D6451" s="84" t="s">
        <v>15903</v>
      </c>
      <c r="E6451" s="45" t="s">
        <v>979</v>
      </c>
      <c r="F6451" s="45" t="s">
        <v>15904</v>
      </c>
      <c r="G6451" s="45" t="s">
        <v>15899</v>
      </c>
      <c r="H6451" s="546">
        <v>187470</v>
      </c>
      <c r="I6451" s="47">
        <v>45235</v>
      </c>
      <c r="J6451" s="73" t="s">
        <v>15902</v>
      </c>
      <c r="K6451" s="45"/>
      <c r="M6451" s="385"/>
      <c r="N6451" s="75"/>
      <c r="O6451" s="45" t="s">
        <v>156</v>
      </c>
      <c r="P6451" s="45" t="s">
        <v>73</v>
      </c>
      <c r="Q6451" s="45" t="s">
        <v>112</v>
      </c>
      <c r="R6451" s="45" t="s">
        <v>265</v>
      </c>
    </row>
    <row r="6452" spans="1:18" s="98" customFormat="1" ht="69" customHeight="1">
      <c r="A6452" s="169"/>
      <c r="B6452" s="48">
        <f t="shared" si="20"/>
        <v>164</v>
      </c>
      <c r="C6452" s="59" t="s">
        <v>9094</v>
      </c>
      <c r="D6452" s="84" t="s">
        <v>11343</v>
      </c>
      <c r="E6452" s="45" t="s">
        <v>979</v>
      </c>
      <c r="F6452" s="45" t="s">
        <v>15905</v>
      </c>
      <c r="G6452" s="45" t="s">
        <v>15899</v>
      </c>
      <c r="H6452" s="546">
        <v>201079.62</v>
      </c>
      <c r="I6452" s="47">
        <v>45235</v>
      </c>
      <c r="J6452" s="73" t="s">
        <v>15902</v>
      </c>
      <c r="K6452" s="45"/>
      <c r="M6452" s="385"/>
      <c r="N6452" s="75"/>
      <c r="O6452" s="45" t="s">
        <v>156</v>
      </c>
      <c r="P6452" s="45" t="s">
        <v>73</v>
      </c>
      <c r="Q6452" s="45" t="s">
        <v>112</v>
      </c>
      <c r="R6452" s="45" t="s">
        <v>265</v>
      </c>
    </row>
    <row r="6453" spans="1:18" s="98" customFormat="1" ht="69" customHeight="1">
      <c r="A6453" s="169"/>
      <c r="B6453" s="62">
        <f t="shared" si="20"/>
        <v>165</v>
      </c>
      <c r="C6453" s="178" t="s">
        <v>6468</v>
      </c>
      <c r="D6453" s="174" t="s">
        <v>15906</v>
      </c>
      <c r="E6453" s="178" t="s">
        <v>266</v>
      </c>
      <c r="F6453" s="58" t="s">
        <v>15907</v>
      </c>
      <c r="G6453" s="58" t="s">
        <v>15908</v>
      </c>
      <c r="H6453" s="552">
        <v>12000</v>
      </c>
      <c r="I6453" s="66">
        <v>45235</v>
      </c>
      <c r="J6453" s="65" t="s">
        <v>15909</v>
      </c>
      <c r="K6453" s="58"/>
      <c r="M6453" s="385" t="s">
        <v>15910</v>
      </c>
      <c r="N6453" s="75" t="s">
        <v>65</v>
      </c>
      <c r="O6453" s="62" t="s">
        <v>6918</v>
      </c>
      <c r="P6453" s="58" t="s">
        <v>44</v>
      </c>
      <c r="Q6453" s="58" t="s">
        <v>76</v>
      </c>
      <c r="R6453" s="58" t="s">
        <v>272</v>
      </c>
    </row>
    <row r="6454" spans="1:18" s="98" customFormat="1" ht="69" customHeight="1">
      <c r="A6454" s="169"/>
      <c r="B6454" s="62">
        <f t="shared" si="20"/>
        <v>166</v>
      </c>
      <c r="C6454" s="178" t="s">
        <v>9322</v>
      </c>
      <c r="D6454" s="174" t="s">
        <v>15911</v>
      </c>
      <c r="E6454" s="178" t="s">
        <v>266</v>
      </c>
      <c r="F6454" s="58" t="s">
        <v>15912</v>
      </c>
      <c r="G6454" s="58" t="s">
        <v>15908</v>
      </c>
      <c r="H6454" s="552">
        <v>12000</v>
      </c>
      <c r="I6454" s="66">
        <v>45235</v>
      </c>
      <c r="J6454" s="65" t="s">
        <v>15909</v>
      </c>
      <c r="K6454" s="58"/>
      <c r="M6454" s="385" t="s">
        <v>15910</v>
      </c>
      <c r="N6454" s="75" t="s">
        <v>65</v>
      </c>
      <c r="O6454" s="62" t="s">
        <v>6918</v>
      </c>
      <c r="P6454" s="58" t="s">
        <v>44</v>
      </c>
      <c r="Q6454" s="58" t="s">
        <v>114</v>
      </c>
      <c r="R6454" s="58" t="s">
        <v>272</v>
      </c>
    </row>
    <row r="6455" spans="1:18" s="98" customFormat="1" ht="69" customHeight="1">
      <c r="A6455" s="169"/>
      <c r="B6455" s="62">
        <f t="shared" si="20"/>
        <v>167</v>
      </c>
      <c r="C6455" s="178" t="s">
        <v>9596</v>
      </c>
      <c r="D6455" s="174" t="s">
        <v>3618</v>
      </c>
      <c r="E6455" s="178" t="s">
        <v>266</v>
      </c>
      <c r="F6455" s="58" t="s">
        <v>15913</v>
      </c>
      <c r="G6455" s="58" t="s">
        <v>15908</v>
      </c>
      <c r="H6455" s="552">
        <v>12000</v>
      </c>
      <c r="I6455" s="66">
        <v>45235</v>
      </c>
      <c r="J6455" s="65" t="s">
        <v>15909</v>
      </c>
      <c r="K6455" s="58"/>
      <c r="M6455" s="385" t="s">
        <v>15910</v>
      </c>
      <c r="N6455" s="75" t="s">
        <v>65</v>
      </c>
      <c r="O6455" s="62" t="s">
        <v>6918</v>
      </c>
      <c r="P6455" s="58" t="s">
        <v>44</v>
      </c>
      <c r="Q6455" s="58" t="s">
        <v>118</v>
      </c>
      <c r="R6455" s="58" t="s">
        <v>272</v>
      </c>
    </row>
    <row r="6456" spans="1:18" s="98" customFormat="1" ht="69" customHeight="1">
      <c r="A6456" s="169"/>
      <c r="B6456" s="48">
        <f t="shared" si="20"/>
        <v>168</v>
      </c>
      <c r="C6456" s="59" t="s">
        <v>581</v>
      </c>
      <c r="D6456" s="84" t="s">
        <v>10994</v>
      </c>
      <c r="E6456" s="45" t="s">
        <v>979</v>
      </c>
      <c r="F6456" s="45" t="s">
        <v>15914</v>
      </c>
      <c r="G6456" s="45" t="s">
        <v>15899</v>
      </c>
      <c r="H6456" s="546">
        <v>188417.85</v>
      </c>
      <c r="I6456" s="47">
        <v>45235</v>
      </c>
      <c r="J6456" s="73" t="s">
        <v>15915</v>
      </c>
      <c r="K6456" s="45"/>
      <c r="M6456" s="385"/>
      <c r="N6456" s="75"/>
      <c r="O6456" s="45" t="s">
        <v>156</v>
      </c>
      <c r="P6456" s="58" t="s">
        <v>73</v>
      </c>
      <c r="Q6456" s="45" t="s">
        <v>18</v>
      </c>
      <c r="R6456" s="45" t="s">
        <v>265</v>
      </c>
    </row>
    <row r="6457" spans="1:18" s="98" customFormat="1" ht="69" customHeight="1">
      <c r="A6457" s="169"/>
      <c r="B6457" s="259">
        <f t="shared" si="20"/>
        <v>169</v>
      </c>
      <c r="C6457" s="207" t="s">
        <v>458</v>
      </c>
      <c r="D6457" s="303" t="s">
        <v>15916</v>
      </c>
      <c r="E6457" s="290" t="s">
        <v>10671</v>
      </c>
      <c r="F6457" s="160" t="s">
        <v>15917</v>
      </c>
      <c r="G6457" s="160" t="s">
        <v>11014</v>
      </c>
      <c r="H6457" s="300">
        <v>11403.76</v>
      </c>
      <c r="I6457" s="209">
        <v>45235</v>
      </c>
      <c r="J6457" s="316" t="s">
        <v>15918</v>
      </c>
      <c r="K6457" s="160" t="s">
        <v>4128</v>
      </c>
      <c r="M6457" s="385"/>
      <c r="N6457" s="75"/>
      <c r="O6457" s="160" t="s">
        <v>150</v>
      </c>
      <c r="P6457" s="160" t="s">
        <v>67</v>
      </c>
      <c r="Q6457" s="160" t="s">
        <v>114</v>
      </c>
      <c r="R6457" s="160" t="s">
        <v>272</v>
      </c>
    </row>
    <row r="6458" spans="1:18" s="98" customFormat="1" ht="69" customHeight="1">
      <c r="A6458" s="169"/>
      <c r="B6458" s="259">
        <f t="shared" si="20"/>
        <v>170</v>
      </c>
      <c r="C6458" s="207" t="s">
        <v>458</v>
      </c>
      <c r="D6458" s="303" t="s">
        <v>11407</v>
      </c>
      <c r="E6458" s="290" t="s">
        <v>10671</v>
      </c>
      <c r="F6458" s="160" t="s">
        <v>15919</v>
      </c>
      <c r="G6458" s="160" t="s">
        <v>11014</v>
      </c>
      <c r="H6458" s="300">
        <v>12679.32</v>
      </c>
      <c r="I6458" s="209">
        <v>45235</v>
      </c>
      <c r="J6458" s="316" t="s">
        <v>15918</v>
      </c>
      <c r="K6458" s="160" t="s">
        <v>4128</v>
      </c>
      <c r="M6458" s="385"/>
      <c r="N6458" s="75"/>
      <c r="O6458" s="160" t="s">
        <v>150</v>
      </c>
      <c r="P6458" s="160" t="s">
        <v>67</v>
      </c>
      <c r="Q6458" s="160" t="s">
        <v>114</v>
      </c>
      <c r="R6458" s="160" t="s">
        <v>272</v>
      </c>
    </row>
    <row r="6459" spans="1:18" s="98" customFormat="1" ht="69" customHeight="1">
      <c r="A6459" s="169"/>
      <c r="B6459" s="48">
        <f t="shared" si="20"/>
        <v>171</v>
      </c>
      <c r="C6459" s="59" t="s">
        <v>458</v>
      </c>
      <c r="D6459" s="84" t="s">
        <v>15920</v>
      </c>
      <c r="E6459" s="55" t="s">
        <v>15921</v>
      </c>
      <c r="F6459" s="45" t="s">
        <v>15922</v>
      </c>
      <c r="G6459" s="45" t="s">
        <v>384</v>
      </c>
      <c r="H6459" s="546">
        <v>2892.13</v>
      </c>
      <c r="I6459" s="47">
        <v>45235</v>
      </c>
      <c r="J6459" s="73" t="s">
        <v>15918</v>
      </c>
      <c r="K6459" s="45"/>
      <c r="M6459" s="385"/>
      <c r="N6459" s="75"/>
      <c r="O6459" s="45" t="s">
        <v>150</v>
      </c>
      <c r="P6459" s="45" t="s">
        <v>51</v>
      </c>
      <c r="Q6459" s="45" t="s">
        <v>114</v>
      </c>
      <c r="R6459" s="45" t="s">
        <v>272</v>
      </c>
    </row>
    <row r="6460" spans="1:18" s="98" customFormat="1" ht="69" customHeight="1">
      <c r="A6460" s="169"/>
      <c r="B6460" s="48">
        <f t="shared" si="20"/>
        <v>172</v>
      </c>
      <c r="C6460" s="59" t="s">
        <v>2182</v>
      </c>
      <c r="D6460" s="84" t="s">
        <v>10997</v>
      </c>
      <c r="E6460" s="45" t="s">
        <v>15923</v>
      </c>
      <c r="F6460" s="45" t="s">
        <v>15924</v>
      </c>
      <c r="G6460" s="45" t="s">
        <v>15925</v>
      </c>
      <c r="H6460" s="546">
        <v>314712.68</v>
      </c>
      <c r="I6460" s="47">
        <v>45235</v>
      </c>
      <c r="J6460" s="73" t="s">
        <v>15926</v>
      </c>
      <c r="K6460" s="45"/>
      <c r="M6460" s="385"/>
      <c r="N6460" s="75"/>
      <c r="O6460" s="45" t="s">
        <v>14413</v>
      </c>
      <c r="P6460" s="45" t="s">
        <v>57</v>
      </c>
      <c r="Q6460" s="45" t="s">
        <v>31</v>
      </c>
      <c r="R6460" s="45" t="s">
        <v>272</v>
      </c>
    </row>
    <row r="6461" spans="1:18" s="98" customFormat="1" ht="69" customHeight="1">
      <c r="A6461" s="169"/>
      <c r="B6461" s="48">
        <f t="shared" si="20"/>
        <v>173</v>
      </c>
      <c r="C6461" s="59" t="s">
        <v>458</v>
      </c>
      <c r="D6461" s="84" t="s">
        <v>11424</v>
      </c>
      <c r="E6461" s="55" t="s">
        <v>15927</v>
      </c>
      <c r="F6461" s="45" t="s">
        <v>15928</v>
      </c>
      <c r="G6461" s="45" t="s">
        <v>15929</v>
      </c>
      <c r="H6461" s="546">
        <v>3556.48</v>
      </c>
      <c r="I6461" s="47">
        <v>45235</v>
      </c>
      <c r="J6461" s="73" t="s">
        <v>15930</v>
      </c>
      <c r="K6461" s="45"/>
      <c r="M6461" s="385"/>
      <c r="N6461" s="75"/>
      <c r="O6461" s="45" t="s">
        <v>141</v>
      </c>
      <c r="P6461" s="45" t="s">
        <v>17</v>
      </c>
      <c r="Q6461" s="45" t="s">
        <v>105</v>
      </c>
      <c r="R6461" s="45" t="s">
        <v>272</v>
      </c>
    </row>
    <row r="6462" spans="1:18" s="98" customFormat="1" ht="69" customHeight="1">
      <c r="A6462" s="169"/>
      <c r="B6462" s="48">
        <f t="shared" si="20"/>
        <v>174</v>
      </c>
      <c r="C6462" s="59" t="s">
        <v>458</v>
      </c>
      <c r="D6462" s="84" t="s">
        <v>11442</v>
      </c>
      <c r="E6462" s="55" t="s">
        <v>15927</v>
      </c>
      <c r="F6462" s="45" t="s">
        <v>15931</v>
      </c>
      <c r="G6462" s="45" t="s">
        <v>15929</v>
      </c>
      <c r="H6462" s="546">
        <v>6836.15</v>
      </c>
      <c r="I6462" s="47">
        <v>45235</v>
      </c>
      <c r="J6462" s="73" t="s">
        <v>15930</v>
      </c>
      <c r="K6462" s="45"/>
      <c r="M6462" s="385"/>
      <c r="N6462" s="75"/>
      <c r="O6462" s="45" t="s">
        <v>141</v>
      </c>
      <c r="P6462" s="45" t="s">
        <v>17</v>
      </c>
      <c r="Q6462" s="45" t="s">
        <v>108</v>
      </c>
      <c r="R6462" s="45" t="s">
        <v>272</v>
      </c>
    </row>
    <row r="6463" spans="1:18" s="98" customFormat="1" ht="69" customHeight="1">
      <c r="A6463" s="169"/>
      <c r="B6463" s="48">
        <f t="shared" si="20"/>
        <v>175</v>
      </c>
      <c r="C6463" s="59" t="s">
        <v>458</v>
      </c>
      <c r="D6463" s="84" t="s">
        <v>11446</v>
      </c>
      <c r="E6463" s="55" t="s">
        <v>15927</v>
      </c>
      <c r="F6463" s="45" t="s">
        <v>15932</v>
      </c>
      <c r="G6463" s="45" t="s">
        <v>15929</v>
      </c>
      <c r="H6463" s="546">
        <v>64000</v>
      </c>
      <c r="I6463" s="47">
        <v>45235</v>
      </c>
      <c r="J6463" s="73" t="s">
        <v>15930</v>
      </c>
      <c r="K6463" s="45"/>
      <c r="M6463" s="385"/>
      <c r="N6463" s="75"/>
      <c r="O6463" s="45" t="s">
        <v>141</v>
      </c>
      <c r="P6463" s="45" t="s">
        <v>17</v>
      </c>
      <c r="Q6463" s="45" t="s">
        <v>113</v>
      </c>
      <c r="R6463" s="45" t="s">
        <v>272</v>
      </c>
    </row>
    <row r="6464" spans="1:18" s="98" customFormat="1" ht="69" customHeight="1">
      <c r="A6464" s="169"/>
      <c r="B6464" s="48">
        <f t="shared" si="20"/>
        <v>176</v>
      </c>
      <c r="C6464" s="59" t="s">
        <v>458</v>
      </c>
      <c r="D6464" s="84" t="s">
        <v>11453</v>
      </c>
      <c r="E6464" s="55" t="s">
        <v>15927</v>
      </c>
      <c r="F6464" s="45" t="s">
        <v>15933</v>
      </c>
      <c r="G6464" s="45" t="s">
        <v>15929</v>
      </c>
      <c r="H6464" s="546">
        <v>99128.57</v>
      </c>
      <c r="I6464" s="47">
        <v>45235</v>
      </c>
      <c r="J6464" s="73" t="s">
        <v>15930</v>
      </c>
      <c r="K6464" s="45"/>
      <c r="M6464" s="385"/>
      <c r="N6464" s="75"/>
      <c r="O6464" s="45" t="s">
        <v>141</v>
      </c>
      <c r="P6464" s="45" t="s">
        <v>17</v>
      </c>
      <c r="Q6464" s="45" t="s">
        <v>88</v>
      </c>
      <c r="R6464" s="45" t="s">
        <v>272</v>
      </c>
    </row>
    <row r="6465" spans="1:18" s="98" customFormat="1" ht="69" customHeight="1">
      <c r="A6465" s="169"/>
      <c r="B6465" s="48">
        <f t="shared" si="20"/>
        <v>177</v>
      </c>
      <c r="C6465" s="59" t="s">
        <v>458</v>
      </c>
      <c r="D6465" s="84" t="s">
        <v>15934</v>
      </c>
      <c r="E6465" s="55" t="s">
        <v>15927</v>
      </c>
      <c r="F6465" s="45" t="s">
        <v>15935</v>
      </c>
      <c r="G6465" s="45" t="s">
        <v>15929</v>
      </c>
      <c r="H6465" s="546">
        <v>103180.26</v>
      </c>
      <c r="I6465" s="47">
        <v>45235</v>
      </c>
      <c r="J6465" s="73" t="s">
        <v>15930</v>
      </c>
      <c r="K6465" s="45"/>
      <c r="M6465" s="385"/>
      <c r="N6465" s="75"/>
      <c r="O6465" s="45" t="s">
        <v>141</v>
      </c>
      <c r="P6465" s="45" t="s">
        <v>17</v>
      </c>
      <c r="Q6465" s="45" t="s">
        <v>122</v>
      </c>
      <c r="R6465" s="45" t="s">
        <v>272</v>
      </c>
    </row>
    <row r="6466" spans="1:18" s="98" customFormat="1" ht="69" customHeight="1">
      <c r="A6466" s="169"/>
      <c r="B6466" s="48">
        <f t="shared" si="20"/>
        <v>178</v>
      </c>
      <c r="C6466" s="59" t="s">
        <v>458</v>
      </c>
      <c r="D6466" s="84" t="s">
        <v>15836</v>
      </c>
      <c r="E6466" s="55" t="s">
        <v>15927</v>
      </c>
      <c r="F6466" s="45" t="s">
        <v>15936</v>
      </c>
      <c r="G6466" s="45" t="s">
        <v>15929</v>
      </c>
      <c r="H6466" s="546">
        <v>45843.19</v>
      </c>
      <c r="I6466" s="47">
        <v>45235</v>
      </c>
      <c r="J6466" s="73" t="s">
        <v>15930</v>
      </c>
      <c r="K6466" s="45"/>
      <c r="M6466" s="385"/>
      <c r="N6466" s="75"/>
      <c r="O6466" s="45" t="s">
        <v>141</v>
      </c>
      <c r="P6466" s="45" t="s">
        <v>17</v>
      </c>
      <c r="Q6466" s="45" t="s">
        <v>112</v>
      </c>
      <c r="R6466" s="45" t="s">
        <v>272</v>
      </c>
    </row>
    <row r="6467" spans="1:18" s="98" customFormat="1" ht="69" customHeight="1">
      <c r="A6467" s="169"/>
      <c r="B6467" s="48">
        <f t="shared" si="20"/>
        <v>179</v>
      </c>
      <c r="C6467" s="59" t="s">
        <v>458</v>
      </c>
      <c r="D6467" s="84" t="s">
        <v>15937</v>
      </c>
      <c r="E6467" s="55" t="s">
        <v>15927</v>
      </c>
      <c r="F6467" s="45" t="s">
        <v>15938</v>
      </c>
      <c r="G6467" s="45" t="s">
        <v>15929</v>
      </c>
      <c r="H6467" s="546">
        <v>43689.440000000002</v>
      </c>
      <c r="I6467" s="47">
        <v>45235</v>
      </c>
      <c r="J6467" s="73" t="s">
        <v>15930</v>
      </c>
      <c r="K6467" s="45"/>
      <c r="M6467" s="385"/>
      <c r="N6467" s="75"/>
      <c r="O6467" s="45" t="s">
        <v>141</v>
      </c>
      <c r="P6467" s="45" t="s">
        <v>17</v>
      </c>
      <c r="Q6467" s="45" t="s">
        <v>119</v>
      </c>
      <c r="R6467" s="45" t="s">
        <v>272</v>
      </c>
    </row>
    <row r="6468" spans="1:18" s="98" customFormat="1" ht="69" customHeight="1">
      <c r="A6468" s="169"/>
      <c r="B6468" s="48">
        <f t="shared" si="20"/>
        <v>180</v>
      </c>
      <c r="C6468" s="59" t="s">
        <v>458</v>
      </c>
      <c r="D6468" s="84" t="s">
        <v>15939</v>
      </c>
      <c r="E6468" s="55" t="s">
        <v>15940</v>
      </c>
      <c r="F6468" s="45" t="s">
        <v>15941</v>
      </c>
      <c r="G6468" s="45" t="s">
        <v>15942</v>
      </c>
      <c r="H6468" s="546">
        <v>982400</v>
      </c>
      <c r="I6468" s="47">
        <v>45235</v>
      </c>
      <c r="J6468" s="73" t="s">
        <v>15943</v>
      </c>
      <c r="K6468" s="45"/>
      <c r="M6468" s="385"/>
      <c r="N6468" s="75"/>
      <c r="O6468" s="45" t="s">
        <v>141</v>
      </c>
      <c r="P6468" s="45" t="s">
        <v>19</v>
      </c>
      <c r="Q6468" s="45" t="s">
        <v>123</v>
      </c>
      <c r="R6468" s="45" t="s">
        <v>272</v>
      </c>
    </row>
    <row r="6469" spans="1:18" s="98" customFormat="1" ht="69" customHeight="1">
      <c r="A6469" s="169"/>
      <c r="B6469" s="62">
        <f t="shared" si="20"/>
        <v>181</v>
      </c>
      <c r="C6469" s="178" t="s">
        <v>458</v>
      </c>
      <c r="D6469" s="174" t="s">
        <v>15944</v>
      </c>
      <c r="E6469" s="85" t="s">
        <v>15940</v>
      </c>
      <c r="F6469" s="58" t="s">
        <v>15945</v>
      </c>
      <c r="G6469" s="58" t="s">
        <v>15942</v>
      </c>
      <c r="H6469" s="552">
        <v>134645.6</v>
      </c>
      <c r="I6469" s="66">
        <v>45235</v>
      </c>
      <c r="J6469" s="65" t="s">
        <v>15943</v>
      </c>
      <c r="K6469" s="174" t="s">
        <v>15946</v>
      </c>
      <c r="M6469" s="385"/>
      <c r="N6469" s="75"/>
      <c r="O6469" s="58" t="s">
        <v>141</v>
      </c>
      <c r="P6469" s="58" t="s">
        <v>19</v>
      </c>
      <c r="Q6469" s="58" t="s">
        <v>123</v>
      </c>
      <c r="R6469" s="58" t="s">
        <v>272</v>
      </c>
    </row>
    <row r="6470" spans="1:18" s="98" customFormat="1" ht="69" customHeight="1">
      <c r="A6470" s="169"/>
      <c r="B6470" s="259">
        <f t="shared" si="20"/>
        <v>182</v>
      </c>
      <c r="C6470" s="304" t="s">
        <v>10961</v>
      </c>
      <c r="D6470" s="303" t="s">
        <v>15947</v>
      </c>
      <c r="E6470" s="290" t="s">
        <v>266</v>
      </c>
      <c r="F6470" s="208" t="s">
        <v>15948</v>
      </c>
      <c r="G6470" s="160" t="s">
        <v>11038</v>
      </c>
      <c r="H6470" s="300">
        <v>4377.53</v>
      </c>
      <c r="I6470" s="209">
        <v>45235</v>
      </c>
      <c r="J6470" s="316" t="s">
        <v>15949</v>
      </c>
      <c r="K6470" s="160" t="s">
        <v>67</v>
      </c>
      <c r="M6470" s="385"/>
      <c r="N6470" s="75"/>
      <c r="O6470" s="160" t="s">
        <v>14779</v>
      </c>
      <c r="P6470" s="160" t="s">
        <v>67</v>
      </c>
      <c r="Q6470" s="160" t="s">
        <v>96</v>
      </c>
      <c r="R6470" s="160" t="s">
        <v>272</v>
      </c>
    </row>
    <row r="6471" spans="1:18" s="98" customFormat="1" ht="69" customHeight="1">
      <c r="A6471" s="169"/>
      <c r="B6471" s="52">
        <f t="shared" si="20"/>
        <v>183</v>
      </c>
      <c r="C6471" s="191" t="s">
        <v>3667</v>
      </c>
      <c r="D6471" s="251" t="s">
        <v>15950</v>
      </c>
      <c r="E6471" s="53" t="s">
        <v>266</v>
      </c>
      <c r="F6471" s="46" t="s">
        <v>15951</v>
      </c>
      <c r="G6471" s="46" t="s">
        <v>15952</v>
      </c>
      <c r="H6471" s="534">
        <v>22590.95</v>
      </c>
      <c r="I6471" s="56">
        <v>45224</v>
      </c>
      <c r="J6471" s="199" t="s">
        <v>15953</v>
      </c>
      <c r="K6471" s="46" t="s">
        <v>1170</v>
      </c>
      <c r="M6471" s="385"/>
      <c r="N6471" s="75"/>
      <c r="O6471" s="46"/>
      <c r="P6471" s="46" t="s">
        <v>65</v>
      </c>
      <c r="Q6471" s="46" t="s">
        <v>66</v>
      </c>
      <c r="R6471" s="46" t="s">
        <v>272</v>
      </c>
    </row>
    <row r="6472" spans="1:18" s="98" customFormat="1" ht="69" customHeight="1">
      <c r="A6472" s="169"/>
      <c r="B6472" s="52">
        <f t="shared" si="20"/>
        <v>184</v>
      </c>
      <c r="C6472" s="191" t="s">
        <v>458</v>
      </c>
      <c r="D6472" s="251" t="s">
        <v>15954</v>
      </c>
      <c r="E6472" s="53" t="s">
        <v>266</v>
      </c>
      <c r="F6472" s="46" t="s">
        <v>15955</v>
      </c>
      <c r="G6472" s="46" t="s">
        <v>15952</v>
      </c>
      <c r="H6472" s="534">
        <v>13022.35</v>
      </c>
      <c r="I6472" s="56">
        <v>45224</v>
      </c>
      <c r="J6472" s="199" t="s">
        <v>15953</v>
      </c>
      <c r="K6472" s="46" t="s">
        <v>1170</v>
      </c>
      <c r="M6472" s="385"/>
      <c r="N6472" s="75"/>
      <c r="O6472" s="46"/>
      <c r="P6472" s="46" t="s">
        <v>65</v>
      </c>
      <c r="Q6472" s="46" t="s">
        <v>117</v>
      </c>
      <c r="R6472" s="46" t="s">
        <v>272</v>
      </c>
    </row>
    <row r="6473" spans="1:18" s="98" customFormat="1" ht="69" customHeight="1">
      <c r="A6473" s="169"/>
      <c r="B6473" s="48">
        <f t="shared" si="20"/>
        <v>185</v>
      </c>
      <c r="C6473" s="59" t="s">
        <v>11050</v>
      </c>
      <c r="D6473" s="84" t="s">
        <v>11025</v>
      </c>
      <c r="E6473" s="45" t="s">
        <v>4173</v>
      </c>
      <c r="F6473" s="45" t="s">
        <v>15956</v>
      </c>
      <c r="G6473" s="45" t="s">
        <v>15957</v>
      </c>
      <c r="H6473" s="546">
        <v>25000</v>
      </c>
      <c r="I6473" s="47">
        <v>45235</v>
      </c>
      <c r="J6473" s="73" t="s">
        <v>15958</v>
      </c>
      <c r="K6473" s="45"/>
      <c r="M6473" s="385"/>
      <c r="N6473" s="75"/>
      <c r="O6473" s="45" t="s">
        <v>14459</v>
      </c>
      <c r="P6473" s="45" t="s">
        <v>22</v>
      </c>
      <c r="Q6473" s="45" t="s">
        <v>35</v>
      </c>
      <c r="R6473" s="45" t="s">
        <v>265</v>
      </c>
    </row>
    <row r="6474" spans="1:18" s="98" customFormat="1" ht="69" customHeight="1">
      <c r="A6474" s="169"/>
      <c r="B6474" s="48">
        <f t="shared" si="20"/>
        <v>186</v>
      </c>
      <c r="C6474" s="59" t="s">
        <v>1853</v>
      </c>
      <c r="D6474" s="84" t="s">
        <v>11029</v>
      </c>
      <c r="E6474" s="45" t="s">
        <v>4173</v>
      </c>
      <c r="F6474" s="45" t="s">
        <v>15959</v>
      </c>
      <c r="G6474" s="45" t="s">
        <v>15960</v>
      </c>
      <c r="H6474" s="546">
        <v>34113</v>
      </c>
      <c r="I6474" s="47">
        <v>45235</v>
      </c>
      <c r="J6474" s="73" t="s">
        <v>15958</v>
      </c>
      <c r="K6474" s="45"/>
      <c r="M6474" s="385"/>
      <c r="N6474" s="75"/>
      <c r="O6474" s="45" t="s">
        <v>14459</v>
      </c>
      <c r="P6474" s="45" t="s">
        <v>22</v>
      </c>
      <c r="Q6474" s="45" t="s">
        <v>29</v>
      </c>
      <c r="R6474" s="45" t="s">
        <v>265</v>
      </c>
    </row>
    <row r="6475" spans="1:18" s="98" customFormat="1" ht="69" customHeight="1">
      <c r="A6475" s="169"/>
      <c r="B6475" s="48">
        <f t="shared" si="20"/>
        <v>187</v>
      </c>
      <c r="C6475" s="59" t="s">
        <v>1853</v>
      </c>
      <c r="D6475" s="84" t="s">
        <v>15961</v>
      </c>
      <c r="E6475" s="45" t="s">
        <v>4173</v>
      </c>
      <c r="F6475" s="45" t="s">
        <v>15962</v>
      </c>
      <c r="G6475" s="45" t="s">
        <v>15963</v>
      </c>
      <c r="H6475" s="546">
        <v>45351</v>
      </c>
      <c r="I6475" s="47">
        <v>45235</v>
      </c>
      <c r="J6475" s="73" t="s">
        <v>15958</v>
      </c>
      <c r="K6475" s="45"/>
      <c r="M6475" s="385"/>
      <c r="N6475" s="75"/>
      <c r="O6475" s="45" t="s">
        <v>14459</v>
      </c>
      <c r="P6475" s="45" t="s">
        <v>22</v>
      </c>
      <c r="Q6475" s="45" t="s">
        <v>29</v>
      </c>
      <c r="R6475" s="45" t="s">
        <v>265</v>
      </c>
    </row>
    <row r="6476" spans="1:18" s="98" customFormat="1" ht="69" customHeight="1">
      <c r="A6476" s="169"/>
      <c r="B6476" s="48">
        <f t="shared" si="20"/>
        <v>188</v>
      </c>
      <c r="C6476" s="59" t="s">
        <v>1853</v>
      </c>
      <c r="D6476" s="84" t="s">
        <v>11087</v>
      </c>
      <c r="E6476" s="45" t="s">
        <v>4173</v>
      </c>
      <c r="F6476" s="45" t="s">
        <v>15964</v>
      </c>
      <c r="G6476" s="45" t="s">
        <v>15965</v>
      </c>
      <c r="H6476" s="546">
        <v>25600</v>
      </c>
      <c r="I6476" s="47">
        <v>45235</v>
      </c>
      <c r="J6476" s="73" t="s">
        <v>15966</v>
      </c>
      <c r="K6476" s="45"/>
      <c r="M6476" s="385"/>
      <c r="N6476" s="75"/>
      <c r="O6476" s="45" t="s">
        <v>14459</v>
      </c>
      <c r="P6476" s="45" t="s">
        <v>22</v>
      </c>
      <c r="Q6476" s="45" t="s">
        <v>29</v>
      </c>
      <c r="R6476" s="45" t="s">
        <v>265</v>
      </c>
    </row>
    <row r="6477" spans="1:18" s="98" customFormat="1" ht="69" customHeight="1">
      <c r="A6477" s="169"/>
      <c r="B6477" s="48">
        <f t="shared" si="20"/>
        <v>189</v>
      </c>
      <c r="C6477" s="59" t="s">
        <v>581</v>
      </c>
      <c r="D6477" s="84" t="s">
        <v>11092</v>
      </c>
      <c r="E6477" s="45" t="s">
        <v>15967</v>
      </c>
      <c r="F6477" s="45" t="s">
        <v>15968</v>
      </c>
      <c r="G6477" s="45" t="s">
        <v>15969</v>
      </c>
      <c r="H6477" s="546">
        <v>38140.21</v>
      </c>
      <c r="I6477" s="47">
        <v>45235</v>
      </c>
      <c r="J6477" s="73" t="s">
        <v>15970</v>
      </c>
      <c r="K6477" s="45"/>
      <c r="M6477" s="385"/>
      <c r="N6477" s="75"/>
      <c r="O6477" s="45" t="s">
        <v>156</v>
      </c>
      <c r="P6477" s="58" t="s">
        <v>73</v>
      </c>
      <c r="Q6477" s="45" t="s">
        <v>18</v>
      </c>
      <c r="R6477" s="45" t="s">
        <v>265</v>
      </c>
    </row>
    <row r="6478" spans="1:18" s="98" customFormat="1" ht="69" customHeight="1">
      <c r="A6478" s="169"/>
      <c r="B6478" s="48">
        <f t="shared" si="20"/>
        <v>190</v>
      </c>
      <c r="C6478" s="59" t="s">
        <v>13435</v>
      </c>
      <c r="D6478" s="84" t="s">
        <v>11172</v>
      </c>
      <c r="E6478" s="45" t="s">
        <v>15967</v>
      </c>
      <c r="F6478" s="45" t="s">
        <v>15971</v>
      </c>
      <c r="G6478" s="45" t="s">
        <v>15969</v>
      </c>
      <c r="H6478" s="546">
        <v>103500.94</v>
      </c>
      <c r="I6478" s="47">
        <v>45235</v>
      </c>
      <c r="J6478" s="73" t="s">
        <v>15972</v>
      </c>
      <c r="K6478" s="45"/>
      <c r="M6478" s="385"/>
      <c r="N6478" s="75"/>
      <c r="O6478" s="45" t="s">
        <v>156</v>
      </c>
      <c r="P6478" s="58" t="s">
        <v>73</v>
      </c>
      <c r="Q6478" s="45" t="s">
        <v>13</v>
      </c>
      <c r="R6478" s="45" t="s">
        <v>265</v>
      </c>
    </row>
    <row r="6479" spans="1:18" s="98" customFormat="1" ht="69" customHeight="1">
      <c r="A6479" s="169"/>
      <c r="B6479" s="48">
        <f t="shared" si="20"/>
        <v>191</v>
      </c>
      <c r="C6479" s="59" t="s">
        <v>13435</v>
      </c>
      <c r="D6479" s="84" t="s">
        <v>15770</v>
      </c>
      <c r="E6479" s="45" t="s">
        <v>15967</v>
      </c>
      <c r="F6479" s="45" t="s">
        <v>15973</v>
      </c>
      <c r="G6479" s="45" t="s">
        <v>15969</v>
      </c>
      <c r="H6479" s="546">
        <v>382261.1</v>
      </c>
      <c r="I6479" s="47">
        <v>45235</v>
      </c>
      <c r="J6479" s="73" t="s">
        <v>15972</v>
      </c>
      <c r="K6479" s="45"/>
      <c r="M6479" s="385"/>
      <c r="N6479" s="75"/>
      <c r="O6479" s="45" t="s">
        <v>156</v>
      </c>
      <c r="P6479" s="58" t="s">
        <v>73</v>
      </c>
      <c r="Q6479" s="45" t="s">
        <v>13</v>
      </c>
      <c r="R6479" s="45" t="s">
        <v>265</v>
      </c>
    </row>
    <row r="6480" spans="1:18" s="98" customFormat="1" ht="69" customHeight="1">
      <c r="A6480" s="169"/>
      <c r="B6480" s="48">
        <f t="shared" si="20"/>
        <v>192</v>
      </c>
      <c r="C6480" s="59" t="s">
        <v>13435</v>
      </c>
      <c r="D6480" s="84" t="s">
        <v>11175</v>
      </c>
      <c r="E6480" s="45" t="s">
        <v>15967</v>
      </c>
      <c r="F6480" s="45" t="s">
        <v>15974</v>
      </c>
      <c r="G6480" s="45" t="s">
        <v>15969</v>
      </c>
      <c r="H6480" s="546">
        <v>358189.4</v>
      </c>
      <c r="I6480" s="47">
        <v>45235</v>
      </c>
      <c r="J6480" s="73" t="s">
        <v>15972</v>
      </c>
      <c r="K6480" s="45"/>
      <c r="M6480" s="385"/>
      <c r="N6480" s="75"/>
      <c r="O6480" s="45" t="s">
        <v>156</v>
      </c>
      <c r="P6480" s="58" t="s">
        <v>73</v>
      </c>
      <c r="Q6480" s="45" t="s">
        <v>13</v>
      </c>
      <c r="R6480" s="45" t="s">
        <v>265</v>
      </c>
    </row>
    <row r="6481" spans="1:18" s="98" customFormat="1" ht="69" customHeight="1">
      <c r="A6481" s="169"/>
      <c r="B6481" s="48">
        <f t="shared" ref="B6481:B6544" si="21">B6480+1</f>
        <v>193</v>
      </c>
      <c r="C6481" s="59" t="s">
        <v>1853</v>
      </c>
      <c r="D6481" s="84" t="s">
        <v>15975</v>
      </c>
      <c r="E6481" s="45" t="s">
        <v>4173</v>
      </c>
      <c r="F6481" s="45" t="s">
        <v>15976</v>
      </c>
      <c r="G6481" s="45" t="s">
        <v>15977</v>
      </c>
      <c r="H6481" s="546">
        <v>25000</v>
      </c>
      <c r="I6481" s="47">
        <v>45235</v>
      </c>
      <c r="J6481" s="73" t="s">
        <v>15978</v>
      </c>
      <c r="K6481" s="45"/>
      <c r="M6481" s="385"/>
      <c r="N6481" s="75"/>
      <c r="O6481" s="45" t="s">
        <v>14459</v>
      </c>
      <c r="P6481" s="45" t="s">
        <v>22</v>
      </c>
      <c r="Q6481" s="45" t="s">
        <v>29</v>
      </c>
      <c r="R6481" s="45" t="s">
        <v>265</v>
      </c>
    </row>
    <row r="6482" spans="1:18" s="98" customFormat="1" ht="69" customHeight="1">
      <c r="A6482" s="169"/>
      <c r="B6482" s="48">
        <f t="shared" si="21"/>
        <v>194</v>
      </c>
      <c r="C6482" s="59" t="s">
        <v>15979</v>
      </c>
      <c r="D6482" s="84" t="s">
        <v>11179</v>
      </c>
      <c r="E6482" s="45" t="s">
        <v>4173</v>
      </c>
      <c r="F6482" s="45" t="s">
        <v>15980</v>
      </c>
      <c r="G6482" s="45" t="s">
        <v>15981</v>
      </c>
      <c r="H6482" s="546">
        <v>29543.64</v>
      </c>
      <c r="I6482" s="47">
        <v>45235</v>
      </c>
      <c r="J6482" s="73" t="s">
        <v>15982</v>
      </c>
      <c r="K6482" s="45"/>
      <c r="M6482" s="385"/>
      <c r="N6482" s="75"/>
      <c r="O6482" s="45" t="s">
        <v>14459</v>
      </c>
      <c r="P6482" s="45" t="s">
        <v>22</v>
      </c>
      <c r="Q6482" s="45" t="s">
        <v>33</v>
      </c>
      <c r="R6482" s="45" t="s">
        <v>265</v>
      </c>
    </row>
    <row r="6483" spans="1:18" s="98" customFormat="1" ht="69" customHeight="1">
      <c r="A6483" s="169"/>
      <c r="B6483" s="48">
        <f t="shared" si="21"/>
        <v>195</v>
      </c>
      <c r="C6483" s="59" t="s">
        <v>458</v>
      </c>
      <c r="D6483" s="84" t="s">
        <v>15975</v>
      </c>
      <c r="E6483" s="45" t="s">
        <v>11417</v>
      </c>
      <c r="F6483" s="45" t="s">
        <v>15983</v>
      </c>
      <c r="G6483" s="45" t="s">
        <v>15984</v>
      </c>
      <c r="H6483" s="546">
        <v>48783</v>
      </c>
      <c r="I6483" s="47">
        <v>45235</v>
      </c>
      <c r="J6483" s="73" t="s">
        <v>15985</v>
      </c>
      <c r="K6483" s="45"/>
      <c r="M6483" s="385"/>
      <c r="N6483" s="75"/>
      <c r="O6483" s="45" t="s">
        <v>147</v>
      </c>
      <c r="P6483" s="45" t="s">
        <v>22</v>
      </c>
      <c r="Q6483" s="45" t="s">
        <v>122</v>
      </c>
      <c r="R6483" s="45" t="s">
        <v>265</v>
      </c>
    </row>
    <row r="6484" spans="1:18" s="98" customFormat="1" ht="69" customHeight="1">
      <c r="A6484" s="169"/>
      <c r="B6484" s="48">
        <f t="shared" si="21"/>
        <v>196</v>
      </c>
      <c r="C6484" s="59" t="s">
        <v>15979</v>
      </c>
      <c r="D6484" s="84" t="s">
        <v>15986</v>
      </c>
      <c r="E6484" s="45" t="s">
        <v>4173</v>
      </c>
      <c r="F6484" s="45" t="s">
        <v>15987</v>
      </c>
      <c r="G6484" s="45" t="s">
        <v>15988</v>
      </c>
      <c r="H6484" s="546">
        <v>29000</v>
      </c>
      <c r="I6484" s="47">
        <v>45235</v>
      </c>
      <c r="J6484" s="73" t="s">
        <v>15989</v>
      </c>
      <c r="K6484" s="45"/>
      <c r="M6484" s="385"/>
      <c r="N6484" s="75"/>
      <c r="O6484" s="45" t="s">
        <v>14459</v>
      </c>
      <c r="P6484" s="45" t="s">
        <v>22</v>
      </c>
      <c r="Q6484" s="45" t="s">
        <v>33</v>
      </c>
      <c r="R6484" s="45" t="s">
        <v>265</v>
      </c>
    </row>
    <row r="6485" spans="1:18" s="98" customFormat="1" ht="69" customHeight="1">
      <c r="A6485" s="169"/>
      <c r="B6485" s="48">
        <f t="shared" si="21"/>
        <v>197</v>
      </c>
      <c r="C6485" s="44" t="s">
        <v>2182</v>
      </c>
      <c r="D6485" s="84" t="s">
        <v>15990</v>
      </c>
      <c r="E6485" s="55" t="s">
        <v>266</v>
      </c>
      <c r="F6485" s="45" t="s">
        <v>15991</v>
      </c>
      <c r="G6485" s="45" t="s">
        <v>15992</v>
      </c>
      <c r="H6485" s="546">
        <v>16015.67</v>
      </c>
      <c r="I6485" s="47">
        <v>45235</v>
      </c>
      <c r="J6485" s="73" t="s">
        <v>15993</v>
      </c>
      <c r="K6485" s="45"/>
      <c r="M6485" s="385"/>
      <c r="N6485" s="75"/>
      <c r="O6485" s="45" t="s">
        <v>13808</v>
      </c>
      <c r="P6485" s="45" t="s">
        <v>22</v>
      </c>
      <c r="Q6485" s="45" t="s">
        <v>31</v>
      </c>
      <c r="R6485" s="45" t="s">
        <v>265</v>
      </c>
    </row>
    <row r="6486" spans="1:18" s="98" customFormat="1" ht="69" customHeight="1">
      <c r="A6486" s="169"/>
      <c r="B6486" s="52">
        <f t="shared" si="21"/>
        <v>198</v>
      </c>
      <c r="C6486" s="191" t="s">
        <v>15979</v>
      </c>
      <c r="D6486" s="251" t="s">
        <v>11207</v>
      </c>
      <c r="E6486" s="53" t="s">
        <v>266</v>
      </c>
      <c r="F6486" s="46" t="s">
        <v>15994</v>
      </c>
      <c r="G6486" s="46" t="s">
        <v>15992</v>
      </c>
      <c r="H6486" s="534">
        <v>16015.67</v>
      </c>
      <c r="I6486" s="56">
        <v>45235</v>
      </c>
      <c r="J6486" s="199" t="s">
        <v>15993</v>
      </c>
      <c r="K6486" s="46" t="s">
        <v>167</v>
      </c>
      <c r="M6486" s="385"/>
      <c r="N6486" s="75"/>
      <c r="O6486" s="46" t="s">
        <v>13808</v>
      </c>
      <c r="P6486" s="46" t="s">
        <v>65</v>
      </c>
      <c r="Q6486" s="46" t="s">
        <v>33</v>
      </c>
      <c r="R6486" s="46" t="s">
        <v>272</v>
      </c>
    </row>
    <row r="6487" spans="1:18" s="98" customFormat="1" ht="69" customHeight="1">
      <c r="A6487" s="169"/>
      <c r="B6487" s="52">
        <f t="shared" si="21"/>
        <v>199</v>
      </c>
      <c r="C6487" s="191" t="s">
        <v>1853</v>
      </c>
      <c r="D6487" s="251" t="s">
        <v>15802</v>
      </c>
      <c r="E6487" s="53" t="s">
        <v>266</v>
      </c>
      <c r="F6487" s="46" t="s">
        <v>15995</v>
      </c>
      <c r="G6487" s="46" t="s">
        <v>15992</v>
      </c>
      <c r="H6487" s="534">
        <v>16015.67</v>
      </c>
      <c r="I6487" s="56">
        <v>45235</v>
      </c>
      <c r="J6487" s="199" t="s">
        <v>15993</v>
      </c>
      <c r="K6487" s="46" t="s">
        <v>167</v>
      </c>
      <c r="M6487" s="385"/>
      <c r="N6487" s="75"/>
      <c r="O6487" s="46" t="s">
        <v>13808</v>
      </c>
      <c r="P6487" s="46" t="s">
        <v>65</v>
      </c>
      <c r="Q6487" s="46" t="s">
        <v>29</v>
      </c>
      <c r="R6487" s="46" t="s">
        <v>272</v>
      </c>
    </row>
    <row r="6488" spans="1:18" s="98" customFormat="1" ht="69" customHeight="1">
      <c r="A6488" s="169"/>
      <c r="B6488" s="48">
        <f t="shared" si="21"/>
        <v>200</v>
      </c>
      <c r="C6488" s="45" t="s">
        <v>5558</v>
      </c>
      <c r="D6488" s="84" t="s">
        <v>15996</v>
      </c>
      <c r="E6488" s="59" t="s">
        <v>382</v>
      </c>
      <c r="F6488" s="45" t="s">
        <v>15997</v>
      </c>
      <c r="G6488" s="45" t="s">
        <v>14549</v>
      </c>
      <c r="H6488" s="546">
        <v>5821.02</v>
      </c>
      <c r="I6488" s="47">
        <v>45235</v>
      </c>
      <c r="J6488" s="73" t="s">
        <v>15998</v>
      </c>
      <c r="K6488" s="45"/>
      <c r="M6488" s="385"/>
      <c r="N6488" s="75"/>
      <c r="O6488" s="45" t="s">
        <v>150</v>
      </c>
      <c r="P6488" s="45" t="s">
        <v>51</v>
      </c>
      <c r="Q6488" s="45" t="s">
        <v>64</v>
      </c>
      <c r="R6488" s="45" t="s">
        <v>265</v>
      </c>
    </row>
    <row r="6489" spans="1:18" s="98" customFormat="1" ht="69" customHeight="1">
      <c r="A6489" s="169"/>
      <c r="B6489" s="48">
        <f t="shared" si="21"/>
        <v>201</v>
      </c>
      <c r="C6489" s="59" t="s">
        <v>6693</v>
      </c>
      <c r="D6489" s="84" t="s">
        <v>15999</v>
      </c>
      <c r="E6489" s="59" t="s">
        <v>11794</v>
      </c>
      <c r="F6489" s="569" t="s">
        <v>16000</v>
      </c>
      <c r="G6489" s="45" t="s">
        <v>15544</v>
      </c>
      <c r="H6489" s="546">
        <v>18000</v>
      </c>
      <c r="I6489" s="47">
        <v>45245</v>
      </c>
      <c r="J6489" s="73" t="s">
        <v>16001</v>
      </c>
      <c r="K6489" s="45"/>
      <c r="M6489" s="385"/>
      <c r="N6489" s="75"/>
      <c r="O6489" s="45" t="s">
        <v>971</v>
      </c>
      <c r="P6489" s="45" t="s">
        <v>38</v>
      </c>
      <c r="Q6489" s="45" t="s">
        <v>78</v>
      </c>
      <c r="R6489" s="45" t="s">
        <v>272</v>
      </c>
    </row>
    <row r="6490" spans="1:18" s="98" customFormat="1" ht="69" customHeight="1">
      <c r="A6490" s="169"/>
      <c r="B6490" s="48">
        <f t="shared" si="21"/>
        <v>202</v>
      </c>
      <c r="C6490" s="59" t="s">
        <v>5558</v>
      </c>
      <c r="D6490" s="581" t="s">
        <v>16002</v>
      </c>
      <c r="E6490" s="59" t="s">
        <v>11537</v>
      </c>
      <c r="F6490" s="45" t="s">
        <v>16003</v>
      </c>
      <c r="G6490" s="45" t="s">
        <v>16004</v>
      </c>
      <c r="H6490" s="546">
        <f>135438.73-1250</f>
        <v>134188.73000000001</v>
      </c>
      <c r="I6490" s="47">
        <v>45245</v>
      </c>
      <c r="J6490" s="73" t="s">
        <v>16005</v>
      </c>
      <c r="K6490" s="45" t="s">
        <v>16006</v>
      </c>
      <c r="M6490" s="385"/>
      <c r="N6490" s="75"/>
      <c r="O6490" s="45" t="s">
        <v>175</v>
      </c>
      <c r="P6490" s="45" t="s">
        <v>59</v>
      </c>
      <c r="Q6490" s="45" t="s">
        <v>64</v>
      </c>
      <c r="R6490" s="45" t="s">
        <v>272</v>
      </c>
    </row>
    <row r="6491" spans="1:18" s="98" customFormat="1" ht="69" customHeight="1">
      <c r="A6491" s="169"/>
      <c r="B6491" s="48">
        <f t="shared" si="21"/>
        <v>203</v>
      </c>
      <c r="C6491" s="59" t="s">
        <v>10937</v>
      </c>
      <c r="D6491" s="84" t="s">
        <v>3621</v>
      </c>
      <c r="E6491" s="45" t="s">
        <v>16007</v>
      </c>
      <c r="F6491" s="45" t="s">
        <v>16008</v>
      </c>
      <c r="G6491" s="45" t="s">
        <v>16009</v>
      </c>
      <c r="H6491" s="546">
        <v>106294</v>
      </c>
      <c r="I6491" s="47">
        <v>45243</v>
      </c>
      <c r="J6491" s="73" t="s">
        <v>16010</v>
      </c>
      <c r="K6491" s="45"/>
      <c r="M6491" s="385"/>
      <c r="N6491" s="75"/>
      <c r="O6491" s="45" t="s">
        <v>141</v>
      </c>
      <c r="P6491" s="45" t="s">
        <v>19</v>
      </c>
      <c r="Q6491" s="45" t="s">
        <v>104</v>
      </c>
      <c r="R6491" s="45" t="s">
        <v>265</v>
      </c>
    </row>
    <row r="6492" spans="1:18" s="98" customFormat="1" ht="69" customHeight="1">
      <c r="A6492" s="169"/>
      <c r="B6492" s="48">
        <f t="shared" si="21"/>
        <v>204</v>
      </c>
      <c r="C6492" s="59" t="s">
        <v>657</v>
      </c>
      <c r="D6492" s="84" t="s">
        <v>2399</v>
      </c>
      <c r="E6492" s="55" t="s">
        <v>16011</v>
      </c>
      <c r="F6492" s="45" t="s">
        <v>16012</v>
      </c>
      <c r="G6492" s="45" t="s">
        <v>16013</v>
      </c>
      <c r="H6492" s="546">
        <v>7808</v>
      </c>
      <c r="I6492" s="47">
        <v>45245</v>
      </c>
      <c r="J6492" s="73" t="s">
        <v>16014</v>
      </c>
      <c r="K6492" s="45"/>
      <c r="M6492" s="385"/>
      <c r="N6492" s="75"/>
      <c r="O6492" s="45" t="s">
        <v>150</v>
      </c>
      <c r="P6492" s="45" t="s">
        <v>51</v>
      </c>
      <c r="Q6492" s="45" t="s">
        <v>102</v>
      </c>
      <c r="R6492" s="45" t="s">
        <v>272</v>
      </c>
    </row>
    <row r="6493" spans="1:18" s="98" customFormat="1" ht="69" customHeight="1">
      <c r="A6493" s="169"/>
      <c r="B6493" s="48">
        <f t="shared" si="21"/>
        <v>205</v>
      </c>
      <c r="C6493" s="59" t="s">
        <v>657</v>
      </c>
      <c r="D6493" s="84" t="s">
        <v>2658</v>
      </c>
      <c r="E6493" s="55" t="s">
        <v>16011</v>
      </c>
      <c r="F6493" s="45" t="s">
        <v>16015</v>
      </c>
      <c r="G6493" s="45" t="s">
        <v>16013</v>
      </c>
      <c r="H6493" s="546">
        <v>7808</v>
      </c>
      <c r="I6493" s="47">
        <v>45245</v>
      </c>
      <c r="J6493" s="73" t="s">
        <v>16014</v>
      </c>
      <c r="K6493" s="45"/>
      <c r="M6493" s="385"/>
      <c r="N6493" s="75"/>
      <c r="O6493" s="45" t="s">
        <v>150</v>
      </c>
      <c r="P6493" s="45" t="s">
        <v>51</v>
      </c>
      <c r="Q6493" s="45" t="s">
        <v>106</v>
      </c>
      <c r="R6493" s="45" t="s">
        <v>272</v>
      </c>
    </row>
    <row r="6494" spans="1:18" s="98" customFormat="1" ht="69" customHeight="1">
      <c r="A6494" s="169"/>
      <c r="B6494" s="48">
        <f t="shared" si="21"/>
        <v>206</v>
      </c>
      <c r="C6494" s="59" t="s">
        <v>657</v>
      </c>
      <c r="D6494" s="84" t="s">
        <v>2887</v>
      </c>
      <c r="E6494" s="55" t="s">
        <v>16011</v>
      </c>
      <c r="F6494" s="45" t="s">
        <v>16016</v>
      </c>
      <c r="G6494" s="45" t="s">
        <v>16013</v>
      </c>
      <c r="H6494" s="546">
        <v>2000</v>
      </c>
      <c r="I6494" s="47">
        <v>45245</v>
      </c>
      <c r="J6494" s="73" t="s">
        <v>16014</v>
      </c>
      <c r="K6494" s="45"/>
      <c r="M6494" s="385"/>
      <c r="N6494" s="75"/>
      <c r="O6494" s="45" t="s">
        <v>150</v>
      </c>
      <c r="P6494" s="45" t="s">
        <v>51</v>
      </c>
      <c r="Q6494" s="45" t="s">
        <v>106</v>
      </c>
      <c r="R6494" s="45" t="s">
        <v>272</v>
      </c>
    </row>
    <row r="6495" spans="1:18" s="98" customFormat="1" ht="69" customHeight="1">
      <c r="A6495" s="169"/>
      <c r="B6495" s="48">
        <f t="shared" si="21"/>
        <v>207</v>
      </c>
      <c r="C6495" s="59" t="s">
        <v>458</v>
      </c>
      <c r="D6495" s="84" t="s">
        <v>11525</v>
      </c>
      <c r="E6495" s="55" t="s">
        <v>16011</v>
      </c>
      <c r="F6495" s="45" t="s">
        <v>16017</v>
      </c>
      <c r="G6495" s="45" t="s">
        <v>16013</v>
      </c>
      <c r="H6495" s="546">
        <v>7808</v>
      </c>
      <c r="I6495" s="47">
        <v>45245</v>
      </c>
      <c r="J6495" s="73" t="s">
        <v>16014</v>
      </c>
      <c r="K6495" s="45"/>
      <c r="M6495" s="385"/>
      <c r="N6495" s="75"/>
      <c r="O6495" s="45" t="s">
        <v>150</v>
      </c>
      <c r="P6495" s="45" t="s">
        <v>51</v>
      </c>
      <c r="Q6495" s="45" t="s">
        <v>101</v>
      </c>
      <c r="R6495" s="45" t="s">
        <v>272</v>
      </c>
    </row>
    <row r="6496" spans="1:18" s="98" customFormat="1" ht="69" customHeight="1">
      <c r="A6496" s="169"/>
      <c r="B6496" s="48">
        <f t="shared" si="21"/>
        <v>208</v>
      </c>
      <c r="C6496" s="59" t="s">
        <v>458</v>
      </c>
      <c r="D6496" s="84" t="s">
        <v>11536</v>
      </c>
      <c r="E6496" s="55" t="s">
        <v>16011</v>
      </c>
      <c r="F6496" s="45" t="s">
        <v>16018</v>
      </c>
      <c r="G6496" s="45" t="s">
        <v>16013</v>
      </c>
      <c r="H6496" s="546">
        <v>2000</v>
      </c>
      <c r="I6496" s="47">
        <v>45245</v>
      </c>
      <c r="J6496" s="73" t="s">
        <v>16014</v>
      </c>
      <c r="K6496" s="45"/>
      <c r="M6496" s="385"/>
      <c r="N6496" s="75"/>
      <c r="O6496" s="45" t="s">
        <v>150</v>
      </c>
      <c r="P6496" s="45" t="s">
        <v>51</v>
      </c>
      <c r="Q6496" s="45" t="s">
        <v>101</v>
      </c>
      <c r="R6496" s="45" t="s">
        <v>272</v>
      </c>
    </row>
    <row r="6497" spans="1:18" s="98" customFormat="1" ht="69" customHeight="1">
      <c r="A6497" s="169"/>
      <c r="B6497" s="48">
        <f t="shared" si="21"/>
        <v>209</v>
      </c>
      <c r="C6497" s="59" t="s">
        <v>309</v>
      </c>
      <c r="D6497" s="84" t="s">
        <v>16019</v>
      </c>
      <c r="E6497" s="55" t="s">
        <v>16011</v>
      </c>
      <c r="F6497" s="45" t="s">
        <v>16020</v>
      </c>
      <c r="G6497" s="45" t="s">
        <v>16013</v>
      </c>
      <c r="H6497" s="546">
        <v>7808</v>
      </c>
      <c r="I6497" s="47">
        <v>45245</v>
      </c>
      <c r="J6497" s="73" t="s">
        <v>16014</v>
      </c>
      <c r="K6497" s="45"/>
      <c r="M6497" s="385"/>
      <c r="N6497" s="75"/>
      <c r="O6497" s="45" t="s">
        <v>150</v>
      </c>
      <c r="P6497" s="45" t="s">
        <v>51</v>
      </c>
      <c r="Q6497" s="45" t="s">
        <v>20</v>
      </c>
      <c r="R6497" s="45" t="s">
        <v>272</v>
      </c>
    </row>
    <row r="6498" spans="1:18" s="98" customFormat="1" ht="69" customHeight="1">
      <c r="A6498" s="169"/>
      <c r="B6498" s="48">
        <f t="shared" si="21"/>
        <v>210</v>
      </c>
      <c r="C6498" s="59" t="s">
        <v>309</v>
      </c>
      <c r="D6498" s="84" t="s">
        <v>16021</v>
      </c>
      <c r="E6498" s="55" t="s">
        <v>16011</v>
      </c>
      <c r="F6498" s="45" t="s">
        <v>16022</v>
      </c>
      <c r="G6498" s="45" t="s">
        <v>16013</v>
      </c>
      <c r="H6498" s="546">
        <v>7808</v>
      </c>
      <c r="I6498" s="47">
        <v>45245</v>
      </c>
      <c r="J6498" s="73" t="s">
        <v>16014</v>
      </c>
      <c r="K6498" s="45"/>
      <c r="M6498" s="385"/>
      <c r="N6498" s="75"/>
      <c r="O6498" s="45" t="s">
        <v>150</v>
      </c>
      <c r="P6498" s="45" t="s">
        <v>51</v>
      </c>
      <c r="Q6498" s="45" t="s">
        <v>25</v>
      </c>
      <c r="R6498" s="45" t="s">
        <v>272</v>
      </c>
    </row>
    <row r="6499" spans="1:18" s="98" customFormat="1" ht="69" customHeight="1">
      <c r="A6499" s="169"/>
      <c r="B6499" s="48">
        <f t="shared" si="21"/>
        <v>211</v>
      </c>
      <c r="C6499" s="59" t="s">
        <v>309</v>
      </c>
      <c r="D6499" s="84" t="s">
        <v>16023</v>
      </c>
      <c r="E6499" s="55" t="s">
        <v>16011</v>
      </c>
      <c r="F6499" s="45" t="s">
        <v>16024</v>
      </c>
      <c r="G6499" s="45" t="s">
        <v>16013</v>
      </c>
      <c r="H6499" s="546">
        <v>2000</v>
      </c>
      <c r="I6499" s="47">
        <v>45245</v>
      </c>
      <c r="J6499" s="73" t="s">
        <v>16014</v>
      </c>
      <c r="K6499" s="45"/>
      <c r="M6499" s="385"/>
      <c r="N6499" s="75"/>
      <c r="O6499" s="45" t="s">
        <v>150</v>
      </c>
      <c r="P6499" s="45" t="s">
        <v>51</v>
      </c>
      <c r="Q6499" s="45" t="s">
        <v>20</v>
      </c>
      <c r="R6499" s="45" t="s">
        <v>272</v>
      </c>
    </row>
    <row r="6500" spans="1:18" s="98" customFormat="1" ht="69" customHeight="1">
      <c r="A6500" s="169"/>
      <c r="B6500" s="48">
        <f t="shared" si="21"/>
        <v>212</v>
      </c>
      <c r="C6500" s="59" t="s">
        <v>309</v>
      </c>
      <c r="D6500" s="84" t="s">
        <v>16025</v>
      </c>
      <c r="E6500" s="55" t="s">
        <v>16011</v>
      </c>
      <c r="F6500" s="45" t="s">
        <v>16026</v>
      </c>
      <c r="G6500" s="45" t="s">
        <v>16013</v>
      </c>
      <c r="H6500" s="546">
        <v>2000</v>
      </c>
      <c r="I6500" s="47">
        <v>45245</v>
      </c>
      <c r="J6500" s="73" t="s">
        <v>16014</v>
      </c>
      <c r="K6500" s="45"/>
      <c r="M6500" s="385"/>
      <c r="N6500" s="75"/>
      <c r="O6500" s="45" t="s">
        <v>150</v>
      </c>
      <c r="P6500" s="45" t="s">
        <v>51</v>
      </c>
      <c r="Q6500" s="45" t="s">
        <v>25</v>
      </c>
      <c r="R6500" s="45" t="s">
        <v>272</v>
      </c>
    </row>
    <row r="6501" spans="1:18" s="98" customFormat="1" ht="69" customHeight="1">
      <c r="A6501" s="169"/>
      <c r="B6501" s="52">
        <f t="shared" si="21"/>
        <v>213</v>
      </c>
      <c r="C6501" s="191" t="s">
        <v>7452</v>
      </c>
      <c r="D6501" s="251" t="s">
        <v>16027</v>
      </c>
      <c r="E6501" s="53" t="s">
        <v>16011</v>
      </c>
      <c r="F6501" s="46" t="s">
        <v>16028</v>
      </c>
      <c r="G6501" s="46" t="s">
        <v>16029</v>
      </c>
      <c r="H6501" s="534">
        <v>5094.3999999999996</v>
      </c>
      <c r="I6501" s="56">
        <v>45245</v>
      </c>
      <c r="J6501" s="199" t="s">
        <v>16030</v>
      </c>
      <c r="K6501" s="893" t="s">
        <v>16031</v>
      </c>
      <c r="M6501" s="385"/>
      <c r="N6501" s="75"/>
      <c r="O6501" s="46" t="s">
        <v>150</v>
      </c>
      <c r="P6501" s="46" t="s">
        <v>65</v>
      </c>
      <c r="Q6501" s="46" t="s">
        <v>101</v>
      </c>
      <c r="R6501" s="46" t="s">
        <v>272</v>
      </c>
    </row>
    <row r="6502" spans="1:18" s="98" customFormat="1" ht="69" customHeight="1">
      <c r="A6502" s="169"/>
      <c r="B6502" s="52">
        <f t="shared" si="21"/>
        <v>214</v>
      </c>
      <c r="C6502" s="191" t="s">
        <v>7521</v>
      </c>
      <c r="D6502" s="251" t="s">
        <v>3139</v>
      </c>
      <c r="E6502" s="53" t="s">
        <v>16011</v>
      </c>
      <c r="F6502" s="46" t="s">
        <v>16032</v>
      </c>
      <c r="G6502" s="46" t="s">
        <v>16029</v>
      </c>
      <c r="H6502" s="534">
        <v>5094.3999999999996</v>
      </c>
      <c r="I6502" s="56">
        <v>45245</v>
      </c>
      <c r="J6502" s="199" t="s">
        <v>16030</v>
      </c>
      <c r="K6502" s="46" t="s">
        <v>16031</v>
      </c>
      <c r="M6502" s="385"/>
      <c r="N6502" s="75"/>
      <c r="O6502" s="46" t="s">
        <v>150</v>
      </c>
      <c r="P6502" s="46" t="s">
        <v>65</v>
      </c>
      <c r="Q6502" s="46" t="s">
        <v>102</v>
      </c>
      <c r="R6502" s="46" t="s">
        <v>272</v>
      </c>
    </row>
    <row r="6503" spans="1:18" s="98" customFormat="1" ht="69" customHeight="1">
      <c r="A6503" s="169"/>
      <c r="B6503" s="48">
        <f t="shared" si="21"/>
        <v>215</v>
      </c>
      <c r="C6503" s="44" t="s">
        <v>7189</v>
      </c>
      <c r="D6503" s="84" t="s">
        <v>10687</v>
      </c>
      <c r="E6503" s="45" t="s">
        <v>15436</v>
      </c>
      <c r="F6503" s="45" t="s">
        <v>16033</v>
      </c>
      <c r="G6503" s="45" t="s">
        <v>16034</v>
      </c>
      <c r="H6503" s="546">
        <v>80734.95</v>
      </c>
      <c r="I6503" s="47">
        <v>45257</v>
      </c>
      <c r="J6503" s="73" t="s">
        <v>16035</v>
      </c>
      <c r="K6503" s="45" t="s">
        <v>96</v>
      </c>
      <c r="M6503" s="385"/>
      <c r="N6503" s="75"/>
      <c r="O6503" s="45" t="s">
        <v>15440</v>
      </c>
      <c r="P6503" s="45" t="s">
        <v>55</v>
      </c>
      <c r="Q6503" s="45" t="s">
        <v>97</v>
      </c>
      <c r="R6503" s="45" t="s">
        <v>272</v>
      </c>
    </row>
    <row r="6504" spans="1:18" s="98" customFormat="1" ht="69" customHeight="1">
      <c r="A6504" s="169"/>
      <c r="B6504" s="48">
        <f t="shared" si="21"/>
        <v>216</v>
      </c>
      <c r="C6504" s="59" t="s">
        <v>11908</v>
      </c>
      <c r="D6504" s="84" t="s">
        <v>16036</v>
      </c>
      <c r="E6504" s="45" t="s">
        <v>15436</v>
      </c>
      <c r="F6504" s="45" t="s">
        <v>16037</v>
      </c>
      <c r="G6504" s="45" t="s">
        <v>15438</v>
      </c>
      <c r="H6504" s="546">
        <v>73979.63</v>
      </c>
      <c r="I6504" s="47">
        <v>45246</v>
      </c>
      <c r="J6504" s="73" t="s">
        <v>16035</v>
      </c>
      <c r="K6504" s="45" t="s">
        <v>96</v>
      </c>
      <c r="M6504" s="385"/>
      <c r="N6504" s="75"/>
      <c r="O6504" s="45" t="s">
        <v>15440</v>
      </c>
      <c r="P6504" s="45" t="s">
        <v>55</v>
      </c>
      <c r="Q6504" s="45" t="s">
        <v>103</v>
      </c>
      <c r="R6504" s="45" t="s">
        <v>272</v>
      </c>
    </row>
    <row r="6505" spans="1:18" s="98" customFormat="1" ht="69" customHeight="1">
      <c r="A6505" s="169"/>
      <c r="B6505" s="48">
        <f t="shared" si="21"/>
        <v>217</v>
      </c>
      <c r="C6505" s="44" t="s">
        <v>13435</v>
      </c>
      <c r="D6505" s="84" t="s">
        <v>11240</v>
      </c>
      <c r="E6505" s="45" t="s">
        <v>15436</v>
      </c>
      <c r="F6505" s="45" t="s">
        <v>16038</v>
      </c>
      <c r="G6505" s="45" t="s">
        <v>15438</v>
      </c>
      <c r="H6505" s="546">
        <v>62103.64</v>
      </c>
      <c r="I6505" s="47">
        <v>45245</v>
      </c>
      <c r="J6505" s="73" t="s">
        <v>16035</v>
      </c>
      <c r="K6505" s="45"/>
      <c r="M6505" s="385"/>
      <c r="N6505" s="75"/>
      <c r="O6505" s="45" t="s">
        <v>15440</v>
      </c>
      <c r="P6505" s="45" t="s">
        <v>55</v>
      </c>
      <c r="Q6505" s="45" t="s">
        <v>13</v>
      </c>
      <c r="R6505" s="45" t="s">
        <v>272</v>
      </c>
    </row>
    <row r="6506" spans="1:18" s="98" customFormat="1" ht="69" customHeight="1">
      <c r="A6506" s="169"/>
      <c r="B6506" s="48">
        <f t="shared" si="21"/>
        <v>218</v>
      </c>
      <c r="C6506" s="59" t="s">
        <v>581</v>
      </c>
      <c r="D6506" s="84" t="s">
        <v>11252</v>
      </c>
      <c r="E6506" s="45" t="s">
        <v>15436</v>
      </c>
      <c r="F6506" s="45" t="s">
        <v>16039</v>
      </c>
      <c r="G6506" s="45" t="s">
        <v>15438</v>
      </c>
      <c r="H6506" s="546">
        <v>65417.07</v>
      </c>
      <c r="I6506" s="47">
        <v>45245</v>
      </c>
      <c r="J6506" s="73" t="s">
        <v>16035</v>
      </c>
      <c r="K6506" s="45"/>
      <c r="M6506" s="385"/>
      <c r="N6506" s="75"/>
      <c r="O6506" s="45" t="s">
        <v>15440</v>
      </c>
      <c r="P6506" s="45" t="s">
        <v>55</v>
      </c>
      <c r="Q6506" s="45" t="s">
        <v>18</v>
      </c>
      <c r="R6506" s="45" t="s">
        <v>272</v>
      </c>
    </row>
    <row r="6507" spans="1:18" s="98" customFormat="1" ht="69" customHeight="1">
      <c r="A6507" s="169"/>
      <c r="B6507" s="48">
        <f t="shared" si="21"/>
        <v>219</v>
      </c>
      <c r="C6507" s="44" t="s">
        <v>12295</v>
      </c>
      <c r="D6507" s="84" t="s">
        <v>16040</v>
      </c>
      <c r="E6507" s="45" t="s">
        <v>15436</v>
      </c>
      <c r="F6507" s="45" t="s">
        <v>16041</v>
      </c>
      <c r="G6507" s="45" t="s">
        <v>15438</v>
      </c>
      <c r="H6507" s="546">
        <v>64137.7</v>
      </c>
      <c r="I6507" s="47">
        <v>45247</v>
      </c>
      <c r="J6507" s="73" t="s">
        <v>16035</v>
      </c>
      <c r="K6507" s="45" t="s">
        <v>96</v>
      </c>
      <c r="M6507" s="385"/>
      <c r="N6507" s="75"/>
      <c r="O6507" s="45" t="s">
        <v>15440</v>
      </c>
      <c r="P6507" s="45" t="s">
        <v>55</v>
      </c>
      <c r="Q6507" s="45" t="s">
        <v>68</v>
      </c>
      <c r="R6507" s="45" t="s">
        <v>272</v>
      </c>
    </row>
    <row r="6508" spans="1:18" s="98" customFormat="1" ht="69" customHeight="1">
      <c r="A6508" s="169"/>
      <c r="B6508" s="48">
        <f t="shared" si="21"/>
        <v>220</v>
      </c>
      <c r="C6508" s="44" t="s">
        <v>16042</v>
      </c>
      <c r="D6508" s="84" t="s">
        <v>16043</v>
      </c>
      <c r="E6508" s="45" t="s">
        <v>15436</v>
      </c>
      <c r="F6508" s="45" t="s">
        <v>16044</v>
      </c>
      <c r="G6508" s="45" t="s">
        <v>15438</v>
      </c>
      <c r="H6508" s="546">
        <v>65417.07</v>
      </c>
      <c r="I6508" s="47">
        <v>45257</v>
      </c>
      <c r="J6508" s="73" t="s">
        <v>16035</v>
      </c>
      <c r="K6508" s="45" t="s">
        <v>96</v>
      </c>
      <c r="M6508" s="385"/>
      <c r="N6508" s="75"/>
      <c r="O6508" s="45" t="s">
        <v>15440</v>
      </c>
      <c r="P6508" s="45" t="s">
        <v>55</v>
      </c>
      <c r="Q6508" s="45" t="s">
        <v>70</v>
      </c>
      <c r="R6508" s="45" t="s">
        <v>272</v>
      </c>
    </row>
    <row r="6509" spans="1:18" s="98" customFormat="1" ht="69" customHeight="1">
      <c r="A6509" s="169"/>
      <c r="B6509" s="48">
        <f t="shared" si="21"/>
        <v>221</v>
      </c>
      <c r="C6509" s="45" t="s">
        <v>6062</v>
      </c>
      <c r="D6509" s="84" t="s">
        <v>16045</v>
      </c>
      <c r="E6509" s="45" t="s">
        <v>15436</v>
      </c>
      <c r="F6509" s="45" t="s">
        <v>16046</v>
      </c>
      <c r="G6509" s="45" t="s">
        <v>15438</v>
      </c>
      <c r="H6509" s="546">
        <v>65815.360000000001</v>
      </c>
      <c r="I6509" s="47">
        <v>45247</v>
      </c>
      <c r="J6509" s="73" t="s">
        <v>16035</v>
      </c>
      <c r="K6509" s="45" t="s">
        <v>96</v>
      </c>
      <c r="M6509" s="385"/>
      <c r="N6509" s="75"/>
      <c r="O6509" s="45" t="s">
        <v>15440</v>
      </c>
      <c r="P6509" s="45" t="s">
        <v>55</v>
      </c>
      <c r="Q6509" s="45" t="s">
        <v>72</v>
      </c>
      <c r="R6509" s="45" t="s">
        <v>272</v>
      </c>
    </row>
    <row r="6510" spans="1:18" s="98" customFormat="1" ht="69" customHeight="1">
      <c r="A6510" s="169"/>
      <c r="B6510" s="48">
        <f t="shared" si="21"/>
        <v>222</v>
      </c>
      <c r="C6510" s="59" t="s">
        <v>8797</v>
      </c>
      <c r="D6510" s="84" t="s">
        <v>3871</v>
      </c>
      <c r="E6510" s="45" t="s">
        <v>15436</v>
      </c>
      <c r="F6510" s="45" t="s">
        <v>16047</v>
      </c>
      <c r="G6510" s="45" t="s">
        <v>15438</v>
      </c>
      <c r="H6510" s="546">
        <v>74764.91</v>
      </c>
      <c r="I6510" s="47">
        <v>45245</v>
      </c>
      <c r="J6510" s="73" t="s">
        <v>16035</v>
      </c>
      <c r="K6510" s="45"/>
      <c r="M6510" s="385"/>
      <c r="N6510" s="75"/>
      <c r="O6510" s="45" t="s">
        <v>15440</v>
      </c>
      <c r="P6510" s="45" t="s">
        <v>55</v>
      </c>
      <c r="Q6510" s="45" t="s">
        <v>110</v>
      </c>
      <c r="R6510" s="45" t="s">
        <v>272</v>
      </c>
    </row>
    <row r="6511" spans="1:18" s="98" customFormat="1" ht="69" customHeight="1">
      <c r="A6511" s="169"/>
      <c r="B6511" s="48">
        <f t="shared" si="21"/>
        <v>223</v>
      </c>
      <c r="C6511" s="44" t="s">
        <v>1853</v>
      </c>
      <c r="D6511" s="84" t="s">
        <v>15736</v>
      </c>
      <c r="E6511" s="45" t="s">
        <v>15436</v>
      </c>
      <c r="F6511" s="45" t="s">
        <v>16048</v>
      </c>
      <c r="G6511" s="45" t="s">
        <v>15438</v>
      </c>
      <c r="H6511" s="546">
        <v>65815.360000000001</v>
      </c>
      <c r="I6511" s="47">
        <v>45246</v>
      </c>
      <c r="J6511" s="73" t="s">
        <v>16035</v>
      </c>
      <c r="K6511" s="45" t="s">
        <v>96</v>
      </c>
      <c r="M6511" s="385"/>
      <c r="N6511" s="75"/>
      <c r="O6511" s="45" t="s">
        <v>15440</v>
      </c>
      <c r="P6511" s="45" t="s">
        <v>55</v>
      </c>
      <c r="Q6511" s="45" t="s">
        <v>29</v>
      </c>
      <c r="R6511" s="45" t="s">
        <v>272</v>
      </c>
    </row>
    <row r="6512" spans="1:18" s="98" customFormat="1" ht="69" customHeight="1">
      <c r="A6512" s="169"/>
      <c r="B6512" s="48">
        <f t="shared" si="21"/>
        <v>224</v>
      </c>
      <c r="C6512" s="59" t="s">
        <v>2182</v>
      </c>
      <c r="D6512" s="84" t="s">
        <v>16049</v>
      </c>
      <c r="E6512" s="45" t="s">
        <v>15436</v>
      </c>
      <c r="F6512" s="45" t="s">
        <v>16050</v>
      </c>
      <c r="G6512" s="45" t="s">
        <v>15438</v>
      </c>
      <c r="H6512" s="546">
        <v>72419.600000000006</v>
      </c>
      <c r="I6512" s="47">
        <v>45246</v>
      </c>
      <c r="J6512" s="73" t="s">
        <v>16035</v>
      </c>
      <c r="K6512" s="45" t="s">
        <v>96</v>
      </c>
      <c r="M6512" s="385"/>
      <c r="N6512" s="75"/>
      <c r="O6512" s="45" t="s">
        <v>15440</v>
      </c>
      <c r="P6512" s="45" t="s">
        <v>55</v>
      </c>
      <c r="Q6512" s="45" t="s">
        <v>31</v>
      </c>
      <c r="R6512" s="45" t="s">
        <v>272</v>
      </c>
    </row>
    <row r="6513" spans="1:18" s="98" customFormat="1" ht="69" customHeight="1">
      <c r="A6513" s="169"/>
      <c r="B6513" s="48">
        <f t="shared" si="21"/>
        <v>225</v>
      </c>
      <c r="C6513" s="44" t="s">
        <v>14414</v>
      </c>
      <c r="D6513" s="84" t="s">
        <v>11261</v>
      </c>
      <c r="E6513" s="45" t="s">
        <v>15436</v>
      </c>
      <c r="F6513" s="45" t="s">
        <v>16051</v>
      </c>
      <c r="G6513" s="45" t="s">
        <v>15438</v>
      </c>
      <c r="H6513" s="546">
        <v>62103.64</v>
      </c>
      <c r="I6513" s="47">
        <v>45245</v>
      </c>
      <c r="J6513" s="73" t="s">
        <v>16035</v>
      </c>
      <c r="K6513" s="45"/>
      <c r="M6513" s="385"/>
      <c r="N6513" s="75"/>
      <c r="O6513" s="45" t="s">
        <v>15440</v>
      </c>
      <c r="P6513" s="45" t="s">
        <v>55</v>
      </c>
      <c r="Q6513" s="45" t="s">
        <v>33</v>
      </c>
      <c r="R6513" s="45" t="s">
        <v>272</v>
      </c>
    </row>
    <row r="6514" spans="1:18" s="98" customFormat="1" ht="69" customHeight="1">
      <c r="A6514" s="169"/>
      <c r="B6514" s="48">
        <f t="shared" si="21"/>
        <v>226</v>
      </c>
      <c r="C6514" s="44" t="s">
        <v>11050</v>
      </c>
      <c r="D6514" s="84" t="s">
        <v>11273</v>
      </c>
      <c r="E6514" s="45" t="s">
        <v>15436</v>
      </c>
      <c r="F6514" s="45" t="s">
        <v>16052</v>
      </c>
      <c r="G6514" s="45" t="s">
        <v>15438</v>
      </c>
      <c r="H6514" s="546">
        <v>65417.07</v>
      </c>
      <c r="I6514" s="47">
        <v>45246</v>
      </c>
      <c r="J6514" s="73" t="s">
        <v>16035</v>
      </c>
      <c r="K6514" s="45" t="s">
        <v>96</v>
      </c>
      <c r="M6514" s="385"/>
      <c r="N6514" s="75"/>
      <c r="O6514" s="45" t="s">
        <v>15440</v>
      </c>
      <c r="P6514" s="45" t="s">
        <v>55</v>
      </c>
      <c r="Q6514" s="45" t="s">
        <v>35</v>
      </c>
      <c r="R6514" s="45" t="s">
        <v>272</v>
      </c>
    </row>
    <row r="6515" spans="1:18" s="98" customFormat="1" ht="69" customHeight="1">
      <c r="A6515" s="169"/>
      <c r="B6515" s="48">
        <f t="shared" si="21"/>
        <v>227</v>
      </c>
      <c r="C6515" s="45" t="s">
        <v>11052</v>
      </c>
      <c r="D6515" s="84" t="s">
        <v>11278</v>
      </c>
      <c r="E6515" s="45" t="s">
        <v>15436</v>
      </c>
      <c r="F6515" s="45" t="s">
        <v>16053</v>
      </c>
      <c r="G6515" s="45" t="s">
        <v>15438</v>
      </c>
      <c r="H6515" s="546">
        <v>59746.25</v>
      </c>
      <c r="I6515" s="47">
        <v>45245</v>
      </c>
      <c r="J6515" s="73" t="s">
        <v>16035</v>
      </c>
      <c r="K6515" s="45"/>
      <c r="M6515" s="385"/>
      <c r="N6515" s="75"/>
      <c r="O6515" s="45" t="s">
        <v>15440</v>
      </c>
      <c r="P6515" s="45" t="s">
        <v>55</v>
      </c>
      <c r="Q6515" s="45" t="s">
        <v>37</v>
      </c>
      <c r="R6515" s="45" t="s">
        <v>272</v>
      </c>
    </row>
    <row r="6516" spans="1:18" s="98" customFormat="1" ht="69" customHeight="1">
      <c r="A6516" s="169"/>
      <c r="B6516" s="48">
        <f t="shared" si="21"/>
        <v>228</v>
      </c>
      <c r="C6516" s="59" t="s">
        <v>6261</v>
      </c>
      <c r="D6516" s="84" t="s">
        <v>16054</v>
      </c>
      <c r="E6516" s="45" t="s">
        <v>15436</v>
      </c>
      <c r="F6516" s="45" t="s">
        <v>16055</v>
      </c>
      <c r="G6516" s="45" t="s">
        <v>15438</v>
      </c>
      <c r="H6516" s="546">
        <v>67560.23</v>
      </c>
      <c r="I6516" s="47">
        <v>45247</v>
      </c>
      <c r="J6516" s="73" t="s">
        <v>16035</v>
      </c>
      <c r="K6516" s="45" t="s">
        <v>96</v>
      </c>
      <c r="M6516" s="385"/>
      <c r="N6516" s="75"/>
      <c r="O6516" s="45" t="s">
        <v>15440</v>
      </c>
      <c r="P6516" s="45" t="s">
        <v>55</v>
      </c>
      <c r="Q6516" s="45" t="s">
        <v>74</v>
      </c>
      <c r="R6516" s="45" t="s">
        <v>272</v>
      </c>
    </row>
    <row r="6517" spans="1:18" s="98" customFormat="1" ht="69" customHeight="1">
      <c r="A6517" s="169"/>
      <c r="B6517" s="48">
        <f t="shared" si="21"/>
        <v>229</v>
      </c>
      <c r="C6517" s="44" t="s">
        <v>6468</v>
      </c>
      <c r="D6517" s="84" t="s">
        <v>16056</v>
      </c>
      <c r="E6517" s="45" t="s">
        <v>15436</v>
      </c>
      <c r="F6517" s="45" t="s">
        <v>16057</v>
      </c>
      <c r="G6517" s="45" t="s">
        <v>15438</v>
      </c>
      <c r="H6517" s="546">
        <v>78704.91</v>
      </c>
      <c r="I6517" s="47">
        <v>45247</v>
      </c>
      <c r="J6517" s="73" t="s">
        <v>16035</v>
      </c>
      <c r="K6517" s="45" t="s">
        <v>96</v>
      </c>
      <c r="M6517" s="385"/>
      <c r="N6517" s="75"/>
      <c r="O6517" s="45" t="s">
        <v>15440</v>
      </c>
      <c r="P6517" s="45" t="s">
        <v>55</v>
      </c>
      <c r="Q6517" s="45" t="s">
        <v>76</v>
      </c>
      <c r="R6517" s="45" t="s">
        <v>272</v>
      </c>
    </row>
    <row r="6518" spans="1:18" s="98" customFormat="1" ht="69" customHeight="1">
      <c r="A6518" s="169"/>
      <c r="B6518" s="48">
        <f t="shared" si="21"/>
        <v>230</v>
      </c>
      <c r="C6518" s="59" t="s">
        <v>6693</v>
      </c>
      <c r="D6518" s="84" t="s">
        <v>16058</v>
      </c>
      <c r="E6518" s="45" t="s">
        <v>15436</v>
      </c>
      <c r="F6518" s="45" t="s">
        <v>16059</v>
      </c>
      <c r="G6518" s="45" t="s">
        <v>15438</v>
      </c>
      <c r="H6518" s="546">
        <v>72460.23</v>
      </c>
      <c r="I6518" s="47">
        <v>45247</v>
      </c>
      <c r="J6518" s="73" t="s">
        <v>16035</v>
      </c>
      <c r="K6518" s="45" t="s">
        <v>96</v>
      </c>
      <c r="M6518" s="385"/>
      <c r="N6518" s="75"/>
      <c r="O6518" s="45" t="s">
        <v>15440</v>
      </c>
      <c r="P6518" s="45" t="s">
        <v>55</v>
      </c>
      <c r="Q6518" s="45" t="s">
        <v>78</v>
      </c>
      <c r="R6518" s="45" t="s">
        <v>272</v>
      </c>
    </row>
    <row r="6519" spans="1:18" s="98" customFormat="1" ht="69" customHeight="1">
      <c r="A6519" s="169"/>
      <c r="B6519" s="48">
        <f t="shared" si="21"/>
        <v>231</v>
      </c>
      <c r="C6519" s="44" t="s">
        <v>11055</v>
      </c>
      <c r="D6519" s="84" t="s">
        <v>11288</v>
      </c>
      <c r="E6519" s="45" t="s">
        <v>15436</v>
      </c>
      <c r="F6519" s="45" t="s">
        <v>16060</v>
      </c>
      <c r="G6519" s="45" t="s">
        <v>15438</v>
      </c>
      <c r="H6519" s="546">
        <v>59746.25</v>
      </c>
      <c r="I6519" s="47">
        <v>45245</v>
      </c>
      <c r="J6519" s="73" t="s">
        <v>16035</v>
      </c>
      <c r="K6519" s="45"/>
      <c r="M6519" s="385"/>
      <c r="N6519" s="75"/>
      <c r="O6519" s="45" t="s">
        <v>15440</v>
      </c>
      <c r="P6519" s="45" t="s">
        <v>55</v>
      </c>
      <c r="Q6519" s="45" t="s">
        <v>45</v>
      </c>
      <c r="R6519" s="45" t="s">
        <v>272</v>
      </c>
    </row>
    <row r="6520" spans="1:18" s="98" customFormat="1" ht="69" customHeight="1">
      <c r="A6520" s="169"/>
      <c r="B6520" s="48">
        <f t="shared" si="21"/>
        <v>232</v>
      </c>
      <c r="C6520" s="44" t="s">
        <v>9094</v>
      </c>
      <c r="D6520" s="84" t="s">
        <v>11302</v>
      </c>
      <c r="E6520" s="45" t="s">
        <v>15436</v>
      </c>
      <c r="F6520" s="45" t="s">
        <v>16061</v>
      </c>
      <c r="G6520" s="45" t="s">
        <v>15438</v>
      </c>
      <c r="H6520" s="546">
        <v>59746.25</v>
      </c>
      <c r="I6520" s="47">
        <v>45245</v>
      </c>
      <c r="J6520" s="73" t="s">
        <v>16035</v>
      </c>
      <c r="K6520" s="45"/>
      <c r="M6520" s="385"/>
      <c r="N6520" s="75"/>
      <c r="O6520" s="45" t="s">
        <v>15440</v>
      </c>
      <c r="P6520" s="45" t="s">
        <v>55</v>
      </c>
      <c r="Q6520" s="45" t="s">
        <v>112</v>
      </c>
      <c r="R6520" s="45" t="s">
        <v>272</v>
      </c>
    </row>
    <row r="6521" spans="1:18" s="98" customFormat="1" ht="69" customHeight="1">
      <c r="A6521" s="169"/>
      <c r="B6521" s="48">
        <f t="shared" si="21"/>
        <v>233</v>
      </c>
      <c r="C6521" s="59" t="s">
        <v>11933</v>
      </c>
      <c r="D6521" s="84" t="s">
        <v>11551</v>
      </c>
      <c r="E6521" s="45" t="s">
        <v>15436</v>
      </c>
      <c r="F6521" s="45" t="s">
        <v>16062</v>
      </c>
      <c r="G6521" s="45" t="s">
        <v>15438</v>
      </c>
      <c r="H6521" s="546">
        <v>77398.210000000006</v>
      </c>
      <c r="I6521" s="47">
        <v>45245</v>
      </c>
      <c r="J6521" s="73" t="s">
        <v>16035</v>
      </c>
      <c r="K6521" s="45"/>
      <c r="M6521" s="385"/>
      <c r="N6521" s="75"/>
      <c r="O6521" s="45" t="s">
        <v>15440</v>
      </c>
      <c r="P6521" s="45" t="s">
        <v>55</v>
      </c>
      <c r="Q6521" s="45" t="s">
        <v>123</v>
      </c>
      <c r="R6521" s="45" t="s">
        <v>272</v>
      </c>
    </row>
    <row r="6522" spans="1:18" s="98" customFormat="1" ht="69" customHeight="1">
      <c r="A6522" s="169"/>
      <c r="B6522" s="48">
        <f t="shared" si="21"/>
        <v>234</v>
      </c>
      <c r="C6522" s="59" t="s">
        <v>13562</v>
      </c>
      <c r="D6522" s="84" t="s">
        <v>11555</v>
      </c>
      <c r="E6522" s="45" t="s">
        <v>15436</v>
      </c>
      <c r="F6522" s="45" t="s">
        <v>16063</v>
      </c>
      <c r="G6522" s="45" t="s">
        <v>15438</v>
      </c>
      <c r="H6522" s="546">
        <v>74764.91</v>
      </c>
      <c r="I6522" s="47">
        <v>45245</v>
      </c>
      <c r="J6522" s="73" t="s">
        <v>16035</v>
      </c>
      <c r="K6522" s="45"/>
      <c r="M6522" s="385"/>
      <c r="N6522" s="75"/>
      <c r="O6522" s="45" t="s">
        <v>15440</v>
      </c>
      <c r="P6522" s="45" t="s">
        <v>55</v>
      </c>
      <c r="Q6522" s="45" t="s">
        <v>88</v>
      </c>
      <c r="R6522" s="45" t="s">
        <v>272</v>
      </c>
    </row>
    <row r="6523" spans="1:18" s="98" customFormat="1" ht="69" customHeight="1">
      <c r="A6523" s="169"/>
      <c r="B6523" s="48">
        <f t="shared" si="21"/>
        <v>235</v>
      </c>
      <c r="C6523" s="59" t="s">
        <v>9215</v>
      </c>
      <c r="D6523" s="84" t="s">
        <v>11557</v>
      </c>
      <c r="E6523" s="45" t="s">
        <v>15436</v>
      </c>
      <c r="F6523" s="45" t="s">
        <v>16064</v>
      </c>
      <c r="G6523" s="45" t="s">
        <v>15438</v>
      </c>
      <c r="H6523" s="546">
        <v>72419.600000000006</v>
      </c>
      <c r="I6523" s="47">
        <v>45245</v>
      </c>
      <c r="J6523" s="73" t="s">
        <v>16035</v>
      </c>
      <c r="K6523" s="45"/>
      <c r="M6523" s="385"/>
      <c r="N6523" s="75"/>
      <c r="O6523" s="45" t="s">
        <v>15440</v>
      </c>
      <c r="P6523" s="45" t="s">
        <v>55</v>
      </c>
      <c r="Q6523" s="45" t="s">
        <v>113</v>
      </c>
      <c r="R6523" s="45" t="s">
        <v>272</v>
      </c>
    </row>
    <row r="6524" spans="1:18" s="98" customFormat="1" ht="69" customHeight="1">
      <c r="A6524" s="169"/>
      <c r="B6524" s="48">
        <f t="shared" si="21"/>
        <v>236</v>
      </c>
      <c r="C6524" s="59" t="s">
        <v>11908</v>
      </c>
      <c r="D6524" s="84" t="s">
        <v>11547</v>
      </c>
      <c r="E6524" s="45" t="s">
        <v>16065</v>
      </c>
      <c r="F6524" s="45" t="s">
        <v>16066</v>
      </c>
      <c r="G6524" s="45" t="s">
        <v>16067</v>
      </c>
      <c r="H6524" s="546">
        <v>103872.73</v>
      </c>
      <c r="I6524" s="47">
        <v>45235</v>
      </c>
      <c r="J6524" s="73" t="s">
        <v>16068</v>
      </c>
      <c r="K6524" s="45"/>
      <c r="M6524" s="385"/>
      <c r="N6524" s="75"/>
      <c r="O6524" s="45" t="s">
        <v>16069</v>
      </c>
      <c r="P6524" s="45" t="s">
        <v>57</v>
      </c>
      <c r="Q6524" s="45" t="s">
        <v>103</v>
      </c>
      <c r="R6524" s="45" t="s">
        <v>272</v>
      </c>
    </row>
    <row r="6525" spans="1:18" s="98" customFormat="1" ht="69" customHeight="1">
      <c r="A6525" s="169"/>
      <c r="B6525" s="48">
        <f t="shared" si="21"/>
        <v>237</v>
      </c>
      <c r="C6525" s="59" t="s">
        <v>10937</v>
      </c>
      <c r="D6525" s="84" t="s">
        <v>3328</v>
      </c>
      <c r="E6525" s="45" t="s">
        <v>16065</v>
      </c>
      <c r="F6525" s="45" t="s">
        <v>16070</v>
      </c>
      <c r="G6525" s="45" t="s">
        <v>16071</v>
      </c>
      <c r="H6525" s="546">
        <v>115941.86</v>
      </c>
      <c r="I6525" s="47">
        <v>45235</v>
      </c>
      <c r="J6525" s="73" t="s">
        <v>16068</v>
      </c>
      <c r="K6525" s="45"/>
      <c r="M6525" s="397"/>
      <c r="N6525" s="80"/>
      <c r="O6525" s="45" t="s">
        <v>16069</v>
      </c>
      <c r="P6525" s="45" t="s">
        <v>57</v>
      </c>
      <c r="Q6525" s="45" t="s">
        <v>104</v>
      </c>
      <c r="R6525" s="45" t="s">
        <v>272</v>
      </c>
    </row>
    <row r="6526" spans="1:18" s="98" customFormat="1" ht="69" customHeight="1">
      <c r="A6526" s="169"/>
      <c r="B6526" s="48">
        <f t="shared" si="21"/>
        <v>238</v>
      </c>
      <c r="C6526" s="59" t="s">
        <v>3667</v>
      </c>
      <c r="D6526" s="84" t="s">
        <v>16072</v>
      </c>
      <c r="E6526" s="45" t="s">
        <v>16073</v>
      </c>
      <c r="F6526" s="45" t="s">
        <v>16074</v>
      </c>
      <c r="G6526" s="45" t="s">
        <v>16075</v>
      </c>
      <c r="H6526" s="546">
        <v>132853.04</v>
      </c>
      <c r="I6526" s="47">
        <v>45245</v>
      </c>
      <c r="J6526" s="73" t="s">
        <v>16076</v>
      </c>
      <c r="K6526" s="45"/>
      <c r="M6526" s="121"/>
      <c r="N6526" s="116"/>
      <c r="O6526" s="45" t="s">
        <v>192</v>
      </c>
      <c r="P6526" s="45" t="s">
        <v>57</v>
      </c>
      <c r="Q6526" s="45" t="s">
        <v>86</v>
      </c>
      <c r="R6526" s="45" t="s">
        <v>272</v>
      </c>
    </row>
    <row r="6527" spans="1:18" s="98" customFormat="1" ht="69" customHeight="1">
      <c r="A6527" s="169"/>
      <c r="B6527" s="52">
        <f t="shared" si="21"/>
        <v>239</v>
      </c>
      <c r="C6527" s="191" t="s">
        <v>8057</v>
      </c>
      <c r="D6527" s="251" t="s">
        <v>11560</v>
      </c>
      <c r="E6527" s="46" t="s">
        <v>16077</v>
      </c>
      <c r="F6527" s="251" t="s">
        <v>16078</v>
      </c>
      <c r="G6527" s="46" t="s">
        <v>16079</v>
      </c>
      <c r="H6527" s="534">
        <v>4647.8100000000004</v>
      </c>
      <c r="I6527" s="56">
        <v>45245</v>
      </c>
      <c r="J6527" s="199" t="s">
        <v>16080</v>
      </c>
      <c r="K6527" s="46" t="s">
        <v>65</v>
      </c>
      <c r="M6527" s="71"/>
      <c r="N6527" s="81"/>
      <c r="O6527" s="46" t="s">
        <v>8228</v>
      </c>
      <c r="P6527" s="46" t="s">
        <v>65</v>
      </c>
      <c r="Q6527" s="46" t="s">
        <v>105</v>
      </c>
      <c r="R6527" s="46" t="s">
        <v>272</v>
      </c>
    </row>
    <row r="6528" spans="1:18" s="98" customFormat="1" ht="69" customHeight="1">
      <c r="A6528" s="169"/>
      <c r="B6528" s="52">
        <f t="shared" si="21"/>
        <v>240</v>
      </c>
      <c r="C6528" s="191" t="s">
        <v>8057</v>
      </c>
      <c r="D6528" s="251" t="s">
        <v>16081</v>
      </c>
      <c r="E6528" s="46" t="s">
        <v>16077</v>
      </c>
      <c r="F6528" s="251" t="s">
        <v>16082</v>
      </c>
      <c r="G6528" s="46" t="s">
        <v>16079</v>
      </c>
      <c r="H6528" s="534">
        <v>18591.240000000002</v>
      </c>
      <c r="I6528" s="56">
        <v>45245</v>
      </c>
      <c r="J6528" s="199" t="s">
        <v>16080</v>
      </c>
      <c r="K6528" s="46" t="s">
        <v>65</v>
      </c>
      <c r="M6528" s="71"/>
      <c r="N6528" s="81"/>
      <c r="O6528" s="46" t="s">
        <v>8228</v>
      </c>
      <c r="P6528" s="46" t="s">
        <v>65</v>
      </c>
      <c r="Q6528" s="46" t="s">
        <v>105</v>
      </c>
      <c r="R6528" s="46" t="s">
        <v>272</v>
      </c>
    </row>
    <row r="6529" spans="1:18" s="98" customFormat="1" ht="69" customHeight="1">
      <c r="A6529" s="169"/>
      <c r="B6529" s="48">
        <f t="shared" si="21"/>
        <v>241</v>
      </c>
      <c r="C6529" s="45" t="s">
        <v>458</v>
      </c>
      <c r="D6529" s="84" t="s">
        <v>11562</v>
      </c>
      <c r="E6529" s="55" t="s">
        <v>4651</v>
      </c>
      <c r="F6529" s="45" t="s">
        <v>16083</v>
      </c>
      <c r="G6529" s="45" t="s">
        <v>16084</v>
      </c>
      <c r="H6529" s="546">
        <v>139195.07999999999</v>
      </c>
      <c r="I6529" s="47">
        <v>45245</v>
      </c>
      <c r="J6529" s="73" t="s">
        <v>16085</v>
      </c>
      <c r="K6529" s="45"/>
      <c r="M6529" s="71"/>
      <c r="N6529" s="81"/>
      <c r="O6529" s="45" t="s">
        <v>141</v>
      </c>
      <c r="P6529" s="45" t="s">
        <v>19</v>
      </c>
      <c r="Q6529" s="45" t="s">
        <v>123</v>
      </c>
      <c r="R6529" s="45" t="s">
        <v>265</v>
      </c>
    </row>
    <row r="6530" spans="1:18" s="98" customFormat="1" ht="69" customHeight="1">
      <c r="A6530" s="169"/>
      <c r="B6530" s="48">
        <f t="shared" si="21"/>
        <v>242</v>
      </c>
      <c r="C6530" s="59" t="s">
        <v>2182</v>
      </c>
      <c r="D6530" s="84" t="s">
        <v>11311</v>
      </c>
      <c r="E6530" s="45" t="s">
        <v>4173</v>
      </c>
      <c r="F6530" s="84" t="s">
        <v>16086</v>
      </c>
      <c r="G6530" s="45" t="s">
        <v>16087</v>
      </c>
      <c r="H6530" s="546">
        <v>25000</v>
      </c>
      <c r="I6530" s="47">
        <v>45245</v>
      </c>
      <c r="J6530" s="73" t="s">
        <v>16088</v>
      </c>
      <c r="K6530" s="45"/>
      <c r="M6530" s="396"/>
      <c r="N6530" s="114"/>
      <c r="O6530" s="45" t="s">
        <v>441</v>
      </c>
      <c r="P6530" s="45" t="s">
        <v>22</v>
      </c>
      <c r="Q6530" s="45" t="s">
        <v>31</v>
      </c>
      <c r="R6530" s="45" t="s">
        <v>265</v>
      </c>
    </row>
    <row r="6531" spans="1:18" s="98" customFormat="1" ht="69" customHeight="1">
      <c r="A6531" s="169"/>
      <c r="B6531" s="48">
        <f t="shared" si="21"/>
        <v>243</v>
      </c>
      <c r="C6531" s="44" t="s">
        <v>11055</v>
      </c>
      <c r="D6531" s="84" t="s">
        <v>11313</v>
      </c>
      <c r="E6531" s="55" t="s">
        <v>10553</v>
      </c>
      <c r="F6531" s="45" t="s">
        <v>16089</v>
      </c>
      <c r="G6531" s="45" t="s">
        <v>16090</v>
      </c>
      <c r="H6531" s="546">
        <v>107227.24</v>
      </c>
      <c r="I6531" s="47">
        <v>45245</v>
      </c>
      <c r="J6531" s="73" t="s">
        <v>16091</v>
      </c>
      <c r="K6531" s="45"/>
      <c r="M6531" s="385"/>
      <c r="N6531" s="75"/>
      <c r="O6531" s="45" t="s">
        <v>147</v>
      </c>
      <c r="P6531" s="45" t="s">
        <v>22</v>
      </c>
      <c r="Q6531" s="45" t="s">
        <v>45</v>
      </c>
      <c r="R6531" s="45" t="s">
        <v>272</v>
      </c>
    </row>
    <row r="6532" spans="1:18" s="98" customFormat="1" ht="69" customHeight="1">
      <c r="A6532" s="169"/>
      <c r="B6532" s="48">
        <f t="shared" si="21"/>
        <v>244</v>
      </c>
      <c r="C6532" s="44" t="s">
        <v>11055</v>
      </c>
      <c r="D6532" s="84" t="s">
        <v>11317</v>
      </c>
      <c r="E6532" s="55" t="s">
        <v>10553</v>
      </c>
      <c r="F6532" s="45" t="s">
        <v>16092</v>
      </c>
      <c r="G6532" s="45" t="s">
        <v>16093</v>
      </c>
      <c r="H6532" s="546">
        <v>87731.38</v>
      </c>
      <c r="I6532" s="47">
        <v>45245</v>
      </c>
      <c r="J6532" s="73" t="s">
        <v>16091</v>
      </c>
      <c r="K6532" s="45"/>
      <c r="M6532" s="385"/>
      <c r="N6532" s="75"/>
      <c r="O6532" s="45" t="s">
        <v>147</v>
      </c>
      <c r="P6532" s="45" t="s">
        <v>22</v>
      </c>
      <c r="Q6532" s="45" t="s">
        <v>45</v>
      </c>
      <c r="R6532" s="45" t="s">
        <v>272</v>
      </c>
    </row>
    <row r="6533" spans="1:18" s="98" customFormat="1" ht="69" customHeight="1">
      <c r="A6533" s="169"/>
      <c r="B6533" s="48">
        <f t="shared" si="21"/>
        <v>245</v>
      </c>
      <c r="C6533" s="59" t="s">
        <v>13435</v>
      </c>
      <c r="D6533" s="84" t="s">
        <v>11319</v>
      </c>
      <c r="E6533" s="45" t="s">
        <v>4173</v>
      </c>
      <c r="F6533" s="45" t="s">
        <v>16094</v>
      </c>
      <c r="G6533" s="45" t="s">
        <v>14525</v>
      </c>
      <c r="H6533" s="546">
        <v>25000</v>
      </c>
      <c r="I6533" s="47">
        <v>45245</v>
      </c>
      <c r="J6533" s="73" t="s">
        <v>16095</v>
      </c>
      <c r="K6533" s="45"/>
      <c r="M6533" s="385"/>
      <c r="N6533" s="75"/>
      <c r="O6533" s="45" t="s">
        <v>441</v>
      </c>
      <c r="P6533" s="45" t="s">
        <v>22</v>
      </c>
      <c r="Q6533" s="45" t="s">
        <v>13</v>
      </c>
      <c r="R6533" s="45" t="s">
        <v>265</v>
      </c>
    </row>
    <row r="6534" spans="1:18" s="98" customFormat="1" ht="69" customHeight="1">
      <c r="A6534" s="169"/>
      <c r="B6534" s="48">
        <f t="shared" si="21"/>
        <v>246</v>
      </c>
      <c r="C6534" s="45" t="s">
        <v>458</v>
      </c>
      <c r="D6534" s="84" t="s">
        <v>11572</v>
      </c>
      <c r="E6534" s="44" t="s">
        <v>7649</v>
      </c>
      <c r="F6534" s="45" t="s">
        <v>16096</v>
      </c>
      <c r="G6534" s="45" t="s">
        <v>16097</v>
      </c>
      <c r="H6534" s="546">
        <v>111038.12</v>
      </c>
      <c r="I6534" s="47">
        <v>45245</v>
      </c>
      <c r="J6534" s="73" t="s">
        <v>16098</v>
      </c>
      <c r="K6534" s="45"/>
      <c r="M6534" s="385"/>
      <c r="N6534" s="75"/>
      <c r="O6534" s="45" t="s">
        <v>147</v>
      </c>
      <c r="P6534" s="45" t="s">
        <v>22</v>
      </c>
      <c r="Q6534" s="45" t="s">
        <v>113</v>
      </c>
      <c r="R6534" s="45" t="s">
        <v>272</v>
      </c>
    </row>
    <row r="6535" spans="1:18" s="98" customFormat="1" ht="69" customHeight="1">
      <c r="A6535" s="169"/>
      <c r="B6535" s="48">
        <f t="shared" si="21"/>
        <v>247</v>
      </c>
      <c r="C6535" s="45" t="s">
        <v>458</v>
      </c>
      <c r="D6535" s="84" t="s">
        <v>11574</v>
      </c>
      <c r="E6535" s="44" t="s">
        <v>7649</v>
      </c>
      <c r="F6535" s="45" t="s">
        <v>16099</v>
      </c>
      <c r="G6535" s="45" t="s">
        <v>16100</v>
      </c>
      <c r="H6535" s="546">
        <v>59789.75</v>
      </c>
      <c r="I6535" s="47">
        <v>45245</v>
      </c>
      <c r="J6535" s="73" t="s">
        <v>16098</v>
      </c>
      <c r="K6535" s="45"/>
      <c r="M6535" s="385"/>
      <c r="N6535" s="75"/>
      <c r="O6535" s="45" t="s">
        <v>147</v>
      </c>
      <c r="P6535" s="45" t="s">
        <v>22</v>
      </c>
      <c r="Q6535" s="45" t="s">
        <v>113</v>
      </c>
      <c r="R6535" s="45" t="s">
        <v>272</v>
      </c>
    </row>
    <row r="6536" spans="1:18" s="98" customFormat="1" ht="69" customHeight="1">
      <c r="A6536" s="169"/>
      <c r="B6536" s="48">
        <f t="shared" si="21"/>
        <v>248</v>
      </c>
      <c r="C6536" s="45" t="s">
        <v>458</v>
      </c>
      <c r="D6536" s="84" t="s">
        <v>11578</v>
      </c>
      <c r="E6536" s="45" t="s">
        <v>13546</v>
      </c>
      <c r="F6536" s="45" t="s">
        <v>16101</v>
      </c>
      <c r="G6536" s="45" t="s">
        <v>16102</v>
      </c>
      <c r="H6536" s="546">
        <v>26060</v>
      </c>
      <c r="I6536" s="47">
        <v>45245</v>
      </c>
      <c r="J6536" s="73" t="s">
        <v>16103</v>
      </c>
      <c r="K6536" s="45"/>
      <c r="M6536" s="385"/>
      <c r="N6536" s="75"/>
      <c r="O6536" s="45" t="s">
        <v>10607</v>
      </c>
      <c r="P6536" s="45" t="s">
        <v>22</v>
      </c>
      <c r="Q6536" s="45" t="s">
        <v>117</v>
      </c>
      <c r="R6536" s="45" t="s">
        <v>265</v>
      </c>
    </row>
    <row r="6537" spans="1:18" s="98" customFormat="1" ht="69" customHeight="1">
      <c r="A6537" s="169"/>
      <c r="B6537" s="48">
        <f t="shared" si="21"/>
        <v>249</v>
      </c>
      <c r="C6537" s="59" t="s">
        <v>3667</v>
      </c>
      <c r="D6537" s="84" t="s">
        <v>16104</v>
      </c>
      <c r="E6537" s="45" t="s">
        <v>13546</v>
      </c>
      <c r="F6537" s="45" t="s">
        <v>16105</v>
      </c>
      <c r="G6537" s="45" t="s">
        <v>16102</v>
      </c>
      <c r="H6537" s="546">
        <v>30240</v>
      </c>
      <c r="I6537" s="47">
        <v>45240</v>
      </c>
      <c r="J6537" s="73" t="s">
        <v>16103</v>
      </c>
      <c r="K6537" s="45"/>
      <c r="M6537" s="385"/>
      <c r="N6537" s="75"/>
      <c r="O6537" s="45" t="s">
        <v>10607</v>
      </c>
      <c r="P6537" s="45" t="s">
        <v>22</v>
      </c>
      <c r="Q6537" s="45" t="s">
        <v>66</v>
      </c>
      <c r="R6537" s="45" t="s">
        <v>265</v>
      </c>
    </row>
    <row r="6538" spans="1:18" s="98" customFormat="1" ht="69" customHeight="1">
      <c r="A6538" s="169"/>
      <c r="B6538" s="48">
        <f t="shared" si="21"/>
        <v>250</v>
      </c>
      <c r="C6538" s="59" t="s">
        <v>16106</v>
      </c>
      <c r="D6538" s="84" t="s">
        <v>11321</v>
      </c>
      <c r="E6538" s="45" t="s">
        <v>4033</v>
      </c>
      <c r="F6538" s="45" t="s">
        <v>16107</v>
      </c>
      <c r="G6538" s="45" t="s">
        <v>16108</v>
      </c>
      <c r="H6538" s="546">
        <v>335577.48</v>
      </c>
      <c r="I6538" s="47">
        <v>45245</v>
      </c>
      <c r="J6538" s="73" t="s">
        <v>16109</v>
      </c>
      <c r="K6538" s="45"/>
      <c r="M6538" s="385"/>
      <c r="N6538" s="75"/>
      <c r="O6538" s="45" t="s">
        <v>441</v>
      </c>
      <c r="P6538" s="45" t="s">
        <v>22</v>
      </c>
      <c r="Q6538" s="45" t="s">
        <v>33</v>
      </c>
      <c r="R6538" s="45" t="s">
        <v>272</v>
      </c>
    </row>
    <row r="6539" spans="1:18" s="98" customFormat="1" ht="69" customHeight="1">
      <c r="A6539" s="169"/>
      <c r="B6539" s="48">
        <f t="shared" si="21"/>
        <v>251</v>
      </c>
      <c r="C6539" s="59" t="s">
        <v>3667</v>
      </c>
      <c r="D6539" s="84" t="s">
        <v>16110</v>
      </c>
      <c r="E6539" s="45" t="s">
        <v>13546</v>
      </c>
      <c r="F6539" s="45" t="s">
        <v>16111</v>
      </c>
      <c r="G6539" s="45" t="s">
        <v>16112</v>
      </c>
      <c r="H6539" s="546">
        <v>45555.199999999997</v>
      </c>
      <c r="I6539" s="47">
        <v>45238</v>
      </c>
      <c r="J6539" s="73" t="s">
        <v>16113</v>
      </c>
      <c r="K6539" s="45"/>
      <c r="M6539" s="385"/>
      <c r="N6539" s="75"/>
      <c r="O6539" s="45" t="s">
        <v>10607</v>
      </c>
      <c r="P6539" s="45" t="s">
        <v>22</v>
      </c>
      <c r="Q6539" s="45" t="s">
        <v>66</v>
      </c>
      <c r="R6539" s="45" t="s">
        <v>265</v>
      </c>
    </row>
    <row r="6540" spans="1:18" s="98" customFormat="1" ht="69" customHeight="1">
      <c r="A6540" s="169"/>
      <c r="B6540" s="48">
        <f t="shared" si="21"/>
        <v>252</v>
      </c>
      <c r="C6540" s="59" t="s">
        <v>13435</v>
      </c>
      <c r="D6540" s="84" t="s">
        <v>11327</v>
      </c>
      <c r="E6540" s="45" t="s">
        <v>4173</v>
      </c>
      <c r="F6540" s="45" t="s">
        <v>16114</v>
      </c>
      <c r="G6540" s="45" t="s">
        <v>16115</v>
      </c>
      <c r="H6540" s="546">
        <v>33039</v>
      </c>
      <c r="I6540" s="47">
        <v>45224</v>
      </c>
      <c r="J6540" s="73" t="s">
        <v>16116</v>
      </c>
      <c r="K6540" s="45"/>
      <c r="M6540" s="385"/>
      <c r="N6540" s="75"/>
      <c r="O6540" s="45" t="s">
        <v>441</v>
      </c>
      <c r="P6540" s="45" t="s">
        <v>22</v>
      </c>
      <c r="Q6540" s="45" t="s">
        <v>13</v>
      </c>
      <c r="R6540" s="45" t="s">
        <v>265</v>
      </c>
    </row>
    <row r="6541" spans="1:18" s="98" customFormat="1" ht="69" customHeight="1">
      <c r="A6541" s="169"/>
      <c r="B6541" s="48">
        <f t="shared" si="21"/>
        <v>253</v>
      </c>
      <c r="C6541" s="59" t="s">
        <v>13435</v>
      </c>
      <c r="D6541" s="84" t="s">
        <v>11331</v>
      </c>
      <c r="E6541" s="45" t="s">
        <v>4173</v>
      </c>
      <c r="F6541" s="45" t="s">
        <v>16117</v>
      </c>
      <c r="G6541" s="45" t="s">
        <v>16115</v>
      </c>
      <c r="H6541" s="546">
        <v>27873</v>
      </c>
      <c r="I6541" s="47">
        <v>45224</v>
      </c>
      <c r="J6541" s="73" t="s">
        <v>16116</v>
      </c>
      <c r="K6541" s="45"/>
      <c r="M6541" s="385"/>
      <c r="N6541" s="75"/>
      <c r="O6541" s="45" t="s">
        <v>441</v>
      </c>
      <c r="P6541" s="45" t="s">
        <v>22</v>
      </c>
      <c r="Q6541" s="45" t="s">
        <v>13</v>
      </c>
      <c r="R6541" s="45" t="s">
        <v>265</v>
      </c>
    </row>
    <row r="6542" spans="1:18" s="98" customFormat="1" ht="69" customHeight="1">
      <c r="A6542" s="169"/>
      <c r="B6542" s="259">
        <f t="shared" si="21"/>
        <v>254</v>
      </c>
      <c r="C6542" s="304" t="s">
        <v>10961</v>
      </c>
      <c r="D6542" s="303" t="s">
        <v>16118</v>
      </c>
      <c r="E6542" s="290" t="s">
        <v>266</v>
      </c>
      <c r="F6542" s="160" t="s">
        <v>16119</v>
      </c>
      <c r="G6542" s="160" t="s">
        <v>16120</v>
      </c>
      <c r="H6542" s="300">
        <v>304.95999999999998</v>
      </c>
      <c r="I6542" s="209">
        <v>45243</v>
      </c>
      <c r="J6542" s="316" t="s">
        <v>16121</v>
      </c>
      <c r="K6542" s="160" t="s">
        <v>67</v>
      </c>
      <c r="M6542" s="385"/>
      <c r="N6542" s="75"/>
      <c r="O6542" s="160"/>
      <c r="P6542" s="160" t="s">
        <v>67</v>
      </c>
      <c r="Q6542" s="160" t="s">
        <v>96</v>
      </c>
      <c r="R6542" s="160" t="s">
        <v>272</v>
      </c>
    </row>
    <row r="6543" spans="1:18" s="98" customFormat="1" ht="69" customHeight="1">
      <c r="A6543" s="169"/>
      <c r="B6543" s="48">
        <f t="shared" si="21"/>
        <v>255</v>
      </c>
      <c r="C6543" s="59" t="s">
        <v>13435</v>
      </c>
      <c r="D6543" s="84" t="s">
        <v>11336</v>
      </c>
      <c r="E6543" s="45" t="s">
        <v>4173</v>
      </c>
      <c r="F6543" s="45" t="s">
        <v>16122</v>
      </c>
      <c r="G6543" s="45" t="s">
        <v>14525</v>
      </c>
      <c r="H6543" s="546">
        <v>25000</v>
      </c>
      <c r="I6543" s="47">
        <v>45245</v>
      </c>
      <c r="J6543" s="73" t="s">
        <v>16123</v>
      </c>
      <c r="K6543" s="45"/>
      <c r="M6543" s="385"/>
      <c r="N6543" s="75"/>
      <c r="O6543" s="45" t="s">
        <v>441</v>
      </c>
      <c r="P6543" s="45" t="s">
        <v>22</v>
      </c>
      <c r="Q6543" s="45" t="s">
        <v>13</v>
      </c>
      <c r="R6543" s="45" t="s">
        <v>265</v>
      </c>
    </row>
    <row r="6544" spans="1:18" s="98" customFormat="1" ht="69" customHeight="1">
      <c r="A6544" s="169"/>
      <c r="B6544" s="48">
        <f t="shared" si="21"/>
        <v>256</v>
      </c>
      <c r="C6544" s="59" t="s">
        <v>2182</v>
      </c>
      <c r="D6544" s="84" t="s">
        <v>16124</v>
      </c>
      <c r="E6544" s="45" t="s">
        <v>4173</v>
      </c>
      <c r="F6544" s="45" t="s">
        <v>16125</v>
      </c>
      <c r="G6544" s="45" t="s">
        <v>16126</v>
      </c>
      <c r="H6544" s="546">
        <v>86401</v>
      </c>
      <c r="I6544" s="47">
        <v>45224</v>
      </c>
      <c r="J6544" s="73" t="s">
        <v>16127</v>
      </c>
      <c r="K6544" s="45"/>
      <c r="M6544" s="385"/>
      <c r="N6544" s="75"/>
      <c r="O6544" s="45" t="s">
        <v>441</v>
      </c>
      <c r="P6544" s="45" t="s">
        <v>22</v>
      </c>
      <c r="Q6544" s="45" t="s">
        <v>31</v>
      </c>
      <c r="R6544" s="45" t="s">
        <v>265</v>
      </c>
    </row>
    <row r="6545" spans="1:18" s="98" customFormat="1" ht="69" customHeight="1">
      <c r="A6545" s="169"/>
      <c r="B6545" s="48">
        <f t="shared" ref="B6545:B6608" si="22">B6544+1</f>
        <v>257</v>
      </c>
      <c r="C6545" s="59" t="s">
        <v>2182</v>
      </c>
      <c r="D6545" s="84" t="s">
        <v>15911</v>
      </c>
      <c r="E6545" s="45" t="s">
        <v>4173</v>
      </c>
      <c r="F6545" s="45" t="s">
        <v>16128</v>
      </c>
      <c r="G6545" s="45" t="s">
        <v>16126</v>
      </c>
      <c r="H6545" s="546">
        <v>77387</v>
      </c>
      <c r="I6545" s="47">
        <v>45224</v>
      </c>
      <c r="J6545" s="73" t="s">
        <v>16127</v>
      </c>
      <c r="K6545" s="45"/>
      <c r="M6545" s="385"/>
      <c r="N6545" s="75"/>
      <c r="O6545" s="45" t="s">
        <v>441</v>
      </c>
      <c r="P6545" s="45" t="s">
        <v>22</v>
      </c>
      <c r="Q6545" s="45" t="s">
        <v>31</v>
      </c>
      <c r="R6545" s="45" t="s">
        <v>265</v>
      </c>
    </row>
    <row r="6546" spans="1:18" s="98" customFormat="1" ht="69" customHeight="1">
      <c r="A6546" s="169"/>
      <c r="B6546" s="259">
        <f t="shared" si="22"/>
        <v>258</v>
      </c>
      <c r="C6546" s="207" t="s">
        <v>13665</v>
      </c>
      <c r="D6546" s="303" t="s">
        <v>8267</v>
      </c>
      <c r="E6546" s="160" t="s">
        <v>266</v>
      </c>
      <c r="F6546" s="208" t="s">
        <v>16129</v>
      </c>
      <c r="G6546" s="160" t="s">
        <v>392</v>
      </c>
      <c r="H6546" s="300">
        <v>674.94</v>
      </c>
      <c r="I6546" s="209">
        <v>45224</v>
      </c>
      <c r="J6546" s="316" t="s">
        <v>16130</v>
      </c>
      <c r="K6546" s="160" t="s">
        <v>67</v>
      </c>
      <c r="M6546" s="385"/>
      <c r="N6546" s="75"/>
      <c r="O6546" s="160"/>
      <c r="P6546" s="160" t="s">
        <v>67</v>
      </c>
      <c r="Q6546" s="160" t="s">
        <v>96</v>
      </c>
      <c r="R6546" s="160" t="s">
        <v>272</v>
      </c>
    </row>
    <row r="6547" spans="1:18" s="98" customFormat="1" ht="69" customHeight="1">
      <c r="A6547" s="169"/>
      <c r="B6547" s="259">
        <f t="shared" si="22"/>
        <v>259</v>
      </c>
      <c r="C6547" s="207" t="s">
        <v>13665</v>
      </c>
      <c r="D6547" s="303" t="s">
        <v>14043</v>
      </c>
      <c r="E6547" s="160" t="s">
        <v>266</v>
      </c>
      <c r="F6547" s="208" t="s">
        <v>16131</v>
      </c>
      <c r="G6547" s="160" t="s">
        <v>392</v>
      </c>
      <c r="H6547" s="300">
        <v>230.11</v>
      </c>
      <c r="I6547" s="209">
        <v>45224</v>
      </c>
      <c r="J6547" s="316" t="s">
        <v>16130</v>
      </c>
      <c r="K6547" s="160" t="s">
        <v>67</v>
      </c>
      <c r="M6547" s="385"/>
      <c r="N6547" s="75"/>
      <c r="O6547" s="160"/>
      <c r="P6547" s="160" t="s">
        <v>67</v>
      </c>
      <c r="Q6547" s="160" t="s">
        <v>96</v>
      </c>
      <c r="R6547" s="160" t="s">
        <v>272</v>
      </c>
    </row>
    <row r="6548" spans="1:18" s="98" customFormat="1" ht="69" customHeight="1">
      <c r="A6548" s="169"/>
      <c r="B6548" s="259">
        <f t="shared" si="22"/>
        <v>260</v>
      </c>
      <c r="C6548" s="207" t="s">
        <v>13665</v>
      </c>
      <c r="D6548" s="303" t="s">
        <v>610</v>
      </c>
      <c r="E6548" s="160" t="s">
        <v>266</v>
      </c>
      <c r="F6548" s="208" t="s">
        <v>16132</v>
      </c>
      <c r="G6548" s="160" t="s">
        <v>392</v>
      </c>
      <c r="H6548" s="300">
        <v>5984.27</v>
      </c>
      <c r="I6548" s="209">
        <v>45224</v>
      </c>
      <c r="J6548" s="316" t="s">
        <v>16130</v>
      </c>
      <c r="K6548" s="160" t="s">
        <v>67</v>
      </c>
      <c r="M6548" s="385"/>
      <c r="N6548" s="75"/>
      <c r="O6548" s="160"/>
      <c r="P6548" s="160" t="s">
        <v>67</v>
      </c>
      <c r="Q6548" s="160" t="s">
        <v>96</v>
      </c>
      <c r="R6548" s="160" t="s">
        <v>272</v>
      </c>
    </row>
    <row r="6549" spans="1:18" s="98" customFormat="1" ht="69" customHeight="1">
      <c r="A6549" s="169"/>
      <c r="B6549" s="259">
        <f t="shared" si="22"/>
        <v>261</v>
      </c>
      <c r="C6549" s="207" t="s">
        <v>13665</v>
      </c>
      <c r="D6549" s="303" t="s">
        <v>469</v>
      </c>
      <c r="E6549" s="160" t="s">
        <v>266</v>
      </c>
      <c r="F6549" s="208" t="s">
        <v>16133</v>
      </c>
      <c r="G6549" s="160" t="s">
        <v>392</v>
      </c>
      <c r="H6549" s="300">
        <v>1055.1500000000001</v>
      </c>
      <c r="I6549" s="209">
        <v>45224</v>
      </c>
      <c r="J6549" s="316" t="s">
        <v>16134</v>
      </c>
      <c r="K6549" s="160" t="s">
        <v>67</v>
      </c>
      <c r="M6549" s="385"/>
      <c r="N6549" s="75"/>
      <c r="O6549" s="160"/>
      <c r="P6549" s="160" t="s">
        <v>67</v>
      </c>
      <c r="Q6549" s="160" t="s">
        <v>96</v>
      </c>
      <c r="R6549" s="160" t="s">
        <v>272</v>
      </c>
    </row>
    <row r="6550" spans="1:18" s="98" customFormat="1" ht="69" customHeight="1">
      <c r="A6550" s="169"/>
      <c r="B6550" s="259">
        <f t="shared" si="22"/>
        <v>262</v>
      </c>
      <c r="C6550" s="207" t="s">
        <v>13665</v>
      </c>
      <c r="D6550" s="303" t="s">
        <v>1659</v>
      </c>
      <c r="E6550" s="160" t="s">
        <v>266</v>
      </c>
      <c r="F6550" s="208" t="s">
        <v>16135</v>
      </c>
      <c r="G6550" s="160" t="s">
        <v>392</v>
      </c>
      <c r="H6550" s="300">
        <v>629.61</v>
      </c>
      <c r="I6550" s="209">
        <v>45224</v>
      </c>
      <c r="J6550" s="316" t="s">
        <v>16134</v>
      </c>
      <c r="K6550" s="160" t="s">
        <v>67</v>
      </c>
      <c r="M6550" s="385"/>
      <c r="N6550" s="75"/>
      <c r="O6550" s="160"/>
      <c r="P6550" s="160" t="s">
        <v>67</v>
      </c>
      <c r="Q6550" s="160" t="s">
        <v>96</v>
      </c>
      <c r="R6550" s="160" t="s">
        <v>272</v>
      </c>
    </row>
    <row r="6551" spans="1:18" s="98" customFormat="1" ht="69" customHeight="1">
      <c r="A6551" s="169"/>
      <c r="B6551" s="259">
        <f t="shared" si="22"/>
        <v>263</v>
      </c>
      <c r="C6551" s="207" t="s">
        <v>13665</v>
      </c>
      <c r="D6551" s="303" t="s">
        <v>1960</v>
      </c>
      <c r="E6551" s="160" t="s">
        <v>266</v>
      </c>
      <c r="F6551" s="208" t="s">
        <v>16136</v>
      </c>
      <c r="G6551" s="160" t="s">
        <v>392</v>
      </c>
      <c r="H6551" s="300">
        <v>674.94</v>
      </c>
      <c r="I6551" s="209">
        <v>45224</v>
      </c>
      <c r="J6551" s="316" t="s">
        <v>16134</v>
      </c>
      <c r="K6551" s="160" t="s">
        <v>67</v>
      </c>
      <c r="M6551" s="385"/>
      <c r="N6551" s="75"/>
      <c r="O6551" s="160"/>
      <c r="P6551" s="160" t="s">
        <v>67</v>
      </c>
      <c r="Q6551" s="160" t="s">
        <v>96</v>
      </c>
      <c r="R6551" s="160" t="s">
        <v>272</v>
      </c>
    </row>
    <row r="6552" spans="1:18" s="98" customFormat="1" ht="69" customHeight="1">
      <c r="A6552" s="169"/>
      <c r="B6552" s="259">
        <f t="shared" si="22"/>
        <v>264</v>
      </c>
      <c r="C6552" s="207" t="s">
        <v>13665</v>
      </c>
      <c r="D6552" s="303" t="s">
        <v>2418</v>
      </c>
      <c r="E6552" s="160" t="s">
        <v>266</v>
      </c>
      <c r="F6552" s="208" t="s">
        <v>16137</v>
      </c>
      <c r="G6552" s="160" t="s">
        <v>392</v>
      </c>
      <c r="H6552" s="300">
        <v>674.94</v>
      </c>
      <c r="I6552" s="209">
        <v>45224</v>
      </c>
      <c r="J6552" s="316" t="s">
        <v>16134</v>
      </c>
      <c r="K6552" s="160" t="s">
        <v>67</v>
      </c>
      <c r="M6552" s="385"/>
      <c r="N6552" s="75"/>
      <c r="O6552" s="160"/>
      <c r="P6552" s="160" t="s">
        <v>67</v>
      </c>
      <c r="Q6552" s="160" t="s">
        <v>96</v>
      </c>
      <c r="R6552" s="160" t="s">
        <v>272</v>
      </c>
    </row>
    <row r="6553" spans="1:18" s="98" customFormat="1" ht="69" customHeight="1">
      <c r="A6553" s="169"/>
      <c r="B6553" s="48">
        <f t="shared" si="22"/>
        <v>265</v>
      </c>
      <c r="C6553" s="59" t="s">
        <v>3667</v>
      </c>
      <c r="D6553" s="84" t="s">
        <v>16138</v>
      </c>
      <c r="E6553" s="45" t="s">
        <v>16139</v>
      </c>
      <c r="F6553" s="45" t="s">
        <v>16140</v>
      </c>
      <c r="G6553" s="45" t="s">
        <v>16141</v>
      </c>
      <c r="H6553" s="546">
        <v>12985.7</v>
      </c>
      <c r="I6553" s="47">
        <v>45245</v>
      </c>
      <c r="J6553" s="73" t="s">
        <v>16142</v>
      </c>
      <c r="K6553" s="45"/>
      <c r="M6553" s="385"/>
      <c r="N6553" s="75"/>
      <c r="O6553" s="45" t="s">
        <v>175</v>
      </c>
      <c r="P6553" s="45" t="s">
        <v>59</v>
      </c>
      <c r="Q6553" s="45" t="s">
        <v>84</v>
      </c>
      <c r="R6553" s="45" t="s">
        <v>272</v>
      </c>
    </row>
    <row r="6554" spans="1:18" s="98" customFormat="1" ht="69" customHeight="1">
      <c r="A6554" s="169"/>
      <c r="B6554" s="48">
        <f t="shared" si="22"/>
        <v>266</v>
      </c>
      <c r="C6554" s="59" t="s">
        <v>3667</v>
      </c>
      <c r="D6554" s="84" t="s">
        <v>16143</v>
      </c>
      <c r="E6554" s="45" t="s">
        <v>16144</v>
      </c>
      <c r="F6554" s="45" t="s">
        <v>16145</v>
      </c>
      <c r="G6554" s="45" t="s">
        <v>16146</v>
      </c>
      <c r="H6554" s="546">
        <v>50000</v>
      </c>
      <c r="I6554" s="47" t="s">
        <v>96</v>
      </c>
      <c r="J6554" s="73" t="s">
        <v>16142</v>
      </c>
      <c r="K6554" s="127">
        <v>45337</v>
      </c>
      <c r="M6554" s="385"/>
      <c r="N6554" s="75"/>
      <c r="O6554" s="45" t="s">
        <v>175</v>
      </c>
      <c r="P6554" s="45" t="s">
        <v>59</v>
      </c>
      <c r="Q6554" s="45" t="s">
        <v>84</v>
      </c>
      <c r="R6554" s="45" t="s">
        <v>265</v>
      </c>
    </row>
    <row r="6555" spans="1:18" s="98" customFormat="1" ht="69" customHeight="1">
      <c r="A6555" s="169"/>
      <c r="B6555" s="48">
        <f t="shared" si="22"/>
        <v>267</v>
      </c>
      <c r="C6555" s="59" t="s">
        <v>3667</v>
      </c>
      <c r="D6555" s="84" t="s">
        <v>16147</v>
      </c>
      <c r="E6555" s="45" t="s">
        <v>16144</v>
      </c>
      <c r="F6555" s="45" t="s">
        <v>16148</v>
      </c>
      <c r="G6555" s="45" t="s">
        <v>16146</v>
      </c>
      <c r="H6555" s="546">
        <v>73585.600000000006</v>
      </c>
      <c r="I6555" s="47">
        <v>45245</v>
      </c>
      <c r="J6555" s="73" t="s">
        <v>16142</v>
      </c>
      <c r="K6555" s="45"/>
      <c r="M6555" s="385"/>
      <c r="N6555" s="75"/>
      <c r="O6555" s="45" t="s">
        <v>175</v>
      </c>
      <c r="P6555" s="45" t="s">
        <v>59</v>
      </c>
      <c r="Q6555" s="45" t="s">
        <v>84</v>
      </c>
      <c r="R6555" s="45" t="s">
        <v>265</v>
      </c>
    </row>
    <row r="6556" spans="1:18" s="98" customFormat="1" ht="69" customHeight="1">
      <c r="A6556" s="169"/>
      <c r="B6556" s="259">
        <f t="shared" si="22"/>
        <v>268</v>
      </c>
      <c r="C6556" s="304" t="s">
        <v>10961</v>
      </c>
      <c r="D6556" s="303" t="s">
        <v>16149</v>
      </c>
      <c r="E6556" s="290" t="s">
        <v>266</v>
      </c>
      <c r="F6556" s="160" t="s">
        <v>16150</v>
      </c>
      <c r="G6556" s="160" t="s">
        <v>16120</v>
      </c>
      <c r="H6556" s="300">
        <v>304.95999999999998</v>
      </c>
      <c r="I6556" s="209">
        <v>45247</v>
      </c>
      <c r="J6556" s="316" t="s">
        <v>16151</v>
      </c>
      <c r="K6556" s="160" t="s">
        <v>67</v>
      </c>
      <c r="M6556" s="385"/>
      <c r="N6556" s="75"/>
      <c r="O6556" s="160"/>
      <c r="P6556" s="160" t="s">
        <v>67</v>
      </c>
      <c r="Q6556" s="160" t="s">
        <v>96</v>
      </c>
      <c r="R6556" s="160" t="s">
        <v>272</v>
      </c>
    </row>
    <row r="6557" spans="1:18" ht="69" customHeight="1">
      <c r="A6557" s="168"/>
      <c r="B6557" s="62">
        <f t="shared" si="22"/>
        <v>269</v>
      </c>
      <c r="C6557" s="59" t="s">
        <v>13435</v>
      </c>
      <c r="D6557" s="174" t="s">
        <v>11343</v>
      </c>
      <c r="E6557" s="58" t="s">
        <v>4173</v>
      </c>
      <c r="F6557" s="58" t="s">
        <v>16152</v>
      </c>
      <c r="G6557" s="58" t="s">
        <v>16153</v>
      </c>
      <c r="H6557" s="546">
        <v>25000</v>
      </c>
      <c r="I6557" s="66">
        <v>45245</v>
      </c>
      <c r="J6557" s="65" t="s">
        <v>16154</v>
      </c>
      <c r="K6557" s="58"/>
      <c r="L6557" s="99"/>
      <c r="M6557" s="70"/>
      <c r="N6557" s="97"/>
      <c r="O6557" s="58" t="s">
        <v>14459</v>
      </c>
      <c r="P6557" s="58" t="s">
        <v>22</v>
      </c>
      <c r="Q6557" s="58" t="s">
        <v>13</v>
      </c>
      <c r="R6557" s="58" t="s">
        <v>265</v>
      </c>
    </row>
    <row r="6558" spans="1:18" ht="69" customHeight="1">
      <c r="A6558" s="168"/>
      <c r="B6558" s="62">
        <f t="shared" si="22"/>
        <v>270</v>
      </c>
      <c r="C6558" s="59" t="s">
        <v>657</v>
      </c>
      <c r="D6558" s="174" t="s">
        <v>6546</v>
      </c>
      <c r="E6558" s="85" t="s">
        <v>4651</v>
      </c>
      <c r="F6558" s="58" t="s">
        <v>16155</v>
      </c>
      <c r="G6558" s="58" t="s">
        <v>16156</v>
      </c>
      <c r="H6558" s="546">
        <v>234630</v>
      </c>
      <c r="I6558" s="66">
        <v>45245</v>
      </c>
      <c r="J6558" s="65" t="s">
        <v>16157</v>
      </c>
      <c r="K6558" s="58"/>
      <c r="L6558" s="99"/>
      <c r="M6558" s="70"/>
      <c r="N6558" s="97"/>
      <c r="O6558" s="58" t="s">
        <v>141</v>
      </c>
      <c r="P6558" s="58" t="s">
        <v>19</v>
      </c>
      <c r="Q6558" s="58" t="s">
        <v>97</v>
      </c>
      <c r="R6558" s="58" t="s">
        <v>265</v>
      </c>
    </row>
    <row r="6559" spans="1:18" s="98" customFormat="1" ht="69" customHeight="1">
      <c r="A6559" s="169"/>
      <c r="B6559" s="52">
        <f t="shared" si="22"/>
        <v>271</v>
      </c>
      <c r="C6559" s="191" t="s">
        <v>309</v>
      </c>
      <c r="D6559" s="251" t="s">
        <v>11349</v>
      </c>
      <c r="E6559" s="53" t="s">
        <v>1056</v>
      </c>
      <c r="F6559" s="211" t="s">
        <v>16158</v>
      </c>
      <c r="G6559" s="46" t="s">
        <v>14864</v>
      </c>
      <c r="H6559" s="534">
        <v>8268.75</v>
      </c>
      <c r="I6559" s="56">
        <v>45245</v>
      </c>
      <c r="J6559" s="199" t="s">
        <v>16159</v>
      </c>
      <c r="K6559" s="46" t="s">
        <v>67</v>
      </c>
      <c r="M6559" s="385"/>
      <c r="N6559" s="75"/>
      <c r="O6559" s="46" t="s">
        <v>1061</v>
      </c>
      <c r="P6559" s="46" t="s">
        <v>36</v>
      </c>
      <c r="Q6559" s="46" t="s">
        <v>15</v>
      </c>
      <c r="R6559" s="46" t="s">
        <v>272</v>
      </c>
    </row>
    <row r="6560" spans="1:18" s="98" customFormat="1" ht="69" customHeight="1">
      <c r="A6560" s="169"/>
      <c r="B6560" s="52">
        <f t="shared" si="22"/>
        <v>272</v>
      </c>
      <c r="C6560" s="191" t="s">
        <v>458</v>
      </c>
      <c r="D6560" s="251" t="s">
        <v>11604</v>
      </c>
      <c r="E6560" s="53" t="s">
        <v>1056</v>
      </c>
      <c r="F6560" s="211" t="s">
        <v>16160</v>
      </c>
      <c r="G6560" s="46" t="s">
        <v>14864</v>
      </c>
      <c r="H6560" s="534">
        <v>8268.75</v>
      </c>
      <c r="I6560" s="56">
        <v>45245</v>
      </c>
      <c r="J6560" s="199" t="s">
        <v>16159</v>
      </c>
      <c r="K6560" s="46" t="s">
        <v>67</v>
      </c>
      <c r="M6560" s="385"/>
      <c r="N6560" s="75"/>
      <c r="O6560" s="46" t="s">
        <v>1061</v>
      </c>
      <c r="P6560" s="46" t="s">
        <v>36</v>
      </c>
      <c r="Q6560" s="46" t="s">
        <v>90</v>
      </c>
      <c r="R6560" s="46" t="s">
        <v>272</v>
      </c>
    </row>
    <row r="6561" spans="1:18" s="98" customFormat="1" ht="69" customHeight="1">
      <c r="A6561" s="169"/>
      <c r="B6561" s="52">
        <f t="shared" si="22"/>
        <v>273</v>
      </c>
      <c r="C6561" s="51" t="s">
        <v>657</v>
      </c>
      <c r="D6561" s="251" t="s">
        <v>6159</v>
      </c>
      <c r="E6561" s="53" t="s">
        <v>1056</v>
      </c>
      <c r="F6561" s="211" t="s">
        <v>16161</v>
      </c>
      <c r="G6561" s="46" t="s">
        <v>14864</v>
      </c>
      <c r="H6561" s="534">
        <v>5593.5</v>
      </c>
      <c r="I6561" s="56">
        <v>45245</v>
      </c>
      <c r="J6561" s="199" t="s">
        <v>16159</v>
      </c>
      <c r="K6561" s="46" t="s">
        <v>67</v>
      </c>
      <c r="M6561" s="385"/>
      <c r="N6561" s="75"/>
      <c r="O6561" s="46" t="s">
        <v>1061</v>
      </c>
      <c r="P6561" s="46" t="s">
        <v>36</v>
      </c>
      <c r="Q6561" s="46" t="s">
        <v>99</v>
      </c>
      <c r="R6561" s="46" t="s">
        <v>272</v>
      </c>
    </row>
    <row r="6562" spans="1:18" s="98" customFormat="1" ht="69" customHeight="1">
      <c r="A6562" s="169"/>
      <c r="B6562" s="52">
        <f t="shared" si="22"/>
        <v>274</v>
      </c>
      <c r="C6562" s="191" t="s">
        <v>3667</v>
      </c>
      <c r="D6562" s="251" t="s">
        <v>16162</v>
      </c>
      <c r="E6562" s="53" t="s">
        <v>1056</v>
      </c>
      <c r="F6562" s="211" t="s">
        <v>16163</v>
      </c>
      <c r="G6562" s="46" t="s">
        <v>14864</v>
      </c>
      <c r="H6562" s="534">
        <v>10584</v>
      </c>
      <c r="I6562" s="56">
        <v>45245</v>
      </c>
      <c r="J6562" s="199" t="s">
        <v>16159</v>
      </c>
      <c r="K6562" s="46" t="s">
        <v>67</v>
      </c>
      <c r="M6562" s="385"/>
      <c r="N6562" s="75"/>
      <c r="O6562" s="46" t="s">
        <v>1061</v>
      </c>
      <c r="P6562" s="46" t="s">
        <v>36</v>
      </c>
      <c r="Q6562" s="46" t="s">
        <v>49</v>
      </c>
      <c r="R6562" s="46" t="s">
        <v>272</v>
      </c>
    </row>
    <row r="6563" spans="1:18" s="98" customFormat="1" ht="69" customHeight="1">
      <c r="A6563" s="169"/>
      <c r="B6563" s="52">
        <f t="shared" si="22"/>
        <v>275</v>
      </c>
      <c r="C6563" s="191" t="s">
        <v>3667</v>
      </c>
      <c r="D6563" s="251" t="s">
        <v>16164</v>
      </c>
      <c r="E6563" s="53" t="s">
        <v>1056</v>
      </c>
      <c r="F6563" s="211" t="s">
        <v>16165</v>
      </c>
      <c r="G6563" s="46" t="s">
        <v>16166</v>
      </c>
      <c r="H6563" s="534">
        <v>17826.310000000001</v>
      </c>
      <c r="I6563" s="56">
        <v>45245</v>
      </c>
      <c r="J6563" s="199" t="s">
        <v>16167</v>
      </c>
      <c r="K6563" s="46"/>
      <c r="M6563" s="385"/>
      <c r="N6563" s="75"/>
      <c r="O6563" s="46" t="s">
        <v>1061</v>
      </c>
      <c r="P6563" s="46" t="s">
        <v>36</v>
      </c>
      <c r="Q6563" s="46" t="s">
        <v>49</v>
      </c>
      <c r="R6563" s="46" t="s">
        <v>272</v>
      </c>
    </row>
    <row r="6564" spans="1:18" s="98" customFormat="1" ht="69" customHeight="1">
      <c r="A6564" s="169"/>
      <c r="B6564" s="52">
        <f t="shared" si="22"/>
        <v>276</v>
      </c>
      <c r="C6564" s="191" t="s">
        <v>16168</v>
      </c>
      <c r="D6564" s="251" t="s">
        <v>11368</v>
      </c>
      <c r="E6564" s="53" t="s">
        <v>1056</v>
      </c>
      <c r="F6564" s="211" t="s">
        <v>16169</v>
      </c>
      <c r="G6564" s="46" t="s">
        <v>16166</v>
      </c>
      <c r="H6564" s="534">
        <v>13926.8</v>
      </c>
      <c r="I6564" s="56">
        <v>45245</v>
      </c>
      <c r="J6564" s="199" t="s">
        <v>16167</v>
      </c>
      <c r="K6564" s="46"/>
      <c r="M6564" s="385"/>
      <c r="N6564" s="75"/>
      <c r="O6564" s="46" t="s">
        <v>1061</v>
      </c>
      <c r="P6564" s="46" t="s">
        <v>36</v>
      </c>
      <c r="Q6564" s="46" t="s">
        <v>15</v>
      </c>
      <c r="R6564" s="46" t="s">
        <v>272</v>
      </c>
    </row>
    <row r="6565" spans="1:18" s="98" customFormat="1" ht="69" customHeight="1">
      <c r="A6565" s="169"/>
      <c r="B6565" s="52">
        <f t="shared" si="22"/>
        <v>277</v>
      </c>
      <c r="C6565" s="191" t="s">
        <v>458</v>
      </c>
      <c r="D6565" s="251" t="s">
        <v>11607</v>
      </c>
      <c r="E6565" s="53" t="s">
        <v>1056</v>
      </c>
      <c r="F6565" s="211" t="s">
        <v>16170</v>
      </c>
      <c r="G6565" s="46" t="s">
        <v>16166</v>
      </c>
      <c r="H6565" s="534">
        <v>13926.8</v>
      </c>
      <c r="I6565" s="56">
        <v>45245</v>
      </c>
      <c r="J6565" s="199" t="s">
        <v>16167</v>
      </c>
      <c r="K6565" s="46"/>
      <c r="M6565" s="385"/>
      <c r="N6565" s="75"/>
      <c r="O6565" s="46" t="s">
        <v>1061</v>
      </c>
      <c r="P6565" s="46" t="s">
        <v>36</v>
      </c>
      <c r="Q6565" s="46" t="s">
        <v>90</v>
      </c>
      <c r="R6565" s="46" t="s">
        <v>272</v>
      </c>
    </row>
    <row r="6566" spans="1:18" s="98" customFormat="1" ht="69" customHeight="1">
      <c r="A6566" s="169"/>
      <c r="B6566" s="172">
        <f t="shared" si="22"/>
        <v>278</v>
      </c>
      <c r="C6566" s="52" t="s">
        <v>96</v>
      </c>
      <c r="D6566" s="52" t="s">
        <v>96</v>
      </c>
      <c r="E6566" s="622" t="s">
        <v>1056</v>
      </c>
      <c r="F6566" s="594" t="s">
        <v>16171</v>
      </c>
      <c r="G6566" s="100" t="s">
        <v>16166</v>
      </c>
      <c r="H6566" s="534">
        <v>0</v>
      </c>
      <c r="I6566" s="96">
        <v>45245</v>
      </c>
      <c r="J6566" s="268" t="s">
        <v>16167</v>
      </c>
      <c r="K6566" s="46" t="s">
        <v>16172</v>
      </c>
      <c r="L6566" s="405"/>
      <c r="M6566" s="386"/>
      <c r="N6566" s="223"/>
      <c r="O6566" s="100" t="s">
        <v>1061</v>
      </c>
      <c r="P6566" s="100" t="s">
        <v>36</v>
      </c>
      <c r="Q6566" s="46" t="s">
        <v>96</v>
      </c>
      <c r="R6566" s="46" t="s">
        <v>272</v>
      </c>
    </row>
    <row r="6567" spans="1:18" s="98" customFormat="1" ht="69" customHeight="1">
      <c r="A6567" s="169"/>
      <c r="B6567" s="52">
        <f t="shared" si="22"/>
        <v>279</v>
      </c>
      <c r="C6567" s="51" t="s">
        <v>657</v>
      </c>
      <c r="D6567" s="251" t="s">
        <v>1413</v>
      </c>
      <c r="E6567" s="53" t="s">
        <v>1056</v>
      </c>
      <c r="F6567" s="211" t="s">
        <v>16171</v>
      </c>
      <c r="G6567" s="46" t="s">
        <v>16166</v>
      </c>
      <c r="H6567" s="534">
        <v>10027.299999999999</v>
      </c>
      <c r="I6567" s="56">
        <v>45245</v>
      </c>
      <c r="J6567" s="199" t="s">
        <v>16167</v>
      </c>
      <c r="K6567" s="46"/>
      <c r="M6567" s="385"/>
      <c r="N6567" s="75"/>
      <c r="O6567" s="46" t="s">
        <v>1061</v>
      </c>
      <c r="P6567" s="46" t="s">
        <v>36</v>
      </c>
      <c r="Q6567" s="46" t="s">
        <v>99</v>
      </c>
      <c r="R6567" s="46" t="s">
        <v>272</v>
      </c>
    </row>
    <row r="6568" spans="1:18" s="98" customFormat="1" ht="69" customHeight="1">
      <c r="A6568" s="169"/>
      <c r="B6568" s="52">
        <f t="shared" si="22"/>
        <v>280</v>
      </c>
      <c r="C6568" s="191" t="s">
        <v>458</v>
      </c>
      <c r="D6568" s="251" t="s">
        <v>11622</v>
      </c>
      <c r="E6568" s="53" t="s">
        <v>1056</v>
      </c>
      <c r="F6568" s="211" t="s">
        <v>16173</v>
      </c>
      <c r="G6568" s="46" t="s">
        <v>16174</v>
      </c>
      <c r="H6568" s="534">
        <v>133901.67000000001</v>
      </c>
      <c r="I6568" s="56">
        <v>45245</v>
      </c>
      <c r="J6568" s="199" t="s">
        <v>16167</v>
      </c>
      <c r="K6568" s="46"/>
      <c r="M6568" s="385"/>
      <c r="N6568" s="75"/>
      <c r="O6568" s="46" t="s">
        <v>1061</v>
      </c>
      <c r="P6568" s="46" t="s">
        <v>36</v>
      </c>
      <c r="Q6568" s="46" t="s">
        <v>90</v>
      </c>
      <c r="R6568" s="46" t="s">
        <v>272</v>
      </c>
    </row>
    <row r="6569" spans="1:18" s="98" customFormat="1" ht="69" customHeight="1">
      <c r="A6569" s="169"/>
      <c r="B6569" s="52">
        <f t="shared" si="22"/>
        <v>281</v>
      </c>
      <c r="C6569" s="191" t="s">
        <v>309</v>
      </c>
      <c r="D6569" s="251" t="s">
        <v>15916</v>
      </c>
      <c r="E6569" s="53" t="s">
        <v>1056</v>
      </c>
      <c r="F6569" s="211" t="s">
        <v>16175</v>
      </c>
      <c r="G6569" s="46" t="s">
        <v>16174</v>
      </c>
      <c r="H6569" s="534">
        <v>133901.67000000001</v>
      </c>
      <c r="I6569" s="56">
        <v>45245</v>
      </c>
      <c r="J6569" s="199" t="s">
        <v>16167</v>
      </c>
      <c r="K6569" s="46"/>
      <c r="M6569" s="385"/>
      <c r="N6569" s="75"/>
      <c r="O6569" s="46" t="s">
        <v>1061</v>
      </c>
      <c r="P6569" s="46" t="s">
        <v>36</v>
      </c>
      <c r="Q6569" s="46" t="s">
        <v>15</v>
      </c>
      <c r="R6569" s="46" t="s">
        <v>272</v>
      </c>
    </row>
    <row r="6570" spans="1:18" s="98" customFormat="1" ht="69" customHeight="1">
      <c r="A6570" s="169"/>
      <c r="B6570" s="52">
        <f t="shared" si="22"/>
        <v>282</v>
      </c>
      <c r="C6570" s="51" t="s">
        <v>657</v>
      </c>
      <c r="D6570" s="251" t="s">
        <v>3332</v>
      </c>
      <c r="E6570" s="53" t="s">
        <v>1056</v>
      </c>
      <c r="F6570" s="211" t="s">
        <v>16176</v>
      </c>
      <c r="G6570" s="46" t="s">
        <v>16174</v>
      </c>
      <c r="H6570" s="534">
        <v>96409.2</v>
      </c>
      <c r="I6570" s="56">
        <v>45245</v>
      </c>
      <c r="J6570" s="199" t="s">
        <v>16167</v>
      </c>
      <c r="K6570" s="46"/>
      <c r="M6570" s="385"/>
      <c r="N6570" s="75"/>
      <c r="O6570" s="46" t="s">
        <v>1061</v>
      </c>
      <c r="P6570" s="46" t="s">
        <v>36</v>
      </c>
      <c r="Q6570" s="46" t="s">
        <v>99</v>
      </c>
      <c r="R6570" s="46" t="s">
        <v>272</v>
      </c>
    </row>
    <row r="6571" spans="1:18" s="98" customFormat="1" ht="69" customHeight="1">
      <c r="A6571" s="169"/>
      <c r="B6571" s="52">
        <f t="shared" si="22"/>
        <v>283</v>
      </c>
      <c r="C6571" s="191" t="s">
        <v>3667</v>
      </c>
      <c r="D6571" s="251" t="s">
        <v>16177</v>
      </c>
      <c r="E6571" s="53" t="s">
        <v>1056</v>
      </c>
      <c r="F6571" s="211" t="s">
        <v>16178</v>
      </c>
      <c r="G6571" s="46" t="s">
        <v>16174</v>
      </c>
      <c r="H6571" s="534">
        <v>171394.13</v>
      </c>
      <c r="I6571" s="56">
        <v>45245</v>
      </c>
      <c r="J6571" s="199" t="s">
        <v>16167</v>
      </c>
      <c r="K6571" s="46"/>
      <c r="M6571" s="385"/>
      <c r="N6571" s="75"/>
      <c r="O6571" s="46" t="s">
        <v>1061</v>
      </c>
      <c r="P6571" s="46" t="s">
        <v>36</v>
      </c>
      <c r="Q6571" s="46" t="s">
        <v>49</v>
      </c>
      <c r="R6571" s="46" t="s">
        <v>272</v>
      </c>
    </row>
    <row r="6572" spans="1:18" ht="69" customHeight="1">
      <c r="A6572" s="168"/>
      <c r="B6572" s="48">
        <f t="shared" si="22"/>
        <v>284</v>
      </c>
      <c r="C6572" s="59" t="s">
        <v>13435</v>
      </c>
      <c r="D6572" s="581" t="s">
        <v>11352</v>
      </c>
      <c r="E6572" s="59" t="s">
        <v>13436</v>
      </c>
      <c r="F6572" s="569" t="s">
        <v>16179</v>
      </c>
      <c r="G6572" s="45" t="s">
        <v>16180</v>
      </c>
      <c r="H6572" s="546">
        <v>100293.12</v>
      </c>
      <c r="I6572" s="47">
        <v>45245</v>
      </c>
      <c r="J6572" s="73" t="s">
        <v>16181</v>
      </c>
      <c r="K6572" s="45"/>
      <c r="L6572" s="99"/>
      <c r="M6572" s="392"/>
      <c r="N6572" s="83"/>
      <c r="O6572" s="45" t="s">
        <v>154</v>
      </c>
      <c r="P6572" s="45" t="s">
        <v>59</v>
      </c>
      <c r="Q6572" s="45" t="s">
        <v>13</v>
      </c>
      <c r="R6572" s="45" t="s">
        <v>272</v>
      </c>
    </row>
    <row r="6573" spans="1:18" ht="69" customHeight="1">
      <c r="A6573" s="168"/>
      <c r="B6573" s="62">
        <f t="shared" si="22"/>
        <v>285</v>
      </c>
      <c r="C6573" s="58" t="s">
        <v>11052</v>
      </c>
      <c r="D6573" s="174" t="s">
        <v>11389</v>
      </c>
      <c r="E6573" s="58" t="s">
        <v>16073</v>
      </c>
      <c r="F6573" s="58" t="s">
        <v>16182</v>
      </c>
      <c r="G6573" s="58" t="s">
        <v>16183</v>
      </c>
      <c r="H6573" s="546">
        <v>86288.25</v>
      </c>
      <c r="I6573" s="66">
        <v>45245</v>
      </c>
      <c r="J6573" s="65" t="s">
        <v>16184</v>
      </c>
      <c r="K6573" s="58"/>
      <c r="L6573" s="99"/>
      <c r="M6573" s="70"/>
      <c r="N6573" s="97"/>
      <c r="O6573" s="58" t="s">
        <v>192</v>
      </c>
      <c r="P6573" s="58" t="s">
        <v>57</v>
      </c>
      <c r="Q6573" s="58" t="s">
        <v>37</v>
      </c>
      <c r="R6573" s="58" t="s">
        <v>272</v>
      </c>
    </row>
    <row r="6574" spans="1:18" ht="69" customHeight="1">
      <c r="A6574" s="168"/>
      <c r="B6574" s="62">
        <f t="shared" si="22"/>
        <v>286</v>
      </c>
      <c r="C6574" s="59" t="s">
        <v>11047</v>
      </c>
      <c r="D6574" s="84" t="s">
        <v>11403</v>
      </c>
      <c r="E6574" s="45" t="s">
        <v>4033</v>
      </c>
      <c r="F6574" s="58" t="s">
        <v>16185</v>
      </c>
      <c r="G6574" s="45" t="s">
        <v>14949</v>
      </c>
      <c r="H6574" s="546">
        <v>271802.13</v>
      </c>
      <c r="I6574" s="66">
        <v>45245</v>
      </c>
      <c r="J6574" s="65" t="s">
        <v>16186</v>
      </c>
      <c r="K6574" s="58"/>
      <c r="L6574" s="99"/>
      <c r="M6574" s="70"/>
      <c r="N6574" s="97"/>
      <c r="O6574" s="58" t="s">
        <v>441</v>
      </c>
      <c r="P6574" s="58" t="s">
        <v>22</v>
      </c>
      <c r="Q6574" s="58" t="s">
        <v>33</v>
      </c>
      <c r="R6574" s="58" t="s">
        <v>272</v>
      </c>
    </row>
    <row r="6575" spans="1:18" ht="69" customHeight="1">
      <c r="A6575" s="168"/>
      <c r="B6575" s="62">
        <f t="shared" si="22"/>
        <v>287</v>
      </c>
      <c r="C6575" s="59" t="s">
        <v>13435</v>
      </c>
      <c r="D6575" s="84" t="s">
        <v>11405</v>
      </c>
      <c r="E6575" s="58" t="s">
        <v>4173</v>
      </c>
      <c r="F6575" s="45" t="s">
        <v>16187</v>
      </c>
      <c r="G6575" s="45" t="s">
        <v>16188</v>
      </c>
      <c r="H6575" s="546">
        <v>152720</v>
      </c>
      <c r="I6575" s="66">
        <v>45245</v>
      </c>
      <c r="J6575" s="65" t="s">
        <v>16189</v>
      </c>
      <c r="K6575" s="58"/>
      <c r="L6575" s="99"/>
      <c r="M6575" s="70"/>
      <c r="N6575" s="97"/>
      <c r="O6575" s="58" t="s">
        <v>441</v>
      </c>
      <c r="P6575" s="58" t="s">
        <v>22</v>
      </c>
      <c r="Q6575" s="58" t="s">
        <v>13</v>
      </c>
      <c r="R6575" s="58" t="s">
        <v>265</v>
      </c>
    </row>
    <row r="6576" spans="1:18" ht="69" customHeight="1">
      <c r="A6576" s="168"/>
      <c r="B6576" s="62">
        <f t="shared" si="22"/>
        <v>288</v>
      </c>
      <c r="C6576" s="59" t="s">
        <v>11908</v>
      </c>
      <c r="D6576" s="174" t="s">
        <v>11529</v>
      </c>
      <c r="E6576" s="58" t="s">
        <v>16065</v>
      </c>
      <c r="F6576" s="58" t="s">
        <v>16190</v>
      </c>
      <c r="G6576" s="58" t="s">
        <v>16191</v>
      </c>
      <c r="H6576" s="546">
        <v>25309.81</v>
      </c>
      <c r="I6576" s="66">
        <v>45245</v>
      </c>
      <c r="J6576" s="65" t="s">
        <v>16192</v>
      </c>
      <c r="K6576" s="58"/>
      <c r="L6576" s="99"/>
      <c r="M6576" s="70"/>
      <c r="N6576" s="97"/>
      <c r="O6576" s="58" t="s">
        <v>16069</v>
      </c>
      <c r="P6576" s="58" t="s">
        <v>57</v>
      </c>
      <c r="Q6576" s="58" t="s">
        <v>103</v>
      </c>
      <c r="R6576" s="58" t="s">
        <v>272</v>
      </c>
    </row>
    <row r="6577" spans="1:18" ht="69" customHeight="1">
      <c r="A6577" s="168"/>
      <c r="B6577" s="62">
        <f t="shared" si="22"/>
        <v>289</v>
      </c>
      <c r="C6577" s="178" t="s">
        <v>10937</v>
      </c>
      <c r="D6577" s="174" t="s">
        <v>873</v>
      </c>
      <c r="E6577" s="58" t="s">
        <v>16065</v>
      </c>
      <c r="F6577" s="58" t="s">
        <v>16193</v>
      </c>
      <c r="G6577" s="58" t="s">
        <v>16071</v>
      </c>
      <c r="H6577" s="546">
        <v>233798.51</v>
      </c>
      <c r="I6577" s="66">
        <v>45245</v>
      </c>
      <c r="J6577" s="65" t="s">
        <v>16192</v>
      </c>
      <c r="K6577" s="58"/>
      <c r="L6577" s="99"/>
      <c r="M6577" s="391"/>
      <c r="N6577" s="78"/>
      <c r="O6577" s="58" t="s">
        <v>16069</v>
      </c>
      <c r="P6577" s="58" t="s">
        <v>57</v>
      </c>
      <c r="Q6577" s="58" t="s">
        <v>104</v>
      </c>
      <c r="R6577" s="58" t="s">
        <v>272</v>
      </c>
    </row>
    <row r="6578" spans="1:18" s="98" customFormat="1" ht="69" customHeight="1">
      <c r="A6578" s="169"/>
      <c r="B6578" s="48">
        <f t="shared" si="22"/>
        <v>290</v>
      </c>
      <c r="C6578" s="59" t="s">
        <v>13435</v>
      </c>
      <c r="D6578" s="84" t="s">
        <v>16194</v>
      </c>
      <c r="E6578" s="45" t="s">
        <v>4173</v>
      </c>
      <c r="F6578" s="45" t="s">
        <v>16195</v>
      </c>
      <c r="G6578" s="45" t="s">
        <v>16196</v>
      </c>
      <c r="H6578" s="546">
        <v>34000</v>
      </c>
      <c r="I6578" s="47">
        <v>45245</v>
      </c>
      <c r="J6578" s="73" t="s">
        <v>16197</v>
      </c>
      <c r="K6578" s="45"/>
      <c r="L6578" s="99"/>
      <c r="M6578" s="385"/>
      <c r="N6578" s="75"/>
      <c r="O6578" s="45" t="s">
        <v>441</v>
      </c>
      <c r="P6578" s="45" t="s">
        <v>22</v>
      </c>
      <c r="Q6578" s="45" t="s">
        <v>13</v>
      </c>
      <c r="R6578" s="45" t="s">
        <v>265</v>
      </c>
    </row>
    <row r="6579" spans="1:18" ht="69" customHeight="1">
      <c r="A6579" s="168"/>
      <c r="B6579" s="48">
        <f t="shared" si="22"/>
        <v>291</v>
      </c>
      <c r="C6579" s="59" t="s">
        <v>3667</v>
      </c>
      <c r="D6579" s="84" t="s">
        <v>16198</v>
      </c>
      <c r="E6579" s="55" t="s">
        <v>10553</v>
      </c>
      <c r="F6579" s="45" t="s">
        <v>16199</v>
      </c>
      <c r="G6579" s="45" t="s">
        <v>16200</v>
      </c>
      <c r="H6579" s="546">
        <v>323767.62</v>
      </c>
      <c r="I6579" s="47">
        <v>45245</v>
      </c>
      <c r="J6579" s="73" t="s">
        <v>16201</v>
      </c>
      <c r="K6579" s="135" t="s">
        <v>16202</v>
      </c>
      <c r="L6579" s="99"/>
      <c r="M6579" s="70"/>
      <c r="N6579" s="97"/>
      <c r="O6579" s="58" t="s">
        <v>147</v>
      </c>
      <c r="P6579" s="58" t="s">
        <v>22</v>
      </c>
      <c r="Q6579" s="58" t="s">
        <v>74</v>
      </c>
      <c r="R6579" s="58" t="s">
        <v>272</v>
      </c>
    </row>
    <row r="6580" spans="1:18" ht="69" customHeight="1">
      <c r="A6580" s="168"/>
      <c r="B6580" s="48">
        <f t="shared" si="22"/>
        <v>292</v>
      </c>
      <c r="C6580" s="59" t="s">
        <v>3667</v>
      </c>
      <c r="D6580" s="84" t="s">
        <v>16203</v>
      </c>
      <c r="E6580" s="55" t="s">
        <v>10553</v>
      </c>
      <c r="F6580" s="45" t="s">
        <v>16204</v>
      </c>
      <c r="G6580" s="45" t="s">
        <v>16205</v>
      </c>
      <c r="H6580" s="546">
        <v>174336.41</v>
      </c>
      <c r="I6580" s="47">
        <v>45245</v>
      </c>
      <c r="J6580" s="73" t="s">
        <v>16201</v>
      </c>
      <c r="K6580" s="135" t="s">
        <v>16202</v>
      </c>
      <c r="L6580" s="99"/>
      <c r="M6580" s="70"/>
      <c r="N6580" s="97"/>
      <c r="O6580" s="58" t="s">
        <v>147</v>
      </c>
      <c r="P6580" s="58" t="s">
        <v>22</v>
      </c>
      <c r="Q6580" s="58" t="s">
        <v>74</v>
      </c>
      <c r="R6580" s="58" t="s">
        <v>272</v>
      </c>
    </row>
    <row r="6581" spans="1:18" ht="69" customHeight="1">
      <c r="A6581" s="168"/>
      <c r="B6581" s="48">
        <f t="shared" si="22"/>
        <v>293</v>
      </c>
      <c r="C6581" s="59" t="s">
        <v>458</v>
      </c>
      <c r="D6581" s="84" t="s">
        <v>11638</v>
      </c>
      <c r="E6581" s="55" t="s">
        <v>10553</v>
      </c>
      <c r="F6581" s="45" t="s">
        <v>16206</v>
      </c>
      <c r="G6581" s="45" t="s">
        <v>16207</v>
      </c>
      <c r="H6581" s="546">
        <v>34566.25</v>
      </c>
      <c r="I6581" s="47">
        <v>45245</v>
      </c>
      <c r="J6581" s="73" t="s">
        <v>16201</v>
      </c>
      <c r="K6581" s="45"/>
      <c r="L6581" s="99"/>
      <c r="M6581" s="70"/>
      <c r="N6581" s="97"/>
      <c r="O6581" s="58" t="s">
        <v>147</v>
      </c>
      <c r="P6581" s="58" t="s">
        <v>22</v>
      </c>
      <c r="Q6581" s="58" t="s">
        <v>100</v>
      </c>
      <c r="R6581" s="58" t="s">
        <v>272</v>
      </c>
    </row>
    <row r="6582" spans="1:18" ht="69" customHeight="1">
      <c r="A6582" s="168"/>
      <c r="B6582" s="48">
        <f t="shared" si="22"/>
        <v>294</v>
      </c>
      <c r="C6582" s="59" t="s">
        <v>458</v>
      </c>
      <c r="D6582" s="84" t="s">
        <v>11664</v>
      </c>
      <c r="E6582" s="55" t="s">
        <v>10553</v>
      </c>
      <c r="F6582" s="45" t="s">
        <v>16208</v>
      </c>
      <c r="G6582" s="45" t="s">
        <v>16209</v>
      </c>
      <c r="H6582" s="546">
        <v>18612.59</v>
      </c>
      <c r="I6582" s="47">
        <v>45245</v>
      </c>
      <c r="J6582" s="73" t="s">
        <v>16201</v>
      </c>
      <c r="K6582" s="45"/>
      <c r="L6582" s="99"/>
      <c r="M6582" s="70"/>
      <c r="N6582" s="97"/>
      <c r="O6582" s="58" t="s">
        <v>147</v>
      </c>
      <c r="P6582" s="58" t="s">
        <v>22</v>
      </c>
      <c r="Q6582" s="58" t="s">
        <v>100</v>
      </c>
      <c r="R6582" s="58" t="s">
        <v>272</v>
      </c>
    </row>
    <row r="6583" spans="1:18" ht="69" customHeight="1">
      <c r="A6583" s="168"/>
      <c r="B6583" s="62">
        <f t="shared" si="22"/>
        <v>295</v>
      </c>
      <c r="C6583" s="59" t="s">
        <v>3667</v>
      </c>
      <c r="D6583" s="174" t="s">
        <v>16210</v>
      </c>
      <c r="E6583" s="55" t="s">
        <v>10553</v>
      </c>
      <c r="F6583" s="58" t="s">
        <v>16211</v>
      </c>
      <c r="G6583" s="45" t="s">
        <v>16212</v>
      </c>
      <c r="H6583" s="546">
        <v>29195.45</v>
      </c>
      <c r="I6583" s="66">
        <v>45245</v>
      </c>
      <c r="J6583" s="65" t="s">
        <v>16201</v>
      </c>
      <c r="K6583" s="58"/>
      <c r="L6583" s="99"/>
      <c r="M6583" s="70"/>
      <c r="N6583" s="97"/>
      <c r="O6583" s="58" t="s">
        <v>147</v>
      </c>
      <c r="P6583" s="58" t="s">
        <v>22</v>
      </c>
      <c r="Q6583" s="58" t="s">
        <v>72</v>
      </c>
      <c r="R6583" s="58" t="s">
        <v>272</v>
      </c>
    </row>
    <row r="6584" spans="1:18" ht="69" customHeight="1">
      <c r="A6584" s="168"/>
      <c r="B6584" s="62">
        <f t="shared" si="22"/>
        <v>296</v>
      </c>
      <c r="C6584" s="59" t="s">
        <v>3667</v>
      </c>
      <c r="D6584" s="174" t="s">
        <v>16213</v>
      </c>
      <c r="E6584" s="55" t="s">
        <v>10553</v>
      </c>
      <c r="F6584" s="58" t="s">
        <v>16214</v>
      </c>
      <c r="G6584" s="45" t="s">
        <v>16215</v>
      </c>
      <c r="H6584" s="546">
        <v>15720.63</v>
      </c>
      <c r="I6584" s="66">
        <v>45245</v>
      </c>
      <c r="J6584" s="65" t="s">
        <v>16201</v>
      </c>
      <c r="K6584" s="58"/>
      <c r="L6584" s="99"/>
      <c r="M6584" s="70"/>
      <c r="N6584" s="97"/>
      <c r="O6584" s="58" t="s">
        <v>147</v>
      </c>
      <c r="P6584" s="58" t="s">
        <v>22</v>
      </c>
      <c r="Q6584" s="58" t="s">
        <v>72</v>
      </c>
      <c r="R6584" s="58" t="s">
        <v>272</v>
      </c>
    </row>
    <row r="6585" spans="1:18" ht="69" customHeight="1">
      <c r="A6585" s="168"/>
      <c r="B6585" s="62">
        <f t="shared" si="22"/>
        <v>297</v>
      </c>
      <c r="C6585" s="44" t="s">
        <v>657</v>
      </c>
      <c r="D6585" s="174" t="s">
        <v>1421</v>
      </c>
      <c r="E6585" s="55" t="s">
        <v>10553</v>
      </c>
      <c r="F6585" s="58" t="s">
        <v>16216</v>
      </c>
      <c r="G6585" s="45" t="s">
        <v>16217</v>
      </c>
      <c r="H6585" s="546">
        <v>17053.32</v>
      </c>
      <c r="I6585" s="66">
        <v>45245</v>
      </c>
      <c r="J6585" s="65" t="s">
        <v>16201</v>
      </c>
      <c r="K6585" s="58"/>
      <c r="L6585" s="99"/>
      <c r="M6585" s="70"/>
      <c r="N6585" s="97"/>
      <c r="O6585" s="58" t="s">
        <v>147</v>
      </c>
      <c r="P6585" s="58" t="s">
        <v>22</v>
      </c>
      <c r="Q6585" s="58" t="s">
        <v>110</v>
      </c>
      <c r="R6585" s="58" t="s">
        <v>272</v>
      </c>
    </row>
    <row r="6586" spans="1:18" ht="69" customHeight="1">
      <c r="A6586" s="168"/>
      <c r="B6586" s="62">
        <f t="shared" si="22"/>
        <v>298</v>
      </c>
      <c r="C6586" s="44" t="s">
        <v>657</v>
      </c>
      <c r="D6586" s="174" t="s">
        <v>1650</v>
      </c>
      <c r="E6586" s="55" t="s">
        <v>10553</v>
      </c>
      <c r="F6586" s="58" t="s">
        <v>16218</v>
      </c>
      <c r="G6586" s="45" t="s">
        <v>16219</v>
      </c>
      <c r="H6586" s="546">
        <v>9182.56</v>
      </c>
      <c r="I6586" s="66">
        <v>45245</v>
      </c>
      <c r="J6586" s="65" t="s">
        <v>16201</v>
      </c>
      <c r="K6586" s="58"/>
      <c r="L6586" s="99"/>
      <c r="M6586" s="70"/>
      <c r="N6586" s="97"/>
      <c r="O6586" s="58" t="s">
        <v>147</v>
      </c>
      <c r="P6586" s="58" t="s">
        <v>22</v>
      </c>
      <c r="Q6586" s="58" t="s">
        <v>110</v>
      </c>
      <c r="R6586" s="58" t="s">
        <v>272</v>
      </c>
    </row>
    <row r="6587" spans="1:18" ht="69" customHeight="1">
      <c r="A6587" s="168"/>
      <c r="B6587" s="62">
        <f t="shared" si="22"/>
        <v>299</v>
      </c>
      <c r="C6587" s="59" t="s">
        <v>1853</v>
      </c>
      <c r="D6587" s="581" t="s">
        <v>11407</v>
      </c>
      <c r="E6587" s="58" t="s">
        <v>4173</v>
      </c>
      <c r="F6587" s="58" t="s">
        <v>16220</v>
      </c>
      <c r="G6587" s="58" t="s">
        <v>16221</v>
      </c>
      <c r="H6587" s="546">
        <v>27100.25</v>
      </c>
      <c r="I6587" s="66">
        <v>45245</v>
      </c>
      <c r="J6587" s="65" t="s">
        <v>16222</v>
      </c>
      <c r="K6587" s="58"/>
      <c r="L6587" s="99"/>
      <c r="M6587" s="70"/>
      <c r="N6587" s="97"/>
      <c r="O6587" s="58" t="s">
        <v>441</v>
      </c>
      <c r="P6587" s="58" t="s">
        <v>22</v>
      </c>
      <c r="Q6587" s="58" t="s">
        <v>29</v>
      </c>
      <c r="R6587" s="58" t="s">
        <v>265</v>
      </c>
    </row>
    <row r="6588" spans="1:18" ht="69" customHeight="1">
      <c r="A6588" s="168"/>
      <c r="B6588" s="62">
        <f t="shared" si="22"/>
        <v>300</v>
      </c>
      <c r="C6588" s="44" t="s">
        <v>14414</v>
      </c>
      <c r="D6588" s="581" t="s">
        <v>15920</v>
      </c>
      <c r="E6588" s="58" t="s">
        <v>4173</v>
      </c>
      <c r="F6588" s="58" t="s">
        <v>16223</v>
      </c>
      <c r="G6588" s="58" t="s">
        <v>16221</v>
      </c>
      <c r="H6588" s="546">
        <v>27081.75</v>
      </c>
      <c r="I6588" s="66">
        <v>45245</v>
      </c>
      <c r="J6588" s="65" t="s">
        <v>16222</v>
      </c>
      <c r="K6588" s="58"/>
      <c r="L6588" s="99"/>
      <c r="M6588" s="70"/>
      <c r="N6588" s="97"/>
      <c r="O6588" s="58" t="s">
        <v>441</v>
      </c>
      <c r="P6588" s="58" t="s">
        <v>22</v>
      </c>
      <c r="Q6588" s="58" t="s">
        <v>33</v>
      </c>
      <c r="R6588" s="58" t="s">
        <v>265</v>
      </c>
    </row>
    <row r="6589" spans="1:18" ht="69" customHeight="1">
      <c r="A6589" s="168"/>
      <c r="B6589" s="62">
        <f t="shared" si="22"/>
        <v>301</v>
      </c>
      <c r="C6589" s="178" t="s">
        <v>7189</v>
      </c>
      <c r="D6589" s="174" t="s">
        <v>3542</v>
      </c>
      <c r="E6589" s="58" t="s">
        <v>16224</v>
      </c>
      <c r="F6589" s="58" t="s">
        <v>16225</v>
      </c>
      <c r="G6589" s="58" t="s">
        <v>16226</v>
      </c>
      <c r="H6589" s="546">
        <v>159084.29999999999</v>
      </c>
      <c r="I6589" s="66">
        <v>45245</v>
      </c>
      <c r="J6589" s="65" t="s">
        <v>16227</v>
      </c>
      <c r="K6589" s="58"/>
      <c r="L6589" s="99"/>
      <c r="M6589" s="70"/>
      <c r="N6589" s="97"/>
      <c r="O6589" s="58" t="s">
        <v>208</v>
      </c>
      <c r="P6589" s="58" t="s">
        <v>57</v>
      </c>
      <c r="Q6589" s="58" t="s">
        <v>97</v>
      </c>
      <c r="R6589" s="58" t="s">
        <v>272</v>
      </c>
    </row>
    <row r="6590" spans="1:18" s="98" customFormat="1" ht="69" customHeight="1">
      <c r="A6590" s="169"/>
      <c r="B6590" s="48">
        <f t="shared" si="22"/>
        <v>302</v>
      </c>
      <c r="C6590" s="45" t="s">
        <v>13435</v>
      </c>
      <c r="D6590" s="84" t="s">
        <v>16228</v>
      </c>
      <c r="E6590" s="45" t="s">
        <v>4173</v>
      </c>
      <c r="F6590" s="45" t="s">
        <v>16229</v>
      </c>
      <c r="G6590" s="45" t="s">
        <v>16230</v>
      </c>
      <c r="H6590" s="546">
        <v>66033</v>
      </c>
      <c r="I6590" s="47">
        <v>45245</v>
      </c>
      <c r="J6590" s="73" t="s">
        <v>16231</v>
      </c>
      <c r="K6590" s="45"/>
      <c r="L6590" s="99"/>
      <c r="M6590" s="385"/>
      <c r="N6590" s="75"/>
      <c r="O6590" s="45" t="s">
        <v>441</v>
      </c>
      <c r="P6590" s="45" t="s">
        <v>22</v>
      </c>
      <c r="Q6590" s="45" t="s">
        <v>13</v>
      </c>
      <c r="R6590" s="45" t="s">
        <v>265</v>
      </c>
    </row>
    <row r="6591" spans="1:18" ht="69" customHeight="1">
      <c r="A6591" s="168"/>
      <c r="B6591" s="62">
        <f t="shared" si="22"/>
        <v>303</v>
      </c>
      <c r="C6591" s="59" t="s">
        <v>2182</v>
      </c>
      <c r="D6591" s="174" t="s">
        <v>11424</v>
      </c>
      <c r="E6591" s="58" t="s">
        <v>4173</v>
      </c>
      <c r="F6591" s="58" t="s">
        <v>16232</v>
      </c>
      <c r="G6591" s="58" t="s">
        <v>16233</v>
      </c>
      <c r="H6591" s="546">
        <v>25000</v>
      </c>
      <c r="I6591" s="66">
        <v>45245</v>
      </c>
      <c r="J6591" s="65" t="s">
        <v>16234</v>
      </c>
      <c r="K6591" s="58"/>
      <c r="L6591" s="99"/>
      <c r="M6591" s="70"/>
      <c r="N6591" s="97"/>
      <c r="O6591" s="58" t="s">
        <v>441</v>
      </c>
      <c r="P6591" s="58" t="s">
        <v>22</v>
      </c>
      <c r="Q6591" s="58" t="s">
        <v>31</v>
      </c>
      <c r="R6591" s="58" t="s">
        <v>265</v>
      </c>
    </row>
    <row r="6592" spans="1:18" ht="69" customHeight="1">
      <c r="A6592" s="168"/>
      <c r="B6592" s="62">
        <f t="shared" si="22"/>
        <v>304</v>
      </c>
      <c r="C6592" s="59" t="s">
        <v>458</v>
      </c>
      <c r="D6592" s="174" t="s">
        <v>11676</v>
      </c>
      <c r="E6592" s="58" t="s">
        <v>15851</v>
      </c>
      <c r="F6592" s="58" t="s">
        <v>16235</v>
      </c>
      <c r="G6592" s="58" t="s">
        <v>16236</v>
      </c>
      <c r="H6592" s="546">
        <v>62640</v>
      </c>
      <c r="I6592" s="66">
        <v>45245</v>
      </c>
      <c r="J6592" s="65" t="s">
        <v>16237</v>
      </c>
      <c r="K6592" s="58"/>
      <c r="L6592" s="99"/>
      <c r="M6592" s="70"/>
      <c r="N6592" s="97"/>
      <c r="O6592" s="58" t="s">
        <v>147</v>
      </c>
      <c r="P6592" s="58" t="s">
        <v>22</v>
      </c>
      <c r="Q6592" s="58" t="s">
        <v>88</v>
      </c>
      <c r="R6592" s="58" t="s">
        <v>265</v>
      </c>
    </row>
    <row r="6593" spans="1:18" ht="69" customHeight="1">
      <c r="A6593" s="168"/>
      <c r="B6593" s="62">
        <f t="shared" si="22"/>
        <v>305</v>
      </c>
      <c r="C6593" s="59" t="s">
        <v>458</v>
      </c>
      <c r="D6593" s="174" t="s">
        <v>11680</v>
      </c>
      <c r="E6593" s="55" t="s">
        <v>10553</v>
      </c>
      <c r="F6593" s="58" t="s">
        <v>16238</v>
      </c>
      <c r="G6593" s="45" t="s">
        <v>16239</v>
      </c>
      <c r="H6593" s="546">
        <v>23217.81</v>
      </c>
      <c r="I6593" s="66">
        <v>45245</v>
      </c>
      <c r="J6593" s="65" t="s">
        <v>16240</v>
      </c>
      <c r="K6593" s="58"/>
      <c r="L6593" s="99"/>
      <c r="M6593" s="70"/>
      <c r="N6593" s="97"/>
      <c r="O6593" s="58" t="s">
        <v>147</v>
      </c>
      <c r="P6593" s="58" t="s">
        <v>22</v>
      </c>
      <c r="Q6593" s="58" t="s">
        <v>103</v>
      </c>
      <c r="R6593" s="58" t="s">
        <v>272</v>
      </c>
    </row>
    <row r="6594" spans="1:18" ht="69" customHeight="1">
      <c r="A6594" s="168"/>
      <c r="B6594" s="62">
        <f t="shared" si="22"/>
        <v>306</v>
      </c>
      <c r="C6594" s="59" t="s">
        <v>458</v>
      </c>
      <c r="D6594" s="174" t="s">
        <v>16241</v>
      </c>
      <c r="E6594" s="55" t="s">
        <v>10553</v>
      </c>
      <c r="F6594" s="58" t="s">
        <v>16242</v>
      </c>
      <c r="G6594" s="45" t="s">
        <v>16243</v>
      </c>
      <c r="H6594" s="546">
        <v>12501.9</v>
      </c>
      <c r="I6594" s="66">
        <v>45245</v>
      </c>
      <c r="J6594" s="65" t="s">
        <v>16240</v>
      </c>
      <c r="K6594" s="58"/>
      <c r="L6594" s="99"/>
      <c r="M6594" s="70"/>
      <c r="N6594" s="97"/>
      <c r="O6594" s="58" t="s">
        <v>147</v>
      </c>
      <c r="P6594" s="58" t="s">
        <v>22</v>
      </c>
      <c r="Q6594" s="58" t="s">
        <v>103</v>
      </c>
      <c r="R6594" s="58" t="s">
        <v>272</v>
      </c>
    </row>
    <row r="6595" spans="1:18" s="117" customFormat="1" ht="69" customHeight="1">
      <c r="A6595" s="168"/>
      <c r="B6595" s="261">
        <f t="shared" si="22"/>
        <v>307</v>
      </c>
      <c r="C6595" s="256" t="s">
        <v>458</v>
      </c>
      <c r="D6595" s="255"/>
      <c r="E6595" s="305" t="s">
        <v>10553</v>
      </c>
      <c r="F6595" s="118" t="s">
        <v>16244</v>
      </c>
      <c r="G6595" s="118" t="s">
        <v>16245</v>
      </c>
      <c r="H6595" s="300">
        <v>25823.18</v>
      </c>
      <c r="I6595" s="262">
        <v>45245</v>
      </c>
      <c r="J6595" s="258" t="s">
        <v>16240</v>
      </c>
      <c r="K6595" s="118" t="s">
        <v>16246</v>
      </c>
      <c r="M6595" s="389"/>
      <c r="N6595" s="105"/>
      <c r="O6595" s="160" t="s">
        <v>147</v>
      </c>
      <c r="P6595" s="160" t="s">
        <v>67</v>
      </c>
      <c r="Q6595" s="160" t="s">
        <v>104</v>
      </c>
      <c r="R6595" s="160" t="s">
        <v>272</v>
      </c>
    </row>
    <row r="6596" spans="1:18" s="117" customFormat="1" ht="69" customHeight="1">
      <c r="A6596" s="168"/>
      <c r="B6596" s="261">
        <f t="shared" si="22"/>
        <v>308</v>
      </c>
      <c r="C6596" s="256" t="s">
        <v>458</v>
      </c>
      <c r="D6596" s="255"/>
      <c r="E6596" s="305" t="s">
        <v>10553</v>
      </c>
      <c r="F6596" s="118" t="s">
        <v>16247</v>
      </c>
      <c r="G6596" s="118" t="s">
        <v>16248</v>
      </c>
      <c r="H6596" s="300">
        <v>13904.79</v>
      </c>
      <c r="I6596" s="262">
        <v>45245</v>
      </c>
      <c r="J6596" s="258" t="s">
        <v>16240</v>
      </c>
      <c r="K6596" s="118" t="s">
        <v>16246</v>
      </c>
      <c r="M6596" s="389"/>
      <c r="N6596" s="105"/>
      <c r="O6596" s="160" t="s">
        <v>147</v>
      </c>
      <c r="P6596" s="160" t="s">
        <v>67</v>
      </c>
      <c r="Q6596" s="160" t="s">
        <v>104</v>
      </c>
      <c r="R6596" s="160" t="s">
        <v>272</v>
      </c>
    </row>
    <row r="6597" spans="1:18" ht="69" customHeight="1">
      <c r="A6597" s="168"/>
      <c r="B6597" s="62">
        <f t="shared" si="22"/>
        <v>309</v>
      </c>
      <c r="C6597" s="59" t="s">
        <v>458</v>
      </c>
      <c r="D6597" s="174" t="s">
        <v>11686</v>
      </c>
      <c r="E6597" s="55" t="s">
        <v>10553</v>
      </c>
      <c r="F6597" s="58" t="s">
        <v>16249</v>
      </c>
      <c r="G6597" s="45" t="s">
        <v>16239</v>
      </c>
      <c r="H6597" s="546">
        <v>66232.820000000007</v>
      </c>
      <c r="I6597" s="66">
        <v>45245</v>
      </c>
      <c r="J6597" s="65" t="s">
        <v>16240</v>
      </c>
      <c r="K6597" s="58"/>
      <c r="L6597" s="99"/>
      <c r="M6597" s="70"/>
      <c r="N6597" s="97"/>
      <c r="O6597" s="58" t="s">
        <v>147</v>
      </c>
      <c r="P6597" s="58" t="s">
        <v>22</v>
      </c>
      <c r="Q6597" s="58" t="s">
        <v>113</v>
      </c>
      <c r="R6597" s="58" t="s">
        <v>272</v>
      </c>
    </row>
    <row r="6598" spans="1:18" ht="69" customHeight="1">
      <c r="A6598" s="168"/>
      <c r="B6598" s="62">
        <f t="shared" si="22"/>
        <v>310</v>
      </c>
      <c r="C6598" s="59" t="s">
        <v>458</v>
      </c>
      <c r="D6598" s="174" t="s">
        <v>16250</v>
      </c>
      <c r="E6598" s="55" t="s">
        <v>10553</v>
      </c>
      <c r="F6598" s="58" t="s">
        <v>16251</v>
      </c>
      <c r="G6598" s="45" t="s">
        <v>16243</v>
      </c>
      <c r="H6598" s="546">
        <v>35663.83</v>
      </c>
      <c r="I6598" s="66">
        <v>45245</v>
      </c>
      <c r="J6598" s="65" t="s">
        <v>16240</v>
      </c>
      <c r="K6598" s="58"/>
      <c r="L6598" s="99"/>
      <c r="M6598" s="70"/>
      <c r="N6598" s="97"/>
      <c r="O6598" s="58" t="s">
        <v>147</v>
      </c>
      <c r="P6598" s="58" t="s">
        <v>22</v>
      </c>
      <c r="Q6598" s="58" t="s">
        <v>113</v>
      </c>
      <c r="R6598" s="58" t="s">
        <v>272</v>
      </c>
    </row>
    <row r="6599" spans="1:18" ht="69" customHeight="1">
      <c r="A6599" s="168"/>
      <c r="B6599" s="62">
        <f t="shared" si="22"/>
        <v>311</v>
      </c>
      <c r="C6599" s="59" t="s">
        <v>458</v>
      </c>
      <c r="D6599" s="174" t="s">
        <v>16252</v>
      </c>
      <c r="E6599" s="55" t="s">
        <v>10553</v>
      </c>
      <c r="F6599" s="58" t="s">
        <v>16253</v>
      </c>
      <c r="G6599" s="45" t="s">
        <v>16254</v>
      </c>
      <c r="H6599" s="546">
        <v>51549.74</v>
      </c>
      <c r="I6599" s="66">
        <v>45245</v>
      </c>
      <c r="J6599" s="65" t="s">
        <v>16255</v>
      </c>
      <c r="K6599" s="58"/>
      <c r="L6599" s="99"/>
      <c r="M6599" s="70"/>
      <c r="N6599" s="97"/>
      <c r="O6599" s="58" t="s">
        <v>147</v>
      </c>
      <c r="P6599" s="58" t="s">
        <v>22</v>
      </c>
      <c r="Q6599" s="58" t="s">
        <v>88</v>
      </c>
      <c r="R6599" s="58" t="s">
        <v>272</v>
      </c>
    </row>
    <row r="6600" spans="1:18" ht="69" customHeight="1">
      <c r="A6600" s="168"/>
      <c r="B6600" s="62">
        <f t="shared" si="22"/>
        <v>312</v>
      </c>
      <c r="C6600" s="59" t="s">
        <v>458</v>
      </c>
      <c r="D6600" s="174" t="s">
        <v>16256</v>
      </c>
      <c r="E6600" s="55" t="s">
        <v>10553</v>
      </c>
      <c r="F6600" s="58" t="s">
        <v>16257</v>
      </c>
      <c r="G6600" s="45" t="s">
        <v>16258</v>
      </c>
      <c r="H6600" s="546">
        <v>27757.56</v>
      </c>
      <c r="I6600" s="66">
        <v>45245</v>
      </c>
      <c r="J6600" s="65" t="s">
        <v>16255</v>
      </c>
      <c r="K6600" s="58"/>
      <c r="L6600" s="99"/>
      <c r="M6600" s="70"/>
      <c r="N6600" s="97"/>
      <c r="O6600" s="58" t="s">
        <v>147</v>
      </c>
      <c r="P6600" s="58" t="s">
        <v>22</v>
      </c>
      <c r="Q6600" s="58" t="s">
        <v>88</v>
      </c>
      <c r="R6600" s="58" t="s">
        <v>272</v>
      </c>
    </row>
    <row r="6601" spans="1:18" s="117" customFormat="1" ht="69" customHeight="1">
      <c r="A6601" s="168"/>
      <c r="B6601" s="261">
        <f t="shared" si="22"/>
        <v>313</v>
      </c>
      <c r="C6601" s="256" t="s">
        <v>458</v>
      </c>
      <c r="D6601" s="255"/>
      <c r="E6601" s="305" t="s">
        <v>10553</v>
      </c>
      <c r="F6601" s="118" t="s">
        <v>16259</v>
      </c>
      <c r="G6601" s="118" t="s">
        <v>16260</v>
      </c>
      <c r="H6601" s="300">
        <v>5525.35</v>
      </c>
      <c r="I6601" s="262">
        <v>45245</v>
      </c>
      <c r="J6601" s="258" t="s">
        <v>16255</v>
      </c>
      <c r="K6601" s="118" t="s">
        <v>16246</v>
      </c>
      <c r="M6601" s="389"/>
      <c r="N6601" s="105"/>
      <c r="O6601" s="160" t="s">
        <v>147</v>
      </c>
      <c r="P6601" s="160" t="s">
        <v>67</v>
      </c>
      <c r="Q6601" s="160" t="s">
        <v>97</v>
      </c>
      <c r="R6601" s="160" t="s">
        <v>272</v>
      </c>
    </row>
    <row r="6602" spans="1:18" s="117" customFormat="1" ht="69" customHeight="1">
      <c r="A6602" s="168"/>
      <c r="B6602" s="261">
        <f t="shared" si="22"/>
        <v>314</v>
      </c>
      <c r="C6602" s="256" t="s">
        <v>458</v>
      </c>
      <c r="D6602" s="255"/>
      <c r="E6602" s="305" t="s">
        <v>10553</v>
      </c>
      <c r="F6602" s="118" t="s">
        <v>16261</v>
      </c>
      <c r="G6602" s="118" t="s">
        <v>16262</v>
      </c>
      <c r="H6602" s="300">
        <v>2975.19</v>
      </c>
      <c r="I6602" s="262">
        <v>45245</v>
      </c>
      <c r="J6602" s="258" t="s">
        <v>16255</v>
      </c>
      <c r="K6602" s="118" t="s">
        <v>16246</v>
      </c>
      <c r="M6602" s="389"/>
      <c r="N6602" s="105"/>
      <c r="O6602" s="160" t="s">
        <v>147</v>
      </c>
      <c r="P6602" s="160" t="s">
        <v>67</v>
      </c>
      <c r="Q6602" s="160" t="s">
        <v>97</v>
      </c>
      <c r="R6602" s="160" t="s">
        <v>272</v>
      </c>
    </row>
    <row r="6603" spans="1:18" ht="69" customHeight="1">
      <c r="A6603" s="168"/>
      <c r="B6603" s="48">
        <f t="shared" si="22"/>
        <v>315</v>
      </c>
      <c r="C6603" s="59" t="s">
        <v>2182</v>
      </c>
      <c r="D6603" s="84" t="s">
        <v>15939</v>
      </c>
      <c r="E6603" s="45" t="s">
        <v>4173</v>
      </c>
      <c r="F6603" s="45" t="s">
        <v>16263</v>
      </c>
      <c r="G6603" s="45" t="s">
        <v>16264</v>
      </c>
      <c r="H6603" s="546">
        <v>33176</v>
      </c>
      <c r="I6603" s="47">
        <v>45245</v>
      </c>
      <c r="J6603" s="73" t="s">
        <v>16265</v>
      </c>
      <c r="K6603" s="45"/>
      <c r="L6603" s="99"/>
      <c r="M6603" s="70"/>
      <c r="N6603" s="97"/>
      <c r="O6603" s="58" t="s">
        <v>441</v>
      </c>
      <c r="P6603" s="58" t="s">
        <v>22</v>
      </c>
      <c r="Q6603" s="58" t="s">
        <v>31</v>
      </c>
      <c r="R6603" s="58" t="s">
        <v>265</v>
      </c>
    </row>
    <row r="6604" spans="1:18" ht="69" customHeight="1">
      <c r="A6604" s="168"/>
      <c r="B6604" s="62">
        <f t="shared" si="22"/>
        <v>316</v>
      </c>
      <c r="C6604" s="59" t="s">
        <v>2182</v>
      </c>
      <c r="D6604" s="174" t="s">
        <v>11442</v>
      </c>
      <c r="E6604" s="58" t="s">
        <v>4173</v>
      </c>
      <c r="F6604" s="58" t="s">
        <v>16266</v>
      </c>
      <c r="G6604" s="58" t="s">
        <v>16267</v>
      </c>
      <c r="H6604" s="546">
        <v>100000</v>
      </c>
      <c r="I6604" s="66">
        <v>45245</v>
      </c>
      <c r="J6604" s="65" t="s">
        <v>16268</v>
      </c>
      <c r="K6604" s="58"/>
      <c r="L6604" s="99"/>
      <c r="M6604" s="70"/>
      <c r="N6604" s="97"/>
      <c r="O6604" s="58" t="s">
        <v>441</v>
      </c>
      <c r="P6604" s="58" t="s">
        <v>22</v>
      </c>
      <c r="Q6604" s="58" t="s">
        <v>31</v>
      </c>
      <c r="R6604" s="58" t="s">
        <v>265</v>
      </c>
    </row>
    <row r="6605" spans="1:18" ht="69" customHeight="1">
      <c r="A6605" s="168"/>
      <c r="B6605" s="62">
        <f t="shared" si="22"/>
        <v>317</v>
      </c>
      <c r="C6605" s="59" t="s">
        <v>2182</v>
      </c>
      <c r="D6605" s="174" t="s">
        <v>11446</v>
      </c>
      <c r="E6605" s="58" t="s">
        <v>4173</v>
      </c>
      <c r="F6605" s="58" t="s">
        <v>16269</v>
      </c>
      <c r="G6605" s="58" t="s">
        <v>16270</v>
      </c>
      <c r="H6605" s="546">
        <v>65952</v>
      </c>
      <c r="I6605" s="66">
        <v>45245</v>
      </c>
      <c r="J6605" s="65" t="s">
        <v>16271</v>
      </c>
      <c r="K6605" s="58"/>
      <c r="L6605" s="99"/>
      <c r="M6605" s="70"/>
      <c r="N6605" s="97"/>
      <c r="O6605" s="58" t="s">
        <v>441</v>
      </c>
      <c r="P6605" s="58" t="s">
        <v>22</v>
      </c>
      <c r="Q6605" s="58" t="s">
        <v>31</v>
      </c>
      <c r="R6605" s="58" t="s">
        <v>265</v>
      </c>
    </row>
    <row r="6606" spans="1:18" ht="69" customHeight="1">
      <c r="A6606" s="168"/>
      <c r="B6606" s="62">
        <f t="shared" si="22"/>
        <v>318</v>
      </c>
      <c r="C6606" s="58" t="s">
        <v>13435</v>
      </c>
      <c r="D6606" s="174" t="s">
        <v>15934</v>
      </c>
      <c r="E6606" s="58" t="s">
        <v>4173</v>
      </c>
      <c r="F6606" s="58" t="s">
        <v>16272</v>
      </c>
      <c r="G6606" s="58" t="s">
        <v>16273</v>
      </c>
      <c r="H6606" s="546">
        <v>31001.24</v>
      </c>
      <c r="I6606" s="66">
        <v>45245</v>
      </c>
      <c r="J6606" s="65" t="s">
        <v>16274</v>
      </c>
      <c r="K6606" s="58"/>
      <c r="L6606" s="99"/>
      <c r="M6606" s="70"/>
      <c r="N6606" s="97"/>
      <c r="O6606" s="58" t="s">
        <v>441</v>
      </c>
      <c r="P6606" s="58" t="s">
        <v>22</v>
      </c>
      <c r="Q6606" s="58" t="s">
        <v>13</v>
      </c>
      <c r="R6606" s="58" t="s">
        <v>265</v>
      </c>
    </row>
    <row r="6607" spans="1:18" s="98" customFormat="1" ht="69" customHeight="1">
      <c r="A6607" s="169"/>
      <c r="B6607" s="259">
        <f t="shared" si="22"/>
        <v>319</v>
      </c>
      <c r="C6607" s="207" t="s">
        <v>3667</v>
      </c>
      <c r="D6607" s="301" t="s">
        <v>16275</v>
      </c>
      <c r="E6607" s="207" t="s">
        <v>16276</v>
      </c>
      <c r="F6607" s="208" t="s">
        <v>16277</v>
      </c>
      <c r="G6607" s="160" t="s">
        <v>16278</v>
      </c>
      <c r="H6607" s="300">
        <v>19629.16</v>
      </c>
      <c r="I6607" s="209">
        <v>45251</v>
      </c>
      <c r="J6607" s="316" t="s">
        <v>16279</v>
      </c>
      <c r="K6607" s="160" t="s">
        <v>67</v>
      </c>
      <c r="M6607" s="385"/>
      <c r="N6607" s="75"/>
      <c r="O6607" s="160" t="s">
        <v>11192</v>
      </c>
      <c r="P6607" s="160" t="s">
        <v>67</v>
      </c>
      <c r="Q6607" s="160" t="s">
        <v>49</v>
      </c>
      <c r="R6607" s="160" t="s">
        <v>272</v>
      </c>
    </row>
    <row r="6608" spans="1:18" s="98" customFormat="1" ht="69" customHeight="1">
      <c r="A6608" s="169"/>
      <c r="B6608" s="259">
        <f t="shared" si="22"/>
        <v>320</v>
      </c>
      <c r="C6608" s="207" t="s">
        <v>657</v>
      </c>
      <c r="D6608" s="301" t="s">
        <v>869</v>
      </c>
      <c r="E6608" s="207" t="s">
        <v>16276</v>
      </c>
      <c r="F6608" s="208" t="s">
        <v>16280</v>
      </c>
      <c r="G6608" s="160" t="s">
        <v>16278</v>
      </c>
      <c r="H6608" s="300">
        <v>11041.39</v>
      </c>
      <c r="I6608" s="209">
        <v>45251</v>
      </c>
      <c r="J6608" s="316" t="s">
        <v>16279</v>
      </c>
      <c r="K6608" s="160" t="s">
        <v>67</v>
      </c>
      <c r="M6608" s="385"/>
      <c r="N6608" s="75"/>
      <c r="O6608" s="160" t="s">
        <v>11192</v>
      </c>
      <c r="P6608" s="160" t="s">
        <v>67</v>
      </c>
      <c r="Q6608" s="160" t="s">
        <v>99</v>
      </c>
      <c r="R6608" s="160" t="s">
        <v>272</v>
      </c>
    </row>
    <row r="6609" spans="1:18" s="98" customFormat="1" ht="69" customHeight="1">
      <c r="A6609" s="169"/>
      <c r="B6609" s="259">
        <f t="shared" ref="B6609:B6672" si="23">B6608+1</f>
        <v>321</v>
      </c>
      <c r="C6609" s="207" t="s">
        <v>309</v>
      </c>
      <c r="D6609" s="301" t="s">
        <v>11453</v>
      </c>
      <c r="E6609" s="207" t="s">
        <v>16276</v>
      </c>
      <c r="F6609" s="208" t="s">
        <v>16281</v>
      </c>
      <c r="G6609" s="160" t="s">
        <v>16278</v>
      </c>
      <c r="H6609" s="300">
        <v>15335.28</v>
      </c>
      <c r="I6609" s="209">
        <v>45251</v>
      </c>
      <c r="J6609" s="316" t="s">
        <v>16279</v>
      </c>
      <c r="K6609" s="160" t="s">
        <v>67</v>
      </c>
      <c r="M6609" s="385"/>
      <c r="N6609" s="75"/>
      <c r="O6609" s="160" t="s">
        <v>11192</v>
      </c>
      <c r="P6609" s="160" t="s">
        <v>67</v>
      </c>
      <c r="Q6609" s="160" t="s">
        <v>15</v>
      </c>
      <c r="R6609" s="160" t="s">
        <v>272</v>
      </c>
    </row>
    <row r="6610" spans="1:18" s="98" customFormat="1" ht="69" customHeight="1">
      <c r="A6610" s="169"/>
      <c r="B6610" s="259">
        <f t="shared" si="23"/>
        <v>322</v>
      </c>
      <c r="C6610" s="207" t="s">
        <v>458</v>
      </c>
      <c r="D6610" s="301" t="s">
        <v>16282</v>
      </c>
      <c r="E6610" s="207" t="s">
        <v>16276</v>
      </c>
      <c r="F6610" s="208" t="s">
        <v>16283</v>
      </c>
      <c r="G6610" s="160" t="s">
        <v>16278</v>
      </c>
      <c r="H6610" s="300">
        <v>15335.28</v>
      </c>
      <c r="I6610" s="209">
        <v>45251</v>
      </c>
      <c r="J6610" s="316" t="s">
        <v>16279</v>
      </c>
      <c r="K6610" s="160" t="s">
        <v>67</v>
      </c>
      <c r="M6610" s="385"/>
      <c r="N6610" s="75"/>
      <c r="O6610" s="160" t="s">
        <v>11192</v>
      </c>
      <c r="P6610" s="160" t="s">
        <v>67</v>
      </c>
      <c r="Q6610" s="160" t="s">
        <v>90</v>
      </c>
      <c r="R6610" s="160" t="s">
        <v>272</v>
      </c>
    </row>
    <row r="6611" spans="1:18" s="98" customFormat="1" ht="69" customHeight="1">
      <c r="A6611" s="169"/>
      <c r="B6611" s="48">
        <f t="shared" si="23"/>
        <v>323</v>
      </c>
      <c r="C6611" s="44" t="s">
        <v>16284</v>
      </c>
      <c r="D6611" s="84" t="s">
        <v>15937</v>
      </c>
      <c r="E6611" s="45" t="s">
        <v>14656</v>
      </c>
      <c r="F6611" s="45" t="s">
        <v>16285</v>
      </c>
      <c r="G6611" s="45" t="s">
        <v>16286</v>
      </c>
      <c r="H6611" s="546">
        <v>91500</v>
      </c>
      <c r="I6611" s="47">
        <v>45245</v>
      </c>
      <c r="J6611" s="73" t="s">
        <v>16287</v>
      </c>
      <c r="K6611" s="45"/>
      <c r="M6611" s="385"/>
      <c r="N6611" s="75"/>
      <c r="O6611" s="45" t="s">
        <v>186</v>
      </c>
      <c r="P6611" s="45" t="s">
        <v>57</v>
      </c>
      <c r="Q6611" s="45" t="s">
        <v>33</v>
      </c>
      <c r="R6611" s="45" t="s">
        <v>272</v>
      </c>
    </row>
    <row r="6612" spans="1:18" s="98" customFormat="1" ht="69" customHeight="1">
      <c r="A6612" s="169"/>
      <c r="B6612" s="48">
        <f t="shared" si="23"/>
        <v>324</v>
      </c>
      <c r="C6612" s="59" t="s">
        <v>3667</v>
      </c>
      <c r="D6612" s="84" t="s">
        <v>16288</v>
      </c>
      <c r="E6612" s="45" t="s">
        <v>16289</v>
      </c>
      <c r="F6612" s="45" t="s">
        <v>16290</v>
      </c>
      <c r="G6612" s="45" t="s">
        <v>16291</v>
      </c>
      <c r="H6612" s="546">
        <v>112967.02</v>
      </c>
      <c r="I6612" s="47">
        <v>45245</v>
      </c>
      <c r="J6612" s="73" t="s">
        <v>16292</v>
      </c>
      <c r="K6612" s="45"/>
      <c r="M6612" s="385"/>
      <c r="N6612" s="75"/>
      <c r="O6612" s="45" t="s">
        <v>208</v>
      </c>
      <c r="P6612" s="45" t="s">
        <v>57</v>
      </c>
      <c r="Q6612" s="45" t="s">
        <v>84</v>
      </c>
      <c r="R6612" s="45" t="s">
        <v>272</v>
      </c>
    </row>
    <row r="6613" spans="1:18" s="98" customFormat="1" ht="69" customHeight="1">
      <c r="A6613" s="169"/>
      <c r="B6613" s="48">
        <f t="shared" si="23"/>
        <v>325</v>
      </c>
      <c r="C6613" s="59" t="s">
        <v>3667</v>
      </c>
      <c r="D6613" s="84" t="s">
        <v>16293</v>
      </c>
      <c r="E6613" s="45" t="s">
        <v>16289</v>
      </c>
      <c r="F6613" s="45" t="s">
        <v>16294</v>
      </c>
      <c r="G6613" s="45" t="s">
        <v>16291</v>
      </c>
      <c r="H6613" s="546">
        <v>147770.4</v>
      </c>
      <c r="I6613" s="47">
        <v>45245</v>
      </c>
      <c r="J6613" s="73" t="s">
        <v>16292</v>
      </c>
      <c r="K6613" s="45"/>
      <c r="M6613" s="385"/>
      <c r="N6613" s="75"/>
      <c r="O6613" s="45" t="s">
        <v>208</v>
      </c>
      <c r="P6613" s="45" t="s">
        <v>57</v>
      </c>
      <c r="Q6613" s="45" t="s">
        <v>78</v>
      </c>
      <c r="R6613" s="45" t="s">
        <v>272</v>
      </c>
    </row>
    <row r="6614" spans="1:18" s="98" customFormat="1" ht="69" customHeight="1">
      <c r="A6614" s="169"/>
      <c r="B6614" s="259">
        <f t="shared" si="23"/>
        <v>326</v>
      </c>
      <c r="C6614" s="207" t="s">
        <v>3667</v>
      </c>
      <c r="D6614" s="303" t="s">
        <v>16295</v>
      </c>
      <c r="E6614" s="160" t="s">
        <v>16296</v>
      </c>
      <c r="F6614" s="160" t="s">
        <v>16297</v>
      </c>
      <c r="G6614" s="160" t="s">
        <v>16298</v>
      </c>
      <c r="H6614" s="300">
        <v>11403.76</v>
      </c>
      <c r="I6614" s="209">
        <v>45245</v>
      </c>
      <c r="J6614" s="316" t="s">
        <v>16299</v>
      </c>
      <c r="K6614" s="160" t="s">
        <v>4128</v>
      </c>
      <c r="M6614" s="385"/>
      <c r="N6614" s="75"/>
      <c r="O6614" s="160" t="s">
        <v>150</v>
      </c>
      <c r="P6614" s="160" t="s">
        <v>67</v>
      </c>
      <c r="Q6614" s="160" t="s">
        <v>64</v>
      </c>
      <c r="R6614" s="160" t="s">
        <v>272</v>
      </c>
    </row>
    <row r="6615" spans="1:18" s="98" customFormat="1" ht="69" customHeight="1">
      <c r="A6615" s="169"/>
      <c r="B6615" s="259">
        <f t="shared" si="23"/>
        <v>327</v>
      </c>
      <c r="C6615" s="207" t="s">
        <v>3667</v>
      </c>
      <c r="D6615" s="303" t="s">
        <v>16300</v>
      </c>
      <c r="E6615" s="160" t="s">
        <v>16301</v>
      </c>
      <c r="F6615" s="160" t="s">
        <v>16302</v>
      </c>
      <c r="G6615" s="160" t="s">
        <v>16298</v>
      </c>
      <c r="H6615" s="300">
        <v>34199.32</v>
      </c>
      <c r="I6615" s="209">
        <v>45245</v>
      </c>
      <c r="J6615" s="316" t="s">
        <v>16299</v>
      </c>
      <c r="K6615" s="160" t="s">
        <v>4128</v>
      </c>
      <c r="M6615" s="385"/>
      <c r="N6615" s="75"/>
      <c r="O6615" s="160" t="s">
        <v>150</v>
      </c>
      <c r="P6615" s="160" t="s">
        <v>67</v>
      </c>
      <c r="Q6615" s="160" t="s">
        <v>64</v>
      </c>
      <c r="R6615" s="160" t="s">
        <v>272</v>
      </c>
    </row>
    <row r="6616" spans="1:18" ht="69" customHeight="1">
      <c r="A6616" s="168"/>
      <c r="B6616" s="62">
        <f t="shared" si="23"/>
        <v>328</v>
      </c>
      <c r="C6616" s="59" t="s">
        <v>3667</v>
      </c>
      <c r="D6616" s="174" t="s">
        <v>16303</v>
      </c>
      <c r="E6616" s="85" t="s">
        <v>16011</v>
      </c>
      <c r="F6616" s="58" t="s">
        <v>16304</v>
      </c>
      <c r="G6616" s="58" t="s">
        <v>16305</v>
      </c>
      <c r="H6616" s="546">
        <v>3767.13</v>
      </c>
      <c r="I6616" s="66">
        <v>45245</v>
      </c>
      <c r="J6616" s="65" t="s">
        <v>16299</v>
      </c>
      <c r="K6616" s="58"/>
      <c r="L6616" s="99"/>
      <c r="M6616" s="70"/>
      <c r="N6616" s="97"/>
      <c r="O6616" s="58" t="s">
        <v>150</v>
      </c>
      <c r="P6616" s="58" t="s">
        <v>51</v>
      </c>
      <c r="Q6616" s="58" t="s">
        <v>64</v>
      </c>
      <c r="R6616" s="58" t="s">
        <v>272</v>
      </c>
    </row>
    <row r="6617" spans="1:18" ht="69" customHeight="1">
      <c r="A6617" s="168"/>
      <c r="B6617" s="62">
        <f t="shared" si="23"/>
        <v>329</v>
      </c>
      <c r="C6617" s="44" t="s">
        <v>458</v>
      </c>
      <c r="D6617" s="174" t="s">
        <v>16306</v>
      </c>
      <c r="E6617" s="85" t="s">
        <v>16011</v>
      </c>
      <c r="F6617" s="58" t="s">
        <v>16307</v>
      </c>
      <c r="G6617" s="58" t="s">
        <v>16308</v>
      </c>
      <c r="H6617" s="546">
        <v>29180</v>
      </c>
      <c r="I6617" s="66">
        <v>45245</v>
      </c>
      <c r="J6617" s="65" t="s">
        <v>16299</v>
      </c>
      <c r="K6617" s="58"/>
      <c r="L6617" s="99"/>
      <c r="M6617" s="70"/>
      <c r="N6617" s="97"/>
      <c r="O6617" s="58" t="s">
        <v>150</v>
      </c>
      <c r="P6617" s="58" t="s">
        <v>51</v>
      </c>
      <c r="Q6617" s="58" t="s">
        <v>114</v>
      </c>
      <c r="R6617" s="58" t="s">
        <v>272</v>
      </c>
    </row>
    <row r="6618" spans="1:18" ht="69" customHeight="1">
      <c r="A6618" s="168"/>
      <c r="B6618" s="62">
        <f t="shared" si="23"/>
        <v>330</v>
      </c>
      <c r="C6618" s="59" t="s">
        <v>13435</v>
      </c>
      <c r="D6618" s="174" t="s">
        <v>15944</v>
      </c>
      <c r="E6618" s="58" t="s">
        <v>4173</v>
      </c>
      <c r="F6618" s="58" t="s">
        <v>16309</v>
      </c>
      <c r="G6618" s="58" t="s">
        <v>16273</v>
      </c>
      <c r="H6618" s="546">
        <v>33024.730000000003</v>
      </c>
      <c r="I6618" s="66">
        <v>45245</v>
      </c>
      <c r="J6618" s="65" t="s">
        <v>16310</v>
      </c>
      <c r="K6618" s="58"/>
      <c r="L6618" s="99"/>
      <c r="M6618" s="70"/>
      <c r="N6618" s="97"/>
      <c r="O6618" s="58" t="s">
        <v>441</v>
      </c>
      <c r="P6618" s="58" t="s">
        <v>22</v>
      </c>
      <c r="Q6618" s="58" t="s">
        <v>13</v>
      </c>
      <c r="R6618" s="58" t="s">
        <v>265</v>
      </c>
    </row>
    <row r="6619" spans="1:18" ht="69" customHeight="1">
      <c r="A6619" s="168"/>
      <c r="B6619" s="62">
        <f t="shared" si="23"/>
        <v>331</v>
      </c>
      <c r="C6619" s="59" t="s">
        <v>2182</v>
      </c>
      <c r="D6619" s="174" t="s">
        <v>15954</v>
      </c>
      <c r="E6619" s="58" t="s">
        <v>4173</v>
      </c>
      <c r="F6619" s="58" t="s">
        <v>16311</v>
      </c>
      <c r="G6619" s="58" t="s">
        <v>16312</v>
      </c>
      <c r="H6619" s="546">
        <v>100000</v>
      </c>
      <c r="I6619" s="66">
        <v>45245</v>
      </c>
      <c r="J6619" s="65" t="s">
        <v>16313</v>
      </c>
      <c r="K6619" s="58"/>
      <c r="L6619" s="99"/>
      <c r="M6619" s="70"/>
      <c r="N6619" s="97"/>
      <c r="O6619" s="58" t="s">
        <v>441</v>
      </c>
      <c r="P6619" s="58" t="s">
        <v>22</v>
      </c>
      <c r="Q6619" s="58" t="s">
        <v>31</v>
      </c>
      <c r="R6619" s="58" t="s">
        <v>265</v>
      </c>
    </row>
    <row r="6620" spans="1:18" ht="69" customHeight="1">
      <c r="A6620" s="168"/>
      <c r="B6620" s="62">
        <f t="shared" si="23"/>
        <v>332</v>
      </c>
      <c r="C6620" s="44" t="s">
        <v>458</v>
      </c>
      <c r="D6620" s="174" t="s">
        <v>11691</v>
      </c>
      <c r="E6620" s="58" t="s">
        <v>13546</v>
      </c>
      <c r="F6620" s="58" t="s">
        <v>16314</v>
      </c>
      <c r="G6620" s="58" t="s">
        <v>16315</v>
      </c>
      <c r="H6620" s="546">
        <v>34770</v>
      </c>
      <c r="I6620" s="66">
        <v>45245</v>
      </c>
      <c r="J6620" s="65" t="s">
        <v>16316</v>
      </c>
      <c r="K6620" s="58"/>
      <c r="L6620" s="99"/>
      <c r="M6620" s="70"/>
      <c r="N6620" s="97"/>
      <c r="O6620" s="58" t="s">
        <v>10607</v>
      </c>
      <c r="P6620" s="58" t="s">
        <v>22</v>
      </c>
      <c r="Q6620" s="58" t="s">
        <v>117</v>
      </c>
      <c r="R6620" s="58" t="s">
        <v>265</v>
      </c>
    </row>
    <row r="6621" spans="1:18" s="98" customFormat="1" ht="69" customHeight="1">
      <c r="A6621" s="169"/>
      <c r="B6621" s="48">
        <f t="shared" si="23"/>
        <v>333</v>
      </c>
      <c r="C6621" s="44" t="s">
        <v>458</v>
      </c>
      <c r="D6621" s="84" t="s">
        <v>16317</v>
      </c>
      <c r="E6621" s="45" t="s">
        <v>15851</v>
      </c>
      <c r="F6621" s="45" t="s">
        <v>16318</v>
      </c>
      <c r="G6621" s="45" t="s">
        <v>16319</v>
      </c>
      <c r="H6621" s="546">
        <v>124850</v>
      </c>
      <c r="I6621" s="47">
        <v>45245</v>
      </c>
      <c r="J6621" s="73" t="s">
        <v>16320</v>
      </c>
      <c r="K6621" s="45"/>
      <c r="M6621" s="385"/>
      <c r="N6621" s="75"/>
      <c r="O6621" s="45" t="s">
        <v>147</v>
      </c>
      <c r="P6621" s="45" t="s">
        <v>22</v>
      </c>
      <c r="Q6621" s="45" t="s">
        <v>112</v>
      </c>
      <c r="R6621" s="45" t="s">
        <v>265</v>
      </c>
    </row>
    <row r="6622" spans="1:18" s="98" customFormat="1" ht="69" customHeight="1">
      <c r="A6622" s="169"/>
      <c r="B6622" s="48">
        <f t="shared" si="23"/>
        <v>334</v>
      </c>
      <c r="C6622" s="44" t="s">
        <v>458</v>
      </c>
      <c r="D6622" s="84" t="s">
        <v>11718</v>
      </c>
      <c r="E6622" s="178" t="s">
        <v>7890</v>
      </c>
      <c r="F6622" s="45" t="s">
        <v>16321</v>
      </c>
      <c r="G6622" s="45" t="s">
        <v>16319</v>
      </c>
      <c r="H6622" s="546">
        <v>81830</v>
      </c>
      <c r="I6622" s="47">
        <v>45245</v>
      </c>
      <c r="J6622" s="73" t="s">
        <v>16322</v>
      </c>
      <c r="K6622" s="45"/>
      <c r="M6622" s="385"/>
      <c r="N6622" s="75"/>
      <c r="O6622" s="45" t="s">
        <v>147</v>
      </c>
      <c r="P6622" s="45" t="s">
        <v>22</v>
      </c>
      <c r="Q6622" s="45" t="s">
        <v>123</v>
      </c>
      <c r="R6622" s="45" t="s">
        <v>265</v>
      </c>
    </row>
    <row r="6623" spans="1:18" s="98" customFormat="1" ht="69" customHeight="1">
      <c r="A6623" s="169"/>
      <c r="B6623" s="48">
        <f t="shared" si="23"/>
        <v>335</v>
      </c>
      <c r="C6623" s="44" t="s">
        <v>458</v>
      </c>
      <c r="D6623" s="84" t="s">
        <v>9260</v>
      </c>
      <c r="E6623" s="45" t="s">
        <v>11417</v>
      </c>
      <c r="F6623" s="45" t="s">
        <v>16323</v>
      </c>
      <c r="G6623" s="45" t="s">
        <v>16319</v>
      </c>
      <c r="H6623" s="546">
        <v>143550</v>
      </c>
      <c r="I6623" s="47">
        <v>45245</v>
      </c>
      <c r="J6623" s="73" t="s">
        <v>16324</v>
      </c>
      <c r="K6623" s="45"/>
      <c r="M6623" s="385"/>
      <c r="N6623" s="75"/>
      <c r="O6623" s="45" t="s">
        <v>147</v>
      </c>
      <c r="P6623" s="45" t="s">
        <v>22</v>
      </c>
      <c r="Q6623" s="45" t="s">
        <v>122</v>
      </c>
      <c r="R6623" s="45" t="s">
        <v>265</v>
      </c>
    </row>
    <row r="6624" spans="1:18" s="98" customFormat="1" ht="69" customHeight="1">
      <c r="A6624" s="169"/>
      <c r="B6624" s="48">
        <f t="shared" si="23"/>
        <v>336</v>
      </c>
      <c r="C6624" s="59" t="s">
        <v>657</v>
      </c>
      <c r="D6624" s="84" t="s">
        <v>3625</v>
      </c>
      <c r="E6624" s="45" t="s">
        <v>16289</v>
      </c>
      <c r="F6624" s="45" t="s">
        <v>16325</v>
      </c>
      <c r="G6624" s="45" t="s">
        <v>16326</v>
      </c>
      <c r="H6624" s="546">
        <v>214316.28</v>
      </c>
      <c r="I6624" s="47">
        <v>45245</v>
      </c>
      <c r="J6624" s="73" t="s">
        <v>16327</v>
      </c>
      <c r="K6624" s="45"/>
      <c r="M6624" s="388"/>
      <c r="N6624" s="108"/>
      <c r="O6624" s="45" t="s">
        <v>208</v>
      </c>
      <c r="P6624" s="45" t="s">
        <v>57</v>
      </c>
      <c r="Q6624" s="45" t="s">
        <v>110</v>
      </c>
      <c r="R6624" s="45" t="s">
        <v>272</v>
      </c>
    </row>
    <row r="6625" spans="1:19" s="98" customFormat="1" ht="69" customHeight="1">
      <c r="A6625" s="169"/>
      <c r="B6625" s="259">
        <f t="shared" si="23"/>
        <v>337</v>
      </c>
      <c r="C6625" s="207" t="s">
        <v>3667</v>
      </c>
      <c r="D6625" s="303" t="s">
        <v>16328</v>
      </c>
      <c r="E6625" s="160" t="s">
        <v>266</v>
      </c>
      <c r="F6625" s="160" t="s">
        <v>16329</v>
      </c>
      <c r="G6625" s="160" t="s">
        <v>16330</v>
      </c>
      <c r="H6625" s="300">
        <v>15208.44</v>
      </c>
      <c r="I6625" s="209">
        <v>45245</v>
      </c>
      <c r="J6625" s="316" t="s">
        <v>16331</v>
      </c>
      <c r="K6625" s="259" t="s">
        <v>67</v>
      </c>
      <c r="M6625" s="388"/>
      <c r="N6625" s="108"/>
      <c r="O6625" s="160" t="s">
        <v>16332</v>
      </c>
      <c r="P6625" s="160" t="s">
        <v>67</v>
      </c>
      <c r="Q6625" s="160" t="s">
        <v>96</v>
      </c>
      <c r="R6625" s="160" t="s">
        <v>272</v>
      </c>
    </row>
    <row r="6626" spans="1:19" ht="69" customHeight="1">
      <c r="A6626" s="168"/>
      <c r="B6626" s="62">
        <f t="shared" si="23"/>
        <v>338</v>
      </c>
      <c r="C6626" s="44" t="s">
        <v>16042</v>
      </c>
      <c r="D6626" s="174" t="s">
        <v>16333</v>
      </c>
      <c r="E6626" s="58" t="s">
        <v>16334</v>
      </c>
      <c r="F6626" s="58" t="s">
        <v>16335</v>
      </c>
      <c r="G6626" s="58" t="s">
        <v>16336</v>
      </c>
      <c r="H6626" s="546">
        <v>29732.59</v>
      </c>
      <c r="I6626" s="66">
        <v>45245</v>
      </c>
      <c r="J6626" s="65" t="s">
        <v>16337</v>
      </c>
      <c r="K6626" s="58"/>
      <c r="L6626" s="99"/>
      <c r="M6626" s="70"/>
      <c r="N6626" s="97"/>
      <c r="O6626" s="58" t="s">
        <v>154</v>
      </c>
      <c r="P6626" s="58" t="s">
        <v>57</v>
      </c>
      <c r="Q6626" s="58" t="s">
        <v>70</v>
      </c>
      <c r="R6626" s="58" t="s">
        <v>272</v>
      </c>
    </row>
    <row r="6627" spans="1:19" ht="69" customHeight="1">
      <c r="A6627" s="168"/>
      <c r="B6627" s="48">
        <f t="shared" si="23"/>
        <v>339</v>
      </c>
      <c r="C6627" s="59" t="s">
        <v>3667</v>
      </c>
      <c r="D6627" s="84" t="s">
        <v>16338</v>
      </c>
      <c r="E6627" s="45" t="s">
        <v>15281</v>
      </c>
      <c r="F6627" s="45" t="s">
        <v>16339</v>
      </c>
      <c r="G6627" s="45" t="s">
        <v>16340</v>
      </c>
      <c r="H6627" s="546">
        <v>18456.91</v>
      </c>
      <c r="I6627" s="47">
        <v>45245</v>
      </c>
      <c r="J6627" s="73" t="s">
        <v>16341</v>
      </c>
      <c r="K6627" s="45"/>
      <c r="M6627" s="385"/>
      <c r="N6627" s="75"/>
      <c r="O6627" s="45" t="s">
        <v>10607</v>
      </c>
      <c r="P6627" s="45" t="s">
        <v>22</v>
      </c>
      <c r="Q6627" s="45" t="s">
        <v>70</v>
      </c>
      <c r="R6627" s="45" t="s">
        <v>272</v>
      </c>
    </row>
    <row r="6628" spans="1:19" ht="69" customHeight="1">
      <c r="A6628" s="168"/>
      <c r="B6628" s="48">
        <f t="shared" si="23"/>
        <v>340</v>
      </c>
      <c r="C6628" s="59" t="s">
        <v>3667</v>
      </c>
      <c r="D6628" s="84" t="s">
        <v>16342</v>
      </c>
      <c r="E6628" s="45" t="s">
        <v>15281</v>
      </c>
      <c r="F6628" s="45" t="s">
        <v>16343</v>
      </c>
      <c r="G6628" s="45" t="s">
        <v>16340</v>
      </c>
      <c r="H6628" s="546">
        <v>14008.16</v>
      </c>
      <c r="I6628" s="47">
        <v>45245</v>
      </c>
      <c r="J6628" s="73" t="s">
        <v>16341</v>
      </c>
      <c r="K6628" s="45"/>
      <c r="M6628" s="385"/>
      <c r="N6628" s="75"/>
      <c r="O6628" s="45" t="s">
        <v>10607</v>
      </c>
      <c r="P6628" s="45" t="s">
        <v>22</v>
      </c>
      <c r="Q6628" s="45" t="s">
        <v>86</v>
      </c>
      <c r="R6628" s="45" t="s">
        <v>272</v>
      </c>
    </row>
    <row r="6629" spans="1:19" ht="69" customHeight="1">
      <c r="A6629" s="168"/>
      <c r="B6629" s="48">
        <f t="shared" si="23"/>
        <v>341</v>
      </c>
      <c r="C6629" s="44" t="s">
        <v>458</v>
      </c>
      <c r="D6629" s="84" t="s">
        <v>11730</v>
      </c>
      <c r="E6629" s="45" t="s">
        <v>15281</v>
      </c>
      <c r="F6629" s="45" t="s">
        <v>16344</v>
      </c>
      <c r="G6629" s="45" t="s">
        <v>16340</v>
      </c>
      <c r="H6629" s="546">
        <v>319793.36</v>
      </c>
      <c r="I6629" s="47">
        <v>45245</v>
      </c>
      <c r="J6629" s="73" t="s">
        <v>16341</v>
      </c>
      <c r="K6629" s="45"/>
      <c r="M6629" s="385"/>
      <c r="N6629" s="75"/>
      <c r="O6629" s="45" t="s">
        <v>10607</v>
      </c>
      <c r="P6629" s="45" t="s">
        <v>22</v>
      </c>
      <c r="Q6629" s="45" t="s">
        <v>117</v>
      </c>
      <c r="R6629" s="45" t="s">
        <v>272</v>
      </c>
    </row>
    <row r="6630" spans="1:19" ht="69" customHeight="1">
      <c r="A6630" s="168"/>
      <c r="B6630" s="48">
        <f t="shared" si="23"/>
        <v>342</v>
      </c>
      <c r="C6630" s="59" t="s">
        <v>3667</v>
      </c>
      <c r="D6630" s="84" t="s">
        <v>16345</v>
      </c>
      <c r="E6630" s="45" t="s">
        <v>15281</v>
      </c>
      <c r="F6630" s="45" t="s">
        <v>16346</v>
      </c>
      <c r="G6630" s="45" t="s">
        <v>16340</v>
      </c>
      <c r="H6630" s="546">
        <v>301735.90000000002</v>
      </c>
      <c r="I6630" s="47">
        <v>45245</v>
      </c>
      <c r="J6630" s="73" t="s">
        <v>16341</v>
      </c>
      <c r="K6630" s="45"/>
      <c r="M6630" s="385"/>
      <c r="N6630" s="75"/>
      <c r="O6630" s="45" t="s">
        <v>10607</v>
      </c>
      <c r="P6630" s="45" t="s">
        <v>22</v>
      </c>
      <c r="Q6630" s="45" t="s">
        <v>66</v>
      </c>
      <c r="R6630" s="45" t="s">
        <v>272</v>
      </c>
    </row>
    <row r="6631" spans="1:19" ht="69" customHeight="1">
      <c r="A6631" s="168"/>
      <c r="B6631" s="48">
        <f t="shared" si="23"/>
        <v>343</v>
      </c>
      <c r="C6631" s="59" t="s">
        <v>657</v>
      </c>
      <c r="D6631" s="84" t="s">
        <v>10698</v>
      </c>
      <c r="E6631" s="45" t="s">
        <v>15281</v>
      </c>
      <c r="F6631" s="45" t="s">
        <v>16347</v>
      </c>
      <c r="G6631" s="45" t="s">
        <v>16340</v>
      </c>
      <c r="H6631" s="546">
        <v>870939.44</v>
      </c>
      <c r="I6631" s="47">
        <v>45245</v>
      </c>
      <c r="J6631" s="73" t="s">
        <v>16341</v>
      </c>
      <c r="K6631" s="45"/>
      <c r="M6631" s="385"/>
      <c r="N6631" s="75"/>
      <c r="O6631" s="45" t="s">
        <v>10607</v>
      </c>
      <c r="P6631" s="45" t="s">
        <v>22</v>
      </c>
      <c r="Q6631" s="45" t="s">
        <v>111</v>
      </c>
      <c r="R6631" s="45" t="s">
        <v>272</v>
      </c>
    </row>
    <row r="6632" spans="1:19" ht="69" customHeight="1">
      <c r="A6632" s="168"/>
      <c r="B6632" s="48">
        <f t="shared" si="23"/>
        <v>344</v>
      </c>
      <c r="C6632" s="59" t="s">
        <v>3667</v>
      </c>
      <c r="D6632" s="84" t="s">
        <v>16348</v>
      </c>
      <c r="E6632" s="45" t="s">
        <v>15281</v>
      </c>
      <c r="F6632" s="45" t="s">
        <v>16349</v>
      </c>
      <c r="G6632" s="45" t="s">
        <v>16340</v>
      </c>
      <c r="H6632" s="546">
        <v>117020.19</v>
      </c>
      <c r="I6632" s="47">
        <v>45245</v>
      </c>
      <c r="J6632" s="73" t="s">
        <v>16341</v>
      </c>
      <c r="K6632" s="45"/>
      <c r="M6632" s="385"/>
      <c r="N6632" s="75"/>
      <c r="O6632" s="45" t="s">
        <v>10607</v>
      </c>
      <c r="P6632" s="45" t="s">
        <v>22</v>
      </c>
      <c r="Q6632" s="45" t="s">
        <v>84</v>
      </c>
      <c r="R6632" s="45" t="s">
        <v>272</v>
      </c>
    </row>
    <row r="6633" spans="1:19" s="98" customFormat="1" ht="69" customHeight="1">
      <c r="A6633" s="169"/>
      <c r="B6633" s="259">
        <f t="shared" si="23"/>
        <v>345</v>
      </c>
      <c r="C6633" s="207" t="s">
        <v>10937</v>
      </c>
      <c r="D6633" s="303" t="s">
        <v>10696</v>
      </c>
      <c r="E6633" s="160" t="s">
        <v>11501</v>
      </c>
      <c r="F6633" s="160" t="s">
        <v>16350</v>
      </c>
      <c r="G6633" s="160" t="s">
        <v>16351</v>
      </c>
      <c r="H6633" s="300">
        <v>40914</v>
      </c>
      <c r="I6633" s="209">
        <v>45231</v>
      </c>
      <c r="J6633" s="316" t="s">
        <v>16352</v>
      </c>
      <c r="K6633" s="160" t="s">
        <v>4128</v>
      </c>
      <c r="M6633" s="385"/>
      <c r="N6633" s="75"/>
      <c r="O6633" s="160" t="s">
        <v>141</v>
      </c>
      <c r="P6633" s="160" t="s">
        <v>67</v>
      </c>
      <c r="Q6633" s="160" t="s">
        <v>96</v>
      </c>
      <c r="R6633" s="160" t="s">
        <v>272</v>
      </c>
    </row>
    <row r="6634" spans="1:19" s="98" customFormat="1" ht="69" customHeight="1">
      <c r="A6634" s="169"/>
      <c r="B6634" s="52">
        <f t="shared" si="23"/>
        <v>346</v>
      </c>
      <c r="C6634" s="51" t="s">
        <v>10418</v>
      </c>
      <c r="D6634" s="251" t="s">
        <v>11697</v>
      </c>
      <c r="E6634" s="46" t="s">
        <v>266</v>
      </c>
      <c r="F6634" s="46" t="s">
        <v>16353</v>
      </c>
      <c r="G6634" s="46" t="s">
        <v>16354</v>
      </c>
      <c r="H6634" s="534">
        <v>1500</v>
      </c>
      <c r="I6634" s="56">
        <v>45245</v>
      </c>
      <c r="J6634" s="199" t="s">
        <v>16355</v>
      </c>
      <c r="K6634" s="46" t="s">
        <v>1170</v>
      </c>
      <c r="M6634" s="385"/>
      <c r="N6634" s="75"/>
      <c r="O6634" s="46" t="s">
        <v>16356</v>
      </c>
      <c r="P6634" s="46" t="s">
        <v>65</v>
      </c>
      <c r="Q6634" s="46" t="s">
        <v>121</v>
      </c>
      <c r="R6634" s="46" t="s">
        <v>272</v>
      </c>
    </row>
    <row r="6635" spans="1:19" s="98" customFormat="1" ht="69" customHeight="1">
      <c r="A6635" s="169"/>
      <c r="B6635" s="52">
        <f t="shared" si="23"/>
        <v>347</v>
      </c>
      <c r="C6635" s="51" t="s">
        <v>1853</v>
      </c>
      <c r="D6635" s="251" t="s">
        <v>16357</v>
      </c>
      <c r="E6635" s="46" t="s">
        <v>266</v>
      </c>
      <c r="F6635" s="46" t="s">
        <v>16358</v>
      </c>
      <c r="G6635" s="46" t="s">
        <v>16359</v>
      </c>
      <c r="H6635" s="534">
        <v>1290</v>
      </c>
      <c r="I6635" s="56">
        <v>45245</v>
      </c>
      <c r="J6635" s="199" t="s">
        <v>16360</v>
      </c>
      <c r="K6635" s="46" t="s">
        <v>1170</v>
      </c>
      <c r="M6635" s="385"/>
      <c r="N6635" s="75"/>
      <c r="O6635" s="46" t="s">
        <v>1238</v>
      </c>
      <c r="P6635" s="46" t="s">
        <v>65</v>
      </c>
      <c r="Q6635" s="46" t="s">
        <v>29</v>
      </c>
      <c r="R6635" s="46" t="s">
        <v>272</v>
      </c>
    </row>
    <row r="6636" spans="1:19" s="98" customFormat="1" ht="69" customHeight="1">
      <c r="A6636" s="169"/>
      <c r="B6636" s="48">
        <f t="shared" si="23"/>
        <v>348</v>
      </c>
      <c r="C6636" s="59" t="s">
        <v>9094</v>
      </c>
      <c r="D6636" s="84" t="s">
        <v>11714</v>
      </c>
      <c r="E6636" s="84" t="s">
        <v>979</v>
      </c>
      <c r="F6636" s="45" t="s">
        <v>16361</v>
      </c>
      <c r="G6636" s="45" t="s">
        <v>16362</v>
      </c>
      <c r="H6636" s="546">
        <v>56295.22</v>
      </c>
      <c r="I6636" s="47">
        <v>45245</v>
      </c>
      <c r="J6636" s="73" t="s">
        <v>16363</v>
      </c>
      <c r="K6636" s="45"/>
      <c r="M6636" s="385"/>
      <c r="N6636" s="75"/>
      <c r="O6636" s="45" t="s">
        <v>156</v>
      </c>
      <c r="P6636" s="45" t="s">
        <v>73</v>
      </c>
      <c r="Q6636" s="45" t="s">
        <v>112</v>
      </c>
      <c r="R6636" s="45" t="s">
        <v>265</v>
      </c>
    </row>
    <row r="6637" spans="1:19" s="98" customFormat="1" ht="69" customHeight="1">
      <c r="A6637" s="169"/>
      <c r="B6637" s="52">
        <f t="shared" si="23"/>
        <v>349</v>
      </c>
      <c r="C6637" s="191" t="s">
        <v>16106</v>
      </c>
      <c r="D6637" s="251" t="s">
        <v>16364</v>
      </c>
      <c r="E6637" s="46" t="s">
        <v>266</v>
      </c>
      <c r="F6637" s="46" t="s">
        <v>16365</v>
      </c>
      <c r="G6637" s="46" t="s">
        <v>16366</v>
      </c>
      <c r="H6637" s="534">
        <v>4000</v>
      </c>
      <c r="I6637" s="56">
        <v>45245</v>
      </c>
      <c r="J6637" s="199" t="s">
        <v>16367</v>
      </c>
      <c r="K6637" s="46" t="s">
        <v>1170</v>
      </c>
      <c r="M6637" s="385"/>
      <c r="N6637" s="75"/>
      <c r="O6637" s="46" t="s">
        <v>1238</v>
      </c>
      <c r="P6637" s="46" t="s">
        <v>65</v>
      </c>
      <c r="Q6637" s="46" t="s">
        <v>33</v>
      </c>
      <c r="R6637" s="46" t="s">
        <v>272</v>
      </c>
      <c r="S6637" s="123" t="s">
        <v>752</v>
      </c>
    </row>
    <row r="6638" spans="1:19" s="98" customFormat="1" ht="69" customHeight="1">
      <c r="A6638" s="169"/>
      <c r="B6638" s="259">
        <f t="shared" si="23"/>
        <v>350</v>
      </c>
      <c r="C6638" s="160" t="s">
        <v>16368</v>
      </c>
      <c r="D6638" s="303" t="s">
        <v>16369</v>
      </c>
      <c r="E6638" s="160" t="s">
        <v>266</v>
      </c>
      <c r="F6638" s="160" t="s">
        <v>16370</v>
      </c>
      <c r="G6638" s="160" t="s">
        <v>16371</v>
      </c>
      <c r="H6638" s="300">
        <v>17877.259999999998</v>
      </c>
      <c r="I6638" s="209">
        <v>45235</v>
      </c>
      <c r="J6638" s="316" t="s">
        <v>16372</v>
      </c>
      <c r="K6638" s="160" t="s">
        <v>67</v>
      </c>
      <c r="M6638" s="385"/>
      <c r="N6638" s="75"/>
      <c r="O6638" s="160" t="s">
        <v>15347</v>
      </c>
      <c r="P6638" s="160" t="s">
        <v>67</v>
      </c>
      <c r="Q6638" s="160" t="s">
        <v>96</v>
      </c>
      <c r="R6638" s="160" t="s">
        <v>272</v>
      </c>
    </row>
    <row r="6639" spans="1:19" s="98" customFormat="1" ht="69" customHeight="1">
      <c r="A6639" s="169"/>
      <c r="B6639" s="259">
        <f t="shared" si="23"/>
        <v>351</v>
      </c>
      <c r="C6639" s="160" t="s">
        <v>16368</v>
      </c>
      <c r="D6639" s="303" t="s">
        <v>16373</v>
      </c>
      <c r="E6639" s="160" t="s">
        <v>266</v>
      </c>
      <c r="F6639" s="160" t="s">
        <v>16374</v>
      </c>
      <c r="G6639" s="160" t="s">
        <v>16375</v>
      </c>
      <c r="H6639" s="300">
        <v>2769.85</v>
      </c>
      <c r="I6639" s="209">
        <v>45235</v>
      </c>
      <c r="J6639" s="316" t="s">
        <v>16372</v>
      </c>
      <c r="K6639" s="160" t="s">
        <v>67</v>
      </c>
      <c r="M6639" s="385"/>
      <c r="N6639" s="75"/>
      <c r="O6639" s="160" t="s">
        <v>15347</v>
      </c>
      <c r="P6639" s="160" t="s">
        <v>67</v>
      </c>
      <c r="Q6639" s="160" t="s">
        <v>96</v>
      </c>
      <c r="R6639" s="160" t="s">
        <v>272</v>
      </c>
    </row>
    <row r="6640" spans="1:19" s="98" customFormat="1" ht="69" customHeight="1">
      <c r="A6640" s="169"/>
      <c r="B6640" s="259">
        <f t="shared" si="23"/>
        <v>352</v>
      </c>
      <c r="C6640" s="160" t="s">
        <v>16368</v>
      </c>
      <c r="D6640" s="303" t="s">
        <v>481</v>
      </c>
      <c r="E6640" s="160" t="s">
        <v>266</v>
      </c>
      <c r="F6640" s="160" t="s">
        <v>16374</v>
      </c>
      <c r="G6640" s="160" t="s">
        <v>16375</v>
      </c>
      <c r="H6640" s="300">
        <v>773.95</v>
      </c>
      <c r="I6640" s="209">
        <v>45235</v>
      </c>
      <c r="J6640" s="316" t="s">
        <v>16372</v>
      </c>
      <c r="K6640" s="160" t="s">
        <v>67</v>
      </c>
      <c r="M6640" s="385"/>
      <c r="N6640" s="75"/>
      <c r="O6640" s="160" t="s">
        <v>15347</v>
      </c>
      <c r="P6640" s="160" t="s">
        <v>67</v>
      </c>
      <c r="Q6640" s="160" t="s">
        <v>96</v>
      </c>
      <c r="R6640" s="160" t="s">
        <v>272</v>
      </c>
    </row>
    <row r="6641" spans="1:18" ht="69" customHeight="1">
      <c r="A6641" s="168"/>
      <c r="B6641" s="62">
        <f t="shared" si="23"/>
        <v>353</v>
      </c>
      <c r="C6641" s="59" t="s">
        <v>9094</v>
      </c>
      <c r="D6641" s="174" t="s">
        <v>16376</v>
      </c>
      <c r="E6641" s="174" t="s">
        <v>921</v>
      </c>
      <c r="F6641" s="58" t="s">
        <v>16377</v>
      </c>
      <c r="G6641" s="58" t="s">
        <v>16378</v>
      </c>
      <c r="H6641" s="546">
        <v>400000</v>
      </c>
      <c r="I6641" s="66">
        <v>45255</v>
      </c>
      <c r="J6641" s="65" t="s">
        <v>16379</v>
      </c>
      <c r="K6641" s="58"/>
      <c r="L6641" s="99"/>
      <c r="M6641" s="70"/>
      <c r="N6641" s="97"/>
      <c r="O6641" s="58" t="s">
        <v>156</v>
      </c>
      <c r="P6641" s="45" t="s">
        <v>73</v>
      </c>
      <c r="Q6641" s="58" t="s">
        <v>112</v>
      </c>
      <c r="R6641" s="58" t="s">
        <v>272</v>
      </c>
    </row>
    <row r="6642" spans="1:18" ht="69" customHeight="1">
      <c r="A6642" s="168"/>
      <c r="B6642" s="62">
        <f t="shared" si="23"/>
        <v>354</v>
      </c>
      <c r="C6642" s="59" t="s">
        <v>2182</v>
      </c>
      <c r="D6642" s="174" t="s">
        <v>11517</v>
      </c>
      <c r="E6642" s="174" t="s">
        <v>921</v>
      </c>
      <c r="F6642" s="58" t="s">
        <v>16380</v>
      </c>
      <c r="G6642" s="58" t="s">
        <v>16381</v>
      </c>
      <c r="H6642" s="546">
        <v>340664.63</v>
      </c>
      <c r="I6642" s="66">
        <v>45255</v>
      </c>
      <c r="J6642" s="65" t="s">
        <v>16382</v>
      </c>
      <c r="K6642" s="58"/>
      <c r="L6642" s="99"/>
      <c r="M6642" s="70"/>
      <c r="N6642" s="97"/>
      <c r="O6642" s="58" t="s">
        <v>156</v>
      </c>
      <c r="P6642" s="58" t="s">
        <v>26</v>
      </c>
      <c r="Q6642" s="58" t="s">
        <v>31</v>
      </c>
      <c r="R6642" s="58" t="s">
        <v>272</v>
      </c>
    </row>
    <row r="6643" spans="1:18" ht="69" customHeight="1">
      <c r="A6643" s="168"/>
      <c r="B6643" s="62">
        <f t="shared" si="23"/>
        <v>355</v>
      </c>
      <c r="C6643" s="59" t="s">
        <v>6693</v>
      </c>
      <c r="D6643" s="174" t="s">
        <v>16383</v>
      </c>
      <c r="E6643" s="174" t="s">
        <v>921</v>
      </c>
      <c r="F6643" s="58" t="s">
        <v>16384</v>
      </c>
      <c r="G6643" s="58" t="s">
        <v>16381</v>
      </c>
      <c r="H6643" s="546">
        <v>41896.120000000003</v>
      </c>
      <c r="I6643" s="66">
        <v>45255</v>
      </c>
      <c r="J6643" s="65" t="s">
        <v>16385</v>
      </c>
      <c r="K6643" s="58"/>
      <c r="L6643" s="99"/>
      <c r="M6643" s="70"/>
      <c r="N6643" s="97"/>
      <c r="O6643" s="58" t="s">
        <v>156</v>
      </c>
      <c r="P6643" s="58" t="s">
        <v>26</v>
      </c>
      <c r="Q6643" s="58" t="s">
        <v>78</v>
      </c>
      <c r="R6643" s="58" t="s">
        <v>272</v>
      </c>
    </row>
    <row r="6644" spans="1:18" s="98" customFormat="1" ht="69" customHeight="1">
      <c r="A6644" s="169"/>
      <c r="B6644" s="259">
        <f t="shared" si="23"/>
        <v>356</v>
      </c>
      <c r="C6644" s="207" t="s">
        <v>13665</v>
      </c>
      <c r="D6644" s="303" t="s">
        <v>2670</v>
      </c>
      <c r="E6644" s="160" t="s">
        <v>266</v>
      </c>
      <c r="F6644" s="208" t="s">
        <v>16386</v>
      </c>
      <c r="G6644" s="160" t="s">
        <v>16387</v>
      </c>
      <c r="H6644" s="300">
        <v>629.61</v>
      </c>
      <c r="I6644" s="209">
        <v>45255</v>
      </c>
      <c r="J6644" s="316" t="s">
        <v>16388</v>
      </c>
      <c r="K6644" s="160"/>
      <c r="M6644" s="385"/>
      <c r="N6644" s="75"/>
      <c r="O6644" s="160"/>
      <c r="P6644" s="160" t="s">
        <v>67</v>
      </c>
      <c r="Q6644" s="160" t="s">
        <v>96</v>
      </c>
      <c r="R6644" s="160" t="s">
        <v>272</v>
      </c>
    </row>
    <row r="6645" spans="1:18" s="98" customFormat="1" ht="69" customHeight="1">
      <c r="A6645" s="169"/>
      <c r="B6645" s="259">
        <f t="shared" si="23"/>
        <v>357</v>
      </c>
      <c r="C6645" s="207" t="s">
        <v>13665</v>
      </c>
      <c r="D6645" s="303" t="s">
        <v>2900</v>
      </c>
      <c r="E6645" s="160" t="s">
        <v>266</v>
      </c>
      <c r="F6645" s="208" t="s">
        <v>16389</v>
      </c>
      <c r="G6645" s="160" t="s">
        <v>16390</v>
      </c>
      <c r="H6645" s="300">
        <v>392.29</v>
      </c>
      <c r="I6645" s="209">
        <v>45255</v>
      </c>
      <c r="J6645" s="316" t="s">
        <v>16388</v>
      </c>
      <c r="K6645" s="160"/>
      <c r="M6645" s="385"/>
      <c r="N6645" s="75"/>
      <c r="O6645" s="160"/>
      <c r="P6645" s="160" t="s">
        <v>67</v>
      </c>
      <c r="Q6645" s="160" t="s">
        <v>96</v>
      </c>
      <c r="R6645" s="160" t="s">
        <v>272</v>
      </c>
    </row>
    <row r="6646" spans="1:18" s="98" customFormat="1" ht="69" customHeight="1">
      <c r="A6646" s="169"/>
      <c r="B6646" s="259">
        <f t="shared" si="23"/>
        <v>358</v>
      </c>
      <c r="C6646" s="207" t="s">
        <v>13665</v>
      </c>
      <c r="D6646" s="303" t="s">
        <v>3154</v>
      </c>
      <c r="E6646" s="160" t="s">
        <v>266</v>
      </c>
      <c r="F6646" s="208" t="s">
        <v>16391</v>
      </c>
      <c r="G6646" s="160" t="s">
        <v>16392</v>
      </c>
      <c r="H6646" s="300">
        <v>674.94</v>
      </c>
      <c r="I6646" s="209">
        <v>45255</v>
      </c>
      <c r="J6646" s="316" t="s">
        <v>16388</v>
      </c>
      <c r="K6646" s="160"/>
      <c r="M6646" s="385"/>
      <c r="N6646" s="75"/>
      <c r="O6646" s="160"/>
      <c r="P6646" s="160" t="s">
        <v>67</v>
      </c>
      <c r="Q6646" s="160" t="s">
        <v>96</v>
      </c>
      <c r="R6646" s="160" t="s">
        <v>272</v>
      </c>
    </row>
    <row r="6647" spans="1:18" s="98" customFormat="1" ht="69" customHeight="1">
      <c r="A6647" s="169"/>
      <c r="B6647" s="259">
        <f t="shared" si="23"/>
        <v>359</v>
      </c>
      <c r="C6647" s="207" t="s">
        <v>13665</v>
      </c>
      <c r="D6647" s="303" t="s">
        <v>5990</v>
      </c>
      <c r="E6647" s="160" t="s">
        <v>266</v>
      </c>
      <c r="F6647" s="208" t="s">
        <v>16393</v>
      </c>
      <c r="G6647" s="160" t="s">
        <v>16394</v>
      </c>
      <c r="H6647" s="300">
        <v>344.69</v>
      </c>
      <c r="I6647" s="209">
        <v>45255</v>
      </c>
      <c r="J6647" s="316" t="s">
        <v>16388</v>
      </c>
      <c r="K6647" s="160"/>
      <c r="M6647" s="385"/>
      <c r="N6647" s="75"/>
      <c r="O6647" s="160"/>
      <c r="P6647" s="160" t="s">
        <v>67</v>
      </c>
      <c r="Q6647" s="160" t="s">
        <v>96</v>
      </c>
      <c r="R6647" s="160" t="s">
        <v>272</v>
      </c>
    </row>
    <row r="6648" spans="1:18" ht="69" customHeight="1">
      <c r="A6648" s="168"/>
      <c r="B6648" s="62">
        <f t="shared" si="23"/>
        <v>360</v>
      </c>
      <c r="C6648" s="45" t="s">
        <v>6888</v>
      </c>
      <c r="D6648" s="174" t="s">
        <v>16395</v>
      </c>
      <c r="E6648" s="45" t="s">
        <v>16396</v>
      </c>
      <c r="F6648" s="45" t="s">
        <v>16397</v>
      </c>
      <c r="G6648" s="45" t="s">
        <v>15438</v>
      </c>
      <c r="H6648" s="546">
        <v>59746.25</v>
      </c>
      <c r="I6648" s="66">
        <v>45255</v>
      </c>
      <c r="J6648" s="65" t="s">
        <v>16398</v>
      </c>
      <c r="K6648" s="58"/>
      <c r="L6648" s="99"/>
      <c r="M6648" s="70"/>
      <c r="N6648" s="97"/>
      <c r="O6648" s="58" t="s">
        <v>16399</v>
      </c>
      <c r="P6648" s="58" t="s">
        <v>55</v>
      </c>
      <c r="Q6648" s="58" t="s">
        <v>84</v>
      </c>
      <c r="R6648" s="58" t="s">
        <v>272</v>
      </c>
    </row>
    <row r="6649" spans="1:18" ht="69" customHeight="1">
      <c r="A6649" s="168"/>
      <c r="B6649" s="62">
        <f t="shared" si="23"/>
        <v>361</v>
      </c>
      <c r="C6649" s="45" t="s">
        <v>11618</v>
      </c>
      <c r="D6649" s="174" t="s">
        <v>11775</v>
      </c>
      <c r="E6649" s="45" t="s">
        <v>16396</v>
      </c>
      <c r="F6649" s="45" t="s">
        <v>16400</v>
      </c>
      <c r="G6649" s="45" t="s">
        <v>15438</v>
      </c>
      <c r="H6649" s="546">
        <v>64137.7</v>
      </c>
      <c r="I6649" s="66">
        <v>45255</v>
      </c>
      <c r="J6649" s="65" t="s">
        <v>16398</v>
      </c>
      <c r="K6649" s="58"/>
      <c r="L6649" s="99"/>
      <c r="M6649" s="70"/>
      <c r="N6649" s="97"/>
      <c r="O6649" s="58" t="s">
        <v>16399</v>
      </c>
      <c r="P6649" s="58" t="s">
        <v>55</v>
      </c>
      <c r="Q6649" s="58" t="s">
        <v>122</v>
      </c>
      <c r="R6649" s="58" t="s">
        <v>272</v>
      </c>
    </row>
    <row r="6650" spans="1:18" ht="69" customHeight="1">
      <c r="A6650" s="168"/>
      <c r="B6650" s="62">
        <f t="shared" si="23"/>
        <v>362</v>
      </c>
      <c r="C6650" s="45" t="s">
        <v>9545</v>
      </c>
      <c r="D6650" s="174" t="s">
        <v>11793</v>
      </c>
      <c r="E6650" s="45" t="s">
        <v>16396</v>
      </c>
      <c r="F6650" s="45" t="s">
        <v>16401</v>
      </c>
      <c r="G6650" s="45" t="s">
        <v>15438</v>
      </c>
      <c r="H6650" s="546">
        <v>65417.07</v>
      </c>
      <c r="I6650" s="66">
        <v>45255</v>
      </c>
      <c r="J6650" s="65" t="s">
        <v>16398</v>
      </c>
      <c r="K6650" s="58"/>
      <c r="L6650" s="99"/>
      <c r="M6650" s="70"/>
      <c r="N6650" s="97"/>
      <c r="O6650" s="58" t="s">
        <v>16399</v>
      </c>
      <c r="P6650" s="58" t="s">
        <v>55</v>
      </c>
      <c r="Q6650" s="58" t="s">
        <v>117</v>
      </c>
      <c r="R6650" s="58" t="s">
        <v>272</v>
      </c>
    </row>
    <row r="6651" spans="1:18" ht="69" customHeight="1">
      <c r="A6651" s="168"/>
      <c r="B6651" s="62">
        <f t="shared" si="23"/>
        <v>363</v>
      </c>
      <c r="C6651" s="44" t="s">
        <v>10612</v>
      </c>
      <c r="D6651" s="174" t="s">
        <v>16402</v>
      </c>
      <c r="E6651" s="45" t="s">
        <v>16396</v>
      </c>
      <c r="F6651" s="45" t="s">
        <v>16403</v>
      </c>
      <c r="G6651" s="45" t="s">
        <v>15438</v>
      </c>
      <c r="H6651" s="546">
        <v>71366.78</v>
      </c>
      <c r="I6651" s="66">
        <v>45255</v>
      </c>
      <c r="J6651" s="65" t="s">
        <v>16398</v>
      </c>
      <c r="K6651" s="58"/>
      <c r="L6651" s="99"/>
      <c r="M6651" s="70"/>
      <c r="N6651" s="97"/>
      <c r="O6651" s="58" t="s">
        <v>16399</v>
      </c>
      <c r="P6651" s="58" t="s">
        <v>55</v>
      </c>
      <c r="Q6651" s="58" t="s">
        <v>86</v>
      </c>
      <c r="R6651" s="58" t="s">
        <v>272</v>
      </c>
    </row>
    <row r="6652" spans="1:18" ht="69" customHeight="1">
      <c r="A6652" s="168"/>
      <c r="B6652" s="62">
        <f t="shared" si="23"/>
        <v>364</v>
      </c>
      <c r="C6652" s="44" t="s">
        <v>10634</v>
      </c>
      <c r="D6652" s="174" t="s">
        <v>16404</v>
      </c>
      <c r="E6652" s="45" t="s">
        <v>16396</v>
      </c>
      <c r="F6652" s="45" t="s">
        <v>16405</v>
      </c>
      <c r="G6652" s="45" t="s">
        <v>15438</v>
      </c>
      <c r="H6652" s="546">
        <v>71366.78</v>
      </c>
      <c r="I6652" s="66">
        <v>45255</v>
      </c>
      <c r="J6652" s="65" t="s">
        <v>16398</v>
      </c>
      <c r="K6652" s="58"/>
      <c r="L6652" s="99"/>
      <c r="M6652" s="70"/>
      <c r="N6652" s="97"/>
      <c r="O6652" s="58" t="s">
        <v>16399</v>
      </c>
      <c r="P6652" s="58" t="s">
        <v>55</v>
      </c>
      <c r="Q6652" s="58" t="s">
        <v>93</v>
      </c>
      <c r="R6652" s="58" t="s">
        <v>272</v>
      </c>
    </row>
    <row r="6653" spans="1:18" ht="69" customHeight="1">
      <c r="A6653" s="168"/>
      <c r="B6653" s="62">
        <f t="shared" si="23"/>
        <v>365</v>
      </c>
      <c r="C6653" s="59" t="s">
        <v>4411</v>
      </c>
      <c r="D6653" s="174" t="s">
        <v>16406</v>
      </c>
      <c r="E6653" s="45" t="s">
        <v>16396</v>
      </c>
      <c r="F6653" s="45" t="s">
        <v>16407</v>
      </c>
      <c r="G6653" s="45" t="s">
        <v>15438</v>
      </c>
      <c r="H6653" s="546">
        <v>59746.25</v>
      </c>
      <c r="I6653" s="66">
        <v>45255</v>
      </c>
      <c r="J6653" s="65" t="s">
        <v>16398</v>
      </c>
      <c r="K6653" s="58"/>
      <c r="L6653" s="99"/>
      <c r="M6653" s="70"/>
      <c r="N6653" s="97"/>
      <c r="O6653" s="58" t="s">
        <v>16399</v>
      </c>
      <c r="P6653" s="58" t="s">
        <v>55</v>
      </c>
      <c r="Q6653" s="58" t="s">
        <v>54</v>
      </c>
      <c r="R6653" s="58" t="s">
        <v>272</v>
      </c>
    </row>
    <row r="6654" spans="1:18" ht="69" customHeight="1">
      <c r="A6654" s="168"/>
      <c r="B6654" s="62">
        <f t="shared" si="23"/>
        <v>366</v>
      </c>
      <c r="C6654" s="44" t="s">
        <v>5658</v>
      </c>
      <c r="D6654" s="174" t="s">
        <v>16408</v>
      </c>
      <c r="E6654" s="45" t="s">
        <v>16396</v>
      </c>
      <c r="F6654" s="45" t="s">
        <v>16409</v>
      </c>
      <c r="G6654" s="45" t="s">
        <v>15438</v>
      </c>
      <c r="H6654" s="546">
        <v>81451.81</v>
      </c>
      <c r="I6654" s="66">
        <v>45255</v>
      </c>
      <c r="J6654" s="65" t="s">
        <v>16398</v>
      </c>
      <c r="K6654" s="58"/>
      <c r="L6654" s="99"/>
      <c r="M6654" s="70"/>
      <c r="N6654" s="97"/>
      <c r="O6654" s="58" t="s">
        <v>16399</v>
      </c>
      <c r="P6654" s="58" t="s">
        <v>55</v>
      </c>
      <c r="Q6654" s="58" t="s">
        <v>66</v>
      </c>
      <c r="R6654" s="58" t="s">
        <v>272</v>
      </c>
    </row>
    <row r="6655" spans="1:18" ht="69" customHeight="1">
      <c r="A6655" s="168"/>
      <c r="B6655" s="62">
        <f t="shared" si="23"/>
        <v>367</v>
      </c>
      <c r="C6655" s="44" t="s">
        <v>10639</v>
      </c>
      <c r="D6655" s="174" t="s">
        <v>16410</v>
      </c>
      <c r="E6655" s="45" t="s">
        <v>16396</v>
      </c>
      <c r="F6655" s="45" t="s">
        <v>16411</v>
      </c>
      <c r="G6655" s="45" t="s">
        <v>15438</v>
      </c>
      <c r="H6655" s="546">
        <v>71366.78</v>
      </c>
      <c r="I6655" s="66">
        <v>45255</v>
      </c>
      <c r="J6655" s="65" t="s">
        <v>16398</v>
      </c>
      <c r="K6655" s="58"/>
      <c r="L6655" s="99"/>
      <c r="M6655" s="70"/>
      <c r="N6655" s="97"/>
      <c r="O6655" s="58" t="s">
        <v>16399</v>
      </c>
      <c r="P6655" s="58" t="s">
        <v>55</v>
      </c>
      <c r="Q6655" s="58" t="s">
        <v>95</v>
      </c>
      <c r="R6655" s="58" t="s">
        <v>272</v>
      </c>
    </row>
    <row r="6656" spans="1:18" ht="69" customHeight="1">
      <c r="A6656" s="168"/>
      <c r="B6656" s="62">
        <f t="shared" si="23"/>
        <v>368</v>
      </c>
      <c r="C6656" s="45" t="s">
        <v>10937</v>
      </c>
      <c r="D6656" s="174" t="s">
        <v>3142</v>
      </c>
      <c r="E6656" s="45" t="s">
        <v>16396</v>
      </c>
      <c r="F6656" s="45" t="s">
        <v>16412</v>
      </c>
      <c r="G6656" s="45" t="s">
        <v>15438</v>
      </c>
      <c r="H6656" s="546">
        <v>71366.78</v>
      </c>
      <c r="I6656" s="66">
        <v>45255</v>
      </c>
      <c r="J6656" s="65" t="s">
        <v>16398</v>
      </c>
      <c r="K6656" s="58"/>
      <c r="L6656" s="99"/>
      <c r="M6656" s="70"/>
      <c r="N6656" s="97"/>
      <c r="O6656" s="58" t="s">
        <v>16399</v>
      </c>
      <c r="P6656" s="58" t="s">
        <v>55</v>
      </c>
      <c r="Q6656" s="58" t="s">
        <v>104</v>
      </c>
      <c r="R6656" s="58" t="s">
        <v>272</v>
      </c>
    </row>
    <row r="6657" spans="1:18" ht="69" customHeight="1">
      <c r="A6657" s="168"/>
      <c r="B6657" s="62">
        <f t="shared" si="23"/>
        <v>369</v>
      </c>
      <c r="C6657" s="59" t="s">
        <v>5558</v>
      </c>
      <c r="D6657" s="174" t="s">
        <v>16413</v>
      </c>
      <c r="E6657" s="45" t="s">
        <v>16396</v>
      </c>
      <c r="F6657" s="45" t="s">
        <v>16414</v>
      </c>
      <c r="G6657" s="45" t="s">
        <v>15438</v>
      </c>
      <c r="H6657" s="546">
        <v>73979.63</v>
      </c>
      <c r="I6657" s="66">
        <v>45255</v>
      </c>
      <c r="J6657" s="65" t="s">
        <v>16398</v>
      </c>
      <c r="K6657" s="58"/>
      <c r="L6657" s="99"/>
      <c r="M6657" s="70"/>
      <c r="N6657" s="97"/>
      <c r="O6657" s="58" t="s">
        <v>16399</v>
      </c>
      <c r="P6657" s="58" t="s">
        <v>55</v>
      </c>
      <c r="Q6657" s="58" t="s">
        <v>64</v>
      </c>
      <c r="R6657" s="58" t="s">
        <v>272</v>
      </c>
    </row>
    <row r="6658" spans="1:18" ht="69" customHeight="1">
      <c r="A6658" s="168"/>
      <c r="B6658" s="62">
        <f t="shared" si="23"/>
        <v>370</v>
      </c>
      <c r="C6658" s="45" t="s">
        <v>11568</v>
      </c>
      <c r="D6658" s="174" t="s">
        <v>11799</v>
      </c>
      <c r="E6658" s="45" t="s">
        <v>16396</v>
      </c>
      <c r="F6658" s="45" t="s">
        <v>16415</v>
      </c>
      <c r="G6658" s="45" t="s">
        <v>15438</v>
      </c>
      <c r="H6658" s="546">
        <v>80734.95</v>
      </c>
      <c r="I6658" s="66">
        <v>45255</v>
      </c>
      <c r="J6658" s="65" t="s">
        <v>16398</v>
      </c>
      <c r="K6658" s="58"/>
      <c r="L6658" s="99"/>
      <c r="M6658" s="70"/>
      <c r="N6658" s="97"/>
      <c r="O6658" s="58" t="s">
        <v>16399</v>
      </c>
      <c r="P6658" s="58" t="s">
        <v>55</v>
      </c>
      <c r="Q6658" s="58" t="s">
        <v>107</v>
      </c>
      <c r="R6658" s="58" t="s">
        <v>272</v>
      </c>
    </row>
    <row r="6659" spans="1:18" s="98" customFormat="1" ht="69" customHeight="1">
      <c r="A6659" s="169"/>
      <c r="B6659" s="207">
        <f t="shared" si="23"/>
        <v>371</v>
      </c>
      <c r="C6659" s="207" t="s">
        <v>309</v>
      </c>
      <c r="D6659" s="301" t="s">
        <v>11519</v>
      </c>
      <c r="E6659" s="207" t="s">
        <v>305</v>
      </c>
      <c r="F6659" s="208" t="s">
        <v>16416</v>
      </c>
      <c r="G6659" s="160" t="s">
        <v>13201</v>
      </c>
      <c r="H6659" s="300">
        <v>18132.98</v>
      </c>
      <c r="I6659" s="209">
        <v>45250</v>
      </c>
      <c r="J6659" s="316" t="s">
        <v>16417</v>
      </c>
      <c r="K6659" s="160"/>
      <c r="M6659" s="385"/>
      <c r="N6659" s="75"/>
      <c r="O6659" s="160" t="s">
        <v>15366</v>
      </c>
      <c r="P6659" s="160" t="s">
        <v>67</v>
      </c>
      <c r="Q6659" s="160" t="s">
        <v>122</v>
      </c>
      <c r="R6659" s="160" t="s">
        <v>272</v>
      </c>
    </row>
    <row r="6660" spans="1:18" s="98" customFormat="1" ht="69" customHeight="1">
      <c r="A6660" s="169"/>
      <c r="B6660" s="52">
        <f t="shared" si="23"/>
        <v>372</v>
      </c>
      <c r="C6660" s="191" t="s">
        <v>8057</v>
      </c>
      <c r="D6660" s="251" t="s">
        <v>11747</v>
      </c>
      <c r="E6660" s="46" t="s">
        <v>266</v>
      </c>
      <c r="F6660" s="46" t="s">
        <v>16418</v>
      </c>
      <c r="G6660" s="46" t="s">
        <v>16419</v>
      </c>
      <c r="H6660" s="534">
        <v>10821.14</v>
      </c>
      <c r="I6660" s="56">
        <v>45255</v>
      </c>
      <c r="J6660" s="199" t="s">
        <v>16420</v>
      </c>
      <c r="K6660" s="46"/>
      <c r="M6660" s="385"/>
      <c r="N6660" s="75"/>
      <c r="O6660" s="46" t="s">
        <v>13240</v>
      </c>
      <c r="P6660" s="46" t="s">
        <v>71</v>
      </c>
      <c r="Q6660" s="46" t="s">
        <v>105</v>
      </c>
      <c r="R6660" s="46" t="s">
        <v>272</v>
      </c>
    </row>
    <row r="6661" spans="1:18" s="98" customFormat="1" ht="69" customHeight="1">
      <c r="A6661" s="169"/>
      <c r="B6661" s="52">
        <f t="shared" si="23"/>
        <v>373</v>
      </c>
      <c r="C6661" s="191" t="s">
        <v>1593</v>
      </c>
      <c r="D6661" s="251" t="s">
        <v>11525</v>
      </c>
      <c r="E6661" s="46" t="s">
        <v>266</v>
      </c>
      <c r="F6661" s="46" t="s">
        <v>16421</v>
      </c>
      <c r="G6661" s="46" t="s">
        <v>16422</v>
      </c>
      <c r="H6661" s="534">
        <v>17697.45</v>
      </c>
      <c r="I6661" s="56">
        <v>45255</v>
      </c>
      <c r="J6661" s="199" t="s">
        <v>16423</v>
      </c>
      <c r="K6661" s="46"/>
      <c r="M6661" s="385"/>
      <c r="N6661" s="75"/>
      <c r="O6661" s="46" t="s">
        <v>1171</v>
      </c>
      <c r="P6661" s="46" t="s">
        <v>71</v>
      </c>
      <c r="Q6661" s="46" t="s">
        <v>27</v>
      </c>
      <c r="R6661" s="46" t="s">
        <v>272</v>
      </c>
    </row>
    <row r="6662" spans="1:18" s="98" customFormat="1" ht="69" customHeight="1">
      <c r="A6662" s="169"/>
      <c r="B6662" s="52">
        <f t="shared" si="23"/>
        <v>374</v>
      </c>
      <c r="C6662" s="46" t="s">
        <v>10937</v>
      </c>
      <c r="D6662" s="251" t="s">
        <v>1947</v>
      </c>
      <c r="E6662" s="46" t="s">
        <v>266</v>
      </c>
      <c r="F6662" s="46" t="s">
        <v>16424</v>
      </c>
      <c r="G6662" s="46" t="s">
        <v>16425</v>
      </c>
      <c r="H6662" s="534">
        <v>32518.32</v>
      </c>
      <c r="I6662" s="56">
        <v>45255</v>
      </c>
      <c r="J6662" s="199" t="s">
        <v>16426</v>
      </c>
      <c r="K6662" s="46"/>
      <c r="M6662" s="385"/>
      <c r="N6662" s="75"/>
      <c r="O6662" s="46"/>
      <c r="P6662" s="46" t="s">
        <v>71</v>
      </c>
      <c r="Q6662" s="46" t="s">
        <v>104</v>
      </c>
      <c r="R6662" s="46" t="s">
        <v>272</v>
      </c>
    </row>
    <row r="6663" spans="1:18" s="98" customFormat="1" ht="69" customHeight="1">
      <c r="A6663" s="169"/>
      <c r="B6663" s="52">
        <f t="shared" si="23"/>
        <v>375</v>
      </c>
      <c r="C6663" s="191" t="s">
        <v>11933</v>
      </c>
      <c r="D6663" s="251" t="s">
        <v>11874</v>
      </c>
      <c r="E6663" s="46" t="s">
        <v>266</v>
      </c>
      <c r="F6663" s="46" t="s">
        <v>16427</v>
      </c>
      <c r="G6663" s="46" t="s">
        <v>16428</v>
      </c>
      <c r="H6663" s="534">
        <v>5000</v>
      </c>
      <c r="I6663" s="56">
        <v>45255</v>
      </c>
      <c r="J6663" s="199" t="s">
        <v>16429</v>
      </c>
      <c r="K6663" s="46"/>
      <c r="M6663" s="385"/>
      <c r="N6663" s="75"/>
      <c r="O6663" s="46"/>
      <c r="P6663" s="46" t="s">
        <v>65</v>
      </c>
      <c r="Q6663" s="46" t="s">
        <v>123</v>
      </c>
      <c r="R6663" s="46" t="s">
        <v>272</v>
      </c>
    </row>
    <row r="6664" spans="1:18" ht="69" customHeight="1">
      <c r="A6664" s="168"/>
      <c r="B6664" s="62">
        <f t="shared" si="23"/>
        <v>376</v>
      </c>
      <c r="C6664" s="44" t="s">
        <v>10608</v>
      </c>
      <c r="D6664" s="174" t="s">
        <v>16430</v>
      </c>
      <c r="E6664" s="58" t="s">
        <v>14444</v>
      </c>
      <c r="F6664" s="58" t="s">
        <v>16431</v>
      </c>
      <c r="G6664" s="58" t="s">
        <v>16432</v>
      </c>
      <c r="H6664" s="546">
        <v>89053.26</v>
      </c>
      <c r="I6664" s="47">
        <v>45255</v>
      </c>
      <c r="J6664" s="73" t="s">
        <v>16433</v>
      </c>
      <c r="K6664" s="58"/>
      <c r="L6664" s="99"/>
      <c r="M6664" s="70"/>
      <c r="N6664" s="97"/>
      <c r="O6664" s="58" t="s">
        <v>154</v>
      </c>
      <c r="P6664" s="58" t="s">
        <v>57</v>
      </c>
      <c r="Q6664" s="58" t="s">
        <v>70</v>
      </c>
      <c r="R6664" s="58" t="s">
        <v>272</v>
      </c>
    </row>
    <row r="6665" spans="1:18" s="98" customFormat="1" ht="69" customHeight="1">
      <c r="A6665" s="169"/>
      <c r="B6665" s="259">
        <f t="shared" si="23"/>
        <v>377</v>
      </c>
      <c r="C6665" s="207" t="s">
        <v>3667</v>
      </c>
      <c r="D6665" s="301" t="s">
        <v>16434</v>
      </c>
      <c r="E6665" s="207" t="s">
        <v>266</v>
      </c>
      <c r="F6665" s="208" t="s">
        <v>16435</v>
      </c>
      <c r="G6665" s="160" t="s">
        <v>16436</v>
      </c>
      <c r="H6665" s="300">
        <v>11461.12</v>
      </c>
      <c r="I6665" s="209">
        <v>45255</v>
      </c>
      <c r="J6665" s="316" t="s">
        <v>16437</v>
      </c>
      <c r="K6665" s="160" t="s">
        <v>10804</v>
      </c>
      <c r="M6665" s="385"/>
      <c r="N6665" s="75"/>
      <c r="O6665" s="160" t="s">
        <v>10810</v>
      </c>
      <c r="P6665" s="160" t="s">
        <v>67</v>
      </c>
      <c r="Q6665" s="160" t="s">
        <v>122</v>
      </c>
      <c r="R6665" s="160" t="s">
        <v>272</v>
      </c>
    </row>
    <row r="6666" spans="1:18" s="98" customFormat="1" ht="69" customHeight="1">
      <c r="A6666" s="169"/>
      <c r="B6666" s="259">
        <f t="shared" si="23"/>
        <v>378</v>
      </c>
      <c r="C6666" s="207" t="s">
        <v>309</v>
      </c>
      <c r="D6666" s="301" t="s">
        <v>11536</v>
      </c>
      <c r="E6666" s="207" t="s">
        <v>266</v>
      </c>
      <c r="F6666" s="208" t="s">
        <v>16438</v>
      </c>
      <c r="G6666" s="160" t="s">
        <v>16436</v>
      </c>
      <c r="H6666" s="300">
        <v>8954</v>
      </c>
      <c r="I6666" s="209">
        <v>45255</v>
      </c>
      <c r="J6666" s="316" t="s">
        <v>16437</v>
      </c>
      <c r="K6666" s="160" t="s">
        <v>10804</v>
      </c>
      <c r="M6666" s="385"/>
      <c r="N6666" s="75"/>
      <c r="O6666" s="160" t="s">
        <v>10810</v>
      </c>
      <c r="P6666" s="160" t="s">
        <v>67</v>
      </c>
      <c r="Q6666" s="160" t="s">
        <v>122</v>
      </c>
      <c r="R6666" s="160" t="s">
        <v>272</v>
      </c>
    </row>
    <row r="6667" spans="1:18" s="98" customFormat="1" ht="69" customHeight="1">
      <c r="A6667" s="169"/>
      <c r="B6667" s="259">
        <f t="shared" si="23"/>
        <v>379</v>
      </c>
      <c r="C6667" s="207" t="s">
        <v>458</v>
      </c>
      <c r="D6667" s="301" t="s">
        <v>11781</v>
      </c>
      <c r="E6667" s="207" t="s">
        <v>266</v>
      </c>
      <c r="F6667" s="208" t="s">
        <v>16439</v>
      </c>
      <c r="G6667" s="160" t="s">
        <v>16436</v>
      </c>
      <c r="H6667" s="300">
        <v>8954</v>
      </c>
      <c r="I6667" s="209">
        <v>45255</v>
      </c>
      <c r="J6667" s="316" t="s">
        <v>16437</v>
      </c>
      <c r="K6667" s="160" t="s">
        <v>10804</v>
      </c>
      <c r="M6667" s="385"/>
      <c r="N6667" s="75"/>
      <c r="O6667" s="160" t="s">
        <v>10810</v>
      </c>
      <c r="P6667" s="160" t="s">
        <v>67</v>
      </c>
      <c r="Q6667" s="160" t="s">
        <v>122</v>
      </c>
      <c r="R6667" s="160" t="s">
        <v>272</v>
      </c>
    </row>
    <row r="6668" spans="1:18" s="98" customFormat="1" ht="69" customHeight="1">
      <c r="A6668" s="169"/>
      <c r="B6668" s="259">
        <f t="shared" si="23"/>
        <v>380</v>
      </c>
      <c r="C6668" s="207" t="s">
        <v>657</v>
      </c>
      <c r="D6668" s="301" t="s">
        <v>3338</v>
      </c>
      <c r="E6668" s="207" t="s">
        <v>266</v>
      </c>
      <c r="F6668" s="208" t="s">
        <v>16440</v>
      </c>
      <c r="G6668" s="160" t="s">
        <v>16436</v>
      </c>
      <c r="H6668" s="300">
        <v>6446.88</v>
      </c>
      <c r="I6668" s="209">
        <v>45255</v>
      </c>
      <c r="J6668" s="316" t="s">
        <v>16437</v>
      </c>
      <c r="K6668" s="160" t="s">
        <v>10804</v>
      </c>
      <c r="M6668" s="385"/>
      <c r="N6668" s="75"/>
      <c r="O6668" s="160" t="s">
        <v>10810</v>
      </c>
      <c r="P6668" s="160" t="s">
        <v>67</v>
      </c>
      <c r="Q6668" s="160" t="s">
        <v>122</v>
      </c>
      <c r="R6668" s="160" t="s">
        <v>272</v>
      </c>
    </row>
    <row r="6669" spans="1:18" s="98" customFormat="1" ht="69" customHeight="1">
      <c r="A6669" s="169"/>
      <c r="B6669" s="52">
        <f t="shared" si="23"/>
        <v>381</v>
      </c>
      <c r="C6669" s="51" t="s">
        <v>5082</v>
      </c>
      <c r="D6669" s="251" t="s">
        <v>16441</v>
      </c>
      <c r="E6669" s="191" t="s">
        <v>266</v>
      </c>
      <c r="F6669" s="46" t="s">
        <v>16442</v>
      </c>
      <c r="G6669" s="46" t="s">
        <v>16443</v>
      </c>
      <c r="H6669" s="534">
        <v>20266.650000000001</v>
      </c>
      <c r="I6669" s="56">
        <v>45255</v>
      </c>
      <c r="J6669" s="199" t="s">
        <v>16444</v>
      </c>
      <c r="K6669" s="46" t="s">
        <v>1170</v>
      </c>
      <c r="M6669" s="385"/>
      <c r="N6669" s="75"/>
      <c r="O6669" s="46" t="s">
        <v>1171</v>
      </c>
      <c r="P6669" s="46" t="s">
        <v>71</v>
      </c>
      <c r="Q6669" s="46" t="s">
        <v>60</v>
      </c>
      <c r="R6669" s="46" t="s">
        <v>272</v>
      </c>
    </row>
    <row r="6670" spans="1:18" s="98" customFormat="1" ht="69" customHeight="1">
      <c r="A6670" s="169"/>
      <c r="B6670" s="52">
        <f t="shared" si="23"/>
        <v>382</v>
      </c>
      <c r="C6670" s="51" t="s">
        <v>5189</v>
      </c>
      <c r="D6670" s="251" t="s">
        <v>16445</v>
      </c>
      <c r="E6670" s="191" t="s">
        <v>266</v>
      </c>
      <c r="F6670" s="46" t="s">
        <v>16446</v>
      </c>
      <c r="G6670" s="46" t="s">
        <v>16443</v>
      </c>
      <c r="H6670" s="534">
        <v>20266.650000000001</v>
      </c>
      <c r="I6670" s="56">
        <v>45255</v>
      </c>
      <c r="J6670" s="199" t="s">
        <v>16444</v>
      </c>
      <c r="K6670" s="46" t="s">
        <v>1170</v>
      </c>
      <c r="M6670" s="385"/>
      <c r="N6670" s="75"/>
      <c r="O6670" s="46" t="s">
        <v>1171</v>
      </c>
      <c r="P6670" s="46" t="s">
        <v>71</v>
      </c>
      <c r="Q6670" s="46" t="s">
        <v>62</v>
      </c>
      <c r="R6670" s="46" t="s">
        <v>272</v>
      </c>
    </row>
    <row r="6671" spans="1:18" s="98" customFormat="1" ht="69" customHeight="1">
      <c r="A6671" s="169"/>
      <c r="B6671" s="52">
        <f t="shared" si="23"/>
        <v>383</v>
      </c>
      <c r="C6671" s="191" t="s">
        <v>3933</v>
      </c>
      <c r="D6671" s="251" t="s">
        <v>16447</v>
      </c>
      <c r="E6671" s="191" t="s">
        <v>266</v>
      </c>
      <c r="F6671" s="46" t="s">
        <v>16448</v>
      </c>
      <c r="G6671" s="46" t="s">
        <v>16443</v>
      </c>
      <c r="H6671" s="534">
        <v>21000</v>
      </c>
      <c r="I6671" s="56">
        <v>45255</v>
      </c>
      <c r="J6671" s="199" t="s">
        <v>16449</v>
      </c>
      <c r="K6671" s="46" t="s">
        <v>1170</v>
      </c>
      <c r="M6671" s="385"/>
      <c r="N6671" s="75"/>
      <c r="O6671" s="46" t="s">
        <v>1171</v>
      </c>
      <c r="P6671" s="46" t="s">
        <v>71</v>
      </c>
      <c r="Q6671" s="46" t="s">
        <v>52</v>
      </c>
      <c r="R6671" s="46" t="s">
        <v>272</v>
      </c>
    </row>
    <row r="6672" spans="1:18" s="98" customFormat="1" ht="69" customHeight="1">
      <c r="A6672" s="169"/>
      <c r="B6672" s="52">
        <f t="shared" si="23"/>
        <v>384</v>
      </c>
      <c r="C6672" s="191" t="s">
        <v>3647</v>
      </c>
      <c r="D6672" s="251" t="s">
        <v>16450</v>
      </c>
      <c r="E6672" s="191" t="s">
        <v>266</v>
      </c>
      <c r="F6672" s="46" t="s">
        <v>16451</v>
      </c>
      <c r="G6672" s="46" t="s">
        <v>16443</v>
      </c>
      <c r="H6672" s="534">
        <v>21000</v>
      </c>
      <c r="I6672" s="56">
        <v>45255</v>
      </c>
      <c r="J6672" s="199" t="s">
        <v>16449</v>
      </c>
      <c r="K6672" s="46" t="s">
        <v>1170</v>
      </c>
      <c r="M6672" s="385"/>
      <c r="N6672" s="75"/>
      <c r="O6672" s="46" t="s">
        <v>1171</v>
      </c>
      <c r="P6672" s="46" t="s">
        <v>71</v>
      </c>
      <c r="Q6672" s="46" t="s">
        <v>47</v>
      </c>
      <c r="R6672" s="46" t="s">
        <v>272</v>
      </c>
    </row>
    <row r="6673" spans="1:18" s="98" customFormat="1" ht="69" customHeight="1">
      <c r="A6673" s="169"/>
      <c r="B6673" s="207">
        <f t="shared" ref="B6673:B6720" si="24">B6672+1</f>
        <v>385</v>
      </c>
      <c r="C6673" s="207" t="s">
        <v>13156</v>
      </c>
      <c r="D6673" s="303" t="s">
        <v>5668</v>
      </c>
      <c r="E6673" s="207" t="s">
        <v>266</v>
      </c>
      <c r="F6673" s="160" t="s">
        <v>16452</v>
      </c>
      <c r="G6673" s="160" t="s">
        <v>16453</v>
      </c>
      <c r="H6673" s="300">
        <v>4784.99</v>
      </c>
      <c r="I6673" s="209">
        <v>45255</v>
      </c>
      <c r="J6673" s="316" t="s">
        <v>16454</v>
      </c>
      <c r="K6673" s="160"/>
      <c r="M6673" s="385"/>
      <c r="N6673" s="75"/>
      <c r="O6673" s="160" t="s">
        <v>16455</v>
      </c>
      <c r="P6673" s="160" t="s">
        <v>67</v>
      </c>
      <c r="Q6673" s="160" t="s">
        <v>96</v>
      </c>
      <c r="R6673" s="160" t="s">
        <v>272</v>
      </c>
    </row>
    <row r="6674" spans="1:18" s="98" customFormat="1" ht="69" customHeight="1">
      <c r="A6674" s="169"/>
      <c r="B6674" s="52">
        <f t="shared" si="24"/>
        <v>386</v>
      </c>
      <c r="C6674" s="191" t="s">
        <v>5558</v>
      </c>
      <c r="D6674" s="251" t="s">
        <v>16456</v>
      </c>
      <c r="E6674" s="191" t="s">
        <v>266</v>
      </c>
      <c r="F6674" s="46" t="s">
        <v>16457</v>
      </c>
      <c r="G6674" s="46" t="s">
        <v>16443</v>
      </c>
      <c r="H6674" s="534">
        <v>20000</v>
      </c>
      <c r="I6674" s="56">
        <v>45255</v>
      </c>
      <c r="J6674" s="199" t="s">
        <v>16458</v>
      </c>
      <c r="K6674" s="46" t="s">
        <v>1170</v>
      </c>
      <c r="M6674" s="385"/>
      <c r="N6674" s="75"/>
      <c r="O6674" s="46" t="s">
        <v>1171</v>
      </c>
      <c r="P6674" s="46" t="s">
        <v>71</v>
      </c>
      <c r="Q6674" s="46" t="s">
        <v>64</v>
      </c>
      <c r="R6674" s="46" t="s">
        <v>272</v>
      </c>
    </row>
    <row r="6675" spans="1:18" s="98" customFormat="1" ht="69" customHeight="1">
      <c r="A6675" s="169"/>
      <c r="B6675" s="52">
        <f t="shared" si="24"/>
        <v>387</v>
      </c>
      <c r="C6675" s="191" t="s">
        <v>5558</v>
      </c>
      <c r="D6675" s="251" t="s">
        <v>16459</v>
      </c>
      <c r="E6675" s="191" t="s">
        <v>266</v>
      </c>
      <c r="F6675" s="46" t="s">
        <v>16460</v>
      </c>
      <c r="G6675" s="46" t="s">
        <v>16443</v>
      </c>
      <c r="H6675" s="534">
        <v>9906.91</v>
      </c>
      <c r="I6675" s="56">
        <v>45255</v>
      </c>
      <c r="J6675" s="199" t="s">
        <v>16458</v>
      </c>
      <c r="K6675" s="46" t="s">
        <v>1170</v>
      </c>
      <c r="M6675" s="385"/>
      <c r="N6675" s="75"/>
      <c r="O6675" s="46" t="s">
        <v>1171</v>
      </c>
      <c r="P6675" s="46" t="s">
        <v>71</v>
      </c>
      <c r="Q6675" s="46" t="s">
        <v>64</v>
      </c>
      <c r="R6675" s="46" t="s">
        <v>272</v>
      </c>
    </row>
    <row r="6676" spans="1:18" ht="69" customHeight="1">
      <c r="A6676" s="168"/>
      <c r="B6676" s="62">
        <f t="shared" si="24"/>
        <v>388</v>
      </c>
      <c r="C6676" s="59" t="s">
        <v>3667</v>
      </c>
      <c r="D6676" s="174" t="s">
        <v>16461</v>
      </c>
      <c r="E6676" s="58" t="s">
        <v>16289</v>
      </c>
      <c r="F6676" s="58" t="s">
        <v>16462</v>
      </c>
      <c r="G6676" s="58" t="s">
        <v>16463</v>
      </c>
      <c r="H6676" s="546">
        <v>182000</v>
      </c>
      <c r="I6676" s="47">
        <v>45255</v>
      </c>
      <c r="J6676" s="65" t="s">
        <v>16464</v>
      </c>
      <c r="K6676" s="58"/>
      <c r="L6676" s="99"/>
      <c r="M6676" s="70"/>
      <c r="N6676" s="97"/>
      <c r="O6676" s="58" t="s">
        <v>208</v>
      </c>
      <c r="P6676" s="58" t="s">
        <v>57</v>
      </c>
      <c r="Q6676" s="58" t="s">
        <v>76</v>
      </c>
      <c r="R6676" s="58" t="s">
        <v>272</v>
      </c>
    </row>
    <row r="6677" spans="1:18" ht="69" customHeight="1">
      <c r="A6677" s="168"/>
      <c r="B6677" s="62">
        <f t="shared" si="24"/>
        <v>389</v>
      </c>
      <c r="C6677" s="59" t="s">
        <v>3667</v>
      </c>
      <c r="D6677" s="174" t="s">
        <v>16465</v>
      </c>
      <c r="E6677" s="58" t="s">
        <v>16289</v>
      </c>
      <c r="F6677" s="58" t="s">
        <v>16466</v>
      </c>
      <c r="G6677" s="58" t="s">
        <v>16463</v>
      </c>
      <c r="H6677" s="546">
        <v>222000</v>
      </c>
      <c r="I6677" s="47">
        <v>45255</v>
      </c>
      <c r="J6677" s="65" t="s">
        <v>16464</v>
      </c>
      <c r="K6677" s="58"/>
      <c r="L6677" s="99"/>
      <c r="M6677" s="70"/>
      <c r="N6677" s="97"/>
      <c r="O6677" s="58" t="s">
        <v>208</v>
      </c>
      <c r="P6677" s="58" t="s">
        <v>57</v>
      </c>
      <c r="Q6677" s="58" t="s">
        <v>74</v>
      </c>
      <c r="R6677" s="58" t="s">
        <v>272</v>
      </c>
    </row>
    <row r="6678" spans="1:18" s="98" customFormat="1" ht="69" customHeight="1">
      <c r="A6678" s="169"/>
      <c r="B6678" s="59">
        <f t="shared" si="24"/>
        <v>390</v>
      </c>
      <c r="C6678" s="59" t="s">
        <v>657</v>
      </c>
      <c r="D6678" s="84" t="s">
        <v>3628</v>
      </c>
      <c r="E6678" s="59" t="s">
        <v>350</v>
      </c>
      <c r="F6678" s="45" t="s">
        <v>16467</v>
      </c>
      <c r="G6678" s="45" t="s">
        <v>16468</v>
      </c>
      <c r="H6678" s="546">
        <v>81719.399999999994</v>
      </c>
      <c r="I6678" s="47">
        <v>45255</v>
      </c>
      <c r="J6678" s="73" t="s">
        <v>16469</v>
      </c>
      <c r="K6678" s="45"/>
      <c r="M6678" s="385"/>
      <c r="N6678" s="75"/>
      <c r="O6678" s="45" t="s">
        <v>141</v>
      </c>
      <c r="P6678" s="45" t="s">
        <v>19</v>
      </c>
      <c r="Q6678" s="45" t="s">
        <v>97</v>
      </c>
      <c r="R6678" s="45" t="s">
        <v>265</v>
      </c>
    </row>
    <row r="6679" spans="1:18" s="98" customFormat="1" ht="69" customHeight="1">
      <c r="A6679" s="169"/>
      <c r="B6679" s="52">
        <f t="shared" si="24"/>
        <v>391</v>
      </c>
      <c r="C6679" s="191" t="s">
        <v>9596</v>
      </c>
      <c r="D6679" s="251" t="s">
        <v>6562</v>
      </c>
      <c r="E6679" s="191" t="s">
        <v>266</v>
      </c>
      <c r="F6679" s="46" t="s">
        <v>16470</v>
      </c>
      <c r="G6679" s="46" t="s">
        <v>16471</v>
      </c>
      <c r="H6679" s="534">
        <v>22211.07</v>
      </c>
      <c r="I6679" s="56">
        <v>45255</v>
      </c>
      <c r="J6679" s="199" t="s">
        <v>16472</v>
      </c>
      <c r="K6679" s="46" t="s">
        <v>1170</v>
      </c>
      <c r="M6679" s="385"/>
      <c r="N6679" s="75"/>
      <c r="O6679" s="46" t="s">
        <v>1171</v>
      </c>
      <c r="P6679" s="46" t="s">
        <v>71</v>
      </c>
      <c r="Q6679" s="46" t="s">
        <v>118</v>
      </c>
      <c r="R6679" s="46" t="s">
        <v>272</v>
      </c>
    </row>
    <row r="6680" spans="1:18" ht="69" customHeight="1">
      <c r="A6680" s="168"/>
      <c r="B6680" s="259">
        <f t="shared" si="24"/>
        <v>392</v>
      </c>
      <c r="C6680" s="207" t="s">
        <v>3667</v>
      </c>
      <c r="D6680" s="255" t="s">
        <v>16473</v>
      </c>
      <c r="E6680" s="118" t="s">
        <v>15554</v>
      </c>
      <c r="F6680" s="118" t="s">
        <v>16474</v>
      </c>
      <c r="G6680" s="118" t="s">
        <v>16475</v>
      </c>
      <c r="H6680" s="300">
        <v>32713.93</v>
      </c>
      <c r="I6680" s="262">
        <v>45245</v>
      </c>
      <c r="J6680" s="258" t="s">
        <v>16476</v>
      </c>
      <c r="K6680" s="160" t="s">
        <v>16477</v>
      </c>
      <c r="L6680" s="99"/>
      <c r="M6680" s="70"/>
      <c r="N6680" s="97"/>
      <c r="O6680" s="160" t="s">
        <v>147</v>
      </c>
      <c r="P6680" s="160" t="s">
        <v>67</v>
      </c>
      <c r="Q6680" s="160" t="s">
        <v>74</v>
      </c>
      <c r="R6680" s="160" t="s">
        <v>272</v>
      </c>
    </row>
    <row r="6681" spans="1:18" ht="69" customHeight="1">
      <c r="A6681" s="168"/>
      <c r="B6681" s="259">
        <f t="shared" si="24"/>
        <v>393</v>
      </c>
      <c r="C6681" s="207" t="s">
        <v>3667</v>
      </c>
      <c r="D6681" s="255" t="s">
        <v>16478</v>
      </c>
      <c r="E6681" s="118" t="s">
        <v>15554</v>
      </c>
      <c r="F6681" s="118" t="s">
        <v>16479</v>
      </c>
      <c r="G6681" s="118" t="s">
        <v>16480</v>
      </c>
      <c r="H6681" s="300">
        <v>17615.2</v>
      </c>
      <c r="I6681" s="262">
        <v>45245</v>
      </c>
      <c r="J6681" s="258" t="s">
        <v>16476</v>
      </c>
      <c r="K6681" s="160" t="s">
        <v>16477</v>
      </c>
      <c r="L6681" s="99"/>
      <c r="M6681" s="70"/>
      <c r="N6681" s="97"/>
      <c r="O6681" s="160" t="s">
        <v>147</v>
      </c>
      <c r="P6681" s="160" t="s">
        <v>67</v>
      </c>
      <c r="Q6681" s="160" t="s">
        <v>74</v>
      </c>
      <c r="R6681" s="160" t="s">
        <v>272</v>
      </c>
    </row>
    <row r="6682" spans="1:18" ht="69" customHeight="1">
      <c r="A6682" s="168"/>
      <c r="B6682" s="62">
        <f t="shared" si="24"/>
        <v>394</v>
      </c>
      <c r="C6682" s="59" t="s">
        <v>3667</v>
      </c>
      <c r="D6682" s="174" t="s">
        <v>16481</v>
      </c>
      <c r="E6682" s="45" t="s">
        <v>15554</v>
      </c>
      <c r="F6682" s="58" t="s">
        <v>16482</v>
      </c>
      <c r="G6682" s="45" t="s">
        <v>16475</v>
      </c>
      <c r="H6682" s="546">
        <v>97848.53</v>
      </c>
      <c r="I6682" s="66">
        <v>45245</v>
      </c>
      <c r="J6682" s="65" t="s">
        <v>16476</v>
      </c>
      <c r="K6682" s="58"/>
      <c r="L6682" s="99"/>
      <c r="M6682" s="70"/>
      <c r="N6682" s="97"/>
      <c r="O6682" s="58" t="s">
        <v>147</v>
      </c>
      <c r="P6682" s="58" t="s">
        <v>22</v>
      </c>
      <c r="Q6682" s="58" t="s">
        <v>78</v>
      </c>
      <c r="R6682" s="58" t="s">
        <v>272</v>
      </c>
    </row>
    <row r="6683" spans="1:18" ht="69" customHeight="1">
      <c r="A6683" s="168"/>
      <c r="B6683" s="62">
        <f t="shared" si="24"/>
        <v>395</v>
      </c>
      <c r="C6683" s="59" t="s">
        <v>3667</v>
      </c>
      <c r="D6683" s="174" t="s">
        <v>16483</v>
      </c>
      <c r="E6683" s="45" t="s">
        <v>15554</v>
      </c>
      <c r="F6683" s="58" t="s">
        <v>16484</v>
      </c>
      <c r="G6683" s="45" t="s">
        <v>16480</v>
      </c>
      <c r="H6683" s="546">
        <v>52687.67</v>
      </c>
      <c r="I6683" s="66">
        <v>45245</v>
      </c>
      <c r="J6683" s="65" t="s">
        <v>16476</v>
      </c>
      <c r="K6683" s="58"/>
      <c r="L6683" s="99"/>
      <c r="M6683" s="70"/>
      <c r="N6683" s="97"/>
      <c r="O6683" s="58" t="s">
        <v>147</v>
      </c>
      <c r="P6683" s="58" t="s">
        <v>22</v>
      </c>
      <c r="Q6683" s="58" t="s">
        <v>78</v>
      </c>
      <c r="R6683" s="58" t="s">
        <v>272</v>
      </c>
    </row>
    <row r="6684" spans="1:18" ht="69" customHeight="1">
      <c r="A6684" s="168"/>
      <c r="B6684" s="62">
        <f t="shared" si="24"/>
        <v>396</v>
      </c>
      <c r="C6684" s="59" t="s">
        <v>3667</v>
      </c>
      <c r="D6684" s="174" t="s">
        <v>16485</v>
      </c>
      <c r="E6684" s="45" t="s">
        <v>15554</v>
      </c>
      <c r="F6684" s="58" t="s">
        <v>16486</v>
      </c>
      <c r="G6684" s="45" t="s">
        <v>16475</v>
      </c>
      <c r="H6684" s="546">
        <v>73015.509999999995</v>
      </c>
      <c r="I6684" s="66">
        <v>45245</v>
      </c>
      <c r="J6684" s="65" t="s">
        <v>16476</v>
      </c>
      <c r="K6684" s="58"/>
      <c r="L6684" s="99"/>
      <c r="M6684" s="70"/>
      <c r="N6684" s="97"/>
      <c r="O6684" s="58" t="s">
        <v>147</v>
      </c>
      <c r="P6684" s="58" t="s">
        <v>22</v>
      </c>
      <c r="Q6684" s="58" t="s">
        <v>78</v>
      </c>
      <c r="R6684" s="58" t="s">
        <v>272</v>
      </c>
    </row>
    <row r="6685" spans="1:18" ht="69" customHeight="1">
      <c r="A6685" s="168"/>
      <c r="B6685" s="62">
        <f t="shared" si="24"/>
        <v>397</v>
      </c>
      <c r="C6685" s="59" t="s">
        <v>3667</v>
      </c>
      <c r="D6685" s="174" t="s">
        <v>16487</v>
      </c>
      <c r="E6685" s="45" t="s">
        <v>15554</v>
      </c>
      <c r="F6685" s="58" t="s">
        <v>16488</v>
      </c>
      <c r="G6685" s="45" t="s">
        <v>16480</v>
      </c>
      <c r="H6685" s="546">
        <v>39316.04</v>
      </c>
      <c r="I6685" s="66">
        <v>45245</v>
      </c>
      <c r="J6685" s="65" t="s">
        <v>16476</v>
      </c>
      <c r="K6685" s="58"/>
      <c r="L6685" s="99"/>
      <c r="M6685" s="70"/>
      <c r="N6685" s="97"/>
      <c r="O6685" s="58" t="s">
        <v>147</v>
      </c>
      <c r="P6685" s="58" t="s">
        <v>22</v>
      </c>
      <c r="Q6685" s="58" t="s">
        <v>78</v>
      </c>
      <c r="R6685" s="58" t="s">
        <v>272</v>
      </c>
    </row>
    <row r="6686" spans="1:18" ht="69" customHeight="1">
      <c r="A6686" s="168"/>
      <c r="B6686" s="59">
        <f t="shared" si="24"/>
        <v>398</v>
      </c>
      <c r="C6686" s="59" t="s">
        <v>15700</v>
      </c>
      <c r="D6686" s="84" t="s">
        <v>11574</v>
      </c>
      <c r="E6686" s="45" t="s">
        <v>16489</v>
      </c>
      <c r="F6686" s="45" t="s">
        <v>16490</v>
      </c>
      <c r="G6686" s="45" t="s">
        <v>16491</v>
      </c>
      <c r="H6686" s="546">
        <v>174600</v>
      </c>
      <c r="I6686" s="47">
        <v>45255</v>
      </c>
      <c r="J6686" s="73" t="s">
        <v>16492</v>
      </c>
      <c r="K6686" s="45"/>
      <c r="M6686" s="385"/>
      <c r="N6686" s="75"/>
      <c r="O6686" s="45" t="s">
        <v>16493</v>
      </c>
      <c r="P6686" s="45" t="s">
        <v>57</v>
      </c>
      <c r="Q6686" s="45" t="s">
        <v>39</v>
      </c>
      <c r="R6686" s="45" t="s">
        <v>272</v>
      </c>
    </row>
    <row r="6687" spans="1:18" ht="69" customHeight="1">
      <c r="A6687" s="168"/>
      <c r="B6687" s="59">
        <f t="shared" si="24"/>
        <v>399</v>
      </c>
      <c r="C6687" s="59" t="s">
        <v>15449</v>
      </c>
      <c r="D6687" s="84" t="s">
        <v>11578</v>
      </c>
      <c r="E6687" s="45" t="s">
        <v>16489</v>
      </c>
      <c r="F6687" s="45" t="s">
        <v>16494</v>
      </c>
      <c r="G6687" s="45" t="s">
        <v>16491</v>
      </c>
      <c r="H6687" s="546">
        <v>211500</v>
      </c>
      <c r="I6687" s="47">
        <v>45255</v>
      </c>
      <c r="J6687" s="73" t="s">
        <v>16492</v>
      </c>
      <c r="K6687" s="45"/>
      <c r="M6687" s="385"/>
      <c r="N6687" s="75"/>
      <c r="O6687" s="45" t="s">
        <v>16493</v>
      </c>
      <c r="P6687" s="45" t="s">
        <v>57</v>
      </c>
      <c r="Q6687" s="45" t="s">
        <v>41</v>
      </c>
      <c r="R6687" s="45" t="s">
        <v>272</v>
      </c>
    </row>
    <row r="6688" spans="1:18" ht="69" customHeight="1">
      <c r="A6688" s="168"/>
      <c r="B6688" s="62">
        <f t="shared" si="24"/>
        <v>400</v>
      </c>
      <c r="C6688" s="59" t="s">
        <v>2182</v>
      </c>
      <c r="D6688" s="174" t="s">
        <v>16027</v>
      </c>
      <c r="E6688" s="45" t="s">
        <v>16495</v>
      </c>
      <c r="F6688" s="58" t="s">
        <v>16496</v>
      </c>
      <c r="G6688" s="45" t="s">
        <v>16497</v>
      </c>
      <c r="H6688" s="546">
        <v>127095.35</v>
      </c>
      <c r="I6688" s="66">
        <v>45255</v>
      </c>
      <c r="J6688" s="65" t="s">
        <v>16498</v>
      </c>
      <c r="K6688" s="58"/>
      <c r="L6688" s="99"/>
      <c r="M6688" s="70"/>
      <c r="N6688" s="97"/>
      <c r="O6688" s="45" t="s">
        <v>14413</v>
      </c>
      <c r="P6688" s="58" t="s">
        <v>57</v>
      </c>
      <c r="Q6688" s="58" t="s">
        <v>31</v>
      </c>
      <c r="R6688" s="58" t="s">
        <v>272</v>
      </c>
    </row>
    <row r="6689" spans="1:18" ht="69" customHeight="1">
      <c r="A6689" s="168"/>
      <c r="B6689" s="62">
        <f t="shared" si="24"/>
        <v>401</v>
      </c>
      <c r="C6689" s="59" t="s">
        <v>9094</v>
      </c>
      <c r="D6689" s="174" t="s">
        <v>16499</v>
      </c>
      <c r="E6689" s="59" t="s">
        <v>16500</v>
      </c>
      <c r="F6689" s="58" t="s">
        <v>16501</v>
      </c>
      <c r="G6689" s="58" t="s">
        <v>16502</v>
      </c>
      <c r="H6689" s="546">
        <v>44450</v>
      </c>
      <c r="I6689" s="66">
        <v>45255</v>
      </c>
      <c r="J6689" s="65" t="s">
        <v>16503</v>
      </c>
      <c r="K6689" s="58"/>
      <c r="L6689" s="99"/>
      <c r="M6689" s="70"/>
      <c r="N6689" s="97"/>
      <c r="O6689" s="58" t="s">
        <v>16504</v>
      </c>
      <c r="P6689" s="58" t="s">
        <v>61</v>
      </c>
      <c r="Q6689" s="58" t="s">
        <v>112</v>
      </c>
      <c r="R6689" s="58" t="s">
        <v>272</v>
      </c>
    </row>
    <row r="6690" spans="1:18" ht="69" customHeight="1">
      <c r="A6690" s="168"/>
      <c r="B6690" s="62">
        <f t="shared" si="24"/>
        <v>402</v>
      </c>
      <c r="C6690" s="178" t="s">
        <v>7189</v>
      </c>
      <c r="D6690" s="174" t="s">
        <v>1422</v>
      </c>
      <c r="E6690" s="59" t="s">
        <v>16500</v>
      </c>
      <c r="F6690" s="58" t="s">
        <v>16505</v>
      </c>
      <c r="G6690" s="58" t="s">
        <v>16502</v>
      </c>
      <c r="H6690" s="546">
        <v>42087.5</v>
      </c>
      <c r="I6690" s="66">
        <v>45255</v>
      </c>
      <c r="J6690" s="65" t="s">
        <v>16503</v>
      </c>
      <c r="K6690" s="58"/>
      <c r="L6690" s="99"/>
      <c r="M6690" s="70"/>
      <c r="N6690" s="97"/>
      <c r="O6690" s="58" t="s">
        <v>16504</v>
      </c>
      <c r="P6690" s="58" t="s">
        <v>61</v>
      </c>
      <c r="Q6690" s="58" t="s">
        <v>97</v>
      </c>
      <c r="R6690" s="58" t="s">
        <v>272</v>
      </c>
    </row>
    <row r="6691" spans="1:18" ht="69" customHeight="1">
      <c r="A6691" s="168"/>
      <c r="B6691" s="62">
        <f t="shared" si="24"/>
        <v>403</v>
      </c>
      <c r="C6691" s="44" t="s">
        <v>11055</v>
      </c>
      <c r="D6691" s="174" t="s">
        <v>11541</v>
      </c>
      <c r="E6691" s="45" t="s">
        <v>15554</v>
      </c>
      <c r="F6691" s="58" t="s">
        <v>16506</v>
      </c>
      <c r="G6691" s="45" t="s">
        <v>16507</v>
      </c>
      <c r="H6691" s="546">
        <v>61258.86</v>
      </c>
      <c r="I6691" s="66">
        <v>45255</v>
      </c>
      <c r="J6691" s="65" t="s">
        <v>16508</v>
      </c>
      <c r="K6691" s="58"/>
      <c r="L6691" s="99"/>
      <c r="M6691" s="70"/>
      <c r="N6691" s="97"/>
      <c r="O6691" s="58" t="s">
        <v>147</v>
      </c>
      <c r="P6691" s="58" t="s">
        <v>22</v>
      </c>
      <c r="Q6691" s="58" t="s">
        <v>97</v>
      </c>
      <c r="R6691" s="58" t="s">
        <v>272</v>
      </c>
    </row>
    <row r="6692" spans="1:18" ht="69" customHeight="1">
      <c r="A6692" s="168"/>
      <c r="B6692" s="62">
        <f t="shared" si="24"/>
        <v>404</v>
      </c>
      <c r="C6692" s="44" t="s">
        <v>16509</v>
      </c>
      <c r="D6692" s="174" t="s">
        <v>11545</v>
      </c>
      <c r="E6692" s="45" t="s">
        <v>15554</v>
      </c>
      <c r="F6692" s="58" t="s">
        <v>16510</v>
      </c>
      <c r="G6692" s="45" t="s">
        <v>16511</v>
      </c>
      <c r="H6692" s="546">
        <v>50120.88</v>
      </c>
      <c r="I6692" s="66">
        <v>45255</v>
      </c>
      <c r="J6692" s="65" t="s">
        <v>16508</v>
      </c>
      <c r="K6692" s="58"/>
      <c r="L6692" s="99"/>
      <c r="M6692" s="70"/>
      <c r="N6692" s="97"/>
      <c r="O6692" s="58" t="s">
        <v>147</v>
      </c>
      <c r="P6692" s="58" t="s">
        <v>22</v>
      </c>
      <c r="Q6692" s="58" t="s">
        <v>97</v>
      </c>
      <c r="R6692" s="58" t="s">
        <v>272</v>
      </c>
    </row>
    <row r="6693" spans="1:18" s="98" customFormat="1" ht="69" customHeight="1">
      <c r="A6693" s="169"/>
      <c r="B6693" s="259">
        <f t="shared" si="24"/>
        <v>405</v>
      </c>
      <c r="C6693" s="207" t="s">
        <v>259</v>
      </c>
      <c r="D6693" s="303" t="s">
        <v>2713</v>
      </c>
      <c r="E6693" s="160" t="s">
        <v>16512</v>
      </c>
      <c r="F6693" s="160" t="s">
        <v>16513</v>
      </c>
      <c r="G6693" s="160" t="s">
        <v>16514</v>
      </c>
      <c r="H6693" s="300">
        <v>61667</v>
      </c>
      <c r="I6693" s="209">
        <v>45255</v>
      </c>
      <c r="J6693" s="316" t="s">
        <v>16515</v>
      </c>
      <c r="K6693" s="160" t="s">
        <v>16516</v>
      </c>
      <c r="M6693" s="385"/>
      <c r="N6693" s="75"/>
      <c r="O6693" s="160" t="s">
        <v>147</v>
      </c>
      <c r="P6693" s="160" t="s">
        <v>67</v>
      </c>
      <c r="Q6693" s="160" t="s">
        <v>96</v>
      </c>
      <c r="R6693" s="160" t="s">
        <v>272</v>
      </c>
    </row>
    <row r="6694" spans="1:18" ht="69" customHeight="1">
      <c r="A6694" s="168"/>
      <c r="B6694" s="62">
        <f t="shared" si="24"/>
        <v>406</v>
      </c>
      <c r="C6694" s="44" t="s">
        <v>12295</v>
      </c>
      <c r="D6694" s="174" t="s">
        <v>16517</v>
      </c>
      <c r="E6694" s="58" t="s">
        <v>14444</v>
      </c>
      <c r="F6694" s="58" t="s">
        <v>16518</v>
      </c>
      <c r="G6694" s="58" t="s">
        <v>16519</v>
      </c>
      <c r="H6694" s="546">
        <v>142612.26</v>
      </c>
      <c r="I6694" s="66">
        <v>45255</v>
      </c>
      <c r="J6694" s="65" t="s">
        <v>16520</v>
      </c>
      <c r="K6694" s="58"/>
      <c r="L6694" s="99"/>
      <c r="M6694" s="70"/>
      <c r="N6694" s="97"/>
      <c r="O6694" s="58" t="s">
        <v>154</v>
      </c>
      <c r="P6694" s="58" t="s">
        <v>57</v>
      </c>
      <c r="Q6694" s="58" t="s">
        <v>68</v>
      </c>
      <c r="R6694" s="58" t="s">
        <v>272</v>
      </c>
    </row>
    <row r="6695" spans="1:18" ht="69" customHeight="1">
      <c r="A6695" s="168"/>
      <c r="B6695" s="59">
        <f t="shared" si="24"/>
        <v>407</v>
      </c>
      <c r="C6695" s="59" t="s">
        <v>1593</v>
      </c>
      <c r="D6695" s="84" t="s">
        <v>16036</v>
      </c>
      <c r="E6695" s="45" t="s">
        <v>809</v>
      </c>
      <c r="F6695" s="45" t="s">
        <v>16521</v>
      </c>
      <c r="G6695" s="45" t="s">
        <v>16522</v>
      </c>
      <c r="H6695" s="546">
        <v>13247.67</v>
      </c>
      <c r="I6695" s="47">
        <v>45255</v>
      </c>
      <c r="J6695" s="73" t="s">
        <v>16523</v>
      </c>
      <c r="K6695" s="45"/>
      <c r="L6695" s="99"/>
      <c r="M6695" s="70"/>
      <c r="N6695" s="97"/>
      <c r="O6695" s="45" t="s">
        <v>8711</v>
      </c>
      <c r="P6695" s="45" t="s">
        <v>36</v>
      </c>
      <c r="Q6695" s="45" t="s">
        <v>27</v>
      </c>
      <c r="R6695" s="45" t="s">
        <v>272</v>
      </c>
    </row>
    <row r="6696" spans="1:18" ht="69" customHeight="1">
      <c r="A6696" s="168"/>
      <c r="B6696" s="59">
        <f t="shared" si="24"/>
        <v>408</v>
      </c>
      <c r="C6696" s="59" t="s">
        <v>15650</v>
      </c>
      <c r="D6696" s="84" t="s">
        <v>16524</v>
      </c>
      <c r="E6696" s="45" t="s">
        <v>809</v>
      </c>
      <c r="F6696" s="45" t="s">
        <v>16525</v>
      </c>
      <c r="G6696" s="45" t="s">
        <v>16522</v>
      </c>
      <c r="H6696" s="546">
        <v>13247.67</v>
      </c>
      <c r="I6696" s="47">
        <v>45255</v>
      </c>
      <c r="J6696" s="73" t="s">
        <v>16523</v>
      </c>
      <c r="K6696" s="45"/>
      <c r="L6696" s="99"/>
      <c r="M6696" s="70"/>
      <c r="N6696" s="97"/>
      <c r="O6696" s="45" t="s">
        <v>8711</v>
      </c>
      <c r="P6696" s="45" t="s">
        <v>36</v>
      </c>
      <c r="Q6696" s="45" t="s">
        <v>56</v>
      </c>
      <c r="R6696" s="45" t="s">
        <v>272</v>
      </c>
    </row>
    <row r="6697" spans="1:18" s="98" customFormat="1" ht="69" customHeight="1">
      <c r="A6697" s="169"/>
      <c r="B6697" s="59">
        <f t="shared" si="24"/>
        <v>409</v>
      </c>
      <c r="C6697" s="59" t="s">
        <v>4728</v>
      </c>
      <c r="D6697" s="84" t="s">
        <v>16526</v>
      </c>
      <c r="E6697" s="45" t="s">
        <v>809</v>
      </c>
      <c r="F6697" s="45" t="s">
        <v>16527</v>
      </c>
      <c r="G6697" s="45" t="s">
        <v>16522</v>
      </c>
      <c r="H6697" s="546">
        <v>13247.67</v>
      </c>
      <c r="I6697" s="47">
        <v>45255</v>
      </c>
      <c r="J6697" s="73" t="s">
        <v>16523</v>
      </c>
      <c r="K6697" s="45"/>
      <c r="M6697" s="385"/>
      <c r="N6697" s="75"/>
      <c r="O6697" s="45" t="s">
        <v>8711</v>
      </c>
      <c r="P6697" s="45" t="s">
        <v>36</v>
      </c>
      <c r="Q6697" s="45" t="s">
        <v>58</v>
      </c>
      <c r="R6697" s="45" t="s">
        <v>272</v>
      </c>
    </row>
    <row r="6698" spans="1:18" ht="69" customHeight="1">
      <c r="A6698" s="168"/>
      <c r="B6698" s="62">
        <f t="shared" si="24"/>
        <v>410</v>
      </c>
      <c r="C6698" s="59" t="s">
        <v>3647</v>
      </c>
      <c r="D6698" s="174" t="s">
        <v>16528</v>
      </c>
      <c r="E6698" s="45" t="s">
        <v>16529</v>
      </c>
      <c r="F6698" s="45" t="s">
        <v>16530</v>
      </c>
      <c r="G6698" s="45" t="s">
        <v>16531</v>
      </c>
      <c r="H6698" s="546">
        <v>25000</v>
      </c>
      <c r="I6698" s="66">
        <v>45255</v>
      </c>
      <c r="J6698" s="65" t="s">
        <v>16532</v>
      </c>
      <c r="K6698" s="58"/>
      <c r="L6698" s="99"/>
      <c r="M6698" s="70"/>
      <c r="N6698" s="97"/>
      <c r="O6698" s="58" t="s">
        <v>13448</v>
      </c>
      <c r="P6698" s="58" t="s">
        <v>57</v>
      </c>
      <c r="Q6698" s="58" t="s">
        <v>47</v>
      </c>
      <c r="R6698" s="58" t="s">
        <v>265</v>
      </c>
    </row>
    <row r="6699" spans="1:18" ht="69" customHeight="1">
      <c r="A6699" s="168"/>
      <c r="B6699" s="62">
        <f t="shared" si="24"/>
        <v>411</v>
      </c>
      <c r="C6699" s="59" t="s">
        <v>3647</v>
      </c>
      <c r="D6699" s="174" t="s">
        <v>16533</v>
      </c>
      <c r="E6699" s="45" t="s">
        <v>16529</v>
      </c>
      <c r="F6699" s="45" t="s">
        <v>16534</v>
      </c>
      <c r="G6699" s="45" t="s">
        <v>16535</v>
      </c>
      <c r="H6699" s="546">
        <v>42000</v>
      </c>
      <c r="I6699" s="66">
        <v>45255</v>
      </c>
      <c r="J6699" s="65" t="s">
        <v>16532</v>
      </c>
      <c r="K6699" s="58"/>
      <c r="L6699" s="99"/>
      <c r="M6699" s="70"/>
      <c r="N6699" s="97"/>
      <c r="O6699" s="58" t="s">
        <v>13448</v>
      </c>
      <c r="P6699" s="58" t="s">
        <v>57</v>
      </c>
      <c r="Q6699" s="58" t="s">
        <v>47</v>
      </c>
      <c r="R6699" s="58" t="s">
        <v>265</v>
      </c>
    </row>
    <row r="6700" spans="1:18" ht="69" customHeight="1">
      <c r="A6700" s="168"/>
      <c r="B6700" s="62">
        <f t="shared" si="24"/>
        <v>412</v>
      </c>
      <c r="C6700" s="59" t="s">
        <v>3647</v>
      </c>
      <c r="D6700" s="174" t="s">
        <v>16536</v>
      </c>
      <c r="E6700" s="45" t="s">
        <v>16529</v>
      </c>
      <c r="F6700" s="45" t="s">
        <v>16537</v>
      </c>
      <c r="G6700" s="45" t="s">
        <v>16538</v>
      </c>
      <c r="H6700" s="546">
        <v>25000</v>
      </c>
      <c r="I6700" s="66">
        <v>45255</v>
      </c>
      <c r="J6700" s="65" t="s">
        <v>16532</v>
      </c>
      <c r="K6700" s="58"/>
      <c r="L6700" s="99"/>
      <c r="M6700" s="70"/>
      <c r="N6700" s="97"/>
      <c r="O6700" s="58" t="s">
        <v>13448</v>
      </c>
      <c r="P6700" s="58" t="s">
        <v>57</v>
      </c>
      <c r="Q6700" s="58" t="s">
        <v>47</v>
      </c>
      <c r="R6700" s="58" t="s">
        <v>265</v>
      </c>
    </row>
    <row r="6701" spans="1:18" ht="69" customHeight="1">
      <c r="A6701" s="168"/>
      <c r="B6701" s="62">
        <f t="shared" si="24"/>
        <v>413</v>
      </c>
      <c r="C6701" s="59" t="s">
        <v>309</v>
      </c>
      <c r="D6701" s="174" t="s">
        <v>11551</v>
      </c>
      <c r="E6701" s="59" t="s">
        <v>266</v>
      </c>
      <c r="F6701" s="569" t="s">
        <v>16539</v>
      </c>
      <c r="G6701" s="45" t="s">
        <v>16540</v>
      </c>
      <c r="H6701" s="546">
        <v>2366.54</v>
      </c>
      <c r="I6701" s="66">
        <v>45265</v>
      </c>
      <c r="J6701" s="65" t="s">
        <v>16541</v>
      </c>
      <c r="K6701" s="58"/>
      <c r="L6701" s="99"/>
      <c r="M6701" s="70"/>
      <c r="N6701" s="97"/>
      <c r="O6701" s="45" t="s">
        <v>467</v>
      </c>
      <c r="P6701" s="58" t="s">
        <v>61</v>
      </c>
      <c r="Q6701" s="58" t="s">
        <v>18</v>
      </c>
      <c r="R6701" s="58" t="s">
        <v>265</v>
      </c>
    </row>
    <row r="6702" spans="1:18" ht="69" customHeight="1">
      <c r="A6702" s="168"/>
      <c r="B6702" s="62">
        <f t="shared" si="24"/>
        <v>414</v>
      </c>
      <c r="C6702" s="44" t="s">
        <v>11055</v>
      </c>
      <c r="D6702" s="174" t="s">
        <v>11555</v>
      </c>
      <c r="E6702" s="45" t="s">
        <v>16542</v>
      </c>
      <c r="F6702" s="45" t="s">
        <v>16543</v>
      </c>
      <c r="G6702" s="45" t="s">
        <v>16544</v>
      </c>
      <c r="H6702" s="546">
        <v>25000</v>
      </c>
      <c r="I6702" s="66">
        <v>45245</v>
      </c>
      <c r="J6702" s="65" t="s">
        <v>16545</v>
      </c>
      <c r="K6702" s="58"/>
      <c r="L6702" s="99"/>
      <c r="M6702" s="70"/>
      <c r="N6702" s="97"/>
      <c r="O6702" s="58" t="s">
        <v>192</v>
      </c>
      <c r="P6702" s="58" t="s">
        <v>57</v>
      </c>
      <c r="Q6702" s="58" t="s">
        <v>45</v>
      </c>
      <c r="R6702" s="58" t="s">
        <v>265</v>
      </c>
    </row>
    <row r="6703" spans="1:18" s="98" customFormat="1" ht="69" customHeight="1">
      <c r="A6703" s="169"/>
      <c r="B6703" s="259">
        <f t="shared" si="24"/>
        <v>415</v>
      </c>
      <c r="C6703" s="302" t="s">
        <v>11464</v>
      </c>
      <c r="D6703" s="303" t="s">
        <v>4143</v>
      </c>
      <c r="E6703" s="290" t="s">
        <v>585</v>
      </c>
      <c r="F6703" s="160" t="s">
        <v>16546</v>
      </c>
      <c r="G6703" s="160" t="s">
        <v>16547</v>
      </c>
      <c r="H6703" s="300">
        <v>31011.61</v>
      </c>
      <c r="I6703" s="209">
        <v>45255</v>
      </c>
      <c r="J6703" s="316" t="s">
        <v>16548</v>
      </c>
      <c r="K6703" s="160"/>
      <c r="M6703" s="385"/>
      <c r="N6703" s="75"/>
      <c r="O6703" s="160"/>
      <c r="P6703" s="160" t="s">
        <v>67</v>
      </c>
      <c r="Q6703" s="160" t="s">
        <v>96</v>
      </c>
      <c r="R6703" s="160" t="s">
        <v>272</v>
      </c>
    </row>
    <row r="6704" spans="1:18" ht="69" customHeight="1">
      <c r="A6704" s="168"/>
      <c r="B6704" s="52">
        <f t="shared" si="24"/>
        <v>416</v>
      </c>
      <c r="C6704" s="191" t="s">
        <v>13435</v>
      </c>
      <c r="D6704" s="251" t="s">
        <v>11557</v>
      </c>
      <c r="E6704" s="53" t="s">
        <v>585</v>
      </c>
      <c r="F6704" s="46" t="s">
        <v>16549</v>
      </c>
      <c r="G6704" s="46" t="s">
        <v>16550</v>
      </c>
      <c r="H6704" s="534">
        <v>60229.599999999999</v>
      </c>
      <c r="I6704" s="56">
        <v>45255</v>
      </c>
      <c r="J6704" s="199" t="s">
        <v>16551</v>
      </c>
      <c r="K6704" s="46" t="s">
        <v>16552</v>
      </c>
      <c r="M6704" s="70"/>
      <c r="N6704" s="97"/>
      <c r="O6704" s="46" t="s">
        <v>141</v>
      </c>
      <c r="P6704" s="46" t="s">
        <v>65</v>
      </c>
      <c r="Q6704" s="46" t="s">
        <v>13</v>
      </c>
      <c r="R6704" s="46" t="s">
        <v>265</v>
      </c>
    </row>
    <row r="6705" spans="1:18" s="98" customFormat="1" ht="69" customHeight="1">
      <c r="A6705" s="169"/>
      <c r="B6705" s="48">
        <f t="shared" si="24"/>
        <v>417</v>
      </c>
      <c r="C6705" s="59" t="s">
        <v>5558</v>
      </c>
      <c r="D6705" s="84" t="s">
        <v>16553</v>
      </c>
      <c r="E6705" s="45" t="s">
        <v>16554</v>
      </c>
      <c r="F6705" s="45" t="s">
        <v>16555</v>
      </c>
      <c r="G6705" s="45" t="s">
        <v>16556</v>
      </c>
      <c r="H6705" s="546">
        <v>88990.19</v>
      </c>
      <c r="I6705" s="47">
        <v>45255</v>
      </c>
      <c r="J6705" s="73" t="s">
        <v>16557</v>
      </c>
      <c r="K6705" s="45"/>
      <c r="M6705" s="385"/>
      <c r="N6705" s="75"/>
      <c r="O6705" s="45" t="s">
        <v>441</v>
      </c>
      <c r="P6705" s="45" t="s">
        <v>22</v>
      </c>
      <c r="Q6705" s="45" t="s">
        <v>64</v>
      </c>
      <c r="R6705" s="45" t="s">
        <v>272</v>
      </c>
    </row>
    <row r="6706" spans="1:18" s="98" customFormat="1" ht="69" customHeight="1">
      <c r="A6706" s="169"/>
      <c r="B6706" s="48">
        <f t="shared" si="24"/>
        <v>418</v>
      </c>
      <c r="C6706" s="59" t="s">
        <v>13435</v>
      </c>
      <c r="D6706" s="84" t="s">
        <v>11560</v>
      </c>
      <c r="E6706" s="45" t="s">
        <v>16554</v>
      </c>
      <c r="F6706" s="45" t="s">
        <v>16558</v>
      </c>
      <c r="G6706" s="45" t="s">
        <v>16559</v>
      </c>
      <c r="H6706" s="546">
        <v>247884.6</v>
      </c>
      <c r="I6706" s="47">
        <v>45255</v>
      </c>
      <c r="J6706" s="73" t="s">
        <v>16560</v>
      </c>
      <c r="K6706" s="45"/>
      <c r="M6706" s="385"/>
      <c r="N6706" s="75"/>
      <c r="O6706" s="45" t="s">
        <v>441</v>
      </c>
      <c r="P6706" s="45" t="s">
        <v>22</v>
      </c>
      <c r="Q6706" s="45" t="s">
        <v>13</v>
      </c>
      <c r="R6706" s="45" t="s">
        <v>272</v>
      </c>
    </row>
    <row r="6707" spans="1:18" ht="69" customHeight="1">
      <c r="A6707" s="168"/>
      <c r="B6707" s="259">
        <f t="shared" si="24"/>
        <v>419</v>
      </c>
      <c r="C6707" s="160" t="s">
        <v>10937</v>
      </c>
      <c r="D6707" s="303" t="s">
        <v>4267</v>
      </c>
      <c r="E6707" s="290" t="s">
        <v>16561</v>
      </c>
      <c r="F6707" s="160" t="s">
        <v>16562</v>
      </c>
      <c r="G6707" s="160" t="s">
        <v>16298</v>
      </c>
      <c r="H6707" s="300">
        <v>28992</v>
      </c>
      <c r="I6707" s="209">
        <v>45255</v>
      </c>
      <c r="J6707" s="316" t="s">
        <v>16563</v>
      </c>
      <c r="K6707" s="160" t="s">
        <v>4128</v>
      </c>
      <c r="M6707" s="385"/>
      <c r="N6707" s="75"/>
      <c r="O6707" s="160"/>
      <c r="P6707" s="160" t="s">
        <v>67</v>
      </c>
      <c r="Q6707" s="160" t="s">
        <v>104</v>
      </c>
      <c r="R6707" s="160" t="s">
        <v>272</v>
      </c>
    </row>
    <row r="6708" spans="1:18" ht="69" customHeight="1">
      <c r="A6708" s="168"/>
      <c r="B6708" s="62">
        <f t="shared" si="24"/>
        <v>420</v>
      </c>
      <c r="C6708" s="72" t="s">
        <v>10612</v>
      </c>
      <c r="D6708" s="174" t="s">
        <v>16564</v>
      </c>
      <c r="E6708" s="178" t="s">
        <v>266</v>
      </c>
      <c r="F6708" s="58" t="s">
        <v>16565</v>
      </c>
      <c r="G6708" s="58" t="s">
        <v>15908</v>
      </c>
      <c r="H6708" s="552">
        <v>12000</v>
      </c>
      <c r="I6708" s="66">
        <v>45255</v>
      </c>
      <c r="J6708" s="65" t="s">
        <v>16566</v>
      </c>
      <c r="K6708" s="58"/>
      <c r="M6708" s="70"/>
      <c r="N6708" s="97"/>
      <c r="O6708" s="62" t="s">
        <v>6918</v>
      </c>
      <c r="P6708" s="58" t="s">
        <v>44</v>
      </c>
      <c r="Q6708" s="58" t="s">
        <v>86</v>
      </c>
      <c r="R6708" s="58" t="s">
        <v>272</v>
      </c>
    </row>
    <row r="6709" spans="1:18" ht="69" customHeight="1">
      <c r="A6709" s="168"/>
      <c r="B6709" s="62">
        <f t="shared" si="24"/>
        <v>421</v>
      </c>
      <c r="C6709" s="72" t="s">
        <v>10608</v>
      </c>
      <c r="D6709" s="174" t="s">
        <v>16567</v>
      </c>
      <c r="E6709" s="178" t="s">
        <v>266</v>
      </c>
      <c r="F6709" s="58" t="s">
        <v>16568</v>
      </c>
      <c r="G6709" s="58" t="s">
        <v>15908</v>
      </c>
      <c r="H6709" s="552">
        <v>12000</v>
      </c>
      <c r="I6709" s="66">
        <v>45255</v>
      </c>
      <c r="J6709" s="65" t="s">
        <v>16566</v>
      </c>
      <c r="K6709" s="58"/>
      <c r="M6709" s="70"/>
      <c r="N6709" s="97"/>
      <c r="O6709" s="62" t="s">
        <v>6918</v>
      </c>
      <c r="P6709" s="58" t="s">
        <v>44</v>
      </c>
      <c r="Q6709" s="58" t="s">
        <v>70</v>
      </c>
      <c r="R6709" s="58" t="s">
        <v>272</v>
      </c>
    </row>
    <row r="6710" spans="1:18" ht="69" customHeight="1">
      <c r="A6710" s="168"/>
      <c r="B6710" s="62">
        <f t="shared" si="24"/>
        <v>422</v>
      </c>
      <c r="C6710" s="72" t="s">
        <v>1853</v>
      </c>
      <c r="D6710" s="174" t="s">
        <v>16081</v>
      </c>
      <c r="E6710" s="178" t="s">
        <v>266</v>
      </c>
      <c r="F6710" s="58" t="s">
        <v>16569</v>
      </c>
      <c r="G6710" s="58" t="s">
        <v>15908</v>
      </c>
      <c r="H6710" s="552">
        <v>12000</v>
      </c>
      <c r="I6710" s="66">
        <v>45255</v>
      </c>
      <c r="J6710" s="65" t="s">
        <v>16566</v>
      </c>
      <c r="K6710" s="58"/>
      <c r="M6710" s="70"/>
      <c r="N6710" s="97"/>
      <c r="O6710" s="62" t="s">
        <v>6918</v>
      </c>
      <c r="P6710" s="58" t="s">
        <v>44</v>
      </c>
      <c r="Q6710" s="58" t="s">
        <v>29</v>
      </c>
      <c r="R6710" s="58" t="s">
        <v>272</v>
      </c>
    </row>
    <row r="6711" spans="1:18" ht="69" customHeight="1">
      <c r="A6711" s="168"/>
      <c r="B6711" s="62">
        <f t="shared" si="24"/>
        <v>423</v>
      </c>
      <c r="C6711" s="178" t="s">
        <v>16106</v>
      </c>
      <c r="D6711" s="174" t="s">
        <v>11572</v>
      </c>
      <c r="E6711" s="178" t="s">
        <v>266</v>
      </c>
      <c r="F6711" s="58" t="s">
        <v>16570</v>
      </c>
      <c r="G6711" s="58" t="s">
        <v>15908</v>
      </c>
      <c r="H6711" s="552">
        <v>12000</v>
      </c>
      <c r="I6711" s="66">
        <v>45255</v>
      </c>
      <c r="J6711" s="65" t="s">
        <v>16566</v>
      </c>
      <c r="K6711" s="58"/>
      <c r="M6711" s="70"/>
      <c r="N6711" s="97"/>
      <c r="O6711" s="62" t="s">
        <v>6918</v>
      </c>
      <c r="P6711" s="58" t="s">
        <v>44</v>
      </c>
      <c r="Q6711" s="58" t="s">
        <v>33</v>
      </c>
      <c r="R6711" s="58" t="s">
        <v>272</v>
      </c>
    </row>
    <row r="6712" spans="1:18" ht="69" customHeight="1">
      <c r="A6712" s="168"/>
      <c r="B6712" s="62">
        <f t="shared" si="24"/>
        <v>424</v>
      </c>
      <c r="C6712" s="178" t="s">
        <v>6261</v>
      </c>
      <c r="D6712" s="174" t="s">
        <v>16571</v>
      </c>
      <c r="E6712" s="178" t="s">
        <v>266</v>
      </c>
      <c r="F6712" s="58" t="s">
        <v>16572</v>
      </c>
      <c r="G6712" s="58" t="s">
        <v>15908</v>
      </c>
      <c r="H6712" s="552">
        <v>12000</v>
      </c>
      <c r="I6712" s="66">
        <v>45255</v>
      </c>
      <c r="J6712" s="65" t="s">
        <v>16566</v>
      </c>
      <c r="K6712" s="58"/>
      <c r="M6712" s="70"/>
      <c r="N6712" s="97"/>
      <c r="O6712" s="62" t="s">
        <v>6918</v>
      </c>
      <c r="P6712" s="58" t="s">
        <v>44</v>
      </c>
      <c r="Q6712" s="58" t="s">
        <v>74</v>
      </c>
      <c r="R6712" s="58" t="s">
        <v>272</v>
      </c>
    </row>
    <row r="6713" spans="1:18" ht="69" customHeight="1">
      <c r="A6713" s="168"/>
      <c r="B6713" s="62">
        <f t="shared" si="24"/>
        <v>425</v>
      </c>
      <c r="C6713" s="178" t="s">
        <v>8057</v>
      </c>
      <c r="D6713" s="174" t="s">
        <v>16573</v>
      </c>
      <c r="E6713" s="178" t="s">
        <v>266</v>
      </c>
      <c r="F6713" s="58" t="s">
        <v>16574</v>
      </c>
      <c r="G6713" s="58" t="s">
        <v>15908</v>
      </c>
      <c r="H6713" s="552">
        <v>12000</v>
      </c>
      <c r="I6713" s="66">
        <v>45255</v>
      </c>
      <c r="J6713" s="65" t="s">
        <v>16566</v>
      </c>
      <c r="K6713" s="58"/>
      <c r="M6713" s="70"/>
      <c r="N6713" s="97"/>
      <c r="O6713" s="62" t="s">
        <v>6918</v>
      </c>
      <c r="P6713" s="58" t="s">
        <v>44</v>
      </c>
      <c r="Q6713" s="58" t="s">
        <v>105</v>
      </c>
      <c r="R6713" s="58" t="s">
        <v>272</v>
      </c>
    </row>
    <row r="6714" spans="1:18" ht="69" customHeight="1">
      <c r="A6714" s="168"/>
      <c r="B6714" s="62">
        <f t="shared" si="24"/>
        <v>426</v>
      </c>
      <c r="C6714" s="72" t="s">
        <v>12295</v>
      </c>
      <c r="D6714" s="174" t="s">
        <v>16575</v>
      </c>
      <c r="E6714" s="178" t="s">
        <v>266</v>
      </c>
      <c r="F6714" s="58" t="s">
        <v>16576</v>
      </c>
      <c r="G6714" s="58" t="s">
        <v>15908</v>
      </c>
      <c r="H6714" s="552">
        <v>12000</v>
      </c>
      <c r="I6714" s="66">
        <v>45255</v>
      </c>
      <c r="J6714" s="65" t="s">
        <v>16566</v>
      </c>
      <c r="K6714" s="58"/>
      <c r="M6714" s="70"/>
      <c r="N6714" s="97"/>
      <c r="O6714" s="62" t="s">
        <v>6918</v>
      </c>
      <c r="P6714" s="58" t="s">
        <v>44</v>
      </c>
      <c r="Q6714" s="58" t="s">
        <v>68</v>
      </c>
      <c r="R6714" s="58" t="s">
        <v>272</v>
      </c>
    </row>
    <row r="6715" spans="1:18" ht="69" customHeight="1">
      <c r="A6715" s="168"/>
      <c r="B6715" s="62">
        <f t="shared" si="24"/>
        <v>427</v>
      </c>
      <c r="C6715" s="59" t="s">
        <v>8797</v>
      </c>
      <c r="D6715" s="174" t="s">
        <v>2661</v>
      </c>
      <c r="E6715" s="45" t="s">
        <v>16077</v>
      </c>
      <c r="F6715" s="58" t="s">
        <v>16577</v>
      </c>
      <c r="G6715" s="45" t="s">
        <v>16578</v>
      </c>
      <c r="H6715" s="546">
        <v>19063.87</v>
      </c>
      <c r="I6715" s="66">
        <v>45255</v>
      </c>
      <c r="J6715" s="65" t="s">
        <v>16579</v>
      </c>
      <c r="K6715" s="58" t="s">
        <v>16580</v>
      </c>
      <c r="M6715" s="70"/>
      <c r="N6715" s="97"/>
      <c r="O6715" s="58" t="s">
        <v>8228</v>
      </c>
      <c r="P6715" s="58" t="s">
        <v>59</v>
      </c>
      <c r="Q6715" s="58" t="s">
        <v>110</v>
      </c>
      <c r="R6715" s="58" t="s">
        <v>272</v>
      </c>
    </row>
    <row r="6716" spans="1:18" ht="69" customHeight="1">
      <c r="A6716" s="168"/>
      <c r="B6716" s="62">
        <f t="shared" si="24"/>
        <v>428</v>
      </c>
      <c r="C6716" s="59" t="s">
        <v>8797</v>
      </c>
      <c r="D6716" s="174" t="s">
        <v>3889</v>
      </c>
      <c r="E6716" s="45" t="s">
        <v>16077</v>
      </c>
      <c r="F6716" s="58" t="s">
        <v>16581</v>
      </c>
      <c r="G6716" s="45" t="s">
        <v>16578</v>
      </c>
      <c r="H6716" s="546">
        <v>76255.460000000006</v>
      </c>
      <c r="I6716" s="66">
        <v>45255</v>
      </c>
      <c r="J6716" s="65" t="s">
        <v>16579</v>
      </c>
      <c r="K6716" s="58"/>
      <c r="M6716" s="70"/>
      <c r="N6716" s="97"/>
      <c r="O6716" s="58" t="s">
        <v>8228</v>
      </c>
      <c r="P6716" s="58" t="s">
        <v>59</v>
      </c>
      <c r="Q6716" s="58" t="s">
        <v>110</v>
      </c>
      <c r="R6716" s="58" t="s">
        <v>272</v>
      </c>
    </row>
    <row r="6717" spans="1:18" ht="69" customHeight="1">
      <c r="A6717" s="168"/>
      <c r="B6717" s="62">
        <f t="shared" si="24"/>
        <v>429</v>
      </c>
      <c r="C6717" s="59" t="s">
        <v>657</v>
      </c>
      <c r="D6717" s="174" t="s">
        <v>16582</v>
      </c>
      <c r="E6717" s="45" t="s">
        <v>16077</v>
      </c>
      <c r="F6717" s="58" t="s">
        <v>16583</v>
      </c>
      <c r="G6717" s="45" t="s">
        <v>16578</v>
      </c>
      <c r="H6717" s="546">
        <v>24.33</v>
      </c>
      <c r="I6717" s="66">
        <v>45255</v>
      </c>
      <c r="J6717" s="65" t="s">
        <v>16584</v>
      </c>
      <c r="K6717" s="58"/>
      <c r="M6717" s="70"/>
      <c r="N6717" s="97"/>
      <c r="O6717" s="58" t="s">
        <v>8228</v>
      </c>
      <c r="P6717" s="58" t="s">
        <v>59</v>
      </c>
      <c r="Q6717" s="58" t="s">
        <v>111</v>
      </c>
      <c r="R6717" s="58" t="s">
        <v>272</v>
      </c>
    </row>
    <row r="6718" spans="1:18" ht="69" customHeight="1">
      <c r="A6718" s="168"/>
      <c r="B6718" s="62">
        <f t="shared" si="24"/>
        <v>430</v>
      </c>
      <c r="C6718" s="59" t="s">
        <v>657</v>
      </c>
      <c r="D6718" s="174" t="s">
        <v>3558</v>
      </c>
      <c r="E6718" s="45" t="s">
        <v>16077</v>
      </c>
      <c r="F6718" s="58" t="s">
        <v>16585</v>
      </c>
      <c r="G6718" s="45" t="s">
        <v>16578</v>
      </c>
      <c r="H6718" s="546">
        <v>93.34</v>
      </c>
      <c r="I6718" s="66">
        <v>45255</v>
      </c>
      <c r="J6718" s="65" t="s">
        <v>16584</v>
      </c>
      <c r="K6718" s="58"/>
      <c r="M6718" s="70"/>
      <c r="N6718" s="97"/>
      <c r="O6718" s="58" t="s">
        <v>8228</v>
      </c>
      <c r="P6718" s="58" t="s">
        <v>59</v>
      </c>
      <c r="Q6718" s="58" t="s">
        <v>111</v>
      </c>
      <c r="R6718" s="58" t="s">
        <v>272</v>
      </c>
    </row>
    <row r="6719" spans="1:18" s="98" customFormat="1" ht="69" customHeight="1">
      <c r="A6719" s="169"/>
      <c r="B6719" s="48">
        <f t="shared" si="24"/>
        <v>431</v>
      </c>
      <c r="C6719" s="59" t="s">
        <v>309</v>
      </c>
      <c r="D6719" s="84" t="s">
        <v>16586</v>
      </c>
      <c r="E6719" s="45" t="s">
        <v>16587</v>
      </c>
      <c r="F6719" s="45" t="s">
        <v>16588</v>
      </c>
      <c r="G6719" s="45" t="s">
        <v>16589</v>
      </c>
      <c r="H6719" s="546">
        <v>10240</v>
      </c>
      <c r="I6719" s="47">
        <v>45255</v>
      </c>
      <c r="J6719" s="73" t="s">
        <v>16590</v>
      </c>
      <c r="K6719" s="45"/>
      <c r="M6719" s="385"/>
      <c r="N6719" s="75"/>
      <c r="O6719" s="45" t="s">
        <v>16591</v>
      </c>
      <c r="P6719" s="45" t="s">
        <v>44</v>
      </c>
      <c r="Q6719" s="45" t="s">
        <v>23</v>
      </c>
      <c r="R6719" s="45" t="s">
        <v>272</v>
      </c>
    </row>
    <row r="6720" spans="1:18" ht="69" customHeight="1">
      <c r="A6720" s="168"/>
      <c r="B6720" s="62">
        <f t="shared" si="24"/>
        <v>432</v>
      </c>
      <c r="C6720" s="59" t="s">
        <v>9094</v>
      </c>
      <c r="D6720" s="174" t="s">
        <v>16592</v>
      </c>
      <c r="E6720" s="84" t="s">
        <v>979</v>
      </c>
      <c r="F6720" s="58" t="s">
        <v>16593</v>
      </c>
      <c r="G6720" s="58" t="s">
        <v>16594</v>
      </c>
      <c r="H6720" s="546">
        <v>52329.46</v>
      </c>
      <c r="I6720" s="66">
        <v>45246</v>
      </c>
      <c r="J6720" s="65" t="s">
        <v>16595</v>
      </c>
      <c r="K6720" s="58"/>
      <c r="M6720" s="70"/>
      <c r="N6720" s="97"/>
      <c r="O6720" s="58" t="s">
        <v>156</v>
      </c>
      <c r="P6720" s="45" t="s">
        <v>73</v>
      </c>
      <c r="Q6720" s="58" t="s">
        <v>112</v>
      </c>
      <c r="R6720" s="58" t="s">
        <v>265</v>
      </c>
    </row>
    <row r="6721" spans="1:18" ht="69" customHeight="1">
      <c r="A6721" s="168"/>
      <c r="B6721" s="62">
        <v>3860</v>
      </c>
      <c r="C6721" s="59" t="s">
        <v>458</v>
      </c>
      <c r="D6721" s="174" t="s">
        <v>11914</v>
      </c>
      <c r="E6721" s="45" t="s">
        <v>16077</v>
      </c>
      <c r="F6721" s="58" t="s">
        <v>16596</v>
      </c>
      <c r="G6721" s="45" t="s">
        <v>16597</v>
      </c>
      <c r="H6721" s="546">
        <v>8866.91</v>
      </c>
      <c r="I6721" s="66">
        <v>45255</v>
      </c>
      <c r="J6721" s="65" t="s">
        <v>16598</v>
      </c>
      <c r="K6721" s="58"/>
      <c r="M6721" s="70"/>
      <c r="N6721" s="97"/>
      <c r="O6721" s="58" t="s">
        <v>8228</v>
      </c>
      <c r="P6721" s="58" t="s">
        <v>59</v>
      </c>
      <c r="Q6721" s="58" t="s">
        <v>103</v>
      </c>
      <c r="R6721" s="58" t="s">
        <v>272</v>
      </c>
    </row>
    <row r="6722" spans="1:18" ht="69" customHeight="1">
      <c r="A6722" s="168"/>
      <c r="B6722" s="62">
        <f t="shared" ref="B6722:B6785" si="25">B6721+1</f>
        <v>3861</v>
      </c>
      <c r="C6722" s="59" t="s">
        <v>458</v>
      </c>
      <c r="D6722" s="174" t="s">
        <v>16599</v>
      </c>
      <c r="E6722" s="45" t="s">
        <v>16077</v>
      </c>
      <c r="F6722" s="58" t="s">
        <v>16600</v>
      </c>
      <c r="G6722" s="45" t="s">
        <v>16597</v>
      </c>
      <c r="H6722" s="546">
        <v>35467.65</v>
      </c>
      <c r="I6722" s="66">
        <v>45255</v>
      </c>
      <c r="J6722" s="65" t="s">
        <v>16598</v>
      </c>
      <c r="K6722" s="58"/>
      <c r="M6722" s="70"/>
      <c r="N6722" s="97"/>
      <c r="O6722" s="58" t="s">
        <v>8228</v>
      </c>
      <c r="P6722" s="58" t="s">
        <v>59</v>
      </c>
      <c r="Q6722" s="58" t="s">
        <v>103</v>
      </c>
      <c r="R6722" s="58" t="s">
        <v>272</v>
      </c>
    </row>
    <row r="6723" spans="1:18" ht="69" customHeight="1">
      <c r="A6723" s="168"/>
      <c r="B6723" s="62">
        <f t="shared" si="25"/>
        <v>3862</v>
      </c>
      <c r="C6723" s="59" t="s">
        <v>458</v>
      </c>
      <c r="D6723" s="174" t="s">
        <v>16601</v>
      </c>
      <c r="E6723" s="178" t="s">
        <v>350</v>
      </c>
      <c r="F6723" s="58" t="s">
        <v>16602</v>
      </c>
      <c r="G6723" s="58" t="s">
        <v>16468</v>
      </c>
      <c r="H6723" s="546">
        <v>68189.2</v>
      </c>
      <c r="I6723" s="66">
        <v>45255</v>
      </c>
      <c r="J6723" s="65" t="s">
        <v>16603</v>
      </c>
      <c r="K6723" s="58"/>
      <c r="M6723" s="70"/>
      <c r="N6723" s="97"/>
      <c r="O6723" s="58" t="s">
        <v>141</v>
      </c>
      <c r="P6723" s="58" t="s">
        <v>19</v>
      </c>
      <c r="Q6723" s="58" t="s">
        <v>100</v>
      </c>
      <c r="R6723" s="58" t="s">
        <v>265</v>
      </c>
    </row>
    <row r="6724" spans="1:18" ht="69" customHeight="1">
      <c r="A6724" s="168"/>
      <c r="B6724" s="62">
        <f t="shared" si="25"/>
        <v>3863</v>
      </c>
      <c r="C6724" s="59" t="s">
        <v>458</v>
      </c>
      <c r="D6724" s="174" t="s">
        <v>16604</v>
      </c>
      <c r="E6724" s="45" t="s">
        <v>16077</v>
      </c>
      <c r="F6724" s="58" t="s">
        <v>16605</v>
      </c>
      <c r="G6724" s="45" t="s">
        <v>16606</v>
      </c>
      <c r="H6724" s="546">
        <v>210.43</v>
      </c>
      <c r="I6724" s="66">
        <v>45255</v>
      </c>
      <c r="J6724" s="65" t="s">
        <v>16607</v>
      </c>
      <c r="K6724" s="58"/>
      <c r="M6724" s="70"/>
      <c r="N6724" s="97"/>
      <c r="O6724" s="58" t="s">
        <v>8228</v>
      </c>
      <c r="P6724" s="58" t="s">
        <v>59</v>
      </c>
      <c r="Q6724" s="58" t="s">
        <v>112</v>
      </c>
      <c r="R6724" s="58" t="s">
        <v>272</v>
      </c>
    </row>
    <row r="6725" spans="1:18" ht="69" customHeight="1">
      <c r="A6725" s="168"/>
      <c r="B6725" s="62">
        <f t="shared" si="25"/>
        <v>3864</v>
      </c>
      <c r="C6725" s="59" t="s">
        <v>458</v>
      </c>
      <c r="D6725" s="174" t="s">
        <v>16608</v>
      </c>
      <c r="E6725" s="45" t="s">
        <v>16077</v>
      </c>
      <c r="F6725" s="58" t="s">
        <v>16609</v>
      </c>
      <c r="G6725" s="45" t="s">
        <v>16606</v>
      </c>
      <c r="H6725" s="546">
        <v>841.76</v>
      </c>
      <c r="I6725" s="66">
        <v>45255</v>
      </c>
      <c r="J6725" s="65" t="s">
        <v>16607</v>
      </c>
      <c r="K6725" s="58"/>
      <c r="M6725" s="70"/>
      <c r="N6725" s="97"/>
      <c r="O6725" s="58" t="s">
        <v>8228</v>
      </c>
      <c r="P6725" s="58" t="s">
        <v>59</v>
      </c>
      <c r="Q6725" s="58" t="s">
        <v>112</v>
      </c>
      <c r="R6725" s="58" t="s">
        <v>272</v>
      </c>
    </row>
    <row r="6726" spans="1:18" ht="69" customHeight="1">
      <c r="A6726" s="168"/>
      <c r="B6726" s="62">
        <f t="shared" si="25"/>
        <v>3865</v>
      </c>
      <c r="C6726" s="59" t="s">
        <v>13435</v>
      </c>
      <c r="D6726" s="174" t="s">
        <v>11581</v>
      </c>
      <c r="E6726" s="58" t="s">
        <v>4173</v>
      </c>
      <c r="F6726" s="58" t="s">
        <v>16610</v>
      </c>
      <c r="G6726" s="58" t="s">
        <v>16611</v>
      </c>
      <c r="H6726" s="546">
        <v>35185.61</v>
      </c>
      <c r="I6726" s="66">
        <v>45255</v>
      </c>
      <c r="J6726" s="65" t="s">
        <v>16612</v>
      </c>
      <c r="K6726" s="58"/>
      <c r="M6726" s="70"/>
      <c r="N6726" s="97"/>
      <c r="O6726" s="58" t="s">
        <v>441</v>
      </c>
      <c r="P6726" s="58" t="s">
        <v>22</v>
      </c>
      <c r="Q6726" s="58" t="s">
        <v>13</v>
      </c>
      <c r="R6726" s="58" t="s">
        <v>265</v>
      </c>
    </row>
    <row r="6727" spans="1:18" ht="69" customHeight="1">
      <c r="A6727" s="168"/>
      <c r="B6727" s="62">
        <f t="shared" si="25"/>
        <v>3866</v>
      </c>
      <c r="C6727" s="59" t="s">
        <v>13435</v>
      </c>
      <c r="D6727" s="174" t="s">
        <v>11593</v>
      </c>
      <c r="E6727" s="58" t="s">
        <v>4173</v>
      </c>
      <c r="F6727" s="58" t="s">
        <v>16613</v>
      </c>
      <c r="G6727" s="58" t="s">
        <v>16273</v>
      </c>
      <c r="H6727" s="546">
        <v>25000</v>
      </c>
      <c r="I6727" s="66">
        <v>45255</v>
      </c>
      <c r="J6727" s="65" t="s">
        <v>16614</v>
      </c>
      <c r="K6727" s="58"/>
      <c r="M6727" s="70"/>
      <c r="N6727" s="97"/>
      <c r="O6727" s="58" t="s">
        <v>441</v>
      </c>
      <c r="P6727" s="58" t="s">
        <v>22</v>
      </c>
      <c r="Q6727" s="58" t="s">
        <v>13</v>
      </c>
      <c r="R6727" s="58" t="s">
        <v>265</v>
      </c>
    </row>
    <row r="6728" spans="1:18" ht="69" customHeight="1">
      <c r="A6728" s="168"/>
      <c r="B6728" s="62">
        <f t="shared" si="25"/>
        <v>3867</v>
      </c>
      <c r="C6728" s="45" t="s">
        <v>11568</v>
      </c>
      <c r="D6728" s="174" t="s">
        <v>16615</v>
      </c>
      <c r="E6728" s="58" t="s">
        <v>16616</v>
      </c>
      <c r="F6728" s="58" t="s">
        <v>16617</v>
      </c>
      <c r="G6728" s="58" t="s">
        <v>16618</v>
      </c>
      <c r="H6728" s="546">
        <v>242136.55</v>
      </c>
      <c r="I6728" s="66">
        <v>45255</v>
      </c>
      <c r="J6728" s="65" t="s">
        <v>16619</v>
      </c>
      <c r="K6728" s="58"/>
      <c r="M6728" s="70"/>
      <c r="N6728" s="97"/>
      <c r="O6728" s="58" t="s">
        <v>203</v>
      </c>
      <c r="P6728" s="58" t="s">
        <v>57</v>
      </c>
      <c r="Q6728" s="58" t="s">
        <v>107</v>
      </c>
      <c r="R6728" s="58" t="s">
        <v>272</v>
      </c>
    </row>
    <row r="6729" spans="1:18" ht="69" customHeight="1">
      <c r="A6729" s="168"/>
      <c r="B6729" s="62">
        <f t="shared" si="25"/>
        <v>3868</v>
      </c>
      <c r="C6729" s="59" t="s">
        <v>13435</v>
      </c>
      <c r="D6729" s="174" t="s">
        <v>11597</v>
      </c>
      <c r="E6729" s="58" t="s">
        <v>4173</v>
      </c>
      <c r="F6729" s="58" t="s">
        <v>16620</v>
      </c>
      <c r="G6729" s="58" t="s">
        <v>16621</v>
      </c>
      <c r="H6729" s="546">
        <v>30000</v>
      </c>
      <c r="I6729" s="66">
        <v>45255</v>
      </c>
      <c r="J6729" s="65" t="s">
        <v>16622</v>
      </c>
      <c r="K6729" s="58"/>
      <c r="M6729" s="70"/>
      <c r="N6729" s="97"/>
      <c r="O6729" s="58" t="s">
        <v>441</v>
      </c>
      <c r="P6729" s="58" t="s">
        <v>22</v>
      </c>
      <c r="Q6729" s="58" t="s">
        <v>13</v>
      </c>
      <c r="R6729" s="58" t="s">
        <v>265</v>
      </c>
    </row>
    <row r="6730" spans="1:18" ht="69" customHeight="1">
      <c r="A6730" s="168"/>
      <c r="B6730" s="259">
        <f t="shared" si="25"/>
        <v>3869</v>
      </c>
      <c r="C6730" s="207" t="s">
        <v>657</v>
      </c>
      <c r="D6730" s="303" t="s">
        <v>3632</v>
      </c>
      <c r="E6730" s="207" t="s">
        <v>11501</v>
      </c>
      <c r="F6730" s="160" t="s">
        <v>16623</v>
      </c>
      <c r="G6730" s="160" t="s">
        <v>16624</v>
      </c>
      <c r="H6730" s="300">
        <v>81719.399999999994</v>
      </c>
      <c r="I6730" s="209">
        <v>45255</v>
      </c>
      <c r="J6730" s="415" t="s">
        <v>16625</v>
      </c>
      <c r="K6730" s="160" t="s">
        <v>16626</v>
      </c>
      <c r="M6730" s="70"/>
      <c r="N6730" s="97"/>
      <c r="O6730" s="160" t="s">
        <v>141</v>
      </c>
      <c r="P6730" s="160" t="s">
        <v>67</v>
      </c>
      <c r="Q6730" s="160" t="s">
        <v>97</v>
      </c>
      <c r="R6730" s="160" t="s">
        <v>272</v>
      </c>
    </row>
    <row r="6731" spans="1:18" ht="69" customHeight="1">
      <c r="A6731" s="168"/>
      <c r="B6731" s="259">
        <f t="shared" si="25"/>
        <v>3870</v>
      </c>
      <c r="C6731" s="207" t="s">
        <v>3667</v>
      </c>
      <c r="D6731" s="303" t="s">
        <v>16627</v>
      </c>
      <c r="E6731" s="207" t="s">
        <v>266</v>
      </c>
      <c r="F6731" s="160" t="s">
        <v>16628</v>
      </c>
      <c r="G6731" s="160" t="s">
        <v>16629</v>
      </c>
      <c r="H6731" s="300">
        <v>11403.76</v>
      </c>
      <c r="I6731" s="209">
        <v>45255</v>
      </c>
      <c r="J6731" s="316" t="s">
        <v>16630</v>
      </c>
      <c r="K6731" s="160" t="s">
        <v>16626</v>
      </c>
      <c r="M6731" s="70"/>
      <c r="N6731" s="97"/>
      <c r="O6731" s="160" t="s">
        <v>150</v>
      </c>
      <c r="P6731" s="160" t="s">
        <v>67</v>
      </c>
      <c r="Q6731" s="160" t="s">
        <v>64</v>
      </c>
      <c r="R6731" s="160" t="s">
        <v>272</v>
      </c>
    </row>
    <row r="6732" spans="1:18" ht="69" customHeight="1">
      <c r="A6732" s="168"/>
      <c r="B6732" s="259">
        <f t="shared" si="25"/>
        <v>3871</v>
      </c>
      <c r="C6732" s="207" t="s">
        <v>3667</v>
      </c>
      <c r="D6732" s="303" t="s">
        <v>16631</v>
      </c>
      <c r="E6732" s="207" t="s">
        <v>266</v>
      </c>
      <c r="F6732" s="160" t="s">
        <v>16632</v>
      </c>
      <c r="G6732" s="160" t="s">
        <v>16629</v>
      </c>
      <c r="H6732" s="300">
        <v>34199.32</v>
      </c>
      <c r="I6732" s="209">
        <v>45255</v>
      </c>
      <c r="J6732" s="316" t="s">
        <v>16630</v>
      </c>
      <c r="K6732" s="160" t="s">
        <v>16626</v>
      </c>
      <c r="M6732" s="70"/>
      <c r="N6732" s="97"/>
      <c r="O6732" s="160" t="s">
        <v>150</v>
      </c>
      <c r="P6732" s="160" t="s">
        <v>67</v>
      </c>
      <c r="Q6732" s="160" t="s">
        <v>64</v>
      </c>
      <c r="R6732" s="160" t="s">
        <v>272</v>
      </c>
    </row>
    <row r="6733" spans="1:18" ht="69" customHeight="1">
      <c r="A6733" s="168"/>
      <c r="B6733" s="261">
        <f t="shared" si="25"/>
        <v>3872</v>
      </c>
      <c r="C6733" s="207" t="s">
        <v>3667</v>
      </c>
      <c r="D6733" s="255"/>
      <c r="E6733" s="305" t="s">
        <v>16011</v>
      </c>
      <c r="F6733" s="118" t="s">
        <v>16633</v>
      </c>
      <c r="G6733" s="118" t="s">
        <v>16634</v>
      </c>
      <c r="H6733" s="300" t="s">
        <v>96</v>
      </c>
      <c r="I6733" s="262" t="s">
        <v>96</v>
      </c>
      <c r="J6733" s="258" t="s">
        <v>16630</v>
      </c>
      <c r="K6733" s="118" t="s">
        <v>16635</v>
      </c>
      <c r="M6733" s="70"/>
      <c r="N6733" s="97"/>
      <c r="O6733" s="160" t="s">
        <v>150</v>
      </c>
      <c r="P6733" s="160" t="s">
        <v>67</v>
      </c>
      <c r="Q6733" s="160" t="s">
        <v>64</v>
      </c>
      <c r="R6733" s="160" t="s">
        <v>272</v>
      </c>
    </row>
    <row r="6734" spans="1:18" ht="69" customHeight="1">
      <c r="A6734" s="168"/>
      <c r="B6734" s="62">
        <f t="shared" si="25"/>
        <v>3873</v>
      </c>
      <c r="C6734" s="59" t="s">
        <v>13562</v>
      </c>
      <c r="D6734" s="174" t="s">
        <v>12004</v>
      </c>
      <c r="E6734" s="58" t="s">
        <v>16636</v>
      </c>
      <c r="F6734" s="58" t="s">
        <v>16637</v>
      </c>
      <c r="G6734" s="58" t="s">
        <v>16618</v>
      </c>
      <c r="H6734" s="546">
        <v>370581.41</v>
      </c>
      <c r="I6734" s="47">
        <v>45255</v>
      </c>
      <c r="J6734" s="416" t="s">
        <v>16638</v>
      </c>
      <c r="K6734" s="58"/>
      <c r="M6734" s="70"/>
      <c r="N6734" s="97"/>
      <c r="O6734" s="62" t="s">
        <v>16639</v>
      </c>
      <c r="P6734" s="45" t="s">
        <v>57</v>
      </c>
      <c r="Q6734" s="58" t="s">
        <v>88</v>
      </c>
      <c r="R6734" s="58" t="s">
        <v>272</v>
      </c>
    </row>
    <row r="6735" spans="1:18" ht="69" customHeight="1">
      <c r="A6735" s="168"/>
      <c r="B6735" s="62">
        <f t="shared" si="25"/>
        <v>3874</v>
      </c>
      <c r="C6735" s="59" t="s">
        <v>3667</v>
      </c>
      <c r="D6735" s="174" t="s">
        <v>16640</v>
      </c>
      <c r="E6735" s="58" t="s">
        <v>16011</v>
      </c>
      <c r="F6735" s="58" t="s">
        <v>16641</v>
      </c>
      <c r="G6735" s="58" t="s">
        <v>16634</v>
      </c>
      <c r="H6735" s="546">
        <v>2477.9499999999998</v>
      </c>
      <c r="I6735" s="47">
        <v>45255</v>
      </c>
      <c r="J6735" s="65" t="s">
        <v>16642</v>
      </c>
      <c r="K6735" s="58" t="s">
        <v>16643</v>
      </c>
      <c r="M6735" s="70"/>
      <c r="N6735" s="97"/>
      <c r="O6735" s="58" t="s">
        <v>150</v>
      </c>
      <c r="P6735" s="58" t="s">
        <v>51</v>
      </c>
      <c r="Q6735" s="58" t="s">
        <v>56</v>
      </c>
      <c r="R6735" s="58" t="s">
        <v>272</v>
      </c>
    </row>
    <row r="6736" spans="1:18" ht="69" customHeight="1">
      <c r="A6736" s="168"/>
      <c r="B6736" s="62">
        <f t="shared" si="25"/>
        <v>3875</v>
      </c>
      <c r="C6736" s="59" t="s">
        <v>3667</v>
      </c>
      <c r="D6736" s="174" t="s">
        <v>16644</v>
      </c>
      <c r="E6736" s="58" t="s">
        <v>16011</v>
      </c>
      <c r="F6736" s="58" t="s">
        <v>16645</v>
      </c>
      <c r="G6736" s="58" t="s">
        <v>16634</v>
      </c>
      <c r="H6736" s="546">
        <v>2477.9499999999998</v>
      </c>
      <c r="I6736" s="47">
        <v>45255</v>
      </c>
      <c r="J6736" s="65" t="s">
        <v>16642</v>
      </c>
      <c r="K6736" s="58"/>
      <c r="M6736" s="70"/>
      <c r="N6736" s="97"/>
      <c r="O6736" s="58" t="s">
        <v>150</v>
      </c>
      <c r="P6736" s="58" t="s">
        <v>51</v>
      </c>
      <c r="Q6736" s="58" t="s">
        <v>58</v>
      </c>
      <c r="R6736" s="58" t="s">
        <v>272</v>
      </c>
    </row>
    <row r="6737" spans="1:18" ht="69" customHeight="1">
      <c r="A6737" s="168"/>
      <c r="B6737" s="62">
        <f t="shared" si="25"/>
        <v>3876</v>
      </c>
      <c r="C6737" s="59" t="s">
        <v>3667</v>
      </c>
      <c r="D6737" s="174" t="s">
        <v>16646</v>
      </c>
      <c r="E6737" s="58" t="s">
        <v>16011</v>
      </c>
      <c r="F6737" s="58" t="s">
        <v>16647</v>
      </c>
      <c r="G6737" s="58" t="s">
        <v>16634</v>
      </c>
      <c r="H6737" s="546">
        <v>2478</v>
      </c>
      <c r="I6737" s="47">
        <v>45255</v>
      </c>
      <c r="J6737" s="65" t="s">
        <v>16642</v>
      </c>
      <c r="K6737" s="58"/>
      <c r="M6737" s="70"/>
      <c r="N6737" s="97"/>
      <c r="O6737" s="58" t="s">
        <v>150</v>
      </c>
      <c r="P6737" s="58" t="s">
        <v>51</v>
      </c>
      <c r="Q6737" s="58" t="s">
        <v>60</v>
      </c>
      <c r="R6737" s="58" t="s">
        <v>272</v>
      </c>
    </row>
    <row r="6738" spans="1:18" ht="69" customHeight="1">
      <c r="A6738" s="168"/>
      <c r="B6738" s="62">
        <f t="shared" si="25"/>
        <v>3877</v>
      </c>
      <c r="C6738" s="59" t="s">
        <v>3667</v>
      </c>
      <c r="D6738" s="174" t="s">
        <v>16648</v>
      </c>
      <c r="E6738" s="58" t="s">
        <v>16011</v>
      </c>
      <c r="F6738" s="58" t="s">
        <v>16649</v>
      </c>
      <c r="G6738" s="58" t="s">
        <v>16634</v>
      </c>
      <c r="H6738" s="546">
        <v>2478</v>
      </c>
      <c r="I6738" s="47">
        <v>45255</v>
      </c>
      <c r="J6738" s="65" t="s">
        <v>16642</v>
      </c>
      <c r="K6738" s="58"/>
      <c r="M6738" s="70"/>
      <c r="N6738" s="97"/>
      <c r="O6738" s="58" t="s">
        <v>150</v>
      </c>
      <c r="P6738" s="58" t="s">
        <v>51</v>
      </c>
      <c r="Q6738" s="58" t="s">
        <v>62</v>
      </c>
      <c r="R6738" s="58" t="s">
        <v>272</v>
      </c>
    </row>
    <row r="6739" spans="1:18" ht="69" customHeight="1">
      <c r="A6739" s="168"/>
      <c r="B6739" s="52">
        <f t="shared" si="25"/>
        <v>3878</v>
      </c>
      <c r="C6739" s="191" t="s">
        <v>3667</v>
      </c>
      <c r="D6739" s="251" t="s">
        <v>16650</v>
      </c>
      <c r="E6739" s="191" t="s">
        <v>266</v>
      </c>
      <c r="F6739" s="46" t="s">
        <v>16651</v>
      </c>
      <c r="G6739" s="46" t="s">
        <v>16652</v>
      </c>
      <c r="H6739" s="534">
        <v>550</v>
      </c>
      <c r="I6739" s="56">
        <v>45255</v>
      </c>
      <c r="J6739" s="199" t="s">
        <v>16653</v>
      </c>
      <c r="K6739" s="46" t="s">
        <v>65</v>
      </c>
      <c r="M6739" s="70"/>
      <c r="N6739" s="97"/>
      <c r="O6739" s="46"/>
      <c r="P6739" s="46" t="s">
        <v>65</v>
      </c>
      <c r="Q6739" s="46" t="s">
        <v>78</v>
      </c>
      <c r="R6739" s="46" t="s">
        <v>272</v>
      </c>
    </row>
    <row r="6740" spans="1:18" ht="69" customHeight="1">
      <c r="A6740" s="168"/>
      <c r="B6740" s="261">
        <f t="shared" si="25"/>
        <v>3879</v>
      </c>
      <c r="C6740" s="256" t="s">
        <v>458</v>
      </c>
      <c r="D6740" s="255" t="s">
        <v>12006</v>
      </c>
      <c r="E6740" s="118" t="s">
        <v>16011</v>
      </c>
      <c r="F6740" s="118" t="s">
        <v>16654</v>
      </c>
      <c r="G6740" s="118" t="s">
        <v>16655</v>
      </c>
      <c r="H6740" s="300">
        <v>29180</v>
      </c>
      <c r="I6740" s="262">
        <v>45255</v>
      </c>
      <c r="J6740" s="258" t="s">
        <v>16656</v>
      </c>
      <c r="K6740" s="118"/>
      <c r="L6740" s="406"/>
      <c r="M6740" s="387"/>
      <c r="N6740" s="107"/>
      <c r="O6740" s="118" t="s">
        <v>150</v>
      </c>
      <c r="P6740" s="160" t="s">
        <v>67</v>
      </c>
      <c r="Q6740" s="118" t="s">
        <v>114</v>
      </c>
      <c r="R6740" s="118" t="s">
        <v>272</v>
      </c>
    </row>
    <row r="6741" spans="1:18" ht="69" customHeight="1">
      <c r="A6741" s="168"/>
      <c r="B6741" s="62">
        <f t="shared" si="25"/>
        <v>3880</v>
      </c>
      <c r="C6741" s="59" t="s">
        <v>13435</v>
      </c>
      <c r="D6741" s="174" t="s">
        <v>11664</v>
      </c>
      <c r="E6741" s="58" t="s">
        <v>4173</v>
      </c>
      <c r="F6741" s="58" t="s">
        <v>16657</v>
      </c>
      <c r="G6741" s="58" t="s">
        <v>16658</v>
      </c>
      <c r="H6741" s="546">
        <v>44118.36</v>
      </c>
      <c r="I6741" s="47">
        <v>45255</v>
      </c>
      <c r="J6741" s="65" t="s">
        <v>16659</v>
      </c>
      <c r="K6741" s="58"/>
      <c r="M6741" s="70"/>
      <c r="N6741" s="97"/>
      <c r="O6741" s="58" t="s">
        <v>441</v>
      </c>
      <c r="P6741" s="58" t="s">
        <v>22</v>
      </c>
      <c r="Q6741" s="58" t="s">
        <v>13</v>
      </c>
      <c r="R6741" s="58" t="s">
        <v>265</v>
      </c>
    </row>
    <row r="6742" spans="1:18" ht="69" customHeight="1">
      <c r="A6742" s="168"/>
      <c r="B6742" s="62">
        <f t="shared" si="25"/>
        <v>3881</v>
      </c>
      <c r="C6742" s="44" t="s">
        <v>10634</v>
      </c>
      <c r="D6742" s="174" t="s">
        <v>16660</v>
      </c>
      <c r="E6742" s="45" t="s">
        <v>16144</v>
      </c>
      <c r="F6742" s="58" t="s">
        <v>16661</v>
      </c>
      <c r="G6742" s="58" t="s">
        <v>16662</v>
      </c>
      <c r="H6742" s="546">
        <v>50000</v>
      </c>
      <c r="I6742" s="47">
        <v>45255</v>
      </c>
      <c r="J6742" s="65" t="s">
        <v>16663</v>
      </c>
      <c r="K6742" s="58"/>
      <c r="M6742" s="70"/>
      <c r="N6742" s="97"/>
      <c r="O6742" s="58" t="s">
        <v>175</v>
      </c>
      <c r="P6742" s="58" t="s">
        <v>59</v>
      </c>
      <c r="Q6742" s="58" t="s">
        <v>93</v>
      </c>
      <c r="R6742" s="58" t="s">
        <v>265</v>
      </c>
    </row>
    <row r="6743" spans="1:18" ht="69" customHeight="1">
      <c r="A6743" s="168"/>
      <c r="B6743" s="62">
        <f t="shared" si="25"/>
        <v>3882</v>
      </c>
      <c r="C6743" s="44" t="s">
        <v>10634</v>
      </c>
      <c r="D6743" s="174" t="s">
        <v>16664</v>
      </c>
      <c r="E6743" s="85" t="s">
        <v>16139</v>
      </c>
      <c r="F6743" s="58" t="s">
        <v>16665</v>
      </c>
      <c r="G6743" s="58" t="s">
        <v>16666</v>
      </c>
      <c r="H6743" s="546">
        <v>11858.3</v>
      </c>
      <c r="I6743" s="47">
        <v>45255</v>
      </c>
      <c r="J6743" s="65" t="s">
        <v>16663</v>
      </c>
      <c r="K6743" s="58"/>
      <c r="M6743" s="70"/>
      <c r="N6743" s="97"/>
      <c r="O6743" s="58" t="s">
        <v>175</v>
      </c>
      <c r="P6743" s="58" t="s">
        <v>59</v>
      </c>
      <c r="Q6743" s="58" t="s">
        <v>93</v>
      </c>
      <c r="R6743" s="58" t="s">
        <v>272</v>
      </c>
    </row>
    <row r="6744" spans="1:18" ht="69" customHeight="1">
      <c r="A6744" s="168"/>
      <c r="B6744" s="62">
        <f t="shared" si="25"/>
        <v>3883</v>
      </c>
      <c r="C6744" s="44" t="s">
        <v>10634</v>
      </c>
      <c r="D6744" s="174" t="s">
        <v>16667</v>
      </c>
      <c r="E6744" s="45" t="s">
        <v>16144</v>
      </c>
      <c r="F6744" s="58" t="s">
        <v>16668</v>
      </c>
      <c r="G6744" s="58" t="s">
        <v>16669</v>
      </c>
      <c r="H6744" s="546">
        <v>212500</v>
      </c>
      <c r="I6744" s="47">
        <v>45255</v>
      </c>
      <c r="J6744" s="65" t="s">
        <v>16663</v>
      </c>
      <c r="K6744" s="58"/>
      <c r="M6744" s="70"/>
      <c r="N6744" s="97"/>
      <c r="O6744" s="58" t="s">
        <v>175</v>
      </c>
      <c r="P6744" s="58" t="s">
        <v>59</v>
      </c>
      <c r="Q6744" s="58" t="s">
        <v>93</v>
      </c>
      <c r="R6744" s="58" t="s">
        <v>265</v>
      </c>
    </row>
    <row r="6745" spans="1:18" ht="69" customHeight="1">
      <c r="A6745" s="168"/>
      <c r="B6745" s="62">
        <f t="shared" si="25"/>
        <v>3884</v>
      </c>
      <c r="C6745" s="44" t="s">
        <v>10639</v>
      </c>
      <c r="D6745" s="174" t="s">
        <v>16670</v>
      </c>
      <c r="E6745" s="45" t="s">
        <v>16144</v>
      </c>
      <c r="F6745" s="58" t="s">
        <v>16671</v>
      </c>
      <c r="G6745" s="58" t="s">
        <v>16669</v>
      </c>
      <c r="H6745" s="546">
        <v>50000</v>
      </c>
      <c r="I6745" s="47">
        <v>45255</v>
      </c>
      <c r="J6745" s="65" t="s">
        <v>16663</v>
      </c>
      <c r="K6745" s="58"/>
      <c r="M6745" s="70"/>
      <c r="N6745" s="97"/>
      <c r="O6745" s="58" t="s">
        <v>175</v>
      </c>
      <c r="P6745" s="58" t="s">
        <v>59</v>
      </c>
      <c r="Q6745" s="58" t="s">
        <v>95</v>
      </c>
      <c r="R6745" s="58" t="s">
        <v>265</v>
      </c>
    </row>
    <row r="6746" spans="1:18" ht="69" customHeight="1">
      <c r="A6746" s="168"/>
      <c r="B6746" s="62">
        <f t="shared" si="25"/>
        <v>3885</v>
      </c>
      <c r="C6746" s="44" t="s">
        <v>10639</v>
      </c>
      <c r="D6746" s="174" t="s">
        <v>16672</v>
      </c>
      <c r="E6746" s="85" t="s">
        <v>16139</v>
      </c>
      <c r="F6746" s="58" t="s">
        <v>16673</v>
      </c>
      <c r="G6746" s="58" t="s">
        <v>16666</v>
      </c>
      <c r="H6746" s="546">
        <v>9564.67</v>
      </c>
      <c r="I6746" s="47">
        <v>45255</v>
      </c>
      <c r="J6746" s="65" t="s">
        <v>16663</v>
      </c>
      <c r="K6746" s="58"/>
      <c r="M6746" s="70"/>
      <c r="N6746" s="97"/>
      <c r="O6746" s="58" t="s">
        <v>175</v>
      </c>
      <c r="P6746" s="58" t="s">
        <v>59</v>
      </c>
      <c r="Q6746" s="58" t="s">
        <v>95</v>
      </c>
      <c r="R6746" s="58" t="s">
        <v>272</v>
      </c>
    </row>
    <row r="6747" spans="1:18" ht="69" customHeight="1">
      <c r="A6747" s="168"/>
      <c r="B6747" s="62">
        <f t="shared" si="25"/>
        <v>3886</v>
      </c>
      <c r="C6747" s="44" t="s">
        <v>10639</v>
      </c>
      <c r="D6747" s="174" t="s">
        <v>16674</v>
      </c>
      <c r="E6747" s="45" t="s">
        <v>16144</v>
      </c>
      <c r="F6747" s="58" t="s">
        <v>16675</v>
      </c>
      <c r="G6747" s="58" t="s">
        <v>16662</v>
      </c>
      <c r="H6747" s="546">
        <v>212500</v>
      </c>
      <c r="I6747" s="47">
        <v>45255</v>
      </c>
      <c r="J6747" s="65" t="s">
        <v>16663</v>
      </c>
      <c r="K6747" s="58"/>
      <c r="M6747" s="70"/>
      <c r="N6747" s="97"/>
      <c r="O6747" s="58" t="s">
        <v>175</v>
      </c>
      <c r="P6747" s="58" t="s">
        <v>59</v>
      </c>
      <c r="Q6747" s="58" t="s">
        <v>95</v>
      </c>
      <c r="R6747" s="58" t="s">
        <v>265</v>
      </c>
    </row>
    <row r="6748" spans="1:18" ht="69" customHeight="1">
      <c r="A6748" s="168"/>
      <c r="B6748" s="62">
        <f t="shared" si="25"/>
        <v>3887</v>
      </c>
      <c r="C6748" s="59" t="s">
        <v>458</v>
      </c>
      <c r="D6748" s="174" t="s">
        <v>12008</v>
      </c>
      <c r="E6748" s="178" t="s">
        <v>350</v>
      </c>
      <c r="F6748" s="58" t="s">
        <v>16676</v>
      </c>
      <c r="G6748" s="58" t="s">
        <v>16677</v>
      </c>
      <c r="H6748" s="546">
        <v>70292.58</v>
      </c>
      <c r="I6748" s="47">
        <v>45255</v>
      </c>
      <c r="J6748" s="65" t="s">
        <v>16678</v>
      </c>
      <c r="K6748" s="58"/>
      <c r="M6748" s="70"/>
      <c r="N6748" s="97"/>
      <c r="O6748" s="58" t="s">
        <v>141</v>
      </c>
      <c r="P6748" s="58" t="s">
        <v>19</v>
      </c>
      <c r="Q6748" s="58" t="s">
        <v>123</v>
      </c>
      <c r="R6748" s="58" t="s">
        <v>265</v>
      </c>
    </row>
    <row r="6749" spans="1:18" ht="69" customHeight="1">
      <c r="A6749" s="168"/>
      <c r="B6749" s="52">
        <f t="shared" si="25"/>
        <v>3888</v>
      </c>
      <c r="C6749" s="51" t="s">
        <v>10639</v>
      </c>
      <c r="D6749" s="251" t="s">
        <v>16679</v>
      </c>
      <c r="E6749" s="251" t="s">
        <v>979</v>
      </c>
      <c r="F6749" s="46" t="s">
        <v>16680</v>
      </c>
      <c r="G6749" s="46" t="s">
        <v>16681</v>
      </c>
      <c r="H6749" s="534">
        <v>7593.34</v>
      </c>
      <c r="I6749" s="56">
        <v>45255</v>
      </c>
      <c r="J6749" s="199" t="s">
        <v>16682</v>
      </c>
      <c r="K6749" s="46"/>
      <c r="M6749" s="385"/>
      <c r="N6749" s="75"/>
      <c r="O6749" s="46" t="s">
        <v>156</v>
      </c>
      <c r="P6749" s="46" t="s">
        <v>65</v>
      </c>
      <c r="Q6749" s="46" t="s">
        <v>95</v>
      </c>
      <c r="R6749" s="46" t="s">
        <v>265</v>
      </c>
    </row>
    <row r="6750" spans="1:18" ht="69" customHeight="1">
      <c r="A6750" s="168"/>
      <c r="B6750" s="52">
        <f t="shared" si="25"/>
        <v>3889</v>
      </c>
      <c r="C6750" s="51" t="s">
        <v>10634</v>
      </c>
      <c r="D6750" s="251" t="s">
        <v>16683</v>
      </c>
      <c r="E6750" s="251" t="s">
        <v>979</v>
      </c>
      <c r="F6750" s="46" t="s">
        <v>16684</v>
      </c>
      <c r="G6750" s="46" t="s">
        <v>16681</v>
      </c>
      <c r="H6750" s="534">
        <v>7593.34</v>
      </c>
      <c r="I6750" s="56">
        <v>45255</v>
      </c>
      <c r="J6750" s="199" t="s">
        <v>16682</v>
      </c>
      <c r="K6750" s="46"/>
      <c r="M6750" s="385"/>
      <c r="N6750" s="75"/>
      <c r="O6750" s="46" t="s">
        <v>156</v>
      </c>
      <c r="P6750" s="46" t="s">
        <v>65</v>
      </c>
      <c r="Q6750" s="46" t="s">
        <v>93</v>
      </c>
      <c r="R6750" s="46" t="s">
        <v>265</v>
      </c>
    </row>
    <row r="6751" spans="1:18" ht="69" customHeight="1">
      <c r="A6751" s="168"/>
      <c r="B6751" s="52">
        <f t="shared" si="25"/>
        <v>3890</v>
      </c>
      <c r="C6751" s="51" t="s">
        <v>10634</v>
      </c>
      <c r="D6751" s="251" t="s">
        <v>16685</v>
      </c>
      <c r="E6751" s="251" t="s">
        <v>979</v>
      </c>
      <c r="F6751" s="46" t="s">
        <v>16686</v>
      </c>
      <c r="G6751" s="46" t="s">
        <v>16681</v>
      </c>
      <c r="H6751" s="534">
        <v>11390</v>
      </c>
      <c r="I6751" s="56">
        <v>45255</v>
      </c>
      <c r="J6751" s="199" t="s">
        <v>16682</v>
      </c>
      <c r="K6751" s="46"/>
      <c r="M6751" s="385"/>
      <c r="N6751" s="75"/>
      <c r="O6751" s="46" t="s">
        <v>156</v>
      </c>
      <c r="P6751" s="46" t="s">
        <v>65</v>
      </c>
      <c r="Q6751" s="46" t="s">
        <v>93</v>
      </c>
      <c r="R6751" s="46" t="s">
        <v>265</v>
      </c>
    </row>
    <row r="6752" spans="1:18" ht="69" customHeight="1">
      <c r="A6752" s="168"/>
      <c r="B6752" s="52">
        <f t="shared" si="25"/>
        <v>3891</v>
      </c>
      <c r="C6752" s="51" t="s">
        <v>10639</v>
      </c>
      <c r="D6752" s="251" t="s">
        <v>16687</v>
      </c>
      <c r="E6752" s="251" t="s">
        <v>979</v>
      </c>
      <c r="F6752" s="46" t="s">
        <v>16688</v>
      </c>
      <c r="G6752" s="46" t="s">
        <v>16681</v>
      </c>
      <c r="H6752" s="534">
        <v>11390</v>
      </c>
      <c r="I6752" s="56">
        <v>45255</v>
      </c>
      <c r="J6752" s="199" t="s">
        <v>16682</v>
      </c>
      <c r="K6752" s="46"/>
      <c r="M6752" s="385"/>
      <c r="N6752" s="75"/>
      <c r="O6752" s="46" t="s">
        <v>156</v>
      </c>
      <c r="P6752" s="46" t="s">
        <v>65</v>
      </c>
      <c r="Q6752" s="46" t="s">
        <v>95</v>
      </c>
      <c r="R6752" s="46" t="s">
        <v>265</v>
      </c>
    </row>
    <row r="6753" spans="1:18" ht="69" customHeight="1">
      <c r="A6753" s="168"/>
      <c r="B6753" s="52">
        <f t="shared" si="25"/>
        <v>3892</v>
      </c>
      <c r="C6753" s="51" t="s">
        <v>10634</v>
      </c>
      <c r="D6753" s="251" t="s">
        <v>16689</v>
      </c>
      <c r="E6753" s="251" t="s">
        <v>979</v>
      </c>
      <c r="F6753" s="46" t="s">
        <v>16690</v>
      </c>
      <c r="G6753" s="46" t="s">
        <v>16681</v>
      </c>
      <c r="H6753" s="534">
        <v>11390</v>
      </c>
      <c r="I6753" s="56">
        <v>45255</v>
      </c>
      <c r="J6753" s="199" t="s">
        <v>16682</v>
      </c>
      <c r="K6753" s="46"/>
      <c r="M6753" s="385"/>
      <c r="N6753" s="75"/>
      <c r="O6753" s="46" t="s">
        <v>156</v>
      </c>
      <c r="P6753" s="46" t="s">
        <v>65</v>
      </c>
      <c r="Q6753" s="46" t="s">
        <v>93</v>
      </c>
      <c r="R6753" s="46" t="s">
        <v>265</v>
      </c>
    </row>
    <row r="6754" spans="1:18" ht="69" customHeight="1">
      <c r="A6754" s="168"/>
      <c r="B6754" s="52">
        <f t="shared" si="25"/>
        <v>3893</v>
      </c>
      <c r="C6754" s="51" t="s">
        <v>10639</v>
      </c>
      <c r="D6754" s="251" t="s">
        <v>16691</v>
      </c>
      <c r="E6754" s="251" t="s">
        <v>979</v>
      </c>
      <c r="F6754" s="46" t="s">
        <v>16692</v>
      </c>
      <c r="G6754" s="46" t="s">
        <v>16681</v>
      </c>
      <c r="H6754" s="534">
        <v>11390</v>
      </c>
      <c r="I6754" s="56">
        <v>45255</v>
      </c>
      <c r="J6754" s="199" t="s">
        <v>16682</v>
      </c>
      <c r="K6754" s="46"/>
      <c r="M6754" s="385"/>
      <c r="N6754" s="75"/>
      <c r="O6754" s="46" t="s">
        <v>156</v>
      </c>
      <c r="P6754" s="46" t="s">
        <v>65</v>
      </c>
      <c r="Q6754" s="46" t="s">
        <v>95</v>
      </c>
      <c r="R6754" s="46" t="s">
        <v>265</v>
      </c>
    </row>
    <row r="6755" spans="1:18" ht="69" customHeight="1">
      <c r="A6755" s="168"/>
      <c r="B6755" s="62">
        <f t="shared" si="25"/>
        <v>3894</v>
      </c>
      <c r="C6755" s="59" t="s">
        <v>458</v>
      </c>
      <c r="D6755" s="174" t="s">
        <v>12010</v>
      </c>
      <c r="E6755" s="178" t="s">
        <v>350</v>
      </c>
      <c r="F6755" s="58" t="s">
        <v>16693</v>
      </c>
      <c r="G6755" s="58" t="s">
        <v>16694</v>
      </c>
      <c r="H6755" s="546">
        <v>43735.92</v>
      </c>
      <c r="I6755" s="66">
        <v>45255</v>
      </c>
      <c r="J6755" s="65" t="s">
        <v>16695</v>
      </c>
      <c r="K6755" s="58"/>
      <c r="M6755" s="70"/>
      <c r="N6755" s="97"/>
      <c r="O6755" s="58" t="s">
        <v>141</v>
      </c>
      <c r="P6755" s="58" t="s">
        <v>19</v>
      </c>
      <c r="Q6755" s="58" t="s">
        <v>123</v>
      </c>
      <c r="R6755" s="58" t="s">
        <v>265</v>
      </c>
    </row>
    <row r="6756" spans="1:18" ht="69" customHeight="1">
      <c r="A6756" s="168"/>
      <c r="B6756" s="62">
        <f t="shared" si="25"/>
        <v>3895</v>
      </c>
      <c r="C6756" s="59" t="s">
        <v>657</v>
      </c>
      <c r="D6756" s="174" t="s">
        <v>3635</v>
      </c>
      <c r="E6756" s="58" t="s">
        <v>7649</v>
      </c>
      <c r="F6756" s="58" t="s">
        <v>16696</v>
      </c>
      <c r="G6756" s="45" t="s">
        <v>16697</v>
      </c>
      <c r="H6756" s="546">
        <v>25823.18</v>
      </c>
      <c r="I6756" s="66">
        <v>45255</v>
      </c>
      <c r="J6756" s="65" t="s">
        <v>16698</v>
      </c>
      <c r="K6756" s="58"/>
      <c r="M6756" s="70"/>
      <c r="N6756" s="97"/>
      <c r="O6756" s="58" t="s">
        <v>147</v>
      </c>
      <c r="P6756" s="58" t="s">
        <v>22</v>
      </c>
      <c r="Q6756" s="58" t="s">
        <v>104</v>
      </c>
      <c r="R6756" s="58" t="s">
        <v>272</v>
      </c>
    </row>
    <row r="6757" spans="1:18" ht="69" customHeight="1">
      <c r="A6757" s="168"/>
      <c r="B6757" s="62">
        <f t="shared" si="25"/>
        <v>3896</v>
      </c>
      <c r="C6757" s="59" t="s">
        <v>657</v>
      </c>
      <c r="D6757" s="174" t="s">
        <v>10881</v>
      </c>
      <c r="E6757" s="58" t="s">
        <v>7649</v>
      </c>
      <c r="F6757" s="58" t="s">
        <v>16699</v>
      </c>
      <c r="G6757" s="45" t="s">
        <v>16700</v>
      </c>
      <c r="H6757" s="546">
        <v>13904.79</v>
      </c>
      <c r="I6757" s="66">
        <v>45255</v>
      </c>
      <c r="J6757" s="65" t="s">
        <v>16698</v>
      </c>
      <c r="K6757" s="58"/>
      <c r="M6757" s="70"/>
      <c r="N6757" s="97"/>
      <c r="O6757" s="58" t="s">
        <v>147</v>
      </c>
      <c r="P6757" s="58" t="s">
        <v>22</v>
      </c>
      <c r="Q6757" s="58" t="s">
        <v>104</v>
      </c>
      <c r="R6757" s="58" t="s">
        <v>272</v>
      </c>
    </row>
    <row r="6758" spans="1:18" s="103" customFormat="1" ht="69" customHeight="1">
      <c r="A6758" s="169"/>
      <c r="B6758" s="52">
        <f t="shared" si="25"/>
        <v>3897</v>
      </c>
      <c r="C6758" s="191" t="s">
        <v>3667</v>
      </c>
      <c r="D6758" s="251" t="s">
        <v>16701</v>
      </c>
      <c r="E6758" s="191" t="s">
        <v>266</v>
      </c>
      <c r="F6758" s="46" t="s">
        <v>16702</v>
      </c>
      <c r="G6758" s="46" t="s">
        <v>16703</v>
      </c>
      <c r="H6758" s="534">
        <v>12764.21</v>
      </c>
      <c r="I6758" s="56">
        <v>45265</v>
      </c>
      <c r="J6758" s="199" t="s">
        <v>16704</v>
      </c>
      <c r="K6758" s="46" t="s">
        <v>65</v>
      </c>
      <c r="L6758" s="98"/>
      <c r="M6758" s="388"/>
      <c r="N6758" s="108"/>
      <c r="O6758" s="46" t="s">
        <v>1171</v>
      </c>
      <c r="P6758" s="46" t="s">
        <v>71</v>
      </c>
      <c r="Q6758" s="46" t="s">
        <v>72</v>
      </c>
      <c r="R6758" s="46" t="s">
        <v>272</v>
      </c>
    </row>
    <row r="6759" spans="1:18" ht="69" customHeight="1">
      <c r="A6759" s="168"/>
      <c r="B6759" s="52">
        <f t="shared" si="25"/>
        <v>3898</v>
      </c>
      <c r="C6759" s="191" t="s">
        <v>657</v>
      </c>
      <c r="D6759" s="251" t="s">
        <v>6181</v>
      </c>
      <c r="E6759" s="191" t="s">
        <v>266</v>
      </c>
      <c r="F6759" s="46" t="s">
        <v>16705</v>
      </c>
      <c r="G6759" s="46" t="s">
        <v>16706</v>
      </c>
      <c r="H6759" s="534">
        <v>11509.96</v>
      </c>
      <c r="I6759" s="56">
        <v>45255</v>
      </c>
      <c r="J6759" s="199" t="s">
        <v>16704</v>
      </c>
      <c r="K6759" s="46" t="s">
        <v>65</v>
      </c>
      <c r="M6759" s="70"/>
      <c r="N6759" s="97"/>
      <c r="O6759" s="46" t="s">
        <v>1171</v>
      </c>
      <c r="P6759" s="46" t="s">
        <v>71</v>
      </c>
      <c r="Q6759" s="46" t="s">
        <v>110</v>
      </c>
      <c r="R6759" s="46" t="s">
        <v>272</v>
      </c>
    </row>
    <row r="6760" spans="1:18" s="98" customFormat="1" ht="69" customHeight="1">
      <c r="A6760" s="168"/>
      <c r="B6760" s="52">
        <f t="shared" si="25"/>
        <v>3899</v>
      </c>
      <c r="C6760" s="191" t="s">
        <v>3667</v>
      </c>
      <c r="D6760" s="251" t="s">
        <v>16707</v>
      </c>
      <c r="E6760" s="191" t="s">
        <v>266</v>
      </c>
      <c r="F6760" s="46" t="s">
        <v>16708</v>
      </c>
      <c r="G6760" s="46" t="s">
        <v>16706</v>
      </c>
      <c r="H6760" s="534">
        <v>12764.21</v>
      </c>
      <c r="I6760" s="56">
        <v>45255</v>
      </c>
      <c r="J6760" s="199" t="s">
        <v>16704</v>
      </c>
      <c r="K6760" s="46" t="s">
        <v>65</v>
      </c>
      <c r="M6760" s="385"/>
      <c r="N6760" s="75"/>
      <c r="O6760" s="46" t="s">
        <v>1171</v>
      </c>
      <c r="P6760" s="46" t="s">
        <v>71</v>
      </c>
      <c r="Q6760" s="46" t="s">
        <v>78</v>
      </c>
      <c r="R6760" s="46" t="s">
        <v>272</v>
      </c>
    </row>
    <row r="6761" spans="1:18" ht="69" customHeight="1">
      <c r="A6761" s="168"/>
      <c r="B6761" s="62">
        <f t="shared" si="25"/>
        <v>3900</v>
      </c>
      <c r="C6761" s="59" t="s">
        <v>458</v>
      </c>
      <c r="D6761" s="174" t="s">
        <v>12033</v>
      </c>
      <c r="E6761" s="58" t="s">
        <v>7649</v>
      </c>
      <c r="F6761" s="58" t="s">
        <v>16709</v>
      </c>
      <c r="G6761" s="45" t="s">
        <v>16710</v>
      </c>
      <c r="H6761" s="546">
        <v>114431.91</v>
      </c>
      <c r="I6761" s="66">
        <v>45255</v>
      </c>
      <c r="J6761" s="65" t="s">
        <v>16711</v>
      </c>
      <c r="K6761" s="58"/>
      <c r="M6761" s="70"/>
      <c r="N6761" s="97"/>
      <c r="O6761" s="58" t="s">
        <v>147</v>
      </c>
      <c r="P6761" s="58" t="s">
        <v>22</v>
      </c>
      <c r="Q6761" s="58" t="s">
        <v>103</v>
      </c>
      <c r="R6761" s="58" t="s">
        <v>272</v>
      </c>
    </row>
    <row r="6762" spans="1:18" ht="69" customHeight="1">
      <c r="A6762" s="168"/>
      <c r="B6762" s="62">
        <f t="shared" si="25"/>
        <v>3901</v>
      </c>
      <c r="C6762" s="59" t="s">
        <v>458</v>
      </c>
      <c r="D6762" s="174" t="s">
        <v>12048</v>
      </c>
      <c r="E6762" s="58" t="s">
        <v>7649</v>
      </c>
      <c r="F6762" s="58" t="s">
        <v>16712</v>
      </c>
      <c r="G6762" s="45" t="s">
        <v>16713</v>
      </c>
      <c r="H6762" s="546">
        <v>93626.11</v>
      </c>
      <c r="I6762" s="66">
        <v>45255</v>
      </c>
      <c r="J6762" s="65" t="s">
        <v>16711</v>
      </c>
      <c r="K6762" s="58"/>
      <c r="M6762" s="70"/>
      <c r="N6762" s="97"/>
      <c r="O6762" s="58" t="s">
        <v>147</v>
      </c>
      <c r="P6762" s="58" t="s">
        <v>22</v>
      </c>
      <c r="Q6762" s="58" t="s">
        <v>103</v>
      </c>
      <c r="R6762" s="58" t="s">
        <v>272</v>
      </c>
    </row>
    <row r="6763" spans="1:18" ht="69" customHeight="1">
      <c r="A6763" s="168"/>
      <c r="B6763" s="62">
        <f t="shared" si="25"/>
        <v>3902</v>
      </c>
      <c r="C6763" s="59" t="s">
        <v>458</v>
      </c>
      <c r="D6763" s="174" t="s">
        <v>12075</v>
      </c>
      <c r="E6763" s="178" t="s">
        <v>10553</v>
      </c>
      <c r="F6763" s="58" t="s">
        <v>16714</v>
      </c>
      <c r="G6763" s="45" t="s">
        <v>16710</v>
      </c>
      <c r="H6763" s="546">
        <v>35670.82</v>
      </c>
      <c r="I6763" s="66">
        <v>45255</v>
      </c>
      <c r="J6763" s="65" t="s">
        <v>16711</v>
      </c>
      <c r="K6763" s="58"/>
      <c r="M6763" s="70"/>
      <c r="N6763" s="97"/>
      <c r="O6763" s="58" t="s">
        <v>147</v>
      </c>
      <c r="P6763" s="58" t="s">
        <v>22</v>
      </c>
      <c r="Q6763" s="58" t="s">
        <v>123</v>
      </c>
      <c r="R6763" s="58" t="s">
        <v>272</v>
      </c>
    </row>
    <row r="6764" spans="1:18" ht="69" customHeight="1">
      <c r="A6764" s="168"/>
      <c r="B6764" s="62">
        <f t="shared" si="25"/>
        <v>3903</v>
      </c>
      <c r="C6764" s="59" t="s">
        <v>458</v>
      </c>
      <c r="D6764" s="174" t="s">
        <v>12079</v>
      </c>
      <c r="E6764" s="178" t="s">
        <v>10553</v>
      </c>
      <c r="F6764" s="58" t="s">
        <v>16715</v>
      </c>
      <c r="G6764" s="45" t="s">
        <v>16713</v>
      </c>
      <c r="H6764" s="546">
        <v>29185.22</v>
      </c>
      <c r="I6764" s="66">
        <v>45255</v>
      </c>
      <c r="J6764" s="65" t="s">
        <v>16711</v>
      </c>
      <c r="K6764" s="58"/>
      <c r="M6764" s="70"/>
      <c r="N6764" s="97"/>
      <c r="O6764" s="58" t="s">
        <v>147</v>
      </c>
      <c r="P6764" s="58" t="s">
        <v>22</v>
      </c>
      <c r="Q6764" s="58" t="s">
        <v>123</v>
      </c>
      <c r="R6764" s="58" t="s">
        <v>272</v>
      </c>
    </row>
    <row r="6765" spans="1:18" ht="69" customHeight="1">
      <c r="A6765" s="168"/>
      <c r="B6765" s="62">
        <f t="shared" si="25"/>
        <v>3904</v>
      </c>
      <c r="C6765" s="59" t="s">
        <v>458</v>
      </c>
      <c r="D6765" s="174" t="s">
        <v>12108</v>
      </c>
      <c r="E6765" s="58" t="s">
        <v>7649</v>
      </c>
      <c r="F6765" s="58" t="s">
        <v>16716</v>
      </c>
      <c r="G6765" s="45" t="s">
        <v>16710</v>
      </c>
      <c r="H6765" s="546">
        <v>170630.04</v>
      </c>
      <c r="I6765" s="66">
        <v>45255</v>
      </c>
      <c r="J6765" s="65" t="s">
        <v>16711</v>
      </c>
      <c r="K6765" s="58"/>
      <c r="M6765" s="70"/>
      <c r="N6765" s="97"/>
      <c r="O6765" s="58" t="s">
        <v>147</v>
      </c>
      <c r="P6765" s="58" t="s">
        <v>22</v>
      </c>
      <c r="Q6765" s="58" t="s">
        <v>88</v>
      </c>
      <c r="R6765" s="58" t="s">
        <v>272</v>
      </c>
    </row>
    <row r="6766" spans="1:18" ht="69" customHeight="1">
      <c r="A6766" s="168"/>
      <c r="B6766" s="62">
        <f t="shared" si="25"/>
        <v>3905</v>
      </c>
      <c r="C6766" s="59" t="s">
        <v>458</v>
      </c>
      <c r="D6766" s="174" t="s">
        <v>16717</v>
      </c>
      <c r="E6766" s="58" t="s">
        <v>7649</v>
      </c>
      <c r="F6766" s="58" t="s">
        <v>16718</v>
      </c>
      <c r="G6766" s="45" t="s">
        <v>16713</v>
      </c>
      <c r="H6766" s="546">
        <v>139606.39000000001</v>
      </c>
      <c r="I6766" s="66">
        <v>45255</v>
      </c>
      <c r="J6766" s="65" t="s">
        <v>16711</v>
      </c>
      <c r="K6766" s="58"/>
      <c r="M6766" s="70"/>
      <c r="N6766" s="97"/>
      <c r="O6766" s="58" t="s">
        <v>147</v>
      </c>
      <c r="P6766" s="58" t="s">
        <v>22</v>
      </c>
      <c r="Q6766" s="58" t="s">
        <v>88</v>
      </c>
      <c r="R6766" s="58" t="s">
        <v>272</v>
      </c>
    </row>
    <row r="6767" spans="1:18" ht="69" customHeight="1">
      <c r="A6767" s="168"/>
      <c r="B6767" s="62">
        <f t="shared" si="25"/>
        <v>3906</v>
      </c>
      <c r="C6767" s="59" t="s">
        <v>458</v>
      </c>
      <c r="D6767" s="174" t="s">
        <v>16719</v>
      </c>
      <c r="E6767" s="58" t="s">
        <v>7649</v>
      </c>
      <c r="F6767" s="58" t="s">
        <v>16720</v>
      </c>
      <c r="G6767" s="45" t="s">
        <v>16710</v>
      </c>
      <c r="H6767" s="546">
        <v>59599.45</v>
      </c>
      <c r="I6767" s="66">
        <v>45255</v>
      </c>
      <c r="J6767" s="65" t="s">
        <v>16711</v>
      </c>
      <c r="K6767" s="58"/>
      <c r="M6767" s="70"/>
      <c r="N6767" s="97"/>
      <c r="O6767" s="58" t="s">
        <v>147</v>
      </c>
      <c r="P6767" s="58" t="s">
        <v>22</v>
      </c>
      <c r="Q6767" s="58" t="s">
        <v>112</v>
      </c>
      <c r="R6767" s="58" t="s">
        <v>272</v>
      </c>
    </row>
    <row r="6768" spans="1:18" ht="69" customHeight="1">
      <c r="A6768" s="168"/>
      <c r="B6768" s="62">
        <f t="shared" si="25"/>
        <v>3907</v>
      </c>
      <c r="C6768" s="59" t="s">
        <v>458</v>
      </c>
      <c r="D6768" s="174" t="s">
        <v>16721</v>
      </c>
      <c r="E6768" s="58" t="s">
        <v>7649</v>
      </c>
      <c r="F6768" s="58" t="s">
        <v>16722</v>
      </c>
      <c r="G6768" s="45" t="s">
        <v>16713</v>
      </c>
      <c r="H6768" s="546">
        <v>48763.19</v>
      </c>
      <c r="I6768" s="66">
        <v>45255</v>
      </c>
      <c r="J6768" s="65" t="s">
        <v>16711</v>
      </c>
      <c r="K6768" s="58"/>
      <c r="M6768" s="70"/>
      <c r="N6768" s="97"/>
      <c r="O6768" s="58" t="s">
        <v>147</v>
      </c>
      <c r="P6768" s="58" t="s">
        <v>22</v>
      </c>
      <c r="Q6768" s="58" t="s">
        <v>112</v>
      </c>
      <c r="R6768" s="58" t="s">
        <v>272</v>
      </c>
    </row>
    <row r="6769" spans="1:18" ht="69" customHeight="1">
      <c r="A6769" s="168"/>
      <c r="B6769" s="62">
        <f t="shared" si="25"/>
        <v>3908</v>
      </c>
      <c r="C6769" s="59" t="s">
        <v>458</v>
      </c>
      <c r="D6769" s="174" t="s">
        <v>16723</v>
      </c>
      <c r="E6769" s="45" t="s">
        <v>10495</v>
      </c>
      <c r="F6769" s="58" t="s">
        <v>16724</v>
      </c>
      <c r="G6769" s="45" t="s">
        <v>16725</v>
      </c>
      <c r="H6769" s="546">
        <v>88227.28</v>
      </c>
      <c r="I6769" s="66">
        <v>45255</v>
      </c>
      <c r="J6769" s="65" t="s">
        <v>16711</v>
      </c>
      <c r="K6769" s="58"/>
      <c r="M6769" s="70"/>
      <c r="N6769" s="97"/>
      <c r="O6769" s="58" t="s">
        <v>147</v>
      </c>
      <c r="P6769" s="58" t="s">
        <v>22</v>
      </c>
      <c r="Q6769" s="58" t="s">
        <v>122</v>
      </c>
      <c r="R6769" s="58" t="s">
        <v>272</v>
      </c>
    </row>
    <row r="6770" spans="1:18" ht="69" customHeight="1">
      <c r="A6770" s="168"/>
      <c r="B6770" s="62">
        <f t="shared" si="25"/>
        <v>3909</v>
      </c>
      <c r="C6770" s="59" t="s">
        <v>458</v>
      </c>
      <c r="D6770" s="174" t="s">
        <v>12067</v>
      </c>
      <c r="E6770" s="45" t="s">
        <v>10495</v>
      </c>
      <c r="F6770" s="58" t="s">
        <v>16726</v>
      </c>
      <c r="G6770" s="45" t="s">
        <v>16727</v>
      </c>
      <c r="H6770" s="546">
        <v>72185.95</v>
      </c>
      <c r="I6770" s="66">
        <v>45255</v>
      </c>
      <c r="J6770" s="65" t="s">
        <v>16711</v>
      </c>
      <c r="K6770" s="58"/>
      <c r="M6770" s="70"/>
      <c r="N6770" s="97"/>
      <c r="O6770" s="58" t="s">
        <v>147</v>
      </c>
      <c r="P6770" s="58" t="s">
        <v>22</v>
      </c>
      <c r="Q6770" s="58" t="s">
        <v>122</v>
      </c>
      <c r="R6770" s="58" t="s">
        <v>272</v>
      </c>
    </row>
    <row r="6771" spans="1:18" ht="69" customHeight="1">
      <c r="A6771" s="168"/>
      <c r="B6771" s="62">
        <f t="shared" si="25"/>
        <v>3910</v>
      </c>
      <c r="C6771" s="59" t="s">
        <v>13435</v>
      </c>
      <c r="D6771" s="174" t="s">
        <v>11676</v>
      </c>
      <c r="E6771" s="58" t="s">
        <v>4173</v>
      </c>
      <c r="F6771" s="58" t="s">
        <v>16728</v>
      </c>
      <c r="G6771" s="58" t="s">
        <v>16729</v>
      </c>
      <c r="H6771" s="546">
        <v>26500</v>
      </c>
      <c r="I6771" s="66">
        <v>45255</v>
      </c>
      <c r="J6771" s="65" t="s">
        <v>16730</v>
      </c>
      <c r="K6771" s="58"/>
      <c r="M6771" s="70"/>
      <c r="N6771" s="97"/>
      <c r="O6771" s="58" t="s">
        <v>14459</v>
      </c>
      <c r="P6771" s="58" t="s">
        <v>22</v>
      </c>
      <c r="Q6771" s="58" t="s">
        <v>13</v>
      </c>
      <c r="R6771" s="58" t="s">
        <v>265</v>
      </c>
    </row>
    <row r="6772" spans="1:18" ht="69" customHeight="1">
      <c r="A6772" s="168"/>
      <c r="B6772" s="62">
        <f t="shared" si="25"/>
        <v>3911</v>
      </c>
      <c r="C6772" s="59" t="s">
        <v>458</v>
      </c>
      <c r="D6772" s="174" t="s">
        <v>12072</v>
      </c>
      <c r="E6772" s="58" t="s">
        <v>16731</v>
      </c>
      <c r="F6772" s="58" t="s">
        <v>16732</v>
      </c>
      <c r="G6772" s="58" t="s">
        <v>16733</v>
      </c>
      <c r="H6772" s="546">
        <v>76291.37</v>
      </c>
      <c r="I6772" s="66">
        <v>45255</v>
      </c>
      <c r="J6772" s="65" t="s">
        <v>16734</v>
      </c>
      <c r="K6772" s="58"/>
      <c r="M6772" s="70"/>
      <c r="N6772" s="97"/>
      <c r="O6772" s="58" t="s">
        <v>16735</v>
      </c>
      <c r="P6772" s="58" t="s">
        <v>59</v>
      </c>
      <c r="Q6772" s="58" t="s">
        <v>117</v>
      </c>
      <c r="R6772" s="58" t="s">
        <v>272</v>
      </c>
    </row>
    <row r="6773" spans="1:18" s="103" customFormat="1" ht="69" customHeight="1">
      <c r="A6773" s="168"/>
      <c r="B6773" s="48">
        <f t="shared" si="25"/>
        <v>3912</v>
      </c>
      <c r="C6773" s="59" t="s">
        <v>8797</v>
      </c>
      <c r="D6773" s="84" t="s">
        <v>16736</v>
      </c>
      <c r="E6773" s="55" t="s">
        <v>16737</v>
      </c>
      <c r="F6773" s="45" t="s">
        <v>16738</v>
      </c>
      <c r="G6773" s="45" t="s">
        <v>14169</v>
      </c>
      <c r="H6773" s="546">
        <v>118216.71</v>
      </c>
      <c r="I6773" s="47">
        <v>45265</v>
      </c>
      <c r="J6773" s="73" t="s">
        <v>16739</v>
      </c>
      <c r="K6773" s="45"/>
      <c r="L6773" s="98"/>
      <c r="M6773" s="388"/>
      <c r="N6773" s="108"/>
      <c r="O6773" s="45" t="s">
        <v>205</v>
      </c>
      <c r="P6773" s="45" t="s">
        <v>61</v>
      </c>
      <c r="Q6773" s="45" t="s">
        <v>110</v>
      </c>
      <c r="R6773" s="45" t="s">
        <v>272</v>
      </c>
    </row>
    <row r="6774" spans="1:18" ht="69" customHeight="1">
      <c r="A6774" s="168"/>
      <c r="B6774" s="62">
        <f t="shared" si="25"/>
        <v>3913</v>
      </c>
      <c r="C6774" s="59" t="s">
        <v>458</v>
      </c>
      <c r="D6774" s="174" t="s">
        <v>11878</v>
      </c>
      <c r="E6774" s="178" t="s">
        <v>350</v>
      </c>
      <c r="F6774" s="58" t="s">
        <v>16740</v>
      </c>
      <c r="G6774" s="58" t="s">
        <v>16741</v>
      </c>
      <c r="H6774" s="546">
        <v>50000</v>
      </c>
      <c r="I6774" s="66">
        <v>45265</v>
      </c>
      <c r="J6774" s="65" t="s">
        <v>16742</v>
      </c>
      <c r="K6774" s="58"/>
      <c r="M6774" s="70"/>
      <c r="N6774" s="97"/>
      <c r="O6774" s="58" t="s">
        <v>141</v>
      </c>
      <c r="P6774" s="58" t="s">
        <v>19</v>
      </c>
      <c r="Q6774" s="58" t="s">
        <v>123</v>
      </c>
      <c r="R6774" s="58" t="s">
        <v>265</v>
      </c>
    </row>
    <row r="6775" spans="1:18" ht="69" customHeight="1">
      <c r="A6775" s="168"/>
      <c r="B6775" s="62">
        <f t="shared" si="25"/>
        <v>3914</v>
      </c>
      <c r="C6775" s="45" t="s">
        <v>10937</v>
      </c>
      <c r="D6775" s="174" t="s">
        <v>6732</v>
      </c>
      <c r="E6775" s="58" t="s">
        <v>16065</v>
      </c>
      <c r="F6775" s="58" t="s">
        <v>16743</v>
      </c>
      <c r="G6775" s="58" t="s">
        <v>16744</v>
      </c>
      <c r="H6775" s="546">
        <v>167763.03</v>
      </c>
      <c r="I6775" s="66">
        <v>45265</v>
      </c>
      <c r="J6775" s="65" t="s">
        <v>16745</v>
      </c>
      <c r="K6775" s="58"/>
      <c r="M6775" s="70"/>
      <c r="N6775" s="97"/>
      <c r="O6775" s="58" t="s">
        <v>16069</v>
      </c>
      <c r="P6775" s="58" t="s">
        <v>57</v>
      </c>
      <c r="Q6775" s="58" t="s">
        <v>104</v>
      </c>
      <c r="R6775" s="58" t="s">
        <v>272</v>
      </c>
    </row>
    <row r="6776" spans="1:18" ht="69" customHeight="1">
      <c r="A6776" s="168"/>
      <c r="B6776" s="62">
        <f t="shared" si="25"/>
        <v>3915</v>
      </c>
      <c r="C6776" s="59" t="s">
        <v>11908</v>
      </c>
      <c r="D6776" s="174" t="s">
        <v>16746</v>
      </c>
      <c r="E6776" s="58" t="s">
        <v>16747</v>
      </c>
      <c r="F6776" s="58" t="s">
        <v>16748</v>
      </c>
      <c r="G6776" s="58" t="s">
        <v>16744</v>
      </c>
      <c r="H6776" s="546">
        <v>369537.04</v>
      </c>
      <c r="I6776" s="66">
        <v>45265</v>
      </c>
      <c r="J6776" s="65" t="s">
        <v>16749</v>
      </c>
      <c r="K6776" s="58"/>
      <c r="M6776" s="70"/>
      <c r="N6776" s="97"/>
      <c r="O6776" s="58" t="s">
        <v>16069</v>
      </c>
      <c r="P6776" s="58" t="s">
        <v>57</v>
      </c>
      <c r="Q6776" s="58" t="s">
        <v>103</v>
      </c>
      <c r="R6776" s="58" t="s">
        <v>272</v>
      </c>
    </row>
    <row r="6777" spans="1:18" s="98" customFormat="1" ht="69" customHeight="1">
      <c r="A6777" s="169"/>
      <c r="B6777" s="48">
        <f t="shared" si="25"/>
        <v>3916</v>
      </c>
      <c r="C6777" s="59" t="s">
        <v>16106</v>
      </c>
      <c r="D6777" s="84" t="s">
        <v>11680</v>
      </c>
      <c r="E6777" s="45" t="s">
        <v>4033</v>
      </c>
      <c r="F6777" s="45" t="s">
        <v>16750</v>
      </c>
      <c r="G6777" s="45" t="s">
        <v>16751</v>
      </c>
      <c r="H6777" s="546">
        <v>49220</v>
      </c>
      <c r="I6777" s="47">
        <v>45265</v>
      </c>
      <c r="J6777" s="73" t="s">
        <v>16752</v>
      </c>
      <c r="K6777" s="45"/>
      <c r="M6777" s="385"/>
      <c r="N6777" s="75"/>
      <c r="O6777" s="45" t="s">
        <v>14459</v>
      </c>
      <c r="P6777" s="45" t="s">
        <v>22</v>
      </c>
      <c r="Q6777" s="45" t="s">
        <v>33</v>
      </c>
      <c r="R6777" s="45" t="s">
        <v>272</v>
      </c>
    </row>
    <row r="6778" spans="1:18" s="98" customFormat="1" ht="69" customHeight="1">
      <c r="A6778" s="169"/>
      <c r="B6778" s="259">
        <f t="shared" si="25"/>
        <v>3917</v>
      </c>
      <c r="C6778" s="207" t="s">
        <v>7452</v>
      </c>
      <c r="D6778" s="303" t="s">
        <v>16753</v>
      </c>
      <c r="E6778" s="304" t="s">
        <v>266</v>
      </c>
      <c r="F6778" s="160" t="s">
        <v>16754</v>
      </c>
      <c r="G6778" s="160" t="s">
        <v>14816</v>
      </c>
      <c r="H6778" s="300">
        <v>96.62</v>
      </c>
      <c r="I6778" s="209">
        <v>45253</v>
      </c>
      <c r="J6778" s="316" t="s">
        <v>16755</v>
      </c>
      <c r="K6778" s="160"/>
      <c r="M6778" s="385"/>
      <c r="N6778" s="75"/>
      <c r="O6778" s="160" t="s">
        <v>11386</v>
      </c>
      <c r="P6778" s="160" t="s">
        <v>67</v>
      </c>
      <c r="Q6778" s="160" t="s">
        <v>101</v>
      </c>
      <c r="R6778" s="160" t="s">
        <v>272</v>
      </c>
    </row>
    <row r="6779" spans="1:18" s="98" customFormat="1" ht="69" customHeight="1">
      <c r="A6779" s="169"/>
      <c r="B6779" s="259">
        <f t="shared" si="25"/>
        <v>3918</v>
      </c>
      <c r="C6779" s="207" t="s">
        <v>7521</v>
      </c>
      <c r="D6779" s="303" t="s">
        <v>10910</v>
      </c>
      <c r="E6779" s="304" t="s">
        <v>266</v>
      </c>
      <c r="F6779" s="160" t="s">
        <v>16756</v>
      </c>
      <c r="G6779" s="160" t="s">
        <v>14816</v>
      </c>
      <c r="H6779" s="300">
        <v>96.62</v>
      </c>
      <c r="I6779" s="209">
        <v>45253</v>
      </c>
      <c r="J6779" s="316" t="s">
        <v>16755</v>
      </c>
      <c r="K6779" s="160"/>
      <c r="M6779" s="385"/>
      <c r="N6779" s="75"/>
      <c r="O6779" s="160" t="s">
        <v>11386</v>
      </c>
      <c r="P6779" s="160" t="s">
        <v>67</v>
      </c>
      <c r="Q6779" s="160" t="s">
        <v>102</v>
      </c>
      <c r="R6779" s="160" t="s">
        <v>272</v>
      </c>
    </row>
    <row r="6780" spans="1:18" s="98" customFormat="1" ht="69" customHeight="1">
      <c r="A6780" s="169"/>
      <c r="B6780" s="259">
        <f t="shared" si="25"/>
        <v>3919</v>
      </c>
      <c r="C6780" s="207" t="s">
        <v>16757</v>
      </c>
      <c r="D6780" s="303" t="s">
        <v>16758</v>
      </c>
      <c r="E6780" s="304" t="s">
        <v>266</v>
      </c>
      <c r="F6780" s="160" t="s">
        <v>16759</v>
      </c>
      <c r="G6780" s="160" t="s">
        <v>14816</v>
      </c>
      <c r="H6780" s="300">
        <v>96.62</v>
      </c>
      <c r="I6780" s="209">
        <v>45253</v>
      </c>
      <c r="J6780" s="316" t="s">
        <v>16755</v>
      </c>
      <c r="K6780" s="160"/>
      <c r="M6780" s="385"/>
      <c r="N6780" s="75"/>
      <c r="O6780" s="160" t="s">
        <v>11386</v>
      </c>
      <c r="P6780" s="160" t="s">
        <v>67</v>
      </c>
      <c r="Q6780" s="160" t="s">
        <v>47</v>
      </c>
      <c r="R6780" s="160" t="s">
        <v>272</v>
      </c>
    </row>
    <row r="6781" spans="1:18" s="98" customFormat="1" ht="69" customHeight="1">
      <c r="A6781" s="169"/>
      <c r="B6781" s="259">
        <f t="shared" si="25"/>
        <v>3920</v>
      </c>
      <c r="C6781" s="207" t="s">
        <v>3933</v>
      </c>
      <c r="D6781" s="303" t="s">
        <v>16760</v>
      </c>
      <c r="E6781" s="304" t="s">
        <v>266</v>
      </c>
      <c r="F6781" s="160" t="s">
        <v>16761</v>
      </c>
      <c r="G6781" s="160" t="s">
        <v>14816</v>
      </c>
      <c r="H6781" s="300">
        <v>96.62</v>
      </c>
      <c r="I6781" s="209">
        <v>45253</v>
      </c>
      <c r="J6781" s="316" t="s">
        <v>16755</v>
      </c>
      <c r="K6781" s="160"/>
      <c r="M6781" s="385"/>
      <c r="N6781" s="75"/>
      <c r="O6781" s="160" t="s">
        <v>11386</v>
      </c>
      <c r="P6781" s="160" t="s">
        <v>67</v>
      </c>
      <c r="Q6781" s="160" t="s">
        <v>52</v>
      </c>
      <c r="R6781" s="160" t="s">
        <v>272</v>
      </c>
    </row>
    <row r="6782" spans="1:18" s="98" customFormat="1" ht="69" customHeight="1">
      <c r="A6782" s="169"/>
      <c r="B6782" s="259">
        <f t="shared" si="25"/>
        <v>3921</v>
      </c>
      <c r="C6782" s="207" t="s">
        <v>8080</v>
      </c>
      <c r="D6782" s="303" t="s">
        <v>10912</v>
      </c>
      <c r="E6782" s="304" t="s">
        <v>266</v>
      </c>
      <c r="F6782" s="160" t="s">
        <v>16762</v>
      </c>
      <c r="G6782" s="160" t="s">
        <v>14816</v>
      </c>
      <c r="H6782" s="300">
        <v>96.62</v>
      </c>
      <c r="I6782" s="209">
        <v>45253</v>
      </c>
      <c r="J6782" s="316" t="s">
        <v>16755</v>
      </c>
      <c r="K6782" s="160"/>
      <c r="M6782" s="385"/>
      <c r="N6782" s="75"/>
      <c r="O6782" s="160" t="s">
        <v>11386</v>
      </c>
      <c r="P6782" s="160" t="s">
        <v>67</v>
      </c>
      <c r="Q6782" s="160" t="s">
        <v>106</v>
      </c>
      <c r="R6782" s="160" t="s">
        <v>272</v>
      </c>
    </row>
    <row r="6783" spans="1:18" s="98" customFormat="1" ht="69" customHeight="1">
      <c r="A6783" s="169"/>
      <c r="B6783" s="259">
        <f t="shared" si="25"/>
        <v>3922</v>
      </c>
      <c r="C6783" s="207" t="s">
        <v>8529</v>
      </c>
      <c r="D6783" s="303" t="s">
        <v>16763</v>
      </c>
      <c r="E6783" s="304" t="s">
        <v>266</v>
      </c>
      <c r="F6783" s="160" t="s">
        <v>16764</v>
      </c>
      <c r="G6783" s="160" t="s">
        <v>14816</v>
      </c>
      <c r="H6783" s="300">
        <v>96.62</v>
      </c>
      <c r="I6783" s="209">
        <v>45253</v>
      </c>
      <c r="J6783" s="316" t="s">
        <v>16755</v>
      </c>
      <c r="K6783" s="160"/>
      <c r="M6783" s="385"/>
      <c r="N6783" s="75"/>
      <c r="O6783" s="160" t="s">
        <v>11386</v>
      </c>
      <c r="P6783" s="160" t="s">
        <v>67</v>
      </c>
      <c r="Q6783" s="160" t="s">
        <v>108</v>
      </c>
      <c r="R6783" s="160" t="s">
        <v>272</v>
      </c>
    </row>
    <row r="6784" spans="1:18" s="98" customFormat="1" ht="69" customHeight="1">
      <c r="A6784" s="169"/>
      <c r="B6784" s="259">
        <f t="shared" si="25"/>
        <v>3923</v>
      </c>
      <c r="C6784" s="207" t="s">
        <v>16765</v>
      </c>
      <c r="D6784" s="303" t="s">
        <v>10915</v>
      </c>
      <c r="E6784" s="304" t="s">
        <v>266</v>
      </c>
      <c r="F6784" s="160" t="s">
        <v>16766</v>
      </c>
      <c r="G6784" s="160" t="s">
        <v>14816</v>
      </c>
      <c r="H6784" s="300">
        <v>96.62</v>
      </c>
      <c r="I6784" s="209">
        <v>45253</v>
      </c>
      <c r="J6784" s="316" t="s">
        <v>16755</v>
      </c>
      <c r="K6784" s="160"/>
      <c r="M6784" s="385"/>
      <c r="N6784" s="75"/>
      <c r="O6784" s="160" t="s">
        <v>11386</v>
      </c>
      <c r="P6784" s="160" t="s">
        <v>67</v>
      </c>
      <c r="Q6784" s="160" t="s">
        <v>109</v>
      </c>
      <c r="R6784" s="160" t="s">
        <v>272</v>
      </c>
    </row>
    <row r="6785" spans="1:18" s="98" customFormat="1" ht="69" customHeight="1">
      <c r="A6785" s="169"/>
      <c r="B6785" s="259">
        <f t="shared" si="25"/>
        <v>3924</v>
      </c>
      <c r="C6785" s="207" t="s">
        <v>753</v>
      </c>
      <c r="D6785" s="303" t="s">
        <v>16767</v>
      </c>
      <c r="E6785" s="304" t="s">
        <v>266</v>
      </c>
      <c r="F6785" s="160" t="s">
        <v>16768</v>
      </c>
      <c r="G6785" s="160" t="s">
        <v>14816</v>
      </c>
      <c r="H6785" s="300">
        <v>96.62</v>
      </c>
      <c r="I6785" s="209">
        <v>45253</v>
      </c>
      <c r="J6785" s="316" t="s">
        <v>16755</v>
      </c>
      <c r="K6785" s="160"/>
      <c r="M6785" s="385"/>
      <c r="N6785" s="75"/>
      <c r="O6785" s="160" t="s">
        <v>11386</v>
      </c>
      <c r="P6785" s="160" t="s">
        <v>67</v>
      </c>
      <c r="Q6785" s="160" t="s">
        <v>20</v>
      </c>
      <c r="R6785" s="160" t="s">
        <v>272</v>
      </c>
    </row>
    <row r="6786" spans="1:18" s="98" customFormat="1" ht="69" customHeight="1">
      <c r="A6786" s="169"/>
      <c r="B6786" s="259">
        <f t="shared" ref="B6786:B6849" si="26">B6785+1</f>
        <v>3925</v>
      </c>
      <c r="C6786" s="207" t="s">
        <v>4411</v>
      </c>
      <c r="D6786" s="303" t="s">
        <v>16769</v>
      </c>
      <c r="E6786" s="304" t="s">
        <v>266</v>
      </c>
      <c r="F6786" s="160" t="s">
        <v>16770</v>
      </c>
      <c r="G6786" s="160" t="s">
        <v>14816</v>
      </c>
      <c r="H6786" s="300">
        <v>96.62</v>
      </c>
      <c r="I6786" s="209">
        <v>45253</v>
      </c>
      <c r="J6786" s="316" t="s">
        <v>16755</v>
      </c>
      <c r="K6786" s="160"/>
      <c r="M6786" s="385"/>
      <c r="N6786" s="75"/>
      <c r="O6786" s="160" t="s">
        <v>11386</v>
      </c>
      <c r="P6786" s="160" t="s">
        <v>67</v>
      </c>
      <c r="Q6786" s="160" t="s">
        <v>54</v>
      </c>
      <c r="R6786" s="160" t="s">
        <v>272</v>
      </c>
    </row>
    <row r="6787" spans="1:18" s="98" customFormat="1" ht="69" customHeight="1">
      <c r="A6787" s="169"/>
      <c r="B6787" s="259">
        <f t="shared" si="26"/>
        <v>3926</v>
      </c>
      <c r="C6787" s="207" t="s">
        <v>15650</v>
      </c>
      <c r="D6787" s="303" t="s">
        <v>16771</v>
      </c>
      <c r="E6787" s="304" t="s">
        <v>266</v>
      </c>
      <c r="F6787" s="160" t="s">
        <v>16772</v>
      </c>
      <c r="G6787" s="160" t="s">
        <v>14816</v>
      </c>
      <c r="H6787" s="300">
        <v>96.62</v>
      </c>
      <c r="I6787" s="209">
        <v>45253</v>
      </c>
      <c r="J6787" s="316" t="s">
        <v>16755</v>
      </c>
      <c r="K6787" s="160"/>
      <c r="M6787" s="385"/>
      <c r="N6787" s="75"/>
      <c r="O6787" s="160" t="s">
        <v>11386</v>
      </c>
      <c r="P6787" s="160" t="s">
        <v>67</v>
      </c>
      <c r="Q6787" s="160" t="s">
        <v>56</v>
      </c>
      <c r="R6787" s="160" t="s">
        <v>272</v>
      </c>
    </row>
    <row r="6788" spans="1:18" s="98" customFormat="1" ht="69" customHeight="1">
      <c r="A6788" s="169"/>
      <c r="B6788" s="259">
        <f t="shared" si="26"/>
        <v>3927</v>
      </c>
      <c r="C6788" s="207" t="s">
        <v>4728</v>
      </c>
      <c r="D6788" s="303" t="s">
        <v>16773</v>
      </c>
      <c r="E6788" s="304" t="s">
        <v>266</v>
      </c>
      <c r="F6788" s="160" t="s">
        <v>16774</v>
      </c>
      <c r="G6788" s="160" t="s">
        <v>14816</v>
      </c>
      <c r="H6788" s="300">
        <v>96.62</v>
      </c>
      <c r="I6788" s="209">
        <v>45253</v>
      </c>
      <c r="J6788" s="316" t="s">
        <v>16755</v>
      </c>
      <c r="K6788" s="160"/>
      <c r="M6788" s="385"/>
      <c r="N6788" s="75"/>
      <c r="O6788" s="160" t="s">
        <v>11386</v>
      </c>
      <c r="P6788" s="160" t="s">
        <v>67</v>
      </c>
      <c r="Q6788" s="160" t="s">
        <v>58</v>
      </c>
      <c r="R6788" s="160" t="s">
        <v>272</v>
      </c>
    </row>
    <row r="6789" spans="1:18" s="98" customFormat="1" ht="69" customHeight="1">
      <c r="A6789" s="169"/>
      <c r="B6789" s="259">
        <f t="shared" si="26"/>
        <v>3928</v>
      </c>
      <c r="C6789" s="304" t="s">
        <v>5082</v>
      </c>
      <c r="D6789" s="303" t="s">
        <v>16775</v>
      </c>
      <c r="E6789" s="304" t="s">
        <v>266</v>
      </c>
      <c r="F6789" s="160" t="s">
        <v>16776</v>
      </c>
      <c r="G6789" s="160" t="s">
        <v>14816</v>
      </c>
      <c r="H6789" s="300">
        <v>96.62</v>
      </c>
      <c r="I6789" s="209">
        <v>45253</v>
      </c>
      <c r="J6789" s="316" t="s">
        <v>16755</v>
      </c>
      <c r="K6789" s="160"/>
      <c r="M6789" s="385"/>
      <c r="N6789" s="75"/>
      <c r="O6789" s="160" t="s">
        <v>11386</v>
      </c>
      <c r="P6789" s="160" t="s">
        <v>67</v>
      </c>
      <c r="Q6789" s="160" t="s">
        <v>60</v>
      </c>
      <c r="R6789" s="160" t="s">
        <v>272</v>
      </c>
    </row>
    <row r="6790" spans="1:18" s="98" customFormat="1" ht="69" customHeight="1">
      <c r="A6790" s="169"/>
      <c r="B6790" s="259">
        <f t="shared" si="26"/>
        <v>3929</v>
      </c>
      <c r="C6790" s="304" t="s">
        <v>5189</v>
      </c>
      <c r="D6790" s="303" t="s">
        <v>16777</v>
      </c>
      <c r="E6790" s="304" t="s">
        <v>266</v>
      </c>
      <c r="F6790" s="160" t="s">
        <v>16778</v>
      </c>
      <c r="G6790" s="160" t="s">
        <v>14816</v>
      </c>
      <c r="H6790" s="300">
        <v>96.62</v>
      </c>
      <c r="I6790" s="209">
        <v>45253</v>
      </c>
      <c r="J6790" s="316" t="s">
        <v>16755</v>
      </c>
      <c r="K6790" s="160"/>
      <c r="M6790" s="385"/>
      <c r="N6790" s="75"/>
      <c r="O6790" s="160" t="s">
        <v>11386</v>
      </c>
      <c r="P6790" s="160" t="s">
        <v>67</v>
      </c>
      <c r="Q6790" s="160" t="s">
        <v>62</v>
      </c>
      <c r="R6790" s="160" t="s">
        <v>272</v>
      </c>
    </row>
    <row r="6791" spans="1:18" s="98" customFormat="1" ht="69" customHeight="1">
      <c r="A6791" s="169"/>
      <c r="B6791" s="259">
        <f t="shared" si="26"/>
        <v>3930</v>
      </c>
      <c r="C6791" s="207" t="s">
        <v>11058</v>
      </c>
      <c r="D6791" s="303" t="s">
        <v>16250</v>
      </c>
      <c r="E6791" s="304" t="s">
        <v>266</v>
      </c>
      <c r="F6791" s="160" t="s">
        <v>16779</v>
      </c>
      <c r="G6791" s="160" t="s">
        <v>14816</v>
      </c>
      <c r="H6791" s="300">
        <v>96.62</v>
      </c>
      <c r="I6791" s="209">
        <v>45253</v>
      </c>
      <c r="J6791" s="316" t="s">
        <v>16755</v>
      </c>
      <c r="K6791" s="160"/>
      <c r="M6791" s="385"/>
      <c r="N6791" s="75"/>
      <c r="O6791" s="160" t="s">
        <v>11386</v>
      </c>
      <c r="P6791" s="160" t="s">
        <v>67</v>
      </c>
      <c r="Q6791" s="160" t="s">
        <v>23</v>
      </c>
      <c r="R6791" s="160" t="s">
        <v>272</v>
      </c>
    </row>
    <row r="6792" spans="1:18" s="98" customFormat="1" ht="69" customHeight="1">
      <c r="A6792" s="169"/>
      <c r="B6792" s="259">
        <f t="shared" si="26"/>
        <v>3931</v>
      </c>
      <c r="C6792" s="207" t="s">
        <v>1333</v>
      </c>
      <c r="D6792" s="303" t="s">
        <v>16252</v>
      </c>
      <c r="E6792" s="304" t="s">
        <v>266</v>
      </c>
      <c r="F6792" s="160" t="s">
        <v>16780</v>
      </c>
      <c r="G6792" s="160" t="s">
        <v>14816</v>
      </c>
      <c r="H6792" s="300">
        <v>96.62</v>
      </c>
      <c r="I6792" s="209">
        <v>45253</v>
      </c>
      <c r="J6792" s="316" t="s">
        <v>16755</v>
      </c>
      <c r="K6792" s="160"/>
      <c r="M6792" s="385"/>
      <c r="N6792" s="75"/>
      <c r="O6792" s="160" t="s">
        <v>11386</v>
      </c>
      <c r="P6792" s="160" t="s">
        <v>67</v>
      </c>
      <c r="Q6792" s="160" t="s">
        <v>25</v>
      </c>
      <c r="R6792" s="160" t="s">
        <v>272</v>
      </c>
    </row>
    <row r="6793" spans="1:18" s="98" customFormat="1" ht="69" customHeight="1">
      <c r="A6793" s="169"/>
      <c r="B6793" s="259">
        <f t="shared" si="26"/>
        <v>3932</v>
      </c>
      <c r="C6793" s="207" t="s">
        <v>1593</v>
      </c>
      <c r="D6793" s="303" t="s">
        <v>16256</v>
      </c>
      <c r="E6793" s="304" t="s">
        <v>266</v>
      </c>
      <c r="F6793" s="160" t="s">
        <v>16781</v>
      </c>
      <c r="G6793" s="160" t="s">
        <v>14816</v>
      </c>
      <c r="H6793" s="300">
        <v>96.62</v>
      </c>
      <c r="I6793" s="209">
        <v>45253</v>
      </c>
      <c r="J6793" s="316" t="s">
        <v>16755</v>
      </c>
      <c r="K6793" s="160"/>
      <c r="M6793" s="385"/>
      <c r="N6793" s="75"/>
      <c r="O6793" s="160" t="s">
        <v>11386</v>
      </c>
      <c r="P6793" s="160" t="s">
        <v>67</v>
      </c>
      <c r="Q6793" s="160" t="s">
        <v>27</v>
      </c>
      <c r="R6793" s="160" t="s">
        <v>272</v>
      </c>
    </row>
    <row r="6794" spans="1:18" s="98" customFormat="1" ht="69" customHeight="1">
      <c r="A6794" s="169"/>
      <c r="B6794" s="259">
        <f t="shared" si="26"/>
        <v>3933</v>
      </c>
      <c r="C6794" s="207" t="s">
        <v>9322</v>
      </c>
      <c r="D6794" s="303" t="s">
        <v>16782</v>
      </c>
      <c r="E6794" s="304" t="s">
        <v>266</v>
      </c>
      <c r="F6794" s="160" t="s">
        <v>16783</v>
      </c>
      <c r="G6794" s="160" t="s">
        <v>14816</v>
      </c>
      <c r="H6794" s="300">
        <v>96.62</v>
      </c>
      <c r="I6794" s="209">
        <v>45253</v>
      </c>
      <c r="J6794" s="316" t="s">
        <v>16755</v>
      </c>
      <c r="K6794" s="160"/>
      <c r="M6794" s="385"/>
      <c r="N6794" s="75"/>
      <c r="O6794" s="160" t="s">
        <v>11386</v>
      </c>
      <c r="P6794" s="160" t="s">
        <v>67</v>
      </c>
      <c r="Q6794" s="160" t="s">
        <v>114</v>
      </c>
      <c r="R6794" s="160" t="s">
        <v>272</v>
      </c>
    </row>
    <row r="6795" spans="1:18" s="98" customFormat="1" ht="69" customHeight="1">
      <c r="A6795" s="169"/>
      <c r="B6795" s="259">
        <f t="shared" si="26"/>
        <v>3934</v>
      </c>
      <c r="C6795" s="207" t="s">
        <v>9436</v>
      </c>
      <c r="D6795" s="303" t="s">
        <v>5386</v>
      </c>
      <c r="E6795" s="304" t="s">
        <v>266</v>
      </c>
      <c r="F6795" s="160" t="s">
        <v>16784</v>
      </c>
      <c r="G6795" s="160" t="s">
        <v>14816</v>
      </c>
      <c r="H6795" s="300">
        <v>96.62</v>
      </c>
      <c r="I6795" s="209">
        <v>45253</v>
      </c>
      <c r="J6795" s="316" t="s">
        <v>16755</v>
      </c>
      <c r="K6795" s="160"/>
      <c r="M6795" s="385"/>
      <c r="N6795" s="75"/>
      <c r="O6795" s="160" t="s">
        <v>11386</v>
      </c>
      <c r="P6795" s="160" t="s">
        <v>67</v>
      </c>
      <c r="Q6795" s="160" t="s">
        <v>116</v>
      </c>
      <c r="R6795" s="160" t="s">
        <v>272</v>
      </c>
    </row>
    <row r="6796" spans="1:18" s="98" customFormat="1" ht="69" customHeight="1">
      <c r="A6796" s="169"/>
      <c r="B6796" s="259">
        <f t="shared" si="26"/>
        <v>3935</v>
      </c>
      <c r="C6796" s="207" t="s">
        <v>9596</v>
      </c>
      <c r="D6796" s="303" t="s">
        <v>10935</v>
      </c>
      <c r="E6796" s="304" t="s">
        <v>266</v>
      </c>
      <c r="F6796" s="160" t="s">
        <v>16785</v>
      </c>
      <c r="G6796" s="160" t="s">
        <v>14816</v>
      </c>
      <c r="H6796" s="300">
        <v>96.62</v>
      </c>
      <c r="I6796" s="209">
        <v>45253</v>
      </c>
      <c r="J6796" s="316" t="s">
        <v>16755</v>
      </c>
      <c r="K6796" s="160"/>
      <c r="M6796" s="385"/>
      <c r="N6796" s="75"/>
      <c r="O6796" s="160" t="s">
        <v>11386</v>
      </c>
      <c r="P6796" s="160" t="s">
        <v>67</v>
      </c>
      <c r="Q6796" s="160" t="s">
        <v>118</v>
      </c>
      <c r="R6796" s="160" t="s">
        <v>272</v>
      </c>
    </row>
    <row r="6797" spans="1:18" s="98" customFormat="1" ht="69" customHeight="1">
      <c r="A6797" s="169"/>
      <c r="B6797" s="259">
        <f t="shared" si="26"/>
        <v>3936</v>
      </c>
      <c r="C6797" s="304" t="s">
        <v>9967</v>
      </c>
      <c r="D6797" s="303" t="s">
        <v>12150</v>
      </c>
      <c r="E6797" s="304" t="s">
        <v>266</v>
      </c>
      <c r="F6797" s="160" t="s">
        <v>16786</v>
      </c>
      <c r="G6797" s="160" t="s">
        <v>14816</v>
      </c>
      <c r="H6797" s="300">
        <v>96.62</v>
      </c>
      <c r="I6797" s="209">
        <v>45253</v>
      </c>
      <c r="J6797" s="316" t="s">
        <v>16755</v>
      </c>
      <c r="K6797" s="160"/>
      <c r="M6797" s="385"/>
      <c r="N6797" s="75"/>
      <c r="O6797" s="160" t="s">
        <v>11386</v>
      </c>
      <c r="P6797" s="160" t="s">
        <v>67</v>
      </c>
      <c r="Q6797" s="160" t="s">
        <v>119</v>
      </c>
      <c r="R6797" s="160" t="s">
        <v>272</v>
      </c>
    </row>
    <row r="6798" spans="1:18" s="98" customFormat="1" ht="69" customHeight="1">
      <c r="A6798" s="169"/>
      <c r="B6798" s="259">
        <f t="shared" si="26"/>
        <v>3937</v>
      </c>
      <c r="C6798" s="304" t="s">
        <v>10944</v>
      </c>
      <c r="D6798" s="303" t="s">
        <v>10942</v>
      </c>
      <c r="E6798" s="304" t="s">
        <v>266</v>
      </c>
      <c r="F6798" s="160" t="s">
        <v>16787</v>
      </c>
      <c r="G6798" s="160" t="s">
        <v>14816</v>
      </c>
      <c r="H6798" s="300">
        <v>96.62</v>
      </c>
      <c r="I6798" s="209">
        <v>45253</v>
      </c>
      <c r="J6798" s="316" t="s">
        <v>16755</v>
      </c>
      <c r="K6798" s="160"/>
      <c r="M6798" s="385"/>
      <c r="N6798" s="75"/>
      <c r="O6798" s="160" t="s">
        <v>11386</v>
      </c>
      <c r="P6798" s="160" t="s">
        <v>67</v>
      </c>
      <c r="Q6798" s="160" t="s">
        <v>120</v>
      </c>
      <c r="R6798" s="160" t="s">
        <v>272</v>
      </c>
    </row>
    <row r="6799" spans="1:18" s="98" customFormat="1" ht="69" customHeight="1">
      <c r="A6799" s="169"/>
      <c r="B6799" s="259">
        <f t="shared" si="26"/>
        <v>3938</v>
      </c>
      <c r="C6799" s="304" t="s">
        <v>10418</v>
      </c>
      <c r="D6799" s="303" t="s">
        <v>12153</v>
      </c>
      <c r="E6799" s="304" t="s">
        <v>266</v>
      </c>
      <c r="F6799" s="160" t="s">
        <v>16788</v>
      </c>
      <c r="G6799" s="160" t="s">
        <v>14816</v>
      </c>
      <c r="H6799" s="300">
        <v>96.62</v>
      </c>
      <c r="I6799" s="209">
        <v>45253</v>
      </c>
      <c r="J6799" s="316" t="s">
        <v>16755</v>
      </c>
      <c r="K6799" s="160"/>
      <c r="M6799" s="385"/>
      <c r="N6799" s="75"/>
      <c r="O6799" s="160" t="s">
        <v>11386</v>
      </c>
      <c r="P6799" s="160" t="s">
        <v>67</v>
      </c>
      <c r="Q6799" s="160" t="s">
        <v>121</v>
      </c>
      <c r="R6799" s="160" t="s">
        <v>272</v>
      </c>
    </row>
    <row r="6800" spans="1:18" s="98" customFormat="1" ht="69" customHeight="1">
      <c r="A6800" s="169"/>
      <c r="B6800" s="259">
        <f t="shared" si="26"/>
        <v>3939</v>
      </c>
      <c r="C6800" s="207" t="s">
        <v>15623</v>
      </c>
      <c r="D6800" s="303" t="s">
        <v>16282</v>
      </c>
      <c r="E6800" s="304" t="s">
        <v>266</v>
      </c>
      <c r="F6800" s="160" t="s">
        <v>16789</v>
      </c>
      <c r="G6800" s="160" t="s">
        <v>14816</v>
      </c>
      <c r="H6800" s="300">
        <v>96.62</v>
      </c>
      <c r="I6800" s="209">
        <v>45253</v>
      </c>
      <c r="J6800" s="316" t="s">
        <v>16755</v>
      </c>
      <c r="K6800" s="160"/>
      <c r="M6800" s="385"/>
      <c r="N6800" s="75"/>
      <c r="O6800" s="160" t="s">
        <v>11386</v>
      </c>
      <c r="P6800" s="160" t="s">
        <v>67</v>
      </c>
      <c r="Q6800" s="160" t="s">
        <v>43</v>
      </c>
      <c r="R6800" s="160" t="s">
        <v>272</v>
      </c>
    </row>
    <row r="6801" spans="1:18" s="98" customFormat="1" ht="69" customHeight="1">
      <c r="A6801" s="169"/>
      <c r="B6801" s="259">
        <f t="shared" si="26"/>
        <v>3940</v>
      </c>
      <c r="C6801" s="304" t="s">
        <v>11055</v>
      </c>
      <c r="D6801" s="303" t="s">
        <v>11686</v>
      </c>
      <c r="E6801" s="304" t="s">
        <v>266</v>
      </c>
      <c r="F6801" s="160" t="s">
        <v>16790</v>
      </c>
      <c r="G6801" s="160" t="s">
        <v>14816</v>
      </c>
      <c r="H6801" s="300">
        <v>96.62</v>
      </c>
      <c r="I6801" s="209">
        <v>45253</v>
      </c>
      <c r="J6801" s="316" t="s">
        <v>16791</v>
      </c>
      <c r="K6801" s="160"/>
      <c r="M6801" s="385"/>
      <c r="N6801" s="75"/>
      <c r="O6801" s="160" t="s">
        <v>11386</v>
      </c>
      <c r="P6801" s="160" t="s">
        <v>67</v>
      </c>
      <c r="Q6801" s="160" t="s">
        <v>45</v>
      </c>
      <c r="R6801" s="160" t="s">
        <v>272</v>
      </c>
    </row>
    <row r="6802" spans="1:18" s="98" customFormat="1" ht="69" customHeight="1">
      <c r="A6802" s="169"/>
      <c r="B6802" s="259">
        <f t="shared" si="26"/>
        <v>3941</v>
      </c>
      <c r="C6802" s="207" t="s">
        <v>7189</v>
      </c>
      <c r="D6802" s="303" t="s">
        <v>10917</v>
      </c>
      <c r="E6802" s="304" t="s">
        <v>266</v>
      </c>
      <c r="F6802" s="160" t="s">
        <v>16792</v>
      </c>
      <c r="G6802" s="160" t="s">
        <v>14816</v>
      </c>
      <c r="H6802" s="300">
        <v>96.62</v>
      </c>
      <c r="I6802" s="209">
        <v>45253</v>
      </c>
      <c r="J6802" s="316" t="s">
        <v>16791</v>
      </c>
      <c r="K6802" s="160"/>
      <c r="M6802" s="385"/>
      <c r="N6802" s="75"/>
      <c r="O6802" s="160" t="s">
        <v>11386</v>
      </c>
      <c r="P6802" s="160" t="s">
        <v>67</v>
      </c>
      <c r="Q6802" s="160" t="s">
        <v>97</v>
      </c>
      <c r="R6802" s="160" t="s">
        <v>272</v>
      </c>
    </row>
    <row r="6803" spans="1:18" s="98" customFormat="1" ht="69" customHeight="1">
      <c r="A6803" s="169"/>
      <c r="B6803" s="259">
        <f t="shared" si="26"/>
        <v>3942</v>
      </c>
      <c r="C6803" s="160" t="s">
        <v>10947</v>
      </c>
      <c r="D6803" s="303" t="s">
        <v>16793</v>
      </c>
      <c r="E6803" s="304" t="s">
        <v>266</v>
      </c>
      <c r="F6803" s="160" t="s">
        <v>16794</v>
      </c>
      <c r="G6803" s="160" t="s">
        <v>14816</v>
      </c>
      <c r="H6803" s="300">
        <v>96.62</v>
      </c>
      <c r="I6803" s="209">
        <v>45253</v>
      </c>
      <c r="J6803" s="316" t="s">
        <v>16791</v>
      </c>
      <c r="K6803" s="160"/>
      <c r="M6803" s="385"/>
      <c r="N6803" s="75"/>
      <c r="O6803" s="160" t="s">
        <v>11386</v>
      </c>
      <c r="P6803" s="160" t="s">
        <v>67</v>
      </c>
      <c r="Q6803" s="160" t="s">
        <v>100</v>
      </c>
      <c r="R6803" s="160" t="s">
        <v>272</v>
      </c>
    </row>
    <row r="6804" spans="1:18" s="98" customFormat="1" ht="69" customHeight="1">
      <c r="A6804" s="169"/>
      <c r="B6804" s="259">
        <f t="shared" si="26"/>
        <v>3943</v>
      </c>
      <c r="C6804" s="207" t="s">
        <v>11908</v>
      </c>
      <c r="D6804" s="303" t="s">
        <v>16795</v>
      </c>
      <c r="E6804" s="304" t="s">
        <v>266</v>
      </c>
      <c r="F6804" s="160" t="s">
        <v>16796</v>
      </c>
      <c r="G6804" s="160" t="s">
        <v>14816</v>
      </c>
      <c r="H6804" s="300">
        <v>96.62</v>
      </c>
      <c r="I6804" s="209">
        <v>45253</v>
      </c>
      <c r="J6804" s="316" t="s">
        <v>16791</v>
      </c>
      <c r="K6804" s="160"/>
      <c r="M6804" s="385"/>
      <c r="N6804" s="75"/>
      <c r="O6804" s="160" t="s">
        <v>11386</v>
      </c>
      <c r="P6804" s="160" t="s">
        <v>67</v>
      </c>
      <c r="Q6804" s="160" t="s">
        <v>103</v>
      </c>
      <c r="R6804" s="160" t="s">
        <v>272</v>
      </c>
    </row>
    <row r="6805" spans="1:18" s="98" customFormat="1" ht="69" customHeight="1">
      <c r="A6805" s="169"/>
      <c r="B6805" s="259">
        <f t="shared" si="26"/>
        <v>3944</v>
      </c>
      <c r="C6805" s="160" t="s">
        <v>10937</v>
      </c>
      <c r="D6805" s="303" t="s">
        <v>10921</v>
      </c>
      <c r="E6805" s="304" t="s">
        <v>266</v>
      </c>
      <c r="F6805" s="160" t="s">
        <v>16797</v>
      </c>
      <c r="G6805" s="160" t="s">
        <v>14816</v>
      </c>
      <c r="H6805" s="300">
        <v>96.62</v>
      </c>
      <c r="I6805" s="209">
        <v>45253</v>
      </c>
      <c r="J6805" s="316" t="s">
        <v>16791</v>
      </c>
      <c r="K6805" s="160"/>
      <c r="M6805" s="385"/>
      <c r="N6805" s="75"/>
      <c r="O6805" s="160" t="s">
        <v>11386</v>
      </c>
      <c r="P6805" s="160" t="s">
        <v>67</v>
      </c>
      <c r="Q6805" s="160" t="s">
        <v>104</v>
      </c>
      <c r="R6805" s="160" t="s">
        <v>272</v>
      </c>
    </row>
    <row r="6806" spans="1:18" s="98" customFormat="1" ht="69" customHeight="1">
      <c r="A6806" s="169"/>
      <c r="B6806" s="259">
        <f t="shared" si="26"/>
        <v>3945</v>
      </c>
      <c r="C6806" s="160" t="s">
        <v>8057</v>
      </c>
      <c r="D6806" s="303" t="s">
        <v>16798</v>
      </c>
      <c r="E6806" s="304" t="s">
        <v>266</v>
      </c>
      <c r="F6806" s="160" t="s">
        <v>16799</v>
      </c>
      <c r="G6806" s="160" t="s">
        <v>14816</v>
      </c>
      <c r="H6806" s="300">
        <v>96.62</v>
      </c>
      <c r="I6806" s="209">
        <v>45253</v>
      </c>
      <c r="J6806" s="316" t="s">
        <v>16791</v>
      </c>
      <c r="K6806" s="160"/>
      <c r="M6806" s="385"/>
      <c r="N6806" s="75"/>
      <c r="O6806" s="160" t="s">
        <v>11386</v>
      </c>
      <c r="P6806" s="160" t="s">
        <v>67</v>
      </c>
      <c r="Q6806" s="160" t="s">
        <v>105</v>
      </c>
      <c r="R6806" s="160" t="s">
        <v>272</v>
      </c>
    </row>
    <row r="6807" spans="1:18" s="98" customFormat="1" ht="69" customHeight="1">
      <c r="A6807" s="169"/>
      <c r="B6807" s="259">
        <f t="shared" si="26"/>
        <v>3946</v>
      </c>
      <c r="C6807" s="160" t="s">
        <v>11568</v>
      </c>
      <c r="D6807" s="303" t="s">
        <v>16800</v>
      </c>
      <c r="E6807" s="304" t="s">
        <v>266</v>
      </c>
      <c r="F6807" s="160" t="s">
        <v>16801</v>
      </c>
      <c r="G6807" s="160" t="s">
        <v>14816</v>
      </c>
      <c r="H6807" s="300">
        <v>96.62</v>
      </c>
      <c r="I6807" s="209">
        <v>45253</v>
      </c>
      <c r="J6807" s="316" t="s">
        <v>16791</v>
      </c>
      <c r="K6807" s="160"/>
      <c r="M6807" s="385"/>
      <c r="N6807" s="75"/>
      <c r="O6807" s="160" t="s">
        <v>11386</v>
      </c>
      <c r="P6807" s="160" t="s">
        <v>67</v>
      </c>
      <c r="Q6807" s="160" t="s">
        <v>107</v>
      </c>
      <c r="R6807" s="160" t="s">
        <v>272</v>
      </c>
    </row>
    <row r="6808" spans="1:18" s="98" customFormat="1" ht="69" customHeight="1">
      <c r="A6808" s="169"/>
      <c r="B6808" s="259">
        <f t="shared" si="26"/>
        <v>3947</v>
      </c>
      <c r="C6808" s="207" t="s">
        <v>13435</v>
      </c>
      <c r="D6808" s="303" t="s">
        <v>16802</v>
      </c>
      <c r="E6808" s="304" t="s">
        <v>266</v>
      </c>
      <c r="F6808" s="160" t="s">
        <v>16803</v>
      </c>
      <c r="G6808" s="160" t="s">
        <v>14816</v>
      </c>
      <c r="H6808" s="300">
        <v>96.62</v>
      </c>
      <c r="I6808" s="209">
        <v>45253</v>
      </c>
      <c r="J6808" s="316" t="s">
        <v>16791</v>
      </c>
      <c r="K6808" s="160"/>
      <c r="M6808" s="385"/>
      <c r="N6808" s="75"/>
      <c r="O6808" s="160" t="s">
        <v>11386</v>
      </c>
      <c r="P6808" s="160" t="s">
        <v>67</v>
      </c>
      <c r="Q6808" s="160" t="s">
        <v>13</v>
      </c>
      <c r="R6808" s="160" t="s">
        <v>272</v>
      </c>
    </row>
    <row r="6809" spans="1:18" s="98" customFormat="1" ht="69" customHeight="1">
      <c r="A6809" s="169"/>
      <c r="B6809" s="259">
        <f t="shared" si="26"/>
        <v>3948</v>
      </c>
      <c r="C6809" s="207" t="s">
        <v>581</v>
      </c>
      <c r="D6809" s="303" t="s">
        <v>16804</v>
      </c>
      <c r="E6809" s="304" t="s">
        <v>266</v>
      </c>
      <c r="F6809" s="160" t="s">
        <v>16805</v>
      </c>
      <c r="G6809" s="160" t="s">
        <v>14816</v>
      </c>
      <c r="H6809" s="300">
        <v>96.62</v>
      </c>
      <c r="I6809" s="209">
        <v>45253</v>
      </c>
      <c r="J6809" s="316" t="s">
        <v>16791</v>
      </c>
      <c r="K6809" s="160"/>
      <c r="M6809" s="385"/>
      <c r="N6809" s="75"/>
      <c r="O6809" s="160" t="s">
        <v>11386</v>
      </c>
      <c r="P6809" s="160" t="s">
        <v>67</v>
      </c>
      <c r="Q6809" s="160" t="s">
        <v>18</v>
      </c>
      <c r="R6809" s="160" t="s">
        <v>272</v>
      </c>
    </row>
    <row r="6810" spans="1:18" s="98" customFormat="1" ht="69" customHeight="1">
      <c r="A6810" s="169"/>
      <c r="B6810" s="259">
        <f t="shared" si="26"/>
        <v>3949</v>
      </c>
      <c r="C6810" s="207" t="s">
        <v>14828</v>
      </c>
      <c r="D6810" s="303" t="s">
        <v>16806</v>
      </c>
      <c r="E6810" s="304" t="s">
        <v>266</v>
      </c>
      <c r="F6810" s="160" t="s">
        <v>14830</v>
      </c>
      <c r="G6810" s="160" t="s">
        <v>14816</v>
      </c>
      <c r="H6810" s="300">
        <v>96.62</v>
      </c>
      <c r="I6810" s="209">
        <v>45253</v>
      </c>
      <c r="J6810" s="316" t="s">
        <v>16791</v>
      </c>
      <c r="K6810" s="160"/>
      <c r="M6810" s="385"/>
      <c r="N6810" s="75"/>
      <c r="O6810" s="160" t="s">
        <v>11386</v>
      </c>
      <c r="P6810" s="160" t="s">
        <v>67</v>
      </c>
      <c r="Q6810" s="160" t="s">
        <v>68</v>
      </c>
      <c r="R6810" s="160" t="s">
        <v>272</v>
      </c>
    </row>
    <row r="6811" spans="1:18" s="98" customFormat="1" ht="69" customHeight="1">
      <c r="A6811" s="169"/>
      <c r="B6811" s="259">
        <f t="shared" si="26"/>
        <v>3950</v>
      </c>
      <c r="C6811" s="304" t="s">
        <v>16807</v>
      </c>
      <c r="D6811" s="303" t="s">
        <v>16808</v>
      </c>
      <c r="E6811" s="304" t="s">
        <v>266</v>
      </c>
      <c r="F6811" s="160" t="s">
        <v>14833</v>
      </c>
      <c r="G6811" s="160" t="s">
        <v>14816</v>
      </c>
      <c r="H6811" s="300">
        <v>96.62</v>
      </c>
      <c r="I6811" s="209">
        <v>45253</v>
      </c>
      <c r="J6811" s="316" t="s">
        <v>16791</v>
      </c>
      <c r="K6811" s="160" t="s">
        <v>10804</v>
      </c>
      <c r="M6811" s="385"/>
      <c r="N6811" s="75"/>
      <c r="O6811" s="160" t="s">
        <v>11386</v>
      </c>
      <c r="P6811" s="160" t="s">
        <v>67</v>
      </c>
      <c r="Q6811" s="160" t="s">
        <v>70</v>
      </c>
      <c r="R6811" s="160" t="s">
        <v>272</v>
      </c>
    </row>
    <row r="6812" spans="1:18" s="98" customFormat="1" ht="69" customHeight="1">
      <c r="A6812" s="169"/>
      <c r="B6812" s="259">
        <f t="shared" si="26"/>
        <v>3951</v>
      </c>
      <c r="C6812" s="160" t="s">
        <v>6062</v>
      </c>
      <c r="D6812" s="303" t="s">
        <v>16809</v>
      </c>
      <c r="E6812" s="304" t="s">
        <v>266</v>
      </c>
      <c r="F6812" s="160" t="s">
        <v>16810</v>
      </c>
      <c r="G6812" s="160" t="s">
        <v>14816</v>
      </c>
      <c r="H6812" s="300">
        <v>96.62</v>
      </c>
      <c r="I6812" s="209">
        <v>45253</v>
      </c>
      <c r="J6812" s="316" t="s">
        <v>16791</v>
      </c>
      <c r="K6812" s="160"/>
      <c r="M6812" s="385"/>
      <c r="N6812" s="75"/>
      <c r="O6812" s="160" t="s">
        <v>11386</v>
      </c>
      <c r="P6812" s="160" t="s">
        <v>67</v>
      </c>
      <c r="Q6812" s="160" t="s">
        <v>72</v>
      </c>
      <c r="R6812" s="160" t="s">
        <v>272</v>
      </c>
    </row>
    <row r="6813" spans="1:18" s="98" customFormat="1" ht="69" customHeight="1">
      <c r="A6813" s="169"/>
      <c r="B6813" s="259">
        <f t="shared" si="26"/>
        <v>3952</v>
      </c>
      <c r="C6813" s="207" t="s">
        <v>8797</v>
      </c>
      <c r="D6813" s="303" t="s">
        <v>4650</v>
      </c>
      <c r="E6813" s="304" t="s">
        <v>266</v>
      </c>
      <c r="F6813" s="160" t="s">
        <v>16811</v>
      </c>
      <c r="G6813" s="160" t="s">
        <v>14816</v>
      </c>
      <c r="H6813" s="300">
        <v>96.62</v>
      </c>
      <c r="I6813" s="209">
        <v>45253</v>
      </c>
      <c r="J6813" s="316" t="s">
        <v>16791</v>
      </c>
      <c r="K6813" s="160"/>
      <c r="M6813" s="385"/>
      <c r="N6813" s="75"/>
      <c r="O6813" s="160" t="s">
        <v>11386</v>
      </c>
      <c r="P6813" s="160" t="s">
        <v>67</v>
      </c>
      <c r="Q6813" s="160" t="s">
        <v>110</v>
      </c>
      <c r="R6813" s="160" t="s">
        <v>272</v>
      </c>
    </row>
    <row r="6814" spans="1:18" s="98" customFormat="1" ht="69" customHeight="1">
      <c r="A6814" s="169"/>
      <c r="B6814" s="259">
        <f t="shared" si="26"/>
        <v>3953</v>
      </c>
      <c r="C6814" s="207" t="s">
        <v>5558</v>
      </c>
      <c r="D6814" s="303" t="s">
        <v>16812</v>
      </c>
      <c r="E6814" s="304" t="s">
        <v>266</v>
      </c>
      <c r="F6814" s="160" t="s">
        <v>14819</v>
      </c>
      <c r="G6814" s="160" t="s">
        <v>14816</v>
      </c>
      <c r="H6814" s="300">
        <v>96.62</v>
      </c>
      <c r="I6814" s="209">
        <v>45253</v>
      </c>
      <c r="J6814" s="316" t="s">
        <v>16791</v>
      </c>
      <c r="K6814" s="160"/>
      <c r="M6814" s="385"/>
      <c r="N6814" s="75"/>
      <c r="O6814" s="160" t="s">
        <v>11386</v>
      </c>
      <c r="P6814" s="160" t="s">
        <v>67</v>
      </c>
      <c r="Q6814" s="160" t="s">
        <v>64</v>
      </c>
      <c r="R6814" s="160" t="s">
        <v>272</v>
      </c>
    </row>
    <row r="6815" spans="1:18" s="98" customFormat="1" ht="69" customHeight="1">
      <c r="A6815" s="169"/>
      <c r="B6815" s="259">
        <f t="shared" si="26"/>
        <v>3954</v>
      </c>
      <c r="C6815" s="207" t="s">
        <v>13562</v>
      </c>
      <c r="D6815" s="303" t="s">
        <v>12155</v>
      </c>
      <c r="E6815" s="304" t="s">
        <v>266</v>
      </c>
      <c r="F6815" s="160" t="s">
        <v>16813</v>
      </c>
      <c r="G6815" s="160" t="s">
        <v>14816</v>
      </c>
      <c r="H6815" s="300">
        <v>96.62</v>
      </c>
      <c r="I6815" s="209">
        <v>45253</v>
      </c>
      <c r="J6815" s="316" t="s">
        <v>16791</v>
      </c>
      <c r="K6815" s="160"/>
      <c r="M6815" s="385"/>
      <c r="N6815" s="75"/>
      <c r="O6815" s="160" t="s">
        <v>11386</v>
      </c>
      <c r="P6815" s="160" t="s">
        <v>67</v>
      </c>
      <c r="Q6815" s="160" t="s">
        <v>88</v>
      </c>
      <c r="R6815" s="160" t="s">
        <v>272</v>
      </c>
    </row>
    <row r="6816" spans="1:18" s="98" customFormat="1" ht="69" customHeight="1">
      <c r="A6816" s="169"/>
      <c r="B6816" s="259">
        <f t="shared" si="26"/>
        <v>3955</v>
      </c>
      <c r="C6816" s="207" t="s">
        <v>11933</v>
      </c>
      <c r="D6816" s="303" t="s">
        <v>12157</v>
      </c>
      <c r="E6816" s="304" t="s">
        <v>266</v>
      </c>
      <c r="F6816" s="160" t="s">
        <v>16814</v>
      </c>
      <c r="G6816" s="160" t="s">
        <v>14816</v>
      </c>
      <c r="H6816" s="300">
        <v>96.62</v>
      </c>
      <c r="I6816" s="209">
        <v>45253</v>
      </c>
      <c r="J6816" s="316" t="s">
        <v>16791</v>
      </c>
      <c r="K6816" s="160"/>
      <c r="M6816" s="385"/>
      <c r="N6816" s="75"/>
      <c r="O6816" s="160" t="s">
        <v>11386</v>
      </c>
      <c r="P6816" s="160" t="s">
        <v>67</v>
      </c>
      <c r="Q6816" s="160" t="s">
        <v>123</v>
      </c>
      <c r="R6816" s="160" t="s">
        <v>272</v>
      </c>
    </row>
    <row r="6817" spans="1:18" s="98" customFormat="1" ht="69" customHeight="1">
      <c r="A6817" s="169"/>
      <c r="B6817" s="259">
        <f t="shared" si="26"/>
        <v>3956</v>
      </c>
      <c r="C6817" s="160" t="s">
        <v>6888</v>
      </c>
      <c r="D6817" s="303" t="s">
        <v>16815</v>
      </c>
      <c r="E6817" s="304" t="s">
        <v>266</v>
      </c>
      <c r="F6817" s="160" t="s">
        <v>14839</v>
      </c>
      <c r="G6817" s="160" t="s">
        <v>14816</v>
      </c>
      <c r="H6817" s="300">
        <v>96.62</v>
      </c>
      <c r="I6817" s="209">
        <v>45253</v>
      </c>
      <c r="J6817" s="316" t="s">
        <v>16791</v>
      </c>
      <c r="K6817" s="160"/>
      <c r="M6817" s="385"/>
      <c r="N6817" s="75"/>
      <c r="O6817" s="160" t="s">
        <v>11386</v>
      </c>
      <c r="P6817" s="160" t="s">
        <v>67</v>
      </c>
      <c r="Q6817" s="160" t="s">
        <v>84</v>
      </c>
      <c r="R6817" s="160" t="s">
        <v>272</v>
      </c>
    </row>
    <row r="6818" spans="1:18" s="98" customFormat="1" ht="69" customHeight="1">
      <c r="A6818" s="169"/>
      <c r="B6818" s="259">
        <f t="shared" si="26"/>
        <v>3957</v>
      </c>
      <c r="C6818" s="304" t="s">
        <v>10634</v>
      </c>
      <c r="D6818" s="303" t="s">
        <v>16816</v>
      </c>
      <c r="E6818" s="304" t="s">
        <v>266</v>
      </c>
      <c r="F6818" s="160" t="s">
        <v>14841</v>
      </c>
      <c r="G6818" s="160" t="s">
        <v>14816</v>
      </c>
      <c r="H6818" s="300">
        <v>96.62</v>
      </c>
      <c r="I6818" s="209">
        <v>45253</v>
      </c>
      <c r="J6818" s="316" t="s">
        <v>16791</v>
      </c>
      <c r="K6818" s="160"/>
      <c r="M6818" s="385"/>
      <c r="N6818" s="75"/>
      <c r="O6818" s="160" t="s">
        <v>11386</v>
      </c>
      <c r="P6818" s="160" t="s">
        <v>67</v>
      </c>
      <c r="Q6818" s="160" t="s">
        <v>93</v>
      </c>
      <c r="R6818" s="160" t="s">
        <v>272</v>
      </c>
    </row>
    <row r="6819" spans="1:18" s="98" customFormat="1" ht="69" customHeight="1">
      <c r="A6819" s="169"/>
      <c r="B6819" s="259">
        <f t="shared" si="26"/>
        <v>3958</v>
      </c>
      <c r="C6819" s="304" t="s">
        <v>10639</v>
      </c>
      <c r="D6819" s="303" t="s">
        <v>16817</v>
      </c>
      <c r="E6819" s="304" t="s">
        <v>266</v>
      </c>
      <c r="F6819" s="160" t="s">
        <v>16818</v>
      </c>
      <c r="G6819" s="160" t="s">
        <v>14816</v>
      </c>
      <c r="H6819" s="300">
        <v>96.62</v>
      </c>
      <c r="I6819" s="209">
        <v>45253</v>
      </c>
      <c r="J6819" s="316" t="s">
        <v>16791</v>
      </c>
      <c r="K6819" s="160"/>
      <c r="M6819" s="385"/>
      <c r="N6819" s="75"/>
      <c r="O6819" s="160" t="s">
        <v>11386</v>
      </c>
      <c r="P6819" s="160" t="s">
        <v>67</v>
      </c>
      <c r="Q6819" s="160" t="s">
        <v>95</v>
      </c>
      <c r="R6819" s="160" t="s">
        <v>272</v>
      </c>
    </row>
    <row r="6820" spans="1:18" s="98" customFormat="1" ht="69" customHeight="1">
      <c r="A6820" s="169"/>
      <c r="B6820" s="259">
        <f t="shared" si="26"/>
        <v>3959</v>
      </c>
      <c r="C6820" s="207" t="s">
        <v>9094</v>
      </c>
      <c r="D6820" s="303" t="s">
        <v>12159</v>
      </c>
      <c r="E6820" s="304" t="s">
        <v>266</v>
      </c>
      <c r="F6820" s="160" t="s">
        <v>16819</v>
      </c>
      <c r="G6820" s="160" t="s">
        <v>14816</v>
      </c>
      <c r="H6820" s="300">
        <v>96.62</v>
      </c>
      <c r="I6820" s="209">
        <v>45253</v>
      </c>
      <c r="J6820" s="316" t="s">
        <v>16791</v>
      </c>
      <c r="K6820" s="160"/>
      <c r="M6820" s="385"/>
      <c r="N6820" s="75"/>
      <c r="O6820" s="160" t="s">
        <v>11386</v>
      </c>
      <c r="P6820" s="160" t="s">
        <v>67</v>
      </c>
      <c r="Q6820" s="160" t="s">
        <v>112</v>
      </c>
      <c r="R6820" s="160" t="s">
        <v>272</v>
      </c>
    </row>
    <row r="6821" spans="1:18" s="98" customFormat="1" ht="69" customHeight="1">
      <c r="A6821" s="169"/>
      <c r="B6821" s="259">
        <f t="shared" si="26"/>
        <v>3960</v>
      </c>
      <c r="C6821" s="304" t="s">
        <v>9004</v>
      </c>
      <c r="D6821" s="303" t="s">
        <v>4271</v>
      </c>
      <c r="E6821" s="304" t="s">
        <v>266</v>
      </c>
      <c r="F6821" s="160" t="s">
        <v>16820</v>
      </c>
      <c r="G6821" s="160" t="s">
        <v>14816</v>
      </c>
      <c r="H6821" s="300">
        <v>96.62</v>
      </c>
      <c r="I6821" s="209">
        <v>45253</v>
      </c>
      <c r="J6821" s="316" t="s">
        <v>16791</v>
      </c>
      <c r="K6821" s="160"/>
      <c r="M6821" s="385"/>
      <c r="N6821" s="75"/>
      <c r="O6821" s="160" t="s">
        <v>11386</v>
      </c>
      <c r="P6821" s="160" t="s">
        <v>67</v>
      </c>
      <c r="Q6821" s="160" t="s">
        <v>111</v>
      </c>
      <c r="R6821" s="160" t="s">
        <v>272</v>
      </c>
    </row>
    <row r="6822" spans="1:18" s="98" customFormat="1" ht="69" customHeight="1">
      <c r="A6822" s="169"/>
      <c r="B6822" s="259">
        <f t="shared" si="26"/>
        <v>3961</v>
      </c>
      <c r="C6822" s="207" t="s">
        <v>1853</v>
      </c>
      <c r="D6822" s="303" t="s">
        <v>16821</v>
      </c>
      <c r="E6822" s="304" t="s">
        <v>266</v>
      </c>
      <c r="F6822" s="160" t="s">
        <v>16822</v>
      </c>
      <c r="G6822" s="160" t="s">
        <v>14816</v>
      </c>
      <c r="H6822" s="300">
        <v>96.62</v>
      </c>
      <c r="I6822" s="209">
        <v>45253</v>
      </c>
      <c r="J6822" s="316" t="s">
        <v>16791</v>
      </c>
      <c r="K6822" s="160"/>
      <c r="M6822" s="385"/>
      <c r="N6822" s="75"/>
      <c r="O6822" s="160" t="s">
        <v>11386</v>
      </c>
      <c r="P6822" s="160" t="s">
        <v>67</v>
      </c>
      <c r="Q6822" s="160" t="s">
        <v>29</v>
      </c>
      <c r="R6822" s="160" t="s">
        <v>272</v>
      </c>
    </row>
    <row r="6823" spans="1:18" s="98" customFormat="1" ht="69" customHeight="1">
      <c r="A6823" s="169"/>
      <c r="B6823" s="259">
        <f t="shared" si="26"/>
        <v>3962</v>
      </c>
      <c r="C6823" s="207" t="s">
        <v>2182</v>
      </c>
      <c r="D6823" s="303" t="s">
        <v>16306</v>
      </c>
      <c r="E6823" s="304" t="s">
        <v>266</v>
      </c>
      <c r="F6823" s="160" t="s">
        <v>16823</v>
      </c>
      <c r="G6823" s="160" t="s">
        <v>14816</v>
      </c>
      <c r="H6823" s="300">
        <v>96.62</v>
      </c>
      <c r="I6823" s="209">
        <v>45253</v>
      </c>
      <c r="J6823" s="316" t="s">
        <v>16791</v>
      </c>
      <c r="K6823" s="160"/>
      <c r="M6823" s="385"/>
      <c r="N6823" s="75"/>
      <c r="O6823" s="160" t="s">
        <v>11386</v>
      </c>
      <c r="P6823" s="160" t="s">
        <v>67</v>
      </c>
      <c r="Q6823" s="160" t="s">
        <v>31</v>
      </c>
      <c r="R6823" s="160" t="s">
        <v>272</v>
      </c>
    </row>
    <row r="6824" spans="1:18" s="98" customFormat="1" ht="69" customHeight="1">
      <c r="A6824" s="169"/>
      <c r="B6824" s="259">
        <f t="shared" si="26"/>
        <v>3963</v>
      </c>
      <c r="C6824" s="304" t="s">
        <v>14414</v>
      </c>
      <c r="D6824" s="303" t="s">
        <v>16824</v>
      </c>
      <c r="E6824" s="304" t="s">
        <v>266</v>
      </c>
      <c r="F6824" s="160" t="s">
        <v>16825</v>
      </c>
      <c r="G6824" s="160" t="s">
        <v>14816</v>
      </c>
      <c r="H6824" s="300">
        <v>96.62</v>
      </c>
      <c r="I6824" s="209">
        <v>45253</v>
      </c>
      <c r="J6824" s="316" t="s">
        <v>16791</v>
      </c>
      <c r="K6824" s="160"/>
      <c r="M6824" s="385"/>
      <c r="N6824" s="75"/>
      <c r="O6824" s="160" t="s">
        <v>11386</v>
      </c>
      <c r="P6824" s="160" t="s">
        <v>67</v>
      </c>
      <c r="Q6824" s="160" t="s">
        <v>33</v>
      </c>
      <c r="R6824" s="160" t="s">
        <v>272</v>
      </c>
    </row>
    <row r="6825" spans="1:18" s="98" customFormat="1" ht="69" customHeight="1">
      <c r="A6825" s="169"/>
      <c r="B6825" s="259">
        <f t="shared" si="26"/>
        <v>3964</v>
      </c>
      <c r="C6825" s="207" t="s">
        <v>11050</v>
      </c>
      <c r="D6825" s="303" t="s">
        <v>11691</v>
      </c>
      <c r="E6825" s="304" t="s">
        <v>266</v>
      </c>
      <c r="F6825" s="160" t="s">
        <v>16826</v>
      </c>
      <c r="G6825" s="160" t="s">
        <v>14816</v>
      </c>
      <c r="H6825" s="300">
        <v>96.62</v>
      </c>
      <c r="I6825" s="209">
        <v>45253</v>
      </c>
      <c r="J6825" s="316" t="s">
        <v>16791</v>
      </c>
      <c r="K6825" s="160"/>
      <c r="M6825" s="385"/>
      <c r="N6825" s="75"/>
      <c r="O6825" s="160" t="s">
        <v>11386</v>
      </c>
      <c r="P6825" s="160" t="s">
        <v>67</v>
      </c>
      <c r="Q6825" s="160" t="s">
        <v>35</v>
      </c>
      <c r="R6825" s="160" t="s">
        <v>272</v>
      </c>
    </row>
    <row r="6826" spans="1:18" s="98" customFormat="1" ht="69" customHeight="1">
      <c r="A6826" s="169"/>
      <c r="B6826" s="259">
        <f t="shared" si="26"/>
        <v>3965</v>
      </c>
      <c r="C6826" s="207" t="s">
        <v>11052</v>
      </c>
      <c r="D6826" s="303" t="s">
        <v>11697</v>
      </c>
      <c r="E6826" s="304" t="s">
        <v>266</v>
      </c>
      <c r="F6826" s="160" t="s">
        <v>16827</v>
      </c>
      <c r="G6826" s="160" t="s">
        <v>14816</v>
      </c>
      <c r="H6826" s="300">
        <v>96.62</v>
      </c>
      <c r="I6826" s="209">
        <v>45253</v>
      </c>
      <c r="J6826" s="316" t="s">
        <v>16791</v>
      </c>
      <c r="K6826" s="160"/>
      <c r="M6826" s="385"/>
      <c r="N6826" s="75"/>
      <c r="O6826" s="160" t="s">
        <v>11386</v>
      </c>
      <c r="P6826" s="160" t="s">
        <v>67</v>
      </c>
      <c r="Q6826" s="160" t="s">
        <v>37</v>
      </c>
      <c r="R6826" s="160" t="s">
        <v>272</v>
      </c>
    </row>
    <row r="6827" spans="1:18" s="98" customFormat="1" ht="69" customHeight="1">
      <c r="A6827" s="169"/>
      <c r="B6827" s="259">
        <f t="shared" si="26"/>
        <v>3966</v>
      </c>
      <c r="C6827" s="304" t="s">
        <v>14945</v>
      </c>
      <c r="D6827" s="303" t="s">
        <v>11714</v>
      </c>
      <c r="E6827" s="304" t="s">
        <v>266</v>
      </c>
      <c r="F6827" s="160" t="s">
        <v>16828</v>
      </c>
      <c r="G6827" s="160" t="s">
        <v>14816</v>
      </c>
      <c r="H6827" s="300">
        <v>96.62</v>
      </c>
      <c r="I6827" s="209">
        <v>45253</v>
      </c>
      <c r="J6827" s="316" t="s">
        <v>16791</v>
      </c>
      <c r="K6827" s="160"/>
      <c r="M6827" s="385"/>
      <c r="N6827" s="75"/>
      <c r="O6827" s="160" t="s">
        <v>11386</v>
      </c>
      <c r="P6827" s="160" t="s">
        <v>67</v>
      </c>
      <c r="Q6827" s="160" t="s">
        <v>39</v>
      </c>
      <c r="R6827" s="160" t="s">
        <v>272</v>
      </c>
    </row>
    <row r="6828" spans="1:18" s="98" customFormat="1" ht="69" customHeight="1">
      <c r="A6828" s="169"/>
      <c r="B6828" s="259">
        <f t="shared" si="26"/>
        <v>3967</v>
      </c>
      <c r="C6828" s="207" t="s">
        <v>15449</v>
      </c>
      <c r="D6828" s="303" t="s">
        <v>16317</v>
      </c>
      <c r="E6828" s="304" t="s">
        <v>266</v>
      </c>
      <c r="F6828" s="160" t="s">
        <v>16829</v>
      </c>
      <c r="G6828" s="160" t="s">
        <v>14816</v>
      </c>
      <c r="H6828" s="300">
        <v>96.62</v>
      </c>
      <c r="I6828" s="209">
        <v>45253</v>
      </c>
      <c r="J6828" s="316" t="s">
        <v>16791</v>
      </c>
      <c r="K6828" s="160"/>
      <c r="M6828" s="385"/>
      <c r="N6828" s="75"/>
      <c r="O6828" s="160" t="s">
        <v>11386</v>
      </c>
      <c r="P6828" s="160" t="s">
        <v>67</v>
      </c>
      <c r="Q6828" s="160" t="s">
        <v>41</v>
      </c>
      <c r="R6828" s="160" t="s">
        <v>272</v>
      </c>
    </row>
    <row r="6829" spans="1:18" s="98" customFormat="1" ht="69" customHeight="1">
      <c r="A6829" s="169"/>
      <c r="B6829" s="259">
        <f t="shared" si="26"/>
        <v>3968</v>
      </c>
      <c r="C6829" s="207" t="s">
        <v>6261</v>
      </c>
      <c r="D6829" s="303" t="s">
        <v>16830</v>
      </c>
      <c r="E6829" s="304" t="s">
        <v>266</v>
      </c>
      <c r="F6829" s="160" t="s">
        <v>14825</v>
      </c>
      <c r="G6829" s="160" t="s">
        <v>14816</v>
      </c>
      <c r="H6829" s="300">
        <v>96.62</v>
      </c>
      <c r="I6829" s="209">
        <v>45253</v>
      </c>
      <c r="J6829" s="316" t="s">
        <v>16791</v>
      </c>
      <c r="K6829" s="160"/>
      <c r="M6829" s="385"/>
      <c r="N6829" s="75"/>
      <c r="O6829" s="160" t="s">
        <v>11386</v>
      </c>
      <c r="P6829" s="160" t="s">
        <v>67</v>
      </c>
      <c r="Q6829" s="160" t="s">
        <v>74</v>
      </c>
      <c r="R6829" s="160" t="s">
        <v>272</v>
      </c>
    </row>
    <row r="6830" spans="1:18" s="98" customFormat="1" ht="69" customHeight="1">
      <c r="A6830" s="169"/>
      <c r="B6830" s="259">
        <f t="shared" si="26"/>
        <v>3969</v>
      </c>
      <c r="C6830" s="304" t="s">
        <v>6468</v>
      </c>
      <c r="D6830" s="303" t="s">
        <v>16831</v>
      </c>
      <c r="E6830" s="304" t="s">
        <v>266</v>
      </c>
      <c r="F6830" s="160" t="s">
        <v>14823</v>
      </c>
      <c r="G6830" s="160" t="s">
        <v>14816</v>
      </c>
      <c r="H6830" s="300">
        <v>96.62</v>
      </c>
      <c r="I6830" s="209">
        <v>45253</v>
      </c>
      <c r="J6830" s="316" t="s">
        <v>16791</v>
      </c>
      <c r="K6830" s="160"/>
      <c r="M6830" s="385"/>
      <c r="N6830" s="75"/>
      <c r="O6830" s="160" t="s">
        <v>11386</v>
      </c>
      <c r="P6830" s="160" t="s">
        <v>67</v>
      </c>
      <c r="Q6830" s="160" t="s">
        <v>76</v>
      </c>
      <c r="R6830" s="160" t="s">
        <v>272</v>
      </c>
    </row>
    <row r="6831" spans="1:18" s="98" customFormat="1" ht="69" customHeight="1">
      <c r="A6831" s="169"/>
      <c r="B6831" s="259">
        <f t="shared" si="26"/>
        <v>3970</v>
      </c>
      <c r="C6831" s="207" t="s">
        <v>6693</v>
      </c>
      <c r="D6831" s="303" t="s">
        <v>16832</v>
      </c>
      <c r="E6831" s="304" t="s">
        <v>266</v>
      </c>
      <c r="F6831" s="160" t="s">
        <v>14821</v>
      </c>
      <c r="G6831" s="160" t="s">
        <v>14816</v>
      </c>
      <c r="H6831" s="300">
        <v>96.62</v>
      </c>
      <c r="I6831" s="209">
        <v>45253</v>
      </c>
      <c r="J6831" s="316" t="s">
        <v>16791</v>
      </c>
      <c r="K6831" s="160"/>
      <c r="M6831" s="385"/>
      <c r="N6831" s="75"/>
      <c r="O6831" s="160" t="s">
        <v>11386</v>
      </c>
      <c r="P6831" s="160" t="s">
        <v>67</v>
      </c>
      <c r="Q6831" s="160" t="s">
        <v>78</v>
      </c>
      <c r="R6831" s="160" t="s">
        <v>272</v>
      </c>
    </row>
    <row r="6832" spans="1:18" s="98" customFormat="1" ht="69" customHeight="1">
      <c r="A6832" s="169"/>
      <c r="B6832" s="259">
        <f t="shared" si="26"/>
        <v>3971</v>
      </c>
      <c r="C6832" s="207" t="s">
        <v>9215</v>
      </c>
      <c r="D6832" s="303" t="s">
        <v>12161</v>
      </c>
      <c r="E6832" s="304" t="s">
        <v>266</v>
      </c>
      <c r="F6832" s="160" t="s">
        <v>16833</v>
      </c>
      <c r="G6832" s="160" t="s">
        <v>14816</v>
      </c>
      <c r="H6832" s="300">
        <v>96.62</v>
      </c>
      <c r="I6832" s="209">
        <v>45253</v>
      </c>
      <c r="J6832" s="316" t="s">
        <v>16791</v>
      </c>
      <c r="K6832" s="160"/>
      <c r="M6832" s="385"/>
      <c r="N6832" s="75"/>
      <c r="O6832" s="160" t="s">
        <v>11386</v>
      </c>
      <c r="P6832" s="160" t="s">
        <v>67</v>
      </c>
      <c r="Q6832" s="160" t="s">
        <v>113</v>
      </c>
      <c r="R6832" s="160" t="s">
        <v>272</v>
      </c>
    </row>
    <row r="6833" spans="1:18" s="98" customFormat="1" ht="69" customHeight="1">
      <c r="A6833" s="169"/>
      <c r="B6833" s="259">
        <f t="shared" si="26"/>
        <v>3972</v>
      </c>
      <c r="C6833" s="304" t="s">
        <v>5658</v>
      </c>
      <c r="D6833" s="303" t="s">
        <v>16834</v>
      </c>
      <c r="E6833" s="304" t="s">
        <v>266</v>
      </c>
      <c r="F6833" s="160" t="s">
        <v>14835</v>
      </c>
      <c r="G6833" s="160" t="s">
        <v>14816</v>
      </c>
      <c r="H6833" s="300">
        <v>96.62</v>
      </c>
      <c r="I6833" s="209">
        <v>45253</v>
      </c>
      <c r="J6833" s="316" t="s">
        <v>16791</v>
      </c>
      <c r="K6833" s="160"/>
      <c r="M6833" s="385"/>
      <c r="N6833" s="75"/>
      <c r="O6833" s="160" t="s">
        <v>11386</v>
      </c>
      <c r="P6833" s="160" t="s">
        <v>67</v>
      </c>
      <c r="Q6833" s="160" t="s">
        <v>66</v>
      </c>
      <c r="R6833" s="160" t="s">
        <v>272</v>
      </c>
    </row>
    <row r="6834" spans="1:18" s="98" customFormat="1" ht="69" customHeight="1">
      <c r="A6834" s="169"/>
      <c r="B6834" s="259">
        <f t="shared" si="26"/>
        <v>3973</v>
      </c>
      <c r="C6834" s="160" t="s">
        <v>9545</v>
      </c>
      <c r="D6834" s="303" t="s">
        <v>16835</v>
      </c>
      <c r="E6834" s="304" t="s">
        <v>266</v>
      </c>
      <c r="F6834" s="160" t="s">
        <v>16836</v>
      </c>
      <c r="G6834" s="160" t="s">
        <v>14816</v>
      </c>
      <c r="H6834" s="300">
        <v>96.62</v>
      </c>
      <c r="I6834" s="209">
        <v>45253</v>
      </c>
      <c r="J6834" s="316" t="s">
        <v>16791</v>
      </c>
      <c r="K6834" s="160"/>
      <c r="M6834" s="385"/>
      <c r="N6834" s="75"/>
      <c r="O6834" s="160" t="s">
        <v>11386</v>
      </c>
      <c r="P6834" s="160" t="s">
        <v>67</v>
      </c>
      <c r="Q6834" s="160" t="s">
        <v>117</v>
      </c>
      <c r="R6834" s="160" t="s">
        <v>272</v>
      </c>
    </row>
    <row r="6835" spans="1:18" s="98" customFormat="1" ht="69" customHeight="1">
      <c r="A6835" s="169"/>
      <c r="B6835" s="259">
        <f t="shared" si="26"/>
        <v>3974</v>
      </c>
      <c r="C6835" s="304" t="s">
        <v>10612</v>
      </c>
      <c r="D6835" s="303" t="s">
        <v>16837</v>
      </c>
      <c r="E6835" s="304" t="s">
        <v>266</v>
      </c>
      <c r="F6835" s="160" t="s">
        <v>14827</v>
      </c>
      <c r="G6835" s="160" t="s">
        <v>14816</v>
      </c>
      <c r="H6835" s="300">
        <v>96.62</v>
      </c>
      <c r="I6835" s="209">
        <v>45253</v>
      </c>
      <c r="J6835" s="316" t="s">
        <v>16791</v>
      </c>
      <c r="K6835" s="160"/>
      <c r="M6835" s="385"/>
      <c r="N6835" s="75"/>
      <c r="O6835" s="160" t="s">
        <v>11386</v>
      </c>
      <c r="P6835" s="160" t="s">
        <v>67</v>
      </c>
      <c r="Q6835" s="160" t="s">
        <v>86</v>
      </c>
      <c r="R6835" s="160" t="s">
        <v>272</v>
      </c>
    </row>
    <row r="6836" spans="1:18" s="98" customFormat="1" ht="69" customHeight="1">
      <c r="A6836" s="169"/>
      <c r="B6836" s="259">
        <f t="shared" si="26"/>
        <v>3975</v>
      </c>
      <c r="C6836" s="160" t="s">
        <v>11618</v>
      </c>
      <c r="D6836" s="303" t="s">
        <v>12182</v>
      </c>
      <c r="E6836" s="304" t="s">
        <v>266</v>
      </c>
      <c r="F6836" s="160" t="s">
        <v>16838</v>
      </c>
      <c r="G6836" s="160" t="s">
        <v>14816</v>
      </c>
      <c r="H6836" s="300">
        <v>96.62</v>
      </c>
      <c r="I6836" s="209">
        <v>45253</v>
      </c>
      <c r="J6836" s="316" t="s">
        <v>16791</v>
      </c>
      <c r="K6836" s="160"/>
      <c r="M6836" s="385"/>
      <c r="N6836" s="75"/>
      <c r="O6836" s="160" t="s">
        <v>11386</v>
      </c>
      <c r="P6836" s="160" t="s">
        <v>67</v>
      </c>
      <c r="Q6836" s="160" t="s">
        <v>122</v>
      </c>
      <c r="R6836" s="160" t="s">
        <v>272</v>
      </c>
    </row>
    <row r="6837" spans="1:18" s="98" customFormat="1" ht="69" customHeight="1">
      <c r="A6837" s="169"/>
      <c r="B6837" s="48">
        <f t="shared" si="26"/>
        <v>3976</v>
      </c>
      <c r="C6837" s="59" t="s">
        <v>11058</v>
      </c>
      <c r="D6837" s="84" t="s">
        <v>11718</v>
      </c>
      <c r="E6837" s="44" t="s">
        <v>16839</v>
      </c>
      <c r="F6837" s="45" t="s">
        <v>16840</v>
      </c>
      <c r="G6837" s="45" t="s">
        <v>16841</v>
      </c>
      <c r="H6837" s="546">
        <v>267445.81</v>
      </c>
      <c r="I6837" s="47">
        <v>45265</v>
      </c>
      <c r="J6837" s="73" t="s">
        <v>16842</v>
      </c>
      <c r="K6837" s="45"/>
      <c r="M6837" s="385"/>
      <c r="N6837" s="75"/>
      <c r="O6837" s="45" t="s">
        <v>203</v>
      </c>
      <c r="P6837" s="45" t="s">
        <v>57</v>
      </c>
      <c r="Q6837" s="45" t="s">
        <v>23</v>
      </c>
      <c r="R6837" s="45" t="s">
        <v>272</v>
      </c>
    </row>
    <row r="6838" spans="1:18" ht="69" customHeight="1">
      <c r="A6838" s="168"/>
      <c r="B6838" s="52">
        <f t="shared" si="26"/>
        <v>3977</v>
      </c>
      <c r="C6838" s="191" t="s">
        <v>1853</v>
      </c>
      <c r="D6838" s="251" t="s">
        <v>9260</v>
      </c>
      <c r="E6838" s="51" t="s">
        <v>266</v>
      </c>
      <c r="F6838" s="46" t="s">
        <v>16843</v>
      </c>
      <c r="G6838" s="46" t="s">
        <v>16844</v>
      </c>
      <c r="H6838" s="534">
        <v>12200</v>
      </c>
      <c r="I6838" s="56">
        <v>45265</v>
      </c>
      <c r="J6838" s="199" t="s">
        <v>16845</v>
      </c>
      <c r="K6838" s="46" t="s">
        <v>65</v>
      </c>
      <c r="M6838" s="379"/>
      <c r="N6838" s="76"/>
      <c r="O6838" s="46" t="s">
        <v>16846</v>
      </c>
      <c r="P6838" s="46" t="s">
        <v>65</v>
      </c>
      <c r="Q6838" s="46" t="s">
        <v>29</v>
      </c>
      <c r="R6838" s="46" t="s">
        <v>272</v>
      </c>
    </row>
    <row r="6839" spans="1:18" ht="69" customHeight="1">
      <c r="A6839" s="168"/>
      <c r="B6839" s="62">
        <f t="shared" si="26"/>
        <v>3978</v>
      </c>
      <c r="C6839" s="178" t="s">
        <v>2182</v>
      </c>
      <c r="D6839" s="174" t="s">
        <v>11730</v>
      </c>
      <c r="E6839" s="72" t="s">
        <v>266</v>
      </c>
      <c r="F6839" s="58" t="s">
        <v>16847</v>
      </c>
      <c r="G6839" s="58" t="s">
        <v>16844</v>
      </c>
      <c r="H6839" s="546">
        <v>12200</v>
      </c>
      <c r="I6839" s="66">
        <v>45265</v>
      </c>
      <c r="J6839" s="65" t="s">
        <v>16845</v>
      </c>
      <c r="K6839" s="58" t="s">
        <v>65</v>
      </c>
      <c r="M6839" s="70"/>
      <c r="N6839" s="97"/>
      <c r="O6839" s="58" t="s">
        <v>16846</v>
      </c>
      <c r="P6839" s="58" t="s">
        <v>22</v>
      </c>
      <c r="Q6839" s="58" t="s">
        <v>31</v>
      </c>
      <c r="R6839" s="58" t="s">
        <v>265</v>
      </c>
    </row>
    <row r="6840" spans="1:18" ht="69" customHeight="1">
      <c r="A6840" s="168"/>
      <c r="B6840" s="52">
        <f t="shared" si="26"/>
        <v>3979</v>
      </c>
      <c r="C6840" s="51" t="s">
        <v>14414</v>
      </c>
      <c r="D6840" s="251" t="s">
        <v>11732</v>
      </c>
      <c r="E6840" s="51" t="s">
        <v>266</v>
      </c>
      <c r="F6840" s="46" t="s">
        <v>16848</v>
      </c>
      <c r="G6840" s="46" t="s">
        <v>16844</v>
      </c>
      <c r="H6840" s="534">
        <v>12200</v>
      </c>
      <c r="I6840" s="56">
        <v>45265</v>
      </c>
      <c r="J6840" s="199" t="s">
        <v>16845</v>
      </c>
      <c r="K6840" s="46"/>
      <c r="M6840" s="70"/>
      <c r="N6840" s="97"/>
      <c r="O6840" s="46" t="s">
        <v>16846</v>
      </c>
      <c r="P6840" s="46" t="s">
        <v>65</v>
      </c>
      <c r="Q6840" s="46" t="s">
        <v>33</v>
      </c>
      <c r="R6840" s="46" t="s">
        <v>272</v>
      </c>
    </row>
    <row r="6841" spans="1:18" ht="69" customHeight="1">
      <c r="A6841" s="168"/>
      <c r="B6841" s="62">
        <f t="shared" si="26"/>
        <v>3980</v>
      </c>
      <c r="C6841" s="59" t="s">
        <v>1853</v>
      </c>
      <c r="D6841" s="174" t="s">
        <v>16849</v>
      </c>
      <c r="E6841" s="44" t="s">
        <v>16495</v>
      </c>
      <c r="F6841" s="45" t="s">
        <v>16850</v>
      </c>
      <c r="G6841" s="45" t="s">
        <v>16851</v>
      </c>
      <c r="H6841" s="546">
        <v>195800.93</v>
      </c>
      <c r="I6841" s="47">
        <v>45265</v>
      </c>
      <c r="J6841" s="65" t="s">
        <v>16852</v>
      </c>
      <c r="K6841" s="58"/>
      <c r="M6841" s="70"/>
      <c r="N6841" s="97"/>
      <c r="O6841" s="58" t="s">
        <v>14413</v>
      </c>
      <c r="P6841" s="58" t="s">
        <v>57</v>
      </c>
      <c r="Q6841" s="58" t="s">
        <v>29</v>
      </c>
      <c r="R6841" s="58" t="s">
        <v>272</v>
      </c>
    </row>
    <row r="6842" spans="1:18" ht="69" customHeight="1">
      <c r="A6842" s="168"/>
      <c r="B6842" s="62">
        <f t="shared" si="26"/>
        <v>3981</v>
      </c>
      <c r="C6842" s="59" t="s">
        <v>2182</v>
      </c>
      <c r="D6842" s="174" t="s">
        <v>11740</v>
      </c>
      <c r="E6842" s="44" t="s">
        <v>16495</v>
      </c>
      <c r="F6842" s="45" t="s">
        <v>16853</v>
      </c>
      <c r="G6842" s="45" t="s">
        <v>16854</v>
      </c>
      <c r="H6842" s="546">
        <v>84730.240000000005</v>
      </c>
      <c r="I6842" s="47">
        <v>45265</v>
      </c>
      <c r="J6842" s="65" t="s">
        <v>16852</v>
      </c>
      <c r="K6842" s="58"/>
      <c r="M6842" s="70"/>
      <c r="N6842" s="97"/>
      <c r="O6842" s="58" t="s">
        <v>14413</v>
      </c>
      <c r="P6842" s="58" t="s">
        <v>57</v>
      </c>
      <c r="Q6842" s="58" t="s">
        <v>31</v>
      </c>
      <c r="R6842" s="58" t="s">
        <v>272</v>
      </c>
    </row>
    <row r="6843" spans="1:18" ht="69" customHeight="1">
      <c r="A6843" s="168"/>
      <c r="B6843" s="62">
        <f t="shared" si="26"/>
        <v>3982</v>
      </c>
      <c r="C6843" s="44" t="s">
        <v>14414</v>
      </c>
      <c r="D6843" s="174" t="s">
        <v>16855</v>
      </c>
      <c r="E6843" s="58" t="s">
        <v>4173</v>
      </c>
      <c r="F6843" s="45" t="s">
        <v>16856</v>
      </c>
      <c r="G6843" s="45" t="s">
        <v>16857</v>
      </c>
      <c r="H6843" s="546">
        <v>27000</v>
      </c>
      <c r="I6843" s="47">
        <v>45265</v>
      </c>
      <c r="J6843" s="65" t="s">
        <v>16858</v>
      </c>
      <c r="K6843" s="58"/>
      <c r="M6843" s="70"/>
      <c r="N6843" s="97"/>
      <c r="O6843" s="58" t="s">
        <v>441</v>
      </c>
      <c r="P6843" s="58" t="s">
        <v>22</v>
      </c>
      <c r="Q6843" s="58" t="s">
        <v>33</v>
      </c>
      <c r="R6843" s="58" t="s">
        <v>265</v>
      </c>
    </row>
    <row r="6844" spans="1:18" ht="69" customHeight="1">
      <c r="A6844" s="168"/>
      <c r="B6844" s="62">
        <f t="shared" si="26"/>
        <v>3983</v>
      </c>
      <c r="C6844" s="59" t="s">
        <v>2182</v>
      </c>
      <c r="D6844" s="174" t="s">
        <v>11744</v>
      </c>
      <c r="E6844" s="58" t="s">
        <v>4173</v>
      </c>
      <c r="F6844" s="45" t="s">
        <v>16859</v>
      </c>
      <c r="G6844" s="45" t="s">
        <v>16860</v>
      </c>
      <c r="H6844" s="546">
        <v>106453.98</v>
      </c>
      <c r="I6844" s="47">
        <v>45265</v>
      </c>
      <c r="J6844" s="65" t="s">
        <v>16861</v>
      </c>
      <c r="K6844" s="58"/>
      <c r="M6844" s="70"/>
      <c r="N6844" s="97"/>
      <c r="O6844" s="58" t="s">
        <v>441</v>
      </c>
      <c r="P6844" s="58" t="s">
        <v>22</v>
      </c>
      <c r="Q6844" s="58" t="s">
        <v>31</v>
      </c>
      <c r="R6844" s="58" t="s">
        <v>265</v>
      </c>
    </row>
    <row r="6845" spans="1:18" ht="69" customHeight="1">
      <c r="A6845" s="168"/>
      <c r="B6845" s="52">
        <f t="shared" si="26"/>
        <v>3984</v>
      </c>
      <c r="C6845" s="191" t="s">
        <v>15449</v>
      </c>
      <c r="D6845" s="251" t="s">
        <v>16376</v>
      </c>
      <c r="E6845" s="51" t="s">
        <v>266</v>
      </c>
      <c r="F6845" s="46" t="s">
        <v>16862</v>
      </c>
      <c r="G6845" s="46" t="s">
        <v>16863</v>
      </c>
      <c r="H6845" s="534">
        <v>20688.2</v>
      </c>
      <c r="I6845" s="56">
        <v>45265</v>
      </c>
      <c r="J6845" s="199" t="s">
        <v>16864</v>
      </c>
      <c r="K6845" s="46"/>
      <c r="M6845" s="70"/>
      <c r="N6845" s="97"/>
      <c r="O6845" s="46"/>
      <c r="P6845" s="46" t="s">
        <v>71</v>
      </c>
      <c r="Q6845" s="46" t="s">
        <v>41</v>
      </c>
      <c r="R6845" s="46" t="s">
        <v>272</v>
      </c>
    </row>
    <row r="6846" spans="1:18" ht="69" customHeight="1">
      <c r="A6846" s="168"/>
      <c r="B6846" s="52">
        <f t="shared" si="26"/>
        <v>3985</v>
      </c>
      <c r="C6846" s="51" t="s">
        <v>15700</v>
      </c>
      <c r="D6846" s="251" t="s">
        <v>11747</v>
      </c>
      <c r="E6846" s="51" t="s">
        <v>266</v>
      </c>
      <c r="F6846" s="46" t="s">
        <v>16865</v>
      </c>
      <c r="G6846" s="46" t="s">
        <v>16863</v>
      </c>
      <c r="H6846" s="534">
        <v>20688.2</v>
      </c>
      <c r="I6846" s="56">
        <v>45265</v>
      </c>
      <c r="J6846" s="199" t="s">
        <v>16864</v>
      </c>
      <c r="K6846" s="46"/>
      <c r="M6846" s="70"/>
      <c r="N6846" s="97"/>
      <c r="O6846" s="46"/>
      <c r="P6846" s="46" t="s">
        <v>71</v>
      </c>
      <c r="Q6846" s="46" t="s">
        <v>39</v>
      </c>
      <c r="R6846" s="46" t="s">
        <v>272</v>
      </c>
    </row>
    <row r="6847" spans="1:18" ht="69" customHeight="1">
      <c r="A6847" s="168"/>
      <c r="B6847" s="52">
        <f t="shared" si="26"/>
        <v>3986</v>
      </c>
      <c r="C6847" s="191" t="s">
        <v>11058</v>
      </c>
      <c r="D6847" s="251" t="s">
        <v>11793</v>
      </c>
      <c r="E6847" s="51" t="s">
        <v>266</v>
      </c>
      <c r="F6847" s="46" t="s">
        <v>16866</v>
      </c>
      <c r="G6847" s="46" t="s">
        <v>16863</v>
      </c>
      <c r="H6847" s="534">
        <v>22533.200000000001</v>
      </c>
      <c r="I6847" s="56">
        <v>45265</v>
      </c>
      <c r="J6847" s="199" t="s">
        <v>16864</v>
      </c>
      <c r="K6847" s="46"/>
      <c r="M6847" s="70"/>
      <c r="N6847" s="97"/>
      <c r="O6847" s="46" t="s">
        <v>1171</v>
      </c>
      <c r="P6847" s="46" t="s">
        <v>71</v>
      </c>
      <c r="Q6847" s="46" t="s">
        <v>23</v>
      </c>
      <c r="R6847" s="46" t="s">
        <v>272</v>
      </c>
    </row>
    <row r="6848" spans="1:18" ht="69" customHeight="1">
      <c r="A6848" s="168"/>
      <c r="B6848" s="62">
        <f t="shared" si="26"/>
        <v>3987</v>
      </c>
      <c r="C6848" s="59" t="s">
        <v>1853</v>
      </c>
      <c r="D6848" s="174" t="s">
        <v>11775</v>
      </c>
      <c r="E6848" s="58" t="s">
        <v>4173</v>
      </c>
      <c r="F6848" s="45" t="s">
        <v>16867</v>
      </c>
      <c r="G6848" s="45" t="s">
        <v>16868</v>
      </c>
      <c r="H6848" s="546">
        <v>55177.9</v>
      </c>
      <c r="I6848" s="47">
        <v>45265</v>
      </c>
      <c r="J6848" s="65" t="s">
        <v>16869</v>
      </c>
      <c r="K6848" s="58"/>
      <c r="M6848" s="70"/>
      <c r="N6848" s="97"/>
      <c r="O6848" s="58" t="s">
        <v>441</v>
      </c>
      <c r="P6848" s="58" t="s">
        <v>22</v>
      </c>
      <c r="Q6848" s="58" t="s">
        <v>29</v>
      </c>
      <c r="R6848" s="58" t="s">
        <v>265</v>
      </c>
    </row>
    <row r="6849" spans="1:18" ht="69" customHeight="1">
      <c r="A6849" s="168"/>
      <c r="B6849" s="52">
        <f t="shared" si="26"/>
        <v>3988</v>
      </c>
      <c r="C6849" s="191" t="s">
        <v>309</v>
      </c>
      <c r="D6849" s="251" t="s">
        <v>11799</v>
      </c>
      <c r="E6849" s="51" t="s">
        <v>266</v>
      </c>
      <c r="F6849" s="46" t="s">
        <v>16870</v>
      </c>
      <c r="G6849" s="46" t="s">
        <v>16871</v>
      </c>
      <c r="H6849" s="534">
        <v>16200</v>
      </c>
      <c r="I6849" s="56">
        <v>45265</v>
      </c>
      <c r="J6849" s="199" t="s">
        <v>16872</v>
      </c>
      <c r="K6849" s="46"/>
      <c r="M6849" s="70"/>
      <c r="N6849" s="97"/>
      <c r="O6849" s="46" t="s">
        <v>16873</v>
      </c>
      <c r="P6849" s="46" t="s">
        <v>65</v>
      </c>
      <c r="Q6849" s="46" t="s">
        <v>39</v>
      </c>
      <c r="R6849" s="46" t="s">
        <v>272</v>
      </c>
    </row>
    <row r="6850" spans="1:18" ht="69" customHeight="1">
      <c r="A6850" s="168"/>
      <c r="B6850" s="62">
        <f t="shared" ref="B6850:B6913" si="27">B6849+1</f>
        <v>3989</v>
      </c>
      <c r="C6850" s="44" t="s">
        <v>14414</v>
      </c>
      <c r="D6850" s="84" t="s">
        <v>11781</v>
      </c>
      <c r="E6850" s="45" t="s">
        <v>4173</v>
      </c>
      <c r="F6850" s="45" t="s">
        <v>16874</v>
      </c>
      <c r="G6850" s="58" t="s">
        <v>16875</v>
      </c>
      <c r="H6850" s="546">
        <v>29441.8</v>
      </c>
      <c r="I6850" s="47">
        <v>45265</v>
      </c>
      <c r="J6850" s="65" t="s">
        <v>16876</v>
      </c>
      <c r="K6850" s="58"/>
      <c r="M6850" s="70"/>
      <c r="N6850" s="97"/>
      <c r="O6850" s="58" t="s">
        <v>441</v>
      </c>
      <c r="P6850" s="58" t="s">
        <v>22</v>
      </c>
      <c r="Q6850" s="58" t="s">
        <v>33</v>
      </c>
      <c r="R6850" s="58" t="s">
        <v>265</v>
      </c>
    </row>
    <row r="6851" spans="1:18" ht="69" customHeight="1">
      <c r="A6851" s="168"/>
      <c r="B6851" s="52">
        <f t="shared" si="27"/>
        <v>3990</v>
      </c>
      <c r="C6851" s="191" t="s">
        <v>309</v>
      </c>
      <c r="D6851" s="251" t="s">
        <v>12194</v>
      </c>
      <c r="E6851" s="51" t="s">
        <v>266</v>
      </c>
      <c r="F6851" s="46" t="s">
        <v>16877</v>
      </c>
      <c r="G6851" s="46" t="s">
        <v>16871</v>
      </c>
      <c r="H6851" s="534">
        <v>1100</v>
      </c>
      <c r="I6851" s="56">
        <v>45285</v>
      </c>
      <c r="J6851" s="199" t="s">
        <v>16878</v>
      </c>
      <c r="K6851" s="46"/>
      <c r="M6851" s="70"/>
      <c r="N6851" s="97"/>
      <c r="O6851" s="46" t="s">
        <v>16879</v>
      </c>
      <c r="P6851" s="46" t="s">
        <v>65</v>
      </c>
      <c r="Q6851" s="46" t="s">
        <v>41</v>
      </c>
      <c r="R6851" s="46" t="s">
        <v>272</v>
      </c>
    </row>
    <row r="6852" spans="1:18" ht="69" customHeight="1">
      <c r="A6852" s="168"/>
      <c r="B6852" s="52">
        <f t="shared" si="27"/>
        <v>3991</v>
      </c>
      <c r="C6852" s="191" t="s">
        <v>309</v>
      </c>
      <c r="D6852" s="251" t="s">
        <v>12188</v>
      </c>
      <c r="E6852" s="51" t="s">
        <v>266</v>
      </c>
      <c r="F6852" s="46" t="s">
        <v>16880</v>
      </c>
      <c r="G6852" s="46" t="s">
        <v>16871</v>
      </c>
      <c r="H6852" s="534">
        <v>2600</v>
      </c>
      <c r="I6852" s="56">
        <v>45285</v>
      </c>
      <c r="J6852" s="199" t="s">
        <v>16878</v>
      </c>
      <c r="K6852" s="46"/>
      <c r="M6852" s="70"/>
      <c r="N6852" s="97"/>
      <c r="O6852" s="46" t="s">
        <v>16879</v>
      </c>
      <c r="P6852" s="46" t="s">
        <v>65</v>
      </c>
      <c r="Q6852" s="46" t="s">
        <v>39</v>
      </c>
      <c r="R6852" s="46" t="s">
        <v>272</v>
      </c>
    </row>
    <row r="6853" spans="1:18" ht="69" customHeight="1">
      <c r="A6853" s="168"/>
      <c r="B6853" s="52">
        <f t="shared" si="27"/>
        <v>3992</v>
      </c>
      <c r="C6853" s="191" t="s">
        <v>309</v>
      </c>
      <c r="D6853" s="533" t="s">
        <v>16881</v>
      </c>
      <c r="E6853" s="51" t="s">
        <v>266</v>
      </c>
      <c r="F6853" s="46" t="s">
        <v>16882</v>
      </c>
      <c r="G6853" s="46" t="s">
        <v>16871</v>
      </c>
      <c r="H6853" s="534">
        <v>2900</v>
      </c>
      <c r="I6853" s="56">
        <v>45285</v>
      </c>
      <c r="J6853" s="199" t="s">
        <v>16878</v>
      </c>
      <c r="K6853" s="46" t="s">
        <v>1170</v>
      </c>
      <c r="M6853" s="70"/>
      <c r="N6853" s="97"/>
      <c r="O6853" s="46" t="s">
        <v>16879</v>
      </c>
      <c r="P6853" s="46" t="s">
        <v>65</v>
      </c>
      <c r="Q6853" s="46" t="s">
        <v>23</v>
      </c>
      <c r="R6853" s="46" t="s">
        <v>272</v>
      </c>
    </row>
    <row r="6854" spans="1:18" s="98" customFormat="1" ht="69" customHeight="1">
      <c r="A6854" s="169"/>
      <c r="B6854" s="52">
        <f t="shared" si="27"/>
        <v>3993</v>
      </c>
      <c r="C6854" s="191" t="s">
        <v>1853</v>
      </c>
      <c r="D6854" s="251" t="s">
        <v>11779</v>
      </c>
      <c r="E6854" s="51" t="s">
        <v>266</v>
      </c>
      <c r="F6854" s="46" t="s">
        <v>16883</v>
      </c>
      <c r="G6854" s="46" t="s">
        <v>16884</v>
      </c>
      <c r="H6854" s="534">
        <v>1035</v>
      </c>
      <c r="I6854" s="56">
        <v>45265</v>
      </c>
      <c r="J6854" s="199" t="s">
        <v>16885</v>
      </c>
      <c r="K6854" s="46" t="s">
        <v>65</v>
      </c>
      <c r="M6854" s="385"/>
      <c r="N6854" s="75"/>
      <c r="O6854" s="46"/>
      <c r="P6854" s="46" t="s">
        <v>65</v>
      </c>
      <c r="Q6854" s="46" t="s">
        <v>29</v>
      </c>
      <c r="R6854" s="46" t="s">
        <v>272</v>
      </c>
    </row>
    <row r="6855" spans="1:18" s="98" customFormat="1" ht="69" customHeight="1">
      <c r="A6855" s="169"/>
      <c r="B6855" s="52">
        <f t="shared" si="27"/>
        <v>3994</v>
      </c>
      <c r="C6855" s="191" t="s">
        <v>11058</v>
      </c>
      <c r="D6855" s="251" t="s">
        <v>11845</v>
      </c>
      <c r="E6855" s="51" t="s">
        <v>266</v>
      </c>
      <c r="F6855" s="46" t="s">
        <v>16886</v>
      </c>
      <c r="G6855" s="46" t="s">
        <v>16887</v>
      </c>
      <c r="H6855" s="534">
        <v>7419.45</v>
      </c>
      <c r="I6855" s="56">
        <v>45265</v>
      </c>
      <c r="J6855" s="199" t="s">
        <v>16888</v>
      </c>
      <c r="K6855" s="46" t="s">
        <v>1170</v>
      </c>
      <c r="M6855" s="385"/>
      <c r="N6855" s="75"/>
      <c r="O6855" s="46" t="s">
        <v>14905</v>
      </c>
      <c r="P6855" s="46" t="s">
        <v>65</v>
      </c>
      <c r="Q6855" s="46" t="s">
        <v>23</v>
      </c>
      <c r="R6855" s="46" t="s">
        <v>272</v>
      </c>
    </row>
    <row r="6856" spans="1:18" s="98" customFormat="1" ht="69" customHeight="1">
      <c r="A6856" s="169"/>
      <c r="B6856" s="52">
        <f t="shared" si="27"/>
        <v>3995</v>
      </c>
      <c r="C6856" s="191" t="s">
        <v>309</v>
      </c>
      <c r="D6856" s="251" t="s">
        <v>16889</v>
      </c>
      <c r="E6856" s="51" t="s">
        <v>266</v>
      </c>
      <c r="F6856" s="46" t="s">
        <v>16890</v>
      </c>
      <c r="G6856" s="46" t="s">
        <v>16891</v>
      </c>
      <c r="H6856" s="534">
        <v>2050</v>
      </c>
      <c r="I6856" s="56">
        <v>45265</v>
      </c>
      <c r="J6856" s="199" t="s">
        <v>16892</v>
      </c>
      <c r="K6856" s="46" t="s">
        <v>1170</v>
      </c>
      <c r="M6856" s="385"/>
      <c r="N6856" s="75"/>
      <c r="O6856" s="46" t="s">
        <v>11200</v>
      </c>
      <c r="P6856" s="46" t="s">
        <v>65</v>
      </c>
      <c r="Q6856" s="46" t="s">
        <v>23</v>
      </c>
      <c r="R6856" s="46" t="s">
        <v>272</v>
      </c>
    </row>
    <row r="6857" spans="1:18" s="98" customFormat="1" ht="69" customHeight="1">
      <c r="A6857" s="169"/>
      <c r="B6857" s="52">
        <f t="shared" si="27"/>
        <v>3996</v>
      </c>
      <c r="C6857" s="191" t="s">
        <v>309</v>
      </c>
      <c r="D6857" s="251" t="s">
        <v>12029</v>
      </c>
      <c r="E6857" s="51" t="s">
        <v>266</v>
      </c>
      <c r="F6857" s="46" t="s">
        <v>16893</v>
      </c>
      <c r="G6857" s="46" t="s">
        <v>16894</v>
      </c>
      <c r="H6857" s="534">
        <v>246</v>
      </c>
      <c r="I6857" s="56">
        <v>45265</v>
      </c>
      <c r="J6857" s="199" t="s">
        <v>16895</v>
      </c>
      <c r="K6857" s="46" t="s">
        <v>65</v>
      </c>
      <c r="M6857" s="385"/>
      <c r="N6857" s="75"/>
      <c r="O6857" s="46"/>
      <c r="P6857" s="46" t="s">
        <v>65</v>
      </c>
      <c r="Q6857" s="46" t="s">
        <v>39</v>
      </c>
      <c r="R6857" s="46" t="s">
        <v>272</v>
      </c>
    </row>
    <row r="6858" spans="1:18" ht="69" customHeight="1">
      <c r="A6858" s="168"/>
      <c r="B6858" s="62">
        <f t="shared" si="27"/>
        <v>3997</v>
      </c>
      <c r="C6858" s="59" t="s">
        <v>1853</v>
      </c>
      <c r="D6858" s="84" t="s">
        <v>16499</v>
      </c>
      <c r="E6858" s="45" t="s">
        <v>4173</v>
      </c>
      <c r="F6858" s="45" t="s">
        <v>16896</v>
      </c>
      <c r="G6858" s="45" t="s">
        <v>16897</v>
      </c>
      <c r="H6858" s="546">
        <v>49821.2</v>
      </c>
      <c r="I6858" s="47">
        <v>45265</v>
      </c>
      <c r="J6858" s="73" t="s">
        <v>16898</v>
      </c>
      <c r="K6858" s="45"/>
      <c r="M6858" s="70"/>
      <c r="N6858" s="97"/>
      <c r="O6858" s="58" t="s">
        <v>441</v>
      </c>
      <c r="P6858" s="58" t="s">
        <v>22</v>
      </c>
      <c r="Q6858" s="58" t="s">
        <v>29</v>
      </c>
      <c r="R6858" s="58" t="s">
        <v>265</v>
      </c>
    </row>
    <row r="6859" spans="1:18" ht="69" customHeight="1">
      <c r="A6859" s="168"/>
      <c r="B6859" s="62">
        <f t="shared" si="27"/>
        <v>3998</v>
      </c>
      <c r="C6859" s="59" t="s">
        <v>2182</v>
      </c>
      <c r="D6859" s="174" t="s">
        <v>16899</v>
      </c>
      <c r="E6859" s="45" t="s">
        <v>4173</v>
      </c>
      <c r="F6859" s="45" t="s">
        <v>16900</v>
      </c>
      <c r="G6859" s="58" t="s">
        <v>16857</v>
      </c>
      <c r="H6859" s="546">
        <v>28250</v>
      </c>
      <c r="I6859" s="47">
        <v>45265</v>
      </c>
      <c r="J6859" s="65" t="s">
        <v>16901</v>
      </c>
      <c r="K6859" s="58"/>
      <c r="M6859" s="70"/>
      <c r="N6859" s="97"/>
      <c r="O6859" s="58" t="s">
        <v>14459</v>
      </c>
      <c r="P6859" s="58" t="s">
        <v>22</v>
      </c>
      <c r="Q6859" s="58" t="s">
        <v>31</v>
      </c>
      <c r="R6859" s="58" t="s">
        <v>265</v>
      </c>
    </row>
    <row r="6860" spans="1:18" ht="69" customHeight="1">
      <c r="A6860" s="168"/>
      <c r="B6860" s="62">
        <f t="shared" si="27"/>
        <v>3999</v>
      </c>
      <c r="C6860" s="59" t="s">
        <v>2182</v>
      </c>
      <c r="D6860" s="174" t="s">
        <v>16902</v>
      </c>
      <c r="E6860" s="45" t="s">
        <v>4173</v>
      </c>
      <c r="F6860" s="45" t="s">
        <v>16903</v>
      </c>
      <c r="G6860" s="58" t="s">
        <v>16857</v>
      </c>
      <c r="H6860" s="546">
        <v>49821.2</v>
      </c>
      <c r="I6860" s="47">
        <v>45265</v>
      </c>
      <c r="J6860" s="65" t="s">
        <v>16904</v>
      </c>
      <c r="K6860" s="58"/>
      <c r="M6860" s="70"/>
      <c r="N6860" s="97"/>
      <c r="O6860" s="58" t="s">
        <v>14459</v>
      </c>
      <c r="P6860" s="58" t="s">
        <v>22</v>
      </c>
      <c r="Q6860" s="58" t="s">
        <v>31</v>
      </c>
      <c r="R6860" s="58" t="s">
        <v>265</v>
      </c>
    </row>
    <row r="6861" spans="1:18" ht="69" customHeight="1">
      <c r="A6861" s="168"/>
      <c r="B6861" s="62">
        <f t="shared" si="27"/>
        <v>4000</v>
      </c>
      <c r="C6861" s="59" t="s">
        <v>2182</v>
      </c>
      <c r="D6861" s="174" t="s">
        <v>16905</v>
      </c>
      <c r="E6861" s="45" t="s">
        <v>4173</v>
      </c>
      <c r="F6861" s="45" t="s">
        <v>16906</v>
      </c>
      <c r="G6861" s="58" t="s">
        <v>16907</v>
      </c>
      <c r="H6861" s="546">
        <v>30000</v>
      </c>
      <c r="I6861" s="47">
        <v>45265</v>
      </c>
      <c r="J6861" s="65" t="s">
        <v>16908</v>
      </c>
      <c r="K6861" s="58"/>
      <c r="M6861" s="70"/>
      <c r="N6861" s="97"/>
      <c r="O6861" s="58" t="s">
        <v>441</v>
      </c>
      <c r="P6861" s="58" t="s">
        <v>22</v>
      </c>
      <c r="Q6861" s="58" t="s">
        <v>31</v>
      </c>
      <c r="R6861" s="58" t="s">
        <v>265</v>
      </c>
    </row>
    <row r="6862" spans="1:18" ht="69" customHeight="1">
      <c r="A6862" s="168"/>
      <c r="B6862" s="62">
        <f t="shared" si="27"/>
        <v>4001</v>
      </c>
      <c r="C6862" s="59" t="s">
        <v>11052</v>
      </c>
      <c r="D6862" s="174" t="s">
        <v>16909</v>
      </c>
      <c r="E6862" s="58" t="s">
        <v>16910</v>
      </c>
      <c r="F6862" s="58" t="s">
        <v>16911</v>
      </c>
      <c r="G6862" s="58" t="s">
        <v>16912</v>
      </c>
      <c r="H6862" s="546">
        <v>42800</v>
      </c>
      <c r="I6862" s="47">
        <v>45265</v>
      </c>
      <c r="J6862" s="65" t="s">
        <v>16913</v>
      </c>
      <c r="K6862" s="58"/>
      <c r="M6862" s="70"/>
      <c r="N6862" s="97"/>
      <c r="O6862" s="58" t="s">
        <v>192</v>
      </c>
      <c r="P6862" s="58" t="s">
        <v>57</v>
      </c>
      <c r="Q6862" s="58" t="s">
        <v>37</v>
      </c>
      <c r="R6862" s="58" t="s">
        <v>272</v>
      </c>
    </row>
    <row r="6863" spans="1:18" s="103" customFormat="1" ht="69" customHeight="1">
      <c r="A6863" s="169"/>
      <c r="B6863" s="48">
        <f t="shared" si="27"/>
        <v>4002</v>
      </c>
      <c r="C6863" s="59" t="s">
        <v>11052</v>
      </c>
      <c r="D6863" s="84" t="s">
        <v>11859</v>
      </c>
      <c r="E6863" s="45" t="s">
        <v>16910</v>
      </c>
      <c r="F6863" s="45" t="s">
        <v>16914</v>
      </c>
      <c r="G6863" s="45" t="s">
        <v>16912</v>
      </c>
      <c r="H6863" s="546">
        <v>26000</v>
      </c>
      <c r="I6863" s="47">
        <v>45265</v>
      </c>
      <c r="J6863" s="73" t="s">
        <v>16913</v>
      </c>
      <c r="K6863" s="45"/>
      <c r="L6863" s="98"/>
      <c r="M6863" s="388"/>
      <c r="N6863" s="108"/>
      <c r="O6863" s="45" t="s">
        <v>192</v>
      </c>
      <c r="P6863" s="45" t="s">
        <v>57</v>
      </c>
      <c r="Q6863" s="45" t="s">
        <v>37</v>
      </c>
      <c r="R6863" s="45" t="s">
        <v>272</v>
      </c>
    </row>
    <row r="6864" spans="1:18" s="117" customFormat="1" ht="69" customHeight="1">
      <c r="A6864" s="168"/>
      <c r="B6864" s="62">
        <f t="shared" si="27"/>
        <v>4003</v>
      </c>
      <c r="C6864" s="59" t="s">
        <v>657</v>
      </c>
      <c r="D6864" s="174" t="s">
        <v>3896</v>
      </c>
      <c r="E6864" s="45" t="s">
        <v>16915</v>
      </c>
      <c r="F6864" s="58" t="s">
        <v>16916</v>
      </c>
      <c r="G6864" s="58" t="s">
        <v>16917</v>
      </c>
      <c r="H6864" s="546">
        <v>175926.55</v>
      </c>
      <c r="I6864" s="47">
        <v>45265</v>
      </c>
      <c r="J6864" s="65" t="s">
        <v>16918</v>
      </c>
      <c r="K6864" s="58"/>
      <c r="L6864" s="98"/>
      <c r="M6864" s="389"/>
      <c r="N6864" s="105"/>
      <c r="O6864" s="58" t="s">
        <v>208</v>
      </c>
      <c r="P6864" s="58" t="s">
        <v>57</v>
      </c>
      <c r="Q6864" s="58" t="s">
        <v>110</v>
      </c>
      <c r="R6864" s="58" t="s">
        <v>272</v>
      </c>
    </row>
    <row r="6865" spans="1:18" ht="69" customHeight="1">
      <c r="A6865" s="168"/>
      <c r="B6865" s="62">
        <f t="shared" si="27"/>
        <v>4004</v>
      </c>
      <c r="C6865" s="44" t="s">
        <v>14414</v>
      </c>
      <c r="D6865" s="174" t="s">
        <v>16919</v>
      </c>
      <c r="E6865" s="45" t="s">
        <v>4173</v>
      </c>
      <c r="F6865" s="58" t="s">
        <v>16920</v>
      </c>
      <c r="G6865" s="58" t="s">
        <v>16921</v>
      </c>
      <c r="H6865" s="546">
        <v>25600</v>
      </c>
      <c r="I6865" s="47">
        <v>45265</v>
      </c>
      <c r="J6865" s="65" t="s">
        <v>16922</v>
      </c>
      <c r="K6865" s="58"/>
      <c r="M6865" s="70"/>
      <c r="N6865" s="97"/>
      <c r="O6865" s="58" t="s">
        <v>14459</v>
      </c>
      <c r="P6865" s="58" t="s">
        <v>22</v>
      </c>
      <c r="Q6865" s="58" t="s">
        <v>33</v>
      </c>
      <c r="R6865" s="58" t="s">
        <v>265</v>
      </c>
    </row>
    <row r="6866" spans="1:18" ht="69" customHeight="1">
      <c r="A6866" s="168"/>
      <c r="B6866" s="62">
        <f t="shared" si="27"/>
        <v>4005</v>
      </c>
      <c r="C6866" s="623" t="s">
        <v>1853</v>
      </c>
      <c r="D6866" s="174" t="s">
        <v>16923</v>
      </c>
      <c r="E6866" s="45" t="s">
        <v>4173</v>
      </c>
      <c r="F6866" s="58" t="s">
        <v>16924</v>
      </c>
      <c r="G6866" s="58" t="s">
        <v>16925</v>
      </c>
      <c r="H6866" s="546">
        <v>25164.46</v>
      </c>
      <c r="I6866" s="47">
        <v>45265</v>
      </c>
      <c r="J6866" s="65" t="s">
        <v>16926</v>
      </c>
      <c r="K6866" s="58"/>
      <c r="M6866" s="70"/>
      <c r="N6866" s="97"/>
      <c r="O6866" s="58" t="s">
        <v>441</v>
      </c>
      <c r="P6866" s="58" t="s">
        <v>22</v>
      </c>
      <c r="Q6866" s="58" t="s">
        <v>29</v>
      </c>
      <c r="R6866" s="58" t="s">
        <v>265</v>
      </c>
    </row>
    <row r="6867" spans="1:18" ht="69" customHeight="1">
      <c r="A6867" s="168"/>
      <c r="B6867" s="52">
        <f t="shared" si="27"/>
        <v>4006</v>
      </c>
      <c r="C6867" s="191" t="s">
        <v>309</v>
      </c>
      <c r="D6867" s="251" t="s">
        <v>11843</v>
      </c>
      <c r="E6867" s="53" t="s">
        <v>1056</v>
      </c>
      <c r="F6867" s="211" t="s">
        <v>16927</v>
      </c>
      <c r="G6867" s="46" t="s">
        <v>14864</v>
      </c>
      <c r="H6867" s="546">
        <v>8268.75</v>
      </c>
      <c r="I6867" s="56">
        <v>45265</v>
      </c>
      <c r="J6867" s="199" t="s">
        <v>16928</v>
      </c>
      <c r="K6867" s="46"/>
      <c r="M6867" s="70"/>
      <c r="N6867" s="97"/>
      <c r="O6867" s="46" t="s">
        <v>1061</v>
      </c>
      <c r="P6867" s="46" t="s">
        <v>36</v>
      </c>
      <c r="Q6867" s="46" t="s">
        <v>15</v>
      </c>
      <c r="R6867" s="46" t="s">
        <v>272</v>
      </c>
    </row>
    <row r="6868" spans="1:18" ht="69" customHeight="1">
      <c r="A6868" s="169"/>
      <c r="B6868" s="52">
        <f t="shared" si="27"/>
        <v>4007</v>
      </c>
      <c r="C6868" s="191" t="s">
        <v>458</v>
      </c>
      <c r="D6868" s="251" t="s">
        <v>12194</v>
      </c>
      <c r="E6868" s="53" t="s">
        <v>1056</v>
      </c>
      <c r="F6868" s="211" t="s">
        <v>16929</v>
      </c>
      <c r="G6868" s="46" t="s">
        <v>14864</v>
      </c>
      <c r="H6868" s="546">
        <v>8268.75</v>
      </c>
      <c r="I6868" s="56">
        <v>45265</v>
      </c>
      <c r="J6868" s="199" t="s">
        <v>16928</v>
      </c>
      <c r="K6868" s="46"/>
      <c r="M6868" s="70"/>
      <c r="N6868" s="97"/>
      <c r="O6868" s="46" t="s">
        <v>1061</v>
      </c>
      <c r="P6868" s="46" t="s">
        <v>36</v>
      </c>
      <c r="Q6868" s="46" t="s">
        <v>90</v>
      </c>
      <c r="R6868" s="46" t="s">
        <v>272</v>
      </c>
    </row>
    <row r="6869" spans="1:18" ht="69" customHeight="1">
      <c r="A6869" s="168"/>
      <c r="B6869" s="52">
        <f t="shared" si="27"/>
        <v>4008</v>
      </c>
      <c r="C6869" s="191" t="s">
        <v>657</v>
      </c>
      <c r="D6869" s="251" t="s">
        <v>3903</v>
      </c>
      <c r="E6869" s="53" t="s">
        <v>1056</v>
      </c>
      <c r="F6869" s="211" t="s">
        <v>16930</v>
      </c>
      <c r="G6869" s="46" t="s">
        <v>14864</v>
      </c>
      <c r="H6869" s="546">
        <v>5953.5</v>
      </c>
      <c r="I6869" s="56">
        <v>45265</v>
      </c>
      <c r="J6869" s="199" t="s">
        <v>16928</v>
      </c>
      <c r="K6869" s="46"/>
      <c r="M6869" s="70"/>
      <c r="N6869" s="97"/>
      <c r="O6869" s="46" t="s">
        <v>1061</v>
      </c>
      <c r="P6869" s="46" t="s">
        <v>36</v>
      </c>
      <c r="Q6869" s="46" t="s">
        <v>99</v>
      </c>
      <c r="R6869" s="46" t="s">
        <v>272</v>
      </c>
    </row>
    <row r="6870" spans="1:18" ht="69" customHeight="1">
      <c r="A6870" s="168"/>
      <c r="B6870" s="52">
        <f t="shared" si="27"/>
        <v>4009</v>
      </c>
      <c r="C6870" s="59" t="s">
        <v>3667</v>
      </c>
      <c r="D6870" s="251" t="s">
        <v>16931</v>
      </c>
      <c r="E6870" s="53" t="s">
        <v>1056</v>
      </c>
      <c r="F6870" s="211" t="s">
        <v>16932</v>
      </c>
      <c r="G6870" s="46" t="s">
        <v>14864</v>
      </c>
      <c r="H6870" s="546">
        <v>10584</v>
      </c>
      <c r="I6870" s="56">
        <v>45265</v>
      </c>
      <c r="J6870" s="199" t="s">
        <v>16928</v>
      </c>
      <c r="K6870" s="46"/>
      <c r="M6870" s="70"/>
      <c r="N6870" s="97"/>
      <c r="O6870" s="46" t="s">
        <v>1061</v>
      </c>
      <c r="P6870" s="46" t="s">
        <v>36</v>
      </c>
      <c r="Q6870" s="46" t="s">
        <v>49</v>
      </c>
      <c r="R6870" s="46" t="s">
        <v>272</v>
      </c>
    </row>
    <row r="6871" spans="1:18" ht="69" customHeight="1">
      <c r="A6871" s="168"/>
      <c r="B6871" s="62">
        <f t="shared" si="27"/>
        <v>4010</v>
      </c>
      <c r="C6871" s="59" t="s">
        <v>2182</v>
      </c>
      <c r="D6871" s="174" t="s">
        <v>11863</v>
      </c>
      <c r="E6871" s="45" t="s">
        <v>4173</v>
      </c>
      <c r="F6871" s="58" t="s">
        <v>16933</v>
      </c>
      <c r="G6871" s="58" t="s">
        <v>16934</v>
      </c>
      <c r="H6871" s="546">
        <v>53400</v>
      </c>
      <c r="I6871" s="47">
        <v>45265</v>
      </c>
      <c r="J6871" s="65" t="s">
        <v>16935</v>
      </c>
      <c r="K6871" s="58"/>
      <c r="M6871" s="70"/>
      <c r="N6871" s="97"/>
      <c r="O6871" s="58" t="s">
        <v>14459</v>
      </c>
      <c r="P6871" s="58" t="s">
        <v>22</v>
      </c>
      <c r="Q6871" s="58" t="s">
        <v>31</v>
      </c>
      <c r="R6871" s="58" t="s">
        <v>265</v>
      </c>
    </row>
    <row r="6872" spans="1:18" ht="69" customHeight="1">
      <c r="A6872" s="168"/>
      <c r="B6872" s="62">
        <f t="shared" si="27"/>
        <v>4011</v>
      </c>
      <c r="C6872" s="59" t="s">
        <v>13435</v>
      </c>
      <c r="D6872" s="174" t="s">
        <v>11865</v>
      </c>
      <c r="E6872" s="45" t="s">
        <v>4173</v>
      </c>
      <c r="F6872" s="58" t="s">
        <v>16936</v>
      </c>
      <c r="G6872" s="58" t="s">
        <v>16621</v>
      </c>
      <c r="H6872" s="546">
        <v>29000</v>
      </c>
      <c r="I6872" s="47">
        <v>45265</v>
      </c>
      <c r="J6872" s="65" t="s">
        <v>16937</v>
      </c>
      <c r="K6872" s="58"/>
      <c r="M6872" s="70"/>
      <c r="N6872" s="97"/>
      <c r="O6872" s="58" t="s">
        <v>441</v>
      </c>
      <c r="P6872" s="58" t="s">
        <v>22</v>
      </c>
      <c r="Q6872" s="58" t="s">
        <v>13</v>
      </c>
      <c r="R6872" s="58" t="s">
        <v>265</v>
      </c>
    </row>
    <row r="6873" spans="1:18" s="98" customFormat="1" ht="69" customHeight="1">
      <c r="A6873" s="169"/>
      <c r="B6873" s="48">
        <f t="shared" si="27"/>
        <v>4012</v>
      </c>
      <c r="C6873" s="59" t="s">
        <v>3667</v>
      </c>
      <c r="D6873" s="84" t="s">
        <v>16938</v>
      </c>
      <c r="E6873" s="45" t="s">
        <v>16910</v>
      </c>
      <c r="F6873" s="45" t="s">
        <v>16939</v>
      </c>
      <c r="G6873" s="45" t="s">
        <v>16940</v>
      </c>
      <c r="H6873" s="546">
        <v>25010.7</v>
      </c>
      <c r="I6873" s="47">
        <v>45265</v>
      </c>
      <c r="J6873" s="73" t="s">
        <v>16941</v>
      </c>
      <c r="K6873" s="45"/>
      <c r="M6873" s="385"/>
      <c r="N6873" s="75"/>
      <c r="O6873" s="45" t="s">
        <v>192</v>
      </c>
      <c r="P6873" s="45" t="s">
        <v>57</v>
      </c>
      <c r="Q6873" s="45" t="s">
        <v>86</v>
      </c>
      <c r="R6873" s="45" t="s">
        <v>265</v>
      </c>
    </row>
    <row r="6874" spans="1:18" ht="69" customHeight="1">
      <c r="A6874" s="168"/>
      <c r="B6874" s="62">
        <f t="shared" si="27"/>
        <v>4013</v>
      </c>
      <c r="C6874" s="59" t="s">
        <v>3667</v>
      </c>
      <c r="D6874" s="174" t="s">
        <v>16942</v>
      </c>
      <c r="E6874" s="58" t="s">
        <v>13546</v>
      </c>
      <c r="F6874" s="58" t="s">
        <v>16943</v>
      </c>
      <c r="G6874" s="58" t="s">
        <v>16944</v>
      </c>
      <c r="H6874" s="546">
        <v>37020</v>
      </c>
      <c r="I6874" s="47">
        <v>45265</v>
      </c>
      <c r="J6874" s="65" t="s">
        <v>16945</v>
      </c>
      <c r="K6874" s="58"/>
      <c r="M6874" s="70"/>
      <c r="N6874" s="97"/>
      <c r="O6874" s="58" t="s">
        <v>10607</v>
      </c>
      <c r="P6874" s="58" t="s">
        <v>22</v>
      </c>
      <c r="Q6874" s="58" t="s">
        <v>66</v>
      </c>
      <c r="R6874" s="58" t="s">
        <v>265</v>
      </c>
    </row>
    <row r="6875" spans="1:18" s="98" customFormat="1" ht="69" customHeight="1">
      <c r="A6875" s="169"/>
      <c r="B6875" s="48">
        <f t="shared" si="27"/>
        <v>4014</v>
      </c>
      <c r="C6875" s="59" t="s">
        <v>3667</v>
      </c>
      <c r="D6875" s="84" t="s">
        <v>16946</v>
      </c>
      <c r="E6875" s="45" t="s">
        <v>16910</v>
      </c>
      <c r="F6875" s="45" t="s">
        <v>16947</v>
      </c>
      <c r="G6875" s="45" t="s">
        <v>16940</v>
      </c>
      <c r="H6875" s="546">
        <v>31743</v>
      </c>
      <c r="I6875" s="47">
        <v>45265</v>
      </c>
      <c r="J6875" s="73" t="s">
        <v>16948</v>
      </c>
      <c r="K6875" s="45"/>
      <c r="M6875" s="385"/>
      <c r="N6875" s="75"/>
      <c r="O6875" s="45" t="s">
        <v>192</v>
      </c>
      <c r="P6875" s="45" t="s">
        <v>57</v>
      </c>
      <c r="Q6875" s="45" t="s">
        <v>86</v>
      </c>
      <c r="R6875" s="45" t="s">
        <v>265</v>
      </c>
    </row>
    <row r="6876" spans="1:18" ht="69" customHeight="1">
      <c r="A6876" s="168"/>
      <c r="B6876" s="62">
        <f t="shared" si="27"/>
        <v>4015</v>
      </c>
      <c r="C6876" s="59" t="s">
        <v>3667</v>
      </c>
      <c r="D6876" s="174" t="s">
        <v>16949</v>
      </c>
      <c r="E6876" s="45" t="s">
        <v>16910</v>
      </c>
      <c r="F6876" s="45" t="s">
        <v>16950</v>
      </c>
      <c r="G6876" s="45" t="s">
        <v>16940</v>
      </c>
      <c r="H6876" s="546">
        <v>33000</v>
      </c>
      <c r="I6876" s="47">
        <v>45265</v>
      </c>
      <c r="J6876" s="65" t="s">
        <v>16951</v>
      </c>
      <c r="K6876" s="58"/>
      <c r="M6876" s="70"/>
      <c r="N6876" s="97"/>
      <c r="O6876" s="45" t="s">
        <v>192</v>
      </c>
      <c r="P6876" s="45" t="s">
        <v>57</v>
      </c>
      <c r="Q6876" s="45" t="s">
        <v>86</v>
      </c>
      <c r="R6876" s="45" t="s">
        <v>265</v>
      </c>
    </row>
    <row r="6877" spans="1:18" ht="69" customHeight="1">
      <c r="A6877" s="168"/>
      <c r="B6877" s="259">
        <f t="shared" si="27"/>
        <v>4016</v>
      </c>
      <c r="C6877" s="160" t="s">
        <v>16368</v>
      </c>
      <c r="D6877" s="303" t="s">
        <v>1970</v>
      </c>
      <c r="E6877" s="160" t="s">
        <v>266</v>
      </c>
      <c r="F6877" s="160" t="s">
        <v>16952</v>
      </c>
      <c r="G6877" s="160" t="s">
        <v>16371</v>
      </c>
      <c r="H6877" s="300">
        <v>33877.26</v>
      </c>
      <c r="I6877" s="209">
        <v>45265</v>
      </c>
      <c r="J6877" s="316" t="s">
        <v>16953</v>
      </c>
      <c r="K6877" s="160" t="s">
        <v>16954</v>
      </c>
      <c r="L6877" s="99"/>
      <c r="M6877" s="70"/>
      <c r="N6877" s="97"/>
      <c r="O6877" s="160" t="s">
        <v>15347</v>
      </c>
      <c r="P6877" s="160" t="s">
        <v>67</v>
      </c>
      <c r="Q6877" s="160" t="s">
        <v>96</v>
      </c>
      <c r="R6877" s="160" t="s">
        <v>272</v>
      </c>
    </row>
    <row r="6878" spans="1:18" ht="69" customHeight="1">
      <c r="A6878" s="168"/>
      <c r="B6878" s="259">
        <f t="shared" si="27"/>
        <v>4017</v>
      </c>
      <c r="C6878" s="207" t="s">
        <v>3340</v>
      </c>
      <c r="D6878" s="303" t="s">
        <v>6839</v>
      </c>
      <c r="E6878" s="160" t="s">
        <v>266</v>
      </c>
      <c r="F6878" s="160" t="s">
        <v>16955</v>
      </c>
      <c r="G6878" s="160" t="s">
        <v>16956</v>
      </c>
      <c r="H6878" s="300">
        <v>26970</v>
      </c>
      <c r="I6878" s="209">
        <v>45265</v>
      </c>
      <c r="J6878" s="316" t="s">
        <v>16957</v>
      </c>
      <c r="K6878" s="160" t="s">
        <v>16954</v>
      </c>
      <c r="L6878" s="99"/>
      <c r="M6878" s="379"/>
      <c r="N6878" s="76"/>
      <c r="O6878" s="160" t="s">
        <v>13735</v>
      </c>
      <c r="P6878" s="160" t="s">
        <v>67</v>
      </c>
      <c r="Q6878" s="160" t="s">
        <v>96</v>
      </c>
      <c r="R6878" s="160" t="s">
        <v>272</v>
      </c>
    </row>
    <row r="6879" spans="1:18" s="98" customFormat="1" ht="69" customHeight="1">
      <c r="A6879" s="169"/>
      <c r="B6879" s="48">
        <f t="shared" si="27"/>
        <v>4018</v>
      </c>
      <c r="C6879" s="59" t="s">
        <v>9094</v>
      </c>
      <c r="D6879" s="84" t="s">
        <v>16958</v>
      </c>
      <c r="E6879" s="45" t="s">
        <v>16959</v>
      </c>
      <c r="F6879" s="45" t="s">
        <v>16960</v>
      </c>
      <c r="G6879" s="45" t="s">
        <v>16961</v>
      </c>
      <c r="H6879" s="546">
        <v>96535.43</v>
      </c>
      <c r="I6879" s="47">
        <v>45265</v>
      </c>
      <c r="J6879" s="73" t="s">
        <v>16962</v>
      </c>
      <c r="K6879" s="45"/>
      <c r="M6879" s="385"/>
      <c r="N6879" s="75"/>
      <c r="O6879" s="45" t="s">
        <v>234</v>
      </c>
      <c r="P6879" s="45" t="s">
        <v>57</v>
      </c>
      <c r="Q6879" s="45" t="s">
        <v>112</v>
      </c>
      <c r="R6879" s="45" t="s">
        <v>272</v>
      </c>
    </row>
    <row r="6880" spans="1:18" ht="69" customHeight="1">
      <c r="A6880" s="168"/>
      <c r="B6880" s="62">
        <f t="shared" si="27"/>
        <v>4019</v>
      </c>
      <c r="C6880" s="59" t="s">
        <v>458</v>
      </c>
      <c r="D6880" s="174" t="s">
        <v>12188</v>
      </c>
      <c r="E6880" s="178" t="s">
        <v>350</v>
      </c>
      <c r="F6880" s="58" t="s">
        <v>16963</v>
      </c>
      <c r="G6880" s="58" t="s">
        <v>16964</v>
      </c>
      <c r="H6880" s="546">
        <v>439507</v>
      </c>
      <c r="I6880" s="47">
        <v>45265</v>
      </c>
      <c r="J6880" s="65" t="s">
        <v>16965</v>
      </c>
      <c r="K6880" s="58"/>
      <c r="M6880" s="70"/>
      <c r="N6880" s="97"/>
      <c r="O6880" s="58" t="s">
        <v>141</v>
      </c>
      <c r="P6880" s="58" t="s">
        <v>19</v>
      </c>
      <c r="Q6880" s="58" t="s">
        <v>123</v>
      </c>
      <c r="R6880" s="58" t="s">
        <v>265</v>
      </c>
    </row>
    <row r="6881" spans="1:18" ht="69" customHeight="1">
      <c r="A6881" s="168"/>
      <c r="B6881" s="48">
        <f t="shared" si="27"/>
        <v>4020</v>
      </c>
      <c r="C6881" s="59" t="s">
        <v>11908</v>
      </c>
      <c r="D6881" s="84" t="s">
        <v>16881</v>
      </c>
      <c r="E6881" s="45" t="s">
        <v>16966</v>
      </c>
      <c r="F6881" s="45" t="s">
        <v>16967</v>
      </c>
      <c r="G6881" s="45" t="s">
        <v>16968</v>
      </c>
      <c r="H6881" s="546">
        <v>1164903.1200000001</v>
      </c>
      <c r="I6881" s="47">
        <v>45257</v>
      </c>
      <c r="J6881" s="73" t="s">
        <v>16969</v>
      </c>
      <c r="K6881" s="45"/>
      <c r="M6881" s="70"/>
      <c r="N6881" s="97"/>
      <c r="O6881" s="58" t="s">
        <v>147</v>
      </c>
      <c r="P6881" s="58" t="s">
        <v>22</v>
      </c>
      <c r="Q6881" s="58" t="s">
        <v>103</v>
      </c>
      <c r="R6881" s="58" t="s">
        <v>272</v>
      </c>
    </row>
    <row r="6882" spans="1:18" ht="69" customHeight="1">
      <c r="A6882" s="168"/>
      <c r="B6882" s="48">
        <f t="shared" si="27"/>
        <v>4021</v>
      </c>
      <c r="C6882" s="45" t="s">
        <v>11568</v>
      </c>
      <c r="D6882" s="84" t="s">
        <v>12209</v>
      </c>
      <c r="E6882" s="45" t="s">
        <v>16966</v>
      </c>
      <c r="F6882" s="45" t="s">
        <v>16970</v>
      </c>
      <c r="G6882" s="45" t="s">
        <v>16968</v>
      </c>
      <c r="H6882" s="546">
        <v>708833.24</v>
      </c>
      <c r="I6882" s="47">
        <v>45257</v>
      </c>
      <c r="J6882" s="73" t="s">
        <v>16969</v>
      </c>
      <c r="K6882" s="45"/>
      <c r="M6882" s="70"/>
      <c r="N6882" s="97"/>
      <c r="O6882" s="58" t="s">
        <v>147</v>
      </c>
      <c r="P6882" s="58" t="s">
        <v>22</v>
      </c>
      <c r="Q6882" s="58" t="s">
        <v>107</v>
      </c>
      <c r="R6882" s="58" t="s">
        <v>272</v>
      </c>
    </row>
    <row r="6883" spans="1:18" ht="69" customHeight="1">
      <c r="A6883" s="168"/>
      <c r="B6883" s="48">
        <f t="shared" si="27"/>
        <v>4022</v>
      </c>
      <c r="C6883" s="45" t="s">
        <v>16971</v>
      </c>
      <c r="D6883" s="84" t="s">
        <v>16736</v>
      </c>
      <c r="E6883" s="45" t="s">
        <v>16966</v>
      </c>
      <c r="F6883" s="45" t="s">
        <v>16972</v>
      </c>
      <c r="G6883" s="45" t="s">
        <v>16968</v>
      </c>
      <c r="H6883" s="546">
        <v>501445.48</v>
      </c>
      <c r="I6883" s="47">
        <v>45257</v>
      </c>
      <c r="J6883" s="73" t="s">
        <v>16969</v>
      </c>
      <c r="K6883" s="45"/>
      <c r="M6883" s="70"/>
      <c r="N6883" s="97"/>
      <c r="O6883" s="58" t="s">
        <v>147</v>
      </c>
      <c r="P6883" s="58" t="s">
        <v>22</v>
      </c>
      <c r="Q6883" s="58" t="s">
        <v>104</v>
      </c>
      <c r="R6883" s="58" t="s">
        <v>272</v>
      </c>
    </row>
    <row r="6884" spans="1:18" ht="69" customHeight="1">
      <c r="A6884" s="168"/>
      <c r="B6884" s="48">
        <f t="shared" si="27"/>
        <v>4023</v>
      </c>
      <c r="C6884" s="59" t="s">
        <v>16973</v>
      </c>
      <c r="D6884" s="84" t="s">
        <v>12213</v>
      </c>
      <c r="E6884" s="45" t="s">
        <v>16966</v>
      </c>
      <c r="F6884" s="45" t="s">
        <v>16974</v>
      </c>
      <c r="G6884" s="45" t="s">
        <v>16968</v>
      </c>
      <c r="H6884" s="546">
        <v>416453.83</v>
      </c>
      <c r="I6884" s="47">
        <v>45257</v>
      </c>
      <c r="J6884" s="73" t="s">
        <v>16969</v>
      </c>
      <c r="K6884" s="45"/>
      <c r="M6884" s="70"/>
      <c r="N6884" s="97"/>
      <c r="O6884" s="58" t="s">
        <v>147</v>
      </c>
      <c r="P6884" s="58" t="s">
        <v>22</v>
      </c>
      <c r="Q6884" s="58" t="s">
        <v>113</v>
      </c>
      <c r="R6884" s="58" t="s">
        <v>272</v>
      </c>
    </row>
    <row r="6885" spans="1:18" ht="69" customHeight="1">
      <c r="A6885" s="168"/>
      <c r="B6885" s="48">
        <f t="shared" si="27"/>
        <v>4024</v>
      </c>
      <c r="C6885" s="59" t="s">
        <v>7189</v>
      </c>
      <c r="D6885" s="84" t="s">
        <v>6729</v>
      </c>
      <c r="E6885" s="45" t="s">
        <v>16966</v>
      </c>
      <c r="F6885" s="45" t="s">
        <v>16975</v>
      </c>
      <c r="G6885" s="45" t="s">
        <v>16968</v>
      </c>
      <c r="H6885" s="546">
        <v>352296.21</v>
      </c>
      <c r="I6885" s="47">
        <v>45257</v>
      </c>
      <c r="J6885" s="73" t="s">
        <v>16969</v>
      </c>
      <c r="K6885" s="45"/>
      <c r="M6885" s="70"/>
      <c r="N6885" s="97"/>
      <c r="O6885" s="58" t="s">
        <v>147</v>
      </c>
      <c r="P6885" s="58" t="s">
        <v>22</v>
      </c>
      <c r="Q6885" s="58" t="s">
        <v>97</v>
      </c>
      <c r="R6885" s="58" t="s">
        <v>265</v>
      </c>
    </row>
    <row r="6886" spans="1:18" ht="69" customHeight="1">
      <c r="A6886" s="168"/>
      <c r="B6886" s="52">
        <f t="shared" si="27"/>
        <v>4025</v>
      </c>
      <c r="C6886" s="191" t="s">
        <v>309</v>
      </c>
      <c r="D6886" s="251" t="s">
        <v>11870</v>
      </c>
      <c r="E6886" s="46" t="s">
        <v>266</v>
      </c>
      <c r="F6886" s="46" t="s">
        <v>16976</v>
      </c>
      <c r="G6886" s="46" t="s">
        <v>16977</v>
      </c>
      <c r="H6886" s="534">
        <v>1000</v>
      </c>
      <c r="I6886" s="56">
        <v>45265</v>
      </c>
      <c r="J6886" s="199" t="s">
        <v>16978</v>
      </c>
      <c r="K6886" s="46" t="s">
        <v>167</v>
      </c>
      <c r="M6886" s="70"/>
      <c r="N6886" s="97"/>
      <c r="O6886" s="46" t="s">
        <v>16979</v>
      </c>
      <c r="P6886" s="46" t="s">
        <v>65</v>
      </c>
      <c r="Q6886" s="46" t="s">
        <v>39</v>
      </c>
      <c r="R6886" s="46" t="s">
        <v>272</v>
      </c>
    </row>
    <row r="6887" spans="1:18" ht="69" customHeight="1">
      <c r="A6887" s="168"/>
      <c r="B6887" s="52">
        <f t="shared" si="27"/>
        <v>4026</v>
      </c>
      <c r="C6887" s="191" t="s">
        <v>309</v>
      </c>
      <c r="D6887" s="251" t="s">
        <v>11874</v>
      </c>
      <c r="E6887" s="46" t="s">
        <v>266</v>
      </c>
      <c r="F6887" s="46" t="s">
        <v>16980</v>
      </c>
      <c r="G6887" s="46" t="s">
        <v>16977</v>
      </c>
      <c r="H6887" s="534">
        <v>1058</v>
      </c>
      <c r="I6887" s="56">
        <v>45265</v>
      </c>
      <c r="J6887" s="199" t="s">
        <v>16978</v>
      </c>
      <c r="K6887" s="46" t="s">
        <v>167</v>
      </c>
      <c r="M6887" s="70"/>
      <c r="N6887" s="97"/>
      <c r="O6887" s="46" t="s">
        <v>16979</v>
      </c>
      <c r="P6887" s="46" t="s">
        <v>65</v>
      </c>
      <c r="Q6887" s="46" t="s">
        <v>41</v>
      </c>
      <c r="R6887" s="46" t="s">
        <v>272</v>
      </c>
    </row>
    <row r="6888" spans="1:18" ht="69" customHeight="1">
      <c r="A6888" s="168"/>
      <c r="B6888" s="52">
        <f t="shared" si="27"/>
        <v>4027</v>
      </c>
      <c r="C6888" s="191" t="s">
        <v>13435</v>
      </c>
      <c r="D6888" s="251" t="s">
        <v>11968</v>
      </c>
      <c r="E6888" s="46" t="s">
        <v>266</v>
      </c>
      <c r="F6888" s="46" t="s">
        <v>16981</v>
      </c>
      <c r="G6888" s="46" t="s">
        <v>16982</v>
      </c>
      <c r="H6888" s="534">
        <v>1590</v>
      </c>
      <c r="I6888" s="56">
        <v>45275</v>
      </c>
      <c r="J6888" s="199" t="s">
        <v>16983</v>
      </c>
      <c r="K6888" s="46"/>
      <c r="M6888" s="70"/>
      <c r="N6888" s="97"/>
      <c r="O6888" s="46" t="s">
        <v>16984</v>
      </c>
      <c r="P6888" s="46" t="s">
        <v>65</v>
      </c>
      <c r="Q6888" s="46" t="s">
        <v>13</v>
      </c>
      <c r="R6888" s="46" t="s">
        <v>272</v>
      </c>
    </row>
    <row r="6889" spans="1:18" ht="69" customHeight="1">
      <c r="A6889" s="168"/>
      <c r="B6889" s="52">
        <f t="shared" si="27"/>
        <v>4028</v>
      </c>
      <c r="C6889" s="191" t="s">
        <v>3667</v>
      </c>
      <c r="D6889" s="251" t="s">
        <v>16985</v>
      </c>
      <c r="E6889" s="46" t="s">
        <v>266</v>
      </c>
      <c r="F6889" s="46" t="s">
        <v>16986</v>
      </c>
      <c r="G6889" s="46" t="s">
        <v>16987</v>
      </c>
      <c r="H6889" s="534">
        <v>67223.199999999997</v>
      </c>
      <c r="I6889" s="56">
        <v>45265</v>
      </c>
      <c r="J6889" s="199" t="s">
        <v>16988</v>
      </c>
      <c r="K6889" s="46"/>
      <c r="M6889" s="70"/>
      <c r="N6889" s="97"/>
      <c r="O6889" s="46"/>
      <c r="P6889" s="46" t="s">
        <v>65</v>
      </c>
      <c r="Q6889" s="46" t="s">
        <v>78</v>
      </c>
      <c r="R6889" s="46" t="s">
        <v>272</v>
      </c>
    </row>
    <row r="6890" spans="1:18" ht="69" customHeight="1">
      <c r="A6890" s="168"/>
      <c r="B6890" s="62">
        <f t="shared" si="27"/>
        <v>4029</v>
      </c>
      <c r="C6890" s="59" t="s">
        <v>458</v>
      </c>
      <c r="D6890" s="174" t="s">
        <v>16881</v>
      </c>
      <c r="E6890" s="58" t="s">
        <v>13546</v>
      </c>
      <c r="F6890" s="58" t="s">
        <v>16989</v>
      </c>
      <c r="G6890" s="58" t="s">
        <v>16990</v>
      </c>
      <c r="H6890" s="546">
        <v>48800</v>
      </c>
      <c r="I6890" s="66">
        <v>45265</v>
      </c>
      <c r="J6890" s="65" t="s">
        <v>16991</v>
      </c>
      <c r="K6890" s="58"/>
      <c r="M6890" s="70"/>
      <c r="N6890" s="97"/>
      <c r="O6890" s="58" t="s">
        <v>10607</v>
      </c>
      <c r="P6890" s="58" t="s">
        <v>22</v>
      </c>
      <c r="Q6890" s="58" t="s">
        <v>117</v>
      </c>
      <c r="R6890" s="58" t="s">
        <v>265</v>
      </c>
    </row>
    <row r="6891" spans="1:18" ht="69" customHeight="1">
      <c r="A6891" s="168"/>
      <c r="B6891" s="52">
        <f t="shared" si="27"/>
        <v>4030</v>
      </c>
      <c r="C6891" s="191" t="s">
        <v>9322</v>
      </c>
      <c r="D6891" s="251" t="s">
        <v>12209</v>
      </c>
      <c r="E6891" s="46" t="s">
        <v>16992</v>
      </c>
      <c r="F6891" s="46" t="s">
        <v>16993</v>
      </c>
      <c r="G6891" s="46" t="s">
        <v>16994</v>
      </c>
      <c r="H6891" s="534">
        <v>15000</v>
      </c>
      <c r="I6891" s="56">
        <v>45265</v>
      </c>
      <c r="J6891" s="199" t="s">
        <v>16995</v>
      </c>
      <c r="K6891" s="46" t="s">
        <v>65</v>
      </c>
      <c r="M6891" s="70"/>
      <c r="N6891" s="97"/>
      <c r="O6891" s="46" t="s">
        <v>16996</v>
      </c>
      <c r="P6891" s="46" t="s">
        <v>65</v>
      </c>
      <c r="Q6891" s="46" t="s">
        <v>114</v>
      </c>
      <c r="R6891" s="46" t="s">
        <v>272</v>
      </c>
    </row>
    <row r="6892" spans="1:18" ht="69" customHeight="1">
      <c r="A6892" s="168"/>
      <c r="B6892" s="52">
        <f t="shared" si="27"/>
        <v>4031</v>
      </c>
      <c r="C6892" s="191" t="s">
        <v>9436</v>
      </c>
      <c r="D6892" s="251" t="s">
        <v>10935</v>
      </c>
      <c r="E6892" s="46" t="s">
        <v>16992</v>
      </c>
      <c r="F6892" s="46" t="s">
        <v>16997</v>
      </c>
      <c r="G6892" s="46" t="s">
        <v>16994</v>
      </c>
      <c r="H6892" s="534">
        <v>18000</v>
      </c>
      <c r="I6892" s="56">
        <v>45265</v>
      </c>
      <c r="J6892" s="199" t="s">
        <v>16995</v>
      </c>
      <c r="K6892" s="46" t="s">
        <v>65</v>
      </c>
      <c r="M6892" s="70"/>
      <c r="N6892" s="97"/>
      <c r="O6892" s="46" t="s">
        <v>16996</v>
      </c>
      <c r="P6892" s="46" t="s">
        <v>65</v>
      </c>
      <c r="Q6892" s="46" t="s">
        <v>116</v>
      </c>
      <c r="R6892" s="46" t="s">
        <v>272</v>
      </c>
    </row>
    <row r="6893" spans="1:18" ht="69" customHeight="1">
      <c r="A6893" s="168"/>
      <c r="B6893" s="52">
        <f t="shared" si="27"/>
        <v>4032</v>
      </c>
      <c r="C6893" s="191" t="s">
        <v>9596</v>
      </c>
      <c r="D6893" s="251" t="s">
        <v>10942</v>
      </c>
      <c r="E6893" s="46" t="s">
        <v>16992</v>
      </c>
      <c r="F6893" s="46" t="s">
        <v>16998</v>
      </c>
      <c r="G6893" s="46" t="s">
        <v>16994</v>
      </c>
      <c r="H6893" s="534">
        <v>13000</v>
      </c>
      <c r="I6893" s="56">
        <v>45265</v>
      </c>
      <c r="J6893" s="199" t="s">
        <v>16995</v>
      </c>
      <c r="K6893" s="46" t="s">
        <v>65</v>
      </c>
      <c r="M6893" s="70"/>
      <c r="N6893" s="97"/>
      <c r="O6893" s="46" t="s">
        <v>16996</v>
      </c>
      <c r="P6893" s="46" t="s">
        <v>65</v>
      </c>
      <c r="Q6893" s="46" t="s">
        <v>118</v>
      </c>
      <c r="R6893" s="46" t="s">
        <v>272</v>
      </c>
    </row>
    <row r="6894" spans="1:18" ht="69" customHeight="1">
      <c r="A6894" s="168"/>
      <c r="B6894" s="62">
        <f t="shared" si="27"/>
        <v>4033</v>
      </c>
      <c r="C6894" s="59" t="s">
        <v>657</v>
      </c>
      <c r="D6894" s="174" t="s">
        <v>4650</v>
      </c>
      <c r="E6894" s="58" t="s">
        <v>16966</v>
      </c>
      <c r="F6894" s="58" t="s">
        <v>16999</v>
      </c>
      <c r="G6894" s="58" t="s">
        <v>17000</v>
      </c>
      <c r="H6894" s="546">
        <v>60758.27</v>
      </c>
      <c r="I6894" s="66">
        <v>45265</v>
      </c>
      <c r="J6894" s="65" t="s">
        <v>17001</v>
      </c>
      <c r="K6894" s="58"/>
      <c r="M6894" s="70"/>
      <c r="N6894" s="97"/>
      <c r="O6894" s="58" t="s">
        <v>147</v>
      </c>
      <c r="P6894" s="58" t="s">
        <v>22</v>
      </c>
      <c r="Q6894" s="58" t="s">
        <v>110</v>
      </c>
      <c r="R6894" s="58" t="s">
        <v>272</v>
      </c>
    </row>
    <row r="6895" spans="1:18" ht="69" customHeight="1">
      <c r="A6895" s="168"/>
      <c r="B6895" s="62">
        <f t="shared" si="27"/>
        <v>4034</v>
      </c>
      <c r="C6895" s="59" t="s">
        <v>657</v>
      </c>
      <c r="D6895" s="174" t="s">
        <v>4271</v>
      </c>
      <c r="E6895" s="58" t="s">
        <v>16966</v>
      </c>
      <c r="F6895" s="58" t="s">
        <v>17002</v>
      </c>
      <c r="G6895" s="58" t="s">
        <v>17000</v>
      </c>
      <c r="H6895" s="546">
        <v>49711.32</v>
      </c>
      <c r="I6895" s="66">
        <v>45265</v>
      </c>
      <c r="J6895" s="65" t="s">
        <v>17001</v>
      </c>
      <c r="K6895" s="58"/>
      <c r="M6895" s="70"/>
      <c r="N6895" s="97"/>
      <c r="O6895" s="58" t="s">
        <v>147</v>
      </c>
      <c r="P6895" s="58" t="s">
        <v>22</v>
      </c>
      <c r="Q6895" s="58" t="s">
        <v>110</v>
      </c>
      <c r="R6895" s="58" t="s">
        <v>272</v>
      </c>
    </row>
    <row r="6896" spans="1:18" ht="69" customHeight="1">
      <c r="A6896" s="168"/>
      <c r="B6896" s="62">
        <f t="shared" si="27"/>
        <v>4035</v>
      </c>
      <c r="C6896" s="59" t="s">
        <v>3667</v>
      </c>
      <c r="D6896" s="174" t="s">
        <v>17003</v>
      </c>
      <c r="E6896" s="58" t="s">
        <v>16966</v>
      </c>
      <c r="F6896" s="58" t="s">
        <v>17004</v>
      </c>
      <c r="G6896" s="58" t="s">
        <v>17000</v>
      </c>
      <c r="H6896" s="546">
        <v>61782.35</v>
      </c>
      <c r="I6896" s="66">
        <v>45265</v>
      </c>
      <c r="J6896" s="65" t="s">
        <v>17001</v>
      </c>
      <c r="K6896" s="58"/>
      <c r="M6896" s="70"/>
      <c r="N6896" s="97"/>
      <c r="O6896" s="58" t="s">
        <v>147</v>
      </c>
      <c r="P6896" s="58" t="s">
        <v>22</v>
      </c>
      <c r="Q6896" s="58" t="s">
        <v>78</v>
      </c>
      <c r="R6896" s="58" t="s">
        <v>272</v>
      </c>
    </row>
    <row r="6897" spans="1:18" ht="69" customHeight="1">
      <c r="A6897" s="168"/>
      <c r="B6897" s="62">
        <f t="shared" si="27"/>
        <v>4036</v>
      </c>
      <c r="C6897" s="59" t="s">
        <v>3667</v>
      </c>
      <c r="D6897" s="174" t="s">
        <v>17005</v>
      </c>
      <c r="E6897" s="58" t="s">
        <v>16966</v>
      </c>
      <c r="F6897" s="58" t="s">
        <v>17006</v>
      </c>
      <c r="G6897" s="58" t="s">
        <v>17000</v>
      </c>
      <c r="H6897" s="546">
        <v>50549.19</v>
      </c>
      <c r="I6897" s="66">
        <v>45265</v>
      </c>
      <c r="J6897" s="65" t="s">
        <v>17001</v>
      </c>
      <c r="K6897" s="58"/>
      <c r="M6897" s="70"/>
      <c r="N6897" s="97"/>
      <c r="O6897" s="58" t="s">
        <v>147</v>
      </c>
      <c r="P6897" s="58" t="s">
        <v>22</v>
      </c>
      <c r="Q6897" s="58" t="s">
        <v>78</v>
      </c>
      <c r="R6897" s="58" t="s">
        <v>272</v>
      </c>
    </row>
    <row r="6898" spans="1:18" ht="69" customHeight="1">
      <c r="A6898" s="168"/>
      <c r="B6898" s="259">
        <f t="shared" si="27"/>
        <v>4037</v>
      </c>
      <c r="C6898" s="160" t="s">
        <v>16368</v>
      </c>
      <c r="D6898" s="303" t="s">
        <v>2430</v>
      </c>
      <c r="E6898" s="160" t="s">
        <v>17007</v>
      </c>
      <c r="F6898" s="160" t="s">
        <v>17008</v>
      </c>
      <c r="G6898" s="160" t="s">
        <v>17009</v>
      </c>
      <c r="H6898" s="300">
        <v>112615.2</v>
      </c>
      <c r="I6898" s="209">
        <v>45265</v>
      </c>
      <c r="J6898" s="316" t="s">
        <v>17010</v>
      </c>
      <c r="K6898" s="160" t="s">
        <v>11084</v>
      </c>
      <c r="M6898" s="70"/>
      <c r="N6898" s="97"/>
      <c r="O6898" s="160" t="s">
        <v>17011</v>
      </c>
      <c r="P6898" s="160" t="s">
        <v>67</v>
      </c>
      <c r="Q6898" s="160" t="s">
        <v>96</v>
      </c>
      <c r="R6898" s="160" t="s">
        <v>272</v>
      </c>
    </row>
    <row r="6899" spans="1:18" ht="69" customHeight="1">
      <c r="A6899" s="168"/>
      <c r="B6899" s="62">
        <f t="shared" si="27"/>
        <v>4038</v>
      </c>
      <c r="C6899" s="178" t="s">
        <v>5558</v>
      </c>
      <c r="D6899" s="174" t="s">
        <v>17012</v>
      </c>
      <c r="E6899" s="178" t="s">
        <v>266</v>
      </c>
      <c r="F6899" s="58" t="s">
        <v>17013</v>
      </c>
      <c r="G6899" s="58" t="s">
        <v>15908</v>
      </c>
      <c r="H6899" s="552">
        <v>12000</v>
      </c>
      <c r="I6899" s="66">
        <v>45275</v>
      </c>
      <c r="J6899" s="65" t="s">
        <v>17014</v>
      </c>
      <c r="K6899" s="58"/>
      <c r="M6899" s="70"/>
      <c r="N6899" s="97"/>
      <c r="O6899" s="62" t="s">
        <v>6918</v>
      </c>
      <c r="P6899" s="58" t="s">
        <v>44</v>
      </c>
      <c r="Q6899" s="58" t="s">
        <v>64</v>
      </c>
      <c r="R6899" s="58" t="s">
        <v>272</v>
      </c>
    </row>
    <row r="6900" spans="1:18" ht="69" customHeight="1">
      <c r="A6900" s="168"/>
      <c r="B6900" s="52">
        <f t="shared" si="27"/>
        <v>4039</v>
      </c>
      <c r="C6900" s="191" t="s">
        <v>309</v>
      </c>
      <c r="D6900" s="251" t="s">
        <v>16573</v>
      </c>
      <c r="E6900" s="53" t="s">
        <v>1056</v>
      </c>
      <c r="F6900" s="211" t="s">
        <v>17015</v>
      </c>
      <c r="G6900" s="46" t="s">
        <v>16166</v>
      </c>
      <c r="H6900" s="546">
        <v>16712.16</v>
      </c>
      <c r="I6900" s="56">
        <v>45275</v>
      </c>
      <c r="J6900" s="199" t="s">
        <v>17016</v>
      </c>
      <c r="K6900" s="46"/>
      <c r="M6900" s="70"/>
      <c r="N6900" s="97"/>
      <c r="O6900" s="46" t="s">
        <v>1061</v>
      </c>
      <c r="P6900" s="46" t="s">
        <v>36</v>
      </c>
      <c r="Q6900" s="46" t="s">
        <v>15</v>
      </c>
      <c r="R6900" s="46" t="s">
        <v>272</v>
      </c>
    </row>
    <row r="6901" spans="1:18" ht="69" customHeight="1">
      <c r="A6901" s="168"/>
      <c r="B6901" s="52">
        <f t="shared" si="27"/>
        <v>4040</v>
      </c>
      <c r="C6901" s="191" t="s">
        <v>458</v>
      </c>
      <c r="D6901" s="251" t="s">
        <v>12213</v>
      </c>
      <c r="E6901" s="53" t="s">
        <v>1056</v>
      </c>
      <c r="F6901" s="211" t="s">
        <v>17017</v>
      </c>
      <c r="G6901" s="46" t="s">
        <v>16166</v>
      </c>
      <c r="H6901" s="546">
        <v>16712.16</v>
      </c>
      <c r="I6901" s="56">
        <v>45275</v>
      </c>
      <c r="J6901" s="199" t="s">
        <v>17016</v>
      </c>
      <c r="K6901" s="46"/>
      <c r="M6901" s="70"/>
      <c r="N6901" s="97"/>
      <c r="O6901" s="46" t="s">
        <v>1061</v>
      </c>
      <c r="P6901" s="46" t="s">
        <v>36</v>
      </c>
      <c r="Q6901" s="46" t="s">
        <v>90</v>
      </c>
      <c r="R6901" s="46" t="s">
        <v>272</v>
      </c>
    </row>
    <row r="6902" spans="1:18" ht="69" customHeight="1">
      <c r="A6902" s="168"/>
      <c r="B6902" s="52">
        <f t="shared" si="27"/>
        <v>4041</v>
      </c>
      <c r="C6902" s="51" t="s">
        <v>657</v>
      </c>
      <c r="D6902" s="251" t="s">
        <v>3913</v>
      </c>
      <c r="E6902" s="53" t="s">
        <v>1056</v>
      </c>
      <c r="F6902" s="211" t="s">
        <v>17018</v>
      </c>
      <c r="G6902" s="46" t="s">
        <v>16166</v>
      </c>
      <c r="H6902" s="546">
        <v>12032.76</v>
      </c>
      <c r="I6902" s="56">
        <v>45275</v>
      </c>
      <c r="J6902" s="199" t="s">
        <v>17016</v>
      </c>
      <c r="K6902" s="46"/>
      <c r="M6902" s="70"/>
      <c r="N6902" s="97"/>
      <c r="O6902" s="46" t="s">
        <v>1061</v>
      </c>
      <c r="P6902" s="46" t="s">
        <v>36</v>
      </c>
      <c r="Q6902" s="46" t="s">
        <v>99</v>
      </c>
      <c r="R6902" s="46" t="s">
        <v>272</v>
      </c>
    </row>
    <row r="6903" spans="1:18" ht="69" customHeight="1">
      <c r="A6903" s="168"/>
      <c r="B6903" s="52">
        <f t="shared" si="27"/>
        <v>4042</v>
      </c>
      <c r="C6903" s="59" t="s">
        <v>3667</v>
      </c>
      <c r="D6903" s="251" t="s">
        <v>17019</v>
      </c>
      <c r="E6903" s="53" t="s">
        <v>1056</v>
      </c>
      <c r="F6903" s="211" t="s">
        <v>17020</v>
      </c>
      <c r="G6903" s="46" t="s">
        <v>16166</v>
      </c>
      <c r="H6903" s="546">
        <v>21391.57</v>
      </c>
      <c r="I6903" s="56">
        <v>45275</v>
      </c>
      <c r="J6903" s="199" t="s">
        <v>17016</v>
      </c>
      <c r="K6903" s="46"/>
      <c r="M6903" s="70"/>
      <c r="N6903" s="97"/>
      <c r="O6903" s="46" t="s">
        <v>1061</v>
      </c>
      <c r="P6903" s="46" t="s">
        <v>36</v>
      </c>
      <c r="Q6903" s="46" t="s">
        <v>49</v>
      </c>
      <c r="R6903" s="46" t="s">
        <v>272</v>
      </c>
    </row>
    <row r="6904" spans="1:18" ht="69" customHeight="1">
      <c r="A6904" s="168"/>
      <c r="B6904" s="52">
        <f t="shared" si="27"/>
        <v>4043</v>
      </c>
      <c r="C6904" s="191" t="s">
        <v>458</v>
      </c>
      <c r="D6904" s="251" t="s">
        <v>12221</v>
      </c>
      <c r="E6904" s="53" t="s">
        <v>1056</v>
      </c>
      <c r="F6904" s="211" t="s">
        <v>17021</v>
      </c>
      <c r="G6904" s="46" t="s">
        <v>16174</v>
      </c>
      <c r="H6904" s="546">
        <v>133987.32</v>
      </c>
      <c r="I6904" s="56">
        <v>45275</v>
      </c>
      <c r="J6904" s="199" t="s">
        <v>17016</v>
      </c>
      <c r="K6904" s="46"/>
      <c r="M6904" s="70"/>
      <c r="N6904" s="97"/>
      <c r="O6904" s="46" t="s">
        <v>1061</v>
      </c>
      <c r="P6904" s="46" t="s">
        <v>36</v>
      </c>
      <c r="Q6904" s="46" t="s">
        <v>90</v>
      </c>
      <c r="R6904" s="46" t="s">
        <v>272</v>
      </c>
    </row>
    <row r="6905" spans="1:18" ht="69" customHeight="1">
      <c r="A6905" s="168"/>
      <c r="B6905" s="52">
        <f t="shared" si="27"/>
        <v>4044</v>
      </c>
      <c r="C6905" s="191" t="s">
        <v>16168</v>
      </c>
      <c r="D6905" s="251" t="s">
        <v>16592</v>
      </c>
      <c r="E6905" s="53" t="s">
        <v>1056</v>
      </c>
      <c r="F6905" s="211" t="s">
        <v>17022</v>
      </c>
      <c r="G6905" s="46" t="s">
        <v>16174</v>
      </c>
      <c r="H6905" s="546">
        <v>133987.32</v>
      </c>
      <c r="I6905" s="56">
        <v>45275</v>
      </c>
      <c r="J6905" s="199" t="s">
        <v>17016</v>
      </c>
      <c r="K6905" s="46"/>
      <c r="M6905" s="70"/>
      <c r="N6905" s="97"/>
      <c r="O6905" s="46" t="s">
        <v>1061</v>
      </c>
      <c r="P6905" s="46" t="s">
        <v>36</v>
      </c>
      <c r="Q6905" s="46" t="s">
        <v>15</v>
      </c>
      <c r="R6905" s="46" t="s">
        <v>272</v>
      </c>
    </row>
    <row r="6906" spans="1:18" ht="69" customHeight="1">
      <c r="A6906" s="168"/>
      <c r="B6906" s="52">
        <f t="shared" si="27"/>
        <v>4045</v>
      </c>
      <c r="C6906" s="51" t="s">
        <v>657</v>
      </c>
      <c r="D6906" s="251" t="s">
        <v>11012</v>
      </c>
      <c r="E6906" s="53" t="s">
        <v>1056</v>
      </c>
      <c r="F6906" s="211" t="s">
        <v>17023</v>
      </c>
      <c r="G6906" s="46" t="s">
        <v>16174</v>
      </c>
      <c r="H6906" s="546">
        <v>96470.87</v>
      </c>
      <c r="I6906" s="56">
        <v>45275</v>
      </c>
      <c r="J6906" s="199" t="s">
        <v>17016</v>
      </c>
      <c r="K6906" s="46"/>
      <c r="M6906" s="70"/>
      <c r="N6906" s="97"/>
      <c r="O6906" s="46" t="s">
        <v>1061</v>
      </c>
      <c r="P6906" s="46" t="s">
        <v>36</v>
      </c>
      <c r="Q6906" s="46" t="s">
        <v>99</v>
      </c>
      <c r="R6906" s="46" t="s">
        <v>272</v>
      </c>
    </row>
    <row r="6907" spans="1:18" ht="69" customHeight="1">
      <c r="A6907" s="168"/>
      <c r="B6907" s="52">
        <f t="shared" si="27"/>
        <v>4046</v>
      </c>
      <c r="C6907" s="59" t="s">
        <v>3667</v>
      </c>
      <c r="D6907" s="251" t="s">
        <v>17024</v>
      </c>
      <c r="E6907" s="53" t="s">
        <v>1056</v>
      </c>
      <c r="F6907" s="211" t="s">
        <v>17025</v>
      </c>
      <c r="G6907" s="46" t="s">
        <v>16174</v>
      </c>
      <c r="H6907" s="546">
        <v>171503.77</v>
      </c>
      <c r="I6907" s="56">
        <v>45275</v>
      </c>
      <c r="J6907" s="199" t="s">
        <v>17016</v>
      </c>
      <c r="K6907" s="46"/>
      <c r="M6907" s="70"/>
      <c r="N6907" s="97"/>
      <c r="O6907" s="46" t="s">
        <v>1061</v>
      </c>
      <c r="P6907" s="46" t="s">
        <v>36</v>
      </c>
      <c r="Q6907" s="46" t="s">
        <v>49</v>
      </c>
      <c r="R6907" s="46" t="s">
        <v>272</v>
      </c>
    </row>
    <row r="6908" spans="1:18" s="98" customFormat="1" ht="69" customHeight="1">
      <c r="A6908" s="169"/>
      <c r="B6908" s="48">
        <f t="shared" si="27"/>
        <v>4047</v>
      </c>
      <c r="C6908" s="59" t="s">
        <v>5558</v>
      </c>
      <c r="D6908" s="84" t="s">
        <v>17026</v>
      </c>
      <c r="E6908" s="55" t="s">
        <v>17027</v>
      </c>
      <c r="F6908" s="569" t="s">
        <v>17028</v>
      </c>
      <c r="G6908" s="45" t="s">
        <v>17029</v>
      </c>
      <c r="H6908" s="546">
        <v>156398.37</v>
      </c>
      <c r="I6908" s="47">
        <v>45285</v>
      </c>
      <c r="J6908" s="73" t="s">
        <v>17030</v>
      </c>
      <c r="K6908" s="45"/>
      <c r="M6908" s="385"/>
      <c r="N6908" s="75"/>
      <c r="O6908" s="45" t="s">
        <v>17031</v>
      </c>
      <c r="P6908" s="45" t="s">
        <v>57</v>
      </c>
      <c r="Q6908" s="45" t="s">
        <v>64</v>
      </c>
      <c r="R6908" s="45" t="s">
        <v>272</v>
      </c>
    </row>
    <row r="6909" spans="1:18" ht="69" customHeight="1">
      <c r="A6909" s="168"/>
      <c r="B6909" s="259">
        <f t="shared" si="27"/>
        <v>4048</v>
      </c>
      <c r="C6909" s="304" t="s">
        <v>10961</v>
      </c>
      <c r="D6909" s="303" t="s">
        <v>17032</v>
      </c>
      <c r="E6909" s="290" t="s">
        <v>266</v>
      </c>
      <c r="F6909" s="160" t="s">
        <v>17033</v>
      </c>
      <c r="G6909" s="160" t="s">
        <v>16120</v>
      </c>
      <c r="H6909" s="300">
        <v>339.84</v>
      </c>
      <c r="I6909" s="209">
        <v>45275</v>
      </c>
      <c r="J6909" s="316" t="s">
        <v>17034</v>
      </c>
      <c r="K6909" s="160"/>
      <c r="M6909" s="70"/>
      <c r="N6909" s="97"/>
      <c r="O6909" s="160" t="s">
        <v>17035</v>
      </c>
      <c r="P6909" s="160" t="s">
        <v>67</v>
      </c>
      <c r="Q6909" s="160" t="s">
        <v>96</v>
      </c>
      <c r="R6909" s="160" t="s">
        <v>272</v>
      </c>
    </row>
    <row r="6910" spans="1:18" ht="69" customHeight="1">
      <c r="A6910" s="168"/>
      <c r="B6910" s="62">
        <f t="shared" si="27"/>
        <v>4049</v>
      </c>
      <c r="C6910" s="59" t="s">
        <v>3933</v>
      </c>
      <c r="D6910" s="84" t="s">
        <v>17036</v>
      </c>
      <c r="E6910" s="55" t="s">
        <v>17037</v>
      </c>
      <c r="F6910" s="45" t="s">
        <v>17038</v>
      </c>
      <c r="G6910" s="45" t="s">
        <v>17039</v>
      </c>
      <c r="H6910" s="546">
        <v>100000</v>
      </c>
      <c r="I6910" s="66">
        <v>45275</v>
      </c>
      <c r="J6910" s="65" t="s">
        <v>17040</v>
      </c>
      <c r="K6910" s="58"/>
      <c r="M6910" s="70"/>
      <c r="N6910" s="97"/>
      <c r="O6910" s="58" t="s">
        <v>192</v>
      </c>
      <c r="P6910" s="58" t="s">
        <v>57</v>
      </c>
      <c r="Q6910" s="58" t="s">
        <v>52</v>
      </c>
      <c r="R6910" s="58" t="s">
        <v>272</v>
      </c>
    </row>
    <row r="6911" spans="1:18" ht="69" customHeight="1">
      <c r="A6911" s="168"/>
      <c r="B6911" s="62">
        <f t="shared" si="27"/>
        <v>4050</v>
      </c>
      <c r="C6911" s="59" t="s">
        <v>17041</v>
      </c>
      <c r="D6911" s="84" t="s">
        <v>17042</v>
      </c>
      <c r="E6911" s="55" t="s">
        <v>17037</v>
      </c>
      <c r="F6911" s="45" t="s">
        <v>17043</v>
      </c>
      <c r="G6911" s="45" t="s">
        <v>17039</v>
      </c>
      <c r="H6911" s="546">
        <v>100000</v>
      </c>
      <c r="I6911" s="66">
        <v>45275</v>
      </c>
      <c r="J6911" s="65" t="s">
        <v>17040</v>
      </c>
      <c r="K6911" s="58"/>
      <c r="M6911" s="70"/>
      <c r="N6911" s="97"/>
      <c r="O6911" s="58" t="s">
        <v>192</v>
      </c>
      <c r="P6911" s="58" t="s">
        <v>57</v>
      </c>
      <c r="Q6911" s="58" t="s">
        <v>47</v>
      </c>
      <c r="R6911" s="58" t="s">
        <v>272</v>
      </c>
    </row>
    <row r="6912" spans="1:18" ht="69" customHeight="1">
      <c r="A6912" s="168"/>
      <c r="B6912" s="62">
        <f t="shared" si="27"/>
        <v>4051</v>
      </c>
      <c r="C6912" s="59" t="s">
        <v>3667</v>
      </c>
      <c r="D6912" s="174" t="s">
        <v>17044</v>
      </c>
      <c r="E6912" s="58" t="s">
        <v>16966</v>
      </c>
      <c r="F6912" s="58" t="s">
        <v>17045</v>
      </c>
      <c r="G6912" s="45" t="s">
        <v>17046</v>
      </c>
      <c r="H6912" s="546">
        <v>128987.22</v>
      </c>
      <c r="I6912" s="66">
        <v>45265</v>
      </c>
      <c r="J6912" s="65" t="s">
        <v>17047</v>
      </c>
      <c r="K6912" s="58"/>
      <c r="M6912" s="70"/>
      <c r="N6912" s="97"/>
      <c r="O6912" s="58" t="s">
        <v>147</v>
      </c>
      <c r="P6912" s="58" t="s">
        <v>22</v>
      </c>
      <c r="Q6912" s="58" t="s">
        <v>78</v>
      </c>
      <c r="R6912" s="58" t="s">
        <v>272</v>
      </c>
    </row>
    <row r="6913" spans="1:18" ht="69" customHeight="1">
      <c r="A6913" s="168"/>
      <c r="B6913" s="62">
        <f t="shared" si="27"/>
        <v>4052</v>
      </c>
      <c r="C6913" s="59" t="s">
        <v>3667</v>
      </c>
      <c r="D6913" s="174" t="s">
        <v>17048</v>
      </c>
      <c r="E6913" s="58" t="s">
        <v>16966</v>
      </c>
      <c r="F6913" s="58" t="s">
        <v>17049</v>
      </c>
      <c r="G6913" s="45" t="s">
        <v>17050</v>
      </c>
      <c r="H6913" s="546">
        <v>69454.66</v>
      </c>
      <c r="I6913" s="66">
        <v>45265</v>
      </c>
      <c r="J6913" s="65" t="s">
        <v>17047</v>
      </c>
      <c r="K6913" s="58"/>
      <c r="M6913" s="70"/>
      <c r="N6913" s="97"/>
      <c r="O6913" s="58" t="s">
        <v>147</v>
      </c>
      <c r="P6913" s="58" t="s">
        <v>22</v>
      </c>
      <c r="Q6913" s="58" t="s">
        <v>78</v>
      </c>
      <c r="R6913" s="58" t="s">
        <v>272</v>
      </c>
    </row>
    <row r="6914" spans="1:18" ht="69" customHeight="1">
      <c r="A6914" s="168"/>
      <c r="B6914" s="62">
        <f t="shared" ref="B6914:B6951" si="28">B6913+1</f>
        <v>4053</v>
      </c>
      <c r="C6914" s="59" t="s">
        <v>3667</v>
      </c>
      <c r="D6914" s="174" t="s">
        <v>17051</v>
      </c>
      <c r="E6914" s="58" t="s">
        <v>16011</v>
      </c>
      <c r="F6914" s="58" t="s">
        <v>17052</v>
      </c>
      <c r="G6914" s="58" t="s">
        <v>16634</v>
      </c>
      <c r="H6914" s="546">
        <v>3767.13</v>
      </c>
      <c r="I6914" s="66">
        <v>45275</v>
      </c>
      <c r="J6914" s="65" t="s">
        <v>17053</v>
      </c>
      <c r="K6914" s="58"/>
      <c r="M6914" s="70"/>
      <c r="N6914" s="97"/>
      <c r="O6914" s="58" t="s">
        <v>150</v>
      </c>
      <c r="P6914" s="58" t="s">
        <v>51</v>
      </c>
      <c r="Q6914" s="58" t="s">
        <v>47</v>
      </c>
      <c r="R6914" s="58" t="s">
        <v>272</v>
      </c>
    </row>
    <row r="6915" spans="1:18" ht="69" customHeight="1">
      <c r="A6915" s="168"/>
      <c r="B6915" s="62">
        <f t="shared" si="28"/>
        <v>4054</v>
      </c>
      <c r="C6915" s="59" t="s">
        <v>3667</v>
      </c>
      <c r="D6915" s="174" t="s">
        <v>17054</v>
      </c>
      <c r="E6915" s="58" t="s">
        <v>15921</v>
      </c>
      <c r="F6915" s="58" t="s">
        <v>17055</v>
      </c>
      <c r="G6915" s="58" t="s">
        <v>16634</v>
      </c>
      <c r="H6915" s="546">
        <v>3767.13</v>
      </c>
      <c r="I6915" s="66">
        <v>45275</v>
      </c>
      <c r="J6915" s="65" t="s">
        <v>17053</v>
      </c>
      <c r="K6915" s="58"/>
      <c r="M6915" s="70"/>
      <c r="N6915" s="97"/>
      <c r="O6915" s="58" t="s">
        <v>150</v>
      </c>
      <c r="P6915" s="58" t="s">
        <v>51</v>
      </c>
      <c r="Q6915" s="58" t="s">
        <v>52</v>
      </c>
      <c r="R6915" s="58" t="s">
        <v>272</v>
      </c>
    </row>
    <row r="6916" spans="1:18" ht="69" customHeight="1">
      <c r="A6916" s="168"/>
      <c r="B6916" s="62">
        <f t="shared" si="28"/>
        <v>4055</v>
      </c>
      <c r="C6916" s="59" t="s">
        <v>458</v>
      </c>
      <c r="D6916" s="174" t="s">
        <v>12215</v>
      </c>
      <c r="E6916" s="178" t="s">
        <v>350</v>
      </c>
      <c r="F6916" s="174" t="s">
        <v>17056</v>
      </c>
      <c r="G6916" s="72" t="s">
        <v>16468</v>
      </c>
      <c r="H6916" s="546">
        <v>100000</v>
      </c>
      <c r="I6916" s="66">
        <v>45274</v>
      </c>
      <c r="J6916" s="65" t="s">
        <v>17057</v>
      </c>
      <c r="K6916" s="58"/>
      <c r="M6916" s="70"/>
      <c r="N6916" s="97"/>
      <c r="O6916" s="58" t="s">
        <v>141</v>
      </c>
      <c r="P6916" s="58" t="s">
        <v>19</v>
      </c>
      <c r="Q6916" s="58" t="s">
        <v>123</v>
      </c>
      <c r="R6916" s="58" t="s">
        <v>265</v>
      </c>
    </row>
    <row r="6917" spans="1:18" ht="69" customHeight="1">
      <c r="A6917" s="168"/>
      <c r="B6917" s="62">
        <f t="shared" si="28"/>
        <v>4056</v>
      </c>
      <c r="C6917" s="44" t="s">
        <v>10634</v>
      </c>
      <c r="D6917" s="174" t="s">
        <v>17058</v>
      </c>
      <c r="E6917" s="45" t="s">
        <v>16144</v>
      </c>
      <c r="F6917" s="58" t="s">
        <v>17059</v>
      </c>
      <c r="G6917" s="58" t="s">
        <v>17060</v>
      </c>
      <c r="H6917" s="546">
        <v>300000</v>
      </c>
      <c r="I6917" s="66">
        <v>45275</v>
      </c>
      <c r="J6917" s="65" t="s">
        <v>17061</v>
      </c>
      <c r="K6917" s="58"/>
      <c r="M6917" s="70"/>
      <c r="N6917" s="97"/>
      <c r="O6917" s="58" t="s">
        <v>175</v>
      </c>
      <c r="P6917" s="58" t="s">
        <v>59</v>
      </c>
      <c r="Q6917" s="58" t="s">
        <v>93</v>
      </c>
      <c r="R6917" s="58" t="s">
        <v>265</v>
      </c>
    </row>
    <row r="6918" spans="1:18" ht="69" customHeight="1">
      <c r="A6918" s="168"/>
      <c r="B6918" s="52">
        <f t="shared" si="28"/>
        <v>4057</v>
      </c>
      <c r="C6918" s="191" t="s">
        <v>8080</v>
      </c>
      <c r="D6918" s="251" t="s">
        <v>6729</v>
      </c>
      <c r="E6918" s="191" t="s">
        <v>266</v>
      </c>
      <c r="F6918" s="46" t="s">
        <v>17062</v>
      </c>
      <c r="G6918" s="46" t="s">
        <v>17063</v>
      </c>
      <c r="H6918" s="534">
        <v>3000</v>
      </c>
      <c r="I6918" s="56">
        <v>45265</v>
      </c>
      <c r="J6918" s="199" t="s">
        <v>17064</v>
      </c>
      <c r="K6918" s="46"/>
      <c r="M6918" s="70"/>
      <c r="N6918" s="97"/>
      <c r="O6918" s="46"/>
      <c r="P6918" s="46" t="s">
        <v>65</v>
      </c>
      <c r="Q6918" s="46" t="s">
        <v>106</v>
      </c>
      <c r="R6918" s="46" t="s">
        <v>272</v>
      </c>
    </row>
    <row r="6919" spans="1:18" ht="69" customHeight="1">
      <c r="A6919" s="168"/>
      <c r="B6919" s="48">
        <f t="shared" si="28"/>
        <v>4058</v>
      </c>
      <c r="C6919" s="59" t="s">
        <v>14828</v>
      </c>
      <c r="D6919" s="84" t="s">
        <v>17065</v>
      </c>
      <c r="E6919" s="45" t="s">
        <v>15281</v>
      </c>
      <c r="F6919" s="45" t="s">
        <v>17066</v>
      </c>
      <c r="G6919" s="45" t="s">
        <v>17067</v>
      </c>
      <c r="H6919" s="546">
        <v>4755.66</v>
      </c>
      <c r="I6919" s="47">
        <v>45275</v>
      </c>
      <c r="J6919" s="73" t="s">
        <v>17068</v>
      </c>
      <c r="K6919" s="45"/>
      <c r="M6919" s="70"/>
      <c r="N6919" s="97"/>
      <c r="O6919" s="58" t="s">
        <v>10607</v>
      </c>
      <c r="P6919" s="58" t="s">
        <v>22</v>
      </c>
      <c r="Q6919" s="58" t="s">
        <v>68</v>
      </c>
      <c r="R6919" s="58" t="s">
        <v>272</v>
      </c>
    </row>
    <row r="6920" spans="1:18" ht="69" customHeight="1">
      <c r="A6920" s="168"/>
      <c r="B6920" s="48">
        <f t="shared" si="28"/>
        <v>4059</v>
      </c>
      <c r="C6920" s="44" t="s">
        <v>10608</v>
      </c>
      <c r="D6920" s="84" t="s">
        <v>17069</v>
      </c>
      <c r="E6920" s="45" t="s">
        <v>15281</v>
      </c>
      <c r="F6920" s="45" t="s">
        <v>17070</v>
      </c>
      <c r="G6920" s="45" t="s">
        <v>17067</v>
      </c>
      <c r="H6920" s="546">
        <v>18807.09</v>
      </c>
      <c r="I6920" s="47">
        <v>45275</v>
      </c>
      <c r="J6920" s="73" t="s">
        <v>17068</v>
      </c>
      <c r="K6920" s="45"/>
      <c r="M6920" s="70"/>
      <c r="N6920" s="97"/>
      <c r="O6920" s="58" t="s">
        <v>10607</v>
      </c>
      <c r="P6920" s="58" t="s">
        <v>22</v>
      </c>
      <c r="Q6920" s="58" t="s">
        <v>70</v>
      </c>
      <c r="R6920" s="58" t="s">
        <v>272</v>
      </c>
    </row>
    <row r="6921" spans="1:18" ht="69" customHeight="1">
      <c r="A6921" s="168"/>
      <c r="B6921" s="48">
        <f t="shared" si="28"/>
        <v>4060</v>
      </c>
      <c r="C6921" s="45" t="s">
        <v>6888</v>
      </c>
      <c r="D6921" s="84" t="s">
        <v>17071</v>
      </c>
      <c r="E6921" s="45" t="s">
        <v>15281</v>
      </c>
      <c r="F6921" s="45" t="s">
        <v>17072</v>
      </c>
      <c r="G6921" s="45" t="s">
        <v>17067</v>
      </c>
      <c r="H6921" s="546">
        <v>421700.75</v>
      </c>
      <c r="I6921" s="47">
        <v>45275</v>
      </c>
      <c r="J6921" s="73" t="s">
        <v>17068</v>
      </c>
      <c r="K6921" s="45"/>
      <c r="M6921" s="70"/>
      <c r="N6921" s="97"/>
      <c r="O6921" s="58" t="s">
        <v>10607</v>
      </c>
      <c r="P6921" s="58" t="s">
        <v>22</v>
      </c>
      <c r="Q6921" s="58" t="s">
        <v>84</v>
      </c>
      <c r="R6921" s="58" t="s">
        <v>272</v>
      </c>
    </row>
    <row r="6922" spans="1:18" ht="69" customHeight="1">
      <c r="A6922" s="168"/>
      <c r="B6922" s="48">
        <f t="shared" si="28"/>
        <v>4061</v>
      </c>
      <c r="C6922" s="59" t="s">
        <v>9545</v>
      </c>
      <c r="D6922" s="84" t="s">
        <v>12219</v>
      </c>
      <c r="E6922" s="45" t="s">
        <v>15281</v>
      </c>
      <c r="F6922" s="45" t="s">
        <v>17073</v>
      </c>
      <c r="G6922" s="45" t="s">
        <v>17067</v>
      </c>
      <c r="H6922" s="546">
        <v>213065.98</v>
      </c>
      <c r="I6922" s="47">
        <v>45275</v>
      </c>
      <c r="J6922" s="73" t="s">
        <v>17068</v>
      </c>
      <c r="K6922" s="45"/>
      <c r="M6922" s="70"/>
      <c r="N6922" s="97"/>
      <c r="O6922" s="58" t="s">
        <v>10607</v>
      </c>
      <c r="P6922" s="58" t="s">
        <v>22</v>
      </c>
      <c r="Q6922" s="58" t="s">
        <v>117</v>
      </c>
      <c r="R6922" s="58" t="s">
        <v>272</v>
      </c>
    </row>
    <row r="6923" spans="1:18" s="117" customFormat="1" ht="69" customHeight="1">
      <c r="A6923" s="168"/>
      <c r="B6923" s="48">
        <f t="shared" si="28"/>
        <v>4062</v>
      </c>
      <c r="C6923" s="59" t="s">
        <v>10621</v>
      </c>
      <c r="D6923" s="84" t="s">
        <v>17074</v>
      </c>
      <c r="E6923" s="45" t="s">
        <v>15281</v>
      </c>
      <c r="F6923" s="45" t="s">
        <v>17075</v>
      </c>
      <c r="G6923" s="45" t="s">
        <v>17067</v>
      </c>
      <c r="H6923" s="546">
        <v>800231.81</v>
      </c>
      <c r="I6923" s="47">
        <v>45275</v>
      </c>
      <c r="J6923" s="73" t="s">
        <v>17068</v>
      </c>
      <c r="K6923" s="45"/>
      <c r="L6923" s="98"/>
      <c r="M6923" s="389"/>
      <c r="N6923" s="105"/>
      <c r="O6923" s="58" t="s">
        <v>10607</v>
      </c>
      <c r="P6923" s="58" t="s">
        <v>22</v>
      </c>
      <c r="Q6923" s="58" t="s">
        <v>66</v>
      </c>
      <c r="R6923" s="58" t="s">
        <v>272</v>
      </c>
    </row>
    <row r="6924" spans="1:18" ht="69" customHeight="1">
      <c r="A6924" s="168"/>
      <c r="B6924" s="62">
        <f t="shared" si="28"/>
        <v>4063</v>
      </c>
      <c r="C6924" s="59" t="s">
        <v>13435</v>
      </c>
      <c r="D6924" s="174" t="s">
        <v>16604</v>
      </c>
      <c r="E6924" s="45" t="s">
        <v>4173</v>
      </c>
      <c r="F6924" s="58" t="s">
        <v>17076</v>
      </c>
      <c r="G6924" s="58" t="s">
        <v>17077</v>
      </c>
      <c r="H6924" s="546">
        <v>65000</v>
      </c>
      <c r="I6924" s="66">
        <v>45275</v>
      </c>
      <c r="J6924" s="65" t="s">
        <v>17078</v>
      </c>
      <c r="K6924" s="58"/>
      <c r="M6924" s="70"/>
      <c r="N6924" s="97"/>
      <c r="O6924" s="58" t="s">
        <v>441</v>
      </c>
      <c r="P6924" s="58" t="s">
        <v>22</v>
      </c>
      <c r="Q6924" s="58" t="s">
        <v>13</v>
      </c>
      <c r="R6924" s="58" t="s">
        <v>265</v>
      </c>
    </row>
    <row r="6925" spans="1:18" ht="69" customHeight="1">
      <c r="A6925" s="168"/>
      <c r="B6925" s="62">
        <f t="shared" si="28"/>
        <v>4064</v>
      </c>
      <c r="C6925" s="59" t="s">
        <v>13435</v>
      </c>
      <c r="D6925" s="174" t="s">
        <v>16608</v>
      </c>
      <c r="E6925" s="45" t="s">
        <v>4173</v>
      </c>
      <c r="F6925" s="58" t="s">
        <v>17079</v>
      </c>
      <c r="G6925" s="58" t="s">
        <v>17080</v>
      </c>
      <c r="H6925" s="546">
        <v>25000</v>
      </c>
      <c r="I6925" s="66">
        <v>45275</v>
      </c>
      <c r="J6925" s="65" t="s">
        <v>17081</v>
      </c>
      <c r="K6925" s="58"/>
      <c r="M6925" s="70"/>
      <c r="N6925" s="97"/>
      <c r="O6925" s="58" t="s">
        <v>14459</v>
      </c>
      <c r="P6925" s="58" t="s">
        <v>22</v>
      </c>
      <c r="Q6925" s="58" t="s">
        <v>13</v>
      </c>
      <c r="R6925" s="58" t="s">
        <v>265</v>
      </c>
    </row>
    <row r="6926" spans="1:18" ht="69" customHeight="1">
      <c r="A6926" s="168"/>
      <c r="B6926" s="62">
        <f t="shared" si="28"/>
        <v>4065</v>
      </c>
      <c r="C6926" s="59" t="s">
        <v>3667</v>
      </c>
      <c r="D6926" s="174" t="s">
        <v>17082</v>
      </c>
      <c r="E6926" s="45" t="s">
        <v>17083</v>
      </c>
      <c r="F6926" s="58" t="s">
        <v>17084</v>
      </c>
      <c r="G6926" s="58" t="s">
        <v>17085</v>
      </c>
      <c r="H6926" s="546">
        <v>25000</v>
      </c>
      <c r="I6926" s="66">
        <v>45265</v>
      </c>
      <c r="J6926" s="65" t="s">
        <v>17086</v>
      </c>
      <c r="K6926" s="58"/>
      <c r="M6926" s="70"/>
      <c r="N6926" s="97"/>
      <c r="O6926" s="58" t="s">
        <v>192</v>
      </c>
      <c r="P6926" s="58" t="s">
        <v>57</v>
      </c>
      <c r="Q6926" s="58" t="s">
        <v>86</v>
      </c>
      <c r="R6926" s="58" t="s">
        <v>265</v>
      </c>
    </row>
    <row r="6927" spans="1:18" ht="69" customHeight="1">
      <c r="A6927" s="168"/>
      <c r="B6927" s="62">
        <f t="shared" si="28"/>
        <v>4066</v>
      </c>
      <c r="C6927" s="59" t="s">
        <v>3667</v>
      </c>
      <c r="D6927" s="174" t="s">
        <v>17087</v>
      </c>
      <c r="E6927" s="45" t="s">
        <v>16915</v>
      </c>
      <c r="F6927" s="58" t="s">
        <v>17088</v>
      </c>
      <c r="G6927" s="58" t="s">
        <v>17089</v>
      </c>
      <c r="H6927" s="546">
        <v>37620</v>
      </c>
      <c r="I6927" s="66">
        <v>45275</v>
      </c>
      <c r="J6927" s="65" t="s">
        <v>17090</v>
      </c>
      <c r="K6927" s="58"/>
      <c r="M6927" s="70"/>
      <c r="N6927" s="97"/>
      <c r="O6927" s="58" t="s">
        <v>208</v>
      </c>
      <c r="P6927" s="58" t="s">
        <v>57</v>
      </c>
      <c r="Q6927" s="58" t="s">
        <v>84</v>
      </c>
      <c r="R6927" s="58" t="s">
        <v>272</v>
      </c>
    </row>
    <row r="6928" spans="1:18" ht="69" customHeight="1">
      <c r="A6928" s="168"/>
      <c r="B6928" s="62">
        <f t="shared" si="28"/>
        <v>4067</v>
      </c>
      <c r="C6928" s="59" t="s">
        <v>3667</v>
      </c>
      <c r="D6928" s="174" t="s">
        <v>17091</v>
      </c>
      <c r="E6928" s="45" t="s">
        <v>16915</v>
      </c>
      <c r="F6928" s="58" t="s">
        <v>17092</v>
      </c>
      <c r="G6928" s="58" t="s">
        <v>17089</v>
      </c>
      <c r="H6928" s="546">
        <v>98927.05</v>
      </c>
      <c r="I6928" s="66">
        <v>45275</v>
      </c>
      <c r="J6928" s="65" t="s">
        <v>17090</v>
      </c>
      <c r="K6928" s="58"/>
      <c r="M6928" s="70"/>
      <c r="N6928" s="97"/>
      <c r="O6928" s="58" t="s">
        <v>208</v>
      </c>
      <c r="P6928" s="58" t="s">
        <v>57</v>
      </c>
      <c r="Q6928" s="58" t="s">
        <v>78</v>
      </c>
      <c r="R6928" s="58" t="s">
        <v>272</v>
      </c>
    </row>
    <row r="6929" spans="1:18" ht="69" customHeight="1">
      <c r="A6929" s="168"/>
      <c r="B6929" s="62">
        <f t="shared" si="28"/>
        <v>4068</v>
      </c>
      <c r="C6929" s="59" t="s">
        <v>657</v>
      </c>
      <c r="D6929" s="174" t="s">
        <v>3911</v>
      </c>
      <c r="E6929" s="45" t="s">
        <v>16915</v>
      </c>
      <c r="F6929" s="58" t="s">
        <v>17093</v>
      </c>
      <c r="G6929" s="58" t="s">
        <v>17089</v>
      </c>
      <c r="H6929" s="546">
        <v>38380.32</v>
      </c>
      <c r="I6929" s="66">
        <v>45275</v>
      </c>
      <c r="J6929" s="65" t="s">
        <v>17090</v>
      </c>
      <c r="K6929" s="58"/>
      <c r="M6929" s="70"/>
      <c r="N6929" s="97"/>
      <c r="O6929" s="58" t="s">
        <v>208</v>
      </c>
      <c r="P6929" s="58" t="s">
        <v>57</v>
      </c>
      <c r="Q6929" s="58" t="s">
        <v>110</v>
      </c>
      <c r="R6929" s="58" t="s">
        <v>272</v>
      </c>
    </row>
    <row r="6930" spans="1:18" ht="69" customHeight="1">
      <c r="A6930" s="168"/>
      <c r="B6930" s="62">
        <f t="shared" si="28"/>
        <v>4069</v>
      </c>
      <c r="C6930" s="59" t="s">
        <v>11052</v>
      </c>
      <c r="D6930" s="174" t="s">
        <v>16615</v>
      </c>
      <c r="E6930" s="58" t="s">
        <v>16542</v>
      </c>
      <c r="F6930" s="58" t="s">
        <v>17094</v>
      </c>
      <c r="G6930" s="58" t="s">
        <v>17095</v>
      </c>
      <c r="H6930" s="546">
        <v>35000</v>
      </c>
      <c r="I6930" s="66">
        <v>45275</v>
      </c>
      <c r="J6930" s="65" t="s">
        <v>17096</v>
      </c>
      <c r="K6930" s="58"/>
      <c r="M6930" s="70"/>
      <c r="N6930" s="97"/>
      <c r="O6930" s="58" t="s">
        <v>192</v>
      </c>
      <c r="P6930" s="58" t="s">
        <v>57</v>
      </c>
      <c r="Q6930" s="58" t="s">
        <v>37</v>
      </c>
      <c r="R6930" s="58" t="s">
        <v>265</v>
      </c>
    </row>
    <row r="6931" spans="1:18" ht="69" customHeight="1">
      <c r="A6931" s="168"/>
      <c r="B6931" s="52">
        <f t="shared" si="28"/>
        <v>4070</v>
      </c>
      <c r="C6931" s="51" t="s">
        <v>11055</v>
      </c>
      <c r="D6931" s="251" t="s">
        <v>16599</v>
      </c>
      <c r="E6931" s="191" t="s">
        <v>266</v>
      </c>
      <c r="F6931" s="46" t="s">
        <v>17097</v>
      </c>
      <c r="G6931" s="46" t="s">
        <v>17098</v>
      </c>
      <c r="H6931" s="534">
        <v>13300</v>
      </c>
      <c r="I6931" s="56">
        <v>45265</v>
      </c>
      <c r="J6931" s="199" t="s">
        <v>17099</v>
      </c>
      <c r="K6931" s="46"/>
      <c r="M6931" s="70"/>
      <c r="N6931" s="97"/>
      <c r="O6931" s="46"/>
      <c r="P6931" s="46" t="s">
        <v>65</v>
      </c>
      <c r="Q6931" s="46" t="s">
        <v>45</v>
      </c>
      <c r="R6931" s="46" t="s">
        <v>272</v>
      </c>
    </row>
    <row r="6932" spans="1:18" ht="69" customHeight="1">
      <c r="A6932" s="168"/>
      <c r="B6932" s="62">
        <f t="shared" si="28"/>
        <v>4071</v>
      </c>
      <c r="C6932" s="59" t="s">
        <v>11052</v>
      </c>
      <c r="D6932" s="174" t="s">
        <v>11914</v>
      </c>
      <c r="E6932" s="45" t="s">
        <v>4173</v>
      </c>
      <c r="F6932" s="58" t="s">
        <v>17100</v>
      </c>
      <c r="G6932" s="58" t="s">
        <v>17101</v>
      </c>
      <c r="H6932" s="546">
        <v>37365.9</v>
      </c>
      <c r="I6932" s="66">
        <v>45275</v>
      </c>
      <c r="J6932" s="65" t="s">
        <v>17102</v>
      </c>
      <c r="K6932" s="58"/>
      <c r="M6932" s="70"/>
      <c r="N6932" s="97"/>
      <c r="O6932" s="58" t="s">
        <v>441</v>
      </c>
      <c r="P6932" s="58" t="s">
        <v>22</v>
      </c>
      <c r="Q6932" s="58" t="s">
        <v>37</v>
      </c>
      <c r="R6932" s="58" t="s">
        <v>265</v>
      </c>
    </row>
    <row r="6933" spans="1:18" ht="69" customHeight="1">
      <c r="A6933" s="168"/>
      <c r="B6933" s="62">
        <f t="shared" si="28"/>
        <v>4072</v>
      </c>
      <c r="C6933" s="59" t="s">
        <v>11050</v>
      </c>
      <c r="D6933" s="174" t="s">
        <v>11953</v>
      </c>
      <c r="E6933" s="45" t="s">
        <v>4173</v>
      </c>
      <c r="F6933" s="58" t="s">
        <v>17103</v>
      </c>
      <c r="G6933" s="58" t="s">
        <v>17104</v>
      </c>
      <c r="H6933" s="546">
        <v>27110.720000000001</v>
      </c>
      <c r="I6933" s="66">
        <v>45275</v>
      </c>
      <c r="J6933" s="65" t="s">
        <v>17105</v>
      </c>
      <c r="K6933" s="58"/>
      <c r="M6933" s="70"/>
      <c r="N6933" s="97"/>
      <c r="O6933" s="58" t="s">
        <v>441</v>
      </c>
      <c r="P6933" s="58" t="s">
        <v>22</v>
      </c>
      <c r="Q6933" s="58" t="s">
        <v>35</v>
      </c>
      <c r="R6933" s="58" t="s">
        <v>265</v>
      </c>
    </row>
    <row r="6934" spans="1:18" ht="69" customHeight="1">
      <c r="A6934" s="168"/>
      <c r="B6934" s="62">
        <f t="shared" si="28"/>
        <v>4073</v>
      </c>
      <c r="C6934" s="59" t="s">
        <v>15700</v>
      </c>
      <c r="D6934" s="84" t="s">
        <v>11939</v>
      </c>
      <c r="E6934" s="45" t="s">
        <v>16489</v>
      </c>
      <c r="F6934" s="45" t="s">
        <v>17106</v>
      </c>
      <c r="G6934" s="45" t="s">
        <v>16497</v>
      </c>
      <c r="H6934" s="546">
        <v>79815.490000000005</v>
      </c>
      <c r="I6934" s="66">
        <v>45275</v>
      </c>
      <c r="J6934" s="65" t="s">
        <v>17107</v>
      </c>
      <c r="K6934" s="58"/>
      <c r="M6934" s="70"/>
      <c r="N6934" s="97"/>
      <c r="O6934" s="58" t="s">
        <v>17108</v>
      </c>
      <c r="P6934" s="58" t="s">
        <v>57</v>
      </c>
      <c r="Q6934" s="58" t="s">
        <v>39</v>
      </c>
      <c r="R6934" s="58" t="s">
        <v>272</v>
      </c>
    </row>
    <row r="6935" spans="1:18" ht="69" customHeight="1">
      <c r="A6935" s="168"/>
      <c r="B6935" s="62">
        <f t="shared" si="28"/>
        <v>4074</v>
      </c>
      <c r="C6935" s="59" t="s">
        <v>15449</v>
      </c>
      <c r="D6935" s="84" t="s">
        <v>11947</v>
      </c>
      <c r="E6935" s="45" t="s">
        <v>16489</v>
      </c>
      <c r="F6935" s="45" t="s">
        <v>17109</v>
      </c>
      <c r="G6935" s="45" t="s">
        <v>16497</v>
      </c>
      <c r="H6935" s="546">
        <v>82984.86</v>
      </c>
      <c r="I6935" s="66">
        <v>45275</v>
      </c>
      <c r="J6935" s="65" t="s">
        <v>17107</v>
      </c>
      <c r="K6935" s="58"/>
      <c r="M6935" s="70"/>
      <c r="N6935" s="97"/>
      <c r="O6935" s="58" t="s">
        <v>17108</v>
      </c>
      <c r="P6935" s="58" t="s">
        <v>57</v>
      </c>
      <c r="Q6935" s="58" t="s">
        <v>41</v>
      </c>
      <c r="R6935" s="58" t="s">
        <v>272</v>
      </c>
    </row>
    <row r="6936" spans="1:18" ht="69" customHeight="1">
      <c r="A6936" s="168"/>
      <c r="B6936" s="62">
        <f t="shared" si="28"/>
        <v>4075</v>
      </c>
      <c r="C6936" s="59" t="s">
        <v>11050</v>
      </c>
      <c r="D6936" s="174" t="s">
        <v>17110</v>
      </c>
      <c r="E6936" s="45" t="s">
        <v>4173</v>
      </c>
      <c r="F6936" s="58" t="s">
        <v>17111</v>
      </c>
      <c r="G6936" s="58" t="s">
        <v>17101</v>
      </c>
      <c r="H6936" s="546">
        <v>37365.9</v>
      </c>
      <c r="I6936" s="66">
        <v>45275</v>
      </c>
      <c r="J6936" s="65" t="s">
        <v>17112</v>
      </c>
      <c r="K6936" s="58"/>
      <c r="M6936" s="70"/>
      <c r="N6936" s="97"/>
      <c r="O6936" s="58" t="s">
        <v>14459</v>
      </c>
      <c r="P6936" s="58" t="s">
        <v>22</v>
      </c>
      <c r="Q6936" s="58" t="s">
        <v>35</v>
      </c>
      <c r="R6936" s="58" t="s">
        <v>265</v>
      </c>
    </row>
    <row r="6937" spans="1:18" ht="69" customHeight="1">
      <c r="A6937" s="168"/>
      <c r="B6937" s="48">
        <f t="shared" si="28"/>
        <v>4076</v>
      </c>
      <c r="C6937" s="59" t="s">
        <v>2182</v>
      </c>
      <c r="D6937" s="84" t="s">
        <v>11970</v>
      </c>
      <c r="E6937" s="45" t="s">
        <v>17113</v>
      </c>
      <c r="F6937" s="45" t="s">
        <v>17114</v>
      </c>
      <c r="G6937" s="45" t="s">
        <v>17115</v>
      </c>
      <c r="H6937" s="546">
        <v>349352.64</v>
      </c>
      <c r="I6937" s="47">
        <v>45275</v>
      </c>
      <c r="J6937" s="73" t="s">
        <v>17116</v>
      </c>
      <c r="K6937" s="45"/>
      <c r="M6937" s="70"/>
      <c r="N6937" s="97"/>
      <c r="O6937" s="58" t="s">
        <v>14459</v>
      </c>
      <c r="P6937" s="58" t="s">
        <v>22</v>
      </c>
      <c r="Q6937" s="58" t="s">
        <v>31</v>
      </c>
      <c r="R6937" s="58" t="s">
        <v>272</v>
      </c>
    </row>
    <row r="6938" spans="1:18" ht="69" customHeight="1">
      <c r="A6938" s="168"/>
      <c r="B6938" s="62">
        <f t="shared" si="28"/>
        <v>4077</v>
      </c>
      <c r="C6938" s="59" t="s">
        <v>2182</v>
      </c>
      <c r="D6938" s="174" t="s">
        <v>11957</v>
      </c>
      <c r="E6938" s="58" t="s">
        <v>4173</v>
      </c>
      <c r="F6938" s="58" t="s">
        <v>17117</v>
      </c>
      <c r="G6938" s="58" t="s">
        <v>17101</v>
      </c>
      <c r="H6938" s="546">
        <v>39000</v>
      </c>
      <c r="I6938" s="66">
        <v>45275</v>
      </c>
      <c r="J6938" s="65" t="s">
        <v>17118</v>
      </c>
      <c r="K6938" s="58"/>
      <c r="M6938" s="70"/>
      <c r="N6938" s="97"/>
      <c r="O6938" s="58" t="s">
        <v>441</v>
      </c>
      <c r="P6938" s="58" t="s">
        <v>22</v>
      </c>
      <c r="Q6938" s="58" t="s">
        <v>31</v>
      </c>
      <c r="R6938" s="58" t="s">
        <v>265</v>
      </c>
    </row>
    <row r="6939" spans="1:18" s="98" customFormat="1" ht="69" customHeight="1">
      <c r="A6939" s="169"/>
      <c r="B6939" s="259">
        <f t="shared" si="28"/>
        <v>4078</v>
      </c>
      <c r="C6939" s="207" t="s">
        <v>581</v>
      </c>
      <c r="D6939" s="303" t="s">
        <v>12026</v>
      </c>
      <c r="E6939" s="304" t="s">
        <v>266</v>
      </c>
      <c r="F6939" s="160" t="s">
        <v>17119</v>
      </c>
      <c r="G6939" s="160" t="s">
        <v>17120</v>
      </c>
      <c r="H6939" s="300">
        <v>100.59</v>
      </c>
      <c r="I6939" s="209">
        <v>45257</v>
      </c>
      <c r="J6939" s="316" t="s">
        <v>17121</v>
      </c>
      <c r="K6939" s="160"/>
      <c r="M6939" s="385"/>
      <c r="N6939" s="75"/>
      <c r="O6939" s="160" t="s">
        <v>11386</v>
      </c>
      <c r="P6939" s="160" t="s">
        <v>67</v>
      </c>
      <c r="Q6939" s="160" t="s">
        <v>18</v>
      </c>
      <c r="R6939" s="160" t="s">
        <v>272</v>
      </c>
    </row>
    <row r="6940" spans="1:18" ht="69" customHeight="1">
      <c r="A6940" s="168"/>
      <c r="B6940" s="62">
        <f t="shared" si="28"/>
        <v>4079</v>
      </c>
      <c r="C6940" s="44" t="s">
        <v>11055</v>
      </c>
      <c r="D6940" s="174" t="s">
        <v>11998</v>
      </c>
      <c r="E6940" s="58" t="s">
        <v>7692</v>
      </c>
      <c r="F6940" s="58" t="s">
        <v>17122</v>
      </c>
      <c r="G6940" s="58" t="s">
        <v>17123</v>
      </c>
      <c r="H6940" s="546">
        <v>41376.400000000001</v>
      </c>
      <c r="I6940" s="66">
        <v>45275</v>
      </c>
      <c r="J6940" s="65" t="s">
        <v>17124</v>
      </c>
      <c r="K6940" s="58"/>
      <c r="M6940" s="70"/>
      <c r="N6940" s="97"/>
      <c r="O6940" s="58" t="s">
        <v>147</v>
      </c>
      <c r="P6940" s="58" t="s">
        <v>22</v>
      </c>
      <c r="Q6940" s="58" t="s">
        <v>45</v>
      </c>
      <c r="R6940" s="58" t="s">
        <v>265</v>
      </c>
    </row>
    <row r="6941" spans="1:18" ht="69" customHeight="1">
      <c r="A6941" s="168"/>
      <c r="B6941" s="259">
        <f t="shared" si="28"/>
        <v>4080</v>
      </c>
      <c r="C6941" s="207" t="s">
        <v>458</v>
      </c>
      <c r="D6941" s="303" t="s">
        <v>17125</v>
      </c>
      <c r="E6941" s="207" t="s">
        <v>17126</v>
      </c>
      <c r="F6941" s="160" t="s">
        <v>17127</v>
      </c>
      <c r="G6941" s="160" t="s">
        <v>17128</v>
      </c>
      <c r="H6941" s="300">
        <v>29660</v>
      </c>
      <c r="I6941" s="209">
        <v>45275</v>
      </c>
      <c r="J6941" s="316" t="s">
        <v>17129</v>
      </c>
      <c r="K6941" s="160" t="s">
        <v>16626</v>
      </c>
      <c r="M6941" s="385"/>
      <c r="N6941" s="75"/>
      <c r="O6941" s="160" t="s">
        <v>141</v>
      </c>
      <c r="P6941" s="160" t="s">
        <v>67</v>
      </c>
      <c r="Q6941" s="160" t="s">
        <v>123</v>
      </c>
      <c r="R6941" s="160" t="s">
        <v>272</v>
      </c>
    </row>
    <row r="6942" spans="1:18" ht="69" customHeight="1">
      <c r="A6942" s="168"/>
      <c r="B6942" s="259">
        <f t="shared" si="28"/>
        <v>4081</v>
      </c>
      <c r="C6942" s="207" t="s">
        <v>458</v>
      </c>
      <c r="D6942" s="303" t="s">
        <v>17130</v>
      </c>
      <c r="E6942" s="207" t="s">
        <v>17126</v>
      </c>
      <c r="F6942" s="160" t="s">
        <v>17131</v>
      </c>
      <c r="G6942" s="160" t="s">
        <v>17128</v>
      </c>
      <c r="H6942" s="300">
        <v>29660</v>
      </c>
      <c r="I6942" s="209">
        <v>45275</v>
      </c>
      <c r="J6942" s="316" t="s">
        <v>17129</v>
      </c>
      <c r="K6942" s="160" t="s">
        <v>16626</v>
      </c>
      <c r="M6942" s="385"/>
      <c r="N6942" s="75"/>
      <c r="O6942" s="160" t="s">
        <v>141</v>
      </c>
      <c r="P6942" s="160" t="s">
        <v>67</v>
      </c>
      <c r="Q6942" s="160" t="s">
        <v>123</v>
      </c>
      <c r="R6942" s="160" t="s">
        <v>272</v>
      </c>
    </row>
    <row r="6943" spans="1:18" ht="69" customHeight="1">
      <c r="A6943" s="168"/>
      <c r="B6943" s="259">
        <f t="shared" si="28"/>
        <v>4082</v>
      </c>
      <c r="C6943" s="207" t="s">
        <v>657</v>
      </c>
      <c r="D6943" s="301" t="s">
        <v>5355</v>
      </c>
      <c r="E6943" s="207" t="s">
        <v>16276</v>
      </c>
      <c r="F6943" s="208" t="s">
        <v>17132</v>
      </c>
      <c r="G6943" s="160" t="s">
        <v>17133</v>
      </c>
      <c r="H6943" s="300">
        <v>11041.39</v>
      </c>
      <c r="I6943" s="209">
        <v>45278</v>
      </c>
      <c r="J6943" s="316" t="s">
        <v>17134</v>
      </c>
      <c r="K6943" s="160" t="s">
        <v>67</v>
      </c>
      <c r="M6943" s="70"/>
      <c r="N6943" s="97"/>
      <c r="O6943" s="160" t="s">
        <v>17135</v>
      </c>
      <c r="P6943" s="160" t="s">
        <v>67</v>
      </c>
      <c r="Q6943" s="160" t="s">
        <v>99</v>
      </c>
      <c r="R6943" s="160" t="s">
        <v>272</v>
      </c>
    </row>
    <row r="6944" spans="1:18" ht="69" customHeight="1">
      <c r="A6944" s="168"/>
      <c r="B6944" s="259">
        <f t="shared" si="28"/>
        <v>4083</v>
      </c>
      <c r="C6944" s="207" t="s">
        <v>309</v>
      </c>
      <c r="D6944" s="301" t="s">
        <v>12033</v>
      </c>
      <c r="E6944" s="207" t="s">
        <v>16276</v>
      </c>
      <c r="F6944" s="208" t="s">
        <v>17136</v>
      </c>
      <c r="G6944" s="160" t="s">
        <v>17133</v>
      </c>
      <c r="H6944" s="300">
        <v>15335.28</v>
      </c>
      <c r="I6944" s="209">
        <v>45278</v>
      </c>
      <c r="J6944" s="316" t="s">
        <v>17134</v>
      </c>
      <c r="K6944" s="160" t="s">
        <v>67</v>
      </c>
      <c r="M6944" s="70"/>
      <c r="N6944" s="97"/>
      <c r="O6944" s="160" t="s">
        <v>17135</v>
      </c>
      <c r="P6944" s="160" t="s">
        <v>67</v>
      </c>
      <c r="Q6944" s="160" t="s">
        <v>15</v>
      </c>
      <c r="R6944" s="160" t="s">
        <v>272</v>
      </c>
    </row>
    <row r="6945" spans="1:18" ht="69" customHeight="1">
      <c r="A6945" s="168"/>
      <c r="B6945" s="259">
        <f t="shared" si="28"/>
        <v>4084</v>
      </c>
      <c r="C6945" s="207" t="s">
        <v>3667</v>
      </c>
      <c r="D6945" s="303" t="s">
        <v>17137</v>
      </c>
      <c r="E6945" s="207" t="s">
        <v>16276</v>
      </c>
      <c r="F6945" s="208" t="s">
        <v>17138</v>
      </c>
      <c r="G6945" s="160" t="s">
        <v>17133</v>
      </c>
      <c r="H6945" s="300">
        <v>19629.16</v>
      </c>
      <c r="I6945" s="209">
        <v>45278</v>
      </c>
      <c r="J6945" s="316" t="s">
        <v>17134</v>
      </c>
      <c r="K6945" s="160" t="s">
        <v>67</v>
      </c>
      <c r="M6945" s="70"/>
      <c r="N6945" s="97"/>
      <c r="O6945" s="160" t="s">
        <v>17135</v>
      </c>
      <c r="P6945" s="160" t="s">
        <v>67</v>
      </c>
      <c r="Q6945" s="160" t="s">
        <v>49</v>
      </c>
      <c r="R6945" s="160" t="s">
        <v>272</v>
      </c>
    </row>
    <row r="6946" spans="1:18" ht="69" customHeight="1">
      <c r="A6946" s="168"/>
      <c r="B6946" s="259">
        <f t="shared" si="28"/>
        <v>4085</v>
      </c>
      <c r="C6946" s="207" t="s">
        <v>458</v>
      </c>
      <c r="D6946" s="301" t="s">
        <v>12296</v>
      </c>
      <c r="E6946" s="207" t="s">
        <v>16276</v>
      </c>
      <c r="F6946" s="208" t="s">
        <v>17139</v>
      </c>
      <c r="G6946" s="160" t="s">
        <v>17133</v>
      </c>
      <c r="H6946" s="300">
        <v>15335.28</v>
      </c>
      <c r="I6946" s="209">
        <v>45278</v>
      </c>
      <c r="J6946" s="316" t="s">
        <v>17134</v>
      </c>
      <c r="K6946" s="160" t="s">
        <v>67</v>
      </c>
      <c r="M6946" s="70"/>
      <c r="N6946" s="97"/>
      <c r="O6946" s="160" t="s">
        <v>17135</v>
      </c>
      <c r="P6946" s="160" t="s">
        <v>67</v>
      </c>
      <c r="Q6946" s="160" t="s">
        <v>90</v>
      </c>
      <c r="R6946" s="160" t="s">
        <v>272</v>
      </c>
    </row>
    <row r="6947" spans="1:18" ht="69" customHeight="1">
      <c r="A6947" s="168"/>
      <c r="B6947" s="52">
        <f t="shared" si="28"/>
        <v>4086</v>
      </c>
      <c r="C6947" s="191" t="s">
        <v>657</v>
      </c>
      <c r="D6947" s="251" t="s">
        <v>6568</v>
      </c>
      <c r="E6947" s="46" t="s">
        <v>266</v>
      </c>
      <c r="F6947" s="46" t="s">
        <v>17140</v>
      </c>
      <c r="G6947" s="46" t="s">
        <v>17141</v>
      </c>
      <c r="H6947" s="534">
        <v>10195.48</v>
      </c>
      <c r="I6947" s="56">
        <v>45275</v>
      </c>
      <c r="J6947" s="199" t="s">
        <v>17142</v>
      </c>
      <c r="K6947" s="46"/>
      <c r="M6947" s="70"/>
      <c r="N6947" s="97"/>
      <c r="O6947" s="46" t="s">
        <v>1171</v>
      </c>
      <c r="P6947" s="46" t="s">
        <v>71</v>
      </c>
      <c r="Q6947" s="46" t="s">
        <v>97</v>
      </c>
      <c r="R6947" s="46" t="s">
        <v>272</v>
      </c>
    </row>
    <row r="6948" spans="1:18" ht="69" customHeight="1">
      <c r="A6948" s="168"/>
      <c r="B6948" s="52">
        <f t="shared" si="28"/>
        <v>4087</v>
      </c>
      <c r="C6948" s="191" t="s">
        <v>458</v>
      </c>
      <c r="D6948" s="251" t="s">
        <v>17143</v>
      </c>
      <c r="E6948" s="46" t="s">
        <v>266</v>
      </c>
      <c r="F6948" s="46" t="s">
        <v>17144</v>
      </c>
      <c r="G6948" s="46" t="s">
        <v>17141</v>
      </c>
      <c r="H6948" s="534">
        <v>11687.04</v>
      </c>
      <c r="I6948" s="56">
        <v>45275</v>
      </c>
      <c r="J6948" s="199" t="s">
        <v>17142</v>
      </c>
      <c r="K6948" s="46"/>
      <c r="M6948" s="70"/>
      <c r="N6948" s="97"/>
      <c r="O6948" s="46" t="s">
        <v>1171</v>
      </c>
      <c r="P6948" s="46" t="s">
        <v>71</v>
      </c>
      <c r="Q6948" s="46" t="s">
        <v>103</v>
      </c>
      <c r="R6948" s="46" t="s">
        <v>272</v>
      </c>
    </row>
    <row r="6949" spans="1:18" ht="69" customHeight="1">
      <c r="A6949" s="168"/>
      <c r="B6949" s="52">
        <f t="shared" si="28"/>
        <v>4088</v>
      </c>
      <c r="C6949" s="191" t="s">
        <v>458</v>
      </c>
      <c r="D6949" s="251" t="s">
        <v>12241</v>
      </c>
      <c r="E6949" s="46" t="s">
        <v>266</v>
      </c>
      <c r="F6949" s="46" t="s">
        <v>17145</v>
      </c>
      <c r="G6949" s="46" t="s">
        <v>17141</v>
      </c>
      <c r="H6949" s="534">
        <v>11687.04</v>
      </c>
      <c r="I6949" s="56">
        <v>45275</v>
      </c>
      <c r="J6949" s="199" t="s">
        <v>17142</v>
      </c>
      <c r="K6949" s="46"/>
      <c r="M6949" s="70"/>
      <c r="N6949" s="97"/>
      <c r="O6949" s="46" t="s">
        <v>1171</v>
      </c>
      <c r="P6949" s="46" t="s">
        <v>71</v>
      </c>
      <c r="Q6949" s="46" t="s">
        <v>113</v>
      </c>
      <c r="R6949" s="46" t="s">
        <v>272</v>
      </c>
    </row>
    <row r="6950" spans="1:18" ht="69" customHeight="1">
      <c r="A6950" s="168"/>
      <c r="B6950" s="52">
        <f t="shared" si="28"/>
        <v>4089</v>
      </c>
      <c r="C6950" s="191" t="s">
        <v>458</v>
      </c>
      <c r="D6950" s="251" t="s">
        <v>17146</v>
      </c>
      <c r="E6950" s="46" t="s">
        <v>266</v>
      </c>
      <c r="F6950" s="46" t="s">
        <v>17147</v>
      </c>
      <c r="G6950" s="46" t="s">
        <v>17148</v>
      </c>
      <c r="H6950" s="534">
        <v>21046.560000000001</v>
      </c>
      <c r="I6950" s="56">
        <v>45275</v>
      </c>
      <c r="J6950" s="199" t="s">
        <v>17142</v>
      </c>
      <c r="K6950" s="46"/>
      <c r="M6950" s="70"/>
      <c r="N6950" s="97"/>
      <c r="O6950" s="46" t="s">
        <v>1171</v>
      </c>
      <c r="P6950" s="46" t="s">
        <v>71</v>
      </c>
      <c r="Q6950" s="46" t="s">
        <v>119</v>
      </c>
      <c r="R6950" s="46" t="s">
        <v>272</v>
      </c>
    </row>
    <row r="6951" spans="1:18" ht="69" customHeight="1">
      <c r="A6951" s="168"/>
      <c r="B6951" s="52">
        <f t="shared" si="28"/>
        <v>4090</v>
      </c>
      <c r="C6951" s="191" t="s">
        <v>657</v>
      </c>
      <c r="D6951" s="251" t="s">
        <v>3917</v>
      </c>
      <c r="E6951" s="46" t="s">
        <v>266</v>
      </c>
      <c r="F6951" s="46" t="s">
        <v>17149</v>
      </c>
      <c r="G6951" s="46" t="s">
        <v>17148</v>
      </c>
      <c r="H6951" s="534">
        <v>21046.560000000001</v>
      </c>
      <c r="I6951" s="56">
        <v>45275</v>
      </c>
      <c r="J6951" s="199" t="s">
        <v>17142</v>
      </c>
      <c r="K6951" s="46"/>
      <c r="M6951" s="70"/>
      <c r="N6951" s="97"/>
      <c r="O6951" s="46" t="s">
        <v>1171</v>
      </c>
      <c r="P6951" s="46" t="s">
        <v>71</v>
      </c>
      <c r="Q6951" s="46" t="s">
        <v>120</v>
      </c>
      <c r="R6951" s="46" t="s">
        <v>272</v>
      </c>
    </row>
    <row r="6952" spans="1:18" ht="69" customHeight="1">
      <c r="A6952" s="169"/>
      <c r="B6952" s="62">
        <v>7056</v>
      </c>
      <c r="C6952" s="59" t="s">
        <v>458</v>
      </c>
      <c r="D6952" s="174" t="s">
        <v>4613</v>
      </c>
      <c r="E6952" s="45" t="s">
        <v>358</v>
      </c>
      <c r="F6952" s="58" t="s">
        <v>17150</v>
      </c>
      <c r="G6952" s="58" t="s">
        <v>9514</v>
      </c>
      <c r="H6952" s="546">
        <v>420000</v>
      </c>
      <c r="I6952" s="66">
        <v>44851</v>
      </c>
      <c r="J6952" s="65" t="s">
        <v>13146</v>
      </c>
      <c r="K6952" s="102"/>
      <c r="L6952" s="405"/>
      <c r="M6952" s="382"/>
      <c r="N6952" s="101"/>
      <c r="O6952" s="58" t="s">
        <v>141</v>
      </c>
      <c r="P6952" s="58" t="s">
        <v>19</v>
      </c>
      <c r="Q6952" s="58" t="s">
        <v>117</v>
      </c>
      <c r="R6952" s="58" t="s">
        <v>272</v>
      </c>
    </row>
    <row r="6953" spans="1:18" ht="69" customHeight="1">
      <c r="A6953" s="168"/>
      <c r="B6953" s="52">
        <f t="shared" ref="B6953:B6984" si="29">B6952+1</f>
        <v>7057</v>
      </c>
      <c r="C6953" s="191" t="s">
        <v>458</v>
      </c>
      <c r="D6953" s="251" t="s">
        <v>17151</v>
      </c>
      <c r="E6953" s="46" t="s">
        <v>266</v>
      </c>
      <c r="F6953" s="46" t="s">
        <v>17152</v>
      </c>
      <c r="G6953" s="46" t="s">
        <v>17141</v>
      </c>
      <c r="H6953" s="534">
        <v>11103.89</v>
      </c>
      <c r="I6953" s="56">
        <v>45275</v>
      </c>
      <c r="J6953" s="199" t="s">
        <v>17142</v>
      </c>
      <c r="K6953" s="46"/>
      <c r="M6953" s="70"/>
      <c r="N6953" s="97"/>
      <c r="O6953" s="46" t="s">
        <v>1171</v>
      </c>
      <c r="P6953" s="46" t="s">
        <v>71</v>
      </c>
      <c r="Q6953" s="46" t="s">
        <v>88</v>
      </c>
      <c r="R6953" s="46" t="s">
        <v>272</v>
      </c>
    </row>
    <row r="6954" spans="1:18" ht="69" customHeight="1">
      <c r="A6954" s="168"/>
      <c r="B6954" s="52">
        <f t="shared" si="29"/>
        <v>7058</v>
      </c>
      <c r="C6954" s="191" t="s">
        <v>458</v>
      </c>
      <c r="D6954" s="251" t="s">
        <v>17153</v>
      </c>
      <c r="E6954" s="46" t="s">
        <v>266</v>
      </c>
      <c r="F6954" s="46" t="s">
        <v>17154</v>
      </c>
      <c r="G6954" s="46" t="s">
        <v>17141</v>
      </c>
      <c r="H6954" s="534">
        <v>11103.89</v>
      </c>
      <c r="I6954" s="56">
        <v>45275</v>
      </c>
      <c r="J6954" s="199" t="s">
        <v>17142</v>
      </c>
      <c r="K6954" s="46"/>
      <c r="M6954" s="70"/>
      <c r="N6954" s="97"/>
      <c r="O6954" s="46" t="s">
        <v>1171</v>
      </c>
      <c r="P6954" s="46" t="s">
        <v>71</v>
      </c>
      <c r="Q6954" s="46" t="s">
        <v>122</v>
      </c>
      <c r="R6954" s="46" t="s">
        <v>272</v>
      </c>
    </row>
    <row r="6955" spans="1:18" ht="69" customHeight="1">
      <c r="A6955" s="168"/>
      <c r="B6955" s="52">
        <f t="shared" si="29"/>
        <v>7059</v>
      </c>
      <c r="C6955" s="191" t="s">
        <v>458</v>
      </c>
      <c r="D6955" s="251" t="s">
        <v>17155</v>
      </c>
      <c r="E6955" s="46" t="s">
        <v>266</v>
      </c>
      <c r="F6955" s="46" t="s">
        <v>17156</v>
      </c>
      <c r="G6955" s="46" t="s">
        <v>17141</v>
      </c>
      <c r="H6955" s="534">
        <v>11103.89</v>
      </c>
      <c r="I6955" s="56">
        <v>45275</v>
      </c>
      <c r="J6955" s="199" t="s">
        <v>17142</v>
      </c>
      <c r="K6955" s="46"/>
      <c r="M6955" s="70"/>
      <c r="N6955" s="97"/>
      <c r="O6955" s="46" t="s">
        <v>1171</v>
      </c>
      <c r="P6955" s="46" t="s">
        <v>71</v>
      </c>
      <c r="Q6955" s="46" t="s">
        <v>123</v>
      </c>
      <c r="R6955" s="46" t="s">
        <v>272</v>
      </c>
    </row>
    <row r="6956" spans="1:18" ht="69" customHeight="1">
      <c r="A6956" s="168"/>
      <c r="B6956" s="52">
        <f t="shared" si="29"/>
        <v>7060</v>
      </c>
      <c r="C6956" s="191" t="s">
        <v>458</v>
      </c>
      <c r="D6956" s="251" t="s">
        <v>17157</v>
      </c>
      <c r="E6956" s="46" t="s">
        <v>266</v>
      </c>
      <c r="F6956" s="46" t="s">
        <v>17158</v>
      </c>
      <c r="G6956" s="46" t="s">
        <v>17141</v>
      </c>
      <c r="H6956" s="534">
        <v>11109.89</v>
      </c>
      <c r="I6956" s="56">
        <v>45275</v>
      </c>
      <c r="J6956" s="199" t="s">
        <v>17142</v>
      </c>
      <c r="K6956" s="46"/>
      <c r="M6956" s="70"/>
      <c r="N6956" s="97"/>
      <c r="O6956" s="46" t="s">
        <v>1171</v>
      </c>
      <c r="P6956" s="46" t="s">
        <v>71</v>
      </c>
      <c r="Q6956" s="46" t="s">
        <v>112</v>
      </c>
      <c r="R6956" s="46" t="s">
        <v>272</v>
      </c>
    </row>
    <row r="6957" spans="1:18" ht="69" customHeight="1">
      <c r="A6957" s="168"/>
      <c r="B6957" s="52">
        <f t="shared" si="29"/>
        <v>7061</v>
      </c>
      <c r="C6957" s="191" t="s">
        <v>458</v>
      </c>
      <c r="D6957" s="251" t="s">
        <v>12253</v>
      </c>
      <c r="E6957" s="46" t="s">
        <v>266</v>
      </c>
      <c r="F6957" s="46" t="s">
        <v>17159</v>
      </c>
      <c r="G6957" s="46" t="s">
        <v>17141</v>
      </c>
      <c r="H6957" s="534">
        <v>11103.89</v>
      </c>
      <c r="I6957" s="56">
        <v>45275</v>
      </c>
      <c r="J6957" s="199" t="s">
        <v>17142</v>
      </c>
      <c r="K6957" s="46"/>
      <c r="M6957" s="70"/>
      <c r="N6957" s="97"/>
      <c r="O6957" s="46" t="s">
        <v>1171</v>
      </c>
      <c r="P6957" s="46" t="s">
        <v>71</v>
      </c>
      <c r="Q6957" s="46" t="s">
        <v>122</v>
      </c>
      <c r="R6957" s="46" t="s">
        <v>272</v>
      </c>
    </row>
    <row r="6958" spans="1:18" ht="69" customHeight="1">
      <c r="A6958" s="168"/>
      <c r="B6958" s="62">
        <f t="shared" si="29"/>
        <v>7062</v>
      </c>
      <c r="C6958" s="59" t="s">
        <v>657</v>
      </c>
      <c r="D6958" s="174" t="s">
        <v>17160</v>
      </c>
      <c r="E6958" s="58" t="s">
        <v>16011</v>
      </c>
      <c r="F6958" s="58" t="s">
        <v>17161</v>
      </c>
      <c r="G6958" s="58" t="s">
        <v>17162</v>
      </c>
      <c r="H6958" s="546">
        <v>7808</v>
      </c>
      <c r="I6958" s="66">
        <v>45275</v>
      </c>
      <c r="J6958" s="65" t="s">
        <v>17163</v>
      </c>
      <c r="K6958" s="58"/>
      <c r="M6958" s="70"/>
      <c r="N6958" s="97"/>
      <c r="O6958" s="58" t="s">
        <v>150</v>
      </c>
      <c r="P6958" s="58" t="s">
        <v>51</v>
      </c>
      <c r="Q6958" s="58" t="s">
        <v>118</v>
      </c>
      <c r="R6958" s="58" t="s">
        <v>272</v>
      </c>
    </row>
    <row r="6959" spans="1:18" ht="69" customHeight="1">
      <c r="A6959" s="168"/>
      <c r="B6959" s="62">
        <f t="shared" si="29"/>
        <v>7063</v>
      </c>
      <c r="C6959" s="59" t="s">
        <v>657</v>
      </c>
      <c r="D6959" s="174" t="s">
        <v>3921</v>
      </c>
      <c r="E6959" s="58" t="s">
        <v>16011</v>
      </c>
      <c r="F6959" s="58" t="s">
        <v>17164</v>
      </c>
      <c r="G6959" s="58" t="s">
        <v>17165</v>
      </c>
      <c r="H6959" s="546">
        <v>12000</v>
      </c>
      <c r="I6959" s="66">
        <v>45275</v>
      </c>
      <c r="J6959" s="65" t="s">
        <v>17163</v>
      </c>
      <c r="K6959" s="72"/>
      <c r="M6959" s="70"/>
      <c r="N6959" s="97"/>
      <c r="O6959" s="58" t="s">
        <v>150</v>
      </c>
      <c r="P6959" s="58" t="s">
        <v>51</v>
      </c>
      <c r="Q6959" s="58" t="s">
        <v>118</v>
      </c>
      <c r="R6959" s="58" t="s">
        <v>272</v>
      </c>
    </row>
    <row r="6960" spans="1:18" ht="69" customHeight="1">
      <c r="A6960" s="168"/>
      <c r="B6960" s="62">
        <f t="shared" si="29"/>
        <v>7064</v>
      </c>
      <c r="C6960" s="59" t="s">
        <v>458</v>
      </c>
      <c r="D6960" s="174" t="s">
        <v>17166</v>
      </c>
      <c r="E6960" s="58" t="s">
        <v>16011</v>
      </c>
      <c r="F6960" s="58" t="s">
        <v>17167</v>
      </c>
      <c r="G6960" s="58" t="s">
        <v>17162</v>
      </c>
      <c r="H6960" s="546">
        <v>7808</v>
      </c>
      <c r="I6960" s="66">
        <v>45275</v>
      </c>
      <c r="J6960" s="65" t="s">
        <v>17163</v>
      </c>
      <c r="K6960" s="72"/>
      <c r="M6960" s="70"/>
      <c r="N6960" s="97"/>
      <c r="O6960" s="58" t="s">
        <v>150</v>
      </c>
      <c r="P6960" s="58" t="s">
        <v>51</v>
      </c>
      <c r="Q6960" s="58" t="s">
        <v>114</v>
      </c>
      <c r="R6960" s="58" t="s">
        <v>272</v>
      </c>
    </row>
    <row r="6961" spans="1:18" ht="69" customHeight="1">
      <c r="A6961" s="168"/>
      <c r="B6961" s="62">
        <f t="shared" si="29"/>
        <v>7065</v>
      </c>
      <c r="C6961" s="59" t="s">
        <v>458</v>
      </c>
      <c r="D6961" s="174" t="s">
        <v>17168</v>
      </c>
      <c r="E6961" s="58" t="s">
        <v>16011</v>
      </c>
      <c r="F6961" s="58" t="s">
        <v>17169</v>
      </c>
      <c r="G6961" s="58" t="s">
        <v>17165</v>
      </c>
      <c r="H6961" s="546">
        <v>12000</v>
      </c>
      <c r="I6961" s="66">
        <v>45275</v>
      </c>
      <c r="J6961" s="65" t="s">
        <v>17163</v>
      </c>
      <c r="K6961" s="72"/>
      <c r="M6961" s="70"/>
      <c r="N6961" s="97"/>
      <c r="O6961" s="58" t="s">
        <v>150</v>
      </c>
      <c r="P6961" s="58" t="s">
        <v>51</v>
      </c>
      <c r="Q6961" s="58" t="s">
        <v>114</v>
      </c>
      <c r="R6961" s="58" t="s">
        <v>272</v>
      </c>
    </row>
    <row r="6962" spans="1:18" ht="69" customHeight="1">
      <c r="A6962" s="168"/>
      <c r="B6962" s="62">
        <f t="shared" si="29"/>
        <v>7066</v>
      </c>
      <c r="C6962" s="59" t="s">
        <v>3667</v>
      </c>
      <c r="D6962" s="174" t="s">
        <v>17170</v>
      </c>
      <c r="E6962" s="58" t="s">
        <v>16011</v>
      </c>
      <c r="F6962" s="58" t="s">
        <v>17171</v>
      </c>
      <c r="G6962" s="58" t="s">
        <v>17162</v>
      </c>
      <c r="H6962" s="546">
        <v>7808</v>
      </c>
      <c r="I6962" s="66">
        <v>45275</v>
      </c>
      <c r="J6962" s="65" t="s">
        <v>17163</v>
      </c>
      <c r="K6962" s="72"/>
      <c r="M6962" s="70"/>
      <c r="N6962" s="97"/>
      <c r="O6962" s="58" t="s">
        <v>150</v>
      </c>
      <c r="P6962" s="58" t="s">
        <v>51</v>
      </c>
      <c r="Q6962" s="58" t="s">
        <v>56</v>
      </c>
      <c r="R6962" s="58" t="s">
        <v>272</v>
      </c>
    </row>
    <row r="6963" spans="1:18" ht="69" customHeight="1">
      <c r="A6963" s="168"/>
      <c r="B6963" s="62">
        <f t="shared" si="29"/>
        <v>7067</v>
      </c>
      <c r="C6963" s="59" t="s">
        <v>3667</v>
      </c>
      <c r="D6963" s="174" t="s">
        <v>17172</v>
      </c>
      <c r="E6963" s="58" t="s">
        <v>16011</v>
      </c>
      <c r="F6963" s="58" t="s">
        <v>17173</v>
      </c>
      <c r="G6963" s="58" t="s">
        <v>17165</v>
      </c>
      <c r="H6963" s="546">
        <v>12000</v>
      </c>
      <c r="I6963" s="66">
        <v>45275</v>
      </c>
      <c r="J6963" s="65" t="s">
        <v>17163</v>
      </c>
      <c r="K6963" s="72"/>
      <c r="M6963" s="70"/>
      <c r="N6963" s="97"/>
      <c r="O6963" s="58" t="s">
        <v>150</v>
      </c>
      <c r="P6963" s="58" t="s">
        <v>51</v>
      </c>
      <c r="Q6963" s="58" t="s">
        <v>56</v>
      </c>
      <c r="R6963" s="58" t="s">
        <v>272</v>
      </c>
    </row>
    <row r="6964" spans="1:18" ht="69" customHeight="1">
      <c r="A6964" s="168"/>
      <c r="B6964" s="62">
        <f t="shared" si="29"/>
        <v>7068</v>
      </c>
      <c r="C6964" s="59" t="s">
        <v>3667</v>
      </c>
      <c r="D6964" s="174" t="s">
        <v>17174</v>
      </c>
      <c r="E6964" s="58" t="s">
        <v>16011</v>
      </c>
      <c r="F6964" s="58" t="s">
        <v>17175</v>
      </c>
      <c r="G6964" s="58" t="s">
        <v>17162</v>
      </c>
      <c r="H6964" s="546">
        <v>7808</v>
      </c>
      <c r="I6964" s="66">
        <v>45275</v>
      </c>
      <c r="J6964" s="65" t="s">
        <v>17163</v>
      </c>
      <c r="K6964" s="72"/>
      <c r="M6964" s="70"/>
      <c r="N6964" s="97"/>
      <c r="O6964" s="58" t="s">
        <v>150</v>
      </c>
      <c r="P6964" s="58" t="s">
        <v>51</v>
      </c>
      <c r="Q6964" s="58" t="s">
        <v>58</v>
      </c>
      <c r="R6964" s="58" t="s">
        <v>272</v>
      </c>
    </row>
    <row r="6965" spans="1:18" s="98" customFormat="1" ht="69" customHeight="1">
      <c r="A6965" s="169"/>
      <c r="B6965" s="48">
        <f t="shared" si="29"/>
        <v>7069</v>
      </c>
      <c r="C6965" s="59" t="s">
        <v>3667</v>
      </c>
      <c r="D6965" s="84" t="s">
        <v>17176</v>
      </c>
      <c r="E6965" s="45" t="s">
        <v>16011</v>
      </c>
      <c r="F6965" s="45" t="s">
        <v>17177</v>
      </c>
      <c r="G6965" s="45" t="s">
        <v>17165</v>
      </c>
      <c r="H6965" s="546">
        <v>12000</v>
      </c>
      <c r="I6965" s="47">
        <v>45275</v>
      </c>
      <c r="J6965" s="73" t="s">
        <v>17163</v>
      </c>
      <c r="K6965" s="44"/>
      <c r="M6965" s="385"/>
      <c r="N6965" s="75"/>
      <c r="O6965" s="45" t="s">
        <v>150</v>
      </c>
      <c r="P6965" s="45" t="s">
        <v>51</v>
      </c>
      <c r="Q6965" s="45" t="s">
        <v>58</v>
      </c>
      <c r="R6965" s="45" t="s">
        <v>272</v>
      </c>
    </row>
    <row r="6966" spans="1:18" ht="69" customHeight="1">
      <c r="A6966" s="168"/>
      <c r="B6966" s="62">
        <f t="shared" si="29"/>
        <v>7070</v>
      </c>
      <c r="C6966" s="59" t="s">
        <v>2182</v>
      </c>
      <c r="D6966" s="174" t="s">
        <v>12000</v>
      </c>
      <c r="E6966" s="58" t="s">
        <v>4173</v>
      </c>
      <c r="F6966" s="58" t="s">
        <v>17178</v>
      </c>
      <c r="G6966" s="58" t="s">
        <v>17179</v>
      </c>
      <c r="H6966" s="546">
        <v>67738</v>
      </c>
      <c r="I6966" s="66">
        <v>45275</v>
      </c>
      <c r="J6966" s="65" t="s">
        <v>17180</v>
      </c>
      <c r="K6966" s="72"/>
      <c r="M6966" s="70"/>
      <c r="N6966" s="97"/>
      <c r="O6966" s="58" t="s">
        <v>441</v>
      </c>
      <c r="P6966" s="58" t="s">
        <v>22</v>
      </c>
      <c r="Q6966" s="58" t="s">
        <v>31</v>
      </c>
      <c r="R6966" s="58" t="s">
        <v>265</v>
      </c>
    </row>
    <row r="6967" spans="1:18" ht="69" customHeight="1">
      <c r="A6967" s="168"/>
      <c r="B6967" s="62">
        <f t="shared" si="29"/>
        <v>7071</v>
      </c>
      <c r="C6967" s="59" t="s">
        <v>458</v>
      </c>
      <c r="D6967" s="174" t="s">
        <v>17181</v>
      </c>
      <c r="E6967" s="58" t="s">
        <v>11417</v>
      </c>
      <c r="F6967" s="58" t="s">
        <v>17182</v>
      </c>
      <c r="G6967" s="58" t="s">
        <v>17183</v>
      </c>
      <c r="H6967" s="546">
        <v>29600</v>
      </c>
      <c r="I6967" s="66">
        <v>45275</v>
      </c>
      <c r="J6967" s="65" t="s">
        <v>17184</v>
      </c>
      <c r="K6967" s="58"/>
      <c r="M6967" s="70"/>
      <c r="N6967" s="97"/>
      <c r="O6967" s="58" t="s">
        <v>147</v>
      </c>
      <c r="P6967" s="58" t="s">
        <v>22</v>
      </c>
      <c r="Q6967" s="58" t="s">
        <v>88</v>
      </c>
      <c r="R6967" s="58" t="s">
        <v>265</v>
      </c>
    </row>
    <row r="6968" spans="1:18" ht="69" customHeight="1">
      <c r="A6968" s="168"/>
      <c r="B6968" s="62">
        <f t="shared" si="29"/>
        <v>7072</v>
      </c>
      <c r="C6968" s="59" t="s">
        <v>657</v>
      </c>
      <c r="D6968" s="84" t="s">
        <v>3924</v>
      </c>
      <c r="E6968" s="45" t="s">
        <v>11417</v>
      </c>
      <c r="F6968" s="45" t="s">
        <v>17185</v>
      </c>
      <c r="G6968" s="45" t="s">
        <v>17186</v>
      </c>
      <c r="H6968" s="546">
        <v>44424.78</v>
      </c>
      <c r="I6968" s="47">
        <v>45275</v>
      </c>
      <c r="J6968" s="73" t="s">
        <v>17187</v>
      </c>
      <c r="K6968" s="58"/>
      <c r="M6968" s="70"/>
      <c r="N6968" s="97"/>
      <c r="O6968" s="58" t="s">
        <v>147</v>
      </c>
      <c r="P6968" s="58" t="s">
        <v>22</v>
      </c>
      <c r="Q6968" s="58" t="s">
        <v>97</v>
      </c>
      <c r="R6968" s="58" t="s">
        <v>265</v>
      </c>
    </row>
    <row r="6969" spans="1:18" ht="69" customHeight="1">
      <c r="A6969" s="168"/>
      <c r="B6969" s="62">
        <f t="shared" si="29"/>
        <v>7073</v>
      </c>
      <c r="C6969" s="59" t="s">
        <v>458</v>
      </c>
      <c r="D6969" s="84" t="s">
        <v>12261</v>
      </c>
      <c r="E6969" s="45" t="s">
        <v>11417</v>
      </c>
      <c r="F6969" s="45" t="s">
        <v>17188</v>
      </c>
      <c r="G6969" s="45" t="s">
        <v>17186</v>
      </c>
      <c r="H6969" s="546">
        <v>40000</v>
      </c>
      <c r="I6969" s="47">
        <v>45275</v>
      </c>
      <c r="J6969" s="73" t="s">
        <v>17187</v>
      </c>
      <c r="K6969" s="58"/>
      <c r="M6969" s="70"/>
      <c r="N6969" s="97"/>
      <c r="O6969" s="58" t="s">
        <v>147</v>
      </c>
      <c r="P6969" s="58" t="s">
        <v>22</v>
      </c>
      <c r="Q6969" s="58" t="s">
        <v>103</v>
      </c>
      <c r="R6969" s="58" t="s">
        <v>265</v>
      </c>
    </row>
    <row r="6970" spans="1:18" s="98" customFormat="1" ht="69" customHeight="1">
      <c r="A6970" s="169"/>
      <c r="B6970" s="48">
        <f t="shared" si="29"/>
        <v>7074</v>
      </c>
      <c r="C6970" s="59" t="s">
        <v>458</v>
      </c>
      <c r="D6970" s="84" t="s">
        <v>12265</v>
      </c>
      <c r="E6970" s="45" t="s">
        <v>11417</v>
      </c>
      <c r="F6970" s="45" t="s">
        <v>17189</v>
      </c>
      <c r="G6970" s="45" t="s">
        <v>17186</v>
      </c>
      <c r="H6970" s="546">
        <v>47364.82</v>
      </c>
      <c r="I6970" s="47">
        <v>45275</v>
      </c>
      <c r="J6970" s="73" t="s">
        <v>17187</v>
      </c>
      <c r="K6970" s="45"/>
      <c r="M6970" s="385"/>
      <c r="N6970" s="75"/>
      <c r="O6970" s="45" t="s">
        <v>147</v>
      </c>
      <c r="P6970" s="45" t="s">
        <v>22</v>
      </c>
      <c r="Q6970" s="45" t="s">
        <v>88</v>
      </c>
      <c r="R6970" s="45" t="s">
        <v>265</v>
      </c>
    </row>
    <row r="6971" spans="1:18" ht="69" customHeight="1">
      <c r="A6971" s="168"/>
      <c r="B6971" s="62">
        <f t="shared" si="29"/>
        <v>7075</v>
      </c>
      <c r="C6971" s="59" t="s">
        <v>458</v>
      </c>
      <c r="D6971" s="84" t="s">
        <v>12274</v>
      </c>
      <c r="E6971" s="45" t="s">
        <v>11417</v>
      </c>
      <c r="F6971" s="45" t="s">
        <v>17190</v>
      </c>
      <c r="G6971" s="45" t="s">
        <v>17186</v>
      </c>
      <c r="H6971" s="546">
        <v>45417.48</v>
      </c>
      <c r="I6971" s="47">
        <v>45275</v>
      </c>
      <c r="J6971" s="73" t="s">
        <v>17187</v>
      </c>
      <c r="K6971" s="45"/>
      <c r="M6971" s="70"/>
      <c r="N6971" s="97"/>
      <c r="O6971" s="58" t="s">
        <v>147</v>
      </c>
      <c r="P6971" s="58" t="s">
        <v>22</v>
      </c>
      <c r="Q6971" s="58" t="s">
        <v>122</v>
      </c>
      <c r="R6971" s="58" t="s">
        <v>265</v>
      </c>
    </row>
    <row r="6972" spans="1:18" ht="69" customHeight="1">
      <c r="A6972" s="168"/>
      <c r="B6972" s="62">
        <f t="shared" si="29"/>
        <v>7076</v>
      </c>
      <c r="C6972" s="59" t="s">
        <v>458</v>
      </c>
      <c r="D6972" s="84" t="s">
        <v>17191</v>
      </c>
      <c r="E6972" s="178" t="s">
        <v>7890</v>
      </c>
      <c r="F6972" s="45" t="s">
        <v>17192</v>
      </c>
      <c r="G6972" s="45" t="s">
        <v>17186</v>
      </c>
      <c r="H6972" s="546">
        <v>50328.82</v>
      </c>
      <c r="I6972" s="47">
        <v>45275</v>
      </c>
      <c r="J6972" s="73" t="s">
        <v>17187</v>
      </c>
      <c r="K6972" s="58"/>
      <c r="M6972" s="70"/>
      <c r="N6972" s="97"/>
      <c r="O6972" s="58" t="s">
        <v>147</v>
      </c>
      <c r="P6972" s="58" t="s">
        <v>22</v>
      </c>
      <c r="Q6972" s="58" t="s">
        <v>123</v>
      </c>
      <c r="R6972" s="58" t="s">
        <v>265</v>
      </c>
    </row>
    <row r="6973" spans="1:18" ht="69" customHeight="1">
      <c r="A6973" s="168"/>
      <c r="B6973" s="62">
        <f t="shared" si="29"/>
        <v>7077</v>
      </c>
      <c r="C6973" s="59" t="s">
        <v>2182</v>
      </c>
      <c r="D6973" s="174" t="s">
        <v>12002</v>
      </c>
      <c r="E6973" s="58" t="s">
        <v>4173</v>
      </c>
      <c r="F6973" s="58" t="s">
        <v>17193</v>
      </c>
      <c r="G6973" s="58" t="s">
        <v>17194</v>
      </c>
      <c r="H6973" s="546">
        <v>25000</v>
      </c>
      <c r="I6973" s="66">
        <v>45275</v>
      </c>
      <c r="J6973" s="65" t="s">
        <v>17195</v>
      </c>
      <c r="K6973" s="58"/>
      <c r="M6973" s="70"/>
      <c r="N6973" s="97"/>
      <c r="O6973" s="58" t="s">
        <v>441</v>
      </c>
      <c r="P6973" s="58" t="s">
        <v>22</v>
      </c>
      <c r="Q6973" s="58" t="s">
        <v>31</v>
      </c>
      <c r="R6973" s="58" t="s">
        <v>265</v>
      </c>
    </row>
    <row r="6974" spans="1:18" ht="69" customHeight="1">
      <c r="A6974" s="168"/>
      <c r="B6974" s="62">
        <f t="shared" si="29"/>
        <v>7078</v>
      </c>
      <c r="C6974" s="59" t="s">
        <v>2182</v>
      </c>
      <c r="D6974" s="174" t="s">
        <v>12004</v>
      </c>
      <c r="E6974" s="58" t="s">
        <v>4173</v>
      </c>
      <c r="F6974" s="58" t="s">
        <v>17196</v>
      </c>
      <c r="G6974" s="58" t="s">
        <v>17197</v>
      </c>
      <c r="H6974" s="546">
        <v>31514.91</v>
      </c>
      <c r="I6974" s="66">
        <v>45265</v>
      </c>
      <c r="J6974" s="65" t="s">
        <v>17198</v>
      </c>
      <c r="K6974" s="58"/>
      <c r="M6974" s="70"/>
      <c r="N6974" s="97"/>
      <c r="O6974" s="58" t="s">
        <v>441</v>
      </c>
      <c r="P6974" s="58" t="s">
        <v>22</v>
      </c>
      <c r="Q6974" s="58" t="s">
        <v>31</v>
      </c>
      <c r="R6974" s="58" t="s">
        <v>265</v>
      </c>
    </row>
    <row r="6975" spans="1:18" ht="69" customHeight="1">
      <c r="A6975" s="168"/>
      <c r="B6975" s="62">
        <f t="shared" si="29"/>
        <v>7079</v>
      </c>
      <c r="C6975" s="59" t="s">
        <v>1853</v>
      </c>
      <c r="D6975" s="174" t="s">
        <v>12006</v>
      </c>
      <c r="E6975" s="58" t="s">
        <v>4173</v>
      </c>
      <c r="F6975" s="58" t="s">
        <v>17199</v>
      </c>
      <c r="G6975" s="58" t="s">
        <v>16264</v>
      </c>
      <c r="H6975" s="546">
        <v>31200</v>
      </c>
      <c r="I6975" s="66">
        <v>45275</v>
      </c>
      <c r="J6975" s="65" t="s">
        <v>17200</v>
      </c>
      <c r="K6975" s="58"/>
      <c r="M6975" s="70"/>
      <c r="N6975" s="97"/>
      <c r="O6975" s="58" t="s">
        <v>441</v>
      </c>
      <c r="P6975" s="58" t="s">
        <v>22</v>
      </c>
      <c r="Q6975" s="58" t="s">
        <v>29</v>
      </c>
      <c r="R6975" s="58" t="s">
        <v>265</v>
      </c>
    </row>
    <row r="6976" spans="1:18" ht="69" customHeight="1">
      <c r="A6976" s="168"/>
      <c r="B6976" s="62">
        <f t="shared" si="29"/>
        <v>7080</v>
      </c>
      <c r="C6976" s="59" t="s">
        <v>1853</v>
      </c>
      <c r="D6976" s="174" t="s">
        <v>12008</v>
      </c>
      <c r="E6976" s="58" t="s">
        <v>4173</v>
      </c>
      <c r="F6976" s="58" t="s">
        <v>17201</v>
      </c>
      <c r="G6976" s="58" t="s">
        <v>16264</v>
      </c>
      <c r="H6976" s="546">
        <v>25000</v>
      </c>
      <c r="I6976" s="66">
        <v>45275</v>
      </c>
      <c r="J6976" s="65" t="s">
        <v>17202</v>
      </c>
      <c r="K6976" s="58"/>
      <c r="M6976" s="70"/>
      <c r="N6976" s="97"/>
      <c r="O6976" s="58" t="s">
        <v>441</v>
      </c>
      <c r="P6976" s="58" t="s">
        <v>22</v>
      </c>
      <c r="Q6976" s="58" t="s">
        <v>29</v>
      </c>
      <c r="R6976" s="58" t="s">
        <v>265</v>
      </c>
    </row>
    <row r="6977" spans="1:18" s="98" customFormat="1" ht="69" customHeight="1">
      <c r="A6977" s="169"/>
      <c r="B6977" s="259">
        <f t="shared" si="29"/>
        <v>7081</v>
      </c>
      <c r="C6977" s="207" t="s">
        <v>3340</v>
      </c>
      <c r="D6977" s="303" t="s">
        <v>7133</v>
      </c>
      <c r="E6977" s="160" t="s">
        <v>266</v>
      </c>
      <c r="F6977" s="160" t="s">
        <v>17203</v>
      </c>
      <c r="G6977" s="160" t="s">
        <v>17204</v>
      </c>
      <c r="H6977" s="300">
        <v>10707.52</v>
      </c>
      <c r="I6977" s="209">
        <v>45275</v>
      </c>
      <c r="J6977" s="316" t="s">
        <v>17205</v>
      </c>
      <c r="K6977" s="160" t="s">
        <v>17206</v>
      </c>
      <c r="M6977" s="385"/>
      <c r="N6977" s="75"/>
      <c r="O6977" s="160" t="s">
        <v>13735</v>
      </c>
      <c r="P6977" s="160" t="s">
        <v>67</v>
      </c>
      <c r="Q6977" s="160" t="s">
        <v>96</v>
      </c>
      <c r="R6977" s="160" t="s">
        <v>272</v>
      </c>
    </row>
    <row r="6978" spans="1:18" ht="69" customHeight="1">
      <c r="A6978" s="168"/>
      <c r="B6978" s="62">
        <f t="shared" si="29"/>
        <v>7082</v>
      </c>
      <c r="C6978" s="59" t="s">
        <v>9094</v>
      </c>
      <c r="D6978" s="174" t="s">
        <v>12277</v>
      </c>
      <c r="E6978" s="58" t="s">
        <v>979</v>
      </c>
      <c r="F6978" s="58" t="s">
        <v>17207</v>
      </c>
      <c r="G6978" s="58" t="s">
        <v>17208</v>
      </c>
      <c r="H6978" s="546">
        <v>55457.78</v>
      </c>
      <c r="I6978" s="66">
        <v>45275</v>
      </c>
      <c r="J6978" s="65" t="s">
        <v>17209</v>
      </c>
      <c r="K6978" s="58"/>
      <c r="M6978" s="70"/>
      <c r="N6978" s="97"/>
      <c r="O6978" s="58" t="s">
        <v>156</v>
      </c>
      <c r="P6978" s="45" t="s">
        <v>73</v>
      </c>
      <c r="Q6978" s="58" t="s">
        <v>112</v>
      </c>
      <c r="R6978" s="58" t="s">
        <v>265</v>
      </c>
    </row>
    <row r="6979" spans="1:18" ht="69" customHeight="1">
      <c r="A6979" s="168"/>
      <c r="B6979" s="62">
        <f t="shared" si="29"/>
        <v>7083</v>
      </c>
      <c r="C6979" s="59" t="s">
        <v>657</v>
      </c>
      <c r="D6979" s="84" t="s">
        <v>3927</v>
      </c>
      <c r="E6979" s="45" t="s">
        <v>11417</v>
      </c>
      <c r="F6979" s="45" t="s">
        <v>17210</v>
      </c>
      <c r="G6979" s="45" t="s">
        <v>17186</v>
      </c>
      <c r="H6979" s="546">
        <v>44424.78</v>
      </c>
      <c r="I6979" s="66">
        <v>45275</v>
      </c>
      <c r="J6979" s="65" t="s">
        <v>17211</v>
      </c>
      <c r="K6979" s="58"/>
      <c r="M6979" s="70"/>
      <c r="N6979" s="97"/>
      <c r="O6979" s="58" t="s">
        <v>147</v>
      </c>
      <c r="P6979" s="58" t="s">
        <v>22</v>
      </c>
      <c r="Q6979" s="58" t="s">
        <v>97</v>
      </c>
      <c r="R6979" s="58" t="s">
        <v>265</v>
      </c>
    </row>
    <row r="6980" spans="1:18" ht="69" customHeight="1">
      <c r="A6980" s="168"/>
      <c r="B6980" s="62">
        <f t="shared" si="29"/>
        <v>7084</v>
      </c>
      <c r="C6980" s="59" t="s">
        <v>15623</v>
      </c>
      <c r="D6980" s="174" t="s">
        <v>12010</v>
      </c>
      <c r="E6980" s="58" t="s">
        <v>17212</v>
      </c>
      <c r="F6980" s="58" t="s">
        <v>17213</v>
      </c>
      <c r="G6980" s="58" t="s">
        <v>17214</v>
      </c>
      <c r="H6980" s="546">
        <v>132990</v>
      </c>
      <c r="I6980" s="66">
        <v>45275</v>
      </c>
      <c r="J6980" s="65" t="s">
        <v>17215</v>
      </c>
      <c r="K6980" s="58"/>
      <c r="M6980" s="70"/>
      <c r="N6980" s="97"/>
      <c r="O6980" s="58" t="s">
        <v>16399</v>
      </c>
      <c r="P6980" s="58" t="s">
        <v>55</v>
      </c>
      <c r="Q6980" s="58" t="s">
        <v>43</v>
      </c>
      <c r="R6980" s="58" t="s">
        <v>272</v>
      </c>
    </row>
    <row r="6981" spans="1:18" ht="69" customHeight="1">
      <c r="A6981" s="168"/>
      <c r="B6981" s="62">
        <f t="shared" si="29"/>
        <v>7085</v>
      </c>
      <c r="C6981" s="59" t="s">
        <v>4411</v>
      </c>
      <c r="D6981" s="174" t="s">
        <v>17216</v>
      </c>
      <c r="E6981" s="58" t="s">
        <v>17212</v>
      </c>
      <c r="F6981" s="58" t="s">
        <v>17217</v>
      </c>
      <c r="G6981" s="58" t="s">
        <v>17214</v>
      </c>
      <c r="H6981" s="546">
        <v>169330</v>
      </c>
      <c r="I6981" s="66">
        <v>45275</v>
      </c>
      <c r="J6981" s="65" t="s">
        <v>17215</v>
      </c>
      <c r="K6981" s="58"/>
      <c r="M6981" s="70"/>
      <c r="N6981" s="97"/>
      <c r="O6981" s="58" t="s">
        <v>16399</v>
      </c>
      <c r="P6981" s="58" t="s">
        <v>55</v>
      </c>
      <c r="Q6981" s="58" t="s">
        <v>54</v>
      </c>
      <c r="R6981" s="58" t="s">
        <v>272</v>
      </c>
    </row>
    <row r="6982" spans="1:18" ht="69" customHeight="1">
      <c r="A6982" s="168"/>
      <c r="B6982" s="62">
        <f t="shared" si="29"/>
        <v>7086</v>
      </c>
      <c r="C6982" s="59" t="s">
        <v>1333</v>
      </c>
      <c r="D6982" s="174" t="s">
        <v>12031</v>
      </c>
      <c r="E6982" s="58" t="s">
        <v>17212</v>
      </c>
      <c r="F6982" s="58" t="s">
        <v>17218</v>
      </c>
      <c r="G6982" s="58" t="s">
        <v>17214</v>
      </c>
      <c r="H6982" s="546">
        <v>161625</v>
      </c>
      <c r="I6982" s="66">
        <v>45275</v>
      </c>
      <c r="J6982" s="65" t="s">
        <v>17215</v>
      </c>
      <c r="K6982" s="58"/>
      <c r="M6982" s="70"/>
      <c r="N6982" s="97"/>
      <c r="O6982" s="58" t="s">
        <v>16399</v>
      </c>
      <c r="P6982" s="58" t="s">
        <v>55</v>
      </c>
      <c r="Q6982" s="58" t="s">
        <v>25</v>
      </c>
      <c r="R6982" s="58" t="s">
        <v>272</v>
      </c>
    </row>
    <row r="6983" spans="1:18" ht="69" customHeight="1">
      <c r="A6983" s="168"/>
      <c r="B6983" s="62">
        <f t="shared" si="29"/>
        <v>7087</v>
      </c>
      <c r="C6983" s="59" t="s">
        <v>8529</v>
      </c>
      <c r="D6983" s="174" t="s">
        <v>12292</v>
      </c>
      <c r="E6983" s="58" t="s">
        <v>17212</v>
      </c>
      <c r="F6983" s="58" t="s">
        <v>17219</v>
      </c>
      <c r="G6983" s="58" t="s">
        <v>17214</v>
      </c>
      <c r="H6983" s="546">
        <v>256980</v>
      </c>
      <c r="I6983" s="66">
        <v>45275</v>
      </c>
      <c r="J6983" s="65" t="s">
        <v>17215</v>
      </c>
      <c r="K6983" s="58"/>
      <c r="M6983" s="70"/>
      <c r="N6983" s="97"/>
      <c r="O6983" s="58" t="s">
        <v>16399</v>
      </c>
      <c r="P6983" s="58" t="s">
        <v>55</v>
      </c>
      <c r="Q6983" s="58" t="s">
        <v>108</v>
      </c>
      <c r="R6983" s="58" t="s">
        <v>272</v>
      </c>
    </row>
    <row r="6984" spans="1:18" ht="69" customHeight="1">
      <c r="A6984" s="168"/>
      <c r="B6984" s="62">
        <f t="shared" si="29"/>
        <v>7088</v>
      </c>
      <c r="C6984" s="58" t="s">
        <v>16765</v>
      </c>
      <c r="D6984" s="174" t="s">
        <v>4275</v>
      </c>
      <c r="E6984" s="58" t="s">
        <v>17212</v>
      </c>
      <c r="F6984" s="58" t="s">
        <v>17220</v>
      </c>
      <c r="G6984" s="58" t="s">
        <v>17214</v>
      </c>
      <c r="H6984" s="546">
        <v>172620</v>
      </c>
      <c r="I6984" s="66">
        <v>45275</v>
      </c>
      <c r="J6984" s="65" t="s">
        <v>17215</v>
      </c>
      <c r="K6984" s="58"/>
      <c r="M6984" s="70"/>
      <c r="N6984" s="97"/>
      <c r="O6984" s="58" t="s">
        <v>16399</v>
      </c>
      <c r="P6984" s="58" t="s">
        <v>55</v>
      </c>
      <c r="Q6984" s="58" t="s">
        <v>109</v>
      </c>
      <c r="R6984" s="58" t="s">
        <v>272</v>
      </c>
    </row>
    <row r="6985" spans="1:18" ht="69" customHeight="1">
      <c r="A6985" s="168"/>
      <c r="B6985" s="62">
        <f t="shared" ref="B6985:B7016" si="30">B6984+1</f>
        <v>7089</v>
      </c>
      <c r="C6985" s="59" t="s">
        <v>9436</v>
      </c>
      <c r="D6985" s="174" t="s">
        <v>5349</v>
      </c>
      <c r="E6985" s="58" t="s">
        <v>17212</v>
      </c>
      <c r="F6985" s="58" t="s">
        <v>17221</v>
      </c>
      <c r="G6985" s="58" t="s">
        <v>17214</v>
      </c>
      <c r="H6985" s="546">
        <v>215850</v>
      </c>
      <c r="I6985" s="66">
        <v>45275</v>
      </c>
      <c r="J6985" s="65" t="s">
        <v>17215</v>
      </c>
      <c r="K6985" s="58"/>
      <c r="M6985" s="70"/>
      <c r="N6985" s="97"/>
      <c r="O6985" s="58" t="s">
        <v>16399</v>
      </c>
      <c r="P6985" s="58" t="s">
        <v>55</v>
      </c>
      <c r="Q6985" s="58" t="s">
        <v>116</v>
      </c>
      <c r="R6985" s="58" t="s">
        <v>272</v>
      </c>
    </row>
    <row r="6986" spans="1:18" ht="69" customHeight="1">
      <c r="A6986" s="168"/>
      <c r="B6986" s="52">
        <f t="shared" si="30"/>
        <v>7090</v>
      </c>
      <c r="C6986" s="191" t="s">
        <v>309</v>
      </c>
      <c r="D6986" s="251" t="s">
        <v>12048</v>
      </c>
      <c r="E6986" s="46" t="s">
        <v>266</v>
      </c>
      <c r="F6986" s="46" t="s">
        <v>17222</v>
      </c>
      <c r="G6986" s="46" t="s">
        <v>17223</v>
      </c>
      <c r="H6986" s="534">
        <v>27070.71</v>
      </c>
      <c r="I6986" s="56">
        <v>45275</v>
      </c>
      <c r="J6986" s="199" t="s">
        <v>17224</v>
      </c>
      <c r="K6986" s="46" t="s">
        <v>1170</v>
      </c>
      <c r="M6986" s="70"/>
      <c r="N6986" s="97"/>
      <c r="O6986" s="46" t="s">
        <v>141</v>
      </c>
      <c r="P6986" s="46" t="s">
        <v>65</v>
      </c>
      <c r="Q6986" s="46" t="s">
        <v>17225</v>
      </c>
      <c r="R6986" s="46" t="s">
        <v>272</v>
      </c>
    </row>
    <row r="6987" spans="1:18" s="98" customFormat="1" ht="69" customHeight="1">
      <c r="A6987" s="169"/>
      <c r="B6987" s="259">
        <f t="shared" si="30"/>
        <v>7091</v>
      </c>
      <c r="C6987" s="207" t="s">
        <v>6822</v>
      </c>
      <c r="D6987" s="303" t="s">
        <v>6755</v>
      </c>
      <c r="E6987" s="160" t="s">
        <v>266</v>
      </c>
      <c r="F6987" s="160" t="s">
        <v>17226</v>
      </c>
      <c r="G6987" s="160" t="s">
        <v>17227</v>
      </c>
      <c r="H6987" s="300">
        <v>3476.24</v>
      </c>
      <c r="I6987" s="209">
        <v>45275</v>
      </c>
      <c r="J6987" s="316" t="s">
        <v>17228</v>
      </c>
      <c r="K6987" s="160" t="s">
        <v>11084</v>
      </c>
      <c r="M6987" s="385"/>
      <c r="N6987" s="75"/>
      <c r="O6987" s="160" t="s">
        <v>5969</v>
      </c>
      <c r="P6987" s="160" t="s">
        <v>67</v>
      </c>
      <c r="Q6987" s="160" t="s">
        <v>17229</v>
      </c>
      <c r="R6987" s="160" t="s">
        <v>272</v>
      </c>
    </row>
    <row r="6988" spans="1:18" s="98" customFormat="1" ht="69" customHeight="1">
      <c r="A6988" s="169"/>
      <c r="B6988" s="259">
        <f t="shared" si="30"/>
        <v>7092</v>
      </c>
      <c r="C6988" s="207" t="s">
        <v>6822</v>
      </c>
      <c r="D6988" s="303" t="s">
        <v>8267</v>
      </c>
      <c r="E6988" s="160" t="s">
        <v>266</v>
      </c>
      <c r="F6988" s="160" t="s">
        <v>17230</v>
      </c>
      <c r="G6988" s="160" t="s">
        <v>17227</v>
      </c>
      <c r="H6988" s="300">
        <v>2196.8000000000002</v>
      </c>
      <c r="I6988" s="209">
        <v>45275</v>
      </c>
      <c r="J6988" s="316" t="s">
        <v>17228</v>
      </c>
      <c r="K6988" s="160" t="s">
        <v>11084</v>
      </c>
      <c r="M6988" s="385"/>
      <c r="N6988" s="75"/>
      <c r="O6988" s="160" t="s">
        <v>5969</v>
      </c>
      <c r="P6988" s="160" t="s">
        <v>67</v>
      </c>
      <c r="Q6988" s="160" t="s">
        <v>17229</v>
      </c>
      <c r="R6988" s="160" t="s">
        <v>272</v>
      </c>
    </row>
    <row r="6989" spans="1:18" ht="69" customHeight="1">
      <c r="A6989" s="168"/>
      <c r="B6989" s="62">
        <f t="shared" si="30"/>
        <v>7093</v>
      </c>
      <c r="C6989" s="45" t="s">
        <v>11618</v>
      </c>
      <c r="D6989" s="174" t="s">
        <v>12299</v>
      </c>
      <c r="E6989" s="58" t="s">
        <v>17231</v>
      </c>
      <c r="F6989" s="58" t="s">
        <v>17232</v>
      </c>
      <c r="G6989" s="58" t="s">
        <v>17233</v>
      </c>
      <c r="H6989" s="546">
        <v>112007.11</v>
      </c>
      <c r="I6989" s="66">
        <v>45265</v>
      </c>
      <c r="J6989" s="65" t="s">
        <v>17234</v>
      </c>
      <c r="K6989" s="58"/>
      <c r="M6989" s="70"/>
      <c r="N6989" s="97"/>
      <c r="O6989" s="58" t="s">
        <v>17235</v>
      </c>
      <c r="P6989" s="58" t="s">
        <v>57</v>
      </c>
      <c r="Q6989" s="58" t="s">
        <v>17236</v>
      </c>
      <c r="R6989" s="58" t="s">
        <v>272</v>
      </c>
    </row>
    <row r="6990" spans="1:18" s="98" customFormat="1" ht="69" customHeight="1">
      <c r="A6990" s="169"/>
      <c r="B6990" s="48">
        <f t="shared" si="30"/>
        <v>7094</v>
      </c>
      <c r="C6990" s="44" t="s">
        <v>9004</v>
      </c>
      <c r="D6990" s="84" t="s">
        <v>5364</v>
      </c>
      <c r="E6990" s="45" t="s">
        <v>17237</v>
      </c>
      <c r="F6990" s="45" t="s">
        <v>17238</v>
      </c>
      <c r="G6990" s="45" t="s">
        <v>17239</v>
      </c>
      <c r="H6990" s="546">
        <v>130103.27</v>
      </c>
      <c r="I6990" s="47">
        <v>45265</v>
      </c>
      <c r="J6990" s="73" t="s">
        <v>17240</v>
      </c>
      <c r="K6990" s="45"/>
      <c r="M6990" s="385"/>
      <c r="N6990" s="75"/>
      <c r="O6990" s="45" t="s">
        <v>17235</v>
      </c>
      <c r="P6990" s="45" t="s">
        <v>57</v>
      </c>
      <c r="Q6990" s="45" t="s">
        <v>111</v>
      </c>
      <c r="R6990" s="45" t="s">
        <v>272</v>
      </c>
    </row>
    <row r="6991" spans="1:18" ht="69" customHeight="1">
      <c r="A6991" s="169"/>
      <c r="B6991" s="62">
        <f t="shared" si="30"/>
        <v>7095</v>
      </c>
      <c r="C6991" s="45" t="s">
        <v>11568</v>
      </c>
      <c r="D6991" s="174" t="s">
        <v>12304</v>
      </c>
      <c r="E6991" s="58" t="s">
        <v>17241</v>
      </c>
      <c r="F6991" s="58" t="s">
        <v>17242</v>
      </c>
      <c r="G6991" s="58" t="s">
        <v>17243</v>
      </c>
      <c r="H6991" s="546">
        <v>364710</v>
      </c>
      <c r="I6991" s="66">
        <v>45275</v>
      </c>
      <c r="J6991" s="65" t="s">
        <v>17244</v>
      </c>
      <c r="K6991" s="58"/>
      <c r="M6991" s="70"/>
      <c r="N6991" s="97"/>
      <c r="O6991" s="58" t="s">
        <v>156</v>
      </c>
      <c r="P6991" s="58" t="s">
        <v>26</v>
      </c>
      <c r="Q6991" s="58" t="s">
        <v>107</v>
      </c>
      <c r="R6991" s="58" t="s">
        <v>272</v>
      </c>
    </row>
    <row r="6992" spans="1:18" s="98" customFormat="1" ht="69" customHeight="1">
      <c r="A6992" s="169"/>
      <c r="B6992" s="52">
        <f t="shared" si="30"/>
        <v>7096</v>
      </c>
      <c r="C6992" s="191" t="s">
        <v>2182</v>
      </c>
      <c r="D6992" s="251" t="s">
        <v>16723</v>
      </c>
      <c r="E6992" s="46" t="s">
        <v>266</v>
      </c>
      <c r="F6992" s="46" t="s">
        <v>17245</v>
      </c>
      <c r="G6992" s="46" t="s">
        <v>17246</v>
      </c>
      <c r="H6992" s="534">
        <v>11743.75</v>
      </c>
      <c r="I6992" s="56">
        <v>45275</v>
      </c>
      <c r="J6992" s="199" t="s">
        <v>17247</v>
      </c>
      <c r="K6992" s="46"/>
      <c r="M6992" s="385"/>
      <c r="N6992" s="75"/>
      <c r="O6992" s="46"/>
      <c r="P6992" s="46" t="s">
        <v>65</v>
      </c>
      <c r="Q6992" s="46" t="s">
        <v>31</v>
      </c>
      <c r="R6992" s="46" t="s">
        <v>272</v>
      </c>
    </row>
    <row r="6993" spans="1:18" s="98" customFormat="1" ht="69" customHeight="1">
      <c r="A6993" s="169"/>
      <c r="B6993" s="52">
        <f t="shared" si="30"/>
        <v>7097</v>
      </c>
      <c r="C6993" s="51" t="s">
        <v>17248</v>
      </c>
      <c r="D6993" s="251" t="s">
        <v>12067</v>
      </c>
      <c r="E6993" s="46" t="s">
        <v>266</v>
      </c>
      <c r="F6993" s="46" t="s">
        <v>17249</v>
      </c>
      <c r="G6993" s="46" t="s">
        <v>17246</v>
      </c>
      <c r="H6993" s="534">
        <v>11743.75</v>
      </c>
      <c r="I6993" s="56">
        <v>45275</v>
      </c>
      <c r="J6993" s="199" t="s">
        <v>17247</v>
      </c>
      <c r="K6993" s="46"/>
      <c r="M6993" s="385"/>
      <c r="N6993" s="75"/>
      <c r="O6993" s="46" t="s">
        <v>17250</v>
      </c>
      <c r="P6993" s="46" t="s">
        <v>65</v>
      </c>
      <c r="Q6993" s="46" t="s">
        <v>33</v>
      </c>
      <c r="R6993" s="46" t="s">
        <v>272</v>
      </c>
    </row>
    <row r="6994" spans="1:18" s="98" customFormat="1" ht="69" customHeight="1">
      <c r="A6994" s="169"/>
      <c r="B6994" s="259">
        <f t="shared" si="30"/>
        <v>7098</v>
      </c>
      <c r="C6994" s="160" t="s">
        <v>16368</v>
      </c>
      <c r="D6994" s="303" t="s">
        <v>5321</v>
      </c>
      <c r="E6994" s="160" t="s">
        <v>17007</v>
      </c>
      <c r="F6994" s="160" t="s">
        <v>17251</v>
      </c>
      <c r="G6994" s="160" t="s">
        <v>17252</v>
      </c>
      <c r="H6994" s="300">
        <v>242230</v>
      </c>
      <c r="I6994" s="209">
        <v>45275</v>
      </c>
      <c r="J6994" s="316" t="s">
        <v>17253</v>
      </c>
      <c r="K6994" s="160" t="s">
        <v>11084</v>
      </c>
      <c r="M6994" s="385"/>
      <c r="N6994" s="75"/>
      <c r="O6994" s="160" t="s">
        <v>467</v>
      </c>
      <c r="P6994" s="160" t="s">
        <v>67</v>
      </c>
      <c r="Q6994" s="160" t="s">
        <v>96</v>
      </c>
      <c r="R6994" s="160" t="s">
        <v>272</v>
      </c>
    </row>
    <row r="6995" spans="1:18" s="98" customFormat="1" ht="69" customHeight="1">
      <c r="A6995" s="169"/>
      <c r="B6995" s="259">
        <f t="shared" si="30"/>
        <v>7099</v>
      </c>
      <c r="C6995" s="207" t="s">
        <v>3340</v>
      </c>
      <c r="D6995" s="303" t="s">
        <v>6010</v>
      </c>
      <c r="E6995" s="160" t="s">
        <v>266</v>
      </c>
      <c r="F6995" s="160" t="s">
        <v>17254</v>
      </c>
      <c r="G6995" s="160" t="s">
        <v>17255</v>
      </c>
      <c r="H6995" s="300">
        <v>14716.89</v>
      </c>
      <c r="I6995" s="209">
        <v>45275</v>
      </c>
      <c r="J6995" s="316" t="s">
        <v>17256</v>
      </c>
      <c r="K6995" s="160" t="s">
        <v>17206</v>
      </c>
      <c r="M6995" s="385"/>
      <c r="N6995" s="75"/>
      <c r="O6995" s="160" t="s">
        <v>13735</v>
      </c>
      <c r="P6995" s="160" t="s">
        <v>67</v>
      </c>
      <c r="Q6995" s="160" t="s">
        <v>96</v>
      </c>
      <c r="R6995" s="160" t="s">
        <v>272</v>
      </c>
    </row>
    <row r="6996" spans="1:18" s="98" customFormat="1" ht="69" customHeight="1">
      <c r="A6996" s="169"/>
      <c r="B6996" s="259">
        <f t="shared" si="30"/>
        <v>7100</v>
      </c>
      <c r="C6996" s="207" t="s">
        <v>309</v>
      </c>
      <c r="D6996" s="301" t="s">
        <v>12072</v>
      </c>
      <c r="E6996" s="207" t="s">
        <v>305</v>
      </c>
      <c r="F6996" s="208" t="s">
        <v>17257</v>
      </c>
      <c r="G6996" s="160" t="s">
        <v>13201</v>
      </c>
      <c r="H6996" s="300">
        <v>18947.259999999998</v>
      </c>
      <c r="I6996" s="209">
        <v>45275</v>
      </c>
      <c r="J6996" s="316" t="s">
        <v>17258</v>
      </c>
      <c r="K6996" s="160"/>
      <c r="M6996" s="385"/>
      <c r="N6996" s="75"/>
      <c r="O6996" s="160" t="s">
        <v>15366</v>
      </c>
      <c r="P6996" s="160" t="s">
        <v>67</v>
      </c>
      <c r="Q6996" s="160" t="s">
        <v>96</v>
      </c>
      <c r="R6996" s="160" t="s">
        <v>272</v>
      </c>
    </row>
    <row r="6997" spans="1:18" ht="69" customHeight="1">
      <c r="A6997" s="168"/>
      <c r="B6997" s="48">
        <f t="shared" si="30"/>
        <v>7101</v>
      </c>
      <c r="C6997" s="44" t="s">
        <v>11055</v>
      </c>
      <c r="D6997" s="84" t="s">
        <v>11878</v>
      </c>
      <c r="E6997" s="45" t="s">
        <v>15554</v>
      </c>
      <c r="F6997" s="45" t="s">
        <v>17259</v>
      </c>
      <c r="G6997" s="45" t="s">
        <v>17260</v>
      </c>
      <c r="H6997" s="546">
        <v>102959.31</v>
      </c>
      <c r="I6997" s="47">
        <v>45275</v>
      </c>
      <c r="J6997" s="73" t="s">
        <v>17261</v>
      </c>
      <c r="K6997" s="45"/>
      <c r="M6997" s="70"/>
      <c r="N6997" s="97"/>
      <c r="O6997" s="58" t="s">
        <v>147</v>
      </c>
      <c r="P6997" s="58" t="s">
        <v>22</v>
      </c>
      <c r="Q6997" s="58" t="s">
        <v>45</v>
      </c>
      <c r="R6997" s="45" t="s">
        <v>272</v>
      </c>
    </row>
    <row r="6998" spans="1:18" ht="69" customHeight="1">
      <c r="A6998" s="168"/>
      <c r="B6998" s="48">
        <f t="shared" si="30"/>
        <v>7102</v>
      </c>
      <c r="C6998" s="44" t="s">
        <v>16509</v>
      </c>
      <c r="D6998" s="84" t="s">
        <v>16746</v>
      </c>
      <c r="E6998" s="45" t="s">
        <v>15554</v>
      </c>
      <c r="F6998" s="45" t="s">
        <v>17262</v>
      </c>
      <c r="G6998" s="45" t="s">
        <v>17263</v>
      </c>
      <c r="H6998" s="546">
        <v>84239.44</v>
      </c>
      <c r="I6998" s="47">
        <v>45275</v>
      </c>
      <c r="J6998" s="73" t="s">
        <v>17261</v>
      </c>
      <c r="K6998" s="45"/>
      <c r="M6998" s="70"/>
      <c r="N6998" s="97"/>
      <c r="O6998" s="58" t="s">
        <v>147</v>
      </c>
      <c r="P6998" s="58" t="s">
        <v>22</v>
      </c>
      <c r="Q6998" s="58" t="s">
        <v>45</v>
      </c>
      <c r="R6998" s="45" t="s">
        <v>272</v>
      </c>
    </row>
    <row r="6999" spans="1:18" ht="69" customHeight="1">
      <c r="A6999" s="168"/>
      <c r="B6999" s="62">
        <f t="shared" si="30"/>
        <v>7103</v>
      </c>
      <c r="C6999" s="44" t="s">
        <v>10634</v>
      </c>
      <c r="D6999" s="174" t="s">
        <v>17264</v>
      </c>
      <c r="E6999" s="45" t="s">
        <v>16144</v>
      </c>
      <c r="F6999" s="58" t="s">
        <v>17265</v>
      </c>
      <c r="G6999" s="58" t="s">
        <v>17060</v>
      </c>
      <c r="H6999" s="546">
        <v>80000</v>
      </c>
      <c r="I6999" s="47">
        <v>45285</v>
      </c>
      <c r="J6999" s="65" t="s">
        <v>17266</v>
      </c>
      <c r="K6999" s="58" t="s">
        <v>17267</v>
      </c>
      <c r="M6999" s="70"/>
      <c r="N6999" s="97"/>
      <c r="O6999" s="58" t="s">
        <v>175</v>
      </c>
      <c r="P6999" s="58" t="s">
        <v>57</v>
      </c>
      <c r="Q6999" s="58" t="s">
        <v>93</v>
      </c>
      <c r="R6999" s="58" t="s">
        <v>272</v>
      </c>
    </row>
    <row r="7000" spans="1:18" ht="69" customHeight="1">
      <c r="A7000" s="168"/>
      <c r="B7000" s="62">
        <f t="shared" si="30"/>
        <v>7104</v>
      </c>
      <c r="C7000" s="44" t="s">
        <v>14414</v>
      </c>
      <c r="D7000" s="174" t="s">
        <v>16753</v>
      </c>
      <c r="E7000" s="58" t="s">
        <v>4173</v>
      </c>
      <c r="F7000" s="45" t="s">
        <v>17268</v>
      </c>
      <c r="G7000" s="45" t="s">
        <v>16857</v>
      </c>
      <c r="H7000" s="546">
        <v>125000</v>
      </c>
      <c r="I7000" s="47">
        <v>45285</v>
      </c>
      <c r="J7000" s="65" t="s">
        <v>17269</v>
      </c>
      <c r="K7000" s="58"/>
      <c r="M7000" s="70"/>
      <c r="N7000" s="97"/>
      <c r="O7000" s="58" t="s">
        <v>441</v>
      </c>
      <c r="P7000" s="58" t="s">
        <v>22</v>
      </c>
      <c r="Q7000" s="58" t="s">
        <v>33</v>
      </c>
      <c r="R7000" s="58" t="s">
        <v>265</v>
      </c>
    </row>
    <row r="7001" spans="1:18" ht="69" customHeight="1">
      <c r="A7001" s="168"/>
      <c r="B7001" s="62">
        <f t="shared" si="30"/>
        <v>7105</v>
      </c>
      <c r="C7001" s="59" t="s">
        <v>458</v>
      </c>
      <c r="D7001" s="174" t="s">
        <v>12399</v>
      </c>
      <c r="E7001" s="45" t="s">
        <v>15554</v>
      </c>
      <c r="F7001" s="45" t="s">
        <v>17270</v>
      </c>
      <c r="G7001" s="45" t="s">
        <v>17271</v>
      </c>
      <c r="H7001" s="546">
        <v>48479</v>
      </c>
      <c r="I7001" s="66">
        <v>45275</v>
      </c>
      <c r="J7001" s="65" t="s">
        <v>17272</v>
      </c>
      <c r="K7001" s="58"/>
      <c r="M7001" s="70"/>
      <c r="N7001" s="97"/>
      <c r="O7001" s="58" t="s">
        <v>147</v>
      </c>
      <c r="P7001" s="58" t="s">
        <v>22</v>
      </c>
      <c r="Q7001" s="58" t="s">
        <v>112</v>
      </c>
      <c r="R7001" s="58" t="s">
        <v>272</v>
      </c>
    </row>
    <row r="7002" spans="1:18" ht="69" customHeight="1">
      <c r="A7002" s="168"/>
      <c r="B7002" s="62">
        <f t="shared" si="30"/>
        <v>7106</v>
      </c>
      <c r="C7002" s="59" t="s">
        <v>458</v>
      </c>
      <c r="D7002" s="174" t="s">
        <v>12407</v>
      </c>
      <c r="E7002" s="45" t="s">
        <v>15554</v>
      </c>
      <c r="F7002" s="45" t="s">
        <v>17273</v>
      </c>
      <c r="G7002" s="45" t="s">
        <v>17274</v>
      </c>
      <c r="H7002" s="546">
        <v>26104.07</v>
      </c>
      <c r="I7002" s="66">
        <v>45275</v>
      </c>
      <c r="J7002" s="65" t="s">
        <v>17272</v>
      </c>
      <c r="K7002" s="58"/>
      <c r="M7002" s="70"/>
      <c r="N7002" s="97"/>
      <c r="O7002" s="58" t="s">
        <v>147</v>
      </c>
      <c r="P7002" s="58" t="s">
        <v>22</v>
      </c>
      <c r="Q7002" s="58" t="s">
        <v>112</v>
      </c>
      <c r="R7002" s="58" t="s">
        <v>272</v>
      </c>
    </row>
    <row r="7003" spans="1:18" ht="69" customHeight="1">
      <c r="A7003" s="168"/>
      <c r="B7003" s="62">
        <f t="shared" si="30"/>
        <v>7107</v>
      </c>
      <c r="C7003" s="59" t="s">
        <v>458</v>
      </c>
      <c r="D7003" s="174" t="s">
        <v>12433</v>
      </c>
      <c r="E7003" s="45" t="s">
        <v>15554</v>
      </c>
      <c r="F7003" s="45" t="s">
        <v>17275</v>
      </c>
      <c r="G7003" s="45" t="s">
        <v>17276</v>
      </c>
      <c r="H7003" s="546">
        <v>78245.509999999995</v>
      </c>
      <c r="I7003" s="66">
        <v>45275</v>
      </c>
      <c r="J7003" s="65" t="s">
        <v>17277</v>
      </c>
      <c r="K7003" s="58"/>
      <c r="M7003" s="70"/>
      <c r="N7003" s="97"/>
      <c r="O7003" s="58" t="s">
        <v>147</v>
      </c>
      <c r="P7003" s="58" t="s">
        <v>22</v>
      </c>
      <c r="Q7003" s="58" t="s">
        <v>112</v>
      </c>
      <c r="R7003" s="58" t="s">
        <v>272</v>
      </c>
    </row>
    <row r="7004" spans="1:18" ht="69" customHeight="1">
      <c r="A7004" s="168"/>
      <c r="B7004" s="62">
        <f t="shared" si="30"/>
        <v>7108</v>
      </c>
      <c r="C7004" s="59" t="s">
        <v>458</v>
      </c>
      <c r="D7004" s="174" t="s">
        <v>12437</v>
      </c>
      <c r="E7004" s="45" t="s">
        <v>15554</v>
      </c>
      <c r="F7004" s="45" t="s">
        <v>17278</v>
      </c>
      <c r="G7004" s="45" t="s">
        <v>17279</v>
      </c>
      <c r="H7004" s="546">
        <v>42132.2</v>
      </c>
      <c r="I7004" s="66">
        <v>45275</v>
      </c>
      <c r="J7004" s="65" t="s">
        <v>17277</v>
      </c>
      <c r="K7004" s="58"/>
      <c r="M7004" s="70"/>
      <c r="N7004" s="97"/>
      <c r="O7004" s="58" t="s">
        <v>147</v>
      </c>
      <c r="P7004" s="58" t="s">
        <v>22</v>
      </c>
      <c r="Q7004" s="58" t="s">
        <v>112</v>
      </c>
      <c r="R7004" s="58" t="s">
        <v>272</v>
      </c>
    </row>
    <row r="7005" spans="1:18" ht="69" customHeight="1">
      <c r="A7005" s="168"/>
      <c r="B7005" s="62">
        <f t="shared" si="30"/>
        <v>7109</v>
      </c>
      <c r="C7005" s="59" t="s">
        <v>458</v>
      </c>
      <c r="D7005" s="174" t="s">
        <v>12323</v>
      </c>
      <c r="E7005" s="45" t="s">
        <v>15554</v>
      </c>
      <c r="F7005" s="45" t="s">
        <v>17280</v>
      </c>
      <c r="G7005" s="45" t="s">
        <v>17281</v>
      </c>
      <c r="H7005" s="546">
        <v>70435.710000000006</v>
      </c>
      <c r="I7005" s="66">
        <v>45275</v>
      </c>
      <c r="J7005" s="65" t="s">
        <v>17282</v>
      </c>
      <c r="K7005" s="58"/>
      <c r="M7005" s="70"/>
      <c r="N7005" s="97"/>
      <c r="O7005" s="58" t="s">
        <v>147</v>
      </c>
      <c r="P7005" s="58" t="s">
        <v>22</v>
      </c>
      <c r="Q7005" s="58" t="s">
        <v>112</v>
      </c>
      <c r="R7005" s="58" t="s">
        <v>272</v>
      </c>
    </row>
    <row r="7006" spans="1:18" ht="69" customHeight="1">
      <c r="A7006" s="168"/>
      <c r="B7006" s="62">
        <f t="shared" si="30"/>
        <v>7110</v>
      </c>
      <c r="C7006" s="59" t="s">
        <v>458</v>
      </c>
      <c r="D7006" s="174" t="s">
        <v>12463</v>
      </c>
      <c r="E7006" s="45" t="s">
        <v>15554</v>
      </c>
      <c r="F7006" s="45" t="s">
        <v>17283</v>
      </c>
      <c r="G7006" s="45" t="s">
        <v>17284</v>
      </c>
      <c r="H7006" s="546">
        <v>37926.92</v>
      </c>
      <c r="I7006" s="66">
        <v>45275</v>
      </c>
      <c r="J7006" s="65" t="s">
        <v>17282</v>
      </c>
      <c r="K7006" s="58"/>
      <c r="M7006" s="70"/>
      <c r="N7006" s="97"/>
      <c r="O7006" s="58" t="s">
        <v>147</v>
      </c>
      <c r="P7006" s="58" t="s">
        <v>22</v>
      </c>
      <c r="Q7006" s="58" t="s">
        <v>112</v>
      </c>
      <c r="R7006" s="58" t="s">
        <v>272</v>
      </c>
    </row>
    <row r="7007" spans="1:18" ht="69" customHeight="1">
      <c r="A7007" s="168"/>
      <c r="B7007" s="52">
        <f t="shared" si="30"/>
        <v>7111</v>
      </c>
      <c r="C7007" s="537" t="s">
        <v>9322</v>
      </c>
      <c r="D7007" s="251" t="s">
        <v>17285</v>
      </c>
      <c r="E7007" s="46" t="s">
        <v>266</v>
      </c>
      <c r="F7007" s="46" t="s">
        <v>17286</v>
      </c>
      <c r="G7007" s="46" t="s">
        <v>17287</v>
      </c>
      <c r="H7007" s="534">
        <v>11729.53</v>
      </c>
      <c r="I7007" s="56">
        <v>45275</v>
      </c>
      <c r="J7007" s="199" t="s">
        <v>17288</v>
      </c>
      <c r="K7007" s="46" t="s">
        <v>1170</v>
      </c>
      <c r="M7007" s="70"/>
      <c r="N7007" s="97"/>
      <c r="O7007" s="46" t="s">
        <v>17289</v>
      </c>
      <c r="P7007" s="46" t="s">
        <v>65</v>
      </c>
      <c r="Q7007" s="46" t="s">
        <v>114</v>
      </c>
      <c r="R7007" s="46" t="s">
        <v>272</v>
      </c>
    </row>
    <row r="7008" spans="1:18" ht="69" customHeight="1">
      <c r="A7008" s="168"/>
      <c r="B7008" s="52">
        <f t="shared" si="30"/>
        <v>7112</v>
      </c>
      <c r="C7008" s="46" t="s">
        <v>5082</v>
      </c>
      <c r="D7008" s="251" t="s">
        <v>17290</v>
      </c>
      <c r="E7008" s="46" t="s">
        <v>266</v>
      </c>
      <c r="F7008" s="46" t="s">
        <v>17291</v>
      </c>
      <c r="G7008" s="46" t="s">
        <v>17287</v>
      </c>
      <c r="H7008" s="534">
        <v>18324.5</v>
      </c>
      <c r="I7008" s="56">
        <v>45275</v>
      </c>
      <c r="J7008" s="199" t="s">
        <v>17288</v>
      </c>
      <c r="K7008" s="46" t="s">
        <v>1170</v>
      </c>
      <c r="M7008" s="70"/>
      <c r="N7008" s="97"/>
      <c r="O7008" s="46" t="s">
        <v>17289</v>
      </c>
      <c r="P7008" s="46" t="s">
        <v>65</v>
      </c>
      <c r="Q7008" s="46" t="s">
        <v>60</v>
      </c>
      <c r="R7008" s="46" t="s">
        <v>272</v>
      </c>
    </row>
    <row r="7009" spans="1:18" ht="69" customHeight="1">
      <c r="A7009" s="168"/>
      <c r="B7009" s="52">
        <f t="shared" si="30"/>
        <v>7113</v>
      </c>
      <c r="C7009" s="51" t="s">
        <v>5189</v>
      </c>
      <c r="D7009" s="251" t="s">
        <v>17292</v>
      </c>
      <c r="E7009" s="46" t="s">
        <v>266</v>
      </c>
      <c r="F7009" s="46" t="s">
        <v>17293</v>
      </c>
      <c r="G7009" s="46" t="s">
        <v>17287</v>
      </c>
      <c r="H7009" s="534">
        <v>18324.5</v>
      </c>
      <c r="I7009" s="56">
        <v>45275</v>
      </c>
      <c r="J7009" s="199" t="s">
        <v>17288</v>
      </c>
      <c r="K7009" s="46" t="s">
        <v>1170</v>
      </c>
      <c r="M7009" s="70"/>
      <c r="N7009" s="97"/>
      <c r="O7009" s="46" t="s">
        <v>17289</v>
      </c>
      <c r="P7009" s="46" t="s">
        <v>65</v>
      </c>
      <c r="Q7009" s="46" t="s">
        <v>62</v>
      </c>
      <c r="R7009" s="46" t="s">
        <v>272</v>
      </c>
    </row>
    <row r="7010" spans="1:18" ht="69" customHeight="1">
      <c r="A7010" s="168"/>
      <c r="B7010" s="52">
        <f t="shared" si="30"/>
        <v>7114</v>
      </c>
      <c r="C7010" s="191" t="s">
        <v>5558</v>
      </c>
      <c r="D7010" s="251" t="s">
        <v>17294</v>
      </c>
      <c r="E7010" s="46" t="s">
        <v>266</v>
      </c>
      <c r="F7010" s="46" t="s">
        <v>17295</v>
      </c>
      <c r="G7010" s="46" t="s">
        <v>17287</v>
      </c>
      <c r="H7010" s="534">
        <v>11387.95</v>
      </c>
      <c r="I7010" s="56">
        <v>45275</v>
      </c>
      <c r="J7010" s="199" t="s">
        <v>17288</v>
      </c>
      <c r="K7010" s="46" t="s">
        <v>1170</v>
      </c>
      <c r="M7010" s="70"/>
      <c r="N7010" s="97"/>
      <c r="O7010" s="46" t="s">
        <v>17289</v>
      </c>
      <c r="P7010" s="46" t="s">
        <v>65</v>
      </c>
      <c r="Q7010" s="46" t="s">
        <v>64</v>
      </c>
      <c r="R7010" s="46" t="s">
        <v>272</v>
      </c>
    </row>
    <row r="7011" spans="1:18" ht="69" customHeight="1">
      <c r="A7011" s="168"/>
      <c r="B7011" s="52">
        <f t="shared" si="30"/>
        <v>7115</v>
      </c>
      <c r="C7011" s="191" t="s">
        <v>10612</v>
      </c>
      <c r="D7011" s="251" t="s">
        <v>17296</v>
      </c>
      <c r="E7011" s="46" t="s">
        <v>266</v>
      </c>
      <c r="F7011" s="46" t="s">
        <v>17297</v>
      </c>
      <c r="G7011" s="46" t="s">
        <v>17287</v>
      </c>
      <c r="H7011" s="534">
        <v>9729.5300000000007</v>
      </c>
      <c r="I7011" s="56">
        <v>45275</v>
      </c>
      <c r="J7011" s="199" t="s">
        <v>17288</v>
      </c>
      <c r="K7011" s="46" t="s">
        <v>1170</v>
      </c>
      <c r="M7011" s="70"/>
      <c r="N7011" s="97"/>
      <c r="O7011" s="46" t="s">
        <v>17289</v>
      </c>
      <c r="P7011" s="46" t="s">
        <v>65</v>
      </c>
      <c r="Q7011" s="46" t="s">
        <v>86</v>
      </c>
      <c r="R7011" s="46" t="s">
        <v>272</v>
      </c>
    </row>
    <row r="7012" spans="1:18" ht="69" customHeight="1">
      <c r="A7012" s="168"/>
      <c r="B7012" s="52">
        <f t="shared" si="30"/>
        <v>7116</v>
      </c>
      <c r="C7012" s="46" t="s">
        <v>6062</v>
      </c>
      <c r="D7012" s="251" t="s">
        <v>17298</v>
      </c>
      <c r="E7012" s="46" t="s">
        <v>266</v>
      </c>
      <c r="F7012" s="46" t="s">
        <v>17299</v>
      </c>
      <c r="G7012" s="46" t="s">
        <v>17287</v>
      </c>
      <c r="H7012" s="534">
        <v>9729.5300000000007</v>
      </c>
      <c r="I7012" s="56">
        <v>45275</v>
      </c>
      <c r="J7012" s="199" t="s">
        <v>17288</v>
      </c>
      <c r="K7012" s="46" t="s">
        <v>1170</v>
      </c>
      <c r="M7012" s="70"/>
      <c r="N7012" s="97"/>
      <c r="O7012" s="46" t="s">
        <v>17289</v>
      </c>
      <c r="P7012" s="46" t="s">
        <v>65</v>
      </c>
      <c r="Q7012" s="46" t="s">
        <v>72</v>
      </c>
      <c r="R7012" s="46" t="s">
        <v>272</v>
      </c>
    </row>
    <row r="7013" spans="1:18" ht="69" customHeight="1">
      <c r="A7013" s="168"/>
      <c r="B7013" s="52">
        <f t="shared" si="30"/>
        <v>7117</v>
      </c>
      <c r="C7013" s="191" t="s">
        <v>3647</v>
      </c>
      <c r="D7013" s="251" t="s">
        <v>17300</v>
      </c>
      <c r="E7013" s="46" t="s">
        <v>266</v>
      </c>
      <c r="F7013" s="46" t="s">
        <v>17301</v>
      </c>
      <c r="G7013" s="46" t="s">
        <v>17287</v>
      </c>
      <c r="H7013" s="534">
        <v>21029.45</v>
      </c>
      <c r="I7013" s="56">
        <v>45275</v>
      </c>
      <c r="J7013" s="199" t="s">
        <v>17288</v>
      </c>
      <c r="K7013" s="46" t="s">
        <v>1170</v>
      </c>
      <c r="M7013" s="70"/>
      <c r="N7013" s="97"/>
      <c r="O7013" s="46" t="s">
        <v>17289</v>
      </c>
      <c r="P7013" s="46" t="s">
        <v>65</v>
      </c>
      <c r="Q7013" s="46" t="s">
        <v>47</v>
      </c>
      <c r="R7013" s="46" t="s">
        <v>272</v>
      </c>
    </row>
    <row r="7014" spans="1:18" ht="69" customHeight="1">
      <c r="A7014" s="168"/>
      <c r="B7014" s="52">
        <f t="shared" si="30"/>
        <v>7118</v>
      </c>
      <c r="C7014" s="191" t="s">
        <v>3933</v>
      </c>
      <c r="D7014" s="251" t="s">
        <v>17302</v>
      </c>
      <c r="E7014" s="46" t="s">
        <v>266</v>
      </c>
      <c r="F7014" s="46" t="s">
        <v>17303</v>
      </c>
      <c r="G7014" s="46" t="s">
        <v>17287</v>
      </c>
      <c r="H7014" s="534">
        <v>9443.35</v>
      </c>
      <c r="I7014" s="56">
        <v>45275</v>
      </c>
      <c r="J7014" s="199" t="s">
        <v>17288</v>
      </c>
      <c r="K7014" s="46" t="s">
        <v>1170</v>
      </c>
      <c r="M7014" s="70"/>
      <c r="N7014" s="97"/>
      <c r="O7014" s="46" t="s">
        <v>17289</v>
      </c>
      <c r="P7014" s="46" t="s">
        <v>65</v>
      </c>
      <c r="Q7014" s="46" t="s">
        <v>52</v>
      </c>
      <c r="R7014" s="46" t="s">
        <v>272</v>
      </c>
    </row>
    <row r="7015" spans="1:18" ht="69" customHeight="1">
      <c r="A7015" s="168"/>
      <c r="B7015" s="52">
        <f t="shared" si="30"/>
        <v>7119</v>
      </c>
      <c r="C7015" s="191" t="s">
        <v>6693</v>
      </c>
      <c r="D7015" s="251" t="s">
        <v>17304</v>
      </c>
      <c r="E7015" s="46" t="s">
        <v>266</v>
      </c>
      <c r="F7015" s="46" t="s">
        <v>17305</v>
      </c>
      <c r="G7015" s="46" t="s">
        <v>17287</v>
      </c>
      <c r="H7015" s="534">
        <v>12443.35</v>
      </c>
      <c r="I7015" s="56">
        <v>45275</v>
      </c>
      <c r="J7015" s="199" t="s">
        <v>17288</v>
      </c>
      <c r="K7015" s="46" t="s">
        <v>1170</v>
      </c>
      <c r="M7015" s="70"/>
      <c r="N7015" s="97"/>
      <c r="O7015" s="46" t="s">
        <v>17289</v>
      </c>
      <c r="P7015" s="46" t="s">
        <v>65</v>
      </c>
      <c r="Q7015" s="46" t="s">
        <v>78</v>
      </c>
      <c r="R7015" s="46" t="s">
        <v>272</v>
      </c>
    </row>
    <row r="7016" spans="1:18" ht="69" customHeight="1">
      <c r="A7016" s="168"/>
      <c r="B7016" s="52">
        <f t="shared" si="30"/>
        <v>7120</v>
      </c>
      <c r="C7016" s="191" t="s">
        <v>5832</v>
      </c>
      <c r="D7016" s="251" t="s">
        <v>17306</v>
      </c>
      <c r="E7016" s="46" t="s">
        <v>266</v>
      </c>
      <c r="F7016" s="46" t="s">
        <v>17307</v>
      </c>
      <c r="G7016" s="46" t="s">
        <v>17287</v>
      </c>
      <c r="H7016" s="534">
        <v>15687.35</v>
      </c>
      <c r="I7016" s="56">
        <v>45275</v>
      </c>
      <c r="J7016" s="199" t="s">
        <v>17288</v>
      </c>
      <c r="K7016" s="46" t="s">
        <v>1170</v>
      </c>
      <c r="M7016" s="70"/>
      <c r="N7016" s="97"/>
      <c r="O7016" s="46" t="s">
        <v>17289</v>
      </c>
      <c r="P7016" s="46" t="s">
        <v>65</v>
      </c>
      <c r="Q7016" s="46" t="s">
        <v>68</v>
      </c>
      <c r="R7016" s="46" t="s">
        <v>272</v>
      </c>
    </row>
    <row r="7017" spans="1:18" ht="69" customHeight="1">
      <c r="A7017" s="168"/>
      <c r="B7017" s="52">
        <f t="shared" ref="B7017:B7032" si="31">B7016+1</f>
        <v>7121</v>
      </c>
      <c r="C7017" s="51" t="s">
        <v>10608</v>
      </c>
      <c r="D7017" s="251" t="s">
        <v>17308</v>
      </c>
      <c r="E7017" s="46" t="s">
        <v>266</v>
      </c>
      <c r="F7017" s="46" t="s">
        <v>17309</v>
      </c>
      <c r="G7017" s="46" t="s">
        <v>17287</v>
      </c>
      <c r="H7017" s="534">
        <v>15687.35</v>
      </c>
      <c r="I7017" s="56">
        <v>45275</v>
      </c>
      <c r="J7017" s="199" t="s">
        <v>17288</v>
      </c>
      <c r="K7017" s="46" t="s">
        <v>1170</v>
      </c>
      <c r="M7017" s="70"/>
      <c r="N7017" s="97"/>
      <c r="O7017" s="46" t="s">
        <v>17289</v>
      </c>
      <c r="P7017" s="46" t="s">
        <v>65</v>
      </c>
      <c r="Q7017" s="46" t="s">
        <v>70</v>
      </c>
      <c r="R7017" s="46" t="s">
        <v>272</v>
      </c>
    </row>
    <row r="7018" spans="1:18" ht="69" customHeight="1">
      <c r="A7018" s="168"/>
      <c r="B7018" s="52">
        <f t="shared" si="31"/>
        <v>7122</v>
      </c>
      <c r="C7018" s="46" t="s">
        <v>9545</v>
      </c>
      <c r="D7018" s="251" t="s">
        <v>17310</v>
      </c>
      <c r="E7018" s="46" t="s">
        <v>266</v>
      </c>
      <c r="F7018" s="46" t="s">
        <v>17311</v>
      </c>
      <c r="G7018" s="46" t="s">
        <v>17287</v>
      </c>
      <c r="H7018" s="534">
        <v>9729.5300000000007</v>
      </c>
      <c r="I7018" s="56">
        <v>45275</v>
      </c>
      <c r="J7018" s="199" t="s">
        <v>17288</v>
      </c>
      <c r="K7018" s="46" t="s">
        <v>1170</v>
      </c>
      <c r="M7018" s="70"/>
      <c r="N7018" s="97"/>
      <c r="O7018" s="46" t="s">
        <v>17289</v>
      </c>
      <c r="P7018" s="46" t="s">
        <v>65</v>
      </c>
      <c r="Q7018" s="46" t="s">
        <v>117</v>
      </c>
      <c r="R7018" s="46" t="s">
        <v>272</v>
      </c>
    </row>
    <row r="7019" spans="1:18" ht="69" customHeight="1">
      <c r="A7019" s="168"/>
      <c r="B7019" s="52">
        <f t="shared" si="31"/>
        <v>7123</v>
      </c>
      <c r="C7019" s="191" t="s">
        <v>1593</v>
      </c>
      <c r="D7019" s="251" t="s">
        <v>16763</v>
      </c>
      <c r="E7019" s="46" t="s">
        <v>266</v>
      </c>
      <c r="F7019" s="46" t="s">
        <v>17312</v>
      </c>
      <c r="G7019" s="46" t="s">
        <v>17313</v>
      </c>
      <c r="H7019" s="534">
        <v>35394.9</v>
      </c>
      <c r="I7019" s="56">
        <v>45275</v>
      </c>
      <c r="J7019" s="199" t="s">
        <v>17314</v>
      </c>
      <c r="K7019" s="46"/>
      <c r="M7019" s="70"/>
      <c r="N7019" s="97"/>
      <c r="O7019" s="46" t="s">
        <v>13240</v>
      </c>
      <c r="P7019" s="46" t="s">
        <v>71</v>
      </c>
      <c r="Q7019" s="46" t="s">
        <v>27</v>
      </c>
      <c r="R7019" s="46" t="s">
        <v>272</v>
      </c>
    </row>
    <row r="7020" spans="1:18" s="98" customFormat="1" ht="69" customHeight="1">
      <c r="A7020" s="169"/>
      <c r="B7020" s="48">
        <f t="shared" si="31"/>
        <v>7124</v>
      </c>
      <c r="C7020" s="59" t="s">
        <v>10634</v>
      </c>
      <c r="D7020" s="84" t="s">
        <v>17315</v>
      </c>
      <c r="E7020" s="45" t="s">
        <v>17316</v>
      </c>
      <c r="F7020" s="569" t="s">
        <v>17317</v>
      </c>
      <c r="G7020" s="45" t="s">
        <v>17318</v>
      </c>
      <c r="H7020" s="546">
        <v>28400</v>
      </c>
      <c r="I7020" s="47">
        <v>45285</v>
      </c>
      <c r="J7020" s="73" t="s">
        <v>17319</v>
      </c>
      <c r="K7020" s="45"/>
      <c r="M7020" s="385"/>
      <c r="N7020" s="75"/>
      <c r="O7020" s="45" t="s">
        <v>971</v>
      </c>
      <c r="P7020" s="45" t="s">
        <v>38</v>
      </c>
      <c r="Q7020" s="45" t="s">
        <v>93</v>
      </c>
      <c r="R7020" s="45" t="s">
        <v>272</v>
      </c>
    </row>
    <row r="7021" spans="1:18" s="98" customFormat="1" ht="69" customHeight="1">
      <c r="A7021" s="169"/>
      <c r="B7021" s="48">
        <f t="shared" si="31"/>
        <v>7125</v>
      </c>
      <c r="C7021" s="59" t="s">
        <v>10639</v>
      </c>
      <c r="D7021" s="84" t="s">
        <v>17320</v>
      </c>
      <c r="E7021" s="45" t="s">
        <v>17316</v>
      </c>
      <c r="F7021" s="569" t="s">
        <v>17321</v>
      </c>
      <c r="G7021" s="45" t="s">
        <v>17318</v>
      </c>
      <c r="H7021" s="546">
        <v>28400</v>
      </c>
      <c r="I7021" s="47">
        <v>45285</v>
      </c>
      <c r="J7021" s="73" t="s">
        <v>17319</v>
      </c>
      <c r="K7021" s="45"/>
      <c r="M7021" s="385"/>
      <c r="N7021" s="75"/>
      <c r="O7021" s="45" t="s">
        <v>971</v>
      </c>
      <c r="P7021" s="45" t="s">
        <v>38</v>
      </c>
      <c r="Q7021" s="45" t="s">
        <v>95</v>
      </c>
      <c r="R7021" s="45" t="s">
        <v>272</v>
      </c>
    </row>
    <row r="7022" spans="1:18" ht="69" customHeight="1">
      <c r="A7022" s="168"/>
      <c r="B7022" s="62">
        <f t="shared" si="31"/>
        <v>7126</v>
      </c>
      <c r="C7022" s="58" t="s">
        <v>309</v>
      </c>
      <c r="D7022" s="174" t="s">
        <v>16798</v>
      </c>
      <c r="E7022" s="59" t="s">
        <v>266</v>
      </c>
      <c r="F7022" s="569" t="s">
        <v>17322</v>
      </c>
      <c r="G7022" s="45" t="s">
        <v>17323</v>
      </c>
      <c r="H7022" s="546">
        <v>4495.2</v>
      </c>
      <c r="I7022" s="66">
        <v>45286</v>
      </c>
      <c r="J7022" s="65" t="s">
        <v>17324</v>
      </c>
      <c r="K7022" s="58"/>
      <c r="M7022" s="70"/>
      <c r="N7022" s="97"/>
      <c r="O7022" s="58" t="s">
        <v>467</v>
      </c>
      <c r="P7022" s="58" t="s">
        <v>44</v>
      </c>
      <c r="Q7022" s="58" t="s">
        <v>18</v>
      </c>
      <c r="R7022" s="58" t="s">
        <v>272</v>
      </c>
    </row>
    <row r="7023" spans="1:18" ht="69" customHeight="1">
      <c r="A7023" s="168"/>
      <c r="B7023" s="62">
        <f t="shared" si="31"/>
        <v>7127</v>
      </c>
      <c r="C7023" s="59" t="s">
        <v>458</v>
      </c>
      <c r="D7023" s="174" t="s">
        <v>12506</v>
      </c>
      <c r="E7023" s="59" t="s">
        <v>266</v>
      </c>
      <c r="F7023" s="569" t="s">
        <v>17325</v>
      </c>
      <c r="G7023" s="45" t="s">
        <v>17323</v>
      </c>
      <c r="H7023" s="546">
        <v>6305.4</v>
      </c>
      <c r="I7023" s="66">
        <v>45286</v>
      </c>
      <c r="J7023" s="65" t="s">
        <v>17324</v>
      </c>
      <c r="K7023" s="58"/>
      <c r="M7023" s="70"/>
      <c r="N7023" s="97"/>
      <c r="O7023" s="58" t="s">
        <v>467</v>
      </c>
      <c r="P7023" s="58" t="s">
        <v>44</v>
      </c>
      <c r="Q7023" s="58" t="s">
        <v>108</v>
      </c>
      <c r="R7023" s="58" t="s">
        <v>272</v>
      </c>
    </row>
    <row r="7024" spans="1:18" s="98" customFormat="1" ht="69" customHeight="1">
      <c r="A7024" s="169"/>
      <c r="B7024" s="52">
        <f t="shared" si="31"/>
        <v>7128</v>
      </c>
      <c r="C7024" s="191" t="s">
        <v>13435</v>
      </c>
      <c r="D7024" s="251" t="s">
        <v>17155</v>
      </c>
      <c r="E7024" s="191" t="s">
        <v>266</v>
      </c>
      <c r="F7024" s="211" t="s">
        <v>17326</v>
      </c>
      <c r="G7024" s="46" t="s">
        <v>17327</v>
      </c>
      <c r="H7024" s="534">
        <v>6306</v>
      </c>
      <c r="I7024" s="56">
        <v>45285</v>
      </c>
      <c r="J7024" s="199" t="s">
        <v>17328</v>
      </c>
      <c r="K7024" s="46" t="s">
        <v>17329</v>
      </c>
      <c r="M7024" s="385"/>
      <c r="N7024" s="75"/>
      <c r="O7024" s="46" t="s">
        <v>17330</v>
      </c>
      <c r="P7024" s="46" t="s">
        <v>65</v>
      </c>
      <c r="Q7024" s="46" t="s">
        <v>13</v>
      </c>
      <c r="R7024" s="46" t="s">
        <v>272</v>
      </c>
    </row>
    <row r="7025" spans="1:18" ht="69" customHeight="1">
      <c r="A7025" s="168"/>
      <c r="B7025" s="259">
        <f t="shared" si="31"/>
        <v>7129</v>
      </c>
      <c r="C7025" s="207" t="s">
        <v>3667</v>
      </c>
      <c r="D7025" s="303" t="s">
        <v>17331</v>
      </c>
      <c r="E7025" s="207" t="s">
        <v>266</v>
      </c>
      <c r="F7025" s="208" t="s">
        <v>17332</v>
      </c>
      <c r="G7025" s="160" t="s">
        <v>17333</v>
      </c>
      <c r="H7025" s="300">
        <v>11686.4</v>
      </c>
      <c r="I7025" s="209">
        <v>45285</v>
      </c>
      <c r="J7025" s="316" t="s">
        <v>17334</v>
      </c>
      <c r="K7025" s="160" t="s">
        <v>67</v>
      </c>
      <c r="M7025" s="70"/>
      <c r="N7025" s="97"/>
      <c r="O7025" s="160" t="s">
        <v>10810</v>
      </c>
      <c r="P7025" s="160" t="s">
        <v>67</v>
      </c>
      <c r="Q7025" s="160" t="s">
        <v>49</v>
      </c>
      <c r="R7025" s="160" t="s">
        <v>272</v>
      </c>
    </row>
    <row r="7026" spans="1:18" ht="69" customHeight="1">
      <c r="A7026" s="168"/>
      <c r="B7026" s="259">
        <f t="shared" si="31"/>
        <v>7130</v>
      </c>
      <c r="C7026" s="207" t="s">
        <v>309</v>
      </c>
      <c r="D7026" s="303" t="s">
        <v>12155</v>
      </c>
      <c r="E7026" s="207" t="s">
        <v>266</v>
      </c>
      <c r="F7026" s="208" t="s">
        <v>17335</v>
      </c>
      <c r="G7026" s="160" t="s">
        <v>17333</v>
      </c>
      <c r="H7026" s="300">
        <v>9130</v>
      </c>
      <c r="I7026" s="209">
        <v>45285</v>
      </c>
      <c r="J7026" s="316" t="s">
        <v>17334</v>
      </c>
      <c r="K7026" s="160" t="s">
        <v>67</v>
      </c>
      <c r="M7026" s="70"/>
      <c r="N7026" s="97"/>
      <c r="O7026" s="160" t="s">
        <v>10810</v>
      </c>
      <c r="P7026" s="160" t="s">
        <v>67</v>
      </c>
      <c r="Q7026" s="160" t="s">
        <v>15</v>
      </c>
      <c r="R7026" s="160" t="s">
        <v>272</v>
      </c>
    </row>
    <row r="7027" spans="1:18" ht="69" customHeight="1">
      <c r="A7027" s="168"/>
      <c r="B7027" s="259">
        <f t="shared" si="31"/>
        <v>7131</v>
      </c>
      <c r="C7027" s="207" t="s">
        <v>458</v>
      </c>
      <c r="D7027" s="303" t="s">
        <v>12512</v>
      </c>
      <c r="E7027" s="207" t="s">
        <v>266</v>
      </c>
      <c r="F7027" s="208" t="s">
        <v>17336</v>
      </c>
      <c r="G7027" s="160" t="s">
        <v>17333</v>
      </c>
      <c r="H7027" s="300">
        <v>9130</v>
      </c>
      <c r="I7027" s="209">
        <v>45285</v>
      </c>
      <c r="J7027" s="316" t="s">
        <v>17334</v>
      </c>
      <c r="K7027" s="160" t="s">
        <v>67</v>
      </c>
      <c r="M7027" s="70"/>
      <c r="N7027" s="97"/>
      <c r="O7027" s="160" t="s">
        <v>10810</v>
      </c>
      <c r="P7027" s="160" t="s">
        <v>67</v>
      </c>
      <c r="Q7027" s="160" t="s">
        <v>90</v>
      </c>
      <c r="R7027" s="160" t="s">
        <v>272</v>
      </c>
    </row>
    <row r="7028" spans="1:18" ht="69" customHeight="1">
      <c r="A7028" s="168"/>
      <c r="B7028" s="259">
        <f t="shared" si="31"/>
        <v>7132</v>
      </c>
      <c r="C7028" s="207" t="s">
        <v>657</v>
      </c>
      <c r="D7028" s="303" t="s">
        <v>5728</v>
      </c>
      <c r="E7028" s="207" t="s">
        <v>266</v>
      </c>
      <c r="F7028" s="208" t="s">
        <v>17337</v>
      </c>
      <c r="G7028" s="160" t="s">
        <v>17333</v>
      </c>
      <c r="H7028" s="300">
        <v>6573.6</v>
      </c>
      <c r="I7028" s="209">
        <v>45285</v>
      </c>
      <c r="J7028" s="316" t="s">
        <v>17334</v>
      </c>
      <c r="K7028" s="160" t="s">
        <v>67</v>
      </c>
      <c r="M7028" s="70"/>
      <c r="N7028" s="97"/>
      <c r="O7028" s="160" t="s">
        <v>10810</v>
      </c>
      <c r="P7028" s="160" t="s">
        <v>67</v>
      </c>
      <c r="Q7028" s="160" t="s">
        <v>90</v>
      </c>
      <c r="R7028" s="160" t="s">
        <v>272</v>
      </c>
    </row>
    <row r="7029" spans="1:18" ht="69" customHeight="1">
      <c r="A7029" s="168"/>
      <c r="B7029" s="62">
        <f t="shared" si="31"/>
        <v>7133</v>
      </c>
      <c r="C7029" s="59" t="s">
        <v>13435</v>
      </c>
      <c r="D7029" s="174" t="s">
        <v>16800</v>
      </c>
      <c r="E7029" s="178" t="s">
        <v>921</v>
      </c>
      <c r="F7029" s="58" t="s">
        <v>17338</v>
      </c>
      <c r="G7029" s="58" t="s">
        <v>17339</v>
      </c>
      <c r="H7029" s="546">
        <v>383927.25</v>
      </c>
      <c r="I7029" s="66">
        <v>45285</v>
      </c>
      <c r="J7029" s="65" t="s">
        <v>17340</v>
      </c>
      <c r="K7029" s="58"/>
      <c r="M7029" s="70"/>
      <c r="N7029" s="97"/>
      <c r="O7029" s="58" t="s">
        <v>156</v>
      </c>
      <c r="P7029" s="58" t="s">
        <v>73</v>
      </c>
      <c r="Q7029" s="58" t="s">
        <v>13</v>
      </c>
      <c r="R7029" s="58" t="s">
        <v>272</v>
      </c>
    </row>
    <row r="7030" spans="1:18" ht="69" customHeight="1">
      <c r="A7030" s="168"/>
      <c r="B7030" s="62">
        <f t="shared" si="31"/>
        <v>7134</v>
      </c>
      <c r="C7030" s="59" t="s">
        <v>10621</v>
      </c>
      <c r="D7030" s="174" t="s">
        <v>17341</v>
      </c>
      <c r="E7030" s="178" t="s">
        <v>921</v>
      </c>
      <c r="F7030" s="58" t="s">
        <v>17342</v>
      </c>
      <c r="G7030" s="58" t="s">
        <v>17339</v>
      </c>
      <c r="H7030" s="546">
        <v>352042.85</v>
      </c>
      <c r="I7030" s="66">
        <v>45285</v>
      </c>
      <c r="J7030" s="65" t="s">
        <v>17340</v>
      </c>
      <c r="K7030" s="58"/>
      <c r="M7030" s="70"/>
      <c r="N7030" s="97"/>
      <c r="O7030" s="58" t="s">
        <v>156</v>
      </c>
      <c r="P7030" s="58" t="s">
        <v>19</v>
      </c>
      <c r="Q7030" s="58" t="s">
        <v>66</v>
      </c>
      <c r="R7030" s="58" t="s">
        <v>272</v>
      </c>
    </row>
    <row r="7031" spans="1:18" ht="69" customHeight="1">
      <c r="A7031" s="168"/>
      <c r="B7031" s="62">
        <f t="shared" si="31"/>
        <v>7135</v>
      </c>
      <c r="C7031" s="59" t="s">
        <v>9094</v>
      </c>
      <c r="D7031" s="174" t="s">
        <v>12440</v>
      </c>
      <c r="E7031" s="178" t="s">
        <v>921</v>
      </c>
      <c r="F7031" s="58" t="s">
        <v>17343</v>
      </c>
      <c r="G7031" s="58" t="s">
        <v>17339</v>
      </c>
      <c r="H7031" s="546">
        <v>300000</v>
      </c>
      <c r="I7031" s="66">
        <v>45285</v>
      </c>
      <c r="J7031" s="65" t="s">
        <v>17340</v>
      </c>
      <c r="K7031" s="58"/>
      <c r="M7031" s="70"/>
      <c r="N7031" s="97"/>
      <c r="O7031" s="58" t="s">
        <v>156</v>
      </c>
      <c r="P7031" s="45" t="s">
        <v>73</v>
      </c>
      <c r="Q7031" s="58" t="s">
        <v>112</v>
      </c>
      <c r="R7031" s="58" t="s">
        <v>272</v>
      </c>
    </row>
    <row r="7032" spans="1:18" ht="69" customHeight="1">
      <c r="A7032" s="168"/>
      <c r="B7032" s="62">
        <f t="shared" si="31"/>
        <v>7136</v>
      </c>
      <c r="C7032" s="59" t="s">
        <v>581</v>
      </c>
      <c r="D7032" s="174" t="s">
        <v>12157</v>
      </c>
      <c r="E7032" s="178" t="s">
        <v>921</v>
      </c>
      <c r="F7032" s="58" t="s">
        <v>17344</v>
      </c>
      <c r="G7032" s="58" t="s">
        <v>17339</v>
      </c>
      <c r="H7032" s="546">
        <v>378412.64</v>
      </c>
      <c r="I7032" s="66">
        <v>45285</v>
      </c>
      <c r="J7032" s="65" t="s">
        <v>17340</v>
      </c>
      <c r="K7032" s="58"/>
      <c r="M7032" s="70"/>
      <c r="N7032" s="97"/>
      <c r="O7032" s="58" t="s">
        <v>156</v>
      </c>
      <c r="P7032" s="58" t="s">
        <v>73</v>
      </c>
      <c r="Q7032" s="58" t="s">
        <v>18</v>
      </c>
      <c r="R7032" s="58" t="s">
        <v>272</v>
      </c>
    </row>
    <row r="7033" spans="1:18" ht="69" customHeight="1">
      <c r="A7033" s="168"/>
      <c r="B7033" s="191">
        <v>7016</v>
      </c>
      <c r="C7033" s="191" t="s">
        <v>6888</v>
      </c>
      <c r="D7033" s="533" t="s">
        <v>2550</v>
      </c>
      <c r="E7033" s="191" t="s">
        <v>979</v>
      </c>
      <c r="F7033" s="211" t="s">
        <v>17345</v>
      </c>
      <c r="G7033" s="46" t="s">
        <v>805</v>
      </c>
      <c r="H7033" s="534">
        <v>59430</v>
      </c>
      <c r="I7033" s="56">
        <v>44860</v>
      </c>
      <c r="J7033" s="412" t="s">
        <v>6813</v>
      </c>
      <c r="K7033" s="46" t="s">
        <v>6937</v>
      </c>
      <c r="L7033" s="99"/>
      <c r="M7033" s="70"/>
      <c r="N7033" s="97" t="s">
        <v>19</v>
      </c>
      <c r="O7033" s="52" t="s">
        <v>17346</v>
      </c>
      <c r="P7033" s="46" t="s">
        <v>65</v>
      </c>
      <c r="Q7033" s="46" t="s">
        <v>96</v>
      </c>
      <c r="R7033" s="46" t="s">
        <v>272</v>
      </c>
    </row>
    <row r="7034" spans="1:18" s="98" customFormat="1" ht="69" customHeight="1">
      <c r="A7034" s="169"/>
      <c r="B7034" s="48">
        <f t="shared" ref="B7034:B7097" si="32">B7033+1</f>
        <v>7017</v>
      </c>
      <c r="C7034" s="59" t="s">
        <v>581</v>
      </c>
      <c r="D7034" s="84" t="s">
        <v>12159</v>
      </c>
      <c r="E7034" s="45" t="s">
        <v>15202</v>
      </c>
      <c r="F7034" s="45" t="s">
        <v>17347</v>
      </c>
      <c r="G7034" s="45" t="s">
        <v>17348</v>
      </c>
      <c r="H7034" s="546">
        <v>92373.53</v>
      </c>
      <c r="I7034" s="47">
        <v>45285</v>
      </c>
      <c r="J7034" s="73" t="s">
        <v>17349</v>
      </c>
      <c r="K7034" s="45"/>
      <c r="M7034" s="70"/>
      <c r="N7034" s="97"/>
      <c r="O7034" s="45" t="s">
        <v>175</v>
      </c>
      <c r="P7034" s="45" t="s">
        <v>59</v>
      </c>
      <c r="Q7034" s="45" t="s">
        <v>18</v>
      </c>
      <c r="R7034" s="45" t="s">
        <v>272</v>
      </c>
    </row>
    <row r="7035" spans="1:18" ht="69" customHeight="1">
      <c r="A7035" s="168"/>
      <c r="B7035" s="52">
        <f t="shared" si="32"/>
        <v>7018</v>
      </c>
      <c r="C7035" s="191" t="s">
        <v>3933</v>
      </c>
      <c r="D7035" s="251" t="s">
        <v>17350</v>
      </c>
      <c r="E7035" s="191" t="s">
        <v>266</v>
      </c>
      <c r="F7035" s="46" t="s">
        <v>17351</v>
      </c>
      <c r="G7035" s="46" t="s">
        <v>17352</v>
      </c>
      <c r="H7035" s="534">
        <v>21000</v>
      </c>
      <c r="I7035" s="56">
        <v>45285</v>
      </c>
      <c r="J7035" s="199" t="s">
        <v>17353</v>
      </c>
      <c r="K7035" s="46" t="s">
        <v>1170</v>
      </c>
      <c r="M7035" s="70"/>
      <c r="N7035" s="97"/>
      <c r="O7035" s="46" t="s">
        <v>1171</v>
      </c>
      <c r="P7035" s="46" t="s">
        <v>65</v>
      </c>
      <c r="Q7035" s="46" t="s">
        <v>52</v>
      </c>
      <c r="R7035" s="46" t="s">
        <v>272</v>
      </c>
    </row>
    <row r="7036" spans="1:18" ht="69" customHeight="1">
      <c r="A7036" s="168"/>
      <c r="B7036" s="52">
        <f t="shared" si="32"/>
        <v>7019</v>
      </c>
      <c r="C7036" s="191" t="s">
        <v>5558</v>
      </c>
      <c r="D7036" s="251" t="s">
        <v>17354</v>
      </c>
      <c r="E7036" s="191" t="s">
        <v>266</v>
      </c>
      <c r="F7036" s="46" t="s">
        <v>17355</v>
      </c>
      <c r="G7036" s="46" t="s">
        <v>17352</v>
      </c>
      <c r="H7036" s="534">
        <v>20000</v>
      </c>
      <c r="I7036" s="56">
        <v>45285</v>
      </c>
      <c r="J7036" s="199" t="s">
        <v>17353</v>
      </c>
      <c r="K7036" s="46" t="s">
        <v>1170</v>
      </c>
      <c r="M7036" s="70"/>
      <c r="N7036" s="97"/>
      <c r="O7036" s="46" t="s">
        <v>1171</v>
      </c>
      <c r="P7036" s="46" t="s">
        <v>65</v>
      </c>
      <c r="Q7036" s="46" t="s">
        <v>64</v>
      </c>
      <c r="R7036" s="46" t="s">
        <v>272</v>
      </c>
    </row>
    <row r="7037" spans="1:18" ht="69" customHeight="1">
      <c r="A7037" s="168"/>
      <c r="B7037" s="52">
        <f t="shared" si="32"/>
        <v>7020</v>
      </c>
      <c r="C7037" s="191" t="s">
        <v>3647</v>
      </c>
      <c r="D7037" s="251" t="s">
        <v>17356</v>
      </c>
      <c r="E7037" s="191" t="s">
        <v>266</v>
      </c>
      <c r="F7037" s="46" t="s">
        <v>17357</v>
      </c>
      <c r="G7037" s="46" t="s">
        <v>17352</v>
      </c>
      <c r="H7037" s="534">
        <v>21000</v>
      </c>
      <c r="I7037" s="56">
        <v>45285</v>
      </c>
      <c r="J7037" s="199" t="s">
        <v>17353</v>
      </c>
      <c r="K7037" s="46" t="s">
        <v>1170</v>
      </c>
      <c r="M7037" s="70"/>
      <c r="N7037" s="97"/>
      <c r="O7037" s="46" t="s">
        <v>1171</v>
      </c>
      <c r="P7037" s="46" t="s">
        <v>65</v>
      </c>
      <c r="Q7037" s="46" t="s">
        <v>47</v>
      </c>
      <c r="R7037" s="46" t="s">
        <v>272</v>
      </c>
    </row>
    <row r="7038" spans="1:18" ht="69" customHeight="1">
      <c r="A7038" s="168"/>
      <c r="B7038" s="52">
        <f t="shared" si="32"/>
        <v>7021</v>
      </c>
      <c r="C7038" s="51" t="s">
        <v>5189</v>
      </c>
      <c r="D7038" s="251" t="s">
        <v>17358</v>
      </c>
      <c r="E7038" s="191" t="s">
        <v>266</v>
      </c>
      <c r="F7038" s="46" t="s">
        <v>17359</v>
      </c>
      <c r="G7038" s="46" t="s">
        <v>17352</v>
      </c>
      <c r="H7038" s="534">
        <v>20266.650000000001</v>
      </c>
      <c r="I7038" s="56">
        <v>45285</v>
      </c>
      <c r="J7038" s="199" t="s">
        <v>17353</v>
      </c>
      <c r="K7038" s="46" t="s">
        <v>1170</v>
      </c>
      <c r="M7038" s="70"/>
      <c r="N7038" s="97"/>
      <c r="O7038" s="46" t="s">
        <v>1171</v>
      </c>
      <c r="P7038" s="46" t="s">
        <v>65</v>
      </c>
      <c r="Q7038" s="46" t="s">
        <v>62</v>
      </c>
      <c r="R7038" s="46" t="s">
        <v>272</v>
      </c>
    </row>
    <row r="7039" spans="1:18" ht="69" customHeight="1">
      <c r="A7039" s="168"/>
      <c r="B7039" s="52">
        <f t="shared" si="32"/>
        <v>7022</v>
      </c>
      <c r="C7039" s="46" t="s">
        <v>5082</v>
      </c>
      <c r="D7039" s="251" t="s">
        <v>17360</v>
      </c>
      <c r="E7039" s="191" t="s">
        <v>266</v>
      </c>
      <c r="F7039" s="46" t="s">
        <v>17361</v>
      </c>
      <c r="G7039" s="46" t="s">
        <v>17352</v>
      </c>
      <c r="H7039" s="534">
        <v>20266.650000000001</v>
      </c>
      <c r="I7039" s="56">
        <v>45285</v>
      </c>
      <c r="J7039" s="199" t="s">
        <v>17353</v>
      </c>
      <c r="K7039" s="46" t="s">
        <v>1170</v>
      </c>
      <c r="M7039" s="70"/>
      <c r="N7039" s="97"/>
      <c r="O7039" s="46" t="s">
        <v>1171</v>
      </c>
      <c r="P7039" s="46" t="s">
        <v>65</v>
      </c>
      <c r="Q7039" s="46" t="s">
        <v>60</v>
      </c>
      <c r="R7039" s="46" t="s">
        <v>272</v>
      </c>
    </row>
    <row r="7040" spans="1:18" ht="69" customHeight="1">
      <c r="A7040" s="168"/>
      <c r="B7040" s="52">
        <f t="shared" si="32"/>
        <v>7023</v>
      </c>
      <c r="C7040" s="191" t="s">
        <v>5558</v>
      </c>
      <c r="D7040" s="251" t="s">
        <v>17362</v>
      </c>
      <c r="E7040" s="191" t="s">
        <v>266</v>
      </c>
      <c r="F7040" s="46" t="s">
        <v>17363</v>
      </c>
      <c r="G7040" s="46" t="s">
        <v>17352</v>
      </c>
      <c r="H7040" s="534">
        <v>9906.91</v>
      </c>
      <c r="I7040" s="56">
        <v>45285</v>
      </c>
      <c r="J7040" s="199" t="s">
        <v>17353</v>
      </c>
      <c r="K7040" s="46" t="s">
        <v>1170</v>
      </c>
      <c r="M7040" s="70"/>
      <c r="N7040" s="97"/>
      <c r="O7040" s="46" t="s">
        <v>1171</v>
      </c>
      <c r="P7040" s="46" t="s">
        <v>65</v>
      </c>
      <c r="Q7040" s="46" t="s">
        <v>64</v>
      </c>
      <c r="R7040" s="46" t="s">
        <v>272</v>
      </c>
    </row>
    <row r="7041" spans="1:18" s="98" customFormat="1" ht="69" customHeight="1">
      <c r="A7041" s="169"/>
      <c r="B7041" s="48">
        <f t="shared" si="32"/>
        <v>7024</v>
      </c>
      <c r="C7041" s="59" t="s">
        <v>13435</v>
      </c>
      <c r="D7041" s="84" t="s">
        <v>12161</v>
      </c>
      <c r="E7041" s="45" t="s">
        <v>16554</v>
      </c>
      <c r="F7041" s="45" t="s">
        <v>17364</v>
      </c>
      <c r="G7041" s="45" t="s">
        <v>17365</v>
      </c>
      <c r="H7041" s="546">
        <v>183062.93</v>
      </c>
      <c r="I7041" s="47">
        <v>45285</v>
      </c>
      <c r="J7041" s="73" t="s">
        <v>17366</v>
      </c>
      <c r="K7041" s="45"/>
      <c r="M7041" s="70"/>
      <c r="N7041" s="97"/>
      <c r="O7041" s="45" t="s">
        <v>441</v>
      </c>
      <c r="P7041" s="45" t="s">
        <v>22</v>
      </c>
      <c r="Q7041" s="45" t="s">
        <v>13</v>
      </c>
      <c r="R7041" s="45" t="s">
        <v>272</v>
      </c>
    </row>
    <row r="7042" spans="1:18" ht="69" customHeight="1">
      <c r="A7042" s="168"/>
      <c r="B7042" s="62">
        <f t="shared" si="32"/>
        <v>7025</v>
      </c>
      <c r="C7042" s="59" t="s">
        <v>581</v>
      </c>
      <c r="D7042" s="174" t="s">
        <v>16835</v>
      </c>
      <c r="E7042" s="58" t="s">
        <v>17367</v>
      </c>
      <c r="F7042" s="45" t="s">
        <v>17368</v>
      </c>
      <c r="G7042" s="58" t="s">
        <v>17369</v>
      </c>
      <c r="H7042" s="546">
        <v>50000</v>
      </c>
      <c r="I7042" s="66">
        <v>45285</v>
      </c>
      <c r="J7042" s="65" t="s">
        <v>17370</v>
      </c>
      <c r="K7042" s="58"/>
      <c r="M7042" s="70"/>
      <c r="N7042" s="97"/>
      <c r="O7042" s="58" t="s">
        <v>175</v>
      </c>
      <c r="P7042" s="58" t="s">
        <v>59</v>
      </c>
      <c r="Q7042" s="58" t="s">
        <v>18</v>
      </c>
      <c r="R7042" s="58" t="s">
        <v>272</v>
      </c>
    </row>
    <row r="7043" spans="1:18" ht="69" customHeight="1">
      <c r="A7043" s="168"/>
      <c r="B7043" s="62">
        <f t="shared" si="32"/>
        <v>7026</v>
      </c>
      <c r="C7043" s="59" t="s">
        <v>581</v>
      </c>
      <c r="D7043" s="174" t="s">
        <v>17157</v>
      </c>
      <c r="E7043" s="58" t="s">
        <v>17367</v>
      </c>
      <c r="F7043" s="45" t="s">
        <v>17371</v>
      </c>
      <c r="G7043" s="58" t="s">
        <v>17372</v>
      </c>
      <c r="H7043" s="546">
        <v>250000</v>
      </c>
      <c r="I7043" s="66">
        <v>45285</v>
      </c>
      <c r="J7043" s="65" t="s">
        <v>17373</v>
      </c>
      <c r="K7043" s="58"/>
      <c r="M7043" s="70"/>
      <c r="N7043" s="97"/>
      <c r="O7043" s="58" t="s">
        <v>175</v>
      </c>
      <c r="P7043" s="58" t="s">
        <v>59</v>
      </c>
      <c r="Q7043" s="58" t="s">
        <v>18</v>
      </c>
      <c r="R7043" s="58" t="s">
        <v>272</v>
      </c>
    </row>
    <row r="7044" spans="1:18" ht="69" customHeight="1">
      <c r="A7044" s="168"/>
      <c r="B7044" s="62">
        <f t="shared" si="32"/>
        <v>7027</v>
      </c>
      <c r="C7044" s="45" t="s">
        <v>2182</v>
      </c>
      <c r="D7044" s="174" t="s">
        <v>12209</v>
      </c>
      <c r="E7044" s="58" t="s">
        <v>4173</v>
      </c>
      <c r="F7044" s="58" t="s">
        <v>17374</v>
      </c>
      <c r="G7044" s="58" t="s">
        <v>17375</v>
      </c>
      <c r="H7044" s="546">
        <v>30000</v>
      </c>
      <c r="I7044" s="66">
        <v>45285</v>
      </c>
      <c r="J7044" s="65" t="s">
        <v>17376</v>
      </c>
      <c r="K7044" s="58"/>
      <c r="M7044" s="70"/>
      <c r="N7044" s="97"/>
      <c r="O7044" s="58" t="s">
        <v>441</v>
      </c>
      <c r="P7044" s="58" t="s">
        <v>22</v>
      </c>
      <c r="Q7044" s="58" t="s">
        <v>31</v>
      </c>
      <c r="R7044" s="58" t="s">
        <v>265</v>
      </c>
    </row>
    <row r="7045" spans="1:18" ht="69" customHeight="1">
      <c r="A7045" s="168"/>
      <c r="B7045" s="62">
        <f t="shared" si="32"/>
        <v>7028</v>
      </c>
      <c r="C7045" s="59" t="s">
        <v>3667</v>
      </c>
      <c r="D7045" s="174" t="s">
        <v>17377</v>
      </c>
      <c r="E7045" s="45" t="s">
        <v>16915</v>
      </c>
      <c r="F7045" s="58" t="s">
        <v>17378</v>
      </c>
      <c r="G7045" s="58" t="s">
        <v>17089</v>
      </c>
      <c r="H7045" s="546">
        <v>73020.28</v>
      </c>
      <c r="I7045" s="66">
        <v>45285</v>
      </c>
      <c r="J7045" s="65" t="s">
        <v>17379</v>
      </c>
      <c r="K7045" s="58"/>
      <c r="M7045" s="70"/>
      <c r="N7045" s="97"/>
      <c r="O7045" s="58" t="s">
        <v>208</v>
      </c>
      <c r="P7045" s="58" t="s">
        <v>57</v>
      </c>
      <c r="Q7045" s="58" t="s">
        <v>84</v>
      </c>
      <c r="R7045" s="58" t="s">
        <v>272</v>
      </c>
    </row>
    <row r="7046" spans="1:18" ht="69" customHeight="1">
      <c r="A7046" s="168"/>
      <c r="B7046" s="62">
        <f t="shared" si="32"/>
        <v>7029</v>
      </c>
      <c r="C7046" s="59" t="s">
        <v>3667</v>
      </c>
      <c r="D7046" s="174" t="s">
        <v>17380</v>
      </c>
      <c r="E7046" s="45" t="s">
        <v>16915</v>
      </c>
      <c r="F7046" s="58" t="s">
        <v>17381</v>
      </c>
      <c r="G7046" s="58" t="s">
        <v>17089</v>
      </c>
      <c r="H7046" s="546">
        <v>79746.7</v>
      </c>
      <c r="I7046" s="66">
        <v>45285</v>
      </c>
      <c r="J7046" s="65" t="s">
        <v>17379</v>
      </c>
      <c r="K7046" s="58"/>
      <c r="M7046" s="70"/>
      <c r="N7046" s="97"/>
      <c r="O7046" s="58" t="s">
        <v>208</v>
      </c>
      <c r="P7046" s="58" t="s">
        <v>57</v>
      </c>
      <c r="Q7046" s="58" t="s">
        <v>78</v>
      </c>
      <c r="R7046" s="58" t="s">
        <v>272</v>
      </c>
    </row>
    <row r="7047" spans="1:18" ht="69" customHeight="1">
      <c r="A7047" s="168"/>
      <c r="B7047" s="62">
        <f t="shared" si="32"/>
        <v>7030</v>
      </c>
      <c r="C7047" s="59" t="s">
        <v>657</v>
      </c>
      <c r="D7047" s="174" t="s">
        <v>4656</v>
      </c>
      <c r="E7047" s="45" t="s">
        <v>16915</v>
      </c>
      <c r="F7047" s="58" t="s">
        <v>17382</v>
      </c>
      <c r="G7047" s="58" t="s">
        <v>17089</v>
      </c>
      <c r="H7047" s="546">
        <v>56938.879999999997</v>
      </c>
      <c r="I7047" s="66">
        <v>45285</v>
      </c>
      <c r="J7047" s="65" t="s">
        <v>17379</v>
      </c>
      <c r="K7047" s="58"/>
      <c r="M7047" s="70"/>
      <c r="N7047" s="97"/>
      <c r="O7047" s="58" t="s">
        <v>208</v>
      </c>
      <c r="P7047" s="58" t="s">
        <v>57</v>
      </c>
      <c r="Q7047" s="58" t="s">
        <v>110</v>
      </c>
      <c r="R7047" s="58" t="s">
        <v>272</v>
      </c>
    </row>
    <row r="7048" spans="1:18" ht="69" customHeight="1">
      <c r="A7048" s="168"/>
      <c r="B7048" s="62">
        <f t="shared" si="32"/>
        <v>7031</v>
      </c>
      <c r="C7048" s="59" t="s">
        <v>3667</v>
      </c>
      <c r="D7048" s="174" t="s">
        <v>17383</v>
      </c>
      <c r="E7048" s="58" t="s">
        <v>17384</v>
      </c>
      <c r="F7048" s="58" t="s">
        <v>17385</v>
      </c>
      <c r="G7048" s="58" t="s">
        <v>17386</v>
      </c>
      <c r="H7048" s="546">
        <v>3767.13</v>
      </c>
      <c r="I7048" s="66">
        <v>45285</v>
      </c>
      <c r="J7048" s="65" t="s">
        <v>17387</v>
      </c>
      <c r="K7048" s="58"/>
      <c r="M7048" s="70"/>
      <c r="N7048" s="97"/>
      <c r="O7048" s="58" t="s">
        <v>150</v>
      </c>
      <c r="P7048" s="58" t="s">
        <v>51</v>
      </c>
      <c r="Q7048" s="58" t="s">
        <v>68</v>
      </c>
      <c r="R7048" s="58" t="s">
        <v>272</v>
      </c>
    </row>
    <row r="7049" spans="1:18" ht="69" customHeight="1">
      <c r="A7049" s="168"/>
      <c r="B7049" s="62">
        <f t="shared" si="32"/>
        <v>7032</v>
      </c>
      <c r="C7049" s="59" t="s">
        <v>3667</v>
      </c>
      <c r="D7049" s="174" t="s">
        <v>17388</v>
      </c>
      <c r="E7049" s="58" t="s">
        <v>17384</v>
      </c>
      <c r="F7049" s="58" t="s">
        <v>17389</v>
      </c>
      <c r="G7049" s="58" t="s">
        <v>17386</v>
      </c>
      <c r="H7049" s="546">
        <v>3767.13</v>
      </c>
      <c r="I7049" s="66">
        <v>45285</v>
      </c>
      <c r="J7049" s="65" t="s">
        <v>17387</v>
      </c>
      <c r="K7049" s="58"/>
      <c r="M7049" s="70"/>
      <c r="N7049" s="97"/>
      <c r="O7049" s="58" t="s">
        <v>150</v>
      </c>
      <c r="P7049" s="58" t="s">
        <v>51</v>
      </c>
      <c r="Q7049" s="58" t="s">
        <v>72</v>
      </c>
      <c r="R7049" s="58" t="s">
        <v>272</v>
      </c>
    </row>
    <row r="7050" spans="1:18" ht="69" customHeight="1">
      <c r="A7050" s="168"/>
      <c r="B7050" s="62">
        <f t="shared" si="32"/>
        <v>7033</v>
      </c>
      <c r="C7050" s="59" t="s">
        <v>13562</v>
      </c>
      <c r="D7050" s="84" t="s">
        <v>17390</v>
      </c>
      <c r="E7050" s="58" t="s">
        <v>17391</v>
      </c>
      <c r="F7050" s="45" t="s">
        <v>17392</v>
      </c>
      <c r="G7050" s="45" t="s">
        <v>17393</v>
      </c>
      <c r="H7050" s="546">
        <v>164188.35999999999</v>
      </c>
      <c r="I7050" s="66">
        <v>45285</v>
      </c>
      <c r="J7050" s="65" t="s">
        <v>17394</v>
      </c>
      <c r="K7050" s="59"/>
      <c r="L7050" s="624"/>
      <c r="M7050" s="402"/>
      <c r="N7050" s="75"/>
      <c r="O7050" s="62" t="s">
        <v>16639</v>
      </c>
      <c r="P7050" s="58" t="s">
        <v>57</v>
      </c>
      <c r="Q7050" s="58" t="s">
        <v>88</v>
      </c>
      <c r="R7050" s="58" t="s">
        <v>272</v>
      </c>
    </row>
    <row r="7051" spans="1:18" ht="69" customHeight="1">
      <c r="A7051" s="168"/>
      <c r="B7051" s="62">
        <f t="shared" si="32"/>
        <v>7034</v>
      </c>
      <c r="C7051" s="59" t="s">
        <v>13562</v>
      </c>
      <c r="D7051" s="174" t="s">
        <v>17395</v>
      </c>
      <c r="E7051" s="58" t="s">
        <v>17391</v>
      </c>
      <c r="F7051" s="45" t="s">
        <v>17396</v>
      </c>
      <c r="G7051" s="45" t="s">
        <v>17397</v>
      </c>
      <c r="H7051" s="546">
        <v>122618.38</v>
      </c>
      <c r="I7051" s="66">
        <v>45285</v>
      </c>
      <c r="J7051" s="65" t="s">
        <v>17394</v>
      </c>
      <c r="K7051" s="58"/>
      <c r="M7051" s="70"/>
      <c r="N7051" s="97"/>
      <c r="O7051" s="62" t="s">
        <v>16639</v>
      </c>
      <c r="P7051" s="58" t="s">
        <v>57</v>
      </c>
      <c r="Q7051" s="58" t="s">
        <v>88</v>
      </c>
      <c r="R7051" s="58" t="s">
        <v>272</v>
      </c>
    </row>
    <row r="7052" spans="1:18" ht="69" customHeight="1">
      <c r="A7052" s="168"/>
      <c r="B7052" s="62">
        <f t="shared" si="32"/>
        <v>7035</v>
      </c>
      <c r="C7052" s="45" t="s">
        <v>11568</v>
      </c>
      <c r="D7052" s="174" t="s">
        <v>12648</v>
      </c>
      <c r="E7052" s="58" t="s">
        <v>16616</v>
      </c>
      <c r="F7052" s="45" t="s">
        <v>17398</v>
      </c>
      <c r="G7052" s="45" t="s">
        <v>17397</v>
      </c>
      <c r="H7052" s="546">
        <v>233240.68</v>
      </c>
      <c r="I7052" s="66">
        <v>45285</v>
      </c>
      <c r="J7052" s="65" t="s">
        <v>17399</v>
      </c>
      <c r="K7052" s="58"/>
      <c r="M7052" s="70"/>
      <c r="N7052" s="97"/>
      <c r="O7052" s="58" t="s">
        <v>203</v>
      </c>
      <c r="P7052" s="58" t="s">
        <v>57</v>
      </c>
      <c r="Q7052" s="58" t="s">
        <v>107</v>
      </c>
      <c r="R7052" s="58" t="s">
        <v>272</v>
      </c>
    </row>
    <row r="7053" spans="1:18" ht="69" customHeight="1">
      <c r="A7053" s="168"/>
      <c r="B7053" s="62">
        <f t="shared" si="32"/>
        <v>7036</v>
      </c>
      <c r="C7053" s="59" t="s">
        <v>657</v>
      </c>
      <c r="D7053" s="174" t="s">
        <v>6257</v>
      </c>
      <c r="E7053" s="55" t="s">
        <v>16011</v>
      </c>
      <c r="F7053" s="45" t="s">
        <v>17400</v>
      </c>
      <c r="G7053" s="45" t="s">
        <v>16013</v>
      </c>
      <c r="H7053" s="546">
        <v>2000</v>
      </c>
      <c r="I7053" s="66">
        <v>45285</v>
      </c>
      <c r="J7053" s="65" t="s">
        <v>17401</v>
      </c>
      <c r="K7053" s="58"/>
      <c r="M7053" s="70"/>
      <c r="N7053" s="97"/>
      <c r="O7053" s="58" t="s">
        <v>150</v>
      </c>
      <c r="P7053" s="58" t="s">
        <v>51</v>
      </c>
      <c r="Q7053" s="58" t="s">
        <v>102</v>
      </c>
      <c r="R7053" s="58" t="s">
        <v>272</v>
      </c>
    </row>
    <row r="7054" spans="1:18" ht="69" customHeight="1">
      <c r="A7054" s="168"/>
      <c r="B7054" s="62">
        <f t="shared" si="32"/>
        <v>7037</v>
      </c>
      <c r="C7054" s="59" t="s">
        <v>1853</v>
      </c>
      <c r="D7054" s="174" t="s">
        <v>12213</v>
      </c>
      <c r="E7054" s="58" t="s">
        <v>17402</v>
      </c>
      <c r="F7054" s="45" t="s">
        <v>17403</v>
      </c>
      <c r="G7054" s="45" t="s">
        <v>17404</v>
      </c>
      <c r="H7054" s="546">
        <v>255565.4</v>
      </c>
      <c r="I7054" s="66">
        <v>45285</v>
      </c>
      <c r="J7054" s="65" t="s">
        <v>17405</v>
      </c>
      <c r="K7054" s="58"/>
      <c r="M7054" s="70"/>
      <c r="N7054" s="97"/>
      <c r="O7054" s="58" t="s">
        <v>14413</v>
      </c>
      <c r="P7054" s="58" t="s">
        <v>57</v>
      </c>
      <c r="Q7054" s="58" t="s">
        <v>29</v>
      </c>
      <c r="R7054" s="58" t="s">
        <v>272</v>
      </c>
    </row>
    <row r="7055" spans="1:18" ht="69" customHeight="1">
      <c r="A7055" s="168"/>
      <c r="B7055" s="62">
        <f t="shared" si="32"/>
        <v>7038</v>
      </c>
      <c r="C7055" s="44" t="s">
        <v>17406</v>
      </c>
      <c r="D7055" s="174" t="s">
        <v>12221</v>
      </c>
      <c r="E7055" s="58" t="s">
        <v>17402</v>
      </c>
      <c r="F7055" s="45" t="s">
        <v>17407</v>
      </c>
      <c r="G7055" s="45" t="s">
        <v>17404</v>
      </c>
      <c r="H7055" s="546">
        <v>100653.28</v>
      </c>
      <c r="I7055" s="66">
        <v>45285</v>
      </c>
      <c r="J7055" s="65" t="s">
        <v>17405</v>
      </c>
      <c r="K7055" s="58"/>
      <c r="M7055" s="70"/>
      <c r="N7055" s="97"/>
      <c r="O7055" s="45" t="s">
        <v>186</v>
      </c>
      <c r="P7055" s="58" t="s">
        <v>57</v>
      </c>
      <c r="Q7055" s="58" t="s">
        <v>33</v>
      </c>
      <c r="R7055" s="58" t="s">
        <v>272</v>
      </c>
    </row>
    <row r="7056" spans="1:18" ht="69" customHeight="1">
      <c r="A7056" s="168"/>
      <c r="B7056" s="62">
        <f t="shared" si="32"/>
        <v>7039</v>
      </c>
      <c r="C7056" s="45" t="s">
        <v>2182</v>
      </c>
      <c r="D7056" s="174" t="s">
        <v>12215</v>
      </c>
      <c r="E7056" s="58" t="s">
        <v>17402</v>
      </c>
      <c r="F7056" s="45" t="s">
        <v>17408</v>
      </c>
      <c r="G7056" s="45" t="s">
        <v>17404</v>
      </c>
      <c r="H7056" s="546">
        <v>126755.65</v>
      </c>
      <c r="I7056" s="66">
        <v>45285</v>
      </c>
      <c r="J7056" s="65" t="s">
        <v>17405</v>
      </c>
      <c r="K7056" s="58"/>
      <c r="M7056" s="70"/>
      <c r="N7056" s="97"/>
      <c r="O7056" s="45" t="s">
        <v>14413</v>
      </c>
      <c r="P7056" s="58" t="s">
        <v>57</v>
      </c>
      <c r="Q7056" s="58" t="s">
        <v>31</v>
      </c>
      <c r="R7056" s="58" t="s">
        <v>272</v>
      </c>
    </row>
    <row r="7057" spans="1:18" ht="69" customHeight="1">
      <c r="A7057" s="168"/>
      <c r="B7057" s="62">
        <f t="shared" si="32"/>
        <v>7040</v>
      </c>
      <c r="C7057" s="45" t="s">
        <v>11568</v>
      </c>
      <c r="D7057" s="174" t="s">
        <v>12651</v>
      </c>
      <c r="E7057" s="58" t="s">
        <v>17409</v>
      </c>
      <c r="F7057" s="58" t="s">
        <v>17410</v>
      </c>
      <c r="G7057" s="58" t="s">
        <v>17411</v>
      </c>
      <c r="H7057" s="546">
        <v>5821.02</v>
      </c>
      <c r="I7057" s="66">
        <v>45285</v>
      </c>
      <c r="J7057" s="65" t="s">
        <v>17412</v>
      </c>
      <c r="K7057" s="58"/>
      <c r="M7057" s="70"/>
      <c r="N7057" s="97"/>
      <c r="O7057" s="58" t="s">
        <v>150</v>
      </c>
      <c r="P7057" s="58" t="s">
        <v>51</v>
      </c>
      <c r="Q7057" s="58" t="s">
        <v>107</v>
      </c>
      <c r="R7057" s="58" t="s">
        <v>265</v>
      </c>
    </row>
    <row r="7058" spans="1:18" ht="69" customHeight="1">
      <c r="A7058" s="168"/>
      <c r="B7058" s="62">
        <f t="shared" si="32"/>
        <v>7041</v>
      </c>
      <c r="C7058" s="45" t="s">
        <v>6062</v>
      </c>
      <c r="D7058" s="174" t="s">
        <v>17413</v>
      </c>
      <c r="E7058" s="58" t="s">
        <v>17409</v>
      </c>
      <c r="F7058" s="58" t="s">
        <v>17414</v>
      </c>
      <c r="G7058" s="58" t="s">
        <v>17411</v>
      </c>
      <c r="H7058" s="546">
        <v>5821.02</v>
      </c>
      <c r="I7058" s="66">
        <v>45285</v>
      </c>
      <c r="J7058" s="65" t="s">
        <v>17412</v>
      </c>
      <c r="K7058" s="58"/>
      <c r="M7058" s="70"/>
      <c r="N7058" s="97"/>
      <c r="O7058" s="58" t="s">
        <v>150</v>
      </c>
      <c r="P7058" s="58" t="s">
        <v>51</v>
      </c>
      <c r="Q7058" s="58" t="s">
        <v>72</v>
      </c>
      <c r="R7058" s="58" t="s">
        <v>265</v>
      </c>
    </row>
    <row r="7059" spans="1:18" ht="69" customHeight="1">
      <c r="A7059" s="168"/>
      <c r="B7059" s="62">
        <f t="shared" si="32"/>
        <v>7042</v>
      </c>
      <c r="C7059" s="58" t="s">
        <v>10937</v>
      </c>
      <c r="D7059" s="174" t="s">
        <v>5380</v>
      </c>
      <c r="E7059" s="58" t="s">
        <v>17409</v>
      </c>
      <c r="F7059" s="58" t="s">
        <v>17415</v>
      </c>
      <c r="G7059" s="58" t="s">
        <v>17411</v>
      </c>
      <c r="H7059" s="546">
        <v>5821.02</v>
      </c>
      <c r="I7059" s="66">
        <v>45285</v>
      </c>
      <c r="J7059" s="65" t="s">
        <v>17412</v>
      </c>
      <c r="K7059" s="58"/>
      <c r="M7059" s="70"/>
      <c r="N7059" s="97"/>
      <c r="O7059" s="58" t="s">
        <v>150</v>
      </c>
      <c r="P7059" s="58" t="s">
        <v>51</v>
      </c>
      <c r="Q7059" s="58" t="s">
        <v>104</v>
      </c>
      <c r="R7059" s="58" t="s">
        <v>265</v>
      </c>
    </row>
    <row r="7060" spans="1:18" ht="69" customHeight="1">
      <c r="A7060" s="168"/>
      <c r="B7060" s="62">
        <f t="shared" si="32"/>
        <v>7043</v>
      </c>
      <c r="C7060" s="59" t="s">
        <v>15700</v>
      </c>
      <c r="D7060" s="84" t="s">
        <v>12219</v>
      </c>
      <c r="E7060" s="45" t="s">
        <v>17416</v>
      </c>
      <c r="F7060" s="45" t="s">
        <v>17417</v>
      </c>
      <c r="G7060" s="45" t="s">
        <v>17418</v>
      </c>
      <c r="H7060" s="546">
        <v>64670.75</v>
      </c>
      <c r="I7060" s="66">
        <v>45285</v>
      </c>
      <c r="J7060" s="65" t="s">
        <v>17419</v>
      </c>
      <c r="K7060" s="58"/>
      <c r="M7060" s="70"/>
      <c r="N7060" s="97"/>
      <c r="O7060" s="58" t="s">
        <v>17108</v>
      </c>
      <c r="P7060" s="58" t="s">
        <v>57</v>
      </c>
      <c r="Q7060" s="58" t="s">
        <v>39</v>
      </c>
      <c r="R7060" s="58" t="s">
        <v>272</v>
      </c>
    </row>
    <row r="7061" spans="1:18" ht="69" customHeight="1">
      <c r="A7061" s="168"/>
      <c r="B7061" s="62">
        <f t="shared" si="32"/>
        <v>7044</v>
      </c>
      <c r="C7061" s="59" t="s">
        <v>15449</v>
      </c>
      <c r="D7061" s="84" t="s">
        <v>12224</v>
      </c>
      <c r="E7061" s="45" t="s">
        <v>17416</v>
      </c>
      <c r="F7061" s="45" t="s">
        <v>17420</v>
      </c>
      <c r="G7061" s="45" t="s">
        <v>17418</v>
      </c>
      <c r="H7061" s="546">
        <v>87480.01</v>
      </c>
      <c r="I7061" s="66">
        <v>45285</v>
      </c>
      <c r="J7061" s="65" t="s">
        <v>17419</v>
      </c>
      <c r="K7061" s="58"/>
      <c r="M7061" s="70"/>
      <c r="N7061" s="97"/>
      <c r="O7061" s="58" t="s">
        <v>17108</v>
      </c>
      <c r="P7061" s="58" t="s">
        <v>57</v>
      </c>
      <c r="Q7061" s="58" t="s">
        <v>41</v>
      </c>
      <c r="R7061" s="58" t="s">
        <v>272</v>
      </c>
    </row>
    <row r="7062" spans="1:18" ht="69" customHeight="1">
      <c r="A7062" s="168"/>
      <c r="B7062" s="62">
        <f t="shared" si="32"/>
        <v>7045</v>
      </c>
      <c r="C7062" s="44" t="s">
        <v>16509</v>
      </c>
      <c r="D7062" s="174" t="s">
        <v>17125</v>
      </c>
      <c r="E7062" s="58" t="s">
        <v>17037</v>
      </c>
      <c r="F7062" s="45" t="s">
        <v>17421</v>
      </c>
      <c r="G7062" s="45" t="s">
        <v>17422</v>
      </c>
      <c r="H7062" s="546">
        <v>125812.5</v>
      </c>
      <c r="I7062" s="66">
        <v>45285</v>
      </c>
      <c r="J7062" s="65" t="s">
        <v>17423</v>
      </c>
      <c r="K7062" s="58"/>
      <c r="M7062" s="70"/>
      <c r="N7062" s="97"/>
      <c r="O7062" s="58" t="s">
        <v>192</v>
      </c>
      <c r="P7062" s="58" t="s">
        <v>57</v>
      </c>
      <c r="Q7062" s="58" t="s">
        <v>45</v>
      </c>
      <c r="R7062" s="58" t="s">
        <v>272</v>
      </c>
    </row>
    <row r="7063" spans="1:18" ht="69" customHeight="1">
      <c r="A7063" s="168"/>
      <c r="B7063" s="52">
        <f t="shared" si="32"/>
        <v>7046</v>
      </c>
      <c r="C7063" s="191" t="s">
        <v>11058</v>
      </c>
      <c r="D7063" s="251" t="s">
        <v>17130</v>
      </c>
      <c r="E7063" s="191" t="s">
        <v>266</v>
      </c>
      <c r="F7063" s="46" t="s">
        <v>17424</v>
      </c>
      <c r="G7063" s="46" t="s">
        <v>17425</v>
      </c>
      <c r="H7063" s="534">
        <v>22533.200000000001</v>
      </c>
      <c r="I7063" s="56">
        <v>45285</v>
      </c>
      <c r="J7063" s="199" t="s">
        <v>17426</v>
      </c>
      <c r="K7063" s="46"/>
      <c r="M7063" s="70"/>
      <c r="N7063" s="97"/>
      <c r="O7063" s="46" t="s">
        <v>1171</v>
      </c>
      <c r="P7063" s="46" t="s">
        <v>71</v>
      </c>
      <c r="Q7063" s="46" t="s">
        <v>23</v>
      </c>
      <c r="R7063" s="46" t="s">
        <v>272</v>
      </c>
    </row>
    <row r="7064" spans="1:18" ht="69" customHeight="1">
      <c r="A7064" s="168"/>
      <c r="B7064" s="52">
        <f t="shared" si="32"/>
        <v>7047</v>
      </c>
      <c r="C7064" s="191" t="s">
        <v>15700</v>
      </c>
      <c r="D7064" s="251" t="s">
        <v>16958</v>
      </c>
      <c r="E7064" s="191" t="s">
        <v>266</v>
      </c>
      <c r="F7064" s="46" t="s">
        <v>17427</v>
      </c>
      <c r="G7064" s="46" t="s">
        <v>17425</v>
      </c>
      <c r="H7064" s="534">
        <v>20688.2</v>
      </c>
      <c r="I7064" s="56">
        <v>45285</v>
      </c>
      <c r="J7064" s="199" t="s">
        <v>17426</v>
      </c>
      <c r="K7064" s="46"/>
      <c r="M7064" s="70"/>
      <c r="N7064" s="97"/>
      <c r="O7064" s="46" t="s">
        <v>1171</v>
      </c>
      <c r="P7064" s="46" t="s">
        <v>71</v>
      </c>
      <c r="Q7064" s="46" t="s">
        <v>39</v>
      </c>
      <c r="R7064" s="46" t="s">
        <v>272</v>
      </c>
    </row>
    <row r="7065" spans="1:18" ht="69" customHeight="1">
      <c r="A7065" s="168"/>
      <c r="B7065" s="52">
        <f t="shared" si="32"/>
        <v>7048</v>
      </c>
      <c r="C7065" s="191" t="s">
        <v>15449</v>
      </c>
      <c r="D7065" s="251" t="s">
        <v>12237</v>
      </c>
      <c r="E7065" s="191" t="s">
        <v>266</v>
      </c>
      <c r="F7065" s="46" t="s">
        <v>17428</v>
      </c>
      <c r="G7065" s="46" t="s">
        <v>17425</v>
      </c>
      <c r="H7065" s="534">
        <v>20688.2</v>
      </c>
      <c r="I7065" s="56">
        <v>45285</v>
      </c>
      <c r="J7065" s="199" t="s">
        <v>17426</v>
      </c>
      <c r="K7065" s="46"/>
      <c r="M7065" s="70"/>
      <c r="N7065" s="97"/>
      <c r="O7065" s="46" t="s">
        <v>1171</v>
      </c>
      <c r="P7065" s="46" t="s">
        <v>71</v>
      </c>
      <c r="Q7065" s="46" t="s">
        <v>41</v>
      </c>
      <c r="R7065" s="46" t="s">
        <v>272</v>
      </c>
    </row>
    <row r="7066" spans="1:18" ht="69" customHeight="1">
      <c r="A7066" s="168"/>
      <c r="B7066" s="62">
        <f t="shared" si="32"/>
        <v>7049</v>
      </c>
      <c r="C7066" s="59" t="s">
        <v>458</v>
      </c>
      <c r="D7066" s="174" t="s">
        <v>17429</v>
      </c>
      <c r="E7066" s="58" t="s">
        <v>7975</v>
      </c>
      <c r="F7066" s="45" t="s">
        <v>17430</v>
      </c>
      <c r="G7066" s="45" t="s">
        <v>17431</v>
      </c>
      <c r="H7066" s="546">
        <v>236450.31</v>
      </c>
      <c r="I7066" s="66">
        <v>45282</v>
      </c>
      <c r="J7066" s="65" t="s">
        <v>17432</v>
      </c>
      <c r="K7066" s="58"/>
      <c r="M7066" s="70"/>
      <c r="N7066" s="97"/>
      <c r="O7066" s="58" t="s">
        <v>147</v>
      </c>
      <c r="P7066" s="58" t="s">
        <v>22</v>
      </c>
      <c r="Q7066" s="58" t="s">
        <v>113</v>
      </c>
      <c r="R7066" s="58" t="s">
        <v>272</v>
      </c>
    </row>
    <row r="7067" spans="1:18" ht="69" customHeight="1">
      <c r="A7067" s="168"/>
      <c r="B7067" s="62">
        <f t="shared" si="32"/>
        <v>7050</v>
      </c>
      <c r="C7067" s="59" t="s">
        <v>458</v>
      </c>
      <c r="D7067" s="84" t="s">
        <v>17433</v>
      </c>
      <c r="E7067" s="45" t="s">
        <v>7975</v>
      </c>
      <c r="F7067" s="45" t="s">
        <v>17434</v>
      </c>
      <c r="G7067" s="45" t="s">
        <v>17435</v>
      </c>
      <c r="H7067" s="546">
        <v>127319.4</v>
      </c>
      <c r="I7067" s="47">
        <v>45282</v>
      </c>
      <c r="J7067" s="73" t="s">
        <v>17432</v>
      </c>
      <c r="K7067" s="45"/>
      <c r="M7067" s="70"/>
      <c r="N7067" s="97"/>
      <c r="O7067" s="58" t="s">
        <v>147</v>
      </c>
      <c r="P7067" s="58" t="s">
        <v>22</v>
      </c>
      <c r="Q7067" s="58" t="s">
        <v>113</v>
      </c>
      <c r="R7067" s="58" t="s">
        <v>272</v>
      </c>
    </row>
    <row r="7068" spans="1:18" ht="69" customHeight="1">
      <c r="A7068" s="168"/>
      <c r="B7068" s="48">
        <f t="shared" si="32"/>
        <v>7051</v>
      </c>
      <c r="C7068" s="59" t="s">
        <v>657</v>
      </c>
      <c r="D7068" s="84" t="s">
        <v>11053</v>
      </c>
      <c r="E7068" s="45" t="s">
        <v>7975</v>
      </c>
      <c r="F7068" s="45" t="s">
        <v>17436</v>
      </c>
      <c r="G7068" s="45" t="s">
        <v>17437</v>
      </c>
      <c r="H7068" s="546">
        <v>34401.46</v>
      </c>
      <c r="I7068" s="47">
        <v>45282</v>
      </c>
      <c r="J7068" s="73" t="s">
        <v>17432</v>
      </c>
      <c r="K7068" s="45"/>
      <c r="M7068" s="70"/>
      <c r="N7068" s="97"/>
      <c r="O7068" s="58" t="s">
        <v>147</v>
      </c>
      <c r="P7068" s="58" t="s">
        <v>22</v>
      </c>
      <c r="Q7068" s="58" t="s">
        <v>97</v>
      </c>
      <c r="R7068" s="58" t="s">
        <v>272</v>
      </c>
    </row>
    <row r="7069" spans="1:18" ht="69" customHeight="1">
      <c r="A7069" s="168"/>
      <c r="B7069" s="48">
        <f t="shared" si="32"/>
        <v>7052</v>
      </c>
      <c r="C7069" s="59" t="s">
        <v>657</v>
      </c>
      <c r="D7069" s="84" t="s">
        <v>11056</v>
      </c>
      <c r="E7069" s="45" t="s">
        <v>7975</v>
      </c>
      <c r="F7069" s="45" t="s">
        <v>17438</v>
      </c>
      <c r="G7069" s="45" t="s">
        <v>17439</v>
      </c>
      <c r="H7069" s="546">
        <v>18523.86</v>
      </c>
      <c r="I7069" s="47">
        <v>45282</v>
      </c>
      <c r="J7069" s="73" t="s">
        <v>17432</v>
      </c>
      <c r="K7069" s="45"/>
      <c r="M7069" s="70"/>
      <c r="N7069" s="97"/>
      <c r="O7069" s="58" t="s">
        <v>147</v>
      </c>
      <c r="P7069" s="58" t="s">
        <v>22</v>
      </c>
      <c r="Q7069" s="58" t="s">
        <v>97</v>
      </c>
      <c r="R7069" s="58" t="s">
        <v>272</v>
      </c>
    </row>
    <row r="7070" spans="1:18" ht="69" customHeight="1">
      <c r="A7070" s="168"/>
      <c r="B7070" s="62">
        <f t="shared" si="32"/>
        <v>7053</v>
      </c>
      <c r="C7070" s="59" t="s">
        <v>458</v>
      </c>
      <c r="D7070" s="84" t="s">
        <v>17440</v>
      </c>
      <c r="E7070" s="45" t="s">
        <v>7975</v>
      </c>
      <c r="F7070" s="45" t="s">
        <v>17441</v>
      </c>
      <c r="G7070" s="45" t="s">
        <v>17442</v>
      </c>
      <c r="H7070" s="546">
        <v>10721.59</v>
      </c>
      <c r="I7070" s="47">
        <v>45282</v>
      </c>
      <c r="J7070" s="73" t="s">
        <v>17432</v>
      </c>
      <c r="K7070" s="58"/>
      <c r="M7070" s="70"/>
      <c r="N7070" s="97"/>
      <c r="O7070" s="58" t="s">
        <v>147</v>
      </c>
      <c r="P7070" s="58" t="s">
        <v>22</v>
      </c>
      <c r="Q7070" s="58" t="s">
        <v>107</v>
      </c>
      <c r="R7070" s="58" t="s">
        <v>272</v>
      </c>
    </row>
    <row r="7071" spans="1:18" ht="69" customHeight="1">
      <c r="A7071" s="168"/>
      <c r="B7071" s="62">
        <f t="shared" si="32"/>
        <v>7054</v>
      </c>
      <c r="C7071" s="59" t="s">
        <v>458</v>
      </c>
      <c r="D7071" s="84" t="s">
        <v>12679</v>
      </c>
      <c r="E7071" s="45" t="s">
        <v>7975</v>
      </c>
      <c r="F7071" s="45" t="s">
        <v>17443</v>
      </c>
      <c r="G7071" s="45" t="s">
        <v>17444</v>
      </c>
      <c r="H7071" s="546">
        <v>5773.16</v>
      </c>
      <c r="I7071" s="47">
        <v>45282</v>
      </c>
      <c r="J7071" s="73" t="s">
        <v>17432</v>
      </c>
      <c r="K7071" s="58"/>
      <c r="M7071" s="70"/>
      <c r="N7071" s="97"/>
      <c r="O7071" s="58" t="s">
        <v>147</v>
      </c>
      <c r="P7071" s="58" t="s">
        <v>22</v>
      </c>
      <c r="Q7071" s="58" t="s">
        <v>107</v>
      </c>
      <c r="R7071" s="58" t="s">
        <v>272</v>
      </c>
    </row>
    <row r="7072" spans="1:18" ht="69" customHeight="1">
      <c r="A7072" s="168"/>
      <c r="B7072" s="62">
        <f t="shared" si="32"/>
        <v>7055</v>
      </c>
      <c r="C7072" s="59" t="s">
        <v>458</v>
      </c>
      <c r="D7072" s="84" t="s">
        <v>12683</v>
      </c>
      <c r="E7072" s="45" t="s">
        <v>7975</v>
      </c>
      <c r="F7072" s="45" t="s">
        <v>17445</v>
      </c>
      <c r="G7072" s="45" t="s">
        <v>17446</v>
      </c>
      <c r="H7072" s="546">
        <v>46879.51</v>
      </c>
      <c r="I7072" s="47">
        <v>45282</v>
      </c>
      <c r="J7072" s="73" t="s">
        <v>17432</v>
      </c>
      <c r="K7072" s="58"/>
      <c r="M7072" s="70"/>
      <c r="N7072" s="97"/>
      <c r="O7072" s="58" t="s">
        <v>147</v>
      </c>
      <c r="P7072" s="58" t="s">
        <v>22</v>
      </c>
      <c r="Q7072" s="58" t="s">
        <v>119</v>
      </c>
      <c r="R7072" s="58" t="s">
        <v>272</v>
      </c>
    </row>
    <row r="7073" spans="1:18" ht="69" customHeight="1">
      <c r="A7073" s="168"/>
      <c r="B7073" s="62">
        <f t="shared" si="32"/>
        <v>7056</v>
      </c>
      <c r="C7073" s="59" t="s">
        <v>458</v>
      </c>
      <c r="D7073" s="84" t="s">
        <v>12689</v>
      </c>
      <c r="E7073" s="45" t="s">
        <v>7975</v>
      </c>
      <c r="F7073" s="45" t="s">
        <v>17447</v>
      </c>
      <c r="G7073" s="45" t="s">
        <v>17448</v>
      </c>
      <c r="H7073" s="546">
        <v>25242.82</v>
      </c>
      <c r="I7073" s="47">
        <v>45282</v>
      </c>
      <c r="J7073" s="73" t="s">
        <v>17432</v>
      </c>
      <c r="K7073" s="58"/>
      <c r="M7073" s="70"/>
      <c r="N7073" s="97"/>
      <c r="O7073" s="58" t="s">
        <v>147</v>
      </c>
      <c r="P7073" s="58" t="s">
        <v>22</v>
      </c>
      <c r="Q7073" s="58" t="s">
        <v>119</v>
      </c>
      <c r="R7073" s="58" t="s">
        <v>272</v>
      </c>
    </row>
    <row r="7074" spans="1:18" ht="69" customHeight="1">
      <c r="A7074" s="168"/>
      <c r="B7074" s="62">
        <f t="shared" si="32"/>
        <v>7057</v>
      </c>
      <c r="C7074" s="59" t="s">
        <v>657</v>
      </c>
      <c r="D7074" s="84" t="s">
        <v>11059</v>
      </c>
      <c r="E7074" s="45" t="s">
        <v>7975</v>
      </c>
      <c r="F7074" s="45" t="s">
        <v>17449</v>
      </c>
      <c r="G7074" s="45" t="s">
        <v>17450</v>
      </c>
      <c r="H7074" s="546">
        <v>34998.74</v>
      </c>
      <c r="I7074" s="47">
        <v>45282</v>
      </c>
      <c r="J7074" s="73" t="s">
        <v>17432</v>
      </c>
      <c r="K7074" s="58"/>
      <c r="M7074" s="70"/>
      <c r="N7074" s="97"/>
      <c r="O7074" s="58" t="s">
        <v>147</v>
      </c>
      <c r="P7074" s="58" t="s">
        <v>22</v>
      </c>
      <c r="Q7074" s="58" t="s">
        <v>120</v>
      </c>
      <c r="R7074" s="58" t="s">
        <v>272</v>
      </c>
    </row>
    <row r="7075" spans="1:18" ht="69" customHeight="1">
      <c r="A7075" s="168"/>
      <c r="B7075" s="62">
        <f t="shared" si="32"/>
        <v>7058</v>
      </c>
      <c r="C7075" s="59" t="s">
        <v>657</v>
      </c>
      <c r="D7075" s="84" t="s">
        <v>11061</v>
      </c>
      <c r="E7075" s="45" t="s">
        <v>7975</v>
      </c>
      <c r="F7075" s="45" t="s">
        <v>17451</v>
      </c>
      <c r="G7075" s="45" t="s">
        <v>17452</v>
      </c>
      <c r="H7075" s="546">
        <v>18845.48</v>
      </c>
      <c r="I7075" s="47">
        <v>45282</v>
      </c>
      <c r="J7075" s="73" t="s">
        <v>17432</v>
      </c>
      <c r="K7075" s="58"/>
      <c r="M7075" s="70"/>
      <c r="N7075" s="97"/>
      <c r="O7075" s="58" t="s">
        <v>147</v>
      </c>
      <c r="P7075" s="58" t="s">
        <v>22</v>
      </c>
      <c r="Q7075" s="58" t="s">
        <v>120</v>
      </c>
      <c r="R7075" s="58" t="s">
        <v>272</v>
      </c>
    </row>
    <row r="7076" spans="1:18" ht="69" customHeight="1">
      <c r="A7076" s="168"/>
      <c r="B7076" s="62">
        <f t="shared" si="32"/>
        <v>7059</v>
      </c>
      <c r="C7076" s="59" t="s">
        <v>458</v>
      </c>
      <c r="D7076" s="84" t="s">
        <v>12693</v>
      </c>
      <c r="E7076" s="45" t="s">
        <v>7975</v>
      </c>
      <c r="F7076" s="45" t="s">
        <v>17453</v>
      </c>
      <c r="G7076" s="45" t="s">
        <v>17454</v>
      </c>
      <c r="H7076" s="546">
        <v>33625.69</v>
      </c>
      <c r="I7076" s="47">
        <v>45282</v>
      </c>
      <c r="J7076" s="73" t="s">
        <v>17432</v>
      </c>
      <c r="K7076" s="58"/>
      <c r="M7076" s="70"/>
      <c r="N7076" s="97"/>
      <c r="O7076" s="58" t="s">
        <v>147</v>
      </c>
      <c r="P7076" s="58" t="s">
        <v>22</v>
      </c>
      <c r="Q7076" s="58" t="s">
        <v>119</v>
      </c>
      <c r="R7076" s="58" t="s">
        <v>272</v>
      </c>
    </row>
    <row r="7077" spans="1:18" ht="69" customHeight="1">
      <c r="A7077" s="168"/>
      <c r="B7077" s="62">
        <f t="shared" si="32"/>
        <v>7060</v>
      </c>
      <c r="C7077" s="59" t="s">
        <v>458</v>
      </c>
      <c r="D7077" s="84" t="s">
        <v>12702</v>
      </c>
      <c r="E7077" s="45" t="s">
        <v>7975</v>
      </c>
      <c r="F7077" s="45" t="s">
        <v>17455</v>
      </c>
      <c r="G7077" s="45" t="s">
        <v>17456</v>
      </c>
      <c r="H7077" s="546">
        <v>18106.14</v>
      </c>
      <c r="I7077" s="47">
        <v>45282</v>
      </c>
      <c r="J7077" s="73" t="s">
        <v>17432</v>
      </c>
      <c r="K7077" s="58"/>
      <c r="M7077" s="70"/>
      <c r="N7077" s="97"/>
      <c r="O7077" s="58" t="s">
        <v>147</v>
      </c>
      <c r="P7077" s="58" t="s">
        <v>22</v>
      </c>
      <c r="Q7077" s="58" t="s">
        <v>119</v>
      </c>
      <c r="R7077" s="58" t="s">
        <v>272</v>
      </c>
    </row>
    <row r="7078" spans="1:18" ht="69" customHeight="1">
      <c r="A7078" s="168"/>
      <c r="B7078" s="259">
        <f t="shared" si="32"/>
        <v>7061</v>
      </c>
      <c r="C7078" s="207" t="s">
        <v>7189</v>
      </c>
      <c r="D7078" s="303" t="s">
        <v>11066</v>
      </c>
      <c r="E7078" s="304" t="s">
        <v>266</v>
      </c>
      <c r="F7078" s="160" t="s">
        <v>17457</v>
      </c>
      <c r="G7078" s="160" t="s">
        <v>17458</v>
      </c>
      <c r="H7078" s="300">
        <v>96.62</v>
      </c>
      <c r="I7078" s="209">
        <v>45275</v>
      </c>
      <c r="J7078" s="316" t="s">
        <v>17459</v>
      </c>
      <c r="K7078" s="160"/>
      <c r="M7078" s="70"/>
      <c r="N7078" s="97"/>
      <c r="O7078" s="160" t="s">
        <v>11386</v>
      </c>
      <c r="P7078" s="160" t="s">
        <v>67</v>
      </c>
      <c r="Q7078" s="160" t="s">
        <v>97</v>
      </c>
      <c r="R7078" s="160" t="s">
        <v>272</v>
      </c>
    </row>
    <row r="7079" spans="1:18" ht="69" customHeight="1">
      <c r="A7079" s="168"/>
      <c r="B7079" s="259">
        <f t="shared" si="32"/>
        <v>7062</v>
      </c>
      <c r="C7079" s="160" t="s">
        <v>10947</v>
      </c>
      <c r="D7079" s="303" t="s">
        <v>17460</v>
      </c>
      <c r="E7079" s="304" t="s">
        <v>266</v>
      </c>
      <c r="F7079" s="160" t="s">
        <v>17461</v>
      </c>
      <c r="G7079" s="160" t="s">
        <v>17458</v>
      </c>
      <c r="H7079" s="300">
        <v>96.62</v>
      </c>
      <c r="I7079" s="209">
        <v>45275</v>
      </c>
      <c r="J7079" s="316" t="s">
        <v>17459</v>
      </c>
      <c r="K7079" s="160"/>
      <c r="M7079" s="70"/>
      <c r="N7079" s="97"/>
      <c r="O7079" s="160" t="s">
        <v>11386</v>
      </c>
      <c r="P7079" s="160" t="s">
        <v>67</v>
      </c>
      <c r="Q7079" s="160" t="s">
        <v>100</v>
      </c>
      <c r="R7079" s="160" t="s">
        <v>272</v>
      </c>
    </row>
    <row r="7080" spans="1:18" ht="69" customHeight="1">
      <c r="A7080" s="168"/>
      <c r="B7080" s="259">
        <f t="shared" si="32"/>
        <v>7063</v>
      </c>
      <c r="C7080" s="207" t="s">
        <v>3647</v>
      </c>
      <c r="D7080" s="303" t="s">
        <v>17462</v>
      </c>
      <c r="E7080" s="304" t="s">
        <v>266</v>
      </c>
      <c r="F7080" s="160" t="s">
        <v>17463</v>
      </c>
      <c r="G7080" s="160" t="s">
        <v>17458</v>
      </c>
      <c r="H7080" s="300">
        <v>96.62</v>
      </c>
      <c r="I7080" s="209">
        <v>45275</v>
      </c>
      <c r="J7080" s="316" t="s">
        <v>17459</v>
      </c>
      <c r="K7080" s="160"/>
      <c r="M7080" s="70"/>
      <c r="N7080" s="97"/>
      <c r="O7080" s="160" t="s">
        <v>11386</v>
      </c>
      <c r="P7080" s="160" t="s">
        <v>67</v>
      </c>
      <c r="Q7080" s="160" t="s">
        <v>47</v>
      </c>
      <c r="R7080" s="160" t="s">
        <v>272</v>
      </c>
    </row>
    <row r="7081" spans="1:18" ht="69" customHeight="1">
      <c r="A7081" s="168"/>
      <c r="B7081" s="259">
        <f t="shared" si="32"/>
        <v>7064</v>
      </c>
      <c r="C7081" s="207" t="s">
        <v>3933</v>
      </c>
      <c r="D7081" s="303" t="s">
        <v>17464</v>
      </c>
      <c r="E7081" s="304" t="s">
        <v>266</v>
      </c>
      <c r="F7081" s="160" t="s">
        <v>17465</v>
      </c>
      <c r="G7081" s="160" t="s">
        <v>17458</v>
      </c>
      <c r="H7081" s="300">
        <v>96.62</v>
      </c>
      <c r="I7081" s="209">
        <v>45275</v>
      </c>
      <c r="J7081" s="316" t="s">
        <v>17459</v>
      </c>
      <c r="K7081" s="160"/>
      <c r="M7081" s="70"/>
      <c r="N7081" s="97"/>
      <c r="O7081" s="160" t="s">
        <v>11386</v>
      </c>
      <c r="P7081" s="160" t="s">
        <v>67</v>
      </c>
      <c r="Q7081" s="160" t="s">
        <v>52</v>
      </c>
      <c r="R7081" s="160" t="s">
        <v>272</v>
      </c>
    </row>
    <row r="7082" spans="1:18" ht="69" customHeight="1">
      <c r="A7082" s="168"/>
      <c r="B7082" s="259">
        <f t="shared" si="32"/>
        <v>7065</v>
      </c>
      <c r="C7082" s="207" t="s">
        <v>11908</v>
      </c>
      <c r="D7082" s="303" t="s">
        <v>12802</v>
      </c>
      <c r="E7082" s="304" t="s">
        <v>266</v>
      </c>
      <c r="F7082" s="160" t="s">
        <v>17466</v>
      </c>
      <c r="G7082" s="160" t="s">
        <v>17458</v>
      </c>
      <c r="H7082" s="300">
        <v>96.62</v>
      </c>
      <c r="I7082" s="209">
        <v>45275</v>
      </c>
      <c r="J7082" s="316" t="s">
        <v>17459</v>
      </c>
      <c r="K7082" s="160"/>
      <c r="M7082" s="70"/>
      <c r="N7082" s="97"/>
      <c r="O7082" s="160" t="s">
        <v>11386</v>
      </c>
      <c r="P7082" s="160" t="s">
        <v>67</v>
      </c>
      <c r="Q7082" s="160" t="s">
        <v>103</v>
      </c>
      <c r="R7082" s="160" t="s">
        <v>272</v>
      </c>
    </row>
    <row r="7083" spans="1:18" ht="69" customHeight="1">
      <c r="A7083" s="168"/>
      <c r="B7083" s="259">
        <f t="shared" si="32"/>
        <v>7066</v>
      </c>
      <c r="C7083" s="207" t="s">
        <v>10937</v>
      </c>
      <c r="D7083" s="303" t="s">
        <v>11420</v>
      </c>
      <c r="E7083" s="304" t="s">
        <v>266</v>
      </c>
      <c r="F7083" s="160" t="s">
        <v>17467</v>
      </c>
      <c r="G7083" s="160" t="s">
        <v>17458</v>
      </c>
      <c r="H7083" s="300">
        <v>96.62</v>
      </c>
      <c r="I7083" s="209">
        <v>45275</v>
      </c>
      <c r="J7083" s="316" t="s">
        <v>17459</v>
      </c>
      <c r="K7083" s="160"/>
      <c r="M7083" s="70"/>
      <c r="N7083" s="97"/>
      <c r="O7083" s="160" t="s">
        <v>11386</v>
      </c>
      <c r="P7083" s="160" t="s">
        <v>67</v>
      </c>
      <c r="Q7083" s="160" t="s">
        <v>104</v>
      </c>
      <c r="R7083" s="160" t="s">
        <v>272</v>
      </c>
    </row>
    <row r="7084" spans="1:18" ht="69" customHeight="1">
      <c r="A7084" s="168"/>
      <c r="B7084" s="259">
        <f t="shared" si="32"/>
        <v>7067</v>
      </c>
      <c r="C7084" s="160" t="s">
        <v>11568</v>
      </c>
      <c r="D7084" s="303" t="s">
        <v>17468</v>
      </c>
      <c r="E7084" s="304" t="s">
        <v>266</v>
      </c>
      <c r="F7084" s="160" t="s">
        <v>17469</v>
      </c>
      <c r="G7084" s="160" t="s">
        <v>17458</v>
      </c>
      <c r="H7084" s="300">
        <v>96.62</v>
      </c>
      <c r="I7084" s="209">
        <v>45275</v>
      </c>
      <c r="J7084" s="316" t="s">
        <v>17459</v>
      </c>
      <c r="K7084" s="160"/>
      <c r="M7084" s="70"/>
      <c r="N7084" s="97"/>
      <c r="O7084" s="160" t="s">
        <v>11386</v>
      </c>
      <c r="P7084" s="160" t="s">
        <v>67</v>
      </c>
      <c r="Q7084" s="160" t="s">
        <v>107</v>
      </c>
      <c r="R7084" s="160" t="s">
        <v>272</v>
      </c>
    </row>
    <row r="7085" spans="1:18" ht="69" customHeight="1">
      <c r="A7085" s="168"/>
      <c r="B7085" s="259">
        <f t="shared" si="32"/>
        <v>7068</v>
      </c>
      <c r="C7085" s="207" t="s">
        <v>13435</v>
      </c>
      <c r="D7085" s="303" t="s">
        <v>17143</v>
      </c>
      <c r="E7085" s="304" t="s">
        <v>266</v>
      </c>
      <c r="F7085" s="160" t="s">
        <v>17470</v>
      </c>
      <c r="G7085" s="160" t="s">
        <v>17458</v>
      </c>
      <c r="H7085" s="300">
        <v>96.62</v>
      </c>
      <c r="I7085" s="209">
        <v>45275</v>
      </c>
      <c r="J7085" s="316" t="s">
        <v>17459</v>
      </c>
      <c r="K7085" s="160"/>
      <c r="M7085" s="70"/>
      <c r="N7085" s="97"/>
      <c r="O7085" s="160" t="s">
        <v>11386</v>
      </c>
      <c r="P7085" s="160" t="s">
        <v>67</v>
      </c>
      <c r="Q7085" s="160" t="s">
        <v>13</v>
      </c>
      <c r="R7085" s="160" t="s">
        <v>272</v>
      </c>
    </row>
    <row r="7086" spans="1:18" ht="69" customHeight="1">
      <c r="A7086" s="168"/>
      <c r="B7086" s="259">
        <f t="shared" si="32"/>
        <v>7069</v>
      </c>
      <c r="C7086" s="207" t="s">
        <v>581</v>
      </c>
      <c r="D7086" s="303" t="s">
        <v>12241</v>
      </c>
      <c r="E7086" s="304" t="s">
        <v>266</v>
      </c>
      <c r="F7086" s="160" t="s">
        <v>17471</v>
      </c>
      <c r="G7086" s="160" t="s">
        <v>17458</v>
      </c>
      <c r="H7086" s="300">
        <v>96.62</v>
      </c>
      <c r="I7086" s="209">
        <v>45275</v>
      </c>
      <c r="J7086" s="316" t="s">
        <v>17459</v>
      </c>
      <c r="K7086" s="160"/>
      <c r="M7086" s="70"/>
      <c r="N7086" s="97"/>
      <c r="O7086" s="160" t="s">
        <v>11386</v>
      </c>
      <c r="P7086" s="160" t="s">
        <v>67</v>
      </c>
      <c r="Q7086" s="160" t="s">
        <v>18</v>
      </c>
      <c r="R7086" s="160" t="s">
        <v>272</v>
      </c>
    </row>
    <row r="7087" spans="1:18" ht="69" customHeight="1">
      <c r="A7087" s="168"/>
      <c r="B7087" s="259">
        <f t="shared" si="32"/>
        <v>7070</v>
      </c>
      <c r="C7087" s="207" t="s">
        <v>8797</v>
      </c>
      <c r="D7087" s="303" t="s">
        <v>4659</v>
      </c>
      <c r="E7087" s="304" t="s">
        <v>266</v>
      </c>
      <c r="F7087" s="160" t="s">
        <v>17472</v>
      </c>
      <c r="G7087" s="160" t="s">
        <v>17458</v>
      </c>
      <c r="H7087" s="300">
        <v>96.62</v>
      </c>
      <c r="I7087" s="209">
        <v>45275</v>
      </c>
      <c r="J7087" s="316" t="s">
        <v>17459</v>
      </c>
      <c r="K7087" s="160"/>
      <c r="M7087" s="70"/>
      <c r="N7087" s="97"/>
      <c r="O7087" s="160" t="s">
        <v>11386</v>
      </c>
      <c r="P7087" s="160" t="s">
        <v>67</v>
      </c>
      <c r="Q7087" s="160" t="s">
        <v>110</v>
      </c>
      <c r="R7087" s="160" t="s">
        <v>272</v>
      </c>
    </row>
    <row r="7088" spans="1:18" ht="69" customHeight="1">
      <c r="A7088" s="168"/>
      <c r="B7088" s="259">
        <f t="shared" si="32"/>
        <v>7071</v>
      </c>
      <c r="C7088" s="304" t="s">
        <v>5082</v>
      </c>
      <c r="D7088" s="303" t="s">
        <v>17473</v>
      </c>
      <c r="E7088" s="304" t="s">
        <v>266</v>
      </c>
      <c r="F7088" s="160" t="s">
        <v>17474</v>
      </c>
      <c r="G7088" s="160" t="s">
        <v>17458</v>
      </c>
      <c r="H7088" s="300">
        <v>96.62</v>
      </c>
      <c r="I7088" s="209">
        <v>45275</v>
      </c>
      <c r="J7088" s="316" t="s">
        <v>17459</v>
      </c>
      <c r="K7088" s="160"/>
      <c r="M7088" s="70"/>
      <c r="N7088" s="97"/>
      <c r="O7088" s="160" t="s">
        <v>11386</v>
      </c>
      <c r="P7088" s="160" t="s">
        <v>67</v>
      </c>
      <c r="Q7088" s="160" t="s">
        <v>60</v>
      </c>
      <c r="R7088" s="160" t="s">
        <v>272</v>
      </c>
    </row>
    <row r="7089" spans="1:18" ht="69" customHeight="1">
      <c r="A7089" s="168"/>
      <c r="B7089" s="259">
        <f t="shared" si="32"/>
        <v>7072</v>
      </c>
      <c r="C7089" s="304" t="s">
        <v>5189</v>
      </c>
      <c r="D7089" s="303" t="s">
        <v>17475</v>
      </c>
      <c r="E7089" s="304" t="s">
        <v>266</v>
      </c>
      <c r="F7089" s="160" t="s">
        <v>17476</v>
      </c>
      <c r="G7089" s="160" t="s">
        <v>17458</v>
      </c>
      <c r="H7089" s="300">
        <v>96.62</v>
      </c>
      <c r="I7089" s="209">
        <v>45275</v>
      </c>
      <c r="J7089" s="316" t="s">
        <v>17459</v>
      </c>
      <c r="K7089" s="160"/>
      <c r="M7089" s="70"/>
      <c r="N7089" s="97"/>
      <c r="O7089" s="160" t="s">
        <v>11386</v>
      </c>
      <c r="P7089" s="160" t="s">
        <v>67</v>
      </c>
      <c r="Q7089" s="160" t="s">
        <v>62</v>
      </c>
      <c r="R7089" s="160" t="s">
        <v>272</v>
      </c>
    </row>
    <row r="7090" spans="1:18" ht="69" customHeight="1">
      <c r="A7090" s="168"/>
      <c r="B7090" s="259">
        <f t="shared" si="32"/>
        <v>7073</v>
      </c>
      <c r="C7090" s="207" t="s">
        <v>13562</v>
      </c>
      <c r="D7090" s="303" t="s">
        <v>12826</v>
      </c>
      <c r="E7090" s="304" t="s">
        <v>266</v>
      </c>
      <c r="F7090" s="160" t="s">
        <v>17477</v>
      </c>
      <c r="G7090" s="160" t="s">
        <v>17458</v>
      </c>
      <c r="H7090" s="300">
        <v>96.62</v>
      </c>
      <c r="I7090" s="209">
        <v>45275</v>
      </c>
      <c r="J7090" s="316" t="s">
        <v>17459</v>
      </c>
      <c r="K7090" s="160"/>
      <c r="M7090" s="70"/>
      <c r="N7090" s="97"/>
      <c r="O7090" s="160" t="s">
        <v>11386</v>
      </c>
      <c r="P7090" s="160" t="s">
        <v>67</v>
      </c>
      <c r="Q7090" s="160" t="s">
        <v>88</v>
      </c>
      <c r="R7090" s="160" t="s">
        <v>272</v>
      </c>
    </row>
    <row r="7091" spans="1:18" ht="69" customHeight="1">
      <c r="A7091" s="168"/>
      <c r="B7091" s="259">
        <f t="shared" si="32"/>
        <v>7074</v>
      </c>
      <c r="C7091" s="207" t="s">
        <v>11933</v>
      </c>
      <c r="D7091" s="303" t="s">
        <v>17478</v>
      </c>
      <c r="E7091" s="304" t="s">
        <v>266</v>
      </c>
      <c r="F7091" s="160" t="s">
        <v>17479</v>
      </c>
      <c r="G7091" s="160" t="s">
        <v>17458</v>
      </c>
      <c r="H7091" s="300">
        <v>96.62</v>
      </c>
      <c r="I7091" s="209">
        <v>45275</v>
      </c>
      <c r="J7091" s="316" t="s">
        <v>17459</v>
      </c>
      <c r="K7091" s="160"/>
      <c r="M7091" s="70"/>
      <c r="N7091" s="97"/>
      <c r="O7091" s="160" t="s">
        <v>11386</v>
      </c>
      <c r="P7091" s="160" t="s">
        <v>67</v>
      </c>
      <c r="Q7091" s="160" t="s">
        <v>123</v>
      </c>
      <c r="R7091" s="160" t="s">
        <v>272</v>
      </c>
    </row>
    <row r="7092" spans="1:18" ht="69" customHeight="1">
      <c r="A7092" s="168"/>
      <c r="B7092" s="259">
        <f t="shared" si="32"/>
        <v>7075</v>
      </c>
      <c r="C7092" s="160" t="s">
        <v>6888</v>
      </c>
      <c r="D7092" s="303" t="s">
        <v>17480</v>
      </c>
      <c r="E7092" s="304" t="s">
        <v>266</v>
      </c>
      <c r="F7092" s="160" t="s">
        <v>17481</v>
      </c>
      <c r="G7092" s="160" t="s">
        <v>17458</v>
      </c>
      <c r="H7092" s="300">
        <v>96.62</v>
      </c>
      <c r="I7092" s="209">
        <v>45275</v>
      </c>
      <c r="J7092" s="316" t="s">
        <v>17459</v>
      </c>
      <c r="K7092" s="160"/>
      <c r="M7092" s="70"/>
      <c r="N7092" s="97"/>
      <c r="O7092" s="160" t="s">
        <v>11386</v>
      </c>
      <c r="P7092" s="160" t="s">
        <v>67</v>
      </c>
      <c r="Q7092" s="160" t="s">
        <v>84</v>
      </c>
      <c r="R7092" s="160" t="s">
        <v>272</v>
      </c>
    </row>
    <row r="7093" spans="1:18" ht="69" customHeight="1">
      <c r="A7093" s="168"/>
      <c r="B7093" s="259">
        <f t="shared" si="32"/>
        <v>7076</v>
      </c>
      <c r="C7093" s="207" t="s">
        <v>9094</v>
      </c>
      <c r="D7093" s="303" t="s">
        <v>12830</v>
      </c>
      <c r="E7093" s="304" t="s">
        <v>266</v>
      </c>
      <c r="F7093" s="160" t="s">
        <v>17482</v>
      </c>
      <c r="G7093" s="160" t="s">
        <v>17458</v>
      </c>
      <c r="H7093" s="300">
        <v>96.62</v>
      </c>
      <c r="I7093" s="209">
        <v>45275</v>
      </c>
      <c r="J7093" s="316" t="s">
        <v>17459</v>
      </c>
      <c r="K7093" s="160"/>
      <c r="M7093" s="70"/>
      <c r="N7093" s="97"/>
      <c r="O7093" s="160" t="s">
        <v>11386</v>
      </c>
      <c r="P7093" s="160" t="s">
        <v>67</v>
      </c>
      <c r="Q7093" s="160" t="s">
        <v>112</v>
      </c>
      <c r="R7093" s="160" t="s">
        <v>272</v>
      </c>
    </row>
    <row r="7094" spans="1:18" ht="69" customHeight="1">
      <c r="A7094" s="168"/>
      <c r="B7094" s="259">
        <f t="shared" si="32"/>
        <v>7077</v>
      </c>
      <c r="C7094" s="304" t="s">
        <v>9004</v>
      </c>
      <c r="D7094" s="303" t="s">
        <v>6977</v>
      </c>
      <c r="E7094" s="304" t="s">
        <v>266</v>
      </c>
      <c r="F7094" s="160" t="s">
        <v>17483</v>
      </c>
      <c r="G7094" s="160" t="s">
        <v>17458</v>
      </c>
      <c r="H7094" s="300">
        <v>96.62</v>
      </c>
      <c r="I7094" s="209">
        <v>45275</v>
      </c>
      <c r="J7094" s="316" t="s">
        <v>17459</v>
      </c>
      <c r="K7094" s="160"/>
      <c r="M7094" s="70"/>
      <c r="N7094" s="97"/>
      <c r="O7094" s="160" t="s">
        <v>11386</v>
      </c>
      <c r="P7094" s="160" t="s">
        <v>67</v>
      </c>
      <c r="Q7094" s="160" t="s">
        <v>111</v>
      </c>
      <c r="R7094" s="160" t="s">
        <v>272</v>
      </c>
    </row>
    <row r="7095" spans="1:18" ht="69" customHeight="1">
      <c r="A7095" s="168"/>
      <c r="B7095" s="259">
        <f t="shared" si="32"/>
        <v>7078</v>
      </c>
      <c r="C7095" s="207" t="s">
        <v>2182</v>
      </c>
      <c r="D7095" s="303" t="s">
        <v>17146</v>
      </c>
      <c r="E7095" s="304" t="s">
        <v>266</v>
      </c>
      <c r="F7095" s="160" t="s">
        <v>17484</v>
      </c>
      <c r="G7095" s="160" t="s">
        <v>17458</v>
      </c>
      <c r="H7095" s="300">
        <v>96.62</v>
      </c>
      <c r="I7095" s="209">
        <v>45275</v>
      </c>
      <c r="J7095" s="316" t="s">
        <v>17459</v>
      </c>
      <c r="K7095" s="160"/>
      <c r="M7095" s="70"/>
      <c r="N7095" s="97"/>
      <c r="O7095" s="160" t="s">
        <v>11386</v>
      </c>
      <c r="P7095" s="160" t="s">
        <v>67</v>
      </c>
      <c r="Q7095" s="160" t="s">
        <v>31</v>
      </c>
      <c r="R7095" s="160" t="s">
        <v>272</v>
      </c>
    </row>
    <row r="7096" spans="1:18" ht="69" customHeight="1">
      <c r="A7096" s="168"/>
      <c r="B7096" s="259">
        <f t="shared" si="32"/>
        <v>7079</v>
      </c>
      <c r="C7096" s="304" t="s">
        <v>14414</v>
      </c>
      <c r="D7096" s="303" t="s">
        <v>17151</v>
      </c>
      <c r="E7096" s="304" t="s">
        <v>266</v>
      </c>
      <c r="F7096" s="160" t="s">
        <v>17485</v>
      </c>
      <c r="G7096" s="160" t="s">
        <v>17458</v>
      </c>
      <c r="H7096" s="300">
        <v>96.62</v>
      </c>
      <c r="I7096" s="209">
        <v>45275</v>
      </c>
      <c r="J7096" s="316" t="s">
        <v>17459</v>
      </c>
      <c r="K7096" s="160"/>
      <c r="M7096" s="70"/>
      <c r="N7096" s="97"/>
      <c r="O7096" s="160" t="s">
        <v>11386</v>
      </c>
      <c r="P7096" s="160" t="s">
        <v>67</v>
      </c>
      <c r="Q7096" s="160" t="s">
        <v>33</v>
      </c>
      <c r="R7096" s="160" t="s">
        <v>272</v>
      </c>
    </row>
    <row r="7097" spans="1:18" ht="69" customHeight="1">
      <c r="A7097" s="168"/>
      <c r="B7097" s="259">
        <f t="shared" si="32"/>
        <v>7080</v>
      </c>
      <c r="C7097" s="207" t="s">
        <v>15700</v>
      </c>
      <c r="D7097" s="303" t="s">
        <v>17153</v>
      </c>
      <c r="E7097" s="304" t="s">
        <v>266</v>
      </c>
      <c r="F7097" s="160" t="s">
        <v>17486</v>
      </c>
      <c r="G7097" s="160" t="s">
        <v>17458</v>
      </c>
      <c r="H7097" s="300">
        <v>96.62</v>
      </c>
      <c r="I7097" s="209">
        <v>45275</v>
      </c>
      <c r="J7097" s="316" t="s">
        <v>17459</v>
      </c>
      <c r="K7097" s="160"/>
      <c r="M7097" s="70"/>
      <c r="N7097" s="97"/>
      <c r="O7097" s="160" t="s">
        <v>11386</v>
      </c>
      <c r="P7097" s="160" t="s">
        <v>67</v>
      </c>
      <c r="Q7097" s="160" t="s">
        <v>39</v>
      </c>
      <c r="R7097" s="160" t="s">
        <v>272</v>
      </c>
    </row>
    <row r="7098" spans="1:18" ht="69" customHeight="1">
      <c r="A7098" s="168"/>
      <c r="B7098" s="259">
        <f t="shared" ref="B7098:B7161" si="33">B7097+1</f>
        <v>7081</v>
      </c>
      <c r="C7098" s="207" t="s">
        <v>15449</v>
      </c>
      <c r="D7098" s="303" t="s">
        <v>17166</v>
      </c>
      <c r="E7098" s="304" t="s">
        <v>266</v>
      </c>
      <c r="F7098" s="160" t="s">
        <v>17487</v>
      </c>
      <c r="G7098" s="160" t="s">
        <v>17458</v>
      </c>
      <c r="H7098" s="300">
        <v>96.62</v>
      </c>
      <c r="I7098" s="209">
        <v>45275</v>
      </c>
      <c r="J7098" s="316" t="s">
        <v>17459</v>
      </c>
      <c r="K7098" s="160"/>
      <c r="M7098" s="70"/>
      <c r="N7098" s="97"/>
      <c r="O7098" s="160" t="s">
        <v>11386</v>
      </c>
      <c r="P7098" s="160" t="s">
        <v>67</v>
      </c>
      <c r="Q7098" s="160" t="s">
        <v>41</v>
      </c>
      <c r="R7098" s="160" t="s">
        <v>272</v>
      </c>
    </row>
    <row r="7099" spans="1:18" ht="69" customHeight="1">
      <c r="A7099" s="168"/>
      <c r="B7099" s="259">
        <f t="shared" si="33"/>
        <v>7082</v>
      </c>
      <c r="C7099" s="207" t="s">
        <v>16973</v>
      </c>
      <c r="D7099" s="303" t="s">
        <v>12839</v>
      </c>
      <c r="E7099" s="304" t="s">
        <v>266</v>
      </c>
      <c r="F7099" s="160" t="s">
        <v>17488</v>
      </c>
      <c r="G7099" s="160" t="s">
        <v>17458</v>
      </c>
      <c r="H7099" s="300">
        <v>96.62</v>
      </c>
      <c r="I7099" s="209">
        <v>45275</v>
      </c>
      <c r="J7099" s="316" t="s">
        <v>17459</v>
      </c>
      <c r="K7099" s="160"/>
      <c r="M7099" s="70"/>
      <c r="N7099" s="97"/>
      <c r="O7099" s="160" t="s">
        <v>11386</v>
      </c>
      <c r="P7099" s="160" t="s">
        <v>67</v>
      </c>
      <c r="Q7099" s="160" t="s">
        <v>113</v>
      </c>
      <c r="R7099" s="160" t="s">
        <v>272</v>
      </c>
    </row>
    <row r="7100" spans="1:18" ht="69" customHeight="1">
      <c r="A7100" s="168"/>
      <c r="B7100" s="259">
        <f t="shared" si="33"/>
        <v>7083</v>
      </c>
      <c r="C7100" s="207" t="s">
        <v>10621</v>
      </c>
      <c r="D7100" s="303" t="s">
        <v>17489</v>
      </c>
      <c r="E7100" s="304" t="s">
        <v>266</v>
      </c>
      <c r="F7100" s="160" t="s">
        <v>17490</v>
      </c>
      <c r="G7100" s="160" t="s">
        <v>17458</v>
      </c>
      <c r="H7100" s="300">
        <v>96.62</v>
      </c>
      <c r="I7100" s="209">
        <v>45275</v>
      </c>
      <c r="J7100" s="316" t="s">
        <v>17459</v>
      </c>
      <c r="K7100" s="160"/>
      <c r="M7100" s="70"/>
      <c r="N7100" s="97"/>
      <c r="O7100" s="160" t="s">
        <v>11386</v>
      </c>
      <c r="P7100" s="160" t="s">
        <v>67</v>
      </c>
      <c r="Q7100" s="160" t="s">
        <v>66</v>
      </c>
      <c r="R7100" s="160" t="s">
        <v>272</v>
      </c>
    </row>
    <row r="7101" spans="1:18" ht="69" customHeight="1">
      <c r="A7101" s="168"/>
      <c r="B7101" s="259">
        <f t="shared" si="33"/>
        <v>7084</v>
      </c>
      <c r="C7101" s="207" t="s">
        <v>10621</v>
      </c>
      <c r="D7101" s="303" t="s">
        <v>17491</v>
      </c>
      <c r="E7101" s="304" t="s">
        <v>266</v>
      </c>
      <c r="F7101" s="160" t="s">
        <v>17492</v>
      </c>
      <c r="G7101" s="160" t="s">
        <v>17458</v>
      </c>
      <c r="H7101" s="300">
        <v>96.62</v>
      </c>
      <c r="I7101" s="209">
        <v>45275</v>
      </c>
      <c r="J7101" s="316" t="s">
        <v>17459</v>
      </c>
      <c r="K7101" s="160"/>
      <c r="M7101" s="70"/>
      <c r="N7101" s="97"/>
      <c r="O7101" s="160" t="s">
        <v>11386</v>
      </c>
      <c r="P7101" s="160" t="s">
        <v>67</v>
      </c>
      <c r="Q7101" s="160" t="s">
        <v>66</v>
      </c>
      <c r="R7101" s="160" t="s">
        <v>272</v>
      </c>
    </row>
    <row r="7102" spans="1:18" ht="69" customHeight="1">
      <c r="A7102" s="168"/>
      <c r="B7102" s="259">
        <f t="shared" si="33"/>
        <v>7085</v>
      </c>
      <c r="C7102" s="207" t="s">
        <v>10621</v>
      </c>
      <c r="D7102" s="303" t="s">
        <v>17493</v>
      </c>
      <c r="E7102" s="304" t="s">
        <v>266</v>
      </c>
      <c r="F7102" s="160" t="s">
        <v>17494</v>
      </c>
      <c r="G7102" s="160" t="s">
        <v>17458</v>
      </c>
      <c r="H7102" s="300">
        <v>96.62</v>
      </c>
      <c r="I7102" s="209">
        <v>45275</v>
      </c>
      <c r="J7102" s="316" t="s">
        <v>17459</v>
      </c>
      <c r="K7102" s="160"/>
      <c r="M7102" s="70"/>
      <c r="N7102" s="97"/>
      <c r="O7102" s="160" t="s">
        <v>11386</v>
      </c>
      <c r="P7102" s="160" t="s">
        <v>67</v>
      </c>
      <c r="Q7102" s="160" t="s">
        <v>66</v>
      </c>
      <c r="R7102" s="160" t="s">
        <v>272</v>
      </c>
    </row>
    <row r="7103" spans="1:18" ht="69" customHeight="1">
      <c r="A7103" s="168"/>
      <c r="B7103" s="259">
        <f t="shared" si="33"/>
        <v>7086</v>
      </c>
      <c r="C7103" s="160" t="s">
        <v>9545</v>
      </c>
      <c r="D7103" s="303" t="s">
        <v>12848</v>
      </c>
      <c r="E7103" s="304" t="s">
        <v>266</v>
      </c>
      <c r="F7103" s="160" t="s">
        <v>17495</v>
      </c>
      <c r="G7103" s="160" t="s">
        <v>17458</v>
      </c>
      <c r="H7103" s="300">
        <v>96.62</v>
      </c>
      <c r="I7103" s="209">
        <v>45275</v>
      </c>
      <c r="J7103" s="316" t="s">
        <v>17459</v>
      </c>
      <c r="K7103" s="160"/>
      <c r="M7103" s="391"/>
      <c r="N7103" s="78"/>
      <c r="O7103" s="160" t="s">
        <v>11386</v>
      </c>
      <c r="P7103" s="160" t="s">
        <v>67</v>
      </c>
      <c r="Q7103" s="160" t="s">
        <v>117</v>
      </c>
      <c r="R7103" s="160" t="s">
        <v>272</v>
      </c>
    </row>
    <row r="7104" spans="1:18" ht="69" customHeight="1">
      <c r="A7104" s="168"/>
      <c r="B7104" s="259">
        <f t="shared" si="33"/>
        <v>7087</v>
      </c>
      <c r="C7104" s="160" t="s">
        <v>11618</v>
      </c>
      <c r="D7104" s="303" t="s">
        <v>17496</v>
      </c>
      <c r="E7104" s="304" t="s">
        <v>266</v>
      </c>
      <c r="F7104" s="160" t="s">
        <v>17497</v>
      </c>
      <c r="G7104" s="160" t="s">
        <v>17458</v>
      </c>
      <c r="H7104" s="300">
        <v>96.62</v>
      </c>
      <c r="I7104" s="209">
        <v>45275</v>
      </c>
      <c r="J7104" s="316" t="s">
        <v>17459</v>
      </c>
      <c r="K7104" s="160"/>
      <c r="M7104" s="122"/>
      <c r="N7104" s="112"/>
      <c r="O7104" s="160" t="s">
        <v>11386</v>
      </c>
      <c r="P7104" s="160" t="s">
        <v>67</v>
      </c>
      <c r="Q7104" s="160" t="s">
        <v>122</v>
      </c>
      <c r="R7104" s="160" t="s">
        <v>272</v>
      </c>
    </row>
    <row r="7105" spans="1:18" ht="69" customHeight="1">
      <c r="A7105" s="168"/>
      <c r="B7105" s="62">
        <f t="shared" si="33"/>
        <v>7088</v>
      </c>
      <c r="C7105" s="59" t="s">
        <v>16973</v>
      </c>
      <c r="D7105" s="612" t="s">
        <v>17498</v>
      </c>
      <c r="E7105" s="55" t="s">
        <v>17027</v>
      </c>
      <c r="F7105" s="569" t="s">
        <v>17499</v>
      </c>
      <c r="G7105" s="45" t="s">
        <v>17500</v>
      </c>
      <c r="H7105" s="546">
        <v>121474.9</v>
      </c>
      <c r="I7105" s="66">
        <v>45285</v>
      </c>
      <c r="J7105" s="65" t="s">
        <v>17501</v>
      </c>
      <c r="K7105" s="58"/>
      <c r="M7105" s="399"/>
      <c r="N7105" s="119"/>
      <c r="O7105" s="58" t="s">
        <v>17031</v>
      </c>
      <c r="P7105" s="58" t="s">
        <v>57</v>
      </c>
      <c r="Q7105" s="58" t="s">
        <v>113</v>
      </c>
      <c r="R7105" s="58" t="s">
        <v>272</v>
      </c>
    </row>
    <row r="7106" spans="1:18" ht="69" customHeight="1">
      <c r="A7106" s="168"/>
      <c r="B7106" s="62">
        <f t="shared" si="33"/>
        <v>7089</v>
      </c>
      <c r="C7106" s="59" t="s">
        <v>7189</v>
      </c>
      <c r="D7106" s="174" t="s">
        <v>11064</v>
      </c>
      <c r="E7106" s="55" t="s">
        <v>16289</v>
      </c>
      <c r="F7106" s="569" t="s">
        <v>17502</v>
      </c>
      <c r="G7106" s="45" t="s">
        <v>17500</v>
      </c>
      <c r="H7106" s="546">
        <v>51235.58</v>
      </c>
      <c r="I7106" s="66">
        <v>45285</v>
      </c>
      <c r="J7106" s="65" t="s">
        <v>17503</v>
      </c>
      <c r="K7106" s="58"/>
      <c r="M7106" s="70"/>
      <c r="N7106" s="97"/>
      <c r="O7106" s="58" t="s">
        <v>208</v>
      </c>
      <c r="P7106" s="58" t="s">
        <v>57</v>
      </c>
      <c r="Q7106" s="58" t="s">
        <v>97</v>
      </c>
      <c r="R7106" s="58" t="s">
        <v>272</v>
      </c>
    </row>
    <row r="7107" spans="1:18" ht="69" customHeight="1">
      <c r="A7107" s="168"/>
      <c r="B7107" s="62">
        <f t="shared" si="33"/>
        <v>7090</v>
      </c>
      <c r="C7107" s="59" t="s">
        <v>1853</v>
      </c>
      <c r="D7107" s="174" t="s">
        <v>17168</v>
      </c>
      <c r="E7107" s="58" t="s">
        <v>4173</v>
      </c>
      <c r="F7107" s="569" t="s">
        <v>17504</v>
      </c>
      <c r="G7107" s="58" t="s">
        <v>17505</v>
      </c>
      <c r="H7107" s="546">
        <v>87440</v>
      </c>
      <c r="I7107" s="66">
        <v>45285</v>
      </c>
      <c r="J7107" s="65" t="s">
        <v>17506</v>
      </c>
      <c r="K7107" s="58"/>
      <c r="M7107" s="70"/>
      <c r="N7107" s="97"/>
      <c r="O7107" s="58" t="s">
        <v>441</v>
      </c>
      <c r="P7107" s="58" t="s">
        <v>22</v>
      </c>
      <c r="Q7107" s="58" t="s">
        <v>29</v>
      </c>
      <c r="R7107" s="58" t="s">
        <v>265</v>
      </c>
    </row>
    <row r="7108" spans="1:18" ht="69" customHeight="1">
      <c r="A7108" s="168"/>
      <c r="B7108" s="62">
        <f t="shared" si="33"/>
        <v>7091</v>
      </c>
      <c r="C7108" s="59" t="s">
        <v>2182</v>
      </c>
      <c r="D7108" s="174" t="s">
        <v>12253</v>
      </c>
      <c r="E7108" s="58" t="s">
        <v>4173</v>
      </c>
      <c r="F7108" s="58" t="s">
        <v>17507</v>
      </c>
      <c r="G7108" s="58" t="s">
        <v>17508</v>
      </c>
      <c r="H7108" s="546">
        <v>30000</v>
      </c>
      <c r="I7108" s="66">
        <v>45285</v>
      </c>
      <c r="J7108" s="65" t="s">
        <v>17509</v>
      </c>
      <c r="K7108" s="58"/>
      <c r="M7108" s="70"/>
      <c r="N7108" s="97"/>
      <c r="O7108" s="58" t="s">
        <v>441</v>
      </c>
      <c r="P7108" s="58" t="s">
        <v>22</v>
      </c>
      <c r="Q7108" s="58" t="s">
        <v>31</v>
      </c>
      <c r="R7108" s="58" t="s">
        <v>265</v>
      </c>
    </row>
    <row r="7109" spans="1:18" ht="69" customHeight="1">
      <c r="A7109" s="168"/>
      <c r="B7109" s="52">
        <f t="shared" si="33"/>
        <v>7092</v>
      </c>
      <c r="C7109" s="191" t="s">
        <v>458</v>
      </c>
      <c r="D7109" s="251" t="s">
        <v>12855</v>
      </c>
      <c r="E7109" s="51" t="s">
        <v>266</v>
      </c>
      <c r="F7109" s="211" t="s">
        <v>17510</v>
      </c>
      <c r="G7109" s="46" t="s">
        <v>17511</v>
      </c>
      <c r="H7109" s="534">
        <v>3500</v>
      </c>
      <c r="I7109" s="56">
        <v>45285</v>
      </c>
      <c r="J7109" s="199" t="s">
        <v>17512</v>
      </c>
      <c r="K7109" s="46"/>
      <c r="M7109" s="70"/>
      <c r="N7109" s="97"/>
      <c r="O7109" s="46"/>
      <c r="P7109" s="46" t="s">
        <v>65</v>
      </c>
      <c r="Q7109" s="46" t="s">
        <v>117</v>
      </c>
      <c r="R7109" s="46" t="s">
        <v>272</v>
      </c>
    </row>
    <row r="7110" spans="1:18" ht="69" customHeight="1">
      <c r="A7110" s="168"/>
      <c r="B7110" s="52">
        <f t="shared" si="33"/>
        <v>7093</v>
      </c>
      <c r="C7110" s="191" t="s">
        <v>3667</v>
      </c>
      <c r="D7110" s="251" t="s">
        <v>17513</v>
      </c>
      <c r="E7110" s="51" t="s">
        <v>266</v>
      </c>
      <c r="F7110" s="211" t="s">
        <v>17514</v>
      </c>
      <c r="G7110" s="46" t="s">
        <v>17511</v>
      </c>
      <c r="H7110" s="534">
        <v>2200</v>
      </c>
      <c r="I7110" s="56">
        <v>45285</v>
      </c>
      <c r="J7110" s="199" t="s">
        <v>17512</v>
      </c>
      <c r="K7110" s="46"/>
      <c r="M7110" s="70"/>
      <c r="N7110" s="97"/>
      <c r="O7110" s="46"/>
      <c r="P7110" s="46" t="s">
        <v>65</v>
      </c>
      <c r="Q7110" s="46" t="s">
        <v>86</v>
      </c>
      <c r="R7110" s="46" t="s">
        <v>272</v>
      </c>
    </row>
    <row r="7111" spans="1:18" ht="69" customHeight="1">
      <c r="A7111" s="168"/>
      <c r="B7111" s="62">
        <f t="shared" si="33"/>
        <v>7094</v>
      </c>
      <c r="C7111" s="59" t="s">
        <v>10937</v>
      </c>
      <c r="D7111" s="84" t="s">
        <v>11131</v>
      </c>
      <c r="E7111" s="55" t="s">
        <v>11297</v>
      </c>
      <c r="F7111" s="45" t="s">
        <v>17515</v>
      </c>
      <c r="G7111" s="45" t="s">
        <v>14169</v>
      </c>
      <c r="H7111" s="546">
        <v>17823.78</v>
      </c>
      <c r="I7111" s="66">
        <v>45285</v>
      </c>
      <c r="J7111" s="65" t="s">
        <v>17516</v>
      </c>
      <c r="K7111" s="45"/>
      <c r="L7111" s="99"/>
      <c r="M7111" s="385"/>
      <c r="N7111" s="75"/>
      <c r="O7111" s="45" t="s">
        <v>11301</v>
      </c>
      <c r="P7111" s="45" t="s">
        <v>61</v>
      </c>
      <c r="Q7111" s="58" t="s">
        <v>104</v>
      </c>
      <c r="R7111" s="58" t="s">
        <v>272</v>
      </c>
    </row>
    <row r="7112" spans="1:18" ht="69" customHeight="1">
      <c r="A7112" s="168"/>
      <c r="B7112" s="62">
        <f t="shared" si="33"/>
        <v>7095</v>
      </c>
      <c r="C7112" s="59" t="s">
        <v>5558</v>
      </c>
      <c r="D7112" s="545" t="s">
        <v>17517</v>
      </c>
      <c r="E7112" s="55" t="s">
        <v>11297</v>
      </c>
      <c r="F7112" s="45" t="s">
        <v>16003</v>
      </c>
      <c r="G7112" s="45" t="s">
        <v>14169</v>
      </c>
      <c r="H7112" s="546">
        <v>10000</v>
      </c>
      <c r="I7112" s="66">
        <v>45285</v>
      </c>
      <c r="J7112" s="65" t="s">
        <v>17516</v>
      </c>
      <c r="K7112" s="58"/>
      <c r="M7112" s="70"/>
      <c r="N7112" s="97"/>
      <c r="O7112" s="58" t="s">
        <v>11301</v>
      </c>
      <c r="P7112" s="58" t="s">
        <v>61</v>
      </c>
      <c r="Q7112" s="58" t="s">
        <v>64</v>
      </c>
      <c r="R7112" s="58" t="s">
        <v>272</v>
      </c>
    </row>
    <row r="7113" spans="1:18" ht="69" customHeight="1">
      <c r="A7113" s="168"/>
      <c r="B7113" s="62">
        <f t="shared" si="33"/>
        <v>7096</v>
      </c>
      <c r="C7113" s="59" t="s">
        <v>11933</v>
      </c>
      <c r="D7113" s="174" t="s">
        <v>17518</v>
      </c>
      <c r="E7113" s="55" t="s">
        <v>11297</v>
      </c>
      <c r="F7113" s="45" t="s">
        <v>17519</v>
      </c>
      <c r="G7113" s="45" t="s">
        <v>14169</v>
      </c>
      <c r="H7113" s="546">
        <v>19629.28</v>
      </c>
      <c r="I7113" s="66">
        <v>45285</v>
      </c>
      <c r="J7113" s="65" t="s">
        <v>17516</v>
      </c>
      <c r="K7113" s="58"/>
      <c r="M7113" s="70"/>
      <c r="N7113" s="97"/>
      <c r="O7113" s="58" t="s">
        <v>11301</v>
      </c>
      <c r="P7113" s="58" t="s">
        <v>61</v>
      </c>
      <c r="Q7113" s="58" t="s">
        <v>123</v>
      </c>
      <c r="R7113" s="58" t="s">
        <v>272</v>
      </c>
    </row>
    <row r="7114" spans="1:18" ht="69" customHeight="1">
      <c r="A7114" s="168"/>
      <c r="B7114" s="62">
        <f t="shared" si="33"/>
        <v>7097</v>
      </c>
      <c r="C7114" s="44" t="s">
        <v>9004</v>
      </c>
      <c r="D7114" s="174" t="s">
        <v>11133</v>
      </c>
      <c r="E7114" s="55" t="s">
        <v>11297</v>
      </c>
      <c r="F7114" s="45" t="s">
        <v>17520</v>
      </c>
      <c r="G7114" s="45" t="s">
        <v>14169</v>
      </c>
      <c r="H7114" s="546">
        <v>16000</v>
      </c>
      <c r="I7114" s="66">
        <v>45285</v>
      </c>
      <c r="J7114" s="65" t="s">
        <v>17516</v>
      </c>
      <c r="K7114" s="58"/>
      <c r="M7114" s="70"/>
      <c r="N7114" s="97"/>
      <c r="O7114" s="58" t="s">
        <v>11301</v>
      </c>
      <c r="P7114" s="58" t="s">
        <v>61</v>
      </c>
      <c r="Q7114" s="58" t="s">
        <v>111</v>
      </c>
      <c r="R7114" s="58" t="s">
        <v>272</v>
      </c>
    </row>
    <row r="7115" spans="1:18" ht="69" customHeight="1">
      <c r="A7115" s="168"/>
      <c r="B7115" s="62">
        <f t="shared" si="33"/>
        <v>7098</v>
      </c>
      <c r="C7115" s="59" t="s">
        <v>1853</v>
      </c>
      <c r="D7115" s="174" t="s">
        <v>12254</v>
      </c>
      <c r="E7115" s="45" t="s">
        <v>17521</v>
      </c>
      <c r="F7115" s="45" t="s">
        <v>17522</v>
      </c>
      <c r="G7115" s="58" t="s">
        <v>17523</v>
      </c>
      <c r="H7115" s="546">
        <v>55000</v>
      </c>
      <c r="I7115" s="66">
        <v>45285</v>
      </c>
      <c r="J7115" s="65" t="s">
        <v>17524</v>
      </c>
      <c r="K7115" s="58"/>
      <c r="M7115" s="70"/>
      <c r="N7115" s="97"/>
      <c r="O7115" s="58" t="s">
        <v>441</v>
      </c>
      <c r="P7115" s="58" t="s">
        <v>22</v>
      </c>
      <c r="Q7115" s="58" t="s">
        <v>29</v>
      </c>
      <c r="R7115" s="58" t="s">
        <v>265</v>
      </c>
    </row>
    <row r="7116" spans="1:18" ht="69" customHeight="1">
      <c r="A7116" s="168"/>
      <c r="B7116" s="62">
        <f t="shared" si="33"/>
        <v>7099</v>
      </c>
      <c r="C7116" s="59" t="s">
        <v>2182</v>
      </c>
      <c r="D7116" s="174" t="s">
        <v>12512</v>
      </c>
      <c r="E7116" s="45" t="s">
        <v>17521</v>
      </c>
      <c r="F7116" s="45" t="s">
        <v>17525</v>
      </c>
      <c r="G7116" s="58" t="s">
        <v>17526</v>
      </c>
      <c r="H7116" s="546">
        <v>25000</v>
      </c>
      <c r="I7116" s="66">
        <v>45285</v>
      </c>
      <c r="J7116" s="65" t="s">
        <v>17527</v>
      </c>
      <c r="K7116" s="58"/>
      <c r="M7116" s="70"/>
      <c r="N7116" s="97"/>
      <c r="O7116" s="58" t="s">
        <v>441</v>
      </c>
      <c r="P7116" s="58" t="s">
        <v>22</v>
      </c>
      <c r="Q7116" s="58" t="s">
        <v>31</v>
      </c>
      <c r="R7116" s="58" t="s">
        <v>265</v>
      </c>
    </row>
    <row r="7117" spans="1:18" ht="69" customHeight="1">
      <c r="A7117" s="168"/>
      <c r="B7117" s="48">
        <f t="shared" si="33"/>
        <v>7100</v>
      </c>
      <c r="C7117" s="59" t="s">
        <v>3647</v>
      </c>
      <c r="D7117" s="84" t="s">
        <v>17528</v>
      </c>
      <c r="E7117" s="45" t="s">
        <v>17529</v>
      </c>
      <c r="F7117" s="45" t="s">
        <v>17530</v>
      </c>
      <c r="G7117" s="45" t="s">
        <v>17531</v>
      </c>
      <c r="H7117" s="546">
        <v>31292.75</v>
      </c>
      <c r="I7117" s="47">
        <v>45285</v>
      </c>
      <c r="J7117" s="73" t="s">
        <v>17532</v>
      </c>
      <c r="K7117" s="45"/>
      <c r="M7117" s="70"/>
      <c r="N7117" s="97"/>
      <c r="O7117" s="58" t="s">
        <v>17533</v>
      </c>
      <c r="P7117" s="58" t="s">
        <v>57</v>
      </c>
      <c r="Q7117" s="58" t="s">
        <v>47</v>
      </c>
      <c r="R7117" s="58" t="s">
        <v>272</v>
      </c>
    </row>
    <row r="7118" spans="1:18" ht="69" customHeight="1">
      <c r="A7118" s="168"/>
      <c r="B7118" s="48">
        <f t="shared" si="33"/>
        <v>7101</v>
      </c>
      <c r="C7118" s="59" t="s">
        <v>3933</v>
      </c>
      <c r="D7118" s="84" t="s">
        <v>17534</v>
      </c>
      <c r="E7118" s="45" t="s">
        <v>17529</v>
      </c>
      <c r="F7118" s="45" t="s">
        <v>17535</v>
      </c>
      <c r="G7118" s="45" t="s">
        <v>17531</v>
      </c>
      <c r="H7118" s="546">
        <v>114193.76</v>
      </c>
      <c r="I7118" s="47">
        <v>45285</v>
      </c>
      <c r="J7118" s="73" t="s">
        <v>17532</v>
      </c>
      <c r="K7118" s="45"/>
      <c r="M7118" s="70"/>
      <c r="N7118" s="97"/>
      <c r="O7118" s="58" t="s">
        <v>17533</v>
      </c>
      <c r="P7118" s="58" t="s">
        <v>57</v>
      </c>
      <c r="Q7118" s="58" t="s">
        <v>52</v>
      </c>
      <c r="R7118" s="58" t="s">
        <v>272</v>
      </c>
    </row>
    <row r="7119" spans="1:18" ht="69" customHeight="1">
      <c r="A7119" s="168"/>
      <c r="B7119" s="62">
        <f t="shared" si="33"/>
        <v>7102</v>
      </c>
      <c r="C7119" s="59" t="s">
        <v>11908</v>
      </c>
      <c r="D7119" s="174" t="s">
        <v>12912</v>
      </c>
      <c r="E7119" s="58" t="s">
        <v>16747</v>
      </c>
      <c r="F7119" s="58" t="s">
        <v>17536</v>
      </c>
      <c r="G7119" s="58" t="s">
        <v>17537</v>
      </c>
      <c r="H7119" s="546">
        <v>115308</v>
      </c>
      <c r="I7119" s="66">
        <v>45285</v>
      </c>
      <c r="J7119" s="65" t="s">
        <v>17538</v>
      </c>
      <c r="K7119" s="84"/>
      <c r="M7119" s="70"/>
      <c r="N7119" s="97"/>
      <c r="O7119" s="58" t="s">
        <v>16069</v>
      </c>
      <c r="P7119" s="58" t="s">
        <v>57</v>
      </c>
      <c r="Q7119" s="58" t="s">
        <v>103</v>
      </c>
      <c r="R7119" s="58" t="s">
        <v>272</v>
      </c>
    </row>
    <row r="7120" spans="1:18" ht="69" customHeight="1">
      <c r="A7120" s="168"/>
      <c r="B7120" s="62">
        <f t="shared" si="33"/>
        <v>7103</v>
      </c>
      <c r="C7120" s="59" t="s">
        <v>10937</v>
      </c>
      <c r="D7120" s="174" t="s">
        <v>4287</v>
      </c>
      <c r="E7120" s="58" t="s">
        <v>16747</v>
      </c>
      <c r="F7120" s="58" t="s">
        <v>17539</v>
      </c>
      <c r="G7120" s="58" t="s">
        <v>17537</v>
      </c>
      <c r="H7120" s="546">
        <v>12324.64</v>
      </c>
      <c r="I7120" s="66">
        <v>45285</v>
      </c>
      <c r="J7120" s="65" t="s">
        <v>17538</v>
      </c>
      <c r="K7120" s="84"/>
      <c r="M7120" s="70"/>
      <c r="N7120" s="97"/>
      <c r="O7120" s="58" t="s">
        <v>16069</v>
      </c>
      <c r="P7120" s="58" t="s">
        <v>57</v>
      </c>
      <c r="Q7120" s="58" t="s">
        <v>104</v>
      </c>
      <c r="R7120" s="58" t="s">
        <v>272</v>
      </c>
    </row>
    <row r="7121" spans="1:18" ht="69" customHeight="1">
      <c r="A7121" s="168"/>
      <c r="B7121" s="62">
        <f t="shared" si="33"/>
        <v>7104</v>
      </c>
      <c r="C7121" s="44" t="s">
        <v>11055</v>
      </c>
      <c r="D7121" s="174" t="s">
        <v>12261</v>
      </c>
      <c r="E7121" s="58" t="s">
        <v>17540</v>
      </c>
      <c r="F7121" s="58" t="s">
        <v>17541</v>
      </c>
      <c r="G7121" s="58" t="s">
        <v>17542</v>
      </c>
      <c r="H7121" s="546">
        <v>41376.400000000001</v>
      </c>
      <c r="I7121" s="66">
        <v>45285</v>
      </c>
      <c r="J7121" s="65" t="s">
        <v>17543</v>
      </c>
      <c r="K7121" s="58"/>
      <c r="M7121" s="70"/>
      <c r="N7121" s="97"/>
      <c r="O7121" s="58" t="s">
        <v>147</v>
      </c>
      <c r="P7121" s="58" t="s">
        <v>22</v>
      </c>
      <c r="Q7121" s="58" t="s">
        <v>45</v>
      </c>
      <c r="R7121" s="58" t="s">
        <v>265</v>
      </c>
    </row>
    <row r="7122" spans="1:18" ht="69" customHeight="1">
      <c r="A7122" s="168"/>
      <c r="B7122" s="52">
        <f t="shared" si="33"/>
        <v>7105</v>
      </c>
      <c r="C7122" s="191" t="s">
        <v>3667</v>
      </c>
      <c r="D7122" s="251" t="s">
        <v>17544</v>
      </c>
      <c r="E7122" s="46" t="s">
        <v>266</v>
      </c>
      <c r="F7122" s="46" t="s">
        <v>17545</v>
      </c>
      <c r="G7122" s="46" t="s">
        <v>17546</v>
      </c>
      <c r="H7122" s="534">
        <v>12764.21</v>
      </c>
      <c r="I7122" s="56">
        <v>45296</v>
      </c>
      <c r="J7122" s="199" t="s">
        <v>17547</v>
      </c>
      <c r="K7122" s="46" t="s">
        <v>1170</v>
      </c>
      <c r="M7122" s="70"/>
      <c r="N7122" s="97"/>
      <c r="O7122" s="46" t="s">
        <v>1171</v>
      </c>
      <c r="P7122" s="46" t="s">
        <v>71</v>
      </c>
      <c r="Q7122" s="46" t="s">
        <v>74</v>
      </c>
      <c r="R7122" s="46" t="s">
        <v>272</v>
      </c>
    </row>
    <row r="7123" spans="1:18" ht="69" customHeight="1">
      <c r="A7123" s="168"/>
      <c r="B7123" s="52">
        <f t="shared" si="33"/>
        <v>7106</v>
      </c>
      <c r="C7123" s="191" t="s">
        <v>3667</v>
      </c>
      <c r="D7123" s="251" t="s">
        <v>17548</v>
      </c>
      <c r="E7123" s="46" t="s">
        <v>266</v>
      </c>
      <c r="F7123" s="46" t="s">
        <v>17549</v>
      </c>
      <c r="G7123" s="46" t="s">
        <v>17546</v>
      </c>
      <c r="H7123" s="534">
        <v>12764.21</v>
      </c>
      <c r="I7123" s="56">
        <v>45296</v>
      </c>
      <c r="J7123" s="199" t="s">
        <v>17547</v>
      </c>
      <c r="K7123" s="46" t="s">
        <v>1170</v>
      </c>
      <c r="M7123" s="70"/>
      <c r="N7123" s="97"/>
      <c r="O7123" s="46" t="s">
        <v>1171</v>
      </c>
      <c r="P7123" s="46" t="s">
        <v>71</v>
      </c>
      <c r="Q7123" s="46" t="s">
        <v>68</v>
      </c>
      <c r="R7123" s="46" t="s">
        <v>272</v>
      </c>
    </row>
    <row r="7124" spans="1:18" ht="69" customHeight="1">
      <c r="A7124" s="168"/>
      <c r="B7124" s="52">
        <f t="shared" si="33"/>
        <v>7107</v>
      </c>
      <c r="C7124" s="191" t="s">
        <v>657</v>
      </c>
      <c r="D7124" s="251" t="s">
        <v>11195</v>
      </c>
      <c r="E7124" s="46" t="s">
        <v>266</v>
      </c>
      <c r="F7124" s="46" t="s">
        <v>17550</v>
      </c>
      <c r="G7124" s="46" t="s">
        <v>17546</v>
      </c>
      <c r="H7124" s="534">
        <v>11509.69</v>
      </c>
      <c r="I7124" s="56">
        <v>45296</v>
      </c>
      <c r="J7124" s="199" t="s">
        <v>17547</v>
      </c>
      <c r="K7124" s="46" t="s">
        <v>1170</v>
      </c>
      <c r="M7124" s="70"/>
      <c r="N7124" s="97"/>
      <c r="O7124" s="46" t="s">
        <v>1171</v>
      </c>
      <c r="P7124" s="46" t="s">
        <v>71</v>
      </c>
      <c r="Q7124" s="46" t="s">
        <v>110</v>
      </c>
      <c r="R7124" s="46" t="s">
        <v>272</v>
      </c>
    </row>
    <row r="7125" spans="1:18" ht="69" customHeight="1">
      <c r="A7125" s="168"/>
      <c r="B7125" s="52">
        <f t="shared" si="33"/>
        <v>7108</v>
      </c>
      <c r="C7125" s="191" t="s">
        <v>3667</v>
      </c>
      <c r="D7125" s="251" t="s">
        <v>17551</v>
      </c>
      <c r="E7125" s="46" t="s">
        <v>266</v>
      </c>
      <c r="F7125" s="46" t="s">
        <v>17552</v>
      </c>
      <c r="G7125" s="46" t="s">
        <v>17546</v>
      </c>
      <c r="H7125" s="534">
        <v>12764.21</v>
      </c>
      <c r="I7125" s="56">
        <v>45296</v>
      </c>
      <c r="J7125" s="199" t="s">
        <v>17547</v>
      </c>
      <c r="K7125" s="46" t="s">
        <v>1170</v>
      </c>
      <c r="M7125" s="70"/>
      <c r="N7125" s="97"/>
      <c r="O7125" s="46" t="s">
        <v>1171</v>
      </c>
      <c r="P7125" s="46" t="s">
        <v>71</v>
      </c>
      <c r="Q7125" s="46" t="s">
        <v>70</v>
      </c>
      <c r="R7125" s="46" t="s">
        <v>272</v>
      </c>
    </row>
    <row r="7126" spans="1:18" ht="69" customHeight="1">
      <c r="A7126" s="168"/>
      <c r="B7126" s="52">
        <f t="shared" si="33"/>
        <v>7109</v>
      </c>
      <c r="C7126" s="191" t="s">
        <v>3667</v>
      </c>
      <c r="D7126" s="251" t="s">
        <v>17553</v>
      </c>
      <c r="E7126" s="46" t="s">
        <v>266</v>
      </c>
      <c r="F7126" s="46" t="s">
        <v>17554</v>
      </c>
      <c r="G7126" s="46" t="s">
        <v>17546</v>
      </c>
      <c r="H7126" s="534">
        <v>12764.21</v>
      </c>
      <c r="I7126" s="56">
        <v>45296</v>
      </c>
      <c r="J7126" s="199" t="s">
        <v>17547</v>
      </c>
      <c r="K7126" s="46" t="s">
        <v>1170</v>
      </c>
      <c r="M7126" s="70"/>
      <c r="N7126" s="97"/>
      <c r="O7126" s="46" t="s">
        <v>1171</v>
      </c>
      <c r="P7126" s="46" t="s">
        <v>71</v>
      </c>
      <c r="Q7126" s="46" t="s">
        <v>72</v>
      </c>
      <c r="R7126" s="46" t="s">
        <v>272</v>
      </c>
    </row>
    <row r="7127" spans="1:18" ht="69" customHeight="1">
      <c r="A7127" s="168"/>
      <c r="B7127" s="52">
        <f t="shared" si="33"/>
        <v>7110</v>
      </c>
      <c r="C7127" s="191" t="s">
        <v>3667</v>
      </c>
      <c r="D7127" s="251" t="s">
        <v>17555</v>
      </c>
      <c r="E7127" s="46" t="s">
        <v>266</v>
      </c>
      <c r="F7127" s="46" t="s">
        <v>17556</v>
      </c>
      <c r="G7127" s="46" t="s">
        <v>17546</v>
      </c>
      <c r="H7127" s="534">
        <v>12764.21</v>
      </c>
      <c r="I7127" s="56">
        <v>45296</v>
      </c>
      <c r="J7127" s="199" t="s">
        <v>17547</v>
      </c>
      <c r="K7127" s="46" t="s">
        <v>1170</v>
      </c>
      <c r="M7127" s="70"/>
      <c r="N7127" s="97"/>
      <c r="O7127" s="46" t="s">
        <v>1171</v>
      </c>
      <c r="P7127" s="46" t="s">
        <v>71</v>
      </c>
      <c r="Q7127" s="46" t="s">
        <v>70</v>
      </c>
      <c r="R7127" s="46" t="s">
        <v>272</v>
      </c>
    </row>
    <row r="7128" spans="1:18" s="98" customFormat="1" ht="69" customHeight="1">
      <c r="A7128" s="169"/>
      <c r="B7128" s="48">
        <f t="shared" si="33"/>
        <v>7111</v>
      </c>
      <c r="C7128" s="59" t="s">
        <v>5558</v>
      </c>
      <c r="D7128" s="84" t="s">
        <v>17557</v>
      </c>
      <c r="E7128" s="45" t="s">
        <v>16554</v>
      </c>
      <c r="F7128" s="45" t="s">
        <v>17558</v>
      </c>
      <c r="G7128" s="45" t="s">
        <v>17559</v>
      </c>
      <c r="H7128" s="546">
        <v>145698.41</v>
      </c>
      <c r="I7128" s="47">
        <v>45285</v>
      </c>
      <c r="J7128" s="73" t="s">
        <v>17560</v>
      </c>
      <c r="K7128" s="45"/>
      <c r="M7128" s="385"/>
      <c r="N7128" s="75"/>
      <c r="O7128" s="45" t="s">
        <v>441</v>
      </c>
      <c r="P7128" s="45" t="s">
        <v>22</v>
      </c>
      <c r="Q7128" s="45" t="s">
        <v>64</v>
      </c>
      <c r="R7128" s="45" t="s">
        <v>272</v>
      </c>
    </row>
    <row r="7129" spans="1:18" ht="69" customHeight="1">
      <c r="A7129" s="168"/>
      <c r="B7129" s="52">
        <f t="shared" si="33"/>
        <v>7112</v>
      </c>
      <c r="C7129" s="191" t="s">
        <v>9436</v>
      </c>
      <c r="D7129" s="251" t="s">
        <v>17561</v>
      </c>
      <c r="E7129" s="46" t="s">
        <v>266</v>
      </c>
      <c r="F7129" s="46" t="s">
        <v>17562</v>
      </c>
      <c r="G7129" s="46" t="s">
        <v>17563</v>
      </c>
      <c r="H7129" s="534">
        <v>7000</v>
      </c>
      <c r="I7129" s="56">
        <v>45285</v>
      </c>
      <c r="J7129" s="199" t="s">
        <v>17564</v>
      </c>
      <c r="K7129" s="46"/>
      <c r="M7129" s="70"/>
      <c r="N7129" s="97"/>
      <c r="O7129" s="46" t="s">
        <v>14614</v>
      </c>
      <c r="P7129" s="46" t="s">
        <v>65</v>
      </c>
      <c r="Q7129" s="46" t="s">
        <v>116</v>
      </c>
      <c r="R7129" s="46" t="s">
        <v>272</v>
      </c>
    </row>
    <row r="7130" spans="1:18" ht="69" customHeight="1">
      <c r="A7130" s="168"/>
      <c r="B7130" s="52">
        <f t="shared" si="33"/>
        <v>7113</v>
      </c>
      <c r="C7130" s="191" t="s">
        <v>309</v>
      </c>
      <c r="D7130" s="251" t="s">
        <v>12274</v>
      </c>
      <c r="E7130" s="46" t="s">
        <v>266</v>
      </c>
      <c r="F7130" s="46" t="s">
        <v>17565</v>
      </c>
      <c r="G7130" s="46" t="s">
        <v>17566</v>
      </c>
      <c r="H7130" s="534">
        <v>246</v>
      </c>
      <c r="I7130" s="56">
        <v>45285</v>
      </c>
      <c r="J7130" s="199" t="s">
        <v>17567</v>
      </c>
      <c r="K7130" s="46"/>
      <c r="M7130" s="70"/>
      <c r="N7130" s="97"/>
      <c r="O7130" s="46" t="s">
        <v>14669</v>
      </c>
      <c r="P7130" s="46" t="s">
        <v>65</v>
      </c>
      <c r="Q7130" s="46" t="s">
        <v>39</v>
      </c>
      <c r="R7130" s="46" t="s">
        <v>272</v>
      </c>
    </row>
    <row r="7131" spans="1:18" ht="69" customHeight="1">
      <c r="A7131" s="168"/>
      <c r="B7131" s="62">
        <f t="shared" si="33"/>
        <v>7114</v>
      </c>
      <c r="C7131" s="72" t="s">
        <v>10944</v>
      </c>
      <c r="D7131" s="174" t="s">
        <v>11491</v>
      </c>
      <c r="E7131" s="178" t="s">
        <v>266</v>
      </c>
      <c r="F7131" s="210" t="s">
        <v>17568</v>
      </c>
      <c r="G7131" s="58" t="s">
        <v>17569</v>
      </c>
      <c r="H7131" s="552">
        <v>12000</v>
      </c>
      <c r="I7131" s="66">
        <v>45285</v>
      </c>
      <c r="J7131" s="65" t="s">
        <v>17570</v>
      </c>
      <c r="K7131" s="58"/>
      <c r="M7131" s="70"/>
      <c r="N7131" s="97"/>
      <c r="O7131" s="62" t="s">
        <v>6918</v>
      </c>
      <c r="P7131" s="58" t="s">
        <v>44</v>
      </c>
      <c r="Q7131" s="58" t="s">
        <v>119</v>
      </c>
      <c r="R7131" s="58" t="s">
        <v>272</v>
      </c>
    </row>
    <row r="7132" spans="1:18" ht="69" customHeight="1">
      <c r="A7132" s="168"/>
      <c r="B7132" s="62">
        <f t="shared" si="33"/>
        <v>7115</v>
      </c>
      <c r="C7132" s="178" t="s">
        <v>11055</v>
      </c>
      <c r="D7132" s="174" t="s">
        <v>17191</v>
      </c>
      <c r="E7132" s="178" t="s">
        <v>266</v>
      </c>
      <c r="F7132" s="210" t="s">
        <v>17571</v>
      </c>
      <c r="G7132" s="58" t="s">
        <v>17569</v>
      </c>
      <c r="H7132" s="552">
        <v>12000</v>
      </c>
      <c r="I7132" s="66">
        <v>45285</v>
      </c>
      <c r="J7132" s="65" t="s">
        <v>17570</v>
      </c>
      <c r="K7132" s="58"/>
      <c r="M7132" s="70"/>
      <c r="N7132" s="97"/>
      <c r="O7132" s="62" t="s">
        <v>6918</v>
      </c>
      <c r="P7132" s="58" t="s">
        <v>44</v>
      </c>
      <c r="Q7132" s="58" t="s">
        <v>120</v>
      </c>
      <c r="R7132" s="58" t="s">
        <v>272</v>
      </c>
    </row>
    <row r="7133" spans="1:18" ht="69" customHeight="1">
      <c r="A7133" s="168"/>
      <c r="B7133" s="62">
        <f t="shared" si="33"/>
        <v>7116</v>
      </c>
      <c r="C7133" s="178" t="s">
        <v>458</v>
      </c>
      <c r="D7133" s="174" t="s">
        <v>13493</v>
      </c>
      <c r="E7133" s="178" t="s">
        <v>266</v>
      </c>
      <c r="F7133" s="210" t="s">
        <v>17572</v>
      </c>
      <c r="G7133" s="58" t="s">
        <v>17569</v>
      </c>
      <c r="H7133" s="552">
        <v>12000</v>
      </c>
      <c r="I7133" s="66">
        <v>45285</v>
      </c>
      <c r="J7133" s="65" t="s">
        <v>17570</v>
      </c>
      <c r="K7133" s="58"/>
      <c r="M7133" s="70"/>
      <c r="N7133" s="97"/>
      <c r="O7133" s="62" t="s">
        <v>6918</v>
      </c>
      <c r="P7133" s="58" t="s">
        <v>44</v>
      </c>
      <c r="Q7133" s="58" t="s">
        <v>45</v>
      </c>
      <c r="R7133" s="58" t="s">
        <v>272</v>
      </c>
    </row>
    <row r="7134" spans="1:18" ht="69" customHeight="1">
      <c r="A7134" s="168"/>
      <c r="B7134" s="52">
        <f t="shared" si="33"/>
        <v>7117</v>
      </c>
      <c r="C7134" s="191" t="s">
        <v>11933</v>
      </c>
      <c r="D7134" s="251" t="s">
        <v>12916</v>
      </c>
      <c r="E7134" s="191" t="s">
        <v>266</v>
      </c>
      <c r="F7134" s="211" t="s">
        <v>17573</v>
      </c>
      <c r="G7134" s="46" t="s">
        <v>17574</v>
      </c>
      <c r="H7134" s="534">
        <v>7000</v>
      </c>
      <c r="I7134" s="56">
        <v>45285</v>
      </c>
      <c r="J7134" s="199" t="s">
        <v>17575</v>
      </c>
      <c r="K7134" s="46"/>
      <c r="M7134" s="70"/>
      <c r="N7134" s="97"/>
      <c r="O7134" s="46"/>
      <c r="P7134" s="46" t="s">
        <v>65</v>
      </c>
      <c r="Q7134" s="46" t="s">
        <v>123</v>
      </c>
      <c r="R7134" s="46" t="s">
        <v>272</v>
      </c>
    </row>
    <row r="7135" spans="1:18" ht="69" customHeight="1">
      <c r="A7135" s="168"/>
      <c r="B7135" s="62">
        <f t="shared" si="33"/>
        <v>7118</v>
      </c>
      <c r="C7135" s="59" t="s">
        <v>458</v>
      </c>
      <c r="D7135" s="174" t="s">
        <v>12929</v>
      </c>
      <c r="E7135" s="58" t="s">
        <v>10553</v>
      </c>
      <c r="F7135" s="45" t="s">
        <v>17576</v>
      </c>
      <c r="G7135" s="45" t="s">
        <v>17431</v>
      </c>
      <c r="H7135" s="546">
        <v>3006.92</v>
      </c>
      <c r="I7135" s="66">
        <v>45285</v>
      </c>
      <c r="J7135" s="73" t="s">
        <v>17577</v>
      </c>
      <c r="K7135" s="58"/>
      <c r="M7135" s="70"/>
      <c r="N7135" s="97"/>
      <c r="O7135" s="58" t="s">
        <v>147</v>
      </c>
      <c r="P7135" s="58" t="s">
        <v>22</v>
      </c>
      <c r="Q7135" s="58" t="s">
        <v>103</v>
      </c>
      <c r="R7135" s="58" t="s">
        <v>272</v>
      </c>
    </row>
    <row r="7136" spans="1:18" ht="69" customHeight="1">
      <c r="A7136" s="168"/>
      <c r="B7136" s="62">
        <f t="shared" si="33"/>
        <v>7119</v>
      </c>
      <c r="C7136" s="59" t="s">
        <v>458</v>
      </c>
      <c r="D7136" s="174" t="s">
        <v>12933</v>
      </c>
      <c r="E7136" s="58" t="s">
        <v>10553</v>
      </c>
      <c r="F7136" s="45" t="s">
        <v>17578</v>
      </c>
      <c r="G7136" s="45" t="s">
        <v>17435</v>
      </c>
      <c r="H7136" s="546">
        <v>1619.11</v>
      </c>
      <c r="I7136" s="66">
        <v>45285</v>
      </c>
      <c r="J7136" s="73" t="s">
        <v>17577</v>
      </c>
      <c r="K7136" s="58"/>
      <c r="M7136" s="70"/>
      <c r="N7136" s="97"/>
      <c r="O7136" s="58" t="s">
        <v>147</v>
      </c>
      <c r="P7136" s="58" t="s">
        <v>22</v>
      </c>
      <c r="Q7136" s="58" t="s">
        <v>103</v>
      </c>
      <c r="R7136" s="58" t="s">
        <v>272</v>
      </c>
    </row>
    <row r="7137" spans="1:18" ht="69" customHeight="1">
      <c r="A7137" s="168"/>
      <c r="B7137" s="62">
        <f t="shared" si="33"/>
        <v>7120</v>
      </c>
      <c r="C7137" s="59" t="s">
        <v>458</v>
      </c>
      <c r="D7137" s="174" t="s">
        <v>12952</v>
      </c>
      <c r="E7137" s="58" t="s">
        <v>10553</v>
      </c>
      <c r="F7137" s="45" t="s">
        <v>17579</v>
      </c>
      <c r="G7137" s="45" t="s">
        <v>17580</v>
      </c>
      <c r="H7137" s="546">
        <v>32084.89</v>
      </c>
      <c r="I7137" s="66">
        <v>45285</v>
      </c>
      <c r="J7137" s="73" t="s">
        <v>17581</v>
      </c>
      <c r="K7137" s="58"/>
      <c r="M7137" s="70"/>
      <c r="N7137" s="97"/>
      <c r="O7137" s="58" t="s">
        <v>147</v>
      </c>
      <c r="P7137" s="58" t="s">
        <v>22</v>
      </c>
      <c r="Q7137" s="58" t="s">
        <v>88</v>
      </c>
      <c r="R7137" s="58" t="s">
        <v>272</v>
      </c>
    </row>
    <row r="7138" spans="1:18" ht="69" customHeight="1">
      <c r="A7138" s="168"/>
      <c r="B7138" s="62">
        <f t="shared" si="33"/>
        <v>7121</v>
      </c>
      <c r="C7138" s="59" t="s">
        <v>458</v>
      </c>
      <c r="D7138" s="174" t="s">
        <v>17582</v>
      </c>
      <c r="E7138" s="58" t="s">
        <v>10553</v>
      </c>
      <c r="F7138" s="45" t="s">
        <v>17583</v>
      </c>
      <c r="G7138" s="45" t="s">
        <v>17584</v>
      </c>
      <c r="H7138" s="546">
        <v>17276.48</v>
      </c>
      <c r="I7138" s="66">
        <v>45285</v>
      </c>
      <c r="J7138" s="73" t="s">
        <v>17581</v>
      </c>
      <c r="K7138" s="58"/>
      <c r="M7138" s="70"/>
      <c r="N7138" s="97"/>
      <c r="O7138" s="58" t="s">
        <v>147</v>
      </c>
      <c r="P7138" s="58" t="s">
        <v>22</v>
      </c>
      <c r="Q7138" s="58" t="s">
        <v>88</v>
      </c>
      <c r="R7138" s="58" t="s">
        <v>272</v>
      </c>
    </row>
    <row r="7139" spans="1:18" ht="69" customHeight="1">
      <c r="A7139" s="168"/>
      <c r="B7139" s="62">
        <f t="shared" si="33"/>
        <v>7122</v>
      </c>
      <c r="C7139" s="59" t="s">
        <v>458</v>
      </c>
      <c r="D7139" s="174" t="s">
        <v>17585</v>
      </c>
      <c r="E7139" s="178" t="s">
        <v>10553</v>
      </c>
      <c r="F7139" s="45" t="s">
        <v>17586</v>
      </c>
      <c r="G7139" s="45" t="s">
        <v>15757</v>
      </c>
      <c r="H7139" s="546">
        <v>9074.99</v>
      </c>
      <c r="I7139" s="66">
        <v>45285</v>
      </c>
      <c r="J7139" s="73" t="s">
        <v>17587</v>
      </c>
      <c r="K7139" s="58"/>
      <c r="M7139" s="70"/>
      <c r="N7139" s="97"/>
      <c r="O7139" s="58" t="s">
        <v>147</v>
      </c>
      <c r="P7139" s="58" t="s">
        <v>22</v>
      </c>
      <c r="Q7139" s="58" t="s">
        <v>123</v>
      </c>
      <c r="R7139" s="58" t="s">
        <v>272</v>
      </c>
    </row>
    <row r="7140" spans="1:18" ht="69" customHeight="1">
      <c r="A7140" s="168"/>
      <c r="B7140" s="62">
        <f t="shared" si="33"/>
        <v>7123</v>
      </c>
      <c r="C7140" s="59" t="s">
        <v>458</v>
      </c>
      <c r="D7140" s="174" t="s">
        <v>12963</v>
      </c>
      <c r="E7140" s="178" t="s">
        <v>10553</v>
      </c>
      <c r="F7140" s="45" t="s">
        <v>17588</v>
      </c>
      <c r="G7140" s="45" t="s">
        <v>15760</v>
      </c>
      <c r="H7140" s="546">
        <v>4886.54</v>
      </c>
      <c r="I7140" s="66">
        <v>45285</v>
      </c>
      <c r="J7140" s="73" t="s">
        <v>17587</v>
      </c>
      <c r="K7140" s="58"/>
      <c r="M7140" s="70"/>
      <c r="N7140" s="97"/>
      <c r="O7140" s="58" t="s">
        <v>147</v>
      </c>
      <c r="P7140" s="58" t="s">
        <v>22</v>
      </c>
      <c r="Q7140" s="58" t="s">
        <v>123</v>
      </c>
      <c r="R7140" s="58" t="s">
        <v>272</v>
      </c>
    </row>
    <row r="7141" spans="1:18" ht="69" customHeight="1">
      <c r="A7141" s="168"/>
      <c r="B7141" s="62">
        <f t="shared" si="33"/>
        <v>7124</v>
      </c>
      <c r="C7141" s="59" t="s">
        <v>657</v>
      </c>
      <c r="D7141" s="174" t="s">
        <v>3934</v>
      </c>
      <c r="E7141" s="58" t="s">
        <v>10553</v>
      </c>
      <c r="F7141" s="45" t="s">
        <v>17589</v>
      </c>
      <c r="G7141" s="45" t="s">
        <v>15757</v>
      </c>
      <c r="H7141" s="546">
        <v>55254.62</v>
      </c>
      <c r="I7141" s="66">
        <v>45285</v>
      </c>
      <c r="J7141" s="73" t="s">
        <v>17590</v>
      </c>
      <c r="K7141" s="58"/>
      <c r="M7141" s="70"/>
      <c r="N7141" s="97"/>
      <c r="O7141" s="58" t="s">
        <v>147</v>
      </c>
      <c r="P7141" s="58" t="s">
        <v>22</v>
      </c>
      <c r="Q7141" s="58" t="s">
        <v>120</v>
      </c>
      <c r="R7141" s="58" t="s">
        <v>272</v>
      </c>
    </row>
    <row r="7142" spans="1:18" ht="69" customHeight="1">
      <c r="A7142" s="168"/>
      <c r="B7142" s="62">
        <f t="shared" si="33"/>
        <v>7125</v>
      </c>
      <c r="C7142" s="59" t="s">
        <v>657</v>
      </c>
      <c r="D7142" s="174" t="s">
        <v>6882</v>
      </c>
      <c r="E7142" s="58" t="s">
        <v>10553</v>
      </c>
      <c r="F7142" s="45" t="s">
        <v>17591</v>
      </c>
      <c r="G7142" s="45" t="s">
        <v>15760</v>
      </c>
      <c r="H7142" s="546">
        <v>29752.49</v>
      </c>
      <c r="I7142" s="66">
        <v>45285</v>
      </c>
      <c r="J7142" s="73" t="s">
        <v>17590</v>
      </c>
      <c r="K7142" s="58"/>
      <c r="M7142" s="70"/>
      <c r="N7142" s="97"/>
      <c r="O7142" s="58" t="s">
        <v>147</v>
      </c>
      <c r="P7142" s="58" t="s">
        <v>22</v>
      </c>
      <c r="Q7142" s="58" t="s">
        <v>120</v>
      </c>
      <c r="R7142" s="58" t="s">
        <v>272</v>
      </c>
    </row>
    <row r="7143" spans="1:18" ht="69" customHeight="1">
      <c r="A7143" s="168"/>
      <c r="B7143" s="62">
        <f t="shared" si="33"/>
        <v>7126</v>
      </c>
      <c r="C7143" s="44" t="s">
        <v>9004</v>
      </c>
      <c r="D7143" s="174" t="s">
        <v>6980</v>
      </c>
      <c r="E7143" s="45" t="s">
        <v>15436</v>
      </c>
      <c r="F7143" s="45" t="s">
        <v>17592</v>
      </c>
      <c r="G7143" s="58" t="s">
        <v>17593</v>
      </c>
      <c r="H7143" s="546">
        <v>65815.360000000001</v>
      </c>
      <c r="I7143" s="66">
        <v>45285</v>
      </c>
      <c r="J7143" s="73" t="s">
        <v>17594</v>
      </c>
      <c r="K7143" s="58"/>
      <c r="M7143" s="70"/>
      <c r="N7143" s="97"/>
      <c r="O7143" s="58" t="s">
        <v>16399</v>
      </c>
      <c r="P7143" s="58" t="s">
        <v>55</v>
      </c>
      <c r="Q7143" s="58" t="s">
        <v>111</v>
      </c>
      <c r="R7143" s="58" t="s">
        <v>272</v>
      </c>
    </row>
    <row r="7144" spans="1:18" ht="69" customHeight="1">
      <c r="A7144" s="168"/>
      <c r="B7144" s="62">
        <f t="shared" si="33"/>
        <v>7127</v>
      </c>
      <c r="C7144" s="59" t="s">
        <v>13435</v>
      </c>
      <c r="D7144" s="174" t="s">
        <v>17595</v>
      </c>
      <c r="E7144" s="45" t="s">
        <v>17521</v>
      </c>
      <c r="F7144" s="45" t="s">
        <v>17596</v>
      </c>
      <c r="G7144" s="58" t="s">
        <v>17597</v>
      </c>
      <c r="H7144" s="546">
        <v>45000</v>
      </c>
      <c r="I7144" s="66">
        <v>45285</v>
      </c>
      <c r="J7144" s="73" t="s">
        <v>17598</v>
      </c>
      <c r="K7144" s="58"/>
      <c r="M7144" s="70"/>
      <c r="N7144" s="97"/>
      <c r="O7144" s="58" t="s">
        <v>441</v>
      </c>
      <c r="P7144" s="58" t="s">
        <v>22</v>
      </c>
      <c r="Q7144" s="58" t="s">
        <v>13</v>
      </c>
      <c r="R7144" s="58" t="s">
        <v>265</v>
      </c>
    </row>
    <row r="7145" spans="1:18" ht="69" customHeight="1">
      <c r="A7145" s="168"/>
      <c r="B7145" s="62">
        <f t="shared" si="33"/>
        <v>7128</v>
      </c>
      <c r="C7145" s="59" t="s">
        <v>3667</v>
      </c>
      <c r="D7145" s="174" t="s">
        <v>17599</v>
      </c>
      <c r="E7145" s="58" t="s">
        <v>17600</v>
      </c>
      <c r="F7145" s="58" t="s">
        <v>17601</v>
      </c>
      <c r="G7145" s="58" t="s">
        <v>17602</v>
      </c>
      <c r="H7145" s="546">
        <v>49920</v>
      </c>
      <c r="I7145" s="66">
        <v>45285</v>
      </c>
      <c r="J7145" s="73" t="s">
        <v>17603</v>
      </c>
      <c r="K7145" s="58"/>
      <c r="M7145" s="70"/>
      <c r="N7145" s="97"/>
      <c r="O7145" s="58" t="s">
        <v>141</v>
      </c>
      <c r="P7145" s="58" t="s">
        <v>17</v>
      </c>
      <c r="Q7145" s="58" t="s">
        <v>18</v>
      </c>
      <c r="R7145" s="58" t="s">
        <v>272</v>
      </c>
    </row>
    <row r="7146" spans="1:18" ht="69" customHeight="1">
      <c r="A7146" s="168"/>
      <c r="B7146" s="62">
        <f t="shared" si="33"/>
        <v>7129</v>
      </c>
      <c r="C7146" s="59" t="s">
        <v>3667</v>
      </c>
      <c r="D7146" s="174" t="s">
        <v>17604</v>
      </c>
      <c r="E7146" s="58" t="s">
        <v>17600</v>
      </c>
      <c r="F7146" s="58" t="s">
        <v>17605</v>
      </c>
      <c r="G7146" s="58" t="s">
        <v>17602</v>
      </c>
      <c r="H7146" s="546">
        <v>8000</v>
      </c>
      <c r="I7146" s="66">
        <v>45285</v>
      </c>
      <c r="J7146" s="73" t="s">
        <v>17603</v>
      </c>
      <c r="K7146" s="58"/>
      <c r="M7146" s="70"/>
      <c r="N7146" s="97"/>
      <c r="O7146" s="58" t="s">
        <v>141</v>
      </c>
      <c r="P7146" s="58" t="s">
        <v>17</v>
      </c>
      <c r="Q7146" s="58" t="s">
        <v>64</v>
      </c>
      <c r="R7146" s="58" t="s">
        <v>272</v>
      </c>
    </row>
    <row r="7147" spans="1:18" ht="69" customHeight="1">
      <c r="A7147" s="168"/>
      <c r="B7147" s="48">
        <f t="shared" si="33"/>
        <v>7130</v>
      </c>
      <c r="C7147" s="59" t="s">
        <v>13665</v>
      </c>
      <c r="D7147" s="84" t="s">
        <v>5245</v>
      </c>
      <c r="E7147" s="45" t="s">
        <v>17600</v>
      </c>
      <c r="F7147" s="45" t="s">
        <v>17606</v>
      </c>
      <c r="G7147" s="45" t="s">
        <v>17602</v>
      </c>
      <c r="H7147" s="546">
        <v>150000</v>
      </c>
      <c r="I7147" s="47">
        <v>45366</v>
      </c>
      <c r="J7147" s="73" t="s">
        <v>17603</v>
      </c>
      <c r="K7147" s="67"/>
      <c r="M7147" s="70"/>
      <c r="N7147" s="97"/>
      <c r="O7147" s="58" t="s">
        <v>141</v>
      </c>
      <c r="P7147" s="58" t="s">
        <v>17</v>
      </c>
      <c r="Q7147" s="58" t="s">
        <v>80</v>
      </c>
      <c r="R7147" s="58" t="s">
        <v>272</v>
      </c>
    </row>
    <row r="7148" spans="1:18" ht="69" customHeight="1">
      <c r="A7148" s="168"/>
      <c r="B7148" s="48">
        <f t="shared" si="33"/>
        <v>7131</v>
      </c>
      <c r="C7148" s="59" t="s">
        <v>13665</v>
      </c>
      <c r="D7148" s="84" t="s">
        <v>4554</v>
      </c>
      <c r="E7148" s="45" t="s">
        <v>17600</v>
      </c>
      <c r="F7148" s="45" t="s">
        <v>17607</v>
      </c>
      <c r="G7148" s="45" t="s">
        <v>17602</v>
      </c>
      <c r="H7148" s="546">
        <v>50000</v>
      </c>
      <c r="I7148" s="47">
        <v>45366</v>
      </c>
      <c r="J7148" s="73" t="s">
        <v>17603</v>
      </c>
      <c r="K7148" s="45"/>
      <c r="M7148" s="70"/>
      <c r="N7148" s="97"/>
      <c r="O7148" s="58" t="s">
        <v>141</v>
      </c>
      <c r="P7148" s="58" t="s">
        <v>17</v>
      </c>
      <c r="Q7148" s="58" t="s">
        <v>82</v>
      </c>
      <c r="R7148" s="58" t="s">
        <v>272</v>
      </c>
    </row>
    <row r="7149" spans="1:18" ht="69" customHeight="1">
      <c r="A7149" s="168"/>
      <c r="B7149" s="62">
        <f t="shared" si="33"/>
        <v>7132</v>
      </c>
      <c r="C7149" s="59" t="s">
        <v>3667</v>
      </c>
      <c r="D7149" s="174" t="s">
        <v>17608</v>
      </c>
      <c r="E7149" s="58" t="s">
        <v>17600</v>
      </c>
      <c r="F7149" s="45" t="s">
        <v>17609</v>
      </c>
      <c r="G7149" s="58" t="s">
        <v>17602</v>
      </c>
      <c r="H7149" s="546">
        <v>153000</v>
      </c>
      <c r="I7149" s="66">
        <v>45285</v>
      </c>
      <c r="J7149" s="73" t="s">
        <v>17603</v>
      </c>
      <c r="K7149" s="45"/>
      <c r="M7149" s="70"/>
      <c r="N7149" s="97"/>
      <c r="O7149" s="58" t="s">
        <v>141</v>
      </c>
      <c r="P7149" s="58" t="s">
        <v>17</v>
      </c>
      <c r="Q7149" s="58" t="s">
        <v>72</v>
      </c>
      <c r="R7149" s="58" t="s">
        <v>272</v>
      </c>
    </row>
    <row r="7150" spans="1:18" ht="69" customHeight="1">
      <c r="A7150" s="168"/>
      <c r="B7150" s="62">
        <f t="shared" si="33"/>
        <v>7133</v>
      </c>
      <c r="C7150" s="59" t="s">
        <v>3667</v>
      </c>
      <c r="D7150" s="174" t="s">
        <v>17610</v>
      </c>
      <c r="E7150" s="58" t="s">
        <v>17600</v>
      </c>
      <c r="F7150" s="45" t="s">
        <v>17611</v>
      </c>
      <c r="G7150" s="58" t="s">
        <v>17602</v>
      </c>
      <c r="H7150" s="546">
        <v>325080</v>
      </c>
      <c r="I7150" s="66">
        <v>45285</v>
      </c>
      <c r="J7150" s="73" t="s">
        <v>17603</v>
      </c>
      <c r="K7150" s="58"/>
      <c r="M7150" s="70"/>
      <c r="N7150" s="97"/>
      <c r="O7150" s="58" t="s">
        <v>141</v>
      </c>
      <c r="P7150" s="58" t="s">
        <v>17</v>
      </c>
      <c r="Q7150" s="58" t="s">
        <v>68</v>
      </c>
      <c r="R7150" s="58" t="s">
        <v>272</v>
      </c>
    </row>
    <row r="7151" spans="1:18" s="98" customFormat="1" ht="69" customHeight="1">
      <c r="A7151" s="169"/>
      <c r="B7151" s="48">
        <f t="shared" si="33"/>
        <v>7134</v>
      </c>
      <c r="C7151" s="178" t="s">
        <v>657</v>
      </c>
      <c r="D7151" s="84" t="s">
        <v>11450</v>
      </c>
      <c r="E7151" s="45" t="s">
        <v>17600</v>
      </c>
      <c r="F7151" s="45" t="s">
        <v>17612</v>
      </c>
      <c r="G7151" s="45" t="s">
        <v>17602</v>
      </c>
      <c r="H7151" s="546">
        <v>19600</v>
      </c>
      <c r="I7151" s="47">
        <v>45285</v>
      </c>
      <c r="J7151" s="73" t="s">
        <v>17603</v>
      </c>
      <c r="K7151" s="45"/>
      <c r="M7151" s="385"/>
      <c r="N7151" s="75"/>
      <c r="O7151" s="45" t="s">
        <v>141</v>
      </c>
      <c r="P7151" s="45" t="s">
        <v>17</v>
      </c>
      <c r="Q7151" s="45" t="s">
        <v>97</v>
      </c>
      <c r="R7151" s="45" t="s">
        <v>272</v>
      </c>
    </row>
    <row r="7152" spans="1:18" s="98" customFormat="1" ht="69" customHeight="1">
      <c r="A7152" s="169"/>
      <c r="B7152" s="48">
        <f t="shared" si="33"/>
        <v>7135</v>
      </c>
      <c r="C7152" s="178" t="s">
        <v>657</v>
      </c>
      <c r="D7152" s="84" t="s">
        <v>17613</v>
      </c>
      <c r="E7152" s="45" t="s">
        <v>17600</v>
      </c>
      <c r="F7152" s="45" t="s">
        <v>17614</v>
      </c>
      <c r="G7152" s="45" t="s">
        <v>17602</v>
      </c>
      <c r="H7152" s="546">
        <v>51126.44</v>
      </c>
      <c r="I7152" s="47">
        <v>45285</v>
      </c>
      <c r="J7152" s="73" t="s">
        <v>17603</v>
      </c>
      <c r="K7152" s="45"/>
      <c r="M7152" s="385"/>
      <c r="N7152" s="75"/>
      <c r="O7152" s="45" t="s">
        <v>141</v>
      </c>
      <c r="P7152" s="45" t="s">
        <v>17</v>
      </c>
      <c r="Q7152" s="45" t="s">
        <v>102</v>
      </c>
      <c r="R7152" s="45" t="s">
        <v>272</v>
      </c>
    </row>
    <row r="7153" spans="1:18" s="98" customFormat="1" ht="69" customHeight="1">
      <c r="A7153" s="169"/>
      <c r="B7153" s="48">
        <f t="shared" si="33"/>
        <v>7136</v>
      </c>
      <c r="C7153" s="178" t="s">
        <v>657</v>
      </c>
      <c r="D7153" s="84" t="s">
        <v>6982</v>
      </c>
      <c r="E7153" s="45" t="s">
        <v>17600</v>
      </c>
      <c r="F7153" s="45" t="s">
        <v>17615</v>
      </c>
      <c r="G7153" s="45" t="s">
        <v>17602</v>
      </c>
      <c r="H7153" s="546">
        <v>212000</v>
      </c>
      <c r="I7153" s="47">
        <v>45285</v>
      </c>
      <c r="J7153" s="73" t="s">
        <v>17603</v>
      </c>
      <c r="K7153" s="45"/>
      <c r="M7153" s="385"/>
      <c r="N7153" s="75"/>
      <c r="O7153" s="45" t="s">
        <v>141</v>
      </c>
      <c r="P7153" s="45" t="s">
        <v>17</v>
      </c>
      <c r="Q7153" s="45" t="s">
        <v>111</v>
      </c>
      <c r="R7153" s="45" t="s">
        <v>272</v>
      </c>
    </row>
    <row r="7154" spans="1:18" s="98" customFormat="1" ht="69" customHeight="1">
      <c r="A7154" s="169"/>
      <c r="B7154" s="48">
        <f t="shared" si="33"/>
        <v>7137</v>
      </c>
      <c r="C7154" s="59" t="s">
        <v>657</v>
      </c>
      <c r="D7154" s="84" t="s">
        <v>6817</v>
      </c>
      <c r="E7154" s="45" t="s">
        <v>17600</v>
      </c>
      <c r="F7154" s="45" t="s">
        <v>17616</v>
      </c>
      <c r="G7154" s="45" t="s">
        <v>17602</v>
      </c>
      <c r="H7154" s="546">
        <v>23353.85</v>
      </c>
      <c r="I7154" s="47">
        <v>45285</v>
      </c>
      <c r="J7154" s="73" t="s">
        <v>17603</v>
      </c>
      <c r="K7154" s="45"/>
      <c r="M7154" s="385"/>
      <c r="N7154" s="75"/>
      <c r="O7154" s="45" t="s">
        <v>141</v>
      </c>
      <c r="P7154" s="45" t="s">
        <v>17</v>
      </c>
      <c r="Q7154" s="45" t="s">
        <v>120</v>
      </c>
      <c r="R7154" s="45" t="s">
        <v>272</v>
      </c>
    </row>
    <row r="7155" spans="1:18" s="98" customFormat="1" ht="69" customHeight="1">
      <c r="A7155" s="169"/>
      <c r="B7155" s="48">
        <f t="shared" si="33"/>
        <v>7138</v>
      </c>
      <c r="C7155" s="59" t="s">
        <v>657</v>
      </c>
      <c r="D7155" s="84" t="s">
        <v>6880</v>
      </c>
      <c r="E7155" s="45" t="s">
        <v>17600</v>
      </c>
      <c r="F7155" s="45" t="s">
        <v>17617</v>
      </c>
      <c r="G7155" s="45" t="s">
        <v>17602</v>
      </c>
      <c r="H7155" s="546">
        <v>138238.01</v>
      </c>
      <c r="I7155" s="47">
        <v>45285</v>
      </c>
      <c r="J7155" s="73" t="s">
        <v>17603</v>
      </c>
      <c r="K7155" s="45"/>
      <c r="M7155" s="385"/>
      <c r="N7155" s="75"/>
      <c r="O7155" s="45" t="s">
        <v>141</v>
      </c>
      <c r="P7155" s="45" t="s">
        <v>17</v>
      </c>
      <c r="Q7155" s="45" t="s">
        <v>106</v>
      </c>
      <c r="R7155" s="45" t="s">
        <v>272</v>
      </c>
    </row>
    <row r="7156" spans="1:18" ht="69" customHeight="1">
      <c r="A7156" s="168"/>
      <c r="B7156" s="52">
        <f t="shared" si="33"/>
        <v>7139</v>
      </c>
      <c r="C7156" s="191" t="s">
        <v>309</v>
      </c>
      <c r="D7156" s="251" t="s">
        <v>12277</v>
      </c>
      <c r="E7156" s="191" t="s">
        <v>266</v>
      </c>
      <c r="F7156" s="46" t="s">
        <v>17618</v>
      </c>
      <c r="G7156" s="46" t="s">
        <v>17619</v>
      </c>
      <c r="H7156" s="534">
        <v>1100</v>
      </c>
      <c r="I7156" s="56">
        <v>45285</v>
      </c>
      <c r="J7156" s="199" t="s">
        <v>17620</v>
      </c>
      <c r="K7156" s="46" t="s">
        <v>1170</v>
      </c>
      <c r="M7156" s="70"/>
      <c r="N7156" s="97"/>
      <c r="O7156" s="46" t="s">
        <v>14652</v>
      </c>
      <c r="P7156" s="46" t="s">
        <v>65</v>
      </c>
      <c r="Q7156" s="46" t="s">
        <v>41</v>
      </c>
      <c r="R7156" s="46" t="s">
        <v>272</v>
      </c>
    </row>
    <row r="7157" spans="1:18" ht="69" customHeight="1">
      <c r="A7157" s="168"/>
      <c r="B7157" s="52">
        <f t="shared" si="33"/>
        <v>7140</v>
      </c>
      <c r="C7157" s="191" t="s">
        <v>309</v>
      </c>
      <c r="D7157" s="251" t="s">
        <v>12292</v>
      </c>
      <c r="E7157" s="191" t="s">
        <v>266</v>
      </c>
      <c r="F7157" s="46" t="s">
        <v>17621</v>
      </c>
      <c r="G7157" s="46" t="s">
        <v>17619</v>
      </c>
      <c r="H7157" s="534">
        <v>2600</v>
      </c>
      <c r="I7157" s="56">
        <v>45285</v>
      </c>
      <c r="J7157" s="199" t="s">
        <v>17620</v>
      </c>
      <c r="K7157" s="46" t="s">
        <v>1170</v>
      </c>
      <c r="M7157" s="70"/>
      <c r="N7157" s="97"/>
      <c r="O7157" s="46" t="s">
        <v>14652</v>
      </c>
      <c r="P7157" s="46" t="s">
        <v>65</v>
      </c>
      <c r="Q7157" s="46" t="s">
        <v>39</v>
      </c>
      <c r="R7157" s="46" t="s">
        <v>272</v>
      </c>
    </row>
    <row r="7158" spans="1:18" ht="69" customHeight="1">
      <c r="A7158" s="168"/>
      <c r="B7158" s="52">
        <f t="shared" si="33"/>
        <v>7141</v>
      </c>
      <c r="C7158" s="191" t="s">
        <v>309</v>
      </c>
      <c r="D7158" s="251" t="s">
        <v>12296</v>
      </c>
      <c r="E7158" s="191" t="s">
        <v>266</v>
      </c>
      <c r="F7158" s="46" t="s">
        <v>17622</v>
      </c>
      <c r="G7158" s="46" t="s">
        <v>17619</v>
      </c>
      <c r="H7158" s="534">
        <v>2900</v>
      </c>
      <c r="I7158" s="56">
        <v>45285</v>
      </c>
      <c r="J7158" s="199" t="s">
        <v>17620</v>
      </c>
      <c r="K7158" s="46" t="s">
        <v>1170</v>
      </c>
      <c r="M7158" s="70"/>
      <c r="N7158" s="97"/>
      <c r="O7158" s="46" t="s">
        <v>16879</v>
      </c>
      <c r="P7158" s="46" t="s">
        <v>65</v>
      </c>
      <c r="Q7158" s="46" t="s">
        <v>23</v>
      </c>
      <c r="R7158" s="46" t="s">
        <v>272</v>
      </c>
    </row>
    <row r="7159" spans="1:18" ht="69" customHeight="1">
      <c r="A7159" s="168"/>
      <c r="B7159" s="62">
        <f t="shared" si="33"/>
        <v>7142</v>
      </c>
      <c r="C7159" s="59" t="s">
        <v>9094</v>
      </c>
      <c r="D7159" s="174" t="s">
        <v>12967</v>
      </c>
      <c r="E7159" s="58" t="s">
        <v>17623</v>
      </c>
      <c r="F7159" s="58" t="s">
        <v>17624</v>
      </c>
      <c r="G7159" s="58" t="s">
        <v>17625</v>
      </c>
      <c r="H7159" s="546">
        <v>112032.61</v>
      </c>
      <c r="I7159" s="66">
        <v>45285</v>
      </c>
      <c r="J7159" s="73" t="s">
        <v>17626</v>
      </c>
      <c r="K7159" s="58"/>
      <c r="M7159" s="70"/>
      <c r="N7159" s="97"/>
      <c r="O7159" s="58" t="s">
        <v>234</v>
      </c>
      <c r="P7159" s="58" t="s">
        <v>57</v>
      </c>
      <c r="Q7159" s="58" t="s">
        <v>112</v>
      </c>
      <c r="R7159" s="58" t="s">
        <v>272</v>
      </c>
    </row>
    <row r="7160" spans="1:18" ht="69" customHeight="1">
      <c r="A7160" s="168"/>
      <c r="B7160" s="259">
        <f t="shared" si="33"/>
        <v>7143</v>
      </c>
      <c r="C7160" s="160" t="s">
        <v>16368</v>
      </c>
      <c r="D7160" s="303" t="s">
        <v>3672</v>
      </c>
      <c r="E7160" s="207" t="s">
        <v>266</v>
      </c>
      <c r="F7160" s="160" t="s">
        <v>17627</v>
      </c>
      <c r="G7160" s="160" t="s">
        <v>17628</v>
      </c>
      <c r="H7160" s="300">
        <v>101607.5</v>
      </c>
      <c r="I7160" s="209">
        <v>45285</v>
      </c>
      <c r="J7160" s="316" t="s">
        <v>17629</v>
      </c>
      <c r="K7160" s="160" t="s">
        <v>11084</v>
      </c>
      <c r="M7160" s="70"/>
      <c r="N7160" s="97"/>
      <c r="O7160" s="160" t="s">
        <v>17630</v>
      </c>
      <c r="P7160" s="160" t="s">
        <v>67</v>
      </c>
      <c r="Q7160" s="160" t="s">
        <v>96</v>
      </c>
      <c r="R7160" s="160" t="s">
        <v>272</v>
      </c>
    </row>
    <row r="7161" spans="1:18" ht="69" customHeight="1">
      <c r="A7161" s="168"/>
      <c r="B7161" s="62">
        <f t="shared" si="33"/>
        <v>7144</v>
      </c>
      <c r="C7161" s="59" t="s">
        <v>458</v>
      </c>
      <c r="D7161" s="174" t="s">
        <v>12972</v>
      </c>
      <c r="E7161" s="45" t="s">
        <v>15554</v>
      </c>
      <c r="F7161" s="45" t="s">
        <v>17631</v>
      </c>
      <c r="G7161" s="45" t="s">
        <v>17632</v>
      </c>
      <c r="H7161" s="546">
        <v>142795.79</v>
      </c>
      <c r="I7161" s="66">
        <v>45285</v>
      </c>
      <c r="J7161" s="65" t="s">
        <v>17633</v>
      </c>
      <c r="K7161" s="58"/>
      <c r="M7161" s="70"/>
      <c r="N7161" s="97"/>
      <c r="O7161" s="58" t="s">
        <v>147</v>
      </c>
      <c r="P7161" s="58" t="s">
        <v>22</v>
      </c>
      <c r="Q7161" s="58" t="s">
        <v>112</v>
      </c>
      <c r="R7161" s="58" t="s">
        <v>272</v>
      </c>
    </row>
    <row r="7162" spans="1:18" ht="69" customHeight="1">
      <c r="A7162" s="168"/>
      <c r="B7162" s="62">
        <f t="shared" ref="B7162:B7225" si="34">B7161+1</f>
        <v>7145</v>
      </c>
      <c r="C7162" s="59" t="s">
        <v>458</v>
      </c>
      <c r="D7162" s="174" t="s">
        <v>12974</v>
      </c>
      <c r="E7162" s="45" t="s">
        <v>15554</v>
      </c>
      <c r="F7162" s="45" t="s">
        <v>17634</v>
      </c>
      <c r="G7162" s="45" t="s">
        <v>17635</v>
      </c>
      <c r="H7162" s="546">
        <v>76890.039999999994</v>
      </c>
      <c r="I7162" s="66">
        <v>45285</v>
      </c>
      <c r="J7162" s="65" t="s">
        <v>17633</v>
      </c>
      <c r="K7162" s="58"/>
      <c r="M7162" s="70"/>
      <c r="N7162" s="97"/>
      <c r="O7162" s="58" t="s">
        <v>147</v>
      </c>
      <c r="P7162" s="58" t="s">
        <v>22</v>
      </c>
      <c r="Q7162" s="58" t="s">
        <v>112</v>
      </c>
      <c r="R7162" s="58" t="s">
        <v>272</v>
      </c>
    </row>
    <row r="7163" spans="1:18" ht="69" customHeight="1">
      <c r="A7163" s="168"/>
      <c r="B7163" s="62">
        <f t="shared" si="34"/>
        <v>7146</v>
      </c>
      <c r="C7163" s="59" t="s">
        <v>1853</v>
      </c>
      <c r="D7163" s="174" t="s">
        <v>12299</v>
      </c>
      <c r="E7163" s="45" t="s">
        <v>17521</v>
      </c>
      <c r="F7163" s="45" t="s">
        <v>17636</v>
      </c>
      <c r="G7163" s="45" t="s">
        <v>17637</v>
      </c>
      <c r="H7163" s="546">
        <v>40504.58</v>
      </c>
      <c r="I7163" s="66">
        <v>45285</v>
      </c>
      <c r="J7163" s="65" t="s">
        <v>17638</v>
      </c>
      <c r="K7163" s="58"/>
      <c r="M7163" s="70"/>
      <c r="N7163" s="97"/>
      <c r="O7163" s="58" t="s">
        <v>441</v>
      </c>
      <c r="P7163" s="58" t="s">
        <v>22</v>
      </c>
      <c r="Q7163" s="58" t="s">
        <v>29</v>
      </c>
      <c r="R7163" s="58" t="s">
        <v>265</v>
      </c>
    </row>
    <row r="7164" spans="1:18" ht="69" customHeight="1">
      <c r="A7164" s="168"/>
      <c r="B7164" s="62">
        <f t="shared" si="34"/>
        <v>7147</v>
      </c>
      <c r="C7164" s="59" t="s">
        <v>458</v>
      </c>
      <c r="D7164" s="174" t="s">
        <v>12987</v>
      </c>
      <c r="E7164" s="45" t="s">
        <v>358</v>
      </c>
      <c r="F7164" s="45" t="s">
        <v>17639</v>
      </c>
      <c r="G7164" s="45" t="s">
        <v>17640</v>
      </c>
      <c r="H7164" s="546">
        <v>63058.53</v>
      </c>
      <c r="I7164" s="66">
        <v>45285</v>
      </c>
      <c r="J7164" s="65" t="s">
        <v>17641</v>
      </c>
      <c r="K7164" s="58"/>
      <c r="M7164" s="70"/>
      <c r="N7164" s="97"/>
      <c r="O7164" s="58" t="s">
        <v>141</v>
      </c>
      <c r="P7164" s="58" t="s">
        <v>19</v>
      </c>
      <c r="Q7164" s="58" t="s">
        <v>119</v>
      </c>
      <c r="R7164" s="58" t="s">
        <v>272</v>
      </c>
    </row>
    <row r="7165" spans="1:18" ht="69" customHeight="1">
      <c r="A7165" s="168"/>
      <c r="B7165" s="62">
        <f t="shared" si="34"/>
        <v>7148</v>
      </c>
      <c r="C7165" s="59" t="s">
        <v>458</v>
      </c>
      <c r="D7165" s="174" t="s">
        <v>12991</v>
      </c>
      <c r="E7165" s="45" t="s">
        <v>358</v>
      </c>
      <c r="F7165" s="45" t="s">
        <v>17642</v>
      </c>
      <c r="G7165" s="45" t="s">
        <v>17640</v>
      </c>
      <c r="H7165" s="546">
        <v>114480</v>
      </c>
      <c r="I7165" s="66">
        <v>45285</v>
      </c>
      <c r="J7165" s="65" t="s">
        <v>17641</v>
      </c>
      <c r="K7165" s="58"/>
      <c r="M7165" s="70"/>
      <c r="N7165" s="97"/>
      <c r="O7165" s="58" t="s">
        <v>141</v>
      </c>
      <c r="P7165" s="58" t="s">
        <v>19</v>
      </c>
      <c r="Q7165" s="58" t="s">
        <v>119</v>
      </c>
      <c r="R7165" s="58" t="s">
        <v>272</v>
      </c>
    </row>
    <row r="7166" spans="1:18" ht="69" customHeight="1">
      <c r="A7166" s="168"/>
      <c r="B7166" s="62">
        <f t="shared" si="34"/>
        <v>7149</v>
      </c>
      <c r="C7166" s="44" t="s">
        <v>10944</v>
      </c>
      <c r="D7166" s="174" t="s">
        <v>5394</v>
      </c>
      <c r="E7166" s="45" t="s">
        <v>358</v>
      </c>
      <c r="F7166" s="45" t="s">
        <v>17643</v>
      </c>
      <c r="G7166" s="45" t="s">
        <v>17640</v>
      </c>
      <c r="H7166" s="546">
        <v>92343.25</v>
      </c>
      <c r="I7166" s="66">
        <v>45285</v>
      </c>
      <c r="J7166" s="65" t="s">
        <v>17641</v>
      </c>
      <c r="K7166" s="58"/>
      <c r="M7166" s="70"/>
      <c r="N7166" s="97"/>
      <c r="O7166" s="58" t="s">
        <v>141</v>
      </c>
      <c r="P7166" s="58" t="s">
        <v>19</v>
      </c>
      <c r="Q7166" s="58" t="s">
        <v>120</v>
      </c>
      <c r="R7166" s="58" t="s">
        <v>272</v>
      </c>
    </row>
    <row r="7167" spans="1:18" ht="69" customHeight="1">
      <c r="A7167" s="168"/>
      <c r="B7167" s="259">
        <f t="shared" si="34"/>
        <v>7150</v>
      </c>
      <c r="C7167" s="207" t="s">
        <v>13156</v>
      </c>
      <c r="D7167" s="303" t="s">
        <v>8267</v>
      </c>
      <c r="E7167" s="207" t="s">
        <v>266</v>
      </c>
      <c r="F7167" s="160" t="s">
        <v>17644</v>
      </c>
      <c r="G7167" s="160" t="s">
        <v>16453</v>
      </c>
      <c r="H7167" s="300">
        <v>4754.9799999999996</v>
      </c>
      <c r="I7167" s="209">
        <v>45285</v>
      </c>
      <c r="J7167" s="316" t="s">
        <v>17645</v>
      </c>
      <c r="K7167" s="160"/>
      <c r="M7167" s="70"/>
      <c r="N7167" s="97"/>
      <c r="O7167" s="160" t="s">
        <v>16455</v>
      </c>
      <c r="P7167" s="160" t="s">
        <v>67</v>
      </c>
      <c r="Q7167" s="160" t="s">
        <v>96</v>
      </c>
      <c r="R7167" s="160" t="s">
        <v>272</v>
      </c>
    </row>
    <row r="7168" spans="1:18" ht="69" customHeight="1">
      <c r="A7168" s="168"/>
      <c r="B7168" s="259">
        <f t="shared" si="34"/>
        <v>7151</v>
      </c>
      <c r="C7168" s="207" t="s">
        <v>13156</v>
      </c>
      <c r="D7168" s="303" t="s">
        <v>14043</v>
      </c>
      <c r="E7168" s="207" t="s">
        <v>266</v>
      </c>
      <c r="F7168" s="160" t="s">
        <v>17646</v>
      </c>
      <c r="G7168" s="160" t="s">
        <v>16453</v>
      </c>
      <c r="H7168" s="300">
        <v>5125.1899999999996</v>
      </c>
      <c r="I7168" s="209">
        <v>45285</v>
      </c>
      <c r="J7168" s="316" t="s">
        <v>17645</v>
      </c>
      <c r="K7168" s="160"/>
      <c r="M7168" s="70"/>
      <c r="N7168" s="97"/>
      <c r="O7168" s="160" t="s">
        <v>16455</v>
      </c>
      <c r="P7168" s="160" t="s">
        <v>67</v>
      </c>
      <c r="Q7168" s="160" t="s">
        <v>96</v>
      </c>
      <c r="R7168" s="160" t="s">
        <v>272</v>
      </c>
    </row>
    <row r="7169" spans="1:18" ht="69" customHeight="1">
      <c r="A7169" s="168"/>
      <c r="B7169" s="62">
        <f t="shared" si="34"/>
        <v>7152</v>
      </c>
      <c r="C7169" s="59" t="s">
        <v>3647</v>
      </c>
      <c r="D7169" s="575" t="s">
        <v>17647</v>
      </c>
      <c r="E7169" s="178" t="s">
        <v>266</v>
      </c>
      <c r="F7169" s="210" t="s">
        <v>17648</v>
      </c>
      <c r="G7169" s="58" t="s">
        <v>17649</v>
      </c>
      <c r="H7169" s="546">
        <v>266.95999999999998</v>
      </c>
      <c r="I7169" s="66">
        <v>45285</v>
      </c>
      <c r="J7169" s="65" t="s">
        <v>17650</v>
      </c>
      <c r="K7169" s="58"/>
      <c r="M7169" s="70"/>
      <c r="N7169" s="97"/>
      <c r="O7169" s="58" t="s">
        <v>5969</v>
      </c>
      <c r="P7169" s="58" t="s">
        <v>44</v>
      </c>
      <c r="Q7169" s="58" t="s">
        <v>47</v>
      </c>
      <c r="R7169" s="58" t="s">
        <v>272</v>
      </c>
    </row>
    <row r="7170" spans="1:18" ht="69" customHeight="1">
      <c r="A7170" s="168"/>
      <c r="B7170" s="62">
        <f t="shared" si="34"/>
        <v>7153</v>
      </c>
      <c r="C7170" s="59" t="s">
        <v>3933</v>
      </c>
      <c r="D7170" s="174" t="s">
        <v>17651</v>
      </c>
      <c r="E7170" s="178" t="s">
        <v>266</v>
      </c>
      <c r="F7170" s="210" t="s">
        <v>17652</v>
      </c>
      <c r="G7170" s="58" t="s">
        <v>17649</v>
      </c>
      <c r="H7170" s="546">
        <v>266.95999999999998</v>
      </c>
      <c r="I7170" s="66">
        <v>45296</v>
      </c>
      <c r="J7170" s="65" t="s">
        <v>17650</v>
      </c>
      <c r="K7170" s="58"/>
      <c r="M7170" s="70"/>
      <c r="N7170" s="97"/>
      <c r="O7170" s="58" t="s">
        <v>5969</v>
      </c>
      <c r="P7170" s="58" t="s">
        <v>44</v>
      </c>
      <c r="Q7170" s="58" t="s">
        <v>52</v>
      </c>
      <c r="R7170" s="58" t="s">
        <v>272</v>
      </c>
    </row>
    <row r="7171" spans="1:18" ht="69" customHeight="1">
      <c r="A7171" s="168"/>
      <c r="B7171" s="62">
        <f t="shared" si="34"/>
        <v>7154</v>
      </c>
      <c r="C7171" s="59" t="s">
        <v>9436</v>
      </c>
      <c r="D7171" s="174" t="s">
        <v>5415</v>
      </c>
      <c r="E7171" s="178" t="s">
        <v>266</v>
      </c>
      <c r="F7171" s="210" t="s">
        <v>17653</v>
      </c>
      <c r="G7171" s="58" t="s">
        <v>17649</v>
      </c>
      <c r="H7171" s="546">
        <v>266.95999999999998</v>
      </c>
      <c r="I7171" s="66">
        <v>45296</v>
      </c>
      <c r="J7171" s="65" t="s">
        <v>17650</v>
      </c>
      <c r="K7171" s="58"/>
      <c r="M7171" s="70"/>
      <c r="N7171" s="97"/>
      <c r="O7171" s="58" t="s">
        <v>5969</v>
      </c>
      <c r="P7171" s="58" t="s">
        <v>44</v>
      </c>
      <c r="Q7171" s="58" t="s">
        <v>116</v>
      </c>
      <c r="R7171" s="58" t="s">
        <v>272</v>
      </c>
    </row>
    <row r="7172" spans="1:18" ht="69" customHeight="1">
      <c r="A7172" s="168"/>
      <c r="B7172" s="62">
        <f t="shared" si="34"/>
        <v>7155</v>
      </c>
      <c r="C7172" s="59" t="s">
        <v>9596</v>
      </c>
      <c r="D7172" s="174" t="s">
        <v>5417</v>
      </c>
      <c r="E7172" s="178" t="s">
        <v>266</v>
      </c>
      <c r="F7172" s="210" t="s">
        <v>17654</v>
      </c>
      <c r="G7172" s="58" t="s">
        <v>17649</v>
      </c>
      <c r="H7172" s="546">
        <v>266.95999999999998</v>
      </c>
      <c r="I7172" s="66">
        <v>45296</v>
      </c>
      <c r="J7172" s="65" t="s">
        <v>17650</v>
      </c>
      <c r="K7172" s="58"/>
      <c r="M7172" s="70"/>
      <c r="N7172" s="97"/>
      <c r="O7172" s="58" t="s">
        <v>5969</v>
      </c>
      <c r="P7172" s="58" t="s">
        <v>44</v>
      </c>
      <c r="Q7172" s="58" t="s">
        <v>118</v>
      </c>
      <c r="R7172" s="58" t="s">
        <v>272</v>
      </c>
    </row>
    <row r="7173" spans="1:18" ht="69" customHeight="1">
      <c r="A7173" s="168"/>
      <c r="B7173" s="62">
        <f t="shared" si="34"/>
        <v>7156</v>
      </c>
      <c r="C7173" s="614" t="s">
        <v>9322</v>
      </c>
      <c r="D7173" s="174" t="s">
        <v>12995</v>
      </c>
      <c r="E7173" s="178" t="s">
        <v>266</v>
      </c>
      <c r="F7173" s="210" t="s">
        <v>17655</v>
      </c>
      <c r="G7173" s="58" t="s">
        <v>17649</v>
      </c>
      <c r="H7173" s="546">
        <v>266.95999999999998</v>
      </c>
      <c r="I7173" s="66">
        <v>45296</v>
      </c>
      <c r="J7173" s="65" t="s">
        <v>17650</v>
      </c>
      <c r="K7173" s="58"/>
      <c r="M7173" s="70"/>
      <c r="N7173" s="97"/>
      <c r="O7173" s="58" t="s">
        <v>5969</v>
      </c>
      <c r="P7173" s="58" t="s">
        <v>44</v>
      </c>
      <c r="Q7173" s="58" t="s">
        <v>114</v>
      </c>
      <c r="R7173" s="58" t="s">
        <v>272</v>
      </c>
    </row>
    <row r="7174" spans="1:18" ht="69" customHeight="1">
      <c r="A7174" s="168"/>
      <c r="B7174" s="62">
        <f t="shared" si="34"/>
        <v>7157</v>
      </c>
      <c r="C7174" s="59" t="s">
        <v>15650</v>
      </c>
      <c r="D7174" s="174" t="s">
        <v>17656</v>
      </c>
      <c r="E7174" s="178" t="s">
        <v>266</v>
      </c>
      <c r="F7174" s="210" t="s">
        <v>17657</v>
      </c>
      <c r="G7174" s="58" t="s">
        <v>17649</v>
      </c>
      <c r="H7174" s="546">
        <v>266.95999999999998</v>
      </c>
      <c r="I7174" s="66">
        <v>45296</v>
      </c>
      <c r="J7174" s="65" t="s">
        <v>17650</v>
      </c>
      <c r="K7174" s="58"/>
      <c r="M7174" s="70"/>
      <c r="N7174" s="97"/>
      <c r="O7174" s="58" t="s">
        <v>5969</v>
      </c>
      <c r="P7174" s="58" t="s">
        <v>44</v>
      </c>
      <c r="Q7174" s="58" t="s">
        <v>56</v>
      </c>
      <c r="R7174" s="58" t="s">
        <v>272</v>
      </c>
    </row>
    <row r="7175" spans="1:18" ht="69" customHeight="1">
      <c r="A7175" s="168"/>
      <c r="B7175" s="62">
        <f t="shared" si="34"/>
        <v>7158</v>
      </c>
      <c r="C7175" s="59" t="s">
        <v>4728</v>
      </c>
      <c r="D7175" s="174" t="s">
        <v>17658</v>
      </c>
      <c r="E7175" s="178" t="s">
        <v>266</v>
      </c>
      <c r="F7175" s="210" t="s">
        <v>17659</v>
      </c>
      <c r="G7175" s="58" t="s">
        <v>17649</v>
      </c>
      <c r="H7175" s="546">
        <v>266.95999999999998</v>
      </c>
      <c r="I7175" s="66">
        <v>45296</v>
      </c>
      <c r="J7175" s="65" t="s">
        <v>17650</v>
      </c>
      <c r="K7175" s="58"/>
      <c r="M7175" s="70"/>
      <c r="N7175" s="97"/>
      <c r="O7175" s="58" t="s">
        <v>5969</v>
      </c>
      <c r="P7175" s="58" t="s">
        <v>44</v>
      </c>
      <c r="Q7175" s="58" t="s">
        <v>58</v>
      </c>
      <c r="R7175" s="58" t="s">
        <v>272</v>
      </c>
    </row>
    <row r="7176" spans="1:18" ht="69" customHeight="1">
      <c r="A7176" s="168"/>
      <c r="B7176" s="62">
        <f t="shared" si="34"/>
        <v>7159</v>
      </c>
      <c r="C7176" s="44" t="s">
        <v>5189</v>
      </c>
      <c r="D7176" s="174" t="s">
        <v>17660</v>
      </c>
      <c r="E7176" s="178" t="s">
        <v>266</v>
      </c>
      <c r="F7176" s="210" t="s">
        <v>17661</v>
      </c>
      <c r="G7176" s="58" t="s">
        <v>17649</v>
      </c>
      <c r="H7176" s="546">
        <v>266.95999999999998</v>
      </c>
      <c r="I7176" s="66">
        <v>45296</v>
      </c>
      <c r="J7176" s="65" t="s">
        <v>17650</v>
      </c>
      <c r="K7176" s="58"/>
      <c r="M7176" s="70"/>
      <c r="N7176" s="97"/>
      <c r="O7176" s="58" t="s">
        <v>5969</v>
      </c>
      <c r="P7176" s="58" t="s">
        <v>44</v>
      </c>
      <c r="Q7176" s="58" t="s">
        <v>62</v>
      </c>
      <c r="R7176" s="58" t="s">
        <v>272</v>
      </c>
    </row>
    <row r="7177" spans="1:18" ht="69" customHeight="1">
      <c r="A7177" s="168"/>
      <c r="B7177" s="62">
        <f t="shared" si="34"/>
        <v>7160</v>
      </c>
      <c r="C7177" s="44" t="s">
        <v>5082</v>
      </c>
      <c r="D7177" s="174" t="s">
        <v>17662</v>
      </c>
      <c r="E7177" s="178" t="s">
        <v>266</v>
      </c>
      <c r="F7177" s="210" t="s">
        <v>17663</v>
      </c>
      <c r="G7177" s="58" t="s">
        <v>17649</v>
      </c>
      <c r="H7177" s="546">
        <v>266.95999999999998</v>
      </c>
      <c r="I7177" s="66">
        <v>45296</v>
      </c>
      <c r="J7177" s="65" t="s">
        <v>17650</v>
      </c>
      <c r="K7177" s="210"/>
      <c r="M7177" s="70"/>
      <c r="N7177" s="97"/>
      <c r="O7177" s="58" t="s">
        <v>5969</v>
      </c>
      <c r="P7177" s="58" t="s">
        <v>44</v>
      </c>
      <c r="Q7177" s="58" t="s">
        <v>60</v>
      </c>
      <c r="R7177" s="58" t="s">
        <v>272</v>
      </c>
    </row>
    <row r="7178" spans="1:18" ht="69" customHeight="1">
      <c r="A7178" s="168"/>
      <c r="B7178" s="62">
        <f t="shared" si="34"/>
        <v>7161</v>
      </c>
      <c r="C7178" s="59" t="s">
        <v>3667</v>
      </c>
      <c r="D7178" s="174" t="s">
        <v>17664</v>
      </c>
      <c r="E7178" s="58" t="s">
        <v>17665</v>
      </c>
      <c r="F7178" s="58" t="s">
        <v>17666</v>
      </c>
      <c r="G7178" s="58" t="s">
        <v>17667</v>
      </c>
      <c r="H7178" s="546">
        <v>104459.73</v>
      </c>
      <c r="I7178" s="66">
        <v>45285</v>
      </c>
      <c r="J7178" s="65" t="s">
        <v>17668</v>
      </c>
      <c r="K7178" s="58"/>
      <c r="M7178" s="70"/>
      <c r="N7178" s="97"/>
      <c r="O7178" s="58" t="s">
        <v>10607</v>
      </c>
      <c r="P7178" s="58" t="s">
        <v>22</v>
      </c>
      <c r="Q7178" s="58" t="s">
        <v>95</v>
      </c>
      <c r="R7178" s="58" t="s">
        <v>265</v>
      </c>
    </row>
    <row r="7179" spans="1:18" ht="69" customHeight="1">
      <c r="A7179" s="168"/>
      <c r="B7179" s="62">
        <f t="shared" si="34"/>
        <v>7162</v>
      </c>
      <c r="C7179" s="59" t="s">
        <v>3667</v>
      </c>
      <c r="D7179" s="174" t="s">
        <v>17669</v>
      </c>
      <c r="E7179" s="58" t="s">
        <v>15522</v>
      </c>
      <c r="F7179" s="58" t="s">
        <v>17670</v>
      </c>
      <c r="G7179" s="58" t="s">
        <v>17667</v>
      </c>
      <c r="H7179" s="546">
        <v>83237.490000000005</v>
      </c>
      <c r="I7179" s="66">
        <v>45285</v>
      </c>
      <c r="J7179" s="65" t="s">
        <v>17671</v>
      </c>
      <c r="K7179" s="58"/>
      <c r="M7179" s="70"/>
      <c r="N7179" s="97"/>
      <c r="O7179" s="58" t="s">
        <v>10607</v>
      </c>
      <c r="P7179" s="58" t="s">
        <v>22</v>
      </c>
      <c r="Q7179" s="58" t="s">
        <v>93</v>
      </c>
      <c r="R7179" s="58" t="s">
        <v>265</v>
      </c>
    </row>
    <row r="7180" spans="1:18" ht="69" customHeight="1">
      <c r="A7180" s="168"/>
      <c r="B7180" s="52">
        <f t="shared" si="34"/>
        <v>7163</v>
      </c>
      <c r="C7180" s="191" t="s">
        <v>13435</v>
      </c>
      <c r="D7180" s="251" t="s">
        <v>12301</v>
      </c>
      <c r="E7180" s="191" t="s">
        <v>266</v>
      </c>
      <c r="F7180" s="46" t="s">
        <v>17672</v>
      </c>
      <c r="G7180" s="46" t="s">
        <v>17673</v>
      </c>
      <c r="H7180" s="534">
        <v>2672.11</v>
      </c>
      <c r="I7180" s="56">
        <v>45296</v>
      </c>
      <c r="J7180" s="199" t="s">
        <v>17674</v>
      </c>
      <c r="K7180" s="46" t="s">
        <v>1170</v>
      </c>
      <c r="M7180" s="70"/>
      <c r="N7180" s="97"/>
      <c r="O7180" s="46" t="s">
        <v>17675</v>
      </c>
      <c r="P7180" s="46" t="s">
        <v>65</v>
      </c>
      <c r="Q7180" s="46" t="s">
        <v>13</v>
      </c>
      <c r="R7180" s="46" t="s">
        <v>272</v>
      </c>
    </row>
    <row r="7181" spans="1:18" s="98" customFormat="1" ht="69" customHeight="1">
      <c r="A7181" s="169"/>
      <c r="B7181" s="261">
        <f t="shared" si="34"/>
        <v>7164</v>
      </c>
      <c r="C7181" s="256" t="s">
        <v>13435</v>
      </c>
      <c r="D7181" s="255" t="s">
        <v>12304</v>
      </c>
      <c r="E7181" s="118" t="s">
        <v>17521</v>
      </c>
      <c r="F7181" s="118" t="s">
        <v>17676</v>
      </c>
      <c r="G7181" s="118" t="s">
        <v>17677</v>
      </c>
      <c r="H7181" s="300">
        <v>30000</v>
      </c>
      <c r="I7181" s="262">
        <v>45285</v>
      </c>
      <c r="J7181" s="258" t="s">
        <v>17678</v>
      </c>
      <c r="K7181" s="118" t="s">
        <v>13075</v>
      </c>
      <c r="M7181" s="385"/>
      <c r="N7181" s="75"/>
      <c r="O7181" s="160" t="s">
        <v>441</v>
      </c>
      <c r="P7181" s="160" t="s">
        <v>67</v>
      </c>
      <c r="Q7181" s="160" t="s">
        <v>13</v>
      </c>
      <c r="R7181" s="160" t="s">
        <v>265</v>
      </c>
    </row>
    <row r="7182" spans="1:18" ht="69" customHeight="1">
      <c r="A7182" s="168"/>
      <c r="B7182" s="259">
        <f t="shared" si="34"/>
        <v>7165</v>
      </c>
      <c r="C7182" s="207" t="s">
        <v>3340</v>
      </c>
      <c r="D7182" s="303" t="s">
        <v>6016</v>
      </c>
      <c r="E7182" s="207" t="s">
        <v>266</v>
      </c>
      <c r="F7182" s="160" t="s">
        <v>17679</v>
      </c>
      <c r="G7182" s="160" t="s">
        <v>17680</v>
      </c>
      <c r="H7182" s="300">
        <v>26970</v>
      </c>
      <c r="I7182" s="209">
        <v>45285</v>
      </c>
      <c r="J7182" s="316" t="s">
        <v>17681</v>
      </c>
      <c r="K7182" s="160"/>
      <c r="M7182" s="70"/>
      <c r="N7182" s="97"/>
      <c r="O7182" s="160" t="s">
        <v>13735</v>
      </c>
      <c r="P7182" s="160" t="s">
        <v>67</v>
      </c>
      <c r="Q7182" s="160" t="s">
        <v>96</v>
      </c>
      <c r="R7182" s="160" t="s">
        <v>272</v>
      </c>
    </row>
    <row r="7183" spans="1:18" ht="69" customHeight="1">
      <c r="A7183" s="168"/>
      <c r="B7183" s="52">
        <f t="shared" si="34"/>
        <v>7166</v>
      </c>
      <c r="C7183" s="191" t="s">
        <v>4411</v>
      </c>
      <c r="D7183" s="251" t="s">
        <v>17682</v>
      </c>
      <c r="E7183" s="46" t="s">
        <v>266</v>
      </c>
      <c r="F7183" s="46" t="s">
        <v>17683</v>
      </c>
      <c r="G7183" s="46" t="s">
        <v>17684</v>
      </c>
      <c r="H7183" s="534">
        <v>1080</v>
      </c>
      <c r="I7183" s="56">
        <v>45296</v>
      </c>
      <c r="J7183" s="199" t="s">
        <v>17685</v>
      </c>
      <c r="K7183" s="46"/>
      <c r="M7183" s="70"/>
      <c r="N7183" s="97"/>
      <c r="O7183" s="46" t="s">
        <v>17289</v>
      </c>
      <c r="P7183" s="46" t="s">
        <v>65</v>
      </c>
      <c r="Q7183" s="46" t="s">
        <v>54</v>
      </c>
      <c r="R7183" s="46" t="s">
        <v>272</v>
      </c>
    </row>
    <row r="7184" spans="1:18" ht="69" customHeight="1">
      <c r="A7184" s="168"/>
      <c r="B7184" s="259">
        <f t="shared" si="34"/>
        <v>7167</v>
      </c>
      <c r="C7184" s="207" t="s">
        <v>657</v>
      </c>
      <c r="D7184" s="303" t="s">
        <v>5433</v>
      </c>
      <c r="E7184" s="207" t="s">
        <v>266</v>
      </c>
      <c r="F7184" s="160" t="s">
        <v>17686</v>
      </c>
      <c r="G7184" s="160" t="s">
        <v>17687</v>
      </c>
      <c r="H7184" s="300">
        <v>28753.4</v>
      </c>
      <c r="I7184" s="209">
        <v>45296</v>
      </c>
      <c r="J7184" s="316" t="s">
        <v>17688</v>
      </c>
      <c r="K7184" s="160" t="s">
        <v>17689</v>
      </c>
      <c r="M7184" s="70"/>
      <c r="N7184" s="97"/>
      <c r="O7184" s="160" t="s">
        <v>17690</v>
      </c>
      <c r="P7184" s="160" t="s">
        <v>67</v>
      </c>
      <c r="Q7184" s="160" t="s">
        <v>97</v>
      </c>
      <c r="R7184" s="160" t="s">
        <v>272</v>
      </c>
    </row>
    <row r="7185" spans="1:18" ht="69" customHeight="1">
      <c r="A7185" s="168"/>
      <c r="B7185" s="62">
        <f t="shared" si="34"/>
        <v>7168</v>
      </c>
      <c r="C7185" s="59" t="s">
        <v>13435</v>
      </c>
      <c r="D7185" s="174" t="s">
        <v>12308</v>
      </c>
      <c r="E7185" s="85" t="s">
        <v>266</v>
      </c>
      <c r="F7185" s="58" t="s">
        <v>17691</v>
      </c>
      <c r="G7185" s="58" t="s">
        <v>17692</v>
      </c>
      <c r="H7185" s="546">
        <v>3721.9</v>
      </c>
      <c r="I7185" s="66">
        <v>45306</v>
      </c>
      <c r="J7185" s="65" t="s">
        <v>17693</v>
      </c>
      <c r="K7185" s="58">
        <v>402</v>
      </c>
      <c r="M7185" s="70"/>
      <c r="N7185" s="97"/>
      <c r="O7185" s="58" t="s">
        <v>15051</v>
      </c>
      <c r="P7185" s="58" t="s">
        <v>44</v>
      </c>
      <c r="Q7185" s="58" t="s">
        <v>13</v>
      </c>
      <c r="R7185" s="58" t="s">
        <v>272</v>
      </c>
    </row>
    <row r="7186" spans="1:18" ht="69" customHeight="1">
      <c r="A7186" s="168"/>
      <c r="B7186" s="62">
        <f t="shared" si="34"/>
        <v>7169</v>
      </c>
      <c r="C7186" s="59" t="s">
        <v>581</v>
      </c>
      <c r="D7186" s="174" t="s">
        <v>12316</v>
      </c>
      <c r="E7186" s="85" t="s">
        <v>266</v>
      </c>
      <c r="F7186" s="58" t="s">
        <v>17694</v>
      </c>
      <c r="G7186" s="58" t="s">
        <v>17692</v>
      </c>
      <c r="H7186" s="546">
        <v>3721.9</v>
      </c>
      <c r="I7186" s="66">
        <v>45306</v>
      </c>
      <c r="J7186" s="65" t="s">
        <v>17693</v>
      </c>
      <c r="K7186" s="58">
        <v>403</v>
      </c>
      <c r="M7186" s="70"/>
      <c r="N7186" s="97"/>
      <c r="O7186" s="58" t="s">
        <v>15051</v>
      </c>
      <c r="P7186" s="58" t="s">
        <v>44</v>
      </c>
      <c r="Q7186" s="58" t="s">
        <v>18</v>
      </c>
      <c r="R7186" s="58" t="s">
        <v>272</v>
      </c>
    </row>
    <row r="7187" spans="1:18" ht="69" customHeight="1">
      <c r="A7187" s="168"/>
      <c r="B7187" s="62">
        <f t="shared" si="34"/>
        <v>7170</v>
      </c>
      <c r="C7187" s="45" t="s">
        <v>10947</v>
      </c>
      <c r="D7187" s="174" t="s">
        <v>12998</v>
      </c>
      <c r="E7187" s="85" t="s">
        <v>266</v>
      </c>
      <c r="F7187" s="58" t="s">
        <v>17695</v>
      </c>
      <c r="G7187" s="58" t="s">
        <v>17692</v>
      </c>
      <c r="H7187" s="546">
        <v>3721.9</v>
      </c>
      <c r="I7187" s="66">
        <v>45306</v>
      </c>
      <c r="J7187" s="65" t="s">
        <v>17693</v>
      </c>
      <c r="K7187" s="58">
        <v>412</v>
      </c>
      <c r="M7187" s="70"/>
      <c r="N7187" s="97"/>
      <c r="O7187" s="58" t="s">
        <v>15051</v>
      </c>
      <c r="P7187" s="58" t="s">
        <v>44</v>
      </c>
      <c r="Q7187" s="58" t="s">
        <v>100</v>
      </c>
      <c r="R7187" s="58" t="s">
        <v>272</v>
      </c>
    </row>
    <row r="7188" spans="1:18" ht="69" customHeight="1">
      <c r="A7188" s="168"/>
      <c r="B7188" s="62">
        <f t="shared" si="34"/>
        <v>7171</v>
      </c>
      <c r="C7188" s="59" t="s">
        <v>11908</v>
      </c>
      <c r="D7188" s="174" t="s">
        <v>13000</v>
      </c>
      <c r="E7188" s="85" t="s">
        <v>266</v>
      </c>
      <c r="F7188" s="58" t="s">
        <v>17696</v>
      </c>
      <c r="G7188" s="58" t="s">
        <v>17692</v>
      </c>
      <c r="H7188" s="546">
        <v>3721.9</v>
      </c>
      <c r="I7188" s="66">
        <v>45306</v>
      </c>
      <c r="J7188" s="65" t="s">
        <v>17693</v>
      </c>
      <c r="K7188" s="58">
        <v>413</v>
      </c>
      <c r="M7188" s="70"/>
      <c r="N7188" s="97"/>
      <c r="O7188" s="58" t="s">
        <v>15051</v>
      </c>
      <c r="P7188" s="58" t="s">
        <v>44</v>
      </c>
      <c r="Q7188" s="58" t="s">
        <v>103</v>
      </c>
      <c r="R7188" s="58" t="s">
        <v>272</v>
      </c>
    </row>
    <row r="7189" spans="1:18" ht="69" customHeight="1">
      <c r="A7189" s="168"/>
      <c r="B7189" s="62">
        <f t="shared" si="34"/>
        <v>7172</v>
      </c>
      <c r="C7189" s="44" t="s">
        <v>8057</v>
      </c>
      <c r="D7189" s="174" t="s">
        <v>13002</v>
      </c>
      <c r="E7189" s="85" t="s">
        <v>266</v>
      </c>
      <c r="F7189" s="58" t="s">
        <v>17697</v>
      </c>
      <c r="G7189" s="58" t="s">
        <v>17692</v>
      </c>
      <c r="H7189" s="546">
        <v>3796</v>
      </c>
      <c r="I7189" s="66">
        <v>45306</v>
      </c>
      <c r="J7189" s="65" t="s">
        <v>17693</v>
      </c>
      <c r="K7189" s="58">
        <v>414</v>
      </c>
      <c r="M7189" s="70"/>
      <c r="N7189" s="97"/>
      <c r="O7189" s="58" t="s">
        <v>15051</v>
      </c>
      <c r="P7189" s="58" t="s">
        <v>44</v>
      </c>
      <c r="Q7189" s="58" t="s">
        <v>105</v>
      </c>
      <c r="R7189" s="58" t="s">
        <v>272</v>
      </c>
    </row>
    <row r="7190" spans="1:18" ht="69" customHeight="1">
      <c r="A7190" s="168"/>
      <c r="B7190" s="62">
        <f t="shared" si="34"/>
        <v>7173</v>
      </c>
      <c r="C7190" s="45" t="s">
        <v>11568</v>
      </c>
      <c r="D7190" s="174" t="s">
        <v>13005</v>
      </c>
      <c r="E7190" s="85" t="s">
        <v>266</v>
      </c>
      <c r="F7190" s="58" t="s">
        <v>17698</v>
      </c>
      <c r="G7190" s="58" t="s">
        <v>17692</v>
      </c>
      <c r="H7190" s="546">
        <v>3721.9</v>
      </c>
      <c r="I7190" s="66">
        <v>45306</v>
      </c>
      <c r="J7190" s="65" t="s">
        <v>17693</v>
      </c>
      <c r="K7190" s="58">
        <v>415</v>
      </c>
      <c r="M7190" s="70"/>
      <c r="N7190" s="97"/>
      <c r="O7190" s="58" t="s">
        <v>15051</v>
      </c>
      <c r="P7190" s="58" t="s">
        <v>44</v>
      </c>
      <c r="Q7190" s="58" t="s">
        <v>107</v>
      </c>
      <c r="R7190" s="58" t="s">
        <v>272</v>
      </c>
    </row>
    <row r="7191" spans="1:18" ht="69" customHeight="1">
      <c r="A7191" s="168"/>
      <c r="B7191" s="62">
        <f t="shared" si="34"/>
        <v>7174</v>
      </c>
      <c r="C7191" s="59" t="s">
        <v>9094</v>
      </c>
      <c r="D7191" s="174" t="s">
        <v>17699</v>
      </c>
      <c r="E7191" s="85" t="s">
        <v>266</v>
      </c>
      <c r="F7191" s="58" t="s">
        <v>17700</v>
      </c>
      <c r="G7191" s="58" t="s">
        <v>17692</v>
      </c>
      <c r="H7191" s="546">
        <v>3721.9</v>
      </c>
      <c r="I7191" s="66">
        <v>45306</v>
      </c>
      <c r="J7191" s="65" t="s">
        <v>17693</v>
      </c>
      <c r="K7191" s="58">
        <v>416</v>
      </c>
      <c r="M7191" s="70"/>
      <c r="N7191" s="97"/>
      <c r="O7191" s="58" t="s">
        <v>15051</v>
      </c>
      <c r="P7191" s="58" t="s">
        <v>44</v>
      </c>
      <c r="Q7191" s="58" t="s">
        <v>112</v>
      </c>
      <c r="R7191" s="58" t="s">
        <v>272</v>
      </c>
    </row>
    <row r="7192" spans="1:18" ht="69" customHeight="1">
      <c r="A7192" s="168"/>
      <c r="B7192" s="62">
        <f t="shared" si="34"/>
        <v>7175</v>
      </c>
      <c r="C7192" s="59" t="s">
        <v>13562</v>
      </c>
      <c r="D7192" s="174" t="s">
        <v>17701</v>
      </c>
      <c r="E7192" s="85" t="s">
        <v>266</v>
      </c>
      <c r="F7192" s="58" t="s">
        <v>17702</v>
      </c>
      <c r="G7192" s="58" t="s">
        <v>17692</v>
      </c>
      <c r="H7192" s="546">
        <v>3721.9</v>
      </c>
      <c r="I7192" s="66">
        <v>45306</v>
      </c>
      <c r="J7192" s="65" t="s">
        <v>17693</v>
      </c>
      <c r="K7192" s="58">
        <v>418</v>
      </c>
      <c r="M7192" s="70"/>
      <c r="N7192" s="97"/>
      <c r="O7192" s="58" t="s">
        <v>15051</v>
      </c>
      <c r="P7192" s="58" t="s">
        <v>44</v>
      </c>
      <c r="Q7192" s="58" t="s">
        <v>88</v>
      </c>
      <c r="R7192" s="58" t="s">
        <v>272</v>
      </c>
    </row>
    <row r="7193" spans="1:18" ht="69" customHeight="1">
      <c r="A7193" s="168"/>
      <c r="B7193" s="62">
        <f t="shared" si="34"/>
        <v>7176</v>
      </c>
      <c r="C7193" s="59" t="s">
        <v>11933</v>
      </c>
      <c r="D7193" s="174" t="s">
        <v>13123</v>
      </c>
      <c r="E7193" s="85" t="s">
        <v>266</v>
      </c>
      <c r="F7193" s="58" t="s">
        <v>17703</v>
      </c>
      <c r="G7193" s="58" t="s">
        <v>17692</v>
      </c>
      <c r="H7193" s="546">
        <v>3721.9</v>
      </c>
      <c r="I7193" s="66">
        <v>45306</v>
      </c>
      <c r="J7193" s="65" t="s">
        <v>17693</v>
      </c>
      <c r="K7193" s="58">
        <v>420</v>
      </c>
      <c r="M7193" s="70"/>
      <c r="N7193" s="97"/>
      <c r="O7193" s="58" t="s">
        <v>15051</v>
      </c>
      <c r="P7193" s="58" t="s">
        <v>44</v>
      </c>
      <c r="Q7193" s="58" t="s">
        <v>123</v>
      </c>
      <c r="R7193" s="58" t="s">
        <v>272</v>
      </c>
    </row>
    <row r="7194" spans="1:18" ht="69" customHeight="1">
      <c r="A7194" s="168"/>
      <c r="B7194" s="62">
        <f t="shared" si="34"/>
        <v>7177</v>
      </c>
      <c r="C7194" s="178" t="s">
        <v>7189</v>
      </c>
      <c r="D7194" s="174" t="s">
        <v>4293</v>
      </c>
      <c r="E7194" s="85" t="s">
        <v>266</v>
      </c>
      <c r="F7194" s="58" t="s">
        <v>17704</v>
      </c>
      <c r="G7194" s="58" t="s">
        <v>17692</v>
      </c>
      <c r="H7194" s="546">
        <v>3721.9</v>
      </c>
      <c r="I7194" s="66">
        <v>45306</v>
      </c>
      <c r="J7194" s="65" t="s">
        <v>17693</v>
      </c>
      <c r="K7194" s="58">
        <v>422</v>
      </c>
      <c r="M7194" s="70"/>
      <c r="N7194" s="97"/>
      <c r="O7194" s="58" t="s">
        <v>15051</v>
      </c>
      <c r="P7194" s="58" t="s">
        <v>44</v>
      </c>
      <c r="Q7194" s="58" t="s">
        <v>97</v>
      </c>
      <c r="R7194" s="58" t="s">
        <v>272</v>
      </c>
    </row>
    <row r="7195" spans="1:18" ht="69" customHeight="1">
      <c r="A7195" s="168"/>
      <c r="B7195" s="62">
        <f t="shared" si="34"/>
        <v>7178</v>
      </c>
      <c r="C7195" s="178" t="s">
        <v>10937</v>
      </c>
      <c r="D7195" s="174" t="s">
        <v>4295</v>
      </c>
      <c r="E7195" s="85" t="s">
        <v>266</v>
      </c>
      <c r="F7195" s="58" t="s">
        <v>17705</v>
      </c>
      <c r="G7195" s="58" t="s">
        <v>17692</v>
      </c>
      <c r="H7195" s="546">
        <v>3721.9</v>
      </c>
      <c r="I7195" s="66">
        <v>45306</v>
      </c>
      <c r="J7195" s="65" t="s">
        <v>17693</v>
      </c>
      <c r="K7195" s="58">
        <v>424</v>
      </c>
      <c r="M7195" s="70"/>
      <c r="N7195" s="97"/>
      <c r="O7195" s="58" t="s">
        <v>15051</v>
      </c>
      <c r="P7195" s="58" t="s">
        <v>44</v>
      </c>
      <c r="Q7195" s="58" t="s">
        <v>104</v>
      </c>
      <c r="R7195" s="58" t="s">
        <v>272</v>
      </c>
    </row>
    <row r="7196" spans="1:18" ht="69" customHeight="1">
      <c r="A7196" s="168"/>
      <c r="B7196" s="62">
        <f t="shared" si="34"/>
        <v>7179</v>
      </c>
      <c r="C7196" s="59" t="s">
        <v>8797</v>
      </c>
      <c r="D7196" s="545" t="s">
        <v>3937</v>
      </c>
      <c r="E7196" s="85" t="s">
        <v>266</v>
      </c>
      <c r="F7196" s="58" t="s">
        <v>17706</v>
      </c>
      <c r="G7196" s="58" t="s">
        <v>17692</v>
      </c>
      <c r="H7196" s="546">
        <v>3721.9</v>
      </c>
      <c r="I7196" s="66">
        <v>45306</v>
      </c>
      <c r="J7196" s="65" t="s">
        <v>17693</v>
      </c>
      <c r="K7196" s="58">
        <v>423</v>
      </c>
      <c r="M7196" s="70"/>
      <c r="N7196" s="97"/>
      <c r="O7196" s="58" t="s">
        <v>15051</v>
      </c>
      <c r="P7196" s="58" t="s">
        <v>44</v>
      </c>
      <c r="Q7196" s="58" t="s">
        <v>110</v>
      </c>
      <c r="R7196" s="58" t="s">
        <v>272</v>
      </c>
    </row>
    <row r="7197" spans="1:18" ht="69" customHeight="1">
      <c r="A7197" s="168"/>
      <c r="B7197" s="62">
        <f t="shared" si="34"/>
        <v>7180</v>
      </c>
      <c r="C7197" s="59" t="s">
        <v>14828</v>
      </c>
      <c r="D7197" s="174" t="s">
        <v>17707</v>
      </c>
      <c r="E7197" s="85" t="s">
        <v>266</v>
      </c>
      <c r="F7197" s="58" t="s">
        <v>17708</v>
      </c>
      <c r="G7197" s="58" t="s">
        <v>17692</v>
      </c>
      <c r="H7197" s="546">
        <v>3721.9</v>
      </c>
      <c r="I7197" s="66">
        <v>45306</v>
      </c>
      <c r="J7197" s="65" t="s">
        <v>17693</v>
      </c>
      <c r="K7197" s="58">
        <v>426</v>
      </c>
      <c r="M7197" s="70"/>
      <c r="N7197" s="97"/>
      <c r="O7197" s="58" t="s">
        <v>15051</v>
      </c>
      <c r="P7197" s="58" t="s">
        <v>44</v>
      </c>
      <c r="Q7197" s="58" t="s">
        <v>68</v>
      </c>
      <c r="R7197" s="58" t="s">
        <v>272</v>
      </c>
    </row>
    <row r="7198" spans="1:18" ht="69" customHeight="1">
      <c r="A7198" s="168"/>
      <c r="B7198" s="62">
        <f t="shared" si="34"/>
        <v>7181</v>
      </c>
      <c r="C7198" s="44" t="s">
        <v>16807</v>
      </c>
      <c r="D7198" s="174" t="s">
        <v>17709</v>
      </c>
      <c r="E7198" s="85" t="s">
        <v>266</v>
      </c>
      <c r="F7198" s="58" t="s">
        <v>17710</v>
      </c>
      <c r="G7198" s="58" t="s">
        <v>17692</v>
      </c>
      <c r="H7198" s="546">
        <v>3721.9</v>
      </c>
      <c r="I7198" s="66">
        <v>45306</v>
      </c>
      <c r="J7198" s="65" t="s">
        <v>17693</v>
      </c>
      <c r="K7198" s="58">
        <v>427</v>
      </c>
      <c r="M7198" s="70"/>
      <c r="N7198" s="97"/>
      <c r="O7198" s="58" t="s">
        <v>15051</v>
      </c>
      <c r="P7198" s="58" t="s">
        <v>44</v>
      </c>
      <c r="Q7198" s="58" t="s">
        <v>70</v>
      </c>
      <c r="R7198" s="58" t="s">
        <v>272</v>
      </c>
    </row>
    <row r="7199" spans="1:18" ht="69" customHeight="1">
      <c r="A7199" s="168"/>
      <c r="B7199" s="62">
        <f t="shared" si="34"/>
        <v>7182</v>
      </c>
      <c r="C7199" s="45" t="s">
        <v>6062</v>
      </c>
      <c r="D7199" s="174" t="s">
        <v>17711</v>
      </c>
      <c r="E7199" s="85" t="s">
        <v>266</v>
      </c>
      <c r="F7199" s="58" t="s">
        <v>17712</v>
      </c>
      <c r="G7199" s="58" t="s">
        <v>17692</v>
      </c>
      <c r="H7199" s="546">
        <v>3373.5</v>
      </c>
      <c r="I7199" s="66">
        <v>45306</v>
      </c>
      <c r="J7199" s="65" t="s">
        <v>17693</v>
      </c>
      <c r="K7199" s="58">
        <v>428</v>
      </c>
      <c r="M7199" s="70"/>
      <c r="N7199" s="97"/>
      <c r="O7199" s="58" t="s">
        <v>15051</v>
      </c>
      <c r="P7199" s="58" t="s">
        <v>44</v>
      </c>
      <c r="Q7199" s="58" t="s">
        <v>72</v>
      </c>
      <c r="R7199" s="58" t="s">
        <v>272</v>
      </c>
    </row>
    <row r="7200" spans="1:18" ht="69" customHeight="1">
      <c r="A7200" s="168"/>
      <c r="B7200" s="62">
        <f t="shared" si="34"/>
        <v>7183</v>
      </c>
      <c r="C7200" s="45" t="s">
        <v>6888</v>
      </c>
      <c r="D7200" s="174" t="s">
        <v>17713</v>
      </c>
      <c r="E7200" s="85" t="s">
        <v>266</v>
      </c>
      <c r="F7200" s="58" t="s">
        <v>17714</v>
      </c>
      <c r="G7200" s="58" t="s">
        <v>17692</v>
      </c>
      <c r="H7200" s="546">
        <v>3721.9</v>
      </c>
      <c r="I7200" s="66">
        <v>45306</v>
      </c>
      <c r="J7200" s="65" t="s">
        <v>17693</v>
      </c>
      <c r="K7200" s="58">
        <v>432</v>
      </c>
      <c r="M7200" s="70"/>
      <c r="N7200" s="97"/>
      <c r="O7200" s="58" t="s">
        <v>15051</v>
      </c>
      <c r="P7200" s="58" t="s">
        <v>44</v>
      </c>
      <c r="Q7200" s="58" t="s">
        <v>84</v>
      </c>
      <c r="R7200" s="58" t="s">
        <v>272</v>
      </c>
    </row>
    <row r="7201" spans="1:18" ht="69" customHeight="1">
      <c r="A7201" s="168"/>
      <c r="B7201" s="62">
        <f t="shared" si="34"/>
        <v>7184</v>
      </c>
      <c r="C7201" s="59" t="s">
        <v>5558</v>
      </c>
      <c r="D7201" s="174" t="s">
        <v>17715</v>
      </c>
      <c r="E7201" s="85" t="s">
        <v>266</v>
      </c>
      <c r="F7201" s="58" t="s">
        <v>17716</v>
      </c>
      <c r="G7201" s="58" t="s">
        <v>17692</v>
      </c>
      <c r="H7201" s="546">
        <v>3721.9</v>
      </c>
      <c r="I7201" s="66">
        <v>45306</v>
      </c>
      <c r="J7201" s="65" t="s">
        <v>17693</v>
      </c>
      <c r="K7201" s="58">
        <v>435</v>
      </c>
      <c r="M7201" s="70"/>
      <c r="N7201" s="97"/>
      <c r="O7201" s="58" t="s">
        <v>15051</v>
      </c>
      <c r="P7201" s="58" t="s">
        <v>44</v>
      </c>
      <c r="Q7201" s="58" t="s">
        <v>64</v>
      </c>
      <c r="R7201" s="58" t="s">
        <v>272</v>
      </c>
    </row>
    <row r="7202" spans="1:18" ht="69" customHeight="1">
      <c r="A7202" s="168"/>
      <c r="B7202" s="62">
        <f t="shared" si="34"/>
        <v>7185</v>
      </c>
      <c r="C7202" s="72" t="s">
        <v>10634</v>
      </c>
      <c r="D7202" s="174" t="s">
        <v>17717</v>
      </c>
      <c r="E7202" s="85" t="s">
        <v>266</v>
      </c>
      <c r="F7202" s="58" t="s">
        <v>17718</v>
      </c>
      <c r="G7202" s="58" t="s">
        <v>17692</v>
      </c>
      <c r="H7202" s="546">
        <v>3721.9</v>
      </c>
      <c r="I7202" s="66">
        <v>45306</v>
      </c>
      <c r="J7202" s="65" t="s">
        <v>17693</v>
      </c>
      <c r="K7202" s="58">
        <v>436</v>
      </c>
      <c r="M7202" s="70"/>
      <c r="N7202" s="97"/>
      <c r="O7202" s="58" t="s">
        <v>15051</v>
      </c>
      <c r="P7202" s="58" t="s">
        <v>44</v>
      </c>
      <c r="Q7202" s="58" t="s">
        <v>93</v>
      </c>
      <c r="R7202" s="58" t="s">
        <v>272</v>
      </c>
    </row>
    <row r="7203" spans="1:18" ht="69" customHeight="1">
      <c r="A7203" s="168"/>
      <c r="B7203" s="52">
        <f t="shared" si="34"/>
        <v>7186</v>
      </c>
      <c r="C7203" s="191" t="s">
        <v>11908</v>
      </c>
      <c r="D7203" s="251" t="s">
        <v>13127</v>
      </c>
      <c r="E7203" s="53" t="s">
        <v>266</v>
      </c>
      <c r="F7203" s="46" t="s">
        <v>17719</v>
      </c>
      <c r="G7203" s="46" t="s">
        <v>17720</v>
      </c>
      <c r="H7203" s="534">
        <v>1850</v>
      </c>
      <c r="I7203" s="56">
        <v>45296</v>
      </c>
      <c r="J7203" s="199" t="s">
        <v>17721</v>
      </c>
      <c r="K7203" s="46" t="s">
        <v>5103</v>
      </c>
      <c r="M7203" s="70"/>
      <c r="N7203" s="97"/>
      <c r="O7203" s="46" t="s">
        <v>17722</v>
      </c>
      <c r="P7203" s="46" t="s">
        <v>65</v>
      </c>
      <c r="Q7203" s="46" t="s">
        <v>103</v>
      </c>
      <c r="R7203" s="46" t="s">
        <v>272</v>
      </c>
    </row>
    <row r="7204" spans="1:18" ht="69" customHeight="1">
      <c r="A7204" s="168"/>
      <c r="B7204" s="52">
        <f t="shared" si="34"/>
        <v>7187</v>
      </c>
      <c r="C7204" s="191" t="s">
        <v>10937</v>
      </c>
      <c r="D7204" s="251" t="s">
        <v>3943</v>
      </c>
      <c r="E7204" s="53" t="s">
        <v>266</v>
      </c>
      <c r="F7204" s="46" t="s">
        <v>17723</v>
      </c>
      <c r="G7204" s="46" t="s">
        <v>17720</v>
      </c>
      <c r="H7204" s="534">
        <v>1850</v>
      </c>
      <c r="I7204" s="56">
        <v>45296</v>
      </c>
      <c r="J7204" s="199" t="s">
        <v>17721</v>
      </c>
      <c r="K7204" s="46"/>
      <c r="M7204" s="70"/>
      <c r="N7204" s="97"/>
      <c r="O7204" s="46"/>
      <c r="P7204" s="46" t="s">
        <v>65</v>
      </c>
      <c r="Q7204" s="46" t="s">
        <v>104</v>
      </c>
      <c r="R7204" s="46" t="s">
        <v>272</v>
      </c>
    </row>
    <row r="7205" spans="1:18" ht="69" customHeight="1">
      <c r="A7205" s="168"/>
      <c r="B7205" s="52">
        <f t="shared" si="34"/>
        <v>7188</v>
      </c>
      <c r="C7205" s="46" t="s">
        <v>11568</v>
      </c>
      <c r="D7205" s="251" t="s">
        <v>17724</v>
      </c>
      <c r="E7205" s="53" t="s">
        <v>266</v>
      </c>
      <c r="F7205" s="46" t="s">
        <v>17725</v>
      </c>
      <c r="G7205" s="46" t="s">
        <v>17720</v>
      </c>
      <c r="H7205" s="534">
        <v>1850</v>
      </c>
      <c r="I7205" s="56">
        <v>45296</v>
      </c>
      <c r="J7205" s="199" t="s">
        <v>17721</v>
      </c>
      <c r="K7205" s="46"/>
      <c r="M7205" s="70"/>
      <c r="N7205" s="97"/>
      <c r="O7205" s="46"/>
      <c r="P7205" s="46" t="s">
        <v>65</v>
      </c>
      <c r="Q7205" s="46" t="s">
        <v>107</v>
      </c>
      <c r="R7205" s="46" t="s">
        <v>272</v>
      </c>
    </row>
    <row r="7206" spans="1:18" ht="69" customHeight="1">
      <c r="A7206" s="168"/>
      <c r="B7206" s="52">
        <f t="shared" si="34"/>
        <v>7189</v>
      </c>
      <c r="C7206" s="46" t="s">
        <v>11618</v>
      </c>
      <c r="D7206" s="251" t="s">
        <v>13132</v>
      </c>
      <c r="E7206" s="53" t="s">
        <v>266</v>
      </c>
      <c r="F7206" s="46" t="s">
        <v>17726</v>
      </c>
      <c r="G7206" s="46" t="s">
        <v>17720</v>
      </c>
      <c r="H7206" s="534">
        <v>1850</v>
      </c>
      <c r="I7206" s="56">
        <v>45296</v>
      </c>
      <c r="J7206" s="199" t="s">
        <v>17721</v>
      </c>
      <c r="K7206" s="46"/>
      <c r="M7206" s="70"/>
      <c r="N7206" s="97"/>
      <c r="O7206" s="46"/>
      <c r="P7206" s="46" t="s">
        <v>65</v>
      </c>
      <c r="Q7206" s="46" t="s">
        <v>122</v>
      </c>
      <c r="R7206" s="46" t="s">
        <v>272</v>
      </c>
    </row>
    <row r="7207" spans="1:18" ht="69" customHeight="1">
      <c r="A7207" s="168"/>
      <c r="B7207" s="52">
        <f t="shared" si="34"/>
        <v>7190</v>
      </c>
      <c r="C7207" s="191" t="s">
        <v>16973</v>
      </c>
      <c r="D7207" s="251" t="s">
        <v>17727</v>
      </c>
      <c r="E7207" s="53" t="s">
        <v>266</v>
      </c>
      <c r="F7207" s="46" t="s">
        <v>17728</v>
      </c>
      <c r="G7207" s="46" t="s">
        <v>17720</v>
      </c>
      <c r="H7207" s="534">
        <v>1850</v>
      </c>
      <c r="I7207" s="56">
        <v>45296</v>
      </c>
      <c r="J7207" s="199" t="s">
        <v>17721</v>
      </c>
      <c r="K7207" s="46"/>
      <c r="M7207" s="70"/>
      <c r="N7207" s="97"/>
      <c r="O7207" s="46"/>
      <c r="P7207" s="46" t="s">
        <v>65</v>
      </c>
      <c r="Q7207" s="46" t="s">
        <v>113</v>
      </c>
      <c r="R7207" s="46" t="s">
        <v>272</v>
      </c>
    </row>
    <row r="7208" spans="1:18" ht="69" customHeight="1">
      <c r="A7208" s="168"/>
      <c r="B7208" s="52">
        <f t="shared" si="34"/>
        <v>7191</v>
      </c>
      <c r="C7208" s="191" t="s">
        <v>11933</v>
      </c>
      <c r="D7208" s="251" t="s">
        <v>17729</v>
      </c>
      <c r="E7208" s="53" t="s">
        <v>266</v>
      </c>
      <c r="F7208" s="46" t="s">
        <v>17730</v>
      </c>
      <c r="G7208" s="46" t="s">
        <v>17720</v>
      </c>
      <c r="H7208" s="534">
        <v>1850</v>
      </c>
      <c r="I7208" s="56">
        <v>45296</v>
      </c>
      <c r="J7208" s="199" t="s">
        <v>17721</v>
      </c>
      <c r="K7208" s="46"/>
      <c r="M7208" s="70"/>
      <c r="N7208" s="97"/>
      <c r="O7208" s="46"/>
      <c r="P7208" s="46" t="s">
        <v>65</v>
      </c>
      <c r="Q7208" s="46" t="s">
        <v>123</v>
      </c>
      <c r="R7208" s="46" t="s">
        <v>272</v>
      </c>
    </row>
    <row r="7209" spans="1:18" ht="69" customHeight="1">
      <c r="A7209" s="168"/>
      <c r="B7209" s="52">
        <f t="shared" si="34"/>
        <v>7192</v>
      </c>
      <c r="C7209" s="191" t="s">
        <v>13562</v>
      </c>
      <c r="D7209" s="251" t="s">
        <v>17731</v>
      </c>
      <c r="E7209" s="53" t="s">
        <v>266</v>
      </c>
      <c r="F7209" s="46" t="s">
        <v>17732</v>
      </c>
      <c r="G7209" s="46" t="s">
        <v>17720</v>
      </c>
      <c r="H7209" s="534">
        <v>1850</v>
      </c>
      <c r="I7209" s="56">
        <v>45296</v>
      </c>
      <c r="J7209" s="199" t="s">
        <v>17721</v>
      </c>
      <c r="K7209" s="46"/>
      <c r="M7209" s="70"/>
      <c r="N7209" s="97"/>
      <c r="O7209" s="46" t="s">
        <v>16356</v>
      </c>
      <c r="P7209" s="46" t="s">
        <v>65</v>
      </c>
      <c r="Q7209" s="46" t="s">
        <v>88</v>
      </c>
      <c r="R7209" s="46" t="s">
        <v>272</v>
      </c>
    </row>
    <row r="7210" spans="1:18" ht="69" customHeight="1">
      <c r="A7210" s="168"/>
      <c r="B7210" s="52">
        <f t="shared" si="34"/>
        <v>7193</v>
      </c>
      <c r="C7210" s="191" t="s">
        <v>7189</v>
      </c>
      <c r="D7210" s="251" t="s">
        <v>3946</v>
      </c>
      <c r="E7210" s="53" t="s">
        <v>266</v>
      </c>
      <c r="F7210" s="46" t="s">
        <v>17733</v>
      </c>
      <c r="G7210" s="46" t="s">
        <v>17720</v>
      </c>
      <c r="H7210" s="534">
        <v>1850</v>
      </c>
      <c r="I7210" s="56">
        <v>45296</v>
      </c>
      <c r="J7210" s="199" t="s">
        <v>17721</v>
      </c>
      <c r="K7210" s="46"/>
      <c r="M7210" s="70"/>
      <c r="N7210" s="97"/>
      <c r="O7210" s="46"/>
      <c r="P7210" s="46" t="s">
        <v>65</v>
      </c>
      <c r="Q7210" s="46" t="s">
        <v>97</v>
      </c>
      <c r="R7210" s="46" t="s">
        <v>272</v>
      </c>
    </row>
    <row r="7211" spans="1:18" ht="69" customHeight="1">
      <c r="A7211" s="168"/>
      <c r="B7211" s="52">
        <f t="shared" si="34"/>
        <v>7194</v>
      </c>
      <c r="C7211" s="191" t="s">
        <v>9094</v>
      </c>
      <c r="D7211" s="251" t="s">
        <v>17734</v>
      </c>
      <c r="E7211" s="53" t="s">
        <v>266</v>
      </c>
      <c r="F7211" s="46" t="s">
        <v>17735</v>
      </c>
      <c r="G7211" s="46" t="s">
        <v>17720</v>
      </c>
      <c r="H7211" s="534">
        <v>1850</v>
      </c>
      <c r="I7211" s="56">
        <v>45296</v>
      </c>
      <c r="J7211" s="199" t="s">
        <v>17721</v>
      </c>
      <c r="K7211" s="46" t="s">
        <v>5103</v>
      </c>
      <c r="M7211" s="70"/>
      <c r="N7211" s="97"/>
      <c r="O7211" s="46"/>
      <c r="P7211" s="46" t="s">
        <v>65</v>
      </c>
      <c r="Q7211" s="46" t="s">
        <v>112</v>
      </c>
      <c r="R7211" s="46" t="s">
        <v>272</v>
      </c>
    </row>
    <row r="7212" spans="1:18" ht="69" customHeight="1">
      <c r="A7212" s="168"/>
      <c r="B7212" s="62">
        <f t="shared" si="34"/>
        <v>7195</v>
      </c>
      <c r="C7212" s="59" t="s">
        <v>1853</v>
      </c>
      <c r="D7212" s="174" t="s">
        <v>12320</v>
      </c>
      <c r="E7212" s="85" t="s">
        <v>266</v>
      </c>
      <c r="F7212" s="58" t="s">
        <v>17736</v>
      </c>
      <c r="G7212" s="58" t="s">
        <v>17692</v>
      </c>
      <c r="H7212" s="546">
        <v>3721.9</v>
      </c>
      <c r="I7212" s="66">
        <v>45306</v>
      </c>
      <c r="J7212" s="65" t="s">
        <v>17737</v>
      </c>
      <c r="K7212" s="58">
        <v>404</v>
      </c>
      <c r="M7212" s="70"/>
      <c r="N7212" s="97"/>
      <c r="O7212" s="58" t="s">
        <v>15051</v>
      </c>
      <c r="P7212" s="58" t="s">
        <v>44</v>
      </c>
      <c r="Q7212" s="58" t="s">
        <v>29</v>
      </c>
      <c r="R7212" s="58" t="s">
        <v>272</v>
      </c>
    </row>
    <row r="7213" spans="1:18" ht="69" customHeight="1">
      <c r="A7213" s="168"/>
      <c r="B7213" s="62">
        <f t="shared" si="34"/>
        <v>7196</v>
      </c>
      <c r="C7213" s="59" t="s">
        <v>2182</v>
      </c>
      <c r="D7213" s="174" t="s">
        <v>12326</v>
      </c>
      <c r="E7213" s="85" t="s">
        <v>266</v>
      </c>
      <c r="F7213" s="58" t="s">
        <v>17738</v>
      </c>
      <c r="G7213" s="58" t="s">
        <v>17692</v>
      </c>
      <c r="H7213" s="546">
        <v>3721.9</v>
      </c>
      <c r="I7213" s="66">
        <v>45306</v>
      </c>
      <c r="J7213" s="65" t="s">
        <v>17737</v>
      </c>
      <c r="K7213" s="58">
        <v>405</v>
      </c>
      <c r="M7213" s="70"/>
      <c r="N7213" s="97"/>
      <c r="O7213" s="58" t="s">
        <v>15051</v>
      </c>
      <c r="P7213" s="58" t="s">
        <v>44</v>
      </c>
      <c r="Q7213" s="58" t="s">
        <v>31</v>
      </c>
      <c r="R7213" s="58" t="s">
        <v>272</v>
      </c>
    </row>
    <row r="7214" spans="1:18" ht="69" customHeight="1">
      <c r="A7214" s="168"/>
      <c r="B7214" s="62">
        <f t="shared" si="34"/>
        <v>7197</v>
      </c>
      <c r="C7214" s="44" t="s">
        <v>17406</v>
      </c>
      <c r="D7214" s="174" t="s">
        <v>12328</v>
      </c>
      <c r="E7214" s="85" t="s">
        <v>266</v>
      </c>
      <c r="F7214" s="58" t="s">
        <v>17739</v>
      </c>
      <c r="G7214" s="58" t="s">
        <v>17692</v>
      </c>
      <c r="H7214" s="546">
        <v>3721.9</v>
      </c>
      <c r="I7214" s="66">
        <v>45306</v>
      </c>
      <c r="J7214" s="65" t="s">
        <v>17737</v>
      </c>
      <c r="K7214" s="45">
        <v>406</v>
      </c>
      <c r="M7214" s="70"/>
      <c r="N7214" s="97"/>
      <c r="O7214" s="58" t="s">
        <v>15051</v>
      </c>
      <c r="P7214" s="58" t="s">
        <v>44</v>
      </c>
      <c r="Q7214" s="58" t="s">
        <v>33</v>
      </c>
      <c r="R7214" s="58" t="s">
        <v>272</v>
      </c>
    </row>
    <row r="7215" spans="1:18" ht="69" customHeight="1">
      <c r="A7215" s="168"/>
      <c r="B7215" s="48">
        <f t="shared" si="34"/>
        <v>7198</v>
      </c>
      <c r="C7215" s="59" t="s">
        <v>11050</v>
      </c>
      <c r="D7215" s="84" t="s">
        <v>12963</v>
      </c>
      <c r="E7215" s="55" t="s">
        <v>266</v>
      </c>
      <c r="F7215" s="45" t="s">
        <v>17740</v>
      </c>
      <c r="G7215" s="45" t="s">
        <v>17692</v>
      </c>
      <c r="H7215" s="198">
        <v>3373.5</v>
      </c>
      <c r="I7215" s="47">
        <v>45306</v>
      </c>
      <c r="J7215" s="73" t="s">
        <v>17737</v>
      </c>
      <c r="K7215" s="45"/>
      <c r="M7215" s="70"/>
      <c r="N7215" s="97"/>
      <c r="O7215" s="58" t="s">
        <v>15051</v>
      </c>
      <c r="P7215" s="58" t="s">
        <v>44</v>
      </c>
      <c r="Q7215" s="58" t="s">
        <v>35</v>
      </c>
      <c r="R7215" s="58" t="s">
        <v>272</v>
      </c>
    </row>
    <row r="7216" spans="1:18" ht="69" customHeight="1">
      <c r="A7216" s="168"/>
      <c r="B7216" s="48">
        <f t="shared" si="34"/>
        <v>7199</v>
      </c>
      <c r="C7216" s="59" t="s">
        <v>11052</v>
      </c>
      <c r="D7216" s="84" t="s">
        <v>13384</v>
      </c>
      <c r="E7216" s="55" t="s">
        <v>266</v>
      </c>
      <c r="F7216" s="45" t="s">
        <v>17741</v>
      </c>
      <c r="G7216" s="45" t="s">
        <v>17692</v>
      </c>
      <c r="H7216" s="198">
        <v>3373.5</v>
      </c>
      <c r="I7216" s="47">
        <v>45306</v>
      </c>
      <c r="J7216" s="73" t="s">
        <v>17737</v>
      </c>
      <c r="K7216" s="45"/>
      <c r="M7216" s="70"/>
      <c r="N7216" s="97"/>
      <c r="O7216" s="58" t="s">
        <v>15051</v>
      </c>
      <c r="P7216" s="58" t="s">
        <v>44</v>
      </c>
      <c r="Q7216" s="58" t="s">
        <v>37</v>
      </c>
      <c r="R7216" s="58" t="s">
        <v>272</v>
      </c>
    </row>
    <row r="7217" spans="1:18" ht="69" customHeight="1">
      <c r="A7217" s="168"/>
      <c r="B7217" s="62">
        <f t="shared" si="34"/>
        <v>7200</v>
      </c>
      <c r="C7217" s="44" t="s">
        <v>14945</v>
      </c>
      <c r="D7217" s="174" t="s">
        <v>12380</v>
      </c>
      <c r="E7217" s="85" t="s">
        <v>266</v>
      </c>
      <c r="F7217" s="58" t="s">
        <v>17742</v>
      </c>
      <c r="G7217" s="58" t="s">
        <v>17692</v>
      </c>
      <c r="H7217" s="546">
        <v>3373.5</v>
      </c>
      <c r="I7217" s="66">
        <v>45306</v>
      </c>
      <c r="J7217" s="65" t="s">
        <v>17737</v>
      </c>
      <c r="K7217" s="45">
        <v>409</v>
      </c>
      <c r="M7217" s="70"/>
      <c r="N7217" s="97"/>
      <c r="O7217" s="58" t="s">
        <v>15051</v>
      </c>
      <c r="P7217" s="58" t="s">
        <v>44</v>
      </c>
      <c r="Q7217" s="58" t="s">
        <v>39</v>
      </c>
      <c r="R7217" s="58" t="s">
        <v>272</v>
      </c>
    </row>
    <row r="7218" spans="1:18" ht="69" customHeight="1">
      <c r="A7218" s="168"/>
      <c r="B7218" s="62">
        <f t="shared" si="34"/>
        <v>7201</v>
      </c>
      <c r="C7218" s="59" t="s">
        <v>15449</v>
      </c>
      <c r="D7218" s="174" t="s">
        <v>12387</v>
      </c>
      <c r="E7218" s="85" t="s">
        <v>266</v>
      </c>
      <c r="F7218" s="58" t="s">
        <v>17743</v>
      </c>
      <c r="G7218" s="58" t="s">
        <v>17692</v>
      </c>
      <c r="H7218" s="546">
        <v>3373.5</v>
      </c>
      <c r="I7218" s="66">
        <v>45306</v>
      </c>
      <c r="J7218" s="65" t="s">
        <v>17737</v>
      </c>
      <c r="K7218" s="58">
        <v>410</v>
      </c>
      <c r="M7218" s="70"/>
      <c r="N7218" s="97"/>
      <c r="O7218" s="58" t="s">
        <v>15051</v>
      </c>
      <c r="P7218" s="58" t="s">
        <v>44</v>
      </c>
      <c r="Q7218" s="58" t="s">
        <v>41</v>
      </c>
      <c r="R7218" s="58" t="s">
        <v>272</v>
      </c>
    </row>
    <row r="7219" spans="1:18" ht="69" customHeight="1">
      <c r="A7219" s="168"/>
      <c r="B7219" s="48">
        <f t="shared" si="34"/>
        <v>7202</v>
      </c>
      <c r="C7219" s="44" t="s">
        <v>11055</v>
      </c>
      <c r="D7219" s="84" t="s">
        <v>13382</v>
      </c>
      <c r="E7219" s="55" t="s">
        <v>266</v>
      </c>
      <c r="F7219" s="45" t="s">
        <v>17744</v>
      </c>
      <c r="G7219" s="45" t="s">
        <v>17692</v>
      </c>
      <c r="H7219" s="198">
        <v>3721.9</v>
      </c>
      <c r="I7219" s="47">
        <v>45296</v>
      </c>
      <c r="J7219" s="73" t="s">
        <v>17737</v>
      </c>
      <c r="K7219" s="45"/>
      <c r="M7219" s="70"/>
      <c r="N7219" s="97"/>
      <c r="O7219" s="58" t="s">
        <v>15051</v>
      </c>
      <c r="P7219" s="58" t="s">
        <v>44</v>
      </c>
      <c r="Q7219" s="58" t="s">
        <v>45</v>
      </c>
      <c r="R7219" s="58" t="s">
        <v>272</v>
      </c>
    </row>
    <row r="7220" spans="1:18" ht="69" customHeight="1">
      <c r="A7220" s="168"/>
      <c r="B7220" s="717">
        <f t="shared" si="34"/>
        <v>7203</v>
      </c>
      <c r="C7220" s="713" t="s">
        <v>9545</v>
      </c>
      <c r="D7220" s="711" t="s">
        <v>14369</v>
      </c>
      <c r="E7220" s="712" t="s">
        <v>266</v>
      </c>
      <c r="F7220" s="713" t="s">
        <v>17745</v>
      </c>
      <c r="G7220" s="713" t="s">
        <v>17692</v>
      </c>
      <c r="H7220" s="714">
        <v>3721.9</v>
      </c>
      <c r="I7220" s="715">
        <v>45296</v>
      </c>
      <c r="J7220" s="716" t="s">
        <v>17737</v>
      </c>
      <c r="K7220" s="713" t="s">
        <v>17746</v>
      </c>
      <c r="M7220" s="70"/>
      <c r="N7220" s="97"/>
      <c r="O7220" s="58" t="s">
        <v>15051</v>
      </c>
      <c r="P7220" s="58" t="s">
        <v>44</v>
      </c>
      <c r="Q7220" s="58" t="s">
        <v>117</v>
      </c>
      <c r="R7220" s="58" t="s">
        <v>272</v>
      </c>
    </row>
    <row r="7221" spans="1:18" ht="69" customHeight="1">
      <c r="A7221" s="168"/>
      <c r="B7221" s="717">
        <f t="shared" si="34"/>
        <v>7204</v>
      </c>
      <c r="C7221" s="718" t="s">
        <v>9215</v>
      </c>
      <c r="D7221" s="711" t="s">
        <v>14374</v>
      </c>
      <c r="E7221" s="712" t="s">
        <v>266</v>
      </c>
      <c r="F7221" s="713" t="s">
        <v>17747</v>
      </c>
      <c r="G7221" s="713" t="s">
        <v>17692</v>
      </c>
      <c r="H7221" s="714">
        <v>3721.9</v>
      </c>
      <c r="I7221" s="715">
        <v>45296</v>
      </c>
      <c r="J7221" s="716" t="s">
        <v>17737</v>
      </c>
      <c r="K7221" s="713" t="s">
        <v>17746</v>
      </c>
      <c r="M7221" s="70"/>
      <c r="N7221" s="97"/>
      <c r="O7221" s="58" t="s">
        <v>15051</v>
      </c>
      <c r="P7221" s="58" t="s">
        <v>44</v>
      </c>
      <c r="Q7221" s="58" t="s">
        <v>113</v>
      </c>
      <c r="R7221" s="58" t="s">
        <v>272</v>
      </c>
    </row>
    <row r="7222" spans="1:18" ht="69" customHeight="1">
      <c r="A7222" s="168"/>
      <c r="B7222" s="717">
        <f t="shared" si="34"/>
        <v>7205</v>
      </c>
      <c r="C7222" s="713" t="s">
        <v>11618</v>
      </c>
      <c r="D7222" s="711" t="s">
        <v>14087</v>
      </c>
      <c r="E7222" s="712" t="s">
        <v>266</v>
      </c>
      <c r="F7222" s="713" t="s">
        <v>17748</v>
      </c>
      <c r="G7222" s="713" t="s">
        <v>17692</v>
      </c>
      <c r="H7222" s="714">
        <v>3721.9</v>
      </c>
      <c r="I7222" s="715">
        <v>45296</v>
      </c>
      <c r="J7222" s="716" t="s">
        <v>17737</v>
      </c>
      <c r="K7222" s="713" t="s">
        <v>17746</v>
      </c>
      <c r="M7222" s="70"/>
      <c r="N7222" s="97"/>
      <c r="O7222" s="58" t="s">
        <v>15051</v>
      </c>
      <c r="P7222" s="58" t="s">
        <v>44</v>
      </c>
      <c r="Q7222" s="58" t="s">
        <v>122</v>
      </c>
      <c r="R7222" s="58" t="s">
        <v>272</v>
      </c>
    </row>
    <row r="7223" spans="1:18" ht="69" customHeight="1">
      <c r="A7223" s="168"/>
      <c r="B7223" s="717">
        <f t="shared" si="34"/>
        <v>7206</v>
      </c>
      <c r="C7223" s="710" t="s">
        <v>9004</v>
      </c>
      <c r="D7223" s="711" t="s">
        <v>4323</v>
      </c>
      <c r="E7223" s="712" t="s">
        <v>266</v>
      </c>
      <c r="F7223" s="713" t="s">
        <v>17749</v>
      </c>
      <c r="G7223" s="713" t="s">
        <v>17692</v>
      </c>
      <c r="H7223" s="714">
        <v>3721.9</v>
      </c>
      <c r="I7223" s="715">
        <v>45296</v>
      </c>
      <c r="J7223" s="716" t="s">
        <v>17737</v>
      </c>
      <c r="K7223" s="713" t="s">
        <v>17746</v>
      </c>
      <c r="M7223" s="70"/>
      <c r="N7223" s="97"/>
      <c r="O7223" s="58" t="s">
        <v>15051</v>
      </c>
      <c r="P7223" s="58" t="s">
        <v>44</v>
      </c>
      <c r="Q7223" s="58" t="s">
        <v>111</v>
      </c>
      <c r="R7223" s="58" t="s">
        <v>272</v>
      </c>
    </row>
    <row r="7224" spans="1:18" ht="69" customHeight="1">
      <c r="A7224" s="168"/>
      <c r="B7224" s="62">
        <f t="shared" si="34"/>
        <v>7207</v>
      </c>
      <c r="C7224" s="59" t="s">
        <v>6261</v>
      </c>
      <c r="D7224" s="174" t="s">
        <v>17750</v>
      </c>
      <c r="E7224" s="85" t="s">
        <v>266</v>
      </c>
      <c r="F7224" s="58" t="s">
        <v>17751</v>
      </c>
      <c r="G7224" s="58" t="s">
        <v>17692</v>
      </c>
      <c r="H7224" s="546">
        <v>3721.9</v>
      </c>
      <c r="I7224" s="66">
        <v>45306</v>
      </c>
      <c r="J7224" s="65" t="s">
        <v>17737</v>
      </c>
      <c r="K7224" s="58">
        <v>429</v>
      </c>
      <c r="M7224" s="70"/>
      <c r="N7224" s="97"/>
      <c r="O7224" s="58" t="s">
        <v>15051</v>
      </c>
      <c r="P7224" s="58" t="s">
        <v>44</v>
      </c>
      <c r="Q7224" s="58" t="s">
        <v>74</v>
      </c>
      <c r="R7224" s="58" t="s">
        <v>272</v>
      </c>
    </row>
    <row r="7225" spans="1:18" ht="69" customHeight="1">
      <c r="A7225" s="168"/>
      <c r="B7225" s="62">
        <f t="shared" si="34"/>
        <v>7208</v>
      </c>
      <c r="C7225" s="44" t="s">
        <v>6468</v>
      </c>
      <c r="D7225" s="174" t="s">
        <v>17752</v>
      </c>
      <c r="E7225" s="85" t="s">
        <v>266</v>
      </c>
      <c r="F7225" s="58" t="s">
        <v>17753</v>
      </c>
      <c r="G7225" s="58" t="s">
        <v>17692</v>
      </c>
      <c r="H7225" s="546">
        <v>3721.9</v>
      </c>
      <c r="I7225" s="66">
        <v>45306</v>
      </c>
      <c r="J7225" s="65" t="s">
        <v>17737</v>
      </c>
      <c r="K7225" s="58">
        <v>430</v>
      </c>
      <c r="M7225" s="70"/>
      <c r="N7225" s="97"/>
      <c r="O7225" s="58" t="s">
        <v>15051</v>
      </c>
      <c r="P7225" s="58" t="s">
        <v>44</v>
      </c>
      <c r="Q7225" s="58" t="s">
        <v>76</v>
      </c>
      <c r="R7225" s="58" t="s">
        <v>272</v>
      </c>
    </row>
    <row r="7226" spans="1:18" ht="69" customHeight="1">
      <c r="A7226" s="168"/>
      <c r="B7226" s="62">
        <f t="shared" ref="B7226:B7289" si="35">B7225+1</f>
        <v>7209</v>
      </c>
      <c r="C7226" s="59" t="s">
        <v>6693</v>
      </c>
      <c r="D7226" s="174" t="s">
        <v>17754</v>
      </c>
      <c r="E7226" s="85" t="s">
        <v>266</v>
      </c>
      <c r="F7226" s="58" t="s">
        <v>17755</v>
      </c>
      <c r="G7226" s="58" t="s">
        <v>17692</v>
      </c>
      <c r="H7226" s="546">
        <v>3721.9</v>
      </c>
      <c r="I7226" s="66">
        <v>45306</v>
      </c>
      <c r="J7226" s="65" t="s">
        <v>17737</v>
      </c>
      <c r="K7226" s="58">
        <v>431</v>
      </c>
      <c r="M7226" s="70"/>
      <c r="N7226" s="97"/>
      <c r="O7226" s="58" t="s">
        <v>15051</v>
      </c>
      <c r="P7226" s="58" t="s">
        <v>44</v>
      </c>
      <c r="Q7226" s="58" t="s">
        <v>78</v>
      </c>
      <c r="R7226" s="58" t="s">
        <v>272</v>
      </c>
    </row>
    <row r="7227" spans="1:18" ht="69" customHeight="1">
      <c r="A7227" s="168"/>
      <c r="B7227" s="717">
        <f t="shared" si="35"/>
        <v>7210</v>
      </c>
      <c r="C7227" s="710" t="s">
        <v>5658</v>
      </c>
      <c r="D7227" s="711" t="s">
        <v>17756</v>
      </c>
      <c r="E7227" s="712" t="s">
        <v>266</v>
      </c>
      <c r="F7227" s="713" t="s">
        <v>17757</v>
      </c>
      <c r="G7227" s="713" t="s">
        <v>17692</v>
      </c>
      <c r="H7227" s="714">
        <v>4522.7</v>
      </c>
      <c r="I7227" s="715">
        <v>45296</v>
      </c>
      <c r="J7227" s="716" t="s">
        <v>17737</v>
      </c>
      <c r="K7227" s="713" t="s">
        <v>17746</v>
      </c>
      <c r="M7227" s="70"/>
      <c r="N7227" s="97"/>
      <c r="O7227" s="58" t="s">
        <v>15051</v>
      </c>
      <c r="P7227" s="58" t="s">
        <v>44</v>
      </c>
      <c r="Q7227" s="58" t="s">
        <v>66</v>
      </c>
      <c r="R7227" s="58" t="s">
        <v>272</v>
      </c>
    </row>
    <row r="7228" spans="1:18" ht="69" customHeight="1">
      <c r="A7228" s="168"/>
      <c r="B7228" s="717">
        <f t="shared" si="35"/>
        <v>7211</v>
      </c>
      <c r="C7228" s="710" t="s">
        <v>10612</v>
      </c>
      <c r="D7228" s="711" t="s">
        <v>17758</v>
      </c>
      <c r="E7228" s="712" t="s">
        <v>266</v>
      </c>
      <c r="F7228" s="713" t="s">
        <v>17759</v>
      </c>
      <c r="G7228" s="713" t="s">
        <v>17692</v>
      </c>
      <c r="H7228" s="714">
        <v>3721.9</v>
      </c>
      <c r="I7228" s="715">
        <v>45296</v>
      </c>
      <c r="J7228" s="716" t="s">
        <v>17737</v>
      </c>
      <c r="K7228" s="713" t="s">
        <v>17746</v>
      </c>
      <c r="M7228" s="70"/>
      <c r="N7228" s="97"/>
      <c r="O7228" s="58" t="s">
        <v>15051</v>
      </c>
      <c r="P7228" s="58" t="s">
        <v>44</v>
      </c>
      <c r="Q7228" s="58" t="s">
        <v>86</v>
      </c>
      <c r="R7228" s="58" t="s">
        <v>272</v>
      </c>
    </row>
    <row r="7229" spans="1:18" ht="69" customHeight="1">
      <c r="A7229" s="168"/>
      <c r="B7229" s="717">
        <f t="shared" si="35"/>
        <v>7212</v>
      </c>
      <c r="C7229" s="710" t="s">
        <v>10639</v>
      </c>
      <c r="D7229" s="711" t="s">
        <v>17760</v>
      </c>
      <c r="E7229" s="712" t="s">
        <v>266</v>
      </c>
      <c r="F7229" s="713" t="s">
        <v>17761</v>
      </c>
      <c r="G7229" s="713" t="s">
        <v>17692</v>
      </c>
      <c r="H7229" s="714">
        <v>3721.9</v>
      </c>
      <c r="I7229" s="715">
        <v>45296</v>
      </c>
      <c r="J7229" s="716" t="s">
        <v>17737</v>
      </c>
      <c r="K7229" s="713" t="s">
        <v>17746</v>
      </c>
      <c r="M7229" s="70"/>
      <c r="N7229" s="97"/>
      <c r="O7229" s="58" t="s">
        <v>15051</v>
      </c>
      <c r="P7229" s="58" t="s">
        <v>44</v>
      </c>
      <c r="Q7229" s="58" t="s">
        <v>95</v>
      </c>
      <c r="R7229" s="58" t="s">
        <v>272</v>
      </c>
    </row>
    <row r="7230" spans="1:18" ht="69" customHeight="1">
      <c r="A7230" s="168"/>
      <c r="B7230" s="52">
        <f t="shared" si="35"/>
        <v>7213</v>
      </c>
      <c r="C7230" s="191" t="s">
        <v>458</v>
      </c>
      <c r="D7230" s="251" t="s">
        <v>13162</v>
      </c>
      <c r="E7230" s="53" t="s">
        <v>266</v>
      </c>
      <c r="F7230" s="46" t="s">
        <v>17762</v>
      </c>
      <c r="G7230" s="46" t="s">
        <v>17763</v>
      </c>
      <c r="H7230" s="534">
        <v>11687.04</v>
      </c>
      <c r="I7230" s="56">
        <v>45296</v>
      </c>
      <c r="J7230" s="199" t="s">
        <v>17764</v>
      </c>
      <c r="K7230" s="46"/>
      <c r="M7230" s="70"/>
      <c r="N7230" s="97"/>
      <c r="O7230" s="46" t="s">
        <v>1171</v>
      </c>
      <c r="P7230" s="46" t="s">
        <v>71</v>
      </c>
      <c r="Q7230" s="46" t="s">
        <v>103</v>
      </c>
      <c r="R7230" s="46" t="s">
        <v>272</v>
      </c>
    </row>
    <row r="7231" spans="1:18" ht="69" customHeight="1">
      <c r="A7231" s="168"/>
      <c r="B7231" s="52">
        <f t="shared" si="35"/>
        <v>7214</v>
      </c>
      <c r="C7231" s="191" t="s">
        <v>458</v>
      </c>
      <c r="D7231" s="251" t="s">
        <v>13164</v>
      </c>
      <c r="E7231" s="53" t="s">
        <v>266</v>
      </c>
      <c r="F7231" s="46" t="s">
        <v>17765</v>
      </c>
      <c r="G7231" s="46" t="s">
        <v>17763</v>
      </c>
      <c r="H7231" s="534">
        <v>4674.82</v>
      </c>
      <c r="I7231" s="56">
        <v>45296</v>
      </c>
      <c r="J7231" s="199" t="s">
        <v>17764</v>
      </c>
      <c r="K7231" s="46"/>
      <c r="M7231" s="70"/>
      <c r="N7231" s="97"/>
      <c r="O7231" s="46" t="s">
        <v>1171</v>
      </c>
      <c r="P7231" s="46" t="s">
        <v>71</v>
      </c>
      <c r="Q7231" s="46" t="s">
        <v>113</v>
      </c>
      <c r="R7231" s="46" t="s">
        <v>272</v>
      </c>
    </row>
    <row r="7232" spans="1:18" ht="69" customHeight="1">
      <c r="A7232" s="168"/>
      <c r="B7232" s="52">
        <f t="shared" si="35"/>
        <v>7215</v>
      </c>
      <c r="C7232" s="191" t="s">
        <v>458</v>
      </c>
      <c r="D7232" s="251" t="s">
        <v>13168</v>
      </c>
      <c r="E7232" s="53" t="s">
        <v>266</v>
      </c>
      <c r="F7232" s="46" t="s">
        <v>17766</v>
      </c>
      <c r="G7232" s="46" t="s">
        <v>17763</v>
      </c>
      <c r="H7232" s="534">
        <v>11103.89</v>
      </c>
      <c r="I7232" s="56">
        <v>45296</v>
      </c>
      <c r="J7232" s="199" t="s">
        <v>17764</v>
      </c>
      <c r="K7232" s="46"/>
      <c r="M7232" s="70"/>
      <c r="N7232" s="97"/>
      <c r="O7232" s="46" t="s">
        <v>1171</v>
      </c>
      <c r="P7232" s="46" t="s">
        <v>71</v>
      </c>
      <c r="Q7232" s="46" t="s">
        <v>88</v>
      </c>
      <c r="R7232" s="46" t="s">
        <v>272</v>
      </c>
    </row>
    <row r="7233" spans="1:18" ht="69" customHeight="1">
      <c r="A7233" s="168"/>
      <c r="B7233" s="52">
        <f t="shared" si="35"/>
        <v>7216</v>
      </c>
      <c r="C7233" s="191" t="s">
        <v>458</v>
      </c>
      <c r="D7233" s="251" t="s">
        <v>13170</v>
      </c>
      <c r="E7233" s="53" t="s">
        <v>266</v>
      </c>
      <c r="F7233" s="46" t="s">
        <v>17767</v>
      </c>
      <c r="G7233" s="46" t="s">
        <v>17763</v>
      </c>
      <c r="H7233" s="534">
        <v>11103.89</v>
      </c>
      <c r="I7233" s="56">
        <v>45296</v>
      </c>
      <c r="J7233" s="199" t="s">
        <v>17764</v>
      </c>
      <c r="K7233" s="46"/>
      <c r="M7233" s="70"/>
      <c r="N7233" s="97"/>
      <c r="O7233" s="46" t="s">
        <v>1171</v>
      </c>
      <c r="P7233" s="46" t="s">
        <v>71</v>
      </c>
      <c r="Q7233" s="46" t="s">
        <v>122</v>
      </c>
      <c r="R7233" s="46" t="s">
        <v>272</v>
      </c>
    </row>
    <row r="7234" spans="1:18" ht="69" customHeight="1">
      <c r="A7234" s="168"/>
      <c r="B7234" s="52">
        <f t="shared" si="35"/>
        <v>7217</v>
      </c>
      <c r="C7234" s="191" t="s">
        <v>458</v>
      </c>
      <c r="D7234" s="251" t="s">
        <v>17768</v>
      </c>
      <c r="E7234" s="53" t="s">
        <v>266</v>
      </c>
      <c r="F7234" s="46" t="s">
        <v>17769</v>
      </c>
      <c r="G7234" s="46" t="s">
        <v>17763</v>
      </c>
      <c r="H7234" s="534">
        <v>11103.89</v>
      </c>
      <c r="I7234" s="56">
        <v>45296</v>
      </c>
      <c r="J7234" s="199" t="s">
        <v>17764</v>
      </c>
      <c r="K7234" s="46"/>
      <c r="M7234" s="70"/>
      <c r="N7234" s="97"/>
      <c r="O7234" s="46" t="s">
        <v>1171</v>
      </c>
      <c r="P7234" s="46" t="s">
        <v>71</v>
      </c>
      <c r="Q7234" s="46" t="s">
        <v>123</v>
      </c>
      <c r="R7234" s="46" t="s">
        <v>272</v>
      </c>
    </row>
    <row r="7235" spans="1:18" ht="69" customHeight="1">
      <c r="A7235" s="168"/>
      <c r="B7235" s="52">
        <f t="shared" si="35"/>
        <v>7218</v>
      </c>
      <c r="C7235" s="191" t="s">
        <v>458</v>
      </c>
      <c r="D7235" s="251" t="s">
        <v>13203</v>
      </c>
      <c r="E7235" s="53" t="s">
        <v>266</v>
      </c>
      <c r="F7235" s="46" t="s">
        <v>17770</v>
      </c>
      <c r="G7235" s="46" t="s">
        <v>17763</v>
      </c>
      <c r="H7235" s="534">
        <v>11109.89</v>
      </c>
      <c r="I7235" s="56">
        <v>45296</v>
      </c>
      <c r="J7235" s="199" t="s">
        <v>17764</v>
      </c>
      <c r="K7235" s="46"/>
      <c r="M7235" s="70"/>
      <c r="N7235" s="97"/>
      <c r="O7235" s="46" t="s">
        <v>1171</v>
      </c>
      <c r="P7235" s="46" t="s">
        <v>71</v>
      </c>
      <c r="Q7235" s="46" t="s">
        <v>112</v>
      </c>
      <c r="R7235" s="46" t="s">
        <v>272</v>
      </c>
    </row>
    <row r="7236" spans="1:18" s="98" customFormat="1" ht="69" customHeight="1">
      <c r="A7236" s="169"/>
      <c r="B7236" s="48">
        <f t="shared" si="35"/>
        <v>7219</v>
      </c>
      <c r="C7236" s="44" t="s">
        <v>10944</v>
      </c>
      <c r="D7236" s="84" t="s">
        <v>4331</v>
      </c>
      <c r="E7236" s="45" t="s">
        <v>17771</v>
      </c>
      <c r="F7236" s="45" t="s">
        <v>17772</v>
      </c>
      <c r="G7236" s="45" t="s">
        <v>17773</v>
      </c>
      <c r="H7236" s="546">
        <v>149688</v>
      </c>
      <c r="I7236" s="47">
        <v>45296</v>
      </c>
      <c r="J7236" s="73" t="s">
        <v>17774</v>
      </c>
      <c r="K7236" s="45"/>
      <c r="M7236" s="385"/>
      <c r="N7236" s="75"/>
      <c r="O7236" s="45" t="s">
        <v>141</v>
      </c>
      <c r="P7236" s="45" t="s">
        <v>19</v>
      </c>
      <c r="Q7236" s="45" t="s">
        <v>120</v>
      </c>
      <c r="R7236" s="45" t="s">
        <v>265</v>
      </c>
    </row>
    <row r="7237" spans="1:18" ht="69" customHeight="1">
      <c r="A7237" s="168"/>
      <c r="B7237" s="62">
        <f t="shared" si="35"/>
        <v>7220</v>
      </c>
      <c r="C7237" s="614" t="s">
        <v>458</v>
      </c>
      <c r="D7237" s="174" t="s">
        <v>13260</v>
      </c>
      <c r="E7237" s="178" t="s">
        <v>7890</v>
      </c>
      <c r="F7237" s="58" t="s">
        <v>17775</v>
      </c>
      <c r="G7237" s="58" t="s">
        <v>17776</v>
      </c>
      <c r="H7237" s="546">
        <v>84060</v>
      </c>
      <c r="I7237" s="47">
        <v>45296</v>
      </c>
      <c r="J7237" s="73" t="s">
        <v>17777</v>
      </c>
      <c r="K7237" s="58"/>
      <c r="M7237" s="70"/>
      <c r="N7237" s="97"/>
      <c r="O7237" s="58" t="s">
        <v>147</v>
      </c>
      <c r="P7237" s="58" t="s">
        <v>22</v>
      </c>
      <c r="Q7237" s="58" t="s">
        <v>123</v>
      </c>
      <c r="R7237" s="45" t="s">
        <v>265</v>
      </c>
    </row>
    <row r="7238" spans="1:18" ht="69" customHeight="1">
      <c r="A7238" s="168"/>
      <c r="B7238" s="62">
        <f t="shared" si="35"/>
        <v>7221</v>
      </c>
      <c r="C7238" s="614" t="s">
        <v>458</v>
      </c>
      <c r="D7238" s="174" t="s">
        <v>17778</v>
      </c>
      <c r="E7238" s="45" t="s">
        <v>11417</v>
      </c>
      <c r="F7238" s="58" t="s">
        <v>17779</v>
      </c>
      <c r="G7238" s="58" t="s">
        <v>17776</v>
      </c>
      <c r="H7238" s="546">
        <v>68760</v>
      </c>
      <c r="I7238" s="47">
        <v>45296</v>
      </c>
      <c r="J7238" s="73" t="s">
        <v>17780</v>
      </c>
      <c r="K7238" s="58"/>
      <c r="M7238" s="70"/>
      <c r="N7238" s="97"/>
      <c r="O7238" s="58" t="s">
        <v>147</v>
      </c>
      <c r="P7238" s="58" t="s">
        <v>22</v>
      </c>
      <c r="Q7238" s="58" t="s">
        <v>122</v>
      </c>
      <c r="R7238" s="45" t="s">
        <v>265</v>
      </c>
    </row>
    <row r="7239" spans="1:18" ht="69" customHeight="1">
      <c r="A7239" s="168"/>
      <c r="B7239" s="62">
        <f t="shared" si="35"/>
        <v>7222</v>
      </c>
      <c r="C7239" s="178" t="s">
        <v>7189</v>
      </c>
      <c r="D7239" s="174" t="s">
        <v>11587</v>
      </c>
      <c r="E7239" s="55" t="s">
        <v>14156</v>
      </c>
      <c r="F7239" s="45" t="s">
        <v>17781</v>
      </c>
      <c r="G7239" s="45" t="s">
        <v>17782</v>
      </c>
      <c r="H7239" s="546">
        <v>357272.37</v>
      </c>
      <c r="I7239" s="47">
        <v>45296</v>
      </c>
      <c r="J7239" s="73" t="s">
        <v>17783</v>
      </c>
      <c r="K7239" s="58"/>
      <c r="M7239" s="70"/>
      <c r="N7239" s="97"/>
      <c r="O7239" s="45" t="s">
        <v>14160</v>
      </c>
      <c r="P7239" s="45" t="s">
        <v>26</v>
      </c>
      <c r="Q7239" s="58" t="s">
        <v>97</v>
      </c>
      <c r="R7239" s="58" t="s">
        <v>272</v>
      </c>
    </row>
    <row r="7240" spans="1:18" ht="69" customHeight="1">
      <c r="A7240" s="168"/>
      <c r="B7240" s="62">
        <f t="shared" si="35"/>
        <v>7223</v>
      </c>
      <c r="C7240" s="59" t="s">
        <v>10937</v>
      </c>
      <c r="D7240" s="84" t="s">
        <v>11583</v>
      </c>
      <c r="E7240" s="55" t="s">
        <v>14156</v>
      </c>
      <c r="F7240" s="45" t="s">
        <v>17784</v>
      </c>
      <c r="G7240" s="45" t="s">
        <v>17782</v>
      </c>
      <c r="H7240" s="546">
        <v>393446.48</v>
      </c>
      <c r="I7240" s="47">
        <v>45296</v>
      </c>
      <c r="J7240" s="73" t="s">
        <v>17783</v>
      </c>
      <c r="K7240" s="45"/>
      <c r="L7240" s="99"/>
      <c r="M7240" s="385"/>
      <c r="N7240" s="75"/>
      <c r="O7240" s="45" t="s">
        <v>14160</v>
      </c>
      <c r="P7240" s="45" t="s">
        <v>26</v>
      </c>
      <c r="Q7240" s="45" t="s">
        <v>104</v>
      </c>
      <c r="R7240" s="58" t="s">
        <v>272</v>
      </c>
    </row>
    <row r="7241" spans="1:18" ht="69" customHeight="1">
      <c r="A7241" s="168"/>
      <c r="B7241" s="62">
        <f t="shared" si="35"/>
        <v>7224</v>
      </c>
      <c r="C7241" s="59" t="s">
        <v>13435</v>
      </c>
      <c r="D7241" s="174" t="s">
        <v>12407</v>
      </c>
      <c r="E7241" s="58" t="s">
        <v>17521</v>
      </c>
      <c r="F7241" s="58" t="s">
        <v>17785</v>
      </c>
      <c r="G7241" s="58" t="s">
        <v>17786</v>
      </c>
      <c r="H7241" s="546">
        <v>25000</v>
      </c>
      <c r="I7241" s="47">
        <v>45296</v>
      </c>
      <c r="J7241" s="73" t="s">
        <v>17787</v>
      </c>
      <c r="K7241" s="58"/>
      <c r="M7241" s="70"/>
      <c r="N7241" s="97"/>
      <c r="O7241" s="58" t="s">
        <v>441</v>
      </c>
      <c r="P7241" s="58" t="s">
        <v>22</v>
      </c>
      <c r="Q7241" s="58" t="s">
        <v>13</v>
      </c>
      <c r="R7241" s="45" t="s">
        <v>265</v>
      </c>
    </row>
    <row r="7242" spans="1:18" ht="69" customHeight="1">
      <c r="A7242" s="168"/>
      <c r="B7242" s="259">
        <f t="shared" si="35"/>
        <v>7225</v>
      </c>
      <c r="C7242" s="160" t="s">
        <v>16368</v>
      </c>
      <c r="D7242" s="303" t="s">
        <v>1457</v>
      </c>
      <c r="E7242" s="290" t="s">
        <v>266</v>
      </c>
      <c r="F7242" s="160" t="s">
        <v>17788</v>
      </c>
      <c r="G7242" s="160" t="s">
        <v>17789</v>
      </c>
      <c r="H7242" s="300">
        <v>4469.3999999999996</v>
      </c>
      <c r="I7242" s="209">
        <v>45296</v>
      </c>
      <c r="J7242" s="316" t="s">
        <v>17790</v>
      </c>
      <c r="K7242" s="160" t="s">
        <v>11084</v>
      </c>
      <c r="M7242" s="70"/>
      <c r="N7242" s="97"/>
      <c r="O7242" s="160" t="s">
        <v>17791</v>
      </c>
      <c r="P7242" s="160" t="s">
        <v>67</v>
      </c>
      <c r="Q7242" s="160" t="s">
        <v>96</v>
      </c>
      <c r="R7242" s="160" t="s">
        <v>272</v>
      </c>
    </row>
    <row r="7243" spans="1:18" ht="69" customHeight="1">
      <c r="A7243" s="168"/>
      <c r="B7243" s="259">
        <f t="shared" si="35"/>
        <v>7226</v>
      </c>
      <c r="C7243" s="160" t="s">
        <v>16368</v>
      </c>
      <c r="D7243" s="303" t="s">
        <v>4561</v>
      </c>
      <c r="E7243" s="290" t="s">
        <v>266</v>
      </c>
      <c r="F7243" s="160" t="s">
        <v>17792</v>
      </c>
      <c r="G7243" s="160" t="s">
        <v>17789</v>
      </c>
      <c r="H7243" s="300">
        <v>4469.3999999999996</v>
      </c>
      <c r="I7243" s="209">
        <v>45296</v>
      </c>
      <c r="J7243" s="316" t="s">
        <v>17790</v>
      </c>
      <c r="K7243" s="160" t="s">
        <v>11084</v>
      </c>
      <c r="M7243" s="70"/>
      <c r="N7243" s="97"/>
      <c r="O7243" s="160" t="s">
        <v>17791</v>
      </c>
      <c r="P7243" s="160" t="s">
        <v>67</v>
      </c>
      <c r="Q7243" s="160" t="s">
        <v>96</v>
      </c>
      <c r="R7243" s="160" t="s">
        <v>272</v>
      </c>
    </row>
    <row r="7244" spans="1:18" ht="69" customHeight="1">
      <c r="A7244" s="168"/>
      <c r="B7244" s="62">
        <f t="shared" si="35"/>
        <v>7227</v>
      </c>
      <c r="C7244" s="44" t="s">
        <v>10634</v>
      </c>
      <c r="D7244" s="174" t="s">
        <v>17793</v>
      </c>
      <c r="E7244" s="58" t="s">
        <v>17794</v>
      </c>
      <c r="F7244" s="58" t="s">
        <v>17795</v>
      </c>
      <c r="G7244" s="58" t="s">
        <v>17796</v>
      </c>
      <c r="H7244" s="546">
        <v>100000</v>
      </c>
      <c r="I7244" s="47">
        <v>45296</v>
      </c>
      <c r="J7244" s="73" t="s">
        <v>17797</v>
      </c>
      <c r="K7244" s="58"/>
      <c r="M7244" s="70"/>
      <c r="N7244" s="97"/>
      <c r="O7244" s="58" t="s">
        <v>175</v>
      </c>
      <c r="P7244" s="58" t="s">
        <v>57</v>
      </c>
      <c r="Q7244" s="58" t="s">
        <v>93</v>
      </c>
      <c r="R7244" s="45" t="s">
        <v>272</v>
      </c>
    </row>
    <row r="7245" spans="1:18" ht="69" customHeight="1">
      <c r="A7245" s="168"/>
      <c r="B7245" s="62">
        <f t="shared" si="35"/>
        <v>7228</v>
      </c>
      <c r="C7245" s="44" t="s">
        <v>10639</v>
      </c>
      <c r="D7245" s="174" t="s">
        <v>17798</v>
      </c>
      <c r="E7245" s="58" t="s">
        <v>17794</v>
      </c>
      <c r="F7245" s="58" t="s">
        <v>17799</v>
      </c>
      <c r="G7245" s="58" t="s">
        <v>17796</v>
      </c>
      <c r="H7245" s="546">
        <v>100000</v>
      </c>
      <c r="I7245" s="47">
        <v>45296</v>
      </c>
      <c r="J7245" s="73" t="s">
        <v>17797</v>
      </c>
      <c r="K7245" s="58"/>
      <c r="M7245" s="70"/>
      <c r="N7245" s="97"/>
      <c r="O7245" s="58" t="s">
        <v>175</v>
      </c>
      <c r="P7245" s="58" t="s">
        <v>57</v>
      </c>
      <c r="Q7245" s="58" t="s">
        <v>95</v>
      </c>
      <c r="R7245" s="45" t="s">
        <v>272</v>
      </c>
    </row>
    <row r="7246" spans="1:18" ht="69" customHeight="1">
      <c r="A7246" s="168"/>
      <c r="B7246" s="62">
        <f t="shared" si="35"/>
        <v>7229</v>
      </c>
      <c r="C7246" s="44" t="s">
        <v>10634</v>
      </c>
      <c r="D7246" s="174" t="s">
        <v>17800</v>
      </c>
      <c r="E7246" s="58" t="s">
        <v>17794</v>
      </c>
      <c r="F7246" s="58" t="s">
        <v>17801</v>
      </c>
      <c r="G7246" s="58" t="s">
        <v>17796</v>
      </c>
      <c r="H7246" s="546">
        <v>100000</v>
      </c>
      <c r="I7246" s="47">
        <v>45296</v>
      </c>
      <c r="J7246" s="73" t="s">
        <v>17797</v>
      </c>
      <c r="K7246" s="58"/>
      <c r="M7246" s="70"/>
      <c r="N7246" s="97"/>
      <c r="O7246" s="58" t="s">
        <v>175</v>
      </c>
      <c r="P7246" s="58" t="s">
        <v>57</v>
      </c>
      <c r="Q7246" s="58" t="s">
        <v>93</v>
      </c>
      <c r="R7246" s="45" t="s">
        <v>272</v>
      </c>
    </row>
    <row r="7247" spans="1:18" s="98" customFormat="1" ht="69" customHeight="1">
      <c r="A7247" s="169"/>
      <c r="B7247" s="48">
        <f t="shared" si="35"/>
        <v>7230</v>
      </c>
      <c r="C7247" s="44" t="s">
        <v>10639</v>
      </c>
      <c r="D7247" s="84" t="s">
        <v>17802</v>
      </c>
      <c r="E7247" s="45" t="s">
        <v>17794</v>
      </c>
      <c r="F7247" s="45" t="s">
        <v>17803</v>
      </c>
      <c r="G7247" s="45" t="s">
        <v>17796</v>
      </c>
      <c r="H7247" s="546">
        <v>100000</v>
      </c>
      <c r="I7247" s="47">
        <v>45296</v>
      </c>
      <c r="J7247" s="73" t="s">
        <v>17797</v>
      </c>
      <c r="K7247" s="45"/>
      <c r="M7247" s="385"/>
      <c r="N7247" s="75"/>
      <c r="O7247" s="45" t="s">
        <v>175</v>
      </c>
      <c r="P7247" s="45" t="s">
        <v>57</v>
      </c>
      <c r="Q7247" s="45" t="s">
        <v>95</v>
      </c>
      <c r="R7247" s="45" t="s">
        <v>272</v>
      </c>
    </row>
    <row r="7248" spans="1:18" ht="69" customHeight="1">
      <c r="A7248" s="168"/>
      <c r="B7248" s="62">
        <f t="shared" si="35"/>
        <v>7231</v>
      </c>
      <c r="C7248" s="59" t="s">
        <v>8797</v>
      </c>
      <c r="D7248" s="174" t="s">
        <v>5425</v>
      </c>
      <c r="E7248" s="45" t="s">
        <v>16077</v>
      </c>
      <c r="F7248" s="58" t="s">
        <v>17804</v>
      </c>
      <c r="G7248" s="45" t="s">
        <v>17805</v>
      </c>
      <c r="H7248" s="546">
        <v>907.67</v>
      </c>
      <c r="I7248" s="47">
        <v>45296</v>
      </c>
      <c r="J7248" s="73" t="s">
        <v>17806</v>
      </c>
      <c r="K7248" s="58"/>
      <c r="M7248" s="70"/>
      <c r="N7248" s="97"/>
      <c r="O7248" s="58" t="s">
        <v>8228</v>
      </c>
      <c r="P7248" s="58" t="s">
        <v>59</v>
      </c>
      <c r="Q7248" s="58" t="s">
        <v>112</v>
      </c>
      <c r="R7248" s="45" t="s">
        <v>272</v>
      </c>
    </row>
    <row r="7249" spans="1:18" ht="69" customHeight="1">
      <c r="A7249" s="168"/>
      <c r="B7249" s="62">
        <f t="shared" si="35"/>
        <v>7232</v>
      </c>
      <c r="C7249" s="59" t="s">
        <v>8797</v>
      </c>
      <c r="D7249" s="174" t="s">
        <v>5427</v>
      </c>
      <c r="E7249" s="45" t="s">
        <v>16077</v>
      </c>
      <c r="F7249" s="58" t="s">
        <v>17807</v>
      </c>
      <c r="G7249" s="45" t="s">
        <v>17805</v>
      </c>
      <c r="H7249" s="546">
        <v>3630.7</v>
      </c>
      <c r="I7249" s="47">
        <v>45296</v>
      </c>
      <c r="J7249" s="73" t="s">
        <v>17806</v>
      </c>
      <c r="K7249" s="58"/>
      <c r="M7249" s="70"/>
      <c r="N7249" s="97"/>
      <c r="O7249" s="58" t="s">
        <v>8228</v>
      </c>
      <c r="P7249" s="58" t="s">
        <v>59</v>
      </c>
      <c r="Q7249" s="58" t="s">
        <v>112</v>
      </c>
      <c r="R7249" s="45" t="s">
        <v>272</v>
      </c>
    </row>
    <row r="7250" spans="1:18" s="98" customFormat="1" ht="69" customHeight="1">
      <c r="A7250" s="169"/>
      <c r="B7250" s="48">
        <f t="shared" si="35"/>
        <v>7233</v>
      </c>
      <c r="C7250" s="59" t="s">
        <v>9215</v>
      </c>
      <c r="D7250" s="84" t="s">
        <v>14080</v>
      </c>
      <c r="E7250" s="55" t="s">
        <v>11297</v>
      </c>
      <c r="F7250" s="45" t="s">
        <v>17808</v>
      </c>
      <c r="G7250" s="45" t="s">
        <v>14169</v>
      </c>
      <c r="H7250" s="546">
        <v>127735.37</v>
      </c>
      <c r="I7250" s="47">
        <v>45296</v>
      </c>
      <c r="J7250" s="73" t="s">
        <v>17809</v>
      </c>
      <c r="K7250" s="45"/>
      <c r="M7250" s="385"/>
      <c r="N7250" s="75"/>
      <c r="O7250" s="45" t="s">
        <v>11301</v>
      </c>
      <c r="P7250" s="58" t="s">
        <v>61</v>
      </c>
      <c r="Q7250" s="45" t="s">
        <v>113</v>
      </c>
      <c r="R7250" s="45" t="s">
        <v>272</v>
      </c>
    </row>
    <row r="7251" spans="1:18" s="98" customFormat="1" ht="69" customHeight="1">
      <c r="A7251" s="169"/>
      <c r="B7251" s="48">
        <f t="shared" si="35"/>
        <v>7234</v>
      </c>
      <c r="C7251" s="59" t="s">
        <v>9596</v>
      </c>
      <c r="D7251" s="84" t="s">
        <v>11674</v>
      </c>
      <c r="E7251" s="55" t="s">
        <v>11297</v>
      </c>
      <c r="F7251" s="45" t="s">
        <v>17810</v>
      </c>
      <c r="G7251" s="45" t="s">
        <v>14169</v>
      </c>
      <c r="H7251" s="546">
        <v>2764.75</v>
      </c>
      <c r="I7251" s="47">
        <v>45296</v>
      </c>
      <c r="J7251" s="73" t="s">
        <v>17809</v>
      </c>
      <c r="K7251" s="45"/>
      <c r="M7251" s="385"/>
      <c r="N7251" s="75"/>
      <c r="O7251" s="45" t="s">
        <v>11301</v>
      </c>
      <c r="P7251" s="58" t="s">
        <v>61</v>
      </c>
      <c r="Q7251" s="45" t="s">
        <v>118</v>
      </c>
      <c r="R7251" s="45" t="s">
        <v>272</v>
      </c>
    </row>
    <row r="7252" spans="1:18" s="98" customFormat="1" ht="69" customHeight="1">
      <c r="A7252" s="169"/>
      <c r="B7252" s="48">
        <f t="shared" si="35"/>
        <v>7235</v>
      </c>
      <c r="C7252" s="59" t="s">
        <v>9215</v>
      </c>
      <c r="D7252" s="84" t="s">
        <v>17811</v>
      </c>
      <c r="E7252" s="55" t="s">
        <v>11297</v>
      </c>
      <c r="F7252" s="45" t="s">
        <v>17812</v>
      </c>
      <c r="G7252" s="45" t="s">
        <v>17813</v>
      </c>
      <c r="H7252" s="546">
        <v>18629.28</v>
      </c>
      <c r="I7252" s="47">
        <v>45296</v>
      </c>
      <c r="J7252" s="73" t="s">
        <v>17809</v>
      </c>
      <c r="K7252" s="45"/>
      <c r="M7252" s="385"/>
      <c r="N7252" s="75"/>
      <c r="O7252" s="45" t="s">
        <v>11301</v>
      </c>
      <c r="P7252" s="58" t="s">
        <v>61</v>
      </c>
      <c r="Q7252" s="58" t="s">
        <v>113</v>
      </c>
      <c r="R7252" s="45" t="s">
        <v>272</v>
      </c>
    </row>
    <row r="7253" spans="1:18" ht="69" customHeight="1">
      <c r="A7253" s="168"/>
      <c r="B7253" s="62">
        <f t="shared" si="35"/>
        <v>7236</v>
      </c>
      <c r="C7253" s="44" t="s">
        <v>6468</v>
      </c>
      <c r="D7253" s="174" t="s">
        <v>17814</v>
      </c>
      <c r="E7253" s="45" t="s">
        <v>15554</v>
      </c>
      <c r="F7253" s="45" t="s">
        <v>17815</v>
      </c>
      <c r="G7253" s="45" t="s">
        <v>17816</v>
      </c>
      <c r="H7253" s="546">
        <v>205020.06</v>
      </c>
      <c r="I7253" s="47">
        <v>45282</v>
      </c>
      <c r="J7253" s="73" t="s">
        <v>17817</v>
      </c>
      <c r="K7253" s="58"/>
      <c r="M7253" s="70"/>
      <c r="N7253" s="97"/>
      <c r="O7253" s="58" t="s">
        <v>147</v>
      </c>
      <c r="P7253" s="58" t="s">
        <v>22</v>
      </c>
      <c r="Q7253" s="58" t="s">
        <v>76</v>
      </c>
      <c r="R7253" s="45" t="s">
        <v>272</v>
      </c>
    </row>
    <row r="7254" spans="1:18" ht="69" customHeight="1">
      <c r="A7254" s="168"/>
      <c r="B7254" s="62">
        <f t="shared" si="35"/>
        <v>7237</v>
      </c>
      <c r="C7254" s="44" t="s">
        <v>6468</v>
      </c>
      <c r="D7254" s="174" t="s">
        <v>17818</v>
      </c>
      <c r="E7254" s="45" t="s">
        <v>15554</v>
      </c>
      <c r="F7254" s="45" t="s">
        <v>17819</v>
      </c>
      <c r="G7254" s="45" t="s">
        <v>17820</v>
      </c>
      <c r="H7254" s="546">
        <v>110395.42</v>
      </c>
      <c r="I7254" s="47">
        <v>45282</v>
      </c>
      <c r="J7254" s="73" t="s">
        <v>17817</v>
      </c>
      <c r="K7254" s="58"/>
      <c r="M7254" s="70"/>
      <c r="N7254" s="97"/>
      <c r="O7254" s="58" t="s">
        <v>147</v>
      </c>
      <c r="P7254" s="58" t="s">
        <v>22</v>
      </c>
      <c r="Q7254" s="58" t="s">
        <v>76</v>
      </c>
      <c r="R7254" s="45" t="s">
        <v>272</v>
      </c>
    </row>
    <row r="7255" spans="1:18" ht="69" customHeight="1">
      <c r="A7255" s="168"/>
      <c r="B7255" s="62">
        <f t="shared" si="35"/>
        <v>7238</v>
      </c>
      <c r="C7255" s="59" t="s">
        <v>8797</v>
      </c>
      <c r="D7255" s="174" t="s">
        <v>11768</v>
      </c>
      <c r="E7255" s="45" t="s">
        <v>15554</v>
      </c>
      <c r="F7255" s="45" t="s">
        <v>17821</v>
      </c>
      <c r="G7255" s="45" t="s">
        <v>17816</v>
      </c>
      <c r="H7255" s="546">
        <v>321833.82</v>
      </c>
      <c r="I7255" s="47">
        <v>45282</v>
      </c>
      <c r="J7255" s="73" t="s">
        <v>17817</v>
      </c>
      <c r="K7255" s="58"/>
      <c r="M7255" s="70"/>
      <c r="N7255" s="97"/>
      <c r="O7255" s="58" t="s">
        <v>147</v>
      </c>
      <c r="P7255" s="58" t="s">
        <v>22</v>
      </c>
      <c r="Q7255" s="58" t="s">
        <v>110</v>
      </c>
      <c r="R7255" s="45" t="s">
        <v>272</v>
      </c>
    </row>
    <row r="7256" spans="1:18" ht="69" customHeight="1">
      <c r="A7256" s="168"/>
      <c r="B7256" s="62">
        <f t="shared" si="35"/>
        <v>7239</v>
      </c>
      <c r="C7256" s="59" t="s">
        <v>8797</v>
      </c>
      <c r="D7256" s="174" t="s">
        <v>5436</v>
      </c>
      <c r="E7256" s="45" t="s">
        <v>15554</v>
      </c>
      <c r="F7256" s="45" t="s">
        <v>17822</v>
      </c>
      <c r="G7256" s="45" t="s">
        <v>17820</v>
      </c>
      <c r="H7256" s="546">
        <v>173295.13</v>
      </c>
      <c r="I7256" s="47">
        <v>45282</v>
      </c>
      <c r="J7256" s="73" t="s">
        <v>17817</v>
      </c>
      <c r="K7256" s="58"/>
      <c r="M7256" s="70"/>
      <c r="N7256" s="97"/>
      <c r="O7256" s="58" t="s">
        <v>147</v>
      </c>
      <c r="P7256" s="58" t="s">
        <v>22</v>
      </c>
      <c r="Q7256" s="58" t="s">
        <v>110</v>
      </c>
      <c r="R7256" s="45" t="s">
        <v>272</v>
      </c>
    </row>
    <row r="7257" spans="1:18" ht="69" customHeight="1">
      <c r="A7257" s="168"/>
      <c r="B7257" s="62">
        <f t="shared" si="35"/>
        <v>7240</v>
      </c>
      <c r="C7257" s="59" t="s">
        <v>6693</v>
      </c>
      <c r="D7257" s="174" t="s">
        <v>17823</v>
      </c>
      <c r="E7257" s="45" t="s">
        <v>15554</v>
      </c>
      <c r="F7257" s="45" t="s">
        <v>17824</v>
      </c>
      <c r="G7257" s="45" t="s">
        <v>17816</v>
      </c>
      <c r="H7257" s="546">
        <v>73183.81</v>
      </c>
      <c r="I7257" s="47">
        <v>45282</v>
      </c>
      <c r="J7257" s="73" t="s">
        <v>17817</v>
      </c>
      <c r="K7257" s="58"/>
      <c r="M7257" s="70"/>
      <c r="N7257" s="97"/>
      <c r="O7257" s="58" t="s">
        <v>147</v>
      </c>
      <c r="P7257" s="58" t="s">
        <v>22</v>
      </c>
      <c r="Q7257" s="58" t="s">
        <v>78</v>
      </c>
      <c r="R7257" s="45" t="s">
        <v>272</v>
      </c>
    </row>
    <row r="7258" spans="1:18" ht="69" customHeight="1">
      <c r="A7258" s="168"/>
      <c r="B7258" s="62">
        <f t="shared" si="35"/>
        <v>7241</v>
      </c>
      <c r="C7258" s="59" t="s">
        <v>6693</v>
      </c>
      <c r="D7258" s="174" t="s">
        <v>17825</v>
      </c>
      <c r="E7258" s="45" t="s">
        <v>15554</v>
      </c>
      <c r="F7258" s="45" t="s">
        <v>17826</v>
      </c>
      <c r="G7258" s="45" t="s">
        <v>17820</v>
      </c>
      <c r="H7258" s="546">
        <v>39406.660000000003</v>
      </c>
      <c r="I7258" s="47">
        <v>45282</v>
      </c>
      <c r="J7258" s="73" t="s">
        <v>17817</v>
      </c>
      <c r="K7258" s="58"/>
      <c r="M7258" s="70"/>
      <c r="N7258" s="97"/>
      <c r="O7258" s="58" t="s">
        <v>147</v>
      </c>
      <c r="P7258" s="58" t="s">
        <v>22</v>
      </c>
      <c r="Q7258" s="58" t="s">
        <v>78</v>
      </c>
      <c r="R7258" s="45" t="s">
        <v>272</v>
      </c>
    </row>
    <row r="7259" spans="1:18" ht="69" customHeight="1">
      <c r="A7259" s="168"/>
      <c r="B7259" s="259">
        <f t="shared" si="35"/>
        <v>7242</v>
      </c>
      <c r="C7259" s="160" t="s">
        <v>16368</v>
      </c>
      <c r="D7259" s="303" t="s">
        <v>4738</v>
      </c>
      <c r="E7259" s="290" t="s">
        <v>266</v>
      </c>
      <c r="F7259" s="160" t="s">
        <v>17827</v>
      </c>
      <c r="G7259" s="160" t="s">
        <v>17828</v>
      </c>
      <c r="H7259" s="300">
        <v>18000</v>
      </c>
      <c r="I7259" s="209">
        <v>45296</v>
      </c>
      <c r="J7259" s="316" t="s">
        <v>17829</v>
      </c>
      <c r="K7259" s="160" t="s">
        <v>11084</v>
      </c>
      <c r="M7259" s="70"/>
      <c r="N7259" s="97"/>
      <c r="O7259" s="160" t="s">
        <v>17630</v>
      </c>
      <c r="P7259" s="160" t="s">
        <v>67</v>
      </c>
      <c r="Q7259" s="160" t="s">
        <v>96</v>
      </c>
      <c r="R7259" s="160" t="s">
        <v>272</v>
      </c>
    </row>
    <row r="7260" spans="1:18" ht="69" customHeight="1">
      <c r="A7260" s="168"/>
      <c r="B7260" s="259">
        <f t="shared" si="35"/>
        <v>7243</v>
      </c>
      <c r="C7260" s="160" t="s">
        <v>16368</v>
      </c>
      <c r="D7260" s="303" t="s">
        <v>626</v>
      </c>
      <c r="E7260" s="290" t="s">
        <v>266</v>
      </c>
      <c r="F7260" s="160" t="s">
        <v>17830</v>
      </c>
      <c r="G7260" s="160" t="s">
        <v>17831</v>
      </c>
      <c r="H7260" s="300">
        <v>29377.26</v>
      </c>
      <c r="I7260" s="209">
        <v>45296</v>
      </c>
      <c r="J7260" s="316" t="s">
        <v>17832</v>
      </c>
      <c r="K7260" s="160" t="s">
        <v>11084</v>
      </c>
      <c r="M7260" s="70"/>
      <c r="N7260" s="97"/>
      <c r="O7260" s="160" t="s">
        <v>17833</v>
      </c>
      <c r="P7260" s="160" t="s">
        <v>67</v>
      </c>
      <c r="Q7260" s="160" t="s">
        <v>96</v>
      </c>
      <c r="R7260" s="160" t="s">
        <v>272</v>
      </c>
    </row>
    <row r="7261" spans="1:18" ht="69" customHeight="1">
      <c r="A7261" s="168"/>
      <c r="B7261" s="62">
        <f t="shared" si="35"/>
        <v>7244</v>
      </c>
      <c r="C7261" s="45" t="s">
        <v>458</v>
      </c>
      <c r="D7261" s="84" t="s">
        <v>13449</v>
      </c>
      <c r="E7261" s="44" t="s">
        <v>7649</v>
      </c>
      <c r="F7261" s="45" t="s">
        <v>17834</v>
      </c>
      <c r="G7261" s="45" t="s">
        <v>17835</v>
      </c>
      <c r="H7261" s="546">
        <v>212892.7</v>
      </c>
      <c r="I7261" s="66">
        <v>45296</v>
      </c>
      <c r="J7261" s="73" t="s">
        <v>17836</v>
      </c>
      <c r="K7261" s="58"/>
      <c r="M7261" s="70"/>
      <c r="N7261" s="97"/>
      <c r="O7261" s="58" t="s">
        <v>147</v>
      </c>
      <c r="P7261" s="58" t="s">
        <v>22</v>
      </c>
      <c r="Q7261" s="58" t="s">
        <v>113</v>
      </c>
      <c r="R7261" s="45" t="s">
        <v>272</v>
      </c>
    </row>
    <row r="7262" spans="1:18" ht="69" customHeight="1">
      <c r="A7262" s="168"/>
      <c r="B7262" s="62">
        <f t="shared" si="35"/>
        <v>7245</v>
      </c>
      <c r="C7262" s="45" t="s">
        <v>458</v>
      </c>
      <c r="D7262" s="84" t="s">
        <v>13454</v>
      </c>
      <c r="E7262" s="44" t="s">
        <v>7649</v>
      </c>
      <c r="F7262" s="45" t="s">
        <v>17837</v>
      </c>
      <c r="G7262" s="45" t="s">
        <v>17838</v>
      </c>
      <c r="H7262" s="546">
        <v>114634.53</v>
      </c>
      <c r="I7262" s="66">
        <v>45296</v>
      </c>
      <c r="J7262" s="73" t="s">
        <v>17836</v>
      </c>
      <c r="K7262" s="58"/>
      <c r="M7262" s="70"/>
      <c r="N7262" s="97"/>
      <c r="O7262" s="58" t="s">
        <v>147</v>
      </c>
      <c r="P7262" s="58" t="s">
        <v>22</v>
      </c>
      <c r="Q7262" s="58" t="s">
        <v>113</v>
      </c>
      <c r="R7262" s="45" t="s">
        <v>272</v>
      </c>
    </row>
    <row r="7263" spans="1:18" ht="69" customHeight="1">
      <c r="A7263" s="168"/>
      <c r="B7263" s="62">
        <f t="shared" si="35"/>
        <v>7246</v>
      </c>
      <c r="C7263" s="58" t="s">
        <v>13435</v>
      </c>
      <c r="D7263" s="174" t="s">
        <v>12440</v>
      </c>
      <c r="E7263" s="58" t="s">
        <v>17521</v>
      </c>
      <c r="F7263" s="58" t="s">
        <v>17839</v>
      </c>
      <c r="G7263" s="45" t="s">
        <v>17840</v>
      </c>
      <c r="H7263" s="546">
        <v>25000</v>
      </c>
      <c r="I7263" s="66">
        <v>45296</v>
      </c>
      <c r="J7263" s="73" t="s">
        <v>17841</v>
      </c>
      <c r="K7263" s="58"/>
      <c r="M7263" s="70"/>
      <c r="N7263" s="97"/>
      <c r="O7263" s="58" t="s">
        <v>441</v>
      </c>
      <c r="P7263" s="58" t="s">
        <v>22</v>
      </c>
      <c r="Q7263" s="58" t="s">
        <v>13</v>
      </c>
      <c r="R7263" s="45" t="s">
        <v>265</v>
      </c>
    </row>
    <row r="7264" spans="1:18" ht="69" customHeight="1">
      <c r="A7264" s="168"/>
      <c r="B7264" s="62">
        <f t="shared" si="35"/>
        <v>7247</v>
      </c>
      <c r="C7264" s="58" t="s">
        <v>13435</v>
      </c>
      <c r="D7264" s="174" t="s">
        <v>17842</v>
      </c>
      <c r="E7264" s="58" t="s">
        <v>17521</v>
      </c>
      <c r="F7264" s="58" t="s">
        <v>17843</v>
      </c>
      <c r="G7264" s="45" t="s">
        <v>17844</v>
      </c>
      <c r="H7264" s="546">
        <v>39999.99</v>
      </c>
      <c r="I7264" s="66">
        <v>45296</v>
      </c>
      <c r="J7264" s="73" t="s">
        <v>17845</v>
      </c>
      <c r="K7264" s="58"/>
      <c r="M7264" s="70"/>
      <c r="N7264" s="97"/>
      <c r="O7264" s="58" t="s">
        <v>441</v>
      </c>
      <c r="P7264" s="58" t="s">
        <v>22</v>
      </c>
      <c r="Q7264" s="58" t="s">
        <v>13</v>
      </c>
      <c r="R7264" s="45" t="s">
        <v>265</v>
      </c>
    </row>
    <row r="7265" spans="1:18" ht="69" customHeight="1">
      <c r="A7265" s="168"/>
      <c r="B7265" s="52">
        <f t="shared" si="35"/>
        <v>7248</v>
      </c>
      <c r="C7265" s="191" t="s">
        <v>458</v>
      </c>
      <c r="D7265" s="251">
        <v>638</v>
      </c>
      <c r="E7265" s="46" t="s">
        <v>409</v>
      </c>
      <c r="F7265" s="46" t="s">
        <v>17846</v>
      </c>
      <c r="G7265" s="46" t="s">
        <v>17847</v>
      </c>
      <c r="H7265" s="534">
        <v>35000</v>
      </c>
      <c r="I7265" s="56">
        <v>44858</v>
      </c>
      <c r="J7265" s="199" t="s">
        <v>17848</v>
      </c>
      <c r="K7265" s="46" t="s">
        <v>65</v>
      </c>
      <c r="M7265" s="70"/>
      <c r="N7265" s="97"/>
      <c r="O7265" s="46" t="s">
        <v>147</v>
      </c>
      <c r="P7265" s="46" t="s">
        <v>65</v>
      </c>
      <c r="Q7265" s="46" t="s">
        <v>103</v>
      </c>
      <c r="R7265" s="46" t="s">
        <v>272</v>
      </c>
    </row>
    <row r="7266" spans="1:18" ht="69" customHeight="1">
      <c r="A7266" s="168"/>
      <c r="B7266" s="62">
        <f t="shared" si="35"/>
        <v>7249</v>
      </c>
      <c r="C7266" s="58" t="s">
        <v>13435</v>
      </c>
      <c r="D7266" s="174" t="s">
        <v>12648</v>
      </c>
      <c r="E7266" s="58" t="s">
        <v>17521</v>
      </c>
      <c r="F7266" s="58" t="s">
        <v>17849</v>
      </c>
      <c r="G7266" s="45" t="s">
        <v>17850</v>
      </c>
      <c r="H7266" s="546">
        <v>31500</v>
      </c>
      <c r="I7266" s="66">
        <v>45296</v>
      </c>
      <c r="J7266" s="73" t="s">
        <v>17851</v>
      </c>
      <c r="K7266" s="58"/>
      <c r="M7266" s="70"/>
      <c r="N7266" s="97"/>
      <c r="O7266" s="58" t="s">
        <v>441</v>
      </c>
      <c r="P7266" s="58" t="s">
        <v>22</v>
      </c>
      <c r="Q7266" s="58" t="s">
        <v>13</v>
      </c>
      <c r="R7266" s="45" t="s">
        <v>265</v>
      </c>
    </row>
    <row r="7267" spans="1:18" ht="69" customHeight="1">
      <c r="A7267" s="168"/>
      <c r="B7267" s="52">
        <f t="shared" si="35"/>
        <v>7250</v>
      </c>
      <c r="C7267" s="46" t="s">
        <v>13435</v>
      </c>
      <c r="D7267" s="251" t="s">
        <v>12651</v>
      </c>
      <c r="E7267" s="53" t="s">
        <v>266</v>
      </c>
      <c r="F7267" s="46" t="s">
        <v>17852</v>
      </c>
      <c r="G7267" s="46" t="s">
        <v>17853</v>
      </c>
      <c r="H7267" s="534">
        <v>8800</v>
      </c>
      <c r="I7267" s="56">
        <v>45296</v>
      </c>
      <c r="J7267" s="199" t="s">
        <v>17854</v>
      </c>
      <c r="K7267" s="46"/>
      <c r="M7267" s="70"/>
      <c r="N7267" s="97"/>
      <c r="O7267" s="46"/>
      <c r="P7267" s="46" t="s">
        <v>65</v>
      </c>
      <c r="Q7267" s="46" t="s">
        <v>13</v>
      </c>
      <c r="R7267" s="46" t="s">
        <v>272</v>
      </c>
    </row>
    <row r="7268" spans="1:18" ht="69" customHeight="1">
      <c r="A7268" s="168"/>
      <c r="B7268" s="62">
        <f t="shared" si="35"/>
        <v>7251</v>
      </c>
      <c r="C7268" s="59" t="s">
        <v>657</v>
      </c>
      <c r="D7268" s="174" t="s">
        <v>4310</v>
      </c>
      <c r="E7268" s="58" t="s">
        <v>350</v>
      </c>
      <c r="F7268" s="58" t="s">
        <v>17855</v>
      </c>
      <c r="G7268" s="58" t="s">
        <v>16468</v>
      </c>
      <c r="H7268" s="546">
        <v>94061.83</v>
      </c>
      <c r="I7268" s="66">
        <v>45306</v>
      </c>
      <c r="J7268" s="73" t="s">
        <v>17856</v>
      </c>
      <c r="K7268" s="58"/>
      <c r="M7268" s="70"/>
      <c r="N7268" s="97"/>
      <c r="O7268" s="58" t="s">
        <v>141</v>
      </c>
      <c r="P7268" s="58" t="s">
        <v>19</v>
      </c>
      <c r="Q7268" s="58" t="s">
        <v>104</v>
      </c>
      <c r="R7268" s="45" t="s">
        <v>265</v>
      </c>
    </row>
    <row r="7269" spans="1:18" ht="69" customHeight="1">
      <c r="A7269" s="168"/>
      <c r="B7269" s="62">
        <f t="shared" si="35"/>
        <v>7252</v>
      </c>
      <c r="C7269" s="59" t="s">
        <v>1853</v>
      </c>
      <c r="D7269" s="581" t="s">
        <v>12712</v>
      </c>
      <c r="E7269" s="58" t="s">
        <v>17521</v>
      </c>
      <c r="F7269" s="58" t="s">
        <v>17857</v>
      </c>
      <c r="G7269" s="45" t="s">
        <v>17840</v>
      </c>
      <c r="H7269" s="546">
        <v>30000</v>
      </c>
      <c r="I7269" s="66">
        <v>45296</v>
      </c>
      <c r="J7269" s="73" t="s">
        <v>17858</v>
      </c>
      <c r="K7269" s="58"/>
      <c r="M7269" s="70"/>
      <c r="N7269" s="97"/>
      <c r="O7269" s="58" t="s">
        <v>441</v>
      </c>
      <c r="P7269" s="58" t="s">
        <v>22</v>
      </c>
      <c r="Q7269" s="58" t="s">
        <v>29</v>
      </c>
      <c r="R7269" s="45" t="s">
        <v>265</v>
      </c>
    </row>
    <row r="7270" spans="1:18" ht="69" customHeight="1">
      <c r="A7270" s="168"/>
      <c r="B7270" s="52">
        <f t="shared" si="35"/>
        <v>7253</v>
      </c>
      <c r="C7270" s="191" t="s">
        <v>3667</v>
      </c>
      <c r="D7270" s="251" t="s">
        <v>17859</v>
      </c>
      <c r="E7270" s="53" t="s">
        <v>1056</v>
      </c>
      <c r="F7270" s="211" t="s">
        <v>17860</v>
      </c>
      <c r="G7270" s="46" t="s">
        <v>17861</v>
      </c>
      <c r="H7270" s="534">
        <v>21391.57</v>
      </c>
      <c r="I7270" s="56">
        <v>45296</v>
      </c>
      <c r="J7270" s="199" t="s">
        <v>17862</v>
      </c>
      <c r="K7270" s="46"/>
      <c r="M7270" s="70"/>
      <c r="N7270" s="97"/>
      <c r="O7270" s="46" t="s">
        <v>1061</v>
      </c>
      <c r="P7270" s="46" t="s">
        <v>36</v>
      </c>
      <c r="Q7270" s="46" t="s">
        <v>49</v>
      </c>
      <c r="R7270" s="46" t="s">
        <v>272</v>
      </c>
    </row>
    <row r="7271" spans="1:18" ht="69" customHeight="1">
      <c r="A7271" s="168"/>
      <c r="B7271" s="52">
        <f t="shared" si="35"/>
        <v>7254</v>
      </c>
      <c r="C7271" s="191" t="s">
        <v>309</v>
      </c>
      <c r="D7271" s="251" t="s">
        <v>12933</v>
      </c>
      <c r="E7271" s="53" t="s">
        <v>1056</v>
      </c>
      <c r="F7271" s="211" t="s">
        <v>17863</v>
      </c>
      <c r="G7271" s="46" t="s">
        <v>17861</v>
      </c>
      <c r="H7271" s="534">
        <v>16712.16</v>
      </c>
      <c r="I7271" s="56">
        <v>45296</v>
      </c>
      <c r="J7271" s="199" t="s">
        <v>17862</v>
      </c>
      <c r="K7271" s="46"/>
      <c r="M7271" s="70"/>
      <c r="N7271" s="97"/>
      <c r="O7271" s="46" t="s">
        <v>1061</v>
      </c>
      <c r="P7271" s="46" t="s">
        <v>36</v>
      </c>
      <c r="Q7271" s="46" t="s">
        <v>15</v>
      </c>
      <c r="R7271" s="46" t="s">
        <v>272</v>
      </c>
    </row>
    <row r="7272" spans="1:18" ht="69" customHeight="1">
      <c r="A7272" s="168"/>
      <c r="B7272" s="52">
        <f t="shared" si="35"/>
        <v>7255</v>
      </c>
      <c r="C7272" s="191" t="s">
        <v>657</v>
      </c>
      <c r="D7272" s="251" t="s">
        <v>6398</v>
      </c>
      <c r="E7272" s="53" t="s">
        <v>1056</v>
      </c>
      <c r="F7272" s="211" t="s">
        <v>17864</v>
      </c>
      <c r="G7272" s="46" t="s">
        <v>17861</v>
      </c>
      <c r="H7272" s="534">
        <v>12032.76</v>
      </c>
      <c r="I7272" s="56">
        <v>45296</v>
      </c>
      <c r="J7272" s="199" t="s">
        <v>17862</v>
      </c>
      <c r="K7272" s="46"/>
      <c r="M7272" s="70"/>
      <c r="N7272" s="97"/>
      <c r="O7272" s="46" t="s">
        <v>1061</v>
      </c>
      <c r="P7272" s="46" t="s">
        <v>36</v>
      </c>
      <c r="Q7272" s="46" t="s">
        <v>99</v>
      </c>
      <c r="R7272" s="46" t="s">
        <v>272</v>
      </c>
    </row>
    <row r="7273" spans="1:18" ht="69" customHeight="1">
      <c r="A7273" s="168"/>
      <c r="B7273" s="52">
        <f t="shared" si="35"/>
        <v>7256</v>
      </c>
      <c r="C7273" s="191" t="s">
        <v>458</v>
      </c>
      <c r="D7273" s="251" t="s">
        <v>14004</v>
      </c>
      <c r="E7273" s="53" t="s">
        <v>1056</v>
      </c>
      <c r="F7273" s="211" t="s">
        <v>17865</v>
      </c>
      <c r="G7273" s="46" t="s">
        <v>17861</v>
      </c>
      <c r="H7273" s="534">
        <v>16712.16</v>
      </c>
      <c r="I7273" s="56">
        <v>45296</v>
      </c>
      <c r="J7273" s="199" t="s">
        <v>17862</v>
      </c>
      <c r="K7273" s="46"/>
      <c r="M7273" s="70"/>
      <c r="N7273" s="97"/>
      <c r="O7273" s="46" t="s">
        <v>1061</v>
      </c>
      <c r="P7273" s="46" t="s">
        <v>36</v>
      </c>
      <c r="Q7273" s="46" t="s">
        <v>90</v>
      </c>
      <c r="R7273" s="46" t="s">
        <v>272</v>
      </c>
    </row>
    <row r="7274" spans="1:18" ht="69" customHeight="1">
      <c r="A7274" s="168"/>
      <c r="B7274" s="52">
        <f t="shared" si="35"/>
        <v>7257</v>
      </c>
      <c r="C7274" s="191" t="s">
        <v>458</v>
      </c>
      <c r="D7274" s="251" t="s">
        <v>14024</v>
      </c>
      <c r="E7274" s="53" t="s">
        <v>1056</v>
      </c>
      <c r="F7274" s="211" t="s">
        <v>17866</v>
      </c>
      <c r="G7274" s="46" t="s">
        <v>16174</v>
      </c>
      <c r="H7274" s="534">
        <v>125177.2</v>
      </c>
      <c r="I7274" s="56">
        <v>45296</v>
      </c>
      <c r="J7274" s="199" t="s">
        <v>17862</v>
      </c>
      <c r="K7274" s="46"/>
      <c r="M7274" s="70"/>
      <c r="N7274" s="97"/>
      <c r="O7274" s="46" t="s">
        <v>1061</v>
      </c>
      <c r="P7274" s="46" t="s">
        <v>36</v>
      </c>
      <c r="Q7274" s="46" t="s">
        <v>90</v>
      </c>
      <c r="R7274" s="46" t="s">
        <v>272</v>
      </c>
    </row>
    <row r="7275" spans="1:18" ht="69" customHeight="1">
      <c r="A7275" s="168"/>
      <c r="B7275" s="52">
        <f t="shared" si="35"/>
        <v>7258</v>
      </c>
      <c r="C7275" s="191" t="s">
        <v>657</v>
      </c>
      <c r="D7275" s="251" t="s">
        <v>6572</v>
      </c>
      <c r="E7275" s="53" t="s">
        <v>1056</v>
      </c>
      <c r="F7275" s="211" t="s">
        <v>17867</v>
      </c>
      <c r="G7275" s="46" t="s">
        <v>16174</v>
      </c>
      <c r="H7275" s="534">
        <v>90127.58</v>
      </c>
      <c r="I7275" s="56">
        <v>45296</v>
      </c>
      <c r="J7275" s="199" t="s">
        <v>17862</v>
      </c>
      <c r="K7275" s="46"/>
      <c r="M7275" s="70"/>
      <c r="N7275" s="97"/>
      <c r="O7275" s="46" t="s">
        <v>1061</v>
      </c>
      <c r="P7275" s="46" t="s">
        <v>36</v>
      </c>
      <c r="Q7275" s="46" t="s">
        <v>99</v>
      </c>
      <c r="R7275" s="46" t="s">
        <v>272</v>
      </c>
    </row>
    <row r="7276" spans="1:18" ht="69" customHeight="1">
      <c r="A7276" s="168"/>
      <c r="B7276" s="52">
        <f t="shared" si="35"/>
        <v>7259</v>
      </c>
      <c r="C7276" s="191" t="s">
        <v>309</v>
      </c>
      <c r="D7276" s="251" t="s">
        <v>12952</v>
      </c>
      <c r="E7276" s="53" t="s">
        <v>1056</v>
      </c>
      <c r="F7276" s="211" t="s">
        <v>17868</v>
      </c>
      <c r="G7276" s="46" t="s">
        <v>16174</v>
      </c>
      <c r="H7276" s="534">
        <v>125177.2</v>
      </c>
      <c r="I7276" s="56">
        <v>45296</v>
      </c>
      <c r="J7276" s="199" t="s">
        <v>17862</v>
      </c>
      <c r="K7276" s="46"/>
      <c r="M7276" s="70"/>
      <c r="N7276" s="97"/>
      <c r="O7276" s="46" t="s">
        <v>1061</v>
      </c>
      <c r="P7276" s="46" t="s">
        <v>36</v>
      </c>
      <c r="Q7276" s="46" t="s">
        <v>15</v>
      </c>
      <c r="R7276" s="46" t="s">
        <v>272</v>
      </c>
    </row>
    <row r="7277" spans="1:18" ht="69" customHeight="1">
      <c r="A7277" s="168"/>
      <c r="B7277" s="52">
        <f t="shared" si="35"/>
        <v>7260</v>
      </c>
      <c r="C7277" s="191" t="s">
        <v>3667</v>
      </c>
      <c r="D7277" s="251" t="s">
        <v>17869</v>
      </c>
      <c r="E7277" s="53" t="s">
        <v>1056</v>
      </c>
      <c r="F7277" s="211" t="s">
        <v>17870</v>
      </c>
      <c r="G7277" s="46" t="s">
        <v>16174</v>
      </c>
      <c r="H7277" s="534">
        <v>160226.81</v>
      </c>
      <c r="I7277" s="56">
        <v>45296</v>
      </c>
      <c r="J7277" s="199" t="s">
        <v>17862</v>
      </c>
      <c r="K7277" s="46"/>
      <c r="M7277" s="70"/>
      <c r="N7277" s="97"/>
      <c r="O7277" s="46" t="s">
        <v>1061</v>
      </c>
      <c r="P7277" s="46" t="s">
        <v>36</v>
      </c>
      <c r="Q7277" s="46" t="s">
        <v>49</v>
      </c>
      <c r="R7277" s="46" t="s">
        <v>272</v>
      </c>
    </row>
    <row r="7278" spans="1:18" s="98" customFormat="1" ht="69" customHeight="1">
      <c r="A7278" s="169"/>
      <c r="B7278" s="48">
        <f t="shared" si="35"/>
        <v>7261</v>
      </c>
      <c r="C7278" s="45" t="s">
        <v>458</v>
      </c>
      <c r="D7278" s="84" t="s">
        <v>14026</v>
      </c>
      <c r="E7278" s="44" t="s">
        <v>7649</v>
      </c>
      <c r="F7278" s="45" t="s">
        <v>17871</v>
      </c>
      <c r="G7278" s="45" t="s">
        <v>17872</v>
      </c>
      <c r="H7278" s="546">
        <v>201653.67</v>
      </c>
      <c r="I7278" s="47">
        <v>45285</v>
      </c>
      <c r="J7278" s="73" t="s">
        <v>17873</v>
      </c>
      <c r="K7278" s="45"/>
      <c r="M7278" s="385"/>
      <c r="N7278" s="75"/>
      <c r="O7278" s="45" t="s">
        <v>147</v>
      </c>
      <c r="P7278" s="45" t="s">
        <v>22</v>
      </c>
      <c r="Q7278" s="45" t="s">
        <v>88</v>
      </c>
      <c r="R7278" s="45" t="s">
        <v>272</v>
      </c>
    </row>
    <row r="7279" spans="1:18" s="98" customFormat="1" ht="69" customHeight="1">
      <c r="A7279" s="169"/>
      <c r="B7279" s="48">
        <f t="shared" si="35"/>
        <v>7262</v>
      </c>
      <c r="C7279" s="45" t="s">
        <v>458</v>
      </c>
      <c r="D7279" s="84" t="s">
        <v>17874</v>
      </c>
      <c r="E7279" s="44" t="s">
        <v>7649</v>
      </c>
      <c r="F7279" s="45" t="s">
        <v>17875</v>
      </c>
      <c r="G7279" s="45" t="s">
        <v>17876</v>
      </c>
      <c r="H7279" s="546">
        <v>108582.75</v>
      </c>
      <c r="I7279" s="47">
        <v>45285</v>
      </c>
      <c r="J7279" s="73" t="s">
        <v>17873</v>
      </c>
      <c r="K7279" s="45"/>
      <c r="M7279" s="385"/>
      <c r="N7279" s="75"/>
      <c r="O7279" s="45" t="s">
        <v>147</v>
      </c>
      <c r="P7279" s="45" t="s">
        <v>22</v>
      </c>
      <c r="Q7279" s="45" t="s">
        <v>88</v>
      </c>
      <c r="R7279" s="45" t="s">
        <v>272</v>
      </c>
    </row>
    <row r="7280" spans="1:18" ht="69" customHeight="1">
      <c r="A7280" s="168"/>
      <c r="B7280" s="62">
        <f t="shared" si="35"/>
        <v>7263</v>
      </c>
      <c r="C7280" s="45" t="s">
        <v>458</v>
      </c>
      <c r="D7280" s="174" t="s">
        <v>14047</v>
      </c>
      <c r="E7280" s="44" t="s">
        <v>7649</v>
      </c>
      <c r="F7280" s="45" t="s">
        <v>17877</v>
      </c>
      <c r="G7280" s="45" t="s">
        <v>17835</v>
      </c>
      <c r="H7280" s="546">
        <v>114431.91</v>
      </c>
      <c r="I7280" s="66">
        <v>45285</v>
      </c>
      <c r="J7280" s="73" t="s">
        <v>17878</v>
      </c>
      <c r="K7280" s="58"/>
      <c r="M7280" s="70"/>
      <c r="N7280" s="97"/>
      <c r="O7280" s="58" t="s">
        <v>147</v>
      </c>
      <c r="P7280" s="58" t="s">
        <v>22</v>
      </c>
      <c r="Q7280" s="58" t="s">
        <v>103</v>
      </c>
      <c r="R7280" s="45" t="s">
        <v>272</v>
      </c>
    </row>
    <row r="7281" spans="1:18" ht="69" customHeight="1">
      <c r="A7281" s="168"/>
      <c r="B7281" s="62">
        <f t="shared" si="35"/>
        <v>7264</v>
      </c>
      <c r="C7281" s="45" t="s">
        <v>458</v>
      </c>
      <c r="D7281" s="174" t="s">
        <v>14059</v>
      </c>
      <c r="E7281" s="44" t="s">
        <v>7649</v>
      </c>
      <c r="F7281" s="45" t="s">
        <v>17879</v>
      </c>
      <c r="G7281" s="45" t="s">
        <v>17838</v>
      </c>
      <c r="H7281" s="546">
        <v>93626.11</v>
      </c>
      <c r="I7281" s="66">
        <v>45285</v>
      </c>
      <c r="J7281" s="73" t="s">
        <v>17878</v>
      </c>
      <c r="K7281" s="58"/>
      <c r="M7281" s="70"/>
      <c r="N7281" s="97"/>
      <c r="O7281" s="58" t="s">
        <v>147</v>
      </c>
      <c r="P7281" s="58" t="s">
        <v>22</v>
      </c>
      <c r="Q7281" s="58" t="s">
        <v>103</v>
      </c>
      <c r="R7281" s="45" t="s">
        <v>272</v>
      </c>
    </row>
    <row r="7282" spans="1:18" ht="69" customHeight="1">
      <c r="A7282" s="168"/>
      <c r="B7282" s="52">
        <f t="shared" si="35"/>
        <v>7265</v>
      </c>
      <c r="C7282" s="46" t="s">
        <v>13435</v>
      </c>
      <c r="D7282" s="251" t="s">
        <v>17582</v>
      </c>
      <c r="E7282" s="53" t="s">
        <v>266</v>
      </c>
      <c r="F7282" s="46" t="s">
        <v>17880</v>
      </c>
      <c r="G7282" s="46" t="s">
        <v>17881</v>
      </c>
      <c r="H7282" s="534">
        <v>10893</v>
      </c>
      <c r="I7282" s="56">
        <v>45285</v>
      </c>
      <c r="J7282" s="199" t="s">
        <v>17882</v>
      </c>
      <c r="K7282" s="46"/>
      <c r="M7282" s="70"/>
      <c r="N7282" s="97"/>
      <c r="O7282" s="46" t="s">
        <v>17250</v>
      </c>
      <c r="P7282" s="46" t="s">
        <v>65</v>
      </c>
      <c r="Q7282" s="46" t="s">
        <v>13</v>
      </c>
      <c r="R7282" s="46" t="s">
        <v>272</v>
      </c>
    </row>
    <row r="7283" spans="1:18" ht="69" customHeight="1">
      <c r="A7283" s="168"/>
      <c r="B7283" s="62">
        <f t="shared" si="35"/>
        <v>7266</v>
      </c>
      <c r="C7283" s="59" t="s">
        <v>581</v>
      </c>
      <c r="D7283" s="174" t="s">
        <v>17585</v>
      </c>
      <c r="E7283" s="58" t="s">
        <v>17367</v>
      </c>
      <c r="F7283" s="58" t="s">
        <v>17883</v>
      </c>
      <c r="G7283" s="58" t="s">
        <v>17850</v>
      </c>
      <c r="H7283" s="546">
        <v>300000</v>
      </c>
      <c r="I7283" s="66">
        <v>45285</v>
      </c>
      <c r="J7283" s="73" t="s">
        <v>17884</v>
      </c>
      <c r="K7283" s="58"/>
      <c r="M7283" s="70"/>
      <c r="N7283" s="97"/>
      <c r="O7283" s="58" t="s">
        <v>175</v>
      </c>
      <c r="P7283" s="58" t="s">
        <v>59</v>
      </c>
      <c r="Q7283" s="58" t="s">
        <v>18</v>
      </c>
      <c r="R7283" s="45" t="s">
        <v>265</v>
      </c>
    </row>
    <row r="7284" spans="1:18" ht="69" customHeight="1">
      <c r="A7284" s="168"/>
      <c r="B7284" s="52">
        <f t="shared" si="35"/>
        <v>7267</v>
      </c>
      <c r="C7284" s="191" t="s">
        <v>3647</v>
      </c>
      <c r="D7284" s="251" t="s">
        <v>17885</v>
      </c>
      <c r="E7284" s="46" t="s">
        <v>266</v>
      </c>
      <c r="F7284" s="46" t="s">
        <v>17886</v>
      </c>
      <c r="G7284" s="46" t="s">
        <v>17887</v>
      </c>
      <c r="H7284" s="534">
        <v>15497.13</v>
      </c>
      <c r="I7284" s="56">
        <v>45296</v>
      </c>
      <c r="J7284" s="199" t="s">
        <v>17888</v>
      </c>
      <c r="K7284" s="46" t="s">
        <v>1170</v>
      </c>
      <c r="M7284" s="70"/>
      <c r="N7284" s="97"/>
      <c r="O7284" s="46" t="s">
        <v>17889</v>
      </c>
      <c r="P7284" s="46" t="s">
        <v>65</v>
      </c>
      <c r="Q7284" s="46" t="s">
        <v>47</v>
      </c>
      <c r="R7284" s="46" t="s">
        <v>272</v>
      </c>
    </row>
    <row r="7285" spans="1:18" ht="69" customHeight="1">
      <c r="A7285" s="168"/>
      <c r="B7285" s="52">
        <f t="shared" si="35"/>
        <v>7268</v>
      </c>
      <c r="C7285" s="191" t="s">
        <v>3933</v>
      </c>
      <c r="D7285" s="251" t="s">
        <v>17890</v>
      </c>
      <c r="E7285" s="46" t="s">
        <v>266</v>
      </c>
      <c r="F7285" s="46" t="s">
        <v>17891</v>
      </c>
      <c r="G7285" s="46" t="s">
        <v>17887</v>
      </c>
      <c r="H7285" s="534">
        <v>13802.87</v>
      </c>
      <c r="I7285" s="56">
        <v>45296</v>
      </c>
      <c r="J7285" s="199" t="s">
        <v>17888</v>
      </c>
      <c r="K7285" s="46" t="s">
        <v>1170</v>
      </c>
      <c r="M7285" s="70"/>
      <c r="N7285" s="97"/>
      <c r="O7285" s="46" t="s">
        <v>17889</v>
      </c>
      <c r="P7285" s="46" t="s">
        <v>65</v>
      </c>
      <c r="Q7285" s="46" t="s">
        <v>52</v>
      </c>
      <c r="R7285" s="46" t="s">
        <v>272</v>
      </c>
    </row>
    <row r="7286" spans="1:18" ht="69" customHeight="1">
      <c r="A7286" s="168"/>
      <c r="B7286" s="52">
        <f t="shared" si="35"/>
        <v>7269</v>
      </c>
      <c r="C7286" s="51" t="s">
        <v>10634</v>
      </c>
      <c r="D7286" s="251" t="s">
        <v>17892</v>
      </c>
      <c r="E7286" s="46" t="s">
        <v>17893</v>
      </c>
      <c r="F7286" s="46" t="s">
        <v>17894</v>
      </c>
      <c r="G7286" s="46" t="s">
        <v>16681</v>
      </c>
      <c r="H7286" s="534">
        <v>11390</v>
      </c>
      <c r="I7286" s="56">
        <v>45296</v>
      </c>
      <c r="J7286" s="199" t="s">
        <v>17895</v>
      </c>
      <c r="K7286" s="46"/>
      <c r="M7286" s="385"/>
      <c r="N7286" s="75"/>
      <c r="O7286" s="46" t="s">
        <v>156</v>
      </c>
      <c r="P7286" s="46" t="s">
        <v>65</v>
      </c>
      <c r="Q7286" s="46" t="s">
        <v>93</v>
      </c>
      <c r="R7286" s="46" t="s">
        <v>272</v>
      </c>
    </row>
    <row r="7287" spans="1:18" ht="69" customHeight="1">
      <c r="A7287" s="168"/>
      <c r="B7287" s="52">
        <f t="shared" si="35"/>
        <v>7270</v>
      </c>
      <c r="C7287" s="51" t="s">
        <v>10639</v>
      </c>
      <c r="D7287" s="251" t="s">
        <v>17896</v>
      </c>
      <c r="E7287" s="46" t="s">
        <v>17893</v>
      </c>
      <c r="F7287" s="46" t="s">
        <v>17897</v>
      </c>
      <c r="G7287" s="46" t="s">
        <v>16681</v>
      </c>
      <c r="H7287" s="534">
        <v>11390</v>
      </c>
      <c r="I7287" s="56">
        <v>45296</v>
      </c>
      <c r="J7287" s="199" t="s">
        <v>17895</v>
      </c>
      <c r="K7287" s="46"/>
      <c r="M7287" s="385"/>
      <c r="N7287" s="75"/>
      <c r="O7287" s="46" t="s">
        <v>156</v>
      </c>
      <c r="P7287" s="46" t="s">
        <v>65</v>
      </c>
      <c r="Q7287" s="46" t="s">
        <v>95</v>
      </c>
      <c r="R7287" s="46" t="s">
        <v>272</v>
      </c>
    </row>
    <row r="7288" spans="1:18" ht="69" customHeight="1">
      <c r="A7288" s="168"/>
      <c r="B7288" s="62">
        <f t="shared" si="35"/>
        <v>7271</v>
      </c>
      <c r="C7288" s="59" t="s">
        <v>15700</v>
      </c>
      <c r="D7288" s="84" t="s">
        <v>12974</v>
      </c>
      <c r="E7288" s="45" t="s">
        <v>17898</v>
      </c>
      <c r="F7288" s="45" t="s">
        <v>17899</v>
      </c>
      <c r="G7288" s="45" t="s">
        <v>17900</v>
      </c>
      <c r="H7288" s="546">
        <v>133890.78</v>
      </c>
      <c r="I7288" s="66">
        <v>45296</v>
      </c>
      <c r="J7288" s="65" t="s">
        <v>17901</v>
      </c>
      <c r="K7288" s="58"/>
      <c r="M7288" s="70"/>
      <c r="N7288" s="97"/>
      <c r="O7288" s="58" t="s">
        <v>16493</v>
      </c>
      <c r="P7288" s="58" t="s">
        <v>57</v>
      </c>
      <c r="Q7288" s="58" t="s">
        <v>39</v>
      </c>
      <c r="R7288" s="45" t="s">
        <v>272</v>
      </c>
    </row>
    <row r="7289" spans="1:18" ht="69" customHeight="1">
      <c r="A7289" s="168"/>
      <c r="B7289" s="62">
        <f t="shared" si="35"/>
        <v>7272</v>
      </c>
      <c r="C7289" s="59" t="s">
        <v>15449</v>
      </c>
      <c r="D7289" s="84" t="s">
        <v>12987</v>
      </c>
      <c r="E7289" s="45" t="s">
        <v>17898</v>
      </c>
      <c r="F7289" s="45" t="s">
        <v>17902</v>
      </c>
      <c r="G7289" s="45" t="s">
        <v>17900</v>
      </c>
      <c r="H7289" s="546">
        <v>77831.19</v>
      </c>
      <c r="I7289" s="66">
        <v>45296</v>
      </c>
      <c r="J7289" s="65" t="s">
        <v>17901</v>
      </c>
      <c r="K7289" s="58"/>
      <c r="M7289" s="70"/>
      <c r="N7289" s="97"/>
      <c r="O7289" s="58" t="s">
        <v>16493</v>
      </c>
      <c r="P7289" s="58" t="s">
        <v>57</v>
      </c>
      <c r="Q7289" s="58" t="s">
        <v>41</v>
      </c>
      <c r="R7289" s="45" t="s">
        <v>272</v>
      </c>
    </row>
    <row r="7290" spans="1:18" ht="69" customHeight="1">
      <c r="A7290" s="168"/>
      <c r="B7290" s="62">
        <f t="shared" ref="B7290:B7327" si="36">B7289+1</f>
        <v>7273</v>
      </c>
      <c r="C7290" s="59" t="s">
        <v>1853</v>
      </c>
      <c r="D7290" s="174" t="s">
        <v>12967</v>
      </c>
      <c r="E7290" s="58" t="s">
        <v>17521</v>
      </c>
      <c r="F7290" s="45" t="s">
        <v>17903</v>
      </c>
      <c r="G7290" s="58" t="s">
        <v>17904</v>
      </c>
      <c r="H7290" s="546">
        <v>25600</v>
      </c>
      <c r="I7290" s="66">
        <v>45296</v>
      </c>
      <c r="J7290" s="65" t="s">
        <v>17905</v>
      </c>
      <c r="K7290" s="58"/>
      <c r="M7290" s="70"/>
      <c r="N7290" s="97"/>
      <c r="O7290" s="58" t="s">
        <v>441</v>
      </c>
      <c r="P7290" s="58" t="s">
        <v>22</v>
      </c>
      <c r="Q7290" s="58" t="s">
        <v>29</v>
      </c>
      <c r="R7290" s="45" t="s">
        <v>265</v>
      </c>
    </row>
    <row r="7291" spans="1:18" s="103" customFormat="1" ht="69" customHeight="1">
      <c r="A7291" s="169"/>
      <c r="B7291" s="48">
        <f t="shared" si="36"/>
        <v>7274</v>
      </c>
      <c r="C7291" s="59" t="s">
        <v>11052</v>
      </c>
      <c r="D7291" s="84" t="s">
        <v>17906</v>
      </c>
      <c r="E7291" s="45" t="s">
        <v>14895</v>
      </c>
      <c r="F7291" s="45" t="s">
        <v>17907</v>
      </c>
      <c r="G7291" s="45" t="s">
        <v>17908</v>
      </c>
      <c r="H7291" s="546">
        <v>150000</v>
      </c>
      <c r="I7291" s="47">
        <v>45306</v>
      </c>
      <c r="J7291" s="65" t="s">
        <v>17909</v>
      </c>
      <c r="K7291" s="45"/>
      <c r="L7291" s="98"/>
      <c r="M7291" s="388"/>
      <c r="N7291" s="108"/>
      <c r="O7291" s="45" t="s">
        <v>192</v>
      </c>
      <c r="P7291" s="45" t="s">
        <v>57</v>
      </c>
      <c r="Q7291" s="45" t="s">
        <v>37</v>
      </c>
      <c r="R7291" s="45" t="s">
        <v>272</v>
      </c>
    </row>
    <row r="7292" spans="1:18" ht="69" customHeight="1">
      <c r="A7292" s="168"/>
      <c r="B7292" s="62">
        <f t="shared" si="36"/>
        <v>7275</v>
      </c>
      <c r="C7292" s="59" t="s">
        <v>3667</v>
      </c>
      <c r="D7292" s="174" t="s">
        <v>17910</v>
      </c>
      <c r="E7292" s="58" t="s">
        <v>16011</v>
      </c>
      <c r="F7292" s="45" t="s">
        <v>17911</v>
      </c>
      <c r="G7292" s="58" t="s">
        <v>17912</v>
      </c>
      <c r="H7292" s="546">
        <v>29180</v>
      </c>
      <c r="I7292" s="66">
        <v>45296</v>
      </c>
      <c r="J7292" s="65" t="s">
        <v>17913</v>
      </c>
      <c r="K7292" s="58"/>
      <c r="M7292" s="70"/>
      <c r="N7292" s="97"/>
      <c r="O7292" s="58" t="s">
        <v>150</v>
      </c>
      <c r="P7292" s="58" t="s">
        <v>51</v>
      </c>
      <c r="Q7292" s="58" t="s">
        <v>47</v>
      </c>
      <c r="R7292" s="45" t="s">
        <v>272</v>
      </c>
    </row>
    <row r="7293" spans="1:18" ht="69" customHeight="1">
      <c r="A7293" s="168"/>
      <c r="B7293" s="62">
        <f t="shared" si="36"/>
        <v>7276</v>
      </c>
      <c r="C7293" s="59" t="s">
        <v>3667</v>
      </c>
      <c r="D7293" s="174" t="s">
        <v>17914</v>
      </c>
      <c r="E7293" s="58" t="s">
        <v>16011</v>
      </c>
      <c r="F7293" s="45" t="s">
        <v>17915</v>
      </c>
      <c r="G7293" s="58" t="s">
        <v>17912</v>
      </c>
      <c r="H7293" s="546">
        <v>29180</v>
      </c>
      <c r="I7293" s="66">
        <v>45296</v>
      </c>
      <c r="J7293" s="65" t="s">
        <v>17913</v>
      </c>
      <c r="K7293" s="58"/>
      <c r="M7293" s="70"/>
      <c r="N7293" s="97"/>
      <c r="O7293" s="58" t="s">
        <v>150</v>
      </c>
      <c r="P7293" s="58" t="s">
        <v>51</v>
      </c>
      <c r="Q7293" s="58" t="s">
        <v>52</v>
      </c>
      <c r="R7293" s="45" t="s">
        <v>272</v>
      </c>
    </row>
    <row r="7294" spans="1:18" ht="69" customHeight="1">
      <c r="A7294" s="168"/>
      <c r="B7294" s="62">
        <f t="shared" si="36"/>
        <v>7277</v>
      </c>
      <c r="C7294" s="59" t="s">
        <v>3667</v>
      </c>
      <c r="D7294" s="174" t="s">
        <v>17916</v>
      </c>
      <c r="E7294" s="58" t="s">
        <v>16011</v>
      </c>
      <c r="F7294" s="45" t="s">
        <v>17917</v>
      </c>
      <c r="G7294" s="58" t="s">
        <v>17918</v>
      </c>
      <c r="H7294" s="546">
        <v>2000</v>
      </c>
      <c r="I7294" s="66">
        <v>45296</v>
      </c>
      <c r="J7294" s="65" t="s">
        <v>17913</v>
      </c>
      <c r="K7294" s="58"/>
      <c r="M7294" s="70"/>
      <c r="N7294" s="97"/>
      <c r="O7294" s="58" t="s">
        <v>150</v>
      </c>
      <c r="P7294" s="58" t="s">
        <v>51</v>
      </c>
      <c r="Q7294" s="58" t="s">
        <v>56</v>
      </c>
      <c r="R7294" s="45" t="s">
        <v>272</v>
      </c>
    </row>
    <row r="7295" spans="1:18" ht="69" customHeight="1">
      <c r="A7295" s="168"/>
      <c r="B7295" s="62">
        <f t="shared" si="36"/>
        <v>7278</v>
      </c>
      <c r="C7295" s="59" t="s">
        <v>3667</v>
      </c>
      <c r="D7295" s="174" t="s">
        <v>17919</v>
      </c>
      <c r="E7295" s="58" t="s">
        <v>16011</v>
      </c>
      <c r="F7295" s="45" t="s">
        <v>17920</v>
      </c>
      <c r="G7295" s="58" t="s">
        <v>17918</v>
      </c>
      <c r="H7295" s="546">
        <v>2000</v>
      </c>
      <c r="I7295" s="66">
        <v>45296</v>
      </c>
      <c r="J7295" s="65" t="s">
        <v>17913</v>
      </c>
      <c r="K7295" s="58"/>
      <c r="M7295" s="70"/>
      <c r="N7295" s="97"/>
      <c r="O7295" s="58" t="s">
        <v>150</v>
      </c>
      <c r="P7295" s="58" t="s">
        <v>51</v>
      </c>
      <c r="Q7295" s="58" t="s">
        <v>58</v>
      </c>
      <c r="R7295" s="45" t="s">
        <v>272</v>
      </c>
    </row>
    <row r="7296" spans="1:18" ht="69" customHeight="1">
      <c r="A7296" s="168"/>
      <c r="B7296" s="62">
        <f t="shared" si="36"/>
        <v>7279</v>
      </c>
      <c r="C7296" s="59" t="s">
        <v>458</v>
      </c>
      <c r="D7296" s="174" t="s">
        <v>14063</v>
      </c>
      <c r="E7296" s="58" t="s">
        <v>16011</v>
      </c>
      <c r="F7296" s="45" t="s">
        <v>17921</v>
      </c>
      <c r="G7296" s="58" t="s">
        <v>17912</v>
      </c>
      <c r="H7296" s="546">
        <v>29180</v>
      </c>
      <c r="I7296" s="66">
        <v>45296</v>
      </c>
      <c r="J7296" s="65" t="s">
        <v>17913</v>
      </c>
      <c r="K7296" s="58"/>
      <c r="M7296" s="70"/>
      <c r="N7296" s="97"/>
      <c r="O7296" s="58" t="s">
        <v>150</v>
      </c>
      <c r="P7296" s="58" t="s">
        <v>51</v>
      </c>
      <c r="Q7296" s="58" t="s">
        <v>105</v>
      </c>
      <c r="R7296" s="45" t="s">
        <v>272</v>
      </c>
    </row>
    <row r="7297" spans="1:18" ht="69" customHeight="1">
      <c r="A7297" s="168"/>
      <c r="B7297" s="62">
        <f t="shared" si="36"/>
        <v>7280</v>
      </c>
      <c r="C7297" s="59" t="s">
        <v>657</v>
      </c>
      <c r="D7297" s="174" t="s">
        <v>6735</v>
      </c>
      <c r="E7297" s="58" t="s">
        <v>16011</v>
      </c>
      <c r="F7297" s="45" t="s">
        <v>17922</v>
      </c>
      <c r="G7297" s="58" t="s">
        <v>17918</v>
      </c>
      <c r="H7297" s="546">
        <v>2000</v>
      </c>
      <c r="I7297" s="66">
        <v>45296</v>
      </c>
      <c r="J7297" s="65" t="s">
        <v>17913</v>
      </c>
      <c r="K7297" s="58"/>
      <c r="M7297" s="70"/>
      <c r="N7297" s="97"/>
      <c r="O7297" s="58" t="s">
        <v>150</v>
      </c>
      <c r="P7297" s="58" t="s">
        <v>51</v>
      </c>
      <c r="Q7297" s="58" t="s">
        <v>118</v>
      </c>
      <c r="R7297" s="45" t="s">
        <v>272</v>
      </c>
    </row>
    <row r="7298" spans="1:18" ht="69" customHeight="1">
      <c r="A7298" s="168"/>
      <c r="B7298" s="52">
        <f t="shared" si="36"/>
        <v>7281</v>
      </c>
      <c r="C7298" s="191" t="s">
        <v>5558</v>
      </c>
      <c r="D7298" s="251" t="s">
        <v>17923</v>
      </c>
      <c r="E7298" s="53" t="s">
        <v>17924</v>
      </c>
      <c r="F7298" s="46" t="s">
        <v>17925</v>
      </c>
      <c r="G7298" s="46" t="s">
        <v>17926</v>
      </c>
      <c r="H7298" s="534">
        <v>6758</v>
      </c>
      <c r="I7298" s="56">
        <v>45296</v>
      </c>
      <c r="J7298" s="199" t="s">
        <v>17927</v>
      </c>
      <c r="K7298" s="46"/>
      <c r="M7298" s="70"/>
      <c r="N7298" s="97"/>
      <c r="O7298" s="46" t="s">
        <v>17031</v>
      </c>
      <c r="P7298" s="46" t="s">
        <v>65</v>
      </c>
      <c r="Q7298" s="46" t="s">
        <v>64</v>
      </c>
      <c r="R7298" s="46" t="s">
        <v>272</v>
      </c>
    </row>
    <row r="7299" spans="1:18" ht="69" customHeight="1">
      <c r="A7299" s="168"/>
      <c r="B7299" s="62">
        <f t="shared" si="36"/>
        <v>7282</v>
      </c>
      <c r="C7299" s="59" t="s">
        <v>581</v>
      </c>
      <c r="D7299" s="174" t="s">
        <v>12991</v>
      </c>
      <c r="E7299" s="178" t="s">
        <v>266</v>
      </c>
      <c r="F7299" s="210" t="s">
        <v>17928</v>
      </c>
      <c r="G7299" s="58" t="s">
        <v>17929</v>
      </c>
      <c r="H7299" s="546">
        <v>63.76</v>
      </c>
      <c r="I7299" s="66">
        <v>45296</v>
      </c>
      <c r="J7299" s="65" t="s">
        <v>17930</v>
      </c>
      <c r="K7299" s="210"/>
      <c r="M7299" s="70"/>
      <c r="N7299" s="97"/>
      <c r="O7299" s="58" t="s">
        <v>5969</v>
      </c>
      <c r="P7299" s="58" t="s">
        <v>44</v>
      </c>
      <c r="Q7299" s="58" t="s">
        <v>18</v>
      </c>
      <c r="R7299" s="45" t="s">
        <v>272</v>
      </c>
    </row>
    <row r="7300" spans="1:18" ht="69" customHeight="1">
      <c r="A7300" s="168"/>
      <c r="B7300" s="62">
        <f t="shared" si="36"/>
        <v>7283</v>
      </c>
      <c r="C7300" s="59" t="s">
        <v>3667</v>
      </c>
      <c r="D7300" s="174" t="s">
        <v>17931</v>
      </c>
      <c r="E7300" s="58" t="s">
        <v>16011</v>
      </c>
      <c r="F7300" s="58" t="s">
        <v>17932</v>
      </c>
      <c r="G7300" s="58" t="s">
        <v>17933</v>
      </c>
      <c r="H7300" s="198">
        <v>3767.13</v>
      </c>
      <c r="I7300" s="66">
        <v>45296</v>
      </c>
      <c r="J7300" s="65" t="s">
        <v>17934</v>
      </c>
      <c r="K7300" s="58"/>
      <c r="M7300" s="70"/>
      <c r="N7300" s="97"/>
      <c r="O7300" s="58" t="s">
        <v>150</v>
      </c>
      <c r="P7300" s="58" t="s">
        <v>51</v>
      </c>
      <c r="Q7300" s="58" t="s">
        <v>86</v>
      </c>
      <c r="R7300" s="45" t="s">
        <v>272</v>
      </c>
    </row>
    <row r="7301" spans="1:18" ht="69" customHeight="1">
      <c r="A7301" s="168"/>
      <c r="B7301" s="62">
        <f t="shared" si="36"/>
        <v>7284</v>
      </c>
      <c r="C7301" s="59" t="s">
        <v>3667</v>
      </c>
      <c r="D7301" s="174" t="s">
        <v>17935</v>
      </c>
      <c r="E7301" s="58" t="s">
        <v>16011</v>
      </c>
      <c r="F7301" s="58" t="s">
        <v>17936</v>
      </c>
      <c r="G7301" s="58" t="s">
        <v>17933</v>
      </c>
      <c r="H7301" s="546">
        <v>2477.2399999999998</v>
      </c>
      <c r="I7301" s="66">
        <v>45296</v>
      </c>
      <c r="J7301" s="65" t="s">
        <v>17934</v>
      </c>
      <c r="K7301" s="58"/>
      <c r="M7301" s="70"/>
      <c r="N7301" s="97"/>
      <c r="O7301" s="58" t="s">
        <v>150</v>
      </c>
      <c r="P7301" s="58" t="s">
        <v>51</v>
      </c>
      <c r="Q7301" s="58" t="s">
        <v>47</v>
      </c>
      <c r="R7301" s="45" t="s">
        <v>272</v>
      </c>
    </row>
    <row r="7302" spans="1:18" ht="69" customHeight="1">
      <c r="A7302" s="168"/>
      <c r="B7302" s="62">
        <f t="shared" si="36"/>
        <v>7285</v>
      </c>
      <c r="C7302" s="59" t="s">
        <v>3667</v>
      </c>
      <c r="D7302" s="174" t="s">
        <v>17937</v>
      </c>
      <c r="E7302" s="58" t="s">
        <v>16011</v>
      </c>
      <c r="F7302" s="58" t="s">
        <v>17938</v>
      </c>
      <c r="G7302" s="58" t="s">
        <v>17933</v>
      </c>
      <c r="H7302" s="546">
        <v>2477.2399999999998</v>
      </c>
      <c r="I7302" s="66">
        <v>45296</v>
      </c>
      <c r="J7302" s="65" t="s">
        <v>17934</v>
      </c>
      <c r="K7302" s="58"/>
      <c r="M7302" s="70"/>
      <c r="N7302" s="97"/>
      <c r="O7302" s="58" t="s">
        <v>150</v>
      </c>
      <c r="P7302" s="58" t="s">
        <v>51</v>
      </c>
      <c r="Q7302" s="58" t="s">
        <v>52</v>
      </c>
      <c r="R7302" s="45" t="s">
        <v>272</v>
      </c>
    </row>
    <row r="7303" spans="1:18" ht="69" customHeight="1">
      <c r="A7303" s="168"/>
      <c r="B7303" s="52">
        <f t="shared" si="36"/>
        <v>7286</v>
      </c>
      <c r="C7303" s="191" t="s">
        <v>3667</v>
      </c>
      <c r="D7303" s="251" t="s">
        <v>17939</v>
      </c>
      <c r="E7303" s="191" t="s">
        <v>266</v>
      </c>
      <c r="F7303" s="46" t="s">
        <v>17940</v>
      </c>
      <c r="G7303" s="46" t="s">
        <v>17941</v>
      </c>
      <c r="H7303" s="534">
        <v>15840</v>
      </c>
      <c r="I7303" s="56">
        <v>45296</v>
      </c>
      <c r="J7303" s="199" t="s">
        <v>17942</v>
      </c>
      <c r="K7303" s="46"/>
      <c r="M7303" s="70"/>
      <c r="N7303" s="97"/>
      <c r="O7303" s="46"/>
      <c r="P7303" s="46" t="s">
        <v>65</v>
      </c>
      <c r="Q7303" s="46" t="s">
        <v>68</v>
      </c>
      <c r="R7303" s="46" t="s">
        <v>272</v>
      </c>
    </row>
    <row r="7304" spans="1:18" ht="69" customHeight="1">
      <c r="A7304" s="168"/>
      <c r="B7304" s="48">
        <f t="shared" si="36"/>
        <v>7287</v>
      </c>
      <c r="C7304" s="59" t="s">
        <v>3667</v>
      </c>
      <c r="D7304" s="84" t="s">
        <v>17943</v>
      </c>
      <c r="E7304" s="45" t="s">
        <v>15851</v>
      </c>
      <c r="F7304" s="45" t="s">
        <v>17944</v>
      </c>
      <c r="G7304" s="45" t="s">
        <v>17945</v>
      </c>
      <c r="H7304" s="546">
        <v>35000</v>
      </c>
      <c r="I7304" s="47">
        <v>45296</v>
      </c>
      <c r="J7304" s="73" t="s">
        <v>17946</v>
      </c>
      <c r="K7304" s="45"/>
      <c r="M7304" s="70"/>
      <c r="N7304" s="97"/>
      <c r="O7304" s="58" t="s">
        <v>147</v>
      </c>
      <c r="P7304" s="58" t="s">
        <v>22</v>
      </c>
      <c r="Q7304" s="58" t="s">
        <v>78</v>
      </c>
      <c r="R7304" s="58" t="s">
        <v>19</v>
      </c>
    </row>
    <row r="7305" spans="1:18" s="98" customFormat="1" ht="69" customHeight="1">
      <c r="A7305" s="169"/>
      <c r="B7305" s="48">
        <f t="shared" si="36"/>
        <v>7288</v>
      </c>
      <c r="C7305" s="45" t="s">
        <v>13435</v>
      </c>
      <c r="D7305" s="84" t="s">
        <v>12995</v>
      </c>
      <c r="E7305" s="45" t="s">
        <v>979</v>
      </c>
      <c r="F7305" s="45" t="s">
        <v>17947</v>
      </c>
      <c r="G7305" s="45" t="s">
        <v>17948</v>
      </c>
      <c r="H7305" s="546">
        <v>144290</v>
      </c>
      <c r="I7305" s="47">
        <v>45296</v>
      </c>
      <c r="J7305" s="73" t="s">
        <v>17949</v>
      </c>
      <c r="K7305" s="45"/>
      <c r="M7305" s="385"/>
      <c r="N7305" s="75"/>
      <c r="O7305" s="45" t="s">
        <v>156</v>
      </c>
      <c r="P7305" s="58" t="s">
        <v>73</v>
      </c>
      <c r="Q7305" s="45" t="s">
        <v>13</v>
      </c>
      <c r="R7305" s="45" t="s">
        <v>265</v>
      </c>
    </row>
    <row r="7306" spans="1:18" s="98" customFormat="1" ht="69" customHeight="1">
      <c r="A7306" s="169"/>
      <c r="B7306" s="48">
        <f t="shared" si="36"/>
        <v>7289</v>
      </c>
      <c r="C7306" s="59" t="s">
        <v>581</v>
      </c>
      <c r="D7306" s="84" t="s">
        <v>12998</v>
      </c>
      <c r="E7306" s="45" t="s">
        <v>350</v>
      </c>
      <c r="F7306" s="45" t="s">
        <v>17950</v>
      </c>
      <c r="G7306" s="45" t="s">
        <v>17948</v>
      </c>
      <c r="H7306" s="546">
        <v>259401</v>
      </c>
      <c r="I7306" s="47">
        <v>45296</v>
      </c>
      <c r="J7306" s="73" t="s">
        <v>17949</v>
      </c>
      <c r="K7306" s="45"/>
      <c r="M7306" s="385"/>
      <c r="N7306" s="75"/>
      <c r="O7306" s="45" t="s">
        <v>156</v>
      </c>
      <c r="P7306" s="58" t="s">
        <v>73</v>
      </c>
      <c r="Q7306" s="45" t="s">
        <v>18</v>
      </c>
      <c r="R7306" s="45" t="s">
        <v>265</v>
      </c>
    </row>
    <row r="7307" spans="1:18" ht="69" customHeight="1">
      <c r="A7307" s="168"/>
      <c r="B7307" s="62">
        <f t="shared" si="36"/>
        <v>7290</v>
      </c>
      <c r="C7307" s="59" t="s">
        <v>7452</v>
      </c>
      <c r="D7307" s="174" t="s">
        <v>14075</v>
      </c>
      <c r="E7307" s="58" t="s">
        <v>17212</v>
      </c>
      <c r="F7307" s="58" t="s">
        <v>17951</v>
      </c>
      <c r="G7307" s="58" t="s">
        <v>17214</v>
      </c>
      <c r="H7307" s="546">
        <v>178275</v>
      </c>
      <c r="I7307" s="66">
        <v>45306</v>
      </c>
      <c r="J7307" s="65" t="s">
        <v>17952</v>
      </c>
      <c r="K7307" s="58"/>
      <c r="M7307" s="70"/>
      <c r="N7307" s="97"/>
      <c r="O7307" s="58" t="s">
        <v>16399</v>
      </c>
      <c r="P7307" s="58" t="s">
        <v>55</v>
      </c>
      <c r="Q7307" s="58" t="s">
        <v>101</v>
      </c>
      <c r="R7307" s="45" t="s">
        <v>272</v>
      </c>
    </row>
    <row r="7308" spans="1:18" ht="69" customHeight="1">
      <c r="A7308" s="168"/>
      <c r="B7308" s="62">
        <f t="shared" si="36"/>
        <v>7291</v>
      </c>
      <c r="C7308" s="59" t="s">
        <v>7521</v>
      </c>
      <c r="D7308" s="174" t="s">
        <v>4515</v>
      </c>
      <c r="E7308" s="58" t="s">
        <v>17212</v>
      </c>
      <c r="F7308" s="58" t="s">
        <v>17953</v>
      </c>
      <c r="G7308" s="58" t="s">
        <v>17214</v>
      </c>
      <c r="H7308" s="546">
        <v>198715</v>
      </c>
      <c r="I7308" s="66">
        <v>45306</v>
      </c>
      <c r="J7308" s="65" t="s">
        <v>17952</v>
      </c>
      <c r="K7308" s="58"/>
      <c r="M7308" s="70"/>
      <c r="N7308" s="97"/>
      <c r="O7308" s="58" t="s">
        <v>16399</v>
      </c>
      <c r="P7308" s="58" t="s">
        <v>55</v>
      </c>
      <c r="Q7308" s="58" t="s">
        <v>102</v>
      </c>
      <c r="R7308" s="45" t="s">
        <v>272</v>
      </c>
    </row>
    <row r="7309" spans="1:18" ht="69" customHeight="1">
      <c r="A7309" s="168"/>
      <c r="B7309" s="62">
        <f t="shared" si="36"/>
        <v>7292</v>
      </c>
      <c r="C7309" s="44" t="s">
        <v>10418</v>
      </c>
      <c r="D7309" s="174" t="s">
        <v>14130</v>
      </c>
      <c r="E7309" s="58" t="s">
        <v>17212</v>
      </c>
      <c r="F7309" s="58" t="s">
        <v>17954</v>
      </c>
      <c r="G7309" s="58" t="s">
        <v>17214</v>
      </c>
      <c r="H7309" s="546">
        <v>237570</v>
      </c>
      <c r="I7309" s="66">
        <v>45306</v>
      </c>
      <c r="J7309" s="65" t="s">
        <v>17952</v>
      </c>
      <c r="K7309" s="58"/>
      <c r="M7309" s="70"/>
      <c r="N7309" s="97"/>
      <c r="O7309" s="58" t="s">
        <v>16399</v>
      </c>
      <c r="P7309" s="58" t="s">
        <v>55</v>
      </c>
      <c r="Q7309" s="58" t="s">
        <v>121</v>
      </c>
      <c r="R7309" s="45" t="s">
        <v>272</v>
      </c>
    </row>
    <row r="7310" spans="1:18" ht="69" customHeight="1">
      <c r="A7310" s="168"/>
      <c r="B7310" s="62">
        <f t="shared" si="36"/>
        <v>7293</v>
      </c>
      <c r="C7310" s="44" t="s">
        <v>8057</v>
      </c>
      <c r="D7310" s="174" t="s">
        <v>17955</v>
      </c>
      <c r="E7310" s="58" t="s">
        <v>17212</v>
      </c>
      <c r="F7310" s="58" t="s">
        <v>17956</v>
      </c>
      <c r="G7310" s="58" t="s">
        <v>17214</v>
      </c>
      <c r="H7310" s="546">
        <v>234495</v>
      </c>
      <c r="I7310" s="66">
        <v>45306</v>
      </c>
      <c r="J7310" s="65" t="s">
        <v>17952</v>
      </c>
      <c r="K7310" s="58"/>
      <c r="M7310" s="70"/>
      <c r="N7310" s="97"/>
      <c r="O7310" s="58" t="s">
        <v>16399</v>
      </c>
      <c r="P7310" s="58" t="s">
        <v>55</v>
      </c>
      <c r="Q7310" s="58" t="s">
        <v>105</v>
      </c>
      <c r="R7310" s="45" t="s">
        <v>272</v>
      </c>
    </row>
    <row r="7311" spans="1:18" ht="69" customHeight="1">
      <c r="A7311" s="168"/>
      <c r="B7311" s="62">
        <f t="shared" si="36"/>
        <v>7294</v>
      </c>
      <c r="C7311" s="59" t="s">
        <v>8080</v>
      </c>
      <c r="D7311" s="174" t="s">
        <v>10761</v>
      </c>
      <c r="E7311" s="58" t="s">
        <v>17212</v>
      </c>
      <c r="F7311" s="58" t="s">
        <v>17957</v>
      </c>
      <c r="G7311" s="58" t="s">
        <v>17214</v>
      </c>
      <c r="H7311" s="546">
        <v>206100</v>
      </c>
      <c r="I7311" s="66">
        <v>45306</v>
      </c>
      <c r="J7311" s="65" t="s">
        <v>17952</v>
      </c>
      <c r="K7311" s="58"/>
      <c r="M7311" s="70"/>
      <c r="N7311" s="97"/>
      <c r="O7311" s="58" t="s">
        <v>16399</v>
      </c>
      <c r="P7311" s="58" t="s">
        <v>55</v>
      </c>
      <c r="Q7311" s="58" t="s">
        <v>106</v>
      </c>
      <c r="R7311" s="45" t="s">
        <v>272</v>
      </c>
    </row>
    <row r="7312" spans="1:18" s="98" customFormat="1" ht="69" customHeight="1">
      <c r="A7312" s="169"/>
      <c r="B7312" s="48">
        <f t="shared" si="36"/>
        <v>7295</v>
      </c>
      <c r="C7312" s="59" t="s">
        <v>13435</v>
      </c>
      <c r="D7312" s="84" t="s">
        <v>13000</v>
      </c>
      <c r="E7312" s="45" t="s">
        <v>16554</v>
      </c>
      <c r="F7312" s="45" t="s">
        <v>17958</v>
      </c>
      <c r="G7312" s="45" t="s">
        <v>17959</v>
      </c>
      <c r="H7312" s="546">
        <v>151215.75</v>
      </c>
      <c r="I7312" s="47">
        <v>45306</v>
      </c>
      <c r="J7312" s="73" t="s">
        <v>17960</v>
      </c>
      <c r="K7312" s="45"/>
      <c r="M7312" s="385"/>
      <c r="N7312" s="75"/>
      <c r="O7312" s="45" t="s">
        <v>441</v>
      </c>
      <c r="P7312" s="45" t="s">
        <v>22</v>
      </c>
      <c r="Q7312" s="45" t="s">
        <v>13</v>
      </c>
      <c r="R7312" s="45" t="s">
        <v>272</v>
      </c>
    </row>
    <row r="7313" spans="1:18" s="98" customFormat="1" ht="69" customHeight="1">
      <c r="A7313" s="169"/>
      <c r="B7313" s="48">
        <f t="shared" si="36"/>
        <v>7296</v>
      </c>
      <c r="C7313" s="59" t="s">
        <v>5558</v>
      </c>
      <c r="D7313" s="84" t="s">
        <v>17961</v>
      </c>
      <c r="E7313" s="55" t="s">
        <v>17027</v>
      </c>
      <c r="F7313" s="569" t="s">
        <v>17962</v>
      </c>
      <c r="G7313" s="45" t="s">
        <v>17963</v>
      </c>
      <c r="H7313" s="546">
        <v>202648.91</v>
      </c>
      <c r="I7313" s="47">
        <v>45306</v>
      </c>
      <c r="J7313" s="73" t="s">
        <v>17964</v>
      </c>
      <c r="K7313" s="45"/>
      <c r="M7313" s="385"/>
      <c r="N7313" s="75"/>
      <c r="O7313" s="45" t="s">
        <v>17031</v>
      </c>
      <c r="P7313" s="45" t="s">
        <v>57</v>
      </c>
      <c r="Q7313" s="45" t="s">
        <v>64</v>
      </c>
      <c r="R7313" s="45" t="s">
        <v>272</v>
      </c>
    </row>
    <row r="7314" spans="1:18" s="98" customFormat="1" ht="69" customHeight="1">
      <c r="A7314" s="169"/>
      <c r="B7314" s="48">
        <f t="shared" si="36"/>
        <v>7297</v>
      </c>
      <c r="C7314" s="59" t="s">
        <v>13435</v>
      </c>
      <c r="D7314" s="84" t="s">
        <v>13002</v>
      </c>
      <c r="E7314" s="44" t="s">
        <v>3825</v>
      </c>
      <c r="F7314" s="45" t="s">
        <v>17965</v>
      </c>
      <c r="G7314" s="45" t="s">
        <v>17966</v>
      </c>
      <c r="H7314" s="546">
        <v>91704.15</v>
      </c>
      <c r="I7314" s="47">
        <v>45306</v>
      </c>
      <c r="J7314" s="73" t="s">
        <v>17967</v>
      </c>
      <c r="K7314" s="45"/>
      <c r="M7314" s="385"/>
      <c r="N7314" s="75"/>
      <c r="O7314" s="45" t="s">
        <v>441</v>
      </c>
      <c r="P7314" s="45" t="s">
        <v>22</v>
      </c>
      <c r="Q7314" s="45" t="s">
        <v>13</v>
      </c>
      <c r="R7314" s="45" t="s">
        <v>272</v>
      </c>
    </row>
    <row r="7315" spans="1:18" ht="69" customHeight="1">
      <c r="A7315" s="168"/>
      <c r="B7315" s="62">
        <f t="shared" si="36"/>
        <v>7298</v>
      </c>
      <c r="C7315" s="59" t="s">
        <v>9094</v>
      </c>
      <c r="D7315" s="174" t="s">
        <v>17968</v>
      </c>
      <c r="E7315" s="58" t="s">
        <v>17623</v>
      </c>
      <c r="F7315" s="58" t="s">
        <v>17969</v>
      </c>
      <c r="G7315" s="58" t="s">
        <v>17970</v>
      </c>
      <c r="H7315" s="546">
        <v>130710.94</v>
      </c>
      <c r="I7315" s="47">
        <v>45306</v>
      </c>
      <c r="J7315" s="65" t="s">
        <v>17971</v>
      </c>
      <c r="K7315" s="58"/>
      <c r="M7315" s="70"/>
      <c r="N7315" s="97"/>
      <c r="O7315" s="58" t="s">
        <v>234</v>
      </c>
      <c r="P7315" s="58" t="s">
        <v>57</v>
      </c>
      <c r="Q7315" s="58" t="s">
        <v>112</v>
      </c>
      <c r="R7315" s="45" t="s">
        <v>272</v>
      </c>
    </row>
    <row r="7316" spans="1:18" ht="69" customHeight="1">
      <c r="A7316" s="168"/>
      <c r="B7316" s="62">
        <f t="shared" si="36"/>
        <v>7299</v>
      </c>
      <c r="C7316" s="45" t="s">
        <v>11618</v>
      </c>
      <c r="D7316" s="174" t="s">
        <v>17972</v>
      </c>
      <c r="E7316" s="58" t="s">
        <v>17231</v>
      </c>
      <c r="F7316" s="58" t="s">
        <v>17973</v>
      </c>
      <c r="G7316" s="58" t="s">
        <v>17625</v>
      </c>
      <c r="H7316" s="546">
        <v>44794.3</v>
      </c>
      <c r="I7316" s="47">
        <v>45306</v>
      </c>
      <c r="J7316" s="65" t="s">
        <v>17974</v>
      </c>
      <c r="K7316" s="58"/>
      <c r="M7316" s="70"/>
      <c r="N7316" s="97"/>
      <c r="O7316" s="58" t="s">
        <v>233</v>
      </c>
      <c r="P7316" s="58" t="s">
        <v>57</v>
      </c>
      <c r="Q7316" s="58" t="s">
        <v>122</v>
      </c>
      <c r="R7316" s="45" t="s">
        <v>272</v>
      </c>
    </row>
    <row r="7317" spans="1:18" ht="69" customHeight="1">
      <c r="A7317" s="168"/>
      <c r="B7317" s="48">
        <f t="shared" si="36"/>
        <v>7300</v>
      </c>
      <c r="C7317" s="45" t="s">
        <v>11618</v>
      </c>
      <c r="D7317" s="84" t="s">
        <v>17975</v>
      </c>
      <c r="E7317" s="45" t="s">
        <v>17231</v>
      </c>
      <c r="F7317" s="45" t="s">
        <v>17976</v>
      </c>
      <c r="G7317" s="45" t="s">
        <v>17625</v>
      </c>
      <c r="H7317" s="546">
        <v>44794.3</v>
      </c>
      <c r="I7317" s="47">
        <v>45306</v>
      </c>
      <c r="J7317" s="73" t="s">
        <v>17974</v>
      </c>
      <c r="K7317" s="45"/>
      <c r="M7317" s="70"/>
      <c r="N7317" s="97"/>
      <c r="O7317" s="58" t="s">
        <v>233</v>
      </c>
      <c r="P7317" s="58" t="s">
        <v>57</v>
      </c>
      <c r="Q7317" s="58" t="s">
        <v>122</v>
      </c>
      <c r="R7317" s="45" t="s">
        <v>272</v>
      </c>
    </row>
    <row r="7318" spans="1:18" ht="69" customHeight="1">
      <c r="A7318" s="168"/>
      <c r="B7318" s="62">
        <f t="shared" si="36"/>
        <v>7301</v>
      </c>
      <c r="C7318" s="59" t="s">
        <v>13562</v>
      </c>
      <c r="D7318" s="174" t="s">
        <v>14091</v>
      </c>
      <c r="E7318" s="58" t="s">
        <v>17391</v>
      </c>
      <c r="F7318" s="45" t="s">
        <v>17977</v>
      </c>
      <c r="G7318" s="45" t="s">
        <v>17978</v>
      </c>
      <c r="H7318" s="546">
        <v>117831.26</v>
      </c>
      <c r="I7318" s="47">
        <v>45306</v>
      </c>
      <c r="J7318" s="65" t="s">
        <v>17979</v>
      </c>
      <c r="K7318" s="58"/>
      <c r="M7318" s="70"/>
      <c r="N7318" s="97"/>
      <c r="O7318" s="62" t="s">
        <v>16639</v>
      </c>
      <c r="P7318" s="58" t="s">
        <v>57</v>
      </c>
      <c r="Q7318" s="58" t="s">
        <v>88</v>
      </c>
      <c r="R7318" s="45" t="s">
        <v>272</v>
      </c>
    </row>
    <row r="7319" spans="1:18" ht="69" customHeight="1">
      <c r="A7319" s="168"/>
      <c r="B7319" s="48">
        <f t="shared" si="36"/>
        <v>7302</v>
      </c>
      <c r="C7319" s="44" t="s">
        <v>9004</v>
      </c>
      <c r="D7319" s="84" t="s">
        <v>4680</v>
      </c>
      <c r="E7319" s="45" t="s">
        <v>17231</v>
      </c>
      <c r="F7319" s="45" t="s">
        <v>17980</v>
      </c>
      <c r="G7319" s="45" t="s">
        <v>17981</v>
      </c>
      <c r="H7319" s="546">
        <v>35077.14</v>
      </c>
      <c r="I7319" s="47">
        <v>45306</v>
      </c>
      <c r="J7319" s="73" t="s">
        <v>17982</v>
      </c>
      <c r="K7319" s="45"/>
      <c r="M7319" s="70"/>
      <c r="N7319" s="97"/>
      <c r="O7319" s="58" t="s">
        <v>233</v>
      </c>
      <c r="P7319" s="58" t="s">
        <v>57</v>
      </c>
      <c r="Q7319" s="58" t="s">
        <v>111</v>
      </c>
      <c r="R7319" s="45" t="s">
        <v>272</v>
      </c>
    </row>
    <row r="7320" spans="1:18" ht="69" customHeight="1">
      <c r="A7320" s="168"/>
      <c r="B7320" s="62">
        <f t="shared" si="36"/>
        <v>7303</v>
      </c>
      <c r="C7320" s="44" t="s">
        <v>9004</v>
      </c>
      <c r="D7320" s="174" t="s">
        <v>4801</v>
      </c>
      <c r="E7320" s="58" t="s">
        <v>17231</v>
      </c>
      <c r="F7320" s="58" t="s">
        <v>17983</v>
      </c>
      <c r="G7320" s="58" t="s">
        <v>17981</v>
      </c>
      <c r="H7320" s="546">
        <v>35077.14</v>
      </c>
      <c r="I7320" s="47">
        <v>45306</v>
      </c>
      <c r="J7320" s="65" t="s">
        <v>17982</v>
      </c>
      <c r="K7320" s="58"/>
      <c r="M7320" s="70"/>
      <c r="N7320" s="97"/>
      <c r="O7320" s="58" t="s">
        <v>233</v>
      </c>
      <c r="P7320" s="58" t="s">
        <v>57</v>
      </c>
      <c r="Q7320" s="58" t="s">
        <v>111</v>
      </c>
      <c r="R7320" s="45" t="s">
        <v>272</v>
      </c>
    </row>
    <row r="7321" spans="1:18" s="98" customFormat="1" ht="69" customHeight="1">
      <c r="A7321" s="169"/>
      <c r="B7321" s="48">
        <f t="shared" si="36"/>
        <v>7304</v>
      </c>
      <c r="C7321" s="59" t="s">
        <v>5558</v>
      </c>
      <c r="D7321" s="84" t="s">
        <v>17984</v>
      </c>
      <c r="E7321" s="45" t="s">
        <v>16554</v>
      </c>
      <c r="F7321" s="45" t="s">
        <v>17985</v>
      </c>
      <c r="G7321" s="45" t="s">
        <v>17986</v>
      </c>
      <c r="H7321" s="546">
        <v>68185.03</v>
      </c>
      <c r="I7321" s="47">
        <v>45306</v>
      </c>
      <c r="J7321" s="73" t="s">
        <v>17987</v>
      </c>
      <c r="K7321" s="45"/>
      <c r="M7321" s="385"/>
      <c r="N7321" s="75"/>
      <c r="O7321" s="45" t="s">
        <v>441</v>
      </c>
      <c r="P7321" s="45" t="s">
        <v>22</v>
      </c>
      <c r="Q7321" s="45" t="s">
        <v>64</v>
      </c>
      <c r="R7321" s="45" t="s">
        <v>272</v>
      </c>
    </row>
    <row r="7322" spans="1:18" ht="69" customHeight="1">
      <c r="A7322" s="168"/>
      <c r="B7322" s="62">
        <f t="shared" si="36"/>
        <v>7305</v>
      </c>
      <c r="C7322" s="45" t="s">
        <v>458</v>
      </c>
      <c r="D7322" s="84" t="s">
        <v>14152</v>
      </c>
      <c r="E7322" s="44" t="s">
        <v>7649</v>
      </c>
      <c r="F7322" s="45" t="s">
        <v>17988</v>
      </c>
      <c r="G7322" s="45" t="s">
        <v>17989</v>
      </c>
      <c r="H7322" s="546">
        <v>235607.6</v>
      </c>
      <c r="I7322" s="66">
        <v>45296</v>
      </c>
      <c r="J7322" s="73" t="s">
        <v>17990</v>
      </c>
      <c r="K7322" s="58"/>
      <c r="M7322" s="70"/>
      <c r="N7322" s="97"/>
      <c r="O7322" s="58" t="s">
        <v>147</v>
      </c>
      <c r="P7322" s="58" t="s">
        <v>22</v>
      </c>
      <c r="Q7322" s="58" t="s">
        <v>112</v>
      </c>
      <c r="R7322" s="45" t="s">
        <v>272</v>
      </c>
    </row>
    <row r="7323" spans="1:18" ht="69" customHeight="1">
      <c r="A7323" s="168"/>
      <c r="B7323" s="62">
        <f t="shared" si="36"/>
        <v>7306</v>
      </c>
      <c r="C7323" s="45" t="s">
        <v>458</v>
      </c>
      <c r="D7323" s="84" t="s">
        <v>14154</v>
      </c>
      <c r="E7323" s="44" t="s">
        <v>7649</v>
      </c>
      <c r="F7323" s="45" t="s">
        <v>17991</v>
      </c>
      <c r="G7323" s="45" t="s">
        <v>17992</v>
      </c>
      <c r="H7323" s="546">
        <v>126865.63</v>
      </c>
      <c r="I7323" s="66">
        <v>45296</v>
      </c>
      <c r="J7323" s="73" t="s">
        <v>17990</v>
      </c>
      <c r="K7323" s="58"/>
      <c r="M7323" s="70"/>
      <c r="N7323" s="97"/>
      <c r="O7323" s="58" t="s">
        <v>147</v>
      </c>
      <c r="P7323" s="58" t="s">
        <v>22</v>
      </c>
      <c r="Q7323" s="58" t="s">
        <v>112</v>
      </c>
      <c r="R7323" s="45" t="s">
        <v>272</v>
      </c>
    </row>
    <row r="7324" spans="1:18" ht="69" customHeight="1">
      <c r="A7324" s="168"/>
      <c r="B7324" s="62">
        <f t="shared" si="36"/>
        <v>7307</v>
      </c>
      <c r="C7324" s="59" t="s">
        <v>11933</v>
      </c>
      <c r="D7324" s="581" t="s">
        <v>17993</v>
      </c>
      <c r="E7324" s="45" t="s">
        <v>13635</v>
      </c>
      <c r="F7324" s="569" t="s">
        <v>17994</v>
      </c>
      <c r="G7324" s="45" t="s">
        <v>17995</v>
      </c>
      <c r="H7324" s="546">
        <v>118003.69</v>
      </c>
      <c r="I7324" s="47">
        <v>45306</v>
      </c>
      <c r="J7324" s="73" t="s">
        <v>17996</v>
      </c>
      <c r="K7324" s="58"/>
      <c r="M7324" s="70"/>
      <c r="N7324" s="97"/>
      <c r="O7324" s="58" t="s">
        <v>217</v>
      </c>
      <c r="P7324" s="58" t="s">
        <v>59</v>
      </c>
      <c r="Q7324" s="58" t="s">
        <v>123</v>
      </c>
      <c r="R7324" s="45" t="s">
        <v>272</v>
      </c>
    </row>
    <row r="7325" spans="1:18" ht="69" customHeight="1">
      <c r="A7325" s="168"/>
      <c r="B7325" s="62">
        <f t="shared" si="36"/>
        <v>7308</v>
      </c>
      <c r="C7325" s="45" t="s">
        <v>458</v>
      </c>
      <c r="D7325" s="84" t="s">
        <v>14089</v>
      </c>
      <c r="E7325" s="44" t="s">
        <v>7649</v>
      </c>
      <c r="F7325" s="45" t="s">
        <v>17997</v>
      </c>
      <c r="G7325" s="45" t="s">
        <v>17998</v>
      </c>
      <c r="H7325" s="546">
        <v>60187.88</v>
      </c>
      <c r="I7325" s="66">
        <v>45296</v>
      </c>
      <c r="J7325" s="73" t="s">
        <v>17999</v>
      </c>
      <c r="K7325" s="58"/>
      <c r="M7325" s="70"/>
      <c r="N7325" s="97"/>
      <c r="O7325" s="58" t="s">
        <v>147</v>
      </c>
      <c r="P7325" s="58" t="s">
        <v>22</v>
      </c>
      <c r="Q7325" s="58" t="s">
        <v>103</v>
      </c>
      <c r="R7325" s="45" t="s">
        <v>272</v>
      </c>
    </row>
    <row r="7326" spans="1:18" ht="69" customHeight="1">
      <c r="A7326" s="168"/>
      <c r="B7326" s="62">
        <f t="shared" si="36"/>
        <v>7309</v>
      </c>
      <c r="C7326" s="45" t="s">
        <v>458</v>
      </c>
      <c r="D7326" s="84" t="s">
        <v>14095</v>
      </c>
      <c r="E7326" s="44" t="s">
        <v>7649</v>
      </c>
      <c r="F7326" s="45" t="s">
        <v>18000</v>
      </c>
      <c r="G7326" s="45" t="s">
        <v>18001</v>
      </c>
      <c r="H7326" s="546">
        <v>32408.86</v>
      </c>
      <c r="I7326" s="66">
        <v>45296</v>
      </c>
      <c r="J7326" s="73" t="s">
        <v>17999</v>
      </c>
      <c r="K7326" s="58"/>
      <c r="M7326" s="70"/>
      <c r="N7326" s="97"/>
      <c r="O7326" s="58" t="s">
        <v>147</v>
      </c>
      <c r="P7326" s="58" t="s">
        <v>22</v>
      </c>
      <c r="Q7326" s="58" t="s">
        <v>103</v>
      </c>
      <c r="R7326" s="45" t="s">
        <v>272</v>
      </c>
    </row>
    <row r="7327" spans="1:18" ht="69" customHeight="1">
      <c r="A7327" s="168"/>
      <c r="B7327" s="62">
        <f t="shared" si="36"/>
        <v>7310</v>
      </c>
      <c r="C7327" s="59" t="s">
        <v>16973</v>
      </c>
      <c r="D7327" s="612" t="s">
        <v>18002</v>
      </c>
      <c r="E7327" s="55" t="s">
        <v>17027</v>
      </c>
      <c r="F7327" s="569" t="s">
        <v>18003</v>
      </c>
      <c r="G7327" s="45" t="s">
        <v>18004</v>
      </c>
      <c r="H7327" s="546">
        <v>89746.84</v>
      </c>
      <c r="I7327" s="66">
        <v>45306</v>
      </c>
      <c r="J7327" s="73" t="s">
        <v>18005</v>
      </c>
      <c r="K7327" s="58"/>
      <c r="M7327" s="70"/>
      <c r="N7327" s="97"/>
      <c r="O7327" s="58" t="s">
        <v>17031</v>
      </c>
      <c r="P7327" s="58" t="s">
        <v>57</v>
      </c>
      <c r="Q7327" s="58" t="s">
        <v>113</v>
      </c>
      <c r="R7327" s="45" t="s">
        <v>272</v>
      </c>
    </row>
    <row r="7328" spans="1:18" ht="69" customHeight="1">
      <c r="A7328" s="168"/>
      <c r="B7328" s="62"/>
      <c r="C7328" s="616" t="s">
        <v>458</v>
      </c>
      <c r="D7328" s="210">
        <v>2314</v>
      </c>
      <c r="E7328" s="45" t="s">
        <v>15554</v>
      </c>
      <c r="F7328" s="210" t="s">
        <v>15555</v>
      </c>
      <c r="G7328" s="58" t="s">
        <v>15556</v>
      </c>
      <c r="H7328" s="546">
        <v>48148.1</v>
      </c>
      <c r="I7328" s="66">
        <v>45212</v>
      </c>
      <c r="J7328" s="65" t="s">
        <v>15557</v>
      </c>
      <c r="K7328" s="58" t="s">
        <v>15558</v>
      </c>
      <c r="M7328" s="382"/>
      <c r="N7328" s="101"/>
      <c r="O7328" s="58" t="s">
        <v>147</v>
      </c>
      <c r="P7328" s="45" t="s">
        <v>42</v>
      </c>
      <c r="Q7328" s="58" t="s">
        <v>113</v>
      </c>
      <c r="R7328" s="58" t="s">
        <v>272</v>
      </c>
    </row>
    <row r="7329" spans="1:18" ht="69" customHeight="1">
      <c r="A7329" s="168"/>
      <c r="B7329" s="62">
        <f t="shared" ref="B7329:B7360" si="37">B7328+1</f>
        <v>1</v>
      </c>
      <c r="C7329" s="45" t="s">
        <v>458</v>
      </c>
      <c r="D7329" s="174" t="s">
        <v>18006</v>
      </c>
      <c r="E7329" s="178" t="s">
        <v>10553</v>
      </c>
      <c r="F7329" s="45" t="s">
        <v>18007</v>
      </c>
      <c r="G7329" s="45" t="s">
        <v>18008</v>
      </c>
      <c r="H7329" s="546">
        <v>16228.72</v>
      </c>
      <c r="I7329" s="66">
        <v>45296</v>
      </c>
      <c r="J7329" s="73" t="s">
        <v>18009</v>
      </c>
      <c r="K7329" s="58"/>
      <c r="M7329" s="70"/>
      <c r="N7329" s="97"/>
      <c r="O7329" s="58" t="s">
        <v>147</v>
      </c>
      <c r="P7329" s="58" t="s">
        <v>22</v>
      </c>
      <c r="Q7329" s="58" t="s">
        <v>123</v>
      </c>
      <c r="R7329" s="45" t="s">
        <v>272</v>
      </c>
    </row>
    <row r="7330" spans="1:18" ht="69" customHeight="1">
      <c r="A7330" s="168"/>
      <c r="B7330" s="62">
        <f t="shared" si="37"/>
        <v>2</v>
      </c>
      <c r="C7330" s="45" t="s">
        <v>458</v>
      </c>
      <c r="D7330" s="174" t="s">
        <v>14179</v>
      </c>
      <c r="E7330" s="178" t="s">
        <v>10553</v>
      </c>
      <c r="F7330" s="45" t="s">
        <v>18010</v>
      </c>
      <c r="G7330" s="45" t="s">
        <v>17978</v>
      </c>
      <c r="H7330" s="546">
        <v>8738.5400000000009</v>
      </c>
      <c r="I7330" s="66">
        <v>45296</v>
      </c>
      <c r="J7330" s="73" t="s">
        <v>18009</v>
      </c>
      <c r="K7330" s="58"/>
      <c r="M7330" s="70"/>
      <c r="N7330" s="97"/>
      <c r="O7330" s="58" t="s">
        <v>147</v>
      </c>
      <c r="P7330" s="58" t="s">
        <v>22</v>
      </c>
      <c r="Q7330" s="58" t="s">
        <v>123</v>
      </c>
      <c r="R7330" s="45" t="s">
        <v>272</v>
      </c>
    </row>
    <row r="7331" spans="1:18" ht="69" customHeight="1">
      <c r="A7331" s="168"/>
      <c r="B7331" s="62">
        <f t="shared" si="37"/>
        <v>3</v>
      </c>
      <c r="C7331" s="45" t="s">
        <v>458</v>
      </c>
      <c r="D7331" s="174" t="s">
        <v>18011</v>
      </c>
      <c r="E7331" s="44" t="s">
        <v>7649</v>
      </c>
      <c r="F7331" s="45" t="s">
        <v>18012</v>
      </c>
      <c r="G7331" s="45" t="s">
        <v>18013</v>
      </c>
      <c r="H7331" s="546">
        <v>41977.66</v>
      </c>
      <c r="I7331" s="66">
        <v>45296</v>
      </c>
      <c r="J7331" s="73" t="s">
        <v>18014</v>
      </c>
      <c r="K7331" s="58"/>
      <c r="M7331" s="70"/>
      <c r="N7331" s="97"/>
      <c r="O7331" s="58" t="s">
        <v>147</v>
      </c>
      <c r="P7331" s="58" t="s">
        <v>22</v>
      </c>
      <c r="Q7331" s="58" t="s">
        <v>88</v>
      </c>
      <c r="R7331" s="45" t="s">
        <v>272</v>
      </c>
    </row>
    <row r="7332" spans="1:18" ht="69" customHeight="1">
      <c r="A7332" s="170"/>
      <c r="B7332" s="62">
        <f t="shared" si="37"/>
        <v>4</v>
      </c>
      <c r="C7332" s="45" t="s">
        <v>458</v>
      </c>
      <c r="D7332" s="174" t="s">
        <v>14188</v>
      </c>
      <c r="E7332" s="44" t="s">
        <v>7649</v>
      </c>
      <c r="F7332" s="45" t="s">
        <v>18015</v>
      </c>
      <c r="G7332" s="45" t="s">
        <v>18016</v>
      </c>
      <c r="H7332" s="546">
        <v>22603.360000000001</v>
      </c>
      <c r="I7332" s="66">
        <v>45296</v>
      </c>
      <c r="J7332" s="73" t="s">
        <v>18014</v>
      </c>
      <c r="K7332" s="58"/>
      <c r="M7332" s="70"/>
      <c r="N7332" s="97"/>
      <c r="O7332" s="58" t="s">
        <v>147</v>
      </c>
      <c r="P7332" s="58" t="s">
        <v>22</v>
      </c>
      <c r="Q7332" s="58" t="s">
        <v>88</v>
      </c>
      <c r="R7332" s="45" t="s">
        <v>272</v>
      </c>
    </row>
    <row r="7333" spans="1:18" ht="69" customHeight="1">
      <c r="A7333" s="168"/>
      <c r="B7333" s="62">
        <f t="shared" si="37"/>
        <v>5</v>
      </c>
      <c r="C7333" s="59" t="s">
        <v>10621</v>
      </c>
      <c r="D7333" s="174" t="s">
        <v>18017</v>
      </c>
      <c r="E7333" s="58" t="s">
        <v>979</v>
      </c>
      <c r="F7333" s="58" t="s">
        <v>18018</v>
      </c>
      <c r="G7333" s="58" t="s">
        <v>18019</v>
      </c>
      <c r="H7333" s="546">
        <v>202269.2</v>
      </c>
      <c r="I7333" s="66">
        <v>45296</v>
      </c>
      <c r="J7333" s="73" t="s">
        <v>18020</v>
      </c>
      <c r="K7333" s="58"/>
      <c r="M7333" s="70"/>
      <c r="N7333" s="97"/>
      <c r="O7333" s="58" t="s">
        <v>156</v>
      </c>
      <c r="P7333" s="58" t="s">
        <v>19</v>
      </c>
      <c r="Q7333" s="58" t="s">
        <v>66</v>
      </c>
      <c r="R7333" s="45" t="s">
        <v>265</v>
      </c>
    </row>
    <row r="7334" spans="1:18" ht="69" customHeight="1">
      <c r="A7334" s="168"/>
      <c r="B7334" s="62">
        <f t="shared" si="37"/>
        <v>6</v>
      </c>
      <c r="C7334" s="59" t="s">
        <v>10621</v>
      </c>
      <c r="D7334" s="174" t="s">
        <v>18021</v>
      </c>
      <c r="E7334" s="58" t="s">
        <v>979</v>
      </c>
      <c r="F7334" s="58" t="s">
        <v>18022</v>
      </c>
      <c r="G7334" s="58" t="s">
        <v>18019</v>
      </c>
      <c r="H7334" s="546">
        <v>165192.4</v>
      </c>
      <c r="I7334" s="66">
        <v>45296</v>
      </c>
      <c r="J7334" s="73" t="s">
        <v>18020</v>
      </c>
      <c r="K7334" s="58"/>
      <c r="M7334" s="70"/>
      <c r="N7334" s="97"/>
      <c r="O7334" s="58" t="s">
        <v>156</v>
      </c>
      <c r="P7334" s="58" t="s">
        <v>19</v>
      </c>
      <c r="Q7334" s="58" t="s">
        <v>66</v>
      </c>
      <c r="R7334" s="45" t="s">
        <v>265</v>
      </c>
    </row>
    <row r="7335" spans="1:18" ht="69" customHeight="1">
      <c r="A7335" s="168"/>
      <c r="B7335" s="62">
        <f t="shared" si="37"/>
        <v>7</v>
      </c>
      <c r="C7335" s="59" t="s">
        <v>10621</v>
      </c>
      <c r="D7335" s="174" t="s">
        <v>18023</v>
      </c>
      <c r="E7335" s="58" t="s">
        <v>979</v>
      </c>
      <c r="F7335" s="58" t="s">
        <v>18024</v>
      </c>
      <c r="G7335" s="58" t="s">
        <v>18019</v>
      </c>
      <c r="H7335" s="546">
        <v>217426.74</v>
      </c>
      <c r="I7335" s="66">
        <v>45296</v>
      </c>
      <c r="J7335" s="73" t="s">
        <v>18020</v>
      </c>
      <c r="K7335" s="58"/>
      <c r="M7335" s="70"/>
      <c r="N7335" s="97"/>
      <c r="O7335" s="58" t="s">
        <v>156</v>
      </c>
      <c r="P7335" s="58" t="s">
        <v>19</v>
      </c>
      <c r="Q7335" s="58" t="s">
        <v>66</v>
      </c>
      <c r="R7335" s="45" t="s">
        <v>265</v>
      </c>
    </row>
    <row r="7336" spans="1:18" ht="69" customHeight="1">
      <c r="A7336" s="168"/>
      <c r="B7336" s="62">
        <f t="shared" si="37"/>
        <v>8</v>
      </c>
      <c r="C7336" s="59" t="s">
        <v>10621</v>
      </c>
      <c r="D7336" s="174" t="s">
        <v>18025</v>
      </c>
      <c r="E7336" s="58" t="s">
        <v>979</v>
      </c>
      <c r="F7336" s="58" t="s">
        <v>18026</v>
      </c>
      <c r="G7336" s="58" t="s">
        <v>18019</v>
      </c>
      <c r="H7336" s="546">
        <v>303260.62</v>
      </c>
      <c r="I7336" s="66">
        <v>45296</v>
      </c>
      <c r="J7336" s="73" t="s">
        <v>18020</v>
      </c>
      <c r="K7336" s="58"/>
      <c r="M7336" s="70"/>
      <c r="N7336" s="97"/>
      <c r="O7336" s="58" t="s">
        <v>156</v>
      </c>
      <c r="P7336" s="58" t="s">
        <v>19</v>
      </c>
      <c r="Q7336" s="58" t="s">
        <v>66</v>
      </c>
      <c r="R7336" s="45" t="s">
        <v>265</v>
      </c>
    </row>
    <row r="7337" spans="1:18" ht="69" customHeight="1">
      <c r="A7337" s="168"/>
      <c r="B7337" s="62">
        <f t="shared" si="37"/>
        <v>9</v>
      </c>
      <c r="C7337" s="59" t="s">
        <v>10621</v>
      </c>
      <c r="D7337" s="174" t="s">
        <v>18027</v>
      </c>
      <c r="E7337" s="58" t="s">
        <v>979</v>
      </c>
      <c r="F7337" s="58" t="s">
        <v>18028</v>
      </c>
      <c r="G7337" s="58" t="s">
        <v>18019</v>
      </c>
      <c r="H7337" s="546">
        <v>59549.63</v>
      </c>
      <c r="I7337" s="66">
        <v>45296</v>
      </c>
      <c r="J7337" s="73" t="s">
        <v>18020</v>
      </c>
      <c r="K7337" s="58"/>
      <c r="M7337" s="70"/>
      <c r="N7337" s="97"/>
      <c r="O7337" s="58" t="s">
        <v>156</v>
      </c>
      <c r="P7337" s="58" t="s">
        <v>19</v>
      </c>
      <c r="Q7337" s="58" t="s">
        <v>66</v>
      </c>
      <c r="R7337" s="45" t="s">
        <v>265</v>
      </c>
    </row>
    <row r="7338" spans="1:18" ht="69" customHeight="1">
      <c r="A7338" s="168"/>
      <c r="B7338" s="62">
        <f t="shared" si="37"/>
        <v>10</v>
      </c>
      <c r="C7338" s="59" t="s">
        <v>10621</v>
      </c>
      <c r="D7338" s="174" t="s">
        <v>18029</v>
      </c>
      <c r="E7338" s="58" t="s">
        <v>979</v>
      </c>
      <c r="F7338" s="58" t="s">
        <v>18030</v>
      </c>
      <c r="G7338" s="58" t="s">
        <v>18019</v>
      </c>
      <c r="H7338" s="546">
        <v>57090.33</v>
      </c>
      <c r="I7338" s="66">
        <v>45296</v>
      </c>
      <c r="J7338" s="73" t="s">
        <v>18020</v>
      </c>
      <c r="K7338" s="58"/>
      <c r="M7338" s="70"/>
      <c r="N7338" s="97"/>
      <c r="O7338" s="58" t="s">
        <v>156</v>
      </c>
      <c r="P7338" s="58" t="s">
        <v>19</v>
      </c>
      <c r="Q7338" s="58" t="s">
        <v>66</v>
      </c>
      <c r="R7338" s="45" t="s">
        <v>265</v>
      </c>
    </row>
    <row r="7339" spans="1:18" ht="69" customHeight="1">
      <c r="A7339" s="168"/>
      <c r="B7339" s="62">
        <f t="shared" si="37"/>
        <v>11</v>
      </c>
      <c r="C7339" s="59" t="s">
        <v>10621</v>
      </c>
      <c r="D7339" s="174" t="s">
        <v>18031</v>
      </c>
      <c r="E7339" s="58" t="s">
        <v>979</v>
      </c>
      <c r="F7339" s="58" t="s">
        <v>18032</v>
      </c>
      <c r="G7339" s="58" t="s">
        <v>18019</v>
      </c>
      <c r="H7339" s="546">
        <v>111484.8</v>
      </c>
      <c r="I7339" s="66">
        <v>45296</v>
      </c>
      <c r="J7339" s="73" t="s">
        <v>18020</v>
      </c>
      <c r="K7339" s="58"/>
      <c r="M7339" s="70"/>
      <c r="N7339" s="97"/>
      <c r="O7339" s="58" t="s">
        <v>156</v>
      </c>
      <c r="P7339" s="58" t="s">
        <v>19</v>
      </c>
      <c r="Q7339" s="58" t="s">
        <v>66</v>
      </c>
      <c r="R7339" s="45" t="s">
        <v>265</v>
      </c>
    </row>
    <row r="7340" spans="1:18" ht="69" customHeight="1">
      <c r="A7340" s="168"/>
      <c r="B7340" s="62">
        <f t="shared" si="37"/>
        <v>12</v>
      </c>
      <c r="C7340" s="59" t="s">
        <v>3667</v>
      </c>
      <c r="D7340" s="174" t="s">
        <v>18033</v>
      </c>
      <c r="E7340" s="44" t="s">
        <v>15281</v>
      </c>
      <c r="F7340" s="45" t="s">
        <v>18034</v>
      </c>
      <c r="G7340" s="58" t="s">
        <v>18035</v>
      </c>
      <c r="H7340" s="546">
        <v>458464.9</v>
      </c>
      <c r="I7340" s="66">
        <v>45306</v>
      </c>
      <c r="J7340" s="73" t="s">
        <v>18036</v>
      </c>
      <c r="K7340" s="58"/>
      <c r="M7340" s="70"/>
      <c r="N7340" s="97"/>
      <c r="O7340" s="58" t="s">
        <v>10607</v>
      </c>
      <c r="P7340" s="58" t="s">
        <v>22</v>
      </c>
      <c r="Q7340" s="58" t="s">
        <v>93</v>
      </c>
      <c r="R7340" s="45" t="s">
        <v>272</v>
      </c>
    </row>
    <row r="7341" spans="1:18" ht="69" customHeight="1">
      <c r="A7341" s="168"/>
      <c r="B7341" s="62">
        <f t="shared" si="37"/>
        <v>13</v>
      </c>
      <c r="C7341" s="59" t="s">
        <v>3667</v>
      </c>
      <c r="D7341" s="174" t="s">
        <v>18037</v>
      </c>
      <c r="E7341" s="44" t="s">
        <v>15281</v>
      </c>
      <c r="F7341" s="45" t="s">
        <v>18038</v>
      </c>
      <c r="G7341" s="58" t="s">
        <v>18035</v>
      </c>
      <c r="H7341" s="546">
        <v>437242.66</v>
      </c>
      <c r="I7341" s="66">
        <v>45306</v>
      </c>
      <c r="J7341" s="73" t="s">
        <v>18036</v>
      </c>
      <c r="K7341" s="58"/>
      <c r="M7341" s="70"/>
      <c r="N7341" s="97"/>
      <c r="O7341" s="58" t="s">
        <v>10607</v>
      </c>
      <c r="P7341" s="58" t="s">
        <v>22</v>
      </c>
      <c r="Q7341" s="58" t="s">
        <v>95</v>
      </c>
      <c r="R7341" s="45" t="s">
        <v>272</v>
      </c>
    </row>
    <row r="7342" spans="1:18" ht="69" customHeight="1">
      <c r="A7342" s="168"/>
      <c r="B7342" s="62">
        <f t="shared" si="37"/>
        <v>14</v>
      </c>
      <c r="C7342" s="59" t="s">
        <v>657</v>
      </c>
      <c r="D7342" s="174" t="s">
        <v>18039</v>
      </c>
      <c r="E7342" s="58" t="s">
        <v>16966</v>
      </c>
      <c r="F7342" s="58" t="s">
        <v>18040</v>
      </c>
      <c r="G7342" s="45" t="s">
        <v>17998</v>
      </c>
      <c r="H7342" s="546">
        <v>170382.89</v>
      </c>
      <c r="I7342" s="66">
        <v>45306</v>
      </c>
      <c r="J7342" s="73" t="s">
        <v>18041</v>
      </c>
      <c r="K7342" s="58"/>
      <c r="M7342" s="70"/>
      <c r="N7342" s="97"/>
      <c r="O7342" s="58" t="s">
        <v>147</v>
      </c>
      <c r="P7342" s="58" t="s">
        <v>22</v>
      </c>
      <c r="Q7342" s="58" t="s">
        <v>110</v>
      </c>
      <c r="R7342" s="45" t="s">
        <v>272</v>
      </c>
    </row>
    <row r="7343" spans="1:18" ht="69" customHeight="1">
      <c r="A7343" s="168"/>
      <c r="B7343" s="62">
        <f t="shared" si="37"/>
        <v>15</v>
      </c>
      <c r="C7343" s="59" t="s">
        <v>657</v>
      </c>
      <c r="D7343" s="174" t="s">
        <v>10783</v>
      </c>
      <c r="E7343" s="58" t="s">
        <v>16966</v>
      </c>
      <c r="F7343" s="58" t="s">
        <v>18042</v>
      </c>
      <c r="G7343" s="45" t="s">
        <v>18001</v>
      </c>
      <c r="H7343" s="546">
        <v>91744.63</v>
      </c>
      <c r="I7343" s="66">
        <v>45306</v>
      </c>
      <c r="J7343" s="73" t="s">
        <v>18041</v>
      </c>
      <c r="K7343" s="58"/>
      <c r="M7343" s="70"/>
      <c r="N7343" s="97"/>
      <c r="O7343" s="58" t="s">
        <v>147</v>
      </c>
      <c r="P7343" s="58" t="s">
        <v>22</v>
      </c>
      <c r="Q7343" s="58" t="s">
        <v>110</v>
      </c>
      <c r="R7343" s="45" t="s">
        <v>272</v>
      </c>
    </row>
    <row r="7344" spans="1:18" ht="69" customHeight="1">
      <c r="A7344" s="168"/>
      <c r="B7344" s="52">
        <f t="shared" si="37"/>
        <v>16</v>
      </c>
      <c r="C7344" s="191" t="s">
        <v>2182</v>
      </c>
      <c r="D7344" s="251" t="s">
        <v>13005</v>
      </c>
      <c r="E7344" s="46" t="s">
        <v>266</v>
      </c>
      <c r="F7344" s="46" t="s">
        <v>18043</v>
      </c>
      <c r="G7344" s="46" t="s">
        <v>18044</v>
      </c>
      <c r="H7344" s="534">
        <v>860</v>
      </c>
      <c r="I7344" s="56">
        <v>45306</v>
      </c>
      <c r="J7344" s="199" t="s">
        <v>18045</v>
      </c>
      <c r="K7344" s="46"/>
      <c r="M7344" s="70"/>
      <c r="N7344" s="97"/>
      <c r="O7344" s="46"/>
      <c r="P7344" s="46" t="s">
        <v>65</v>
      </c>
      <c r="Q7344" s="46" t="s">
        <v>31</v>
      </c>
      <c r="R7344" s="46" t="s">
        <v>272</v>
      </c>
    </row>
    <row r="7345" spans="1:18" ht="69" customHeight="1">
      <c r="A7345" s="168"/>
      <c r="B7345" s="62">
        <f t="shared" si="37"/>
        <v>17</v>
      </c>
      <c r="C7345" s="45" t="s">
        <v>458</v>
      </c>
      <c r="D7345" s="84" t="s">
        <v>14201</v>
      </c>
      <c r="E7345" s="58" t="s">
        <v>18046</v>
      </c>
      <c r="F7345" s="58" t="s">
        <v>18047</v>
      </c>
      <c r="G7345" s="58" t="s">
        <v>18048</v>
      </c>
      <c r="H7345" s="546">
        <v>35000</v>
      </c>
      <c r="I7345" s="66">
        <v>45306</v>
      </c>
      <c r="J7345" s="73" t="s">
        <v>18049</v>
      </c>
      <c r="K7345" s="58"/>
      <c r="M7345" s="70"/>
      <c r="N7345" s="97"/>
      <c r="O7345" s="58" t="s">
        <v>147</v>
      </c>
      <c r="P7345" s="58" t="s">
        <v>22</v>
      </c>
      <c r="Q7345" s="58" t="s">
        <v>112</v>
      </c>
      <c r="R7345" s="45" t="s">
        <v>272</v>
      </c>
    </row>
    <row r="7346" spans="1:18" ht="69" customHeight="1">
      <c r="A7346" s="168"/>
      <c r="B7346" s="62">
        <f t="shared" si="37"/>
        <v>18</v>
      </c>
      <c r="C7346" s="58" t="s">
        <v>458</v>
      </c>
      <c r="D7346" s="174" t="s">
        <v>14247</v>
      </c>
      <c r="E7346" s="58" t="s">
        <v>18050</v>
      </c>
      <c r="F7346" s="58" t="s">
        <v>18051</v>
      </c>
      <c r="G7346" s="58" t="s">
        <v>18052</v>
      </c>
      <c r="H7346" s="552">
        <v>64114.15</v>
      </c>
      <c r="I7346" s="66">
        <v>45296</v>
      </c>
      <c r="J7346" s="65" t="s">
        <v>18053</v>
      </c>
      <c r="K7346" s="174" t="s">
        <v>15946</v>
      </c>
      <c r="M7346" s="70"/>
      <c r="N7346" s="97"/>
      <c r="O7346" s="58" t="s">
        <v>141</v>
      </c>
      <c r="P7346" s="58" t="s">
        <v>19</v>
      </c>
      <c r="Q7346" s="58" t="s">
        <v>123</v>
      </c>
      <c r="R7346" s="58" t="s">
        <v>265</v>
      </c>
    </row>
    <row r="7347" spans="1:18" s="117" customFormat="1" ht="69" customHeight="1">
      <c r="A7347" s="168"/>
      <c r="B7347" s="62">
        <f t="shared" si="37"/>
        <v>19</v>
      </c>
      <c r="C7347" s="59" t="s">
        <v>13435</v>
      </c>
      <c r="D7347" s="174" t="s">
        <v>13127</v>
      </c>
      <c r="E7347" s="58" t="s">
        <v>18054</v>
      </c>
      <c r="F7347" s="58" t="s">
        <v>18055</v>
      </c>
      <c r="G7347" s="58" t="s">
        <v>18056</v>
      </c>
      <c r="H7347" s="546">
        <v>167805.25</v>
      </c>
      <c r="I7347" s="66">
        <v>45306</v>
      </c>
      <c r="J7347" s="73" t="s">
        <v>18057</v>
      </c>
      <c r="K7347" s="58"/>
      <c r="L7347" s="98"/>
      <c r="M7347" s="389"/>
      <c r="N7347" s="105"/>
      <c r="O7347" s="58" t="s">
        <v>18058</v>
      </c>
      <c r="P7347" s="58" t="s">
        <v>57</v>
      </c>
      <c r="Q7347" s="58" t="s">
        <v>13</v>
      </c>
      <c r="R7347" s="45" t="s">
        <v>272</v>
      </c>
    </row>
    <row r="7348" spans="1:18" ht="69" customHeight="1">
      <c r="A7348" s="168"/>
      <c r="B7348" s="129">
        <f t="shared" si="37"/>
        <v>20</v>
      </c>
      <c r="C7348" s="61" t="s">
        <v>18059</v>
      </c>
      <c r="D7348" s="625" t="s">
        <v>345</v>
      </c>
      <c r="E7348" s="61" t="s">
        <v>266</v>
      </c>
      <c r="F7348" s="626" t="s">
        <v>18060</v>
      </c>
      <c r="G7348" s="61" t="s">
        <v>18061</v>
      </c>
      <c r="H7348" s="546">
        <v>120.21</v>
      </c>
      <c r="I7348" s="130">
        <v>45288</v>
      </c>
      <c r="J7348" s="417" t="s">
        <v>18062</v>
      </c>
      <c r="K7348" s="61"/>
      <c r="M7348" s="70"/>
      <c r="N7348" s="97"/>
      <c r="O7348" s="46" t="s">
        <v>5969</v>
      </c>
      <c r="P7348" s="46" t="s">
        <v>44</v>
      </c>
      <c r="Q7348" s="46" t="s">
        <v>96</v>
      </c>
      <c r="R7348" s="46" t="s">
        <v>272</v>
      </c>
    </row>
    <row r="7349" spans="1:18" ht="69" customHeight="1">
      <c r="A7349" s="168"/>
      <c r="B7349" s="48">
        <f t="shared" si="37"/>
        <v>21</v>
      </c>
      <c r="C7349" s="45" t="s">
        <v>18059</v>
      </c>
      <c r="D7349" s="84" t="s">
        <v>337</v>
      </c>
      <c r="E7349" s="45" t="s">
        <v>266</v>
      </c>
      <c r="F7349" s="569" t="s">
        <v>18063</v>
      </c>
      <c r="G7349" s="45" t="s">
        <v>18064</v>
      </c>
      <c r="H7349" s="546">
        <v>395.01</v>
      </c>
      <c r="I7349" s="47">
        <v>45288</v>
      </c>
      <c r="J7349" s="73" t="s">
        <v>18062</v>
      </c>
      <c r="K7349" s="45"/>
      <c r="M7349" s="70"/>
      <c r="N7349" s="97"/>
      <c r="O7349" s="46" t="s">
        <v>5969</v>
      </c>
      <c r="P7349" s="46" t="s">
        <v>44</v>
      </c>
      <c r="Q7349" s="46" t="s">
        <v>96</v>
      </c>
      <c r="R7349" s="46" t="s">
        <v>272</v>
      </c>
    </row>
    <row r="7350" spans="1:18" ht="69" customHeight="1">
      <c r="A7350" s="168"/>
      <c r="B7350" s="48">
        <f t="shared" si="37"/>
        <v>22</v>
      </c>
      <c r="C7350" s="45" t="s">
        <v>18059</v>
      </c>
      <c r="D7350" s="84" t="s">
        <v>2250</v>
      </c>
      <c r="E7350" s="45" t="s">
        <v>266</v>
      </c>
      <c r="F7350" s="569" t="s">
        <v>18065</v>
      </c>
      <c r="G7350" s="45" t="s">
        <v>18066</v>
      </c>
      <c r="H7350" s="546">
        <v>669.91</v>
      </c>
      <c r="I7350" s="47">
        <v>45288</v>
      </c>
      <c r="J7350" s="73" t="s">
        <v>18062</v>
      </c>
      <c r="K7350" s="84" t="s">
        <v>2937</v>
      </c>
      <c r="M7350" s="70"/>
      <c r="N7350" s="97"/>
      <c r="O7350" s="46" t="s">
        <v>5969</v>
      </c>
      <c r="P7350" s="46" t="s">
        <v>44</v>
      </c>
      <c r="Q7350" s="46" t="s">
        <v>96</v>
      </c>
      <c r="R7350" s="46" t="s">
        <v>272</v>
      </c>
    </row>
    <row r="7351" spans="1:18" ht="69" customHeight="1">
      <c r="A7351" s="168"/>
      <c r="B7351" s="62">
        <f t="shared" si="37"/>
        <v>23</v>
      </c>
      <c r="C7351" s="59" t="s">
        <v>657</v>
      </c>
      <c r="D7351" s="174" t="s">
        <v>12250</v>
      </c>
      <c r="E7351" s="45" t="s">
        <v>16915</v>
      </c>
      <c r="F7351" s="58" t="s">
        <v>18067</v>
      </c>
      <c r="G7351" s="58" t="s">
        <v>17089</v>
      </c>
      <c r="H7351" s="546">
        <v>136274.13</v>
      </c>
      <c r="I7351" s="66">
        <v>45306</v>
      </c>
      <c r="J7351" s="73" t="s">
        <v>18068</v>
      </c>
      <c r="K7351" s="58"/>
      <c r="M7351" s="70"/>
      <c r="N7351" s="97"/>
      <c r="O7351" s="58" t="s">
        <v>208</v>
      </c>
      <c r="P7351" s="58" t="s">
        <v>57</v>
      </c>
      <c r="Q7351" s="58" t="s">
        <v>110</v>
      </c>
      <c r="R7351" s="45" t="s">
        <v>272</v>
      </c>
    </row>
    <row r="7352" spans="1:18" ht="69" customHeight="1">
      <c r="A7352" s="168"/>
      <c r="B7352" s="62">
        <f t="shared" si="37"/>
        <v>24</v>
      </c>
      <c r="C7352" s="59" t="s">
        <v>3667</v>
      </c>
      <c r="D7352" s="174" t="s">
        <v>18069</v>
      </c>
      <c r="E7352" s="45" t="s">
        <v>16915</v>
      </c>
      <c r="F7352" s="58" t="s">
        <v>18070</v>
      </c>
      <c r="G7352" s="58" t="s">
        <v>17089</v>
      </c>
      <c r="H7352" s="546">
        <v>171603.53</v>
      </c>
      <c r="I7352" s="66">
        <v>45306</v>
      </c>
      <c r="J7352" s="73" t="s">
        <v>18068</v>
      </c>
      <c r="K7352" s="58"/>
      <c r="M7352" s="70"/>
      <c r="N7352" s="97"/>
      <c r="O7352" s="58" t="s">
        <v>208</v>
      </c>
      <c r="P7352" s="58" t="s">
        <v>57</v>
      </c>
      <c r="Q7352" s="58" t="s">
        <v>78</v>
      </c>
      <c r="R7352" s="45" t="s">
        <v>272</v>
      </c>
    </row>
    <row r="7353" spans="1:18" ht="69" customHeight="1">
      <c r="A7353" s="168"/>
      <c r="B7353" s="62">
        <f t="shared" si="37"/>
        <v>25</v>
      </c>
      <c r="C7353" s="59" t="s">
        <v>3667</v>
      </c>
      <c r="D7353" s="174" t="s">
        <v>18071</v>
      </c>
      <c r="E7353" s="45" t="s">
        <v>16915</v>
      </c>
      <c r="F7353" s="58" t="s">
        <v>18072</v>
      </c>
      <c r="G7353" s="58" t="s">
        <v>17089</v>
      </c>
      <c r="H7353" s="546">
        <v>95714.97</v>
      </c>
      <c r="I7353" s="66">
        <v>45306</v>
      </c>
      <c r="J7353" s="73" t="s">
        <v>18068</v>
      </c>
      <c r="K7353" s="58"/>
      <c r="M7353" s="70"/>
      <c r="N7353" s="97"/>
      <c r="O7353" s="58" t="s">
        <v>208</v>
      </c>
      <c r="P7353" s="58" t="s">
        <v>57</v>
      </c>
      <c r="Q7353" s="58" t="s">
        <v>84</v>
      </c>
      <c r="R7353" s="45" t="s">
        <v>272</v>
      </c>
    </row>
    <row r="7354" spans="1:18" ht="69" customHeight="1">
      <c r="A7354" s="168"/>
      <c r="B7354" s="62">
        <f t="shared" si="37"/>
        <v>26</v>
      </c>
      <c r="C7354" s="59" t="s">
        <v>10634</v>
      </c>
      <c r="D7354" s="174" t="s">
        <v>18073</v>
      </c>
      <c r="E7354" s="45" t="s">
        <v>16139</v>
      </c>
      <c r="F7354" s="58" t="s">
        <v>18074</v>
      </c>
      <c r="G7354" s="58" t="s">
        <v>18075</v>
      </c>
      <c r="H7354" s="546">
        <v>24417.919999999998</v>
      </c>
      <c r="I7354" s="66">
        <v>45306</v>
      </c>
      <c r="J7354" s="73" t="s">
        <v>18076</v>
      </c>
      <c r="K7354" s="58"/>
      <c r="M7354" s="70"/>
      <c r="N7354" s="97"/>
      <c r="O7354" s="58" t="s">
        <v>175</v>
      </c>
      <c r="P7354" s="58" t="s">
        <v>59</v>
      </c>
      <c r="Q7354" s="58" t="s">
        <v>93</v>
      </c>
      <c r="R7354" s="45" t="s">
        <v>272</v>
      </c>
    </row>
    <row r="7355" spans="1:18" ht="69" customHeight="1">
      <c r="A7355" s="168"/>
      <c r="B7355" s="62">
        <f t="shared" si="37"/>
        <v>27</v>
      </c>
      <c r="C7355" s="59" t="s">
        <v>10634</v>
      </c>
      <c r="D7355" s="174" t="s">
        <v>18077</v>
      </c>
      <c r="E7355" s="45" t="s">
        <v>18078</v>
      </c>
      <c r="F7355" s="58" t="s">
        <v>18079</v>
      </c>
      <c r="G7355" s="58" t="s">
        <v>18080</v>
      </c>
      <c r="H7355" s="546">
        <v>138370.64000000001</v>
      </c>
      <c r="I7355" s="66">
        <v>45306</v>
      </c>
      <c r="J7355" s="73" t="s">
        <v>18076</v>
      </c>
      <c r="K7355" s="58"/>
      <c r="M7355" s="70"/>
      <c r="N7355" s="97"/>
      <c r="O7355" s="58" t="s">
        <v>175</v>
      </c>
      <c r="P7355" s="58" t="s">
        <v>59</v>
      </c>
      <c r="Q7355" s="58" t="s">
        <v>93</v>
      </c>
      <c r="R7355" s="45" t="s">
        <v>265</v>
      </c>
    </row>
    <row r="7356" spans="1:18" ht="69" customHeight="1">
      <c r="A7356" s="168"/>
      <c r="B7356" s="62">
        <f t="shared" si="37"/>
        <v>28</v>
      </c>
      <c r="C7356" s="59" t="s">
        <v>10634</v>
      </c>
      <c r="D7356" s="174" t="s">
        <v>18081</v>
      </c>
      <c r="E7356" s="45" t="s">
        <v>16139</v>
      </c>
      <c r="F7356" s="58" t="s">
        <v>18082</v>
      </c>
      <c r="G7356" s="58" t="s">
        <v>18083</v>
      </c>
      <c r="H7356" s="546">
        <v>26335.8</v>
      </c>
      <c r="I7356" s="66">
        <v>45306</v>
      </c>
      <c r="J7356" s="73" t="s">
        <v>18084</v>
      </c>
      <c r="K7356" s="58"/>
      <c r="M7356" s="70"/>
      <c r="N7356" s="97"/>
      <c r="O7356" s="58" t="s">
        <v>175</v>
      </c>
      <c r="P7356" s="58" t="s">
        <v>57</v>
      </c>
      <c r="Q7356" s="58" t="s">
        <v>93</v>
      </c>
      <c r="R7356" s="45" t="s">
        <v>272</v>
      </c>
    </row>
    <row r="7357" spans="1:18" ht="69" customHeight="1">
      <c r="A7357" s="168"/>
      <c r="B7357" s="62">
        <f t="shared" si="37"/>
        <v>29</v>
      </c>
      <c r="C7357" s="59" t="s">
        <v>10634</v>
      </c>
      <c r="D7357" s="174" t="s">
        <v>18085</v>
      </c>
      <c r="E7357" s="45" t="s">
        <v>18078</v>
      </c>
      <c r="F7357" s="58" t="s">
        <v>18086</v>
      </c>
      <c r="G7357" s="58" t="s">
        <v>18080</v>
      </c>
      <c r="H7357" s="546">
        <v>149236.20000000001</v>
      </c>
      <c r="I7357" s="66">
        <v>45306</v>
      </c>
      <c r="J7357" s="73" t="s">
        <v>18084</v>
      </c>
      <c r="K7357" s="58"/>
      <c r="M7357" s="70"/>
      <c r="N7357" s="97"/>
      <c r="O7357" s="58" t="s">
        <v>175</v>
      </c>
      <c r="P7357" s="58" t="s">
        <v>57</v>
      </c>
      <c r="Q7357" s="58" t="s">
        <v>93</v>
      </c>
      <c r="R7357" s="45" t="s">
        <v>265</v>
      </c>
    </row>
    <row r="7358" spans="1:18" ht="69" customHeight="1">
      <c r="A7358" s="168"/>
      <c r="B7358" s="62">
        <f t="shared" si="37"/>
        <v>30</v>
      </c>
      <c r="C7358" s="59" t="s">
        <v>10639</v>
      </c>
      <c r="D7358" s="174" t="s">
        <v>18087</v>
      </c>
      <c r="E7358" s="45" t="s">
        <v>16139</v>
      </c>
      <c r="F7358" s="58" t="s">
        <v>18088</v>
      </c>
      <c r="G7358" s="58" t="s">
        <v>18083</v>
      </c>
      <c r="H7358" s="546">
        <v>26171.01</v>
      </c>
      <c r="I7358" s="66">
        <v>45306</v>
      </c>
      <c r="J7358" s="73" t="s">
        <v>18089</v>
      </c>
      <c r="K7358" s="58"/>
      <c r="M7358" s="70"/>
      <c r="N7358" s="97"/>
      <c r="O7358" s="58" t="s">
        <v>175</v>
      </c>
      <c r="P7358" s="58" t="s">
        <v>57</v>
      </c>
      <c r="Q7358" s="58" t="s">
        <v>95</v>
      </c>
      <c r="R7358" s="45" t="s">
        <v>272</v>
      </c>
    </row>
    <row r="7359" spans="1:18" ht="69" customHeight="1">
      <c r="A7359" s="168"/>
      <c r="B7359" s="62">
        <f t="shared" si="37"/>
        <v>31</v>
      </c>
      <c r="C7359" s="59" t="s">
        <v>10639</v>
      </c>
      <c r="D7359" s="174" t="s">
        <v>18090</v>
      </c>
      <c r="E7359" s="45" t="s">
        <v>18078</v>
      </c>
      <c r="F7359" s="58" t="s">
        <v>18091</v>
      </c>
      <c r="G7359" s="58" t="s">
        <v>18080</v>
      </c>
      <c r="H7359" s="546">
        <v>148302.37</v>
      </c>
      <c r="I7359" s="66">
        <v>45306</v>
      </c>
      <c r="J7359" s="73" t="s">
        <v>18089</v>
      </c>
      <c r="K7359" s="58"/>
      <c r="M7359" s="70"/>
      <c r="N7359" s="97"/>
      <c r="O7359" s="58" t="s">
        <v>175</v>
      </c>
      <c r="P7359" s="58" t="s">
        <v>57</v>
      </c>
      <c r="Q7359" s="58" t="s">
        <v>95</v>
      </c>
      <c r="R7359" s="45" t="s">
        <v>265</v>
      </c>
    </row>
    <row r="7360" spans="1:18" s="98" customFormat="1" ht="69" customHeight="1">
      <c r="A7360" s="169"/>
      <c r="B7360" s="48">
        <f t="shared" si="37"/>
        <v>32</v>
      </c>
      <c r="C7360" s="45" t="s">
        <v>2182</v>
      </c>
      <c r="D7360" s="84" t="s">
        <v>13123</v>
      </c>
      <c r="E7360" s="45" t="s">
        <v>18092</v>
      </c>
      <c r="F7360" s="45" t="s">
        <v>18093</v>
      </c>
      <c r="G7360" s="45" t="s">
        <v>18094</v>
      </c>
      <c r="H7360" s="546">
        <v>42650</v>
      </c>
      <c r="I7360" s="47">
        <v>45306</v>
      </c>
      <c r="J7360" s="73" t="s">
        <v>18095</v>
      </c>
      <c r="K7360" s="45"/>
      <c r="M7360" s="385"/>
      <c r="N7360" s="75"/>
      <c r="O7360" s="45" t="s">
        <v>441</v>
      </c>
      <c r="P7360" s="45" t="s">
        <v>22</v>
      </c>
      <c r="Q7360" s="45" t="s">
        <v>31</v>
      </c>
      <c r="R7360" s="45" t="s">
        <v>265</v>
      </c>
    </row>
    <row r="7361" spans="1:18" ht="69" customHeight="1">
      <c r="A7361" s="168"/>
      <c r="B7361" s="62">
        <f t="shared" ref="B7361:B7392" si="38">B7360+1</f>
        <v>33</v>
      </c>
      <c r="C7361" s="45" t="s">
        <v>2182</v>
      </c>
      <c r="D7361" s="174" t="s">
        <v>17724</v>
      </c>
      <c r="E7361" s="45" t="s">
        <v>18092</v>
      </c>
      <c r="F7361" s="45" t="s">
        <v>18096</v>
      </c>
      <c r="G7361" s="45" t="s">
        <v>18094</v>
      </c>
      <c r="H7361" s="546">
        <v>137198.16</v>
      </c>
      <c r="I7361" s="47">
        <v>45306</v>
      </c>
      <c r="J7361" s="73" t="s">
        <v>18097</v>
      </c>
      <c r="K7361" s="58"/>
      <c r="M7361" s="70"/>
      <c r="N7361" s="97"/>
      <c r="O7361" s="45" t="s">
        <v>441</v>
      </c>
      <c r="P7361" s="45" t="s">
        <v>22</v>
      </c>
      <c r="Q7361" s="45" t="s">
        <v>31</v>
      </c>
      <c r="R7361" s="45" t="s">
        <v>265</v>
      </c>
    </row>
    <row r="7362" spans="1:18" s="117" customFormat="1" ht="69" customHeight="1">
      <c r="A7362" s="168"/>
      <c r="B7362" s="62">
        <f t="shared" si="38"/>
        <v>34</v>
      </c>
      <c r="C7362" s="59" t="s">
        <v>1853</v>
      </c>
      <c r="D7362" s="174" t="s">
        <v>13164</v>
      </c>
      <c r="E7362" s="45" t="s">
        <v>18092</v>
      </c>
      <c r="F7362" s="45" t="s">
        <v>18098</v>
      </c>
      <c r="G7362" s="45" t="s">
        <v>18094</v>
      </c>
      <c r="H7362" s="546">
        <v>42650</v>
      </c>
      <c r="I7362" s="47">
        <v>45306</v>
      </c>
      <c r="J7362" s="73" t="s">
        <v>18099</v>
      </c>
      <c r="K7362" s="58"/>
      <c r="L7362" s="98"/>
      <c r="M7362" s="389"/>
      <c r="N7362" s="105"/>
      <c r="O7362" s="45" t="s">
        <v>441</v>
      </c>
      <c r="P7362" s="45" t="s">
        <v>22</v>
      </c>
      <c r="Q7362" s="45" t="s">
        <v>29</v>
      </c>
      <c r="R7362" s="45" t="s">
        <v>265</v>
      </c>
    </row>
    <row r="7363" spans="1:18" ht="69" customHeight="1">
      <c r="A7363" s="168"/>
      <c r="B7363" s="62">
        <f t="shared" si="38"/>
        <v>35</v>
      </c>
      <c r="C7363" s="59" t="s">
        <v>11908</v>
      </c>
      <c r="D7363" s="174" t="s">
        <v>18100</v>
      </c>
      <c r="E7363" s="58" t="s">
        <v>16747</v>
      </c>
      <c r="F7363" s="45" t="s">
        <v>18101</v>
      </c>
      <c r="G7363" s="58" t="s">
        <v>18102</v>
      </c>
      <c r="H7363" s="546">
        <v>37771.050000000003</v>
      </c>
      <c r="I7363" s="47">
        <v>45306</v>
      </c>
      <c r="J7363" s="73" t="s">
        <v>18103</v>
      </c>
      <c r="K7363" s="58"/>
      <c r="M7363" s="70"/>
      <c r="N7363" s="97"/>
      <c r="O7363" s="58" t="s">
        <v>16069</v>
      </c>
      <c r="P7363" s="58" t="s">
        <v>57</v>
      </c>
      <c r="Q7363" s="45" t="s">
        <v>103</v>
      </c>
      <c r="R7363" s="45" t="s">
        <v>272</v>
      </c>
    </row>
    <row r="7364" spans="1:18" ht="69" customHeight="1">
      <c r="A7364" s="168"/>
      <c r="B7364" s="62">
        <f t="shared" si="38"/>
        <v>36</v>
      </c>
      <c r="C7364" s="59" t="s">
        <v>10937</v>
      </c>
      <c r="D7364" s="174" t="s">
        <v>10791</v>
      </c>
      <c r="E7364" s="58" t="s">
        <v>16747</v>
      </c>
      <c r="F7364" s="45" t="s">
        <v>18104</v>
      </c>
      <c r="G7364" s="58" t="s">
        <v>18105</v>
      </c>
      <c r="H7364" s="546">
        <v>107505.37</v>
      </c>
      <c r="I7364" s="47">
        <v>45306</v>
      </c>
      <c r="J7364" s="73" t="s">
        <v>18103</v>
      </c>
      <c r="K7364" s="58"/>
      <c r="M7364" s="70"/>
      <c r="N7364" s="97"/>
      <c r="O7364" s="58" t="s">
        <v>16069</v>
      </c>
      <c r="P7364" s="58" t="s">
        <v>57</v>
      </c>
      <c r="Q7364" s="45" t="s">
        <v>104</v>
      </c>
      <c r="R7364" s="45" t="s">
        <v>272</v>
      </c>
    </row>
    <row r="7365" spans="1:18" ht="69" customHeight="1">
      <c r="A7365" s="168"/>
      <c r="B7365" s="62">
        <f t="shared" si="38"/>
        <v>37</v>
      </c>
      <c r="C7365" s="59" t="s">
        <v>7189</v>
      </c>
      <c r="D7365" s="174" t="s">
        <v>4511</v>
      </c>
      <c r="E7365" s="58" t="s">
        <v>16289</v>
      </c>
      <c r="F7365" s="45" t="s">
        <v>18106</v>
      </c>
      <c r="G7365" s="58" t="s">
        <v>18107</v>
      </c>
      <c r="H7365" s="546">
        <v>63696.78</v>
      </c>
      <c r="I7365" s="47">
        <v>45306</v>
      </c>
      <c r="J7365" s="73" t="s">
        <v>18108</v>
      </c>
      <c r="K7365" s="58"/>
      <c r="M7365" s="70"/>
      <c r="N7365" s="97"/>
      <c r="O7365" s="58" t="s">
        <v>208</v>
      </c>
      <c r="P7365" s="58" t="s">
        <v>57</v>
      </c>
      <c r="Q7365" s="45" t="s">
        <v>97</v>
      </c>
      <c r="R7365" s="45" t="s">
        <v>272</v>
      </c>
    </row>
    <row r="7366" spans="1:18" ht="69" customHeight="1">
      <c r="A7366" s="168"/>
      <c r="B7366" s="62">
        <f t="shared" si="38"/>
        <v>38</v>
      </c>
      <c r="C7366" s="45" t="s">
        <v>18109</v>
      </c>
      <c r="D7366" s="84" t="s">
        <v>6755</v>
      </c>
      <c r="E7366" s="45" t="s">
        <v>18110</v>
      </c>
      <c r="F7366" s="45" t="s">
        <v>18111</v>
      </c>
      <c r="G7366" s="45" t="s">
        <v>16655</v>
      </c>
      <c r="H7366" s="546">
        <v>23180</v>
      </c>
      <c r="I7366" s="47">
        <v>45306</v>
      </c>
      <c r="J7366" s="73" t="s">
        <v>18112</v>
      </c>
      <c r="K7366" s="45"/>
      <c r="M7366" s="70"/>
      <c r="N7366" s="97"/>
      <c r="O7366" s="58" t="s">
        <v>150</v>
      </c>
      <c r="P7366" s="58" t="s">
        <v>51</v>
      </c>
      <c r="Q7366" s="58" t="s">
        <v>96</v>
      </c>
      <c r="R7366" s="58" t="s">
        <v>272</v>
      </c>
    </row>
    <row r="7367" spans="1:18" ht="69" customHeight="1">
      <c r="A7367" s="168"/>
      <c r="B7367" s="62">
        <f t="shared" si="38"/>
        <v>39</v>
      </c>
      <c r="C7367" s="45" t="s">
        <v>18109</v>
      </c>
      <c r="D7367" s="84" t="s">
        <v>8267</v>
      </c>
      <c r="E7367" s="45" t="s">
        <v>18110</v>
      </c>
      <c r="F7367" s="45" t="s">
        <v>18113</v>
      </c>
      <c r="G7367" s="45" t="s">
        <v>18114</v>
      </c>
      <c r="H7367" s="546">
        <v>12000</v>
      </c>
      <c r="I7367" s="47">
        <v>45306</v>
      </c>
      <c r="J7367" s="73" t="s">
        <v>18112</v>
      </c>
      <c r="K7367" s="45"/>
      <c r="M7367" s="70"/>
      <c r="N7367" s="97"/>
      <c r="O7367" s="58" t="s">
        <v>150</v>
      </c>
      <c r="P7367" s="58" t="s">
        <v>51</v>
      </c>
      <c r="Q7367" s="58" t="s">
        <v>96</v>
      </c>
      <c r="R7367" s="58" t="s">
        <v>272</v>
      </c>
    </row>
    <row r="7368" spans="1:18" ht="69" customHeight="1">
      <c r="A7368" s="168"/>
      <c r="B7368" s="62">
        <f t="shared" si="38"/>
        <v>40</v>
      </c>
      <c r="C7368" s="45" t="s">
        <v>18109</v>
      </c>
      <c r="D7368" s="84" t="s">
        <v>14043</v>
      </c>
      <c r="E7368" s="45" t="s">
        <v>18110</v>
      </c>
      <c r="F7368" s="45" t="s">
        <v>18115</v>
      </c>
      <c r="G7368" s="45" t="s">
        <v>18116</v>
      </c>
      <c r="H7368" s="546">
        <v>500</v>
      </c>
      <c r="I7368" s="47">
        <v>45306</v>
      </c>
      <c r="J7368" s="73" t="s">
        <v>18112</v>
      </c>
      <c r="K7368" s="45"/>
      <c r="M7368" s="70"/>
      <c r="N7368" s="97"/>
      <c r="O7368" s="58" t="s">
        <v>150</v>
      </c>
      <c r="P7368" s="58" t="s">
        <v>51</v>
      </c>
      <c r="Q7368" s="58" t="s">
        <v>96</v>
      </c>
      <c r="R7368" s="58" t="s">
        <v>272</v>
      </c>
    </row>
    <row r="7369" spans="1:18" ht="69" customHeight="1">
      <c r="A7369" s="168"/>
      <c r="B7369" s="62">
        <f t="shared" si="38"/>
        <v>41</v>
      </c>
      <c r="C7369" s="59" t="s">
        <v>3667</v>
      </c>
      <c r="D7369" s="174" t="s">
        <v>18117</v>
      </c>
      <c r="E7369" s="58" t="s">
        <v>18110</v>
      </c>
      <c r="F7369" s="58" t="s">
        <v>18118</v>
      </c>
      <c r="G7369" s="58" t="s">
        <v>16655</v>
      </c>
      <c r="H7369" s="546">
        <v>29180</v>
      </c>
      <c r="I7369" s="47">
        <v>45306</v>
      </c>
      <c r="J7369" s="73" t="s">
        <v>18112</v>
      </c>
      <c r="K7369" s="58"/>
      <c r="M7369" s="70"/>
      <c r="N7369" s="97"/>
      <c r="O7369" s="58" t="s">
        <v>150</v>
      </c>
      <c r="P7369" s="58" t="s">
        <v>51</v>
      </c>
      <c r="Q7369" s="45" t="s">
        <v>68</v>
      </c>
      <c r="R7369" s="45" t="s">
        <v>272</v>
      </c>
    </row>
    <row r="7370" spans="1:18" ht="69" customHeight="1">
      <c r="A7370" s="168"/>
      <c r="B7370" s="62">
        <f t="shared" si="38"/>
        <v>42</v>
      </c>
      <c r="C7370" s="59" t="s">
        <v>3667</v>
      </c>
      <c r="D7370" s="174" t="s">
        <v>18119</v>
      </c>
      <c r="E7370" s="85" t="s">
        <v>266</v>
      </c>
      <c r="F7370" s="58" t="s">
        <v>18120</v>
      </c>
      <c r="G7370" s="58" t="s">
        <v>16655</v>
      </c>
      <c r="H7370" s="546">
        <v>26582</v>
      </c>
      <c r="I7370" s="47">
        <v>45306</v>
      </c>
      <c r="J7370" s="73" t="s">
        <v>18112</v>
      </c>
      <c r="K7370" s="58"/>
      <c r="M7370" s="70"/>
      <c r="N7370" s="97"/>
      <c r="O7370" s="58" t="s">
        <v>150</v>
      </c>
      <c r="P7370" s="58" t="s">
        <v>51</v>
      </c>
      <c r="Q7370" s="45" t="s">
        <v>72</v>
      </c>
      <c r="R7370" s="45" t="s">
        <v>272</v>
      </c>
    </row>
    <row r="7371" spans="1:18" ht="69" customHeight="1">
      <c r="A7371" s="168"/>
      <c r="B7371" s="52">
        <f t="shared" si="38"/>
        <v>43</v>
      </c>
      <c r="C7371" s="191" t="s">
        <v>9441</v>
      </c>
      <c r="D7371" s="251" t="s">
        <v>12330</v>
      </c>
      <c r="E7371" s="53" t="s">
        <v>266</v>
      </c>
      <c r="F7371" s="46" t="s">
        <v>18121</v>
      </c>
      <c r="G7371" s="46" t="s">
        <v>18122</v>
      </c>
      <c r="H7371" s="534">
        <v>3760</v>
      </c>
      <c r="I7371" s="56">
        <v>45306</v>
      </c>
      <c r="J7371" s="199" t="s">
        <v>18123</v>
      </c>
      <c r="K7371" s="46"/>
      <c r="M7371" s="70"/>
      <c r="N7371" s="97"/>
      <c r="O7371" s="46"/>
      <c r="P7371" s="46" t="s">
        <v>65</v>
      </c>
      <c r="Q7371" s="46" t="s">
        <v>116</v>
      </c>
      <c r="R7371" s="46" t="s">
        <v>272</v>
      </c>
    </row>
    <row r="7372" spans="1:18" ht="69" customHeight="1">
      <c r="A7372" s="168"/>
      <c r="B7372" s="52">
        <f t="shared" si="38"/>
        <v>44</v>
      </c>
      <c r="C7372" s="537" t="s">
        <v>9322</v>
      </c>
      <c r="D7372" s="251" t="s">
        <v>14218</v>
      </c>
      <c r="E7372" s="53" t="s">
        <v>266</v>
      </c>
      <c r="F7372" s="46" t="s">
        <v>18124</v>
      </c>
      <c r="G7372" s="46" t="s">
        <v>18122</v>
      </c>
      <c r="H7372" s="534">
        <v>8580</v>
      </c>
      <c r="I7372" s="56">
        <v>45306</v>
      </c>
      <c r="J7372" s="199" t="s">
        <v>18123</v>
      </c>
      <c r="K7372" s="46"/>
      <c r="M7372" s="70"/>
      <c r="N7372" s="97"/>
      <c r="O7372" s="46"/>
      <c r="P7372" s="46" t="s">
        <v>65</v>
      </c>
      <c r="Q7372" s="46" t="s">
        <v>114</v>
      </c>
      <c r="R7372" s="46" t="s">
        <v>272</v>
      </c>
    </row>
    <row r="7373" spans="1:18" s="98" customFormat="1" ht="69" customHeight="1">
      <c r="A7373" s="169"/>
      <c r="B7373" s="52">
        <f t="shared" si="38"/>
        <v>45</v>
      </c>
      <c r="C7373" s="191" t="s">
        <v>15700</v>
      </c>
      <c r="D7373" s="251" t="s">
        <v>13168</v>
      </c>
      <c r="E7373" s="191" t="s">
        <v>12882</v>
      </c>
      <c r="F7373" s="211" t="s">
        <v>18125</v>
      </c>
      <c r="G7373" s="46" t="s">
        <v>18126</v>
      </c>
      <c r="H7373" s="534">
        <v>92042.18</v>
      </c>
      <c r="I7373" s="56">
        <v>45306</v>
      </c>
      <c r="J7373" s="199" t="s">
        <v>18127</v>
      </c>
      <c r="K7373" s="46" t="s">
        <v>1170</v>
      </c>
      <c r="M7373" s="385"/>
      <c r="N7373" s="75"/>
      <c r="O7373" s="46" t="s">
        <v>12106</v>
      </c>
      <c r="P7373" s="46" t="s">
        <v>22</v>
      </c>
      <c r="Q7373" s="46" t="s">
        <v>39</v>
      </c>
      <c r="R7373" s="46" t="s">
        <v>272</v>
      </c>
    </row>
    <row r="7374" spans="1:18" s="98" customFormat="1" ht="69" customHeight="1">
      <c r="A7374" s="169"/>
      <c r="B7374" s="52">
        <f t="shared" si="38"/>
        <v>46</v>
      </c>
      <c r="C7374" s="46" t="s">
        <v>15449</v>
      </c>
      <c r="D7374" s="251" t="s">
        <v>13170</v>
      </c>
      <c r="E7374" s="191" t="s">
        <v>12882</v>
      </c>
      <c r="F7374" s="211" t="s">
        <v>18128</v>
      </c>
      <c r="G7374" s="46" t="s">
        <v>18126</v>
      </c>
      <c r="H7374" s="534">
        <v>83791.539999999994</v>
      </c>
      <c r="I7374" s="56">
        <v>45306</v>
      </c>
      <c r="J7374" s="199" t="s">
        <v>18127</v>
      </c>
      <c r="K7374" s="46" t="s">
        <v>1170</v>
      </c>
      <c r="M7374" s="385"/>
      <c r="N7374" s="75"/>
      <c r="O7374" s="46" t="s">
        <v>12106</v>
      </c>
      <c r="P7374" s="46" t="s">
        <v>22</v>
      </c>
      <c r="Q7374" s="46" t="s">
        <v>41</v>
      </c>
      <c r="R7374" s="46" t="s">
        <v>272</v>
      </c>
    </row>
    <row r="7375" spans="1:18" ht="69" customHeight="1">
      <c r="A7375" s="168"/>
      <c r="B7375" s="62">
        <f t="shared" si="38"/>
        <v>47</v>
      </c>
      <c r="C7375" s="59" t="s">
        <v>11050</v>
      </c>
      <c r="D7375" s="174" t="s">
        <v>17731</v>
      </c>
      <c r="E7375" s="58" t="s">
        <v>18129</v>
      </c>
      <c r="F7375" s="58" t="s">
        <v>18130</v>
      </c>
      <c r="G7375" s="58" t="s">
        <v>18131</v>
      </c>
      <c r="H7375" s="546">
        <v>188838.26</v>
      </c>
      <c r="I7375" s="47">
        <v>45306</v>
      </c>
      <c r="J7375" s="73" t="s">
        <v>18132</v>
      </c>
      <c r="K7375" s="58"/>
      <c r="M7375" s="70"/>
      <c r="N7375" s="97"/>
      <c r="O7375" s="58" t="s">
        <v>441</v>
      </c>
      <c r="P7375" s="58" t="s">
        <v>22</v>
      </c>
      <c r="Q7375" s="45" t="s">
        <v>35</v>
      </c>
      <c r="R7375" s="45" t="s">
        <v>272</v>
      </c>
    </row>
    <row r="7376" spans="1:18" ht="69" customHeight="1">
      <c r="A7376" s="168"/>
      <c r="B7376" s="62">
        <f t="shared" si="38"/>
        <v>48</v>
      </c>
      <c r="C7376" s="59" t="s">
        <v>11052</v>
      </c>
      <c r="D7376" s="174" t="s">
        <v>17734</v>
      </c>
      <c r="E7376" s="58" t="s">
        <v>18129</v>
      </c>
      <c r="F7376" s="58" t="s">
        <v>18133</v>
      </c>
      <c r="G7376" s="58" t="s">
        <v>18131</v>
      </c>
      <c r="H7376" s="546">
        <v>154828.6</v>
      </c>
      <c r="I7376" s="47">
        <v>45306</v>
      </c>
      <c r="J7376" s="73" t="s">
        <v>18134</v>
      </c>
      <c r="K7376" s="58"/>
      <c r="M7376" s="70"/>
      <c r="N7376" s="97"/>
      <c r="O7376" s="58" t="s">
        <v>441</v>
      </c>
      <c r="P7376" s="58" t="s">
        <v>22</v>
      </c>
      <c r="Q7376" s="45" t="s">
        <v>37</v>
      </c>
      <c r="R7376" s="45" t="s">
        <v>272</v>
      </c>
    </row>
    <row r="7377" spans="1:18" ht="69" customHeight="1">
      <c r="A7377" s="168"/>
      <c r="B7377" s="62">
        <f t="shared" si="38"/>
        <v>49</v>
      </c>
      <c r="C7377" s="59" t="s">
        <v>13435</v>
      </c>
      <c r="D7377" s="174" t="s">
        <v>13158</v>
      </c>
      <c r="E7377" s="58" t="s">
        <v>16737</v>
      </c>
      <c r="F7377" s="58" t="s">
        <v>18135</v>
      </c>
      <c r="G7377" s="58" t="s">
        <v>18136</v>
      </c>
      <c r="H7377" s="546">
        <v>37500</v>
      </c>
      <c r="I7377" s="47">
        <v>45306</v>
      </c>
      <c r="J7377" s="73" t="s">
        <v>18137</v>
      </c>
      <c r="K7377" s="58"/>
      <c r="M7377" s="70"/>
      <c r="N7377" s="97"/>
      <c r="O7377" s="58" t="s">
        <v>205</v>
      </c>
      <c r="P7377" s="58" t="s">
        <v>61</v>
      </c>
      <c r="Q7377" s="45" t="s">
        <v>13</v>
      </c>
      <c r="R7377" s="45" t="s">
        <v>272</v>
      </c>
    </row>
    <row r="7378" spans="1:18" ht="69" customHeight="1">
      <c r="A7378" s="168"/>
      <c r="B7378" s="62">
        <f t="shared" si="38"/>
        <v>50</v>
      </c>
      <c r="C7378" s="59" t="s">
        <v>581</v>
      </c>
      <c r="D7378" s="174" t="s">
        <v>13162</v>
      </c>
      <c r="E7378" s="58" t="s">
        <v>16737</v>
      </c>
      <c r="F7378" s="58" t="s">
        <v>18138</v>
      </c>
      <c r="G7378" s="58" t="s">
        <v>18136</v>
      </c>
      <c r="H7378" s="546">
        <v>37500</v>
      </c>
      <c r="I7378" s="47">
        <v>45306</v>
      </c>
      <c r="J7378" s="73" t="s">
        <v>18137</v>
      </c>
      <c r="K7378" s="58"/>
      <c r="M7378" s="70"/>
      <c r="N7378" s="97"/>
      <c r="O7378" s="58" t="s">
        <v>205</v>
      </c>
      <c r="P7378" s="58" t="s">
        <v>61</v>
      </c>
      <c r="Q7378" s="45" t="s">
        <v>18</v>
      </c>
      <c r="R7378" s="45" t="s">
        <v>272</v>
      </c>
    </row>
    <row r="7379" spans="1:18" ht="69" customHeight="1">
      <c r="A7379" s="168"/>
      <c r="B7379" s="62">
        <f t="shared" si="38"/>
        <v>51</v>
      </c>
      <c r="C7379" s="59" t="s">
        <v>657</v>
      </c>
      <c r="D7379" s="174" t="s">
        <v>4673</v>
      </c>
      <c r="E7379" s="58" t="s">
        <v>18139</v>
      </c>
      <c r="F7379" s="58" t="s">
        <v>18140</v>
      </c>
      <c r="G7379" s="58" t="s">
        <v>18141</v>
      </c>
      <c r="H7379" s="546">
        <v>221091.84</v>
      </c>
      <c r="I7379" s="47">
        <v>45306</v>
      </c>
      <c r="J7379" s="73" t="s">
        <v>18142</v>
      </c>
      <c r="K7379" s="58"/>
      <c r="M7379" s="70"/>
      <c r="N7379" s="97"/>
      <c r="O7379" s="58" t="s">
        <v>10607</v>
      </c>
      <c r="P7379" s="58" t="s">
        <v>22</v>
      </c>
      <c r="Q7379" s="45" t="s">
        <v>111</v>
      </c>
      <c r="R7379" s="45" t="s">
        <v>272</v>
      </c>
    </row>
    <row r="7380" spans="1:18" ht="69" customHeight="1">
      <c r="A7380" s="168"/>
      <c r="B7380" s="62">
        <f t="shared" si="38"/>
        <v>52</v>
      </c>
      <c r="C7380" s="59" t="s">
        <v>3667</v>
      </c>
      <c r="D7380" s="174" t="s">
        <v>18143</v>
      </c>
      <c r="E7380" s="58" t="s">
        <v>18139</v>
      </c>
      <c r="F7380" s="58" t="s">
        <v>18144</v>
      </c>
      <c r="G7380" s="58" t="s">
        <v>18141</v>
      </c>
      <c r="H7380" s="546">
        <v>276750.74</v>
      </c>
      <c r="I7380" s="47">
        <v>45306</v>
      </c>
      <c r="J7380" s="73" t="s">
        <v>18142</v>
      </c>
      <c r="K7380" s="58"/>
      <c r="M7380" s="70"/>
      <c r="N7380" s="97"/>
      <c r="O7380" s="58" t="s">
        <v>10607</v>
      </c>
      <c r="P7380" s="58" t="s">
        <v>22</v>
      </c>
      <c r="Q7380" s="45" t="s">
        <v>86</v>
      </c>
      <c r="R7380" s="45" t="s">
        <v>272</v>
      </c>
    </row>
    <row r="7381" spans="1:18" ht="69" customHeight="1">
      <c r="A7381" s="168"/>
      <c r="B7381" s="62">
        <f t="shared" si="38"/>
        <v>53</v>
      </c>
      <c r="C7381" s="59" t="s">
        <v>3667</v>
      </c>
      <c r="D7381" s="174" t="s">
        <v>18145</v>
      </c>
      <c r="E7381" s="58" t="s">
        <v>18139</v>
      </c>
      <c r="F7381" s="58" t="s">
        <v>18146</v>
      </c>
      <c r="G7381" s="58" t="s">
        <v>18141</v>
      </c>
      <c r="H7381" s="546">
        <v>610786.42000000004</v>
      </c>
      <c r="I7381" s="47">
        <v>45306</v>
      </c>
      <c r="J7381" s="73" t="s">
        <v>18142</v>
      </c>
      <c r="K7381" s="58"/>
      <c r="M7381" s="70"/>
      <c r="N7381" s="97"/>
      <c r="O7381" s="58" t="s">
        <v>10607</v>
      </c>
      <c r="P7381" s="58" t="s">
        <v>22</v>
      </c>
      <c r="Q7381" s="45" t="s">
        <v>68</v>
      </c>
      <c r="R7381" s="45" t="s">
        <v>272</v>
      </c>
    </row>
    <row r="7382" spans="1:18" ht="69" customHeight="1">
      <c r="A7382" s="168"/>
      <c r="B7382" s="259">
        <f t="shared" si="38"/>
        <v>54</v>
      </c>
      <c r="C7382" s="207" t="s">
        <v>3340</v>
      </c>
      <c r="D7382" s="303" t="s">
        <v>3683</v>
      </c>
      <c r="E7382" s="160" t="s">
        <v>266</v>
      </c>
      <c r="F7382" s="160" t="s">
        <v>18147</v>
      </c>
      <c r="G7382" s="160" t="s">
        <v>18148</v>
      </c>
      <c r="H7382" s="300">
        <v>8126.55</v>
      </c>
      <c r="I7382" s="209">
        <v>45275</v>
      </c>
      <c r="J7382" s="316" t="s">
        <v>18149</v>
      </c>
      <c r="K7382" s="160" t="s">
        <v>11084</v>
      </c>
      <c r="M7382" s="385"/>
      <c r="N7382" s="75"/>
      <c r="O7382" s="160" t="s">
        <v>13735</v>
      </c>
      <c r="P7382" s="160" t="s">
        <v>67</v>
      </c>
      <c r="Q7382" s="160" t="s">
        <v>96</v>
      </c>
      <c r="R7382" s="160" t="s">
        <v>272</v>
      </c>
    </row>
    <row r="7383" spans="1:18" ht="69" customHeight="1">
      <c r="A7383" s="168"/>
      <c r="B7383" s="52">
        <f t="shared" si="38"/>
        <v>55</v>
      </c>
      <c r="C7383" s="46" t="s">
        <v>11568</v>
      </c>
      <c r="D7383" s="251" t="s">
        <v>14220</v>
      </c>
      <c r="E7383" s="46" t="s">
        <v>266</v>
      </c>
      <c r="F7383" s="46" t="s">
        <v>18150</v>
      </c>
      <c r="G7383" s="46" t="s">
        <v>18151</v>
      </c>
      <c r="H7383" s="534">
        <v>31000</v>
      </c>
      <c r="I7383" s="56">
        <v>45306</v>
      </c>
      <c r="J7383" s="199" t="s">
        <v>18152</v>
      </c>
      <c r="K7383" s="46" t="s">
        <v>1170</v>
      </c>
      <c r="M7383" s="70"/>
      <c r="N7383" s="97"/>
      <c r="O7383" s="46" t="s">
        <v>18153</v>
      </c>
      <c r="P7383" s="46" t="s">
        <v>65</v>
      </c>
      <c r="Q7383" s="46" t="s">
        <v>107</v>
      </c>
      <c r="R7383" s="46" t="s">
        <v>272</v>
      </c>
    </row>
    <row r="7384" spans="1:18" s="98" customFormat="1" ht="69" customHeight="1">
      <c r="A7384" s="168"/>
      <c r="B7384" s="259">
        <f t="shared" si="38"/>
        <v>56</v>
      </c>
      <c r="C7384" s="160" t="s">
        <v>16368</v>
      </c>
      <c r="D7384" s="303" t="s">
        <v>436</v>
      </c>
      <c r="E7384" s="160" t="s">
        <v>17007</v>
      </c>
      <c r="F7384" s="160" t="s">
        <v>18154</v>
      </c>
      <c r="G7384" s="160" t="s">
        <v>18155</v>
      </c>
      <c r="H7384" s="300">
        <v>9757.83</v>
      </c>
      <c r="I7384" s="209">
        <v>45296</v>
      </c>
      <c r="J7384" s="316" t="s">
        <v>18156</v>
      </c>
      <c r="K7384" s="160" t="s">
        <v>11084</v>
      </c>
      <c r="M7384" s="70"/>
      <c r="N7384" s="97"/>
      <c r="O7384" s="160" t="s">
        <v>18157</v>
      </c>
      <c r="P7384" s="160" t="s">
        <v>67</v>
      </c>
      <c r="Q7384" s="160" t="s">
        <v>96</v>
      </c>
      <c r="R7384" s="160" t="s">
        <v>272</v>
      </c>
    </row>
    <row r="7385" spans="1:18" s="98" customFormat="1" ht="69" customHeight="1">
      <c r="A7385" s="168"/>
      <c r="B7385" s="259">
        <f t="shared" si="38"/>
        <v>57</v>
      </c>
      <c r="C7385" s="160" t="s">
        <v>16368</v>
      </c>
      <c r="D7385" s="303" t="s">
        <v>1678</v>
      </c>
      <c r="E7385" s="160" t="s">
        <v>17007</v>
      </c>
      <c r="F7385" s="160" t="s">
        <v>18158</v>
      </c>
      <c r="G7385" s="160" t="s">
        <v>18155</v>
      </c>
      <c r="H7385" s="300">
        <v>9757.83</v>
      </c>
      <c r="I7385" s="209">
        <v>45296</v>
      </c>
      <c r="J7385" s="316" t="s">
        <v>18156</v>
      </c>
      <c r="K7385" s="160" t="s">
        <v>11084</v>
      </c>
      <c r="M7385" s="70"/>
      <c r="N7385" s="97"/>
      <c r="O7385" s="160" t="s">
        <v>18157</v>
      </c>
      <c r="P7385" s="160" t="s">
        <v>67</v>
      </c>
      <c r="Q7385" s="160" t="s">
        <v>96</v>
      </c>
      <c r="R7385" s="160" t="s">
        <v>272</v>
      </c>
    </row>
    <row r="7386" spans="1:18" s="98" customFormat="1" ht="69" customHeight="1">
      <c r="A7386" s="168"/>
      <c r="B7386" s="259">
        <f t="shared" si="38"/>
        <v>58</v>
      </c>
      <c r="C7386" s="160" t="s">
        <v>16368</v>
      </c>
      <c r="D7386" s="303" t="s">
        <v>920</v>
      </c>
      <c r="E7386" s="160" t="s">
        <v>17007</v>
      </c>
      <c r="F7386" s="160" t="s">
        <v>18159</v>
      </c>
      <c r="G7386" s="160" t="s">
        <v>18155</v>
      </c>
      <c r="H7386" s="300">
        <v>9757.83</v>
      </c>
      <c r="I7386" s="209">
        <v>45296</v>
      </c>
      <c r="J7386" s="316" t="s">
        <v>18156</v>
      </c>
      <c r="K7386" s="160" t="s">
        <v>11084</v>
      </c>
      <c r="M7386" s="70"/>
      <c r="N7386" s="97"/>
      <c r="O7386" s="160" t="s">
        <v>18157</v>
      </c>
      <c r="P7386" s="160" t="s">
        <v>67</v>
      </c>
      <c r="Q7386" s="160" t="s">
        <v>96</v>
      </c>
      <c r="R7386" s="160" t="s">
        <v>272</v>
      </c>
    </row>
    <row r="7387" spans="1:18" s="98" customFormat="1" ht="69" customHeight="1">
      <c r="A7387" s="168"/>
      <c r="B7387" s="259">
        <f t="shared" si="38"/>
        <v>59</v>
      </c>
      <c r="C7387" s="160" t="s">
        <v>16368</v>
      </c>
      <c r="D7387" s="303" t="s">
        <v>1687</v>
      </c>
      <c r="E7387" s="160" t="s">
        <v>17007</v>
      </c>
      <c r="F7387" s="160" t="s">
        <v>18160</v>
      </c>
      <c r="G7387" s="160" t="s">
        <v>18155</v>
      </c>
      <c r="H7387" s="300">
        <v>9757.83</v>
      </c>
      <c r="I7387" s="209">
        <v>45296</v>
      </c>
      <c r="J7387" s="316" t="s">
        <v>18156</v>
      </c>
      <c r="K7387" s="160" t="s">
        <v>11084</v>
      </c>
      <c r="M7387" s="70"/>
      <c r="N7387" s="97"/>
      <c r="O7387" s="160" t="s">
        <v>18157</v>
      </c>
      <c r="P7387" s="160" t="s">
        <v>67</v>
      </c>
      <c r="Q7387" s="160" t="s">
        <v>96</v>
      </c>
      <c r="R7387" s="160" t="s">
        <v>272</v>
      </c>
    </row>
    <row r="7388" spans="1:18" ht="69" customHeight="1">
      <c r="A7388" s="168"/>
      <c r="B7388" s="259">
        <f t="shared" si="38"/>
        <v>60</v>
      </c>
      <c r="C7388" s="160" t="s">
        <v>16368</v>
      </c>
      <c r="D7388" s="303" t="s">
        <v>2685</v>
      </c>
      <c r="E7388" s="160" t="s">
        <v>17007</v>
      </c>
      <c r="F7388" s="160" t="s">
        <v>18161</v>
      </c>
      <c r="G7388" s="160" t="s">
        <v>18155</v>
      </c>
      <c r="H7388" s="300">
        <v>9757.83</v>
      </c>
      <c r="I7388" s="209">
        <v>45296</v>
      </c>
      <c r="J7388" s="316" t="s">
        <v>18156</v>
      </c>
      <c r="K7388" s="160" t="s">
        <v>11084</v>
      </c>
      <c r="M7388" s="70"/>
      <c r="N7388" s="97"/>
      <c r="O7388" s="160" t="s">
        <v>18157</v>
      </c>
      <c r="P7388" s="160" t="s">
        <v>67</v>
      </c>
      <c r="Q7388" s="160" t="s">
        <v>96</v>
      </c>
      <c r="R7388" s="160" t="s">
        <v>272</v>
      </c>
    </row>
    <row r="7389" spans="1:18" ht="69" customHeight="1">
      <c r="A7389" s="168"/>
      <c r="B7389" s="259">
        <f t="shared" si="38"/>
        <v>61</v>
      </c>
      <c r="C7389" s="160" t="s">
        <v>16368</v>
      </c>
      <c r="D7389" s="303" t="s">
        <v>907</v>
      </c>
      <c r="E7389" s="160" t="s">
        <v>17007</v>
      </c>
      <c r="F7389" s="160" t="s">
        <v>18162</v>
      </c>
      <c r="G7389" s="160" t="s">
        <v>18155</v>
      </c>
      <c r="H7389" s="300">
        <v>9757.83</v>
      </c>
      <c r="I7389" s="209">
        <v>45296</v>
      </c>
      <c r="J7389" s="316" t="s">
        <v>18156</v>
      </c>
      <c r="K7389" s="160" t="s">
        <v>11084</v>
      </c>
      <c r="M7389" s="70"/>
      <c r="N7389" s="97"/>
      <c r="O7389" s="160" t="s">
        <v>18157</v>
      </c>
      <c r="P7389" s="160" t="s">
        <v>67</v>
      </c>
      <c r="Q7389" s="160" t="s">
        <v>96</v>
      </c>
      <c r="R7389" s="160" t="s">
        <v>272</v>
      </c>
    </row>
    <row r="7390" spans="1:18" ht="69" customHeight="1">
      <c r="A7390" s="168"/>
      <c r="B7390" s="259">
        <f t="shared" si="38"/>
        <v>62</v>
      </c>
      <c r="C7390" s="160" t="s">
        <v>16368</v>
      </c>
      <c r="D7390" s="303" t="s">
        <v>1973</v>
      </c>
      <c r="E7390" s="160" t="s">
        <v>17007</v>
      </c>
      <c r="F7390" s="160" t="s">
        <v>18163</v>
      </c>
      <c r="G7390" s="160" t="s">
        <v>18155</v>
      </c>
      <c r="H7390" s="300">
        <v>9757.83</v>
      </c>
      <c r="I7390" s="209">
        <v>45296</v>
      </c>
      <c r="J7390" s="316" t="s">
        <v>18156</v>
      </c>
      <c r="K7390" s="160" t="s">
        <v>11084</v>
      </c>
      <c r="M7390" s="70"/>
      <c r="N7390" s="97"/>
      <c r="O7390" s="160" t="s">
        <v>18157</v>
      </c>
      <c r="P7390" s="160" t="s">
        <v>67</v>
      </c>
      <c r="Q7390" s="160" t="s">
        <v>96</v>
      </c>
      <c r="R7390" s="160" t="s">
        <v>272</v>
      </c>
    </row>
    <row r="7391" spans="1:18" ht="69" customHeight="1">
      <c r="A7391" s="168"/>
      <c r="B7391" s="259">
        <f t="shared" si="38"/>
        <v>63</v>
      </c>
      <c r="C7391" s="160" t="s">
        <v>16368</v>
      </c>
      <c r="D7391" s="303" t="s">
        <v>2435</v>
      </c>
      <c r="E7391" s="160" t="s">
        <v>17007</v>
      </c>
      <c r="F7391" s="160" t="s">
        <v>18164</v>
      </c>
      <c r="G7391" s="160" t="s">
        <v>18155</v>
      </c>
      <c r="H7391" s="300">
        <v>9757.83</v>
      </c>
      <c r="I7391" s="209">
        <v>45296</v>
      </c>
      <c r="J7391" s="316" t="s">
        <v>18156</v>
      </c>
      <c r="K7391" s="160" t="s">
        <v>11084</v>
      </c>
      <c r="M7391" s="70"/>
      <c r="N7391" s="97"/>
      <c r="O7391" s="160" t="s">
        <v>18157</v>
      </c>
      <c r="P7391" s="160" t="s">
        <v>67</v>
      </c>
      <c r="Q7391" s="160" t="s">
        <v>96</v>
      </c>
      <c r="R7391" s="160" t="s">
        <v>272</v>
      </c>
    </row>
    <row r="7392" spans="1:18" ht="69" customHeight="1">
      <c r="A7392" s="168"/>
      <c r="B7392" s="259">
        <f t="shared" si="38"/>
        <v>64</v>
      </c>
      <c r="C7392" s="160" t="s">
        <v>16368</v>
      </c>
      <c r="D7392" s="303" t="s">
        <v>2907</v>
      </c>
      <c r="E7392" s="160" t="s">
        <v>17007</v>
      </c>
      <c r="F7392" s="160" t="s">
        <v>18165</v>
      </c>
      <c r="G7392" s="160" t="s">
        <v>18155</v>
      </c>
      <c r="H7392" s="300">
        <v>9757.83</v>
      </c>
      <c r="I7392" s="209">
        <v>45296</v>
      </c>
      <c r="J7392" s="316" t="s">
        <v>18156</v>
      </c>
      <c r="K7392" s="160" t="s">
        <v>11084</v>
      </c>
      <c r="M7392" s="70"/>
      <c r="N7392" s="97"/>
      <c r="O7392" s="160" t="s">
        <v>18157</v>
      </c>
      <c r="P7392" s="160" t="s">
        <v>67</v>
      </c>
      <c r="Q7392" s="160" t="s">
        <v>96</v>
      </c>
      <c r="R7392" s="160" t="s">
        <v>272</v>
      </c>
    </row>
    <row r="7393" spans="1:18" ht="69" customHeight="1">
      <c r="A7393" s="168"/>
      <c r="B7393" s="259">
        <f t="shared" ref="B7393:B7424" si="39">B7392+1</f>
        <v>65</v>
      </c>
      <c r="C7393" s="160" t="s">
        <v>16368</v>
      </c>
      <c r="D7393" s="303" t="s">
        <v>3164</v>
      </c>
      <c r="E7393" s="160" t="s">
        <v>17007</v>
      </c>
      <c r="F7393" s="160" t="s">
        <v>18166</v>
      </c>
      <c r="G7393" s="160" t="s">
        <v>18155</v>
      </c>
      <c r="H7393" s="300">
        <v>9757.83</v>
      </c>
      <c r="I7393" s="209">
        <v>45296</v>
      </c>
      <c r="J7393" s="316" t="s">
        <v>18156</v>
      </c>
      <c r="K7393" s="160" t="s">
        <v>11084</v>
      </c>
      <c r="M7393" s="70"/>
      <c r="N7393" s="97"/>
      <c r="O7393" s="160" t="s">
        <v>18157</v>
      </c>
      <c r="P7393" s="160" t="s">
        <v>67</v>
      </c>
      <c r="Q7393" s="160" t="s">
        <v>96</v>
      </c>
      <c r="R7393" s="160" t="s">
        <v>272</v>
      </c>
    </row>
    <row r="7394" spans="1:18" ht="69" customHeight="1">
      <c r="A7394" s="168"/>
      <c r="B7394" s="259">
        <f t="shared" si="39"/>
        <v>66</v>
      </c>
      <c r="C7394" s="160" t="s">
        <v>16368</v>
      </c>
      <c r="D7394" s="303" t="s">
        <v>629</v>
      </c>
      <c r="E7394" s="160" t="s">
        <v>17007</v>
      </c>
      <c r="F7394" s="160" t="s">
        <v>18167</v>
      </c>
      <c r="G7394" s="160" t="s">
        <v>18155</v>
      </c>
      <c r="H7394" s="300">
        <v>9757.83</v>
      </c>
      <c r="I7394" s="209">
        <v>45296</v>
      </c>
      <c r="J7394" s="316" t="s">
        <v>18156</v>
      </c>
      <c r="K7394" s="160" t="s">
        <v>11084</v>
      </c>
      <c r="M7394" s="70"/>
      <c r="N7394" s="97"/>
      <c r="O7394" s="160" t="s">
        <v>18157</v>
      </c>
      <c r="P7394" s="160" t="s">
        <v>67</v>
      </c>
      <c r="Q7394" s="160" t="s">
        <v>96</v>
      </c>
      <c r="R7394" s="160" t="s">
        <v>272</v>
      </c>
    </row>
    <row r="7395" spans="1:18" s="98" customFormat="1" ht="69" customHeight="1">
      <c r="A7395" s="169"/>
      <c r="B7395" s="259">
        <f t="shared" si="39"/>
        <v>67</v>
      </c>
      <c r="C7395" s="160" t="s">
        <v>16368</v>
      </c>
      <c r="D7395" s="303" t="s">
        <v>1978</v>
      </c>
      <c r="E7395" s="160" t="s">
        <v>17007</v>
      </c>
      <c r="F7395" s="160" t="s">
        <v>18168</v>
      </c>
      <c r="G7395" s="160" t="s">
        <v>18155</v>
      </c>
      <c r="H7395" s="300">
        <v>8276.0499999999993</v>
      </c>
      <c r="I7395" s="209">
        <v>45296</v>
      </c>
      <c r="J7395" s="316" t="s">
        <v>18156</v>
      </c>
      <c r="K7395" s="160" t="s">
        <v>11084</v>
      </c>
      <c r="M7395" s="385"/>
      <c r="N7395" s="75"/>
      <c r="O7395" s="160" t="s">
        <v>18157</v>
      </c>
      <c r="P7395" s="160" t="s">
        <v>67</v>
      </c>
      <c r="Q7395" s="160" t="s">
        <v>96</v>
      </c>
      <c r="R7395" s="160" t="s">
        <v>272</v>
      </c>
    </row>
    <row r="7396" spans="1:18" ht="69" customHeight="1">
      <c r="A7396" s="168"/>
      <c r="B7396" s="259">
        <f t="shared" si="39"/>
        <v>68</v>
      </c>
      <c r="C7396" s="160" t="s">
        <v>16368</v>
      </c>
      <c r="D7396" s="303" t="s">
        <v>8532</v>
      </c>
      <c r="E7396" s="160" t="s">
        <v>17007</v>
      </c>
      <c r="F7396" s="160" t="s">
        <v>18169</v>
      </c>
      <c r="G7396" s="160" t="s">
        <v>18155</v>
      </c>
      <c r="H7396" s="300">
        <v>9757.83</v>
      </c>
      <c r="I7396" s="209">
        <v>45296</v>
      </c>
      <c r="J7396" s="316" t="s">
        <v>18156</v>
      </c>
      <c r="K7396" s="160" t="s">
        <v>11084</v>
      </c>
      <c r="M7396" s="70"/>
      <c r="N7396" s="97"/>
      <c r="O7396" s="160" t="s">
        <v>18157</v>
      </c>
      <c r="P7396" s="160" t="s">
        <v>67</v>
      </c>
      <c r="Q7396" s="160" t="s">
        <v>96</v>
      </c>
      <c r="R7396" s="160" t="s">
        <v>272</v>
      </c>
    </row>
    <row r="7397" spans="1:18" ht="69" customHeight="1">
      <c r="A7397" s="168"/>
      <c r="B7397" s="259">
        <f t="shared" si="39"/>
        <v>69</v>
      </c>
      <c r="C7397" s="160" t="s">
        <v>16368</v>
      </c>
      <c r="D7397" s="303" t="s">
        <v>7030</v>
      </c>
      <c r="E7397" s="160" t="s">
        <v>17007</v>
      </c>
      <c r="F7397" s="160" t="s">
        <v>18170</v>
      </c>
      <c r="G7397" s="160" t="s">
        <v>18155</v>
      </c>
      <c r="H7397" s="300">
        <v>8276.0499999999993</v>
      </c>
      <c r="I7397" s="209">
        <v>45296</v>
      </c>
      <c r="J7397" s="316" t="s">
        <v>18156</v>
      </c>
      <c r="K7397" s="160" t="s">
        <v>11084</v>
      </c>
      <c r="M7397" s="70"/>
      <c r="N7397" s="97"/>
      <c r="O7397" s="160" t="s">
        <v>18157</v>
      </c>
      <c r="P7397" s="160" t="s">
        <v>67</v>
      </c>
      <c r="Q7397" s="160" t="s">
        <v>96</v>
      </c>
      <c r="R7397" s="160" t="s">
        <v>272</v>
      </c>
    </row>
    <row r="7398" spans="1:18" s="98" customFormat="1" ht="69" customHeight="1">
      <c r="A7398" s="169"/>
      <c r="B7398" s="259">
        <f t="shared" si="39"/>
        <v>70</v>
      </c>
      <c r="C7398" s="160" t="s">
        <v>16368</v>
      </c>
      <c r="D7398" s="303" t="s">
        <v>10525</v>
      </c>
      <c r="E7398" s="160" t="s">
        <v>17007</v>
      </c>
      <c r="F7398" s="160" t="s">
        <v>18171</v>
      </c>
      <c r="G7398" s="160" t="s">
        <v>18155</v>
      </c>
      <c r="H7398" s="300">
        <v>9757.83</v>
      </c>
      <c r="I7398" s="209">
        <v>45296</v>
      </c>
      <c r="J7398" s="316" t="s">
        <v>18156</v>
      </c>
      <c r="K7398" s="160" t="s">
        <v>11084</v>
      </c>
      <c r="M7398" s="385"/>
      <c r="N7398" s="75"/>
      <c r="O7398" s="160" t="s">
        <v>18157</v>
      </c>
      <c r="P7398" s="160" t="s">
        <v>67</v>
      </c>
      <c r="Q7398" s="160" t="s">
        <v>96</v>
      </c>
      <c r="R7398" s="160" t="s">
        <v>272</v>
      </c>
    </row>
    <row r="7399" spans="1:18" s="98" customFormat="1" ht="69" customHeight="1">
      <c r="A7399" s="169"/>
      <c r="B7399" s="259">
        <f t="shared" si="39"/>
        <v>71</v>
      </c>
      <c r="C7399" s="160" t="s">
        <v>16368</v>
      </c>
      <c r="D7399" s="303" t="s">
        <v>1465</v>
      </c>
      <c r="E7399" s="160" t="s">
        <v>17007</v>
      </c>
      <c r="F7399" s="160" t="s">
        <v>18172</v>
      </c>
      <c r="G7399" s="160" t="s">
        <v>18155</v>
      </c>
      <c r="H7399" s="300">
        <v>9757.83</v>
      </c>
      <c r="I7399" s="209">
        <v>45296</v>
      </c>
      <c r="J7399" s="316" t="s">
        <v>18156</v>
      </c>
      <c r="K7399" s="160" t="s">
        <v>11084</v>
      </c>
      <c r="M7399" s="385"/>
      <c r="N7399" s="75"/>
      <c r="O7399" s="160" t="s">
        <v>18157</v>
      </c>
      <c r="P7399" s="160" t="s">
        <v>67</v>
      </c>
      <c r="Q7399" s="160" t="s">
        <v>96</v>
      </c>
      <c r="R7399" s="160" t="s">
        <v>272</v>
      </c>
    </row>
    <row r="7400" spans="1:18" ht="69" customHeight="1">
      <c r="A7400" s="168"/>
      <c r="B7400" s="259">
        <f t="shared" si="39"/>
        <v>72</v>
      </c>
      <c r="C7400" s="160" t="s">
        <v>16368</v>
      </c>
      <c r="D7400" s="303" t="s">
        <v>9708</v>
      </c>
      <c r="E7400" s="160" t="s">
        <v>17007</v>
      </c>
      <c r="F7400" s="160" t="s">
        <v>18173</v>
      </c>
      <c r="G7400" s="160" t="s">
        <v>18155</v>
      </c>
      <c r="H7400" s="300">
        <v>9757.83</v>
      </c>
      <c r="I7400" s="209">
        <v>45296</v>
      </c>
      <c r="J7400" s="316" t="s">
        <v>18156</v>
      </c>
      <c r="K7400" s="160" t="s">
        <v>11084</v>
      </c>
      <c r="M7400" s="70"/>
      <c r="N7400" s="97"/>
      <c r="O7400" s="160" t="s">
        <v>18157</v>
      </c>
      <c r="P7400" s="160" t="s">
        <v>67</v>
      </c>
      <c r="Q7400" s="160" t="s">
        <v>96</v>
      </c>
      <c r="R7400" s="160" t="s">
        <v>272</v>
      </c>
    </row>
    <row r="7401" spans="1:18" ht="69" customHeight="1">
      <c r="A7401" s="168"/>
      <c r="B7401" s="259">
        <f t="shared" si="39"/>
        <v>73</v>
      </c>
      <c r="C7401" s="160" t="s">
        <v>16368</v>
      </c>
      <c r="D7401" s="303" t="s">
        <v>5671</v>
      </c>
      <c r="E7401" s="160" t="s">
        <v>17007</v>
      </c>
      <c r="F7401" s="160" t="s">
        <v>18174</v>
      </c>
      <c r="G7401" s="160" t="s">
        <v>18155</v>
      </c>
      <c r="H7401" s="300">
        <v>9757.83</v>
      </c>
      <c r="I7401" s="209">
        <v>45296</v>
      </c>
      <c r="J7401" s="316" t="s">
        <v>18156</v>
      </c>
      <c r="K7401" s="160" t="s">
        <v>11084</v>
      </c>
      <c r="M7401" s="70"/>
      <c r="N7401" s="97"/>
      <c r="O7401" s="160" t="s">
        <v>18157</v>
      </c>
      <c r="P7401" s="160" t="s">
        <v>67</v>
      </c>
      <c r="Q7401" s="160" t="s">
        <v>96</v>
      </c>
      <c r="R7401" s="160" t="s">
        <v>272</v>
      </c>
    </row>
    <row r="7402" spans="1:18" ht="69" customHeight="1">
      <c r="A7402" s="168"/>
      <c r="B7402" s="259">
        <f t="shared" si="39"/>
        <v>74</v>
      </c>
      <c r="C7402" s="160" t="s">
        <v>16368</v>
      </c>
      <c r="D7402" s="303" t="s">
        <v>2911</v>
      </c>
      <c r="E7402" s="160" t="s">
        <v>17007</v>
      </c>
      <c r="F7402" s="160" t="s">
        <v>18175</v>
      </c>
      <c r="G7402" s="160" t="s">
        <v>18155</v>
      </c>
      <c r="H7402" s="300">
        <v>9757.83</v>
      </c>
      <c r="I7402" s="209">
        <v>45296</v>
      </c>
      <c r="J7402" s="316" t="s">
        <v>18156</v>
      </c>
      <c r="K7402" s="160" t="s">
        <v>11084</v>
      </c>
      <c r="M7402" s="70"/>
      <c r="N7402" s="97"/>
      <c r="O7402" s="160" t="s">
        <v>18157</v>
      </c>
      <c r="P7402" s="160" t="s">
        <v>67</v>
      </c>
      <c r="Q7402" s="160" t="s">
        <v>96</v>
      </c>
      <c r="R7402" s="160" t="s">
        <v>272</v>
      </c>
    </row>
    <row r="7403" spans="1:18" ht="69" customHeight="1">
      <c r="A7403" s="168"/>
      <c r="B7403" s="259">
        <f t="shared" si="39"/>
        <v>75</v>
      </c>
      <c r="C7403" s="160" t="s">
        <v>16368</v>
      </c>
      <c r="D7403" s="303" t="s">
        <v>310</v>
      </c>
      <c r="E7403" s="160" t="s">
        <v>17007</v>
      </c>
      <c r="F7403" s="160" t="s">
        <v>18176</v>
      </c>
      <c r="G7403" s="160" t="s">
        <v>18155</v>
      </c>
      <c r="H7403" s="300">
        <v>14203.17</v>
      </c>
      <c r="I7403" s="209">
        <v>45296</v>
      </c>
      <c r="J7403" s="316" t="s">
        <v>18156</v>
      </c>
      <c r="K7403" s="160" t="s">
        <v>11084</v>
      </c>
      <c r="M7403" s="70"/>
      <c r="N7403" s="97"/>
      <c r="O7403" s="160" t="s">
        <v>18157</v>
      </c>
      <c r="P7403" s="160" t="s">
        <v>67</v>
      </c>
      <c r="Q7403" s="160" t="s">
        <v>96</v>
      </c>
      <c r="R7403" s="160" t="s">
        <v>272</v>
      </c>
    </row>
    <row r="7404" spans="1:18" ht="69" customHeight="1">
      <c r="A7404" s="168"/>
      <c r="B7404" s="259">
        <f t="shared" si="39"/>
        <v>76</v>
      </c>
      <c r="C7404" s="207" t="s">
        <v>3340</v>
      </c>
      <c r="D7404" s="303" t="s">
        <v>4143</v>
      </c>
      <c r="E7404" s="290" t="s">
        <v>266</v>
      </c>
      <c r="F7404" s="160" t="s">
        <v>18147</v>
      </c>
      <c r="G7404" s="160" t="s">
        <v>18177</v>
      </c>
      <c r="H7404" s="300">
        <v>5025.21</v>
      </c>
      <c r="I7404" s="209">
        <v>45306</v>
      </c>
      <c r="J7404" s="316" t="s">
        <v>18178</v>
      </c>
      <c r="K7404" s="160" t="s">
        <v>11084</v>
      </c>
      <c r="M7404" s="70"/>
      <c r="N7404" s="97"/>
      <c r="O7404" s="160" t="s">
        <v>13735</v>
      </c>
      <c r="P7404" s="160" t="s">
        <v>67</v>
      </c>
      <c r="Q7404" s="160" t="s">
        <v>96</v>
      </c>
      <c r="R7404" s="160" t="s">
        <v>272</v>
      </c>
    </row>
    <row r="7405" spans="1:18" ht="69" customHeight="1">
      <c r="A7405" s="168"/>
      <c r="B7405" s="259">
        <f t="shared" si="39"/>
        <v>77</v>
      </c>
      <c r="C7405" s="207" t="s">
        <v>3340</v>
      </c>
      <c r="D7405" s="303" t="s">
        <v>4426</v>
      </c>
      <c r="E7405" s="290" t="s">
        <v>266</v>
      </c>
      <c r="F7405" s="160" t="s">
        <v>18179</v>
      </c>
      <c r="G7405" s="160" t="s">
        <v>18180</v>
      </c>
      <c r="H7405" s="300">
        <v>3131.28</v>
      </c>
      <c r="I7405" s="209">
        <v>45306</v>
      </c>
      <c r="J7405" s="316" t="s">
        <v>18178</v>
      </c>
      <c r="K7405" s="160" t="s">
        <v>11084</v>
      </c>
      <c r="M7405" s="70"/>
      <c r="N7405" s="97"/>
      <c r="O7405" s="160" t="s">
        <v>13735</v>
      </c>
      <c r="P7405" s="160" t="s">
        <v>67</v>
      </c>
      <c r="Q7405" s="160" t="s">
        <v>96</v>
      </c>
      <c r="R7405" s="160" t="s">
        <v>272</v>
      </c>
    </row>
    <row r="7406" spans="1:18" ht="69" customHeight="1">
      <c r="A7406" s="168"/>
      <c r="B7406" s="62">
        <f t="shared" si="39"/>
        <v>78</v>
      </c>
      <c r="C7406" s="59" t="s">
        <v>3667</v>
      </c>
      <c r="D7406" s="174" t="s">
        <v>18181</v>
      </c>
      <c r="E7406" s="58" t="s">
        <v>18182</v>
      </c>
      <c r="F7406" s="58" t="s">
        <v>18183</v>
      </c>
      <c r="G7406" s="58" t="s">
        <v>18184</v>
      </c>
      <c r="H7406" s="546">
        <v>102129.51</v>
      </c>
      <c r="I7406" s="47">
        <v>45306</v>
      </c>
      <c r="J7406" s="73" t="s">
        <v>18185</v>
      </c>
      <c r="K7406" s="58"/>
      <c r="M7406" s="70"/>
      <c r="N7406" s="97"/>
      <c r="O7406" s="58" t="s">
        <v>10607</v>
      </c>
      <c r="P7406" s="58" t="s">
        <v>22</v>
      </c>
      <c r="Q7406" s="45" t="s">
        <v>68</v>
      </c>
      <c r="R7406" s="45" t="s">
        <v>272</v>
      </c>
    </row>
    <row r="7407" spans="1:18" ht="69" customHeight="1">
      <c r="A7407" s="168"/>
      <c r="B7407" s="62">
        <f t="shared" si="39"/>
        <v>79</v>
      </c>
      <c r="C7407" s="59" t="s">
        <v>3667</v>
      </c>
      <c r="D7407" s="174" t="s">
        <v>18186</v>
      </c>
      <c r="E7407" s="58" t="s">
        <v>18182</v>
      </c>
      <c r="F7407" s="58" t="s">
        <v>18187</v>
      </c>
      <c r="G7407" s="58" t="s">
        <v>18184</v>
      </c>
      <c r="H7407" s="546">
        <v>265847.78999999998</v>
      </c>
      <c r="I7407" s="47">
        <v>45306</v>
      </c>
      <c r="J7407" s="73" t="s">
        <v>18185</v>
      </c>
      <c r="K7407" s="58"/>
      <c r="M7407" s="70"/>
      <c r="N7407" s="97"/>
      <c r="O7407" s="58" t="s">
        <v>10607</v>
      </c>
      <c r="P7407" s="58" t="s">
        <v>22</v>
      </c>
      <c r="Q7407" s="45" t="s">
        <v>66</v>
      </c>
      <c r="R7407" s="45" t="s">
        <v>272</v>
      </c>
    </row>
    <row r="7408" spans="1:18" ht="69" customHeight="1">
      <c r="A7408" s="168"/>
      <c r="B7408" s="62">
        <f t="shared" si="39"/>
        <v>80</v>
      </c>
      <c r="C7408" s="59" t="s">
        <v>3667</v>
      </c>
      <c r="D7408" s="174" t="s">
        <v>18188</v>
      </c>
      <c r="E7408" s="58" t="s">
        <v>18182</v>
      </c>
      <c r="F7408" s="58" t="s">
        <v>18189</v>
      </c>
      <c r="G7408" s="58" t="s">
        <v>18184</v>
      </c>
      <c r="H7408" s="546">
        <v>322986.53999999998</v>
      </c>
      <c r="I7408" s="47">
        <v>45306</v>
      </c>
      <c r="J7408" s="73" t="s">
        <v>18185</v>
      </c>
      <c r="K7408" s="58"/>
      <c r="M7408" s="70"/>
      <c r="N7408" s="97"/>
      <c r="O7408" s="58" t="s">
        <v>10607</v>
      </c>
      <c r="P7408" s="58" t="s">
        <v>22</v>
      </c>
      <c r="Q7408" s="45" t="s">
        <v>84</v>
      </c>
      <c r="R7408" s="45" t="s">
        <v>272</v>
      </c>
    </row>
    <row r="7409" spans="1:18" ht="69" customHeight="1">
      <c r="A7409" s="168"/>
      <c r="B7409" s="62">
        <f t="shared" si="39"/>
        <v>81</v>
      </c>
      <c r="C7409" s="45" t="s">
        <v>458</v>
      </c>
      <c r="D7409" s="174" t="s">
        <v>14222</v>
      </c>
      <c r="E7409" s="58" t="s">
        <v>18182</v>
      </c>
      <c r="F7409" s="58" t="s">
        <v>18190</v>
      </c>
      <c r="G7409" s="58" t="s">
        <v>18184</v>
      </c>
      <c r="H7409" s="546">
        <v>725140.99</v>
      </c>
      <c r="I7409" s="47">
        <v>45306</v>
      </c>
      <c r="J7409" s="73" t="s">
        <v>18185</v>
      </c>
      <c r="K7409" s="58"/>
      <c r="M7409" s="70"/>
      <c r="N7409" s="97"/>
      <c r="O7409" s="58" t="s">
        <v>10607</v>
      </c>
      <c r="P7409" s="58" t="s">
        <v>22</v>
      </c>
      <c r="Q7409" s="45" t="s">
        <v>117</v>
      </c>
      <c r="R7409" s="45" t="s">
        <v>272</v>
      </c>
    </row>
    <row r="7410" spans="1:18" ht="69" customHeight="1">
      <c r="A7410" s="168"/>
      <c r="B7410" s="62">
        <f t="shared" si="39"/>
        <v>82</v>
      </c>
      <c r="C7410" s="59" t="s">
        <v>3667</v>
      </c>
      <c r="D7410" s="174" t="s">
        <v>18191</v>
      </c>
      <c r="E7410" s="58" t="s">
        <v>18182</v>
      </c>
      <c r="F7410" s="58" t="s">
        <v>18192</v>
      </c>
      <c r="G7410" s="58" t="s">
        <v>18184</v>
      </c>
      <c r="H7410" s="546">
        <v>34819.980000000003</v>
      </c>
      <c r="I7410" s="47">
        <v>45306</v>
      </c>
      <c r="J7410" s="73" t="s">
        <v>18185</v>
      </c>
      <c r="K7410" s="58"/>
      <c r="M7410" s="70"/>
      <c r="N7410" s="97"/>
      <c r="O7410" s="58" t="s">
        <v>10607</v>
      </c>
      <c r="P7410" s="58" t="s">
        <v>22</v>
      </c>
      <c r="Q7410" s="45" t="s">
        <v>86</v>
      </c>
      <c r="R7410" s="45" t="s">
        <v>272</v>
      </c>
    </row>
    <row r="7411" spans="1:18" ht="69" customHeight="1">
      <c r="A7411" s="168"/>
      <c r="B7411" s="62">
        <f t="shared" si="39"/>
        <v>83</v>
      </c>
      <c r="C7411" s="59" t="s">
        <v>657</v>
      </c>
      <c r="D7411" s="174" t="s">
        <v>12364</v>
      </c>
      <c r="E7411" s="58" t="s">
        <v>18182</v>
      </c>
      <c r="F7411" s="58" t="s">
        <v>18193</v>
      </c>
      <c r="G7411" s="58" t="s">
        <v>18184</v>
      </c>
      <c r="H7411" s="546">
        <v>20153.509999999998</v>
      </c>
      <c r="I7411" s="47">
        <v>45306</v>
      </c>
      <c r="J7411" s="73" t="s">
        <v>18185</v>
      </c>
      <c r="K7411" s="58"/>
      <c r="M7411" s="70"/>
      <c r="N7411" s="97"/>
      <c r="O7411" s="58" t="s">
        <v>10607</v>
      </c>
      <c r="P7411" s="58" t="s">
        <v>22</v>
      </c>
      <c r="Q7411" s="45" t="s">
        <v>111</v>
      </c>
      <c r="R7411" s="45" t="s">
        <v>272</v>
      </c>
    </row>
    <row r="7412" spans="1:18" ht="69" customHeight="1">
      <c r="A7412" s="168"/>
      <c r="B7412" s="259">
        <f t="shared" si="39"/>
        <v>84</v>
      </c>
      <c r="C7412" s="207" t="s">
        <v>309</v>
      </c>
      <c r="D7412" s="303" t="s">
        <v>17768</v>
      </c>
      <c r="E7412" s="207" t="s">
        <v>16276</v>
      </c>
      <c r="F7412" s="208" t="s">
        <v>18194</v>
      </c>
      <c r="G7412" s="160" t="s">
        <v>18195</v>
      </c>
      <c r="H7412" s="300">
        <v>15335.28</v>
      </c>
      <c r="I7412" s="209">
        <v>45306</v>
      </c>
      <c r="J7412" s="316" t="s">
        <v>18196</v>
      </c>
      <c r="K7412" s="160"/>
      <c r="M7412" s="70"/>
      <c r="N7412" s="97"/>
      <c r="O7412" s="160" t="s">
        <v>11192</v>
      </c>
      <c r="P7412" s="160" t="s">
        <v>67</v>
      </c>
      <c r="Q7412" s="160" t="s">
        <v>15</v>
      </c>
      <c r="R7412" s="160" t="s">
        <v>272</v>
      </c>
    </row>
    <row r="7413" spans="1:18" ht="69" customHeight="1">
      <c r="A7413" s="168"/>
      <c r="B7413" s="259">
        <f t="shared" si="39"/>
        <v>85</v>
      </c>
      <c r="C7413" s="207" t="s">
        <v>657</v>
      </c>
      <c r="D7413" s="303" t="s">
        <v>12170</v>
      </c>
      <c r="E7413" s="207" t="s">
        <v>16276</v>
      </c>
      <c r="F7413" s="208" t="s">
        <v>18197</v>
      </c>
      <c r="G7413" s="160" t="s">
        <v>18195</v>
      </c>
      <c r="H7413" s="300">
        <v>11041.39</v>
      </c>
      <c r="I7413" s="209">
        <v>45306</v>
      </c>
      <c r="J7413" s="316" t="s">
        <v>18196</v>
      </c>
      <c r="K7413" s="160"/>
      <c r="M7413" s="70"/>
      <c r="N7413" s="97"/>
      <c r="O7413" s="160" t="s">
        <v>11192</v>
      </c>
      <c r="P7413" s="160" t="s">
        <v>67</v>
      </c>
      <c r="Q7413" s="160" t="s">
        <v>99</v>
      </c>
      <c r="R7413" s="160" t="s">
        <v>272</v>
      </c>
    </row>
    <row r="7414" spans="1:18" ht="69" customHeight="1">
      <c r="A7414" s="168"/>
      <c r="B7414" s="259">
        <f t="shared" si="39"/>
        <v>86</v>
      </c>
      <c r="C7414" s="160" t="s">
        <v>458</v>
      </c>
      <c r="D7414" s="303" t="s">
        <v>14277</v>
      </c>
      <c r="E7414" s="207" t="s">
        <v>16276</v>
      </c>
      <c r="F7414" s="208" t="s">
        <v>18198</v>
      </c>
      <c r="G7414" s="160" t="s">
        <v>18195</v>
      </c>
      <c r="H7414" s="300">
        <v>15335.28</v>
      </c>
      <c r="I7414" s="209">
        <v>45306</v>
      </c>
      <c r="J7414" s="316" t="s">
        <v>18196</v>
      </c>
      <c r="K7414" s="160"/>
      <c r="M7414" s="70"/>
      <c r="N7414" s="97"/>
      <c r="O7414" s="160" t="s">
        <v>11192</v>
      </c>
      <c r="P7414" s="160" t="s">
        <v>67</v>
      </c>
      <c r="Q7414" s="160" t="s">
        <v>90</v>
      </c>
      <c r="R7414" s="160" t="s">
        <v>272</v>
      </c>
    </row>
    <row r="7415" spans="1:18" ht="69" customHeight="1">
      <c r="A7415" s="168"/>
      <c r="B7415" s="259">
        <f t="shared" si="39"/>
        <v>87</v>
      </c>
      <c r="C7415" s="207" t="s">
        <v>3667</v>
      </c>
      <c r="D7415" s="303" t="s">
        <v>18199</v>
      </c>
      <c r="E7415" s="207" t="s">
        <v>16276</v>
      </c>
      <c r="F7415" s="208" t="s">
        <v>18200</v>
      </c>
      <c r="G7415" s="160" t="s">
        <v>18195</v>
      </c>
      <c r="H7415" s="300">
        <v>19629.16</v>
      </c>
      <c r="I7415" s="209">
        <v>45306</v>
      </c>
      <c r="J7415" s="316" t="s">
        <v>18196</v>
      </c>
      <c r="K7415" s="160"/>
      <c r="M7415" s="70"/>
      <c r="N7415" s="97"/>
      <c r="O7415" s="160" t="s">
        <v>11192</v>
      </c>
      <c r="P7415" s="160" t="s">
        <v>67</v>
      </c>
      <c r="Q7415" s="160" t="s">
        <v>49</v>
      </c>
      <c r="R7415" s="160" t="s">
        <v>272</v>
      </c>
    </row>
    <row r="7416" spans="1:18" ht="69" customHeight="1">
      <c r="A7416" s="168"/>
      <c r="B7416" s="259">
        <f t="shared" si="39"/>
        <v>88</v>
      </c>
      <c r="C7416" s="207" t="s">
        <v>3667</v>
      </c>
      <c r="D7416" s="303" t="s">
        <v>18201</v>
      </c>
      <c r="E7416" s="160" t="s">
        <v>266</v>
      </c>
      <c r="F7416" s="160" t="s">
        <v>18202</v>
      </c>
      <c r="G7416" s="160" t="s">
        <v>18203</v>
      </c>
      <c r="H7416" s="300">
        <v>11403.76</v>
      </c>
      <c r="I7416" s="209">
        <v>45306</v>
      </c>
      <c r="J7416" s="316" t="s">
        <v>18204</v>
      </c>
      <c r="K7416" s="160" t="s">
        <v>18205</v>
      </c>
      <c r="M7416" s="70"/>
      <c r="N7416" s="97"/>
      <c r="O7416" s="160" t="s">
        <v>150</v>
      </c>
      <c r="P7416" s="160" t="s">
        <v>67</v>
      </c>
      <c r="Q7416" s="160" t="s">
        <v>68</v>
      </c>
      <c r="R7416" s="160" t="s">
        <v>272</v>
      </c>
    </row>
    <row r="7417" spans="1:18" ht="69" customHeight="1">
      <c r="A7417" s="168"/>
      <c r="B7417" s="259">
        <f t="shared" si="39"/>
        <v>89</v>
      </c>
      <c r="C7417" s="207" t="s">
        <v>3667</v>
      </c>
      <c r="D7417" s="303" t="s">
        <v>18206</v>
      </c>
      <c r="E7417" s="160" t="s">
        <v>266</v>
      </c>
      <c r="F7417" s="160" t="s">
        <v>18207</v>
      </c>
      <c r="G7417" s="160" t="s">
        <v>18203</v>
      </c>
      <c r="H7417" s="300">
        <v>34199.32</v>
      </c>
      <c r="I7417" s="209">
        <v>45306</v>
      </c>
      <c r="J7417" s="316" t="s">
        <v>18204</v>
      </c>
      <c r="K7417" s="160" t="s">
        <v>18205</v>
      </c>
      <c r="M7417" s="70"/>
      <c r="N7417" s="97"/>
      <c r="O7417" s="160" t="s">
        <v>150</v>
      </c>
      <c r="P7417" s="160" t="s">
        <v>67</v>
      </c>
      <c r="Q7417" s="160" t="s">
        <v>68</v>
      </c>
      <c r="R7417" s="160" t="s">
        <v>272</v>
      </c>
    </row>
    <row r="7418" spans="1:18" ht="69" customHeight="1">
      <c r="A7418" s="168"/>
      <c r="B7418" s="259">
        <f t="shared" si="39"/>
        <v>90</v>
      </c>
      <c r="C7418" s="207" t="s">
        <v>3667</v>
      </c>
      <c r="D7418" s="303" t="s">
        <v>18208</v>
      </c>
      <c r="E7418" s="160" t="s">
        <v>266</v>
      </c>
      <c r="F7418" s="160" t="s">
        <v>18209</v>
      </c>
      <c r="G7418" s="160" t="s">
        <v>18203</v>
      </c>
      <c r="H7418" s="300">
        <v>20664.62</v>
      </c>
      <c r="I7418" s="209">
        <v>45306</v>
      </c>
      <c r="J7418" s="316" t="s">
        <v>18204</v>
      </c>
      <c r="K7418" s="160" t="s">
        <v>18205</v>
      </c>
      <c r="M7418" s="70"/>
      <c r="N7418" s="97"/>
      <c r="O7418" s="160" t="s">
        <v>150</v>
      </c>
      <c r="P7418" s="160" t="s">
        <v>67</v>
      </c>
      <c r="Q7418" s="160" t="s">
        <v>72</v>
      </c>
      <c r="R7418" s="160" t="s">
        <v>272</v>
      </c>
    </row>
    <row r="7419" spans="1:18" ht="69" customHeight="1">
      <c r="A7419" s="168"/>
      <c r="B7419" s="259">
        <f t="shared" si="39"/>
        <v>91</v>
      </c>
      <c r="C7419" s="207" t="s">
        <v>3667</v>
      </c>
      <c r="D7419" s="303" t="s">
        <v>18210</v>
      </c>
      <c r="E7419" s="160" t="s">
        <v>266</v>
      </c>
      <c r="F7419" s="160" t="s">
        <v>18211</v>
      </c>
      <c r="G7419" s="160" t="s">
        <v>18203</v>
      </c>
      <c r="H7419" s="300">
        <v>38303.97</v>
      </c>
      <c r="I7419" s="209">
        <v>45306</v>
      </c>
      <c r="J7419" s="316" t="s">
        <v>18204</v>
      </c>
      <c r="K7419" s="160" t="s">
        <v>18205</v>
      </c>
      <c r="M7419" s="70"/>
      <c r="N7419" s="97"/>
      <c r="O7419" s="160" t="s">
        <v>150</v>
      </c>
      <c r="P7419" s="160" t="s">
        <v>67</v>
      </c>
      <c r="Q7419" s="160" t="s">
        <v>72</v>
      </c>
      <c r="R7419" s="160" t="s">
        <v>272</v>
      </c>
    </row>
    <row r="7420" spans="1:18" ht="69" customHeight="1">
      <c r="A7420" s="168"/>
      <c r="B7420" s="259">
        <f t="shared" si="39"/>
        <v>92</v>
      </c>
      <c r="C7420" s="207" t="s">
        <v>3667</v>
      </c>
      <c r="D7420" s="303" t="s">
        <v>18212</v>
      </c>
      <c r="E7420" s="160" t="s">
        <v>266</v>
      </c>
      <c r="F7420" s="160" t="s">
        <v>18213</v>
      </c>
      <c r="G7420" s="160" t="s">
        <v>18203</v>
      </c>
      <c r="H7420" s="300">
        <v>34199.32</v>
      </c>
      <c r="I7420" s="209">
        <v>45306</v>
      </c>
      <c r="J7420" s="316" t="s">
        <v>18204</v>
      </c>
      <c r="K7420" s="160" t="s">
        <v>18205</v>
      </c>
      <c r="M7420" s="70"/>
      <c r="N7420" s="97"/>
      <c r="O7420" s="160" t="s">
        <v>150</v>
      </c>
      <c r="P7420" s="160" t="s">
        <v>67</v>
      </c>
      <c r="Q7420" s="160" t="s">
        <v>86</v>
      </c>
      <c r="R7420" s="160" t="s">
        <v>272</v>
      </c>
    </row>
    <row r="7421" spans="1:18" ht="69" customHeight="1">
      <c r="A7421" s="168"/>
      <c r="B7421" s="259">
        <f t="shared" si="39"/>
        <v>93</v>
      </c>
      <c r="C7421" s="207" t="s">
        <v>3667</v>
      </c>
      <c r="D7421" s="303" t="s">
        <v>18214</v>
      </c>
      <c r="E7421" s="160" t="s">
        <v>266</v>
      </c>
      <c r="F7421" s="160" t="s">
        <v>18215</v>
      </c>
      <c r="G7421" s="160" t="s">
        <v>18203</v>
      </c>
      <c r="H7421" s="300">
        <v>11403.76</v>
      </c>
      <c r="I7421" s="209">
        <v>45306</v>
      </c>
      <c r="J7421" s="316" t="s">
        <v>18204</v>
      </c>
      <c r="K7421" s="160" t="s">
        <v>18205</v>
      </c>
      <c r="M7421" s="70"/>
      <c r="N7421" s="97"/>
      <c r="O7421" s="160" t="s">
        <v>150</v>
      </c>
      <c r="P7421" s="160" t="s">
        <v>67</v>
      </c>
      <c r="Q7421" s="160" t="s">
        <v>86</v>
      </c>
      <c r="R7421" s="160" t="s">
        <v>272</v>
      </c>
    </row>
    <row r="7422" spans="1:18" ht="69" customHeight="1">
      <c r="A7422" s="168"/>
      <c r="B7422" s="259">
        <f t="shared" si="39"/>
        <v>94</v>
      </c>
      <c r="C7422" s="207" t="s">
        <v>309</v>
      </c>
      <c r="D7422" s="303" t="s">
        <v>13203</v>
      </c>
      <c r="E7422" s="160" t="s">
        <v>266</v>
      </c>
      <c r="F7422" s="160" t="s">
        <v>18216</v>
      </c>
      <c r="G7422" s="160" t="s">
        <v>18203</v>
      </c>
      <c r="H7422" s="300">
        <v>9260.86</v>
      </c>
      <c r="I7422" s="209">
        <v>45306</v>
      </c>
      <c r="J7422" s="316" t="s">
        <v>18204</v>
      </c>
      <c r="K7422" s="160" t="s">
        <v>18205</v>
      </c>
      <c r="M7422" s="70"/>
      <c r="N7422" s="97"/>
      <c r="O7422" s="160" t="s">
        <v>150</v>
      </c>
      <c r="P7422" s="160" t="s">
        <v>67</v>
      </c>
      <c r="Q7422" s="160" t="s">
        <v>41</v>
      </c>
      <c r="R7422" s="160" t="s">
        <v>272</v>
      </c>
    </row>
    <row r="7423" spans="1:18" ht="69" customHeight="1">
      <c r="A7423" s="168"/>
      <c r="B7423" s="259">
        <f t="shared" si="39"/>
        <v>95</v>
      </c>
      <c r="C7423" s="207" t="s">
        <v>309</v>
      </c>
      <c r="D7423" s="303" t="s">
        <v>18217</v>
      </c>
      <c r="E7423" s="160" t="s">
        <v>266</v>
      </c>
      <c r="F7423" s="160" t="s">
        <v>18218</v>
      </c>
      <c r="G7423" s="160" t="s">
        <v>18203</v>
      </c>
      <c r="H7423" s="300">
        <v>4104.6499999999996</v>
      </c>
      <c r="I7423" s="209">
        <v>45306</v>
      </c>
      <c r="J7423" s="316" t="s">
        <v>18204</v>
      </c>
      <c r="K7423" s="160" t="s">
        <v>18205</v>
      </c>
      <c r="M7423" s="70"/>
      <c r="N7423" s="97"/>
      <c r="O7423" s="160" t="s">
        <v>150</v>
      </c>
      <c r="P7423" s="160" t="s">
        <v>67</v>
      </c>
      <c r="Q7423" s="160" t="s">
        <v>41</v>
      </c>
      <c r="R7423" s="160" t="s">
        <v>272</v>
      </c>
    </row>
    <row r="7424" spans="1:18" ht="69" customHeight="1">
      <c r="A7424" s="168"/>
      <c r="B7424" s="259">
        <f t="shared" si="39"/>
        <v>96</v>
      </c>
      <c r="C7424" s="207" t="s">
        <v>309</v>
      </c>
      <c r="D7424" s="303" t="s">
        <v>13246</v>
      </c>
      <c r="E7424" s="160" t="s">
        <v>266</v>
      </c>
      <c r="F7424" s="160" t="s">
        <v>18219</v>
      </c>
      <c r="G7424" s="160" t="s">
        <v>18203</v>
      </c>
      <c r="H7424" s="300">
        <v>4104.6499999999996</v>
      </c>
      <c r="I7424" s="209">
        <v>45306</v>
      </c>
      <c r="J7424" s="316" t="s">
        <v>18204</v>
      </c>
      <c r="K7424" s="160" t="s">
        <v>18205</v>
      </c>
      <c r="M7424" s="70"/>
      <c r="N7424" s="97"/>
      <c r="O7424" s="160" t="s">
        <v>150</v>
      </c>
      <c r="P7424" s="160" t="s">
        <v>67</v>
      </c>
      <c r="Q7424" s="160" t="s">
        <v>39</v>
      </c>
      <c r="R7424" s="160" t="s">
        <v>272</v>
      </c>
    </row>
    <row r="7425" spans="1:18" ht="69" customHeight="1">
      <c r="A7425" s="168"/>
      <c r="B7425" s="259">
        <f t="shared" ref="B7425:B7446" si="40">B7424+1</f>
        <v>97</v>
      </c>
      <c r="C7425" s="207" t="s">
        <v>309</v>
      </c>
      <c r="D7425" s="303" t="s">
        <v>13248</v>
      </c>
      <c r="E7425" s="160" t="s">
        <v>266</v>
      </c>
      <c r="F7425" s="160" t="s">
        <v>18220</v>
      </c>
      <c r="G7425" s="160" t="s">
        <v>18203</v>
      </c>
      <c r="H7425" s="300">
        <v>9260.86</v>
      </c>
      <c r="I7425" s="209">
        <v>45306</v>
      </c>
      <c r="J7425" s="316" t="s">
        <v>18204</v>
      </c>
      <c r="K7425" s="160" t="s">
        <v>18205</v>
      </c>
      <c r="M7425" s="70"/>
      <c r="N7425" s="97"/>
      <c r="O7425" s="160" t="s">
        <v>150</v>
      </c>
      <c r="P7425" s="160" t="s">
        <v>67</v>
      </c>
      <c r="Q7425" s="160" t="s">
        <v>39</v>
      </c>
      <c r="R7425" s="160" t="s">
        <v>272</v>
      </c>
    </row>
    <row r="7426" spans="1:18" ht="69" customHeight="1">
      <c r="A7426" s="168"/>
      <c r="B7426" s="259">
        <f t="shared" si="40"/>
        <v>98</v>
      </c>
      <c r="C7426" s="207" t="s">
        <v>309</v>
      </c>
      <c r="D7426" s="303" t="s">
        <v>13260</v>
      </c>
      <c r="E7426" s="160" t="s">
        <v>266</v>
      </c>
      <c r="F7426" s="160" t="s">
        <v>18221</v>
      </c>
      <c r="G7426" s="160" t="s">
        <v>18203</v>
      </c>
      <c r="H7426" s="300">
        <v>9260.86</v>
      </c>
      <c r="I7426" s="209">
        <v>45306</v>
      </c>
      <c r="J7426" s="316" t="s">
        <v>18204</v>
      </c>
      <c r="K7426" s="160" t="s">
        <v>18205</v>
      </c>
      <c r="M7426" s="70"/>
      <c r="N7426" s="97"/>
      <c r="O7426" s="160" t="s">
        <v>150</v>
      </c>
      <c r="P7426" s="160" t="s">
        <v>67</v>
      </c>
      <c r="Q7426" s="160" t="s">
        <v>35</v>
      </c>
      <c r="R7426" s="160" t="s">
        <v>272</v>
      </c>
    </row>
    <row r="7427" spans="1:18" ht="69" customHeight="1">
      <c r="A7427" s="168"/>
      <c r="B7427" s="259">
        <f t="shared" si="40"/>
        <v>99</v>
      </c>
      <c r="C7427" s="207" t="s">
        <v>309</v>
      </c>
      <c r="D7427" s="303" t="s">
        <v>17778</v>
      </c>
      <c r="E7427" s="160" t="s">
        <v>266</v>
      </c>
      <c r="F7427" s="160" t="s">
        <v>18222</v>
      </c>
      <c r="G7427" s="160" t="s">
        <v>18203</v>
      </c>
      <c r="H7427" s="300">
        <v>4104.6499999999996</v>
      </c>
      <c r="I7427" s="209">
        <v>45306</v>
      </c>
      <c r="J7427" s="316" t="s">
        <v>18204</v>
      </c>
      <c r="K7427" s="160" t="s">
        <v>18205</v>
      </c>
      <c r="M7427" s="70"/>
      <c r="N7427" s="97"/>
      <c r="O7427" s="160" t="s">
        <v>150</v>
      </c>
      <c r="P7427" s="160" t="s">
        <v>67</v>
      </c>
      <c r="Q7427" s="160" t="s">
        <v>35</v>
      </c>
      <c r="R7427" s="160" t="s">
        <v>272</v>
      </c>
    </row>
    <row r="7428" spans="1:18" ht="69" customHeight="1">
      <c r="A7428" s="168"/>
      <c r="B7428" s="259">
        <f t="shared" si="40"/>
        <v>100</v>
      </c>
      <c r="C7428" s="207" t="s">
        <v>309</v>
      </c>
      <c r="D7428" s="303" t="s">
        <v>18223</v>
      </c>
      <c r="E7428" s="160" t="s">
        <v>266</v>
      </c>
      <c r="F7428" s="160" t="s">
        <v>18224</v>
      </c>
      <c r="G7428" s="160" t="s">
        <v>18203</v>
      </c>
      <c r="H7428" s="300">
        <v>13891.29</v>
      </c>
      <c r="I7428" s="209">
        <v>45306</v>
      </c>
      <c r="J7428" s="316" t="s">
        <v>18204</v>
      </c>
      <c r="K7428" s="160" t="s">
        <v>18205</v>
      </c>
      <c r="M7428" s="70"/>
      <c r="N7428" s="97"/>
      <c r="O7428" s="160" t="s">
        <v>150</v>
      </c>
      <c r="P7428" s="160" t="s">
        <v>67</v>
      </c>
      <c r="Q7428" s="160" t="s">
        <v>29</v>
      </c>
      <c r="R7428" s="160" t="s">
        <v>272</v>
      </c>
    </row>
    <row r="7429" spans="1:18" ht="69" customHeight="1">
      <c r="A7429" s="168"/>
      <c r="B7429" s="259">
        <f t="shared" si="40"/>
        <v>101</v>
      </c>
      <c r="C7429" s="207" t="s">
        <v>309</v>
      </c>
      <c r="D7429" s="303" t="s">
        <v>18225</v>
      </c>
      <c r="E7429" s="160" t="s">
        <v>266</v>
      </c>
      <c r="F7429" s="160" t="s">
        <v>18226</v>
      </c>
      <c r="G7429" s="160" t="s">
        <v>18203</v>
      </c>
      <c r="H7429" s="300">
        <v>5620.2</v>
      </c>
      <c r="I7429" s="209">
        <v>45306</v>
      </c>
      <c r="J7429" s="316" t="s">
        <v>18204</v>
      </c>
      <c r="K7429" s="160" t="s">
        <v>18205</v>
      </c>
      <c r="M7429" s="70"/>
      <c r="N7429" s="97"/>
      <c r="O7429" s="160" t="s">
        <v>150</v>
      </c>
      <c r="P7429" s="160" t="s">
        <v>67</v>
      </c>
      <c r="Q7429" s="160" t="s">
        <v>29</v>
      </c>
      <c r="R7429" s="160" t="s">
        <v>272</v>
      </c>
    </row>
    <row r="7430" spans="1:18" ht="69" customHeight="1">
      <c r="A7430" s="168"/>
      <c r="B7430" s="259">
        <f t="shared" si="40"/>
        <v>102</v>
      </c>
      <c r="C7430" s="207" t="s">
        <v>309</v>
      </c>
      <c r="D7430" s="303" t="s">
        <v>18227</v>
      </c>
      <c r="E7430" s="160" t="s">
        <v>266</v>
      </c>
      <c r="F7430" s="160" t="s">
        <v>18228</v>
      </c>
      <c r="G7430" s="160" t="s">
        <v>18203</v>
      </c>
      <c r="H7430" s="300">
        <v>4104.6499999999996</v>
      </c>
      <c r="I7430" s="209">
        <v>45306</v>
      </c>
      <c r="J7430" s="316" t="s">
        <v>18204</v>
      </c>
      <c r="K7430" s="160" t="s">
        <v>18205</v>
      </c>
      <c r="M7430" s="70"/>
      <c r="N7430" s="97"/>
      <c r="O7430" s="160" t="s">
        <v>150</v>
      </c>
      <c r="P7430" s="160" t="s">
        <v>67</v>
      </c>
      <c r="Q7430" s="160" t="s">
        <v>37</v>
      </c>
      <c r="R7430" s="160" t="s">
        <v>272</v>
      </c>
    </row>
    <row r="7431" spans="1:18" ht="69" customHeight="1">
      <c r="A7431" s="168"/>
      <c r="B7431" s="259">
        <f t="shared" si="40"/>
        <v>103</v>
      </c>
      <c r="C7431" s="207" t="s">
        <v>309</v>
      </c>
      <c r="D7431" s="303" t="s">
        <v>18229</v>
      </c>
      <c r="E7431" s="160" t="s">
        <v>266</v>
      </c>
      <c r="F7431" s="160" t="s">
        <v>18230</v>
      </c>
      <c r="G7431" s="160" t="s">
        <v>18203</v>
      </c>
      <c r="H7431" s="300">
        <v>9260.86</v>
      </c>
      <c r="I7431" s="209">
        <v>45306</v>
      </c>
      <c r="J7431" s="316" t="s">
        <v>18204</v>
      </c>
      <c r="K7431" s="160" t="s">
        <v>18205</v>
      </c>
      <c r="M7431" s="70"/>
      <c r="N7431" s="97"/>
      <c r="O7431" s="160" t="s">
        <v>150</v>
      </c>
      <c r="P7431" s="160" t="s">
        <v>67</v>
      </c>
      <c r="Q7431" s="160" t="s">
        <v>37</v>
      </c>
      <c r="R7431" s="160" t="s">
        <v>272</v>
      </c>
    </row>
    <row r="7432" spans="1:18" ht="69" customHeight="1">
      <c r="A7432" s="168"/>
      <c r="B7432" s="259">
        <f t="shared" si="40"/>
        <v>104</v>
      </c>
      <c r="C7432" s="160" t="s">
        <v>16368</v>
      </c>
      <c r="D7432" s="303" t="s">
        <v>2209</v>
      </c>
      <c r="E7432" s="290" t="s">
        <v>266</v>
      </c>
      <c r="F7432" s="160" t="s">
        <v>18231</v>
      </c>
      <c r="G7432" s="160" t="s">
        <v>18232</v>
      </c>
      <c r="H7432" s="300">
        <v>309821.65000000002</v>
      </c>
      <c r="I7432" s="209">
        <v>45296</v>
      </c>
      <c r="J7432" s="316" t="s">
        <v>18233</v>
      </c>
      <c r="K7432" s="160" t="s">
        <v>11084</v>
      </c>
      <c r="M7432" s="70"/>
      <c r="N7432" s="97"/>
      <c r="O7432" s="160" t="s">
        <v>18234</v>
      </c>
      <c r="P7432" s="160" t="s">
        <v>67</v>
      </c>
      <c r="Q7432" s="160" t="s">
        <v>96</v>
      </c>
      <c r="R7432" s="160" t="s">
        <v>272</v>
      </c>
    </row>
    <row r="7433" spans="1:18" ht="69" customHeight="1">
      <c r="A7433" s="168"/>
      <c r="B7433" s="62">
        <f t="shared" si="40"/>
        <v>105</v>
      </c>
      <c r="C7433" s="178" t="s">
        <v>458</v>
      </c>
      <c r="D7433" s="575" t="s">
        <v>14279</v>
      </c>
      <c r="E7433" s="178" t="s">
        <v>11268</v>
      </c>
      <c r="F7433" s="210" t="s">
        <v>18235</v>
      </c>
      <c r="G7433" s="58" t="s">
        <v>18236</v>
      </c>
      <c r="H7433" s="546">
        <v>67049.899999999994</v>
      </c>
      <c r="I7433" s="47">
        <v>45306</v>
      </c>
      <c r="J7433" s="73" t="s">
        <v>18237</v>
      </c>
      <c r="K7433" s="58"/>
      <c r="M7433" s="70"/>
      <c r="N7433" s="97"/>
      <c r="O7433" s="58" t="s">
        <v>203</v>
      </c>
      <c r="P7433" s="58" t="s">
        <v>57</v>
      </c>
      <c r="Q7433" s="45" t="s">
        <v>100</v>
      </c>
      <c r="R7433" s="45" t="s">
        <v>272</v>
      </c>
    </row>
    <row r="7434" spans="1:18" s="98" customFormat="1" ht="69" customHeight="1">
      <c r="A7434" s="169"/>
      <c r="B7434" s="259">
        <f t="shared" si="40"/>
        <v>106</v>
      </c>
      <c r="C7434" s="207" t="s">
        <v>309</v>
      </c>
      <c r="D7434" s="301" t="s">
        <v>13377</v>
      </c>
      <c r="E7434" s="207" t="s">
        <v>305</v>
      </c>
      <c r="F7434" s="208" t="s">
        <v>18238</v>
      </c>
      <c r="G7434" s="160" t="s">
        <v>13201</v>
      </c>
      <c r="H7434" s="300">
        <v>19671.62</v>
      </c>
      <c r="I7434" s="209">
        <v>45306</v>
      </c>
      <c r="J7434" s="316" t="s">
        <v>18239</v>
      </c>
      <c r="K7434" s="160"/>
      <c r="M7434" s="385"/>
      <c r="N7434" s="75"/>
      <c r="O7434" s="160" t="s">
        <v>15366</v>
      </c>
      <c r="P7434" s="160" t="s">
        <v>67</v>
      </c>
      <c r="Q7434" s="160" t="s">
        <v>96</v>
      </c>
      <c r="R7434" s="160" t="s">
        <v>272</v>
      </c>
    </row>
    <row r="7435" spans="1:18" ht="69" customHeight="1">
      <c r="A7435" s="168"/>
      <c r="B7435" s="62">
        <f t="shared" si="40"/>
        <v>107</v>
      </c>
      <c r="C7435" s="59" t="s">
        <v>10634</v>
      </c>
      <c r="D7435" s="174" t="s">
        <v>18240</v>
      </c>
      <c r="E7435" s="45" t="s">
        <v>266</v>
      </c>
      <c r="F7435" s="569" t="s">
        <v>18241</v>
      </c>
      <c r="G7435" s="45" t="s">
        <v>18066</v>
      </c>
      <c r="H7435" s="546">
        <v>63.36</v>
      </c>
      <c r="I7435" s="47">
        <v>45316</v>
      </c>
      <c r="J7435" s="73" t="s">
        <v>18242</v>
      </c>
      <c r="K7435" s="84"/>
      <c r="M7435" s="70"/>
      <c r="N7435" s="97"/>
      <c r="O7435" s="58" t="s">
        <v>5969</v>
      </c>
      <c r="P7435" s="58" t="s">
        <v>44</v>
      </c>
      <c r="Q7435" s="58" t="s">
        <v>93</v>
      </c>
      <c r="R7435" s="58" t="s">
        <v>272</v>
      </c>
    </row>
    <row r="7436" spans="1:18" ht="69" customHeight="1">
      <c r="A7436" s="168"/>
      <c r="B7436" s="62">
        <f t="shared" si="40"/>
        <v>108</v>
      </c>
      <c r="C7436" s="59" t="s">
        <v>10639</v>
      </c>
      <c r="D7436" s="174" t="s">
        <v>18243</v>
      </c>
      <c r="E7436" s="45" t="s">
        <v>266</v>
      </c>
      <c r="F7436" s="569" t="s">
        <v>18244</v>
      </c>
      <c r="G7436" s="45" t="s">
        <v>18066</v>
      </c>
      <c r="H7436" s="546">
        <v>63.36</v>
      </c>
      <c r="I7436" s="47">
        <v>45316</v>
      </c>
      <c r="J7436" s="73" t="s">
        <v>18242</v>
      </c>
      <c r="K7436" s="58"/>
      <c r="M7436" s="70"/>
      <c r="N7436" s="97"/>
      <c r="O7436" s="58" t="s">
        <v>5969</v>
      </c>
      <c r="P7436" s="58" t="s">
        <v>44</v>
      </c>
      <c r="Q7436" s="58" t="s">
        <v>95</v>
      </c>
      <c r="R7436" s="58" t="s">
        <v>272</v>
      </c>
    </row>
    <row r="7437" spans="1:18" ht="69" customHeight="1">
      <c r="A7437" s="168"/>
      <c r="B7437" s="52">
        <f t="shared" si="40"/>
        <v>109</v>
      </c>
      <c r="C7437" s="191" t="s">
        <v>3667</v>
      </c>
      <c r="D7437" s="251" t="s">
        <v>18245</v>
      </c>
      <c r="E7437" s="46" t="s">
        <v>15213</v>
      </c>
      <c r="F7437" s="46" t="s">
        <v>18246</v>
      </c>
      <c r="G7437" s="46" t="s">
        <v>15215</v>
      </c>
      <c r="H7437" s="534">
        <v>26000</v>
      </c>
      <c r="I7437" s="56">
        <v>45316</v>
      </c>
      <c r="J7437" s="199" t="s">
        <v>18247</v>
      </c>
      <c r="K7437" s="46"/>
      <c r="M7437" s="70"/>
      <c r="N7437" s="97"/>
      <c r="O7437" s="46" t="s">
        <v>11943</v>
      </c>
      <c r="P7437" s="46" t="s">
        <v>65</v>
      </c>
      <c r="Q7437" s="46" t="s">
        <v>72</v>
      </c>
      <c r="R7437" s="46" t="s">
        <v>272</v>
      </c>
    </row>
    <row r="7438" spans="1:18" ht="69" customHeight="1">
      <c r="A7438" s="168"/>
      <c r="B7438" s="62">
        <f t="shared" si="40"/>
        <v>110</v>
      </c>
      <c r="C7438" s="59" t="s">
        <v>458</v>
      </c>
      <c r="D7438" s="84" t="s">
        <v>14298</v>
      </c>
      <c r="E7438" s="45" t="s">
        <v>7975</v>
      </c>
      <c r="F7438" s="45" t="s">
        <v>18248</v>
      </c>
      <c r="G7438" s="45" t="s">
        <v>18249</v>
      </c>
      <c r="H7438" s="546">
        <v>34362.74</v>
      </c>
      <c r="I7438" s="47">
        <v>45306</v>
      </c>
      <c r="J7438" s="73" t="s">
        <v>18250</v>
      </c>
      <c r="K7438" s="58"/>
      <c r="M7438" s="70"/>
      <c r="N7438" s="97"/>
      <c r="O7438" s="58" t="s">
        <v>147</v>
      </c>
      <c r="P7438" s="58" t="s">
        <v>22</v>
      </c>
      <c r="Q7438" s="45" t="s">
        <v>119</v>
      </c>
      <c r="R7438" s="45" t="s">
        <v>272</v>
      </c>
    </row>
    <row r="7439" spans="1:18" ht="69" customHeight="1">
      <c r="A7439" s="168"/>
      <c r="B7439" s="62">
        <f t="shared" si="40"/>
        <v>111</v>
      </c>
      <c r="C7439" s="59" t="s">
        <v>458</v>
      </c>
      <c r="D7439" s="84" t="s">
        <v>14300</v>
      </c>
      <c r="E7439" s="45" t="s">
        <v>7975</v>
      </c>
      <c r="F7439" s="45" t="s">
        <v>18251</v>
      </c>
      <c r="G7439" s="45" t="s">
        <v>18252</v>
      </c>
      <c r="H7439" s="546">
        <v>18503.009999999998</v>
      </c>
      <c r="I7439" s="47">
        <v>45306</v>
      </c>
      <c r="J7439" s="73" t="s">
        <v>18250</v>
      </c>
      <c r="K7439" s="58"/>
      <c r="M7439" s="70"/>
      <c r="N7439" s="97"/>
      <c r="O7439" s="58" t="s">
        <v>147</v>
      </c>
      <c r="P7439" s="58" t="s">
        <v>22</v>
      </c>
      <c r="Q7439" s="45" t="s">
        <v>119</v>
      </c>
      <c r="R7439" s="45" t="s">
        <v>272</v>
      </c>
    </row>
    <row r="7440" spans="1:18" ht="69" customHeight="1">
      <c r="A7440" s="168"/>
      <c r="B7440" s="62">
        <f t="shared" si="40"/>
        <v>112</v>
      </c>
      <c r="C7440" s="59" t="s">
        <v>458</v>
      </c>
      <c r="D7440" s="174" t="s">
        <v>14302</v>
      </c>
      <c r="E7440" s="58" t="s">
        <v>15522</v>
      </c>
      <c r="F7440" s="58" t="s">
        <v>18253</v>
      </c>
      <c r="G7440" s="58" t="s">
        <v>18254</v>
      </c>
      <c r="H7440" s="546">
        <v>28060</v>
      </c>
      <c r="I7440" s="47">
        <v>45306</v>
      </c>
      <c r="J7440" s="73" t="s">
        <v>18255</v>
      </c>
      <c r="K7440" s="58"/>
      <c r="M7440" s="70"/>
      <c r="N7440" s="97"/>
      <c r="O7440" s="58" t="s">
        <v>10607</v>
      </c>
      <c r="P7440" s="58" t="s">
        <v>22</v>
      </c>
      <c r="Q7440" s="45" t="s">
        <v>117</v>
      </c>
      <c r="R7440" s="45" t="s">
        <v>265</v>
      </c>
    </row>
    <row r="7441" spans="1:18" ht="69" customHeight="1">
      <c r="A7441" s="168"/>
      <c r="B7441" s="62">
        <f t="shared" si="40"/>
        <v>113</v>
      </c>
      <c r="C7441" s="59" t="s">
        <v>10621</v>
      </c>
      <c r="D7441" s="174" t="s">
        <v>18256</v>
      </c>
      <c r="E7441" s="58" t="s">
        <v>921</v>
      </c>
      <c r="F7441" s="58" t="s">
        <v>18257</v>
      </c>
      <c r="G7441" s="58" t="s">
        <v>18258</v>
      </c>
      <c r="H7441" s="546">
        <v>340000</v>
      </c>
      <c r="I7441" s="47">
        <v>45316</v>
      </c>
      <c r="J7441" s="73" t="s">
        <v>18259</v>
      </c>
      <c r="K7441" s="58"/>
      <c r="M7441" s="70"/>
      <c r="N7441" s="97"/>
      <c r="O7441" s="58" t="s">
        <v>156</v>
      </c>
      <c r="P7441" s="58" t="s">
        <v>19</v>
      </c>
      <c r="Q7441" s="45" t="s">
        <v>66</v>
      </c>
      <c r="R7441" s="45" t="s">
        <v>272</v>
      </c>
    </row>
    <row r="7442" spans="1:18" s="98" customFormat="1" ht="69" customHeight="1">
      <c r="A7442" s="169"/>
      <c r="B7442" s="48">
        <f t="shared" si="40"/>
        <v>114</v>
      </c>
      <c r="C7442" s="44" t="s">
        <v>13562</v>
      </c>
      <c r="D7442" s="84" t="s">
        <v>14455</v>
      </c>
      <c r="E7442" s="45" t="s">
        <v>921</v>
      </c>
      <c r="F7442" s="45" t="s">
        <v>18260</v>
      </c>
      <c r="G7442" s="45" t="s">
        <v>18258</v>
      </c>
      <c r="H7442" s="546">
        <v>250000</v>
      </c>
      <c r="I7442" s="47">
        <v>45316</v>
      </c>
      <c r="J7442" s="73" t="s">
        <v>18261</v>
      </c>
      <c r="K7442" s="45"/>
      <c r="M7442" s="385"/>
      <c r="N7442" s="75"/>
      <c r="O7442" s="45" t="s">
        <v>156</v>
      </c>
      <c r="P7442" s="58" t="s">
        <v>73</v>
      </c>
      <c r="Q7442" s="45" t="s">
        <v>88</v>
      </c>
      <c r="R7442" s="45" t="s">
        <v>272</v>
      </c>
    </row>
    <row r="7443" spans="1:18" ht="69" customHeight="1">
      <c r="A7443" s="168"/>
      <c r="B7443" s="62">
        <f t="shared" si="40"/>
        <v>115</v>
      </c>
      <c r="C7443" s="59" t="s">
        <v>9094</v>
      </c>
      <c r="D7443" s="174" t="s">
        <v>18262</v>
      </c>
      <c r="E7443" s="58" t="s">
        <v>921</v>
      </c>
      <c r="F7443" s="58" t="s">
        <v>18263</v>
      </c>
      <c r="G7443" s="58" t="s">
        <v>18258</v>
      </c>
      <c r="H7443" s="546">
        <v>300000</v>
      </c>
      <c r="I7443" s="47">
        <v>45316</v>
      </c>
      <c r="J7443" s="73" t="s">
        <v>18264</v>
      </c>
      <c r="K7443" s="58"/>
      <c r="M7443" s="70"/>
      <c r="N7443" s="97"/>
      <c r="O7443" s="58" t="s">
        <v>156</v>
      </c>
      <c r="P7443" s="45" t="s">
        <v>73</v>
      </c>
      <c r="Q7443" s="45" t="s">
        <v>112</v>
      </c>
      <c r="R7443" s="45" t="s">
        <v>272</v>
      </c>
    </row>
    <row r="7444" spans="1:18" ht="69" customHeight="1">
      <c r="A7444" s="168"/>
      <c r="B7444" s="52">
        <f t="shared" si="40"/>
        <v>116</v>
      </c>
      <c r="C7444" s="191" t="s">
        <v>657</v>
      </c>
      <c r="D7444" s="251" t="s">
        <v>4012</v>
      </c>
      <c r="E7444" s="46" t="s">
        <v>16966</v>
      </c>
      <c r="F7444" s="46" t="s">
        <v>18265</v>
      </c>
      <c r="G7444" s="46" t="s">
        <v>18266</v>
      </c>
      <c r="H7444" s="534">
        <v>71805.23</v>
      </c>
      <c r="I7444" s="56">
        <v>45306</v>
      </c>
      <c r="J7444" s="199" t="s">
        <v>18267</v>
      </c>
      <c r="K7444" s="46"/>
      <c r="M7444" s="70"/>
      <c r="N7444" s="97"/>
      <c r="O7444" s="46" t="s">
        <v>147</v>
      </c>
      <c r="P7444" s="46" t="s">
        <v>22</v>
      </c>
      <c r="Q7444" s="46" t="s">
        <v>110</v>
      </c>
      <c r="R7444" s="46" t="s">
        <v>272</v>
      </c>
    </row>
    <row r="7445" spans="1:18" ht="69" customHeight="1">
      <c r="A7445" s="168"/>
      <c r="B7445" s="52">
        <f t="shared" si="40"/>
        <v>117</v>
      </c>
      <c r="C7445" s="191" t="s">
        <v>657</v>
      </c>
      <c r="D7445" s="251" t="s">
        <v>4016</v>
      </c>
      <c r="E7445" s="46" t="s">
        <v>16966</v>
      </c>
      <c r="F7445" s="46" t="s">
        <v>18268</v>
      </c>
      <c r="G7445" s="46" t="s">
        <v>18269</v>
      </c>
      <c r="H7445" s="534">
        <v>38664.35</v>
      </c>
      <c r="I7445" s="56">
        <v>45306</v>
      </c>
      <c r="J7445" s="199" t="s">
        <v>18267</v>
      </c>
      <c r="K7445" s="46"/>
      <c r="M7445" s="70"/>
      <c r="N7445" s="97"/>
      <c r="O7445" s="46" t="s">
        <v>147</v>
      </c>
      <c r="P7445" s="46" t="s">
        <v>22</v>
      </c>
      <c r="Q7445" s="46" t="s">
        <v>110</v>
      </c>
      <c r="R7445" s="46" t="s">
        <v>272</v>
      </c>
    </row>
    <row r="7446" spans="1:18" ht="69" customHeight="1">
      <c r="A7446" s="168"/>
      <c r="B7446" s="62">
        <f t="shared" si="40"/>
        <v>118</v>
      </c>
      <c r="C7446" s="59" t="s">
        <v>3647</v>
      </c>
      <c r="D7446" s="174" t="s">
        <v>18270</v>
      </c>
      <c r="E7446" s="58" t="s">
        <v>11332</v>
      </c>
      <c r="F7446" s="58" t="s">
        <v>18271</v>
      </c>
      <c r="G7446" s="58" t="s">
        <v>18272</v>
      </c>
      <c r="H7446" s="546">
        <v>214344.48</v>
      </c>
      <c r="I7446" s="47">
        <v>45316</v>
      </c>
      <c r="J7446" s="73" t="s">
        <v>18273</v>
      </c>
      <c r="K7446" s="58"/>
      <c r="M7446" s="70"/>
      <c r="N7446" s="97"/>
      <c r="O7446" s="58" t="s">
        <v>195</v>
      </c>
      <c r="P7446" s="58" t="s">
        <v>19</v>
      </c>
      <c r="Q7446" s="45" t="s">
        <v>47</v>
      </c>
      <c r="R7446" s="45" t="s">
        <v>272</v>
      </c>
    </row>
    <row r="7447" spans="1:18" ht="69" customHeight="1">
      <c r="A7447" s="168"/>
      <c r="B7447" s="62">
        <v>4586</v>
      </c>
      <c r="C7447" s="59" t="s">
        <v>3933</v>
      </c>
      <c r="D7447" s="174" t="s">
        <v>18274</v>
      </c>
      <c r="E7447" s="58" t="s">
        <v>11332</v>
      </c>
      <c r="F7447" s="58" t="s">
        <v>18275</v>
      </c>
      <c r="G7447" s="58" t="s">
        <v>18272</v>
      </c>
      <c r="H7447" s="546">
        <v>434216.01</v>
      </c>
      <c r="I7447" s="47">
        <v>45316</v>
      </c>
      <c r="J7447" s="73" t="s">
        <v>18273</v>
      </c>
      <c r="K7447" s="58"/>
      <c r="M7447" s="70"/>
      <c r="N7447" s="97"/>
      <c r="O7447" s="58" t="s">
        <v>195</v>
      </c>
      <c r="P7447" s="58" t="s">
        <v>19</v>
      </c>
      <c r="Q7447" s="45" t="s">
        <v>52</v>
      </c>
      <c r="R7447" s="45" t="s">
        <v>272</v>
      </c>
    </row>
    <row r="7448" spans="1:18" ht="69" customHeight="1">
      <c r="A7448" s="168"/>
      <c r="B7448" s="62">
        <f t="shared" ref="B7448:B7479" si="41">B7447+1</f>
        <v>4587</v>
      </c>
      <c r="C7448" s="59" t="s">
        <v>458</v>
      </c>
      <c r="D7448" s="174" t="s">
        <v>14401</v>
      </c>
      <c r="E7448" s="58" t="s">
        <v>16011</v>
      </c>
      <c r="F7448" s="58" t="s">
        <v>18276</v>
      </c>
      <c r="G7448" s="58" t="s">
        <v>16634</v>
      </c>
      <c r="H7448" s="546">
        <v>2503.13</v>
      </c>
      <c r="I7448" s="47">
        <v>45316</v>
      </c>
      <c r="J7448" s="73" t="s">
        <v>18277</v>
      </c>
      <c r="K7448" s="58"/>
      <c r="M7448" s="70"/>
      <c r="N7448" s="97"/>
      <c r="O7448" s="58" t="s">
        <v>150</v>
      </c>
      <c r="P7448" s="58" t="s">
        <v>51</v>
      </c>
      <c r="Q7448" s="45" t="s">
        <v>107</v>
      </c>
      <c r="R7448" s="45" t="s">
        <v>272</v>
      </c>
    </row>
    <row r="7449" spans="1:18" ht="69" customHeight="1">
      <c r="A7449" s="168"/>
      <c r="B7449" s="62">
        <f t="shared" si="41"/>
        <v>4588</v>
      </c>
      <c r="C7449" s="124" t="s">
        <v>12295</v>
      </c>
      <c r="D7449" s="174" t="s">
        <v>18278</v>
      </c>
      <c r="E7449" s="58" t="s">
        <v>14444</v>
      </c>
      <c r="F7449" s="58" t="s">
        <v>18279</v>
      </c>
      <c r="G7449" s="58" t="s">
        <v>18280</v>
      </c>
      <c r="H7449" s="546">
        <v>158120.23000000001</v>
      </c>
      <c r="I7449" s="47">
        <v>45316</v>
      </c>
      <c r="J7449" s="73" t="s">
        <v>18281</v>
      </c>
      <c r="K7449" s="58"/>
      <c r="M7449" s="70"/>
      <c r="N7449" s="97"/>
      <c r="O7449" s="58" t="s">
        <v>154</v>
      </c>
      <c r="P7449" s="58" t="s">
        <v>57</v>
      </c>
      <c r="Q7449" s="45" t="s">
        <v>68</v>
      </c>
      <c r="R7449" s="45" t="s">
        <v>272</v>
      </c>
    </row>
    <row r="7450" spans="1:18" ht="69" customHeight="1">
      <c r="A7450" s="168"/>
      <c r="B7450" s="62">
        <f t="shared" si="41"/>
        <v>4589</v>
      </c>
      <c r="C7450" s="124" t="s">
        <v>12295</v>
      </c>
      <c r="D7450" s="174" t="s">
        <v>18282</v>
      </c>
      <c r="E7450" s="58" t="s">
        <v>14444</v>
      </c>
      <c r="F7450" s="58" t="s">
        <v>18283</v>
      </c>
      <c r="G7450" s="58" t="s">
        <v>18284</v>
      </c>
      <c r="H7450" s="546">
        <v>104686.11</v>
      </c>
      <c r="I7450" s="47">
        <v>45316</v>
      </c>
      <c r="J7450" s="73" t="s">
        <v>18285</v>
      </c>
      <c r="K7450" s="58"/>
      <c r="M7450" s="70"/>
      <c r="N7450" s="97"/>
      <c r="O7450" s="58" t="s">
        <v>154</v>
      </c>
      <c r="P7450" s="58" t="s">
        <v>57</v>
      </c>
      <c r="Q7450" s="45" t="s">
        <v>68</v>
      </c>
      <c r="R7450" s="45" t="s">
        <v>272</v>
      </c>
    </row>
    <row r="7451" spans="1:18" ht="69" customHeight="1">
      <c r="A7451" s="168"/>
      <c r="B7451" s="259">
        <f t="shared" si="41"/>
        <v>4590</v>
      </c>
      <c r="C7451" s="207" t="s">
        <v>3667</v>
      </c>
      <c r="D7451" s="303" t="s">
        <v>18286</v>
      </c>
      <c r="E7451" s="207" t="s">
        <v>266</v>
      </c>
      <c r="F7451" s="208" t="s">
        <v>18287</v>
      </c>
      <c r="G7451" s="160" t="s">
        <v>18288</v>
      </c>
      <c r="H7451" s="300">
        <v>11073.92</v>
      </c>
      <c r="I7451" s="209">
        <v>45316</v>
      </c>
      <c r="J7451" s="316" t="s">
        <v>18289</v>
      </c>
      <c r="K7451" s="160" t="s">
        <v>67</v>
      </c>
      <c r="M7451" s="70"/>
      <c r="N7451" s="97"/>
      <c r="O7451" s="160" t="s">
        <v>10810</v>
      </c>
      <c r="P7451" s="160" t="s">
        <v>67</v>
      </c>
      <c r="Q7451" s="160" t="s">
        <v>49</v>
      </c>
      <c r="R7451" s="160" t="s">
        <v>272</v>
      </c>
    </row>
    <row r="7452" spans="1:18" ht="69" customHeight="1">
      <c r="A7452" s="168"/>
      <c r="B7452" s="259">
        <f t="shared" si="41"/>
        <v>4591</v>
      </c>
      <c r="C7452" s="207" t="s">
        <v>309</v>
      </c>
      <c r="D7452" s="303" t="s">
        <v>13396</v>
      </c>
      <c r="E7452" s="207" t="s">
        <v>266</v>
      </c>
      <c r="F7452" s="208" t="s">
        <v>18290</v>
      </c>
      <c r="G7452" s="160" t="s">
        <v>18288</v>
      </c>
      <c r="H7452" s="300">
        <v>8651.5</v>
      </c>
      <c r="I7452" s="209">
        <v>45316</v>
      </c>
      <c r="J7452" s="316" t="s">
        <v>18289</v>
      </c>
      <c r="K7452" s="160" t="s">
        <v>67</v>
      </c>
      <c r="M7452" s="70"/>
      <c r="N7452" s="97"/>
      <c r="O7452" s="160" t="s">
        <v>10810</v>
      </c>
      <c r="P7452" s="160" t="s">
        <v>67</v>
      </c>
      <c r="Q7452" s="160" t="s">
        <v>15</v>
      </c>
      <c r="R7452" s="160" t="s">
        <v>272</v>
      </c>
    </row>
    <row r="7453" spans="1:18" ht="69" customHeight="1">
      <c r="A7453" s="168"/>
      <c r="B7453" s="259">
        <f t="shared" si="41"/>
        <v>4592</v>
      </c>
      <c r="C7453" s="160" t="s">
        <v>458</v>
      </c>
      <c r="D7453" s="303" t="s">
        <v>14422</v>
      </c>
      <c r="E7453" s="207" t="s">
        <v>266</v>
      </c>
      <c r="F7453" s="208" t="s">
        <v>18291</v>
      </c>
      <c r="G7453" s="160" t="s">
        <v>18288</v>
      </c>
      <c r="H7453" s="300">
        <v>8651.5</v>
      </c>
      <c r="I7453" s="209">
        <v>45316</v>
      </c>
      <c r="J7453" s="316" t="s">
        <v>18289</v>
      </c>
      <c r="K7453" s="160" t="s">
        <v>67</v>
      </c>
      <c r="M7453" s="70"/>
      <c r="N7453" s="97"/>
      <c r="O7453" s="160" t="s">
        <v>10810</v>
      </c>
      <c r="P7453" s="160" t="s">
        <v>67</v>
      </c>
      <c r="Q7453" s="160" t="s">
        <v>90</v>
      </c>
      <c r="R7453" s="160" t="s">
        <v>272</v>
      </c>
    </row>
    <row r="7454" spans="1:18" ht="69" customHeight="1">
      <c r="A7454" s="168"/>
      <c r="B7454" s="259">
        <f t="shared" si="41"/>
        <v>4593</v>
      </c>
      <c r="C7454" s="207" t="s">
        <v>657</v>
      </c>
      <c r="D7454" s="303" t="s">
        <v>4023</v>
      </c>
      <c r="E7454" s="207" t="s">
        <v>266</v>
      </c>
      <c r="F7454" s="208" t="s">
        <v>18292</v>
      </c>
      <c r="G7454" s="160" t="s">
        <v>18288</v>
      </c>
      <c r="H7454" s="300">
        <v>6229.08</v>
      </c>
      <c r="I7454" s="209">
        <v>45316</v>
      </c>
      <c r="J7454" s="316" t="s">
        <v>18289</v>
      </c>
      <c r="K7454" s="160" t="s">
        <v>67</v>
      </c>
      <c r="M7454" s="70"/>
      <c r="N7454" s="97"/>
      <c r="O7454" s="160" t="s">
        <v>10810</v>
      </c>
      <c r="P7454" s="160" t="s">
        <v>67</v>
      </c>
      <c r="Q7454" s="160" t="s">
        <v>99</v>
      </c>
      <c r="R7454" s="160" t="s">
        <v>272</v>
      </c>
    </row>
    <row r="7455" spans="1:18" ht="69" customHeight="1">
      <c r="A7455" s="168"/>
      <c r="B7455" s="62">
        <f t="shared" si="41"/>
        <v>4594</v>
      </c>
      <c r="C7455" s="59" t="s">
        <v>3667</v>
      </c>
      <c r="D7455" s="174" t="s">
        <v>18293</v>
      </c>
      <c r="E7455" s="58" t="s">
        <v>7975</v>
      </c>
      <c r="F7455" s="58" t="s">
        <v>18294</v>
      </c>
      <c r="G7455" s="45" t="s">
        <v>18295</v>
      </c>
      <c r="H7455" s="546">
        <v>188026.92</v>
      </c>
      <c r="I7455" s="47">
        <v>45306</v>
      </c>
      <c r="J7455" s="73" t="s">
        <v>18296</v>
      </c>
      <c r="K7455" s="58"/>
      <c r="M7455" s="70"/>
      <c r="N7455" s="97"/>
      <c r="O7455" s="58" t="s">
        <v>147</v>
      </c>
      <c r="P7455" s="58" t="s">
        <v>22</v>
      </c>
      <c r="Q7455" s="45" t="s">
        <v>78</v>
      </c>
      <c r="R7455" s="45" t="s">
        <v>272</v>
      </c>
    </row>
    <row r="7456" spans="1:18" ht="69" customHeight="1">
      <c r="A7456" s="168"/>
      <c r="B7456" s="62">
        <f t="shared" si="41"/>
        <v>4595</v>
      </c>
      <c r="C7456" s="59" t="s">
        <v>3667</v>
      </c>
      <c r="D7456" s="174" t="s">
        <v>18297</v>
      </c>
      <c r="E7456" s="58" t="s">
        <v>7975</v>
      </c>
      <c r="F7456" s="58" t="s">
        <v>18298</v>
      </c>
      <c r="G7456" s="45" t="s">
        <v>18299</v>
      </c>
      <c r="H7456" s="546">
        <v>101245.26</v>
      </c>
      <c r="I7456" s="47">
        <v>45306</v>
      </c>
      <c r="J7456" s="73" t="s">
        <v>18296</v>
      </c>
      <c r="K7456" s="58"/>
      <c r="M7456" s="70"/>
      <c r="N7456" s="97"/>
      <c r="O7456" s="58" t="s">
        <v>147</v>
      </c>
      <c r="P7456" s="58" t="s">
        <v>22</v>
      </c>
      <c r="Q7456" s="45" t="s">
        <v>78</v>
      </c>
      <c r="R7456" s="45" t="s">
        <v>272</v>
      </c>
    </row>
    <row r="7457" spans="1:18" ht="69" customHeight="1">
      <c r="A7457" s="168"/>
      <c r="B7457" s="48">
        <f t="shared" si="41"/>
        <v>4596</v>
      </c>
      <c r="C7457" s="124" t="s">
        <v>10612</v>
      </c>
      <c r="D7457" s="84" t="s">
        <v>18300</v>
      </c>
      <c r="E7457" s="45" t="s">
        <v>266</v>
      </c>
      <c r="F7457" s="45" t="s">
        <v>18301</v>
      </c>
      <c r="G7457" s="45" t="s">
        <v>18302</v>
      </c>
      <c r="H7457" s="198">
        <v>5821.02</v>
      </c>
      <c r="I7457" s="47">
        <v>45316</v>
      </c>
      <c r="J7457" s="73" t="s">
        <v>18303</v>
      </c>
      <c r="K7457" s="45" t="s">
        <v>18304</v>
      </c>
      <c r="M7457" s="70"/>
      <c r="N7457" s="97"/>
      <c r="O7457" s="45" t="s">
        <v>17289</v>
      </c>
      <c r="P7457" s="45" t="s">
        <v>51</v>
      </c>
      <c r="Q7457" s="45" t="s">
        <v>86</v>
      </c>
      <c r="R7457" s="45" t="s">
        <v>272</v>
      </c>
    </row>
    <row r="7458" spans="1:18" ht="69" customHeight="1">
      <c r="A7458" s="168"/>
      <c r="B7458" s="48">
        <f t="shared" si="41"/>
        <v>4597</v>
      </c>
      <c r="C7458" s="124" t="s">
        <v>12295</v>
      </c>
      <c r="D7458" s="84" t="s">
        <v>18305</v>
      </c>
      <c r="E7458" s="45" t="s">
        <v>266</v>
      </c>
      <c r="F7458" s="45" t="s">
        <v>18306</v>
      </c>
      <c r="G7458" s="45" t="s">
        <v>18302</v>
      </c>
      <c r="H7458" s="198">
        <v>5821.02</v>
      </c>
      <c r="I7458" s="47">
        <v>45316</v>
      </c>
      <c r="J7458" s="73" t="s">
        <v>18303</v>
      </c>
      <c r="K7458" s="45"/>
      <c r="M7458" s="70"/>
      <c r="N7458" s="97"/>
      <c r="O7458" s="45" t="s">
        <v>17289</v>
      </c>
      <c r="P7458" s="45" t="s">
        <v>51</v>
      </c>
      <c r="Q7458" s="45" t="s">
        <v>68</v>
      </c>
      <c r="R7458" s="45" t="s">
        <v>272</v>
      </c>
    </row>
    <row r="7459" spans="1:18" s="98" customFormat="1" ht="69" customHeight="1">
      <c r="A7459" s="169"/>
      <c r="B7459" s="48">
        <f t="shared" si="41"/>
        <v>4598</v>
      </c>
      <c r="C7459" s="45" t="s">
        <v>11055</v>
      </c>
      <c r="D7459" s="84" t="s">
        <v>17811</v>
      </c>
      <c r="E7459" s="45" t="s">
        <v>7975</v>
      </c>
      <c r="F7459" s="45" t="s">
        <v>18307</v>
      </c>
      <c r="G7459" s="45" t="s">
        <v>18308</v>
      </c>
      <c r="H7459" s="546">
        <v>36321.49</v>
      </c>
      <c r="I7459" s="47">
        <v>45311</v>
      </c>
      <c r="J7459" s="73" t="s">
        <v>18309</v>
      </c>
      <c r="K7459" s="45"/>
      <c r="M7459" s="385"/>
      <c r="N7459" s="75"/>
      <c r="O7459" s="45" t="s">
        <v>147</v>
      </c>
      <c r="P7459" s="45" t="s">
        <v>22</v>
      </c>
      <c r="Q7459" s="45" t="s">
        <v>45</v>
      </c>
      <c r="R7459" s="45" t="s">
        <v>272</v>
      </c>
    </row>
    <row r="7460" spans="1:18" s="98" customFormat="1" ht="69" customHeight="1">
      <c r="A7460" s="169"/>
      <c r="B7460" s="48">
        <f t="shared" si="41"/>
        <v>4599</v>
      </c>
      <c r="C7460" s="45" t="s">
        <v>11055</v>
      </c>
      <c r="D7460" s="84" t="s">
        <v>17496</v>
      </c>
      <c r="E7460" s="45" t="s">
        <v>7975</v>
      </c>
      <c r="F7460" s="45" t="s">
        <v>18310</v>
      </c>
      <c r="G7460" s="45" t="s">
        <v>18311</v>
      </c>
      <c r="H7460" s="546">
        <v>29717.58</v>
      </c>
      <c r="I7460" s="47">
        <v>45311</v>
      </c>
      <c r="J7460" s="73" t="s">
        <v>18309</v>
      </c>
      <c r="K7460" s="45"/>
      <c r="M7460" s="385"/>
      <c r="N7460" s="75"/>
      <c r="O7460" s="45" t="s">
        <v>147</v>
      </c>
      <c r="P7460" s="45" t="s">
        <v>22</v>
      </c>
      <c r="Q7460" s="45" t="s">
        <v>45</v>
      </c>
      <c r="R7460" s="45" t="s">
        <v>272</v>
      </c>
    </row>
    <row r="7461" spans="1:18" ht="69" customHeight="1">
      <c r="A7461" s="168"/>
      <c r="B7461" s="62">
        <f t="shared" si="41"/>
        <v>4600</v>
      </c>
      <c r="C7461" s="58" t="s">
        <v>458</v>
      </c>
      <c r="D7461" s="174" t="s">
        <v>14432</v>
      </c>
      <c r="E7461" s="58" t="s">
        <v>7975</v>
      </c>
      <c r="F7461" s="58" t="s">
        <v>18312</v>
      </c>
      <c r="G7461" s="45" t="s">
        <v>18313</v>
      </c>
      <c r="H7461" s="546">
        <v>37530.11</v>
      </c>
      <c r="I7461" s="47">
        <v>45311</v>
      </c>
      <c r="J7461" s="73" t="s">
        <v>18314</v>
      </c>
      <c r="K7461" s="58"/>
      <c r="M7461" s="70"/>
      <c r="N7461" s="97"/>
      <c r="O7461" s="58" t="s">
        <v>147</v>
      </c>
      <c r="P7461" s="58" t="s">
        <v>22</v>
      </c>
      <c r="Q7461" s="45" t="s">
        <v>103</v>
      </c>
      <c r="R7461" s="45" t="s">
        <v>272</v>
      </c>
    </row>
    <row r="7462" spans="1:18" ht="69" customHeight="1">
      <c r="A7462" s="168"/>
      <c r="B7462" s="62">
        <f t="shared" si="41"/>
        <v>4601</v>
      </c>
      <c r="C7462" s="58" t="s">
        <v>458</v>
      </c>
      <c r="D7462" s="174" t="s">
        <v>14439</v>
      </c>
      <c r="E7462" s="58" t="s">
        <v>7975</v>
      </c>
      <c r="F7462" s="58" t="s">
        <v>18315</v>
      </c>
      <c r="G7462" s="45" t="s">
        <v>18316</v>
      </c>
      <c r="H7462" s="546">
        <v>20208.52</v>
      </c>
      <c r="I7462" s="47">
        <v>45311</v>
      </c>
      <c r="J7462" s="73" t="s">
        <v>18314</v>
      </c>
      <c r="K7462" s="58"/>
      <c r="M7462" s="70"/>
      <c r="N7462" s="97"/>
      <c r="O7462" s="58" t="s">
        <v>147</v>
      </c>
      <c r="P7462" s="58" t="s">
        <v>22</v>
      </c>
      <c r="Q7462" s="45" t="s">
        <v>103</v>
      </c>
      <c r="R7462" s="45" t="s">
        <v>272</v>
      </c>
    </row>
    <row r="7463" spans="1:18" ht="69" customHeight="1">
      <c r="A7463" s="168"/>
      <c r="B7463" s="62">
        <f t="shared" si="41"/>
        <v>4602</v>
      </c>
      <c r="C7463" s="58" t="s">
        <v>581</v>
      </c>
      <c r="D7463" s="174" t="s">
        <v>13454</v>
      </c>
      <c r="E7463" s="58" t="s">
        <v>17367</v>
      </c>
      <c r="F7463" s="58" t="s">
        <v>18317</v>
      </c>
      <c r="G7463" s="58" t="s">
        <v>16273</v>
      </c>
      <c r="H7463" s="546">
        <v>50000</v>
      </c>
      <c r="I7463" s="47">
        <v>45316</v>
      </c>
      <c r="J7463" s="73" t="s">
        <v>18318</v>
      </c>
      <c r="K7463" s="58"/>
      <c r="M7463" s="70"/>
      <c r="N7463" s="97"/>
      <c r="O7463" s="58" t="s">
        <v>175</v>
      </c>
      <c r="P7463" s="58" t="s">
        <v>59</v>
      </c>
      <c r="Q7463" s="45" t="s">
        <v>18</v>
      </c>
      <c r="R7463" s="45" t="s">
        <v>265</v>
      </c>
    </row>
    <row r="7464" spans="1:18" ht="69" customHeight="1">
      <c r="A7464" s="168"/>
      <c r="B7464" s="52">
        <f t="shared" si="41"/>
        <v>4603</v>
      </c>
      <c r="C7464" s="538" t="s">
        <v>3647</v>
      </c>
      <c r="D7464" s="251" t="s">
        <v>18319</v>
      </c>
      <c r="E7464" s="46" t="s">
        <v>266</v>
      </c>
      <c r="F7464" s="46" t="s">
        <v>18320</v>
      </c>
      <c r="G7464" s="46" t="s">
        <v>18321</v>
      </c>
      <c r="H7464" s="534">
        <v>21000</v>
      </c>
      <c r="I7464" s="56">
        <v>45316</v>
      </c>
      <c r="J7464" s="199" t="s">
        <v>18322</v>
      </c>
      <c r="K7464" s="46" t="s">
        <v>1170</v>
      </c>
      <c r="M7464" s="70"/>
      <c r="N7464" s="97"/>
      <c r="O7464" s="46" t="s">
        <v>1171</v>
      </c>
      <c r="P7464" s="46" t="s">
        <v>65</v>
      </c>
      <c r="Q7464" s="46" t="s">
        <v>47</v>
      </c>
      <c r="R7464" s="46" t="s">
        <v>272</v>
      </c>
    </row>
    <row r="7465" spans="1:18" ht="69" customHeight="1">
      <c r="A7465" s="168"/>
      <c r="B7465" s="52">
        <f t="shared" si="41"/>
        <v>4604</v>
      </c>
      <c r="C7465" s="538" t="s">
        <v>3933</v>
      </c>
      <c r="D7465" s="251" t="s">
        <v>18323</v>
      </c>
      <c r="E7465" s="46" t="s">
        <v>266</v>
      </c>
      <c r="F7465" s="46" t="s">
        <v>18324</v>
      </c>
      <c r="G7465" s="46" t="s">
        <v>18321</v>
      </c>
      <c r="H7465" s="534">
        <v>21000</v>
      </c>
      <c r="I7465" s="56">
        <v>45316</v>
      </c>
      <c r="J7465" s="199" t="s">
        <v>18322</v>
      </c>
      <c r="K7465" s="46" t="s">
        <v>1170</v>
      </c>
      <c r="M7465" s="70"/>
      <c r="N7465" s="97"/>
      <c r="O7465" s="46" t="s">
        <v>1171</v>
      </c>
      <c r="P7465" s="46" t="s">
        <v>65</v>
      </c>
      <c r="Q7465" s="46" t="s">
        <v>52</v>
      </c>
      <c r="R7465" s="46" t="s">
        <v>272</v>
      </c>
    </row>
    <row r="7466" spans="1:18" ht="69" customHeight="1">
      <c r="A7466" s="168"/>
      <c r="B7466" s="52">
        <f t="shared" si="41"/>
        <v>4605</v>
      </c>
      <c r="C7466" s="264" t="s">
        <v>5189</v>
      </c>
      <c r="D7466" s="251" t="s">
        <v>18325</v>
      </c>
      <c r="E7466" s="46" t="s">
        <v>266</v>
      </c>
      <c r="F7466" s="46" t="s">
        <v>18326</v>
      </c>
      <c r="G7466" s="46" t="s">
        <v>18321</v>
      </c>
      <c r="H7466" s="534">
        <v>20266.650000000001</v>
      </c>
      <c r="I7466" s="56">
        <v>45316</v>
      </c>
      <c r="J7466" s="199" t="s">
        <v>18322</v>
      </c>
      <c r="K7466" s="46" t="s">
        <v>1170</v>
      </c>
      <c r="M7466" s="70"/>
      <c r="N7466" s="97"/>
      <c r="O7466" s="46" t="s">
        <v>1171</v>
      </c>
      <c r="P7466" s="46" t="s">
        <v>65</v>
      </c>
      <c r="Q7466" s="46" t="s">
        <v>60</v>
      </c>
      <c r="R7466" s="46" t="s">
        <v>272</v>
      </c>
    </row>
    <row r="7467" spans="1:18" ht="69" customHeight="1">
      <c r="A7467" s="168"/>
      <c r="B7467" s="52">
        <f t="shared" si="41"/>
        <v>4606</v>
      </c>
      <c r="C7467" s="264" t="s">
        <v>5082</v>
      </c>
      <c r="D7467" s="251" t="s">
        <v>18327</v>
      </c>
      <c r="E7467" s="46" t="s">
        <v>266</v>
      </c>
      <c r="F7467" s="46" t="s">
        <v>18328</v>
      </c>
      <c r="G7467" s="46" t="s">
        <v>18321</v>
      </c>
      <c r="H7467" s="534">
        <v>20266.650000000001</v>
      </c>
      <c r="I7467" s="56">
        <v>45316</v>
      </c>
      <c r="J7467" s="199" t="s">
        <v>18322</v>
      </c>
      <c r="K7467" s="46" t="s">
        <v>1170</v>
      </c>
      <c r="M7467" s="70"/>
      <c r="N7467" s="97"/>
      <c r="O7467" s="46" t="s">
        <v>1171</v>
      </c>
      <c r="P7467" s="46" t="s">
        <v>65</v>
      </c>
      <c r="Q7467" s="46" t="s">
        <v>62</v>
      </c>
      <c r="R7467" s="46" t="s">
        <v>272</v>
      </c>
    </row>
    <row r="7468" spans="1:18" ht="69" customHeight="1">
      <c r="A7468" s="168"/>
      <c r="B7468" s="52">
        <f t="shared" si="41"/>
        <v>4607</v>
      </c>
      <c r="C7468" s="538" t="s">
        <v>5558</v>
      </c>
      <c r="D7468" s="251" t="s">
        <v>18329</v>
      </c>
      <c r="E7468" s="46" t="s">
        <v>266</v>
      </c>
      <c r="F7468" s="46" t="s">
        <v>18330</v>
      </c>
      <c r="G7468" s="46" t="s">
        <v>18321</v>
      </c>
      <c r="H7468" s="534">
        <v>20000</v>
      </c>
      <c r="I7468" s="56">
        <v>45316</v>
      </c>
      <c r="J7468" s="199" t="s">
        <v>18322</v>
      </c>
      <c r="K7468" s="46" t="s">
        <v>1170</v>
      </c>
      <c r="M7468" s="70"/>
      <c r="N7468" s="97"/>
      <c r="O7468" s="46" t="s">
        <v>1171</v>
      </c>
      <c r="P7468" s="46" t="s">
        <v>65</v>
      </c>
      <c r="Q7468" s="46" t="s">
        <v>64</v>
      </c>
      <c r="R7468" s="46" t="s">
        <v>272</v>
      </c>
    </row>
    <row r="7469" spans="1:18" ht="69" customHeight="1">
      <c r="A7469" s="168"/>
      <c r="B7469" s="62">
        <f t="shared" si="41"/>
        <v>4608</v>
      </c>
      <c r="C7469" s="59" t="s">
        <v>3667</v>
      </c>
      <c r="D7469" s="174" t="s">
        <v>18331</v>
      </c>
      <c r="E7469" s="58" t="s">
        <v>16011</v>
      </c>
      <c r="F7469" s="58" t="s">
        <v>18332</v>
      </c>
      <c r="G7469" s="58" t="s">
        <v>18333</v>
      </c>
      <c r="H7469" s="198">
        <v>29180</v>
      </c>
      <c r="I7469" s="47">
        <v>45316</v>
      </c>
      <c r="J7469" s="73" t="s">
        <v>18334</v>
      </c>
      <c r="K7469" s="58"/>
      <c r="M7469" s="70"/>
      <c r="N7469" s="97"/>
      <c r="O7469" s="58" t="s">
        <v>150</v>
      </c>
      <c r="P7469" s="58" t="s">
        <v>51</v>
      </c>
      <c r="Q7469" s="45" t="s">
        <v>86</v>
      </c>
      <c r="R7469" s="45" t="s">
        <v>272</v>
      </c>
    </row>
    <row r="7470" spans="1:18" ht="69" customHeight="1">
      <c r="A7470" s="168"/>
      <c r="B7470" s="62">
        <f t="shared" si="41"/>
        <v>4609</v>
      </c>
      <c r="C7470" s="59" t="s">
        <v>3667</v>
      </c>
      <c r="D7470" s="174" t="s">
        <v>18335</v>
      </c>
      <c r="E7470" s="58" t="s">
        <v>16011</v>
      </c>
      <c r="F7470" s="58" t="s">
        <v>18336</v>
      </c>
      <c r="G7470" s="58" t="s">
        <v>18114</v>
      </c>
      <c r="H7470" s="546">
        <v>12000</v>
      </c>
      <c r="I7470" s="47">
        <v>45316</v>
      </c>
      <c r="J7470" s="73" t="s">
        <v>18334</v>
      </c>
      <c r="K7470" s="58"/>
      <c r="M7470" s="70"/>
      <c r="N7470" s="97"/>
      <c r="O7470" s="58" t="s">
        <v>150</v>
      </c>
      <c r="P7470" s="58" t="s">
        <v>51</v>
      </c>
      <c r="Q7470" s="45" t="s">
        <v>72</v>
      </c>
      <c r="R7470" s="45" t="s">
        <v>272</v>
      </c>
    </row>
    <row r="7471" spans="1:18" ht="69" customHeight="1">
      <c r="A7471" s="168"/>
      <c r="B7471" s="62">
        <f t="shared" si="41"/>
        <v>4610</v>
      </c>
      <c r="C7471" s="201" t="s">
        <v>458</v>
      </c>
      <c r="D7471" s="174" t="s">
        <v>14451</v>
      </c>
      <c r="E7471" s="58" t="s">
        <v>16011</v>
      </c>
      <c r="F7471" s="58" t="s">
        <v>18337</v>
      </c>
      <c r="G7471" s="58" t="s">
        <v>18114</v>
      </c>
      <c r="H7471" s="546">
        <v>12000</v>
      </c>
      <c r="I7471" s="47">
        <v>45316</v>
      </c>
      <c r="J7471" s="73" t="s">
        <v>18334</v>
      </c>
      <c r="K7471" s="58"/>
      <c r="M7471" s="70"/>
      <c r="N7471" s="97"/>
      <c r="O7471" s="58" t="s">
        <v>150</v>
      </c>
      <c r="P7471" s="58" t="s">
        <v>51</v>
      </c>
      <c r="Q7471" s="45" t="s">
        <v>105</v>
      </c>
      <c r="R7471" s="45" t="s">
        <v>272</v>
      </c>
    </row>
    <row r="7472" spans="1:18" ht="69" customHeight="1">
      <c r="A7472" s="168"/>
      <c r="B7472" s="62">
        <f t="shared" si="41"/>
        <v>4611</v>
      </c>
      <c r="C7472" s="201" t="s">
        <v>458</v>
      </c>
      <c r="D7472" s="174" t="s">
        <v>14453</v>
      </c>
      <c r="E7472" s="58" t="s">
        <v>16011</v>
      </c>
      <c r="F7472" s="58" t="s">
        <v>18338</v>
      </c>
      <c r="G7472" s="58" t="s">
        <v>17918</v>
      </c>
      <c r="H7472" s="546">
        <v>2000</v>
      </c>
      <c r="I7472" s="47">
        <v>45316</v>
      </c>
      <c r="J7472" s="73" t="s">
        <v>18334</v>
      </c>
      <c r="K7472" s="58"/>
      <c r="L7472" s="407"/>
      <c r="M7472" s="391"/>
      <c r="N7472" s="78"/>
      <c r="O7472" s="58" t="s">
        <v>150</v>
      </c>
      <c r="P7472" s="58" t="s">
        <v>51</v>
      </c>
      <c r="Q7472" s="45" t="s">
        <v>114</v>
      </c>
      <c r="R7472" s="45" t="s">
        <v>272</v>
      </c>
    </row>
    <row r="7473" spans="2:18" ht="69" customHeight="1">
      <c r="B7473" s="62">
        <f t="shared" si="41"/>
        <v>4612</v>
      </c>
      <c r="C7473" s="201" t="s">
        <v>657</v>
      </c>
      <c r="D7473" s="545" t="s">
        <v>5132</v>
      </c>
      <c r="E7473" s="58" t="s">
        <v>16011</v>
      </c>
      <c r="F7473" s="58" t="s">
        <v>18339</v>
      </c>
      <c r="G7473" s="58" t="s">
        <v>18114</v>
      </c>
      <c r="H7473" s="546">
        <v>12000</v>
      </c>
      <c r="I7473" s="47">
        <v>45316</v>
      </c>
      <c r="J7473" s="73" t="s">
        <v>18334</v>
      </c>
      <c r="K7473" s="67"/>
      <c r="L7473" s="407"/>
      <c r="M7473" s="122"/>
      <c r="N7473" s="112"/>
      <c r="O7473" s="58" t="s">
        <v>150</v>
      </c>
      <c r="P7473" s="58" t="s">
        <v>51</v>
      </c>
      <c r="Q7473" s="45" t="s">
        <v>120</v>
      </c>
      <c r="R7473" s="45" t="s">
        <v>272</v>
      </c>
    </row>
    <row r="7474" spans="2:18" ht="69" customHeight="1">
      <c r="B7474" s="62">
        <f t="shared" si="41"/>
        <v>4613</v>
      </c>
      <c r="C7474" s="58" t="s">
        <v>581</v>
      </c>
      <c r="D7474" s="174" t="s">
        <v>18340</v>
      </c>
      <c r="E7474" s="58" t="s">
        <v>17367</v>
      </c>
      <c r="F7474" s="58" t="s">
        <v>18341</v>
      </c>
      <c r="G7474" s="58" t="s">
        <v>18342</v>
      </c>
      <c r="H7474" s="546">
        <v>80000</v>
      </c>
      <c r="I7474" s="47">
        <v>45316</v>
      </c>
      <c r="J7474" s="73" t="s">
        <v>18343</v>
      </c>
      <c r="K7474" s="58"/>
      <c r="M7474" s="70"/>
      <c r="N7474" s="97"/>
      <c r="O7474" s="58" t="s">
        <v>175</v>
      </c>
      <c r="P7474" s="58" t="s">
        <v>59</v>
      </c>
      <c r="Q7474" s="45" t="s">
        <v>18</v>
      </c>
      <c r="R7474" s="45" t="s">
        <v>265</v>
      </c>
    </row>
    <row r="7475" spans="2:18" ht="69" customHeight="1">
      <c r="B7475" s="62">
        <f t="shared" si="41"/>
        <v>4614</v>
      </c>
      <c r="C7475" s="58" t="s">
        <v>581</v>
      </c>
      <c r="D7475" s="545" t="s">
        <v>13464</v>
      </c>
      <c r="E7475" s="58" t="s">
        <v>17367</v>
      </c>
      <c r="F7475" s="58" t="s">
        <v>18344</v>
      </c>
      <c r="G7475" s="58" t="s">
        <v>18342</v>
      </c>
      <c r="H7475" s="546">
        <v>100000</v>
      </c>
      <c r="I7475" s="47">
        <v>45316</v>
      </c>
      <c r="J7475" s="73" t="s">
        <v>18343</v>
      </c>
      <c r="K7475" s="67"/>
      <c r="L7475" s="407"/>
      <c r="O7475" s="58" t="s">
        <v>175</v>
      </c>
      <c r="P7475" s="58" t="s">
        <v>59</v>
      </c>
      <c r="Q7475" s="45" t="s">
        <v>18</v>
      </c>
      <c r="R7475" s="45" t="s">
        <v>265</v>
      </c>
    </row>
    <row r="7476" spans="2:18" ht="69" customHeight="1">
      <c r="B7476" s="62">
        <f t="shared" si="41"/>
        <v>4615</v>
      </c>
      <c r="C7476" s="59" t="s">
        <v>458</v>
      </c>
      <c r="D7476" s="545" t="s">
        <v>14460</v>
      </c>
      <c r="E7476" s="178" t="s">
        <v>18345</v>
      </c>
      <c r="F7476" s="58" t="s">
        <v>18346</v>
      </c>
      <c r="G7476" s="58" t="s">
        <v>18347</v>
      </c>
      <c r="H7476" s="546">
        <v>45000</v>
      </c>
      <c r="I7476" s="47">
        <v>45316</v>
      </c>
      <c r="J7476" s="73" t="s">
        <v>18348</v>
      </c>
      <c r="K7476" s="67"/>
      <c r="L7476" s="407"/>
      <c r="O7476" s="58" t="s">
        <v>18349</v>
      </c>
      <c r="P7476" s="58" t="s">
        <v>19</v>
      </c>
      <c r="Q7476" s="45" t="s">
        <v>103</v>
      </c>
      <c r="R7476" s="45" t="s">
        <v>265</v>
      </c>
    </row>
    <row r="7477" spans="2:18" ht="69" customHeight="1">
      <c r="B7477" s="62">
        <f t="shared" si="41"/>
        <v>4616</v>
      </c>
      <c r="C7477" s="178" t="s">
        <v>458</v>
      </c>
      <c r="D7477" s="174" t="s">
        <v>18350</v>
      </c>
      <c r="E7477" s="178" t="s">
        <v>18345</v>
      </c>
      <c r="F7477" s="58" t="s">
        <v>18351</v>
      </c>
      <c r="G7477" s="58" t="s">
        <v>18347</v>
      </c>
      <c r="H7477" s="552">
        <v>50000</v>
      </c>
      <c r="I7477" s="66">
        <v>45316</v>
      </c>
      <c r="J7477" s="65" t="s">
        <v>18348</v>
      </c>
      <c r="K7477" s="58"/>
      <c r="L7477" s="407"/>
      <c r="O7477" s="58" t="s">
        <v>18349</v>
      </c>
      <c r="P7477" s="58" t="s">
        <v>19</v>
      </c>
      <c r="Q7477" s="58" t="s">
        <v>100</v>
      </c>
      <c r="R7477" s="58" t="s">
        <v>265</v>
      </c>
    </row>
    <row r="7478" spans="2:18" ht="69" customHeight="1">
      <c r="B7478" s="62">
        <f t="shared" si="41"/>
        <v>4617</v>
      </c>
      <c r="C7478" s="201" t="s">
        <v>9215</v>
      </c>
      <c r="D7478" s="545" t="s">
        <v>14483</v>
      </c>
      <c r="E7478" s="58" t="s">
        <v>18352</v>
      </c>
      <c r="F7478" s="58" t="s">
        <v>18353</v>
      </c>
      <c r="G7478" s="58" t="s">
        <v>18354</v>
      </c>
      <c r="H7478" s="546">
        <v>87529.7</v>
      </c>
      <c r="I7478" s="47">
        <v>45316</v>
      </c>
      <c r="J7478" s="73" t="s">
        <v>18355</v>
      </c>
      <c r="K7478" s="67"/>
      <c r="L7478" s="407"/>
      <c r="O7478" s="58" t="s">
        <v>17031</v>
      </c>
      <c r="P7478" s="58" t="s">
        <v>57</v>
      </c>
      <c r="Q7478" s="45" t="s">
        <v>113</v>
      </c>
      <c r="R7478" s="45" t="s">
        <v>272</v>
      </c>
    </row>
    <row r="7479" spans="2:18" ht="69" customHeight="1">
      <c r="B7479" s="62">
        <f t="shared" si="41"/>
        <v>4618</v>
      </c>
      <c r="C7479" s="45" t="s">
        <v>11055</v>
      </c>
      <c r="D7479" s="545" t="s">
        <v>13468</v>
      </c>
      <c r="E7479" s="58" t="s">
        <v>18356</v>
      </c>
      <c r="F7479" s="58" t="s">
        <v>18357</v>
      </c>
      <c r="G7479" s="58" t="s">
        <v>18358</v>
      </c>
      <c r="H7479" s="546">
        <v>237658.38</v>
      </c>
      <c r="I7479" s="47">
        <v>45316</v>
      </c>
      <c r="J7479" s="73" t="s">
        <v>18359</v>
      </c>
      <c r="K7479" s="67"/>
      <c r="L7479" s="407"/>
      <c r="O7479" s="62" t="s">
        <v>192</v>
      </c>
      <c r="P7479" s="58" t="s">
        <v>57</v>
      </c>
      <c r="Q7479" s="45" t="s">
        <v>45</v>
      </c>
      <c r="R7479" s="45" t="s">
        <v>272</v>
      </c>
    </row>
    <row r="7480" spans="2:18" ht="69" customHeight="1">
      <c r="B7480" s="62">
        <f t="shared" ref="B7480:B7516" si="42">B7479+1</f>
        <v>4619</v>
      </c>
      <c r="C7480" s="627" t="s">
        <v>11568</v>
      </c>
      <c r="D7480" s="545" t="s">
        <v>14490</v>
      </c>
      <c r="E7480" s="58" t="s">
        <v>18360</v>
      </c>
      <c r="F7480" s="58" t="s">
        <v>18361</v>
      </c>
      <c r="G7480" s="58" t="s">
        <v>18354</v>
      </c>
      <c r="H7480" s="546">
        <v>52828.11</v>
      </c>
      <c r="I7480" s="47">
        <v>45316</v>
      </c>
      <c r="J7480" s="73" t="s">
        <v>18362</v>
      </c>
      <c r="K7480" s="67"/>
      <c r="L7480" s="407"/>
      <c r="O7480" s="62" t="s">
        <v>203</v>
      </c>
      <c r="P7480" s="58" t="s">
        <v>57</v>
      </c>
      <c r="Q7480" s="45" t="s">
        <v>107</v>
      </c>
      <c r="R7480" s="45" t="s">
        <v>272</v>
      </c>
    </row>
    <row r="7481" spans="2:18" ht="69" customHeight="1">
      <c r="B7481" s="259">
        <f t="shared" si="42"/>
        <v>4620</v>
      </c>
      <c r="C7481" s="207" t="s">
        <v>3340</v>
      </c>
      <c r="D7481" s="303" t="s">
        <v>4431</v>
      </c>
      <c r="E7481" s="160" t="s">
        <v>266</v>
      </c>
      <c r="F7481" s="160" t="s">
        <v>18363</v>
      </c>
      <c r="G7481" s="160" t="s">
        <v>18364</v>
      </c>
      <c r="H7481" s="300">
        <v>26970</v>
      </c>
      <c r="I7481" s="209">
        <v>45316</v>
      </c>
      <c r="J7481" s="316" t="s">
        <v>18365</v>
      </c>
      <c r="K7481" s="160" t="s">
        <v>11084</v>
      </c>
      <c r="L7481" s="407"/>
      <c r="O7481" s="259" t="s">
        <v>18366</v>
      </c>
      <c r="P7481" s="160" t="s">
        <v>67</v>
      </c>
      <c r="Q7481" s="160" t="s">
        <v>96</v>
      </c>
      <c r="R7481" s="160" t="s">
        <v>272</v>
      </c>
    </row>
    <row r="7482" spans="2:18" ht="69" customHeight="1">
      <c r="B7482" s="259">
        <f t="shared" si="42"/>
        <v>4621</v>
      </c>
      <c r="C7482" s="160" t="s">
        <v>18367</v>
      </c>
      <c r="D7482" s="303" t="s">
        <v>706</v>
      </c>
      <c r="E7482" s="160" t="s">
        <v>266</v>
      </c>
      <c r="F7482" s="160" t="s">
        <v>18368</v>
      </c>
      <c r="G7482" s="160" t="s">
        <v>18369</v>
      </c>
      <c r="H7482" s="300">
        <v>15500.32</v>
      </c>
      <c r="I7482" s="209">
        <v>45316</v>
      </c>
      <c r="J7482" s="316" t="s">
        <v>18370</v>
      </c>
      <c r="K7482" s="160"/>
      <c r="O7482" s="259" t="s">
        <v>15317</v>
      </c>
      <c r="P7482" s="160" t="s">
        <v>67</v>
      </c>
      <c r="Q7482" s="160" t="s">
        <v>96</v>
      </c>
      <c r="R7482" s="160" t="s">
        <v>272</v>
      </c>
    </row>
    <row r="7483" spans="2:18" ht="69" customHeight="1">
      <c r="B7483" s="259">
        <f t="shared" si="42"/>
        <v>4622</v>
      </c>
      <c r="C7483" s="326" t="s">
        <v>16368</v>
      </c>
      <c r="D7483" s="303" t="s">
        <v>2690</v>
      </c>
      <c r="E7483" s="160" t="s">
        <v>266</v>
      </c>
      <c r="F7483" s="160" t="s">
        <v>18371</v>
      </c>
      <c r="G7483" s="160" t="s">
        <v>18369</v>
      </c>
      <c r="H7483" s="300">
        <v>132934.57999999999</v>
      </c>
      <c r="I7483" s="209">
        <v>45316</v>
      </c>
      <c r="J7483" s="316" t="s">
        <v>18370</v>
      </c>
      <c r="K7483" s="160"/>
      <c r="O7483" s="259" t="s">
        <v>15317</v>
      </c>
      <c r="P7483" s="160" t="s">
        <v>67</v>
      </c>
      <c r="Q7483" s="160" t="s">
        <v>96</v>
      </c>
      <c r="R7483" s="160" t="s">
        <v>272</v>
      </c>
    </row>
    <row r="7484" spans="2:18" ht="69" customHeight="1">
      <c r="B7484" s="259">
        <f t="shared" si="42"/>
        <v>4623</v>
      </c>
      <c r="C7484" s="160" t="s">
        <v>18372</v>
      </c>
      <c r="D7484" s="303" t="s">
        <v>6893</v>
      </c>
      <c r="E7484" s="160" t="s">
        <v>266</v>
      </c>
      <c r="F7484" s="160" t="s">
        <v>18373</v>
      </c>
      <c r="G7484" s="160" t="s">
        <v>18369</v>
      </c>
      <c r="H7484" s="300">
        <v>66241.84</v>
      </c>
      <c r="I7484" s="209">
        <v>45316</v>
      </c>
      <c r="J7484" s="316" t="s">
        <v>18370</v>
      </c>
      <c r="K7484" s="160"/>
      <c r="O7484" s="259" t="s">
        <v>15317</v>
      </c>
      <c r="P7484" s="160" t="s">
        <v>67</v>
      </c>
      <c r="Q7484" s="160" t="s">
        <v>96</v>
      </c>
      <c r="R7484" s="160" t="s">
        <v>272</v>
      </c>
    </row>
    <row r="7485" spans="2:18" ht="69" customHeight="1">
      <c r="B7485" s="62">
        <f t="shared" si="42"/>
        <v>4624</v>
      </c>
      <c r="C7485" s="59" t="s">
        <v>11052</v>
      </c>
      <c r="D7485" s="545" t="s">
        <v>13470</v>
      </c>
      <c r="E7485" s="58" t="s">
        <v>18356</v>
      </c>
      <c r="F7485" s="58" t="s">
        <v>18374</v>
      </c>
      <c r="G7485" s="58" t="s">
        <v>18358</v>
      </c>
      <c r="H7485" s="546">
        <v>235166.75</v>
      </c>
      <c r="I7485" s="47">
        <v>45316</v>
      </c>
      <c r="J7485" s="73" t="s">
        <v>18375</v>
      </c>
      <c r="K7485" s="67"/>
      <c r="O7485" s="62" t="s">
        <v>192</v>
      </c>
      <c r="P7485" s="58" t="s">
        <v>57</v>
      </c>
      <c r="Q7485" s="45" t="s">
        <v>37</v>
      </c>
      <c r="R7485" s="45" t="s">
        <v>272</v>
      </c>
    </row>
    <row r="7486" spans="2:18" ht="69" customHeight="1">
      <c r="B7486" s="62">
        <f t="shared" si="42"/>
        <v>4625</v>
      </c>
      <c r="C7486" s="45" t="s">
        <v>11055</v>
      </c>
      <c r="D7486" s="545" t="s">
        <v>13474</v>
      </c>
      <c r="E7486" s="58" t="s">
        <v>18356</v>
      </c>
      <c r="F7486" s="58" t="s">
        <v>18376</v>
      </c>
      <c r="G7486" s="58" t="s">
        <v>18377</v>
      </c>
      <c r="H7486" s="546">
        <v>44325</v>
      </c>
      <c r="I7486" s="47">
        <v>45316</v>
      </c>
      <c r="J7486" s="73" t="s">
        <v>18378</v>
      </c>
      <c r="K7486" s="67"/>
      <c r="O7486" s="62" t="s">
        <v>192</v>
      </c>
      <c r="P7486" s="58" t="s">
        <v>57</v>
      </c>
      <c r="Q7486" s="45" t="s">
        <v>45</v>
      </c>
      <c r="R7486" s="45" t="s">
        <v>272</v>
      </c>
    </row>
    <row r="7487" spans="2:18" ht="69" customHeight="1">
      <c r="B7487" s="52">
        <f t="shared" si="42"/>
        <v>4626</v>
      </c>
      <c r="C7487" s="264" t="s">
        <v>11055</v>
      </c>
      <c r="D7487" s="251" t="s">
        <v>13480</v>
      </c>
      <c r="E7487" s="46" t="s">
        <v>266</v>
      </c>
      <c r="F7487" s="46" t="s">
        <v>18379</v>
      </c>
      <c r="G7487" s="46" t="s">
        <v>18380</v>
      </c>
      <c r="H7487" s="534">
        <v>10000</v>
      </c>
      <c r="I7487" s="56">
        <v>45316</v>
      </c>
      <c r="J7487" s="199" t="s">
        <v>18381</v>
      </c>
      <c r="K7487" s="46"/>
      <c r="O7487" s="52" t="s">
        <v>18382</v>
      </c>
      <c r="P7487" s="46" t="s">
        <v>65</v>
      </c>
      <c r="Q7487" s="46" t="s">
        <v>45</v>
      </c>
      <c r="R7487" s="46" t="s">
        <v>272</v>
      </c>
    </row>
    <row r="7488" spans="2:18" ht="69" customHeight="1">
      <c r="B7488" s="62">
        <f t="shared" si="42"/>
        <v>4627</v>
      </c>
      <c r="C7488" s="201" t="s">
        <v>16106</v>
      </c>
      <c r="D7488" s="545" t="s">
        <v>13493</v>
      </c>
      <c r="E7488" s="58" t="s">
        <v>18383</v>
      </c>
      <c r="F7488" s="58" t="s">
        <v>18384</v>
      </c>
      <c r="G7488" s="58" t="s">
        <v>18385</v>
      </c>
      <c r="H7488" s="546">
        <v>389092.99</v>
      </c>
      <c r="I7488" s="47">
        <v>45316</v>
      </c>
      <c r="J7488" s="73" t="s">
        <v>18386</v>
      </c>
      <c r="K7488" s="67"/>
      <c r="O7488" s="62" t="s">
        <v>186</v>
      </c>
      <c r="P7488" s="58" t="s">
        <v>57</v>
      </c>
      <c r="Q7488" s="45" t="s">
        <v>33</v>
      </c>
      <c r="R7488" s="45" t="s">
        <v>272</v>
      </c>
    </row>
    <row r="7489" spans="1:18" ht="69" customHeight="1">
      <c r="B7489" s="62">
        <f t="shared" si="42"/>
        <v>4628</v>
      </c>
      <c r="C7489" s="201" t="s">
        <v>11908</v>
      </c>
      <c r="D7489" s="545" t="s">
        <v>18387</v>
      </c>
      <c r="E7489" s="58" t="s">
        <v>18388</v>
      </c>
      <c r="F7489" s="58" t="s">
        <v>18389</v>
      </c>
      <c r="G7489" s="58" t="s">
        <v>18390</v>
      </c>
      <c r="H7489" s="546">
        <v>76319.89</v>
      </c>
      <c r="I7489" s="47">
        <v>45316</v>
      </c>
      <c r="J7489" s="73" t="s">
        <v>18391</v>
      </c>
      <c r="K7489" s="67"/>
      <c r="O7489" s="62" t="s">
        <v>16069</v>
      </c>
      <c r="P7489" s="58" t="s">
        <v>57</v>
      </c>
      <c r="Q7489" s="45" t="s">
        <v>103</v>
      </c>
      <c r="R7489" s="45" t="s">
        <v>272</v>
      </c>
    </row>
    <row r="7490" spans="1:18" ht="69" customHeight="1">
      <c r="B7490" s="62">
        <f t="shared" si="42"/>
        <v>4629</v>
      </c>
      <c r="C7490" s="627" t="s">
        <v>10937</v>
      </c>
      <c r="D7490" s="545" t="s">
        <v>5462</v>
      </c>
      <c r="E7490" s="58" t="s">
        <v>18388</v>
      </c>
      <c r="F7490" s="58" t="s">
        <v>18392</v>
      </c>
      <c r="G7490" s="58" t="s">
        <v>18390</v>
      </c>
      <c r="H7490" s="546">
        <v>56349.31</v>
      </c>
      <c r="I7490" s="47">
        <v>45316</v>
      </c>
      <c r="J7490" s="73" t="s">
        <v>18393</v>
      </c>
      <c r="K7490" s="67"/>
      <c r="O7490" s="62" t="s">
        <v>16069</v>
      </c>
      <c r="P7490" s="58" t="s">
        <v>57</v>
      </c>
      <c r="Q7490" s="45" t="s">
        <v>104</v>
      </c>
      <c r="R7490" s="45" t="s">
        <v>272</v>
      </c>
    </row>
    <row r="7491" spans="1:18" ht="69" customHeight="1">
      <c r="B7491" s="52">
        <f t="shared" si="42"/>
        <v>4630</v>
      </c>
      <c r="C7491" s="538" t="s">
        <v>309</v>
      </c>
      <c r="D7491" s="251" t="s">
        <v>13575</v>
      </c>
      <c r="E7491" s="46" t="s">
        <v>266</v>
      </c>
      <c r="F7491" s="46" t="s">
        <v>18394</v>
      </c>
      <c r="G7491" s="46" t="s">
        <v>18395</v>
      </c>
      <c r="H7491" s="534">
        <v>16200</v>
      </c>
      <c r="I7491" s="56">
        <v>45316</v>
      </c>
      <c r="J7491" s="199" t="s">
        <v>18396</v>
      </c>
      <c r="K7491" s="46"/>
      <c r="O7491" s="52" t="s">
        <v>11361</v>
      </c>
      <c r="P7491" s="46" t="s">
        <v>65</v>
      </c>
      <c r="Q7491" s="46" t="s">
        <v>96</v>
      </c>
      <c r="R7491" s="46" t="s">
        <v>272</v>
      </c>
    </row>
    <row r="7492" spans="1:18" ht="69" customHeight="1">
      <c r="B7492" s="62">
        <f t="shared" si="42"/>
        <v>4631</v>
      </c>
      <c r="C7492" s="45" t="s">
        <v>458</v>
      </c>
      <c r="D7492" s="84" t="s">
        <v>14580</v>
      </c>
      <c r="E7492" s="44" t="s">
        <v>7649</v>
      </c>
      <c r="F7492" s="58" t="s">
        <v>18397</v>
      </c>
      <c r="G7492" s="58" t="s">
        <v>18398</v>
      </c>
      <c r="H7492" s="546">
        <v>44431.16</v>
      </c>
      <c r="I7492" s="47">
        <v>45316</v>
      </c>
      <c r="J7492" s="73" t="s">
        <v>18399</v>
      </c>
      <c r="K7492" s="67"/>
      <c r="O7492" s="62" t="s">
        <v>147</v>
      </c>
      <c r="P7492" s="58" t="s">
        <v>22</v>
      </c>
      <c r="Q7492" s="45" t="s">
        <v>107</v>
      </c>
      <c r="R7492" s="45" t="s">
        <v>272</v>
      </c>
    </row>
    <row r="7493" spans="1:18" ht="69" customHeight="1">
      <c r="B7493" s="62">
        <f t="shared" si="42"/>
        <v>4632</v>
      </c>
      <c r="C7493" s="59" t="s">
        <v>657</v>
      </c>
      <c r="D7493" s="545" t="s">
        <v>12715</v>
      </c>
      <c r="E7493" s="44" t="s">
        <v>7649</v>
      </c>
      <c r="F7493" s="58" t="s">
        <v>18400</v>
      </c>
      <c r="G7493" s="58" t="s">
        <v>18401</v>
      </c>
      <c r="H7493" s="546">
        <v>49444.959999999999</v>
      </c>
      <c r="I7493" s="47">
        <v>45316</v>
      </c>
      <c r="J7493" s="73" t="s">
        <v>18399</v>
      </c>
      <c r="K7493" s="67"/>
      <c r="O7493" s="62" t="s">
        <v>147</v>
      </c>
      <c r="P7493" s="58" t="s">
        <v>22</v>
      </c>
      <c r="Q7493" s="45" t="s">
        <v>104</v>
      </c>
      <c r="R7493" s="45" t="s">
        <v>272</v>
      </c>
    </row>
    <row r="7494" spans="1:18" ht="69" customHeight="1">
      <c r="B7494" s="52">
        <f t="shared" si="42"/>
        <v>4633</v>
      </c>
      <c r="C7494" s="46" t="s">
        <v>309</v>
      </c>
      <c r="D7494" s="251" t="s">
        <v>13503</v>
      </c>
      <c r="E7494" s="46" t="s">
        <v>266</v>
      </c>
      <c r="F7494" s="46" t="s">
        <v>18402</v>
      </c>
      <c r="G7494" s="46" t="s">
        <v>18403</v>
      </c>
      <c r="H7494" s="534">
        <v>2600</v>
      </c>
      <c r="I7494" s="56">
        <v>45316</v>
      </c>
      <c r="J7494" s="199" t="s">
        <v>18404</v>
      </c>
      <c r="K7494" s="46"/>
      <c r="O7494" s="52" t="s">
        <v>14652</v>
      </c>
      <c r="P7494" s="46" t="s">
        <v>65</v>
      </c>
      <c r="Q7494" s="46" t="s">
        <v>39</v>
      </c>
      <c r="R7494" s="46" t="s">
        <v>272</v>
      </c>
    </row>
    <row r="7495" spans="1:18" ht="69" customHeight="1">
      <c r="B7495" s="52">
        <f t="shared" si="42"/>
        <v>4634</v>
      </c>
      <c r="C7495" s="46" t="s">
        <v>309</v>
      </c>
      <c r="D7495" s="251" t="s">
        <v>18405</v>
      </c>
      <c r="E7495" s="46" t="s">
        <v>266</v>
      </c>
      <c r="F7495" s="46" t="s">
        <v>18406</v>
      </c>
      <c r="G7495" s="46" t="s">
        <v>18403</v>
      </c>
      <c r="H7495" s="534">
        <v>1100</v>
      </c>
      <c r="I7495" s="56">
        <v>45316</v>
      </c>
      <c r="J7495" s="199" t="s">
        <v>18404</v>
      </c>
      <c r="K7495" s="46"/>
      <c r="M7495" s="98"/>
      <c r="N7495" s="98"/>
      <c r="O7495" s="52" t="s">
        <v>14652</v>
      </c>
      <c r="P7495" s="46" t="s">
        <v>65</v>
      </c>
      <c r="Q7495" s="46" t="s">
        <v>41</v>
      </c>
      <c r="R7495" s="46" t="s">
        <v>272</v>
      </c>
    </row>
    <row r="7496" spans="1:18" s="98" customFormat="1" ht="69" customHeight="1">
      <c r="A7496" s="169"/>
      <c r="B7496" s="52">
        <f t="shared" si="42"/>
        <v>4635</v>
      </c>
      <c r="C7496" s="46" t="s">
        <v>309</v>
      </c>
      <c r="D7496" s="251" t="s">
        <v>13531</v>
      </c>
      <c r="E7496" s="46" t="s">
        <v>266</v>
      </c>
      <c r="F7496" s="46" t="s">
        <v>18407</v>
      </c>
      <c r="G7496" s="46" t="s">
        <v>18403</v>
      </c>
      <c r="H7496" s="534">
        <v>2900</v>
      </c>
      <c r="I7496" s="56">
        <v>45316</v>
      </c>
      <c r="J7496" s="199" t="s">
        <v>18404</v>
      </c>
      <c r="K7496" s="46" t="s">
        <v>1170</v>
      </c>
      <c r="O7496" s="46" t="s">
        <v>16879</v>
      </c>
      <c r="P7496" s="46" t="s">
        <v>65</v>
      </c>
      <c r="Q7496" s="46" t="s">
        <v>23</v>
      </c>
      <c r="R7496" s="46" t="s">
        <v>272</v>
      </c>
    </row>
    <row r="7497" spans="1:18" ht="69" customHeight="1">
      <c r="B7497" s="259">
        <f t="shared" si="42"/>
        <v>4636</v>
      </c>
      <c r="C7497" s="207" t="s">
        <v>6822</v>
      </c>
      <c r="D7497" s="303" t="s">
        <v>1960</v>
      </c>
      <c r="E7497" s="160" t="s">
        <v>266</v>
      </c>
      <c r="F7497" s="160" t="s">
        <v>18408</v>
      </c>
      <c r="G7497" s="160" t="s">
        <v>18409</v>
      </c>
      <c r="H7497" s="300">
        <v>29864.47</v>
      </c>
      <c r="I7497" s="209">
        <v>45306</v>
      </c>
      <c r="J7497" s="316" t="s">
        <v>18410</v>
      </c>
      <c r="K7497" s="160"/>
      <c r="M7497" s="98"/>
      <c r="N7497" s="98"/>
      <c r="O7497" s="259" t="s">
        <v>194</v>
      </c>
      <c r="P7497" s="160" t="s">
        <v>67</v>
      </c>
      <c r="Q7497" s="160" t="s">
        <v>68</v>
      </c>
      <c r="R7497" s="160" t="s">
        <v>272</v>
      </c>
    </row>
    <row r="7498" spans="1:18" ht="69" customHeight="1">
      <c r="B7498" s="259">
        <f t="shared" si="42"/>
        <v>4637</v>
      </c>
      <c r="C7498" s="207" t="s">
        <v>6822</v>
      </c>
      <c r="D7498" s="303" t="s">
        <v>2418</v>
      </c>
      <c r="E7498" s="160" t="s">
        <v>266</v>
      </c>
      <c r="F7498" s="160" t="s">
        <v>18411</v>
      </c>
      <c r="G7498" s="160" t="s">
        <v>18409</v>
      </c>
      <c r="H7498" s="300">
        <v>29590.01</v>
      </c>
      <c r="I7498" s="209">
        <v>45306</v>
      </c>
      <c r="J7498" s="316" t="s">
        <v>18410</v>
      </c>
      <c r="K7498" s="160"/>
      <c r="M7498" s="98"/>
      <c r="N7498" s="98"/>
      <c r="O7498" s="259" t="s">
        <v>194</v>
      </c>
      <c r="P7498" s="160" t="s">
        <v>67</v>
      </c>
      <c r="Q7498" s="160" t="s">
        <v>68</v>
      </c>
      <c r="R7498" s="160" t="s">
        <v>272</v>
      </c>
    </row>
    <row r="7499" spans="1:18" ht="69" customHeight="1">
      <c r="B7499" s="259">
        <f t="shared" si="42"/>
        <v>4638</v>
      </c>
      <c r="C7499" s="207" t="s">
        <v>6822</v>
      </c>
      <c r="D7499" s="303" t="s">
        <v>18412</v>
      </c>
      <c r="E7499" s="160" t="s">
        <v>266</v>
      </c>
      <c r="F7499" s="160" t="s">
        <v>18413</v>
      </c>
      <c r="G7499" s="160" t="s">
        <v>18409</v>
      </c>
      <c r="H7499" s="300">
        <v>15009.81</v>
      </c>
      <c r="I7499" s="209">
        <v>45306</v>
      </c>
      <c r="J7499" s="316" t="s">
        <v>18410</v>
      </c>
      <c r="K7499" s="160"/>
      <c r="M7499" s="98"/>
      <c r="N7499" s="98"/>
      <c r="O7499" s="259" t="s">
        <v>194</v>
      </c>
      <c r="P7499" s="160" t="s">
        <v>67</v>
      </c>
      <c r="Q7499" s="160" t="s">
        <v>68</v>
      </c>
      <c r="R7499" s="160" t="s">
        <v>272</v>
      </c>
    </row>
    <row r="7500" spans="1:18" ht="69" customHeight="1">
      <c r="B7500" s="259">
        <f t="shared" si="42"/>
        <v>4639</v>
      </c>
      <c r="C7500" s="207" t="s">
        <v>6822</v>
      </c>
      <c r="D7500" s="303" t="s">
        <v>2900</v>
      </c>
      <c r="E7500" s="160" t="s">
        <v>266</v>
      </c>
      <c r="F7500" s="160" t="s">
        <v>18414</v>
      </c>
      <c r="G7500" s="160" t="s">
        <v>18409</v>
      </c>
      <c r="H7500" s="300">
        <v>29559.3</v>
      </c>
      <c r="I7500" s="209">
        <v>45306</v>
      </c>
      <c r="J7500" s="316" t="s">
        <v>18410</v>
      </c>
      <c r="K7500" s="160"/>
      <c r="M7500" s="98"/>
      <c r="N7500" s="98"/>
      <c r="O7500" s="259" t="s">
        <v>194</v>
      </c>
      <c r="P7500" s="160" t="s">
        <v>67</v>
      </c>
      <c r="Q7500" s="160" t="s">
        <v>70</v>
      </c>
      <c r="R7500" s="160" t="s">
        <v>272</v>
      </c>
    </row>
    <row r="7501" spans="1:18" ht="69" customHeight="1">
      <c r="B7501" s="259">
        <f t="shared" si="42"/>
        <v>4640</v>
      </c>
      <c r="C7501" s="207" t="s">
        <v>6822</v>
      </c>
      <c r="D7501" s="303" t="s">
        <v>3154</v>
      </c>
      <c r="E7501" s="160" t="s">
        <v>266</v>
      </c>
      <c r="F7501" s="160" t="s">
        <v>18415</v>
      </c>
      <c r="G7501" s="160" t="s">
        <v>18409</v>
      </c>
      <c r="H7501" s="300">
        <v>29559.3</v>
      </c>
      <c r="I7501" s="209">
        <v>45306</v>
      </c>
      <c r="J7501" s="316" t="s">
        <v>18410</v>
      </c>
      <c r="K7501" s="160"/>
      <c r="M7501" s="98"/>
      <c r="N7501" s="98"/>
      <c r="O7501" s="259" t="s">
        <v>194</v>
      </c>
      <c r="P7501" s="160" t="s">
        <v>67</v>
      </c>
      <c r="Q7501" s="160" t="s">
        <v>70</v>
      </c>
      <c r="R7501" s="160" t="s">
        <v>272</v>
      </c>
    </row>
    <row r="7502" spans="1:18" ht="69" customHeight="1">
      <c r="B7502" s="259">
        <f t="shared" si="42"/>
        <v>4641</v>
      </c>
      <c r="C7502" s="207" t="s">
        <v>6822</v>
      </c>
      <c r="D7502" s="303" t="s">
        <v>5990</v>
      </c>
      <c r="E7502" s="160" t="s">
        <v>266</v>
      </c>
      <c r="F7502" s="160" t="s">
        <v>18416</v>
      </c>
      <c r="G7502" s="160" t="s">
        <v>18409</v>
      </c>
      <c r="H7502" s="300">
        <v>16742.55</v>
      </c>
      <c r="I7502" s="209">
        <v>45306</v>
      </c>
      <c r="J7502" s="316" t="s">
        <v>18410</v>
      </c>
      <c r="K7502" s="160"/>
      <c r="M7502" s="98"/>
      <c r="N7502" s="98"/>
      <c r="O7502" s="259" t="s">
        <v>194</v>
      </c>
      <c r="P7502" s="160" t="s">
        <v>67</v>
      </c>
      <c r="Q7502" s="160" t="s">
        <v>70</v>
      </c>
      <c r="R7502" s="160" t="s">
        <v>272</v>
      </c>
    </row>
    <row r="7503" spans="1:18" ht="69" customHeight="1">
      <c r="B7503" s="259">
        <f t="shared" si="42"/>
        <v>4642</v>
      </c>
      <c r="C7503" s="207" t="s">
        <v>6822</v>
      </c>
      <c r="D7503" s="303" t="s">
        <v>2526</v>
      </c>
      <c r="E7503" s="160" t="s">
        <v>266</v>
      </c>
      <c r="F7503" s="160" t="s">
        <v>18417</v>
      </c>
      <c r="G7503" s="160" t="s">
        <v>18409</v>
      </c>
      <c r="H7503" s="300">
        <v>406.03</v>
      </c>
      <c r="I7503" s="209">
        <v>45306</v>
      </c>
      <c r="J7503" s="316" t="s">
        <v>18410</v>
      </c>
      <c r="K7503" s="160"/>
      <c r="M7503" s="98"/>
      <c r="N7503" s="98"/>
      <c r="O7503" s="259" t="s">
        <v>194</v>
      </c>
      <c r="P7503" s="160" t="s">
        <v>67</v>
      </c>
      <c r="Q7503" s="160" t="s">
        <v>70</v>
      </c>
      <c r="R7503" s="160" t="s">
        <v>272</v>
      </c>
    </row>
    <row r="7504" spans="1:18" ht="69" customHeight="1">
      <c r="B7504" s="52">
        <f t="shared" si="42"/>
        <v>4643</v>
      </c>
      <c r="C7504" s="191" t="s">
        <v>1593</v>
      </c>
      <c r="D7504" s="251" t="s">
        <v>18418</v>
      </c>
      <c r="E7504" s="46" t="s">
        <v>266</v>
      </c>
      <c r="F7504" s="46" t="s">
        <v>18419</v>
      </c>
      <c r="G7504" s="46" t="s">
        <v>18420</v>
      </c>
      <c r="H7504" s="534">
        <v>35394.9</v>
      </c>
      <c r="I7504" s="56">
        <v>45316</v>
      </c>
      <c r="J7504" s="199" t="s">
        <v>18421</v>
      </c>
      <c r="K7504" s="46"/>
      <c r="O7504" s="46" t="s">
        <v>1171</v>
      </c>
      <c r="P7504" s="46" t="s">
        <v>71</v>
      </c>
      <c r="Q7504" s="46" t="s">
        <v>27</v>
      </c>
      <c r="R7504" s="46" t="s">
        <v>272</v>
      </c>
    </row>
    <row r="7505" spans="1:18" ht="69" customHeight="1">
      <c r="B7505" s="62">
        <f t="shared" si="42"/>
        <v>4644</v>
      </c>
      <c r="C7505" s="59" t="s">
        <v>5558</v>
      </c>
      <c r="D7505" s="84" t="s">
        <v>18422</v>
      </c>
      <c r="E7505" s="55" t="s">
        <v>17027</v>
      </c>
      <c r="F7505" s="569" t="s">
        <v>18423</v>
      </c>
      <c r="G7505" s="45" t="s">
        <v>18424</v>
      </c>
      <c r="H7505" s="546">
        <v>98652.41</v>
      </c>
      <c r="I7505" s="126">
        <v>45316</v>
      </c>
      <c r="J7505" s="73" t="s">
        <v>18425</v>
      </c>
      <c r="K7505" s="67"/>
      <c r="O7505" s="62" t="s">
        <v>18426</v>
      </c>
      <c r="P7505" s="58" t="s">
        <v>57</v>
      </c>
      <c r="Q7505" s="45" t="s">
        <v>64</v>
      </c>
      <c r="R7505" s="45" t="s">
        <v>272</v>
      </c>
    </row>
    <row r="7506" spans="1:18" ht="69" customHeight="1">
      <c r="B7506" s="62">
        <f t="shared" si="42"/>
        <v>4645</v>
      </c>
      <c r="C7506" s="59" t="s">
        <v>657</v>
      </c>
      <c r="D7506" s="545" t="s">
        <v>12348</v>
      </c>
      <c r="E7506" s="178" t="s">
        <v>18345</v>
      </c>
      <c r="F7506" s="58" t="s">
        <v>18427</v>
      </c>
      <c r="G7506" s="58" t="s">
        <v>18428</v>
      </c>
      <c r="H7506" s="546">
        <v>50938.2</v>
      </c>
      <c r="I7506" s="126">
        <v>45316</v>
      </c>
      <c r="J7506" s="73" t="s">
        <v>18429</v>
      </c>
      <c r="K7506" s="67">
        <v>1861</v>
      </c>
      <c r="O7506" s="62" t="s">
        <v>141</v>
      </c>
      <c r="P7506" s="58" t="s">
        <v>19</v>
      </c>
      <c r="Q7506" s="45" t="s">
        <v>104</v>
      </c>
      <c r="R7506" s="45" t="s">
        <v>265</v>
      </c>
    </row>
    <row r="7507" spans="1:18" ht="69" customHeight="1">
      <c r="B7507" s="259">
        <f t="shared" si="42"/>
        <v>4646</v>
      </c>
      <c r="C7507" s="207" t="s">
        <v>6822</v>
      </c>
      <c r="D7507" s="303" t="s">
        <v>2529</v>
      </c>
      <c r="E7507" s="160" t="s">
        <v>266</v>
      </c>
      <c r="F7507" s="160" t="s">
        <v>18430</v>
      </c>
      <c r="G7507" s="160" t="s">
        <v>18409</v>
      </c>
      <c r="H7507" s="300">
        <v>15074.84</v>
      </c>
      <c r="I7507" s="209">
        <v>45306</v>
      </c>
      <c r="J7507" s="316" t="s">
        <v>18431</v>
      </c>
      <c r="K7507" s="160"/>
      <c r="O7507" s="259" t="s">
        <v>194</v>
      </c>
      <c r="P7507" s="160" t="s">
        <v>67</v>
      </c>
      <c r="Q7507" s="160" t="s">
        <v>68</v>
      </c>
      <c r="R7507" s="160" t="s">
        <v>272</v>
      </c>
    </row>
    <row r="7508" spans="1:18" ht="69" customHeight="1">
      <c r="B7508" s="259">
        <f t="shared" si="42"/>
        <v>4647</v>
      </c>
      <c r="C7508" s="207" t="s">
        <v>6822</v>
      </c>
      <c r="D7508" s="303" t="s">
        <v>16373</v>
      </c>
      <c r="E7508" s="160" t="s">
        <v>266</v>
      </c>
      <c r="F7508" s="160" t="s">
        <v>18432</v>
      </c>
      <c r="G7508" s="160" t="s">
        <v>18409</v>
      </c>
      <c r="H7508" s="300">
        <v>29518.36</v>
      </c>
      <c r="I7508" s="209">
        <v>45306</v>
      </c>
      <c r="J7508" s="316" t="s">
        <v>18431</v>
      </c>
      <c r="K7508" s="160"/>
      <c r="O7508" s="259" t="s">
        <v>194</v>
      </c>
      <c r="P7508" s="160" t="s">
        <v>67</v>
      </c>
      <c r="Q7508" s="160" t="s">
        <v>68</v>
      </c>
      <c r="R7508" s="160" t="s">
        <v>272</v>
      </c>
    </row>
    <row r="7509" spans="1:18" ht="69" customHeight="1">
      <c r="B7509" s="259">
        <f t="shared" si="42"/>
        <v>4648</v>
      </c>
      <c r="C7509" s="207" t="s">
        <v>6822</v>
      </c>
      <c r="D7509" s="303" t="s">
        <v>16369</v>
      </c>
      <c r="E7509" s="160" t="s">
        <v>266</v>
      </c>
      <c r="F7509" s="160" t="s">
        <v>18433</v>
      </c>
      <c r="G7509" s="160" t="s">
        <v>18409</v>
      </c>
      <c r="H7509" s="300">
        <v>29723</v>
      </c>
      <c r="I7509" s="209">
        <v>45306</v>
      </c>
      <c r="J7509" s="316" t="s">
        <v>18431</v>
      </c>
      <c r="K7509" s="160"/>
      <c r="O7509" s="259" t="s">
        <v>194</v>
      </c>
      <c r="P7509" s="160" t="s">
        <v>67</v>
      </c>
      <c r="Q7509" s="160" t="s">
        <v>68</v>
      </c>
      <c r="R7509" s="160" t="s">
        <v>272</v>
      </c>
    </row>
    <row r="7510" spans="1:18" ht="69" customHeight="1">
      <c r="B7510" s="259">
        <f t="shared" si="42"/>
        <v>4649</v>
      </c>
      <c r="C7510" s="207" t="s">
        <v>6822</v>
      </c>
      <c r="D7510" s="303" t="s">
        <v>481</v>
      </c>
      <c r="E7510" s="160" t="s">
        <v>266</v>
      </c>
      <c r="F7510" s="160" t="s">
        <v>18434</v>
      </c>
      <c r="G7510" s="160" t="s">
        <v>18409</v>
      </c>
      <c r="H7510" s="300">
        <v>15162.54</v>
      </c>
      <c r="I7510" s="209">
        <v>45306</v>
      </c>
      <c r="J7510" s="316" t="s">
        <v>18431</v>
      </c>
      <c r="K7510" s="160"/>
      <c r="O7510" s="259" t="s">
        <v>194</v>
      </c>
      <c r="P7510" s="160" t="s">
        <v>67</v>
      </c>
      <c r="Q7510" s="160" t="s">
        <v>70</v>
      </c>
      <c r="R7510" s="160" t="s">
        <v>272</v>
      </c>
    </row>
    <row r="7511" spans="1:18" ht="69" customHeight="1">
      <c r="B7511" s="259">
        <f t="shared" si="42"/>
        <v>4650</v>
      </c>
      <c r="C7511" s="207" t="s">
        <v>6822</v>
      </c>
      <c r="D7511" s="303" t="s">
        <v>1673</v>
      </c>
      <c r="E7511" s="160" t="s">
        <v>266</v>
      </c>
      <c r="F7511" s="160" t="s">
        <v>18435</v>
      </c>
      <c r="G7511" s="160" t="s">
        <v>18409</v>
      </c>
      <c r="H7511" s="300">
        <v>29723</v>
      </c>
      <c r="I7511" s="209">
        <v>45306</v>
      </c>
      <c r="J7511" s="316" t="s">
        <v>18431</v>
      </c>
      <c r="K7511" s="160"/>
      <c r="O7511" s="259" t="s">
        <v>194</v>
      </c>
      <c r="P7511" s="160" t="s">
        <v>67</v>
      </c>
      <c r="Q7511" s="160" t="s">
        <v>70</v>
      </c>
      <c r="R7511" s="160" t="s">
        <v>272</v>
      </c>
    </row>
    <row r="7512" spans="1:18" ht="69" customHeight="1">
      <c r="B7512" s="259">
        <f t="shared" si="42"/>
        <v>4651</v>
      </c>
      <c r="C7512" s="207" t="s">
        <v>6822</v>
      </c>
      <c r="D7512" s="303" t="s">
        <v>1970</v>
      </c>
      <c r="E7512" s="160" t="s">
        <v>266</v>
      </c>
      <c r="F7512" s="160" t="s">
        <v>18436</v>
      </c>
      <c r="G7512" s="160" t="s">
        <v>18409</v>
      </c>
      <c r="H7512" s="300">
        <v>29723</v>
      </c>
      <c r="I7512" s="209">
        <v>45306</v>
      </c>
      <c r="J7512" s="316" t="s">
        <v>18431</v>
      </c>
      <c r="K7512" s="160"/>
      <c r="O7512" s="259" t="s">
        <v>194</v>
      </c>
      <c r="P7512" s="160" t="s">
        <v>67</v>
      </c>
      <c r="Q7512" s="160" t="s">
        <v>70</v>
      </c>
      <c r="R7512" s="160" t="s">
        <v>272</v>
      </c>
    </row>
    <row r="7513" spans="1:18" ht="69" customHeight="1">
      <c r="B7513" s="52">
        <f t="shared" si="42"/>
        <v>4652</v>
      </c>
      <c r="C7513" s="191" t="s">
        <v>309</v>
      </c>
      <c r="D7513" s="251" t="s">
        <v>13805</v>
      </c>
      <c r="E7513" s="46" t="s">
        <v>18437</v>
      </c>
      <c r="F7513" s="46" t="s">
        <v>18438</v>
      </c>
      <c r="G7513" s="46" t="s">
        <v>18439</v>
      </c>
      <c r="H7513" s="534">
        <v>4557.07</v>
      </c>
      <c r="I7513" s="56">
        <v>45316</v>
      </c>
      <c r="J7513" s="199" t="s">
        <v>18440</v>
      </c>
      <c r="K7513" s="46" t="s">
        <v>1170</v>
      </c>
      <c r="O7513" s="52" t="s">
        <v>12529</v>
      </c>
      <c r="P7513" s="46" t="s">
        <v>65</v>
      </c>
      <c r="Q7513" s="46" t="s">
        <v>23</v>
      </c>
      <c r="R7513" s="46" t="s">
        <v>272</v>
      </c>
    </row>
    <row r="7514" spans="1:18" ht="69" customHeight="1">
      <c r="B7514" s="52">
        <f t="shared" si="42"/>
        <v>4653</v>
      </c>
      <c r="C7514" s="191" t="s">
        <v>309</v>
      </c>
      <c r="D7514" s="251" t="s">
        <v>13809</v>
      </c>
      <c r="E7514" s="46" t="s">
        <v>18437</v>
      </c>
      <c r="F7514" s="46" t="s">
        <v>18441</v>
      </c>
      <c r="G7514" s="46" t="s">
        <v>18439</v>
      </c>
      <c r="H7514" s="534">
        <v>2016.03</v>
      </c>
      <c r="I7514" s="56">
        <v>45316</v>
      </c>
      <c r="J7514" s="199" t="s">
        <v>18440</v>
      </c>
      <c r="K7514" s="46" t="s">
        <v>1170</v>
      </c>
      <c r="O7514" s="52" t="s">
        <v>12529</v>
      </c>
      <c r="P7514" s="46" t="s">
        <v>65</v>
      </c>
      <c r="Q7514" s="46" t="s">
        <v>23</v>
      </c>
      <c r="R7514" s="46" t="s">
        <v>272</v>
      </c>
    </row>
    <row r="7515" spans="1:18" ht="69" customHeight="1">
      <c r="B7515" s="52">
        <f t="shared" si="42"/>
        <v>4654</v>
      </c>
      <c r="C7515" s="191" t="s">
        <v>309</v>
      </c>
      <c r="D7515" s="251" t="s">
        <v>13813</v>
      </c>
      <c r="E7515" s="46" t="s">
        <v>18437</v>
      </c>
      <c r="F7515" s="46" t="s">
        <v>18442</v>
      </c>
      <c r="G7515" s="46" t="s">
        <v>18439</v>
      </c>
      <c r="H7515" s="534">
        <v>8441.9</v>
      </c>
      <c r="I7515" s="56">
        <v>45316</v>
      </c>
      <c r="J7515" s="199" t="s">
        <v>18440</v>
      </c>
      <c r="K7515" s="46" t="s">
        <v>1170</v>
      </c>
      <c r="O7515" s="52" t="s">
        <v>12529</v>
      </c>
      <c r="P7515" s="46" t="s">
        <v>65</v>
      </c>
      <c r="Q7515" s="46" t="s">
        <v>23</v>
      </c>
      <c r="R7515" s="46" t="s">
        <v>272</v>
      </c>
    </row>
    <row r="7516" spans="1:18" ht="69" customHeight="1">
      <c r="B7516" s="52">
        <f t="shared" si="42"/>
        <v>4655</v>
      </c>
      <c r="C7516" s="191" t="s">
        <v>309</v>
      </c>
      <c r="D7516" s="251" t="s">
        <v>13815</v>
      </c>
      <c r="E7516" s="46" t="s">
        <v>18437</v>
      </c>
      <c r="F7516" s="46" t="s">
        <v>18443</v>
      </c>
      <c r="G7516" s="46" t="s">
        <v>18439</v>
      </c>
      <c r="H7516" s="534">
        <v>6838.85</v>
      </c>
      <c r="I7516" s="56">
        <v>45316</v>
      </c>
      <c r="J7516" s="199" t="s">
        <v>18440</v>
      </c>
      <c r="K7516" s="46" t="s">
        <v>1170</v>
      </c>
      <c r="O7516" s="52" t="s">
        <v>12529</v>
      </c>
      <c r="P7516" s="46" t="s">
        <v>65</v>
      </c>
      <c r="Q7516" s="46" t="s">
        <v>23</v>
      </c>
      <c r="R7516" s="46" t="s">
        <v>272</v>
      </c>
    </row>
    <row r="7517" spans="1:18" s="98" customFormat="1" ht="69" customHeight="1">
      <c r="A7517" s="169"/>
      <c r="B7517" s="52">
        <v>4656</v>
      </c>
      <c r="C7517" s="538" t="s">
        <v>11050</v>
      </c>
      <c r="D7517" s="251" t="s">
        <v>14091</v>
      </c>
      <c r="E7517" s="46" t="s">
        <v>266</v>
      </c>
      <c r="F7517" s="46" t="s">
        <v>18444</v>
      </c>
      <c r="G7517" s="46" t="s">
        <v>18445</v>
      </c>
      <c r="H7517" s="534">
        <v>400</v>
      </c>
      <c r="I7517" s="56">
        <v>45327</v>
      </c>
      <c r="J7517" s="199" t="s">
        <v>18446</v>
      </c>
      <c r="K7517" s="46"/>
      <c r="O7517" s="52" t="s">
        <v>15326</v>
      </c>
      <c r="P7517" s="46" t="s">
        <v>65</v>
      </c>
      <c r="Q7517" s="46" t="s">
        <v>35</v>
      </c>
      <c r="R7517" s="46" t="s">
        <v>272</v>
      </c>
    </row>
    <row r="7518" spans="1:18" s="98" customFormat="1" ht="69" customHeight="1">
      <c r="A7518" s="169"/>
      <c r="B7518" s="52">
        <f t="shared" ref="B7518:B7581" si="43">B7517+1</f>
        <v>4657</v>
      </c>
      <c r="C7518" s="538" t="s">
        <v>11908</v>
      </c>
      <c r="D7518" s="251" t="s">
        <v>14744</v>
      </c>
      <c r="E7518" s="46" t="s">
        <v>266</v>
      </c>
      <c r="F7518" s="46" t="s">
        <v>18447</v>
      </c>
      <c r="G7518" s="46" t="s">
        <v>18448</v>
      </c>
      <c r="H7518" s="534">
        <v>63242.8</v>
      </c>
      <c r="I7518" s="56">
        <v>45327</v>
      </c>
      <c r="J7518" s="199" t="s">
        <v>18449</v>
      </c>
      <c r="K7518" s="46" t="s">
        <v>1170</v>
      </c>
      <c r="O7518" s="52" t="s">
        <v>18450</v>
      </c>
      <c r="P7518" s="46" t="s">
        <v>65</v>
      </c>
      <c r="Q7518" s="46" t="s">
        <v>103</v>
      </c>
      <c r="R7518" s="46" t="s">
        <v>272</v>
      </c>
    </row>
    <row r="7519" spans="1:18" ht="69" customHeight="1">
      <c r="B7519" s="62">
        <f t="shared" si="43"/>
        <v>4658</v>
      </c>
      <c r="C7519" s="628" t="s">
        <v>458</v>
      </c>
      <c r="D7519" s="174" t="s">
        <v>18451</v>
      </c>
      <c r="E7519" s="58" t="s">
        <v>350</v>
      </c>
      <c r="F7519" s="58" t="s">
        <v>18452</v>
      </c>
      <c r="G7519" s="58" t="s">
        <v>16468</v>
      </c>
      <c r="H7519" s="552">
        <v>37449.300000000003</v>
      </c>
      <c r="I7519" s="66">
        <v>45327</v>
      </c>
      <c r="J7519" s="65" t="s">
        <v>18453</v>
      </c>
      <c r="K7519" s="174" t="s">
        <v>15946</v>
      </c>
      <c r="O7519" s="62" t="s">
        <v>141</v>
      </c>
      <c r="P7519" s="58" t="s">
        <v>19</v>
      </c>
      <c r="Q7519" s="58" t="s">
        <v>123</v>
      </c>
      <c r="R7519" s="58" t="s">
        <v>265</v>
      </c>
    </row>
    <row r="7520" spans="1:18" ht="69" customHeight="1">
      <c r="B7520" s="62">
        <f t="shared" si="43"/>
        <v>4659</v>
      </c>
      <c r="C7520" s="201" t="s">
        <v>458</v>
      </c>
      <c r="D7520" s="545" t="s">
        <v>14737</v>
      </c>
      <c r="E7520" s="58" t="s">
        <v>350</v>
      </c>
      <c r="F7520" s="58" t="s">
        <v>18454</v>
      </c>
      <c r="G7520" s="58" t="s">
        <v>16468</v>
      </c>
      <c r="H7520" s="546">
        <v>182841</v>
      </c>
      <c r="I7520" s="47">
        <v>45327</v>
      </c>
      <c r="J7520" s="73" t="s">
        <v>18455</v>
      </c>
      <c r="K7520" s="67"/>
      <c r="O7520" s="62" t="s">
        <v>141</v>
      </c>
      <c r="P7520" s="58" t="s">
        <v>19</v>
      </c>
      <c r="Q7520" s="45" t="s">
        <v>117</v>
      </c>
      <c r="R7520" s="45" t="s">
        <v>265</v>
      </c>
    </row>
    <row r="7521" spans="1:18" ht="69" customHeight="1">
      <c r="B7521" s="62">
        <f t="shared" si="43"/>
        <v>4660</v>
      </c>
      <c r="C7521" s="59" t="s">
        <v>3667</v>
      </c>
      <c r="D7521" s="545" t="s">
        <v>18456</v>
      </c>
      <c r="E7521" s="58" t="s">
        <v>18457</v>
      </c>
      <c r="F7521" s="58" t="s">
        <v>18458</v>
      </c>
      <c r="G7521" s="58" t="s">
        <v>18459</v>
      </c>
      <c r="H7521" s="546">
        <v>25000</v>
      </c>
      <c r="I7521" s="47">
        <v>45327</v>
      </c>
      <c r="J7521" s="73" t="s">
        <v>18460</v>
      </c>
      <c r="K7521" s="67"/>
      <c r="O7521" s="58" t="s">
        <v>192</v>
      </c>
      <c r="P7521" s="58" t="s">
        <v>57</v>
      </c>
      <c r="Q7521" s="45" t="s">
        <v>86</v>
      </c>
      <c r="R7521" s="45" t="s">
        <v>265</v>
      </c>
    </row>
    <row r="7522" spans="1:18" ht="69" customHeight="1">
      <c r="B7522" s="62">
        <f t="shared" si="43"/>
        <v>4661</v>
      </c>
      <c r="C7522" s="59" t="s">
        <v>3667</v>
      </c>
      <c r="D7522" s="545" t="s">
        <v>18461</v>
      </c>
      <c r="E7522" s="58" t="s">
        <v>18457</v>
      </c>
      <c r="F7522" s="58" t="s">
        <v>18462</v>
      </c>
      <c r="G7522" s="58" t="s">
        <v>18463</v>
      </c>
      <c r="H7522" s="546">
        <v>25000</v>
      </c>
      <c r="I7522" s="47">
        <v>45327</v>
      </c>
      <c r="J7522" s="73" t="s">
        <v>18464</v>
      </c>
      <c r="K7522" s="67"/>
      <c r="O7522" s="58" t="s">
        <v>192</v>
      </c>
      <c r="P7522" s="58" t="s">
        <v>57</v>
      </c>
      <c r="Q7522" s="45" t="s">
        <v>86</v>
      </c>
      <c r="R7522" s="45" t="s">
        <v>265</v>
      </c>
    </row>
    <row r="7523" spans="1:18" ht="69" customHeight="1">
      <c r="B7523" s="52">
        <f t="shared" si="43"/>
        <v>4662</v>
      </c>
      <c r="C7523" s="191" t="s">
        <v>309</v>
      </c>
      <c r="D7523" s="251" t="s">
        <v>13821</v>
      </c>
      <c r="E7523" s="46" t="s">
        <v>18465</v>
      </c>
      <c r="F7523" s="46" t="s">
        <v>18466</v>
      </c>
      <c r="G7523" s="46" t="s">
        <v>18467</v>
      </c>
      <c r="H7523" s="534">
        <v>27440</v>
      </c>
      <c r="I7523" s="56">
        <v>45316</v>
      </c>
      <c r="J7523" s="199" t="s">
        <v>18468</v>
      </c>
      <c r="K7523" s="46"/>
      <c r="O7523" s="52" t="s">
        <v>18469</v>
      </c>
      <c r="P7523" s="46" t="s">
        <v>65</v>
      </c>
      <c r="Q7523" s="46" t="s">
        <v>33</v>
      </c>
      <c r="R7523" s="46" t="s">
        <v>272</v>
      </c>
    </row>
    <row r="7524" spans="1:18" ht="69" customHeight="1">
      <c r="B7524" s="52">
        <f t="shared" si="43"/>
        <v>4663</v>
      </c>
      <c r="C7524" s="191" t="s">
        <v>309</v>
      </c>
      <c r="D7524" s="251" t="s">
        <v>13831</v>
      </c>
      <c r="E7524" s="46" t="s">
        <v>18465</v>
      </c>
      <c r="F7524" s="46" t="s">
        <v>18470</v>
      </c>
      <c r="G7524" s="46" t="s">
        <v>18467</v>
      </c>
      <c r="H7524" s="534">
        <v>28000</v>
      </c>
      <c r="I7524" s="56">
        <v>45316</v>
      </c>
      <c r="J7524" s="199" t="s">
        <v>18468</v>
      </c>
      <c r="K7524" s="46"/>
      <c r="O7524" s="52"/>
      <c r="P7524" s="46" t="s">
        <v>65</v>
      </c>
      <c r="Q7524" s="46" t="s">
        <v>37</v>
      </c>
      <c r="R7524" s="46" t="s">
        <v>272</v>
      </c>
    </row>
    <row r="7525" spans="1:18" ht="69" customHeight="1">
      <c r="B7525" s="62">
        <f t="shared" si="43"/>
        <v>4664</v>
      </c>
      <c r="C7525" s="201" t="s">
        <v>458</v>
      </c>
      <c r="D7525" s="545" t="s">
        <v>14751</v>
      </c>
      <c r="E7525" s="58" t="s">
        <v>17540</v>
      </c>
      <c r="F7525" s="58" t="s">
        <v>18471</v>
      </c>
      <c r="G7525" s="58" t="s">
        <v>18472</v>
      </c>
      <c r="H7525" s="546">
        <v>35000</v>
      </c>
      <c r="I7525" s="126">
        <v>45327</v>
      </c>
      <c r="J7525" s="73" t="s">
        <v>18473</v>
      </c>
      <c r="K7525" s="67"/>
      <c r="O7525" s="62" t="s">
        <v>147</v>
      </c>
      <c r="P7525" s="58" t="s">
        <v>22</v>
      </c>
      <c r="Q7525" s="45" t="s">
        <v>88</v>
      </c>
      <c r="R7525" s="45" t="s">
        <v>265</v>
      </c>
    </row>
    <row r="7526" spans="1:18" ht="69" customHeight="1">
      <c r="B7526" s="62">
        <f t="shared" si="43"/>
        <v>4665</v>
      </c>
      <c r="C7526" s="201" t="s">
        <v>458</v>
      </c>
      <c r="D7526" s="545" t="s">
        <v>14754</v>
      </c>
      <c r="E7526" s="178" t="s">
        <v>7890</v>
      </c>
      <c r="F7526" s="58" t="s">
        <v>18474</v>
      </c>
      <c r="G7526" s="58" t="s">
        <v>18472</v>
      </c>
      <c r="H7526" s="546">
        <v>35000</v>
      </c>
      <c r="I7526" s="126">
        <v>45327</v>
      </c>
      <c r="J7526" s="73" t="s">
        <v>18475</v>
      </c>
      <c r="K7526" s="67"/>
      <c r="O7526" s="62" t="s">
        <v>147</v>
      </c>
      <c r="P7526" s="58" t="s">
        <v>22</v>
      </c>
      <c r="Q7526" s="45" t="s">
        <v>123</v>
      </c>
      <c r="R7526" s="45" t="s">
        <v>265</v>
      </c>
    </row>
    <row r="7527" spans="1:18" ht="69" customHeight="1">
      <c r="B7527" s="62">
        <f t="shared" si="43"/>
        <v>4666</v>
      </c>
      <c r="C7527" s="201" t="s">
        <v>458</v>
      </c>
      <c r="D7527" s="545" t="s">
        <v>14694</v>
      </c>
      <c r="E7527" s="45" t="s">
        <v>11417</v>
      </c>
      <c r="F7527" s="58" t="s">
        <v>18476</v>
      </c>
      <c r="G7527" s="58" t="s">
        <v>18472</v>
      </c>
      <c r="H7527" s="546">
        <v>35000</v>
      </c>
      <c r="I7527" s="126">
        <v>45327</v>
      </c>
      <c r="J7527" s="73" t="s">
        <v>18477</v>
      </c>
      <c r="K7527" s="67"/>
      <c r="O7527" s="62" t="s">
        <v>147</v>
      </c>
      <c r="P7527" s="58" t="s">
        <v>22</v>
      </c>
      <c r="Q7527" s="45" t="s">
        <v>122</v>
      </c>
      <c r="R7527" s="45" t="s">
        <v>265</v>
      </c>
    </row>
    <row r="7528" spans="1:18" s="98" customFormat="1" ht="69" customHeight="1">
      <c r="A7528" s="169"/>
      <c r="B7528" s="259">
        <f t="shared" si="43"/>
        <v>4667</v>
      </c>
      <c r="C7528" s="326" t="s">
        <v>16368</v>
      </c>
      <c r="D7528" s="303" t="s">
        <v>3397</v>
      </c>
      <c r="E7528" s="160" t="s">
        <v>266</v>
      </c>
      <c r="F7528" s="160" t="s">
        <v>18478</v>
      </c>
      <c r="G7528" s="160" t="s">
        <v>18479</v>
      </c>
      <c r="H7528" s="300">
        <v>3210</v>
      </c>
      <c r="I7528" s="209">
        <v>45327</v>
      </c>
      <c r="J7528" s="316" t="s">
        <v>18480</v>
      </c>
      <c r="K7528" s="259" t="s">
        <v>11084</v>
      </c>
      <c r="O7528" s="160" t="s">
        <v>18481</v>
      </c>
      <c r="P7528" s="160" t="s">
        <v>67</v>
      </c>
      <c r="Q7528" s="160" t="s">
        <v>96</v>
      </c>
      <c r="R7528" s="160" t="s">
        <v>272</v>
      </c>
    </row>
    <row r="7529" spans="1:18" ht="69" customHeight="1">
      <c r="B7529" s="62">
        <f t="shared" si="43"/>
        <v>4668</v>
      </c>
      <c r="C7529" s="201" t="s">
        <v>581</v>
      </c>
      <c r="D7529" s="545" t="s">
        <v>13823</v>
      </c>
      <c r="E7529" s="58" t="s">
        <v>17521</v>
      </c>
      <c r="F7529" s="58" t="s">
        <v>18482</v>
      </c>
      <c r="G7529" s="58" t="s">
        <v>18483</v>
      </c>
      <c r="H7529" s="546">
        <v>94146.46</v>
      </c>
      <c r="I7529" s="126">
        <v>45327</v>
      </c>
      <c r="J7529" s="73" t="s">
        <v>18484</v>
      </c>
      <c r="K7529" s="67"/>
      <c r="O7529" s="62" t="s">
        <v>441</v>
      </c>
      <c r="P7529" s="58" t="s">
        <v>22</v>
      </c>
      <c r="Q7529" s="45" t="s">
        <v>18</v>
      </c>
      <c r="R7529" s="45" t="s">
        <v>265</v>
      </c>
    </row>
    <row r="7530" spans="1:18" ht="69" customHeight="1">
      <c r="B7530" s="62">
        <f t="shared" si="43"/>
        <v>4669</v>
      </c>
      <c r="C7530" s="201" t="s">
        <v>581</v>
      </c>
      <c r="D7530" s="545" t="s">
        <v>13825</v>
      </c>
      <c r="E7530" s="58" t="s">
        <v>17521</v>
      </c>
      <c r="F7530" s="58" t="s">
        <v>18485</v>
      </c>
      <c r="G7530" s="58" t="s">
        <v>18483</v>
      </c>
      <c r="H7530" s="546">
        <v>56000</v>
      </c>
      <c r="I7530" s="126">
        <v>45327</v>
      </c>
      <c r="J7530" s="73" t="s">
        <v>18486</v>
      </c>
      <c r="K7530" s="67"/>
      <c r="O7530" s="62" t="s">
        <v>441</v>
      </c>
      <c r="P7530" s="58" t="s">
        <v>22</v>
      </c>
      <c r="Q7530" s="45" t="s">
        <v>18</v>
      </c>
      <c r="R7530" s="45" t="s">
        <v>265</v>
      </c>
    </row>
    <row r="7531" spans="1:18" s="98" customFormat="1" ht="69" customHeight="1">
      <c r="A7531" s="169"/>
      <c r="B7531" s="48">
        <f t="shared" si="43"/>
        <v>4670</v>
      </c>
      <c r="C7531" s="59" t="s">
        <v>3667</v>
      </c>
      <c r="D7531" s="84" t="s">
        <v>18487</v>
      </c>
      <c r="E7531" s="45" t="s">
        <v>15627</v>
      </c>
      <c r="F7531" s="45" t="s">
        <v>18488</v>
      </c>
      <c r="G7531" s="45" t="s">
        <v>18489</v>
      </c>
      <c r="H7531" s="546">
        <v>25882</v>
      </c>
      <c r="I7531" s="47">
        <v>45327</v>
      </c>
      <c r="J7531" s="73" t="s">
        <v>18490</v>
      </c>
      <c r="K7531" s="45"/>
      <c r="O7531" s="48" t="s">
        <v>192</v>
      </c>
      <c r="P7531" s="45" t="s">
        <v>57</v>
      </c>
      <c r="Q7531" s="45" t="s">
        <v>86</v>
      </c>
      <c r="R7531" s="45" t="s">
        <v>265</v>
      </c>
    </row>
    <row r="7532" spans="1:18" ht="69" customHeight="1">
      <c r="B7532" s="259">
        <f t="shared" si="43"/>
        <v>4671</v>
      </c>
      <c r="C7532" s="207" t="s">
        <v>13665</v>
      </c>
      <c r="D7532" s="303" t="s">
        <v>10232</v>
      </c>
      <c r="E7532" s="160" t="s">
        <v>266</v>
      </c>
      <c r="F7532" s="160" t="s">
        <v>18491</v>
      </c>
      <c r="G7532" s="160" t="s">
        <v>18492</v>
      </c>
      <c r="H7532" s="300">
        <v>2258.4</v>
      </c>
      <c r="I7532" s="209">
        <v>45327</v>
      </c>
      <c r="J7532" s="316" t="s">
        <v>18493</v>
      </c>
      <c r="K7532" s="160"/>
      <c r="O7532" s="259"/>
      <c r="P7532" s="160" t="s">
        <v>67</v>
      </c>
      <c r="Q7532" s="160" t="s">
        <v>96</v>
      </c>
      <c r="R7532" s="160" t="s">
        <v>272</v>
      </c>
    </row>
    <row r="7533" spans="1:18" ht="69" customHeight="1">
      <c r="B7533" s="259">
        <f t="shared" si="43"/>
        <v>4672</v>
      </c>
      <c r="C7533" s="207" t="s">
        <v>13665</v>
      </c>
      <c r="D7533" s="303" t="s">
        <v>1268</v>
      </c>
      <c r="E7533" s="160" t="s">
        <v>266</v>
      </c>
      <c r="F7533" s="160" t="s">
        <v>18494</v>
      </c>
      <c r="G7533" s="160" t="s">
        <v>18492</v>
      </c>
      <c r="H7533" s="300">
        <v>2005.3</v>
      </c>
      <c r="I7533" s="209">
        <v>45327</v>
      </c>
      <c r="J7533" s="316" t="s">
        <v>18493</v>
      </c>
      <c r="K7533" s="160"/>
      <c r="O7533" s="259"/>
      <c r="P7533" s="160" t="s">
        <v>67</v>
      </c>
      <c r="Q7533" s="160" t="s">
        <v>96</v>
      </c>
      <c r="R7533" s="160" t="s">
        <v>272</v>
      </c>
    </row>
    <row r="7534" spans="1:18" ht="69" customHeight="1">
      <c r="B7534" s="259">
        <f t="shared" si="43"/>
        <v>4673</v>
      </c>
      <c r="C7534" s="207" t="s">
        <v>13665</v>
      </c>
      <c r="D7534" s="303" t="s">
        <v>3654</v>
      </c>
      <c r="E7534" s="160" t="s">
        <v>266</v>
      </c>
      <c r="F7534" s="160" t="s">
        <v>18495</v>
      </c>
      <c r="G7534" s="160" t="s">
        <v>18492</v>
      </c>
      <c r="H7534" s="300">
        <v>2005.3</v>
      </c>
      <c r="I7534" s="209">
        <v>45327</v>
      </c>
      <c r="J7534" s="316" t="s">
        <v>18493</v>
      </c>
      <c r="K7534" s="160"/>
      <c r="O7534" s="259"/>
      <c r="P7534" s="160" t="s">
        <v>67</v>
      </c>
      <c r="Q7534" s="160" t="s">
        <v>96</v>
      </c>
      <c r="R7534" s="160" t="s">
        <v>272</v>
      </c>
    </row>
    <row r="7535" spans="1:18" ht="69" customHeight="1">
      <c r="B7535" s="259">
        <f t="shared" si="43"/>
        <v>4674</v>
      </c>
      <c r="C7535" s="207" t="s">
        <v>13665</v>
      </c>
      <c r="D7535" s="303" t="s">
        <v>3657</v>
      </c>
      <c r="E7535" s="160" t="s">
        <v>266</v>
      </c>
      <c r="F7535" s="160" t="s">
        <v>18496</v>
      </c>
      <c r="G7535" s="160" t="s">
        <v>18492</v>
      </c>
      <c r="H7535" s="300">
        <v>2450</v>
      </c>
      <c r="I7535" s="209">
        <v>45327</v>
      </c>
      <c r="J7535" s="316" t="s">
        <v>18493</v>
      </c>
      <c r="K7535" s="160"/>
      <c r="O7535" s="259"/>
      <c r="P7535" s="160" t="s">
        <v>67</v>
      </c>
      <c r="Q7535" s="160" t="s">
        <v>96</v>
      </c>
      <c r="R7535" s="160" t="s">
        <v>272</v>
      </c>
    </row>
    <row r="7536" spans="1:18" ht="69" customHeight="1">
      <c r="B7536" s="259">
        <f t="shared" si="43"/>
        <v>4675</v>
      </c>
      <c r="C7536" s="207" t="s">
        <v>13665</v>
      </c>
      <c r="D7536" s="303" t="s">
        <v>3672</v>
      </c>
      <c r="E7536" s="160" t="s">
        <v>266</v>
      </c>
      <c r="F7536" s="160" t="s">
        <v>18497</v>
      </c>
      <c r="G7536" s="160" t="s">
        <v>18492</v>
      </c>
      <c r="H7536" s="300">
        <v>2450</v>
      </c>
      <c r="I7536" s="209">
        <v>45327</v>
      </c>
      <c r="J7536" s="316" t="s">
        <v>18493</v>
      </c>
      <c r="K7536" s="160"/>
      <c r="O7536" s="259"/>
      <c r="P7536" s="160" t="s">
        <v>67</v>
      </c>
      <c r="Q7536" s="160" t="s">
        <v>96</v>
      </c>
      <c r="R7536" s="160" t="s">
        <v>272</v>
      </c>
    </row>
    <row r="7537" spans="1:18" ht="69" customHeight="1">
      <c r="B7537" s="52">
        <f t="shared" si="43"/>
        <v>4676</v>
      </c>
      <c r="C7537" s="538" t="s">
        <v>581</v>
      </c>
      <c r="D7537" s="251" t="s">
        <v>13827</v>
      </c>
      <c r="E7537" s="46" t="s">
        <v>266</v>
      </c>
      <c r="F7537" s="46" t="s">
        <v>18498</v>
      </c>
      <c r="G7537" s="46" t="s">
        <v>18499</v>
      </c>
      <c r="H7537" s="534">
        <v>2148.6</v>
      </c>
      <c r="I7537" s="56">
        <v>45327</v>
      </c>
      <c r="J7537" s="199" t="s">
        <v>18500</v>
      </c>
      <c r="K7537" s="46" t="s">
        <v>1170</v>
      </c>
      <c r="O7537" s="52" t="s">
        <v>13808</v>
      </c>
      <c r="P7537" s="46" t="s">
        <v>65</v>
      </c>
      <c r="Q7537" s="46" t="s">
        <v>18</v>
      </c>
      <c r="R7537" s="46" t="s">
        <v>272</v>
      </c>
    </row>
    <row r="7538" spans="1:18" ht="69" customHeight="1">
      <c r="B7538" s="52">
        <f t="shared" si="43"/>
        <v>4677</v>
      </c>
      <c r="C7538" s="538" t="s">
        <v>581</v>
      </c>
      <c r="D7538" s="251" t="s">
        <v>18002</v>
      </c>
      <c r="E7538" s="46" t="s">
        <v>266</v>
      </c>
      <c r="F7538" s="46" t="s">
        <v>18501</v>
      </c>
      <c r="G7538" s="46" t="s">
        <v>18499</v>
      </c>
      <c r="H7538" s="534">
        <v>8800</v>
      </c>
      <c r="I7538" s="56">
        <v>45327</v>
      </c>
      <c r="J7538" s="199" t="s">
        <v>18502</v>
      </c>
      <c r="K7538" s="46"/>
      <c r="O7538" s="52" t="s">
        <v>18503</v>
      </c>
      <c r="P7538" s="46" t="s">
        <v>65</v>
      </c>
      <c r="Q7538" s="46" t="s">
        <v>18</v>
      </c>
      <c r="R7538" s="46" t="s">
        <v>272</v>
      </c>
    </row>
    <row r="7539" spans="1:18" ht="69" customHeight="1">
      <c r="B7539" s="259">
        <f t="shared" si="43"/>
        <v>4678</v>
      </c>
      <c r="C7539" s="310" t="s">
        <v>13665</v>
      </c>
      <c r="D7539" s="303" t="s">
        <v>1457</v>
      </c>
      <c r="E7539" s="160" t="s">
        <v>266</v>
      </c>
      <c r="F7539" s="160" t="s">
        <v>18504</v>
      </c>
      <c r="G7539" s="160" t="s">
        <v>18492</v>
      </c>
      <c r="H7539" s="300">
        <v>12840</v>
      </c>
      <c r="I7539" s="209">
        <v>45327</v>
      </c>
      <c r="J7539" s="316" t="s">
        <v>18505</v>
      </c>
      <c r="K7539" s="160"/>
      <c r="O7539" s="259"/>
      <c r="P7539" s="160" t="s">
        <v>67</v>
      </c>
      <c r="Q7539" s="160" t="s">
        <v>96</v>
      </c>
      <c r="R7539" s="160" t="s">
        <v>272</v>
      </c>
    </row>
    <row r="7540" spans="1:18" ht="69" customHeight="1">
      <c r="B7540" s="259">
        <f t="shared" si="43"/>
        <v>4679</v>
      </c>
      <c r="C7540" s="310" t="s">
        <v>13665</v>
      </c>
      <c r="D7540" s="303" t="s">
        <v>4561</v>
      </c>
      <c r="E7540" s="160" t="s">
        <v>266</v>
      </c>
      <c r="F7540" s="160" t="s">
        <v>18506</v>
      </c>
      <c r="G7540" s="160" t="s">
        <v>18492</v>
      </c>
      <c r="H7540" s="300">
        <v>12840</v>
      </c>
      <c r="I7540" s="209">
        <v>45327</v>
      </c>
      <c r="J7540" s="316" t="s">
        <v>18505</v>
      </c>
      <c r="K7540" s="160"/>
      <c r="O7540" s="259"/>
      <c r="P7540" s="160" t="s">
        <v>67</v>
      </c>
      <c r="Q7540" s="160" t="s">
        <v>96</v>
      </c>
      <c r="R7540" s="160" t="s">
        <v>272</v>
      </c>
    </row>
    <row r="7541" spans="1:18" ht="69" customHeight="1">
      <c r="B7541" s="259">
        <f t="shared" si="43"/>
        <v>4680</v>
      </c>
      <c r="C7541" s="310" t="s">
        <v>13665</v>
      </c>
      <c r="D7541" s="303" t="s">
        <v>4738</v>
      </c>
      <c r="E7541" s="160" t="s">
        <v>266</v>
      </c>
      <c r="F7541" s="160" t="s">
        <v>18507</v>
      </c>
      <c r="G7541" s="160" t="s">
        <v>18492</v>
      </c>
      <c r="H7541" s="300">
        <v>18000</v>
      </c>
      <c r="I7541" s="209">
        <v>45327</v>
      </c>
      <c r="J7541" s="316" t="s">
        <v>18505</v>
      </c>
      <c r="K7541" s="160"/>
      <c r="O7541" s="259"/>
      <c r="P7541" s="160" t="s">
        <v>67</v>
      </c>
      <c r="Q7541" s="160" t="s">
        <v>96</v>
      </c>
      <c r="R7541" s="160" t="s">
        <v>272</v>
      </c>
    </row>
    <row r="7542" spans="1:18" ht="69" customHeight="1">
      <c r="B7542" s="259">
        <f t="shared" si="43"/>
        <v>4681</v>
      </c>
      <c r="C7542" s="310" t="s">
        <v>13665</v>
      </c>
      <c r="D7542" s="303" t="s">
        <v>1973</v>
      </c>
      <c r="E7542" s="160" t="s">
        <v>266</v>
      </c>
      <c r="F7542" s="160" t="s">
        <v>18508</v>
      </c>
      <c r="G7542" s="160" t="s">
        <v>18492</v>
      </c>
      <c r="H7542" s="300">
        <v>3210</v>
      </c>
      <c r="I7542" s="209">
        <v>45327</v>
      </c>
      <c r="J7542" s="316" t="s">
        <v>18505</v>
      </c>
      <c r="K7542" s="160"/>
      <c r="O7542" s="259"/>
      <c r="P7542" s="160" t="s">
        <v>67</v>
      </c>
      <c r="Q7542" s="160" t="s">
        <v>96</v>
      </c>
      <c r="R7542" s="160" t="s">
        <v>272</v>
      </c>
    </row>
    <row r="7543" spans="1:18" ht="69" customHeight="1">
      <c r="B7543" s="259">
        <f t="shared" si="43"/>
        <v>4682</v>
      </c>
      <c r="C7543" s="160" t="s">
        <v>16368</v>
      </c>
      <c r="D7543" s="303" t="s">
        <v>2462</v>
      </c>
      <c r="E7543" s="160" t="s">
        <v>266</v>
      </c>
      <c r="F7543" s="160" t="s">
        <v>18509</v>
      </c>
      <c r="G7543" s="160" t="s">
        <v>18492</v>
      </c>
      <c r="H7543" s="300">
        <v>3210</v>
      </c>
      <c r="I7543" s="209">
        <v>45327</v>
      </c>
      <c r="J7543" s="316" t="s">
        <v>18510</v>
      </c>
      <c r="K7543" s="160"/>
      <c r="O7543" s="259"/>
      <c r="P7543" s="160" t="s">
        <v>67</v>
      </c>
      <c r="Q7543" s="160" t="s">
        <v>96</v>
      </c>
      <c r="R7543" s="160" t="s">
        <v>272</v>
      </c>
    </row>
    <row r="7544" spans="1:18" ht="69" customHeight="1">
      <c r="B7544" s="259">
        <f t="shared" si="43"/>
        <v>4683</v>
      </c>
      <c r="C7544" s="160" t="s">
        <v>16368</v>
      </c>
      <c r="D7544" s="303" t="s">
        <v>2708</v>
      </c>
      <c r="E7544" s="160" t="s">
        <v>266</v>
      </c>
      <c r="F7544" s="160" t="s">
        <v>18511</v>
      </c>
      <c r="G7544" s="160" t="s">
        <v>18492</v>
      </c>
      <c r="H7544" s="300">
        <v>3210</v>
      </c>
      <c r="I7544" s="209">
        <v>45327</v>
      </c>
      <c r="J7544" s="316" t="s">
        <v>18510</v>
      </c>
      <c r="K7544" s="160"/>
      <c r="O7544" s="259"/>
      <c r="P7544" s="160" t="s">
        <v>67</v>
      </c>
      <c r="Q7544" s="160" t="s">
        <v>96</v>
      </c>
      <c r="R7544" s="160" t="s">
        <v>272</v>
      </c>
    </row>
    <row r="7545" spans="1:18" ht="69" customHeight="1">
      <c r="B7545" s="259">
        <f t="shared" si="43"/>
        <v>4684</v>
      </c>
      <c r="C7545" s="160" t="s">
        <v>16368</v>
      </c>
      <c r="D7545" s="303" t="s">
        <v>931</v>
      </c>
      <c r="E7545" s="160" t="s">
        <v>266</v>
      </c>
      <c r="F7545" s="160" t="s">
        <v>18512</v>
      </c>
      <c r="G7545" s="160" t="s">
        <v>18492</v>
      </c>
      <c r="H7545" s="300">
        <v>3210</v>
      </c>
      <c r="I7545" s="209">
        <v>45327</v>
      </c>
      <c r="J7545" s="316" t="s">
        <v>18510</v>
      </c>
      <c r="K7545" s="160"/>
      <c r="O7545" s="259"/>
      <c r="P7545" s="160" t="s">
        <v>67</v>
      </c>
      <c r="Q7545" s="160" t="s">
        <v>96</v>
      </c>
      <c r="R7545" s="160" t="s">
        <v>272</v>
      </c>
    </row>
    <row r="7546" spans="1:18" ht="69" customHeight="1">
      <c r="B7546" s="259">
        <f t="shared" si="43"/>
        <v>4685</v>
      </c>
      <c r="C7546" s="160" t="s">
        <v>16368</v>
      </c>
      <c r="D7546" s="303" t="s">
        <v>934</v>
      </c>
      <c r="E7546" s="160" t="s">
        <v>266</v>
      </c>
      <c r="F7546" s="160" t="s">
        <v>18513</v>
      </c>
      <c r="G7546" s="160" t="s">
        <v>18492</v>
      </c>
      <c r="H7546" s="300">
        <v>3210</v>
      </c>
      <c r="I7546" s="209">
        <v>45327</v>
      </c>
      <c r="J7546" s="316" t="s">
        <v>18510</v>
      </c>
      <c r="K7546" s="160"/>
      <c r="O7546" s="259"/>
      <c r="P7546" s="160" t="s">
        <v>67</v>
      </c>
      <c r="Q7546" s="160" t="s">
        <v>96</v>
      </c>
      <c r="R7546" s="160" t="s">
        <v>272</v>
      </c>
    </row>
    <row r="7547" spans="1:18" ht="69" customHeight="1">
      <c r="B7547" s="259">
        <f t="shared" si="43"/>
        <v>4686</v>
      </c>
      <c r="C7547" s="160" t="s">
        <v>16368</v>
      </c>
      <c r="D7547" s="303" t="s">
        <v>3408</v>
      </c>
      <c r="E7547" s="160" t="s">
        <v>266</v>
      </c>
      <c r="F7547" s="160" t="s">
        <v>18514</v>
      </c>
      <c r="G7547" s="160" t="s">
        <v>18492</v>
      </c>
      <c r="H7547" s="300">
        <v>3210</v>
      </c>
      <c r="I7547" s="209">
        <v>45327</v>
      </c>
      <c r="J7547" s="316" t="s">
        <v>18510</v>
      </c>
      <c r="K7547" s="160"/>
      <c r="O7547" s="259"/>
      <c r="P7547" s="160" t="s">
        <v>67</v>
      </c>
      <c r="Q7547" s="160" t="s">
        <v>96</v>
      </c>
      <c r="R7547" s="160" t="s">
        <v>272</v>
      </c>
    </row>
    <row r="7548" spans="1:18" ht="69" customHeight="1">
      <c r="A7548" s="168"/>
      <c r="B7548" s="62">
        <f t="shared" si="43"/>
        <v>4687</v>
      </c>
      <c r="C7548" s="629" t="s">
        <v>15700</v>
      </c>
      <c r="D7548" s="174" t="s">
        <v>13835</v>
      </c>
      <c r="E7548" s="58" t="s">
        <v>15627</v>
      </c>
      <c r="F7548" s="58" t="s">
        <v>18515</v>
      </c>
      <c r="G7548" s="58" t="s">
        <v>18516</v>
      </c>
      <c r="H7548" s="546">
        <v>25000</v>
      </c>
      <c r="I7548" s="66">
        <v>45327</v>
      </c>
      <c r="J7548" s="65" t="s">
        <v>18517</v>
      </c>
      <c r="K7548" s="45" t="s">
        <v>18518</v>
      </c>
      <c r="O7548" s="62" t="s">
        <v>192</v>
      </c>
      <c r="P7548" s="58" t="s">
        <v>75</v>
      </c>
      <c r="Q7548" s="58" t="s">
        <v>39</v>
      </c>
      <c r="R7548" s="58" t="s">
        <v>265</v>
      </c>
    </row>
    <row r="7549" spans="1:18" ht="69" customHeight="1">
      <c r="B7549" s="62">
        <f t="shared" si="43"/>
        <v>4688</v>
      </c>
      <c r="C7549" s="59" t="s">
        <v>3647</v>
      </c>
      <c r="D7549" s="575" t="s">
        <v>18519</v>
      </c>
      <c r="E7549" s="178" t="s">
        <v>266</v>
      </c>
      <c r="F7549" s="210" t="s">
        <v>18520</v>
      </c>
      <c r="G7549" s="58" t="s">
        <v>17649</v>
      </c>
      <c r="H7549" s="657">
        <v>12.86</v>
      </c>
      <c r="I7549" s="126">
        <v>45327</v>
      </c>
      <c r="J7549" s="73" t="s">
        <v>18521</v>
      </c>
      <c r="K7549" s="67"/>
      <c r="O7549" s="62" t="s">
        <v>5969</v>
      </c>
      <c r="P7549" s="58" t="s">
        <v>44</v>
      </c>
      <c r="Q7549" s="45" t="s">
        <v>47</v>
      </c>
      <c r="R7549" s="45" t="s">
        <v>272</v>
      </c>
    </row>
    <row r="7550" spans="1:18" s="98" customFormat="1" ht="69" customHeight="1">
      <c r="A7550" s="169"/>
      <c r="B7550" s="48">
        <f t="shared" si="43"/>
        <v>4689</v>
      </c>
      <c r="C7550" s="59" t="s">
        <v>11058</v>
      </c>
      <c r="D7550" s="84" t="s">
        <v>18100</v>
      </c>
      <c r="E7550" s="45" t="s">
        <v>15627</v>
      </c>
      <c r="F7550" s="45" t="s">
        <v>18522</v>
      </c>
      <c r="G7550" s="45" t="s">
        <v>18516</v>
      </c>
      <c r="H7550" s="546">
        <v>25199.64</v>
      </c>
      <c r="I7550" s="47">
        <v>45327</v>
      </c>
      <c r="J7550" s="73" t="s">
        <v>18523</v>
      </c>
      <c r="K7550" s="45"/>
      <c r="O7550" s="48" t="s">
        <v>192</v>
      </c>
      <c r="P7550" s="45" t="s">
        <v>75</v>
      </c>
      <c r="Q7550" s="45" t="s">
        <v>23</v>
      </c>
      <c r="R7550" s="45" t="s">
        <v>265</v>
      </c>
    </row>
    <row r="7551" spans="1:18" s="98" customFormat="1" ht="69" customHeight="1">
      <c r="A7551" s="169"/>
      <c r="B7551" s="48">
        <f t="shared" si="43"/>
        <v>4690</v>
      </c>
      <c r="C7551" s="201" t="s">
        <v>15449</v>
      </c>
      <c r="D7551" s="84" t="s">
        <v>13991</v>
      </c>
      <c r="E7551" s="45" t="s">
        <v>15627</v>
      </c>
      <c r="F7551" s="45" t="s">
        <v>18524</v>
      </c>
      <c r="G7551" s="45" t="s">
        <v>18516</v>
      </c>
      <c r="H7551" s="546">
        <v>80000</v>
      </c>
      <c r="I7551" s="47">
        <v>45327</v>
      </c>
      <c r="J7551" s="73" t="s">
        <v>18525</v>
      </c>
      <c r="K7551" s="45" t="s">
        <v>18526</v>
      </c>
      <c r="O7551" s="48" t="s">
        <v>192</v>
      </c>
      <c r="P7551" s="45" t="s">
        <v>75</v>
      </c>
      <c r="Q7551" s="45" t="s">
        <v>41</v>
      </c>
      <c r="R7551" s="45" t="s">
        <v>265</v>
      </c>
    </row>
    <row r="7552" spans="1:18" s="98" customFormat="1" ht="69" customHeight="1">
      <c r="A7552" s="169"/>
      <c r="B7552" s="48">
        <f t="shared" si="43"/>
        <v>4691</v>
      </c>
      <c r="C7552" s="201" t="s">
        <v>15700</v>
      </c>
      <c r="D7552" s="84" t="s">
        <v>13987</v>
      </c>
      <c r="E7552" s="45" t="s">
        <v>15627</v>
      </c>
      <c r="F7552" s="45" t="s">
        <v>18527</v>
      </c>
      <c r="G7552" s="45" t="s">
        <v>18516</v>
      </c>
      <c r="H7552" s="546">
        <v>80000</v>
      </c>
      <c r="I7552" s="47">
        <v>45327</v>
      </c>
      <c r="J7552" s="73" t="s">
        <v>18528</v>
      </c>
      <c r="K7552" s="45" t="s">
        <v>18518</v>
      </c>
      <c r="O7552" s="48" t="s">
        <v>192</v>
      </c>
      <c r="P7552" s="45" t="s">
        <v>75</v>
      </c>
      <c r="Q7552" s="45" t="s">
        <v>39</v>
      </c>
      <c r="R7552" s="45" t="s">
        <v>265</v>
      </c>
    </row>
    <row r="7553" spans="1:18" ht="69" customHeight="1">
      <c r="B7553" s="62">
        <f t="shared" si="43"/>
        <v>4692</v>
      </c>
      <c r="C7553" s="59" t="s">
        <v>581</v>
      </c>
      <c r="D7553" s="545" t="s">
        <v>13863</v>
      </c>
      <c r="E7553" s="58" t="s">
        <v>18529</v>
      </c>
      <c r="F7553" s="58" t="s">
        <v>18530</v>
      </c>
      <c r="G7553" s="58" t="s">
        <v>18483</v>
      </c>
      <c r="H7553" s="546">
        <v>25000</v>
      </c>
      <c r="I7553" s="47">
        <v>45327</v>
      </c>
      <c r="J7553" s="73" t="s">
        <v>18531</v>
      </c>
      <c r="K7553" s="67"/>
      <c r="O7553" s="62" t="s">
        <v>441</v>
      </c>
      <c r="P7553" s="58" t="s">
        <v>22</v>
      </c>
      <c r="Q7553" s="45" t="s">
        <v>18</v>
      </c>
      <c r="R7553" s="45" t="s">
        <v>265</v>
      </c>
    </row>
    <row r="7554" spans="1:18" ht="69" customHeight="1">
      <c r="B7554" s="62">
        <f t="shared" si="43"/>
        <v>4693</v>
      </c>
      <c r="C7554" s="59" t="s">
        <v>581</v>
      </c>
      <c r="D7554" s="545" t="s">
        <v>13867</v>
      </c>
      <c r="E7554" s="58" t="s">
        <v>18529</v>
      </c>
      <c r="F7554" s="58" t="s">
        <v>18532</v>
      </c>
      <c r="G7554" s="58" t="s">
        <v>18533</v>
      </c>
      <c r="H7554" s="546">
        <v>26500</v>
      </c>
      <c r="I7554" s="47">
        <v>45327</v>
      </c>
      <c r="J7554" s="73" t="s">
        <v>18534</v>
      </c>
      <c r="K7554" s="67"/>
      <c r="O7554" s="62" t="s">
        <v>441</v>
      </c>
      <c r="P7554" s="58" t="s">
        <v>22</v>
      </c>
      <c r="Q7554" s="45" t="s">
        <v>18</v>
      </c>
      <c r="R7554" s="45" t="s">
        <v>265</v>
      </c>
    </row>
    <row r="7555" spans="1:18" ht="69" customHeight="1">
      <c r="B7555" s="52">
        <f t="shared" si="43"/>
        <v>4694</v>
      </c>
      <c r="C7555" s="191" t="s">
        <v>7452</v>
      </c>
      <c r="D7555" s="251" t="s">
        <v>18535</v>
      </c>
      <c r="E7555" s="191" t="s">
        <v>266</v>
      </c>
      <c r="F7555" s="46" t="s">
        <v>18536</v>
      </c>
      <c r="G7555" s="46" t="s">
        <v>18537</v>
      </c>
      <c r="H7555" s="534">
        <v>13500</v>
      </c>
      <c r="I7555" s="56">
        <v>45327</v>
      </c>
      <c r="J7555" s="199" t="s">
        <v>18538</v>
      </c>
      <c r="K7555" s="46"/>
      <c r="O7555" s="52"/>
      <c r="P7555" s="46" t="s">
        <v>65</v>
      </c>
      <c r="Q7555" s="46" t="s">
        <v>101</v>
      </c>
      <c r="R7555" s="46" t="s">
        <v>272</v>
      </c>
    </row>
    <row r="7556" spans="1:18" ht="69" customHeight="1">
      <c r="B7556" s="52">
        <f t="shared" si="43"/>
        <v>4695</v>
      </c>
      <c r="C7556" s="191" t="s">
        <v>7521</v>
      </c>
      <c r="D7556" s="251" t="s">
        <v>18539</v>
      </c>
      <c r="E7556" s="191" t="s">
        <v>266</v>
      </c>
      <c r="F7556" s="46" t="s">
        <v>18540</v>
      </c>
      <c r="G7556" s="46" t="s">
        <v>18537</v>
      </c>
      <c r="H7556" s="534">
        <v>13500</v>
      </c>
      <c r="I7556" s="56">
        <v>45327</v>
      </c>
      <c r="J7556" s="199" t="s">
        <v>18538</v>
      </c>
      <c r="K7556" s="46"/>
      <c r="O7556" s="52" t="s">
        <v>14051</v>
      </c>
      <c r="P7556" s="46" t="s">
        <v>65</v>
      </c>
      <c r="Q7556" s="46" t="s">
        <v>102</v>
      </c>
      <c r="R7556" s="46" t="s">
        <v>272</v>
      </c>
    </row>
    <row r="7557" spans="1:18" ht="69" customHeight="1">
      <c r="B7557" s="52">
        <f t="shared" si="43"/>
        <v>4696</v>
      </c>
      <c r="C7557" s="538" t="s">
        <v>16106</v>
      </c>
      <c r="D7557" s="251" t="s">
        <v>13870</v>
      </c>
      <c r="E7557" s="191" t="s">
        <v>266</v>
      </c>
      <c r="F7557" s="46" t="s">
        <v>18541</v>
      </c>
      <c r="G7557" s="46" t="s">
        <v>18542</v>
      </c>
      <c r="H7557" s="534">
        <v>20688.2</v>
      </c>
      <c r="I7557" s="56">
        <v>45327</v>
      </c>
      <c r="J7557" s="199" t="s">
        <v>18543</v>
      </c>
      <c r="K7557" s="46"/>
      <c r="O7557" s="46" t="s">
        <v>1171</v>
      </c>
      <c r="P7557" s="46" t="s">
        <v>71</v>
      </c>
      <c r="Q7557" s="46" t="s">
        <v>33</v>
      </c>
      <c r="R7557" s="46" t="s">
        <v>272</v>
      </c>
    </row>
    <row r="7558" spans="1:18" ht="69" customHeight="1">
      <c r="B7558" s="52">
        <f t="shared" si="43"/>
        <v>4697</v>
      </c>
      <c r="C7558" s="538" t="s">
        <v>11050</v>
      </c>
      <c r="D7558" s="251" t="s">
        <v>13872</v>
      </c>
      <c r="E7558" s="191" t="s">
        <v>266</v>
      </c>
      <c r="F7558" s="46" t="s">
        <v>18544</v>
      </c>
      <c r="G7558" s="46" t="s">
        <v>18542</v>
      </c>
      <c r="H7558" s="534">
        <v>20688.2</v>
      </c>
      <c r="I7558" s="56">
        <v>45327</v>
      </c>
      <c r="J7558" s="199" t="s">
        <v>18543</v>
      </c>
      <c r="K7558" s="46"/>
      <c r="O7558" s="46" t="s">
        <v>1171</v>
      </c>
      <c r="P7558" s="46" t="s">
        <v>71</v>
      </c>
      <c r="Q7558" s="46" t="s">
        <v>35</v>
      </c>
      <c r="R7558" s="46" t="s">
        <v>272</v>
      </c>
    </row>
    <row r="7559" spans="1:18" ht="69" customHeight="1">
      <c r="B7559" s="52">
        <f t="shared" si="43"/>
        <v>4698</v>
      </c>
      <c r="C7559" s="538" t="s">
        <v>11052</v>
      </c>
      <c r="D7559" s="251" t="s">
        <v>13937</v>
      </c>
      <c r="E7559" s="191" t="s">
        <v>266</v>
      </c>
      <c r="F7559" s="46" t="s">
        <v>18545</v>
      </c>
      <c r="G7559" s="46" t="s">
        <v>18542</v>
      </c>
      <c r="H7559" s="534">
        <v>20688.2</v>
      </c>
      <c r="I7559" s="56">
        <v>45327</v>
      </c>
      <c r="J7559" s="199" t="s">
        <v>18543</v>
      </c>
      <c r="K7559" s="46"/>
      <c r="O7559" s="46" t="s">
        <v>1171</v>
      </c>
      <c r="P7559" s="46" t="s">
        <v>71</v>
      </c>
      <c r="Q7559" s="46" t="s">
        <v>37</v>
      </c>
      <c r="R7559" s="46" t="s">
        <v>272</v>
      </c>
    </row>
    <row r="7560" spans="1:18" ht="69" customHeight="1">
      <c r="B7560" s="52">
        <f t="shared" si="43"/>
        <v>4699</v>
      </c>
      <c r="C7560" s="538" t="s">
        <v>309</v>
      </c>
      <c r="D7560" s="251" t="s">
        <v>14247</v>
      </c>
      <c r="E7560" s="191" t="s">
        <v>266</v>
      </c>
      <c r="F7560" s="46" t="s">
        <v>18546</v>
      </c>
      <c r="G7560" s="46" t="s">
        <v>18542</v>
      </c>
      <c r="H7560" s="534">
        <v>9750</v>
      </c>
      <c r="I7560" s="56">
        <v>45337</v>
      </c>
      <c r="J7560" s="199" t="s">
        <v>18543</v>
      </c>
      <c r="K7560" s="46"/>
      <c r="O7560" s="46" t="s">
        <v>1171</v>
      </c>
      <c r="P7560" s="46" t="s">
        <v>71</v>
      </c>
      <c r="Q7560" s="46" t="s">
        <v>33</v>
      </c>
      <c r="R7560" s="46" t="s">
        <v>272</v>
      </c>
    </row>
    <row r="7561" spans="1:18" ht="69" customHeight="1">
      <c r="B7561" s="52">
        <f t="shared" si="43"/>
        <v>4700</v>
      </c>
      <c r="C7561" s="538" t="s">
        <v>11050</v>
      </c>
      <c r="D7561" s="251" t="s">
        <v>13948</v>
      </c>
      <c r="E7561" s="191" t="s">
        <v>266</v>
      </c>
      <c r="F7561" s="46" t="s">
        <v>18547</v>
      </c>
      <c r="G7561" s="46" t="s">
        <v>18542</v>
      </c>
      <c r="H7561" s="534">
        <v>9750</v>
      </c>
      <c r="I7561" s="56">
        <v>45327</v>
      </c>
      <c r="J7561" s="199" t="s">
        <v>18543</v>
      </c>
      <c r="K7561" s="46"/>
      <c r="O7561" s="46" t="s">
        <v>1171</v>
      </c>
      <c r="P7561" s="46" t="s">
        <v>71</v>
      </c>
      <c r="Q7561" s="46" t="s">
        <v>35</v>
      </c>
      <c r="R7561" s="46" t="s">
        <v>272</v>
      </c>
    </row>
    <row r="7562" spans="1:18" ht="69" customHeight="1">
      <c r="B7562" s="52">
        <f t="shared" si="43"/>
        <v>4701</v>
      </c>
      <c r="C7562" s="538" t="s">
        <v>11052</v>
      </c>
      <c r="D7562" s="251" t="s">
        <v>13278</v>
      </c>
      <c r="E7562" s="191" t="s">
        <v>266</v>
      </c>
      <c r="F7562" s="46" t="s">
        <v>18548</v>
      </c>
      <c r="G7562" s="46" t="s">
        <v>18542</v>
      </c>
      <c r="H7562" s="534">
        <v>9750</v>
      </c>
      <c r="I7562" s="56">
        <v>45327</v>
      </c>
      <c r="J7562" s="199" t="s">
        <v>18543</v>
      </c>
      <c r="K7562" s="46"/>
      <c r="O7562" s="46" t="s">
        <v>1171</v>
      </c>
      <c r="P7562" s="46" t="s">
        <v>71</v>
      </c>
      <c r="Q7562" s="46" t="s">
        <v>37</v>
      </c>
      <c r="R7562" s="46" t="s">
        <v>272</v>
      </c>
    </row>
    <row r="7563" spans="1:18" ht="69" customHeight="1">
      <c r="B7563" s="52">
        <f t="shared" si="43"/>
        <v>4702</v>
      </c>
      <c r="C7563" s="538" t="s">
        <v>309</v>
      </c>
      <c r="D7563" s="251" t="s">
        <v>13974</v>
      </c>
      <c r="E7563" s="191" t="s">
        <v>266</v>
      </c>
      <c r="F7563" s="46" t="s">
        <v>18549</v>
      </c>
      <c r="G7563" s="46" t="s">
        <v>18542</v>
      </c>
      <c r="H7563" s="534">
        <v>11239.02</v>
      </c>
      <c r="I7563" s="56">
        <v>45327</v>
      </c>
      <c r="J7563" s="199" t="s">
        <v>18543</v>
      </c>
      <c r="K7563" s="46"/>
      <c r="O7563" s="46" t="s">
        <v>1171</v>
      </c>
      <c r="P7563" s="46" t="s">
        <v>71</v>
      </c>
      <c r="Q7563" s="46" t="s">
        <v>31</v>
      </c>
      <c r="R7563" s="46" t="s">
        <v>272</v>
      </c>
    </row>
    <row r="7564" spans="1:18" ht="69" customHeight="1">
      <c r="B7564" s="52">
        <f t="shared" si="43"/>
        <v>4703</v>
      </c>
      <c r="C7564" s="538" t="s">
        <v>309</v>
      </c>
      <c r="D7564" s="251" t="s">
        <v>13978</v>
      </c>
      <c r="E7564" s="191" t="s">
        <v>266</v>
      </c>
      <c r="F7564" s="46" t="s">
        <v>18550</v>
      </c>
      <c r="G7564" s="46" t="s">
        <v>18542</v>
      </c>
      <c r="H7564" s="534">
        <v>11239.02</v>
      </c>
      <c r="I7564" s="56">
        <v>45327</v>
      </c>
      <c r="J7564" s="199" t="s">
        <v>18543</v>
      </c>
      <c r="K7564" s="46"/>
      <c r="O7564" s="46" t="s">
        <v>1171</v>
      </c>
      <c r="P7564" s="46" t="s">
        <v>71</v>
      </c>
      <c r="Q7564" s="46" t="s">
        <v>31</v>
      </c>
      <c r="R7564" s="46" t="s">
        <v>272</v>
      </c>
    </row>
    <row r="7565" spans="1:18" ht="69" customHeight="1">
      <c r="B7565" s="52">
        <f t="shared" si="43"/>
        <v>4704</v>
      </c>
      <c r="C7565" s="538" t="s">
        <v>11058</v>
      </c>
      <c r="D7565" s="251" t="s">
        <v>13981</v>
      </c>
      <c r="E7565" s="191" t="s">
        <v>266</v>
      </c>
      <c r="F7565" s="46" t="s">
        <v>18551</v>
      </c>
      <c r="G7565" s="46" t="s">
        <v>18542</v>
      </c>
      <c r="H7565" s="534">
        <v>22533.200000000001</v>
      </c>
      <c r="I7565" s="56">
        <v>45327</v>
      </c>
      <c r="J7565" s="199" t="s">
        <v>18543</v>
      </c>
      <c r="K7565" s="46"/>
      <c r="O7565" s="46" t="s">
        <v>1171</v>
      </c>
      <c r="P7565" s="46" t="s">
        <v>71</v>
      </c>
      <c r="Q7565" s="46" t="s">
        <v>23</v>
      </c>
      <c r="R7565" s="46" t="s">
        <v>272</v>
      </c>
    </row>
    <row r="7566" spans="1:18" ht="69" customHeight="1">
      <c r="B7566" s="52">
        <f t="shared" si="43"/>
        <v>4705</v>
      </c>
      <c r="C7566" s="538" t="s">
        <v>15700</v>
      </c>
      <c r="D7566" s="251" t="s">
        <v>13984</v>
      </c>
      <c r="E7566" s="191" t="s">
        <v>266</v>
      </c>
      <c r="F7566" s="46" t="s">
        <v>18552</v>
      </c>
      <c r="G7566" s="46" t="s">
        <v>18542</v>
      </c>
      <c r="H7566" s="534">
        <v>20688.2</v>
      </c>
      <c r="I7566" s="56">
        <v>45327</v>
      </c>
      <c r="J7566" s="199" t="s">
        <v>18543</v>
      </c>
      <c r="K7566" s="46"/>
      <c r="O7566" s="46" t="s">
        <v>1171</v>
      </c>
      <c r="P7566" s="46" t="s">
        <v>71</v>
      </c>
      <c r="Q7566" s="46" t="s">
        <v>39</v>
      </c>
      <c r="R7566" s="46" t="s">
        <v>272</v>
      </c>
    </row>
    <row r="7567" spans="1:18" ht="69" customHeight="1">
      <c r="B7567" s="52">
        <f t="shared" si="43"/>
        <v>4706</v>
      </c>
      <c r="C7567" s="538" t="s">
        <v>15449</v>
      </c>
      <c r="D7567" s="251" t="s">
        <v>14017</v>
      </c>
      <c r="E7567" s="191" t="s">
        <v>266</v>
      </c>
      <c r="F7567" s="46" t="s">
        <v>18553</v>
      </c>
      <c r="G7567" s="46" t="s">
        <v>18542</v>
      </c>
      <c r="H7567" s="534">
        <v>20688.2</v>
      </c>
      <c r="I7567" s="56">
        <v>45327</v>
      </c>
      <c r="J7567" s="199" t="s">
        <v>18543</v>
      </c>
      <c r="K7567" s="46"/>
      <c r="O7567" s="46" t="s">
        <v>1171</v>
      </c>
      <c r="P7567" s="46" t="s">
        <v>71</v>
      </c>
      <c r="Q7567" s="46" t="s">
        <v>41</v>
      </c>
      <c r="R7567" s="46" t="s">
        <v>272</v>
      </c>
    </row>
    <row r="7568" spans="1:18" s="98" customFormat="1" ht="69" customHeight="1">
      <c r="A7568" s="169"/>
      <c r="B7568" s="52">
        <f t="shared" si="43"/>
        <v>4707</v>
      </c>
      <c r="C7568" s="538" t="s">
        <v>309</v>
      </c>
      <c r="D7568" s="251" t="s">
        <v>13993</v>
      </c>
      <c r="E7568" s="46" t="s">
        <v>266</v>
      </c>
      <c r="F7568" s="46" t="s">
        <v>18554</v>
      </c>
      <c r="G7568" s="46" t="s">
        <v>18395</v>
      </c>
      <c r="H7568" s="534">
        <v>16200</v>
      </c>
      <c r="I7568" s="56">
        <v>45316</v>
      </c>
      <c r="J7568" s="199" t="s">
        <v>18555</v>
      </c>
      <c r="K7568" s="46" t="s">
        <v>1170</v>
      </c>
      <c r="O7568" s="52" t="s">
        <v>18556</v>
      </c>
      <c r="P7568" s="46" t="s">
        <v>65</v>
      </c>
      <c r="Q7568" s="46" t="s">
        <v>23</v>
      </c>
      <c r="R7568" s="46" t="s">
        <v>272</v>
      </c>
    </row>
    <row r="7569" spans="1:18" ht="69" customHeight="1">
      <c r="B7569" s="62">
        <f t="shared" si="43"/>
        <v>4708</v>
      </c>
      <c r="C7569" s="201" t="s">
        <v>458</v>
      </c>
      <c r="D7569" s="545" t="s">
        <v>18557</v>
      </c>
      <c r="E7569" s="178" t="s">
        <v>10553</v>
      </c>
      <c r="F7569" s="45" t="s">
        <v>18558</v>
      </c>
      <c r="G7569" s="45" t="s">
        <v>18559</v>
      </c>
      <c r="H7569" s="546">
        <v>57012.35</v>
      </c>
      <c r="I7569" s="47">
        <v>45316</v>
      </c>
      <c r="J7569" s="73" t="s">
        <v>18560</v>
      </c>
      <c r="K7569" s="67"/>
      <c r="O7569" s="62" t="s">
        <v>147</v>
      </c>
      <c r="P7569" s="58" t="s">
        <v>22</v>
      </c>
      <c r="Q7569" s="45" t="s">
        <v>123</v>
      </c>
      <c r="R7569" s="45" t="s">
        <v>272</v>
      </c>
    </row>
    <row r="7570" spans="1:18" ht="69" customHeight="1">
      <c r="B7570" s="62">
        <f t="shared" si="43"/>
        <v>4709</v>
      </c>
      <c r="C7570" s="201" t="s">
        <v>458</v>
      </c>
      <c r="D7570" s="545" t="s">
        <v>18561</v>
      </c>
      <c r="E7570" s="178" t="s">
        <v>10553</v>
      </c>
      <c r="F7570" s="45" t="s">
        <v>18562</v>
      </c>
      <c r="G7570" s="45" t="s">
        <v>18563</v>
      </c>
      <c r="H7570" s="546">
        <v>30698.959999999999</v>
      </c>
      <c r="I7570" s="47">
        <v>45316</v>
      </c>
      <c r="J7570" s="73" t="s">
        <v>18560</v>
      </c>
      <c r="K7570" s="67"/>
      <c r="O7570" s="62" t="s">
        <v>147</v>
      </c>
      <c r="P7570" s="58" t="s">
        <v>22</v>
      </c>
      <c r="Q7570" s="45" t="s">
        <v>123</v>
      </c>
      <c r="R7570" s="45" t="s">
        <v>272</v>
      </c>
    </row>
    <row r="7571" spans="1:18" ht="69" customHeight="1">
      <c r="B7571" s="62">
        <f t="shared" si="43"/>
        <v>4710</v>
      </c>
      <c r="C7571" s="201" t="s">
        <v>458</v>
      </c>
      <c r="D7571" s="545" t="s">
        <v>14765</v>
      </c>
      <c r="E7571" s="58" t="s">
        <v>18564</v>
      </c>
      <c r="F7571" s="45" t="s">
        <v>18565</v>
      </c>
      <c r="G7571" s="45" t="s">
        <v>18566</v>
      </c>
      <c r="H7571" s="546">
        <v>53736.71</v>
      </c>
      <c r="I7571" s="47">
        <v>45316</v>
      </c>
      <c r="J7571" s="73" t="s">
        <v>18567</v>
      </c>
      <c r="K7571" s="67"/>
      <c r="O7571" s="62" t="s">
        <v>147</v>
      </c>
      <c r="P7571" s="58" t="s">
        <v>22</v>
      </c>
      <c r="Q7571" s="45" t="s">
        <v>112</v>
      </c>
      <c r="R7571" s="45" t="s">
        <v>272</v>
      </c>
    </row>
    <row r="7572" spans="1:18" ht="69" customHeight="1">
      <c r="B7572" s="62">
        <f t="shared" si="43"/>
        <v>4711</v>
      </c>
      <c r="C7572" s="201" t="s">
        <v>458</v>
      </c>
      <c r="D7572" s="545" t="s">
        <v>14673</v>
      </c>
      <c r="E7572" s="58" t="s">
        <v>18564</v>
      </c>
      <c r="F7572" s="45" t="s">
        <v>18568</v>
      </c>
      <c r="G7572" s="45" t="s">
        <v>18569</v>
      </c>
      <c r="H7572" s="546">
        <v>28935.15</v>
      </c>
      <c r="I7572" s="47">
        <v>45316</v>
      </c>
      <c r="J7572" s="73" t="s">
        <v>18567</v>
      </c>
      <c r="K7572" s="67"/>
      <c r="O7572" s="62" t="s">
        <v>147</v>
      </c>
      <c r="P7572" s="58" t="s">
        <v>22</v>
      </c>
      <c r="Q7572" s="45" t="s">
        <v>112</v>
      </c>
      <c r="R7572" s="45" t="s">
        <v>272</v>
      </c>
    </row>
    <row r="7573" spans="1:18" ht="69" customHeight="1">
      <c r="B7573" s="62">
        <f t="shared" si="43"/>
        <v>4712</v>
      </c>
      <c r="C7573" s="201" t="s">
        <v>458</v>
      </c>
      <c r="D7573" s="545" t="s">
        <v>18570</v>
      </c>
      <c r="E7573" s="58" t="s">
        <v>18564</v>
      </c>
      <c r="F7573" s="45" t="s">
        <v>18571</v>
      </c>
      <c r="G7573" s="45" t="s">
        <v>18566</v>
      </c>
      <c r="H7573" s="546">
        <v>31827.48</v>
      </c>
      <c r="I7573" s="47">
        <v>45316</v>
      </c>
      <c r="J7573" s="73" t="s">
        <v>18572</v>
      </c>
      <c r="K7573" s="67"/>
      <c r="O7573" s="62" t="s">
        <v>147</v>
      </c>
      <c r="P7573" s="58" t="s">
        <v>22</v>
      </c>
      <c r="Q7573" s="45" t="s">
        <v>113</v>
      </c>
      <c r="R7573" s="45" t="s">
        <v>272</v>
      </c>
    </row>
    <row r="7574" spans="1:18" ht="69" customHeight="1">
      <c r="B7574" s="62">
        <f t="shared" si="43"/>
        <v>4713</v>
      </c>
      <c r="C7574" s="201" t="s">
        <v>458</v>
      </c>
      <c r="D7574" s="545" t="s">
        <v>14876</v>
      </c>
      <c r="E7574" s="58" t="s">
        <v>18564</v>
      </c>
      <c r="F7574" s="45" t="s">
        <v>18573</v>
      </c>
      <c r="G7574" s="45" t="s">
        <v>18569</v>
      </c>
      <c r="H7574" s="546">
        <v>17137.87</v>
      </c>
      <c r="I7574" s="47">
        <v>45316</v>
      </c>
      <c r="J7574" s="73" t="s">
        <v>18572</v>
      </c>
      <c r="K7574" s="67"/>
      <c r="O7574" s="62" t="s">
        <v>147</v>
      </c>
      <c r="P7574" s="58" t="s">
        <v>22</v>
      </c>
      <c r="Q7574" s="45" t="s">
        <v>113</v>
      </c>
      <c r="R7574" s="45" t="s">
        <v>272</v>
      </c>
    </row>
    <row r="7575" spans="1:18" ht="69" customHeight="1">
      <c r="B7575" s="259">
        <f t="shared" si="43"/>
        <v>4714</v>
      </c>
      <c r="C7575" s="310" t="s">
        <v>13665</v>
      </c>
      <c r="D7575" s="303" t="s">
        <v>2904</v>
      </c>
      <c r="E7575" s="207" t="s">
        <v>266</v>
      </c>
      <c r="F7575" s="208" t="s">
        <v>18574</v>
      </c>
      <c r="G7575" s="160" t="s">
        <v>18575</v>
      </c>
      <c r="H7575" s="300">
        <v>63.36</v>
      </c>
      <c r="I7575" s="209">
        <v>45327</v>
      </c>
      <c r="J7575" s="316" t="s">
        <v>18576</v>
      </c>
      <c r="K7575" s="160"/>
      <c r="O7575" s="259"/>
      <c r="P7575" s="160" t="s">
        <v>67</v>
      </c>
      <c r="Q7575" s="160" t="s">
        <v>96</v>
      </c>
      <c r="R7575" s="160" t="s">
        <v>272</v>
      </c>
    </row>
    <row r="7576" spans="1:18" ht="69" customHeight="1">
      <c r="B7576" s="259">
        <f t="shared" si="43"/>
        <v>4715</v>
      </c>
      <c r="C7576" s="310" t="s">
        <v>13665</v>
      </c>
      <c r="D7576" s="303" t="s">
        <v>3158</v>
      </c>
      <c r="E7576" s="207" t="s">
        <v>266</v>
      </c>
      <c r="F7576" s="208" t="s">
        <v>18577</v>
      </c>
      <c r="G7576" s="160" t="s">
        <v>18575</v>
      </c>
      <c r="H7576" s="300">
        <v>63.36</v>
      </c>
      <c r="I7576" s="209">
        <v>45327</v>
      </c>
      <c r="J7576" s="316" t="s">
        <v>18576</v>
      </c>
      <c r="K7576" s="160"/>
      <c r="O7576" s="259"/>
      <c r="P7576" s="160" t="s">
        <v>67</v>
      </c>
      <c r="Q7576" s="160" t="s">
        <v>96</v>
      </c>
      <c r="R7576" s="160" t="s">
        <v>272</v>
      </c>
    </row>
    <row r="7577" spans="1:18" ht="69" customHeight="1">
      <c r="B7577" s="259">
        <f t="shared" si="43"/>
        <v>4716</v>
      </c>
      <c r="C7577" s="310" t="s">
        <v>13665</v>
      </c>
      <c r="D7577" s="303" t="s">
        <v>5884</v>
      </c>
      <c r="E7577" s="207" t="s">
        <v>266</v>
      </c>
      <c r="F7577" s="208" t="s">
        <v>18578</v>
      </c>
      <c r="G7577" s="160" t="s">
        <v>18575</v>
      </c>
      <c r="H7577" s="300">
        <v>63.36</v>
      </c>
      <c r="I7577" s="209">
        <v>45327</v>
      </c>
      <c r="J7577" s="316" t="s">
        <v>18576</v>
      </c>
      <c r="K7577" s="160"/>
      <c r="O7577" s="259"/>
      <c r="P7577" s="160" t="s">
        <v>67</v>
      </c>
      <c r="Q7577" s="160" t="s">
        <v>96</v>
      </c>
      <c r="R7577" s="160" t="s">
        <v>272</v>
      </c>
    </row>
    <row r="7578" spans="1:18" s="98" customFormat="1" ht="69" customHeight="1">
      <c r="A7578" s="169"/>
      <c r="B7578" s="259">
        <f t="shared" si="43"/>
        <v>4717</v>
      </c>
      <c r="C7578" s="310" t="s">
        <v>13665</v>
      </c>
      <c r="D7578" s="303" t="s">
        <v>2685</v>
      </c>
      <c r="E7578" s="207" t="s">
        <v>266</v>
      </c>
      <c r="F7578" s="208" t="s">
        <v>18579</v>
      </c>
      <c r="G7578" s="160" t="s">
        <v>18575</v>
      </c>
      <c r="H7578" s="300">
        <v>63.36</v>
      </c>
      <c r="I7578" s="209">
        <v>45327</v>
      </c>
      <c r="J7578" s="316" t="s">
        <v>18576</v>
      </c>
      <c r="K7578" s="160"/>
      <c r="O7578" s="259"/>
      <c r="P7578" s="160" t="s">
        <v>67</v>
      </c>
      <c r="Q7578" s="160" t="s">
        <v>96</v>
      </c>
      <c r="R7578" s="160" t="s">
        <v>272</v>
      </c>
    </row>
    <row r="7579" spans="1:18" s="98" customFormat="1" ht="69" customHeight="1">
      <c r="A7579" s="169"/>
      <c r="B7579" s="259">
        <f t="shared" si="43"/>
        <v>4718</v>
      </c>
      <c r="C7579" s="310" t="s">
        <v>13665</v>
      </c>
      <c r="D7579" s="303" t="s">
        <v>907</v>
      </c>
      <c r="E7579" s="207" t="s">
        <v>266</v>
      </c>
      <c r="F7579" s="208" t="s">
        <v>18580</v>
      </c>
      <c r="G7579" s="160" t="s">
        <v>18575</v>
      </c>
      <c r="H7579" s="300">
        <v>63.36</v>
      </c>
      <c r="I7579" s="209">
        <v>45327</v>
      </c>
      <c r="J7579" s="316" t="s">
        <v>18576</v>
      </c>
      <c r="K7579" s="160"/>
      <c r="O7579" s="259"/>
      <c r="P7579" s="160" t="s">
        <v>67</v>
      </c>
      <c r="Q7579" s="160" t="s">
        <v>96</v>
      </c>
      <c r="R7579" s="160" t="s">
        <v>272</v>
      </c>
    </row>
    <row r="7580" spans="1:18" ht="69" customHeight="1">
      <c r="B7580" s="52">
        <f t="shared" si="43"/>
        <v>4719</v>
      </c>
      <c r="C7580" s="191" t="s">
        <v>581</v>
      </c>
      <c r="D7580" s="251" t="s">
        <v>13997</v>
      </c>
      <c r="E7580" s="191" t="s">
        <v>266</v>
      </c>
      <c r="F7580" s="46" t="s">
        <v>18581</v>
      </c>
      <c r="G7580" s="46" t="s">
        <v>18582</v>
      </c>
      <c r="H7580" s="534">
        <v>32456.959999999999</v>
      </c>
      <c r="I7580" s="56">
        <v>45337</v>
      </c>
      <c r="J7580" s="199" t="s">
        <v>18583</v>
      </c>
      <c r="K7580" s="46"/>
      <c r="O7580" s="52"/>
      <c r="P7580" s="46" t="s">
        <v>65</v>
      </c>
      <c r="Q7580" s="46" t="s">
        <v>18</v>
      </c>
      <c r="R7580" s="46" t="s">
        <v>272</v>
      </c>
    </row>
    <row r="7581" spans="1:18" ht="69" customHeight="1">
      <c r="B7581" s="259">
        <f t="shared" si="43"/>
        <v>4720</v>
      </c>
      <c r="C7581" s="310" t="s">
        <v>458</v>
      </c>
      <c r="D7581" s="311" t="s">
        <v>18584</v>
      </c>
      <c r="E7581" s="207" t="s">
        <v>266</v>
      </c>
      <c r="F7581" s="160" t="s">
        <v>18585</v>
      </c>
      <c r="G7581" s="160" t="s">
        <v>18586</v>
      </c>
      <c r="H7581" s="300">
        <v>15960.3</v>
      </c>
      <c r="I7581" s="209">
        <v>45327</v>
      </c>
      <c r="J7581" s="316" t="s">
        <v>18587</v>
      </c>
      <c r="K7581" s="160" t="s">
        <v>18588</v>
      </c>
      <c r="O7581" s="259"/>
      <c r="P7581" s="160" t="s">
        <v>67</v>
      </c>
      <c r="Q7581" s="160" t="s">
        <v>123</v>
      </c>
      <c r="R7581" s="160" t="s">
        <v>272</v>
      </c>
    </row>
    <row r="7582" spans="1:18" ht="69" customHeight="1">
      <c r="B7582" s="259">
        <f t="shared" ref="B7582:B7645" si="44">B7581+1</f>
        <v>4721</v>
      </c>
      <c r="C7582" s="310" t="s">
        <v>458</v>
      </c>
      <c r="D7582" s="311" t="s">
        <v>18589</v>
      </c>
      <c r="E7582" s="207" t="s">
        <v>266</v>
      </c>
      <c r="F7582" s="160" t="s">
        <v>18590</v>
      </c>
      <c r="G7582" s="160" t="s">
        <v>18586</v>
      </c>
      <c r="H7582" s="300">
        <v>21489</v>
      </c>
      <c r="I7582" s="209">
        <v>45327</v>
      </c>
      <c r="J7582" s="316" t="s">
        <v>18591</v>
      </c>
      <c r="K7582" s="160" t="s">
        <v>18588</v>
      </c>
      <c r="O7582" s="259"/>
      <c r="P7582" s="160" t="s">
        <v>67</v>
      </c>
      <c r="Q7582" s="160" t="s">
        <v>123</v>
      </c>
      <c r="R7582" s="160" t="s">
        <v>272</v>
      </c>
    </row>
    <row r="7583" spans="1:18" ht="69" customHeight="1">
      <c r="B7583" s="62">
        <f t="shared" si="44"/>
        <v>4722</v>
      </c>
      <c r="C7583" s="59" t="s">
        <v>581</v>
      </c>
      <c r="D7583" s="545" t="s">
        <v>14000</v>
      </c>
      <c r="E7583" s="58" t="s">
        <v>17521</v>
      </c>
      <c r="F7583" s="58" t="s">
        <v>18592</v>
      </c>
      <c r="G7583" s="58" t="s">
        <v>18593</v>
      </c>
      <c r="H7583" s="546">
        <v>29000</v>
      </c>
      <c r="I7583" s="47">
        <v>45327</v>
      </c>
      <c r="J7583" s="73" t="s">
        <v>18594</v>
      </c>
      <c r="K7583" s="67"/>
      <c r="O7583" s="62" t="s">
        <v>441</v>
      </c>
      <c r="P7583" s="58" t="s">
        <v>22</v>
      </c>
      <c r="Q7583" s="45" t="s">
        <v>18</v>
      </c>
      <c r="R7583" s="45" t="s">
        <v>265</v>
      </c>
    </row>
    <row r="7584" spans="1:18" ht="69" customHeight="1">
      <c r="B7584" s="62">
        <f t="shared" si="44"/>
        <v>4723</v>
      </c>
      <c r="C7584" s="59" t="s">
        <v>581</v>
      </c>
      <c r="D7584" s="545" t="s">
        <v>14201</v>
      </c>
      <c r="E7584" s="58" t="s">
        <v>17521</v>
      </c>
      <c r="F7584" s="58" t="s">
        <v>18595</v>
      </c>
      <c r="G7584" s="58" t="s">
        <v>18593</v>
      </c>
      <c r="H7584" s="546">
        <v>30000</v>
      </c>
      <c r="I7584" s="47">
        <v>45327</v>
      </c>
      <c r="J7584" s="73" t="s">
        <v>18596</v>
      </c>
      <c r="K7584" s="67"/>
      <c r="O7584" s="62" t="s">
        <v>441</v>
      </c>
      <c r="P7584" s="58" t="s">
        <v>22</v>
      </c>
      <c r="Q7584" s="45" t="s">
        <v>18</v>
      </c>
      <c r="R7584" s="45" t="s">
        <v>265</v>
      </c>
    </row>
    <row r="7585" spans="1:18" ht="69" customHeight="1">
      <c r="B7585" s="62">
        <f t="shared" si="44"/>
        <v>4724</v>
      </c>
      <c r="C7585" s="59" t="s">
        <v>581</v>
      </c>
      <c r="D7585" s="545" t="s">
        <v>14024</v>
      </c>
      <c r="E7585" s="58" t="s">
        <v>17521</v>
      </c>
      <c r="F7585" s="58" t="s">
        <v>18597</v>
      </c>
      <c r="G7585" s="58" t="s">
        <v>18593</v>
      </c>
      <c r="H7585" s="546">
        <v>44360</v>
      </c>
      <c r="I7585" s="47">
        <v>45327</v>
      </c>
      <c r="J7585" s="73" t="s">
        <v>18598</v>
      </c>
      <c r="K7585" s="67"/>
      <c r="O7585" s="62" t="s">
        <v>441</v>
      </c>
      <c r="P7585" s="58" t="s">
        <v>22</v>
      </c>
      <c r="Q7585" s="45" t="s">
        <v>18</v>
      </c>
      <c r="R7585" s="45" t="s">
        <v>265</v>
      </c>
    </row>
    <row r="7586" spans="1:18" ht="69" customHeight="1">
      <c r="B7586" s="62">
        <f t="shared" si="44"/>
        <v>4725</v>
      </c>
      <c r="C7586" s="59" t="s">
        <v>581</v>
      </c>
      <c r="D7586" s="545" t="s">
        <v>14026</v>
      </c>
      <c r="E7586" s="58" t="s">
        <v>17521</v>
      </c>
      <c r="F7586" s="58" t="s">
        <v>18599</v>
      </c>
      <c r="G7586" s="58" t="s">
        <v>18593</v>
      </c>
      <c r="H7586" s="546">
        <v>27574.29</v>
      </c>
      <c r="I7586" s="47">
        <v>45337</v>
      </c>
      <c r="J7586" s="73" t="s">
        <v>18600</v>
      </c>
      <c r="K7586" s="67"/>
      <c r="O7586" s="62" t="s">
        <v>441</v>
      </c>
      <c r="P7586" s="58" t="s">
        <v>22</v>
      </c>
      <c r="Q7586" s="45" t="s">
        <v>18</v>
      </c>
      <c r="R7586" s="45" t="s">
        <v>265</v>
      </c>
    </row>
    <row r="7587" spans="1:18" ht="69" customHeight="1">
      <c r="B7587" s="259">
        <f t="shared" si="44"/>
        <v>4726</v>
      </c>
      <c r="C7587" s="310" t="s">
        <v>13665</v>
      </c>
      <c r="D7587" s="303" t="s">
        <v>436</v>
      </c>
      <c r="E7587" s="207" t="s">
        <v>266</v>
      </c>
      <c r="F7587" s="208" t="s">
        <v>18601</v>
      </c>
      <c r="G7587" s="160" t="s">
        <v>18602</v>
      </c>
      <c r="H7587" s="300">
        <v>16388.25</v>
      </c>
      <c r="I7587" s="209">
        <v>45337</v>
      </c>
      <c r="J7587" s="316" t="s">
        <v>18603</v>
      </c>
      <c r="K7587" s="160"/>
      <c r="O7587" s="259"/>
      <c r="P7587" s="160" t="s">
        <v>67</v>
      </c>
      <c r="Q7587" s="160" t="s">
        <v>96</v>
      </c>
      <c r="R7587" s="160" t="s">
        <v>272</v>
      </c>
    </row>
    <row r="7588" spans="1:18" ht="69" customHeight="1">
      <c r="B7588" s="259">
        <f t="shared" si="44"/>
        <v>4727</v>
      </c>
      <c r="C7588" s="310" t="s">
        <v>13665</v>
      </c>
      <c r="D7588" s="303" t="s">
        <v>1678</v>
      </c>
      <c r="E7588" s="207" t="s">
        <v>266</v>
      </c>
      <c r="F7588" s="208" t="s">
        <v>18604</v>
      </c>
      <c r="G7588" s="160" t="s">
        <v>18605</v>
      </c>
      <c r="H7588" s="300">
        <v>6863.61</v>
      </c>
      <c r="I7588" s="209">
        <v>45337</v>
      </c>
      <c r="J7588" s="316" t="s">
        <v>18603</v>
      </c>
      <c r="K7588" s="160"/>
      <c r="O7588" s="259"/>
      <c r="P7588" s="160" t="s">
        <v>67</v>
      </c>
      <c r="Q7588" s="160" t="s">
        <v>96</v>
      </c>
      <c r="R7588" s="160" t="s">
        <v>272</v>
      </c>
    </row>
    <row r="7589" spans="1:18" ht="69" customHeight="1">
      <c r="B7589" s="62">
        <f t="shared" si="44"/>
        <v>4728</v>
      </c>
      <c r="C7589" s="59" t="s">
        <v>581</v>
      </c>
      <c r="D7589" s="545" t="s">
        <v>14066</v>
      </c>
      <c r="E7589" s="58" t="s">
        <v>17521</v>
      </c>
      <c r="F7589" s="58" t="s">
        <v>18606</v>
      </c>
      <c r="G7589" s="58" t="s">
        <v>18483</v>
      </c>
      <c r="H7589" s="546">
        <v>25000</v>
      </c>
      <c r="I7589" s="47">
        <v>45337</v>
      </c>
      <c r="J7589" s="73" t="s">
        <v>18607</v>
      </c>
      <c r="K7589" s="67"/>
      <c r="O7589" s="62" t="s">
        <v>441</v>
      </c>
      <c r="P7589" s="58" t="s">
        <v>22</v>
      </c>
      <c r="Q7589" s="45" t="s">
        <v>18</v>
      </c>
      <c r="R7589" s="45" t="s">
        <v>265</v>
      </c>
    </row>
    <row r="7590" spans="1:18" ht="69" customHeight="1">
      <c r="B7590" s="62">
        <f t="shared" si="44"/>
        <v>4729</v>
      </c>
      <c r="C7590" s="59" t="s">
        <v>581</v>
      </c>
      <c r="D7590" s="545" t="s">
        <v>14075</v>
      </c>
      <c r="E7590" s="58" t="s">
        <v>17521</v>
      </c>
      <c r="F7590" s="58" t="s">
        <v>18608</v>
      </c>
      <c r="G7590" s="58" t="s">
        <v>17844</v>
      </c>
      <c r="H7590" s="546">
        <v>25000</v>
      </c>
      <c r="I7590" s="47">
        <v>45337</v>
      </c>
      <c r="J7590" s="73" t="s">
        <v>18609</v>
      </c>
      <c r="K7590" s="67"/>
      <c r="O7590" s="62" t="s">
        <v>441</v>
      </c>
      <c r="P7590" s="58" t="s">
        <v>22</v>
      </c>
      <c r="Q7590" s="45" t="s">
        <v>18</v>
      </c>
      <c r="R7590" s="45" t="s">
        <v>265</v>
      </c>
    </row>
    <row r="7591" spans="1:18" ht="69" customHeight="1">
      <c r="B7591" s="62">
        <f t="shared" si="44"/>
        <v>4730</v>
      </c>
      <c r="C7591" s="59" t="s">
        <v>581</v>
      </c>
      <c r="D7591" s="545" t="s">
        <v>14080</v>
      </c>
      <c r="E7591" s="58" t="s">
        <v>17521</v>
      </c>
      <c r="F7591" s="58" t="s">
        <v>18610</v>
      </c>
      <c r="G7591" s="58" t="s">
        <v>18483</v>
      </c>
      <c r="H7591" s="546">
        <v>30010</v>
      </c>
      <c r="I7591" s="47">
        <v>45337</v>
      </c>
      <c r="J7591" s="73" t="s">
        <v>18611</v>
      </c>
      <c r="K7591" s="67"/>
      <c r="O7591" s="62" t="s">
        <v>441</v>
      </c>
      <c r="P7591" s="58" t="s">
        <v>22</v>
      </c>
      <c r="Q7591" s="45" t="s">
        <v>18</v>
      </c>
      <c r="R7591" s="45" t="s">
        <v>265</v>
      </c>
    </row>
    <row r="7592" spans="1:18" ht="69" customHeight="1">
      <c r="A7592" s="168"/>
      <c r="B7592" s="62">
        <f t="shared" si="44"/>
        <v>4731</v>
      </c>
      <c r="C7592" s="58" t="s">
        <v>13435</v>
      </c>
      <c r="D7592" s="174" t="s">
        <v>14130</v>
      </c>
      <c r="E7592" s="58" t="s">
        <v>18612</v>
      </c>
      <c r="F7592" s="58" t="s">
        <v>18613</v>
      </c>
      <c r="G7592" s="58" t="s">
        <v>18614</v>
      </c>
      <c r="H7592" s="546">
        <v>285517.89</v>
      </c>
      <c r="I7592" s="66">
        <v>45337</v>
      </c>
      <c r="J7592" s="65" t="s">
        <v>18615</v>
      </c>
      <c r="K7592" s="58"/>
      <c r="L7592" s="99"/>
      <c r="O7592" s="62" t="s">
        <v>441</v>
      </c>
      <c r="P7592" s="58" t="s">
        <v>22</v>
      </c>
      <c r="Q7592" s="58" t="s">
        <v>13</v>
      </c>
      <c r="R7592" s="58" t="s">
        <v>272</v>
      </c>
    </row>
    <row r="7593" spans="1:18" ht="69" customHeight="1">
      <c r="B7593" s="62">
        <f t="shared" si="44"/>
        <v>4732</v>
      </c>
      <c r="C7593" s="59" t="s">
        <v>11933</v>
      </c>
      <c r="D7593" s="545" t="s">
        <v>14837</v>
      </c>
      <c r="E7593" s="58" t="s">
        <v>18616</v>
      </c>
      <c r="F7593" s="58" t="s">
        <v>16714</v>
      </c>
      <c r="G7593" s="58" t="s">
        <v>18617</v>
      </c>
      <c r="H7593" s="546">
        <v>231716.12</v>
      </c>
      <c r="I7593" s="66">
        <v>45337</v>
      </c>
      <c r="J7593" s="65" t="s">
        <v>18618</v>
      </c>
      <c r="K7593" s="67"/>
      <c r="O7593" s="62" t="s">
        <v>16639</v>
      </c>
      <c r="P7593" s="58" t="s">
        <v>57</v>
      </c>
      <c r="Q7593" s="45" t="s">
        <v>123</v>
      </c>
      <c r="R7593" s="45" t="s">
        <v>272</v>
      </c>
    </row>
    <row r="7594" spans="1:18" ht="69" customHeight="1">
      <c r="B7594" s="52">
        <f t="shared" si="44"/>
        <v>4733</v>
      </c>
      <c r="C7594" s="51" t="s">
        <v>11055</v>
      </c>
      <c r="D7594" s="251" t="s">
        <v>14089</v>
      </c>
      <c r="E7594" s="191" t="s">
        <v>266</v>
      </c>
      <c r="F7594" s="46" t="s">
        <v>18619</v>
      </c>
      <c r="G7594" s="46" t="s">
        <v>18620</v>
      </c>
      <c r="H7594" s="534">
        <v>7500</v>
      </c>
      <c r="I7594" s="56">
        <v>45337</v>
      </c>
      <c r="J7594" s="199" t="s">
        <v>18621</v>
      </c>
      <c r="K7594" s="46" t="s">
        <v>1170</v>
      </c>
      <c r="O7594" s="52" t="s">
        <v>147</v>
      </c>
      <c r="P7594" s="46" t="s">
        <v>65</v>
      </c>
      <c r="Q7594" s="46" t="s">
        <v>45</v>
      </c>
      <c r="R7594" s="46" t="s">
        <v>272</v>
      </c>
    </row>
    <row r="7595" spans="1:18" ht="69" customHeight="1">
      <c r="B7595" s="52">
        <f t="shared" si="44"/>
        <v>4734</v>
      </c>
      <c r="C7595" s="191" t="s">
        <v>8080</v>
      </c>
      <c r="D7595" s="251" t="s">
        <v>12396</v>
      </c>
      <c r="E7595" s="191" t="s">
        <v>266</v>
      </c>
      <c r="F7595" s="46" t="s">
        <v>18622</v>
      </c>
      <c r="G7595" s="46" t="s">
        <v>18623</v>
      </c>
      <c r="H7595" s="534">
        <v>36300</v>
      </c>
      <c r="I7595" s="56">
        <v>45337</v>
      </c>
      <c r="J7595" s="199" t="s">
        <v>18624</v>
      </c>
      <c r="K7595" s="46" t="s">
        <v>1170</v>
      </c>
      <c r="O7595" s="52"/>
      <c r="P7595" s="46" t="s">
        <v>65</v>
      </c>
      <c r="Q7595" s="46" t="s">
        <v>106</v>
      </c>
      <c r="R7595" s="46" t="s">
        <v>272</v>
      </c>
    </row>
    <row r="7596" spans="1:18" ht="69" customHeight="1">
      <c r="B7596" s="62">
        <f t="shared" si="44"/>
        <v>4735</v>
      </c>
      <c r="C7596" s="59" t="s">
        <v>657</v>
      </c>
      <c r="D7596" s="545" t="s">
        <v>4803</v>
      </c>
      <c r="E7596" s="58" t="s">
        <v>18050</v>
      </c>
      <c r="F7596" s="58" t="s">
        <v>18625</v>
      </c>
      <c r="G7596" s="58" t="s">
        <v>16468</v>
      </c>
      <c r="H7596" s="546">
        <v>162164.48000000001</v>
      </c>
      <c r="I7596" s="66">
        <v>45337</v>
      </c>
      <c r="J7596" s="65" t="s">
        <v>18626</v>
      </c>
      <c r="K7596" s="67"/>
      <c r="O7596" s="62" t="s">
        <v>141</v>
      </c>
      <c r="P7596" s="58" t="s">
        <v>19</v>
      </c>
      <c r="Q7596" s="45" t="s">
        <v>97</v>
      </c>
      <c r="R7596" s="45" t="s">
        <v>265</v>
      </c>
    </row>
    <row r="7597" spans="1:18" ht="69" customHeight="1">
      <c r="B7597" s="62">
        <f t="shared" si="44"/>
        <v>4736</v>
      </c>
      <c r="C7597" s="201" t="s">
        <v>458</v>
      </c>
      <c r="D7597" s="545" t="s">
        <v>14969</v>
      </c>
      <c r="E7597" s="58" t="s">
        <v>18050</v>
      </c>
      <c r="F7597" s="58" t="s">
        <v>18627</v>
      </c>
      <c r="G7597" s="58" t="s">
        <v>16468</v>
      </c>
      <c r="H7597" s="546">
        <v>64342.81</v>
      </c>
      <c r="I7597" s="66">
        <v>45337</v>
      </c>
      <c r="J7597" s="65" t="s">
        <v>18628</v>
      </c>
      <c r="K7597" s="67"/>
      <c r="O7597" s="62" t="s">
        <v>141</v>
      </c>
      <c r="P7597" s="58" t="s">
        <v>19</v>
      </c>
      <c r="Q7597" s="45" t="s">
        <v>123</v>
      </c>
      <c r="R7597" s="45" t="s">
        <v>265</v>
      </c>
    </row>
    <row r="7598" spans="1:18" ht="69" customHeight="1">
      <c r="B7598" s="259">
        <f t="shared" si="44"/>
        <v>4737</v>
      </c>
      <c r="C7598" s="207" t="s">
        <v>309</v>
      </c>
      <c r="D7598" s="303" t="s">
        <v>17993</v>
      </c>
      <c r="E7598" s="207" t="s">
        <v>16276</v>
      </c>
      <c r="F7598" s="208" t="s">
        <v>18629</v>
      </c>
      <c r="G7598" s="160" t="s">
        <v>18630</v>
      </c>
      <c r="H7598" s="300">
        <v>15335.28</v>
      </c>
      <c r="I7598" s="209">
        <v>45337</v>
      </c>
      <c r="J7598" s="316" t="s">
        <v>18631</v>
      </c>
      <c r="K7598" s="160"/>
      <c r="O7598" s="259" t="s">
        <v>11192</v>
      </c>
      <c r="P7598" s="160" t="s">
        <v>67</v>
      </c>
      <c r="Q7598" s="160" t="s">
        <v>15</v>
      </c>
      <c r="R7598" s="160" t="s">
        <v>272</v>
      </c>
    </row>
    <row r="7599" spans="1:18" ht="69" customHeight="1">
      <c r="B7599" s="259">
        <f t="shared" si="44"/>
        <v>4738</v>
      </c>
      <c r="C7599" s="207" t="s">
        <v>657</v>
      </c>
      <c r="D7599" s="303" t="s">
        <v>12353</v>
      </c>
      <c r="E7599" s="207" t="s">
        <v>16276</v>
      </c>
      <c r="F7599" s="208" t="s">
        <v>18632</v>
      </c>
      <c r="G7599" s="160" t="s">
        <v>18630</v>
      </c>
      <c r="H7599" s="300">
        <v>11041.39</v>
      </c>
      <c r="I7599" s="209">
        <v>45337</v>
      </c>
      <c r="J7599" s="316" t="s">
        <v>18631</v>
      </c>
      <c r="K7599" s="160"/>
      <c r="O7599" s="259" t="s">
        <v>11192</v>
      </c>
      <c r="P7599" s="160" t="s">
        <v>67</v>
      </c>
      <c r="Q7599" s="160" t="s">
        <v>99</v>
      </c>
      <c r="R7599" s="160" t="s">
        <v>272</v>
      </c>
    </row>
    <row r="7600" spans="1:18" ht="69" customHeight="1">
      <c r="B7600" s="259">
        <f t="shared" si="44"/>
        <v>4739</v>
      </c>
      <c r="C7600" s="160" t="s">
        <v>458</v>
      </c>
      <c r="D7600" s="303" t="s">
        <v>14822</v>
      </c>
      <c r="E7600" s="207" t="s">
        <v>16276</v>
      </c>
      <c r="F7600" s="208" t="s">
        <v>18633</v>
      </c>
      <c r="G7600" s="160" t="s">
        <v>18630</v>
      </c>
      <c r="H7600" s="300">
        <v>15335.28</v>
      </c>
      <c r="I7600" s="209">
        <v>45337</v>
      </c>
      <c r="J7600" s="316" t="s">
        <v>18631</v>
      </c>
      <c r="K7600" s="160"/>
      <c r="O7600" s="259" t="s">
        <v>11192</v>
      </c>
      <c r="P7600" s="160" t="s">
        <v>67</v>
      </c>
      <c r="Q7600" s="160" t="s">
        <v>90</v>
      </c>
      <c r="R7600" s="160" t="s">
        <v>272</v>
      </c>
    </row>
    <row r="7601" spans="1:18" ht="69" customHeight="1">
      <c r="B7601" s="259">
        <f t="shared" si="44"/>
        <v>4740</v>
      </c>
      <c r="C7601" s="207" t="s">
        <v>3667</v>
      </c>
      <c r="D7601" s="303" t="s">
        <v>18634</v>
      </c>
      <c r="E7601" s="207" t="s">
        <v>16276</v>
      </c>
      <c r="F7601" s="208" t="s">
        <v>18635</v>
      </c>
      <c r="G7601" s="160" t="s">
        <v>18630</v>
      </c>
      <c r="H7601" s="300">
        <v>19629.16</v>
      </c>
      <c r="I7601" s="209">
        <v>45337</v>
      </c>
      <c r="J7601" s="316" t="s">
        <v>18631</v>
      </c>
      <c r="K7601" s="160"/>
      <c r="O7601" s="259" t="s">
        <v>11192</v>
      </c>
      <c r="P7601" s="160" t="s">
        <v>67</v>
      </c>
      <c r="Q7601" s="160" t="s">
        <v>49</v>
      </c>
      <c r="R7601" s="160" t="s">
        <v>272</v>
      </c>
    </row>
    <row r="7602" spans="1:18" ht="69" customHeight="1">
      <c r="B7602" s="62">
        <f t="shared" si="44"/>
        <v>4741</v>
      </c>
      <c r="C7602" s="45" t="s">
        <v>458</v>
      </c>
      <c r="D7602" s="581" t="s">
        <v>14998</v>
      </c>
      <c r="E7602" s="58" t="s">
        <v>18050</v>
      </c>
      <c r="F7602" s="58" t="s">
        <v>18636</v>
      </c>
      <c r="G7602" s="58" t="s">
        <v>16468</v>
      </c>
      <c r="H7602" s="546">
        <v>600000</v>
      </c>
      <c r="I7602" s="66">
        <v>45337</v>
      </c>
      <c r="J7602" s="65" t="s">
        <v>18637</v>
      </c>
      <c r="K7602" s="48"/>
      <c r="L7602" s="89"/>
      <c r="M7602" s="98"/>
      <c r="N7602" s="97"/>
      <c r="O7602" s="58" t="s">
        <v>141</v>
      </c>
      <c r="P7602" s="58" t="s">
        <v>19</v>
      </c>
      <c r="Q7602" s="45" t="s">
        <v>123</v>
      </c>
      <c r="R7602" s="45" t="s">
        <v>265</v>
      </c>
    </row>
    <row r="7603" spans="1:18" ht="69" customHeight="1">
      <c r="B7603" s="62">
        <f t="shared" si="44"/>
        <v>4742</v>
      </c>
      <c r="C7603" s="59" t="s">
        <v>13435</v>
      </c>
      <c r="D7603" s="84" t="s">
        <v>14154</v>
      </c>
      <c r="E7603" s="44" t="s">
        <v>4173</v>
      </c>
      <c r="F7603" s="45" t="s">
        <v>18638</v>
      </c>
      <c r="G7603" s="45" t="s">
        <v>18639</v>
      </c>
      <c r="H7603" s="546">
        <v>41141.06</v>
      </c>
      <c r="I7603" s="131">
        <v>45337</v>
      </c>
      <c r="J7603" s="65" t="s">
        <v>18640</v>
      </c>
      <c r="K7603" s="48"/>
      <c r="L7603" s="89"/>
      <c r="M7603" s="98"/>
      <c r="N7603" s="97"/>
      <c r="O7603" s="58" t="s">
        <v>441</v>
      </c>
      <c r="P7603" s="58" t="s">
        <v>22</v>
      </c>
      <c r="Q7603" s="45" t="s">
        <v>13</v>
      </c>
      <c r="R7603" s="45" t="s">
        <v>265</v>
      </c>
    </row>
    <row r="7604" spans="1:18" ht="69" customHeight="1">
      <c r="B7604" s="62">
        <f t="shared" si="44"/>
        <v>4743</v>
      </c>
      <c r="C7604" s="45" t="s">
        <v>458</v>
      </c>
      <c r="D7604" s="581" t="s">
        <v>14832</v>
      </c>
      <c r="E7604" s="84" t="s">
        <v>18564</v>
      </c>
      <c r="F7604" s="45" t="s">
        <v>18641</v>
      </c>
      <c r="G7604" s="45" t="s">
        <v>18642</v>
      </c>
      <c r="H7604" s="546">
        <v>90961.85</v>
      </c>
      <c r="I7604" s="132">
        <v>45327</v>
      </c>
      <c r="J7604" s="73" t="s">
        <v>18643</v>
      </c>
      <c r="K7604" s="48"/>
      <c r="L7604" s="89"/>
      <c r="M7604" s="98"/>
      <c r="N7604" s="97"/>
      <c r="O7604" s="58" t="s">
        <v>147</v>
      </c>
      <c r="P7604" s="58" t="s">
        <v>22</v>
      </c>
      <c r="Q7604" s="45" t="s">
        <v>88</v>
      </c>
      <c r="R7604" s="45" t="s">
        <v>272</v>
      </c>
    </row>
    <row r="7605" spans="1:18" ht="69" customHeight="1">
      <c r="B7605" s="62">
        <f t="shared" si="44"/>
        <v>4744</v>
      </c>
      <c r="C7605" s="45" t="s">
        <v>458</v>
      </c>
      <c r="D7605" s="84" t="s">
        <v>14836</v>
      </c>
      <c r="E7605" s="84" t="s">
        <v>18564</v>
      </c>
      <c r="F7605" s="45" t="s">
        <v>18644</v>
      </c>
      <c r="G7605" s="45" t="s">
        <v>18645</v>
      </c>
      <c r="H7605" s="546">
        <v>48979.46</v>
      </c>
      <c r="I7605" s="132">
        <v>45327</v>
      </c>
      <c r="J7605" s="73" t="s">
        <v>18643</v>
      </c>
      <c r="K7605" s="45"/>
      <c r="O7605" s="58" t="s">
        <v>147</v>
      </c>
      <c r="P7605" s="58" t="s">
        <v>22</v>
      </c>
      <c r="Q7605" s="45" t="s">
        <v>88</v>
      </c>
      <c r="R7605" s="45" t="s">
        <v>272</v>
      </c>
    </row>
    <row r="7606" spans="1:18" ht="69" customHeight="1">
      <c r="B7606" s="48">
        <f t="shared" si="44"/>
        <v>4745</v>
      </c>
      <c r="C7606" s="59" t="s">
        <v>3667</v>
      </c>
      <c r="D7606" s="84" t="s">
        <v>18646</v>
      </c>
      <c r="E7606" s="84" t="s">
        <v>18564</v>
      </c>
      <c r="F7606" s="45" t="s">
        <v>18647</v>
      </c>
      <c r="G7606" s="45" t="s">
        <v>18648</v>
      </c>
      <c r="H7606" s="546">
        <v>260116.95</v>
      </c>
      <c r="I7606" s="132">
        <v>45327</v>
      </c>
      <c r="J7606" s="73" t="s">
        <v>18649</v>
      </c>
      <c r="K7606" s="45"/>
      <c r="O7606" s="58" t="s">
        <v>147</v>
      </c>
      <c r="P7606" s="58" t="s">
        <v>22</v>
      </c>
      <c r="Q7606" s="45" t="s">
        <v>78</v>
      </c>
      <c r="R7606" s="45" t="s">
        <v>272</v>
      </c>
    </row>
    <row r="7607" spans="1:18" ht="69" customHeight="1">
      <c r="B7607" s="48">
        <f t="shared" si="44"/>
        <v>4746</v>
      </c>
      <c r="C7607" s="59" t="s">
        <v>3667</v>
      </c>
      <c r="D7607" s="84" t="s">
        <v>18650</v>
      </c>
      <c r="E7607" s="84" t="s">
        <v>18564</v>
      </c>
      <c r="F7607" s="45" t="s">
        <v>18651</v>
      </c>
      <c r="G7607" s="45" t="s">
        <v>18652</v>
      </c>
      <c r="H7607" s="546">
        <v>140062.98000000001</v>
      </c>
      <c r="I7607" s="132">
        <v>45327</v>
      </c>
      <c r="J7607" s="73" t="s">
        <v>18649</v>
      </c>
      <c r="K7607" s="45"/>
      <c r="O7607" s="58" t="s">
        <v>147</v>
      </c>
      <c r="P7607" s="58" t="s">
        <v>22</v>
      </c>
      <c r="Q7607" s="45" t="s">
        <v>78</v>
      </c>
      <c r="R7607" s="45" t="s">
        <v>272</v>
      </c>
    </row>
    <row r="7608" spans="1:18" s="98" customFormat="1" ht="69" customHeight="1">
      <c r="A7608" s="169"/>
      <c r="B7608" s="48">
        <f t="shared" si="44"/>
        <v>4747</v>
      </c>
      <c r="C7608" s="59" t="s">
        <v>657</v>
      </c>
      <c r="D7608" s="84" t="s">
        <v>12384</v>
      </c>
      <c r="E7608" s="84" t="s">
        <v>18564</v>
      </c>
      <c r="F7608" s="45" t="s">
        <v>18653</v>
      </c>
      <c r="G7608" s="45" t="s">
        <v>18654</v>
      </c>
      <c r="H7608" s="546">
        <v>271081.81</v>
      </c>
      <c r="I7608" s="132">
        <v>45327</v>
      </c>
      <c r="J7608" s="73" t="s">
        <v>18655</v>
      </c>
      <c r="K7608" s="45"/>
      <c r="O7608" s="45" t="s">
        <v>147</v>
      </c>
      <c r="P7608" s="45" t="s">
        <v>22</v>
      </c>
      <c r="Q7608" s="45" t="s">
        <v>110</v>
      </c>
      <c r="R7608" s="45" t="s">
        <v>272</v>
      </c>
    </row>
    <row r="7609" spans="1:18" s="98" customFormat="1" ht="69" customHeight="1">
      <c r="A7609" s="169"/>
      <c r="B7609" s="48">
        <f t="shared" si="44"/>
        <v>4748</v>
      </c>
      <c r="C7609" s="59" t="s">
        <v>657</v>
      </c>
      <c r="D7609" s="84" t="s">
        <v>12392</v>
      </c>
      <c r="E7609" s="84" t="s">
        <v>18564</v>
      </c>
      <c r="F7609" s="45" t="s">
        <v>18656</v>
      </c>
      <c r="G7609" s="45" t="s">
        <v>18657</v>
      </c>
      <c r="H7609" s="546">
        <v>145967.13</v>
      </c>
      <c r="I7609" s="132">
        <v>45327</v>
      </c>
      <c r="J7609" s="73" t="s">
        <v>18655</v>
      </c>
      <c r="K7609" s="45"/>
      <c r="O7609" s="45" t="s">
        <v>147</v>
      </c>
      <c r="P7609" s="45" t="s">
        <v>22</v>
      </c>
      <c r="Q7609" s="45" t="s">
        <v>110</v>
      </c>
      <c r="R7609" s="45" t="s">
        <v>272</v>
      </c>
    </row>
    <row r="7610" spans="1:18" ht="69" customHeight="1">
      <c r="B7610" s="62">
        <f t="shared" si="44"/>
        <v>4749</v>
      </c>
      <c r="C7610" s="44" t="s">
        <v>9004</v>
      </c>
      <c r="D7610" s="174" t="s">
        <v>6583</v>
      </c>
      <c r="E7610" s="58" t="s">
        <v>17231</v>
      </c>
      <c r="F7610" s="58" t="s">
        <v>18658</v>
      </c>
      <c r="G7610" s="58" t="s">
        <v>18659</v>
      </c>
      <c r="H7610" s="546">
        <v>38248.83</v>
      </c>
      <c r="I7610" s="66">
        <v>45337</v>
      </c>
      <c r="J7610" s="65" t="s">
        <v>18660</v>
      </c>
      <c r="K7610" s="67"/>
      <c r="O7610" s="62" t="s">
        <v>233</v>
      </c>
      <c r="P7610" s="58" t="s">
        <v>57</v>
      </c>
      <c r="Q7610" s="45" t="s">
        <v>111</v>
      </c>
      <c r="R7610" s="45" t="s">
        <v>272</v>
      </c>
    </row>
    <row r="7611" spans="1:18" ht="69" customHeight="1">
      <c r="B7611" s="62">
        <f t="shared" si="44"/>
        <v>4750</v>
      </c>
      <c r="C7611" s="44" t="s">
        <v>9004</v>
      </c>
      <c r="D7611" s="174" t="s">
        <v>6587</v>
      </c>
      <c r="E7611" s="58" t="s">
        <v>17231</v>
      </c>
      <c r="F7611" s="58" t="s">
        <v>18661</v>
      </c>
      <c r="G7611" s="58" t="s">
        <v>18659</v>
      </c>
      <c r="H7611" s="546">
        <v>38248.83</v>
      </c>
      <c r="I7611" s="66">
        <v>45337</v>
      </c>
      <c r="J7611" s="65" t="s">
        <v>18660</v>
      </c>
      <c r="K7611" s="67"/>
      <c r="O7611" s="62" t="s">
        <v>233</v>
      </c>
      <c r="P7611" s="58" t="s">
        <v>57</v>
      </c>
      <c r="Q7611" s="45" t="s">
        <v>111</v>
      </c>
      <c r="R7611" s="45" t="s">
        <v>272</v>
      </c>
    </row>
    <row r="7612" spans="1:18" ht="69" customHeight="1">
      <c r="B7612" s="62">
        <f t="shared" si="44"/>
        <v>4751</v>
      </c>
      <c r="C7612" s="45" t="s">
        <v>11618</v>
      </c>
      <c r="D7612" s="174" t="s">
        <v>14820</v>
      </c>
      <c r="E7612" s="58" t="s">
        <v>18662</v>
      </c>
      <c r="F7612" s="45" t="s">
        <v>18663</v>
      </c>
      <c r="G7612" s="58" t="s">
        <v>17970</v>
      </c>
      <c r="H7612" s="546">
        <v>38803.83</v>
      </c>
      <c r="I7612" s="66">
        <v>45337</v>
      </c>
      <c r="J7612" s="65" t="s">
        <v>18664</v>
      </c>
      <c r="K7612" s="67"/>
      <c r="O7612" s="62" t="s">
        <v>233</v>
      </c>
      <c r="P7612" s="58" t="s">
        <v>57</v>
      </c>
      <c r="Q7612" s="45" t="s">
        <v>122</v>
      </c>
      <c r="R7612" s="45" t="s">
        <v>272</v>
      </c>
    </row>
    <row r="7613" spans="1:18" ht="69" customHeight="1">
      <c r="B7613" s="62">
        <f t="shared" si="44"/>
        <v>4752</v>
      </c>
      <c r="C7613" s="45" t="s">
        <v>11618</v>
      </c>
      <c r="D7613" s="84" t="s">
        <v>14824</v>
      </c>
      <c r="E7613" s="45" t="s">
        <v>18662</v>
      </c>
      <c r="F7613" s="45" t="s">
        <v>18665</v>
      </c>
      <c r="G7613" s="45" t="s">
        <v>17970</v>
      </c>
      <c r="H7613" s="546">
        <v>38803.83</v>
      </c>
      <c r="I7613" s="66">
        <v>45337</v>
      </c>
      <c r="J7613" s="73" t="s">
        <v>18664</v>
      </c>
      <c r="K7613" s="45"/>
      <c r="O7613" s="62" t="s">
        <v>233</v>
      </c>
      <c r="P7613" s="58" t="s">
        <v>57</v>
      </c>
      <c r="Q7613" s="45" t="s">
        <v>122</v>
      </c>
      <c r="R7613" s="45" t="s">
        <v>272</v>
      </c>
    </row>
    <row r="7614" spans="1:18" ht="69" customHeight="1">
      <c r="B7614" s="62">
        <f t="shared" si="44"/>
        <v>4753</v>
      </c>
      <c r="C7614" s="59" t="s">
        <v>7189</v>
      </c>
      <c r="D7614" s="84" t="s">
        <v>12376</v>
      </c>
      <c r="E7614" s="45" t="s">
        <v>16289</v>
      </c>
      <c r="F7614" s="45" t="s">
        <v>18666</v>
      </c>
      <c r="G7614" s="45" t="s">
        <v>18667</v>
      </c>
      <c r="H7614" s="546">
        <v>146104.07</v>
      </c>
      <c r="I7614" s="47">
        <v>45337</v>
      </c>
      <c r="J7614" s="73" t="s">
        <v>18668</v>
      </c>
      <c r="K7614" s="45"/>
      <c r="O7614" s="62" t="s">
        <v>208</v>
      </c>
      <c r="P7614" s="58" t="s">
        <v>57</v>
      </c>
      <c r="Q7614" s="45" t="s">
        <v>97</v>
      </c>
      <c r="R7614" s="45" t="s">
        <v>272</v>
      </c>
    </row>
    <row r="7615" spans="1:18" s="98" customFormat="1" ht="69" customHeight="1">
      <c r="A7615" s="169"/>
      <c r="B7615" s="48">
        <f t="shared" si="44"/>
        <v>4754</v>
      </c>
      <c r="C7615" s="59" t="s">
        <v>5558</v>
      </c>
      <c r="D7615" s="84" t="s">
        <v>18669</v>
      </c>
      <c r="E7615" s="45" t="s">
        <v>18352</v>
      </c>
      <c r="F7615" s="45" t="s">
        <v>18670</v>
      </c>
      <c r="G7615" s="45" t="s">
        <v>18671</v>
      </c>
      <c r="H7615" s="546">
        <v>200486.07</v>
      </c>
      <c r="I7615" s="47">
        <v>45337</v>
      </c>
      <c r="J7615" s="73" t="s">
        <v>18672</v>
      </c>
      <c r="K7615" s="45"/>
      <c r="O7615" s="48" t="s">
        <v>17031</v>
      </c>
      <c r="P7615" s="45" t="s">
        <v>57</v>
      </c>
      <c r="Q7615" s="45" t="s">
        <v>64</v>
      </c>
      <c r="R7615" s="45" t="s">
        <v>272</v>
      </c>
    </row>
    <row r="7616" spans="1:18" s="98" customFormat="1" ht="69" customHeight="1">
      <c r="A7616" s="169"/>
      <c r="B7616" s="48">
        <f t="shared" si="44"/>
        <v>4755</v>
      </c>
      <c r="C7616" s="45" t="s">
        <v>9545</v>
      </c>
      <c r="D7616" s="84" t="s">
        <v>18673</v>
      </c>
      <c r="E7616" s="45" t="s">
        <v>18674</v>
      </c>
      <c r="F7616" s="45" t="s">
        <v>18675</v>
      </c>
      <c r="G7616" s="45" t="s">
        <v>18676</v>
      </c>
      <c r="H7616" s="546">
        <v>90648.75</v>
      </c>
      <c r="I7616" s="47">
        <v>45327</v>
      </c>
      <c r="J7616" s="73" t="s">
        <v>18672</v>
      </c>
      <c r="K7616" s="45" t="s">
        <v>18677</v>
      </c>
      <c r="O7616" s="48" t="s">
        <v>18678</v>
      </c>
      <c r="P7616" s="45" t="s">
        <v>57</v>
      </c>
      <c r="Q7616" s="45" t="s">
        <v>117</v>
      </c>
      <c r="R7616" s="45" t="s">
        <v>272</v>
      </c>
    </row>
    <row r="7617" spans="2:18" ht="69" customHeight="1">
      <c r="B7617" s="62">
        <f t="shared" si="44"/>
        <v>4756</v>
      </c>
      <c r="C7617" s="178" t="s">
        <v>458</v>
      </c>
      <c r="D7617" s="545" t="s">
        <v>18679</v>
      </c>
      <c r="E7617" s="58" t="s">
        <v>409</v>
      </c>
      <c r="F7617" s="58" t="s">
        <v>18680</v>
      </c>
      <c r="G7617" s="58" t="s">
        <v>18681</v>
      </c>
      <c r="H7617" s="546">
        <v>11756.6</v>
      </c>
      <c r="I7617" s="126">
        <v>44858</v>
      </c>
      <c r="J7617" s="242" t="s">
        <v>18682</v>
      </c>
      <c r="K7617" s="67" t="s">
        <v>18683</v>
      </c>
      <c r="O7617" s="62" t="s">
        <v>147</v>
      </c>
      <c r="P7617" s="58" t="s">
        <v>42</v>
      </c>
      <c r="Q7617" s="45" t="s">
        <v>103</v>
      </c>
      <c r="R7617" s="45" t="s">
        <v>272</v>
      </c>
    </row>
    <row r="7618" spans="2:18" ht="69" customHeight="1">
      <c r="B7618" s="62">
        <f t="shared" si="44"/>
        <v>4757</v>
      </c>
      <c r="C7618" s="178" t="s">
        <v>458</v>
      </c>
      <c r="D7618" s="545" t="s">
        <v>18679</v>
      </c>
      <c r="E7618" s="58" t="s">
        <v>409</v>
      </c>
      <c r="F7618" s="58" t="s">
        <v>18680</v>
      </c>
      <c r="G7618" s="58" t="s">
        <v>18681</v>
      </c>
      <c r="H7618" s="546">
        <v>11756.6</v>
      </c>
      <c r="I7618" s="126">
        <v>44858</v>
      </c>
      <c r="J7618" s="242" t="s">
        <v>18682</v>
      </c>
      <c r="K7618" s="67" t="s">
        <v>18683</v>
      </c>
      <c r="O7618" s="62" t="s">
        <v>147</v>
      </c>
      <c r="P7618" s="58" t="s">
        <v>42</v>
      </c>
      <c r="Q7618" s="45" t="s">
        <v>88</v>
      </c>
      <c r="R7618" s="45" t="s">
        <v>272</v>
      </c>
    </row>
    <row r="7619" spans="2:18" ht="69" customHeight="1">
      <c r="B7619" s="62">
        <f t="shared" si="44"/>
        <v>4758</v>
      </c>
      <c r="C7619" s="178" t="s">
        <v>458</v>
      </c>
      <c r="D7619" s="545" t="s">
        <v>18679</v>
      </c>
      <c r="E7619" s="58" t="s">
        <v>409</v>
      </c>
      <c r="F7619" s="58" t="s">
        <v>18680</v>
      </c>
      <c r="G7619" s="58" t="s">
        <v>18681</v>
      </c>
      <c r="H7619" s="546">
        <v>11756.6</v>
      </c>
      <c r="I7619" s="126">
        <v>44858</v>
      </c>
      <c r="J7619" s="242" t="s">
        <v>18682</v>
      </c>
      <c r="K7619" s="67" t="s">
        <v>18683</v>
      </c>
      <c r="O7619" s="62" t="s">
        <v>147</v>
      </c>
      <c r="P7619" s="58" t="s">
        <v>42</v>
      </c>
      <c r="Q7619" s="45" t="s">
        <v>123</v>
      </c>
      <c r="R7619" s="45" t="s">
        <v>272</v>
      </c>
    </row>
    <row r="7620" spans="2:18" ht="69" customHeight="1">
      <c r="B7620" s="62">
        <f t="shared" si="44"/>
        <v>4759</v>
      </c>
      <c r="C7620" s="178" t="s">
        <v>458</v>
      </c>
      <c r="D7620" s="545" t="s">
        <v>18679</v>
      </c>
      <c r="E7620" s="58" t="s">
        <v>409</v>
      </c>
      <c r="F7620" s="58" t="s">
        <v>18680</v>
      </c>
      <c r="G7620" s="58" t="s">
        <v>18681</v>
      </c>
      <c r="H7620" s="546">
        <v>11756.6</v>
      </c>
      <c r="I7620" s="126">
        <v>44858</v>
      </c>
      <c r="J7620" s="242" t="s">
        <v>18682</v>
      </c>
      <c r="K7620" s="67" t="s">
        <v>18683</v>
      </c>
      <c r="O7620" s="62" t="s">
        <v>147</v>
      </c>
      <c r="P7620" s="58" t="s">
        <v>42</v>
      </c>
      <c r="Q7620" s="45" t="s">
        <v>112</v>
      </c>
      <c r="R7620" s="45" t="s">
        <v>272</v>
      </c>
    </row>
    <row r="7621" spans="2:18" ht="69" customHeight="1">
      <c r="B7621" s="62">
        <f t="shared" si="44"/>
        <v>4760</v>
      </c>
      <c r="C7621" s="178" t="s">
        <v>458</v>
      </c>
      <c r="D7621" s="545" t="s">
        <v>18679</v>
      </c>
      <c r="E7621" s="58" t="s">
        <v>409</v>
      </c>
      <c r="F7621" s="58" t="s">
        <v>18680</v>
      </c>
      <c r="G7621" s="58" t="s">
        <v>18681</v>
      </c>
      <c r="H7621" s="546">
        <v>11756.6</v>
      </c>
      <c r="I7621" s="126">
        <v>44858</v>
      </c>
      <c r="J7621" s="242" t="s">
        <v>18682</v>
      </c>
      <c r="K7621" s="67" t="s">
        <v>18683</v>
      </c>
      <c r="O7621" s="62" t="s">
        <v>147</v>
      </c>
      <c r="P7621" s="58" t="s">
        <v>42</v>
      </c>
      <c r="Q7621" s="45" t="s">
        <v>113</v>
      </c>
      <c r="R7621" s="45" t="s">
        <v>272</v>
      </c>
    </row>
    <row r="7622" spans="2:18" ht="69" customHeight="1">
      <c r="B7622" s="62">
        <f t="shared" si="44"/>
        <v>4761</v>
      </c>
      <c r="C7622" s="178" t="s">
        <v>458</v>
      </c>
      <c r="D7622" s="545" t="s">
        <v>18679</v>
      </c>
      <c r="E7622" s="58" t="s">
        <v>409</v>
      </c>
      <c r="F7622" s="58" t="s">
        <v>18680</v>
      </c>
      <c r="G7622" s="58" t="s">
        <v>18681</v>
      </c>
      <c r="H7622" s="546">
        <v>11756.6</v>
      </c>
      <c r="I7622" s="126">
        <v>44858</v>
      </c>
      <c r="J7622" s="242" t="s">
        <v>18682</v>
      </c>
      <c r="K7622" s="67" t="s">
        <v>18683</v>
      </c>
      <c r="O7622" s="62" t="s">
        <v>147</v>
      </c>
      <c r="P7622" s="58" t="s">
        <v>42</v>
      </c>
      <c r="Q7622" s="45" t="s">
        <v>122</v>
      </c>
      <c r="R7622" s="45" t="s">
        <v>272</v>
      </c>
    </row>
    <row r="7623" spans="2:18" ht="69" customHeight="1">
      <c r="B7623" s="62">
        <f t="shared" si="44"/>
        <v>4762</v>
      </c>
      <c r="C7623" s="178" t="s">
        <v>458</v>
      </c>
      <c r="D7623" s="545" t="s">
        <v>3611</v>
      </c>
      <c r="E7623" s="58" t="s">
        <v>6192</v>
      </c>
      <c r="F7623" s="58" t="s">
        <v>10596</v>
      </c>
      <c r="G7623" s="58" t="s">
        <v>10593</v>
      </c>
      <c r="H7623" s="546">
        <v>7000</v>
      </c>
      <c r="I7623" s="126">
        <v>45035</v>
      </c>
      <c r="J7623" s="242" t="s">
        <v>10594</v>
      </c>
      <c r="K7623" s="67" t="s">
        <v>18684</v>
      </c>
      <c r="O7623" s="62" t="s">
        <v>147</v>
      </c>
      <c r="P7623" s="58" t="s">
        <v>42</v>
      </c>
      <c r="Q7623" s="45" t="s">
        <v>88</v>
      </c>
      <c r="R7623" s="45" t="s">
        <v>272</v>
      </c>
    </row>
    <row r="7624" spans="2:18" ht="69" customHeight="1">
      <c r="B7624" s="62">
        <f t="shared" si="44"/>
        <v>4763</v>
      </c>
      <c r="C7624" s="178" t="s">
        <v>458</v>
      </c>
      <c r="D7624" s="545" t="s">
        <v>3611</v>
      </c>
      <c r="E7624" s="58" t="s">
        <v>6192</v>
      </c>
      <c r="F7624" s="58" t="s">
        <v>10596</v>
      </c>
      <c r="G7624" s="58" t="s">
        <v>10593</v>
      </c>
      <c r="H7624" s="546">
        <v>7000</v>
      </c>
      <c r="I7624" s="126">
        <v>45035</v>
      </c>
      <c r="J7624" s="242" t="s">
        <v>10594</v>
      </c>
      <c r="K7624" s="67" t="s">
        <v>18684</v>
      </c>
      <c r="M7624" s="64" t="s">
        <v>147</v>
      </c>
      <c r="N7624" s="227" t="s">
        <v>42</v>
      </c>
      <c r="O7624" s="62" t="s">
        <v>147</v>
      </c>
      <c r="P7624" s="58" t="s">
        <v>42</v>
      </c>
      <c r="Q7624" s="45" t="s">
        <v>123</v>
      </c>
      <c r="R7624" s="45" t="s">
        <v>272</v>
      </c>
    </row>
    <row r="7625" spans="2:18" ht="69" customHeight="1">
      <c r="B7625" s="62">
        <f t="shared" si="44"/>
        <v>4764</v>
      </c>
      <c r="C7625" s="178" t="s">
        <v>458</v>
      </c>
      <c r="D7625" s="545" t="s">
        <v>3611</v>
      </c>
      <c r="E7625" s="58" t="s">
        <v>6192</v>
      </c>
      <c r="F7625" s="58" t="s">
        <v>10596</v>
      </c>
      <c r="G7625" s="58" t="s">
        <v>10593</v>
      </c>
      <c r="H7625" s="546">
        <v>7000</v>
      </c>
      <c r="I7625" s="126">
        <v>45035</v>
      </c>
      <c r="J7625" s="242" t="s">
        <v>10594</v>
      </c>
      <c r="K7625" s="67" t="s">
        <v>18684</v>
      </c>
      <c r="M7625" s="64" t="s">
        <v>147</v>
      </c>
      <c r="N7625" s="227" t="s">
        <v>42</v>
      </c>
      <c r="O7625" s="62" t="s">
        <v>147</v>
      </c>
      <c r="P7625" s="58" t="s">
        <v>42</v>
      </c>
      <c r="Q7625" s="45" t="s">
        <v>103</v>
      </c>
      <c r="R7625" s="45" t="s">
        <v>272</v>
      </c>
    </row>
    <row r="7626" spans="2:18" ht="69" customHeight="1">
      <c r="B7626" s="62">
        <f t="shared" si="44"/>
        <v>4765</v>
      </c>
      <c r="C7626" s="178" t="s">
        <v>458</v>
      </c>
      <c r="D7626" s="545" t="s">
        <v>3611</v>
      </c>
      <c r="E7626" s="58" t="s">
        <v>6192</v>
      </c>
      <c r="F7626" s="58" t="s">
        <v>10596</v>
      </c>
      <c r="G7626" s="58" t="s">
        <v>10593</v>
      </c>
      <c r="H7626" s="546">
        <v>7000</v>
      </c>
      <c r="I7626" s="126">
        <v>45035</v>
      </c>
      <c r="J7626" s="242" t="s">
        <v>10594</v>
      </c>
      <c r="K7626" s="67" t="s">
        <v>18684</v>
      </c>
      <c r="M7626" s="64" t="s">
        <v>147</v>
      </c>
      <c r="N7626" s="227" t="s">
        <v>42</v>
      </c>
      <c r="O7626" s="62" t="s">
        <v>147</v>
      </c>
      <c r="P7626" s="58" t="s">
        <v>42</v>
      </c>
      <c r="Q7626" s="45" t="s">
        <v>112</v>
      </c>
      <c r="R7626" s="45" t="s">
        <v>272</v>
      </c>
    </row>
    <row r="7627" spans="2:18" ht="69" customHeight="1">
      <c r="B7627" s="62">
        <f t="shared" si="44"/>
        <v>4766</v>
      </c>
      <c r="C7627" s="178" t="s">
        <v>458</v>
      </c>
      <c r="D7627" s="545" t="s">
        <v>3611</v>
      </c>
      <c r="E7627" s="58" t="s">
        <v>6192</v>
      </c>
      <c r="F7627" s="58" t="s">
        <v>10596</v>
      </c>
      <c r="G7627" s="58" t="s">
        <v>10593</v>
      </c>
      <c r="H7627" s="546">
        <v>7000</v>
      </c>
      <c r="I7627" s="126">
        <v>45035</v>
      </c>
      <c r="J7627" s="242" t="s">
        <v>10594</v>
      </c>
      <c r="K7627" s="67" t="s">
        <v>18684</v>
      </c>
      <c r="M7627" s="64" t="s">
        <v>147</v>
      </c>
      <c r="N7627" s="227" t="s">
        <v>42</v>
      </c>
      <c r="O7627" s="62" t="s">
        <v>147</v>
      </c>
      <c r="P7627" s="58" t="s">
        <v>42</v>
      </c>
      <c r="Q7627" s="45" t="s">
        <v>113</v>
      </c>
      <c r="R7627" s="45" t="s">
        <v>272</v>
      </c>
    </row>
    <row r="7628" spans="2:18" ht="69" customHeight="1">
      <c r="B7628" s="62">
        <f t="shared" si="44"/>
        <v>4767</v>
      </c>
      <c r="C7628" s="178" t="s">
        <v>458</v>
      </c>
      <c r="D7628" s="545" t="s">
        <v>3611</v>
      </c>
      <c r="E7628" s="58" t="s">
        <v>6192</v>
      </c>
      <c r="F7628" s="58" t="s">
        <v>10596</v>
      </c>
      <c r="G7628" s="58" t="s">
        <v>10593</v>
      </c>
      <c r="H7628" s="546">
        <v>7000</v>
      </c>
      <c r="I7628" s="126">
        <v>45035</v>
      </c>
      <c r="J7628" s="242" t="s">
        <v>10594</v>
      </c>
      <c r="K7628" s="67" t="s">
        <v>18684</v>
      </c>
      <c r="M7628" s="64" t="s">
        <v>147</v>
      </c>
      <c r="N7628" s="227" t="s">
        <v>42</v>
      </c>
      <c r="O7628" s="62" t="s">
        <v>147</v>
      </c>
      <c r="P7628" s="58" t="s">
        <v>42</v>
      </c>
      <c r="Q7628" s="45" t="s">
        <v>122</v>
      </c>
      <c r="R7628" s="45" t="s">
        <v>272</v>
      </c>
    </row>
    <row r="7629" spans="2:18" ht="69" customHeight="1">
      <c r="B7629" s="62">
        <f t="shared" si="44"/>
        <v>4768</v>
      </c>
      <c r="C7629" s="616" t="s">
        <v>458</v>
      </c>
      <c r="D7629" s="545" t="s">
        <v>3611</v>
      </c>
      <c r="E7629" s="58" t="s">
        <v>6192</v>
      </c>
      <c r="F7629" s="58" t="s">
        <v>10596</v>
      </c>
      <c r="G7629" s="58" t="s">
        <v>10593</v>
      </c>
      <c r="H7629" s="546">
        <v>7000</v>
      </c>
      <c r="I7629" s="126">
        <v>45035</v>
      </c>
      <c r="J7629" s="242" t="s">
        <v>10594</v>
      </c>
      <c r="K7629" s="67" t="s">
        <v>18684</v>
      </c>
      <c r="M7629" s="64" t="s">
        <v>147</v>
      </c>
      <c r="N7629" s="227" t="s">
        <v>42</v>
      </c>
      <c r="O7629" s="62" t="s">
        <v>147</v>
      </c>
      <c r="P7629" s="58" t="s">
        <v>40</v>
      </c>
      <c r="Q7629" s="45" t="s">
        <v>117</v>
      </c>
      <c r="R7629" s="45" t="s">
        <v>272</v>
      </c>
    </row>
    <row r="7630" spans="2:18" ht="69" customHeight="1">
      <c r="B7630" s="62">
        <f t="shared" si="44"/>
        <v>4769</v>
      </c>
      <c r="C7630" s="201" t="s">
        <v>458</v>
      </c>
      <c r="D7630" s="545" t="s">
        <v>14826</v>
      </c>
      <c r="E7630" s="58" t="s">
        <v>18564</v>
      </c>
      <c r="F7630" s="45" t="s">
        <v>18685</v>
      </c>
      <c r="G7630" s="45" t="s">
        <v>18686</v>
      </c>
      <c r="H7630" s="546">
        <v>121455.09</v>
      </c>
      <c r="I7630" s="132">
        <v>45327</v>
      </c>
      <c r="J7630" s="65" t="s">
        <v>18687</v>
      </c>
      <c r="K7630" s="67"/>
      <c r="O7630" s="58" t="s">
        <v>147</v>
      </c>
      <c r="P7630" s="45" t="s">
        <v>22</v>
      </c>
      <c r="Q7630" s="45" t="s">
        <v>112</v>
      </c>
      <c r="R7630" s="45" t="s">
        <v>272</v>
      </c>
    </row>
    <row r="7631" spans="2:18" ht="69" customHeight="1">
      <c r="B7631" s="62">
        <f t="shared" si="44"/>
        <v>4770</v>
      </c>
      <c r="C7631" s="201" t="s">
        <v>458</v>
      </c>
      <c r="D7631" s="545" t="s">
        <v>14829</v>
      </c>
      <c r="E7631" s="58" t="s">
        <v>18564</v>
      </c>
      <c r="F7631" s="45" t="s">
        <v>18688</v>
      </c>
      <c r="G7631" s="45" t="s">
        <v>18689</v>
      </c>
      <c r="H7631" s="546">
        <v>65398.9</v>
      </c>
      <c r="I7631" s="132">
        <v>45327</v>
      </c>
      <c r="J7631" s="65" t="s">
        <v>18687</v>
      </c>
      <c r="K7631" s="67"/>
      <c r="O7631" s="58" t="s">
        <v>147</v>
      </c>
      <c r="P7631" s="45" t="s">
        <v>22</v>
      </c>
      <c r="Q7631" s="45" t="s">
        <v>112</v>
      </c>
      <c r="R7631" s="45" t="s">
        <v>272</v>
      </c>
    </row>
    <row r="7632" spans="2:18" ht="69" customHeight="1">
      <c r="B7632" s="52">
        <f t="shared" si="44"/>
        <v>4771</v>
      </c>
      <c r="C7632" s="191" t="s">
        <v>3667</v>
      </c>
      <c r="D7632" s="251" t="s">
        <v>18690</v>
      </c>
      <c r="E7632" s="191" t="s">
        <v>266</v>
      </c>
      <c r="F7632" s="46" t="s">
        <v>18691</v>
      </c>
      <c r="G7632" s="46" t="s">
        <v>18692</v>
      </c>
      <c r="H7632" s="534">
        <v>12500</v>
      </c>
      <c r="I7632" s="274">
        <v>45337</v>
      </c>
      <c r="J7632" s="199" t="s">
        <v>18693</v>
      </c>
      <c r="K7632" s="46" t="s">
        <v>1170</v>
      </c>
      <c r="O7632" s="52" t="s">
        <v>14051</v>
      </c>
      <c r="P7632" s="46" t="s">
        <v>65</v>
      </c>
      <c r="Q7632" s="46" t="s">
        <v>74</v>
      </c>
      <c r="R7632" s="46" t="s">
        <v>272</v>
      </c>
    </row>
    <row r="7633" spans="2:18" ht="69" customHeight="1">
      <c r="B7633" s="52">
        <f t="shared" si="44"/>
        <v>4772</v>
      </c>
      <c r="C7633" s="191" t="s">
        <v>3667</v>
      </c>
      <c r="D7633" s="251" t="s">
        <v>18694</v>
      </c>
      <c r="E7633" s="191" t="s">
        <v>266</v>
      </c>
      <c r="F7633" s="46" t="s">
        <v>18695</v>
      </c>
      <c r="G7633" s="46" t="s">
        <v>18692</v>
      </c>
      <c r="H7633" s="534">
        <v>12500</v>
      </c>
      <c r="I7633" s="274">
        <v>45337</v>
      </c>
      <c r="J7633" s="199" t="s">
        <v>18693</v>
      </c>
      <c r="K7633" s="46" t="s">
        <v>1170</v>
      </c>
      <c r="O7633" s="52" t="s">
        <v>14051</v>
      </c>
      <c r="P7633" s="46" t="s">
        <v>65</v>
      </c>
      <c r="Q7633" s="46" t="s">
        <v>76</v>
      </c>
      <c r="R7633" s="46" t="s">
        <v>272</v>
      </c>
    </row>
    <row r="7634" spans="2:18" ht="69" customHeight="1">
      <c r="B7634" s="62">
        <f t="shared" si="44"/>
        <v>4773</v>
      </c>
      <c r="C7634" s="59" t="s">
        <v>3667</v>
      </c>
      <c r="D7634" s="545" t="s">
        <v>18696</v>
      </c>
      <c r="E7634" s="58" t="s">
        <v>16289</v>
      </c>
      <c r="F7634" s="58" t="s">
        <v>18697</v>
      </c>
      <c r="G7634" s="58" t="s">
        <v>18698</v>
      </c>
      <c r="H7634" s="546">
        <v>103640.5</v>
      </c>
      <c r="I7634" s="132">
        <v>45337</v>
      </c>
      <c r="J7634" s="65" t="s">
        <v>18699</v>
      </c>
      <c r="K7634" s="67"/>
      <c r="O7634" s="62" t="s">
        <v>208</v>
      </c>
      <c r="P7634" s="58" t="s">
        <v>57</v>
      </c>
      <c r="Q7634" s="45" t="s">
        <v>84</v>
      </c>
      <c r="R7634" s="45" t="s">
        <v>272</v>
      </c>
    </row>
    <row r="7635" spans="2:18" ht="69" customHeight="1">
      <c r="B7635" s="62">
        <f t="shared" si="44"/>
        <v>4774</v>
      </c>
      <c r="C7635" s="59" t="s">
        <v>3667</v>
      </c>
      <c r="D7635" s="545" t="s">
        <v>18700</v>
      </c>
      <c r="E7635" s="58" t="s">
        <v>16289</v>
      </c>
      <c r="F7635" s="58" t="s">
        <v>18701</v>
      </c>
      <c r="G7635" s="58" t="s">
        <v>18698</v>
      </c>
      <c r="H7635" s="546">
        <v>111030.52</v>
      </c>
      <c r="I7635" s="132">
        <v>45337</v>
      </c>
      <c r="J7635" s="65" t="s">
        <v>18702</v>
      </c>
      <c r="K7635" s="67"/>
      <c r="O7635" s="62" t="s">
        <v>208</v>
      </c>
      <c r="P7635" s="58" t="s">
        <v>57</v>
      </c>
      <c r="Q7635" s="45" t="s">
        <v>78</v>
      </c>
      <c r="R7635" s="45" t="s">
        <v>272</v>
      </c>
    </row>
    <row r="7636" spans="2:18" ht="69" customHeight="1">
      <c r="B7636" s="62">
        <f t="shared" si="44"/>
        <v>4775</v>
      </c>
      <c r="C7636" s="58" t="s">
        <v>309</v>
      </c>
      <c r="D7636" s="545" t="s">
        <v>14095</v>
      </c>
      <c r="E7636" s="58" t="s">
        <v>18110</v>
      </c>
      <c r="F7636" s="58" t="s">
        <v>18703</v>
      </c>
      <c r="G7636" s="58" t="s">
        <v>16634</v>
      </c>
      <c r="H7636" s="546">
        <v>3767.13</v>
      </c>
      <c r="I7636" s="132">
        <v>45337</v>
      </c>
      <c r="J7636" s="65" t="s">
        <v>18704</v>
      </c>
      <c r="K7636" s="67"/>
      <c r="O7636" s="62" t="s">
        <v>150</v>
      </c>
      <c r="P7636" s="58" t="s">
        <v>51</v>
      </c>
      <c r="Q7636" s="45" t="s">
        <v>45</v>
      </c>
      <c r="R7636" s="45" t="s">
        <v>272</v>
      </c>
    </row>
    <row r="7637" spans="2:18" ht="69" customHeight="1">
      <c r="B7637" s="62">
        <f t="shared" si="44"/>
        <v>4776</v>
      </c>
      <c r="C7637" s="58" t="s">
        <v>309</v>
      </c>
      <c r="D7637" s="545" t="s">
        <v>14163</v>
      </c>
      <c r="E7637" s="58" t="s">
        <v>18110</v>
      </c>
      <c r="F7637" s="58" t="s">
        <v>18705</v>
      </c>
      <c r="G7637" s="58" t="s">
        <v>16634</v>
      </c>
      <c r="H7637" s="546">
        <v>3767.13</v>
      </c>
      <c r="I7637" s="132">
        <v>45337</v>
      </c>
      <c r="J7637" s="65" t="s">
        <v>18704</v>
      </c>
      <c r="K7637" s="67"/>
      <c r="O7637" s="62" t="s">
        <v>150</v>
      </c>
      <c r="P7637" s="58" t="s">
        <v>51</v>
      </c>
      <c r="Q7637" s="45" t="s">
        <v>33</v>
      </c>
      <c r="R7637" s="45" t="s">
        <v>272</v>
      </c>
    </row>
    <row r="7638" spans="2:18" ht="69" customHeight="1">
      <c r="B7638" s="62">
        <f t="shared" si="44"/>
        <v>4777</v>
      </c>
      <c r="C7638" s="59" t="s">
        <v>3667</v>
      </c>
      <c r="D7638" s="545" t="s">
        <v>18706</v>
      </c>
      <c r="E7638" s="58" t="s">
        <v>18110</v>
      </c>
      <c r="F7638" s="58" t="s">
        <v>18707</v>
      </c>
      <c r="G7638" s="58" t="s">
        <v>17918</v>
      </c>
      <c r="H7638" s="546">
        <v>2000</v>
      </c>
      <c r="I7638" s="132">
        <v>45337</v>
      </c>
      <c r="J7638" s="65" t="s">
        <v>18708</v>
      </c>
      <c r="K7638" s="67"/>
      <c r="O7638" s="62" t="s">
        <v>150</v>
      </c>
      <c r="P7638" s="58" t="s">
        <v>51</v>
      </c>
      <c r="Q7638" s="45" t="s">
        <v>72</v>
      </c>
      <c r="R7638" s="45" t="s">
        <v>272</v>
      </c>
    </row>
    <row r="7639" spans="2:18" ht="69" customHeight="1">
      <c r="B7639" s="62">
        <f t="shared" si="44"/>
        <v>4778</v>
      </c>
      <c r="C7639" s="201" t="s">
        <v>458</v>
      </c>
      <c r="D7639" s="545" t="s">
        <v>14861</v>
      </c>
      <c r="E7639" s="58" t="s">
        <v>18110</v>
      </c>
      <c r="F7639" s="58" t="s">
        <v>18709</v>
      </c>
      <c r="G7639" s="58" t="s">
        <v>17918</v>
      </c>
      <c r="H7639" s="546">
        <v>2000</v>
      </c>
      <c r="I7639" s="132">
        <v>45337</v>
      </c>
      <c r="J7639" s="65" t="s">
        <v>18708</v>
      </c>
      <c r="K7639" s="67"/>
      <c r="O7639" s="62" t="s">
        <v>150</v>
      </c>
      <c r="P7639" s="58" t="s">
        <v>51</v>
      </c>
      <c r="Q7639" s="45" t="s">
        <v>119</v>
      </c>
      <c r="R7639" s="45" t="s">
        <v>272</v>
      </c>
    </row>
    <row r="7640" spans="2:18" ht="69" customHeight="1">
      <c r="B7640" s="62">
        <f t="shared" si="44"/>
        <v>4779</v>
      </c>
      <c r="C7640" s="201" t="s">
        <v>458</v>
      </c>
      <c r="D7640" s="545" t="s">
        <v>18710</v>
      </c>
      <c r="E7640" s="58" t="s">
        <v>18110</v>
      </c>
      <c r="F7640" s="58" t="s">
        <v>18711</v>
      </c>
      <c r="G7640" s="58" t="s">
        <v>18712</v>
      </c>
      <c r="H7640" s="546">
        <v>12000</v>
      </c>
      <c r="I7640" s="132">
        <v>45337</v>
      </c>
      <c r="J7640" s="65" t="s">
        <v>18708</v>
      </c>
      <c r="K7640" s="67"/>
      <c r="O7640" s="62" t="s">
        <v>150</v>
      </c>
      <c r="P7640" s="58" t="s">
        <v>51</v>
      </c>
      <c r="Q7640" s="45" t="s">
        <v>119</v>
      </c>
      <c r="R7640" s="45" t="s">
        <v>272</v>
      </c>
    </row>
    <row r="7641" spans="2:18" ht="69" customHeight="1">
      <c r="B7641" s="62">
        <f t="shared" si="44"/>
        <v>4780</v>
      </c>
      <c r="C7641" s="59" t="s">
        <v>657</v>
      </c>
      <c r="D7641" s="545" t="s">
        <v>4686</v>
      </c>
      <c r="E7641" s="58" t="s">
        <v>18110</v>
      </c>
      <c r="F7641" s="58" t="s">
        <v>18713</v>
      </c>
      <c r="G7641" s="58" t="s">
        <v>17918</v>
      </c>
      <c r="H7641" s="546">
        <v>2000</v>
      </c>
      <c r="I7641" s="132">
        <v>45337</v>
      </c>
      <c r="J7641" s="65" t="s">
        <v>18708</v>
      </c>
      <c r="K7641" s="67"/>
      <c r="O7641" s="62" t="s">
        <v>150</v>
      </c>
      <c r="P7641" s="58" t="s">
        <v>51</v>
      </c>
      <c r="Q7641" s="45" t="s">
        <v>120</v>
      </c>
      <c r="R7641" s="45" t="s">
        <v>272</v>
      </c>
    </row>
    <row r="7642" spans="2:18" ht="69" customHeight="1">
      <c r="B7642" s="62">
        <f t="shared" si="44"/>
        <v>4781</v>
      </c>
      <c r="C7642" s="59" t="s">
        <v>581</v>
      </c>
      <c r="D7642" s="545" t="s">
        <v>18006</v>
      </c>
      <c r="E7642" s="58" t="s">
        <v>17521</v>
      </c>
      <c r="F7642" s="58" t="s">
        <v>18714</v>
      </c>
      <c r="G7642" s="58" t="s">
        <v>18483</v>
      </c>
      <c r="H7642" s="546">
        <v>85250</v>
      </c>
      <c r="I7642" s="132">
        <v>45337</v>
      </c>
      <c r="J7642" s="65" t="s">
        <v>18715</v>
      </c>
      <c r="K7642" s="67"/>
      <c r="O7642" s="62" t="s">
        <v>441</v>
      </c>
      <c r="P7642" s="58" t="s">
        <v>22</v>
      </c>
      <c r="Q7642" s="45" t="s">
        <v>18</v>
      </c>
      <c r="R7642" s="45" t="s">
        <v>265</v>
      </c>
    </row>
    <row r="7643" spans="2:18" ht="69" customHeight="1">
      <c r="B7643" s="62">
        <f t="shared" si="44"/>
        <v>4782</v>
      </c>
      <c r="C7643" s="201" t="s">
        <v>9215</v>
      </c>
      <c r="D7643" s="545" t="s">
        <v>14869</v>
      </c>
      <c r="E7643" s="58" t="s">
        <v>18352</v>
      </c>
      <c r="F7643" s="58" t="s">
        <v>18716</v>
      </c>
      <c r="G7643" s="58" t="s">
        <v>18717</v>
      </c>
      <c r="H7643" s="546">
        <v>112839.44</v>
      </c>
      <c r="I7643" s="132">
        <v>45337</v>
      </c>
      <c r="J7643" s="65" t="s">
        <v>18718</v>
      </c>
      <c r="K7643" s="67"/>
      <c r="O7643" s="62" t="s">
        <v>17031</v>
      </c>
      <c r="P7643" s="58" t="s">
        <v>57</v>
      </c>
      <c r="Q7643" s="45" t="s">
        <v>113</v>
      </c>
      <c r="R7643" s="45" t="s">
        <v>272</v>
      </c>
    </row>
    <row r="7644" spans="2:18" ht="69" customHeight="1">
      <c r="B7644" s="62">
        <f t="shared" si="44"/>
        <v>4783</v>
      </c>
      <c r="C7644" s="59" t="s">
        <v>581</v>
      </c>
      <c r="D7644" s="545" t="s">
        <v>14179</v>
      </c>
      <c r="E7644" s="58" t="s">
        <v>17521</v>
      </c>
      <c r="F7644" s="58" t="s">
        <v>18719</v>
      </c>
      <c r="G7644" s="58" t="s">
        <v>18483</v>
      </c>
      <c r="H7644" s="546">
        <v>83550</v>
      </c>
      <c r="I7644" s="132">
        <v>45337</v>
      </c>
      <c r="J7644" s="65" t="s">
        <v>18720</v>
      </c>
      <c r="K7644" s="67"/>
      <c r="O7644" s="62" t="s">
        <v>441</v>
      </c>
      <c r="P7644" s="58" t="s">
        <v>22</v>
      </c>
      <c r="Q7644" s="45" t="s">
        <v>18</v>
      </c>
      <c r="R7644" s="45" t="s">
        <v>265</v>
      </c>
    </row>
    <row r="7645" spans="2:18" ht="69" customHeight="1">
      <c r="B7645" s="62">
        <f t="shared" si="44"/>
        <v>4784</v>
      </c>
      <c r="C7645" s="58" t="s">
        <v>309</v>
      </c>
      <c r="D7645" s="545" t="s">
        <v>18011</v>
      </c>
      <c r="E7645" s="58" t="s">
        <v>358</v>
      </c>
      <c r="F7645" s="58" t="s">
        <v>18721</v>
      </c>
      <c r="G7645" s="58" t="s">
        <v>18722</v>
      </c>
      <c r="H7645" s="546">
        <v>15000</v>
      </c>
      <c r="I7645" s="132">
        <v>45337</v>
      </c>
      <c r="J7645" s="65" t="s">
        <v>18723</v>
      </c>
      <c r="K7645" s="67"/>
      <c r="O7645" s="62" t="s">
        <v>141</v>
      </c>
      <c r="P7645" s="58" t="s">
        <v>19</v>
      </c>
      <c r="Q7645" s="45" t="s">
        <v>39</v>
      </c>
      <c r="R7645" s="45" t="s">
        <v>272</v>
      </c>
    </row>
    <row r="7646" spans="2:18" ht="69" customHeight="1">
      <c r="B7646" s="62">
        <f t="shared" ref="B7646:B7709" si="45">B7645+1</f>
        <v>4785</v>
      </c>
      <c r="C7646" s="58" t="s">
        <v>309</v>
      </c>
      <c r="D7646" s="545" t="s">
        <v>14188</v>
      </c>
      <c r="E7646" s="58" t="s">
        <v>358</v>
      </c>
      <c r="F7646" s="58" t="s">
        <v>18724</v>
      </c>
      <c r="G7646" s="58" t="s">
        <v>18722</v>
      </c>
      <c r="H7646" s="546">
        <v>85000</v>
      </c>
      <c r="I7646" s="132">
        <v>45337</v>
      </c>
      <c r="J7646" s="65" t="s">
        <v>18723</v>
      </c>
      <c r="K7646" s="67"/>
      <c r="O7646" s="62" t="s">
        <v>141</v>
      </c>
      <c r="P7646" s="58" t="s">
        <v>19</v>
      </c>
      <c r="Q7646" s="45" t="s">
        <v>41</v>
      </c>
      <c r="R7646" s="45" t="s">
        <v>272</v>
      </c>
    </row>
    <row r="7647" spans="2:18" ht="69" customHeight="1">
      <c r="B7647" s="259">
        <f t="shared" si="45"/>
        <v>4786</v>
      </c>
      <c r="C7647" s="160" t="s">
        <v>16368</v>
      </c>
      <c r="D7647" s="303" t="s">
        <v>5761</v>
      </c>
      <c r="E7647" s="160" t="s">
        <v>18725</v>
      </c>
      <c r="F7647" s="160" t="s">
        <v>18726</v>
      </c>
      <c r="G7647" s="160" t="s">
        <v>18727</v>
      </c>
      <c r="H7647" s="300">
        <v>12177.67</v>
      </c>
      <c r="I7647" s="312">
        <v>45337</v>
      </c>
      <c r="J7647" s="316" t="s">
        <v>18728</v>
      </c>
      <c r="K7647" s="160" t="s">
        <v>11084</v>
      </c>
      <c r="O7647" s="259" t="s">
        <v>17630</v>
      </c>
      <c r="P7647" s="160" t="s">
        <v>67</v>
      </c>
      <c r="Q7647" s="160" t="s">
        <v>96</v>
      </c>
      <c r="R7647" s="160" t="s">
        <v>272</v>
      </c>
    </row>
    <row r="7648" spans="2:18" ht="69" customHeight="1">
      <c r="B7648" s="259">
        <f t="shared" si="45"/>
        <v>4787</v>
      </c>
      <c r="C7648" s="207" t="s">
        <v>13156</v>
      </c>
      <c r="D7648" s="303" t="s">
        <v>1659</v>
      </c>
      <c r="E7648" s="160" t="s">
        <v>18725</v>
      </c>
      <c r="F7648" s="160" t="s">
        <v>18729</v>
      </c>
      <c r="G7648" s="160" t="s">
        <v>18727</v>
      </c>
      <c r="H7648" s="300">
        <v>37069.22</v>
      </c>
      <c r="I7648" s="312">
        <v>45337</v>
      </c>
      <c r="J7648" s="316" t="s">
        <v>18728</v>
      </c>
      <c r="K7648" s="160" t="s">
        <v>11084</v>
      </c>
      <c r="O7648" s="259" t="s">
        <v>17630</v>
      </c>
      <c r="P7648" s="160" t="s">
        <v>67</v>
      </c>
      <c r="Q7648" s="160" t="s">
        <v>96</v>
      </c>
      <c r="R7648" s="160" t="s">
        <v>272</v>
      </c>
    </row>
    <row r="7649" spans="1:18" ht="69" customHeight="1">
      <c r="B7649" s="52">
        <f t="shared" si="45"/>
        <v>4788</v>
      </c>
      <c r="C7649" s="191" t="s">
        <v>458</v>
      </c>
      <c r="D7649" s="251" t="s">
        <v>14912</v>
      </c>
      <c r="E7649" s="46" t="s">
        <v>18725</v>
      </c>
      <c r="F7649" s="46" t="s">
        <v>18730</v>
      </c>
      <c r="G7649" s="46" t="s">
        <v>18731</v>
      </c>
      <c r="H7649" s="534">
        <v>11687.04</v>
      </c>
      <c r="I7649" s="274">
        <v>45337</v>
      </c>
      <c r="J7649" s="199" t="s">
        <v>18732</v>
      </c>
      <c r="K7649" s="46"/>
      <c r="O7649" s="46" t="s">
        <v>1171</v>
      </c>
      <c r="P7649" s="46" t="s">
        <v>71</v>
      </c>
      <c r="Q7649" s="46" t="s">
        <v>103</v>
      </c>
      <c r="R7649" s="46" t="s">
        <v>272</v>
      </c>
    </row>
    <row r="7650" spans="1:18" ht="69" customHeight="1">
      <c r="B7650" s="52">
        <f t="shared" si="45"/>
        <v>4789</v>
      </c>
      <c r="C7650" s="630" t="s">
        <v>11568</v>
      </c>
      <c r="D7650" s="251" t="s">
        <v>14880</v>
      </c>
      <c r="E7650" s="46" t="s">
        <v>18725</v>
      </c>
      <c r="F7650" s="46" t="s">
        <v>18733</v>
      </c>
      <c r="G7650" s="46" t="s">
        <v>18734</v>
      </c>
      <c r="H7650" s="534">
        <v>20000</v>
      </c>
      <c r="I7650" s="274">
        <v>45337</v>
      </c>
      <c r="J7650" s="199" t="s">
        <v>18732</v>
      </c>
      <c r="K7650" s="46"/>
      <c r="O7650" s="46" t="s">
        <v>1171</v>
      </c>
      <c r="P7650" s="46" t="s">
        <v>71</v>
      </c>
      <c r="Q7650" s="46" t="s">
        <v>107</v>
      </c>
      <c r="R7650" s="46" t="s">
        <v>272</v>
      </c>
    </row>
    <row r="7651" spans="1:18" ht="69" customHeight="1">
      <c r="B7651" s="52">
        <f t="shared" si="45"/>
        <v>4790</v>
      </c>
      <c r="C7651" s="191" t="s">
        <v>458</v>
      </c>
      <c r="D7651" s="251" t="s">
        <v>14891</v>
      </c>
      <c r="E7651" s="46" t="s">
        <v>18725</v>
      </c>
      <c r="F7651" s="46" t="s">
        <v>18735</v>
      </c>
      <c r="G7651" s="46" t="s">
        <v>18731</v>
      </c>
      <c r="H7651" s="534">
        <v>11103.89</v>
      </c>
      <c r="I7651" s="274">
        <v>45337</v>
      </c>
      <c r="J7651" s="199" t="s">
        <v>18732</v>
      </c>
      <c r="K7651" s="46"/>
      <c r="O7651" s="46" t="s">
        <v>1171</v>
      </c>
      <c r="P7651" s="46" t="s">
        <v>71</v>
      </c>
      <c r="Q7651" s="46" t="s">
        <v>88</v>
      </c>
      <c r="R7651" s="46" t="s">
        <v>272</v>
      </c>
    </row>
    <row r="7652" spans="1:18" ht="69" customHeight="1">
      <c r="B7652" s="52">
        <f t="shared" si="45"/>
        <v>4791</v>
      </c>
      <c r="C7652" s="191" t="s">
        <v>458</v>
      </c>
      <c r="D7652" s="251" t="s">
        <v>14977</v>
      </c>
      <c r="E7652" s="46" t="s">
        <v>18725</v>
      </c>
      <c r="F7652" s="46" t="s">
        <v>18736</v>
      </c>
      <c r="G7652" s="46" t="s">
        <v>18731</v>
      </c>
      <c r="H7652" s="534">
        <v>11103.89</v>
      </c>
      <c r="I7652" s="274">
        <v>45337</v>
      </c>
      <c r="J7652" s="199" t="s">
        <v>18732</v>
      </c>
      <c r="K7652" s="46"/>
      <c r="O7652" s="46" t="s">
        <v>1171</v>
      </c>
      <c r="P7652" s="46" t="s">
        <v>71</v>
      </c>
      <c r="Q7652" s="46" t="s">
        <v>123</v>
      </c>
      <c r="R7652" s="46" t="s">
        <v>272</v>
      </c>
    </row>
    <row r="7653" spans="1:18" ht="69" customHeight="1">
      <c r="B7653" s="52">
        <f t="shared" si="45"/>
        <v>4792</v>
      </c>
      <c r="C7653" s="191" t="s">
        <v>458</v>
      </c>
      <c r="D7653" s="251" t="s">
        <v>14971</v>
      </c>
      <c r="E7653" s="46" t="s">
        <v>18725</v>
      </c>
      <c r="F7653" s="46" t="s">
        <v>18737</v>
      </c>
      <c r="G7653" s="46" t="s">
        <v>18731</v>
      </c>
      <c r="H7653" s="534">
        <v>11109.89</v>
      </c>
      <c r="I7653" s="274">
        <v>45337</v>
      </c>
      <c r="J7653" s="199" t="s">
        <v>18732</v>
      </c>
      <c r="K7653" s="46"/>
      <c r="O7653" s="46" t="s">
        <v>1171</v>
      </c>
      <c r="P7653" s="46" t="s">
        <v>71</v>
      </c>
      <c r="Q7653" s="46" t="s">
        <v>112</v>
      </c>
      <c r="R7653" s="46" t="s">
        <v>272</v>
      </c>
    </row>
    <row r="7654" spans="1:18" ht="69" customHeight="1">
      <c r="B7654" s="52">
        <f t="shared" si="45"/>
        <v>4793</v>
      </c>
      <c r="C7654" s="191" t="s">
        <v>458</v>
      </c>
      <c r="D7654" s="251" t="s">
        <v>14973</v>
      </c>
      <c r="E7654" s="46" t="s">
        <v>18725</v>
      </c>
      <c r="F7654" s="46" t="s">
        <v>18738</v>
      </c>
      <c r="G7654" s="46" t="s">
        <v>18731</v>
      </c>
      <c r="H7654" s="534">
        <v>11103.89</v>
      </c>
      <c r="I7654" s="274">
        <v>45337</v>
      </c>
      <c r="J7654" s="199" t="s">
        <v>18732</v>
      </c>
      <c r="K7654" s="46"/>
      <c r="O7654" s="46" t="s">
        <v>1171</v>
      </c>
      <c r="P7654" s="46" t="s">
        <v>71</v>
      </c>
      <c r="Q7654" s="46" t="s">
        <v>122</v>
      </c>
      <c r="R7654" s="46" t="s">
        <v>272</v>
      </c>
    </row>
    <row r="7655" spans="1:18" ht="69" customHeight="1">
      <c r="B7655" s="52">
        <f t="shared" si="45"/>
        <v>4794</v>
      </c>
      <c r="C7655" s="538" t="s">
        <v>16973</v>
      </c>
      <c r="D7655" s="251" t="s">
        <v>14975</v>
      </c>
      <c r="E7655" s="46" t="s">
        <v>18725</v>
      </c>
      <c r="F7655" s="46" t="s">
        <v>18739</v>
      </c>
      <c r="G7655" s="46" t="s">
        <v>18734</v>
      </c>
      <c r="H7655" s="534">
        <v>21527.72</v>
      </c>
      <c r="I7655" s="274">
        <v>45337</v>
      </c>
      <c r="J7655" s="199" t="s">
        <v>18732</v>
      </c>
      <c r="K7655" s="46"/>
      <c r="O7655" s="46" t="s">
        <v>1171</v>
      </c>
      <c r="P7655" s="46" t="s">
        <v>71</v>
      </c>
      <c r="Q7655" s="46" t="s">
        <v>113</v>
      </c>
      <c r="R7655" s="46" t="s">
        <v>272</v>
      </c>
    </row>
    <row r="7656" spans="1:18" s="98" customFormat="1" ht="69" customHeight="1">
      <c r="A7656" s="169"/>
      <c r="B7656" s="52">
        <f t="shared" si="45"/>
        <v>4795</v>
      </c>
      <c r="C7656" s="538" t="s">
        <v>657</v>
      </c>
      <c r="D7656" s="251" t="s">
        <v>12474</v>
      </c>
      <c r="E7656" s="46" t="s">
        <v>18725</v>
      </c>
      <c r="F7656" s="46" t="s">
        <v>18740</v>
      </c>
      <c r="G7656" s="46" t="s">
        <v>18731</v>
      </c>
      <c r="H7656" s="534">
        <v>10195.48</v>
      </c>
      <c r="I7656" s="274">
        <v>45337</v>
      </c>
      <c r="J7656" s="199" t="s">
        <v>18732</v>
      </c>
      <c r="K7656" s="46"/>
      <c r="O7656" s="46" t="s">
        <v>1171</v>
      </c>
      <c r="P7656" s="46" t="s">
        <v>71</v>
      </c>
      <c r="Q7656" s="46" t="s">
        <v>97</v>
      </c>
      <c r="R7656" s="46" t="s">
        <v>272</v>
      </c>
    </row>
    <row r="7657" spans="1:18" ht="69" customHeight="1">
      <c r="B7657" s="52">
        <f t="shared" si="45"/>
        <v>4796</v>
      </c>
      <c r="C7657" s="46" t="s">
        <v>309</v>
      </c>
      <c r="D7657" s="251" t="s">
        <v>14206</v>
      </c>
      <c r="E7657" s="53" t="s">
        <v>1056</v>
      </c>
      <c r="F7657" s="211" t="s">
        <v>18741</v>
      </c>
      <c r="G7657" s="46" t="s">
        <v>16166</v>
      </c>
      <c r="H7657" s="534">
        <v>16712.16</v>
      </c>
      <c r="I7657" s="274">
        <v>45337</v>
      </c>
      <c r="J7657" s="199" t="s">
        <v>18742</v>
      </c>
      <c r="K7657" s="46"/>
      <c r="O7657" s="46" t="s">
        <v>1061</v>
      </c>
      <c r="P7657" s="46" t="s">
        <v>36</v>
      </c>
      <c r="Q7657" s="46" t="s">
        <v>15</v>
      </c>
      <c r="R7657" s="46" t="s">
        <v>272</v>
      </c>
    </row>
    <row r="7658" spans="1:18" ht="69" customHeight="1">
      <c r="B7658" s="52">
        <f t="shared" si="45"/>
        <v>4797</v>
      </c>
      <c r="C7658" s="191" t="s">
        <v>458</v>
      </c>
      <c r="D7658" s="251" t="s">
        <v>14989</v>
      </c>
      <c r="E7658" s="53" t="s">
        <v>1056</v>
      </c>
      <c r="F7658" s="211" t="s">
        <v>18743</v>
      </c>
      <c r="G7658" s="46" t="s">
        <v>16166</v>
      </c>
      <c r="H7658" s="534">
        <v>16712.16</v>
      </c>
      <c r="I7658" s="274">
        <v>45337</v>
      </c>
      <c r="J7658" s="199" t="s">
        <v>18742</v>
      </c>
      <c r="K7658" s="46"/>
      <c r="O7658" s="46" t="s">
        <v>1061</v>
      </c>
      <c r="P7658" s="46" t="s">
        <v>36</v>
      </c>
      <c r="Q7658" s="46" t="s">
        <v>90</v>
      </c>
      <c r="R7658" s="46" t="s">
        <v>272</v>
      </c>
    </row>
    <row r="7659" spans="1:18" ht="69" customHeight="1">
      <c r="B7659" s="52">
        <f t="shared" si="45"/>
        <v>4798</v>
      </c>
      <c r="C7659" s="191" t="s">
        <v>657</v>
      </c>
      <c r="D7659" s="251" t="s">
        <v>12811</v>
      </c>
      <c r="E7659" s="53" t="s">
        <v>1056</v>
      </c>
      <c r="F7659" s="211" t="s">
        <v>18744</v>
      </c>
      <c r="G7659" s="46" t="s">
        <v>16166</v>
      </c>
      <c r="H7659" s="534">
        <v>12032.76</v>
      </c>
      <c r="I7659" s="274">
        <v>45337</v>
      </c>
      <c r="J7659" s="199" t="s">
        <v>18742</v>
      </c>
      <c r="K7659" s="46"/>
      <c r="O7659" s="46" t="s">
        <v>1061</v>
      </c>
      <c r="P7659" s="46" t="s">
        <v>36</v>
      </c>
      <c r="Q7659" s="46" t="s">
        <v>99</v>
      </c>
      <c r="R7659" s="46" t="s">
        <v>272</v>
      </c>
    </row>
    <row r="7660" spans="1:18" ht="69" customHeight="1">
      <c r="B7660" s="52">
        <f t="shared" si="45"/>
        <v>4799</v>
      </c>
      <c r="C7660" s="191" t="s">
        <v>3667</v>
      </c>
      <c r="D7660" s="251" t="s">
        <v>18745</v>
      </c>
      <c r="E7660" s="53" t="s">
        <v>1056</v>
      </c>
      <c r="F7660" s="211" t="s">
        <v>18746</v>
      </c>
      <c r="G7660" s="46" t="s">
        <v>16166</v>
      </c>
      <c r="H7660" s="534">
        <v>21391.57</v>
      </c>
      <c r="I7660" s="274">
        <v>45337</v>
      </c>
      <c r="J7660" s="199" t="s">
        <v>18742</v>
      </c>
      <c r="K7660" s="46"/>
      <c r="O7660" s="46" t="s">
        <v>1061</v>
      </c>
      <c r="P7660" s="46" t="s">
        <v>36</v>
      </c>
      <c r="Q7660" s="46" t="s">
        <v>49</v>
      </c>
      <c r="R7660" s="46" t="s">
        <v>272</v>
      </c>
    </row>
    <row r="7661" spans="1:18" ht="69" customHeight="1">
      <c r="B7661" s="52">
        <f t="shared" si="45"/>
        <v>4800</v>
      </c>
      <c r="C7661" s="191" t="s">
        <v>3667</v>
      </c>
      <c r="D7661" s="251" t="s">
        <v>18747</v>
      </c>
      <c r="E7661" s="53" t="s">
        <v>1056</v>
      </c>
      <c r="F7661" s="211" t="s">
        <v>18748</v>
      </c>
      <c r="G7661" s="46" t="s">
        <v>16174</v>
      </c>
      <c r="H7661" s="534">
        <v>160226.81</v>
      </c>
      <c r="I7661" s="274">
        <v>45337</v>
      </c>
      <c r="J7661" s="199" t="s">
        <v>18742</v>
      </c>
      <c r="K7661" s="46"/>
      <c r="O7661" s="46" t="s">
        <v>1061</v>
      </c>
      <c r="P7661" s="46" t="s">
        <v>36</v>
      </c>
      <c r="Q7661" s="46" t="s">
        <v>49</v>
      </c>
      <c r="R7661" s="46" t="s">
        <v>272</v>
      </c>
    </row>
    <row r="7662" spans="1:18" s="98" customFormat="1" ht="69" customHeight="1">
      <c r="A7662" s="169"/>
      <c r="B7662" s="52">
        <f t="shared" si="45"/>
        <v>4801</v>
      </c>
      <c r="C7662" s="191" t="s">
        <v>657</v>
      </c>
      <c r="D7662" s="251" t="s">
        <v>12454</v>
      </c>
      <c r="E7662" s="53" t="s">
        <v>1056</v>
      </c>
      <c r="F7662" s="211" t="s">
        <v>18749</v>
      </c>
      <c r="G7662" s="46" t="s">
        <v>16174</v>
      </c>
      <c r="H7662" s="534">
        <v>90127.58</v>
      </c>
      <c r="I7662" s="274">
        <v>45337</v>
      </c>
      <c r="J7662" s="199" t="s">
        <v>18742</v>
      </c>
      <c r="K7662" s="46"/>
      <c r="O7662" s="46" t="s">
        <v>1061</v>
      </c>
      <c r="P7662" s="46" t="s">
        <v>36</v>
      </c>
      <c r="Q7662" s="46" t="s">
        <v>99</v>
      </c>
      <c r="R7662" s="46" t="s">
        <v>272</v>
      </c>
    </row>
    <row r="7663" spans="1:18" ht="69" customHeight="1">
      <c r="B7663" s="52">
        <f t="shared" si="45"/>
        <v>4802</v>
      </c>
      <c r="C7663" s="191" t="s">
        <v>458</v>
      </c>
      <c r="D7663" s="251" t="s">
        <v>14985</v>
      </c>
      <c r="E7663" s="53" t="s">
        <v>1056</v>
      </c>
      <c r="F7663" s="211" t="s">
        <v>18750</v>
      </c>
      <c r="G7663" s="46" t="s">
        <v>16174</v>
      </c>
      <c r="H7663" s="534">
        <v>125177.2</v>
      </c>
      <c r="I7663" s="274">
        <v>45337</v>
      </c>
      <c r="J7663" s="199" t="s">
        <v>18742</v>
      </c>
      <c r="K7663" s="46"/>
      <c r="O7663" s="46" t="s">
        <v>1061</v>
      </c>
      <c r="P7663" s="46" t="s">
        <v>36</v>
      </c>
      <c r="Q7663" s="46" t="s">
        <v>90</v>
      </c>
      <c r="R7663" s="46" t="s">
        <v>272</v>
      </c>
    </row>
    <row r="7664" spans="1:18" ht="69" customHeight="1">
      <c r="B7664" s="52">
        <f t="shared" si="45"/>
        <v>4803</v>
      </c>
      <c r="C7664" s="46" t="s">
        <v>309</v>
      </c>
      <c r="D7664" s="251" t="s">
        <v>14191</v>
      </c>
      <c r="E7664" s="53" t="s">
        <v>1056</v>
      </c>
      <c r="F7664" s="211" t="s">
        <v>18751</v>
      </c>
      <c r="G7664" s="46" t="s">
        <v>16174</v>
      </c>
      <c r="H7664" s="534">
        <v>125177.2</v>
      </c>
      <c r="I7664" s="274">
        <v>45337</v>
      </c>
      <c r="J7664" s="199" t="s">
        <v>18742</v>
      </c>
      <c r="K7664" s="46"/>
      <c r="O7664" s="46" t="s">
        <v>1061</v>
      </c>
      <c r="P7664" s="46" t="s">
        <v>36</v>
      </c>
      <c r="Q7664" s="46" t="s">
        <v>15</v>
      </c>
      <c r="R7664" s="46" t="s">
        <v>272</v>
      </c>
    </row>
    <row r="7665" spans="2:18" ht="69" customHeight="1">
      <c r="B7665" s="62">
        <f t="shared" si="45"/>
        <v>4804</v>
      </c>
      <c r="C7665" s="59" t="s">
        <v>657</v>
      </c>
      <c r="D7665" s="545" t="s">
        <v>12472</v>
      </c>
      <c r="E7665" s="58" t="s">
        <v>16224</v>
      </c>
      <c r="F7665" s="58" t="s">
        <v>18752</v>
      </c>
      <c r="G7665" s="58" t="s">
        <v>18753</v>
      </c>
      <c r="H7665" s="546">
        <v>136272.73000000001</v>
      </c>
      <c r="I7665" s="132">
        <v>45337</v>
      </c>
      <c r="J7665" s="73" t="s">
        <v>18754</v>
      </c>
      <c r="K7665" s="67"/>
      <c r="O7665" s="62" t="s">
        <v>18755</v>
      </c>
      <c r="P7665" s="58" t="s">
        <v>57</v>
      </c>
      <c r="Q7665" s="45" t="s">
        <v>110</v>
      </c>
      <c r="R7665" s="45" t="s">
        <v>272</v>
      </c>
    </row>
    <row r="7666" spans="2:18" ht="69" customHeight="1">
      <c r="B7666" s="62">
        <f t="shared" si="45"/>
        <v>4805</v>
      </c>
      <c r="C7666" s="59" t="s">
        <v>11908</v>
      </c>
      <c r="D7666" s="545" t="s">
        <v>14991</v>
      </c>
      <c r="E7666" s="58" t="s">
        <v>18388</v>
      </c>
      <c r="F7666" s="58" t="s">
        <v>18756</v>
      </c>
      <c r="G7666" s="58" t="s">
        <v>18757</v>
      </c>
      <c r="H7666" s="546">
        <v>94204.33</v>
      </c>
      <c r="I7666" s="132">
        <v>45337</v>
      </c>
      <c r="J7666" s="73" t="s">
        <v>18758</v>
      </c>
      <c r="K7666" s="67"/>
      <c r="O7666" s="62" t="s">
        <v>16069</v>
      </c>
      <c r="P7666" s="58" t="s">
        <v>57</v>
      </c>
      <c r="Q7666" s="45" t="s">
        <v>103</v>
      </c>
      <c r="R7666" s="45" t="s">
        <v>272</v>
      </c>
    </row>
    <row r="7667" spans="2:18" ht="69" customHeight="1">
      <c r="B7667" s="62">
        <f t="shared" si="45"/>
        <v>4806</v>
      </c>
      <c r="C7667" s="59" t="s">
        <v>10937</v>
      </c>
      <c r="D7667" s="545" t="s">
        <v>12514</v>
      </c>
      <c r="E7667" s="58" t="s">
        <v>18388</v>
      </c>
      <c r="F7667" s="58" t="s">
        <v>18759</v>
      </c>
      <c r="G7667" s="58" t="s">
        <v>18757</v>
      </c>
      <c r="H7667" s="546">
        <v>206680.22</v>
      </c>
      <c r="I7667" s="132">
        <v>45337</v>
      </c>
      <c r="J7667" s="73" t="s">
        <v>18760</v>
      </c>
      <c r="K7667" s="67"/>
      <c r="O7667" s="62" t="s">
        <v>16069</v>
      </c>
      <c r="P7667" s="58" t="s">
        <v>57</v>
      </c>
      <c r="Q7667" s="45" t="s">
        <v>104</v>
      </c>
      <c r="R7667" s="45" t="s">
        <v>272</v>
      </c>
    </row>
    <row r="7668" spans="2:18" ht="69" customHeight="1">
      <c r="B7668" s="62">
        <f t="shared" si="45"/>
        <v>4807</v>
      </c>
      <c r="C7668" s="59" t="s">
        <v>3667</v>
      </c>
      <c r="D7668" s="545" t="s">
        <v>18761</v>
      </c>
      <c r="E7668" s="58" t="s">
        <v>18762</v>
      </c>
      <c r="F7668" s="58" t="s">
        <v>18763</v>
      </c>
      <c r="G7668" s="58" t="s">
        <v>18764</v>
      </c>
      <c r="H7668" s="546">
        <v>301121.39</v>
      </c>
      <c r="I7668" s="132">
        <v>45337</v>
      </c>
      <c r="J7668" s="73" t="s">
        <v>18765</v>
      </c>
      <c r="K7668" s="67" t="s">
        <v>18766</v>
      </c>
      <c r="O7668" s="62" t="s">
        <v>10607</v>
      </c>
      <c r="P7668" s="58" t="s">
        <v>22</v>
      </c>
      <c r="Q7668" s="45" t="s">
        <v>70</v>
      </c>
      <c r="R7668" s="45" t="s">
        <v>272</v>
      </c>
    </row>
    <row r="7669" spans="2:18" ht="69" customHeight="1">
      <c r="B7669" s="62">
        <f t="shared" si="45"/>
        <v>4808</v>
      </c>
      <c r="C7669" s="45" t="s">
        <v>6888</v>
      </c>
      <c r="D7669" s="545" t="s">
        <v>18767</v>
      </c>
      <c r="E7669" s="58" t="s">
        <v>18762</v>
      </c>
      <c r="F7669" s="58" t="s">
        <v>18768</v>
      </c>
      <c r="G7669" s="58" t="s">
        <v>18764</v>
      </c>
      <c r="H7669" s="546">
        <v>434845.63</v>
      </c>
      <c r="I7669" s="132">
        <v>45337</v>
      </c>
      <c r="J7669" s="73" t="s">
        <v>18769</v>
      </c>
      <c r="K7669" s="67"/>
      <c r="O7669" s="62" t="s">
        <v>10607</v>
      </c>
      <c r="P7669" s="58" t="s">
        <v>22</v>
      </c>
      <c r="Q7669" s="45" t="s">
        <v>84</v>
      </c>
      <c r="R7669" s="45" t="s">
        <v>272</v>
      </c>
    </row>
    <row r="7670" spans="2:18" ht="69" customHeight="1">
      <c r="B7670" s="62">
        <f t="shared" si="45"/>
        <v>4809</v>
      </c>
      <c r="C7670" s="59" t="s">
        <v>3667</v>
      </c>
      <c r="D7670" s="545" t="s">
        <v>18770</v>
      </c>
      <c r="E7670" s="58" t="s">
        <v>18762</v>
      </c>
      <c r="F7670" s="58" t="s">
        <v>18771</v>
      </c>
      <c r="G7670" s="58" t="s">
        <v>18772</v>
      </c>
      <c r="H7670" s="546">
        <v>221325.51</v>
      </c>
      <c r="I7670" s="132">
        <v>45337</v>
      </c>
      <c r="J7670" s="73" t="s">
        <v>18773</v>
      </c>
      <c r="K7670" s="67"/>
      <c r="O7670" s="62" t="s">
        <v>10607</v>
      </c>
      <c r="P7670" s="58" t="s">
        <v>22</v>
      </c>
      <c r="Q7670" s="45" t="s">
        <v>93</v>
      </c>
      <c r="R7670" s="45" t="s">
        <v>272</v>
      </c>
    </row>
    <row r="7671" spans="2:18" ht="69" customHeight="1">
      <c r="B7671" s="62">
        <f t="shared" si="45"/>
        <v>4810</v>
      </c>
      <c r="C7671" s="59" t="s">
        <v>3667</v>
      </c>
      <c r="D7671" s="545" t="s">
        <v>18774</v>
      </c>
      <c r="E7671" s="58" t="s">
        <v>18762</v>
      </c>
      <c r="F7671" s="58" t="s">
        <v>18775</v>
      </c>
      <c r="G7671" s="58" t="s">
        <v>18772</v>
      </c>
      <c r="H7671" s="546">
        <v>221325.51</v>
      </c>
      <c r="I7671" s="132">
        <v>45337</v>
      </c>
      <c r="J7671" s="73" t="s">
        <v>18773</v>
      </c>
      <c r="K7671" s="67"/>
      <c r="O7671" s="62" t="s">
        <v>10607</v>
      </c>
      <c r="P7671" s="58" t="s">
        <v>22</v>
      </c>
      <c r="Q7671" s="45" t="s">
        <v>95</v>
      </c>
      <c r="R7671" s="45" t="s">
        <v>272</v>
      </c>
    </row>
    <row r="7672" spans="2:18" ht="69" customHeight="1">
      <c r="B7672" s="259">
        <f t="shared" si="45"/>
        <v>4811</v>
      </c>
      <c r="C7672" s="160" t="s">
        <v>18776</v>
      </c>
      <c r="D7672" s="303" t="s">
        <v>18777</v>
      </c>
      <c r="E7672" s="160" t="s">
        <v>18778</v>
      </c>
      <c r="F7672" s="160" t="s">
        <v>18779</v>
      </c>
      <c r="G7672" s="160" t="s">
        <v>18780</v>
      </c>
      <c r="H7672" s="300">
        <v>2790</v>
      </c>
      <c r="I7672" s="312">
        <v>45337</v>
      </c>
      <c r="J7672" s="316" t="s">
        <v>18781</v>
      </c>
      <c r="K7672" s="160"/>
      <c r="O7672" s="259"/>
      <c r="P7672" s="160" t="s">
        <v>67</v>
      </c>
      <c r="Q7672" s="160" t="s">
        <v>96</v>
      </c>
      <c r="R7672" s="160" t="s">
        <v>272</v>
      </c>
    </row>
    <row r="7673" spans="2:18" ht="69" customHeight="1">
      <c r="B7673" s="62">
        <f t="shared" si="45"/>
        <v>4812</v>
      </c>
      <c r="C7673" s="128" t="s">
        <v>13435</v>
      </c>
      <c r="D7673" s="631" t="s">
        <v>14243</v>
      </c>
      <c r="E7673" s="127" t="s">
        <v>18782</v>
      </c>
      <c r="F7673" s="127" t="s">
        <v>18783</v>
      </c>
      <c r="G7673" s="127" t="s">
        <v>18784</v>
      </c>
      <c r="H7673" s="546">
        <v>12500</v>
      </c>
      <c r="I7673" s="47" t="s">
        <v>96</v>
      </c>
      <c r="J7673" s="632" t="s">
        <v>18785</v>
      </c>
      <c r="K7673" s="127">
        <v>45337</v>
      </c>
      <c r="O7673" s="62" t="s">
        <v>205</v>
      </c>
      <c r="P7673" s="58" t="s">
        <v>61</v>
      </c>
      <c r="Q7673" s="45" t="s">
        <v>13</v>
      </c>
      <c r="R7673" s="45" t="s">
        <v>272</v>
      </c>
    </row>
    <row r="7674" spans="2:18" ht="69" customHeight="1">
      <c r="B7674" s="62">
        <f t="shared" si="45"/>
        <v>4813</v>
      </c>
      <c r="C7674" s="128" t="s">
        <v>581</v>
      </c>
      <c r="D7674" s="631" t="s">
        <v>14245</v>
      </c>
      <c r="E7674" s="127" t="s">
        <v>18782</v>
      </c>
      <c r="F7674" s="127" t="s">
        <v>18786</v>
      </c>
      <c r="G7674" s="127" t="s">
        <v>18784</v>
      </c>
      <c r="H7674" s="546">
        <v>12500</v>
      </c>
      <c r="I7674" s="47" t="s">
        <v>96</v>
      </c>
      <c r="J7674" s="632" t="s">
        <v>18785</v>
      </c>
      <c r="K7674" s="127">
        <v>45337</v>
      </c>
      <c r="O7674" s="62" t="s">
        <v>205</v>
      </c>
      <c r="P7674" s="58" t="s">
        <v>61</v>
      </c>
      <c r="Q7674" s="45" t="s">
        <v>18</v>
      </c>
      <c r="R7674" s="45" t="s">
        <v>272</v>
      </c>
    </row>
    <row r="7675" spans="2:18" ht="69" customHeight="1">
      <c r="B7675" s="62">
        <f t="shared" si="45"/>
        <v>4814</v>
      </c>
      <c r="C7675" s="128" t="s">
        <v>11908</v>
      </c>
      <c r="D7675" s="631" t="s">
        <v>15035</v>
      </c>
      <c r="E7675" s="127" t="s">
        <v>18782</v>
      </c>
      <c r="F7675" s="127" t="s">
        <v>18787</v>
      </c>
      <c r="G7675" s="127" t="s">
        <v>18784</v>
      </c>
      <c r="H7675" s="546">
        <v>48164.98</v>
      </c>
      <c r="I7675" s="47" t="s">
        <v>96</v>
      </c>
      <c r="J7675" s="632" t="s">
        <v>18785</v>
      </c>
      <c r="K7675" s="127">
        <v>45337</v>
      </c>
      <c r="O7675" s="62" t="s">
        <v>205</v>
      </c>
      <c r="P7675" s="58" t="s">
        <v>61</v>
      </c>
      <c r="Q7675" s="45" t="s">
        <v>103</v>
      </c>
      <c r="R7675" s="45" t="s">
        <v>272</v>
      </c>
    </row>
    <row r="7676" spans="2:18" ht="69" customHeight="1">
      <c r="B7676" s="62">
        <f t="shared" si="45"/>
        <v>4815</v>
      </c>
      <c r="C7676" s="128" t="s">
        <v>13562</v>
      </c>
      <c r="D7676" s="631" t="s">
        <v>15043</v>
      </c>
      <c r="E7676" s="127" t="s">
        <v>18782</v>
      </c>
      <c r="F7676" s="127" t="s">
        <v>18788</v>
      </c>
      <c r="G7676" s="127" t="s">
        <v>18789</v>
      </c>
      <c r="H7676" s="546">
        <v>17500</v>
      </c>
      <c r="I7676" s="66">
        <v>45337</v>
      </c>
      <c r="J7676" s="632" t="s">
        <v>18785</v>
      </c>
      <c r="K7676" s="127"/>
      <c r="O7676" s="62" t="s">
        <v>205</v>
      </c>
      <c r="P7676" s="58" t="s">
        <v>61</v>
      </c>
      <c r="Q7676" s="45" t="s">
        <v>88</v>
      </c>
      <c r="R7676" s="45" t="s">
        <v>272</v>
      </c>
    </row>
    <row r="7677" spans="2:18" ht="69" customHeight="1">
      <c r="B7677" s="62">
        <f t="shared" si="45"/>
        <v>4816</v>
      </c>
      <c r="C7677" s="128" t="s">
        <v>11908</v>
      </c>
      <c r="D7677" s="631" t="s">
        <v>15047</v>
      </c>
      <c r="E7677" s="127" t="s">
        <v>18782</v>
      </c>
      <c r="F7677" s="127" t="s">
        <v>18790</v>
      </c>
      <c r="G7677" s="127" t="s">
        <v>18789</v>
      </c>
      <c r="H7677" s="546">
        <v>17500</v>
      </c>
      <c r="I7677" s="47" t="s">
        <v>96</v>
      </c>
      <c r="J7677" s="632" t="s">
        <v>18785</v>
      </c>
      <c r="K7677" s="127">
        <v>45337</v>
      </c>
      <c r="O7677" s="62" t="s">
        <v>205</v>
      </c>
      <c r="P7677" s="58" t="s">
        <v>61</v>
      </c>
      <c r="Q7677" s="45" t="s">
        <v>103</v>
      </c>
      <c r="R7677" s="45" t="s">
        <v>272</v>
      </c>
    </row>
    <row r="7678" spans="2:18" ht="69" customHeight="1">
      <c r="B7678" s="62">
        <f t="shared" si="45"/>
        <v>4817</v>
      </c>
      <c r="C7678" s="128" t="s">
        <v>7189</v>
      </c>
      <c r="D7678" s="631" t="s">
        <v>5856</v>
      </c>
      <c r="E7678" s="127" t="s">
        <v>18782</v>
      </c>
      <c r="F7678" s="127" t="s">
        <v>18791</v>
      </c>
      <c r="G7678" s="127" t="s">
        <v>18789</v>
      </c>
      <c r="H7678" s="546">
        <v>17500</v>
      </c>
      <c r="I7678" s="47" t="s">
        <v>96</v>
      </c>
      <c r="J7678" s="632" t="s">
        <v>18785</v>
      </c>
      <c r="K7678" s="127">
        <v>45337</v>
      </c>
      <c r="O7678" s="62" t="s">
        <v>205</v>
      </c>
      <c r="P7678" s="58" t="s">
        <v>61</v>
      </c>
      <c r="Q7678" s="45" t="s">
        <v>97</v>
      </c>
      <c r="R7678" s="45" t="s">
        <v>272</v>
      </c>
    </row>
    <row r="7679" spans="2:18" ht="69" customHeight="1">
      <c r="B7679" s="52">
        <f t="shared" si="45"/>
        <v>4818</v>
      </c>
      <c r="C7679" s="51" t="s">
        <v>10634</v>
      </c>
      <c r="D7679" s="251" t="s">
        <v>18792</v>
      </c>
      <c r="E7679" s="46" t="s">
        <v>17893</v>
      </c>
      <c r="F7679" s="46" t="s">
        <v>18793</v>
      </c>
      <c r="G7679" s="46" t="s">
        <v>16681</v>
      </c>
      <c r="H7679" s="534">
        <v>11390</v>
      </c>
      <c r="I7679" s="274">
        <v>45337</v>
      </c>
      <c r="J7679" s="199" t="s">
        <v>18794</v>
      </c>
      <c r="K7679" s="46"/>
      <c r="O7679" s="46" t="s">
        <v>156</v>
      </c>
      <c r="P7679" s="46" t="s">
        <v>65</v>
      </c>
      <c r="Q7679" s="46" t="s">
        <v>93</v>
      </c>
      <c r="R7679" s="46" t="s">
        <v>272</v>
      </c>
    </row>
    <row r="7680" spans="2:18" ht="69" customHeight="1">
      <c r="B7680" s="52">
        <f t="shared" si="45"/>
        <v>4819</v>
      </c>
      <c r="C7680" s="51" t="s">
        <v>10639</v>
      </c>
      <c r="D7680" s="251" t="s">
        <v>18795</v>
      </c>
      <c r="E7680" s="46" t="s">
        <v>17893</v>
      </c>
      <c r="F7680" s="46" t="s">
        <v>18796</v>
      </c>
      <c r="G7680" s="46" t="s">
        <v>16681</v>
      </c>
      <c r="H7680" s="534">
        <v>11390</v>
      </c>
      <c r="I7680" s="274">
        <v>45337</v>
      </c>
      <c r="J7680" s="199" t="s">
        <v>18794</v>
      </c>
      <c r="K7680" s="46"/>
      <c r="O7680" s="46" t="s">
        <v>156</v>
      </c>
      <c r="P7680" s="46" t="s">
        <v>65</v>
      </c>
      <c r="Q7680" s="46" t="s">
        <v>95</v>
      </c>
      <c r="R7680" s="46" t="s">
        <v>272</v>
      </c>
    </row>
    <row r="7681" spans="2:18" ht="69" customHeight="1">
      <c r="B7681" s="62">
        <f t="shared" si="45"/>
        <v>4820</v>
      </c>
      <c r="C7681" s="59" t="s">
        <v>3667</v>
      </c>
      <c r="D7681" s="545" t="s">
        <v>18797</v>
      </c>
      <c r="E7681" s="58" t="s">
        <v>18762</v>
      </c>
      <c r="F7681" s="58" t="s">
        <v>18798</v>
      </c>
      <c r="G7681" s="58" t="s">
        <v>18799</v>
      </c>
      <c r="H7681" s="546">
        <v>48033.37</v>
      </c>
      <c r="I7681" s="132">
        <v>45337</v>
      </c>
      <c r="J7681" s="73" t="s">
        <v>18800</v>
      </c>
      <c r="K7681" s="67"/>
      <c r="O7681" s="62" t="s">
        <v>10607</v>
      </c>
      <c r="P7681" s="58" t="s">
        <v>22</v>
      </c>
      <c r="Q7681" s="45" t="s">
        <v>68</v>
      </c>
      <c r="R7681" s="45" t="s">
        <v>272</v>
      </c>
    </row>
    <row r="7682" spans="2:18" ht="69" customHeight="1">
      <c r="B7682" s="62">
        <f t="shared" si="45"/>
        <v>4821</v>
      </c>
      <c r="C7682" s="59" t="s">
        <v>3667</v>
      </c>
      <c r="D7682" s="545" t="s">
        <v>18801</v>
      </c>
      <c r="E7682" s="58" t="s">
        <v>18762</v>
      </c>
      <c r="F7682" s="58" t="s">
        <v>18802</v>
      </c>
      <c r="G7682" s="58" t="s">
        <v>18799</v>
      </c>
      <c r="H7682" s="546">
        <v>48033.37</v>
      </c>
      <c r="I7682" s="132">
        <v>45337</v>
      </c>
      <c r="J7682" s="73" t="s">
        <v>18800</v>
      </c>
      <c r="K7682" s="67"/>
      <c r="O7682" s="62" t="s">
        <v>10607</v>
      </c>
      <c r="P7682" s="58" t="s">
        <v>22</v>
      </c>
      <c r="Q7682" s="45" t="s">
        <v>70</v>
      </c>
      <c r="R7682" s="45" t="s">
        <v>272</v>
      </c>
    </row>
    <row r="7683" spans="2:18" ht="69" customHeight="1">
      <c r="B7683" s="62">
        <f t="shared" si="45"/>
        <v>4822</v>
      </c>
      <c r="C7683" s="59" t="s">
        <v>3667</v>
      </c>
      <c r="D7683" s="545" t="s">
        <v>18803</v>
      </c>
      <c r="E7683" s="58" t="s">
        <v>18762</v>
      </c>
      <c r="F7683" s="58" t="s">
        <v>18804</v>
      </c>
      <c r="G7683" s="58" t="s">
        <v>18799</v>
      </c>
      <c r="H7683" s="546">
        <v>25200.639999999999</v>
      </c>
      <c r="I7683" s="132">
        <v>45337</v>
      </c>
      <c r="J7683" s="73" t="s">
        <v>18800</v>
      </c>
      <c r="K7683" s="67"/>
      <c r="O7683" s="62" t="s">
        <v>10607</v>
      </c>
      <c r="P7683" s="58" t="s">
        <v>22</v>
      </c>
      <c r="Q7683" s="45" t="s">
        <v>66</v>
      </c>
      <c r="R7683" s="45" t="s">
        <v>272</v>
      </c>
    </row>
    <row r="7684" spans="2:18" ht="69" customHeight="1">
      <c r="B7684" s="62">
        <f t="shared" si="45"/>
        <v>4823</v>
      </c>
      <c r="C7684" s="45" t="s">
        <v>6888</v>
      </c>
      <c r="D7684" s="545" t="s">
        <v>18805</v>
      </c>
      <c r="E7684" s="58" t="s">
        <v>18762</v>
      </c>
      <c r="F7684" s="58" t="s">
        <v>18806</v>
      </c>
      <c r="G7684" s="58" t="s">
        <v>18799</v>
      </c>
      <c r="H7684" s="546">
        <v>957020.46</v>
      </c>
      <c r="I7684" s="132">
        <v>45337</v>
      </c>
      <c r="J7684" s="73" t="s">
        <v>18800</v>
      </c>
      <c r="K7684" s="67"/>
      <c r="O7684" s="62" t="s">
        <v>10607</v>
      </c>
      <c r="P7684" s="58" t="s">
        <v>22</v>
      </c>
      <c r="Q7684" s="45" t="s">
        <v>84</v>
      </c>
      <c r="R7684" s="45" t="s">
        <v>272</v>
      </c>
    </row>
    <row r="7685" spans="2:18" ht="69" customHeight="1">
      <c r="B7685" s="62">
        <f t="shared" si="45"/>
        <v>4824</v>
      </c>
      <c r="C7685" s="58" t="s">
        <v>9545</v>
      </c>
      <c r="D7685" s="545" t="s">
        <v>15002</v>
      </c>
      <c r="E7685" s="58" t="s">
        <v>18762</v>
      </c>
      <c r="F7685" s="58" t="s">
        <v>18807</v>
      </c>
      <c r="G7685" s="58" t="s">
        <v>18799</v>
      </c>
      <c r="H7685" s="546">
        <v>53099.94</v>
      </c>
      <c r="I7685" s="132">
        <v>45337</v>
      </c>
      <c r="J7685" s="73" t="s">
        <v>18800</v>
      </c>
      <c r="K7685" s="67"/>
      <c r="O7685" s="62" t="s">
        <v>10607</v>
      </c>
      <c r="P7685" s="58" t="s">
        <v>22</v>
      </c>
      <c r="Q7685" s="45" t="s">
        <v>117</v>
      </c>
      <c r="R7685" s="45" t="s">
        <v>272</v>
      </c>
    </row>
    <row r="7686" spans="2:18" ht="69" customHeight="1">
      <c r="B7686" s="62">
        <f t="shared" si="45"/>
        <v>4825</v>
      </c>
      <c r="C7686" s="201" t="s">
        <v>657</v>
      </c>
      <c r="D7686" s="545" t="s">
        <v>4517</v>
      </c>
      <c r="E7686" s="58" t="s">
        <v>18762</v>
      </c>
      <c r="F7686" s="58" t="s">
        <v>18808</v>
      </c>
      <c r="G7686" s="58" t="s">
        <v>18799</v>
      </c>
      <c r="H7686" s="546">
        <v>92417.73</v>
      </c>
      <c r="I7686" s="132">
        <v>45337</v>
      </c>
      <c r="J7686" s="73" t="s">
        <v>18800</v>
      </c>
      <c r="K7686" s="67"/>
      <c r="O7686" s="62" t="s">
        <v>10607</v>
      </c>
      <c r="P7686" s="58" t="s">
        <v>22</v>
      </c>
      <c r="Q7686" s="45" t="s">
        <v>111</v>
      </c>
      <c r="R7686" s="45" t="s">
        <v>272</v>
      </c>
    </row>
    <row r="7687" spans="2:18" ht="69" customHeight="1">
      <c r="B7687" s="62">
        <f t="shared" si="45"/>
        <v>4826</v>
      </c>
      <c r="C7687" s="58" t="s">
        <v>8721</v>
      </c>
      <c r="D7687" s="545" t="s">
        <v>4690</v>
      </c>
      <c r="E7687" s="58" t="s">
        <v>18809</v>
      </c>
      <c r="F7687" s="210" t="s">
        <v>18810</v>
      </c>
      <c r="G7687" s="45" t="s">
        <v>18811</v>
      </c>
      <c r="H7687" s="546">
        <v>279.82</v>
      </c>
      <c r="I7687" s="132">
        <v>45337</v>
      </c>
      <c r="J7687" s="73" t="s">
        <v>18800</v>
      </c>
      <c r="K7687" s="67"/>
      <c r="O7687" s="62" t="s">
        <v>5969</v>
      </c>
      <c r="P7687" s="45" t="s">
        <v>44</v>
      </c>
      <c r="Q7687" s="45" t="s">
        <v>109</v>
      </c>
      <c r="R7687" s="45" t="s">
        <v>272</v>
      </c>
    </row>
    <row r="7688" spans="2:18" ht="69" customHeight="1">
      <c r="B7688" s="62">
        <f t="shared" si="45"/>
        <v>4827</v>
      </c>
      <c r="C7688" s="58" t="s">
        <v>18812</v>
      </c>
      <c r="D7688" s="545" t="s">
        <v>14214</v>
      </c>
      <c r="E7688" s="58" t="s">
        <v>18809</v>
      </c>
      <c r="F7688" s="210" t="s">
        <v>18813</v>
      </c>
      <c r="G7688" s="45" t="s">
        <v>18811</v>
      </c>
      <c r="H7688" s="546">
        <v>279.82</v>
      </c>
      <c r="I7688" s="132">
        <v>45337</v>
      </c>
      <c r="J7688" s="73" t="s">
        <v>18800</v>
      </c>
      <c r="K7688" s="67"/>
      <c r="O7688" s="62" t="s">
        <v>5969</v>
      </c>
      <c r="P7688" s="45" t="s">
        <v>44</v>
      </c>
      <c r="Q7688" s="45" t="s">
        <v>43</v>
      </c>
      <c r="R7688" s="45" t="s">
        <v>272</v>
      </c>
    </row>
    <row r="7689" spans="2:18" ht="69" customHeight="1">
      <c r="B7689" s="62">
        <f t="shared" si="45"/>
        <v>4828</v>
      </c>
      <c r="C7689" s="44" t="s">
        <v>10418</v>
      </c>
      <c r="D7689" s="545" t="s">
        <v>18814</v>
      </c>
      <c r="E7689" s="58" t="s">
        <v>18809</v>
      </c>
      <c r="F7689" s="210" t="s">
        <v>18815</v>
      </c>
      <c r="G7689" s="45" t="s">
        <v>18811</v>
      </c>
      <c r="H7689" s="546">
        <v>279.82</v>
      </c>
      <c r="I7689" s="132">
        <v>45337</v>
      </c>
      <c r="J7689" s="73" t="s">
        <v>18800</v>
      </c>
      <c r="K7689" s="67"/>
      <c r="O7689" s="62" t="s">
        <v>5969</v>
      </c>
      <c r="P7689" s="45" t="s">
        <v>44</v>
      </c>
      <c r="Q7689" s="45" t="s">
        <v>121</v>
      </c>
      <c r="R7689" s="45" t="s">
        <v>272</v>
      </c>
    </row>
    <row r="7690" spans="2:18" ht="69" customHeight="1">
      <c r="B7690" s="62">
        <f t="shared" si="45"/>
        <v>4829</v>
      </c>
      <c r="C7690" s="58" t="s">
        <v>860</v>
      </c>
      <c r="D7690" s="545" t="s">
        <v>14218</v>
      </c>
      <c r="E7690" s="58" t="s">
        <v>18809</v>
      </c>
      <c r="F7690" s="210" t="s">
        <v>18816</v>
      </c>
      <c r="G7690" s="45" t="s">
        <v>18811</v>
      </c>
      <c r="H7690" s="546">
        <v>279.82</v>
      </c>
      <c r="I7690" s="132">
        <v>45337</v>
      </c>
      <c r="J7690" s="73" t="s">
        <v>18800</v>
      </c>
      <c r="K7690" s="67"/>
      <c r="O7690" s="62" t="s">
        <v>5969</v>
      </c>
      <c r="P7690" s="45" t="s">
        <v>44</v>
      </c>
      <c r="Q7690" s="45" t="s">
        <v>20</v>
      </c>
      <c r="R7690" s="45" t="s">
        <v>272</v>
      </c>
    </row>
    <row r="7691" spans="2:18" ht="69" customHeight="1">
      <c r="B7691" s="62">
        <f t="shared" si="45"/>
        <v>4830</v>
      </c>
      <c r="C7691" s="58" t="s">
        <v>18817</v>
      </c>
      <c r="D7691" s="545" t="s">
        <v>14220</v>
      </c>
      <c r="E7691" s="58" t="s">
        <v>18809</v>
      </c>
      <c r="F7691" s="210" t="s">
        <v>18818</v>
      </c>
      <c r="G7691" s="45" t="s">
        <v>18811</v>
      </c>
      <c r="H7691" s="546">
        <v>279.82</v>
      </c>
      <c r="I7691" s="132">
        <v>45337</v>
      </c>
      <c r="J7691" s="73" t="s">
        <v>18800</v>
      </c>
      <c r="K7691" s="67"/>
      <c r="O7691" s="62" t="s">
        <v>5969</v>
      </c>
      <c r="P7691" s="45" t="s">
        <v>44</v>
      </c>
      <c r="Q7691" s="45" t="s">
        <v>25</v>
      </c>
      <c r="R7691" s="45" t="s">
        <v>272</v>
      </c>
    </row>
    <row r="7692" spans="2:18" ht="69" customHeight="1">
      <c r="B7692" s="62">
        <f t="shared" si="45"/>
        <v>4831</v>
      </c>
      <c r="C7692" s="59" t="s">
        <v>7452</v>
      </c>
      <c r="D7692" s="545" t="s">
        <v>15007</v>
      </c>
      <c r="E7692" s="58" t="s">
        <v>18809</v>
      </c>
      <c r="F7692" s="210" t="s">
        <v>18819</v>
      </c>
      <c r="G7692" s="45" t="s">
        <v>18811</v>
      </c>
      <c r="H7692" s="546">
        <v>279.82</v>
      </c>
      <c r="I7692" s="132">
        <v>45337</v>
      </c>
      <c r="J7692" s="73" t="s">
        <v>18800</v>
      </c>
      <c r="K7692" s="67"/>
      <c r="O7692" s="62" t="s">
        <v>5969</v>
      </c>
      <c r="P7692" s="45" t="s">
        <v>44</v>
      </c>
      <c r="Q7692" s="45" t="s">
        <v>101</v>
      </c>
      <c r="R7692" s="45" t="s">
        <v>272</v>
      </c>
    </row>
    <row r="7693" spans="2:18" ht="69" customHeight="1">
      <c r="B7693" s="62">
        <f t="shared" si="45"/>
        <v>4832</v>
      </c>
      <c r="C7693" s="59" t="s">
        <v>4411</v>
      </c>
      <c r="D7693" s="545" t="s">
        <v>18820</v>
      </c>
      <c r="E7693" s="58" t="s">
        <v>18809</v>
      </c>
      <c r="F7693" s="210" t="s">
        <v>18821</v>
      </c>
      <c r="G7693" s="45" t="s">
        <v>18811</v>
      </c>
      <c r="H7693" s="546">
        <v>279.82</v>
      </c>
      <c r="I7693" s="132">
        <v>45337</v>
      </c>
      <c r="J7693" s="73" t="s">
        <v>18800</v>
      </c>
      <c r="K7693" s="67"/>
      <c r="O7693" s="62" t="s">
        <v>5969</v>
      </c>
      <c r="P7693" s="45" t="s">
        <v>44</v>
      </c>
      <c r="Q7693" s="45" t="s">
        <v>54</v>
      </c>
      <c r="R7693" s="45" t="s">
        <v>272</v>
      </c>
    </row>
    <row r="7694" spans="2:18" ht="69" customHeight="1">
      <c r="B7694" s="62">
        <f t="shared" si="45"/>
        <v>4833</v>
      </c>
      <c r="C7694" s="58" t="s">
        <v>18822</v>
      </c>
      <c r="D7694" s="545" t="s">
        <v>15031</v>
      </c>
      <c r="E7694" s="58" t="s">
        <v>18809</v>
      </c>
      <c r="F7694" s="210" t="s">
        <v>18823</v>
      </c>
      <c r="G7694" s="45" t="s">
        <v>18811</v>
      </c>
      <c r="H7694" s="546">
        <v>279.82</v>
      </c>
      <c r="I7694" s="132">
        <v>45337</v>
      </c>
      <c r="J7694" s="73" t="s">
        <v>18800</v>
      </c>
      <c r="K7694" s="67"/>
      <c r="O7694" s="62" t="s">
        <v>5969</v>
      </c>
      <c r="P7694" s="45" t="s">
        <v>44</v>
      </c>
      <c r="Q7694" s="45" t="s">
        <v>119</v>
      </c>
      <c r="R7694" s="45" t="s">
        <v>272</v>
      </c>
    </row>
    <row r="7695" spans="2:18" ht="69" customHeight="1">
      <c r="B7695" s="62">
        <f t="shared" si="45"/>
        <v>4834</v>
      </c>
      <c r="C7695" s="44" t="s">
        <v>10944</v>
      </c>
      <c r="D7695" s="545" t="s">
        <v>4810</v>
      </c>
      <c r="E7695" s="58" t="s">
        <v>18809</v>
      </c>
      <c r="F7695" s="210" t="s">
        <v>18824</v>
      </c>
      <c r="G7695" s="45" t="s">
        <v>18811</v>
      </c>
      <c r="H7695" s="546">
        <v>279.82</v>
      </c>
      <c r="I7695" s="132">
        <v>45337</v>
      </c>
      <c r="J7695" s="73" t="s">
        <v>18800</v>
      </c>
      <c r="K7695" s="67"/>
      <c r="O7695" s="62" t="s">
        <v>5969</v>
      </c>
      <c r="P7695" s="45" t="s">
        <v>44</v>
      </c>
      <c r="Q7695" s="45" t="s">
        <v>120</v>
      </c>
      <c r="R7695" s="45" t="s">
        <v>272</v>
      </c>
    </row>
    <row r="7696" spans="2:18" ht="69" customHeight="1">
      <c r="B7696" s="62">
        <f t="shared" si="45"/>
        <v>4835</v>
      </c>
      <c r="C7696" s="59" t="s">
        <v>7521</v>
      </c>
      <c r="D7696" s="545" t="s">
        <v>12821</v>
      </c>
      <c r="E7696" s="58" t="s">
        <v>18809</v>
      </c>
      <c r="F7696" s="210" t="s">
        <v>18825</v>
      </c>
      <c r="G7696" s="45" t="s">
        <v>18811</v>
      </c>
      <c r="H7696" s="546">
        <v>279.82</v>
      </c>
      <c r="I7696" s="132">
        <v>45337</v>
      </c>
      <c r="J7696" s="73" t="s">
        <v>18800</v>
      </c>
      <c r="K7696" s="67"/>
      <c r="O7696" s="62" t="s">
        <v>5969</v>
      </c>
      <c r="P7696" s="45" t="s">
        <v>44</v>
      </c>
      <c r="Q7696" s="45" t="s">
        <v>102</v>
      </c>
      <c r="R7696" s="45" t="s">
        <v>272</v>
      </c>
    </row>
    <row r="7697" spans="1:18" ht="69" customHeight="1">
      <c r="B7697" s="62">
        <f t="shared" si="45"/>
        <v>4836</v>
      </c>
      <c r="C7697" s="58" t="s">
        <v>18826</v>
      </c>
      <c r="D7697" s="545" t="s">
        <v>15039</v>
      </c>
      <c r="E7697" s="58" t="s">
        <v>18809</v>
      </c>
      <c r="F7697" s="210" t="s">
        <v>18827</v>
      </c>
      <c r="G7697" s="45" t="s">
        <v>18811</v>
      </c>
      <c r="H7697" s="546">
        <v>279.82</v>
      </c>
      <c r="I7697" s="132">
        <v>45337</v>
      </c>
      <c r="J7697" s="73" t="s">
        <v>18800</v>
      </c>
      <c r="K7697" s="67"/>
      <c r="O7697" s="62" t="s">
        <v>5969</v>
      </c>
      <c r="P7697" s="45" t="s">
        <v>44</v>
      </c>
      <c r="Q7697" s="45" t="s">
        <v>108</v>
      </c>
      <c r="R7697" s="45" t="s">
        <v>272</v>
      </c>
    </row>
    <row r="7698" spans="1:18" ht="69" customHeight="1">
      <c r="B7698" s="259">
        <f t="shared" si="45"/>
        <v>4837</v>
      </c>
      <c r="C7698" s="160" t="s">
        <v>18828</v>
      </c>
      <c r="D7698" s="303" t="s">
        <v>18829</v>
      </c>
      <c r="E7698" s="160" t="s">
        <v>18809</v>
      </c>
      <c r="F7698" s="160" t="s">
        <v>18830</v>
      </c>
      <c r="G7698" s="160" t="s">
        <v>18831</v>
      </c>
      <c r="H7698" s="300">
        <v>534.01</v>
      </c>
      <c r="I7698" s="312">
        <v>45337</v>
      </c>
      <c r="J7698" s="316" t="s">
        <v>18832</v>
      </c>
      <c r="K7698" s="160" t="s">
        <v>18833</v>
      </c>
      <c r="O7698" s="259" t="s">
        <v>12529</v>
      </c>
      <c r="P7698" s="160" t="s">
        <v>67</v>
      </c>
      <c r="Q7698" s="160" t="s">
        <v>70</v>
      </c>
      <c r="R7698" s="160" t="s">
        <v>272</v>
      </c>
    </row>
    <row r="7699" spans="1:18" ht="69" customHeight="1">
      <c r="B7699" s="62">
        <f t="shared" si="45"/>
        <v>4838</v>
      </c>
      <c r="C7699" s="58" t="s">
        <v>18059</v>
      </c>
      <c r="D7699" s="545" t="s">
        <v>1712</v>
      </c>
      <c r="E7699" s="58" t="s">
        <v>18809</v>
      </c>
      <c r="F7699" s="210" t="s">
        <v>18834</v>
      </c>
      <c r="G7699" s="58" t="s">
        <v>18835</v>
      </c>
      <c r="H7699" s="546">
        <v>1089.28</v>
      </c>
      <c r="I7699" s="126">
        <v>45327</v>
      </c>
      <c r="J7699" s="242" t="s">
        <v>18836</v>
      </c>
      <c r="K7699" s="67"/>
      <c r="O7699" s="62" t="s">
        <v>5969</v>
      </c>
      <c r="P7699" s="45" t="s">
        <v>44</v>
      </c>
      <c r="Q7699" s="45" t="s">
        <v>113</v>
      </c>
      <c r="R7699" s="45" t="s">
        <v>272</v>
      </c>
    </row>
    <row r="7700" spans="1:18" ht="69" customHeight="1">
      <c r="B7700" s="62">
        <f t="shared" si="45"/>
        <v>4839</v>
      </c>
      <c r="C7700" s="58" t="s">
        <v>18059</v>
      </c>
      <c r="D7700" s="545" t="s">
        <v>2011</v>
      </c>
      <c r="E7700" s="58" t="s">
        <v>18809</v>
      </c>
      <c r="F7700" s="210" t="s">
        <v>18837</v>
      </c>
      <c r="G7700" s="58" t="s">
        <v>18838</v>
      </c>
      <c r="H7700" s="546">
        <v>14.98</v>
      </c>
      <c r="I7700" s="126">
        <v>45347</v>
      </c>
      <c r="J7700" s="242" t="s">
        <v>18839</v>
      </c>
      <c r="K7700" s="67"/>
      <c r="O7700" s="52" t="s">
        <v>5969</v>
      </c>
      <c r="P7700" s="46" t="s">
        <v>44</v>
      </c>
      <c r="Q7700" s="46" t="s">
        <v>96</v>
      </c>
      <c r="R7700" s="46" t="s">
        <v>272</v>
      </c>
    </row>
    <row r="7701" spans="1:18" ht="69" customHeight="1">
      <c r="B7701" s="62">
        <f t="shared" si="45"/>
        <v>4840</v>
      </c>
      <c r="C7701" s="58" t="s">
        <v>18059</v>
      </c>
      <c r="D7701" s="545" t="s">
        <v>2483</v>
      </c>
      <c r="E7701" s="58" t="s">
        <v>18809</v>
      </c>
      <c r="F7701" s="210" t="s">
        <v>18840</v>
      </c>
      <c r="G7701" s="58" t="s">
        <v>18841</v>
      </c>
      <c r="H7701" s="546">
        <v>32.29</v>
      </c>
      <c r="I7701" s="126">
        <v>45347</v>
      </c>
      <c r="J7701" s="242" t="s">
        <v>18839</v>
      </c>
      <c r="K7701" s="67"/>
      <c r="O7701" s="52" t="s">
        <v>5969</v>
      </c>
      <c r="P7701" s="46" t="s">
        <v>44</v>
      </c>
      <c r="Q7701" s="46" t="s">
        <v>96</v>
      </c>
      <c r="R7701" s="46" t="s">
        <v>272</v>
      </c>
    </row>
    <row r="7702" spans="1:18" ht="69" customHeight="1">
      <c r="B7702" s="62">
        <f t="shared" si="45"/>
        <v>4841</v>
      </c>
      <c r="C7702" s="58" t="s">
        <v>18059</v>
      </c>
      <c r="D7702" s="545" t="s">
        <v>2721</v>
      </c>
      <c r="E7702" s="58" t="s">
        <v>18809</v>
      </c>
      <c r="F7702" s="210" t="s">
        <v>18842</v>
      </c>
      <c r="G7702" s="58" t="s">
        <v>18843</v>
      </c>
      <c r="H7702" s="546">
        <v>5.79</v>
      </c>
      <c r="I7702" s="126">
        <v>45347</v>
      </c>
      <c r="J7702" s="242" t="s">
        <v>18839</v>
      </c>
      <c r="K7702" s="67"/>
      <c r="O7702" s="52" t="s">
        <v>5969</v>
      </c>
      <c r="P7702" s="46" t="s">
        <v>44</v>
      </c>
      <c r="Q7702" s="46" t="s">
        <v>96</v>
      </c>
      <c r="R7702" s="46" t="s">
        <v>272</v>
      </c>
    </row>
    <row r="7703" spans="1:18" ht="69" customHeight="1">
      <c r="B7703" s="62">
        <f t="shared" si="45"/>
        <v>4842</v>
      </c>
      <c r="C7703" s="58" t="s">
        <v>18059</v>
      </c>
      <c r="D7703" s="545" t="s">
        <v>6021</v>
      </c>
      <c r="E7703" s="58" t="s">
        <v>18809</v>
      </c>
      <c r="F7703" s="210" t="s">
        <v>18844</v>
      </c>
      <c r="G7703" s="58" t="s">
        <v>18845</v>
      </c>
      <c r="H7703" s="546">
        <v>19.04</v>
      </c>
      <c r="I7703" s="126">
        <v>45347</v>
      </c>
      <c r="J7703" s="242" t="s">
        <v>18839</v>
      </c>
      <c r="K7703" s="67"/>
      <c r="O7703" s="52" t="s">
        <v>5969</v>
      </c>
      <c r="P7703" s="46" t="s">
        <v>44</v>
      </c>
      <c r="Q7703" s="46" t="s">
        <v>96</v>
      </c>
      <c r="R7703" s="46" t="s">
        <v>272</v>
      </c>
    </row>
    <row r="7704" spans="1:18" ht="69" customHeight="1">
      <c r="B7704" s="62">
        <f t="shared" si="45"/>
        <v>4843</v>
      </c>
      <c r="C7704" s="178" t="s">
        <v>2182</v>
      </c>
      <c r="D7704" s="174" t="s">
        <v>14262</v>
      </c>
      <c r="E7704" s="178" t="s">
        <v>266</v>
      </c>
      <c r="F7704" s="210" t="s">
        <v>18846</v>
      </c>
      <c r="G7704" s="58" t="s">
        <v>17569</v>
      </c>
      <c r="H7704" s="552">
        <v>12000</v>
      </c>
      <c r="I7704" s="66">
        <v>45347</v>
      </c>
      <c r="J7704" s="65" t="s">
        <v>18847</v>
      </c>
      <c r="K7704" s="58"/>
      <c r="O7704" s="62" t="s">
        <v>6918</v>
      </c>
      <c r="P7704" s="58" t="s">
        <v>44</v>
      </c>
      <c r="Q7704" s="58" t="s">
        <v>31</v>
      </c>
      <c r="R7704" s="58" t="s">
        <v>272</v>
      </c>
    </row>
    <row r="7705" spans="1:18" ht="69" customHeight="1">
      <c r="B7705" s="62">
        <f t="shared" si="45"/>
        <v>4844</v>
      </c>
      <c r="C7705" s="178" t="s">
        <v>3647</v>
      </c>
      <c r="D7705" s="174" t="s">
        <v>18848</v>
      </c>
      <c r="E7705" s="178" t="s">
        <v>266</v>
      </c>
      <c r="F7705" s="210" t="s">
        <v>18849</v>
      </c>
      <c r="G7705" s="58" t="s">
        <v>17569</v>
      </c>
      <c r="H7705" s="552">
        <v>12000</v>
      </c>
      <c r="I7705" s="66">
        <v>45347</v>
      </c>
      <c r="J7705" s="65" t="s">
        <v>18847</v>
      </c>
      <c r="K7705" s="58"/>
      <c r="O7705" s="62" t="s">
        <v>6918</v>
      </c>
      <c r="P7705" s="58" t="s">
        <v>44</v>
      </c>
      <c r="Q7705" s="58" t="s">
        <v>47</v>
      </c>
      <c r="R7705" s="58" t="s">
        <v>272</v>
      </c>
    </row>
    <row r="7706" spans="1:18" ht="69" customHeight="1">
      <c r="B7706" s="62">
        <f t="shared" si="45"/>
        <v>4845</v>
      </c>
      <c r="C7706" s="178" t="s">
        <v>3933</v>
      </c>
      <c r="D7706" s="174" t="s">
        <v>18850</v>
      </c>
      <c r="E7706" s="178" t="s">
        <v>266</v>
      </c>
      <c r="F7706" s="210" t="s">
        <v>18851</v>
      </c>
      <c r="G7706" s="58" t="s">
        <v>17569</v>
      </c>
      <c r="H7706" s="552">
        <v>12000</v>
      </c>
      <c r="I7706" s="66">
        <v>45347</v>
      </c>
      <c r="J7706" s="65" t="s">
        <v>18847</v>
      </c>
      <c r="K7706" s="58"/>
      <c r="O7706" s="62" t="s">
        <v>6918</v>
      </c>
      <c r="P7706" s="58" t="s">
        <v>44</v>
      </c>
      <c r="Q7706" s="58" t="s">
        <v>52</v>
      </c>
      <c r="R7706" s="58" t="s">
        <v>272</v>
      </c>
    </row>
    <row r="7707" spans="1:18" ht="69" customHeight="1">
      <c r="B7707" s="62">
        <f t="shared" si="45"/>
        <v>4846</v>
      </c>
      <c r="C7707" s="178" t="s">
        <v>6693</v>
      </c>
      <c r="D7707" s="174" t="s">
        <v>18852</v>
      </c>
      <c r="E7707" s="178" t="s">
        <v>266</v>
      </c>
      <c r="F7707" s="210" t="s">
        <v>18853</v>
      </c>
      <c r="G7707" s="58" t="s">
        <v>17569</v>
      </c>
      <c r="H7707" s="552">
        <v>12000</v>
      </c>
      <c r="I7707" s="66">
        <v>45347</v>
      </c>
      <c r="J7707" s="65" t="s">
        <v>18847</v>
      </c>
      <c r="K7707" s="58"/>
      <c r="O7707" s="62" t="s">
        <v>6918</v>
      </c>
      <c r="P7707" s="58" t="s">
        <v>44</v>
      </c>
      <c r="Q7707" s="58" t="s">
        <v>78</v>
      </c>
      <c r="R7707" s="58" t="s">
        <v>272</v>
      </c>
    </row>
    <row r="7708" spans="1:18" s="98" customFormat="1" ht="69" customHeight="1">
      <c r="A7708" s="169"/>
      <c r="B7708" s="48">
        <f t="shared" si="45"/>
        <v>4847</v>
      </c>
      <c r="C7708" s="59" t="s">
        <v>657</v>
      </c>
      <c r="D7708" s="84" t="s">
        <v>12877</v>
      </c>
      <c r="E7708" s="45" t="s">
        <v>18854</v>
      </c>
      <c r="F7708" s="45" t="s">
        <v>18855</v>
      </c>
      <c r="G7708" s="45" t="s">
        <v>18856</v>
      </c>
      <c r="H7708" s="546">
        <v>55371.91</v>
      </c>
      <c r="I7708" s="47">
        <v>45347</v>
      </c>
      <c r="J7708" s="73" t="s">
        <v>18857</v>
      </c>
      <c r="K7708" s="45"/>
      <c r="O7708" s="48" t="s">
        <v>141</v>
      </c>
      <c r="P7708" s="45" t="s">
        <v>19</v>
      </c>
      <c r="Q7708" s="45" t="s">
        <v>110</v>
      </c>
      <c r="R7708" s="45" t="s">
        <v>265</v>
      </c>
    </row>
    <row r="7709" spans="1:18" ht="69" customHeight="1">
      <c r="B7709" s="259">
        <f t="shared" si="45"/>
        <v>4848</v>
      </c>
      <c r="C7709" s="207" t="s">
        <v>309</v>
      </c>
      <c r="D7709" s="303" t="s">
        <v>14268</v>
      </c>
      <c r="E7709" s="160" t="s">
        <v>18437</v>
      </c>
      <c r="F7709" s="160" t="s">
        <v>18858</v>
      </c>
      <c r="G7709" s="160" t="s">
        <v>18859</v>
      </c>
      <c r="H7709" s="300">
        <v>6838.85</v>
      </c>
      <c r="I7709" s="209">
        <v>45337</v>
      </c>
      <c r="J7709" s="316" t="s">
        <v>18860</v>
      </c>
      <c r="K7709" s="160" t="s">
        <v>18833</v>
      </c>
      <c r="O7709" s="259" t="s">
        <v>12529</v>
      </c>
      <c r="P7709" s="160" t="s">
        <v>67</v>
      </c>
      <c r="Q7709" s="160" t="s">
        <v>23</v>
      </c>
      <c r="R7709" s="160" t="s">
        <v>272</v>
      </c>
    </row>
    <row r="7710" spans="1:18" ht="69" customHeight="1">
      <c r="B7710" s="259">
        <f t="shared" ref="B7710:B7773" si="46">B7709+1</f>
        <v>4849</v>
      </c>
      <c r="C7710" s="207" t="s">
        <v>309</v>
      </c>
      <c r="D7710" s="303" t="s">
        <v>18861</v>
      </c>
      <c r="E7710" s="160" t="s">
        <v>18437</v>
      </c>
      <c r="F7710" s="160" t="s">
        <v>18862</v>
      </c>
      <c r="G7710" s="160" t="s">
        <v>18859</v>
      </c>
      <c r="H7710" s="300">
        <v>8441.9</v>
      </c>
      <c r="I7710" s="209">
        <v>45337</v>
      </c>
      <c r="J7710" s="316" t="s">
        <v>18860</v>
      </c>
      <c r="K7710" s="160" t="s">
        <v>18833</v>
      </c>
      <c r="O7710" s="259" t="s">
        <v>12529</v>
      </c>
      <c r="P7710" s="160" t="s">
        <v>67</v>
      </c>
      <c r="Q7710" s="160" t="s">
        <v>23</v>
      </c>
      <c r="R7710" s="160" t="s">
        <v>272</v>
      </c>
    </row>
    <row r="7711" spans="1:18" s="98" customFormat="1" ht="69" customHeight="1">
      <c r="A7711" s="169"/>
      <c r="B7711" s="259">
        <f t="shared" si="46"/>
        <v>4850</v>
      </c>
      <c r="C7711" s="207" t="s">
        <v>309</v>
      </c>
      <c r="D7711" s="301" t="s">
        <v>15002</v>
      </c>
      <c r="E7711" s="207" t="s">
        <v>305</v>
      </c>
      <c r="F7711" s="208" t="s">
        <v>18863</v>
      </c>
      <c r="G7711" s="160" t="s">
        <v>13201</v>
      </c>
      <c r="H7711" s="300">
        <v>20700.580000000002</v>
      </c>
      <c r="I7711" s="209">
        <v>45347</v>
      </c>
      <c r="J7711" s="316" t="s">
        <v>18864</v>
      </c>
      <c r="K7711" s="160"/>
      <c r="M7711" s="385"/>
      <c r="N7711" s="75"/>
      <c r="O7711" s="160" t="s">
        <v>15366</v>
      </c>
      <c r="P7711" s="160" t="s">
        <v>67</v>
      </c>
      <c r="Q7711" s="160" t="s">
        <v>96</v>
      </c>
      <c r="R7711" s="160" t="s">
        <v>272</v>
      </c>
    </row>
    <row r="7712" spans="1:18" ht="69" customHeight="1">
      <c r="B7712" s="62">
        <f t="shared" si="46"/>
        <v>4851</v>
      </c>
      <c r="C7712" s="59" t="s">
        <v>458</v>
      </c>
      <c r="D7712" s="174" t="s">
        <v>15054</v>
      </c>
      <c r="E7712" s="178" t="s">
        <v>266</v>
      </c>
      <c r="F7712" s="174" t="s">
        <v>18865</v>
      </c>
      <c r="G7712" s="178" t="s">
        <v>18866</v>
      </c>
      <c r="H7712" s="546">
        <v>4203.6000000000004</v>
      </c>
      <c r="I7712" s="126">
        <v>45347</v>
      </c>
      <c r="J7712" s="73" t="s">
        <v>18867</v>
      </c>
      <c r="K7712" s="67"/>
      <c r="O7712" s="62" t="s">
        <v>467</v>
      </c>
      <c r="P7712" s="58" t="s">
        <v>44</v>
      </c>
      <c r="Q7712" s="45" t="s">
        <v>108</v>
      </c>
      <c r="R7712" s="45" t="s">
        <v>272</v>
      </c>
    </row>
    <row r="7713" spans="1:18" ht="69" customHeight="1">
      <c r="B7713" s="62">
        <f t="shared" si="46"/>
        <v>4852</v>
      </c>
      <c r="C7713" s="59" t="s">
        <v>309</v>
      </c>
      <c r="D7713" s="545" t="s">
        <v>14273</v>
      </c>
      <c r="E7713" s="178" t="s">
        <v>266</v>
      </c>
      <c r="F7713" s="174" t="s">
        <v>18868</v>
      </c>
      <c r="G7713" s="178" t="s">
        <v>18869</v>
      </c>
      <c r="H7713" s="546">
        <v>2996.8</v>
      </c>
      <c r="I7713" s="126">
        <v>45347</v>
      </c>
      <c r="J7713" s="73" t="s">
        <v>18867</v>
      </c>
      <c r="K7713" s="67"/>
      <c r="O7713" s="62" t="s">
        <v>467</v>
      </c>
      <c r="P7713" s="58" t="s">
        <v>44</v>
      </c>
      <c r="Q7713" s="45" t="s">
        <v>18</v>
      </c>
      <c r="R7713" s="45" t="s">
        <v>272</v>
      </c>
    </row>
    <row r="7714" spans="1:18" ht="69" customHeight="1">
      <c r="B7714" s="62">
        <f t="shared" si="46"/>
        <v>4853</v>
      </c>
      <c r="C7714" s="59" t="s">
        <v>458</v>
      </c>
      <c r="D7714" s="545" t="s">
        <v>15056</v>
      </c>
      <c r="E7714" s="58" t="s">
        <v>17540</v>
      </c>
      <c r="F7714" s="58" t="s">
        <v>18870</v>
      </c>
      <c r="G7714" s="58" t="s">
        <v>18871</v>
      </c>
      <c r="H7714" s="546">
        <v>35000</v>
      </c>
      <c r="I7714" s="126">
        <v>45347</v>
      </c>
      <c r="J7714" s="73" t="s">
        <v>18872</v>
      </c>
      <c r="K7714" s="67"/>
      <c r="O7714" s="62" t="s">
        <v>147</v>
      </c>
      <c r="P7714" s="58" t="s">
        <v>22</v>
      </c>
      <c r="Q7714" s="45" t="s">
        <v>112</v>
      </c>
      <c r="R7714" s="45" t="s">
        <v>265</v>
      </c>
    </row>
    <row r="7715" spans="1:18" ht="69" customHeight="1">
      <c r="B7715" s="259">
        <f t="shared" si="46"/>
        <v>4854</v>
      </c>
      <c r="C7715" s="207" t="s">
        <v>3667</v>
      </c>
      <c r="D7715" s="303" t="s">
        <v>18873</v>
      </c>
      <c r="E7715" s="207" t="s">
        <v>266</v>
      </c>
      <c r="F7715" s="208" t="s">
        <v>18874</v>
      </c>
      <c r="G7715" s="160" t="s">
        <v>18875</v>
      </c>
      <c r="H7715" s="300">
        <v>9004.16</v>
      </c>
      <c r="I7715" s="209">
        <v>45347</v>
      </c>
      <c r="J7715" s="316" t="s">
        <v>18876</v>
      </c>
      <c r="K7715" s="160" t="s">
        <v>67</v>
      </c>
      <c r="M7715" s="70"/>
      <c r="N7715" s="97"/>
      <c r="O7715" s="160" t="s">
        <v>10810</v>
      </c>
      <c r="P7715" s="160" t="s">
        <v>67</v>
      </c>
      <c r="Q7715" s="160" t="s">
        <v>49</v>
      </c>
      <c r="R7715" s="160" t="s">
        <v>272</v>
      </c>
    </row>
    <row r="7716" spans="1:18" ht="69" customHeight="1">
      <c r="B7716" s="259">
        <f t="shared" si="46"/>
        <v>4855</v>
      </c>
      <c r="C7716" s="207" t="s">
        <v>309</v>
      </c>
      <c r="D7716" s="303" t="s">
        <v>14277</v>
      </c>
      <c r="E7716" s="207" t="s">
        <v>266</v>
      </c>
      <c r="F7716" s="208" t="s">
        <v>18877</v>
      </c>
      <c r="G7716" s="160" t="s">
        <v>18875</v>
      </c>
      <c r="H7716" s="300">
        <v>7034.5</v>
      </c>
      <c r="I7716" s="209">
        <v>45347</v>
      </c>
      <c r="J7716" s="316" t="s">
        <v>18876</v>
      </c>
      <c r="K7716" s="160" t="s">
        <v>67</v>
      </c>
      <c r="M7716" s="70"/>
      <c r="N7716" s="97"/>
      <c r="O7716" s="160" t="s">
        <v>10810</v>
      </c>
      <c r="P7716" s="160" t="s">
        <v>67</v>
      </c>
      <c r="Q7716" s="160" t="s">
        <v>15</v>
      </c>
      <c r="R7716" s="160" t="s">
        <v>272</v>
      </c>
    </row>
    <row r="7717" spans="1:18" ht="69" customHeight="1">
      <c r="B7717" s="259">
        <f t="shared" si="46"/>
        <v>4856</v>
      </c>
      <c r="C7717" s="160" t="s">
        <v>458</v>
      </c>
      <c r="D7717" s="303" t="s">
        <v>15058</v>
      </c>
      <c r="E7717" s="207" t="s">
        <v>266</v>
      </c>
      <c r="F7717" s="208" t="s">
        <v>18878</v>
      </c>
      <c r="G7717" s="160" t="s">
        <v>18875</v>
      </c>
      <c r="H7717" s="300">
        <v>7034.5</v>
      </c>
      <c r="I7717" s="209">
        <v>45347</v>
      </c>
      <c r="J7717" s="316" t="s">
        <v>18876</v>
      </c>
      <c r="K7717" s="160" t="s">
        <v>67</v>
      </c>
      <c r="M7717" s="70"/>
      <c r="N7717" s="97"/>
      <c r="O7717" s="160" t="s">
        <v>10810</v>
      </c>
      <c r="P7717" s="160" t="s">
        <v>67</v>
      </c>
      <c r="Q7717" s="160" t="s">
        <v>90</v>
      </c>
      <c r="R7717" s="160" t="s">
        <v>272</v>
      </c>
    </row>
    <row r="7718" spans="1:18" ht="69" customHeight="1">
      <c r="B7718" s="259">
        <f t="shared" si="46"/>
        <v>4857</v>
      </c>
      <c r="C7718" s="207" t="s">
        <v>657</v>
      </c>
      <c r="D7718" s="303" t="s">
        <v>6405</v>
      </c>
      <c r="E7718" s="207" t="s">
        <v>266</v>
      </c>
      <c r="F7718" s="208" t="s">
        <v>18879</v>
      </c>
      <c r="G7718" s="160" t="s">
        <v>18875</v>
      </c>
      <c r="H7718" s="300">
        <v>5064.84</v>
      </c>
      <c r="I7718" s="209">
        <v>45347</v>
      </c>
      <c r="J7718" s="316" t="s">
        <v>18876</v>
      </c>
      <c r="K7718" s="160" t="s">
        <v>67</v>
      </c>
      <c r="M7718" s="70"/>
      <c r="N7718" s="97"/>
      <c r="O7718" s="160" t="s">
        <v>10810</v>
      </c>
      <c r="P7718" s="160" t="s">
        <v>67</v>
      </c>
      <c r="Q7718" s="160" t="s">
        <v>99</v>
      </c>
      <c r="R7718" s="160" t="s">
        <v>272</v>
      </c>
    </row>
    <row r="7719" spans="1:18" ht="69" customHeight="1">
      <c r="A7719" s="90"/>
      <c r="B7719" s="52">
        <f t="shared" si="46"/>
        <v>4858</v>
      </c>
      <c r="C7719" s="191" t="s">
        <v>309</v>
      </c>
      <c r="D7719" s="251" t="s">
        <v>14279</v>
      </c>
      <c r="E7719" s="46" t="s">
        <v>266</v>
      </c>
      <c r="F7719" s="46" t="s">
        <v>18880</v>
      </c>
      <c r="G7719" s="46" t="s">
        <v>18881</v>
      </c>
      <c r="H7719" s="534">
        <v>2880</v>
      </c>
      <c r="I7719" s="56">
        <v>45338</v>
      </c>
      <c r="J7719" s="199" t="s">
        <v>18882</v>
      </c>
      <c r="K7719" s="46"/>
      <c r="O7719" s="52" t="s">
        <v>18883</v>
      </c>
      <c r="P7719" s="46" t="s">
        <v>65</v>
      </c>
      <c r="Q7719" s="46" t="s">
        <v>13</v>
      </c>
      <c r="R7719" s="46" t="s">
        <v>272</v>
      </c>
    </row>
    <row r="7720" spans="1:18" ht="69" customHeight="1">
      <c r="A7720" s="90"/>
      <c r="B7720" s="52">
        <f t="shared" si="46"/>
        <v>4859</v>
      </c>
      <c r="C7720" s="191" t="s">
        <v>309</v>
      </c>
      <c r="D7720" s="251" t="s">
        <v>14298</v>
      </c>
      <c r="E7720" s="46" t="s">
        <v>266</v>
      </c>
      <c r="F7720" s="46" t="s">
        <v>18884</v>
      </c>
      <c r="G7720" s="46" t="s">
        <v>18881</v>
      </c>
      <c r="H7720" s="534">
        <v>2880</v>
      </c>
      <c r="I7720" s="56">
        <v>45338</v>
      </c>
      <c r="J7720" s="199" t="s">
        <v>18885</v>
      </c>
      <c r="K7720" s="46"/>
      <c r="O7720" s="52" t="s">
        <v>18883</v>
      </c>
      <c r="P7720" s="46" t="s">
        <v>65</v>
      </c>
      <c r="Q7720" s="46" t="s">
        <v>13</v>
      </c>
      <c r="R7720" s="46" t="s">
        <v>272</v>
      </c>
    </row>
    <row r="7721" spans="1:18" ht="69" customHeight="1">
      <c r="A7721" s="90"/>
      <c r="B7721" s="52">
        <f t="shared" si="46"/>
        <v>4860</v>
      </c>
      <c r="C7721" s="191" t="s">
        <v>309</v>
      </c>
      <c r="D7721" s="251" t="s">
        <v>14300</v>
      </c>
      <c r="E7721" s="46" t="s">
        <v>266</v>
      </c>
      <c r="F7721" s="46" t="s">
        <v>18886</v>
      </c>
      <c r="G7721" s="46" t="s">
        <v>18881</v>
      </c>
      <c r="H7721" s="534">
        <v>6200</v>
      </c>
      <c r="I7721" s="56">
        <v>45338</v>
      </c>
      <c r="J7721" s="199" t="s">
        <v>18887</v>
      </c>
      <c r="K7721" s="46"/>
      <c r="O7721" s="52" t="s">
        <v>18883</v>
      </c>
      <c r="P7721" s="46" t="s">
        <v>65</v>
      </c>
      <c r="Q7721" s="46" t="s">
        <v>13</v>
      </c>
      <c r="R7721" s="46" t="s">
        <v>272</v>
      </c>
    </row>
    <row r="7722" spans="1:18" ht="69" customHeight="1">
      <c r="B7722" s="52">
        <f t="shared" si="46"/>
        <v>4861</v>
      </c>
      <c r="C7722" s="51" t="s">
        <v>458</v>
      </c>
      <c r="D7722" s="251" t="s">
        <v>15060</v>
      </c>
      <c r="E7722" s="46" t="s">
        <v>266</v>
      </c>
      <c r="F7722" s="46" t="s">
        <v>18888</v>
      </c>
      <c r="G7722" s="46" t="s">
        <v>18889</v>
      </c>
      <c r="H7722" s="534">
        <v>11220</v>
      </c>
      <c r="I7722" s="56">
        <v>45347</v>
      </c>
      <c r="J7722" s="199" t="s">
        <v>18890</v>
      </c>
      <c r="K7722" s="46"/>
      <c r="O7722" s="52"/>
      <c r="P7722" s="46" t="s">
        <v>65</v>
      </c>
      <c r="Q7722" s="46" t="s">
        <v>100</v>
      </c>
      <c r="R7722" s="46" t="s">
        <v>272</v>
      </c>
    </row>
    <row r="7723" spans="1:18" ht="69" customHeight="1">
      <c r="B7723" s="62">
        <f t="shared" si="46"/>
        <v>4862</v>
      </c>
      <c r="C7723" s="128" t="s">
        <v>13435</v>
      </c>
      <c r="D7723" s="545" t="s">
        <v>14302</v>
      </c>
      <c r="E7723" s="58" t="s">
        <v>18891</v>
      </c>
      <c r="F7723" s="58" t="s">
        <v>18892</v>
      </c>
      <c r="G7723" s="58" t="s">
        <v>18893</v>
      </c>
      <c r="H7723" s="546">
        <v>379007</v>
      </c>
      <c r="I7723" s="47">
        <v>45347</v>
      </c>
      <c r="J7723" s="73" t="s">
        <v>18894</v>
      </c>
      <c r="K7723" s="67"/>
      <c r="O7723" s="62" t="s">
        <v>18058</v>
      </c>
      <c r="P7723" s="58" t="s">
        <v>57</v>
      </c>
      <c r="Q7723" s="45" t="s">
        <v>13</v>
      </c>
      <c r="R7723" s="45" t="s">
        <v>272</v>
      </c>
    </row>
    <row r="7724" spans="1:18" ht="69" customHeight="1">
      <c r="B7724" s="62">
        <f t="shared" si="46"/>
        <v>4863</v>
      </c>
      <c r="C7724" s="45" t="s">
        <v>10947</v>
      </c>
      <c r="D7724" s="545" t="s">
        <v>15062</v>
      </c>
      <c r="E7724" s="58" t="s">
        <v>16500</v>
      </c>
      <c r="F7724" s="58" t="s">
        <v>18895</v>
      </c>
      <c r="G7724" s="58" t="s">
        <v>18896</v>
      </c>
      <c r="H7724" s="546">
        <v>75528</v>
      </c>
      <c r="I7724" s="47">
        <v>45347</v>
      </c>
      <c r="J7724" s="73" t="s">
        <v>18897</v>
      </c>
      <c r="K7724" s="67"/>
      <c r="O7724" s="45" t="s">
        <v>9971</v>
      </c>
      <c r="P7724" s="58" t="s">
        <v>61</v>
      </c>
      <c r="Q7724" s="45" t="s">
        <v>100</v>
      </c>
      <c r="R7724" s="45" t="s">
        <v>272</v>
      </c>
    </row>
    <row r="7725" spans="1:18" ht="69" customHeight="1">
      <c r="B7725" s="52">
        <f t="shared" si="46"/>
        <v>4864</v>
      </c>
      <c r="C7725" s="46" t="s">
        <v>6888</v>
      </c>
      <c r="D7725" s="251" t="s">
        <v>18898</v>
      </c>
      <c r="E7725" s="46" t="s">
        <v>15531</v>
      </c>
      <c r="F7725" s="46" t="s">
        <v>18899</v>
      </c>
      <c r="G7725" s="46" t="s">
        <v>18900</v>
      </c>
      <c r="H7725" s="534">
        <v>21710</v>
      </c>
      <c r="I7725" s="56">
        <v>45347</v>
      </c>
      <c r="J7725" s="199" t="s">
        <v>18901</v>
      </c>
      <c r="K7725" s="46" t="s">
        <v>18902</v>
      </c>
      <c r="O7725" s="52" t="s">
        <v>156</v>
      </c>
      <c r="P7725" s="46" t="s">
        <v>65</v>
      </c>
      <c r="Q7725" s="46" t="s">
        <v>84</v>
      </c>
      <c r="R7725" s="46" t="s">
        <v>265</v>
      </c>
    </row>
    <row r="7726" spans="1:18" ht="69" customHeight="1">
      <c r="B7726" s="62">
        <f t="shared" si="46"/>
        <v>4865</v>
      </c>
      <c r="C7726" s="128" t="s">
        <v>581</v>
      </c>
      <c r="D7726" s="631" t="s">
        <v>18262</v>
      </c>
      <c r="E7726" s="58" t="s">
        <v>18903</v>
      </c>
      <c r="F7726" s="58" t="s">
        <v>18904</v>
      </c>
      <c r="G7726" s="58" t="s">
        <v>18905</v>
      </c>
      <c r="H7726" s="546">
        <v>400000</v>
      </c>
      <c r="I7726" s="47">
        <v>45347</v>
      </c>
      <c r="J7726" s="73" t="s">
        <v>18906</v>
      </c>
      <c r="K7726" s="67"/>
      <c r="O7726" s="62" t="s">
        <v>156</v>
      </c>
      <c r="P7726" s="58" t="s">
        <v>73</v>
      </c>
      <c r="Q7726" s="45" t="s">
        <v>18</v>
      </c>
      <c r="R7726" s="45" t="s">
        <v>272</v>
      </c>
    </row>
    <row r="7727" spans="1:18" ht="69" customHeight="1">
      <c r="B7727" s="52">
        <f t="shared" si="46"/>
        <v>4866</v>
      </c>
      <c r="C7727" s="191" t="s">
        <v>309</v>
      </c>
      <c r="D7727" s="251" t="s">
        <v>14126</v>
      </c>
      <c r="E7727" s="46" t="s">
        <v>266</v>
      </c>
      <c r="F7727" s="46" t="s">
        <v>18907</v>
      </c>
      <c r="G7727" s="46" t="s">
        <v>18908</v>
      </c>
      <c r="H7727" s="534">
        <v>246</v>
      </c>
      <c r="I7727" s="56">
        <v>45347</v>
      </c>
      <c r="J7727" s="199" t="s">
        <v>18909</v>
      </c>
      <c r="K7727" s="46"/>
      <c r="O7727" s="52" t="s">
        <v>18910</v>
      </c>
      <c r="P7727" s="46" t="s">
        <v>65</v>
      </c>
      <c r="Q7727" s="46" t="s">
        <v>39</v>
      </c>
      <c r="R7727" s="46" t="s">
        <v>272</v>
      </c>
    </row>
    <row r="7728" spans="1:18" ht="69" customHeight="1">
      <c r="B7728" s="62">
        <f t="shared" si="46"/>
        <v>4867</v>
      </c>
      <c r="C7728" s="59" t="s">
        <v>9094</v>
      </c>
      <c r="D7728" s="545" t="s">
        <v>15201</v>
      </c>
      <c r="E7728" s="58" t="s">
        <v>921</v>
      </c>
      <c r="F7728" s="58" t="s">
        <v>18911</v>
      </c>
      <c r="G7728" s="58" t="s">
        <v>18912</v>
      </c>
      <c r="H7728" s="546">
        <v>300000</v>
      </c>
      <c r="I7728" s="47">
        <v>45347</v>
      </c>
      <c r="J7728" s="73" t="s">
        <v>18913</v>
      </c>
      <c r="K7728" s="67"/>
      <c r="O7728" s="62" t="s">
        <v>156</v>
      </c>
      <c r="P7728" s="45" t="s">
        <v>73</v>
      </c>
      <c r="Q7728" s="45" t="s">
        <v>112</v>
      </c>
      <c r="R7728" s="45" t="s">
        <v>272</v>
      </c>
    </row>
    <row r="7729" spans="1:18" ht="69" customHeight="1">
      <c r="B7729" s="62">
        <f t="shared" si="46"/>
        <v>4868</v>
      </c>
      <c r="C7729" s="59" t="s">
        <v>13562</v>
      </c>
      <c r="D7729" s="545" t="s">
        <v>15237</v>
      </c>
      <c r="E7729" s="58" t="s">
        <v>921</v>
      </c>
      <c r="F7729" s="58" t="s">
        <v>18914</v>
      </c>
      <c r="G7729" s="58" t="s">
        <v>18912</v>
      </c>
      <c r="H7729" s="546">
        <v>250000</v>
      </c>
      <c r="I7729" s="47">
        <v>45347</v>
      </c>
      <c r="J7729" s="73" t="s">
        <v>18915</v>
      </c>
      <c r="K7729" s="67"/>
      <c r="O7729" s="62" t="s">
        <v>156</v>
      </c>
      <c r="P7729" s="58" t="s">
        <v>73</v>
      </c>
      <c r="Q7729" s="45" t="s">
        <v>88</v>
      </c>
      <c r="R7729" s="45" t="s">
        <v>272</v>
      </c>
    </row>
    <row r="7730" spans="1:18" ht="69" customHeight="1">
      <c r="B7730" s="62">
        <f t="shared" si="46"/>
        <v>4869</v>
      </c>
      <c r="C7730" s="59" t="s">
        <v>13435</v>
      </c>
      <c r="D7730" s="545" t="s">
        <v>18916</v>
      </c>
      <c r="E7730" s="58" t="s">
        <v>921</v>
      </c>
      <c r="F7730" s="58" t="s">
        <v>18917</v>
      </c>
      <c r="G7730" s="58" t="s">
        <v>18912</v>
      </c>
      <c r="H7730" s="546">
        <v>400000</v>
      </c>
      <c r="I7730" s="47">
        <v>45347</v>
      </c>
      <c r="J7730" s="73" t="s">
        <v>18918</v>
      </c>
      <c r="K7730" s="67"/>
      <c r="O7730" s="62" t="s">
        <v>156</v>
      </c>
      <c r="P7730" s="58" t="s">
        <v>73</v>
      </c>
      <c r="Q7730" s="45" t="s">
        <v>13</v>
      </c>
      <c r="R7730" s="45" t="s">
        <v>272</v>
      </c>
    </row>
    <row r="7731" spans="1:18" ht="69" customHeight="1">
      <c r="B7731" s="62">
        <f t="shared" si="46"/>
        <v>4870</v>
      </c>
      <c r="C7731" s="44" t="s">
        <v>14414</v>
      </c>
      <c r="D7731" s="84" t="s">
        <v>14369</v>
      </c>
      <c r="E7731" s="45" t="s">
        <v>17409</v>
      </c>
      <c r="F7731" s="45" t="s">
        <v>18919</v>
      </c>
      <c r="G7731" s="45" t="s">
        <v>18302</v>
      </c>
      <c r="H7731" s="546">
        <v>5821.02</v>
      </c>
      <c r="I7731" s="47">
        <v>45347</v>
      </c>
      <c r="J7731" s="73" t="s">
        <v>18920</v>
      </c>
      <c r="K7731" s="45"/>
      <c r="M7731" s="385"/>
      <c r="N7731" s="75"/>
      <c r="O7731" s="45" t="s">
        <v>17289</v>
      </c>
      <c r="P7731" s="45" t="s">
        <v>51</v>
      </c>
      <c r="Q7731" s="45" t="s">
        <v>33</v>
      </c>
      <c r="R7731" s="45" t="s">
        <v>265</v>
      </c>
    </row>
    <row r="7732" spans="1:18" ht="69" customHeight="1">
      <c r="B7732" s="62">
        <f t="shared" si="46"/>
        <v>4871</v>
      </c>
      <c r="C7732" s="59" t="s">
        <v>11050</v>
      </c>
      <c r="D7732" s="84" t="s">
        <v>14374</v>
      </c>
      <c r="E7732" s="45" t="s">
        <v>17409</v>
      </c>
      <c r="F7732" s="45" t="s">
        <v>18921</v>
      </c>
      <c r="G7732" s="45" t="s">
        <v>18302</v>
      </c>
      <c r="H7732" s="546">
        <v>5821.02</v>
      </c>
      <c r="I7732" s="47">
        <v>45347</v>
      </c>
      <c r="J7732" s="73" t="s">
        <v>18920</v>
      </c>
      <c r="K7732" s="45"/>
      <c r="M7732" s="98"/>
      <c r="N7732" s="98"/>
      <c r="O7732" s="45" t="s">
        <v>17289</v>
      </c>
      <c r="P7732" s="45" t="s">
        <v>51</v>
      </c>
      <c r="Q7732" s="45" t="s">
        <v>35</v>
      </c>
      <c r="R7732" s="45" t="s">
        <v>265</v>
      </c>
    </row>
    <row r="7733" spans="1:18" ht="69" customHeight="1">
      <c r="B7733" s="62">
        <f t="shared" si="46"/>
        <v>4872</v>
      </c>
      <c r="C7733" s="59" t="s">
        <v>11052</v>
      </c>
      <c r="D7733" s="84" t="s">
        <v>14087</v>
      </c>
      <c r="E7733" s="45" t="s">
        <v>17409</v>
      </c>
      <c r="F7733" s="45" t="s">
        <v>18922</v>
      </c>
      <c r="G7733" s="45" t="s">
        <v>18302</v>
      </c>
      <c r="H7733" s="546">
        <v>5821.02</v>
      </c>
      <c r="I7733" s="47">
        <v>45347</v>
      </c>
      <c r="J7733" s="73" t="s">
        <v>18920</v>
      </c>
      <c r="K7733" s="45"/>
      <c r="M7733" s="98"/>
      <c r="N7733" s="98"/>
      <c r="O7733" s="45" t="s">
        <v>17289</v>
      </c>
      <c r="P7733" s="45" t="s">
        <v>51</v>
      </c>
      <c r="Q7733" s="45" t="s">
        <v>37</v>
      </c>
      <c r="R7733" s="45" t="s">
        <v>265</v>
      </c>
    </row>
    <row r="7734" spans="1:18" ht="69" customHeight="1">
      <c r="B7734" s="62">
        <f t="shared" si="46"/>
        <v>4873</v>
      </c>
      <c r="C7734" s="59" t="s">
        <v>3647</v>
      </c>
      <c r="D7734" s="84" t="s">
        <v>18923</v>
      </c>
      <c r="E7734" s="45" t="s">
        <v>17409</v>
      </c>
      <c r="F7734" s="45" t="s">
        <v>18924</v>
      </c>
      <c r="G7734" s="45" t="s">
        <v>18302</v>
      </c>
      <c r="H7734" s="546">
        <v>5821.02</v>
      </c>
      <c r="I7734" s="47">
        <v>45347</v>
      </c>
      <c r="J7734" s="73" t="s">
        <v>18920</v>
      </c>
      <c r="K7734" s="45"/>
      <c r="M7734" s="98"/>
      <c r="N7734" s="98"/>
      <c r="O7734" s="45" t="s">
        <v>17289</v>
      </c>
      <c r="P7734" s="45" t="s">
        <v>51</v>
      </c>
      <c r="Q7734" s="45" t="s">
        <v>47</v>
      </c>
      <c r="R7734" s="45" t="s">
        <v>265</v>
      </c>
    </row>
    <row r="7735" spans="1:18" ht="69" customHeight="1">
      <c r="B7735" s="62">
        <f t="shared" si="46"/>
        <v>4874</v>
      </c>
      <c r="C7735" s="59" t="s">
        <v>3933</v>
      </c>
      <c r="D7735" s="84" t="s">
        <v>18925</v>
      </c>
      <c r="E7735" s="45" t="s">
        <v>17409</v>
      </c>
      <c r="F7735" s="45" t="s">
        <v>18926</v>
      </c>
      <c r="G7735" s="45" t="s">
        <v>18302</v>
      </c>
      <c r="H7735" s="546">
        <v>5821.02</v>
      </c>
      <c r="I7735" s="47">
        <v>45347</v>
      </c>
      <c r="J7735" s="73" t="s">
        <v>18920</v>
      </c>
      <c r="K7735" s="45"/>
      <c r="M7735" s="98"/>
      <c r="N7735" s="98"/>
      <c r="O7735" s="45" t="s">
        <v>17289</v>
      </c>
      <c r="P7735" s="45" t="s">
        <v>51</v>
      </c>
      <c r="Q7735" s="45" t="s">
        <v>52</v>
      </c>
      <c r="R7735" s="45" t="s">
        <v>265</v>
      </c>
    </row>
    <row r="7736" spans="1:18" ht="69" customHeight="1">
      <c r="B7736" s="62">
        <f t="shared" si="46"/>
        <v>4875</v>
      </c>
      <c r="C7736" s="44" t="s">
        <v>11055</v>
      </c>
      <c r="D7736" s="84" t="s">
        <v>14384</v>
      </c>
      <c r="E7736" s="45" t="s">
        <v>17409</v>
      </c>
      <c r="F7736" s="45" t="s">
        <v>18927</v>
      </c>
      <c r="G7736" s="45" t="s">
        <v>18302</v>
      </c>
      <c r="H7736" s="546">
        <v>5821.02</v>
      </c>
      <c r="I7736" s="47">
        <v>45347</v>
      </c>
      <c r="J7736" s="73" t="s">
        <v>18920</v>
      </c>
      <c r="K7736" s="45"/>
      <c r="M7736" s="98"/>
      <c r="N7736" s="98"/>
      <c r="O7736" s="45" t="s">
        <v>17289</v>
      </c>
      <c r="P7736" s="45" t="s">
        <v>51</v>
      </c>
      <c r="Q7736" s="45" t="s">
        <v>45</v>
      </c>
      <c r="R7736" s="45" t="s">
        <v>265</v>
      </c>
    </row>
    <row r="7737" spans="1:18" ht="69" customHeight="1">
      <c r="B7737" s="62">
        <f t="shared" si="46"/>
        <v>4876</v>
      </c>
      <c r="C7737" s="59" t="s">
        <v>7452</v>
      </c>
      <c r="D7737" s="545" t="s">
        <v>15255</v>
      </c>
      <c r="E7737" s="58" t="s">
        <v>18928</v>
      </c>
      <c r="F7737" s="58" t="s">
        <v>18929</v>
      </c>
      <c r="G7737" s="58" t="s">
        <v>18930</v>
      </c>
      <c r="H7737" s="546">
        <v>114900</v>
      </c>
      <c r="I7737" s="47">
        <v>45347</v>
      </c>
      <c r="J7737" s="73" t="s">
        <v>18931</v>
      </c>
      <c r="K7737" s="67"/>
      <c r="O7737" s="62" t="s">
        <v>208</v>
      </c>
      <c r="P7737" s="58" t="s">
        <v>75</v>
      </c>
      <c r="Q7737" s="45" t="s">
        <v>101</v>
      </c>
      <c r="R7737" s="45" t="s">
        <v>272</v>
      </c>
    </row>
    <row r="7738" spans="1:18" ht="69" customHeight="1">
      <c r="B7738" s="62">
        <f t="shared" si="46"/>
        <v>4877</v>
      </c>
      <c r="C7738" s="59" t="s">
        <v>7521</v>
      </c>
      <c r="D7738" s="545" t="s">
        <v>5480</v>
      </c>
      <c r="E7738" s="58" t="s">
        <v>18928</v>
      </c>
      <c r="F7738" s="58" t="s">
        <v>18932</v>
      </c>
      <c r="G7738" s="58" t="s">
        <v>18930</v>
      </c>
      <c r="H7738" s="546">
        <v>114900</v>
      </c>
      <c r="I7738" s="47">
        <v>45347</v>
      </c>
      <c r="J7738" s="73" t="s">
        <v>18931</v>
      </c>
      <c r="K7738" s="67"/>
      <c r="O7738" s="62" t="s">
        <v>208</v>
      </c>
      <c r="P7738" s="58" t="s">
        <v>75</v>
      </c>
      <c r="Q7738" s="45" t="s">
        <v>102</v>
      </c>
      <c r="R7738" s="45" t="s">
        <v>272</v>
      </c>
    </row>
    <row r="7739" spans="1:18" ht="69" customHeight="1">
      <c r="B7739" s="62">
        <f t="shared" si="46"/>
        <v>4878</v>
      </c>
      <c r="C7739" s="58" t="s">
        <v>18826</v>
      </c>
      <c r="D7739" s="545" t="s">
        <v>18933</v>
      </c>
      <c r="E7739" s="58" t="s">
        <v>18928</v>
      </c>
      <c r="F7739" s="58" t="s">
        <v>18934</v>
      </c>
      <c r="G7739" s="58" t="s">
        <v>18930</v>
      </c>
      <c r="H7739" s="546">
        <v>114900</v>
      </c>
      <c r="I7739" s="47">
        <v>45347</v>
      </c>
      <c r="J7739" s="73" t="s">
        <v>18931</v>
      </c>
      <c r="K7739" s="67"/>
      <c r="O7739" s="62" t="s">
        <v>208</v>
      </c>
      <c r="P7739" s="58" t="s">
        <v>75</v>
      </c>
      <c r="Q7739" s="45" t="s">
        <v>108</v>
      </c>
      <c r="R7739" s="45" t="s">
        <v>272</v>
      </c>
    </row>
    <row r="7740" spans="1:18" ht="69" customHeight="1">
      <c r="B7740" s="62">
        <f t="shared" si="46"/>
        <v>4879</v>
      </c>
      <c r="C7740" s="58" t="s">
        <v>8721</v>
      </c>
      <c r="D7740" s="545" t="s">
        <v>12869</v>
      </c>
      <c r="E7740" s="58" t="s">
        <v>18928</v>
      </c>
      <c r="F7740" s="58" t="s">
        <v>18935</v>
      </c>
      <c r="G7740" s="58" t="s">
        <v>18930</v>
      </c>
      <c r="H7740" s="546">
        <v>114900</v>
      </c>
      <c r="I7740" s="47">
        <v>45347</v>
      </c>
      <c r="J7740" s="73" t="s">
        <v>18931</v>
      </c>
      <c r="K7740" s="67"/>
      <c r="O7740" s="62" t="s">
        <v>208</v>
      </c>
      <c r="P7740" s="58" t="s">
        <v>75</v>
      </c>
      <c r="Q7740" s="45" t="s">
        <v>109</v>
      </c>
      <c r="R7740" s="45" t="s">
        <v>272</v>
      </c>
    </row>
    <row r="7741" spans="1:18" ht="69" customHeight="1">
      <c r="B7741" s="62">
        <f t="shared" si="46"/>
        <v>4880</v>
      </c>
      <c r="C7741" s="59" t="s">
        <v>15650</v>
      </c>
      <c r="D7741" s="545" t="s">
        <v>18936</v>
      </c>
      <c r="E7741" s="58" t="s">
        <v>18937</v>
      </c>
      <c r="F7741" s="58" t="s">
        <v>18938</v>
      </c>
      <c r="G7741" s="58" t="s">
        <v>18939</v>
      </c>
      <c r="H7741" s="546">
        <v>14878.9</v>
      </c>
      <c r="I7741" s="47">
        <v>45347</v>
      </c>
      <c r="J7741" s="73" t="s">
        <v>18940</v>
      </c>
      <c r="K7741" s="67"/>
      <c r="O7741" s="62" t="s">
        <v>177</v>
      </c>
      <c r="P7741" s="58" t="s">
        <v>75</v>
      </c>
      <c r="Q7741" s="45" t="s">
        <v>56</v>
      </c>
      <c r="R7741" s="45" t="s">
        <v>272</v>
      </c>
    </row>
    <row r="7742" spans="1:18" ht="69" customHeight="1">
      <c r="B7742" s="62">
        <f t="shared" si="46"/>
        <v>4881</v>
      </c>
      <c r="C7742" s="59" t="s">
        <v>4728</v>
      </c>
      <c r="D7742" s="545" t="s">
        <v>18941</v>
      </c>
      <c r="E7742" s="58" t="s">
        <v>18937</v>
      </c>
      <c r="F7742" s="58" t="s">
        <v>18942</v>
      </c>
      <c r="G7742" s="58" t="s">
        <v>18939</v>
      </c>
      <c r="H7742" s="546">
        <v>14878.9</v>
      </c>
      <c r="I7742" s="47">
        <v>45347</v>
      </c>
      <c r="J7742" s="73" t="s">
        <v>18940</v>
      </c>
      <c r="K7742" s="67"/>
      <c r="O7742" s="62" t="s">
        <v>177</v>
      </c>
      <c r="P7742" s="58" t="s">
        <v>75</v>
      </c>
      <c r="Q7742" s="45" t="s">
        <v>58</v>
      </c>
      <c r="R7742" s="45" t="s">
        <v>272</v>
      </c>
    </row>
    <row r="7743" spans="1:18" s="98" customFormat="1" ht="69" customHeight="1">
      <c r="A7743" s="169"/>
      <c r="B7743" s="48">
        <f t="shared" si="46"/>
        <v>4882</v>
      </c>
      <c r="C7743" s="45" t="s">
        <v>860</v>
      </c>
      <c r="D7743" s="84" t="s">
        <v>14428</v>
      </c>
      <c r="E7743" s="45" t="s">
        <v>18937</v>
      </c>
      <c r="F7743" s="45" t="s">
        <v>18943</v>
      </c>
      <c r="G7743" s="45" t="s">
        <v>18939</v>
      </c>
      <c r="H7743" s="546">
        <v>14878.9</v>
      </c>
      <c r="I7743" s="47">
        <v>45347</v>
      </c>
      <c r="J7743" s="73" t="s">
        <v>18940</v>
      </c>
      <c r="K7743" s="45"/>
      <c r="O7743" s="48" t="s">
        <v>177</v>
      </c>
      <c r="P7743" s="45" t="s">
        <v>75</v>
      </c>
      <c r="Q7743" s="45" t="s">
        <v>20</v>
      </c>
      <c r="R7743" s="45" t="s">
        <v>272</v>
      </c>
    </row>
    <row r="7744" spans="1:18" ht="69" customHeight="1">
      <c r="B7744" s="52">
        <f t="shared" si="46"/>
        <v>4883</v>
      </c>
      <c r="C7744" s="51" t="s">
        <v>5082</v>
      </c>
      <c r="D7744" s="251" t="s">
        <v>18944</v>
      </c>
      <c r="E7744" s="46" t="s">
        <v>266</v>
      </c>
      <c r="F7744" s="46" t="s">
        <v>18945</v>
      </c>
      <c r="G7744" s="46" t="s">
        <v>18946</v>
      </c>
      <c r="H7744" s="534">
        <v>20266.650000000001</v>
      </c>
      <c r="I7744" s="56">
        <v>45347</v>
      </c>
      <c r="J7744" s="199" t="s">
        <v>18947</v>
      </c>
      <c r="K7744" s="46"/>
      <c r="O7744" s="46" t="s">
        <v>1171</v>
      </c>
      <c r="P7744" s="46" t="s">
        <v>65</v>
      </c>
      <c r="Q7744" s="46" t="s">
        <v>60</v>
      </c>
      <c r="R7744" s="46" t="s">
        <v>272</v>
      </c>
    </row>
    <row r="7745" spans="1:18" ht="69" customHeight="1">
      <c r="B7745" s="52">
        <f t="shared" si="46"/>
        <v>4884</v>
      </c>
      <c r="C7745" s="51" t="s">
        <v>5189</v>
      </c>
      <c r="D7745" s="251" t="s">
        <v>18948</v>
      </c>
      <c r="E7745" s="46" t="s">
        <v>266</v>
      </c>
      <c r="F7745" s="46" t="s">
        <v>18949</v>
      </c>
      <c r="G7745" s="46" t="s">
        <v>18946</v>
      </c>
      <c r="H7745" s="534">
        <v>20266.650000000001</v>
      </c>
      <c r="I7745" s="56">
        <v>45347</v>
      </c>
      <c r="J7745" s="199" t="s">
        <v>18947</v>
      </c>
      <c r="K7745" s="46"/>
      <c r="O7745" s="46" t="s">
        <v>1171</v>
      </c>
      <c r="P7745" s="46" t="s">
        <v>65</v>
      </c>
      <c r="Q7745" s="46" t="s">
        <v>62</v>
      </c>
      <c r="R7745" s="46" t="s">
        <v>272</v>
      </c>
    </row>
    <row r="7746" spans="1:18" s="98" customFormat="1" ht="69" customHeight="1">
      <c r="A7746" s="169"/>
      <c r="B7746" s="52">
        <f t="shared" si="46"/>
        <v>4885</v>
      </c>
      <c r="C7746" s="191" t="s">
        <v>5558</v>
      </c>
      <c r="D7746" s="251" t="s">
        <v>18950</v>
      </c>
      <c r="E7746" s="46" t="s">
        <v>18951</v>
      </c>
      <c r="F7746" s="46" t="s">
        <v>18952</v>
      </c>
      <c r="G7746" s="46" t="s">
        <v>18953</v>
      </c>
      <c r="H7746" s="534">
        <v>24470</v>
      </c>
      <c r="I7746" s="56">
        <v>45347</v>
      </c>
      <c r="J7746" s="199" t="s">
        <v>18954</v>
      </c>
      <c r="K7746" s="46" t="s">
        <v>167</v>
      </c>
      <c r="O7746" s="52" t="s">
        <v>17031</v>
      </c>
      <c r="P7746" s="46" t="s">
        <v>65</v>
      </c>
      <c r="Q7746" s="46" t="s">
        <v>64</v>
      </c>
      <c r="R7746" s="46" t="s">
        <v>272</v>
      </c>
    </row>
    <row r="7747" spans="1:18" s="98" customFormat="1" ht="69" customHeight="1">
      <c r="A7747" s="169"/>
      <c r="B7747" s="52">
        <f t="shared" si="46"/>
        <v>4886</v>
      </c>
      <c r="C7747" s="191" t="s">
        <v>5558</v>
      </c>
      <c r="D7747" s="251" t="s">
        <v>18955</v>
      </c>
      <c r="E7747" s="46" t="s">
        <v>18951</v>
      </c>
      <c r="F7747" s="46" t="s">
        <v>18956</v>
      </c>
      <c r="G7747" s="46" t="s">
        <v>18957</v>
      </c>
      <c r="H7747" s="534">
        <v>7530</v>
      </c>
      <c r="I7747" s="56">
        <v>45347</v>
      </c>
      <c r="J7747" s="199" t="s">
        <v>18954</v>
      </c>
      <c r="K7747" s="46" t="s">
        <v>167</v>
      </c>
      <c r="O7747" s="52" t="s">
        <v>17031</v>
      </c>
      <c r="P7747" s="46" t="s">
        <v>65</v>
      </c>
      <c r="Q7747" s="46" t="s">
        <v>64</v>
      </c>
      <c r="R7747" s="46" t="s">
        <v>272</v>
      </c>
    </row>
    <row r="7748" spans="1:18" s="98" customFormat="1" ht="69" customHeight="1">
      <c r="A7748" s="169"/>
      <c r="B7748" s="52">
        <f t="shared" si="46"/>
        <v>4887</v>
      </c>
      <c r="C7748" s="191" t="s">
        <v>5558</v>
      </c>
      <c r="D7748" s="251" t="s">
        <v>18958</v>
      </c>
      <c r="E7748" s="46" t="s">
        <v>18951</v>
      </c>
      <c r="F7748" s="46" t="s">
        <v>18959</v>
      </c>
      <c r="G7748" s="46" t="s">
        <v>18960</v>
      </c>
      <c r="H7748" s="534">
        <v>24954.05</v>
      </c>
      <c r="I7748" s="56">
        <v>45347</v>
      </c>
      <c r="J7748" s="199" t="s">
        <v>18954</v>
      </c>
      <c r="K7748" s="46" t="s">
        <v>167</v>
      </c>
      <c r="O7748" s="52" t="s">
        <v>17031</v>
      </c>
      <c r="P7748" s="46" t="s">
        <v>65</v>
      </c>
      <c r="Q7748" s="46" t="s">
        <v>64</v>
      </c>
      <c r="R7748" s="46" t="s">
        <v>272</v>
      </c>
    </row>
    <row r="7749" spans="1:18" ht="69" customHeight="1">
      <c r="B7749" s="259">
        <f t="shared" si="46"/>
        <v>4888</v>
      </c>
      <c r="C7749" s="207" t="s">
        <v>3340</v>
      </c>
      <c r="D7749" s="303" t="s">
        <v>3679</v>
      </c>
      <c r="E7749" s="160" t="s">
        <v>266</v>
      </c>
      <c r="F7749" s="160" t="s">
        <v>18961</v>
      </c>
      <c r="G7749" s="160" t="s">
        <v>18962</v>
      </c>
      <c r="H7749" s="300">
        <v>24000</v>
      </c>
      <c r="I7749" s="209">
        <v>45347</v>
      </c>
      <c r="J7749" s="316" t="s">
        <v>18963</v>
      </c>
      <c r="K7749" s="259" t="s">
        <v>11084</v>
      </c>
      <c r="O7749" s="259" t="s">
        <v>11084</v>
      </c>
      <c r="P7749" s="160" t="s">
        <v>67</v>
      </c>
      <c r="Q7749" s="160" t="s">
        <v>96</v>
      </c>
      <c r="R7749" s="160" t="s">
        <v>272</v>
      </c>
    </row>
    <row r="7750" spans="1:18" s="98" customFormat="1" ht="69" customHeight="1">
      <c r="A7750" s="169"/>
      <c r="B7750" s="52">
        <f t="shared" si="46"/>
        <v>4889</v>
      </c>
      <c r="C7750" s="191" t="s">
        <v>5558</v>
      </c>
      <c r="D7750" s="251" t="s">
        <v>18964</v>
      </c>
      <c r="E7750" s="46" t="s">
        <v>18951</v>
      </c>
      <c r="F7750" s="46" t="s">
        <v>18965</v>
      </c>
      <c r="G7750" s="46" t="s">
        <v>18966</v>
      </c>
      <c r="H7750" s="534">
        <v>2510</v>
      </c>
      <c r="I7750" s="56">
        <v>45347</v>
      </c>
      <c r="J7750" s="199" t="s">
        <v>18967</v>
      </c>
      <c r="K7750" s="46" t="s">
        <v>167</v>
      </c>
      <c r="O7750" s="52" t="s">
        <v>17031</v>
      </c>
      <c r="P7750" s="46" t="s">
        <v>65</v>
      </c>
      <c r="Q7750" s="46" t="s">
        <v>64</v>
      </c>
      <c r="R7750" s="46" t="s">
        <v>272</v>
      </c>
    </row>
    <row r="7751" spans="1:18" s="98" customFormat="1" ht="69" customHeight="1">
      <c r="A7751" s="169"/>
      <c r="B7751" s="52">
        <f t="shared" si="46"/>
        <v>4890</v>
      </c>
      <c r="C7751" s="191" t="s">
        <v>5558</v>
      </c>
      <c r="D7751" s="251" t="s">
        <v>18968</v>
      </c>
      <c r="E7751" s="46" t="s">
        <v>18951</v>
      </c>
      <c r="F7751" s="46" t="s">
        <v>18969</v>
      </c>
      <c r="G7751" s="46" t="s">
        <v>18970</v>
      </c>
      <c r="H7751" s="534">
        <v>48500</v>
      </c>
      <c r="I7751" s="56">
        <v>45347</v>
      </c>
      <c r="J7751" s="199" t="s">
        <v>18967</v>
      </c>
      <c r="K7751" s="46" t="s">
        <v>167</v>
      </c>
      <c r="O7751" s="52" t="s">
        <v>17031</v>
      </c>
      <c r="P7751" s="46" t="s">
        <v>65</v>
      </c>
      <c r="Q7751" s="46" t="s">
        <v>64</v>
      </c>
      <c r="R7751" s="46" t="s">
        <v>272</v>
      </c>
    </row>
    <row r="7752" spans="1:18" ht="69" customHeight="1">
      <c r="B7752" s="62">
        <f t="shared" si="46"/>
        <v>4891</v>
      </c>
      <c r="C7752" s="59" t="s">
        <v>3667</v>
      </c>
      <c r="D7752" s="545" t="s">
        <v>18971</v>
      </c>
      <c r="E7752" s="58" t="s">
        <v>17540</v>
      </c>
      <c r="F7752" s="58" t="s">
        <v>18972</v>
      </c>
      <c r="G7752" s="58" t="s">
        <v>18973</v>
      </c>
      <c r="H7752" s="546">
        <v>35000</v>
      </c>
      <c r="I7752" s="47">
        <v>45347</v>
      </c>
      <c r="J7752" s="73" t="s">
        <v>18974</v>
      </c>
      <c r="K7752" s="67"/>
      <c r="O7752" s="62" t="s">
        <v>147</v>
      </c>
      <c r="P7752" s="58" t="s">
        <v>22</v>
      </c>
      <c r="Q7752" s="45" t="s">
        <v>78</v>
      </c>
      <c r="R7752" s="45" t="s">
        <v>265</v>
      </c>
    </row>
    <row r="7753" spans="1:18" s="98" customFormat="1" ht="69" customHeight="1">
      <c r="A7753" s="169"/>
      <c r="B7753" s="48">
        <f t="shared" si="46"/>
        <v>4892</v>
      </c>
      <c r="C7753" s="59" t="s">
        <v>5558</v>
      </c>
      <c r="D7753" s="84" t="s">
        <v>18975</v>
      </c>
      <c r="E7753" s="45" t="s">
        <v>18951</v>
      </c>
      <c r="F7753" s="45" t="s">
        <v>18976</v>
      </c>
      <c r="G7753" s="45" t="s">
        <v>18977</v>
      </c>
      <c r="H7753" s="546">
        <v>111038.75</v>
      </c>
      <c r="I7753" s="47">
        <v>45347</v>
      </c>
      <c r="J7753" s="73" t="s">
        <v>18978</v>
      </c>
      <c r="K7753" s="45"/>
      <c r="O7753" s="48" t="s">
        <v>17031</v>
      </c>
      <c r="P7753" s="45" t="s">
        <v>57</v>
      </c>
      <c r="Q7753" s="45" t="s">
        <v>64</v>
      </c>
      <c r="R7753" s="45" t="s">
        <v>272</v>
      </c>
    </row>
    <row r="7754" spans="1:18" s="98" customFormat="1" ht="69" customHeight="1">
      <c r="A7754" s="169" t="s">
        <v>7955</v>
      </c>
      <c r="B7754" s="48">
        <f t="shared" si="46"/>
        <v>4893</v>
      </c>
      <c r="C7754" s="59" t="s">
        <v>3667</v>
      </c>
      <c r="D7754" s="84" t="s">
        <v>18979</v>
      </c>
      <c r="E7754" s="45" t="s">
        <v>16011</v>
      </c>
      <c r="F7754" s="45" t="s">
        <v>18980</v>
      </c>
      <c r="G7754" s="45" t="s">
        <v>18981</v>
      </c>
      <c r="H7754" s="546">
        <v>29180</v>
      </c>
      <c r="I7754" s="47">
        <v>45347</v>
      </c>
      <c r="J7754" s="73" t="s">
        <v>18982</v>
      </c>
      <c r="K7754" s="45" t="s">
        <v>18983</v>
      </c>
      <c r="O7754" s="48" t="s">
        <v>150</v>
      </c>
      <c r="P7754" s="45" t="s">
        <v>51</v>
      </c>
      <c r="Q7754" s="45" t="s">
        <v>64</v>
      </c>
      <c r="R7754" s="45" t="s">
        <v>272</v>
      </c>
    </row>
    <row r="7755" spans="1:18" s="98" customFormat="1" ht="69" customHeight="1">
      <c r="A7755" s="169"/>
      <c r="B7755" s="48">
        <f t="shared" si="46"/>
        <v>4894</v>
      </c>
      <c r="C7755" s="59" t="s">
        <v>3667</v>
      </c>
      <c r="D7755" s="84" t="s">
        <v>18984</v>
      </c>
      <c r="E7755" s="45" t="s">
        <v>16011</v>
      </c>
      <c r="F7755" s="45" t="s">
        <v>18985</v>
      </c>
      <c r="G7755" s="45" t="s">
        <v>18986</v>
      </c>
      <c r="H7755" s="198">
        <v>12000</v>
      </c>
      <c r="I7755" s="47">
        <v>45347</v>
      </c>
      <c r="J7755" s="73" t="s">
        <v>18982</v>
      </c>
      <c r="K7755" s="45" t="s">
        <v>18983</v>
      </c>
      <c r="O7755" s="48" t="s">
        <v>150</v>
      </c>
      <c r="P7755" s="45" t="s">
        <v>51</v>
      </c>
      <c r="Q7755" s="45" t="s">
        <v>86</v>
      </c>
      <c r="R7755" s="45" t="s">
        <v>272</v>
      </c>
    </row>
    <row r="7756" spans="1:18" s="98" customFormat="1" ht="69" customHeight="1">
      <c r="A7756" s="169"/>
      <c r="B7756" s="48">
        <f t="shared" si="46"/>
        <v>4895</v>
      </c>
      <c r="C7756" s="59" t="s">
        <v>3667</v>
      </c>
      <c r="D7756" s="84" t="s">
        <v>18987</v>
      </c>
      <c r="E7756" s="45" t="s">
        <v>16011</v>
      </c>
      <c r="F7756" s="45" t="s">
        <v>18988</v>
      </c>
      <c r="G7756" s="45" t="s">
        <v>17918</v>
      </c>
      <c r="H7756" s="198">
        <v>2000</v>
      </c>
      <c r="I7756" s="47">
        <v>45347</v>
      </c>
      <c r="J7756" s="73" t="s">
        <v>18982</v>
      </c>
      <c r="K7756" s="45" t="s">
        <v>18983</v>
      </c>
      <c r="O7756" s="48" t="s">
        <v>150</v>
      </c>
      <c r="P7756" s="45" t="s">
        <v>51</v>
      </c>
      <c r="Q7756" s="45" t="s">
        <v>86</v>
      </c>
      <c r="R7756" s="45" t="s">
        <v>272</v>
      </c>
    </row>
    <row r="7757" spans="1:18" s="98" customFormat="1" ht="69" customHeight="1">
      <c r="A7757" s="169"/>
      <c r="B7757" s="259">
        <f t="shared" si="46"/>
        <v>4896</v>
      </c>
      <c r="C7757" s="207" t="s">
        <v>309</v>
      </c>
      <c r="D7757" s="303" t="s">
        <v>15209</v>
      </c>
      <c r="E7757" s="160" t="s">
        <v>18437</v>
      </c>
      <c r="F7757" s="160" t="s">
        <v>18989</v>
      </c>
      <c r="G7757" s="160" t="s">
        <v>18859</v>
      </c>
      <c r="H7757" s="300">
        <v>0</v>
      </c>
      <c r="I7757" s="209">
        <v>45347</v>
      </c>
      <c r="J7757" s="316" t="s">
        <v>18990</v>
      </c>
      <c r="K7757" s="160" t="s">
        <v>16635</v>
      </c>
      <c r="O7757" s="259" t="s">
        <v>12529</v>
      </c>
      <c r="P7757" s="160" t="s">
        <v>67</v>
      </c>
      <c r="Q7757" s="160" t="s">
        <v>23</v>
      </c>
      <c r="R7757" s="160" t="s">
        <v>272</v>
      </c>
    </row>
    <row r="7758" spans="1:18" ht="69" customHeight="1">
      <c r="B7758" s="62">
        <f t="shared" si="46"/>
        <v>4897</v>
      </c>
      <c r="C7758" s="58" t="s">
        <v>581</v>
      </c>
      <c r="D7758" s="174" t="s">
        <v>14443</v>
      </c>
      <c r="E7758" s="58" t="s">
        <v>17367</v>
      </c>
      <c r="F7758" s="58" t="s">
        <v>18991</v>
      </c>
      <c r="G7758" s="58" t="s">
        <v>16273</v>
      </c>
      <c r="H7758" s="546">
        <v>50000</v>
      </c>
      <c r="I7758" s="47">
        <v>45347</v>
      </c>
      <c r="J7758" s="73" t="s">
        <v>18992</v>
      </c>
      <c r="K7758" s="67"/>
      <c r="O7758" s="62" t="s">
        <v>175</v>
      </c>
      <c r="P7758" s="58" t="s">
        <v>57</v>
      </c>
      <c r="Q7758" s="45" t="s">
        <v>18</v>
      </c>
      <c r="R7758" s="45" t="s">
        <v>265</v>
      </c>
    </row>
    <row r="7759" spans="1:18" ht="69" customHeight="1">
      <c r="B7759" s="62">
        <f t="shared" si="46"/>
        <v>4898</v>
      </c>
      <c r="C7759" s="59" t="s">
        <v>3667</v>
      </c>
      <c r="D7759" s="545" t="s">
        <v>18993</v>
      </c>
      <c r="E7759" s="58" t="s">
        <v>16289</v>
      </c>
      <c r="F7759" s="58" t="s">
        <v>18994</v>
      </c>
      <c r="G7759" s="58" t="s">
        <v>18995</v>
      </c>
      <c r="H7759" s="546">
        <v>91000</v>
      </c>
      <c r="I7759" s="47">
        <v>45347</v>
      </c>
      <c r="J7759" s="73" t="s">
        <v>18996</v>
      </c>
      <c r="K7759" s="67"/>
      <c r="O7759" s="62" t="s">
        <v>208</v>
      </c>
      <c r="P7759" s="58" t="s">
        <v>57</v>
      </c>
      <c r="Q7759" s="45" t="s">
        <v>76</v>
      </c>
      <c r="R7759" s="45" t="s">
        <v>272</v>
      </c>
    </row>
    <row r="7760" spans="1:18" ht="69" customHeight="1">
      <c r="B7760" s="62">
        <f t="shared" si="46"/>
        <v>4899</v>
      </c>
      <c r="C7760" s="59" t="s">
        <v>3667</v>
      </c>
      <c r="D7760" s="545" t="s">
        <v>18997</v>
      </c>
      <c r="E7760" s="58" t="s">
        <v>16289</v>
      </c>
      <c r="F7760" s="58" t="s">
        <v>18998</v>
      </c>
      <c r="G7760" s="58" t="s">
        <v>18999</v>
      </c>
      <c r="H7760" s="546">
        <v>60293.02</v>
      </c>
      <c r="I7760" s="47">
        <v>45347</v>
      </c>
      <c r="J7760" s="73" t="s">
        <v>18996</v>
      </c>
      <c r="K7760" s="67"/>
      <c r="O7760" s="62" t="s">
        <v>208</v>
      </c>
      <c r="P7760" s="58" t="s">
        <v>57</v>
      </c>
      <c r="Q7760" s="45" t="s">
        <v>78</v>
      </c>
      <c r="R7760" s="45" t="s">
        <v>272</v>
      </c>
    </row>
    <row r="7761" spans="1:18" ht="69" customHeight="1">
      <c r="B7761" s="62">
        <f t="shared" si="46"/>
        <v>4900</v>
      </c>
      <c r="C7761" s="59" t="s">
        <v>15650</v>
      </c>
      <c r="D7761" s="545" t="s">
        <v>19000</v>
      </c>
      <c r="E7761" s="58" t="s">
        <v>17212</v>
      </c>
      <c r="F7761" s="58" t="s">
        <v>19001</v>
      </c>
      <c r="G7761" s="58" t="s">
        <v>17214</v>
      </c>
      <c r="H7761" s="546">
        <v>171530</v>
      </c>
      <c r="I7761" s="47">
        <v>45347</v>
      </c>
      <c r="J7761" s="73" t="s">
        <v>19002</v>
      </c>
      <c r="K7761" s="58"/>
      <c r="M7761" s="70"/>
      <c r="N7761" s="97"/>
      <c r="O7761" s="58" t="s">
        <v>16399</v>
      </c>
      <c r="P7761" s="58" t="s">
        <v>55</v>
      </c>
      <c r="Q7761" s="58" t="s">
        <v>56</v>
      </c>
      <c r="R7761" s="45" t="s">
        <v>272</v>
      </c>
    </row>
    <row r="7762" spans="1:18" ht="69" customHeight="1">
      <c r="B7762" s="62">
        <f t="shared" si="46"/>
        <v>4901</v>
      </c>
      <c r="C7762" s="59" t="s">
        <v>4728</v>
      </c>
      <c r="D7762" s="545" t="s">
        <v>19003</v>
      </c>
      <c r="E7762" s="58" t="s">
        <v>17212</v>
      </c>
      <c r="F7762" s="58" t="s">
        <v>19004</v>
      </c>
      <c r="G7762" s="58" t="s">
        <v>17214</v>
      </c>
      <c r="H7762" s="546">
        <v>173480</v>
      </c>
      <c r="I7762" s="47">
        <v>45347</v>
      </c>
      <c r="J7762" s="73" t="s">
        <v>19002</v>
      </c>
      <c r="K7762" s="67"/>
      <c r="O7762" s="58" t="s">
        <v>16399</v>
      </c>
      <c r="P7762" s="58" t="s">
        <v>55</v>
      </c>
      <c r="Q7762" s="58" t="s">
        <v>58</v>
      </c>
      <c r="R7762" s="45" t="s">
        <v>272</v>
      </c>
    </row>
    <row r="7763" spans="1:18" ht="69" customHeight="1">
      <c r="B7763" s="62">
        <f t="shared" si="46"/>
        <v>4902</v>
      </c>
      <c r="C7763" s="44" t="s">
        <v>5189</v>
      </c>
      <c r="D7763" s="545" t="s">
        <v>19005</v>
      </c>
      <c r="E7763" s="58" t="s">
        <v>17212</v>
      </c>
      <c r="F7763" s="58" t="s">
        <v>19006</v>
      </c>
      <c r="G7763" s="58" t="s">
        <v>17214</v>
      </c>
      <c r="H7763" s="546">
        <v>217225</v>
      </c>
      <c r="I7763" s="47">
        <v>45347</v>
      </c>
      <c r="J7763" s="73" t="s">
        <v>19002</v>
      </c>
      <c r="K7763" s="67"/>
      <c r="O7763" s="58" t="s">
        <v>16399</v>
      </c>
      <c r="P7763" s="58" t="s">
        <v>55</v>
      </c>
      <c r="Q7763" s="58" t="s">
        <v>60</v>
      </c>
      <c r="R7763" s="45" t="s">
        <v>272</v>
      </c>
    </row>
    <row r="7764" spans="1:18" ht="69" customHeight="1">
      <c r="B7764" s="62">
        <f t="shared" si="46"/>
        <v>4903</v>
      </c>
      <c r="C7764" s="58" t="s">
        <v>5082</v>
      </c>
      <c r="D7764" s="545" t="s">
        <v>19007</v>
      </c>
      <c r="E7764" s="58" t="s">
        <v>17212</v>
      </c>
      <c r="F7764" s="58" t="s">
        <v>19008</v>
      </c>
      <c r="G7764" s="58" t="s">
        <v>17214</v>
      </c>
      <c r="H7764" s="546">
        <v>200800</v>
      </c>
      <c r="I7764" s="47">
        <v>45347</v>
      </c>
      <c r="J7764" s="73" t="s">
        <v>19002</v>
      </c>
      <c r="K7764" s="67"/>
      <c r="O7764" s="58" t="s">
        <v>16399</v>
      </c>
      <c r="P7764" s="58" t="s">
        <v>55</v>
      </c>
      <c r="Q7764" s="58" t="s">
        <v>62</v>
      </c>
      <c r="R7764" s="45" t="s">
        <v>272</v>
      </c>
    </row>
    <row r="7765" spans="1:18" ht="69" customHeight="1">
      <c r="B7765" s="62">
        <f t="shared" si="46"/>
        <v>4904</v>
      </c>
      <c r="C7765" s="59" t="s">
        <v>3647</v>
      </c>
      <c r="D7765" s="545" t="s">
        <v>19009</v>
      </c>
      <c r="E7765" s="58" t="s">
        <v>17212</v>
      </c>
      <c r="F7765" s="58" t="s">
        <v>19010</v>
      </c>
      <c r="G7765" s="58" t="s">
        <v>17214</v>
      </c>
      <c r="H7765" s="546">
        <v>202800</v>
      </c>
      <c r="I7765" s="47">
        <v>45347</v>
      </c>
      <c r="J7765" s="73" t="s">
        <v>19002</v>
      </c>
      <c r="K7765" s="67"/>
      <c r="O7765" s="58" t="s">
        <v>16399</v>
      </c>
      <c r="P7765" s="58" t="s">
        <v>55</v>
      </c>
      <c r="Q7765" s="58" t="s">
        <v>47</v>
      </c>
      <c r="R7765" s="45" t="s">
        <v>272</v>
      </c>
    </row>
    <row r="7766" spans="1:18" ht="69" customHeight="1">
      <c r="B7766" s="62">
        <f t="shared" si="46"/>
        <v>4905</v>
      </c>
      <c r="C7766" s="59" t="s">
        <v>3933</v>
      </c>
      <c r="D7766" s="545" t="s">
        <v>19011</v>
      </c>
      <c r="E7766" s="58" t="s">
        <v>17212</v>
      </c>
      <c r="F7766" s="58" t="s">
        <v>19012</v>
      </c>
      <c r="G7766" s="58" t="s">
        <v>17214</v>
      </c>
      <c r="H7766" s="546">
        <v>178175</v>
      </c>
      <c r="I7766" s="47">
        <v>45347</v>
      </c>
      <c r="J7766" s="73" t="s">
        <v>19002</v>
      </c>
      <c r="K7766" s="67"/>
      <c r="O7766" s="58" t="s">
        <v>16399</v>
      </c>
      <c r="P7766" s="58" t="s">
        <v>55</v>
      </c>
      <c r="Q7766" s="58" t="s">
        <v>52</v>
      </c>
      <c r="R7766" s="45" t="s">
        <v>272</v>
      </c>
    </row>
    <row r="7767" spans="1:18" ht="69" customHeight="1">
      <c r="B7767" s="62">
        <f t="shared" si="46"/>
        <v>4906</v>
      </c>
      <c r="C7767" s="58" t="s">
        <v>18822</v>
      </c>
      <c r="D7767" s="545" t="s">
        <v>15390</v>
      </c>
      <c r="E7767" s="58" t="s">
        <v>17212</v>
      </c>
      <c r="F7767" s="58" t="s">
        <v>19013</v>
      </c>
      <c r="G7767" s="58" t="s">
        <v>17214</v>
      </c>
      <c r="H7767" s="546">
        <v>205970</v>
      </c>
      <c r="I7767" s="47">
        <v>45347</v>
      </c>
      <c r="J7767" s="73" t="s">
        <v>19002</v>
      </c>
      <c r="K7767" s="67"/>
      <c r="O7767" s="58" t="s">
        <v>16399</v>
      </c>
      <c r="P7767" s="58" t="s">
        <v>55</v>
      </c>
      <c r="Q7767" s="58" t="s">
        <v>119</v>
      </c>
      <c r="R7767" s="45" t="s">
        <v>272</v>
      </c>
    </row>
    <row r="7768" spans="1:18" s="98" customFormat="1" ht="69" customHeight="1">
      <c r="A7768" s="169"/>
      <c r="B7768" s="48">
        <f t="shared" si="46"/>
        <v>4907</v>
      </c>
      <c r="C7768" s="44" t="s">
        <v>10944</v>
      </c>
      <c r="D7768" s="84" t="s">
        <v>19014</v>
      </c>
      <c r="E7768" s="45" t="s">
        <v>17212</v>
      </c>
      <c r="F7768" s="45" t="s">
        <v>19015</v>
      </c>
      <c r="G7768" s="45" t="s">
        <v>17214</v>
      </c>
      <c r="H7768" s="546">
        <v>206700</v>
      </c>
      <c r="I7768" s="47">
        <v>45347</v>
      </c>
      <c r="J7768" s="73" t="s">
        <v>19002</v>
      </c>
      <c r="K7768" s="45"/>
      <c r="O7768" s="45" t="s">
        <v>16399</v>
      </c>
      <c r="P7768" s="45" t="s">
        <v>55</v>
      </c>
      <c r="Q7768" s="45" t="s">
        <v>120</v>
      </c>
      <c r="R7768" s="45" t="s">
        <v>272</v>
      </c>
    </row>
    <row r="7769" spans="1:18" ht="69" customHeight="1">
      <c r="B7769" s="62">
        <f t="shared" si="46"/>
        <v>4908</v>
      </c>
      <c r="C7769" s="59" t="s">
        <v>3667</v>
      </c>
      <c r="D7769" s="545" t="s">
        <v>19016</v>
      </c>
      <c r="E7769" s="58" t="s">
        <v>16289</v>
      </c>
      <c r="F7769" s="58" t="s">
        <v>19017</v>
      </c>
      <c r="G7769" s="58" t="s">
        <v>19018</v>
      </c>
      <c r="H7769" s="546">
        <v>159373.29999999999</v>
      </c>
      <c r="I7769" s="47">
        <v>45347</v>
      </c>
      <c r="J7769" s="73" t="s">
        <v>19019</v>
      </c>
      <c r="K7769" s="67"/>
      <c r="O7769" s="62" t="s">
        <v>208</v>
      </c>
      <c r="P7769" s="58" t="s">
        <v>57</v>
      </c>
      <c r="Q7769" s="45" t="s">
        <v>84</v>
      </c>
      <c r="R7769" s="45" t="s">
        <v>272</v>
      </c>
    </row>
    <row r="7770" spans="1:18" ht="69" customHeight="1">
      <c r="B7770" s="62">
        <f t="shared" si="46"/>
        <v>4909</v>
      </c>
      <c r="C7770" s="59" t="s">
        <v>657</v>
      </c>
      <c r="D7770" s="545" t="s">
        <v>4032</v>
      </c>
      <c r="E7770" s="58" t="s">
        <v>16289</v>
      </c>
      <c r="F7770" s="58" t="s">
        <v>19020</v>
      </c>
      <c r="G7770" s="58" t="s">
        <v>19021</v>
      </c>
      <c r="H7770" s="546">
        <v>164954.47</v>
      </c>
      <c r="I7770" s="47">
        <v>45347</v>
      </c>
      <c r="J7770" s="73" t="s">
        <v>19019</v>
      </c>
      <c r="K7770" s="67"/>
      <c r="O7770" s="62" t="s">
        <v>208</v>
      </c>
      <c r="P7770" s="58" t="s">
        <v>57</v>
      </c>
      <c r="Q7770" s="45" t="s">
        <v>110</v>
      </c>
      <c r="R7770" s="45" t="s">
        <v>272</v>
      </c>
    </row>
    <row r="7771" spans="1:18" ht="69" customHeight="1">
      <c r="B7771" s="62">
        <f t="shared" si="46"/>
        <v>4910</v>
      </c>
      <c r="C7771" s="44" t="s">
        <v>9004</v>
      </c>
      <c r="D7771" s="174" t="s">
        <v>4051</v>
      </c>
      <c r="E7771" s="58" t="s">
        <v>19022</v>
      </c>
      <c r="F7771" s="58" t="s">
        <v>19023</v>
      </c>
      <c r="G7771" s="58" t="s">
        <v>19024</v>
      </c>
      <c r="H7771" s="546">
        <v>106411.31</v>
      </c>
      <c r="I7771" s="47">
        <v>45347</v>
      </c>
      <c r="J7771" s="73" t="s">
        <v>19025</v>
      </c>
      <c r="K7771" s="62"/>
      <c r="O7771" s="62" t="s">
        <v>19026</v>
      </c>
      <c r="P7771" s="58" t="s">
        <v>57</v>
      </c>
      <c r="Q7771" s="45" t="s">
        <v>111</v>
      </c>
      <c r="R7771" s="45" t="s">
        <v>272</v>
      </c>
    </row>
    <row r="7772" spans="1:18" ht="69" customHeight="1">
      <c r="B7772" s="62">
        <f t="shared" si="46"/>
        <v>4911</v>
      </c>
      <c r="C7772" s="44" t="s">
        <v>9004</v>
      </c>
      <c r="D7772" s="545" t="s">
        <v>5519</v>
      </c>
      <c r="E7772" s="58" t="s">
        <v>19022</v>
      </c>
      <c r="F7772" s="58" t="s">
        <v>19027</v>
      </c>
      <c r="G7772" s="58" t="s">
        <v>19024</v>
      </c>
      <c r="H7772" s="546">
        <v>106411.31</v>
      </c>
      <c r="I7772" s="47">
        <v>45347</v>
      </c>
      <c r="J7772" s="73" t="s">
        <v>19025</v>
      </c>
      <c r="K7772" s="67"/>
      <c r="O7772" s="62" t="s">
        <v>19026</v>
      </c>
      <c r="P7772" s="58" t="s">
        <v>57</v>
      </c>
      <c r="Q7772" s="45" t="s">
        <v>111</v>
      </c>
      <c r="R7772" s="45" t="s">
        <v>272</v>
      </c>
    </row>
    <row r="7773" spans="1:18" ht="69" customHeight="1">
      <c r="B7773" s="62">
        <f t="shared" si="46"/>
        <v>4912</v>
      </c>
      <c r="C7773" s="59" t="s">
        <v>3667</v>
      </c>
      <c r="D7773" s="545" t="s">
        <v>19028</v>
      </c>
      <c r="E7773" s="58" t="s">
        <v>19029</v>
      </c>
      <c r="F7773" s="58" t="s">
        <v>19030</v>
      </c>
      <c r="G7773" s="58" t="s">
        <v>19031</v>
      </c>
      <c r="H7773" s="546">
        <v>285045.24</v>
      </c>
      <c r="I7773" s="47">
        <v>45347</v>
      </c>
      <c r="J7773" s="73" t="s">
        <v>19032</v>
      </c>
      <c r="K7773" s="67"/>
      <c r="O7773" s="62" t="s">
        <v>192</v>
      </c>
      <c r="P7773" s="58" t="s">
        <v>57</v>
      </c>
      <c r="Q7773" s="45" t="s">
        <v>86</v>
      </c>
      <c r="R7773" s="45" t="s">
        <v>272</v>
      </c>
    </row>
    <row r="7774" spans="1:18" s="98" customFormat="1" ht="69" customHeight="1">
      <c r="A7774" s="169"/>
      <c r="B7774" s="48">
        <f t="shared" ref="B7774:B7823" si="47">B7773+1</f>
        <v>4913</v>
      </c>
      <c r="C7774" s="45" t="s">
        <v>458</v>
      </c>
      <c r="D7774" s="84" t="s">
        <v>15307</v>
      </c>
      <c r="E7774" s="45" t="s">
        <v>7975</v>
      </c>
      <c r="F7774" s="45" t="s">
        <v>19033</v>
      </c>
      <c r="G7774" s="45" t="s">
        <v>19034</v>
      </c>
      <c r="H7774" s="546">
        <v>134416.34</v>
      </c>
      <c r="I7774" s="47">
        <v>45337</v>
      </c>
      <c r="J7774" s="73" t="s">
        <v>19035</v>
      </c>
      <c r="K7774" s="45"/>
      <c r="O7774" s="48" t="s">
        <v>147</v>
      </c>
      <c r="P7774" s="45" t="s">
        <v>22</v>
      </c>
      <c r="Q7774" s="45" t="s">
        <v>103</v>
      </c>
      <c r="R7774" s="45" t="s">
        <v>272</v>
      </c>
    </row>
    <row r="7775" spans="1:18" s="98" customFormat="1" ht="69" customHeight="1">
      <c r="A7775" s="169"/>
      <c r="B7775" s="48">
        <f t="shared" si="47"/>
        <v>4914</v>
      </c>
      <c r="C7775" s="45" t="s">
        <v>458</v>
      </c>
      <c r="D7775" s="84" t="s">
        <v>19036</v>
      </c>
      <c r="E7775" s="45" t="s">
        <v>7975</v>
      </c>
      <c r="F7775" s="45" t="s">
        <v>19037</v>
      </c>
      <c r="G7775" s="45" t="s">
        <v>19038</v>
      </c>
      <c r="H7775" s="546">
        <v>72378.03</v>
      </c>
      <c r="I7775" s="47">
        <v>45337</v>
      </c>
      <c r="J7775" s="73" t="s">
        <v>19035</v>
      </c>
      <c r="K7775" s="45"/>
      <c r="O7775" s="48" t="s">
        <v>147</v>
      </c>
      <c r="P7775" s="45" t="s">
        <v>22</v>
      </c>
      <c r="Q7775" s="45" t="s">
        <v>103</v>
      </c>
      <c r="R7775" s="45" t="s">
        <v>272</v>
      </c>
    </row>
    <row r="7776" spans="1:18" s="98" customFormat="1" ht="69" customHeight="1">
      <c r="A7776" s="169"/>
      <c r="B7776" s="48">
        <f t="shared" si="47"/>
        <v>4915</v>
      </c>
      <c r="C7776" s="59" t="s">
        <v>458</v>
      </c>
      <c r="D7776" s="84" t="s">
        <v>19039</v>
      </c>
      <c r="E7776" s="45" t="s">
        <v>10495</v>
      </c>
      <c r="F7776" s="45" t="s">
        <v>19040</v>
      </c>
      <c r="G7776" s="45" t="s">
        <v>19041</v>
      </c>
      <c r="H7776" s="546">
        <v>196291.68</v>
      </c>
      <c r="I7776" s="47">
        <v>45337</v>
      </c>
      <c r="J7776" s="73" t="s">
        <v>19042</v>
      </c>
      <c r="K7776" s="546"/>
      <c r="O7776" s="48" t="s">
        <v>147</v>
      </c>
      <c r="P7776" s="45" t="s">
        <v>22</v>
      </c>
      <c r="Q7776" s="45" t="s">
        <v>122</v>
      </c>
      <c r="R7776" s="45" t="s">
        <v>272</v>
      </c>
    </row>
    <row r="7777" spans="1:18" s="98" customFormat="1" ht="69" customHeight="1">
      <c r="A7777" s="169"/>
      <c r="B7777" s="48">
        <f t="shared" si="47"/>
        <v>4916</v>
      </c>
      <c r="C7777" s="59" t="s">
        <v>458</v>
      </c>
      <c r="D7777" s="84" t="s">
        <v>19043</v>
      </c>
      <c r="E7777" s="45" t="s">
        <v>10495</v>
      </c>
      <c r="F7777" s="45" t="s">
        <v>19044</v>
      </c>
      <c r="G7777" s="45" t="s">
        <v>19045</v>
      </c>
      <c r="H7777" s="546">
        <v>105695.52</v>
      </c>
      <c r="I7777" s="47">
        <v>45337</v>
      </c>
      <c r="J7777" s="73" t="s">
        <v>19042</v>
      </c>
      <c r="K7777" s="546"/>
      <c r="O7777" s="48" t="s">
        <v>147</v>
      </c>
      <c r="P7777" s="45" t="s">
        <v>22</v>
      </c>
      <c r="Q7777" s="45" t="s">
        <v>122</v>
      </c>
      <c r="R7777" s="45" t="s">
        <v>272</v>
      </c>
    </row>
    <row r="7778" spans="1:18" ht="69" customHeight="1">
      <c r="B7778" s="48">
        <f t="shared" si="47"/>
        <v>4917</v>
      </c>
      <c r="C7778" s="59" t="s">
        <v>458</v>
      </c>
      <c r="D7778" s="84" t="s">
        <v>19046</v>
      </c>
      <c r="E7778" s="45" t="s">
        <v>10553</v>
      </c>
      <c r="F7778" s="45" t="s">
        <v>19047</v>
      </c>
      <c r="G7778" s="45" t="s">
        <v>17431</v>
      </c>
      <c r="H7778" s="546">
        <v>108862.94</v>
      </c>
      <c r="I7778" s="47">
        <v>45337</v>
      </c>
      <c r="J7778" s="73" t="s">
        <v>19048</v>
      </c>
      <c r="K7778" s="45"/>
      <c r="M7778" s="98"/>
      <c r="N7778" s="98"/>
      <c r="O7778" s="48" t="s">
        <v>147</v>
      </c>
      <c r="P7778" s="45" t="s">
        <v>22</v>
      </c>
      <c r="Q7778" s="45" t="s">
        <v>88</v>
      </c>
      <c r="R7778" s="45" t="s">
        <v>272</v>
      </c>
    </row>
    <row r="7779" spans="1:18" ht="69" customHeight="1">
      <c r="B7779" s="48">
        <f t="shared" si="47"/>
        <v>4918</v>
      </c>
      <c r="C7779" s="59" t="s">
        <v>458</v>
      </c>
      <c r="D7779" s="84" t="s">
        <v>19049</v>
      </c>
      <c r="E7779" s="45" t="s">
        <v>10553</v>
      </c>
      <c r="F7779" s="45" t="s">
        <v>19050</v>
      </c>
      <c r="G7779" s="45" t="s">
        <v>17435</v>
      </c>
      <c r="H7779" s="546">
        <v>58618.51</v>
      </c>
      <c r="I7779" s="47">
        <v>45337</v>
      </c>
      <c r="J7779" s="73" t="s">
        <v>19048</v>
      </c>
      <c r="K7779" s="45"/>
      <c r="M7779" s="98"/>
      <c r="N7779" s="98"/>
      <c r="O7779" s="48" t="s">
        <v>147</v>
      </c>
      <c r="P7779" s="45" t="s">
        <v>22</v>
      </c>
      <c r="Q7779" s="45" t="s">
        <v>88</v>
      </c>
      <c r="R7779" s="45" t="s">
        <v>272</v>
      </c>
    </row>
    <row r="7780" spans="1:18" ht="69" customHeight="1">
      <c r="B7780" s="62">
        <f t="shared" si="47"/>
        <v>4919</v>
      </c>
      <c r="C7780" s="59" t="s">
        <v>458</v>
      </c>
      <c r="D7780" s="545" t="s">
        <v>15429</v>
      </c>
      <c r="E7780" s="58" t="s">
        <v>15522</v>
      </c>
      <c r="F7780" s="45" t="s">
        <v>19051</v>
      </c>
      <c r="G7780" s="58" t="s">
        <v>19052</v>
      </c>
      <c r="H7780" s="546">
        <v>25180</v>
      </c>
      <c r="I7780" s="47">
        <v>45347</v>
      </c>
      <c r="J7780" s="73" t="s">
        <v>19053</v>
      </c>
      <c r="K7780" s="67"/>
      <c r="O7780" s="62" t="s">
        <v>10607</v>
      </c>
      <c r="P7780" s="58" t="s">
        <v>22</v>
      </c>
      <c r="Q7780" s="45" t="s">
        <v>117</v>
      </c>
      <c r="R7780" s="45" t="s">
        <v>265</v>
      </c>
    </row>
    <row r="7781" spans="1:18" ht="69" customHeight="1">
      <c r="B7781" s="259">
        <f t="shared" si="47"/>
        <v>4920</v>
      </c>
      <c r="C7781" s="207" t="s">
        <v>13665</v>
      </c>
      <c r="D7781" s="303" t="s">
        <v>2435</v>
      </c>
      <c r="E7781" s="207" t="s">
        <v>266</v>
      </c>
      <c r="F7781" s="303" t="s">
        <v>19054</v>
      </c>
      <c r="G7781" s="160" t="s">
        <v>17323</v>
      </c>
      <c r="H7781" s="300">
        <v>6500</v>
      </c>
      <c r="I7781" s="209">
        <v>45347</v>
      </c>
      <c r="J7781" s="316" t="s">
        <v>19055</v>
      </c>
      <c r="K7781" s="160" t="s">
        <v>11084</v>
      </c>
      <c r="O7781" s="160" t="s">
        <v>467</v>
      </c>
      <c r="P7781" s="160" t="s">
        <v>67</v>
      </c>
      <c r="Q7781" s="160" t="s">
        <v>96</v>
      </c>
      <c r="R7781" s="160" t="s">
        <v>272</v>
      </c>
    </row>
    <row r="7782" spans="1:18" ht="69" customHeight="1">
      <c r="B7782" s="259">
        <f t="shared" si="47"/>
        <v>4921</v>
      </c>
      <c r="C7782" s="207" t="s">
        <v>13665</v>
      </c>
      <c r="D7782" s="303" t="s">
        <v>2907</v>
      </c>
      <c r="E7782" s="207" t="s">
        <v>266</v>
      </c>
      <c r="F7782" s="303" t="s">
        <v>19056</v>
      </c>
      <c r="G7782" s="160" t="s">
        <v>17323</v>
      </c>
      <c r="H7782" s="300">
        <v>6500</v>
      </c>
      <c r="I7782" s="209">
        <v>45347</v>
      </c>
      <c r="J7782" s="316" t="s">
        <v>19055</v>
      </c>
      <c r="K7782" s="160" t="s">
        <v>11084</v>
      </c>
      <c r="O7782" s="160" t="s">
        <v>467</v>
      </c>
      <c r="P7782" s="160" t="s">
        <v>67</v>
      </c>
      <c r="Q7782" s="160" t="s">
        <v>96</v>
      </c>
      <c r="R7782" s="160" t="s">
        <v>272</v>
      </c>
    </row>
    <row r="7783" spans="1:18" ht="69" customHeight="1">
      <c r="B7783" s="259">
        <f t="shared" si="47"/>
        <v>4922</v>
      </c>
      <c r="C7783" s="207" t="s">
        <v>13665</v>
      </c>
      <c r="D7783" s="303" t="s">
        <v>3164</v>
      </c>
      <c r="E7783" s="207" t="s">
        <v>266</v>
      </c>
      <c r="F7783" s="303" t="s">
        <v>19057</v>
      </c>
      <c r="G7783" s="160" t="s">
        <v>17323</v>
      </c>
      <c r="H7783" s="300">
        <v>6500</v>
      </c>
      <c r="I7783" s="209">
        <v>45347</v>
      </c>
      <c r="J7783" s="316" t="s">
        <v>19055</v>
      </c>
      <c r="K7783" s="160" t="s">
        <v>11084</v>
      </c>
      <c r="O7783" s="160" t="s">
        <v>467</v>
      </c>
      <c r="P7783" s="160" t="s">
        <v>67</v>
      </c>
      <c r="Q7783" s="160" t="s">
        <v>96</v>
      </c>
      <c r="R7783" s="160" t="s">
        <v>272</v>
      </c>
    </row>
    <row r="7784" spans="1:18" ht="69" customHeight="1">
      <c r="B7784" s="259">
        <f t="shared" si="47"/>
        <v>4923</v>
      </c>
      <c r="C7784" s="207" t="s">
        <v>13665</v>
      </c>
      <c r="D7784" s="303" t="s">
        <v>629</v>
      </c>
      <c r="E7784" s="207" t="s">
        <v>266</v>
      </c>
      <c r="F7784" s="303" t="s">
        <v>19058</v>
      </c>
      <c r="G7784" s="160" t="s">
        <v>17323</v>
      </c>
      <c r="H7784" s="300">
        <v>6500</v>
      </c>
      <c r="I7784" s="209">
        <v>45347</v>
      </c>
      <c r="J7784" s="316" t="s">
        <v>19055</v>
      </c>
      <c r="K7784" s="160" t="s">
        <v>11084</v>
      </c>
      <c r="O7784" s="160" t="s">
        <v>467</v>
      </c>
      <c r="P7784" s="160" t="s">
        <v>67</v>
      </c>
      <c r="Q7784" s="160" t="s">
        <v>96</v>
      </c>
      <c r="R7784" s="160" t="s">
        <v>272</v>
      </c>
    </row>
    <row r="7785" spans="1:18" ht="69" customHeight="1">
      <c r="B7785" s="259">
        <f t="shared" si="47"/>
        <v>4924</v>
      </c>
      <c r="C7785" s="207" t="s">
        <v>13665</v>
      </c>
      <c r="D7785" s="303" t="s">
        <v>8532</v>
      </c>
      <c r="E7785" s="207" t="s">
        <v>266</v>
      </c>
      <c r="F7785" s="303" t="s">
        <v>19059</v>
      </c>
      <c r="G7785" s="160" t="s">
        <v>17323</v>
      </c>
      <c r="H7785" s="300">
        <v>6500</v>
      </c>
      <c r="I7785" s="209">
        <v>45347</v>
      </c>
      <c r="J7785" s="316" t="s">
        <v>19055</v>
      </c>
      <c r="K7785" s="160" t="s">
        <v>11084</v>
      </c>
      <c r="O7785" s="160" t="s">
        <v>467</v>
      </c>
      <c r="P7785" s="160" t="s">
        <v>67</v>
      </c>
      <c r="Q7785" s="160" t="s">
        <v>96</v>
      </c>
      <c r="R7785" s="160" t="s">
        <v>272</v>
      </c>
    </row>
    <row r="7786" spans="1:18" ht="69" customHeight="1">
      <c r="B7786" s="52">
        <f t="shared" si="47"/>
        <v>4925</v>
      </c>
      <c r="C7786" s="191" t="s">
        <v>13435</v>
      </c>
      <c r="D7786" s="251" t="s">
        <v>18387</v>
      </c>
      <c r="E7786" s="191" t="s">
        <v>266</v>
      </c>
      <c r="F7786" s="251" t="s">
        <v>19060</v>
      </c>
      <c r="G7786" s="46" t="s">
        <v>19061</v>
      </c>
      <c r="H7786" s="534">
        <v>21000</v>
      </c>
      <c r="I7786" s="56">
        <v>45347</v>
      </c>
      <c r="J7786" s="199" t="s">
        <v>19062</v>
      </c>
      <c r="K7786" s="46"/>
      <c r="O7786" s="46" t="s">
        <v>1171</v>
      </c>
      <c r="P7786" s="46" t="s">
        <v>65</v>
      </c>
      <c r="Q7786" s="46" t="s">
        <v>13</v>
      </c>
      <c r="R7786" s="46" t="s">
        <v>272</v>
      </c>
    </row>
    <row r="7787" spans="1:18" ht="69" customHeight="1">
      <c r="B7787" s="52">
        <f t="shared" si="47"/>
        <v>4926</v>
      </c>
      <c r="C7787" s="191" t="s">
        <v>13435</v>
      </c>
      <c r="D7787" s="251" t="s">
        <v>19063</v>
      </c>
      <c r="E7787" s="191" t="s">
        <v>266</v>
      </c>
      <c r="F7787" s="251" t="s">
        <v>19064</v>
      </c>
      <c r="G7787" s="46" t="s">
        <v>19061</v>
      </c>
      <c r="H7787" s="534">
        <v>10500</v>
      </c>
      <c r="I7787" s="56">
        <v>45347</v>
      </c>
      <c r="J7787" s="199" t="s">
        <v>19062</v>
      </c>
      <c r="K7787" s="46"/>
      <c r="O7787" s="46" t="s">
        <v>1171</v>
      </c>
      <c r="P7787" s="46" t="s">
        <v>65</v>
      </c>
      <c r="Q7787" s="46" t="s">
        <v>13</v>
      </c>
      <c r="R7787" s="46" t="s">
        <v>272</v>
      </c>
    </row>
    <row r="7788" spans="1:18" ht="69" customHeight="1">
      <c r="B7788" s="62">
        <f t="shared" si="47"/>
        <v>4927</v>
      </c>
      <c r="C7788" s="59" t="s">
        <v>11933</v>
      </c>
      <c r="D7788" s="545" t="s">
        <v>19065</v>
      </c>
      <c r="E7788" s="58" t="s">
        <v>18616</v>
      </c>
      <c r="F7788" s="174" t="s">
        <v>19066</v>
      </c>
      <c r="G7788" s="58" t="s">
        <v>19067</v>
      </c>
      <c r="H7788" s="546">
        <v>92454.89</v>
      </c>
      <c r="I7788" s="47">
        <v>45347</v>
      </c>
      <c r="J7788" s="73" t="s">
        <v>19068</v>
      </c>
      <c r="K7788" s="67"/>
      <c r="O7788" s="62" t="s">
        <v>16639</v>
      </c>
      <c r="P7788" s="58" t="s">
        <v>57</v>
      </c>
      <c r="Q7788" s="45" t="s">
        <v>123</v>
      </c>
      <c r="R7788" s="45" t="s">
        <v>272</v>
      </c>
    </row>
    <row r="7789" spans="1:18" ht="69" customHeight="1">
      <c r="B7789" s="62">
        <f t="shared" si="47"/>
        <v>4928</v>
      </c>
      <c r="C7789" s="59" t="s">
        <v>16973</v>
      </c>
      <c r="D7789" s="545" t="s">
        <v>15494</v>
      </c>
      <c r="E7789" s="58" t="s">
        <v>18352</v>
      </c>
      <c r="F7789" s="174" t="s">
        <v>19069</v>
      </c>
      <c r="G7789" s="58" t="s">
        <v>19070</v>
      </c>
      <c r="H7789" s="546">
        <v>130829.25</v>
      </c>
      <c r="I7789" s="47">
        <v>45347</v>
      </c>
      <c r="J7789" s="73" t="s">
        <v>19071</v>
      </c>
      <c r="K7789" s="67"/>
      <c r="O7789" s="62" t="s">
        <v>17031</v>
      </c>
      <c r="P7789" s="58" t="s">
        <v>57</v>
      </c>
      <c r="Q7789" s="45" t="s">
        <v>113</v>
      </c>
      <c r="R7789" s="45" t="s">
        <v>272</v>
      </c>
    </row>
    <row r="7790" spans="1:18" ht="69" customHeight="1">
      <c r="B7790" s="62">
        <f t="shared" si="47"/>
        <v>4929</v>
      </c>
      <c r="C7790" s="59" t="s">
        <v>7189</v>
      </c>
      <c r="D7790" s="545" t="s">
        <v>4070</v>
      </c>
      <c r="E7790" s="58" t="s">
        <v>19072</v>
      </c>
      <c r="F7790" s="174" t="s">
        <v>19073</v>
      </c>
      <c r="G7790" s="58" t="s">
        <v>19070</v>
      </c>
      <c r="H7790" s="546">
        <v>91325.119999999995</v>
      </c>
      <c r="I7790" s="47">
        <v>45347</v>
      </c>
      <c r="J7790" s="73" t="s">
        <v>19074</v>
      </c>
      <c r="K7790" s="67"/>
      <c r="O7790" s="62" t="s">
        <v>208</v>
      </c>
      <c r="P7790" s="58" t="s">
        <v>57</v>
      </c>
      <c r="Q7790" s="45" t="s">
        <v>97</v>
      </c>
      <c r="R7790" s="45" t="s">
        <v>272</v>
      </c>
    </row>
    <row r="7791" spans="1:18" ht="69" customHeight="1">
      <c r="B7791" s="62">
        <f t="shared" si="47"/>
        <v>4930</v>
      </c>
      <c r="C7791" s="59" t="s">
        <v>309</v>
      </c>
      <c r="D7791" s="545" t="s">
        <v>14544</v>
      </c>
      <c r="E7791" s="58" t="s">
        <v>18110</v>
      </c>
      <c r="F7791" s="58" t="s">
        <v>19075</v>
      </c>
      <c r="G7791" s="58" t="s">
        <v>19076</v>
      </c>
      <c r="H7791" s="546">
        <v>3767.13</v>
      </c>
      <c r="I7791" s="47">
        <v>45347</v>
      </c>
      <c r="J7791" s="73" t="s">
        <v>19077</v>
      </c>
      <c r="K7791" s="67"/>
      <c r="O7791" s="62" t="s">
        <v>150</v>
      </c>
      <c r="P7791" s="58" t="s">
        <v>51</v>
      </c>
      <c r="Q7791" s="45" t="s">
        <v>35</v>
      </c>
      <c r="R7791" s="45" t="s">
        <v>272</v>
      </c>
    </row>
    <row r="7792" spans="1:18" ht="69" customHeight="1">
      <c r="B7792" s="62">
        <f t="shared" si="47"/>
        <v>4931</v>
      </c>
      <c r="C7792" s="59" t="s">
        <v>309</v>
      </c>
      <c r="D7792" s="545" t="s">
        <v>19078</v>
      </c>
      <c r="E7792" s="58" t="s">
        <v>18110</v>
      </c>
      <c r="F7792" s="58" t="s">
        <v>19079</v>
      </c>
      <c r="G7792" s="58" t="s">
        <v>19076</v>
      </c>
      <c r="H7792" s="546">
        <v>3767.13</v>
      </c>
      <c r="I7792" s="47">
        <v>45347</v>
      </c>
      <c r="J7792" s="73" t="s">
        <v>19077</v>
      </c>
      <c r="K7792" s="67"/>
      <c r="O7792" s="62" t="s">
        <v>150</v>
      </c>
      <c r="P7792" s="58" t="s">
        <v>51</v>
      </c>
      <c r="Q7792" s="45" t="s">
        <v>37</v>
      </c>
      <c r="R7792" s="45" t="s">
        <v>272</v>
      </c>
    </row>
    <row r="7793" spans="2:18" ht="69" customHeight="1">
      <c r="B7793" s="62">
        <f t="shared" si="47"/>
        <v>4932</v>
      </c>
      <c r="C7793" s="59" t="s">
        <v>3667</v>
      </c>
      <c r="D7793" s="545" t="s">
        <v>19080</v>
      </c>
      <c r="E7793" s="58" t="s">
        <v>18110</v>
      </c>
      <c r="F7793" s="58" t="s">
        <v>19081</v>
      </c>
      <c r="G7793" s="58" t="s">
        <v>19076</v>
      </c>
      <c r="H7793" s="546">
        <v>1559.99</v>
      </c>
      <c r="I7793" s="47">
        <v>45347</v>
      </c>
      <c r="J7793" s="73" t="s">
        <v>19077</v>
      </c>
      <c r="K7793" s="67"/>
      <c r="O7793" s="62" t="s">
        <v>150</v>
      </c>
      <c r="P7793" s="58" t="s">
        <v>51</v>
      </c>
      <c r="Q7793" s="45" t="s">
        <v>72</v>
      </c>
      <c r="R7793" s="45" t="s">
        <v>272</v>
      </c>
    </row>
    <row r="7794" spans="2:18" ht="69" customHeight="1">
      <c r="B7794" s="62">
        <f t="shared" si="47"/>
        <v>4933</v>
      </c>
      <c r="C7794" s="59" t="s">
        <v>3667</v>
      </c>
      <c r="D7794" s="545" t="s">
        <v>19082</v>
      </c>
      <c r="E7794" s="58" t="s">
        <v>18110</v>
      </c>
      <c r="F7794" s="58" t="s">
        <v>19083</v>
      </c>
      <c r="G7794" s="58" t="s">
        <v>19076</v>
      </c>
      <c r="H7794" s="198">
        <v>2054.02</v>
      </c>
      <c r="I7794" s="47">
        <v>45347</v>
      </c>
      <c r="J7794" s="73" t="s">
        <v>19077</v>
      </c>
      <c r="K7794" s="67"/>
      <c r="O7794" s="62" t="s">
        <v>150</v>
      </c>
      <c r="P7794" s="58" t="s">
        <v>51</v>
      </c>
      <c r="Q7794" s="45" t="s">
        <v>86</v>
      </c>
      <c r="R7794" s="45" t="s">
        <v>272</v>
      </c>
    </row>
    <row r="7795" spans="2:18" ht="69" customHeight="1">
      <c r="B7795" s="62">
        <f t="shared" si="47"/>
        <v>4934</v>
      </c>
      <c r="C7795" s="59" t="s">
        <v>3667</v>
      </c>
      <c r="D7795" s="545" t="s">
        <v>19084</v>
      </c>
      <c r="E7795" s="58" t="s">
        <v>18110</v>
      </c>
      <c r="F7795" s="58" t="s">
        <v>19085</v>
      </c>
      <c r="G7795" s="58" t="s">
        <v>19076</v>
      </c>
      <c r="H7795" s="546">
        <v>2053.5100000000002</v>
      </c>
      <c r="I7795" s="47">
        <v>45347</v>
      </c>
      <c r="J7795" s="73" t="s">
        <v>19077</v>
      </c>
      <c r="K7795" s="67"/>
      <c r="O7795" s="62" t="s">
        <v>150</v>
      </c>
      <c r="P7795" s="58" t="s">
        <v>51</v>
      </c>
      <c r="Q7795" s="45" t="s">
        <v>64</v>
      </c>
      <c r="R7795" s="45" t="s">
        <v>272</v>
      </c>
    </row>
    <row r="7796" spans="2:18" ht="69" customHeight="1">
      <c r="B7796" s="62">
        <f t="shared" si="47"/>
        <v>4935</v>
      </c>
      <c r="C7796" s="59" t="s">
        <v>3667</v>
      </c>
      <c r="D7796" s="545" t="s">
        <v>19086</v>
      </c>
      <c r="E7796" s="58" t="s">
        <v>18110</v>
      </c>
      <c r="F7796" s="58" t="s">
        <v>19087</v>
      </c>
      <c r="G7796" s="58" t="s">
        <v>19076</v>
      </c>
      <c r="H7796" s="546">
        <v>2051.2800000000002</v>
      </c>
      <c r="I7796" s="47">
        <v>45347</v>
      </c>
      <c r="J7796" s="73" t="s">
        <v>19077</v>
      </c>
      <c r="K7796" s="67"/>
      <c r="O7796" s="62" t="s">
        <v>150</v>
      </c>
      <c r="P7796" s="58" t="s">
        <v>51</v>
      </c>
      <c r="Q7796" s="45" t="s">
        <v>68</v>
      </c>
      <c r="R7796" s="45" t="s">
        <v>272</v>
      </c>
    </row>
    <row r="7797" spans="2:18" ht="69" customHeight="1">
      <c r="B7797" s="62">
        <f t="shared" si="47"/>
        <v>4936</v>
      </c>
      <c r="C7797" s="45" t="s">
        <v>458</v>
      </c>
      <c r="D7797" s="545" t="s">
        <v>19088</v>
      </c>
      <c r="E7797" s="58" t="s">
        <v>18110</v>
      </c>
      <c r="F7797" s="58" t="s">
        <v>19089</v>
      </c>
      <c r="G7797" s="58" t="s">
        <v>19076</v>
      </c>
      <c r="H7797" s="546">
        <v>2478</v>
      </c>
      <c r="I7797" s="47">
        <v>45347</v>
      </c>
      <c r="J7797" s="73" t="s">
        <v>19077</v>
      </c>
      <c r="K7797" s="67"/>
      <c r="O7797" s="62" t="s">
        <v>150</v>
      </c>
      <c r="P7797" s="58" t="s">
        <v>51</v>
      </c>
      <c r="Q7797" s="45" t="s">
        <v>105</v>
      </c>
      <c r="R7797" s="45" t="s">
        <v>272</v>
      </c>
    </row>
    <row r="7798" spans="2:18" ht="69" customHeight="1">
      <c r="B7798" s="52">
        <f t="shared" si="47"/>
        <v>4937</v>
      </c>
      <c r="C7798" s="191" t="s">
        <v>13562</v>
      </c>
      <c r="D7798" s="251" t="s">
        <v>15499</v>
      </c>
      <c r="E7798" s="191" t="s">
        <v>266</v>
      </c>
      <c r="F7798" s="46" t="s">
        <v>19090</v>
      </c>
      <c r="G7798" s="46" t="s">
        <v>19091</v>
      </c>
      <c r="H7798" s="534">
        <v>10000</v>
      </c>
      <c r="I7798" s="56">
        <v>45347</v>
      </c>
      <c r="J7798" s="199" t="s">
        <v>19092</v>
      </c>
      <c r="K7798" s="46"/>
      <c r="O7798" s="52" t="s">
        <v>19093</v>
      </c>
      <c r="P7798" s="46" t="s">
        <v>65</v>
      </c>
      <c r="Q7798" s="46" t="s">
        <v>88</v>
      </c>
      <c r="R7798" s="46" t="s">
        <v>272</v>
      </c>
    </row>
    <row r="7799" spans="2:18" ht="69" customHeight="1">
      <c r="B7799" s="62">
        <f t="shared" si="47"/>
        <v>4938</v>
      </c>
      <c r="C7799" s="128" t="s">
        <v>581</v>
      </c>
      <c r="D7799" s="545" t="s">
        <v>14576</v>
      </c>
      <c r="E7799" s="58" t="s">
        <v>19094</v>
      </c>
      <c r="F7799" s="58" t="s">
        <v>19095</v>
      </c>
      <c r="G7799" s="58" t="s">
        <v>19096</v>
      </c>
      <c r="H7799" s="546">
        <v>25000</v>
      </c>
      <c r="I7799" s="126">
        <v>45356</v>
      </c>
      <c r="J7799" s="73" t="s">
        <v>19097</v>
      </c>
      <c r="K7799" s="67"/>
      <c r="O7799" s="62" t="s">
        <v>441</v>
      </c>
      <c r="P7799" s="58" t="s">
        <v>22</v>
      </c>
      <c r="Q7799" s="45" t="s">
        <v>18</v>
      </c>
      <c r="R7799" s="45" t="s">
        <v>265</v>
      </c>
    </row>
    <row r="7800" spans="2:18" ht="69" customHeight="1">
      <c r="B7800" s="52">
        <f t="shared" si="47"/>
        <v>4939</v>
      </c>
      <c r="C7800" s="270" t="s">
        <v>581</v>
      </c>
      <c r="D7800" s="251" t="s">
        <v>14578</v>
      </c>
      <c r="E7800" s="191" t="s">
        <v>266</v>
      </c>
      <c r="F7800" s="46" t="s">
        <v>19098</v>
      </c>
      <c r="G7800" s="46" t="s">
        <v>17786</v>
      </c>
      <c r="H7800" s="534">
        <v>555.97</v>
      </c>
      <c r="I7800" s="56">
        <v>45356</v>
      </c>
      <c r="J7800" s="199" t="s">
        <v>19099</v>
      </c>
      <c r="K7800" s="46"/>
      <c r="O7800" s="52" t="s">
        <v>17250</v>
      </c>
      <c r="P7800" s="46" t="s">
        <v>65</v>
      </c>
      <c r="Q7800" s="46" t="s">
        <v>18</v>
      </c>
      <c r="R7800" s="46" t="s">
        <v>272</v>
      </c>
    </row>
    <row r="7801" spans="2:18" ht="69" customHeight="1">
      <c r="B7801" s="52">
        <f t="shared" si="47"/>
        <v>4940</v>
      </c>
      <c r="C7801" s="191" t="s">
        <v>13435</v>
      </c>
      <c r="D7801" s="251" t="s">
        <v>19100</v>
      </c>
      <c r="E7801" s="191" t="s">
        <v>266</v>
      </c>
      <c r="F7801" s="46" t="s">
        <v>19101</v>
      </c>
      <c r="G7801" s="46" t="s">
        <v>17786</v>
      </c>
      <c r="H7801" s="534">
        <v>555.97</v>
      </c>
      <c r="I7801" s="56">
        <v>45356</v>
      </c>
      <c r="J7801" s="199" t="s">
        <v>19102</v>
      </c>
      <c r="K7801" s="46"/>
      <c r="O7801" s="52" t="s">
        <v>17250</v>
      </c>
      <c r="P7801" s="46" t="s">
        <v>65</v>
      </c>
      <c r="Q7801" s="46" t="s">
        <v>13</v>
      </c>
      <c r="R7801" s="46" t="s">
        <v>272</v>
      </c>
    </row>
    <row r="7802" spans="2:18" ht="69" customHeight="1">
      <c r="B7802" s="62">
        <f t="shared" si="47"/>
        <v>4941</v>
      </c>
      <c r="C7802" s="128" t="s">
        <v>581</v>
      </c>
      <c r="D7802" s="545" t="s">
        <v>14580</v>
      </c>
      <c r="E7802" s="58" t="s">
        <v>19094</v>
      </c>
      <c r="F7802" s="58" t="s">
        <v>19103</v>
      </c>
      <c r="G7802" s="58" t="s">
        <v>19096</v>
      </c>
      <c r="H7802" s="546">
        <v>31800</v>
      </c>
      <c r="I7802" s="126">
        <v>45356</v>
      </c>
      <c r="J7802" s="73" t="s">
        <v>19104</v>
      </c>
      <c r="K7802" s="67"/>
      <c r="O7802" s="62" t="s">
        <v>441</v>
      </c>
      <c r="P7802" s="58" t="s">
        <v>22</v>
      </c>
      <c r="Q7802" s="45" t="s">
        <v>18</v>
      </c>
      <c r="R7802" s="45" t="s">
        <v>265</v>
      </c>
    </row>
    <row r="7803" spans="2:18" ht="69" customHeight="1">
      <c r="B7803" s="62">
        <f t="shared" si="47"/>
        <v>4942</v>
      </c>
      <c r="C7803" s="45" t="s">
        <v>458</v>
      </c>
      <c r="D7803" s="545" t="s">
        <v>15512</v>
      </c>
      <c r="E7803" s="58" t="s">
        <v>350</v>
      </c>
      <c r="F7803" s="58" t="s">
        <v>19105</v>
      </c>
      <c r="G7803" s="58" t="s">
        <v>19106</v>
      </c>
      <c r="H7803" s="546">
        <v>139000</v>
      </c>
      <c r="I7803" s="126">
        <v>45356</v>
      </c>
      <c r="J7803" s="73" t="s">
        <v>19107</v>
      </c>
      <c r="K7803" s="67"/>
      <c r="O7803" s="62" t="s">
        <v>141</v>
      </c>
      <c r="P7803" s="58" t="s">
        <v>19</v>
      </c>
      <c r="Q7803" s="45" t="s">
        <v>103</v>
      </c>
      <c r="R7803" s="45" t="s">
        <v>265</v>
      </c>
    </row>
    <row r="7804" spans="2:18" ht="69" customHeight="1">
      <c r="B7804" s="52">
        <f t="shared" si="47"/>
        <v>4943</v>
      </c>
      <c r="C7804" s="191" t="s">
        <v>7452</v>
      </c>
      <c r="D7804" s="251" t="s">
        <v>15521</v>
      </c>
      <c r="E7804" s="46" t="s">
        <v>19108</v>
      </c>
      <c r="F7804" s="46" t="s">
        <v>19109</v>
      </c>
      <c r="G7804" s="46" t="s">
        <v>19110</v>
      </c>
      <c r="H7804" s="534">
        <v>25263.3</v>
      </c>
      <c r="I7804" s="56">
        <v>45347</v>
      </c>
      <c r="J7804" s="199" t="s">
        <v>19111</v>
      </c>
      <c r="K7804" s="46"/>
      <c r="O7804" s="52" t="s">
        <v>208</v>
      </c>
      <c r="P7804" s="46" t="s">
        <v>65</v>
      </c>
      <c r="Q7804" s="46" t="s">
        <v>101</v>
      </c>
      <c r="R7804" s="46" t="s">
        <v>272</v>
      </c>
    </row>
    <row r="7805" spans="2:18" ht="69" customHeight="1">
      <c r="B7805" s="52">
        <f t="shared" si="47"/>
        <v>4944</v>
      </c>
      <c r="C7805" s="191" t="s">
        <v>7521</v>
      </c>
      <c r="D7805" s="251" t="s">
        <v>4699</v>
      </c>
      <c r="E7805" s="46" t="s">
        <v>19108</v>
      </c>
      <c r="F7805" s="46" t="s">
        <v>19112</v>
      </c>
      <c r="G7805" s="46" t="s">
        <v>19110</v>
      </c>
      <c r="H7805" s="534">
        <v>21734.400000000001</v>
      </c>
      <c r="I7805" s="56">
        <v>45347</v>
      </c>
      <c r="J7805" s="199" t="s">
        <v>19111</v>
      </c>
      <c r="K7805" s="46"/>
      <c r="O7805" s="52" t="s">
        <v>208</v>
      </c>
      <c r="P7805" s="46" t="s">
        <v>65</v>
      </c>
      <c r="Q7805" s="46" t="s">
        <v>102</v>
      </c>
      <c r="R7805" s="46" t="s">
        <v>272</v>
      </c>
    </row>
    <row r="7806" spans="2:18" ht="69" customHeight="1">
      <c r="B7806" s="259">
        <f t="shared" si="47"/>
        <v>4945</v>
      </c>
      <c r="C7806" s="160" t="s">
        <v>19113</v>
      </c>
      <c r="D7806" s="303" t="s">
        <v>9708</v>
      </c>
      <c r="E7806" s="160" t="s">
        <v>19114</v>
      </c>
      <c r="F7806" s="160" t="s">
        <v>19115</v>
      </c>
      <c r="G7806" s="160" t="s">
        <v>19116</v>
      </c>
      <c r="H7806" s="300">
        <v>13775.85</v>
      </c>
      <c r="I7806" s="209">
        <v>45347</v>
      </c>
      <c r="J7806" s="316" t="s">
        <v>19117</v>
      </c>
      <c r="K7806" s="160"/>
      <c r="O7806" s="259" t="s">
        <v>19118</v>
      </c>
      <c r="P7806" s="160" t="s">
        <v>67</v>
      </c>
      <c r="Q7806" s="160" t="s">
        <v>96</v>
      </c>
      <c r="R7806" s="160" t="s">
        <v>272</v>
      </c>
    </row>
    <row r="7807" spans="2:18" ht="69" customHeight="1">
      <c r="B7807" s="259">
        <f t="shared" si="47"/>
        <v>4946</v>
      </c>
      <c r="C7807" s="207" t="s">
        <v>657</v>
      </c>
      <c r="D7807" s="303" t="s">
        <v>13421</v>
      </c>
      <c r="E7807" s="160" t="s">
        <v>19114</v>
      </c>
      <c r="F7807" s="160" t="s">
        <v>19119</v>
      </c>
      <c r="G7807" s="160" t="s">
        <v>19116</v>
      </c>
      <c r="H7807" s="300">
        <v>7921.11</v>
      </c>
      <c r="I7807" s="209">
        <v>45347</v>
      </c>
      <c r="J7807" s="316" t="s">
        <v>19117</v>
      </c>
      <c r="K7807" s="160"/>
      <c r="O7807" s="259" t="s">
        <v>19118</v>
      </c>
      <c r="P7807" s="160" t="s">
        <v>67</v>
      </c>
      <c r="Q7807" s="160" t="s">
        <v>96</v>
      </c>
      <c r="R7807" s="160" t="s">
        <v>272</v>
      </c>
    </row>
    <row r="7808" spans="2:18" ht="69" customHeight="1">
      <c r="B7808" s="259">
        <f t="shared" si="47"/>
        <v>4947</v>
      </c>
      <c r="C7808" s="160" t="s">
        <v>458</v>
      </c>
      <c r="D7808" s="303" t="s">
        <v>15530</v>
      </c>
      <c r="E7808" s="160" t="s">
        <v>19114</v>
      </c>
      <c r="F7808" s="160" t="s">
        <v>19120</v>
      </c>
      <c r="G7808" s="160" t="s">
        <v>19116</v>
      </c>
      <c r="H7808" s="300">
        <v>12139.97</v>
      </c>
      <c r="I7808" s="209">
        <v>45347</v>
      </c>
      <c r="J7808" s="316" t="s">
        <v>19117</v>
      </c>
      <c r="K7808" s="160"/>
      <c r="O7808" s="259" t="s">
        <v>19118</v>
      </c>
      <c r="P7808" s="160" t="s">
        <v>67</v>
      </c>
      <c r="Q7808" s="160" t="s">
        <v>96</v>
      </c>
      <c r="R7808" s="160" t="s">
        <v>272</v>
      </c>
    </row>
    <row r="7809" spans="1:18" ht="69" customHeight="1">
      <c r="B7809" s="259">
        <f t="shared" si="47"/>
        <v>4948</v>
      </c>
      <c r="C7809" s="207" t="s">
        <v>309</v>
      </c>
      <c r="D7809" s="303" t="s">
        <v>14582</v>
      </c>
      <c r="E7809" s="160" t="s">
        <v>19114</v>
      </c>
      <c r="F7809" s="160" t="s">
        <v>19121</v>
      </c>
      <c r="G7809" s="160" t="s">
        <v>19116</v>
      </c>
      <c r="H7809" s="300">
        <v>9212.6</v>
      </c>
      <c r="I7809" s="209">
        <v>45347</v>
      </c>
      <c r="J7809" s="316" t="s">
        <v>19117</v>
      </c>
      <c r="K7809" s="160"/>
      <c r="O7809" s="259" t="s">
        <v>19118</v>
      </c>
      <c r="P7809" s="160" t="s">
        <v>67</v>
      </c>
      <c r="Q7809" s="160" t="s">
        <v>96</v>
      </c>
      <c r="R7809" s="160" t="s">
        <v>272</v>
      </c>
    </row>
    <row r="7810" spans="1:18" ht="69" customHeight="1">
      <c r="B7810" s="259">
        <f t="shared" si="47"/>
        <v>4949</v>
      </c>
      <c r="C7810" s="160" t="s">
        <v>458</v>
      </c>
      <c r="D7810" s="303" t="s">
        <v>15651</v>
      </c>
      <c r="E7810" s="160" t="s">
        <v>19114</v>
      </c>
      <c r="F7810" s="160" t="s">
        <v>19122</v>
      </c>
      <c r="G7810" s="160" t="s">
        <v>19123</v>
      </c>
      <c r="H7810" s="300">
        <v>2168.1799999999998</v>
      </c>
      <c r="I7810" s="209">
        <v>45356</v>
      </c>
      <c r="J7810" s="316" t="s">
        <v>19117</v>
      </c>
      <c r="K7810" s="160"/>
      <c r="O7810" s="259" t="s">
        <v>19118</v>
      </c>
      <c r="P7810" s="160" t="s">
        <v>67</v>
      </c>
      <c r="Q7810" s="160" t="s">
        <v>96</v>
      </c>
      <c r="R7810" s="160" t="s">
        <v>272</v>
      </c>
    </row>
    <row r="7811" spans="1:18" ht="69" customHeight="1">
      <c r="B7811" s="259">
        <f t="shared" si="47"/>
        <v>4950</v>
      </c>
      <c r="C7811" s="160" t="s">
        <v>19113</v>
      </c>
      <c r="D7811" s="303" t="s">
        <v>5671</v>
      </c>
      <c r="E7811" s="160" t="s">
        <v>19114</v>
      </c>
      <c r="F7811" s="160" t="s">
        <v>19124</v>
      </c>
      <c r="G7811" s="160" t="s">
        <v>19123</v>
      </c>
      <c r="H7811" s="300">
        <v>2460.35</v>
      </c>
      <c r="I7811" s="209">
        <v>45356</v>
      </c>
      <c r="J7811" s="316" t="s">
        <v>19117</v>
      </c>
      <c r="K7811" s="160"/>
      <c r="O7811" s="259" t="s">
        <v>19118</v>
      </c>
      <c r="P7811" s="160" t="s">
        <v>67</v>
      </c>
      <c r="Q7811" s="160" t="s">
        <v>96</v>
      </c>
      <c r="R7811" s="160" t="s">
        <v>272</v>
      </c>
    </row>
    <row r="7812" spans="1:18" ht="69" customHeight="1">
      <c r="B7812" s="259">
        <f t="shared" si="47"/>
        <v>4951</v>
      </c>
      <c r="C7812" s="207" t="s">
        <v>309</v>
      </c>
      <c r="D7812" s="303" t="s">
        <v>14834</v>
      </c>
      <c r="E7812" s="160" t="s">
        <v>19114</v>
      </c>
      <c r="F7812" s="160" t="s">
        <v>19125</v>
      </c>
      <c r="G7812" s="160" t="s">
        <v>19123</v>
      </c>
      <c r="H7812" s="300">
        <v>1645.36</v>
      </c>
      <c r="I7812" s="209">
        <v>45356</v>
      </c>
      <c r="J7812" s="316" t="s">
        <v>19117</v>
      </c>
      <c r="K7812" s="160"/>
      <c r="O7812" s="259" t="s">
        <v>19118</v>
      </c>
      <c r="P7812" s="160" t="s">
        <v>67</v>
      </c>
      <c r="Q7812" s="160" t="s">
        <v>96</v>
      </c>
      <c r="R7812" s="160" t="s">
        <v>272</v>
      </c>
    </row>
    <row r="7813" spans="1:18" ht="69" customHeight="1">
      <c r="B7813" s="259">
        <f t="shared" si="47"/>
        <v>4952</v>
      </c>
      <c r="C7813" s="207" t="s">
        <v>657</v>
      </c>
      <c r="D7813" s="303" t="s">
        <v>13076</v>
      </c>
      <c r="E7813" s="160" t="s">
        <v>19114</v>
      </c>
      <c r="F7813" s="160" t="s">
        <v>19126</v>
      </c>
      <c r="G7813" s="160" t="s">
        <v>19123</v>
      </c>
      <c r="H7813" s="300">
        <v>1414.7</v>
      </c>
      <c r="I7813" s="209">
        <v>45356</v>
      </c>
      <c r="J7813" s="316" t="s">
        <v>19117</v>
      </c>
      <c r="K7813" s="160"/>
      <c r="O7813" s="259" t="s">
        <v>19118</v>
      </c>
      <c r="P7813" s="160" t="s">
        <v>67</v>
      </c>
      <c r="Q7813" s="160" t="s">
        <v>96</v>
      </c>
      <c r="R7813" s="160" t="s">
        <v>272</v>
      </c>
    </row>
    <row r="7814" spans="1:18" s="98" customFormat="1" ht="69" customHeight="1">
      <c r="A7814" s="169"/>
      <c r="B7814" s="259">
        <f t="shared" si="47"/>
        <v>4953</v>
      </c>
      <c r="C7814" s="160" t="s">
        <v>16368</v>
      </c>
      <c r="D7814" s="303" t="s">
        <v>588</v>
      </c>
      <c r="E7814" s="160" t="s">
        <v>19114</v>
      </c>
      <c r="F7814" s="160" t="s">
        <v>19127</v>
      </c>
      <c r="G7814" s="160" t="s">
        <v>19128</v>
      </c>
      <c r="H7814" s="300">
        <v>16877.259999999998</v>
      </c>
      <c r="I7814" s="209">
        <v>45347</v>
      </c>
      <c r="J7814" s="316" t="s">
        <v>19129</v>
      </c>
      <c r="K7814" s="160" t="s">
        <v>19130</v>
      </c>
      <c r="O7814" s="259" t="s">
        <v>19131</v>
      </c>
      <c r="P7814" s="160" t="s">
        <v>67</v>
      </c>
      <c r="Q7814" s="160" t="s">
        <v>96</v>
      </c>
      <c r="R7814" s="160" t="s">
        <v>272</v>
      </c>
    </row>
    <row r="7815" spans="1:18" ht="69" customHeight="1">
      <c r="B7815" s="62">
        <f t="shared" si="47"/>
        <v>4954</v>
      </c>
      <c r="C7815" s="59" t="s">
        <v>458</v>
      </c>
      <c r="D7815" s="174" t="s">
        <v>15535</v>
      </c>
      <c r="E7815" s="45" t="s">
        <v>358</v>
      </c>
      <c r="F7815" s="45" t="s">
        <v>19132</v>
      </c>
      <c r="G7815" s="45" t="s">
        <v>19133</v>
      </c>
      <c r="H7815" s="546">
        <v>99376.09</v>
      </c>
      <c r="I7815" s="66">
        <v>45347</v>
      </c>
      <c r="J7815" s="73" t="s">
        <v>19134</v>
      </c>
      <c r="K7815" s="67"/>
      <c r="O7815" s="62" t="s">
        <v>141</v>
      </c>
      <c r="P7815" s="58" t="s">
        <v>19</v>
      </c>
      <c r="Q7815" s="45" t="s">
        <v>107</v>
      </c>
      <c r="R7815" s="45" t="s">
        <v>272</v>
      </c>
    </row>
    <row r="7816" spans="1:18" ht="69" customHeight="1">
      <c r="B7816" s="62">
        <f t="shared" si="47"/>
        <v>4955</v>
      </c>
      <c r="C7816" s="45" t="s">
        <v>458</v>
      </c>
      <c r="D7816" s="545" t="s">
        <v>15537</v>
      </c>
      <c r="E7816" s="45" t="s">
        <v>18110</v>
      </c>
      <c r="F7816" s="58" t="s">
        <v>19135</v>
      </c>
      <c r="G7816" s="58" t="s">
        <v>19136</v>
      </c>
      <c r="H7816" s="546">
        <v>2000</v>
      </c>
      <c r="I7816" s="66">
        <v>45347</v>
      </c>
      <c r="J7816" s="73" t="s">
        <v>19137</v>
      </c>
      <c r="K7816" s="67"/>
      <c r="O7816" s="62" t="s">
        <v>150</v>
      </c>
      <c r="P7816" s="58" t="s">
        <v>51</v>
      </c>
      <c r="Q7816" s="45" t="s">
        <v>105</v>
      </c>
      <c r="R7816" s="45" t="s">
        <v>272</v>
      </c>
    </row>
    <row r="7817" spans="1:18" ht="69" customHeight="1">
      <c r="B7817" s="62">
        <f t="shared" si="47"/>
        <v>4956</v>
      </c>
      <c r="C7817" s="59" t="s">
        <v>309</v>
      </c>
      <c r="D7817" s="545" t="s">
        <v>19138</v>
      </c>
      <c r="E7817" s="45" t="s">
        <v>18110</v>
      </c>
      <c r="F7817" s="58" t="s">
        <v>19139</v>
      </c>
      <c r="G7817" s="58" t="s">
        <v>19140</v>
      </c>
      <c r="H7817" s="546">
        <v>23180</v>
      </c>
      <c r="I7817" s="66">
        <v>45347</v>
      </c>
      <c r="J7817" s="73" t="s">
        <v>19137</v>
      </c>
      <c r="K7817" s="67"/>
      <c r="O7817" s="62" t="s">
        <v>150</v>
      </c>
      <c r="P7817" s="58" t="s">
        <v>51</v>
      </c>
      <c r="Q7817" s="45" t="s">
        <v>45</v>
      </c>
      <c r="R7817" s="45" t="s">
        <v>272</v>
      </c>
    </row>
    <row r="7818" spans="1:18" ht="69" customHeight="1">
      <c r="B7818" s="62">
        <f t="shared" si="47"/>
        <v>4957</v>
      </c>
      <c r="C7818" s="59" t="s">
        <v>458</v>
      </c>
      <c r="D7818" s="581" t="s">
        <v>19141</v>
      </c>
      <c r="E7818" s="45" t="s">
        <v>18110</v>
      </c>
      <c r="F7818" s="569" t="s">
        <v>19142</v>
      </c>
      <c r="G7818" s="45" t="s">
        <v>13694</v>
      </c>
      <c r="H7818" s="546">
        <v>2478</v>
      </c>
      <c r="I7818" s="66">
        <v>45347</v>
      </c>
      <c r="J7818" s="73" t="s">
        <v>19143</v>
      </c>
      <c r="K7818" s="67"/>
      <c r="O7818" s="62" t="s">
        <v>150</v>
      </c>
      <c r="P7818" s="58" t="s">
        <v>51</v>
      </c>
      <c r="Q7818" s="45" t="s">
        <v>114</v>
      </c>
      <c r="R7818" s="45" t="s">
        <v>272</v>
      </c>
    </row>
    <row r="7819" spans="1:18" ht="69" customHeight="1">
      <c r="B7819" s="259">
        <f t="shared" si="47"/>
        <v>4958</v>
      </c>
      <c r="C7819" s="160" t="s">
        <v>18776</v>
      </c>
      <c r="D7819" s="303" t="s">
        <v>19144</v>
      </c>
      <c r="E7819" s="160" t="s">
        <v>19114</v>
      </c>
      <c r="F7819" s="160" t="s">
        <v>19145</v>
      </c>
      <c r="G7819" s="160" t="s">
        <v>19146</v>
      </c>
      <c r="H7819" s="300">
        <v>950</v>
      </c>
      <c r="I7819" s="209">
        <v>45347</v>
      </c>
      <c r="J7819" s="316" t="s">
        <v>19147</v>
      </c>
      <c r="K7819" s="160"/>
      <c r="O7819" s="259"/>
      <c r="P7819" s="160" t="s">
        <v>67</v>
      </c>
      <c r="Q7819" s="160" t="s">
        <v>96</v>
      </c>
      <c r="R7819" s="160" t="s">
        <v>272</v>
      </c>
    </row>
    <row r="7820" spans="1:18" ht="69" customHeight="1">
      <c r="B7820" s="52">
        <f t="shared" si="47"/>
        <v>4959</v>
      </c>
      <c r="C7820" s="191" t="s">
        <v>309</v>
      </c>
      <c r="D7820" s="251" t="s">
        <v>14631</v>
      </c>
      <c r="E7820" s="46" t="s">
        <v>19114</v>
      </c>
      <c r="F7820" s="46" t="s">
        <v>19148</v>
      </c>
      <c r="G7820" s="46" t="s">
        <v>19149</v>
      </c>
      <c r="H7820" s="534">
        <v>2900</v>
      </c>
      <c r="I7820" s="56">
        <v>45356</v>
      </c>
      <c r="J7820" s="199" t="s">
        <v>19150</v>
      </c>
      <c r="K7820" s="46"/>
      <c r="O7820" s="46" t="s">
        <v>16879</v>
      </c>
      <c r="P7820" s="46" t="s">
        <v>65</v>
      </c>
      <c r="Q7820" s="46" t="s">
        <v>23</v>
      </c>
      <c r="R7820" s="46" t="s">
        <v>272</v>
      </c>
    </row>
    <row r="7821" spans="1:18" ht="69" customHeight="1">
      <c r="B7821" s="52">
        <f t="shared" si="47"/>
        <v>4960</v>
      </c>
      <c r="C7821" s="191" t="s">
        <v>309</v>
      </c>
      <c r="D7821" s="251" t="s">
        <v>14642</v>
      </c>
      <c r="E7821" s="46" t="s">
        <v>19114</v>
      </c>
      <c r="F7821" s="46" t="s">
        <v>19151</v>
      </c>
      <c r="G7821" s="46" t="s">
        <v>19149</v>
      </c>
      <c r="H7821" s="534">
        <v>2600</v>
      </c>
      <c r="I7821" s="56">
        <v>45356</v>
      </c>
      <c r="J7821" s="199" t="s">
        <v>19150</v>
      </c>
      <c r="K7821" s="46"/>
      <c r="O7821" s="52"/>
      <c r="P7821" s="46" t="s">
        <v>65</v>
      </c>
      <c r="Q7821" s="46" t="s">
        <v>39</v>
      </c>
      <c r="R7821" s="46" t="s">
        <v>272</v>
      </c>
    </row>
    <row r="7822" spans="1:18" ht="69" customHeight="1">
      <c r="B7822" s="52">
        <f t="shared" si="47"/>
        <v>4961</v>
      </c>
      <c r="C7822" s="191" t="s">
        <v>309</v>
      </c>
      <c r="D7822" s="251" t="s">
        <v>19152</v>
      </c>
      <c r="E7822" s="46" t="s">
        <v>19114</v>
      </c>
      <c r="F7822" s="46" t="s">
        <v>19153</v>
      </c>
      <c r="G7822" s="46" t="s">
        <v>19149</v>
      </c>
      <c r="H7822" s="534">
        <v>1100</v>
      </c>
      <c r="I7822" s="56">
        <v>45356</v>
      </c>
      <c r="J7822" s="199" t="s">
        <v>19150</v>
      </c>
      <c r="K7822" s="46"/>
      <c r="O7822" s="52"/>
      <c r="P7822" s="46" t="s">
        <v>65</v>
      </c>
      <c r="Q7822" s="46" t="s">
        <v>41</v>
      </c>
      <c r="R7822" s="46" t="s">
        <v>272</v>
      </c>
    </row>
    <row r="7823" spans="1:18" ht="69" customHeight="1">
      <c r="B7823" s="62">
        <f t="shared" si="47"/>
        <v>4962</v>
      </c>
      <c r="C7823" s="59" t="s">
        <v>13562</v>
      </c>
      <c r="D7823" s="174" t="s">
        <v>19154</v>
      </c>
      <c r="E7823" s="58" t="s">
        <v>17391</v>
      </c>
      <c r="F7823" s="45" t="s">
        <v>19155</v>
      </c>
      <c r="G7823" s="45" t="s">
        <v>19156</v>
      </c>
      <c r="H7823" s="546">
        <v>137746.41</v>
      </c>
      <c r="I7823" s="126">
        <v>45356</v>
      </c>
      <c r="J7823" s="73" t="s">
        <v>19157</v>
      </c>
      <c r="K7823" s="67"/>
      <c r="O7823" s="62" t="s">
        <v>16639</v>
      </c>
      <c r="P7823" s="58" t="s">
        <v>57</v>
      </c>
      <c r="Q7823" s="45" t="s">
        <v>88</v>
      </c>
      <c r="R7823" s="45" t="s">
        <v>272</v>
      </c>
    </row>
    <row r="7824" spans="1:18" ht="69" customHeight="1">
      <c r="B7824" s="62">
        <v>4963</v>
      </c>
      <c r="C7824" s="45" t="s">
        <v>19158</v>
      </c>
      <c r="D7824" s="84" t="s">
        <v>706</v>
      </c>
      <c r="E7824" s="58" t="s">
        <v>19114</v>
      </c>
      <c r="F7824" s="210" t="s">
        <v>19159</v>
      </c>
      <c r="G7824" s="58" t="s">
        <v>19160</v>
      </c>
      <c r="H7824" s="546">
        <v>132.24</v>
      </c>
      <c r="I7824" s="126">
        <v>45347</v>
      </c>
      <c r="J7824" s="73" t="s">
        <v>19161</v>
      </c>
      <c r="K7824" s="67"/>
      <c r="O7824" s="52" t="s">
        <v>5969</v>
      </c>
      <c r="P7824" s="46" t="s">
        <v>44</v>
      </c>
      <c r="Q7824" s="46" t="s">
        <v>96</v>
      </c>
      <c r="R7824" s="46" t="s">
        <v>272</v>
      </c>
    </row>
    <row r="7825" spans="2:18" ht="69" customHeight="1">
      <c r="B7825" s="62">
        <f t="shared" ref="B7825:B7888" si="48">B7824+1</f>
        <v>4964</v>
      </c>
      <c r="C7825" s="45" t="s">
        <v>19158</v>
      </c>
      <c r="D7825" s="84" t="s">
        <v>4418</v>
      </c>
      <c r="E7825" s="58" t="s">
        <v>19114</v>
      </c>
      <c r="F7825" s="210" t="s">
        <v>19162</v>
      </c>
      <c r="G7825" s="58" t="s">
        <v>19160</v>
      </c>
      <c r="H7825" s="546">
        <v>659.96</v>
      </c>
      <c r="I7825" s="126">
        <v>45347</v>
      </c>
      <c r="J7825" s="73" t="s">
        <v>19161</v>
      </c>
      <c r="K7825" s="67"/>
      <c r="O7825" s="52" t="s">
        <v>5969</v>
      </c>
      <c r="P7825" s="46" t="s">
        <v>44</v>
      </c>
      <c r="Q7825" s="46" t="s">
        <v>96</v>
      </c>
      <c r="R7825" s="46" t="s">
        <v>272</v>
      </c>
    </row>
    <row r="7826" spans="2:18" ht="69" customHeight="1">
      <c r="B7826" s="62">
        <f t="shared" si="48"/>
        <v>4965</v>
      </c>
      <c r="C7826" s="45" t="s">
        <v>19158</v>
      </c>
      <c r="D7826" s="84" t="s">
        <v>6750</v>
      </c>
      <c r="E7826" s="58" t="s">
        <v>19114</v>
      </c>
      <c r="F7826" s="210" t="s">
        <v>19163</v>
      </c>
      <c r="G7826" s="58" t="s">
        <v>19160</v>
      </c>
      <c r="H7826" s="546">
        <v>274.08</v>
      </c>
      <c r="I7826" s="126">
        <v>45347</v>
      </c>
      <c r="J7826" s="73" t="s">
        <v>19161</v>
      </c>
      <c r="K7826" s="67"/>
      <c r="O7826" s="52" t="s">
        <v>5969</v>
      </c>
      <c r="P7826" s="46" t="s">
        <v>44</v>
      </c>
      <c r="Q7826" s="46" t="s">
        <v>96</v>
      </c>
      <c r="R7826" s="46" t="s">
        <v>272</v>
      </c>
    </row>
    <row r="7827" spans="2:18" ht="69" customHeight="1">
      <c r="B7827" s="62">
        <f t="shared" si="48"/>
        <v>4966</v>
      </c>
      <c r="C7827" s="58" t="s">
        <v>13665</v>
      </c>
      <c r="D7827" s="545" t="s">
        <v>7030</v>
      </c>
      <c r="E7827" s="58" t="s">
        <v>19114</v>
      </c>
      <c r="F7827" s="210" t="s">
        <v>19164</v>
      </c>
      <c r="G7827" s="58" t="s">
        <v>19160</v>
      </c>
      <c r="H7827" s="546">
        <v>659.96</v>
      </c>
      <c r="I7827" s="126">
        <v>45347</v>
      </c>
      <c r="J7827" s="73" t="s">
        <v>19161</v>
      </c>
      <c r="K7827" s="67"/>
      <c r="O7827" s="52" t="s">
        <v>5969</v>
      </c>
      <c r="P7827" s="46" t="s">
        <v>44</v>
      </c>
      <c r="Q7827" s="46" t="s">
        <v>96</v>
      </c>
      <c r="R7827" s="46" t="s">
        <v>272</v>
      </c>
    </row>
    <row r="7828" spans="2:18" ht="69" customHeight="1">
      <c r="B7828" s="62">
        <f t="shared" si="48"/>
        <v>4967</v>
      </c>
      <c r="C7828" s="58" t="s">
        <v>13665</v>
      </c>
      <c r="D7828" s="545" t="s">
        <v>10525</v>
      </c>
      <c r="E7828" s="58" t="s">
        <v>19114</v>
      </c>
      <c r="F7828" s="210" t="s">
        <v>19165</v>
      </c>
      <c r="G7828" s="58" t="s">
        <v>19160</v>
      </c>
      <c r="H7828" s="546">
        <v>3.66</v>
      </c>
      <c r="I7828" s="126">
        <v>45347</v>
      </c>
      <c r="J7828" s="73" t="s">
        <v>19161</v>
      </c>
      <c r="K7828" s="67"/>
      <c r="O7828" s="52" t="s">
        <v>5969</v>
      </c>
      <c r="P7828" s="46" t="s">
        <v>44</v>
      </c>
      <c r="Q7828" s="46" t="s">
        <v>96</v>
      </c>
      <c r="R7828" s="46" t="s">
        <v>272</v>
      </c>
    </row>
    <row r="7829" spans="2:18" ht="69" customHeight="1">
      <c r="B7829" s="62">
        <f t="shared" si="48"/>
        <v>4968</v>
      </c>
      <c r="C7829" s="58" t="s">
        <v>13665</v>
      </c>
      <c r="D7829" s="545" t="s">
        <v>920</v>
      </c>
      <c r="E7829" s="58" t="s">
        <v>19114</v>
      </c>
      <c r="F7829" s="210" t="s">
        <v>19166</v>
      </c>
      <c r="G7829" s="58" t="s">
        <v>19160</v>
      </c>
      <c r="H7829" s="546">
        <v>2.35</v>
      </c>
      <c r="I7829" s="126">
        <v>45347</v>
      </c>
      <c r="J7829" s="73" t="s">
        <v>19161</v>
      </c>
      <c r="K7829" s="67"/>
      <c r="O7829" s="52" t="s">
        <v>5969</v>
      </c>
      <c r="P7829" s="46" t="s">
        <v>44</v>
      </c>
      <c r="Q7829" s="46" t="s">
        <v>96</v>
      </c>
      <c r="R7829" s="46" t="s">
        <v>272</v>
      </c>
    </row>
    <row r="7830" spans="2:18" ht="69" customHeight="1">
      <c r="B7830" s="62">
        <f t="shared" si="48"/>
        <v>4969</v>
      </c>
      <c r="C7830" s="58" t="s">
        <v>13665</v>
      </c>
      <c r="D7830" s="545" t="s">
        <v>1978</v>
      </c>
      <c r="E7830" s="58" t="s">
        <v>19114</v>
      </c>
      <c r="F7830" s="210" t="s">
        <v>19167</v>
      </c>
      <c r="G7830" s="58" t="s">
        <v>19160</v>
      </c>
      <c r="H7830" s="546">
        <v>686.36</v>
      </c>
      <c r="I7830" s="126">
        <v>45347</v>
      </c>
      <c r="J7830" s="73" t="s">
        <v>19161</v>
      </c>
      <c r="K7830" s="67"/>
      <c r="O7830" s="52" t="s">
        <v>5969</v>
      </c>
      <c r="P7830" s="46" t="s">
        <v>44</v>
      </c>
      <c r="Q7830" s="46" t="s">
        <v>96</v>
      </c>
      <c r="R7830" s="46" t="s">
        <v>272</v>
      </c>
    </row>
    <row r="7831" spans="2:18" ht="69" customHeight="1">
      <c r="B7831" s="62">
        <f t="shared" si="48"/>
        <v>4970</v>
      </c>
      <c r="C7831" s="58" t="s">
        <v>13665</v>
      </c>
      <c r="D7831" s="545" t="s">
        <v>1687</v>
      </c>
      <c r="E7831" s="58" t="s">
        <v>19114</v>
      </c>
      <c r="F7831" s="210" t="s">
        <v>19168</v>
      </c>
      <c r="G7831" s="58" t="s">
        <v>19160</v>
      </c>
      <c r="H7831" s="546">
        <v>733.88</v>
      </c>
      <c r="I7831" s="126">
        <v>45347</v>
      </c>
      <c r="J7831" s="73" t="s">
        <v>19161</v>
      </c>
      <c r="K7831" s="67"/>
      <c r="O7831" s="52" t="s">
        <v>5969</v>
      </c>
      <c r="P7831" s="46" t="s">
        <v>44</v>
      </c>
      <c r="Q7831" s="46" t="s">
        <v>96</v>
      </c>
      <c r="R7831" s="46" t="s">
        <v>272</v>
      </c>
    </row>
    <row r="7832" spans="2:18" ht="69" customHeight="1">
      <c r="B7832" s="62">
        <f t="shared" si="48"/>
        <v>4971</v>
      </c>
      <c r="C7832" s="58" t="s">
        <v>13665</v>
      </c>
      <c r="D7832" s="545" t="s">
        <v>2209</v>
      </c>
      <c r="E7832" s="58" t="s">
        <v>19114</v>
      </c>
      <c r="F7832" s="210" t="s">
        <v>19169</v>
      </c>
      <c r="G7832" s="58" t="s">
        <v>19160</v>
      </c>
      <c r="H7832" s="546">
        <v>3749.39</v>
      </c>
      <c r="I7832" s="126">
        <v>45347</v>
      </c>
      <c r="J7832" s="73" t="s">
        <v>19161</v>
      </c>
      <c r="K7832" s="67"/>
      <c r="O7832" s="52" t="s">
        <v>5969</v>
      </c>
      <c r="P7832" s="46" t="s">
        <v>44</v>
      </c>
      <c r="Q7832" s="46" t="s">
        <v>96</v>
      </c>
      <c r="R7832" s="46" t="s">
        <v>272</v>
      </c>
    </row>
    <row r="7833" spans="2:18" ht="69" customHeight="1">
      <c r="B7833" s="62">
        <f t="shared" si="48"/>
        <v>4972</v>
      </c>
      <c r="C7833" s="58" t="s">
        <v>13665</v>
      </c>
      <c r="D7833" s="545" t="s">
        <v>2438</v>
      </c>
      <c r="E7833" s="58" t="s">
        <v>19114</v>
      </c>
      <c r="F7833" s="210" t="s">
        <v>19170</v>
      </c>
      <c r="G7833" s="58" t="s">
        <v>19160</v>
      </c>
      <c r="H7833" s="546">
        <v>1185.33</v>
      </c>
      <c r="I7833" s="126">
        <v>45347</v>
      </c>
      <c r="J7833" s="73" t="s">
        <v>19161</v>
      </c>
      <c r="K7833" s="67"/>
      <c r="O7833" s="52" t="s">
        <v>5969</v>
      </c>
      <c r="P7833" s="46" t="s">
        <v>44</v>
      </c>
      <c r="Q7833" s="46" t="s">
        <v>96</v>
      </c>
      <c r="R7833" s="46" t="s">
        <v>272</v>
      </c>
    </row>
    <row r="7834" spans="2:18" ht="69" customHeight="1">
      <c r="B7834" s="62">
        <f t="shared" si="48"/>
        <v>4973</v>
      </c>
      <c r="C7834" s="44" t="s">
        <v>11055</v>
      </c>
      <c r="D7834" s="84" t="s">
        <v>14646</v>
      </c>
      <c r="E7834" s="55" t="s">
        <v>10553</v>
      </c>
      <c r="F7834" s="45" t="s">
        <v>19171</v>
      </c>
      <c r="G7834" s="58" t="s">
        <v>19172</v>
      </c>
      <c r="H7834" s="546">
        <v>156801.82</v>
      </c>
      <c r="I7834" s="126">
        <v>45347</v>
      </c>
      <c r="J7834" s="73" t="s">
        <v>19173</v>
      </c>
      <c r="K7834" s="67"/>
      <c r="O7834" s="62" t="s">
        <v>147</v>
      </c>
      <c r="P7834" s="58" t="s">
        <v>22</v>
      </c>
      <c r="Q7834" s="45" t="s">
        <v>45</v>
      </c>
      <c r="R7834" s="45" t="s">
        <v>272</v>
      </c>
    </row>
    <row r="7835" spans="2:18" ht="69" customHeight="1">
      <c r="B7835" s="62">
        <f t="shared" si="48"/>
        <v>4974</v>
      </c>
      <c r="C7835" s="59" t="s">
        <v>458</v>
      </c>
      <c r="D7835" s="545" t="s">
        <v>15560</v>
      </c>
      <c r="E7835" s="178" t="s">
        <v>7890</v>
      </c>
      <c r="F7835" s="45" t="s">
        <v>19174</v>
      </c>
      <c r="G7835" s="58" t="s">
        <v>19175</v>
      </c>
      <c r="H7835" s="546">
        <v>50328.82</v>
      </c>
      <c r="I7835" s="126">
        <v>45356</v>
      </c>
      <c r="J7835" s="73" t="s">
        <v>19176</v>
      </c>
      <c r="K7835" s="67"/>
      <c r="O7835" s="45" t="s">
        <v>1171</v>
      </c>
      <c r="P7835" s="58" t="s">
        <v>22</v>
      </c>
      <c r="Q7835" s="45" t="s">
        <v>123</v>
      </c>
      <c r="R7835" s="45" t="s">
        <v>265</v>
      </c>
    </row>
    <row r="7836" spans="2:18" ht="69" customHeight="1">
      <c r="B7836" s="62">
        <f t="shared" si="48"/>
        <v>4975</v>
      </c>
      <c r="C7836" s="59" t="s">
        <v>458</v>
      </c>
      <c r="D7836" s="545" t="s">
        <v>15576</v>
      </c>
      <c r="E7836" s="55" t="s">
        <v>19177</v>
      </c>
      <c r="F7836" s="45" t="s">
        <v>19178</v>
      </c>
      <c r="G7836" s="58" t="s">
        <v>19175</v>
      </c>
      <c r="H7836" s="546">
        <v>40000</v>
      </c>
      <c r="I7836" s="126">
        <v>45356</v>
      </c>
      <c r="J7836" s="73" t="s">
        <v>19176</v>
      </c>
      <c r="K7836" s="67"/>
      <c r="O7836" s="45" t="s">
        <v>1171</v>
      </c>
      <c r="P7836" s="58" t="s">
        <v>22</v>
      </c>
      <c r="Q7836" s="45" t="s">
        <v>103</v>
      </c>
      <c r="R7836" s="45" t="s">
        <v>265</v>
      </c>
    </row>
    <row r="7837" spans="2:18" ht="69" customHeight="1">
      <c r="B7837" s="62">
        <f t="shared" si="48"/>
        <v>4976</v>
      </c>
      <c r="C7837" s="59" t="s">
        <v>458</v>
      </c>
      <c r="D7837" s="545" t="s">
        <v>15444</v>
      </c>
      <c r="E7837" s="55" t="s">
        <v>19177</v>
      </c>
      <c r="F7837" s="45" t="s">
        <v>19179</v>
      </c>
      <c r="G7837" s="58" t="s">
        <v>19175</v>
      </c>
      <c r="H7837" s="546">
        <v>45904.82</v>
      </c>
      <c r="I7837" s="126">
        <v>45356</v>
      </c>
      <c r="J7837" s="73" t="s">
        <v>19176</v>
      </c>
      <c r="K7837" s="67"/>
      <c r="O7837" s="45" t="s">
        <v>1171</v>
      </c>
      <c r="P7837" s="58" t="s">
        <v>22</v>
      </c>
      <c r="Q7837" s="45" t="s">
        <v>112</v>
      </c>
      <c r="R7837" s="45" t="s">
        <v>265</v>
      </c>
    </row>
    <row r="7838" spans="2:18" ht="69" customHeight="1">
      <c r="B7838" s="62">
        <f t="shared" si="48"/>
        <v>4977</v>
      </c>
      <c r="C7838" s="59" t="s">
        <v>458</v>
      </c>
      <c r="D7838" s="545" t="s">
        <v>15446</v>
      </c>
      <c r="E7838" s="55" t="s">
        <v>19177</v>
      </c>
      <c r="F7838" s="45" t="s">
        <v>19180</v>
      </c>
      <c r="G7838" s="58" t="s">
        <v>19175</v>
      </c>
      <c r="H7838" s="546">
        <v>47364.82</v>
      </c>
      <c r="I7838" s="126">
        <v>45356</v>
      </c>
      <c r="J7838" s="73" t="s">
        <v>19176</v>
      </c>
      <c r="K7838" s="67"/>
      <c r="O7838" s="45" t="s">
        <v>1171</v>
      </c>
      <c r="P7838" s="58" t="s">
        <v>22</v>
      </c>
      <c r="Q7838" s="45" t="s">
        <v>88</v>
      </c>
      <c r="R7838" s="45" t="s">
        <v>265</v>
      </c>
    </row>
    <row r="7839" spans="2:18" ht="69" customHeight="1">
      <c r="B7839" s="62">
        <f t="shared" si="48"/>
        <v>4978</v>
      </c>
      <c r="C7839" s="59" t="s">
        <v>458</v>
      </c>
      <c r="D7839" s="545" t="s">
        <v>19181</v>
      </c>
      <c r="E7839" s="45" t="s">
        <v>11417</v>
      </c>
      <c r="F7839" s="45" t="s">
        <v>19182</v>
      </c>
      <c r="G7839" s="58" t="s">
        <v>19175</v>
      </c>
      <c r="H7839" s="546">
        <v>45417.48</v>
      </c>
      <c r="I7839" s="126">
        <v>45356</v>
      </c>
      <c r="J7839" s="73" t="s">
        <v>19176</v>
      </c>
      <c r="K7839" s="67"/>
      <c r="O7839" s="45" t="s">
        <v>1171</v>
      </c>
      <c r="P7839" s="58" t="s">
        <v>22</v>
      </c>
      <c r="Q7839" s="45" t="s">
        <v>122</v>
      </c>
      <c r="R7839" s="45" t="s">
        <v>265</v>
      </c>
    </row>
    <row r="7840" spans="2:18" ht="69" customHeight="1">
      <c r="B7840" s="62">
        <f t="shared" si="48"/>
        <v>4979</v>
      </c>
      <c r="C7840" s="58" t="s">
        <v>5082</v>
      </c>
      <c r="D7840" s="174" t="s">
        <v>19183</v>
      </c>
      <c r="E7840" s="178" t="s">
        <v>266</v>
      </c>
      <c r="F7840" s="210" t="s">
        <v>19184</v>
      </c>
      <c r="G7840" s="58" t="s">
        <v>17569</v>
      </c>
      <c r="H7840" s="552">
        <v>12000</v>
      </c>
      <c r="I7840" s="66">
        <v>45356</v>
      </c>
      <c r="J7840" s="65" t="s">
        <v>19185</v>
      </c>
      <c r="K7840" s="58"/>
      <c r="O7840" s="62" t="s">
        <v>6918</v>
      </c>
      <c r="P7840" s="58" t="s">
        <v>44</v>
      </c>
      <c r="Q7840" s="58" t="s">
        <v>60</v>
      </c>
      <c r="R7840" s="58" t="s">
        <v>272</v>
      </c>
    </row>
    <row r="7841" spans="2:18" ht="69" customHeight="1">
      <c r="B7841" s="62">
        <f t="shared" si="48"/>
        <v>4980</v>
      </c>
      <c r="C7841" s="72" t="s">
        <v>5189</v>
      </c>
      <c r="D7841" s="174" t="s">
        <v>19186</v>
      </c>
      <c r="E7841" s="178" t="s">
        <v>266</v>
      </c>
      <c r="F7841" s="210" t="s">
        <v>19187</v>
      </c>
      <c r="G7841" s="58" t="s">
        <v>17569</v>
      </c>
      <c r="H7841" s="552">
        <v>12000</v>
      </c>
      <c r="I7841" s="66">
        <v>45356</v>
      </c>
      <c r="J7841" s="65" t="s">
        <v>19185</v>
      </c>
      <c r="K7841" s="58"/>
      <c r="O7841" s="62" t="s">
        <v>6918</v>
      </c>
      <c r="P7841" s="58" t="s">
        <v>44</v>
      </c>
      <c r="Q7841" s="58" t="s">
        <v>62</v>
      </c>
      <c r="R7841" s="58" t="s">
        <v>272</v>
      </c>
    </row>
    <row r="7842" spans="2:18" ht="69" customHeight="1">
      <c r="B7842" s="52">
        <f t="shared" si="48"/>
        <v>4981</v>
      </c>
      <c r="C7842" s="191" t="s">
        <v>16106</v>
      </c>
      <c r="D7842" s="251" t="s">
        <v>19188</v>
      </c>
      <c r="E7842" s="191" t="s">
        <v>266</v>
      </c>
      <c r="F7842" s="211" t="s">
        <v>19189</v>
      </c>
      <c r="G7842" s="46" t="s">
        <v>19190</v>
      </c>
      <c r="H7842" s="534">
        <v>2800</v>
      </c>
      <c r="I7842" s="56">
        <v>45356</v>
      </c>
      <c r="J7842" s="199" t="s">
        <v>19191</v>
      </c>
      <c r="K7842" s="46"/>
      <c r="O7842" s="46" t="s">
        <v>19192</v>
      </c>
      <c r="P7842" s="46" t="s">
        <v>65</v>
      </c>
      <c r="Q7842" s="46" t="s">
        <v>33</v>
      </c>
      <c r="R7842" s="46" t="s">
        <v>272</v>
      </c>
    </row>
    <row r="7843" spans="2:18" ht="69" customHeight="1">
      <c r="B7843" s="52">
        <f t="shared" si="48"/>
        <v>4982</v>
      </c>
      <c r="C7843" s="52" t="s">
        <v>96</v>
      </c>
      <c r="D7843" s="251" t="s">
        <v>14678</v>
      </c>
      <c r="E7843" s="191" t="s">
        <v>266</v>
      </c>
      <c r="F7843" s="211" t="s">
        <v>19193</v>
      </c>
      <c r="G7843" s="46" t="s">
        <v>19190</v>
      </c>
      <c r="H7843" s="534">
        <v>2800</v>
      </c>
      <c r="I7843" s="56">
        <v>45356</v>
      </c>
      <c r="J7843" s="199" t="s">
        <v>19194</v>
      </c>
      <c r="K7843" s="46"/>
      <c r="O7843" s="52"/>
      <c r="P7843" s="46" t="s">
        <v>65</v>
      </c>
      <c r="Q7843" s="46" t="s">
        <v>31</v>
      </c>
      <c r="R7843" s="46" t="s">
        <v>272</v>
      </c>
    </row>
    <row r="7844" spans="2:18" ht="69" customHeight="1">
      <c r="B7844" s="62">
        <f t="shared" si="48"/>
        <v>4983</v>
      </c>
      <c r="C7844" s="58" t="s">
        <v>581</v>
      </c>
      <c r="D7844" s="545" t="s">
        <v>14680</v>
      </c>
      <c r="E7844" s="58" t="s">
        <v>17521</v>
      </c>
      <c r="F7844" s="569" t="s">
        <v>19195</v>
      </c>
      <c r="G7844" s="58" t="s">
        <v>19196</v>
      </c>
      <c r="H7844" s="546">
        <v>52141</v>
      </c>
      <c r="I7844" s="126">
        <v>45356</v>
      </c>
      <c r="J7844" s="73" t="s">
        <v>19197</v>
      </c>
      <c r="K7844" s="67"/>
      <c r="O7844" s="62" t="s">
        <v>441</v>
      </c>
      <c r="P7844" s="58" t="s">
        <v>22</v>
      </c>
      <c r="Q7844" s="45" t="s">
        <v>18</v>
      </c>
      <c r="R7844" s="45" t="s">
        <v>265</v>
      </c>
    </row>
    <row r="7845" spans="2:18" ht="69" customHeight="1">
      <c r="B7845" s="62">
        <f t="shared" si="48"/>
        <v>4984</v>
      </c>
      <c r="C7845" s="58" t="s">
        <v>581</v>
      </c>
      <c r="D7845" s="545" t="s">
        <v>14699</v>
      </c>
      <c r="E7845" s="58" t="s">
        <v>17521</v>
      </c>
      <c r="F7845" s="569" t="s">
        <v>19198</v>
      </c>
      <c r="G7845" s="58" t="s">
        <v>19199</v>
      </c>
      <c r="H7845" s="546">
        <v>25000</v>
      </c>
      <c r="I7845" s="126">
        <v>45356</v>
      </c>
      <c r="J7845" s="73" t="s">
        <v>19200</v>
      </c>
      <c r="K7845" s="67"/>
      <c r="O7845" s="62" t="s">
        <v>441</v>
      </c>
      <c r="P7845" s="58" t="s">
        <v>22</v>
      </c>
      <c r="Q7845" s="45" t="s">
        <v>18</v>
      </c>
      <c r="R7845" s="45" t="s">
        <v>265</v>
      </c>
    </row>
    <row r="7846" spans="2:18" ht="69" customHeight="1">
      <c r="B7846" s="52">
        <f t="shared" si="48"/>
        <v>4985</v>
      </c>
      <c r="C7846" s="191" t="s">
        <v>15700</v>
      </c>
      <c r="D7846" s="251" t="s">
        <v>14330</v>
      </c>
      <c r="E7846" s="191" t="s">
        <v>266</v>
      </c>
      <c r="F7846" s="211" t="s">
        <v>19201</v>
      </c>
      <c r="G7846" s="46" t="s">
        <v>19202</v>
      </c>
      <c r="H7846" s="534">
        <v>20688.2</v>
      </c>
      <c r="I7846" s="56">
        <v>45356</v>
      </c>
      <c r="J7846" s="199" t="s">
        <v>19203</v>
      </c>
      <c r="K7846" s="46"/>
      <c r="O7846" s="46" t="s">
        <v>1171</v>
      </c>
      <c r="P7846" s="46" t="s">
        <v>65</v>
      </c>
      <c r="Q7846" s="46" t="s">
        <v>39</v>
      </c>
      <c r="R7846" s="46" t="s">
        <v>272</v>
      </c>
    </row>
    <row r="7847" spans="2:18" ht="69" customHeight="1">
      <c r="B7847" s="52">
        <f t="shared" si="48"/>
        <v>4986</v>
      </c>
      <c r="C7847" s="191" t="s">
        <v>15449</v>
      </c>
      <c r="D7847" s="251" t="s">
        <v>14335</v>
      </c>
      <c r="E7847" s="191" t="s">
        <v>266</v>
      </c>
      <c r="F7847" s="211" t="s">
        <v>19204</v>
      </c>
      <c r="G7847" s="46" t="s">
        <v>19202</v>
      </c>
      <c r="H7847" s="534">
        <v>20688.2</v>
      </c>
      <c r="I7847" s="56">
        <v>45356</v>
      </c>
      <c r="J7847" s="199" t="s">
        <v>19203</v>
      </c>
      <c r="K7847" s="46"/>
      <c r="O7847" s="46" t="s">
        <v>1171</v>
      </c>
      <c r="P7847" s="46" t="s">
        <v>65</v>
      </c>
      <c r="Q7847" s="46" t="s">
        <v>41</v>
      </c>
      <c r="R7847" s="46" t="s">
        <v>272</v>
      </c>
    </row>
    <row r="7848" spans="2:18" ht="69" customHeight="1">
      <c r="B7848" s="62">
        <f t="shared" si="48"/>
        <v>4987</v>
      </c>
      <c r="C7848" s="59" t="s">
        <v>458</v>
      </c>
      <c r="D7848" s="545" t="s">
        <v>15459</v>
      </c>
      <c r="E7848" s="58" t="s">
        <v>17540</v>
      </c>
      <c r="F7848" s="58" t="s">
        <v>19205</v>
      </c>
      <c r="G7848" s="58" t="s">
        <v>19206</v>
      </c>
      <c r="H7848" s="546">
        <v>48098.5</v>
      </c>
      <c r="I7848" s="126">
        <v>45356</v>
      </c>
      <c r="J7848" s="73" t="s">
        <v>19207</v>
      </c>
      <c r="K7848" s="67"/>
      <c r="O7848" s="62" t="s">
        <v>147</v>
      </c>
      <c r="P7848" s="58" t="s">
        <v>22</v>
      </c>
      <c r="Q7848" s="45" t="s">
        <v>88</v>
      </c>
      <c r="R7848" s="45" t="s">
        <v>265</v>
      </c>
    </row>
    <row r="7849" spans="2:18" ht="69" customHeight="1">
      <c r="B7849" s="62">
        <f t="shared" si="48"/>
        <v>4988</v>
      </c>
      <c r="C7849" s="59" t="s">
        <v>458</v>
      </c>
      <c r="D7849" s="545" t="s">
        <v>15461</v>
      </c>
      <c r="E7849" s="58" t="s">
        <v>17540</v>
      </c>
      <c r="F7849" s="58" t="s">
        <v>19208</v>
      </c>
      <c r="G7849" s="58" t="s">
        <v>19209</v>
      </c>
      <c r="H7849" s="546">
        <v>35000</v>
      </c>
      <c r="I7849" s="126">
        <v>45356</v>
      </c>
      <c r="J7849" s="73" t="s">
        <v>19210</v>
      </c>
      <c r="K7849" s="67"/>
      <c r="O7849" s="62" t="s">
        <v>147</v>
      </c>
      <c r="P7849" s="58" t="s">
        <v>22</v>
      </c>
      <c r="Q7849" s="45" t="s">
        <v>112</v>
      </c>
      <c r="R7849" s="45" t="s">
        <v>265</v>
      </c>
    </row>
    <row r="7850" spans="2:18" ht="69" customHeight="1">
      <c r="B7850" s="62">
        <f t="shared" si="48"/>
        <v>4989</v>
      </c>
      <c r="C7850" s="45" t="s">
        <v>11618</v>
      </c>
      <c r="D7850" s="174" t="s">
        <v>19211</v>
      </c>
      <c r="E7850" s="58" t="s">
        <v>18662</v>
      </c>
      <c r="F7850" s="45" t="s">
        <v>19212</v>
      </c>
      <c r="G7850" s="58" t="s">
        <v>19213</v>
      </c>
      <c r="H7850" s="546">
        <v>25883.46</v>
      </c>
      <c r="I7850" s="126">
        <v>45347</v>
      </c>
      <c r="J7850" s="73" t="s">
        <v>19214</v>
      </c>
      <c r="K7850" s="67"/>
      <c r="O7850" s="62" t="s">
        <v>233</v>
      </c>
      <c r="P7850" s="58" t="s">
        <v>57</v>
      </c>
      <c r="Q7850" s="45" t="s">
        <v>122</v>
      </c>
      <c r="R7850" s="45" t="s">
        <v>272</v>
      </c>
    </row>
    <row r="7851" spans="2:18" ht="69" customHeight="1">
      <c r="B7851" s="62">
        <f t="shared" si="48"/>
        <v>4990</v>
      </c>
      <c r="C7851" s="45" t="s">
        <v>11618</v>
      </c>
      <c r="D7851" s="84" t="s">
        <v>19215</v>
      </c>
      <c r="E7851" s="45" t="s">
        <v>18662</v>
      </c>
      <c r="F7851" s="45" t="s">
        <v>19216</v>
      </c>
      <c r="G7851" s="45" t="s">
        <v>19213</v>
      </c>
      <c r="H7851" s="546">
        <v>25883.46</v>
      </c>
      <c r="I7851" s="126">
        <v>45347</v>
      </c>
      <c r="J7851" s="73" t="s">
        <v>19214</v>
      </c>
      <c r="K7851" s="67"/>
      <c r="O7851" s="62" t="s">
        <v>233</v>
      </c>
      <c r="P7851" s="58" t="s">
        <v>57</v>
      </c>
      <c r="Q7851" s="45" t="s">
        <v>122</v>
      </c>
      <c r="R7851" s="45" t="s">
        <v>272</v>
      </c>
    </row>
    <row r="7852" spans="2:18" ht="69" customHeight="1">
      <c r="B7852" s="62">
        <f t="shared" si="48"/>
        <v>4991</v>
      </c>
      <c r="C7852" s="59" t="s">
        <v>657</v>
      </c>
      <c r="D7852" s="84" t="s">
        <v>19217</v>
      </c>
      <c r="E7852" s="84" t="s">
        <v>18564</v>
      </c>
      <c r="F7852" s="45" t="s">
        <v>19218</v>
      </c>
      <c r="G7852" s="45" t="s">
        <v>19219</v>
      </c>
      <c r="H7852" s="546">
        <v>49459.67</v>
      </c>
      <c r="I7852" s="126">
        <v>45347</v>
      </c>
      <c r="J7852" s="73" t="s">
        <v>19220</v>
      </c>
      <c r="K7852" s="45"/>
      <c r="M7852" s="98"/>
      <c r="N7852" s="98"/>
      <c r="O7852" s="48" t="s">
        <v>147</v>
      </c>
      <c r="P7852" s="45" t="s">
        <v>22</v>
      </c>
      <c r="Q7852" s="45" t="s">
        <v>110</v>
      </c>
      <c r="R7852" s="45" t="s">
        <v>272</v>
      </c>
    </row>
    <row r="7853" spans="2:18" ht="69" customHeight="1">
      <c r="B7853" s="62">
        <f t="shared" si="48"/>
        <v>4992</v>
      </c>
      <c r="C7853" s="59" t="s">
        <v>657</v>
      </c>
      <c r="D7853" s="84" t="s">
        <v>13484</v>
      </c>
      <c r="E7853" s="84" t="s">
        <v>18564</v>
      </c>
      <c r="F7853" s="45" t="s">
        <v>19221</v>
      </c>
      <c r="G7853" s="45" t="s">
        <v>19222</v>
      </c>
      <c r="H7853" s="546">
        <v>26632.13</v>
      </c>
      <c r="I7853" s="126">
        <v>45347</v>
      </c>
      <c r="J7853" s="73" t="s">
        <v>19220</v>
      </c>
      <c r="K7853" s="45"/>
      <c r="M7853" s="98"/>
      <c r="N7853" s="98"/>
      <c r="O7853" s="48" t="s">
        <v>147</v>
      </c>
      <c r="P7853" s="45" t="s">
        <v>22</v>
      </c>
      <c r="Q7853" s="45" t="s">
        <v>110</v>
      </c>
      <c r="R7853" s="45" t="s">
        <v>272</v>
      </c>
    </row>
    <row r="7854" spans="2:18" ht="69" customHeight="1">
      <c r="B7854" s="62">
        <f t="shared" si="48"/>
        <v>4993</v>
      </c>
      <c r="C7854" s="59" t="s">
        <v>309</v>
      </c>
      <c r="D7854" s="545" t="s">
        <v>18451</v>
      </c>
      <c r="E7854" s="58" t="s">
        <v>19223</v>
      </c>
      <c r="F7854" s="45" t="s">
        <v>19224</v>
      </c>
      <c r="G7854" s="58" t="s">
        <v>19225</v>
      </c>
      <c r="H7854" s="546">
        <v>12871.13</v>
      </c>
      <c r="I7854" s="126">
        <v>45356</v>
      </c>
      <c r="J7854" s="73" t="s">
        <v>19226</v>
      </c>
      <c r="K7854" s="67"/>
      <c r="O7854" s="62" t="s">
        <v>141</v>
      </c>
      <c r="P7854" s="58" t="s">
        <v>19</v>
      </c>
      <c r="Q7854" s="45" t="s">
        <v>39</v>
      </c>
      <c r="R7854" s="45" t="s">
        <v>272</v>
      </c>
    </row>
    <row r="7855" spans="2:18" ht="69" customHeight="1">
      <c r="B7855" s="62">
        <f t="shared" si="48"/>
        <v>4994</v>
      </c>
      <c r="C7855" s="59" t="s">
        <v>309</v>
      </c>
      <c r="D7855" s="545" t="s">
        <v>14737</v>
      </c>
      <c r="E7855" s="58" t="s">
        <v>19223</v>
      </c>
      <c r="F7855" s="45" t="s">
        <v>19227</v>
      </c>
      <c r="G7855" s="58" t="s">
        <v>19228</v>
      </c>
      <c r="H7855" s="546">
        <v>77164.539999999994</v>
      </c>
      <c r="I7855" s="126">
        <v>45356</v>
      </c>
      <c r="J7855" s="73" t="s">
        <v>19226</v>
      </c>
      <c r="K7855" s="67"/>
      <c r="O7855" s="62" t="s">
        <v>141</v>
      </c>
      <c r="P7855" s="58" t="s">
        <v>19</v>
      </c>
      <c r="Q7855" s="45" t="s">
        <v>41</v>
      </c>
      <c r="R7855" s="45" t="s">
        <v>272</v>
      </c>
    </row>
    <row r="7856" spans="2:18" ht="69" customHeight="1">
      <c r="B7856" s="62">
        <f t="shared" si="48"/>
        <v>4995</v>
      </c>
      <c r="C7856" s="59" t="s">
        <v>309</v>
      </c>
      <c r="D7856" s="545" t="s">
        <v>14741</v>
      </c>
      <c r="E7856" s="58" t="s">
        <v>19223</v>
      </c>
      <c r="F7856" s="45" t="s">
        <v>19229</v>
      </c>
      <c r="G7856" s="58" t="s">
        <v>19230</v>
      </c>
      <c r="H7856" s="546">
        <v>130000</v>
      </c>
      <c r="I7856" s="126">
        <v>45356</v>
      </c>
      <c r="J7856" s="73" t="s">
        <v>19226</v>
      </c>
      <c r="K7856" s="67"/>
      <c r="O7856" s="62" t="s">
        <v>141</v>
      </c>
      <c r="P7856" s="58" t="s">
        <v>19</v>
      </c>
      <c r="Q7856" s="45" t="s">
        <v>27</v>
      </c>
      <c r="R7856" s="45" t="s">
        <v>272</v>
      </c>
    </row>
    <row r="7857" spans="2:18" ht="69" customHeight="1">
      <c r="B7857" s="259">
        <f t="shared" si="48"/>
        <v>4996</v>
      </c>
      <c r="C7857" s="160" t="s">
        <v>16368</v>
      </c>
      <c r="D7857" s="303" t="s">
        <v>3457</v>
      </c>
      <c r="E7857" s="160" t="s">
        <v>266</v>
      </c>
      <c r="F7857" s="160" t="s">
        <v>19231</v>
      </c>
      <c r="G7857" s="160" t="s">
        <v>16371</v>
      </c>
      <c r="H7857" s="300">
        <v>15877.26</v>
      </c>
      <c r="I7857" s="209">
        <v>45356</v>
      </c>
      <c r="J7857" s="316" t="s">
        <v>19232</v>
      </c>
      <c r="K7857" s="160" t="s">
        <v>19130</v>
      </c>
      <c r="O7857" s="259" t="s">
        <v>19131</v>
      </c>
      <c r="P7857" s="160" t="s">
        <v>67</v>
      </c>
      <c r="Q7857" s="160" t="s">
        <v>96</v>
      </c>
      <c r="R7857" s="160" t="s">
        <v>272</v>
      </c>
    </row>
    <row r="7858" spans="2:18" ht="69" customHeight="1">
      <c r="B7858" s="62">
        <f t="shared" si="48"/>
        <v>4997</v>
      </c>
      <c r="C7858" s="58" t="s">
        <v>581</v>
      </c>
      <c r="D7858" s="545" t="s">
        <v>14748</v>
      </c>
      <c r="E7858" s="58" t="s">
        <v>17521</v>
      </c>
      <c r="F7858" s="58" t="s">
        <v>19233</v>
      </c>
      <c r="G7858" s="58" t="s">
        <v>19234</v>
      </c>
      <c r="H7858" s="546">
        <v>25000</v>
      </c>
      <c r="I7858" s="126">
        <v>45356</v>
      </c>
      <c r="J7858" s="73" t="s">
        <v>19235</v>
      </c>
      <c r="K7858" s="67"/>
      <c r="O7858" s="62" t="s">
        <v>441</v>
      </c>
      <c r="P7858" s="58" t="s">
        <v>22</v>
      </c>
      <c r="Q7858" s="45" t="s">
        <v>18</v>
      </c>
      <c r="R7858" s="45" t="s">
        <v>265</v>
      </c>
    </row>
    <row r="7859" spans="2:18" ht="69" customHeight="1">
      <c r="B7859" s="62">
        <f t="shared" si="48"/>
        <v>4998</v>
      </c>
      <c r="C7859" s="59" t="s">
        <v>458</v>
      </c>
      <c r="D7859" s="545" t="s">
        <v>15471</v>
      </c>
      <c r="E7859" s="178" t="s">
        <v>7890</v>
      </c>
      <c r="F7859" s="58" t="s">
        <v>19236</v>
      </c>
      <c r="G7859" s="58" t="s">
        <v>19237</v>
      </c>
      <c r="H7859" s="546">
        <v>35000</v>
      </c>
      <c r="I7859" s="126">
        <v>45356</v>
      </c>
      <c r="J7859" s="73" t="s">
        <v>19238</v>
      </c>
      <c r="K7859" s="67"/>
      <c r="O7859" s="62" t="s">
        <v>147</v>
      </c>
      <c r="P7859" s="58" t="s">
        <v>22</v>
      </c>
      <c r="Q7859" s="45" t="s">
        <v>123</v>
      </c>
      <c r="R7859" s="45" t="s">
        <v>265</v>
      </c>
    </row>
    <row r="7860" spans="2:18" ht="69" customHeight="1">
      <c r="B7860" s="62">
        <f t="shared" si="48"/>
        <v>4999</v>
      </c>
      <c r="C7860" s="59" t="s">
        <v>458</v>
      </c>
      <c r="D7860" s="545" t="s">
        <v>15602</v>
      </c>
      <c r="E7860" s="58" t="s">
        <v>19239</v>
      </c>
      <c r="F7860" s="58" t="s">
        <v>19240</v>
      </c>
      <c r="G7860" s="58" t="s">
        <v>19237</v>
      </c>
      <c r="H7860" s="546">
        <v>35000</v>
      </c>
      <c r="I7860" s="126">
        <v>45356</v>
      </c>
      <c r="J7860" s="73" t="s">
        <v>19241</v>
      </c>
      <c r="K7860" s="67"/>
      <c r="O7860" s="62" t="s">
        <v>147</v>
      </c>
      <c r="P7860" s="58" t="s">
        <v>22</v>
      </c>
      <c r="Q7860" s="45" t="s">
        <v>88</v>
      </c>
      <c r="R7860" s="45" t="s">
        <v>265</v>
      </c>
    </row>
    <row r="7861" spans="2:18" ht="69" customHeight="1">
      <c r="B7861" s="62">
        <f t="shared" si="48"/>
        <v>5000</v>
      </c>
      <c r="C7861" s="59" t="s">
        <v>458</v>
      </c>
      <c r="D7861" s="545" t="s">
        <v>15592</v>
      </c>
      <c r="E7861" s="45" t="s">
        <v>11417</v>
      </c>
      <c r="F7861" s="58" t="s">
        <v>19242</v>
      </c>
      <c r="G7861" s="58" t="s">
        <v>19237</v>
      </c>
      <c r="H7861" s="546">
        <v>35000</v>
      </c>
      <c r="I7861" s="126">
        <v>45356</v>
      </c>
      <c r="J7861" s="73" t="s">
        <v>19243</v>
      </c>
      <c r="K7861" s="67"/>
      <c r="O7861" s="62" t="s">
        <v>147</v>
      </c>
      <c r="P7861" s="58" t="s">
        <v>22</v>
      </c>
      <c r="Q7861" s="45" t="s">
        <v>122</v>
      </c>
      <c r="R7861" s="45" t="s">
        <v>265</v>
      </c>
    </row>
    <row r="7862" spans="2:18" ht="69" customHeight="1">
      <c r="B7862" s="62">
        <f t="shared" si="48"/>
        <v>5001</v>
      </c>
      <c r="C7862" s="59" t="s">
        <v>458</v>
      </c>
      <c r="D7862" s="545" t="s">
        <v>15596</v>
      </c>
      <c r="E7862" s="58" t="s">
        <v>19239</v>
      </c>
      <c r="F7862" s="58" t="s">
        <v>19244</v>
      </c>
      <c r="G7862" s="58" t="s">
        <v>19237</v>
      </c>
      <c r="H7862" s="546">
        <v>35000</v>
      </c>
      <c r="I7862" s="126">
        <v>45356</v>
      </c>
      <c r="J7862" s="73" t="s">
        <v>19245</v>
      </c>
      <c r="K7862" s="67"/>
      <c r="O7862" s="52" t="s">
        <v>147</v>
      </c>
      <c r="P7862" s="46" t="s">
        <v>22</v>
      </c>
      <c r="Q7862" s="46" t="s">
        <v>96</v>
      </c>
      <c r="R7862" s="46" t="s">
        <v>272</v>
      </c>
    </row>
    <row r="7863" spans="2:18" ht="69" customHeight="1">
      <c r="B7863" s="62">
        <f t="shared" si="48"/>
        <v>5002</v>
      </c>
      <c r="C7863" s="59" t="s">
        <v>458</v>
      </c>
      <c r="D7863" s="545" t="s">
        <v>15600</v>
      </c>
      <c r="E7863" s="58" t="s">
        <v>19239</v>
      </c>
      <c r="F7863" s="58" t="s">
        <v>19246</v>
      </c>
      <c r="G7863" s="58" t="s">
        <v>19237</v>
      </c>
      <c r="H7863" s="546">
        <v>35000</v>
      </c>
      <c r="I7863" s="126">
        <v>45356</v>
      </c>
      <c r="J7863" s="73" t="s">
        <v>19247</v>
      </c>
      <c r="K7863" s="67"/>
      <c r="O7863" s="62" t="s">
        <v>147</v>
      </c>
      <c r="P7863" s="58" t="s">
        <v>22</v>
      </c>
      <c r="Q7863" s="45" t="s">
        <v>88</v>
      </c>
      <c r="R7863" s="45" t="s">
        <v>265</v>
      </c>
    </row>
    <row r="7864" spans="2:18" ht="69" customHeight="1">
      <c r="B7864" s="62">
        <f t="shared" si="48"/>
        <v>5003</v>
      </c>
      <c r="C7864" s="59" t="s">
        <v>458</v>
      </c>
      <c r="D7864" s="545" t="s">
        <v>15598</v>
      </c>
      <c r="E7864" s="178" t="s">
        <v>7890</v>
      </c>
      <c r="F7864" s="58" t="s">
        <v>19248</v>
      </c>
      <c r="G7864" s="58" t="s">
        <v>19237</v>
      </c>
      <c r="H7864" s="546">
        <v>35000</v>
      </c>
      <c r="I7864" s="126">
        <v>45356</v>
      </c>
      <c r="J7864" s="73" t="s">
        <v>19249</v>
      </c>
      <c r="K7864" s="67"/>
      <c r="O7864" s="62" t="s">
        <v>147</v>
      </c>
      <c r="P7864" s="58" t="s">
        <v>22</v>
      </c>
      <c r="Q7864" s="45" t="s">
        <v>123</v>
      </c>
      <c r="R7864" s="45" t="s">
        <v>265</v>
      </c>
    </row>
    <row r="7865" spans="2:18" ht="69" customHeight="1">
      <c r="B7865" s="52">
        <f t="shared" si="48"/>
        <v>5004</v>
      </c>
      <c r="C7865" s="191" t="s">
        <v>9441</v>
      </c>
      <c r="D7865" s="251" t="s">
        <v>19250</v>
      </c>
      <c r="E7865" s="191" t="s">
        <v>266</v>
      </c>
      <c r="F7865" s="46" t="s">
        <v>19251</v>
      </c>
      <c r="G7865" s="46" t="s">
        <v>19252</v>
      </c>
      <c r="H7865" s="534">
        <v>18000</v>
      </c>
      <c r="I7865" s="56">
        <v>45356</v>
      </c>
      <c r="J7865" s="199" t="s">
        <v>19253</v>
      </c>
      <c r="K7865" s="46" t="s">
        <v>96</v>
      </c>
      <c r="O7865" s="52"/>
      <c r="P7865" s="46" t="s">
        <v>65</v>
      </c>
      <c r="Q7865" s="46" t="s">
        <v>116</v>
      </c>
      <c r="R7865" s="46" t="s">
        <v>272</v>
      </c>
    </row>
    <row r="7866" spans="2:18" ht="69" customHeight="1">
      <c r="B7866" s="62">
        <f t="shared" si="48"/>
        <v>5005</v>
      </c>
      <c r="C7866" s="128" t="s">
        <v>13435</v>
      </c>
      <c r="D7866" s="545" t="s">
        <v>14751</v>
      </c>
      <c r="E7866" s="58" t="s">
        <v>18891</v>
      </c>
      <c r="F7866" s="58" t="s">
        <v>19254</v>
      </c>
      <c r="G7866" s="58" t="s">
        <v>19255</v>
      </c>
      <c r="H7866" s="546">
        <v>308592.49</v>
      </c>
      <c r="I7866" s="126">
        <v>45356</v>
      </c>
      <c r="J7866" s="73" t="s">
        <v>19256</v>
      </c>
      <c r="K7866" s="67"/>
      <c r="O7866" s="62" t="s">
        <v>18058</v>
      </c>
      <c r="P7866" s="58" t="s">
        <v>57</v>
      </c>
      <c r="Q7866" s="45" t="s">
        <v>13</v>
      </c>
      <c r="R7866" s="45" t="s">
        <v>272</v>
      </c>
    </row>
    <row r="7867" spans="2:18" ht="69" customHeight="1">
      <c r="B7867" s="62">
        <f t="shared" si="48"/>
        <v>5006</v>
      </c>
      <c r="C7867" s="44" t="s">
        <v>19257</v>
      </c>
      <c r="D7867" s="545" t="s">
        <v>19258</v>
      </c>
      <c r="E7867" s="58" t="s">
        <v>15202</v>
      </c>
      <c r="F7867" s="58" t="s">
        <v>19259</v>
      </c>
      <c r="G7867" s="58" t="s">
        <v>19260</v>
      </c>
      <c r="H7867" s="546">
        <v>46720.7</v>
      </c>
      <c r="I7867" s="126">
        <v>45356</v>
      </c>
      <c r="J7867" s="73" t="s">
        <v>19261</v>
      </c>
      <c r="K7867" s="67"/>
      <c r="O7867" s="62" t="s">
        <v>175</v>
      </c>
      <c r="P7867" s="58" t="s">
        <v>59</v>
      </c>
      <c r="Q7867" s="45" t="s">
        <v>95</v>
      </c>
      <c r="R7867" s="45" t="s">
        <v>272</v>
      </c>
    </row>
    <row r="7868" spans="2:18" ht="69" customHeight="1">
      <c r="B7868" s="62">
        <f t="shared" si="48"/>
        <v>5007</v>
      </c>
      <c r="C7868" s="44" t="s">
        <v>19257</v>
      </c>
      <c r="D7868" s="545" t="s">
        <v>19262</v>
      </c>
      <c r="E7868" s="58" t="s">
        <v>19263</v>
      </c>
      <c r="F7868" s="58" t="s">
        <v>19264</v>
      </c>
      <c r="G7868" s="58" t="s">
        <v>19265</v>
      </c>
      <c r="H7868" s="546">
        <v>264750.65999999997</v>
      </c>
      <c r="I7868" s="126">
        <v>45356</v>
      </c>
      <c r="J7868" s="73" t="s">
        <v>19261</v>
      </c>
      <c r="K7868" s="67"/>
      <c r="O7868" s="62" t="s">
        <v>175</v>
      </c>
      <c r="P7868" s="58" t="s">
        <v>59</v>
      </c>
      <c r="Q7868" s="45" t="s">
        <v>95</v>
      </c>
      <c r="R7868" s="45" t="s">
        <v>265</v>
      </c>
    </row>
    <row r="7869" spans="2:18" ht="69" customHeight="1">
      <c r="B7869" s="62">
        <f t="shared" si="48"/>
        <v>5008</v>
      </c>
      <c r="C7869" s="44" t="s">
        <v>19266</v>
      </c>
      <c r="D7869" s="545" t="s">
        <v>19267</v>
      </c>
      <c r="E7869" s="58" t="s">
        <v>15202</v>
      </c>
      <c r="F7869" s="58" t="s">
        <v>19268</v>
      </c>
      <c r="G7869" s="58" t="s">
        <v>19269</v>
      </c>
      <c r="H7869" s="546">
        <v>13971.56</v>
      </c>
      <c r="I7869" s="126">
        <v>45356</v>
      </c>
      <c r="J7869" s="73" t="s">
        <v>19261</v>
      </c>
      <c r="K7869" s="67"/>
      <c r="O7869" s="62" t="s">
        <v>175</v>
      </c>
      <c r="P7869" s="58" t="s">
        <v>57</v>
      </c>
      <c r="Q7869" s="45" t="s">
        <v>93</v>
      </c>
      <c r="R7869" s="45" t="s">
        <v>272</v>
      </c>
    </row>
    <row r="7870" spans="2:18" ht="69" customHeight="1">
      <c r="B7870" s="62">
        <f t="shared" si="48"/>
        <v>5009</v>
      </c>
      <c r="C7870" s="58" t="s">
        <v>13665</v>
      </c>
      <c r="D7870" s="545" t="s">
        <v>2690</v>
      </c>
      <c r="E7870" s="58" t="s">
        <v>19114</v>
      </c>
      <c r="F7870" s="210" t="s">
        <v>19270</v>
      </c>
      <c r="G7870" s="58" t="s">
        <v>19160</v>
      </c>
      <c r="H7870" s="546">
        <v>659.96</v>
      </c>
      <c r="I7870" s="126">
        <v>45356</v>
      </c>
      <c r="J7870" s="73" t="s">
        <v>19271</v>
      </c>
      <c r="K7870" s="67"/>
      <c r="O7870" s="52" t="s">
        <v>5969</v>
      </c>
      <c r="P7870" s="46" t="s">
        <v>44</v>
      </c>
      <c r="Q7870" s="46" t="s">
        <v>96</v>
      </c>
      <c r="R7870" s="46" t="s">
        <v>272</v>
      </c>
    </row>
    <row r="7871" spans="2:18" ht="69" customHeight="1">
      <c r="B7871" s="62">
        <f t="shared" si="48"/>
        <v>5010</v>
      </c>
      <c r="C7871" s="58" t="s">
        <v>13665</v>
      </c>
      <c r="D7871" s="545" t="s">
        <v>3403</v>
      </c>
      <c r="E7871" s="58" t="s">
        <v>19114</v>
      </c>
      <c r="F7871" s="210" t="s">
        <v>19272</v>
      </c>
      <c r="G7871" s="58" t="s">
        <v>19160</v>
      </c>
      <c r="H7871" s="546">
        <v>659.96</v>
      </c>
      <c r="I7871" s="126">
        <v>45356</v>
      </c>
      <c r="J7871" s="73" t="s">
        <v>19271</v>
      </c>
      <c r="K7871" s="67"/>
      <c r="O7871" s="52" t="s">
        <v>5969</v>
      </c>
      <c r="P7871" s="46" t="s">
        <v>44</v>
      </c>
      <c r="Q7871" s="46" t="s">
        <v>96</v>
      </c>
      <c r="R7871" s="46" t="s">
        <v>272</v>
      </c>
    </row>
    <row r="7872" spans="2:18" ht="69" customHeight="1">
      <c r="B7872" s="62">
        <f t="shared" si="48"/>
        <v>5011</v>
      </c>
      <c r="C7872" s="58" t="s">
        <v>13665</v>
      </c>
      <c r="D7872" s="545" t="s">
        <v>6910</v>
      </c>
      <c r="E7872" s="58" t="s">
        <v>19114</v>
      </c>
      <c r="F7872" s="210" t="s">
        <v>19273</v>
      </c>
      <c r="G7872" s="58" t="s">
        <v>19160</v>
      </c>
      <c r="H7872" s="546">
        <v>14.59</v>
      </c>
      <c r="I7872" s="126">
        <v>45356</v>
      </c>
      <c r="J7872" s="73" t="s">
        <v>19271</v>
      </c>
      <c r="K7872" s="67"/>
      <c r="O7872" s="52" t="s">
        <v>5969</v>
      </c>
      <c r="P7872" s="46" t="s">
        <v>44</v>
      </c>
      <c r="Q7872" s="46" t="s">
        <v>96</v>
      </c>
      <c r="R7872" s="46" t="s">
        <v>272</v>
      </c>
    </row>
    <row r="7873" spans="1:18" ht="69" customHeight="1">
      <c r="B7873" s="62">
        <f t="shared" si="48"/>
        <v>5012</v>
      </c>
      <c r="C7873" s="58" t="s">
        <v>13665</v>
      </c>
      <c r="D7873" s="545" t="s">
        <v>3569</v>
      </c>
      <c r="E7873" s="58" t="s">
        <v>19114</v>
      </c>
      <c r="F7873" s="210" t="s">
        <v>19274</v>
      </c>
      <c r="G7873" s="58" t="s">
        <v>19160</v>
      </c>
      <c r="H7873" s="546">
        <v>1591.32</v>
      </c>
      <c r="I7873" s="126">
        <v>45356</v>
      </c>
      <c r="J7873" s="73" t="s">
        <v>19271</v>
      </c>
      <c r="K7873" s="67"/>
      <c r="O7873" s="52" t="s">
        <v>5969</v>
      </c>
      <c r="P7873" s="46" t="s">
        <v>44</v>
      </c>
      <c r="Q7873" s="46" t="s">
        <v>96</v>
      </c>
      <c r="R7873" s="46" t="s">
        <v>272</v>
      </c>
    </row>
    <row r="7874" spans="1:18" ht="69" customHeight="1">
      <c r="B7874" s="62">
        <f t="shared" si="48"/>
        <v>5013</v>
      </c>
      <c r="C7874" s="59" t="s">
        <v>15449</v>
      </c>
      <c r="D7874" s="545" t="s">
        <v>14754</v>
      </c>
      <c r="E7874" s="58" t="s">
        <v>19275</v>
      </c>
      <c r="F7874" s="58" t="s">
        <v>19276</v>
      </c>
      <c r="G7874" s="58" t="s">
        <v>19277</v>
      </c>
      <c r="H7874" s="546">
        <v>245203.94</v>
      </c>
      <c r="I7874" s="126">
        <v>45356</v>
      </c>
      <c r="J7874" s="73" t="s">
        <v>19278</v>
      </c>
      <c r="K7874" s="67"/>
      <c r="O7874" s="62" t="s">
        <v>16493</v>
      </c>
      <c r="P7874" s="58" t="s">
        <v>57</v>
      </c>
      <c r="Q7874" s="45" t="s">
        <v>41</v>
      </c>
      <c r="R7874" s="45" t="s">
        <v>272</v>
      </c>
    </row>
    <row r="7875" spans="1:18" ht="69" customHeight="1">
      <c r="B7875" s="62">
        <f t="shared" si="48"/>
        <v>5014</v>
      </c>
      <c r="C7875" s="59" t="s">
        <v>15700</v>
      </c>
      <c r="D7875" s="545" t="s">
        <v>14694</v>
      </c>
      <c r="E7875" s="58" t="s">
        <v>19275</v>
      </c>
      <c r="F7875" s="58" t="s">
        <v>19279</v>
      </c>
      <c r="G7875" s="58" t="s">
        <v>19280</v>
      </c>
      <c r="H7875" s="546">
        <v>129022.98</v>
      </c>
      <c r="I7875" s="126">
        <v>45356</v>
      </c>
      <c r="J7875" s="73" t="s">
        <v>19281</v>
      </c>
      <c r="K7875" s="67"/>
      <c r="O7875" s="62" t="s">
        <v>16493</v>
      </c>
      <c r="P7875" s="58" t="s">
        <v>57</v>
      </c>
      <c r="Q7875" s="45" t="s">
        <v>39</v>
      </c>
      <c r="R7875" s="45" t="s">
        <v>272</v>
      </c>
    </row>
    <row r="7876" spans="1:18" ht="69" customHeight="1">
      <c r="B7876" s="52">
        <f t="shared" si="48"/>
        <v>5015</v>
      </c>
      <c r="C7876" s="46" t="s">
        <v>309</v>
      </c>
      <c r="D7876" s="251" t="s">
        <v>18557</v>
      </c>
      <c r="E7876" s="53" t="s">
        <v>1056</v>
      </c>
      <c r="F7876" s="211" t="s">
        <v>19282</v>
      </c>
      <c r="G7876" s="46" t="s">
        <v>16166</v>
      </c>
      <c r="H7876" s="534">
        <v>16712.16</v>
      </c>
      <c r="I7876" s="56">
        <v>45356</v>
      </c>
      <c r="J7876" s="199" t="s">
        <v>19283</v>
      </c>
      <c r="K7876" s="46"/>
      <c r="O7876" s="46" t="s">
        <v>1061</v>
      </c>
      <c r="P7876" s="46" t="s">
        <v>36</v>
      </c>
      <c r="Q7876" s="46" t="s">
        <v>15</v>
      </c>
      <c r="R7876" s="46" t="s">
        <v>272</v>
      </c>
    </row>
    <row r="7877" spans="1:18" ht="69" customHeight="1">
      <c r="B7877" s="52">
        <f t="shared" si="48"/>
        <v>5016</v>
      </c>
      <c r="C7877" s="191" t="s">
        <v>458</v>
      </c>
      <c r="D7877" s="251" t="s">
        <v>15631</v>
      </c>
      <c r="E7877" s="53" t="s">
        <v>1056</v>
      </c>
      <c r="F7877" s="211" t="s">
        <v>19284</v>
      </c>
      <c r="G7877" s="46" t="s">
        <v>16166</v>
      </c>
      <c r="H7877" s="534">
        <v>16712.16</v>
      </c>
      <c r="I7877" s="56">
        <v>45356</v>
      </c>
      <c r="J7877" s="199" t="s">
        <v>19283</v>
      </c>
      <c r="K7877" s="46"/>
      <c r="O7877" s="46" t="s">
        <v>1061</v>
      </c>
      <c r="P7877" s="46" t="s">
        <v>36</v>
      </c>
      <c r="Q7877" s="46" t="s">
        <v>90</v>
      </c>
      <c r="R7877" s="46" t="s">
        <v>272</v>
      </c>
    </row>
    <row r="7878" spans="1:18" ht="69" customHeight="1">
      <c r="B7878" s="52">
        <f t="shared" si="48"/>
        <v>5017</v>
      </c>
      <c r="C7878" s="191" t="s">
        <v>657</v>
      </c>
      <c r="D7878" s="251" t="s">
        <v>13499</v>
      </c>
      <c r="E7878" s="53" t="s">
        <v>1056</v>
      </c>
      <c r="F7878" s="211" t="s">
        <v>19285</v>
      </c>
      <c r="G7878" s="46" t="s">
        <v>16166</v>
      </c>
      <c r="H7878" s="534">
        <v>12032.76</v>
      </c>
      <c r="I7878" s="56">
        <v>45356</v>
      </c>
      <c r="J7878" s="199" t="s">
        <v>19283</v>
      </c>
      <c r="K7878" s="46"/>
      <c r="O7878" s="46" t="s">
        <v>1061</v>
      </c>
      <c r="P7878" s="46" t="s">
        <v>36</v>
      </c>
      <c r="Q7878" s="46" t="s">
        <v>99</v>
      </c>
      <c r="R7878" s="46" t="s">
        <v>272</v>
      </c>
    </row>
    <row r="7879" spans="1:18" ht="69" customHeight="1">
      <c r="B7879" s="52">
        <f t="shared" si="48"/>
        <v>5018</v>
      </c>
      <c r="C7879" s="191" t="s">
        <v>3667</v>
      </c>
      <c r="D7879" s="251" t="s">
        <v>19286</v>
      </c>
      <c r="E7879" s="53" t="s">
        <v>1056</v>
      </c>
      <c r="F7879" s="211" t="s">
        <v>19287</v>
      </c>
      <c r="G7879" s="46" t="s">
        <v>16166</v>
      </c>
      <c r="H7879" s="534">
        <v>21391.57</v>
      </c>
      <c r="I7879" s="56">
        <v>45356</v>
      </c>
      <c r="J7879" s="199" t="s">
        <v>19283</v>
      </c>
      <c r="K7879" s="46"/>
      <c r="O7879" s="46" t="s">
        <v>1061</v>
      </c>
      <c r="P7879" s="46" t="s">
        <v>36</v>
      </c>
      <c r="Q7879" s="46" t="s">
        <v>49</v>
      </c>
      <c r="R7879" s="46" t="s">
        <v>272</v>
      </c>
    </row>
    <row r="7880" spans="1:18" ht="69" customHeight="1">
      <c r="B7880" s="52">
        <f t="shared" si="48"/>
        <v>5019</v>
      </c>
      <c r="C7880" s="46" t="s">
        <v>309</v>
      </c>
      <c r="D7880" s="251" t="s">
        <v>18535</v>
      </c>
      <c r="E7880" s="53" t="s">
        <v>1056</v>
      </c>
      <c r="F7880" s="211" t="s">
        <v>19288</v>
      </c>
      <c r="G7880" s="46" t="s">
        <v>16174</v>
      </c>
      <c r="H7880" s="534">
        <v>124075.93</v>
      </c>
      <c r="I7880" s="56">
        <v>45356</v>
      </c>
      <c r="J7880" s="199" t="s">
        <v>19283</v>
      </c>
      <c r="K7880" s="46"/>
      <c r="O7880" s="46" t="s">
        <v>1061</v>
      </c>
      <c r="P7880" s="46" t="s">
        <v>36</v>
      </c>
      <c r="Q7880" s="46" t="s">
        <v>15</v>
      </c>
      <c r="R7880" s="46" t="s">
        <v>272</v>
      </c>
    </row>
    <row r="7881" spans="1:18" ht="69" customHeight="1">
      <c r="B7881" s="52">
        <f t="shared" si="48"/>
        <v>5020</v>
      </c>
      <c r="C7881" s="191" t="s">
        <v>657</v>
      </c>
      <c r="D7881" s="251" t="s">
        <v>13055</v>
      </c>
      <c r="E7881" s="53" t="s">
        <v>1056</v>
      </c>
      <c r="F7881" s="211" t="s">
        <v>19289</v>
      </c>
      <c r="G7881" s="46" t="s">
        <v>16174</v>
      </c>
      <c r="H7881" s="534">
        <v>89334.67</v>
      </c>
      <c r="I7881" s="56">
        <v>45356</v>
      </c>
      <c r="J7881" s="199" t="s">
        <v>19283</v>
      </c>
      <c r="K7881" s="46"/>
      <c r="O7881" s="46" t="s">
        <v>1061</v>
      </c>
      <c r="P7881" s="46" t="s">
        <v>36</v>
      </c>
      <c r="Q7881" s="46" t="s">
        <v>49</v>
      </c>
      <c r="R7881" s="46" t="s">
        <v>272</v>
      </c>
    </row>
    <row r="7882" spans="1:18" ht="69" customHeight="1">
      <c r="B7882" s="52">
        <f t="shared" si="48"/>
        <v>5021</v>
      </c>
      <c r="C7882" s="191" t="s">
        <v>3667</v>
      </c>
      <c r="D7882" s="251" t="s">
        <v>19290</v>
      </c>
      <c r="E7882" s="53" t="s">
        <v>1056</v>
      </c>
      <c r="F7882" s="211" t="s">
        <v>19291</v>
      </c>
      <c r="G7882" s="46" t="s">
        <v>16174</v>
      </c>
      <c r="H7882" s="534">
        <v>158817.19</v>
      </c>
      <c r="I7882" s="56">
        <v>45356</v>
      </c>
      <c r="J7882" s="199" t="s">
        <v>19283</v>
      </c>
      <c r="K7882" s="46"/>
      <c r="O7882" s="46" t="s">
        <v>1061</v>
      </c>
      <c r="P7882" s="46" t="s">
        <v>36</v>
      </c>
      <c r="Q7882" s="46" t="s">
        <v>99</v>
      </c>
      <c r="R7882" s="46" t="s">
        <v>272</v>
      </c>
    </row>
    <row r="7883" spans="1:18" s="117" customFormat="1" ht="69" customHeight="1">
      <c r="A7883" s="167"/>
      <c r="B7883" s="62">
        <f t="shared" si="48"/>
        <v>5022</v>
      </c>
      <c r="C7883" s="59" t="s">
        <v>3667</v>
      </c>
      <c r="D7883" s="84" t="s">
        <v>19292</v>
      </c>
      <c r="E7883" s="84" t="s">
        <v>18564</v>
      </c>
      <c r="F7883" s="45" t="s">
        <v>19293</v>
      </c>
      <c r="G7883" s="45" t="s">
        <v>19294</v>
      </c>
      <c r="H7883" s="546">
        <v>83240.31</v>
      </c>
      <c r="I7883" s="126">
        <v>45356</v>
      </c>
      <c r="J7883" s="73" t="s">
        <v>19295</v>
      </c>
      <c r="K7883" s="67"/>
      <c r="L7883" s="98"/>
      <c r="O7883" s="62" t="s">
        <v>147</v>
      </c>
      <c r="P7883" s="58" t="s">
        <v>22</v>
      </c>
      <c r="Q7883" s="45" t="s">
        <v>78</v>
      </c>
      <c r="R7883" s="45" t="s">
        <v>272</v>
      </c>
    </row>
    <row r="7884" spans="1:18" s="117" customFormat="1" ht="69" customHeight="1">
      <c r="A7884" s="167"/>
      <c r="B7884" s="62">
        <f t="shared" si="48"/>
        <v>5023</v>
      </c>
      <c r="C7884" s="59" t="s">
        <v>3667</v>
      </c>
      <c r="D7884" s="84" t="s">
        <v>19296</v>
      </c>
      <c r="E7884" s="84" t="s">
        <v>18564</v>
      </c>
      <c r="F7884" s="45" t="s">
        <v>19297</v>
      </c>
      <c r="G7884" s="45" t="s">
        <v>19298</v>
      </c>
      <c r="H7884" s="546">
        <v>44821.71</v>
      </c>
      <c r="I7884" s="126">
        <v>45356</v>
      </c>
      <c r="J7884" s="73" t="s">
        <v>19295</v>
      </c>
      <c r="K7884" s="67"/>
      <c r="L7884" s="98"/>
      <c r="O7884" s="62" t="s">
        <v>147</v>
      </c>
      <c r="P7884" s="58" t="s">
        <v>22</v>
      </c>
      <c r="Q7884" s="45" t="s">
        <v>78</v>
      </c>
      <c r="R7884" s="45" t="s">
        <v>272</v>
      </c>
    </row>
    <row r="7885" spans="1:18" ht="69" customHeight="1">
      <c r="B7885" s="62">
        <f t="shared" si="48"/>
        <v>5024</v>
      </c>
      <c r="C7885" s="59" t="s">
        <v>3667</v>
      </c>
      <c r="D7885" s="545" t="s">
        <v>19299</v>
      </c>
      <c r="E7885" s="58" t="s">
        <v>15627</v>
      </c>
      <c r="F7885" s="45" t="s">
        <v>19300</v>
      </c>
      <c r="G7885" s="58" t="s">
        <v>19301</v>
      </c>
      <c r="H7885" s="546">
        <v>28458.5</v>
      </c>
      <c r="I7885" s="47">
        <v>45337</v>
      </c>
      <c r="J7885" s="73" t="s">
        <v>19302</v>
      </c>
      <c r="K7885" s="67"/>
      <c r="O7885" s="62" t="s">
        <v>13448</v>
      </c>
      <c r="P7885" s="58" t="s">
        <v>57</v>
      </c>
      <c r="Q7885" s="45" t="s">
        <v>86</v>
      </c>
      <c r="R7885" s="45" t="s">
        <v>265</v>
      </c>
    </row>
    <row r="7886" spans="1:18" ht="69" customHeight="1">
      <c r="B7886" s="62">
        <f t="shared" si="48"/>
        <v>5025</v>
      </c>
      <c r="C7886" s="59" t="s">
        <v>657</v>
      </c>
      <c r="D7886" s="545" t="s">
        <v>13073</v>
      </c>
      <c r="E7886" s="58" t="s">
        <v>18110</v>
      </c>
      <c r="F7886" s="45" t="s">
        <v>19303</v>
      </c>
      <c r="G7886" s="58" t="s">
        <v>19304</v>
      </c>
      <c r="H7886" s="546">
        <v>7808</v>
      </c>
      <c r="I7886" s="47">
        <v>45337</v>
      </c>
      <c r="J7886" s="73" t="s">
        <v>19305</v>
      </c>
      <c r="K7886" s="67"/>
      <c r="O7886" s="62" t="s">
        <v>150</v>
      </c>
      <c r="P7886" s="58" t="s">
        <v>51</v>
      </c>
      <c r="Q7886" s="45" t="s">
        <v>120</v>
      </c>
      <c r="R7886" s="45" t="s">
        <v>272</v>
      </c>
    </row>
    <row r="7887" spans="1:18" ht="69" customHeight="1">
      <c r="B7887" s="62">
        <f t="shared" si="48"/>
        <v>5026</v>
      </c>
      <c r="C7887" s="45" t="s">
        <v>458</v>
      </c>
      <c r="D7887" s="545" t="s">
        <v>19306</v>
      </c>
      <c r="E7887" s="58" t="s">
        <v>18110</v>
      </c>
      <c r="F7887" s="45" t="s">
        <v>19307</v>
      </c>
      <c r="G7887" s="58" t="s">
        <v>19304</v>
      </c>
      <c r="H7887" s="546">
        <v>7808</v>
      </c>
      <c r="I7887" s="47">
        <v>45337</v>
      </c>
      <c r="J7887" s="73" t="s">
        <v>19305</v>
      </c>
      <c r="K7887" s="67"/>
      <c r="O7887" s="62" t="s">
        <v>150</v>
      </c>
      <c r="P7887" s="58" t="s">
        <v>51</v>
      </c>
      <c r="Q7887" s="45" t="s">
        <v>119</v>
      </c>
      <c r="R7887" s="45" t="s">
        <v>272</v>
      </c>
    </row>
    <row r="7888" spans="1:18" ht="69" customHeight="1">
      <c r="B7888" s="62">
        <f t="shared" si="48"/>
        <v>5027</v>
      </c>
      <c r="C7888" s="45" t="s">
        <v>458</v>
      </c>
      <c r="D7888" s="545" t="s">
        <v>15378</v>
      </c>
      <c r="E7888" s="58" t="s">
        <v>18110</v>
      </c>
      <c r="F7888" s="45" t="s">
        <v>19308</v>
      </c>
      <c r="G7888" s="58" t="s">
        <v>19304</v>
      </c>
      <c r="H7888" s="546">
        <v>7808</v>
      </c>
      <c r="I7888" s="47">
        <v>45337</v>
      </c>
      <c r="J7888" s="73" t="s">
        <v>19305</v>
      </c>
      <c r="K7888" s="67"/>
      <c r="O7888" s="62" t="s">
        <v>150</v>
      </c>
      <c r="P7888" s="58" t="s">
        <v>51</v>
      </c>
      <c r="Q7888" s="45" t="s">
        <v>105</v>
      </c>
      <c r="R7888" s="45" t="s">
        <v>272</v>
      </c>
    </row>
    <row r="7889" spans="2:18" ht="69" customHeight="1">
      <c r="B7889" s="62">
        <f t="shared" ref="B7889:B7952" si="49">B7888+1</f>
        <v>5028</v>
      </c>
      <c r="C7889" s="59" t="s">
        <v>309</v>
      </c>
      <c r="D7889" s="545" t="s">
        <v>19309</v>
      </c>
      <c r="E7889" s="58" t="s">
        <v>18110</v>
      </c>
      <c r="F7889" s="45" t="s">
        <v>19310</v>
      </c>
      <c r="G7889" s="58" t="s">
        <v>19304</v>
      </c>
      <c r="H7889" s="546">
        <v>29180</v>
      </c>
      <c r="I7889" s="47">
        <v>45337</v>
      </c>
      <c r="J7889" s="73" t="s">
        <v>19305</v>
      </c>
      <c r="K7889" s="67"/>
      <c r="O7889" s="62" t="s">
        <v>150</v>
      </c>
      <c r="P7889" s="58" t="s">
        <v>51</v>
      </c>
      <c r="Q7889" s="45" t="s">
        <v>33</v>
      </c>
      <c r="R7889" s="45" t="s">
        <v>272</v>
      </c>
    </row>
    <row r="7890" spans="2:18" ht="69" customHeight="1">
      <c r="B7890" s="62">
        <f t="shared" si="49"/>
        <v>5029</v>
      </c>
      <c r="C7890" s="59" t="s">
        <v>309</v>
      </c>
      <c r="D7890" s="545" t="s">
        <v>18584</v>
      </c>
      <c r="E7890" s="58" t="s">
        <v>18110</v>
      </c>
      <c r="F7890" s="45" t="s">
        <v>19311</v>
      </c>
      <c r="G7890" s="58" t="s">
        <v>19304</v>
      </c>
      <c r="H7890" s="546">
        <v>26582</v>
      </c>
      <c r="I7890" s="47">
        <v>45337</v>
      </c>
      <c r="J7890" s="73" t="s">
        <v>19305</v>
      </c>
      <c r="K7890" s="67"/>
      <c r="O7890" s="62" t="s">
        <v>150</v>
      </c>
      <c r="P7890" s="58" t="s">
        <v>51</v>
      </c>
      <c r="Q7890" s="45" t="s">
        <v>35</v>
      </c>
      <c r="R7890" s="45" t="s">
        <v>272</v>
      </c>
    </row>
    <row r="7891" spans="2:18" ht="69" customHeight="1">
      <c r="B7891" s="62">
        <f t="shared" si="49"/>
        <v>5030</v>
      </c>
      <c r="C7891" s="59" t="s">
        <v>309</v>
      </c>
      <c r="D7891" s="545" t="s">
        <v>18589</v>
      </c>
      <c r="E7891" s="58" t="s">
        <v>18110</v>
      </c>
      <c r="F7891" s="45" t="s">
        <v>19312</v>
      </c>
      <c r="G7891" s="58" t="s">
        <v>19304</v>
      </c>
      <c r="H7891" s="546">
        <v>26582</v>
      </c>
      <c r="I7891" s="47">
        <v>45337</v>
      </c>
      <c r="J7891" s="73" t="s">
        <v>19305</v>
      </c>
      <c r="K7891" s="67"/>
      <c r="O7891" s="62" t="s">
        <v>150</v>
      </c>
      <c r="P7891" s="58" t="s">
        <v>51</v>
      </c>
      <c r="Q7891" s="45" t="s">
        <v>37</v>
      </c>
      <c r="R7891" s="45" t="s">
        <v>272</v>
      </c>
    </row>
    <row r="7892" spans="2:18" ht="69" customHeight="1">
      <c r="B7892" s="62">
        <f t="shared" si="49"/>
        <v>5031</v>
      </c>
      <c r="C7892" s="59" t="s">
        <v>309</v>
      </c>
      <c r="D7892" s="545" t="s">
        <v>19313</v>
      </c>
      <c r="E7892" s="58" t="s">
        <v>18110</v>
      </c>
      <c r="F7892" s="45" t="s">
        <v>19314</v>
      </c>
      <c r="G7892" s="58" t="s">
        <v>19304</v>
      </c>
      <c r="H7892" s="546">
        <v>7808</v>
      </c>
      <c r="I7892" s="47">
        <v>45337</v>
      </c>
      <c r="J7892" s="73" t="s">
        <v>19305</v>
      </c>
      <c r="K7892" s="67"/>
      <c r="O7892" s="62" t="s">
        <v>150</v>
      </c>
      <c r="P7892" s="58" t="s">
        <v>51</v>
      </c>
      <c r="Q7892" s="45" t="s">
        <v>33</v>
      </c>
      <c r="R7892" s="45" t="s">
        <v>272</v>
      </c>
    </row>
    <row r="7893" spans="2:18" ht="69" customHeight="1">
      <c r="B7893" s="62">
        <f t="shared" si="49"/>
        <v>5032</v>
      </c>
      <c r="C7893" s="59" t="s">
        <v>309</v>
      </c>
      <c r="D7893" s="545" t="s">
        <v>14814</v>
      </c>
      <c r="E7893" s="58" t="s">
        <v>18110</v>
      </c>
      <c r="F7893" s="45" t="s">
        <v>19315</v>
      </c>
      <c r="G7893" s="58" t="s">
        <v>19304</v>
      </c>
      <c r="H7893" s="546">
        <v>7808</v>
      </c>
      <c r="I7893" s="47">
        <v>45337</v>
      </c>
      <c r="J7893" s="73" t="s">
        <v>19305</v>
      </c>
      <c r="K7893" s="67"/>
      <c r="O7893" s="62" t="s">
        <v>150</v>
      </c>
      <c r="P7893" s="58" t="s">
        <v>51</v>
      </c>
      <c r="Q7893" s="45" t="s">
        <v>35</v>
      </c>
      <c r="R7893" s="45" t="s">
        <v>272</v>
      </c>
    </row>
    <row r="7894" spans="2:18" ht="69" customHeight="1">
      <c r="B7894" s="62">
        <f t="shared" si="49"/>
        <v>5033</v>
      </c>
      <c r="C7894" s="59" t="s">
        <v>309</v>
      </c>
      <c r="D7894" s="545" t="s">
        <v>14838</v>
      </c>
      <c r="E7894" s="58" t="s">
        <v>18110</v>
      </c>
      <c r="F7894" s="45" t="s">
        <v>19316</v>
      </c>
      <c r="G7894" s="58" t="s">
        <v>19304</v>
      </c>
      <c r="H7894" s="546">
        <v>7808</v>
      </c>
      <c r="I7894" s="47">
        <v>45337</v>
      </c>
      <c r="J7894" s="73" t="s">
        <v>19305</v>
      </c>
      <c r="K7894" s="67"/>
      <c r="O7894" s="62" t="s">
        <v>150</v>
      </c>
      <c r="P7894" s="58" t="s">
        <v>51</v>
      </c>
      <c r="Q7894" s="45" t="s">
        <v>37</v>
      </c>
      <c r="R7894" s="45" t="s">
        <v>272</v>
      </c>
    </row>
    <row r="7895" spans="2:18" ht="69" customHeight="1">
      <c r="B7895" s="62">
        <f t="shared" si="49"/>
        <v>5034</v>
      </c>
      <c r="C7895" s="59" t="s">
        <v>309</v>
      </c>
      <c r="D7895" s="545" t="s">
        <v>14840</v>
      </c>
      <c r="E7895" s="58" t="s">
        <v>18110</v>
      </c>
      <c r="F7895" s="45" t="s">
        <v>19317</v>
      </c>
      <c r="G7895" s="58" t="s">
        <v>19304</v>
      </c>
      <c r="H7895" s="546">
        <v>7808</v>
      </c>
      <c r="I7895" s="47">
        <v>45337</v>
      </c>
      <c r="J7895" s="73" t="s">
        <v>19305</v>
      </c>
      <c r="K7895" s="67"/>
      <c r="O7895" s="62" t="s">
        <v>150</v>
      </c>
      <c r="P7895" s="58" t="s">
        <v>51</v>
      </c>
      <c r="Q7895" s="45" t="s">
        <v>45</v>
      </c>
      <c r="R7895" s="45" t="s">
        <v>272</v>
      </c>
    </row>
    <row r="7896" spans="2:18" ht="69" customHeight="1">
      <c r="B7896" s="62">
        <f t="shared" si="49"/>
        <v>5035</v>
      </c>
      <c r="C7896" s="59" t="s">
        <v>3667</v>
      </c>
      <c r="D7896" s="545" t="s">
        <v>19318</v>
      </c>
      <c r="E7896" s="58" t="s">
        <v>18110</v>
      </c>
      <c r="F7896" s="45" t="s">
        <v>19319</v>
      </c>
      <c r="G7896" s="58" t="s">
        <v>19304</v>
      </c>
      <c r="H7896" s="546">
        <v>7808</v>
      </c>
      <c r="I7896" s="47">
        <v>45337</v>
      </c>
      <c r="J7896" s="73" t="s">
        <v>19305</v>
      </c>
      <c r="K7896" s="67"/>
      <c r="O7896" s="62" t="s">
        <v>150</v>
      </c>
      <c r="P7896" s="58" t="s">
        <v>51</v>
      </c>
      <c r="Q7896" s="45" t="s">
        <v>47</v>
      </c>
      <c r="R7896" s="45" t="s">
        <v>272</v>
      </c>
    </row>
    <row r="7897" spans="2:18" ht="69" customHeight="1">
      <c r="B7897" s="62">
        <f t="shared" si="49"/>
        <v>5036</v>
      </c>
      <c r="C7897" s="59" t="s">
        <v>3667</v>
      </c>
      <c r="D7897" s="545" t="s">
        <v>19320</v>
      </c>
      <c r="E7897" s="58" t="s">
        <v>18110</v>
      </c>
      <c r="F7897" s="45" t="s">
        <v>19321</v>
      </c>
      <c r="G7897" s="58" t="s">
        <v>19304</v>
      </c>
      <c r="H7897" s="546">
        <v>7808</v>
      </c>
      <c r="I7897" s="47">
        <v>45337</v>
      </c>
      <c r="J7897" s="73" t="s">
        <v>19305</v>
      </c>
      <c r="K7897" s="67"/>
      <c r="O7897" s="62" t="s">
        <v>150</v>
      </c>
      <c r="P7897" s="58" t="s">
        <v>51</v>
      </c>
      <c r="Q7897" s="45" t="s">
        <v>52</v>
      </c>
      <c r="R7897" s="45" t="s">
        <v>272</v>
      </c>
    </row>
    <row r="7898" spans="2:18" ht="69" customHeight="1">
      <c r="B7898" s="62">
        <f t="shared" si="49"/>
        <v>5037</v>
      </c>
      <c r="C7898" s="59" t="s">
        <v>3667</v>
      </c>
      <c r="D7898" s="545" t="s">
        <v>19322</v>
      </c>
      <c r="E7898" s="58" t="s">
        <v>18110</v>
      </c>
      <c r="F7898" s="45" t="s">
        <v>19323</v>
      </c>
      <c r="G7898" s="58" t="s">
        <v>19304</v>
      </c>
      <c r="H7898" s="546">
        <v>7808</v>
      </c>
      <c r="I7898" s="47">
        <v>45337</v>
      </c>
      <c r="J7898" s="73" t="s">
        <v>19305</v>
      </c>
      <c r="K7898" s="67"/>
      <c r="O7898" s="62" t="s">
        <v>150</v>
      </c>
      <c r="P7898" s="58" t="s">
        <v>51</v>
      </c>
      <c r="Q7898" s="45" t="s">
        <v>72</v>
      </c>
      <c r="R7898" s="45" t="s">
        <v>272</v>
      </c>
    </row>
    <row r="7899" spans="2:18" ht="69" customHeight="1">
      <c r="B7899" s="62">
        <f t="shared" si="49"/>
        <v>5038</v>
      </c>
      <c r="C7899" s="59" t="s">
        <v>3667</v>
      </c>
      <c r="D7899" s="545" t="s">
        <v>19324</v>
      </c>
      <c r="E7899" s="58" t="s">
        <v>18110</v>
      </c>
      <c r="F7899" s="45" t="s">
        <v>19325</v>
      </c>
      <c r="G7899" s="58" t="s">
        <v>19304</v>
      </c>
      <c r="H7899" s="198">
        <v>7808</v>
      </c>
      <c r="I7899" s="47">
        <v>45337</v>
      </c>
      <c r="J7899" s="73" t="s">
        <v>19305</v>
      </c>
      <c r="K7899" s="67"/>
      <c r="O7899" s="62" t="s">
        <v>150</v>
      </c>
      <c r="P7899" s="58" t="s">
        <v>51</v>
      </c>
      <c r="Q7899" s="45" t="s">
        <v>86</v>
      </c>
      <c r="R7899" s="45" t="s">
        <v>272</v>
      </c>
    </row>
    <row r="7900" spans="2:18" ht="69" customHeight="1">
      <c r="B7900" s="62">
        <f t="shared" si="49"/>
        <v>5039</v>
      </c>
      <c r="C7900" s="59" t="s">
        <v>3667</v>
      </c>
      <c r="D7900" s="545" t="s">
        <v>19326</v>
      </c>
      <c r="E7900" s="58" t="s">
        <v>18110</v>
      </c>
      <c r="F7900" s="45" t="s">
        <v>19327</v>
      </c>
      <c r="G7900" s="58" t="s">
        <v>19304</v>
      </c>
      <c r="H7900" s="546">
        <v>7808</v>
      </c>
      <c r="I7900" s="47">
        <v>45337</v>
      </c>
      <c r="J7900" s="73" t="s">
        <v>19305</v>
      </c>
      <c r="K7900" s="67"/>
      <c r="O7900" s="62" t="s">
        <v>150</v>
      </c>
      <c r="P7900" s="58" t="s">
        <v>51</v>
      </c>
      <c r="Q7900" s="45" t="s">
        <v>64</v>
      </c>
      <c r="R7900" s="45" t="s">
        <v>272</v>
      </c>
    </row>
    <row r="7901" spans="2:18" ht="69" customHeight="1">
      <c r="B7901" s="259">
        <f t="shared" si="49"/>
        <v>5040</v>
      </c>
      <c r="C7901" s="207" t="s">
        <v>3340</v>
      </c>
      <c r="D7901" s="303" t="s">
        <v>5774</v>
      </c>
      <c r="E7901" s="160" t="s">
        <v>19114</v>
      </c>
      <c r="F7901" s="160" t="s">
        <v>19328</v>
      </c>
      <c r="G7901" s="160" t="s">
        <v>19329</v>
      </c>
      <c r="H7901" s="300">
        <v>4436.49</v>
      </c>
      <c r="I7901" s="209">
        <v>45356</v>
      </c>
      <c r="J7901" s="316" t="s">
        <v>19330</v>
      </c>
      <c r="K7901" s="160" t="s">
        <v>11084</v>
      </c>
      <c r="O7901" s="259" t="s">
        <v>13735</v>
      </c>
      <c r="P7901" s="160" t="s">
        <v>67</v>
      </c>
      <c r="Q7901" s="160" t="s">
        <v>96</v>
      </c>
      <c r="R7901" s="160" t="s">
        <v>272</v>
      </c>
    </row>
    <row r="7902" spans="2:18" ht="69" customHeight="1">
      <c r="B7902" s="259">
        <f t="shared" si="49"/>
        <v>5041</v>
      </c>
      <c r="C7902" s="207" t="s">
        <v>3340</v>
      </c>
      <c r="D7902" s="303" t="s">
        <v>5905</v>
      </c>
      <c r="E7902" s="160" t="s">
        <v>19114</v>
      </c>
      <c r="F7902" s="160" t="s">
        <v>19331</v>
      </c>
      <c r="G7902" s="160" t="s">
        <v>19332</v>
      </c>
      <c r="H7902" s="300">
        <v>5959.31</v>
      </c>
      <c r="I7902" s="209">
        <v>45356</v>
      </c>
      <c r="J7902" s="316" t="s">
        <v>19333</v>
      </c>
      <c r="K7902" s="160" t="s">
        <v>11084</v>
      </c>
      <c r="O7902" s="259" t="s">
        <v>13735</v>
      </c>
      <c r="P7902" s="160" t="s">
        <v>67</v>
      </c>
      <c r="Q7902" s="160" t="s">
        <v>96</v>
      </c>
      <c r="R7902" s="160" t="s">
        <v>272</v>
      </c>
    </row>
    <row r="7903" spans="2:18" ht="69" customHeight="1">
      <c r="B7903" s="62">
        <f t="shared" si="49"/>
        <v>5042</v>
      </c>
      <c r="C7903" s="59" t="s">
        <v>3667</v>
      </c>
      <c r="D7903" s="545" t="s">
        <v>19334</v>
      </c>
      <c r="E7903" s="58" t="s">
        <v>18110</v>
      </c>
      <c r="F7903" s="58" t="s">
        <v>19335</v>
      </c>
      <c r="G7903" s="58" t="s">
        <v>19076</v>
      </c>
      <c r="H7903" s="546">
        <v>3767.13</v>
      </c>
      <c r="I7903" s="126">
        <v>45366</v>
      </c>
      <c r="J7903" s="73" t="s">
        <v>19336</v>
      </c>
      <c r="K7903" s="67"/>
      <c r="O7903" s="62" t="s">
        <v>150</v>
      </c>
      <c r="P7903" s="58" t="s">
        <v>51</v>
      </c>
      <c r="Q7903" s="45" t="s">
        <v>76</v>
      </c>
      <c r="R7903" s="45" t="s">
        <v>272</v>
      </c>
    </row>
    <row r="7904" spans="2:18" ht="69" customHeight="1">
      <c r="B7904" s="62">
        <f t="shared" si="49"/>
        <v>5043</v>
      </c>
      <c r="C7904" s="59" t="s">
        <v>3667</v>
      </c>
      <c r="D7904" s="545" t="s">
        <v>19337</v>
      </c>
      <c r="E7904" s="58" t="s">
        <v>18110</v>
      </c>
      <c r="F7904" s="58" t="s">
        <v>19338</v>
      </c>
      <c r="G7904" s="58" t="s">
        <v>19076</v>
      </c>
      <c r="H7904" s="546">
        <v>3767.13</v>
      </c>
      <c r="I7904" s="126">
        <v>45366</v>
      </c>
      <c r="J7904" s="73" t="s">
        <v>19336</v>
      </c>
      <c r="K7904" s="67"/>
      <c r="O7904" s="62" t="s">
        <v>150</v>
      </c>
      <c r="P7904" s="58" t="s">
        <v>51</v>
      </c>
      <c r="Q7904" s="45" t="s">
        <v>74</v>
      </c>
      <c r="R7904" s="45" t="s">
        <v>272</v>
      </c>
    </row>
    <row r="7905" spans="1:18" ht="69" customHeight="1">
      <c r="B7905" s="62">
        <f t="shared" si="49"/>
        <v>5044</v>
      </c>
      <c r="C7905" s="59" t="s">
        <v>309</v>
      </c>
      <c r="D7905" s="545" t="s">
        <v>14820</v>
      </c>
      <c r="E7905" s="58" t="s">
        <v>18110</v>
      </c>
      <c r="F7905" s="58" t="s">
        <v>19339</v>
      </c>
      <c r="G7905" s="58" t="s">
        <v>19076</v>
      </c>
      <c r="H7905" s="546">
        <v>2238.85</v>
      </c>
      <c r="I7905" s="126">
        <v>45366</v>
      </c>
      <c r="J7905" s="73" t="s">
        <v>19336</v>
      </c>
      <c r="K7905" s="67"/>
      <c r="O7905" s="62" t="s">
        <v>150</v>
      </c>
      <c r="P7905" s="58" t="s">
        <v>51</v>
      </c>
      <c r="Q7905" s="45" t="s">
        <v>33</v>
      </c>
      <c r="R7905" s="45" t="s">
        <v>272</v>
      </c>
    </row>
    <row r="7906" spans="1:18" ht="69" customHeight="1">
      <c r="B7906" s="62">
        <f t="shared" si="49"/>
        <v>5045</v>
      </c>
      <c r="C7906" s="59" t="s">
        <v>309</v>
      </c>
      <c r="D7906" s="545" t="s">
        <v>14822</v>
      </c>
      <c r="E7906" s="58" t="s">
        <v>18110</v>
      </c>
      <c r="F7906" s="58" t="s">
        <v>19340</v>
      </c>
      <c r="G7906" s="58" t="s">
        <v>19076</v>
      </c>
      <c r="H7906" s="546">
        <v>2031.85</v>
      </c>
      <c r="I7906" s="126">
        <v>45366</v>
      </c>
      <c r="J7906" s="73" t="s">
        <v>19336</v>
      </c>
      <c r="K7906" s="67"/>
      <c r="O7906" s="62" t="s">
        <v>150</v>
      </c>
      <c r="P7906" s="58" t="s">
        <v>51</v>
      </c>
      <c r="Q7906" s="45" t="s">
        <v>35</v>
      </c>
      <c r="R7906" s="45" t="s">
        <v>272</v>
      </c>
    </row>
    <row r="7907" spans="1:18" ht="69" customHeight="1">
      <c r="B7907" s="62">
        <f t="shared" si="49"/>
        <v>5046</v>
      </c>
      <c r="C7907" s="59" t="s">
        <v>309</v>
      </c>
      <c r="D7907" s="545" t="s">
        <v>14824</v>
      </c>
      <c r="E7907" s="58" t="s">
        <v>18110</v>
      </c>
      <c r="F7907" s="58" t="s">
        <v>19341</v>
      </c>
      <c r="G7907" s="58" t="s">
        <v>19076</v>
      </c>
      <c r="H7907" s="546">
        <v>2031.85</v>
      </c>
      <c r="I7907" s="126">
        <v>45366</v>
      </c>
      <c r="J7907" s="73" t="s">
        <v>19336</v>
      </c>
      <c r="K7907" s="67"/>
      <c r="O7907" s="62" t="s">
        <v>150</v>
      </c>
      <c r="P7907" s="58" t="s">
        <v>51</v>
      </c>
      <c r="Q7907" s="45" t="s">
        <v>37</v>
      </c>
      <c r="R7907" s="45" t="s">
        <v>272</v>
      </c>
    </row>
    <row r="7908" spans="1:18" s="98" customFormat="1" ht="69" customHeight="1">
      <c r="A7908" s="169"/>
      <c r="B7908" s="259">
        <f t="shared" si="49"/>
        <v>5047</v>
      </c>
      <c r="C7908" s="207" t="s">
        <v>13156</v>
      </c>
      <c r="D7908" s="303" t="s">
        <v>2900</v>
      </c>
      <c r="E7908" s="160" t="s">
        <v>19114</v>
      </c>
      <c r="F7908" s="160" t="s">
        <v>19342</v>
      </c>
      <c r="G7908" s="160" t="s">
        <v>19343</v>
      </c>
      <c r="H7908" s="300">
        <v>52224.22</v>
      </c>
      <c r="I7908" s="209">
        <v>45356</v>
      </c>
      <c r="J7908" s="316" t="s">
        <v>19344</v>
      </c>
      <c r="K7908" s="160"/>
      <c r="O7908" s="259"/>
      <c r="P7908" s="160" t="s">
        <v>67</v>
      </c>
      <c r="Q7908" s="160" t="s">
        <v>96</v>
      </c>
      <c r="R7908" s="160" t="s">
        <v>272</v>
      </c>
    </row>
    <row r="7909" spans="1:18" s="98" customFormat="1" ht="69" customHeight="1">
      <c r="A7909" s="169"/>
      <c r="B7909" s="259">
        <f t="shared" si="49"/>
        <v>5048</v>
      </c>
      <c r="C7909" s="160" t="s">
        <v>3340</v>
      </c>
      <c r="D7909" s="303" t="s">
        <v>341</v>
      </c>
      <c r="E7909" s="160" t="s">
        <v>19114</v>
      </c>
      <c r="F7909" s="160" t="s">
        <v>19345</v>
      </c>
      <c r="G7909" s="160" t="s">
        <v>19346</v>
      </c>
      <c r="H7909" s="300">
        <v>6577.1</v>
      </c>
      <c r="I7909" s="209">
        <v>45356</v>
      </c>
      <c r="J7909" s="316" t="s">
        <v>19347</v>
      </c>
      <c r="K7909" s="160"/>
      <c r="O7909" s="259"/>
      <c r="P7909" s="160" t="s">
        <v>67</v>
      </c>
      <c r="Q7909" s="160" t="s">
        <v>96</v>
      </c>
      <c r="R7909" s="160" t="s">
        <v>272</v>
      </c>
    </row>
    <row r="7910" spans="1:18" s="98" customFormat="1" ht="69" customHeight="1">
      <c r="A7910" s="169"/>
      <c r="B7910" s="48">
        <f t="shared" si="49"/>
        <v>5049</v>
      </c>
      <c r="C7910" s="59" t="s">
        <v>1593</v>
      </c>
      <c r="D7910" s="84" t="s">
        <v>15052</v>
      </c>
      <c r="E7910" s="45" t="s">
        <v>19348</v>
      </c>
      <c r="F7910" s="45" t="s">
        <v>19349</v>
      </c>
      <c r="G7910" s="45" t="s">
        <v>19350</v>
      </c>
      <c r="H7910" s="546">
        <v>40000</v>
      </c>
      <c r="I7910" s="47">
        <v>45366</v>
      </c>
      <c r="J7910" s="73" t="s">
        <v>19351</v>
      </c>
      <c r="K7910" s="48" t="s">
        <v>16580</v>
      </c>
      <c r="O7910" s="48" t="s">
        <v>17533</v>
      </c>
      <c r="P7910" s="45" t="s">
        <v>75</v>
      </c>
      <c r="Q7910" s="45" t="s">
        <v>27</v>
      </c>
      <c r="R7910" s="45" t="s">
        <v>265</v>
      </c>
    </row>
    <row r="7911" spans="1:18" ht="69" customHeight="1">
      <c r="B7911" s="62">
        <f t="shared" si="49"/>
        <v>5050</v>
      </c>
      <c r="C7911" s="58" t="s">
        <v>18812</v>
      </c>
      <c r="D7911" s="545" t="s">
        <v>14826</v>
      </c>
      <c r="E7911" s="45" t="s">
        <v>19348</v>
      </c>
      <c r="F7911" s="58" t="s">
        <v>19352</v>
      </c>
      <c r="G7911" s="45" t="s">
        <v>19350</v>
      </c>
      <c r="H7911" s="546">
        <v>40000</v>
      </c>
      <c r="I7911" s="126">
        <v>45366</v>
      </c>
      <c r="J7911" s="73" t="s">
        <v>19351</v>
      </c>
      <c r="K7911" s="67"/>
      <c r="O7911" s="62" t="s">
        <v>17533</v>
      </c>
      <c r="P7911" s="58" t="s">
        <v>75</v>
      </c>
      <c r="Q7911" s="45" t="s">
        <v>43</v>
      </c>
      <c r="R7911" s="45" t="s">
        <v>265</v>
      </c>
    </row>
    <row r="7912" spans="1:18" s="98" customFormat="1" ht="69" customHeight="1">
      <c r="A7912" s="169"/>
      <c r="B7912" s="48">
        <f t="shared" si="49"/>
        <v>5051</v>
      </c>
      <c r="C7912" s="201" t="s">
        <v>11058</v>
      </c>
      <c r="D7912" s="84" t="s">
        <v>15054</v>
      </c>
      <c r="E7912" s="45" t="s">
        <v>19348</v>
      </c>
      <c r="F7912" s="45" t="s">
        <v>19353</v>
      </c>
      <c r="G7912" s="45" t="s">
        <v>19350</v>
      </c>
      <c r="H7912" s="546">
        <v>40000</v>
      </c>
      <c r="I7912" s="47">
        <v>45366</v>
      </c>
      <c r="J7912" s="73" t="s">
        <v>19351</v>
      </c>
      <c r="K7912" s="48" t="s">
        <v>16580</v>
      </c>
      <c r="L7912" s="408"/>
      <c r="O7912" s="48" t="s">
        <v>192</v>
      </c>
      <c r="P7912" s="45" t="s">
        <v>75</v>
      </c>
      <c r="Q7912" s="45" t="s">
        <v>23</v>
      </c>
      <c r="R7912" s="45" t="s">
        <v>265</v>
      </c>
    </row>
    <row r="7913" spans="1:18" ht="69" customHeight="1">
      <c r="B7913" s="62">
        <f t="shared" si="49"/>
        <v>5052</v>
      </c>
      <c r="C7913" s="59" t="s">
        <v>309</v>
      </c>
      <c r="D7913" s="545" t="s">
        <v>14836</v>
      </c>
      <c r="E7913" s="58" t="s">
        <v>16011</v>
      </c>
      <c r="F7913" s="58" t="s">
        <v>19354</v>
      </c>
      <c r="G7913" s="58" t="s">
        <v>19076</v>
      </c>
      <c r="H7913" s="546">
        <v>1586</v>
      </c>
      <c r="I7913" s="126">
        <v>45366</v>
      </c>
      <c r="J7913" s="73" t="s">
        <v>19355</v>
      </c>
      <c r="K7913" s="67"/>
      <c r="O7913" s="62" t="s">
        <v>150</v>
      </c>
      <c r="P7913" s="58" t="s">
        <v>51</v>
      </c>
      <c r="Q7913" s="45" t="s">
        <v>45</v>
      </c>
      <c r="R7913" s="45" t="s">
        <v>272</v>
      </c>
    </row>
    <row r="7914" spans="1:18" ht="69" customHeight="1">
      <c r="B7914" s="52">
        <f t="shared" si="49"/>
        <v>5053</v>
      </c>
      <c r="C7914" s="51" t="s">
        <v>10634</v>
      </c>
      <c r="D7914" s="251" t="s">
        <v>19356</v>
      </c>
      <c r="E7914" s="46" t="s">
        <v>17893</v>
      </c>
      <c r="F7914" s="46" t="s">
        <v>19357</v>
      </c>
      <c r="G7914" s="46" t="s">
        <v>16681</v>
      </c>
      <c r="H7914" s="534">
        <v>11390</v>
      </c>
      <c r="I7914" s="56">
        <v>45366</v>
      </c>
      <c r="J7914" s="199" t="s">
        <v>19358</v>
      </c>
      <c r="K7914" s="46"/>
      <c r="O7914" s="52" t="s">
        <v>156</v>
      </c>
      <c r="P7914" s="46" t="s">
        <v>65</v>
      </c>
      <c r="Q7914" s="46" t="s">
        <v>33</v>
      </c>
      <c r="R7914" s="46" t="s">
        <v>265</v>
      </c>
    </row>
    <row r="7915" spans="1:18" ht="69" customHeight="1">
      <c r="B7915" s="52">
        <f t="shared" si="49"/>
        <v>5054</v>
      </c>
      <c r="C7915" s="51" t="s">
        <v>10639</v>
      </c>
      <c r="D7915" s="251" t="s">
        <v>19359</v>
      </c>
      <c r="E7915" s="46" t="s">
        <v>17893</v>
      </c>
      <c r="F7915" s="46" t="s">
        <v>19360</v>
      </c>
      <c r="G7915" s="46" t="s">
        <v>16681</v>
      </c>
      <c r="H7915" s="534">
        <v>11390</v>
      </c>
      <c r="I7915" s="56">
        <v>45366</v>
      </c>
      <c r="J7915" s="199" t="s">
        <v>19358</v>
      </c>
      <c r="K7915" s="46"/>
      <c r="O7915" s="52" t="s">
        <v>156</v>
      </c>
      <c r="P7915" s="46" t="s">
        <v>65</v>
      </c>
      <c r="Q7915" s="46" t="s">
        <v>95</v>
      </c>
      <c r="R7915" s="46" t="s">
        <v>265</v>
      </c>
    </row>
    <row r="7916" spans="1:18" ht="69" customHeight="1">
      <c r="B7916" s="259">
        <f t="shared" si="49"/>
        <v>5055</v>
      </c>
      <c r="C7916" s="326" t="s">
        <v>11568</v>
      </c>
      <c r="D7916" s="303" t="s">
        <v>15653</v>
      </c>
      <c r="E7916" s="160" t="s">
        <v>585</v>
      </c>
      <c r="F7916" s="160" t="s">
        <v>19361</v>
      </c>
      <c r="G7916" s="160" t="s">
        <v>19362</v>
      </c>
      <c r="H7916" s="300">
        <v>1875</v>
      </c>
      <c r="I7916" s="209">
        <v>45366</v>
      </c>
      <c r="J7916" s="316" t="s">
        <v>19363</v>
      </c>
      <c r="K7916" s="160"/>
      <c r="O7916" s="259"/>
      <c r="P7916" s="160" t="s">
        <v>67</v>
      </c>
      <c r="Q7916" s="160" t="s">
        <v>107</v>
      </c>
      <c r="R7916" s="160" t="s">
        <v>272</v>
      </c>
    </row>
    <row r="7917" spans="1:18" ht="69" customHeight="1">
      <c r="B7917" s="62">
        <f t="shared" si="49"/>
        <v>5056</v>
      </c>
      <c r="C7917" s="178" t="s">
        <v>9545</v>
      </c>
      <c r="D7917" s="84" t="s">
        <v>19364</v>
      </c>
      <c r="E7917" s="45" t="s">
        <v>585</v>
      </c>
      <c r="F7917" s="45" t="s">
        <v>19365</v>
      </c>
      <c r="G7917" s="45" t="s">
        <v>19362</v>
      </c>
      <c r="H7917" s="546">
        <v>7500</v>
      </c>
      <c r="I7917" s="66">
        <v>45366</v>
      </c>
      <c r="J7917" s="65" t="s">
        <v>19363</v>
      </c>
      <c r="K7917" s="58" t="s">
        <v>19366</v>
      </c>
      <c r="O7917" s="681" t="s">
        <v>13735</v>
      </c>
      <c r="P7917" s="681" t="s">
        <v>44</v>
      </c>
      <c r="Q7917" s="681" t="s">
        <v>117</v>
      </c>
      <c r="R7917" s="681" t="s">
        <v>272</v>
      </c>
    </row>
    <row r="7918" spans="1:18" s="98" customFormat="1" ht="69" customHeight="1">
      <c r="A7918" s="169"/>
      <c r="B7918" s="259">
        <f t="shared" si="49"/>
        <v>5057</v>
      </c>
      <c r="C7918" s="160" t="s">
        <v>19113</v>
      </c>
      <c r="D7918" s="303" t="s">
        <v>2911</v>
      </c>
      <c r="E7918" s="160" t="s">
        <v>585</v>
      </c>
      <c r="F7918" s="160" t="s">
        <v>19367</v>
      </c>
      <c r="G7918" s="160" t="s">
        <v>19362</v>
      </c>
      <c r="H7918" s="300">
        <v>7000</v>
      </c>
      <c r="I7918" s="209">
        <v>45366</v>
      </c>
      <c r="J7918" s="316" t="s">
        <v>19363</v>
      </c>
      <c r="K7918" s="160"/>
      <c r="O7918" s="259"/>
      <c r="P7918" s="160" t="s">
        <v>67</v>
      </c>
      <c r="Q7918" s="160" t="s">
        <v>96</v>
      </c>
      <c r="R7918" s="160" t="s">
        <v>272</v>
      </c>
    </row>
    <row r="7919" spans="1:18" ht="69" customHeight="1">
      <c r="B7919" s="62">
        <f t="shared" si="49"/>
        <v>5058</v>
      </c>
      <c r="C7919" s="44" t="s">
        <v>9004</v>
      </c>
      <c r="D7919" s="545" t="s">
        <v>5489</v>
      </c>
      <c r="E7919" s="58" t="s">
        <v>19368</v>
      </c>
      <c r="F7919" s="45" t="s">
        <v>19369</v>
      </c>
      <c r="G7919" s="58" t="s">
        <v>19370</v>
      </c>
      <c r="H7919" s="546">
        <v>51529.01</v>
      </c>
      <c r="I7919" s="126">
        <v>45366</v>
      </c>
      <c r="J7919" s="73" t="s">
        <v>19371</v>
      </c>
      <c r="K7919" s="67"/>
      <c r="O7919" s="62" t="s">
        <v>19372</v>
      </c>
      <c r="P7919" s="58" t="s">
        <v>57</v>
      </c>
      <c r="Q7919" s="45" t="s">
        <v>111</v>
      </c>
      <c r="R7919" s="45" t="s">
        <v>272</v>
      </c>
    </row>
    <row r="7920" spans="1:18" ht="69" customHeight="1">
      <c r="B7920" s="62">
        <f t="shared" si="49"/>
        <v>5059</v>
      </c>
      <c r="C7920" s="44" t="s">
        <v>9004</v>
      </c>
      <c r="D7920" s="545" t="s">
        <v>5164</v>
      </c>
      <c r="E7920" s="58" t="s">
        <v>19368</v>
      </c>
      <c r="F7920" s="45" t="s">
        <v>19373</v>
      </c>
      <c r="G7920" s="58" t="s">
        <v>19370</v>
      </c>
      <c r="H7920" s="546">
        <v>51529.01</v>
      </c>
      <c r="I7920" s="126">
        <v>45366</v>
      </c>
      <c r="J7920" s="73" t="s">
        <v>19371</v>
      </c>
      <c r="K7920" s="67"/>
      <c r="O7920" s="62" t="s">
        <v>19372</v>
      </c>
      <c r="P7920" s="58" t="s">
        <v>57</v>
      </c>
      <c r="Q7920" s="45" t="s">
        <v>111</v>
      </c>
      <c r="R7920" s="45" t="s">
        <v>272</v>
      </c>
    </row>
    <row r="7921" spans="1:18" ht="69" customHeight="1">
      <c r="B7921" s="62">
        <f t="shared" si="49"/>
        <v>5060</v>
      </c>
      <c r="C7921" s="59" t="s">
        <v>458</v>
      </c>
      <c r="D7921" s="545" t="s">
        <v>15673</v>
      </c>
      <c r="E7921" s="58" t="s">
        <v>18564</v>
      </c>
      <c r="F7921" s="45" t="s">
        <v>19374</v>
      </c>
      <c r="G7921" s="45" t="s">
        <v>19375</v>
      </c>
      <c r="H7921" s="546">
        <v>155557.53</v>
      </c>
      <c r="I7921" s="126">
        <v>45356</v>
      </c>
      <c r="J7921" s="73" t="s">
        <v>19376</v>
      </c>
      <c r="K7921" s="67"/>
      <c r="O7921" s="62" t="s">
        <v>147</v>
      </c>
      <c r="P7921" s="58" t="s">
        <v>22</v>
      </c>
      <c r="Q7921" s="45" t="s">
        <v>103</v>
      </c>
      <c r="R7921" s="45" t="s">
        <v>272</v>
      </c>
    </row>
    <row r="7922" spans="1:18" ht="69" customHeight="1">
      <c r="B7922" s="62">
        <f t="shared" si="49"/>
        <v>5061</v>
      </c>
      <c r="C7922" s="59" t="s">
        <v>458</v>
      </c>
      <c r="D7922" s="545" t="s">
        <v>15675</v>
      </c>
      <c r="E7922" s="58" t="s">
        <v>18564</v>
      </c>
      <c r="F7922" s="45" t="s">
        <v>19377</v>
      </c>
      <c r="G7922" s="45" t="s">
        <v>19378</v>
      </c>
      <c r="H7922" s="546">
        <v>83761.740000000005</v>
      </c>
      <c r="I7922" s="126">
        <v>45356</v>
      </c>
      <c r="J7922" s="73" t="s">
        <v>19376</v>
      </c>
      <c r="K7922" s="67"/>
      <c r="O7922" s="62" t="s">
        <v>147</v>
      </c>
      <c r="P7922" s="58" t="s">
        <v>22</v>
      </c>
      <c r="Q7922" s="45" t="s">
        <v>103</v>
      </c>
      <c r="R7922" s="45" t="s">
        <v>272</v>
      </c>
    </row>
    <row r="7923" spans="1:18" ht="69" customHeight="1">
      <c r="B7923" s="62">
        <f t="shared" si="49"/>
        <v>5062</v>
      </c>
      <c r="C7923" s="58" t="s">
        <v>581</v>
      </c>
      <c r="D7923" s="545" t="s">
        <v>14832</v>
      </c>
      <c r="E7923" s="58" t="s">
        <v>17367</v>
      </c>
      <c r="F7923" s="58" t="s">
        <v>19379</v>
      </c>
      <c r="G7923" s="58" t="s">
        <v>19380</v>
      </c>
      <c r="H7923" s="546">
        <v>50000</v>
      </c>
      <c r="I7923" s="126">
        <v>45366</v>
      </c>
      <c r="J7923" s="73" t="s">
        <v>19381</v>
      </c>
      <c r="K7923" s="67"/>
      <c r="O7923" s="62" t="s">
        <v>175</v>
      </c>
      <c r="P7923" s="58" t="s">
        <v>57</v>
      </c>
      <c r="Q7923" s="45" t="s">
        <v>18</v>
      </c>
      <c r="R7923" s="45" t="s">
        <v>265</v>
      </c>
    </row>
    <row r="7924" spans="1:18" ht="69" customHeight="1">
      <c r="B7924" s="62">
        <f t="shared" si="49"/>
        <v>5063</v>
      </c>
      <c r="C7924" s="45" t="s">
        <v>11618</v>
      </c>
      <c r="D7924" s="545" t="s">
        <v>15678</v>
      </c>
      <c r="E7924" s="58" t="s">
        <v>19368</v>
      </c>
      <c r="F7924" s="45" t="s">
        <v>19382</v>
      </c>
      <c r="G7924" s="58" t="s">
        <v>19383</v>
      </c>
      <c r="H7924" s="546">
        <v>67434.97</v>
      </c>
      <c r="I7924" s="126">
        <v>45366</v>
      </c>
      <c r="J7924" s="73" t="s">
        <v>19384</v>
      </c>
      <c r="K7924" s="67"/>
      <c r="O7924" s="62" t="s">
        <v>233</v>
      </c>
      <c r="P7924" s="58" t="s">
        <v>57</v>
      </c>
      <c r="Q7924" s="45" t="s">
        <v>122</v>
      </c>
      <c r="R7924" s="45" t="s">
        <v>272</v>
      </c>
    </row>
    <row r="7925" spans="1:18" ht="69" customHeight="1">
      <c r="B7925" s="62">
        <f t="shared" si="49"/>
        <v>5064</v>
      </c>
      <c r="C7925" s="45" t="s">
        <v>11618</v>
      </c>
      <c r="D7925" s="545" t="s">
        <v>15738</v>
      </c>
      <c r="E7925" s="58" t="s">
        <v>19368</v>
      </c>
      <c r="F7925" s="45" t="s">
        <v>19385</v>
      </c>
      <c r="G7925" s="58" t="s">
        <v>19383</v>
      </c>
      <c r="H7925" s="546">
        <v>67434.97</v>
      </c>
      <c r="I7925" s="126">
        <v>45366</v>
      </c>
      <c r="J7925" s="73" t="s">
        <v>19384</v>
      </c>
      <c r="K7925" s="67"/>
      <c r="O7925" s="62" t="s">
        <v>233</v>
      </c>
      <c r="P7925" s="58" t="s">
        <v>57</v>
      </c>
      <c r="Q7925" s="45" t="s">
        <v>122</v>
      </c>
      <c r="R7925" s="45" t="s">
        <v>272</v>
      </c>
    </row>
    <row r="7926" spans="1:18" ht="69" customHeight="1">
      <c r="B7926" s="62">
        <f t="shared" si="49"/>
        <v>5065</v>
      </c>
      <c r="C7926" s="59" t="s">
        <v>657</v>
      </c>
      <c r="D7926" s="545" t="s">
        <v>4084</v>
      </c>
      <c r="E7926" s="58" t="s">
        <v>18564</v>
      </c>
      <c r="F7926" s="45" t="s">
        <v>19386</v>
      </c>
      <c r="G7926" s="45" t="s">
        <v>19375</v>
      </c>
      <c r="H7926" s="546">
        <v>188374.05</v>
      </c>
      <c r="I7926" s="126">
        <v>45356</v>
      </c>
      <c r="J7926" s="73" t="s">
        <v>19387</v>
      </c>
      <c r="K7926" s="67"/>
      <c r="O7926" s="62" t="s">
        <v>147</v>
      </c>
      <c r="P7926" s="58" t="s">
        <v>22</v>
      </c>
      <c r="Q7926" s="45" t="s">
        <v>110</v>
      </c>
      <c r="R7926" s="45" t="s">
        <v>272</v>
      </c>
    </row>
    <row r="7927" spans="1:18" ht="69" customHeight="1">
      <c r="B7927" s="62">
        <f t="shared" si="49"/>
        <v>5066</v>
      </c>
      <c r="C7927" s="59" t="s">
        <v>657</v>
      </c>
      <c r="D7927" s="545" t="s">
        <v>13087</v>
      </c>
      <c r="E7927" s="58" t="s">
        <v>18564</v>
      </c>
      <c r="F7927" s="45" t="s">
        <v>19388</v>
      </c>
      <c r="G7927" s="45" t="s">
        <v>19378</v>
      </c>
      <c r="H7927" s="546">
        <v>101432.18</v>
      </c>
      <c r="I7927" s="126">
        <v>45356</v>
      </c>
      <c r="J7927" s="73" t="s">
        <v>19387</v>
      </c>
      <c r="K7927" s="67"/>
      <c r="O7927" s="62" t="s">
        <v>147</v>
      </c>
      <c r="P7927" s="58" t="s">
        <v>22</v>
      </c>
      <c r="Q7927" s="45" t="s">
        <v>110</v>
      </c>
      <c r="R7927" s="45" t="s">
        <v>272</v>
      </c>
    </row>
    <row r="7928" spans="1:18" ht="69" customHeight="1">
      <c r="B7928" s="62">
        <f t="shared" si="49"/>
        <v>5067</v>
      </c>
      <c r="C7928" s="59" t="s">
        <v>5558</v>
      </c>
      <c r="D7928" s="545" t="s">
        <v>19389</v>
      </c>
      <c r="E7928" s="58" t="s">
        <v>18951</v>
      </c>
      <c r="F7928" s="45" t="s">
        <v>19390</v>
      </c>
      <c r="G7928" s="58" t="s">
        <v>19391</v>
      </c>
      <c r="H7928" s="546">
        <v>9775.49</v>
      </c>
      <c r="I7928" s="126">
        <v>45366</v>
      </c>
      <c r="J7928" s="73" t="s">
        <v>19392</v>
      </c>
      <c r="K7928" s="67"/>
      <c r="O7928" s="62" t="s">
        <v>17031</v>
      </c>
      <c r="P7928" s="58" t="s">
        <v>57</v>
      </c>
      <c r="Q7928" s="45" t="s">
        <v>64</v>
      </c>
      <c r="R7928" s="45" t="s">
        <v>272</v>
      </c>
    </row>
    <row r="7929" spans="1:18" s="98" customFormat="1" ht="69" customHeight="1">
      <c r="A7929" s="169"/>
      <c r="B7929" s="48">
        <f t="shared" si="49"/>
        <v>5068</v>
      </c>
      <c r="C7929" s="59" t="s">
        <v>3667</v>
      </c>
      <c r="D7929" s="84" t="s">
        <v>19393</v>
      </c>
      <c r="E7929" s="45" t="s">
        <v>18182</v>
      </c>
      <c r="F7929" s="45" t="s">
        <v>19394</v>
      </c>
      <c r="G7929" s="45" t="s">
        <v>19395</v>
      </c>
      <c r="H7929" s="546">
        <v>43277.71</v>
      </c>
      <c r="I7929" s="47">
        <v>45366</v>
      </c>
      <c r="J7929" s="73" t="s">
        <v>19396</v>
      </c>
      <c r="K7929" s="45"/>
      <c r="O7929" s="48" t="s">
        <v>10607</v>
      </c>
      <c r="P7929" s="45" t="s">
        <v>22</v>
      </c>
      <c r="Q7929" s="45" t="s">
        <v>68</v>
      </c>
      <c r="R7929" s="45" t="s">
        <v>272</v>
      </c>
    </row>
    <row r="7930" spans="1:18" s="98" customFormat="1" ht="69" customHeight="1">
      <c r="A7930" s="169"/>
      <c r="B7930" s="48">
        <f t="shared" si="49"/>
        <v>5069</v>
      </c>
      <c r="C7930" s="59" t="s">
        <v>3667</v>
      </c>
      <c r="D7930" s="84" t="s">
        <v>19397</v>
      </c>
      <c r="E7930" s="45" t="s">
        <v>18182</v>
      </c>
      <c r="F7930" s="45" t="s">
        <v>19398</v>
      </c>
      <c r="G7930" s="45" t="s">
        <v>19395</v>
      </c>
      <c r="H7930" s="546">
        <v>136111.45000000001</v>
      </c>
      <c r="I7930" s="47">
        <v>45366</v>
      </c>
      <c r="J7930" s="73" t="s">
        <v>19396</v>
      </c>
      <c r="K7930" s="45"/>
      <c r="O7930" s="48" t="s">
        <v>10607</v>
      </c>
      <c r="P7930" s="45" t="s">
        <v>22</v>
      </c>
      <c r="Q7930" s="45" t="s">
        <v>70</v>
      </c>
      <c r="R7930" s="45" t="s">
        <v>272</v>
      </c>
    </row>
    <row r="7931" spans="1:18" ht="69" customHeight="1">
      <c r="B7931" s="62">
        <f t="shared" si="49"/>
        <v>5070</v>
      </c>
      <c r="C7931" s="59" t="s">
        <v>3667</v>
      </c>
      <c r="D7931" s="545" t="s">
        <v>19399</v>
      </c>
      <c r="E7931" s="58" t="s">
        <v>18182</v>
      </c>
      <c r="F7931" s="45" t="s">
        <v>19400</v>
      </c>
      <c r="G7931" s="58" t="s">
        <v>19401</v>
      </c>
      <c r="H7931" s="546">
        <v>94410.53</v>
      </c>
      <c r="I7931" s="126">
        <v>45366</v>
      </c>
      <c r="J7931" s="73" t="s">
        <v>19396</v>
      </c>
      <c r="K7931" s="67"/>
      <c r="O7931" s="62" t="s">
        <v>10607</v>
      </c>
      <c r="P7931" s="58" t="s">
        <v>22</v>
      </c>
      <c r="Q7931" s="45" t="s">
        <v>66</v>
      </c>
      <c r="R7931" s="45" t="s">
        <v>272</v>
      </c>
    </row>
    <row r="7932" spans="1:18" ht="69" customHeight="1">
      <c r="B7932" s="62">
        <f t="shared" si="49"/>
        <v>5071</v>
      </c>
      <c r="C7932" s="45" t="s">
        <v>6888</v>
      </c>
      <c r="D7932" s="545" t="s">
        <v>19402</v>
      </c>
      <c r="E7932" s="58" t="s">
        <v>18182</v>
      </c>
      <c r="F7932" s="45" t="s">
        <v>19403</v>
      </c>
      <c r="G7932" s="58" t="s">
        <v>19401</v>
      </c>
      <c r="H7932" s="546">
        <v>112568.62</v>
      </c>
      <c r="I7932" s="126">
        <v>45366</v>
      </c>
      <c r="J7932" s="73" t="s">
        <v>19396</v>
      </c>
      <c r="K7932" s="67"/>
      <c r="O7932" s="62" t="s">
        <v>10607</v>
      </c>
      <c r="P7932" s="58" t="s">
        <v>22</v>
      </c>
      <c r="Q7932" s="45" t="s">
        <v>84</v>
      </c>
      <c r="R7932" s="45" t="s">
        <v>272</v>
      </c>
    </row>
    <row r="7933" spans="1:18" ht="69" customHeight="1">
      <c r="B7933" s="62">
        <f t="shared" si="49"/>
        <v>5072</v>
      </c>
      <c r="C7933" s="59" t="s">
        <v>458</v>
      </c>
      <c r="D7933" s="545" t="s">
        <v>15671</v>
      </c>
      <c r="E7933" s="58" t="s">
        <v>18182</v>
      </c>
      <c r="F7933" s="45" t="s">
        <v>19404</v>
      </c>
      <c r="G7933" s="58" t="s">
        <v>19401</v>
      </c>
      <c r="H7933" s="546">
        <v>69230.53</v>
      </c>
      <c r="I7933" s="126">
        <v>45366</v>
      </c>
      <c r="J7933" s="73" t="s">
        <v>19396</v>
      </c>
      <c r="K7933" s="67"/>
      <c r="O7933" s="62" t="s">
        <v>10607</v>
      </c>
      <c r="P7933" s="58" t="s">
        <v>22</v>
      </c>
      <c r="Q7933" s="45" t="s">
        <v>117</v>
      </c>
      <c r="R7933" s="45" t="s">
        <v>272</v>
      </c>
    </row>
    <row r="7934" spans="1:18" ht="69" customHeight="1">
      <c r="B7934" s="62">
        <f t="shared" si="49"/>
        <v>5073</v>
      </c>
      <c r="C7934" s="59" t="s">
        <v>657</v>
      </c>
      <c r="D7934" s="545" t="s">
        <v>10770</v>
      </c>
      <c r="E7934" s="58" t="s">
        <v>18182</v>
      </c>
      <c r="F7934" s="45" t="s">
        <v>19405</v>
      </c>
      <c r="G7934" s="58" t="s">
        <v>19401</v>
      </c>
      <c r="H7934" s="546">
        <v>56639.95</v>
      </c>
      <c r="I7934" s="126">
        <v>45366</v>
      </c>
      <c r="J7934" s="73" t="s">
        <v>19396</v>
      </c>
      <c r="K7934" s="67"/>
      <c r="O7934" s="62" t="s">
        <v>10607</v>
      </c>
      <c r="P7934" s="58" t="s">
        <v>22</v>
      </c>
      <c r="Q7934" s="45" t="s">
        <v>111</v>
      </c>
      <c r="R7934" s="45" t="s">
        <v>272</v>
      </c>
    </row>
    <row r="7935" spans="1:18" ht="69" customHeight="1">
      <c r="B7935" s="62">
        <f t="shared" si="49"/>
        <v>5074</v>
      </c>
      <c r="C7935" s="59" t="s">
        <v>5558</v>
      </c>
      <c r="D7935" s="545" t="s">
        <v>19406</v>
      </c>
      <c r="E7935" s="58" t="s">
        <v>19114</v>
      </c>
      <c r="F7935" s="210" t="s">
        <v>19407</v>
      </c>
      <c r="G7935" s="58" t="s">
        <v>19160</v>
      </c>
      <c r="H7935" s="546">
        <v>5279.1</v>
      </c>
      <c r="I7935" s="126">
        <v>45366</v>
      </c>
      <c r="J7935" s="73" t="s">
        <v>19408</v>
      </c>
      <c r="K7935" s="67"/>
      <c r="O7935" s="62" t="s">
        <v>5969</v>
      </c>
      <c r="P7935" s="58" t="s">
        <v>44</v>
      </c>
      <c r="Q7935" s="45" t="s">
        <v>64</v>
      </c>
      <c r="R7935" s="45" t="s">
        <v>272</v>
      </c>
    </row>
    <row r="7936" spans="1:18" ht="69" customHeight="1">
      <c r="B7936" s="62">
        <f t="shared" si="49"/>
        <v>5075</v>
      </c>
      <c r="C7936" s="59" t="s">
        <v>5558</v>
      </c>
      <c r="D7936" s="545" t="s">
        <v>19409</v>
      </c>
      <c r="E7936" s="58" t="s">
        <v>19114</v>
      </c>
      <c r="F7936" s="210" t="s">
        <v>19410</v>
      </c>
      <c r="G7936" s="58" t="s">
        <v>19160</v>
      </c>
      <c r="H7936" s="546">
        <v>95.75</v>
      </c>
      <c r="I7936" s="126">
        <v>45366</v>
      </c>
      <c r="J7936" s="73" t="s">
        <v>19408</v>
      </c>
      <c r="K7936" s="67"/>
      <c r="O7936" s="62" t="s">
        <v>5969</v>
      </c>
      <c r="P7936" s="58" t="s">
        <v>44</v>
      </c>
      <c r="Q7936" s="45" t="s">
        <v>64</v>
      </c>
      <c r="R7936" s="45" t="s">
        <v>272</v>
      </c>
    </row>
    <row r="7937" spans="2:18" ht="69" customHeight="1">
      <c r="B7937" s="62">
        <f t="shared" si="49"/>
        <v>5076</v>
      </c>
      <c r="C7937" s="59" t="s">
        <v>5558</v>
      </c>
      <c r="D7937" s="545" t="s">
        <v>19411</v>
      </c>
      <c r="E7937" s="58" t="s">
        <v>19114</v>
      </c>
      <c r="F7937" s="210" t="s">
        <v>19412</v>
      </c>
      <c r="G7937" s="58" t="s">
        <v>19160</v>
      </c>
      <c r="H7937" s="546">
        <v>173.08</v>
      </c>
      <c r="I7937" s="126">
        <v>45366</v>
      </c>
      <c r="J7937" s="73" t="s">
        <v>19408</v>
      </c>
      <c r="K7937" s="67"/>
      <c r="O7937" s="62" t="s">
        <v>5969</v>
      </c>
      <c r="P7937" s="58" t="s">
        <v>44</v>
      </c>
      <c r="Q7937" s="45" t="s">
        <v>64</v>
      </c>
      <c r="R7937" s="45" t="s">
        <v>272</v>
      </c>
    </row>
    <row r="7938" spans="2:18" ht="69" customHeight="1">
      <c r="B7938" s="62">
        <f t="shared" si="49"/>
        <v>5077</v>
      </c>
      <c r="C7938" s="59" t="s">
        <v>3667</v>
      </c>
      <c r="D7938" s="545" t="s">
        <v>19413</v>
      </c>
      <c r="E7938" s="58" t="s">
        <v>18182</v>
      </c>
      <c r="F7938" s="58" t="s">
        <v>19414</v>
      </c>
      <c r="G7938" s="58" t="s">
        <v>19415</v>
      </c>
      <c r="H7938" s="546">
        <v>467594.15</v>
      </c>
      <c r="I7938" s="126">
        <v>45366</v>
      </c>
      <c r="J7938" s="73" t="s">
        <v>19416</v>
      </c>
      <c r="K7938" s="67"/>
      <c r="O7938" s="62" t="s">
        <v>10607</v>
      </c>
      <c r="P7938" s="58" t="s">
        <v>22</v>
      </c>
      <c r="Q7938" s="45" t="s">
        <v>66</v>
      </c>
      <c r="R7938" s="45" t="s">
        <v>272</v>
      </c>
    </row>
    <row r="7939" spans="2:18" ht="69" customHeight="1">
      <c r="B7939" s="62">
        <f t="shared" si="49"/>
        <v>5078</v>
      </c>
      <c r="C7939" s="59" t="s">
        <v>19417</v>
      </c>
      <c r="D7939" s="545" t="s">
        <v>19418</v>
      </c>
      <c r="E7939" s="58" t="s">
        <v>18182</v>
      </c>
      <c r="F7939" s="58" t="s">
        <v>19419</v>
      </c>
      <c r="G7939" s="58" t="s">
        <v>19415</v>
      </c>
      <c r="H7939" s="546">
        <v>323680.59999999998</v>
      </c>
      <c r="I7939" s="126">
        <v>45366</v>
      </c>
      <c r="J7939" s="73" t="s">
        <v>19420</v>
      </c>
      <c r="K7939" s="67"/>
      <c r="O7939" s="62" t="s">
        <v>10607</v>
      </c>
      <c r="P7939" s="58" t="s">
        <v>22</v>
      </c>
      <c r="Q7939" s="45" t="s">
        <v>117</v>
      </c>
      <c r="R7939" s="45" t="s">
        <v>272</v>
      </c>
    </row>
    <row r="7940" spans="2:18" ht="69" customHeight="1">
      <c r="B7940" s="62">
        <f t="shared" si="49"/>
        <v>5079</v>
      </c>
      <c r="C7940" s="59" t="s">
        <v>3667</v>
      </c>
      <c r="D7940" s="545" t="s">
        <v>19421</v>
      </c>
      <c r="E7940" s="58" t="s">
        <v>18182</v>
      </c>
      <c r="F7940" s="58" t="s">
        <v>19422</v>
      </c>
      <c r="G7940" s="58" t="s">
        <v>19423</v>
      </c>
      <c r="H7940" s="546">
        <v>385192.65</v>
      </c>
      <c r="I7940" s="126">
        <v>45366</v>
      </c>
      <c r="J7940" s="73" t="s">
        <v>19424</v>
      </c>
      <c r="K7940" s="67"/>
      <c r="O7940" s="62" t="s">
        <v>10607</v>
      </c>
      <c r="P7940" s="58" t="s">
        <v>22</v>
      </c>
      <c r="Q7940" s="45" t="s">
        <v>93</v>
      </c>
      <c r="R7940" s="45" t="s">
        <v>272</v>
      </c>
    </row>
    <row r="7941" spans="2:18" ht="69" customHeight="1">
      <c r="B7941" s="62">
        <f t="shared" si="49"/>
        <v>5080</v>
      </c>
      <c r="C7941" s="59" t="s">
        <v>3667</v>
      </c>
      <c r="D7941" s="545" t="s">
        <v>19425</v>
      </c>
      <c r="E7941" s="58" t="s">
        <v>18182</v>
      </c>
      <c r="F7941" s="58" t="s">
        <v>19426</v>
      </c>
      <c r="G7941" s="58" t="s">
        <v>19423</v>
      </c>
      <c r="H7941" s="546">
        <v>385192.65</v>
      </c>
      <c r="I7941" s="126">
        <v>45366</v>
      </c>
      <c r="J7941" s="73" t="s">
        <v>19424</v>
      </c>
      <c r="K7941" s="67"/>
      <c r="O7941" s="62" t="s">
        <v>10607</v>
      </c>
      <c r="P7941" s="58" t="s">
        <v>22</v>
      </c>
      <c r="Q7941" s="45" t="s">
        <v>95</v>
      </c>
      <c r="R7941" s="45" t="s">
        <v>272</v>
      </c>
    </row>
    <row r="7942" spans="2:18" ht="69" customHeight="1">
      <c r="B7942" s="62">
        <f t="shared" si="49"/>
        <v>5081</v>
      </c>
      <c r="C7942" s="58" t="s">
        <v>581</v>
      </c>
      <c r="D7942" s="545" t="s">
        <v>15058</v>
      </c>
      <c r="E7942" s="58" t="s">
        <v>17367</v>
      </c>
      <c r="F7942" s="58" t="s">
        <v>19427</v>
      </c>
      <c r="G7942" s="58" t="s">
        <v>17850</v>
      </c>
      <c r="H7942" s="546">
        <v>150000</v>
      </c>
      <c r="I7942" s="126">
        <v>45366</v>
      </c>
      <c r="J7942" s="73" t="s">
        <v>19428</v>
      </c>
      <c r="K7942" s="67"/>
      <c r="O7942" s="62" t="s">
        <v>175</v>
      </c>
      <c r="P7942" s="58" t="s">
        <v>59</v>
      </c>
      <c r="Q7942" s="45" t="s">
        <v>18</v>
      </c>
      <c r="R7942" s="45" t="s">
        <v>265</v>
      </c>
    </row>
    <row r="7943" spans="2:18" ht="69" customHeight="1">
      <c r="B7943" s="62">
        <f t="shared" si="49"/>
        <v>5082</v>
      </c>
      <c r="C7943" s="201" t="s">
        <v>16973</v>
      </c>
      <c r="D7943" s="545" t="s">
        <v>19429</v>
      </c>
      <c r="E7943" s="58" t="s">
        <v>18352</v>
      </c>
      <c r="F7943" s="58" t="s">
        <v>19430</v>
      </c>
      <c r="G7943" s="58" t="s">
        <v>19383</v>
      </c>
      <c r="H7943" s="546">
        <v>60732.27</v>
      </c>
      <c r="I7943" s="126">
        <v>45366</v>
      </c>
      <c r="J7943" s="73" t="s">
        <v>19431</v>
      </c>
      <c r="K7943" s="67"/>
      <c r="O7943" s="62" t="s">
        <v>17031</v>
      </c>
      <c r="P7943" s="58" t="s">
        <v>57</v>
      </c>
      <c r="Q7943" s="45" t="s">
        <v>113</v>
      </c>
      <c r="R7943" s="45" t="s">
        <v>272</v>
      </c>
    </row>
    <row r="7944" spans="2:18" ht="69" customHeight="1">
      <c r="B7944" s="259">
        <f t="shared" si="49"/>
        <v>5083</v>
      </c>
      <c r="C7944" s="207" t="s">
        <v>3667</v>
      </c>
      <c r="D7944" s="303" t="s">
        <v>19432</v>
      </c>
      <c r="E7944" s="207" t="s">
        <v>16276</v>
      </c>
      <c r="F7944" s="208" t="s">
        <v>19433</v>
      </c>
      <c r="G7944" s="160" t="s">
        <v>19434</v>
      </c>
      <c r="H7944" s="300">
        <v>19629.16</v>
      </c>
      <c r="I7944" s="209">
        <v>45366</v>
      </c>
      <c r="J7944" s="316" t="s">
        <v>19435</v>
      </c>
      <c r="K7944" s="160"/>
      <c r="O7944" s="259" t="s">
        <v>11192</v>
      </c>
      <c r="P7944" s="160" t="s">
        <v>67</v>
      </c>
      <c r="Q7944" s="160" t="s">
        <v>49</v>
      </c>
      <c r="R7944" s="160" t="s">
        <v>272</v>
      </c>
    </row>
    <row r="7945" spans="2:18" ht="69" customHeight="1">
      <c r="B7945" s="259">
        <f t="shared" si="49"/>
        <v>5084</v>
      </c>
      <c r="C7945" s="207" t="s">
        <v>657</v>
      </c>
      <c r="D7945" s="303" t="s">
        <v>13180</v>
      </c>
      <c r="E7945" s="207" t="s">
        <v>16276</v>
      </c>
      <c r="F7945" s="208" t="s">
        <v>19436</v>
      </c>
      <c r="G7945" s="160" t="s">
        <v>19434</v>
      </c>
      <c r="H7945" s="300">
        <v>11041.39</v>
      </c>
      <c r="I7945" s="209">
        <v>45366</v>
      </c>
      <c r="J7945" s="316" t="s">
        <v>19435</v>
      </c>
      <c r="K7945" s="160"/>
      <c r="O7945" s="259" t="s">
        <v>11192</v>
      </c>
      <c r="P7945" s="160" t="s">
        <v>67</v>
      </c>
      <c r="Q7945" s="160" t="s">
        <v>99</v>
      </c>
      <c r="R7945" s="160" t="s">
        <v>272</v>
      </c>
    </row>
    <row r="7946" spans="2:18" ht="69" customHeight="1">
      <c r="B7946" s="259">
        <f t="shared" si="49"/>
        <v>5085</v>
      </c>
      <c r="C7946" s="207" t="s">
        <v>309</v>
      </c>
      <c r="D7946" s="303" t="s">
        <v>15056</v>
      </c>
      <c r="E7946" s="207" t="s">
        <v>16276</v>
      </c>
      <c r="F7946" s="208" t="s">
        <v>19437</v>
      </c>
      <c r="G7946" s="160" t="s">
        <v>19434</v>
      </c>
      <c r="H7946" s="300">
        <v>15335.28</v>
      </c>
      <c r="I7946" s="209">
        <v>45366</v>
      </c>
      <c r="J7946" s="316" t="s">
        <v>19435</v>
      </c>
      <c r="K7946" s="160"/>
      <c r="O7946" s="259" t="s">
        <v>11192</v>
      </c>
      <c r="P7946" s="160" t="s">
        <v>67</v>
      </c>
      <c r="Q7946" s="160" t="s">
        <v>15</v>
      </c>
      <c r="R7946" s="160" t="s">
        <v>272</v>
      </c>
    </row>
    <row r="7947" spans="2:18" ht="69" customHeight="1">
      <c r="B7947" s="259">
        <f t="shared" si="49"/>
        <v>5086</v>
      </c>
      <c r="C7947" s="207" t="s">
        <v>458</v>
      </c>
      <c r="D7947" s="303" t="s">
        <v>19438</v>
      </c>
      <c r="E7947" s="207" t="s">
        <v>16276</v>
      </c>
      <c r="F7947" s="208" t="s">
        <v>19439</v>
      </c>
      <c r="G7947" s="160" t="s">
        <v>19434</v>
      </c>
      <c r="H7947" s="300">
        <v>15335.28</v>
      </c>
      <c r="I7947" s="209">
        <v>45366</v>
      </c>
      <c r="J7947" s="316" t="s">
        <v>19435</v>
      </c>
      <c r="K7947" s="160"/>
      <c r="O7947" s="259" t="s">
        <v>11192</v>
      </c>
      <c r="P7947" s="160" t="s">
        <v>67</v>
      </c>
      <c r="Q7947" s="160" t="s">
        <v>90</v>
      </c>
      <c r="R7947" s="160" t="s">
        <v>272</v>
      </c>
    </row>
    <row r="7948" spans="2:18" ht="69" customHeight="1">
      <c r="B7948" s="259">
        <f t="shared" si="49"/>
        <v>5087</v>
      </c>
      <c r="C7948" s="207" t="s">
        <v>458</v>
      </c>
      <c r="D7948" s="303" t="s">
        <v>19440</v>
      </c>
      <c r="E7948" s="160" t="s">
        <v>19441</v>
      </c>
      <c r="F7948" s="160" t="s">
        <v>19442</v>
      </c>
      <c r="G7948" s="160" t="s">
        <v>19443</v>
      </c>
      <c r="H7948" s="300">
        <v>33024</v>
      </c>
      <c r="I7948" s="209">
        <v>45366</v>
      </c>
      <c r="J7948" s="316" t="s">
        <v>19444</v>
      </c>
      <c r="K7948" s="160" t="s">
        <v>19445</v>
      </c>
      <c r="O7948" s="259" t="s">
        <v>141</v>
      </c>
      <c r="P7948" s="160" t="s">
        <v>67</v>
      </c>
      <c r="Q7948" s="160" t="s">
        <v>117</v>
      </c>
      <c r="R7948" s="160" t="s">
        <v>265</v>
      </c>
    </row>
    <row r="7949" spans="2:18" ht="69" customHeight="1">
      <c r="B7949" s="259">
        <f t="shared" si="49"/>
        <v>5088</v>
      </c>
      <c r="C7949" s="207" t="s">
        <v>458</v>
      </c>
      <c r="D7949" s="303" t="s">
        <v>19446</v>
      </c>
      <c r="E7949" s="160" t="s">
        <v>19441</v>
      </c>
      <c r="F7949" s="160" t="s">
        <v>19447</v>
      </c>
      <c r="G7949" s="160" t="s">
        <v>19448</v>
      </c>
      <c r="H7949" s="300">
        <v>38122</v>
      </c>
      <c r="I7949" s="209">
        <v>45366</v>
      </c>
      <c r="J7949" s="316" t="s">
        <v>19449</v>
      </c>
      <c r="K7949" s="160" t="s">
        <v>19450</v>
      </c>
      <c r="O7949" s="259" t="s">
        <v>141</v>
      </c>
      <c r="P7949" s="160" t="s">
        <v>67</v>
      </c>
      <c r="Q7949" s="160" t="s">
        <v>117</v>
      </c>
      <c r="R7949" s="160" t="s">
        <v>265</v>
      </c>
    </row>
    <row r="7950" spans="2:18" ht="69" customHeight="1">
      <c r="B7950" s="52">
        <f t="shared" si="49"/>
        <v>5089</v>
      </c>
      <c r="C7950" s="191" t="s">
        <v>309</v>
      </c>
      <c r="D7950" s="251" t="s">
        <v>15043</v>
      </c>
      <c r="E7950" s="46" t="s">
        <v>266</v>
      </c>
      <c r="F7950" s="46" t="s">
        <v>19451</v>
      </c>
      <c r="G7950" s="46" t="s">
        <v>18881</v>
      </c>
      <c r="H7950" s="534">
        <v>1620</v>
      </c>
      <c r="I7950" s="56">
        <v>45356</v>
      </c>
      <c r="J7950" s="199" t="s">
        <v>19452</v>
      </c>
      <c r="K7950" s="46"/>
      <c r="O7950" s="52" t="s">
        <v>14141</v>
      </c>
      <c r="P7950" s="46" t="s">
        <v>65</v>
      </c>
      <c r="Q7950" s="46" t="s">
        <v>13</v>
      </c>
      <c r="R7950" s="46" t="s">
        <v>272</v>
      </c>
    </row>
    <row r="7951" spans="2:18" ht="69" customHeight="1">
      <c r="B7951" s="259">
        <f t="shared" si="49"/>
        <v>5090</v>
      </c>
      <c r="C7951" s="160" t="s">
        <v>18059</v>
      </c>
      <c r="D7951" s="303" t="s">
        <v>1509</v>
      </c>
      <c r="E7951" s="160" t="s">
        <v>19114</v>
      </c>
      <c r="F7951" s="208" t="s">
        <v>19453</v>
      </c>
      <c r="G7951" s="160" t="s">
        <v>19160</v>
      </c>
      <c r="H7951" s="300">
        <v>6335.64</v>
      </c>
      <c r="I7951" s="209">
        <v>45356</v>
      </c>
      <c r="J7951" s="316" t="s">
        <v>19454</v>
      </c>
      <c r="K7951" s="160"/>
      <c r="O7951" s="259" t="s">
        <v>5969</v>
      </c>
      <c r="P7951" s="160" t="s">
        <v>67</v>
      </c>
      <c r="Q7951" s="160" t="s">
        <v>96</v>
      </c>
      <c r="R7951" s="160" t="s">
        <v>272</v>
      </c>
    </row>
    <row r="7952" spans="2:18" ht="69" customHeight="1">
      <c r="B7952" s="259">
        <f t="shared" si="49"/>
        <v>5091</v>
      </c>
      <c r="C7952" s="160" t="s">
        <v>18059</v>
      </c>
      <c r="D7952" s="303" t="s">
        <v>522</v>
      </c>
      <c r="E7952" s="160" t="s">
        <v>19114</v>
      </c>
      <c r="F7952" s="208" t="s">
        <v>19455</v>
      </c>
      <c r="G7952" s="160" t="s">
        <v>19160</v>
      </c>
      <c r="H7952" s="300">
        <v>805.72</v>
      </c>
      <c r="I7952" s="209">
        <v>45356</v>
      </c>
      <c r="J7952" s="316" t="s">
        <v>19454</v>
      </c>
      <c r="K7952" s="160"/>
      <c r="O7952" s="259" t="s">
        <v>5969</v>
      </c>
      <c r="P7952" s="160" t="s">
        <v>67</v>
      </c>
      <c r="Q7952" s="160" t="s">
        <v>96</v>
      </c>
      <c r="R7952" s="160" t="s">
        <v>272</v>
      </c>
    </row>
    <row r="7953" spans="2:18" ht="69" customHeight="1">
      <c r="B7953" s="259">
        <f t="shared" ref="B7953:B8016" si="50">B7952+1</f>
        <v>5092</v>
      </c>
      <c r="C7953" s="160" t="s">
        <v>19456</v>
      </c>
      <c r="D7953" s="303" t="s">
        <v>6893</v>
      </c>
      <c r="E7953" s="160" t="s">
        <v>19114</v>
      </c>
      <c r="F7953" s="208" t="s">
        <v>19457</v>
      </c>
      <c r="G7953" s="160" t="s">
        <v>19458</v>
      </c>
      <c r="H7953" s="300">
        <v>780.34</v>
      </c>
      <c r="I7953" s="209">
        <v>45349</v>
      </c>
      <c r="J7953" s="316" t="s">
        <v>19459</v>
      </c>
      <c r="K7953" s="160"/>
      <c r="O7953" s="259" t="s">
        <v>5969</v>
      </c>
      <c r="P7953" s="160" t="s">
        <v>67</v>
      </c>
      <c r="Q7953" s="160" t="s">
        <v>96</v>
      </c>
      <c r="R7953" s="160" t="s">
        <v>272</v>
      </c>
    </row>
    <row r="7954" spans="2:18" ht="69" customHeight="1">
      <c r="B7954" s="259">
        <f t="shared" si="50"/>
        <v>5093</v>
      </c>
      <c r="C7954" s="326" t="s">
        <v>16368</v>
      </c>
      <c r="D7954" s="303" t="s">
        <v>3460</v>
      </c>
      <c r="E7954" s="160" t="s">
        <v>19114</v>
      </c>
      <c r="F7954" s="160" t="s">
        <v>19460</v>
      </c>
      <c r="G7954" s="327" t="s">
        <v>19461</v>
      </c>
      <c r="H7954" s="300">
        <v>487.89</v>
      </c>
      <c r="I7954" s="209">
        <v>45356</v>
      </c>
      <c r="J7954" s="316" t="s">
        <v>19462</v>
      </c>
      <c r="K7954" s="160" t="s">
        <v>11084</v>
      </c>
      <c r="O7954" s="259" t="s">
        <v>18157</v>
      </c>
      <c r="P7954" s="160" t="s">
        <v>67</v>
      </c>
      <c r="Q7954" s="160" t="s">
        <v>96</v>
      </c>
      <c r="R7954" s="160" t="s">
        <v>272</v>
      </c>
    </row>
    <row r="7955" spans="2:18" ht="69" customHeight="1">
      <c r="B7955" s="259">
        <f t="shared" si="50"/>
        <v>5094</v>
      </c>
      <c r="C7955" s="326" t="s">
        <v>16368</v>
      </c>
      <c r="D7955" s="303" t="s">
        <v>3463</v>
      </c>
      <c r="E7955" s="160" t="s">
        <v>19114</v>
      </c>
      <c r="F7955" s="160" t="s">
        <v>19463</v>
      </c>
      <c r="G7955" s="327" t="s">
        <v>19461</v>
      </c>
      <c r="H7955" s="300">
        <v>487.89</v>
      </c>
      <c r="I7955" s="209">
        <v>45356</v>
      </c>
      <c r="J7955" s="316" t="s">
        <v>19462</v>
      </c>
      <c r="K7955" s="160" t="s">
        <v>11084</v>
      </c>
      <c r="O7955" s="259" t="s">
        <v>18157</v>
      </c>
      <c r="P7955" s="160" t="s">
        <v>67</v>
      </c>
      <c r="Q7955" s="160" t="s">
        <v>96</v>
      </c>
      <c r="R7955" s="160" t="s">
        <v>272</v>
      </c>
    </row>
    <row r="7956" spans="2:18" ht="69" customHeight="1">
      <c r="B7956" s="259">
        <f t="shared" si="50"/>
        <v>5095</v>
      </c>
      <c r="C7956" s="326" t="s">
        <v>16368</v>
      </c>
      <c r="D7956" s="303" t="s">
        <v>5999</v>
      </c>
      <c r="E7956" s="160" t="s">
        <v>19114</v>
      </c>
      <c r="F7956" s="160" t="s">
        <v>19464</v>
      </c>
      <c r="G7956" s="327" t="s">
        <v>19461</v>
      </c>
      <c r="H7956" s="300">
        <v>487.89</v>
      </c>
      <c r="I7956" s="209">
        <v>45356</v>
      </c>
      <c r="J7956" s="316" t="s">
        <v>19462</v>
      </c>
      <c r="K7956" s="160" t="s">
        <v>11084</v>
      </c>
      <c r="O7956" s="259" t="s">
        <v>18157</v>
      </c>
      <c r="P7956" s="160" t="s">
        <v>67</v>
      </c>
      <c r="Q7956" s="160" t="s">
        <v>96</v>
      </c>
      <c r="R7956" s="160" t="s">
        <v>272</v>
      </c>
    </row>
    <row r="7957" spans="2:18" ht="69" customHeight="1">
      <c r="B7957" s="259">
        <f t="shared" si="50"/>
        <v>5096</v>
      </c>
      <c r="C7957" s="326" t="s">
        <v>16368</v>
      </c>
      <c r="D7957" s="303" t="s">
        <v>1472</v>
      </c>
      <c r="E7957" s="160" t="s">
        <v>19114</v>
      </c>
      <c r="F7957" s="160" t="s">
        <v>19465</v>
      </c>
      <c r="G7957" s="327" t="s">
        <v>19461</v>
      </c>
      <c r="H7957" s="300">
        <v>487.89</v>
      </c>
      <c r="I7957" s="209">
        <v>45356</v>
      </c>
      <c r="J7957" s="316" t="s">
        <v>19462</v>
      </c>
      <c r="K7957" s="160" t="s">
        <v>11084</v>
      </c>
      <c r="O7957" s="259" t="s">
        <v>18157</v>
      </c>
      <c r="P7957" s="160" t="s">
        <v>67</v>
      </c>
      <c r="Q7957" s="160" t="s">
        <v>96</v>
      </c>
      <c r="R7957" s="160" t="s">
        <v>272</v>
      </c>
    </row>
    <row r="7958" spans="2:18" ht="69" customHeight="1">
      <c r="B7958" s="259">
        <f t="shared" si="50"/>
        <v>5097</v>
      </c>
      <c r="C7958" s="326" t="s">
        <v>16368</v>
      </c>
      <c r="D7958" s="303" t="s">
        <v>7098</v>
      </c>
      <c r="E7958" s="160" t="s">
        <v>19114</v>
      </c>
      <c r="F7958" s="160" t="s">
        <v>19466</v>
      </c>
      <c r="G7958" s="327" t="s">
        <v>19461</v>
      </c>
      <c r="H7958" s="300">
        <v>487.89</v>
      </c>
      <c r="I7958" s="209">
        <v>45356</v>
      </c>
      <c r="J7958" s="316" t="s">
        <v>19462</v>
      </c>
      <c r="K7958" s="160" t="s">
        <v>11084</v>
      </c>
      <c r="O7958" s="259" t="s">
        <v>18157</v>
      </c>
      <c r="P7958" s="160" t="s">
        <v>67</v>
      </c>
      <c r="Q7958" s="160" t="s">
        <v>96</v>
      </c>
      <c r="R7958" s="160" t="s">
        <v>272</v>
      </c>
    </row>
    <row r="7959" spans="2:18" ht="69" customHeight="1">
      <c r="B7959" s="259">
        <f t="shared" si="50"/>
        <v>5098</v>
      </c>
      <c r="C7959" s="326" t="s">
        <v>16368</v>
      </c>
      <c r="D7959" s="303" t="s">
        <v>9502</v>
      </c>
      <c r="E7959" s="160" t="s">
        <v>19114</v>
      </c>
      <c r="F7959" s="160" t="s">
        <v>19467</v>
      </c>
      <c r="G7959" s="327" t="s">
        <v>19461</v>
      </c>
      <c r="H7959" s="300">
        <v>487.89</v>
      </c>
      <c r="I7959" s="209">
        <v>45356</v>
      </c>
      <c r="J7959" s="316" t="s">
        <v>19462</v>
      </c>
      <c r="K7959" s="160" t="s">
        <v>11084</v>
      </c>
      <c r="O7959" s="259" t="s">
        <v>18157</v>
      </c>
      <c r="P7959" s="160" t="s">
        <v>67</v>
      </c>
      <c r="Q7959" s="160" t="s">
        <v>96</v>
      </c>
      <c r="R7959" s="160" t="s">
        <v>272</v>
      </c>
    </row>
    <row r="7960" spans="2:18" ht="69" customHeight="1">
      <c r="B7960" s="259">
        <f t="shared" si="50"/>
        <v>5099</v>
      </c>
      <c r="C7960" s="326" t="s">
        <v>16368</v>
      </c>
      <c r="D7960" s="303" t="s">
        <v>9696</v>
      </c>
      <c r="E7960" s="160" t="s">
        <v>19114</v>
      </c>
      <c r="F7960" s="160" t="s">
        <v>19468</v>
      </c>
      <c r="G7960" s="327" t="s">
        <v>19461</v>
      </c>
      <c r="H7960" s="300">
        <v>487.89</v>
      </c>
      <c r="I7960" s="209">
        <v>45356</v>
      </c>
      <c r="J7960" s="316" t="s">
        <v>19462</v>
      </c>
      <c r="K7960" s="160" t="s">
        <v>11084</v>
      </c>
      <c r="O7960" s="259" t="s">
        <v>18157</v>
      </c>
      <c r="P7960" s="160" t="s">
        <v>67</v>
      </c>
      <c r="Q7960" s="160" t="s">
        <v>96</v>
      </c>
      <c r="R7960" s="160" t="s">
        <v>272</v>
      </c>
    </row>
    <row r="7961" spans="2:18" ht="69" customHeight="1">
      <c r="B7961" s="259">
        <f t="shared" si="50"/>
        <v>5100</v>
      </c>
      <c r="C7961" s="326" t="s">
        <v>16368</v>
      </c>
      <c r="D7961" s="303" t="s">
        <v>9577</v>
      </c>
      <c r="E7961" s="160" t="s">
        <v>19114</v>
      </c>
      <c r="F7961" s="160" t="s">
        <v>19469</v>
      </c>
      <c r="G7961" s="327" t="s">
        <v>19461</v>
      </c>
      <c r="H7961" s="300">
        <v>487.89</v>
      </c>
      <c r="I7961" s="209">
        <v>45356</v>
      </c>
      <c r="J7961" s="316" t="s">
        <v>19462</v>
      </c>
      <c r="K7961" s="160" t="s">
        <v>11084</v>
      </c>
      <c r="O7961" s="259" t="s">
        <v>18157</v>
      </c>
      <c r="P7961" s="160" t="s">
        <v>67</v>
      </c>
      <c r="Q7961" s="160" t="s">
        <v>96</v>
      </c>
      <c r="R7961" s="160" t="s">
        <v>272</v>
      </c>
    </row>
    <row r="7962" spans="2:18" ht="69" customHeight="1">
      <c r="B7962" s="259">
        <f t="shared" si="50"/>
        <v>5101</v>
      </c>
      <c r="C7962" s="326" t="s">
        <v>16368</v>
      </c>
      <c r="D7962" s="303" t="s">
        <v>2917</v>
      </c>
      <c r="E7962" s="160" t="s">
        <v>19114</v>
      </c>
      <c r="F7962" s="160" t="s">
        <v>19470</v>
      </c>
      <c r="G7962" s="327" t="s">
        <v>19461</v>
      </c>
      <c r="H7962" s="300">
        <v>487.89</v>
      </c>
      <c r="I7962" s="209">
        <v>45356</v>
      </c>
      <c r="J7962" s="316" t="s">
        <v>19462</v>
      </c>
      <c r="K7962" s="160" t="s">
        <v>11084</v>
      </c>
      <c r="O7962" s="259" t="s">
        <v>18157</v>
      </c>
      <c r="P7962" s="160" t="s">
        <v>67</v>
      </c>
      <c r="Q7962" s="160" t="s">
        <v>96</v>
      </c>
      <c r="R7962" s="160" t="s">
        <v>272</v>
      </c>
    </row>
    <row r="7963" spans="2:18" ht="69" customHeight="1">
      <c r="B7963" s="259">
        <f t="shared" si="50"/>
        <v>5102</v>
      </c>
      <c r="C7963" s="326" t="s">
        <v>16368</v>
      </c>
      <c r="D7963" s="303" t="s">
        <v>9715</v>
      </c>
      <c r="E7963" s="160" t="s">
        <v>19114</v>
      </c>
      <c r="F7963" s="160" t="s">
        <v>19471</v>
      </c>
      <c r="G7963" s="327" t="s">
        <v>19461</v>
      </c>
      <c r="H7963" s="300">
        <v>487.89</v>
      </c>
      <c r="I7963" s="209">
        <v>45356</v>
      </c>
      <c r="J7963" s="316" t="s">
        <v>19462</v>
      </c>
      <c r="K7963" s="160" t="s">
        <v>11084</v>
      </c>
      <c r="O7963" s="259" t="s">
        <v>18157</v>
      </c>
      <c r="P7963" s="160" t="s">
        <v>67</v>
      </c>
      <c r="Q7963" s="160" t="s">
        <v>96</v>
      </c>
      <c r="R7963" s="160" t="s">
        <v>272</v>
      </c>
    </row>
    <row r="7964" spans="2:18" ht="69" customHeight="1">
      <c r="B7964" s="259">
        <f t="shared" si="50"/>
        <v>5103</v>
      </c>
      <c r="C7964" s="326" t="s">
        <v>16368</v>
      </c>
      <c r="D7964" s="303" t="s">
        <v>323</v>
      </c>
      <c r="E7964" s="160" t="s">
        <v>19114</v>
      </c>
      <c r="F7964" s="160" t="s">
        <v>19472</v>
      </c>
      <c r="G7964" s="327" t="s">
        <v>19461</v>
      </c>
      <c r="H7964" s="300">
        <v>487.89</v>
      </c>
      <c r="I7964" s="209">
        <v>45356</v>
      </c>
      <c r="J7964" s="316" t="s">
        <v>19462</v>
      </c>
      <c r="K7964" s="160" t="s">
        <v>11084</v>
      </c>
      <c r="O7964" s="259" t="s">
        <v>18157</v>
      </c>
      <c r="P7964" s="160" t="s">
        <v>67</v>
      </c>
      <c r="Q7964" s="160" t="s">
        <v>96</v>
      </c>
      <c r="R7964" s="160" t="s">
        <v>272</v>
      </c>
    </row>
    <row r="7965" spans="2:18" ht="69" customHeight="1">
      <c r="B7965" s="259">
        <f t="shared" si="50"/>
        <v>5104</v>
      </c>
      <c r="C7965" s="326" t="s">
        <v>16368</v>
      </c>
      <c r="D7965" s="303" t="s">
        <v>515</v>
      </c>
      <c r="E7965" s="160" t="s">
        <v>19114</v>
      </c>
      <c r="F7965" s="160" t="s">
        <v>19473</v>
      </c>
      <c r="G7965" s="327" t="s">
        <v>19461</v>
      </c>
      <c r="H7965" s="300">
        <v>413.79</v>
      </c>
      <c r="I7965" s="209">
        <v>45356</v>
      </c>
      <c r="J7965" s="316" t="s">
        <v>19462</v>
      </c>
      <c r="K7965" s="160" t="s">
        <v>11084</v>
      </c>
      <c r="O7965" s="259" t="s">
        <v>18157</v>
      </c>
      <c r="P7965" s="160" t="s">
        <v>67</v>
      </c>
      <c r="Q7965" s="160" t="s">
        <v>96</v>
      </c>
      <c r="R7965" s="160" t="s">
        <v>272</v>
      </c>
    </row>
    <row r="7966" spans="2:18" ht="69" customHeight="1">
      <c r="B7966" s="259">
        <f t="shared" si="50"/>
        <v>5105</v>
      </c>
      <c r="C7966" s="326" t="s">
        <v>16368</v>
      </c>
      <c r="D7966" s="303" t="s">
        <v>647</v>
      </c>
      <c r="E7966" s="160" t="s">
        <v>19114</v>
      </c>
      <c r="F7966" s="160" t="s">
        <v>19474</v>
      </c>
      <c r="G7966" s="327" t="s">
        <v>19461</v>
      </c>
      <c r="H7966" s="300">
        <v>487.89</v>
      </c>
      <c r="I7966" s="209">
        <v>45356</v>
      </c>
      <c r="J7966" s="316" t="s">
        <v>19462</v>
      </c>
      <c r="K7966" s="160" t="s">
        <v>11084</v>
      </c>
      <c r="O7966" s="259" t="s">
        <v>18157</v>
      </c>
      <c r="P7966" s="160" t="s">
        <v>67</v>
      </c>
      <c r="Q7966" s="160" t="s">
        <v>96</v>
      </c>
      <c r="R7966" s="160" t="s">
        <v>272</v>
      </c>
    </row>
    <row r="7967" spans="2:18" ht="69" customHeight="1">
      <c r="B7967" s="259">
        <f t="shared" si="50"/>
        <v>5106</v>
      </c>
      <c r="C7967" s="326" t="s">
        <v>16368</v>
      </c>
      <c r="D7967" s="303" t="s">
        <v>943</v>
      </c>
      <c r="E7967" s="160" t="s">
        <v>19114</v>
      </c>
      <c r="F7967" s="160" t="s">
        <v>19475</v>
      </c>
      <c r="G7967" s="327" t="s">
        <v>19461</v>
      </c>
      <c r="H7967" s="300">
        <v>413.79</v>
      </c>
      <c r="I7967" s="209">
        <v>45356</v>
      </c>
      <c r="J7967" s="316" t="s">
        <v>19462</v>
      </c>
      <c r="K7967" s="160" t="s">
        <v>11084</v>
      </c>
      <c r="O7967" s="259" t="s">
        <v>18157</v>
      </c>
      <c r="P7967" s="160" t="s">
        <v>67</v>
      </c>
      <c r="Q7967" s="160" t="s">
        <v>96</v>
      </c>
      <c r="R7967" s="160" t="s">
        <v>272</v>
      </c>
    </row>
    <row r="7968" spans="2:18" ht="69" customHeight="1">
      <c r="B7968" s="259">
        <f t="shared" si="50"/>
        <v>5107</v>
      </c>
      <c r="C7968" s="326" t="s">
        <v>16368</v>
      </c>
      <c r="D7968" s="303" t="s">
        <v>1271</v>
      </c>
      <c r="E7968" s="160" t="s">
        <v>19114</v>
      </c>
      <c r="F7968" s="160" t="s">
        <v>19476</v>
      </c>
      <c r="G7968" s="327" t="s">
        <v>19461</v>
      </c>
      <c r="H7968" s="300">
        <v>487.89</v>
      </c>
      <c r="I7968" s="209">
        <v>45356</v>
      </c>
      <c r="J7968" s="316" t="s">
        <v>19462</v>
      </c>
      <c r="K7968" s="160" t="s">
        <v>11084</v>
      </c>
      <c r="O7968" s="259" t="s">
        <v>18157</v>
      </c>
      <c r="P7968" s="160" t="s">
        <v>67</v>
      </c>
      <c r="Q7968" s="160" t="s">
        <v>96</v>
      </c>
      <c r="R7968" s="160" t="s">
        <v>272</v>
      </c>
    </row>
    <row r="7969" spans="2:18" ht="69" customHeight="1">
      <c r="B7969" s="259">
        <f t="shared" si="50"/>
        <v>5108</v>
      </c>
      <c r="C7969" s="326" t="s">
        <v>16368</v>
      </c>
      <c r="D7969" s="303" t="s">
        <v>1490</v>
      </c>
      <c r="E7969" s="160" t="s">
        <v>19114</v>
      </c>
      <c r="F7969" s="160" t="s">
        <v>19477</v>
      </c>
      <c r="G7969" s="327" t="s">
        <v>19461</v>
      </c>
      <c r="H7969" s="300">
        <v>487.89</v>
      </c>
      <c r="I7969" s="209">
        <v>45356</v>
      </c>
      <c r="J7969" s="316" t="s">
        <v>19462</v>
      </c>
      <c r="K7969" s="160" t="s">
        <v>11084</v>
      </c>
      <c r="O7969" s="259" t="s">
        <v>18157</v>
      </c>
      <c r="P7969" s="160" t="s">
        <v>67</v>
      </c>
      <c r="Q7969" s="160" t="s">
        <v>96</v>
      </c>
      <c r="R7969" s="160" t="s">
        <v>272</v>
      </c>
    </row>
    <row r="7970" spans="2:18" ht="69" customHeight="1">
      <c r="B7970" s="259">
        <f t="shared" si="50"/>
        <v>5109</v>
      </c>
      <c r="C7970" s="326" t="s">
        <v>16368</v>
      </c>
      <c r="D7970" s="303" t="s">
        <v>1703</v>
      </c>
      <c r="E7970" s="160" t="s">
        <v>19114</v>
      </c>
      <c r="F7970" s="160" t="s">
        <v>19478</v>
      </c>
      <c r="G7970" s="327" t="s">
        <v>19461</v>
      </c>
      <c r="H7970" s="300">
        <v>487.89</v>
      </c>
      <c r="I7970" s="209">
        <v>45356</v>
      </c>
      <c r="J7970" s="316" t="s">
        <v>19462</v>
      </c>
      <c r="K7970" s="160" t="s">
        <v>11084</v>
      </c>
      <c r="O7970" s="259" t="s">
        <v>18157</v>
      </c>
      <c r="P7970" s="160" t="s">
        <v>67</v>
      </c>
      <c r="Q7970" s="160" t="s">
        <v>96</v>
      </c>
      <c r="R7970" s="160" t="s">
        <v>272</v>
      </c>
    </row>
    <row r="7971" spans="2:18" ht="69" customHeight="1">
      <c r="B7971" s="259">
        <f t="shared" si="50"/>
        <v>5110</v>
      </c>
      <c r="C7971" s="326" t="s">
        <v>16368</v>
      </c>
      <c r="D7971" s="303" t="s">
        <v>1989</v>
      </c>
      <c r="E7971" s="160" t="s">
        <v>19114</v>
      </c>
      <c r="F7971" s="160" t="s">
        <v>19479</v>
      </c>
      <c r="G7971" s="327" t="s">
        <v>19461</v>
      </c>
      <c r="H7971" s="300">
        <v>487.89</v>
      </c>
      <c r="I7971" s="209">
        <v>45356</v>
      </c>
      <c r="J7971" s="316" t="s">
        <v>19462</v>
      </c>
      <c r="K7971" s="160" t="s">
        <v>11084</v>
      </c>
      <c r="O7971" s="259" t="s">
        <v>18157</v>
      </c>
      <c r="P7971" s="160" t="s">
        <v>67</v>
      </c>
      <c r="Q7971" s="160" t="s">
        <v>96</v>
      </c>
      <c r="R7971" s="160" t="s">
        <v>272</v>
      </c>
    </row>
    <row r="7972" spans="2:18" ht="69" customHeight="1">
      <c r="B7972" s="259">
        <f t="shared" si="50"/>
        <v>5111</v>
      </c>
      <c r="C7972" s="326" t="s">
        <v>16368</v>
      </c>
      <c r="D7972" s="303" t="s">
        <v>2225</v>
      </c>
      <c r="E7972" s="160" t="s">
        <v>19114</v>
      </c>
      <c r="F7972" s="160" t="s">
        <v>19480</v>
      </c>
      <c r="G7972" s="327" t="s">
        <v>19461</v>
      </c>
      <c r="H7972" s="300">
        <v>710.17</v>
      </c>
      <c r="I7972" s="209">
        <v>45356</v>
      </c>
      <c r="J7972" s="316" t="s">
        <v>19462</v>
      </c>
      <c r="K7972" s="160" t="s">
        <v>11084</v>
      </c>
      <c r="O7972" s="259" t="s">
        <v>18157</v>
      </c>
      <c r="P7972" s="160" t="s">
        <v>67</v>
      </c>
      <c r="Q7972" s="160" t="s">
        <v>96</v>
      </c>
      <c r="R7972" s="160" t="s">
        <v>272</v>
      </c>
    </row>
    <row r="7973" spans="2:18" ht="69" customHeight="1">
      <c r="B7973" s="259">
        <f t="shared" si="50"/>
        <v>5112</v>
      </c>
      <c r="C7973" s="326" t="s">
        <v>16368</v>
      </c>
      <c r="D7973" s="303" t="s">
        <v>7839</v>
      </c>
      <c r="E7973" s="160" t="s">
        <v>19114</v>
      </c>
      <c r="F7973" s="160" t="s">
        <v>19481</v>
      </c>
      <c r="G7973" s="327" t="s">
        <v>19461</v>
      </c>
      <c r="H7973" s="300">
        <v>2400</v>
      </c>
      <c r="I7973" s="209">
        <v>45356</v>
      </c>
      <c r="J7973" s="316" t="s">
        <v>19462</v>
      </c>
      <c r="K7973" s="160" t="s">
        <v>11084</v>
      </c>
      <c r="O7973" s="259" t="s">
        <v>18157</v>
      </c>
      <c r="P7973" s="160" t="s">
        <v>67</v>
      </c>
      <c r="Q7973" s="160" t="s">
        <v>96</v>
      </c>
      <c r="R7973" s="160" t="s">
        <v>272</v>
      </c>
    </row>
    <row r="7974" spans="2:18" ht="69" customHeight="1">
      <c r="B7974" s="259">
        <f t="shared" si="50"/>
        <v>5113</v>
      </c>
      <c r="C7974" s="326" t="s">
        <v>16368</v>
      </c>
      <c r="D7974" s="303" t="s">
        <v>2451</v>
      </c>
      <c r="E7974" s="160" t="s">
        <v>19114</v>
      </c>
      <c r="F7974" s="160" t="s">
        <v>19482</v>
      </c>
      <c r="G7974" s="327" t="s">
        <v>19461</v>
      </c>
      <c r="H7974" s="300">
        <v>3982.75</v>
      </c>
      <c r="I7974" s="209">
        <v>45356</v>
      </c>
      <c r="J7974" s="316" t="s">
        <v>19462</v>
      </c>
      <c r="K7974" s="160" t="s">
        <v>11084</v>
      </c>
      <c r="O7974" s="259" t="s">
        <v>18157</v>
      </c>
      <c r="P7974" s="160" t="s">
        <v>67</v>
      </c>
      <c r="Q7974" s="160" t="s">
        <v>96</v>
      </c>
      <c r="R7974" s="160" t="s">
        <v>272</v>
      </c>
    </row>
    <row r="7975" spans="2:18" ht="69" customHeight="1">
      <c r="B7975" s="259">
        <f t="shared" si="50"/>
        <v>5114</v>
      </c>
      <c r="C7975" s="326" t="s">
        <v>16368</v>
      </c>
      <c r="D7975" s="303" t="s">
        <v>2702</v>
      </c>
      <c r="E7975" s="160" t="s">
        <v>19114</v>
      </c>
      <c r="F7975" s="160" t="s">
        <v>19483</v>
      </c>
      <c r="G7975" s="327" t="s">
        <v>19461</v>
      </c>
      <c r="H7975" s="300">
        <v>1150</v>
      </c>
      <c r="I7975" s="209">
        <v>45356</v>
      </c>
      <c r="J7975" s="316" t="s">
        <v>19462</v>
      </c>
      <c r="K7975" s="160" t="s">
        <v>11084</v>
      </c>
      <c r="O7975" s="259" t="s">
        <v>18157</v>
      </c>
      <c r="P7975" s="160" t="s">
        <v>67</v>
      </c>
      <c r="Q7975" s="160" t="s">
        <v>96</v>
      </c>
      <c r="R7975" s="160" t="s">
        <v>272</v>
      </c>
    </row>
    <row r="7976" spans="2:18" ht="69" customHeight="1">
      <c r="B7976" s="259">
        <f t="shared" si="50"/>
        <v>5115</v>
      </c>
      <c r="C7976" s="326" t="s">
        <v>16368</v>
      </c>
      <c r="D7976" s="303" t="s">
        <v>4850</v>
      </c>
      <c r="E7976" s="160" t="s">
        <v>19114</v>
      </c>
      <c r="F7976" s="160" t="s">
        <v>19484</v>
      </c>
      <c r="G7976" s="327" t="s">
        <v>19461</v>
      </c>
      <c r="H7976" s="300">
        <v>2569.5</v>
      </c>
      <c r="I7976" s="209">
        <v>45356</v>
      </c>
      <c r="J7976" s="316" t="s">
        <v>19462</v>
      </c>
      <c r="K7976" s="160" t="s">
        <v>11084</v>
      </c>
      <c r="O7976" s="259" t="s">
        <v>18157</v>
      </c>
      <c r="P7976" s="160" t="s">
        <v>67</v>
      </c>
      <c r="Q7976" s="160" t="s">
        <v>96</v>
      </c>
      <c r="R7976" s="160" t="s">
        <v>272</v>
      </c>
    </row>
    <row r="7977" spans="2:18" ht="69" customHeight="1">
      <c r="B7977" s="259">
        <f t="shared" si="50"/>
        <v>5116</v>
      </c>
      <c r="C7977" s="326" t="s">
        <v>16368</v>
      </c>
      <c r="D7977" s="303" t="s">
        <v>2921</v>
      </c>
      <c r="E7977" s="160" t="s">
        <v>19114</v>
      </c>
      <c r="F7977" s="160" t="s">
        <v>19485</v>
      </c>
      <c r="G7977" s="327" t="s">
        <v>19461</v>
      </c>
      <c r="H7977" s="300">
        <v>2501.08</v>
      </c>
      <c r="I7977" s="209">
        <v>45356</v>
      </c>
      <c r="J7977" s="316" t="s">
        <v>19462</v>
      </c>
      <c r="K7977" s="160" t="s">
        <v>11084</v>
      </c>
      <c r="O7977" s="259" t="s">
        <v>18157</v>
      </c>
      <c r="P7977" s="160" t="s">
        <v>67</v>
      </c>
      <c r="Q7977" s="160" t="s">
        <v>96</v>
      </c>
      <c r="R7977" s="160" t="s">
        <v>272</v>
      </c>
    </row>
    <row r="7978" spans="2:18" ht="69" customHeight="1">
      <c r="B7978" s="259">
        <f t="shared" si="50"/>
        <v>5117</v>
      </c>
      <c r="C7978" s="326" t="s">
        <v>16368</v>
      </c>
      <c r="D7978" s="303" t="s">
        <v>3170</v>
      </c>
      <c r="E7978" s="160" t="s">
        <v>19114</v>
      </c>
      <c r="F7978" s="160" t="s">
        <v>19486</v>
      </c>
      <c r="G7978" s="327" t="s">
        <v>19461</v>
      </c>
      <c r="H7978" s="300">
        <v>2501.08</v>
      </c>
      <c r="I7978" s="209">
        <v>45356</v>
      </c>
      <c r="J7978" s="316" t="s">
        <v>19462</v>
      </c>
      <c r="K7978" s="160" t="s">
        <v>11084</v>
      </c>
      <c r="O7978" s="259" t="s">
        <v>18157</v>
      </c>
      <c r="P7978" s="160" t="s">
        <v>67</v>
      </c>
      <c r="Q7978" s="160" t="s">
        <v>96</v>
      </c>
      <c r="R7978" s="160" t="s">
        <v>272</v>
      </c>
    </row>
    <row r="7979" spans="2:18" ht="69" customHeight="1">
      <c r="B7979" s="62">
        <f t="shared" si="50"/>
        <v>5118</v>
      </c>
      <c r="C7979" s="59" t="s">
        <v>9094</v>
      </c>
      <c r="D7979" s="545" t="s">
        <v>19487</v>
      </c>
      <c r="E7979" s="58" t="s">
        <v>19488</v>
      </c>
      <c r="F7979" s="58" t="s">
        <v>19489</v>
      </c>
      <c r="G7979" s="58" t="s">
        <v>19490</v>
      </c>
      <c r="H7979" s="546">
        <v>292223.62</v>
      </c>
      <c r="I7979" s="126">
        <v>45356</v>
      </c>
      <c r="J7979" s="73" t="s">
        <v>19491</v>
      </c>
      <c r="K7979" s="67"/>
      <c r="O7979" s="62" t="s">
        <v>19492</v>
      </c>
      <c r="P7979" s="58" t="s">
        <v>57</v>
      </c>
      <c r="Q7979" s="45" t="s">
        <v>112</v>
      </c>
      <c r="R7979" s="45" t="s">
        <v>272</v>
      </c>
    </row>
    <row r="7980" spans="2:18" ht="69" customHeight="1">
      <c r="B7980" s="259">
        <f t="shared" si="50"/>
        <v>5119</v>
      </c>
      <c r="C7980" s="207" t="s">
        <v>13156</v>
      </c>
      <c r="D7980" s="303" t="s">
        <v>5990</v>
      </c>
      <c r="E7980" s="207" t="s">
        <v>266</v>
      </c>
      <c r="F7980" s="160" t="s">
        <v>19493</v>
      </c>
      <c r="G7980" s="160" t="s">
        <v>16453</v>
      </c>
      <c r="H7980" s="300">
        <v>1098.28</v>
      </c>
      <c r="I7980" s="209">
        <v>45366</v>
      </c>
      <c r="J7980" s="316" t="s">
        <v>19494</v>
      </c>
      <c r="K7980" s="160" t="s">
        <v>11084</v>
      </c>
      <c r="M7980" s="122"/>
      <c r="N7980" s="112"/>
      <c r="O7980" s="259" t="s">
        <v>16455</v>
      </c>
      <c r="P7980" s="160" t="s">
        <v>67</v>
      </c>
      <c r="Q7980" s="160" t="s">
        <v>96</v>
      </c>
      <c r="R7980" s="160" t="s">
        <v>272</v>
      </c>
    </row>
    <row r="7981" spans="2:18" ht="69" customHeight="1">
      <c r="B7981" s="259">
        <f t="shared" si="50"/>
        <v>5120</v>
      </c>
      <c r="C7981" s="207" t="s">
        <v>458</v>
      </c>
      <c r="D7981" s="303" t="s">
        <v>19495</v>
      </c>
      <c r="E7981" s="207" t="s">
        <v>266</v>
      </c>
      <c r="F7981" s="160" t="s">
        <v>19496</v>
      </c>
      <c r="G7981" s="160" t="s">
        <v>19497</v>
      </c>
      <c r="H7981" s="300">
        <v>27681</v>
      </c>
      <c r="I7981" s="209">
        <v>45366</v>
      </c>
      <c r="J7981" s="316" t="s">
        <v>19498</v>
      </c>
      <c r="K7981" s="160" t="s">
        <v>19499</v>
      </c>
      <c r="O7981" s="259" t="s">
        <v>19500</v>
      </c>
      <c r="P7981" s="160" t="s">
        <v>67</v>
      </c>
      <c r="Q7981" s="160" t="s">
        <v>117</v>
      </c>
      <c r="R7981" s="160" t="s">
        <v>272</v>
      </c>
    </row>
    <row r="7982" spans="2:18" ht="69" customHeight="1">
      <c r="B7982" s="259">
        <f t="shared" si="50"/>
        <v>5121</v>
      </c>
      <c r="C7982" s="160" t="s">
        <v>19501</v>
      </c>
      <c r="D7982" s="303" t="s">
        <v>5660</v>
      </c>
      <c r="E7982" s="207" t="s">
        <v>266</v>
      </c>
      <c r="F7982" s="303" t="s">
        <v>19502</v>
      </c>
      <c r="G7982" s="160" t="s">
        <v>19503</v>
      </c>
      <c r="H7982" s="300">
        <v>6500</v>
      </c>
      <c r="I7982" s="209">
        <v>45366</v>
      </c>
      <c r="J7982" s="316" t="s">
        <v>19504</v>
      </c>
      <c r="K7982" s="160" t="s">
        <v>11084</v>
      </c>
      <c r="O7982" s="259" t="s">
        <v>467</v>
      </c>
      <c r="P7982" s="160" t="s">
        <v>67</v>
      </c>
      <c r="Q7982" s="160" t="s">
        <v>96</v>
      </c>
      <c r="R7982" s="160" t="s">
        <v>272</v>
      </c>
    </row>
    <row r="7983" spans="2:18" ht="69" customHeight="1">
      <c r="B7983" s="259">
        <f t="shared" si="50"/>
        <v>5122</v>
      </c>
      <c r="C7983" s="207" t="s">
        <v>13665</v>
      </c>
      <c r="D7983" s="303" t="s">
        <v>4732</v>
      </c>
      <c r="E7983" s="207" t="s">
        <v>266</v>
      </c>
      <c r="F7983" s="303" t="s">
        <v>19505</v>
      </c>
      <c r="G7983" s="160" t="s">
        <v>19503</v>
      </c>
      <c r="H7983" s="300">
        <v>4341</v>
      </c>
      <c r="I7983" s="209">
        <v>45366</v>
      </c>
      <c r="J7983" s="316" t="s">
        <v>19504</v>
      </c>
      <c r="K7983" s="160" t="s">
        <v>11084</v>
      </c>
      <c r="O7983" s="259" t="s">
        <v>467</v>
      </c>
      <c r="P7983" s="160" t="s">
        <v>67</v>
      </c>
      <c r="Q7983" s="160" t="s">
        <v>96</v>
      </c>
      <c r="R7983" s="160" t="s">
        <v>272</v>
      </c>
    </row>
    <row r="7984" spans="2:18" ht="69" customHeight="1">
      <c r="B7984" s="259">
        <f t="shared" si="50"/>
        <v>5123</v>
      </c>
      <c r="C7984" s="160" t="s">
        <v>19506</v>
      </c>
      <c r="D7984" s="303" t="s">
        <v>405</v>
      </c>
      <c r="E7984" s="207" t="s">
        <v>266</v>
      </c>
      <c r="F7984" s="303" t="s">
        <v>19507</v>
      </c>
      <c r="G7984" s="160" t="s">
        <v>19503</v>
      </c>
      <c r="H7984" s="300">
        <v>17710</v>
      </c>
      <c r="I7984" s="209">
        <v>45366</v>
      </c>
      <c r="J7984" s="316" t="s">
        <v>19504</v>
      </c>
      <c r="K7984" s="160" t="s">
        <v>11084</v>
      </c>
      <c r="O7984" s="259" t="s">
        <v>467</v>
      </c>
      <c r="P7984" s="160" t="s">
        <v>67</v>
      </c>
      <c r="Q7984" s="160" t="s">
        <v>96</v>
      </c>
      <c r="R7984" s="160" t="s">
        <v>272</v>
      </c>
    </row>
    <row r="7985" spans="2:18" ht="69" customHeight="1">
      <c r="B7985" s="259">
        <f t="shared" si="50"/>
        <v>5124</v>
      </c>
      <c r="C7985" s="160" t="s">
        <v>19158</v>
      </c>
      <c r="D7985" s="303" t="s">
        <v>5668</v>
      </c>
      <c r="E7985" s="207" t="s">
        <v>266</v>
      </c>
      <c r="F7985" s="303" t="s">
        <v>19508</v>
      </c>
      <c r="G7985" s="160" t="s">
        <v>19503</v>
      </c>
      <c r="H7985" s="300">
        <v>9710</v>
      </c>
      <c r="I7985" s="209">
        <v>45366</v>
      </c>
      <c r="J7985" s="316" t="s">
        <v>19504</v>
      </c>
      <c r="K7985" s="160" t="s">
        <v>11084</v>
      </c>
      <c r="O7985" s="259" t="s">
        <v>467</v>
      </c>
      <c r="P7985" s="160" t="s">
        <v>67</v>
      </c>
      <c r="Q7985" s="160" t="s">
        <v>96</v>
      </c>
      <c r="R7985" s="160" t="s">
        <v>272</v>
      </c>
    </row>
    <row r="7986" spans="2:18" ht="69" customHeight="1">
      <c r="B7986" s="259">
        <f t="shared" si="50"/>
        <v>5125</v>
      </c>
      <c r="C7986" s="160" t="s">
        <v>19158</v>
      </c>
      <c r="D7986" s="303" t="s">
        <v>6755</v>
      </c>
      <c r="E7986" s="207" t="s">
        <v>266</v>
      </c>
      <c r="F7986" s="303" t="s">
        <v>19509</v>
      </c>
      <c r="G7986" s="160" t="s">
        <v>19503</v>
      </c>
      <c r="H7986" s="300">
        <v>9710</v>
      </c>
      <c r="I7986" s="209">
        <v>45366</v>
      </c>
      <c r="J7986" s="316" t="s">
        <v>19504</v>
      </c>
      <c r="K7986" s="160" t="s">
        <v>11084</v>
      </c>
      <c r="O7986" s="259" t="s">
        <v>467</v>
      </c>
      <c r="P7986" s="160" t="s">
        <v>67</v>
      </c>
      <c r="Q7986" s="160" t="s">
        <v>96</v>
      </c>
      <c r="R7986" s="160" t="s">
        <v>272</v>
      </c>
    </row>
    <row r="7987" spans="2:18" ht="69" customHeight="1">
      <c r="B7987" s="259">
        <f t="shared" si="50"/>
        <v>5126</v>
      </c>
      <c r="C7987" s="207" t="s">
        <v>13665</v>
      </c>
      <c r="D7987" s="303" t="s">
        <v>638</v>
      </c>
      <c r="E7987" s="207" t="s">
        <v>266</v>
      </c>
      <c r="F7987" s="303" t="s">
        <v>19510</v>
      </c>
      <c r="G7987" s="160" t="s">
        <v>19503</v>
      </c>
      <c r="H7987" s="300">
        <v>4341</v>
      </c>
      <c r="I7987" s="209">
        <v>45366</v>
      </c>
      <c r="J7987" s="316" t="s">
        <v>19504</v>
      </c>
      <c r="K7987" s="160" t="s">
        <v>11084</v>
      </c>
      <c r="O7987" s="259" t="s">
        <v>467</v>
      </c>
      <c r="P7987" s="160" t="s">
        <v>67</v>
      </c>
      <c r="Q7987" s="160" t="s">
        <v>96</v>
      </c>
      <c r="R7987" s="160" t="s">
        <v>272</v>
      </c>
    </row>
    <row r="7988" spans="2:18" ht="69" customHeight="1">
      <c r="B7988" s="259">
        <f t="shared" si="50"/>
        <v>5127</v>
      </c>
      <c r="C7988" s="207" t="s">
        <v>13665</v>
      </c>
      <c r="D7988" s="303" t="s">
        <v>931</v>
      </c>
      <c r="E7988" s="207" t="s">
        <v>266</v>
      </c>
      <c r="F7988" s="303" t="s">
        <v>19511</v>
      </c>
      <c r="G7988" s="160" t="s">
        <v>19503</v>
      </c>
      <c r="H7988" s="300">
        <v>4341</v>
      </c>
      <c r="I7988" s="209">
        <v>45366</v>
      </c>
      <c r="J7988" s="316" t="s">
        <v>19504</v>
      </c>
      <c r="K7988" s="160" t="s">
        <v>11084</v>
      </c>
      <c r="O7988" s="259" t="s">
        <v>467</v>
      </c>
      <c r="P7988" s="160" t="s">
        <v>67</v>
      </c>
      <c r="Q7988" s="160" t="s">
        <v>96</v>
      </c>
      <c r="R7988" s="160" t="s">
        <v>272</v>
      </c>
    </row>
    <row r="7989" spans="2:18" ht="69" customHeight="1">
      <c r="B7989" s="259">
        <f t="shared" si="50"/>
        <v>5128</v>
      </c>
      <c r="C7989" s="207" t="s">
        <v>13665</v>
      </c>
      <c r="D7989" s="303" t="s">
        <v>934</v>
      </c>
      <c r="E7989" s="207" t="s">
        <v>266</v>
      </c>
      <c r="F7989" s="303" t="s">
        <v>19512</v>
      </c>
      <c r="G7989" s="160" t="s">
        <v>19503</v>
      </c>
      <c r="H7989" s="300">
        <v>4341</v>
      </c>
      <c r="I7989" s="209">
        <v>45366</v>
      </c>
      <c r="J7989" s="316" t="s">
        <v>19504</v>
      </c>
      <c r="K7989" s="160" t="s">
        <v>11084</v>
      </c>
      <c r="O7989" s="259" t="s">
        <v>467</v>
      </c>
      <c r="P7989" s="160" t="s">
        <v>67</v>
      </c>
      <c r="Q7989" s="160" t="s">
        <v>96</v>
      </c>
      <c r="R7989" s="160" t="s">
        <v>272</v>
      </c>
    </row>
    <row r="7990" spans="2:18" ht="69" customHeight="1">
      <c r="B7990" s="259">
        <f t="shared" si="50"/>
        <v>5129</v>
      </c>
      <c r="C7990" s="207" t="s">
        <v>13665</v>
      </c>
      <c r="D7990" s="303" t="s">
        <v>3408</v>
      </c>
      <c r="E7990" s="207" t="s">
        <v>266</v>
      </c>
      <c r="F7990" s="303" t="s">
        <v>19513</v>
      </c>
      <c r="G7990" s="160" t="s">
        <v>19503</v>
      </c>
      <c r="H7990" s="300">
        <v>4341</v>
      </c>
      <c r="I7990" s="209">
        <v>45366</v>
      </c>
      <c r="J7990" s="316" t="s">
        <v>19504</v>
      </c>
      <c r="K7990" s="160" t="s">
        <v>11084</v>
      </c>
      <c r="O7990" s="259" t="s">
        <v>467</v>
      </c>
      <c r="P7990" s="160" t="s">
        <v>67</v>
      </c>
      <c r="Q7990" s="160" t="s">
        <v>96</v>
      </c>
      <c r="R7990" s="160" t="s">
        <v>272</v>
      </c>
    </row>
    <row r="7991" spans="2:18" ht="69" customHeight="1">
      <c r="B7991" s="259">
        <f t="shared" si="50"/>
        <v>5130</v>
      </c>
      <c r="C7991" s="207" t="s">
        <v>13665</v>
      </c>
      <c r="D7991" s="303" t="s">
        <v>4836</v>
      </c>
      <c r="E7991" s="207" t="s">
        <v>266</v>
      </c>
      <c r="F7991" s="303" t="s">
        <v>19514</v>
      </c>
      <c r="G7991" s="160" t="s">
        <v>19503</v>
      </c>
      <c r="H7991" s="300">
        <v>4341</v>
      </c>
      <c r="I7991" s="209">
        <v>45366</v>
      </c>
      <c r="J7991" s="316" t="s">
        <v>19504</v>
      </c>
      <c r="K7991" s="160" t="s">
        <v>11084</v>
      </c>
      <c r="O7991" s="259" t="s">
        <v>467</v>
      </c>
      <c r="P7991" s="160" t="s">
        <v>67</v>
      </c>
      <c r="Q7991" s="160" t="s">
        <v>96</v>
      </c>
      <c r="R7991" s="160" t="s">
        <v>272</v>
      </c>
    </row>
    <row r="7992" spans="2:18" ht="69" customHeight="1">
      <c r="B7992" s="259">
        <f t="shared" si="50"/>
        <v>5131</v>
      </c>
      <c r="C7992" s="160" t="s">
        <v>19515</v>
      </c>
      <c r="D7992" s="303" t="s">
        <v>610</v>
      </c>
      <c r="E7992" s="207" t="s">
        <v>266</v>
      </c>
      <c r="F7992" s="303" t="s">
        <v>19516</v>
      </c>
      <c r="G7992" s="160" t="s">
        <v>19503</v>
      </c>
      <c r="H7992" s="300">
        <v>6500</v>
      </c>
      <c r="I7992" s="209">
        <v>45366</v>
      </c>
      <c r="J7992" s="316" t="s">
        <v>19504</v>
      </c>
      <c r="K7992" s="160" t="s">
        <v>11084</v>
      </c>
      <c r="O7992" s="259" t="s">
        <v>467</v>
      </c>
      <c r="P7992" s="160" t="s">
        <v>67</v>
      </c>
      <c r="Q7992" s="160" t="s">
        <v>96</v>
      </c>
      <c r="R7992" s="160" t="s">
        <v>272</v>
      </c>
    </row>
    <row r="7993" spans="2:18" ht="69" customHeight="1">
      <c r="B7993" s="259">
        <f t="shared" si="50"/>
        <v>5132</v>
      </c>
      <c r="C7993" s="160" t="s">
        <v>19456</v>
      </c>
      <c r="D7993" s="303" t="s">
        <v>469</v>
      </c>
      <c r="E7993" s="207" t="s">
        <v>266</v>
      </c>
      <c r="F7993" s="303" t="s">
        <v>19517</v>
      </c>
      <c r="G7993" s="160" t="s">
        <v>19503</v>
      </c>
      <c r="H7993" s="300">
        <v>6500</v>
      </c>
      <c r="I7993" s="209">
        <v>45366</v>
      </c>
      <c r="J7993" s="316" t="s">
        <v>19504</v>
      </c>
      <c r="K7993" s="160" t="s">
        <v>11084</v>
      </c>
      <c r="O7993" s="259" t="s">
        <v>467</v>
      </c>
      <c r="P7993" s="160" t="s">
        <v>67</v>
      </c>
      <c r="Q7993" s="160" t="s">
        <v>96</v>
      </c>
      <c r="R7993" s="160" t="s">
        <v>272</v>
      </c>
    </row>
    <row r="7994" spans="2:18" ht="69" customHeight="1">
      <c r="B7994" s="52">
        <f t="shared" si="50"/>
        <v>5133</v>
      </c>
      <c r="C7994" s="191" t="s">
        <v>657</v>
      </c>
      <c r="D7994" s="251" t="s">
        <v>5499</v>
      </c>
      <c r="E7994" s="191" t="s">
        <v>266</v>
      </c>
      <c r="F7994" s="251" t="s">
        <v>19518</v>
      </c>
      <c r="G7994" s="46" t="s">
        <v>19519</v>
      </c>
      <c r="H7994" s="534">
        <v>44424.78</v>
      </c>
      <c r="I7994" s="56">
        <v>45366</v>
      </c>
      <c r="J7994" s="199" t="s">
        <v>19520</v>
      </c>
      <c r="K7994" s="46"/>
      <c r="O7994" s="46" t="s">
        <v>1171</v>
      </c>
      <c r="P7994" s="46" t="s">
        <v>71</v>
      </c>
      <c r="Q7994" s="46" t="s">
        <v>97</v>
      </c>
      <c r="R7994" s="46" t="s">
        <v>272</v>
      </c>
    </row>
    <row r="7995" spans="2:18" ht="69" customHeight="1">
      <c r="B7995" s="52">
        <f t="shared" si="50"/>
        <v>5134</v>
      </c>
      <c r="C7995" s="191" t="s">
        <v>458</v>
      </c>
      <c r="D7995" s="251" t="s">
        <v>19521</v>
      </c>
      <c r="E7995" s="191" t="s">
        <v>266</v>
      </c>
      <c r="F7995" s="251" t="s">
        <v>19522</v>
      </c>
      <c r="G7995" s="46" t="s">
        <v>19519</v>
      </c>
      <c r="H7995" s="534">
        <v>43055.44</v>
      </c>
      <c r="I7995" s="56">
        <v>45366</v>
      </c>
      <c r="J7995" s="199" t="s">
        <v>19520</v>
      </c>
      <c r="K7995" s="46"/>
      <c r="O7995" s="46" t="s">
        <v>1171</v>
      </c>
      <c r="P7995" s="46" t="s">
        <v>71</v>
      </c>
      <c r="Q7995" s="46" t="s">
        <v>113</v>
      </c>
      <c r="R7995" s="46" t="s">
        <v>272</v>
      </c>
    </row>
    <row r="7996" spans="2:18" ht="69" customHeight="1">
      <c r="B7996" s="52">
        <f t="shared" si="50"/>
        <v>5135</v>
      </c>
      <c r="C7996" s="191" t="s">
        <v>458</v>
      </c>
      <c r="D7996" s="251" t="s">
        <v>19523</v>
      </c>
      <c r="E7996" s="191" t="s">
        <v>266</v>
      </c>
      <c r="F7996" s="251" t="s">
        <v>19524</v>
      </c>
      <c r="G7996" s="46" t="s">
        <v>19519</v>
      </c>
      <c r="H7996" s="534">
        <v>11103.89</v>
      </c>
      <c r="I7996" s="56">
        <v>45366</v>
      </c>
      <c r="J7996" s="199" t="s">
        <v>19520</v>
      </c>
      <c r="K7996" s="46"/>
      <c r="O7996" s="46" t="s">
        <v>1171</v>
      </c>
      <c r="P7996" s="46" t="s">
        <v>71</v>
      </c>
      <c r="Q7996" s="46" t="s">
        <v>123</v>
      </c>
      <c r="R7996" s="46" t="s">
        <v>272</v>
      </c>
    </row>
    <row r="7997" spans="2:18" ht="69" customHeight="1">
      <c r="B7997" s="52">
        <f t="shared" si="50"/>
        <v>5136</v>
      </c>
      <c r="C7997" s="191" t="s">
        <v>458</v>
      </c>
      <c r="D7997" s="251" t="s">
        <v>19525</v>
      </c>
      <c r="E7997" s="191" t="s">
        <v>266</v>
      </c>
      <c r="F7997" s="251" t="s">
        <v>19526</v>
      </c>
      <c r="G7997" s="46" t="s">
        <v>19519</v>
      </c>
      <c r="H7997" s="534">
        <v>11103.89</v>
      </c>
      <c r="I7997" s="56">
        <v>45366</v>
      </c>
      <c r="J7997" s="199" t="s">
        <v>19520</v>
      </c>
      <c r="K7997" s="46"/>
      <c r="O7997" s="46" t="s">
        <v>1171</v>
      </c>
      <c r="P7997" s="46" t="s">
        <v>71</v>
      </c>
      <c r="Q7997" s="46" t="s">
        <v>88</v>
      </c>
      <c r="R7997" s="46" t="s">
        <v>272</v>
      </c>
    </row>
    <row r="7998" spans="2:18" ht="69" customHeight="1">
      <c r="B7998" s="52">
        <f t="shared" si="50"/>
        <v>5137</v>
      </c>
      <c r="C7998" s="191" t="s">
        <v>458</v>
      </c>
      <c r="D7998" s="251" t="s">
        <v>16040</v>
      </c>
      <c r="E7998" s="191" t="s">
        <v>266</v>
      </c>
      <c r="F7998" s="251" t="s">
        <v>19527</v>
      </c>
      <c r="G7998" s="46" t="s">
        <v>19519</v>
      </c>
      <c r="H7998" s="534">
        <v>11103.89</v>
      </c>
      <c r="I7998" s="56">
        <v>45366</v>
      </c>
      <c r="J7998" s="199" t="s">
        <v>19520</v>
      </c>
      <c r="K7998" s="46"/>
      <c r="O7998" s="46" t="s">
        <v>1171</v>
      </c>
      <c r="P7998" s="46" t="s">
        <v>71</v>
      </c>
      <c r="Q7998" s="46" t="s">
        <v>122</v>
      </c>
      <c r="R7998" s="46" t="s">
        <v>272</v>
      </c>
    </row>
    <row r="7999" spans="2:18" ht="69" customHeight="1">
      <c r="B7999" s="52">
        <f t="shared" si="50"/>
        <v>5138</v>
      </c>
      <c r="C7999" s="191" t="s">
        <v>458</v>
      </c>
      <c r="D7999" s="251" t="s">
        <v>16043</v>
      </c>
      <c r="E7999" s="191" t="s">
        <v>266</v>
      </c>
      <c r="F7999" s="251" t="s">
        <v>19528</v>
      </c>
      <c r="G7999" s="46" t="s">
        <v>19519</v>
      </c>
      <c r="H7999" s="534">
        <v>11109.89</v>
      </c>
      <c r="I7999" s="56">
        <v>45366</v>
      </c>
      <c r="J7999" s="199" t="s">
        <v>19520</v>
      </c>
      <c r="K7999" s="46"/>
      <c r="O7999" s="46" t="s">
        <v>1171</v>
      </c>
      <c r="P7999" s="46" t="s">
        <v>71</v>
      </c>
      <c r="Q7999" s="46" t="s">
        <v>112</v>
      </c>
      <c r="R7999" s="46" t="s">
        <v>272</v>
      </c>
    </row>
    <row r="8000" spans="2:18" ht="69" customHeight="1">
      <c r="B8000" s="259">
        <f t="shared" si="50"/>
        <v>5139</v>
      </c>
      <c r="C8000" s="160" t="s">
        <v>18059</v>
      </c>
      <c r="D8000" s="303" t="s">
        <v>1503</v>
      </c>
      <c r="E8000" s="207" t="s">
        <v>266</v>
      </c>
      <c r="F8000" s="303" t="s">
        <v>19529</v>
      </c>
      <c r="G8000" s="160" t="s">
        <v>19530</v>
      </c>
      <c r="H8000" s="300">
        <v>1109.32</v>
      </c>
      <c r="I8000" s="209">
        <v>45356</v>
      </c>
      <c r="J8000" s="316" t="s">
        <v>19531</v>
      </c>
      <c r="K8000" s="160" t="s">
        <v>11084</v>
      </c>
      <c r="O8000" s="259" t="s">
        <v>5969</v>
      </c>
      <c r="P8000" s="160" t="s">
        <v>67</v>
      </c>
      <c r="Q8000" s="160" t="s">
        <v>96</v>
      </c>
      <c r="R8000" s="160" t="s">
        <v>272</v>
      </c>
    </row>
    <row r="8001" spans="2:18" ht="69" customHeight="1">
      <c r="B8001" s="259">
        <f t="shared" si="50"/>
        <v>5140</v>
      </c>
      <c r="C8001" s="160" t="s">
        <v>18059</v>
      </c>
      <c r="D8001" s="303" t="s">
        <v>2944</v>
      </c>
      <c r="E8001" s="207" t="s">
        <v>266</v>
      </c>
      <c r="F8001" s="303" t="s">
        <v>19532</v>
      </c>
      <c r="G8001" s="160" t="s">
        <v>19533</v>
      </c>
      <c r="H8001" s="300">
        <v>42</v>
      </c>
      <c r="I8001" s="209">
        <v>45356</v>
      </c>
      <c r="J8001" s="316" t="s">
        <v>19531</v>
      </c>
      <c r="K8001" s="160" t="s">
        <v>11084</v>
      </c>
      <c r="O8001" s="259" t="s">
        <v>5969</v>
      </c>
      <c r="P8001" s="160" t="s">
        <v>67</v>
      </c>
      <c r="Q8001" s="160" t="s">
        <v>96</v>
      </c>
      <c r="R8001" s="160" t="s">
        <v>272</v>
      </c>
    </row>
    <row r="8002" spans="2:18" ht="69" customHeight="1">
      <c r="B8002" s="259">
        <f t="shared" si="50"/>
        <v>5141</v>
      </c>
      <c r="C8002" s="207" t="s">
        <v>309</v>
      </c>
      <c r="D8002" s="303" t="s">
        <v>15220</v>
      </c>
      <c r="E8002" s="207" t="s">
        <v>266</v>
      </c>
      <c r="F8002" s="160" t="s">
        <v>19534</v>
      </c>
      <c r="G8002" s="160" t="s">
        <v>19535</v>
      </c>
      <c r="H8002" s="300">
        <v>18.03</v>
      </c>
      <c r="I8002" s="209">
        <v>45366</v>
      </c>
      <c r="J8002" s="316" t="s">
        <v>19536</v>
      </c>
      <c r="K8002" s="160" t="s">
        <v>19499</v>
      </c>
      <c r="O8002" s="259"/>
      <c r="P8002" s="160" t="s">
        <v>67</v>
      </c>
      <c r="Q8002" s="160" t="s">
        <v>96</v>
      </c>
      <c r="R8002" s="160" t="s">
        <v>272</v>
      </c>
    </row>
    <row r="8003" spans="2:18" ht="69" customHeight="1">
      <c r="B8003" s="259">
        <f t="shared" si="50"/>
        <v>5142</v>
      </c>
      <c r="C8003" s="160" t="s">
        <v>19537</v>
      </c>
      <c r="D8003" s="303" t="s">
        <v>2526</v>
      </c>
      <c r="E8003" s="207" t="s">
        <v>266</v>
      </c>
      <c r="F8003" s="160" t="s">
        <v>19538</v>
      </c>
      <c r="G8003" s="160" t="s">
        <v>19539</v>
      </c>
      <c r="H8003" s="300">
        <v>14600</v>
      </c>
      <c r="I8003" s="209">
        <v>45366</v>
      </c>
      <c r="J8003" s="316" t="s">
        <v>19540</v>
      </c>
      <c r="K8003" s="160" t="s">
        <v>11084</v>
      </c>
      <c r="O8003" s="259" t="s">
        <v>19541</v>
      </c>
      <c r="P8003" s="160" t="s">
        <v>67</v>
      </c>
      <c r="Q8003" s="160" t="s">
        <v>96</v>
      </c>
      <c r="R8003" s="160" t="s">
        <v>272</v>
      </c>
    </row>
    <row r="8004" spans="2:18" ht="69" customHeight="1">
      <c r="B8004" s="259">
        <f t="shared" si="50"/>
        <v>5143</v>
      </c>
      <c r="C8004" s="207" t="s">
        <v>458</v>
      </c>
      <c r="D8004" s="303" t="s">
        <v>16164</v>
      </c>
      <c r="E8004" s="207" t="s">
        <v>266</v>
      </c>
      <c r="F8004" s="160" t="s">
        <v>19542</v>
      </c>
      <c r="G8004" s="160" t="s">
        <v>19543</v>
      </c>
      <c r="H8004" s="300">
        <v>798.64</v>
      </c>
      <c r="I8004" s="209">
        <v>45366</v>
      </c>
      <c r="J8004" s="316" t="s">
        <v>19544</v>
      </c>
      <c r="K8004" s="160" t="s">
        <v>19499</v>
      </c>
      <c r="O8004" s="259"/>
      <c r="P8004" s="160" t="s">
        <v>67</v>
      </c>
      <c r="Q8004" s="160" t="s">
        <v>96</v>
      </c>
      <c r="R8004" s="160" t="s">
        <v>272</v>
      </c>
    </row>
    <row r="8005" spans="2:18" ht="69" customHeight="1">
      <c r="B8005" s="259">
        <f t="shared" si="50"/>
        <v>5144</v>
      </c>
      <c r="C8005" s="207" t="s">
        <v>458</v>
      </c>
      <c r="D8005" s="303" t="s">
        <v>16162</v>
      </c>
      <c r="E8005" s="207" t="s">
        <v>266</v>
      </c>
      <c r="F8005" s="160" t="s">
        <v>19545</v>
      </c>
      <c r="G8005" s="160" t="s">
        <v>19543</v>
      </c>
      <c r="H8005" s="300">
        <v>44864.160000000003</v>
      </c>
      <c r="I8005" s="209">
        <v>45366</v>
      </c>
      <c r="J8005" s="316" t="s">
        <v>19546</v>
      </c>
      <c r="K8005" s="160" t="s">
        <v>19499</v>
      </c>
      <c r="O8005" s="259"/>
      <c r="P8005" s="160" t="s">
        <v>67</v>
      </c>
      <c r="Q8005" s="160" t="s">
        <v>96</v>
      </c>
      <c r="R8005" s="160" t="s">
        <v>272</v>
      </c>
    </row>
    <row r="8006" spans="2:18" ht="69" customHeight="1">
      <c r="B8006" s="259">
        <f t="shared" si="50"/>
        <v>5145</v>
      </c>
      <c r="C8006" s="207" t="s">
        <v>458</v>
      </c>
      <c r="D8006" s="303" t="s">
        <v>16147</v>
      </c>
      <c r="E8006" s="207" t="s">
        <v>266</v>
      </c>
      <c r="F8006" s="160" t="s">
        <v>19547</v>
      </c>
      <c r="G8006" s="160" t="s">
        <v>19543</v>
      </c>
      <c r="H8006" s="300">
        <v>1229.56</v>
      </c>
      <c r="I8006" s="209">
        <v>45366</v>
      </c>
      <c r="J8006" s="316" t="s">
        <v>19548</v>
      </c>
      <c r="K8006" s="160" t="s">
        <v>19499</v>
      </c>
      <c r="O8006" s="259"/>
      <c r="P8006" s="160" t="s">
        <v>67</v>
      </c>
      <c r="Q8006" s="160" t="s">
        <v>96</v>
      </c>
      <c r="R8006" s="160" t="s">
        <v>272</v>
      </c>
    </row>
    <row r="8007" spans="2:18" ht="69" customHeight="1">
      <c r="B8007" s="259">
        <f t="shared" si="50"/>
        <v>5146</v>
      </c>
      <c r="C8007" s="207" t="s">
        <v>458</v>
      </c>
      <c r="D8007" s="303" t="s">
        <v>16143</v>
      </c>
      <c r="E8007" s="207" t="s">
        <v>266</v>
      </c>
      <c r="F8007" s="160" t="s">
        <v>19549</v>
      </c>
      <c r="G8007" s="160" t="s">
        <v>19543</v>
      </c>
      <c r="H8007" s="300">
        <v>36821.339999999997</v>
      </c>
      <c r="I8007" s="209">
        <v>45366</v>
      </c>
      <c r="J8007" s="316" t="s">
        <v>19550</v>
      </c>
      <c r="K8007" s="160" t="s">
        <v>19499</v>
      </c>
      <c r="O8007" s="259"/>
      <c r="P8007" s="160" t="s">
        <v>67</v>
      </c>
      <c r="Q8007" s="160" t="s">
        <v>96</v>
      </c>
      <c r="R8007" s="160" t="s">
        <v>272</v>
      </c>
    </row>
    <row r="8008" spans="2:18" ht="69" customHeight="1">
      <c r="B8008" s="259">
        <f t="shared" si="50"/>
        <v>5147</v>
      </c>
      <c r="C8008" s="207" t="s">
        <v>657</v>
      </c>
      <c r="D8008" s="303" t="s">
        <v>6419</v>
      </c>
      <c r="E8008" s="207" t="s">
        <v>266</v>
      </c>
      <c r="F8008" s="160" t="s">
        <v>19551</v>
      </c>
      <c r="G8008" s="160" t="s">
        <v>19543</v>
      </c>
      <c r="H8008" s="300">
        <v>36821.339999999997</v>
      </c>
      <c r="I8008" s="209">
        <v>45366</v>
      </c>
      <c r="J8008" s="316" t="s">
        <v>19552</v>
      </c>
      <c r="K8008" s="160" t="s">
        <v>19499</v>
      </c>
      <c r="O8008" s="259"/>
      <c r="P8008" s="160" t="s">
        <v>67</v>
      </c>
      <c r="Q8008" s="160" t="s">
        <v>96</v>
      </c>
      <c r="R8008" s="160" t="s">
        <v>272</v>
      </c>
    </row>
    <row r="8009" spans="2:18" ht="69" customHeight="1">
      <c r="B8009" s="259">
        <f t="shared" si="50"/>
        <v>5148</v>
      </c>
      <c r="C8009" s="207" t="s">
        <v>657</v>
      </c>
      <c r="D8009" s="303" t="s">
        <v>5181</v>
      </c>
      <c r="E8009" s="207" t="s">
        <v>266</v>
      </c>
      <c r="F8009" s="160" t="s">
        <v>19553</v>
      </c>
      <c r="G8009" s="160" t="s">
        <v>19543</v>
      </c>
      <c r="H8009" s="300">
        <v>36821.339999999997</v>
      </c>
      <c r="I8009" s="209">
        <v>45366</v>
      </c>
      <c r="J8009" s="316" t="s">
        <v>19554</v>
      </c>
      <c r="K8009" s="160" t="s">
        <v>19499</v>
      </c>
      <c r="O8009" s="259"/>
      <c r="P8009" s="160" t="s">
        <v>67</v>
      </c>
      <c r="Q8009" s="160" t="s">
        <v>96</v>
      </c>
      <c r="R8009" s="160" t="s">
        <v>272</v>
      </c>
    </row>
    <row r="8010" spans="2:18" ht="69" customHeight="1">
      <c r="B8010" s="52">
        <f t="shared" si="50"/>
        <v>5149</v>
      </c>
      <c r="C8010" s="191" t="s">
        <v>458</v>
      </c>
      <c r="D8010" s="251" t="s">
        <v>16058</v>
      </c>
      <c r="E8010" s="191" t="s">
        <v>266</v>
      </c>
      <c r="F8010" s="46" t="s">
        <v>19555</v>
      </c>
      <c r="G8010" s="46" t="s">
        <v>19556</v>
      </c>
      <c r="H8010" s="534">
        <v>44424.78</v>
      </c>
      <c r="I8010" s="56">
        <v>45366</v>
      </c>
      <c r="J8010" s="199" t="s">
        <v>19557</v>
      </c>
      <c r="K8010" s="46"/>
      <c r="O8010" s="46" t="s">
        <v>1171</v>
      </c>
      <c r="P8010" s="46" t="s">
        <v>71</v>
      </c>
      <c r="Q8010" s="46" t="s">
        <v>100</v>
      </c>
      <c r="R8010" s="46" t="s">
        <v>272</v>
      </c>
    </row>
    <row r="8011" spans="2:18" ht="69" customHeight="1">
      <c r="B8011" s="259">
        <f t="shared" si="50"/>
        <v>5150</v>
      </c>
      <c r="C8011" s="207" t="s">
        <v>458</v>
      </c>
      <c r="D8011" s="303" t="s">
        <v>19558</v>
      </c>
      <c r="E8011" s="207" t="s">
        <v>266</v>
      </c>
      <c r="F8011" s="160" t="s">
        <v>19559</v>
      </c>
      <c r="G8011" s="160" t="s">
        <v>19543</v>
      </c>
      <c r="H8011" s="300">
        <v>15.16</v>
      </c>
      <c r="I8011" s="209">
        <v>45376</v>
      </c>
      <c r="J8011" s="316" t="s">
        <v>19560</v>
      </c>
      <c r="K8011" s="160" t="s">
        <v>19499</v>
      </c>
      <c r="O8011" s="259"/>
      <c r="P8011" s="160" t="s">
        <v>67</v>
      </c>
      <c r="Q8011" s="160" t="s">
        <v>96</v>
      </c>
      <c r="R8011" s="160" t="s">
        <v>272</v>
      </c>
    </row>
    <row r="8012" spans="2:18" ht="69" customHeight="1">
      <c r="B8012" s="259">
        <f t="shared" si="50"/>
        <v>5151</v>
      </c>
      <c r="C8012" s="207" t="s">
        <v>458</v>
      </c>
      <c r="D8012" s="303" t="s">
        <v>15999</v>
      </c>
      <c r="E8012" s="207" t="s">
        <v>266</v>
      </c>
      <c r="F8012" s="160" t="s">
        <v>19561</v>
      </c>
      <c r="G8012" s="160" t="s">
        <v>19543</v>
      </c>
      <c r="H8012" s="300">
        <v>1229.72</v>
      </c>
      <c r="I8012" s="209">
        <v>45376</v>
      </c>
      <c r="J8012" s="316" t="s">
        <v>19562</v>
      </c>
      <c r="K8012" s="160" t="s">
        <v>19499</v>
      </c>
      <c r="O8012" s="259"/>
      <c r="P8012" s="160" t="s">
        <v>67</v>
      </c>
      <c r="Q8012" s="160" t="s">
        <v>96</v>
      </c>
      <c r="R8012" s="160" t="s">
        <v>272</v>
      </c>
    </row>
    <row r="8013" spans="2:18" ht="69" customHeight="1">
      <c r="B8013" s="259">
        <f t="shared" si="50"/>
        <v>5152</v>
      </c>
      <c r="C8013" s="207" t="s">
        <v>657</v>
      </c>
      <c r="D8013" s="303" t="s">
        <v>5732</v>
      </c>
      <c r="E8013" s="207" t="s">
        <v>266</v>
      </c>
      <c r="F8013" s="160" t="s">
        <v>19563</v>
      </c>
      <c r="G8013" s="160" t="s">
        <v>19543</v>
      </c>
      <c r="H8013" s="300">
        <v>29944.19</v>
      </c>
      <c r="I8013" s="209">
        <v>45376</v>
      </c>
      <c r="J8013" s="316" t="s">
        <v>19564</v>
      </c>
      <c r="K8013" s="160" t="s">
        <v>19499</v>
      </c>
      <c r="O8013" s="259"/>
      <c r="P8013" s="160" t="s">
        <v>67</v>
      </c>
      <c r="Q8013" s="160" t="s">
        <v>96</v>
      </c>
      <c r="R8013" s="160" t="s">
        <v>272</v>
      </c>
    </row>
    <row r="8014" spans="2:18" ht="69" customHeight="1">
      <c r="B8014" s="259">
        <f t="shared" si="50"/>
        <v>5153</v>
      </c>
      <c r="C8014" s="207" t="s">
        <v>657</v>
      </c>
      <c r="D8014" s="303" t="s">
        <v>5501</v>
      </c>
      <c r="E8014" s="207" t="s">
        <v>266</v>
      </c>
      <c r="F8014" s="160" t="s">
        <v>19565</v>
      </c>
      <c r="G8014" s="160" t="s">
        <v>19543</v>
      </c>
      <c r="H8014" s="300">
        <v>1383.25</v>
      </c>
      <c r="I8014" s="209">
        <v>45376</v>
      </c>
      <c r="J8014" s="316" t="s">
        <v>19566</v>
      </c>
      <c r="K8014" s="160" t="s">
        <v>19499</v>
      </c>
      <c r="O8014" s="259"/>
      <c r="P8014" s="160" t="s">
        <v>67</v>
      </c>
      <c r="Q8014" s="160" t="s">
        <v>96</v>
      </c>
      <c r="R8014" s="160" t="s">
        <v>272</v>
      </c>
    </row>
    <row r="8015" spans="2:18" ht="69" customHeight="1">
      <c r="B8015" s="259">
        <f t="shared" si="50"/>
        <v>5154</v>
      </c>
      <c r="C8015" s="207" t="s">
        <v>458</v>
      </c>
      <c r="D8015" s="303" t="s">
        <v>16104</v>
      </c>
      <c r="E8015" s="207" t="s">
        <v>266</v>
      </c>
      <c r="F8015" s="160" t="s">
        <v>19567</v>
      </c>
      <c r="G8015" s="160" t="s">
        <v>19543</v>
      </c>
      <c r="H8015" s="300">
        <v>1383.25</v>
      </c>
      <c r="I8015" s="209">
        <v>45376</v>
      </c>
      <c r="J8015" s="316" t="s">
        <v>19568</v>
      </c>
      <c r="K8015" s="160" t="s">
        <v>19499</v>
      </c>
      <c r="O8015" s="259"/>
      <c r="P8015" s="160" t="s">
        <v>67</v>
      </c>
      <c r="Q8015" s="160" t="s">
        <v>96</v>
      </c>
      <c r="R8015" s="160" t="s">
        <v>272</v>
      </c>
    </row>
    <row r="8016" spans="2:18" ht="69" customHeight="1">
      <c r="B8016" s="259">
        <f t="shared" si="50"/>
        <v>5155</v>
      </c>
      <c r="C8016" s="207" t="s">
        <v>657</v>
      </c>
      <c r="D8016" s="303" t="s">
        <v>5637</v>
      </c>
      <c r="E8016" s="207" t="s">
        <v>266</v>
      </c>
      <c r="F8016" s="160" t="s">
        <v>19569</v>
      </c>
      <c r="G8016" s="160" t="s">
        <v>19543</v>
      </c>
      <c r="H8016" s="300">
        <v>1383.25</v>
      </c>
      <c r="I8016" s="209">
        <v>45376</v>
      </c>
      <c r="J8016" s="316" t="s">
        <v>19570</v>
      </c>
      <c r="K8016" s="160" t="s">
        <v>19499</v>
      </c>
      <c r="O8016" s="259"/>
      <c r="P8016" s="160" t="s">
        <v>67</v>
      </c>
      <c r="Q8016" s="160" t="s">
        <v>96</v>
      </c>
      <c r="R8016" s="160" t="s">
        <v>272</v>
      </c>
    </row>
    <row r="8017" spans="1:18" ht="69" customHeight="1">
      <c r="B8017" s="62">
        <f t="shared" ref="B8017:B8074" si="51">B8016+1</f>
        <v>5156</v>
      </c>
      <c r="C8017" s="58" t="s">
        <v>18826</v>
      </c>
      <c r="D8017" s="545" t="s">
        <v>16110</v>
      </c>
      <c r="E8017" s="59" t="s">
        <v>266</v>
      </c>
      <c r="F8017" s="174" t="s">
        <v>19571</v>
      </c>
      <c r="G8017" s="58" t="s">
        <v>19572</v>
      </c>
      <c r="H8017" s="546">
        <v>869</v>
      </c>
      <c r="I8017" s="126">
        <v>45362</v>
      </c>
      <c r="J8017" s="73" t="s">
        <v>19573</v>
      </c>
      <c r="K8017" s="67" t="s">
        <v>5969</v>
      </c>
      <c r="O8017" s="62"/>
      <c r="P8017" s="58" t="s">
        <v>44</v>
      </c>
      <c r="Q8017" s="45" t="s">
        <v>108</v>
      </c>
      <c r="R8017" s="45" t="s">
        <v>272</v>
      </c>
    </row>
    <row r="8018" spans="1:18" ht="69" customHeight="1">
      <c r="B8018" s="259">
        <f t="shared" si="51"/>
        <v>5157</v>
      </c>
      <c r="C8018" s="207" t="s">
        <v>657</v>
      </c>
      <c r="D8018" s="303" t="s">
        <v>4087</v>
      </c>
      <c r="E8018" s="207" t="s">
        <v>266</v>
      </c>
      <c r="F8018" s="160" t="s">
        <v>19574</v>
      </c>
      <c r="G8018" s="160" t="s">
        <v>19543</v>
      </c>
      <c r="H8018" s="300">
        <v>31503.64</v>
      </c>
      <c r="I8018" s="209">
        <v>45376</v>
      </c>
      <c r="J8018" s="316" t="s">
        <v>19575</v>
      </c>
      <c r="K8018" s="160"/>
      <c r="O8018" s="259" t="s">
        <v>12529</v>
      </c>
      <c r="P8018" s="160" t="s">
        <v>67</v>
      </c>
      <c r="Q8018" s="160" t="s">
        <v>96</v>
      </c>
      <c r="R8018" s="160" t="s">
        <v>272</v>
      </c>
    </row>
    <row r="8019" spans="1:18" ht="69" customHeight="1">
      <c r="B8019" s="62">
        <f t="shared" si="51"/>
        <v>5158</v>
      </c>
      <c r="C8019" s="178" t="s">
        <v>458</v>
      </c>
      <c r="D8019" s="545" t="s">
        <v>19576</v>
      </c>
      <c r="E8019" s="58" t="s">
        <v>19441</v>
      </c>
      <c r="F8019" s="58" t="s">
        <v>19577</v>
      </c>
      <c r="G8019" s="58" t="s">
        <v>19578</v>
      </c>
      <c r="H8019" s="546">
        <v>285336</v>
      </c>
      <c r="I8019" s="126">
        <v>45376</v>
      </c>
      <c r="J8019" s="73" t="s">
        <v>19579</v>
      </c>
      <c r="K8019" s="67"/>
      <c r="O8019" s="62" t="s">
        <v>141</v>
      </c>
      <c r="P8019" s="58" t="s">
        <v>19</v>
      </c>
      <c r="Q8019" s="45" t="s">
        <v>103</v>
      </c>
      <c r="R8019" s="45" t="s">
        <v>265</v>
      </c>
    </row>
    <row r="8020" spans="1:18" s="98" customFormat="1" ht="69" customHeight="1">
      <c r="A8020" s="169"/>
      <c r="B8020" s="259">
        <f t="shared" si="51"/>
        <v>5159</v>
      </c>
      <c r="C8020" s="207" t="s">
        <v>309</v>
      </c>
      <c r="D8020" s="301" t="s">
        <v>15212</v>
      </c>
      <c r="E8020" s="207" t="s">
        <v>305</v>
      </c>
      <c r="F8020" s="208" t="s">
        <v>19580</v>
      </c>
      <c r="G8020" s="160" t="s">
        <v>13201</v>
      </c>
      <c r="H8020" s="300">
        <v>22161.16</v>
      </c>
      <c r="I8020" s="209">
        <v>45376</v>
      </c>
      <c r="J8020" s="316" t="s">
        <v>19581</v>
      </c>
      <c r="K8020" s="160"/>
      <c r="M8020" s="385"/>
      <c r="N8020" s="75"/>
      <c r="O8020" s="160" t="s">
        <v>15366</v>
      </c>
      <c r="P8020" s="160" t="s">
        <v>67</v>
      </c>
      <c r="Q8020" s="160" t="s">
        <v>15</v>
      </c>
      <c r="R8020" s="160" t="s">
        <v>272</v>
      </c>
    </row>
    <row r="8021" spans="1:18" ht="69" customHeight="1">
      <c r="B8021" s="62">
        <f t="shared" si="51"/>
        <v>5160</v>
      </c>
      <c r="C8021" s="59" t="s">
        <v>3667</v>
      </c>
      <c r="D8021" s="545" t="s">
        <v>19582</v>
      </c>
      <c r="E8021" s="58" t="s">
        <v>15501</v>
      </c>
      <c r="F8021" s="58" t="s">
        <v>19583</v>
      </c>
      <c r="G8021" s="58" t="s">
        <v>19584</v>
      </c>
      <c r="H8021" s="546">
        <v>49540.22</v>
      </c>
      <c r="I8021" s="126">
        <v>45376</v>
      </c>
      <c r="J8021" s="73" t="s">
        <v>19585</v>
      </c>
      <c r="K8021" s="67"/>
      <c r="O8021" s="62" t="s">
        <v>147</v>
      </c>
      <c r="P8021" s="58" t="s">
        <v>22</v>
      </c>
      <c r="Q8021" s="45" t="s">
        <v>78</v>
      </c>
      <c r="R8021" s="45" t="s">
        <v>265</v>
      </c>
    </row>
    <row r="8022" spans="1:18" ht="69" customHeight="1">
      <c r="B8022" s="62">
        <f t="shared" si="51"/>
        <v>5161</v>
      </c>
      <c r="C8022" s="59" t="s">
        <v>3667</v>
      </c>
      <c r="D8022" s="545" t="s">
        <v>19586</v>
      </c>
      <c r="E8022" s="58" t="s">
        <v>15501</v>
      </c>
      <c r="F8022" s="58" t="s">
        <v>19587</v>
      </c>
      <c r="G8022" s="58" t="s">
        <v>19588</v>
      </c>
      <c r="H8022" s="546">
        <v>35000</v>
      </c>
      <c r="I8022" s="126">
        <v>45376</v>
      </c>
      <c r="J8022" s="73" t="s">
        <v>19589</v>
      </c>
      <c r="K8022" s="67"/>
      <c r="O8022" s="62" t="s">
        <v>147</v>
      </c>
      <c r="P8022" s="58" t="s">
        <v>22</v>
      </c>
      <c r="Q8022" s="45" t="s">
        <v>78</v>
      </c>
      <c r="R8022" s="45" t="s">
        <v>265</v>
      </c>
    </row>
    <row r="8023" spans="1:18" ht="69" customHeight="1">
      <c r="B8023" s="259">
        <f t="shared" si="51"/>
        <v>5162</v>
      </c>
      <c r="C8023" s="207" t="s">
        <v>3667</v>
      </c>
      <c r="D8023" s="303" t="s">
        <v>19590</v>
      </c>
      <c r="E8023" s="207" t="s">
        <v>266</v>
      </c>
      <c r="F8023" s="208" t="s">
        <v>19591</v>
      </c>
      <c r="G8023" s="160" t="s">
        <v>19592</v>
      </c>
      <c r="H8023" s="300">
        <v>8624</v>
      </c>
      <c r="I8023" s="209">
        <v>45376</v>
      </c>
      <c r="J8023" s="316" t="s">
        <v>19593</v>
      </c>
      <c r="K8023" s="160" t="s">
        <v>67</v>
      </c>
      <c r="M8023" s="70"/>
      <c r="N8023" s="97"/>
      <c r="O8023" s="160" t="s">
        <v>10810</v>
      </c>
      <c r="P8023" s="160" t="s">
        <v>67</v>
      </c>
      <c r="Q8023" s="160" t="s">
        <v>49</v>
      </c>
      <c r="R8023" s="160" t="s">
        <v>272</v>
      </c>
    </row>
    <row r="8024" spans="1:18" ht="69" customHeight="1">
      <c r="B8024" s="259">
        <f t="shared" si="51"/>
        <v>5163</v>
      </c>
      <c r="C8024" s="207" t="s">
        <v>309</v>
      </c>
      <c r="D8024" s="303" t="s">
        <v>19594</v>
      </c>
      <c r="E8024" s="207" t="s">
        <v>266</v>
      </c>
      <c r="F8024" s="208" t="s">
        <v>19595</v>
      </c>
      <c r="G8024" s="160" t="s">
        <v>19592</v>
      </c>
      <c r="H8024" s="300">
        <v>6737.5</v>
      </c>
      <c r="I8024" s="209">
        <v>45376</v>
      </c>
      <c r="J8024" s="316" t="s">
        <v>19593</v>
      </c>
      <c r="K8024" s="160" t="s">
        <v>67</v>
      </c>
      <c r="M8024" s="70"/>
      <c r="N8024" s="97"/>
      <c r="O8024" s="160" t="s">
        <v>10810</v>
      </c>
      <c r="P8024" s="160" t="s">
        <v>67</v>
      </c>
      <c r="Q8024" s="160" t="s">
        <v>15</v>
      </c>
      <c r="R8024" s="160" t="s">
        <v>272</v>
      </c>
    </row>
    <row r="8025" spans="1:18" ht="69" customHeight="1">
      <c r="B8025" s="259">
        <f t="shared" si="51"/>
        <v>5164</v>
      </c>
      <c r="C8025" s="160" t="s">
        <v>458</v>
      </c>
      <c r="D8025" s="303" t="s">
        <v>16138</v>
      </c>
      <c r="E8025" s="207" t="s">
        <v>266</v>
      </c>
      <c r="F8025" s="208" t="s">
        <v>19596</v>
      </c>
      <c r="G8025" s="160" t="s">
        <v>19592</v>
      </c>
      <c r="H8025" s="300">
        <v>6737.5</v>
      </c>
      <c r="I8025" s="209">
        <v>45376</v>
      </c>
      <c r="J8025" s="316" t="s">
        <v>19593</v>
      </c>
      <c r="K8025" s="160" t="s">
        <v>67</v>
      </c>
      <c r="M8025" s="70"/>
      <c r="N8025" s="97"/>
      <c r="O8025" s="160" t="s">
        <v>10810</v>
      </c>
      <c r="P8025" s="160" t="s">
        <v>67</v>
      </c>
      <c r="Q8025" s="160" t="s">
        <v>90</v>
      </c>
      <c r="R8025" s="160" t="s">
        <v>272</v>
      </c>
    </row>
    <row r="8026" spans="1:18" ht="69" customHeight="1">
      <c r="B8026" s="259">
        <f t="shared" si="51"/>
        <v>5165</v>
      </c>
      <c r="C8026" s="207" t="s">
        <v>657</v>
      </c>
      <c r="D8026" s="303" t="s">
        <v>4523</v>
      </c>
      <c r="E8026" s="207" t="s">
        <v>266</v>
      </c>
      <c r="F8026" s="208" t="s">
        <v>19597</v>
      </c>
      <c r="G8026" s="160" t="s">
        <v>19592</v>
      </c>
      <c r="H8026" s="300">
        <v>4851</v>
      </c>
      <c r="I8026" s="209">
        <v>45376</v>
      </c>
      <c r="J8026" s="316" t="s">
        <v>19593</v>
      </c>
      <c r="K8026" s="160" t="s">
        <v>67</v>
      </c>
      <c r="M8026" s="70"/>
      <c r="N8026" s="97"/>
      <c r="O8026" s="160" t="s">
        <v>10810</v>
      </c>
      <c r="P8026" s="160" t="s">
        <v>67</v>
      </c>
      <c r="Q8026" s="160" t="s">
        <v>99</v>
      </c>
      <c r="R8026" s="160" t="s">
        <v>272</v>
      </c>
    </row>
    <row r="8027" spans="1:18" ht="69" customHeight="1">
      <c r="B8027" s="62">
        <f t="shared" si="51"/>
        <v>5166</v>
      </c>
      <c r="C8027" s="128" t="s">
        <v>581</v>
      </c>
      <c r="D8027" s="545" t="s">
        <v>15237</v>
      </c>
      <c r="E8027" s="58" t="s">
        <v>19598</v>
      </c>
      <c r="F8027" s="58" t="s">
        <v>19599</v>
      </c>
      <c r="G8027" s="58" t="s">
        <v>19600</v>
      </c>
      <c r="H8027" s="546">
        <v>400000</v>
      </c>
      <c r="I8027" s="126">
        <v>45376</v>
      </c>
      <c r="J8027" s="73" t="s">
        <v>19601</v>
      </c>
      <c r="K8027" s="67"/>
      <c r="O8027" s="62" t="s">
        <v>156</v>
      </c>
      <c r="P8027" s="58" t="s">
        <v>73</v>
      </c>
      <c r="Q8027" s="45" t="s">
        <v>18</v>
      </c>
      <c r="R8027" s="45" t="s">
        <v>272</v>
      </c>
    </row>
    <row r="8028" spans="1:18" s="98" customFormat="1" ht="69" customHeight="1">
      <c r="A8028" s="169"/>
      <c r="B8028" s="48">
        <f t="shared" si="51"/>
        <v>5167</v>
      </c>
      <c r="C8028" s="128" t="s">
        <v>13435</v>
      </c>
      <c r="D8028" s="84" t="s">
        <v>19602</v>
      </c>
      <c r="E8028" s="45" t="s">
        <v>19598</v>
      </c>
      <c r="F8028" s="45" t="s">
        <v>19603</v>
      </c>
      <c r="G8028" s="45" t="s">
        <v>19600</v>
      </c>
      <c r="H8028" s="546">
        <v>400000</v>
      </c>
      <c r="I8028" s="47">
        <v>45376</v>
      </c>
      <c r="J8028" s="73" t="s">
        <v>19601</v>
      </c>
      <c r="K8028" s="45"/>
      <c r="O8028" s="48" t="s">
        <v>156</v>
      </c>
      <c r="P8028" s="58" t="s">
        <v>73</v>
      </c>
      <c r="Q8028" s="45" t="s">
        <v>13</v>
      </c>
      <c r="R8028" s="45" t="s">
        <v>272</v>
      </c>
    </row>
    <row r="8029" spans="1:18" s="98" customFormat="1" ht="69" customHeight="1">
      <c r="A8029" s="169"/>
      <c r="B8029" s="52">
        <f t="shared" si="51"/>
        <v>5168</v>
      </c>
      <c r="C8029" s="270" t="s">
        <v>581</v>
      </c>
      <c r="D8029" s="251" t="s">
        <v>15537</v>
      </c>
      <c r="E8029" s="191" t="s">
        <v>266</v>
      </c>
      <c r="F8029" s="46" t="s">
        <v>19604</v>
      </c>
      <c r="G8029" s="46" t="s">
        <v>19605</v>
      </c>
      <c r="H8029" s="534">
        <v>16000</v>
      </c>
      <c r="I8029" s="56">
        <v>45376</v>
      </c>
      <c r="J8029" s="199" t="s">
        <v>19606</v>
      </c>
      <c r="K8029" s="46"/>
      <c r="O8029" s="52"/>
      <c r="P8029" s="46" t="s">
        <v>65</v>
      </c>
      <c r="Q8029" s="46" t="s">
        <v>18</v>
      </c>
      <c r="R8029" s="46" t="s">
        <v>272</v>
      </c>
    </row>
    <row r="8030" spans="1:18" s="98" customFormat="1" ht="69" customHeight="1">
      <c r="A8030" s="169"/>
      <c r="B8030" s="52">
        <f t="shared" si="51"/>
        <v>5169</v>
      </c>
      <c r="C8030" s="270" t="s">
        <v>13435</v>
      </c>
      <c r="D8030" s="251" t="s">
        <v>15271</v>
      </c>
      <c r="E8030" s="191" t="s">
        <v>266</v>
      </c>
      <c r="F8030" s="46" t="s">
        <v>19607</v>
      </c>
      <c r="G8030" s="46" t="s">
        <v>19608</v>
      </c>
      <c r="H8030" s="534">
        <v>53080</v>
      </c>
      <c r="I8030" s="56">
        <v>45376</v>
      </c>
      <c r="J8030" s="199" t="s">
        <v>19609</v>
      </c>
      <c r="K8030" s="46"/>
      <c r="O8030" s="52" t="s">
        <v>19610</v>
      </c>
      <c r="P8030" s="46" t="s">
        <v>65</v>
      </c>
      <c r="Q8030" s="46" t="s">
        <v>13</v>
      </c>
      <c r="R8030" s="46" t="s">
        <v>272</v>
      </c>
    </row>
    <row r="8031" spans="1:18" ht="69" customHeight="1">
      <c r="B8031" s="62">
        <f t="shared" si="51"/>
        <v>5170</v>
      </c>
      <c r="C8031" s="45" t="s">
        <v>11618</v>
      </c>
      <c r="D8031" s="84" t="s">
        <v>16461</v>
      </c>
      <c r="E8031" s="45" t="s">
        <v>16077</v>
      </c>
      <c r="F8031" s="45" t="s">
        <v>19611</v>
      </c>
      <c r="G8031" s="45" t="s">
        <v>19612</v>
      </c>
      <c r="H8031" s="546">
        <v>72495.64</v>
      </c>
      <c r="I8031" s="47">
        <v>45376</v>
      </c>
      <c r="J8031" s="73" t="s">
        <v>19613</v>
      </c>
      <c r="K8031" s="45"/>
      <c r="O8031" s="62" t="s">
        <v>8228</v>
      </c>
      <c r="P8031" s="45" t="s">
        <v>59</v>
      </c>
      <c r="Q8031" s="45" t="s">
        <v>122</v>
      </c>
      <c r="R8031" s="45" t="s">
        <v>272</v>
      </c>
    </row>
    <row r="8032" spans="1:18" ht="69" customHeight="1">
      <c r="B8032" s="62">
        <f t="shared" si="51"/>
        <v>5171</v>
      </c>
      <c r="C8032" s="45" t="s">
        <v>11618</v>
      </c>
      <c r="D8032" s="84" t="s">
        <v>16465</v>
      </c>
      <c r="E8032" s="45" t="s">
        <v>16077</v>
      </c>
      <c r="F8032" s="45" t="s">
        <v>19614</v>
      </c>
      <c r="G8032" s="45" t="s">
        <v>19612</v>
      </c>
      <c r="H8032" s="546">
        <v>289982.57</v>
      </c>
      <c r="I8032" s="47">
        <v>45376</v>
      </c>
      <c r="J8032" s="73" t="s">
        <v>19613</v>
      </c>
      <c r="K8032" s="45"/>
      <c r="O8032" s="62" t="s">
        <v>8228</v>
      </c>
      <c r="P8032" s="45" t="s">
        <v>59</v>
      </c>
      <c r="Q8032" s="45" t="s">
        <v>122</v>
      </c>
      <c r="R8032" s="45" t="s">
        <v>272</v>
      </c>
    </row>
    <row r="8033" spans="2:18" ht="69" customHeight="1">
      <c r="B8033" s="259">
        <f t="shared" si="51"/>
        <v>5172</v>
      </c>
      <c r="C8033" s="160" t="s">
        <v>16368</v>
      </c>
      <c r="D8033" s="303" t="s">
        <v>2464</v>
      </c>
      <c r="E8033" s="207" t="s">
        <v>266</v>
      </c>
      <c r="F8033" s="160" t="s">
        <v>19615</v>
      </c>
      <c r="G8033" s="160" t="s">
        <v>19616</v>
      </c>
      <c r="H8033" s="300">
        <v>5001.08</v>
      </c>
      <c r="I8033" s="209">
        <v>45376</v>
      </c>
      <c r="J8033" s="316" t="s">
        <v>19617</v>
      </c>
      <c r="K8033" s="160" t="s">
        <v>11084</v>
      </c>
      <c r="O8033" s="259" t="s">
        <v>18157</v>
      </c>
      <c r="P8033" s="160" t="s">
        <v>67</v>
      </c>
      <c r="Q8033" s="160" t="s">
        <v>96</v>
      </c>
      <c r="R8033" s="160" t="s">
        <v>272</v>
      </c>
    </row>
    <row r="8034" spans="2:18" ht="69" customHeight="1">
      <c r="B8034" s="259">
        <f t="shared" si="51"/>
        <v>5173</v>
      </c>
      <c r="C8034" s="160" t="s">
        <v>16368</v>
      </c>
      <c r="D8034" s="303" t="s">
        <v>2467</v>
      </c>
      <c r="E8034" s="207" t="s">
        <v>266</v>
      </c>
      <c r="F8034" s="160" t="s">
        <v>19618</v>
      </c>
      <c r="G8034" s="160" t="s">
        <v>19616</v>
      </c>
      <c r="H8034" s="300">
        <v>2501.08</v>
      </c>
      <c r="I8034" s="209">
        <v>45376</v>
      </c>
      <c r="J8034" s="316" t="s">
        <v>19617</v>
      </c>
      <c r="K8034" s="160" t="s">
        <v>11084</v>
      </c>
      <c r="O8034" s="259" t="s">
        <v>18157</v>
      </c>
      <c r="P8034" s="160" t="s">
        <v>67</v>
      </c>
      <c r="Q8034" s="160" t="s">
        <v>96</v>
      </c>
      <c r="R8034" s="160" t="s">
        <v>272</v>
      </c>
    </row>
    <row r="8035" spans="2:18" ht="69" customHeight="1">
      <c r="B8035" s="259">
        <f t="shared" si="51"/>
        <v>5174</v>
      </c>
      <c r="C8035" s="160" t="s">
        <v>16368</v>
      </c>
      <c r="D8035" s="303" t="s">
        <v>2470</v>
      </c>
      <c r="E8035" s="207" t="s">
        <v>266</v>
      </c>
      <c r="F8035" s="160" t="s">
        <v>19619</v>
      </c>
      <c r="G8035" s="160" t="s">
        <v>19616</v>
      </c>
      <c r="H8035" s="300">
        <v>2500</v>
      </c>
      <c r="I8035" s="209">
        <v>45376</v>
      </c>
      <c r="J8035" s="316" t="s">
        <v>19617</v>
      </c>
      <c r="K8035" s="160" t="s">
        <v>11084</v>
      </c>
      <c r="O8035" s="259" t="s">
        <v>18157</v>
      </c>
      <c r="P8035" s="160" t="s">
        <v>67</v>
      </c>
      <c r="Q8035" s="160" t="s">
        <v>96</v>
      </c>
      <c r="R8035" s="160" t="s">
        <v>272</v>
      </c>
    </row>
    <row r="8036" spans="2:18" ht="69" customHeight="1">
      <c r="B8036" s="259">
        <f t="shared" si="51"/>
        <v>5175</v>
      </c>
      <c r="C8036" s="160" t="s">
        <v>16368</v>
      </c>
      <c r="D8036" s="303" t="s">
        <v>2710</v>
      </c>
      <c r="E8036" s="207" t="s">
        <v>266</v>
      </c>
      <c r="F8036" s="160" t="s">
        <v>19620</v>
      </c>
      <c r="G8036" s="160" t="s">
        <v>19616</v>
      </c>
      <c r="H8036" s="300">
        <v>2501.08</v>
      </c>
      <c r="I8036" s="209">
        <v>45376</v>
      </c>
      <c r="J8036" s="316" t="s">
        <v>19617</v>
      </c>
      <c r="K8036" s="160" t="s">
        <v>11084</v>
      </c>
      <c r="O8036" s="259" t="s">
        <v>18157</v>
      </c>
      <c r="P8036" s="160" t="s">
        <v>67</v>
      </c>
      <c r="Q8036" s="160" t="s">
        <v>96</v>
      </c>
      <c r="R8036" s="160" t="s">
        <v>272</v>
      </c>
    </row>
    <row r="8037" spans="2:18" ht="69" customHeight="1">
      <c r="B8037" s="259">
        <f t="shared" si="51"/>
        <v>5176</v>
      </c>
      <c r="C8037" s="160" t="s">
        <v>16368</v>
      </c>
      <c r="D8037" s="303" t="s">
        <v>2713</v>
      </c>
      <c r="E8037" s="207" t="s">
        <v>266</v>
      </c>
      <c r="F8037" s="160" t="s">
        <v>19621</v>
      </c>
      <c r="G8037" s="160" t="s">
        <v>19616</v>
      </c>
      <c r="H8037" s="300">
        <v>4239.5</v>
      </c>
      <c r="I8037" s="209">
        <v>45376</v>
      </c>
      <c r="J8037" s="316" t="s">
        <v>19617</v>
      </c>
      <c r="K8037" s="160" t="s">
        <v>11084</v>
      </c>
      <c r="O8037" s="259" t="s">
        <v>18157</v>
      </c>
      <c r="P8037" s="160" t="s">
        <v>67</v>
      </c>
      <c r="Q8037" s="160" t="s">
        <v>96</v>
      </c>
      <c r="R8037" s="160" t="s">
        <v>272</v>
      </c>
    </row>
    <row r="8038" spans="2:18" ht="69" customHeight="1">
      <c r="B8038" s="259">
        <f t="shared" si="51"/>
        <v>5177</v>
      </c>
      <c r="C8038" s="160" t="s">
        <v>16368</v>
      </c>
      <c r="D8038" s="303" t="s">
        <v>2716</v>
      </c>
      <c r="E8038" s="207" t="s">
        <v>266</v>
      </c>
      <c r="F8038" s="160" t="s">
        <v>19622</v>
      </c>
      <c r="G8038" s="160" t="s">
        <v>19616</v>
      </c>
      <c r="H8038" s="300">
        <v>4239.5</v>
      </c>
      <c r="I8038" s="209">
        <v>45376</v>
      </c>
      <c r="J8038" s="316" t="s">
        <v>19617</v>
      </c>
      <c r="K8038" s="160" t="s">
        <v>11084</v>
      </c>
      <c r="O8038" s="259" t="s">
        <v>18157</v>
      </c>
      <c r="P8038" s="160" t="s">
        <v>67</v>
      </c>
      <c r="Q8038" s="160" t="s">
        <v>96</v>
      </c>
      <c r="R8038" s="160" t="s">
        <v>272</v>
      </c>
    </row>
    <row r="8039" spans="2:18" ht="69" customHeight="1">
      <c r="B8039" s="259">
        <f t="shared" si="51"/>
        <v>5178</v>
      </c>
      <c r="C8039" s="160" t="s">
        <v>16368</v>
      </c>
      <c r="D8039" s="303" t="s">
        <v>3341</v>
      </c>
      <c r="E8039" s="207" t="s">
        <v>266</v>
      </c>
      <c r="F8039" s="160" t="s">
        <v>19623</v>
      </c>
      <c r="G8039" s="160" t="s">
        <v>19616</v>
      </c>
      <c r="H8039" s="300">
        <v>4239.5</v>
      </c>
      <c r="I8039" s="209">
        <v>45376</v>
      </c>
      <c r="J8039" s="316" t="s">
        <v>19617</v>
      </c>
      <c r="K8039" s="160" t="s">
        <v>11084</v>
      </c>
      <c r="O8039" s="259" t="s">
        <v>18157</v>
      </c>
      <c r="P8039" s="160" t="s">
        <v>67</v>
      </c>
      <c r="Q8039" s="160" t="s">
        <v>96</v>
      </c>
      <c r="R8039" s="160" t="s">
        <v>272</v>
      </c>
    </row>
    <row r="8040" spans="2:18" ht="69" customHeight="1">
      <c r="B8040" s="62">
        <f t="shared" si="51"/>
        <v>5179</v>
      </c>
      <c r="C8040" s="59" t="s">
        <v>13562</v>
      </c>
      <c r="D8040" s="545" t="s">
        <v>16203</v>
      </c>
      <c r="E8040" s="58" t="s">
        <v>19598</v>
      </c>
      <c r="F8040" s="58" t="s">
        <v>19624</v>
      </c>
      <c r="G8040" s="58" t="s">
        <v>19600</v>
      </c>
      <c r="H8040" s="546">
        <v>250000</v>
      </c>
      <c r="I8040" s="47">
        <v>45376</v>
      </c>
      <c r="J8040" s="73" t="s">
        <v>19625</v>
      </c>
      <c r="K8040" s="67"/>
      <c r="O8040" s="48" t="s">
        <v>156</v>
      </c>
      <c r="P8040" s="58" t="s">
        <v>73</v>
      </c>
      <c r="Q8040" s="45" t="s">
        <v>88</v>
      </c>
      <c r="R8040" s="45" t="s">
        <v>272</v>
      </c>
    </row>
    <row r="8041" spans="2:18" ht="69" customHeight="1">
      <c r="B8041" s="62">
        <f t="shared" si="51"/>
        <v>5180</v>
      </c>
      <c r="C8041" s="59" t="s">
        <v>9094</v>
      </c>
      <c r="D8041" s="545" t="s">
        <v>16213</v>
      </c>
      <c r="E8041" s="58" t="s">
        <v>19598</v>
      </c>
      <c r="F8041" s="58" t="s">
        <v>19626</v>
      </c>
      <c r="G8041" s="58" t="s">
        <v>19627</v>
      </c>
      <c r="H8041" s="546">
        <v>258144</v>
      </c>
      <c r="I8041" s="47">
        <v>45376</v>
      </c>
      <c r="J8041" s="73" t="s">
        <v>19625</v>
      </c>
      <c r="K8041" s="67"/>
      <c r="O8041" s="48" t="s">
        <v>156</v>
      </c>
      <c r="P8041" s="45" t="s">
        <v>73</v>
      </c>
      <c r="Q8041" s="45" t="s">
        <v>112</v>
      </c>
      <c r="R8041" s="45" t="s">
        <v>272</v>
      </c>
    </row>
    <row r="8042" spans="2:18" ht="69" customHeight="1">
      <c r="B8042" s="62">
        <f t="shared" si="51"/>
        <v>5181</v>
      </c>
      <c r="C8042" s="58" t="s">
        <v>19628</v>
      </c>
      <c r="D8042" s="545" t="s">
        <v>15276</v>
      </c>
      <c r="E8042" s="58" t="s">
        <v>17521</v>
      </c>
      <c r="F8042" s="58" t="s">
        <v>19629</v>
      </c>
      <c r="G8042" s="58" t="s">
        <v>19630</v>
      </c>
      <c r="H8042" s="546">
        <v>80598</v>
      </c>
      <c r="I8042" s="47">
        <v>45376</v>
      </c>
      <c r="J8042" s="73" t="s">
        <v>19631</v>
      </c>
      <c r="K8042" s="67"/>
      <c r="O8042" s="62" t="s">
        <v>441</v>
      </c>
      <c r="P8042" s="58" t="s">
        <v>22</v>
      </c>
      <c r="Q8042" s="45" t="s">
        <v>18</v>
      </c>
      <c r="R8042" s="45" t="s">
        <v>265</v>
      </c>
    </row>
    <row r="8043" spans="2:18" ht="69" customHeight="1">
      <c r="B8043" s="62">
        <f t="shared" si="51"/>
        <v>5182</v>
      </c>
      <c r="C8043" s="178" t="s">
        <v>458</v>
      </c>
      <c r="D8043" s="545" t="s">
        <v>16328</v>
      </c>
      <c r="E8043" s="45" t="s">
        <v>10495</v>
      </c>
      <c r="F8043" s="58" t="s">
        <v>19632</v>
      </c>
      <c r="G8043" s="45" t="s">
        <v>19633</v>
      </c>
      <c r="H8043" s="546">
        <v>172300.54</v>
      </c>
      <c r="I8043" s="47">
        <v>45366</v>
      </c>
      <c r="J8043" s="73" t="s">
        <v>19634</v>
      </c>
      <c r="K8043" s="67"/>
      <c r="O8043" s="62" t="s">
        <v>147</v>
      </c>
      <c r="P8043" s="58" t="s">
        <v>22</v>
      </c>
      <c r="Q8043" s="45" t="s">
        <v>122</v>
      </c>
      <c r="R8043" s="45" t="s">
        <v>272</v>
      </c>
    </row>
    <row r="8044" spans="2:18" ht="69" customHeight="1">
      <c r="B8044" s="62">
        <f t="shared" si="51"/>
        <v>5183</v>
      </c>
      <c r="C8044" s="178" t="s">
        <v>458</v>
      </c>
      <c r="D8044" s="545" t="s">
        <v>19635</v>
      </c>
      <c r="E8044" s="45" t="s">
        <v>10495</v>
      </c>
      <c r="F8044" s="58" t="s">
        <v>19636</v>
      </c>
      <c r="G8044" s="45" t="s">
        <v>19637</v>
      </c>
      <c r="H8044" s="546">
        <v>92777.21</v>
      </c>
      <c r="I8044" s="47">
        <v>45366</v>
      </c>
      <c r="J8044" s="73" t="s">
        <v>19634</v>
      </c>
      <c r="K8044" s="67"/>
      <c r="O8044" s="62" t="s">
        <v>147</v>
      </c>
      <c r="P8044" s="58" t="s">
        <v>22</v>
      </c>
      <c r="Q8044" s="45" t="s">
        <v>122</v>
      </c>
      <c r="R8044" s="45" t="s">
        <v>272</v>
      </c>
    </row>
    <row r="8045" spans="2:18" ht="69" customHeight="1">
      <c r="B8045" s="62">
        <f t="shared" si="51"/>
        <v>5184</v>
      </c>
      <c r="C8045" s="58" t="s">
        <v>458</v>
      </c>
      <c r="D8045" s="545" t="s">
        <v>16383</v>
      </c>
      <c r="E8045" s="58" t="s">
        <v>18564</v>
      </c>
      <c r="F8045" s="58" t="s">
        <v>19638</v>
      </c>
      <c r="G8045" s="45" t="s">
        <v>19639</v>
      </c>
      <c r="H8045" s="546">
        <v>111939.05</v>
      </c>
      <c r="I8045" s="47">
        <v>45366</v>
      </c>
      <c r="J8045" s="73" t="s">
        <v>19640</v>
      </c>
      <c r="K8045" s="67"/>
      <c r="O8045" s="62" t="s">
        <v>147</v>
      </c>
      <c r="P8045" s="58" t="s">
        <v>22</v>
      </c>
      <c r="Q8045" s="45" t="s">
        <v>88</v>
      </c>
      <c r="R8045" s="45" t="s">
        <v>272</v>
      </c>
    </row>
    <row r="8046" spans="2:18" ht="69" customHeight="1">
      <c r="B8046" s="62">
        <f t="shared" si="51"/>
        <v>5185</v>
      </c>
      <c r="C8046" s="58" t="s">
        <v>458</v>
      </c>
      <c r="D8046" s="545" t="s">
        <v>16395</v>
      </c>
      <c r="E8046" s="58" t="s">
        <v>18564</v>
      </c>
      <c r="F8046" s="58" t="s">
        <v>19641</v>
      </c>
      <c r="G8046" s="45" t="s">
        <v>19642</v>
      </c>
      <c r="H8046" s="546">
        <v>60274.87</v>
      </c>
      <c r="I8046" s="47">
        <v>45366</v>
      </c>
      <c r="J8046" s="73" t="s">
        <v>19640</v>
      </c>
      <c r="K8046" s="67"/>
      <c r="O8046" s="62" t="s">
        <v>147</v>
      </c>
      <c r="P8046" s="58" t="s">
        <v>22</v>
      </c>
      <c r="Q8046" s="45" t="s">
        <v>88</v>
      </c>
      <c r="R8046" s="45" t="s">
        <v>272</v>
      </c>
    </row>
    <row r="8047" spans="2:18" ht="69" customHeight="1">
      <c r="B8047" s="62">
        <f t="shared" si="51"/>
        <v>5186</v>
      </c>
      <c r="C8047" s="58" t="s">
        <v>458</v>
      </c>
      <c r="D8047" s="545" t="s">
        <v>16456</v>
      </c>
      <c r="E8047" s="178" t="s">
        <v>10553</v>
      </c>
      <c r="F8047" s="58" t="s">
        <v>19643</v>
      </c>
      <c r="G8047" s="45" t="s">
        <v>19633</v>
      </c>
      <c r="H8047" s="546">
        <v>172300.54</v>
      </c>
      <c r="I8047" s="47">
        <v>45366</v>
      </c>
      <c r="J8047" s="73" t="s">
        <v>19644</v>
      </c>
      <c r="K8047" s="67"/>
      <c r="O8047" s="62" t="s">
        <v>147</v>
      </c>
      <c r="P8047" s="58" t="s">
        <v>22</v>
      </c>
      <c r="Q8047" s="45" t="s">
        <v>123</v>
      </c>
      <c r="R8047" s="45" t="s">
        <v>272</v>
      </c>
    </row>
    <row r="8048" spans="2:18" ht="69" customHeight="1">
      <c r="B8048" s="62">
        <f t="shared" si="51"/>
        <v>5187</v>
      </c>
      <c r="C8048" s="58" t="s">
        <v>458</v>
      </c>
      <c r="D8048" s="545" t="s">
        <v>19645</v>
      </c>
      <c r="E8048" s="178" t="s">
        <v>10553</v>
      </c>
      <c r="F8048" s="58" t="s">
        <v>19646</v>
      </c>
      <c r="G8048" s="45" t="s">
        <v>19637</v>
      </c>
      <c r="H8048" s="546">
        <v>92777.21</v>
      </c>
      <c r="I8048" s="47">
        <v>45366</v>
      </c>
      <c r="J8048" s="73" t="s">
        <v>19644</v>
      </c>
      <c r="K8048" s="67"/>
      <c r="O8048" s="62" t="s">
        <v>147</v>
      </c>
      <c r="P8048" s="58" t="s">
        <v>22</v>
      </c>
      <c r="Q8048" s="45" t="s">
        <v>123</v>
      </c>
      <c r="R8048" s="45" t="s">
        <v>272</v>
      </c>
    </row>
    <row r="8049" spans="2:18" ht="69" customHeight="1">
      <c r="B8049" s="62">
        <f t="shared" si="51"/>
        <v>5188</v>
      </c>
      <c r="C8049" s="128" t="s">
        <v>13562</v>
      </c>
      <c r="D8049" s="545" t="s">
        <v>16481</v>
      </c>
      <c r="E8049" s="58" t="s">
        <v>19647</v>
      </c>
      <c r="F8049" s="58" t="s">
        <v>19648</v>
      </c>
      <c r="G8049" s="58" t="s">
        <v>19649</v>
      </c>
      <c r="H8049" s="546">
        <v>231451.51</v>
      </c>
      <c r="I8049" s="47">
        <v>45376</v>
      </c>
      <c r="J8049" s="73" t="s">
        <v>19650</v>
      </c>
      <c r="K8049" s="67"/>
      <c r="O8049" s="62" t="s">
        <v>156</v>
      </c>
      <c r="P8049" s="58" t="s">
        <v>26</v>
      </c>
      <c r="Q8049" s="45" t="s">
        <v>88</v>
      </c>
      <c r="R8049" s="45" t="s">
        <v>272</v>
      </c>
    </row>
    <row r="8050" spans="2:18" ht="69" customHeight="1">
      <c r="B8050" s="62">
        <f t="shared" si="51"/>
        <v>5189</v>
      </c>
      <c r="C8050" s="58" t="s">
        <v>19651</v>
      </c>
      <c r="D8050" s="545" t="s">
        <v>13508</v>
      </c>
      <c r="E8050" s="58" t="s">
        <v>10845</v>
      </c>
      <c r="F8050" s="58" t="s">
        <v>19652</v>
      </c>
      <c r="G8050" s="58" t="s">
        <v>19649</v>
      </c>
      <c r="H8050" s="546">
        <v>129259.36</v>
      </c>
      <c r="I8050" s="47">
        <v>45376</v>
      </c>
      <c r="J8050" s="73" t="s">
        <v>19650</v>
      </c>
      <c r="K8050" s="67"/>
      <c r="O8050" s="62" t="s">
        <v>156</v>
      </c>
      <c r="P8050" s="58" t="s">
        <v>26</v>
      </c>
      <c r="Q8050" s="45" t="s">
        <v>110</v>
      </c>
      <c r="R8050" s="45" t="s">
        <v>272</v>
      </c>
    </row>
    <row r="8051" spans="2:18" ht="69" customHeight="1">
      <c r="B8051" s="62">
        <f t="shared" si="51"/>
        <v>5190</v>
      </c>
      <c r="C8051" s="178" t="s">
        <v>15700</v>
      </c>
      <c r="D8051" s="174" t="s">
        <v>15287</v>
      </c>
      <c r="E8051" s="178" t="s">
        <v>266</v>
      </c>
      <c r="F8051" s="58" t="s">
        <v>19653</v>
      </c>
      <c r="G8051" s="58" t="s">
        <v>19654</v>
      </c>
      <c r="H8051" s="552">
        <v>12000</v>
      </c>
      <c r="I8051" s="47">
        <v>45376</v>
      </c>
      <c r="J8051" s="65" t="s">
        <v>19655</v>
      </c>
      <c r="K8051" s="58" t="s">
        <v>19656</v>
      </c>
      <c r="M8051" s="70"/>
      <c r="N8051" s="97"/>
      <c r="O8051" s="62" t="s">
        <v>6918</v>
      </c>
      <c r="P8051" s="58" t="s">
        <v>44</v>
      </c>
      <c r="Q8051" s="58" t="s">
        <v>39</v>
      </c>
      <c r="R8051" s="58" t="s">
        <v>272</v>
      </c>
    </row>
    <row r="8052" spans="2:18" ht="69" customHeight="1">
      <c r="B8052" s="62">
        <f t="shared" si="51"/>
        <v>5191</v>
      </c>
      <c r="C8052" s="178" t="s">
        <v>15449</v>
      </c>
      <c r="D8052" s="174" t="s">
        <v>15289</v>
      </c>
      <c r="E8052" s="178" t="s">
        <v>266</v>
      </c>
      <c r="F8052" s="58" t="s">
        <v>19657</v>
      </c>
      <c r="G8052" s="58" t="s">
        <v>19654</v>
      </c>
      <c r="H8052" s="552">
        <v>12000</v>
      </c>
      <c r="I8052" s="47">
        <v>45376</v>
      </c>
      <c r="J8052" s="65" t="s">
        <v>19655</v>
      </c>
      <c r="K8052" s="58" t="s">
        <v>19656</v>
      </c>
      <c r="O8052" s="62" t="s">
        <v>6918</v>
      </c>
      <c r="P8052" s="58" t="s">
        <v>44</v>
      </c>
      <c r="Q8052" s="58" t="s">
        <v>41</v>
      </c>
      <c r="R8052" s="58" t="s">
        <v>272</v>
      </c>
    </row>
    <row r="8053" spans="2:18" ht="69" customHeight="1">
      <c r="B8053" s="62">
        <f t="shared" si="51"/>
        <v>5192</v>
      </c>
      <c r="C8053" s="627" t="s">
        <v>11568</v>
      </c>
      <c r="D8053" s="545" t="s">
        <v>16487</v>
      </c>
      <c r="E8053" s="59" t="s">
        <v>266</v>
      </c>
      <c r="F8053" s="58" t="s">
        <v>19658</v>
      </c>
      <c r="G8053" s="45" t="s">
        <v>19654</v>
      </c>
      <c r="H8053" s="546">
        <v>1200</v>
      </c>
      <c r="I8053" s="47">
        <v>45376</v>
      </c>
      <c r="J8053" s="73" t="s">
        <v>19655</v>
      </c>
      <c r="K8053" s="58" t="s">
        <v>19656</v>
      </c>
      <c r="O8053" s="62" t="s">
        <v>6918</v>
      </c>
      <c r="P8053" s="45" t="s">
        <v>44</v>
      </c>
      <c r="Q8053" s="45" t="s">
        <v>107</v>
      </c>
      <c r="R8053" s="45" t="s">
        <v>272</v>
      </c>
    </row>
    <row r="8054" spans="2:18" ht="69" customHeight="1">
      <c r="B8054" s="62">
        <f t="shared" si="51"/>
        <v>5193</v>
      </c>
      <c r="C8054" s="58" t="s">
        <v>19659</v>
      </c>
      <c r="D8054" s="545" t="s">
        <v>19660</v>
      </c>
      <c r="E8054" s="59" t="s">
        <v>382</v>
      </c>
      <c r="F8054" s="58" t="s">
        <v>19661</v>
      </c>
      <c r="G8054" s="58" t="s">
        <v>19662</v>
      </c>
      <c r="H8054" s="546">
        <v>5821.02</v>
      </c>
      <c r="I8054" s="47">
        <v>45376</v>
      </c>
      <c r="J8054" s="73" t="s">
        <v>19663</v>
      </c>
      <c r="K8054" s="67"/>
      <c r="O8054" s="62" t="s">
        <v>17289</v>
      </c>
      <c r="P8054" s="45" t="s">
        <v>51</v>
      </c>
      <c r="Q8054" s="45" t="s">
        <v>74</v>
      </c>
      <c r="R8054" s="45" t="s">
        <v>265</v>
      </c>
    </row>
    <row r="8055" spans="2:18" ht="69" customHeight="1">
      <c r="B8055" s="62">
        <f t="shared" si="51"/>
        <v>5194</v>
      </c>
      <c r="C8055" s="69" t="s">
        <v>6468</v>
      </c>
      <c r="D8055" s="545" t="s">
        <v>19664</v>
      </c>
      <c r="E8055" s="59" t="s">
        <v>382</v>
      </c>
      <c r="F8055" s="58" t="s">
        <v>19665</v>
      </c>
      <c r="G8055" s="58" t="s">
        <v>19666</v>
      </c>
      <c r="H8055" s="546">
        <v>5821.02</v>
      </c>
      <c r="I8055" s="47">
        <v>45376</v>
      </c>
      <c r="J8055" s="73" t="s">
        <v>19663</v>
      </c>
      <c r="K8055" s="67"/>
      <c r="O8055" s="62" t="s">
        <v>17289</v>
      </c>
      <c r="P8055" s="45" t="s">
        <v>51</v>
      </c>
      <c r="Q8055" s="45" t="s">
        <v>76</v>
      </c>
      <c r="R8055" s="45" t="s">
        <v>265</v>
      </c>
    </row>
    <row r="8056" spans="2:18" ht="69" customHeight="1">
      <c r="B8056" s="48">
        <f t="shared" si="51"/>
        <v>5195</v>
      </c>
      <c r="C8056" s="44" t="s">
        <v>9004</v>
      </c>
      <c r="D8056" s="84" t="s">
        <v>4383</v>
      </c>
      <c r="E8056" s="45" t="s">
        <v>19667</v>
      </c>
      <c r="F8056" s="45" t="s">
        <v>19668</v>
      </c>
      <c r="G8056" s="45" t="s">
        <v>19669</v>
      </c>
      <c r="H8056" s="546">
        <v>54481.7</v>
      </c>
      <c r="I8056" s="47">
        <v>45376</v>
      </c>
      <c r="J8056" s="73" t="s">
        <v>19670</v>
      </c>
      <c r="K8056" s="45" t="s">
        <v>19671</v>
      </c>
      <c r="O8056" s="62" t="s">
        <v>233</v>
      </c>
      <c r="P8056" s="58" t="s">
        <v>57</v>
      </c>
      <c r="Q8056" s="45" t="s">
        <v>111</v>
      </c>
      <c r="R8056" s="45" t="s">
        <v>272</v>
      </c>
    </row>
    <row r="8057" spans="2:18" ht="69" customHeight="1">
      <c r="B8057" s="48">
        <f t="shared" si="51"/>
        <v>5196</v>
      </c>
      <c r="C8057" s="44" t="s">
        <v>9004</v>
      </c>
      <c r="D8057" s="84" t="s">
        <v>4091</v>
      </c>
      <c r="E8057" s="45" t="s">
        <v>19667</v>
      </c>
      <c r="F8057" s="45" t="s">
        <v>19672</v>
      </c>
      <c r="G8057" s="45" t="s">
        <v>19669</v>
      </c>
      <c r="H8057" s="546">
        <v>54481.7</v>
      </c>
      <c r="I8057" s="47">
        <v>45376</v>
      </c>
      <c r="J8057" s="73" t="s">
        <v>19670</v>
      </c>
      <c r="K8057" s="45"/>
      <c r="O8057" s="62" t="s">
        <v>233</v>
      </c>
      <c r="P8057" s="58" t="s">
        <v>57</v>
      </c>
      <c r="Q8057" s="45" t="s">
        <v>111</v>
      </c>
      <c r="R8057" s="45" t="s">
        <v>272</v>
      </c>
    </row>
    <row r="8058" spans="2:18" ht="69" customHeight="1">
      <c r="B8058" s="48">
        <f t="shared" si="51"/>
        <v>5197</v>
      </c>
      <c r="C8058" s="45" t="s">
        <v>11618</v>
      </c>
      <c r="D8058" s="84" t="s">
        <v>16483</v>
      </c>
      <c r="E8058" s="45" t="s">
        <v>19667</v>
      </c>
      <c r="F8058" s="45" t="s">
        <v>19673</v>
      </c>
      <c r="G8058" s="45" t="s">
        <v>19674</v>
      </c>
      <c r="H8058" s="546">
        <v>63909.78</v>
      </c>
      <c r="I8058" s="47">
        <v>45376</v>
      </c>
      <c r="J8058" s="73" t="s">
        <v>19675</v>
      </c>
      <c r="K8058" s="45"/>
      <c r="O8058" s="62" t="s">
        <v>233</v>
      </c>
      <c r="P8058" s="58" t="s">
        <v>57</v>
      </c>
      <c r="Q8058" s="45" t="s">
        <v>122</v>
      </c>
      <c r="R8058" s="45" t="s">
        <v>272</v>
      </c>
    </row>
    <row r="8059" spans="2:18" ht="69" customHeight="1">
      <c r="B8059" s="48">
        <f t="shared" si="51"/>
        <v>5198</v>
      </c>
      <c r="C8059" s="45" t="s">
        <v>11618</v>
      </c>
      <c r="D8059" s="84" t="s">
        <v>19676</v>
      </c>
      <c r="E8059" s="45" t="s">
        <v>19667</v>
      </c>
      <c r="F8059" s="45" t="s">
        <v>19677</v>
      </c>
      <c r="G8059" s="45" t="s">
        <v>19674</v>
      </c>
      <c r="H8059" s="546">
        <v>63909.78</v>
      </c>
      <c r="I8059" s="47">
        <v>45376</v>
      </c>
      <c r="J8059" s="73" t="s">
        <v>19675</v>
      </c>
      <c r="K8059" s="45"/>
      <c r="O8059" s="62" t="s">
        <v>233</v>
      </c>
      <c r="P8059" s="58" t="s">
        <v>57</v>
      </c>
      <c r="Q8059" s="45" t="s">
        <v>122</v>
      </c>
      <c r="R8059" s="45" t="s">
        <v>272</v>
      </c>
    </row>
    <row r="8060" spans="2:18" ht="69" customHeight="1">
      <c r="B8060" s="62">
        <f t="shared" si="51"/>
        <v>5199</v>
      </c>
      <c r="C8060" s="59" t="s">
        <v>7189</v>
      </c>
      <c r="D8060" s="545" t="s">
        <v>14196</v>
      </c>
      <c r="E8060" s="58" t="s">
        <v>16289</v>
      </c>
      <c r="F8060" s="58" t="s">
        <v>19678</v>
      </c>
      <c r="G8060" s="58" t="s">
        <v>19679</v>
      </c>
      <c r="H8060" s="546">
        <v>90618.08</v>
      </c>
      <c r="I8060" s="47">
        <v>45376</v>
      </c>
      <c r="J8060" s="73" t="s">
        <v>19680</v>
      </c>
      <c r="K8060" s="67"/>
      <c r="O8060" s="62" t="s">
        <v>208</v>
      </c>
      <c r="P8060" s="58" t="s">
        <v>57</v>
      </c>
      <c r="Q8060" s="45" t="s">
        <v>97</v>
      </c>
      <c r="R8060" s="45" t="s">
        <v>272</v>
      </c>
    </row>
    <row r="8061" spans="2:18" ht="69" customHeight="1">
      <c r="B8061" s="62">
        <f t="shared" si="51"/>
        <v>5200</v>
      </c>
      <c r="C8061" s="59" t="s">
        <v>11933</v>
      </c>
      <c r="D8061" s="545" t="s">
        <v>16485</v>
      </c>
      <c r="E8061" s="58" t="s">
        <v>18616</v>
      </c>
      <c r="F8061" s="58" t="s">
        <v>19681</v>
      </c>
      <c r="G8061" s="58" t="s">
        <v>19682</v>
      </c>
      <c r="H8061" s="546">
        <v>212405.3</v>
      </c>
      <c r="I8061" s="47">
        <v>45376</v>
      </c>
      <c r="J8061" s="73" t="s">
        <v>19683</v>
      </c>
      <c r="K8061" s="67"/>
      <c r="O8061" s="62" t="s">
        <v>16639</v>
      </c>
      <c r="P8061" s="58" t="s">
        <v>57</v>
      </c>
      <c r="Q8061" s="45" t="s">
        <v>123</v>
      </c>
      <c r="R8061" s="45" t="s">
        <v>272</v>
      </c>
    </row>
    <row r="8062" spans="2:18" ht="69" customHeight="1">
      <c r="B8062" s="62">
        <f t="shared" si="51"/>
        <v>5201</v>
      </c>
      <c r="C8062" s="58" t="s">
        <v>309</v>
      </c>
      <c r="D8062" s="545" t="s">
        <v>15292</v>
      </c>
      <c r="E8062" s="58" t="s">
        <v>16011</v>
      </c>
      <c r="F8062" s="58" t="s">
        <v>19684</v>
      </c>
      <c r="G8062" s="58" t="s">
        <v>19076</v>
      </c>
      <c r="H8062" s="546">
        <v>3862.63</v>
      </c>
      <c r="I8062" s="47">
        <v>45376</v>
      </c>
      <c r="J8062" s="73" t="s">
        <v>19685</v>
      </c>
      <c r="K8062" s="67"/>
      <c r="O8062" s="62" t="s">
        <v>150</v>
      </c>
      <c r="P8062" s="58" t="s">
        <v>51</v>
      </c>
      <c r="Q8062" s="45" t="s">
        <v>39</v>
      </c>
      <c r="R8062" s="45" t="s">
        <v>272</v>
      </c>
    </row>
    <row r="8063" spans="2:18" ht="69" customHeight="1">
      <c r="B8063" s="62">
        <f t="shared" si="51"/>
        <v>5202</v>
      </c>
      <c r="C8063" s="59" t="s">
        <v>3667</v>
      </c>
      <c r="D8063" s="545" t="s">
        <v>19686</v>
      </c>
      <c r="E8063" s="58" t="s">
        <v>16011</v>
      </c>
      <c r="F8063" s="58" t="s">
        <v>19687</v>
      </c>
      <c r="G8063" s="58" t="s">
        <v>19076</v>
      </c>
      <c r="H8063" s="546">
        <v>2478</v>
      </c>
      <c r="I8063" s="47">
        <v>45376</v>
      </c>
      <c r="J8063" s="73" t="s">
        <v>19685</v>
      </c>
      <c r="K8063" s="67"/>
      <c r="O8063" s="62" t="s">
        <v>150</v>
      </c>
      <c r="P8063" s="58" t="s">
        <v>51</v>
      </c>
      <c r="Q8063" s="45" t="s">
        <v>74</v>
      </c>
      <c r="R8063" s="45" t="s">
        <v>272</v>
      </c>
    </row>
    <row r="8064" spans="2:18" ht="69" customHeight="1">
      <c r="B8064" s="62">
        <f t="shared" si="51"/>
        <v>5203</v>
      </c>
      <c r="C8064" s="59" t="s">
        <v>3667</v>
      </c>
      <c r="D8064" s="545" t="s">
        <v>19688</v>
      </c>
      <c r="E8064" s="58" t="s">
        <v>16011</v>
      </c>
      <c r="F8064" s="58" t="s">
        <v>19689</v>
      </c>
      <c r="G8064" s="58" t="s">
        <v>19076</v>
      </c>
      <c r="H8064" s="546">
        <v>2478</v>
      </c>
      <c r="I8064" s="66">
        <v>45376</v>
      </c>
      <c r="J8064" s="73" t="s">
        <v>19685</v>
      </c>
      <c r="K8064" s="67"/>
      <c r="O8064" s="62" t="s">
        <v>150</v>
      </c>
      <c r="P8064" s="58" t="s">
        <v>51</v>
      </c>
      <c r="Q8064" s="45" t="s">
        <v>76</v>
      </c>
      <c r="R8064" s="45" t="s">
        <v>272</v>
      </c>
    </row>
    <row r="8065" spans="1:18" s="98" customFormat="1" ht="69" customHeight="1">
      <c r="A8065" s="169"/>
      <c r="B8065" s="48">
        <f t="shared" si="51"/>
        <v>5204</v>
      </c>
      <c r="C8065" s="201" t="s">
        <v>16973</v>
      </c>
      <c r="D8065" s="84" t="s">
        <v>19690</v>
      </c>
      <c r="E8065" s="45" t="s">
        <v>19691</v>
      </c>
      <c r="F8065" s="45" t="s">
        <v>19692</v>
      </c>
      <c r="G8065" s="45" t="s">
        <v>19693</v>
      </c>
      <c r="H8065" s="546">
        <v>62846.6</v>
      </c>
      <c r="I8065" s="66">
        <v>45376</v>
      </c>
      <c r="J8065" s="73" t="s">
        <v>19694</v>
      </c>
      <c r="K8065" s="45"/>
      <c r="O8065" s="48" t="s">
        <v>17031</v>
      </c>
      <c r="P8065" s="45" t="s">
        <v>57</v>
      </c>
      <c r="Q8065" s="45" t="s">
        <v>113</v>
      </c>
      <c r="R8065" s="45" t="s">
        <v>272</v>
      </c>
    </row>
    <row r="8066" spans="1:18" ht="69" customHeight="1">
      <c r="B8066" s="52">
        <f t="shared" si="51"/>
        <v>5205</v>
      </c>
      <c r="C8066" s="191" t="s">
        <v>13435</v>
      </c>
      <c r="D8066" s="251" t="s">
        <v>15299</v>
      </c>
      <c r="E8066" s="191" t="s">
        <v>266</v>
      </c>
      <c r="F8066" s="46" t="s">
        <v>19695</v>
      </c>
      <c r="G8066" s="46" t="s">
        <v>19696</v>
      </c>
      <c r="H8066" s="534">
        <v>21000</v>
      </c>
      <c r="I8066" s="56">
        <v>45376</v>
      </c>
      <c r="J8066" s="199" t="s">
        <v>19697</v>
      </c>
      <c r="K8066" s="46"/>
      <c r="O8066" s="46" t="s">
        <v>1171</v>
      </c>
      <c r="P8066" s="46" t="s">
        <v>65</v>
      </c>
      <c r="Q8066" s="46" t="s">
        <v>13</v>
      </c>
      <c r="R8066" s="46" t="s">
        <v>272</v>
      </c>
    </row>
    <row r="8067" spans="1:18" ht="69" customHeight="1">
      <c r="B8067" s="52">
        <f t="shared" si="51"/>
        <v>5206</v>
      </c>
      <c r="C8067" s="191" t="s">
        <v>13435</v>
      </c>
      <c r="D8067" s="251" t="s">
        <v>15303</v>
      </c>
      <c r="E8067" s="191" t="s">
        <v>266</v>
      </c>
      <c r="F8067" s="46" t="s">
        <v>19698</v>
      </c>
      <c r="G8067" s="46" t="s">
        <v>19696</v>
      </c>
      <c r="H8067" s="534">
        <v>10500</v>
      </c>
      <c r="I8067" s="56">
        <v>45376</v>
      </c>
      <c r="J8067" s="199" t="s">
        <v>19697</v>
      </c>
      <c r="K8067" s="46"/>
      <c r="O8067" s="46" t="s">
        <v>1171</v>
      </c>
      <c r="P8067" s="46" t="s">
        <v>65</v>
      </c>
      <c r="Q8067" s="46" t="s">
        <v>13</v>
      </c>
      <c r="R8067" s="46" t="s">
        <v>272</v>
      </c>
    </row>
    <row r="8068" spans="1:18" s="98" customFormat="1" ht="69" customHeight="1">
      <c r="A8068" s="169"/>
      <c r="B8068" s="259">
        <f t="shared" si="51"/>
        <v>5207</v>
      </c>
      <c r="C8068" s="160" t="s">
        <v>19699</v>
      </c>
      <c r="D8068" s="303" t="s">
        <v>6262</v>
      </c>
      <c r="E8068" s="207" t="s">
        <v>266</v>
      </c>
      <c r="F8068" s="160" t="s">
        <v>19700</v>
      </c>
      <c r="G8068" s="160" t="s">
        <v>19701</v>
      </c>
      <c r="H8068" s="300">
        <v>65927.41</v>
      </c>
      <c r="I8068" s="209">
        <v>45376</v>
      </c>
      <c r="J8068" s="316" t="s">
        <v>19702</v>
      </c>
      <c r="K8068" s="160" t="s">
        <v>11084</v>
      </c>
      <c r="O8068" s="259" t="s">
        <v>19703</v>
      </c>
      <c r="P8068" s="160" t="s">
        <v>67</v>
      </c>
      <c r="Q8068" s="160" t="s">
        <v>96</v>
      </c>
      <c r="R8068" s="160" t="s">
        <v>272</v>
      </c>
    </row>
    <row r="8069" spans="1:18" s="98" customFormat="1" ht="69" customHeight="1">
      <c r="A8069" s="169"/>
      <c r="B8069" s="259">
        <f t="shared" si="51"/>
        <v>5208</v>
      </c>
      <c r="C8069" s="160" t="s">
        <v>19704</v>
      </c>
      <c r="D8069" s="303" t="s">
        <v>481</v>
      </c>
      <c r="E8069" s="207" t="s">
        <v>266</v>
      </c>
      <c r="F8069" s="160" t="s">
        <v>19705</v>
      </c>
      <c r="G8069" s="160" t="s">
        <v>19701</v>
      </c>
      <c r="H8069" s="300">
        <v>15628.53</v>
      </c>
      <c r="I8069" s="209">
        <v>45376</v>
      </c>
      <c r="J8069" s="316" t="s">
        <v>19702</v>
      </c>
      <c r="K8069" s="160" t="s">
        <v>11084</v>
      </c>
      <c r="O8069" s="259" t="s">
        <v>19703</v>
      </c>
      <c r="P8069" s="160" t="s">
        <v>67</v>
      </c>
      <c r="Q8069" s="160" t="s">
        <v>96</v>
      </c>
      <c r="R8069" s="160" t="s">
        <v>272</v>
      </c>
    </row>
    <row r="8070" spans="1:18" ht="69" customHeight="1">
      <c r="B8070" s="259">
        <f t="shared" si="51"/>
        <v>5209</v>
      </c>
      <c r="C8070" s="207" t="s">
        <v>13665</v>
      </c>
      <c r="D8070" s="303" t="s">
        <v>3414</v>
      </c>
      <c r="E8070" s="207" t="s">
        <v>266</v>
      </c>
      <c r="F8070" s="303" t="s">
        <v>19706</v>
      </c>
      <c r="G8070" s="160" t="s">
        <v>19707</v>
      </c>
      <c r="H8070" s="300">
        <v>3210</v>
      </c>
      <c r="I8070" s="209">
        <v>45376</v>
      </c>
      <c r="J8070" s="316" t="s">
        <v>19708</v>
      </c>
      <c r="K8070" s="160" t="s">
        <v>11084</v>
      </c>
      <c r="O8070" s="259" t="s">
        <v>467</v>
      </c>
      <c r="P8070" s="160" t="s">
        <v>67</v>
      </c>
      <c r="Q8070" s="160" t="s">
        <v>96</v>
      </c>
      <c r="R8070" s="160" t="s">
        <v>272</v>
      </c>
    </row>
    <row r="8071" spans="1:18" ht="69" customHeight="1">
      <c r="B8071" s="259">
        <f t="shared" si="51"/>
        <v>5210</v>
      </c>
      <c r="C8071" s="207" t="s">
        <v>13665</v>
      </c>
      <c r="D8071" s="303" t="s">
        <v>3411</v>
      </c>
      <c r="E8071" s="207" t="s">
        <v>266</v>
      </c>
      <c r="F8071" s="303" t="s">
        <v>19709</v>
      </c>
      <c r="G8071" s="160" t="s">
        <v>19707</v>
      </c>
      <c r="H8071" s="300">
        <v>3210</v>
      </c>
      <c r="I8071" s="209">
        <v>45376</v>
      </c>
      <c r="J8071" s="316" t="s">
        <v>19708</v>
      </c>
      <c r="K8071" s="160" t="s">
        <v>11084</v>
      </c>
      <c r="O8071" s="259" t="s">
        <v>467</v>
      </c>
      <c r="P8071" s="160" t="s">
        <v>67</v>
      </c>
      <c r="Q8071" s="160" t="s">
        <v>96</v>
      </c>
      <c r="R8071" s="160" t="s">
        <v>272</v>
      </c>
    </row>
    <row r="8072" spans="1:18" ht="69" customHeight="1">
      <c r="B8072" s="259">
        <f t="shared" si="51"/>
        <v>5211</v>
      </c>
      <c r="C8072" s="207" t="s">
        <v>13665</v>
      </c>
      <c r="D8072" s="303" t="s">
        <v>5889</v>
      </c>
      <c r="E8072" s="207" t="s">
        <v>266</v>
      </c>
      <c r="F8072" s="303" t="s">
        <v>19710</v>
      </c>
      <c r="G8072" s="160" t="s">
        <v>19707</v>
      </c>
      <c r="H8072" s="300">
        <v>12840</v>
      </c>
      <c r="I8072" s="209">
        <v>45376</v>
      </c>
      <c r="J8072" s="316" t="s">
        <v>19708</v>
      </c>
      <c r="K8072" s="160" t="s">
        <v>11084</v>
      </c>
      <c r="O8072" s="259" t="s">
        <v>467</v>
      </c>
      <c r="P8072" s="160" t="s">
        <v>67</v>
      </c>
      <c r="Q8072" s="160" t="s">
        <v>96</v>
      </c>
      <c r="R8072" s="160" t="s">
        <v>272</v>
      </c>
    </row>
    <row r="8073" spans="1:18" ht="69" customHeight="1">
      <c r="B8073" s="259">
        <f t="shared" si="51"/>
        <v>5212</v>
      </c>
      <c r="C8073" s="160" t="s">
        <v>19158</v>
      </c>
      <c r="D8073" s="303" t="s">
        <v>1960</v>
      </c>
      <c r="E8073" s="207" t="s">
        <v>266</v>
      </c>
      <c r="F8073" s="303" t="s">
        <v>19711</v>
      </c>
      <c r="G8073" s="160" t="s">
        <v>19707</v>
      </c>
      <c r="H8073" s="300">
        <v>4000</v>
      </c>
      <c r="I8073" s="209">
        <v>45376</v>
      </c>
      <c r="J8073" s="316" t="s">
        <v>19708</v>
      </c>
      <c r="K8073" s="160" t="s">
        <v>11084</v>
      </c>
      <c r="O8073" s="259" t="s">
        <v>467</v>
      </c>
      <c r="P8073" s="160" t="s">
        <v>67</v>
      </c>
      <c r="Q8073" s="160" t="s">
        <v>96</v>
      </c>
      <c r="R8073" s="160" t="s">
        <v>272</v>
      </c>
    </row>
    <row r="8074" spans="1:18" ht="69" customHeight="1">
      <c r="B8074" s="259">
        <f t="shared" si="51"/>
        <v>5213</v>
      </c>
      <c r="C8074" s="160" t="s">
        <v>657</v>
      </c>
      <c r="D8074" s="328"/>
      <c r="E8074" s="160" t="s">
        <v>19712</v>
      </c>
      <c r="F8074" s="160" t="s">
        <v>19713</v>
      </c>
      <c r="G8074" s="160" t="s">
        <v>19714</v>
      </c>
      <c r="H8074" s="300">
        <v>280231.19</v>
      </c>
      <c r="I8074" s="209">
        <v>45376</v>
      </c>
      <c r="J8074" s="316" t="s">
        <v>19715</v>
      </c>
      <c r="K8074" s="300" t="s">
        <v>19716</v>
      </c>
      <c r="L8074" s="117"/>
      <c r="O8074" s="118" t="s">
        <v>1566</v>
      </c>
      <c r="P8074" s="160" t="s">
        <v>67</v>
      </c>
      <c r="Q8074" s="118" t="s">
        <v>106</v>
      </c>
      <c r="R8074" s="118" t="s">
        <v>272</v>
      </c>
    </row>
    <row r="8075" spans="1:18" ht="69" customHeight="1">
      <c r="B8075" s="261">
        <v>5213</v>
      </c>
      <c r="C8075" s="160" t="s">
        <v>657</v>
      </c>
      <c r="D8075" s="303"/>
      <c r="E8075" s="160" t="s">
        <v>19712</v>
      </c>
      <c r="F8075" s="160" t="s">
        <v>19717</v>
      </c>
      <c r="G8075" s="160" t="s">
        <v>19714</v>
      </c>
      <c r="H8075" s="300">
        <v>41067.65</v>
      </c>
      <c r="I8075" s="209">
        <v>45376</v>
      </c>
      <c r="J8075" s="316" t="s">
        <v>19715</v>
      </c>
      <c r="K8075" s="300" t="s">
        <v>19716</v>
      </c>
      <c r="L8075" s="117"/>
      <c r="O8075" s="118" t="s">
        <v>1566</v>
      </c>
      <c r="P8075" s="160" t="s">
        <v>67</v>
      </c>
      <c r="Q8075" s="118" t="s">
        <v>102</v>
      </c>
      <c r="R8075" s="118" t="s">
        <v>272</v>
      </c>
    </row>
    <row r="8076" spans="1:18" ht="69" customHeight="1">
      <c r="B8076" s="261">
        <v>5213</v>
      </c>
      <c r="C8076" s="160" t="s">
        <v>657</v>
      </c>
      <c r="D8076" s="303"/>
      <c r="E8076" s="160" t="s">
        <v>19712</v>
      </c>
      <c r="F8076" s="160" t="s">
        <v>19718</v>
      </c>
      <c r="G8076" s="160" t="s">
        <v>19714</v>
      </c>
      <c r="H8076" s="300">
        <v>48813.71</v>
      </c>
      <c r="I8076" s="209">
        <v>45376</v>
      </c>
      <c r="J8076" s="316" t="s">
        <v>19715</v>
      </c>
      <c r="K8076" s="300" t="s">
        <v>19716</v>
      </c>
      <c r="L8076" s="117"/>
      <c r="O8076" s="118" t="s">
        <v>1566</v>
      </c>
      <c r="P8076" s="160" t="s">
        <v>67</v>
      </c>
      <c r="Q8076" s="118" t="s">
        <v>109</v>
      </c>
      <c r="R8076" s="118" t="s">
        <v>272</v>
      </c>
    </row>
    <row r="8077" spans="1:18" ht="69" customHeight="1">
      <c r="B8077" s="261">
        <v>5213</v>
      </c>
      <c r="C8077" s="160" t="s">
        <v>657</v>
      </c>
      <c r="D8077" s="303"/>
      <c r="E8077" s="160" t="s">
        <v>19712</v>
      </c>
      <c r="F8077" s="160" t="s">
        <v>19719</v>
      </c>
      <c r="G8077" s="160" t="s">
        <v>19714</v>
      </c>
      <c r="H8077" s="300">
        <v>89178.72</v>
      </c>
      <c r="I8077" s="209">
        <v>45376</v>
      </c>
      <c r="J8077" s="316" t="s">
        <v>19715</v>
      </c>
      <c r="K8077" s="300" t="s">
        <v>19716</v>
      </c>
      <c r="L8077" s="117"/>
      <c r="O8077" s="118" t="s">
        <v>1566</v>
      </c>
      <c r="P8077" s="160" t="s">
        <v>67</v>
      </c>
      <c r="Q8077" s="118" t="s">
        <v>116</v>
      </c>
      <c r="R8077" s="118" t="s">
        <v>272</v>
      </c>
    </row>
    <row r="8078" spans="1:18" ht="69" customHeight="1">
      <c r="B8078" s="261">
        <v>5213</v>
      </c>
      <c r="C8078" s="160" t="s">
        <v>657</v>
      </c>
      <c r="D8078" s="303"/>
      <c r="E8078" s="160" t="s">
        <v>19712</v>
      </c>
      <c r="F8078" s="160" t="s">
        <v>19720</v>
      </c>
      <c r="G8078" s="160" t="s">
        <v>19714</v>
      </c>
      <c r="H8078" s="300">
        <v>98834</v>
      </c>
      <c r="I8078" s="209">
        <v>45376</v>
      </c>
      <c r="J8078" s="316" t="s">
        <v>19715</v>
      </c>
      <c r="K8078" s="300" t="s">
        <v>19716</v>
      </c>
      <c r="L8078" s="117"/>
      <c r="O8078" s="118" t="s">
        <v>1566</v>
      </c>
      <c r="P8078" s="160" t="s">
        <v>67</v>
      </c>
      <c r="Q8078" s="118" t="s">
        <v>118</v>
      </c>
      <c r="R8078" s="118" t="s">
        <v>272</v>
      </c>
    </row>
    <row r="8079" spans="1:18" ht="69" customHeight="1">
      <c r="B8079" s="261">
        <f>B8074+1</f>
        <v>5214</v>
      </c>
      <c r="C8079" s="207" t="s">
        <v>458</v>
      </c>
      <c r="D8079" s="303"/>
      <c r="E8079" s="160" t="s">
        <v>19712</v>
      </c>
      <c r="F8079" s="160" t="s">
        <v>19721</v>
      </c>
      <c r="G8079" s="160" t="s">
        <v>19714</v>
      </c>
      <c r="H8079" s="300">
        <f>(H8750-H8150)</f>
        <v>56744.989999999991</v>
      </c>
      <c r="I8079" s="209">
        <v>45376</v>
      </c>
      <c r="J8079" s="316" t="s">
        <v>19715</v>
      </c>
      <c r="K8079" s="160" t="s">
        <v>19722</v>
      </c>
      <c r="L8079" s="117"/>
      <c r="O8079" s="118" t="s">
        <v>1566</v>
      </c>
      <c r="P8079" s="160" t="s">
        <v>67</v>
      </c>
      <c r="Q8079" s="118" t="s">
        <v>101</v>
      </c>
      <c r="R8079" s="118" t="s">
        <v>272</v>
      </c>
    </row>
    <row r="8080" spans="1:18" ht="69" customHeight="1">
      <c r="B8080" s="261">
        <v>5214</v>
      </c>
      <c r="C8080" s="207" t="s">
        <v>458</v>
      </c>
      <c r="D8080" s="303"/>
      <c r="E8080" s="160" t="s">
        <v>19712</v>
      </c>
      <c r="F8080" s="160" t="s">
        <v>19723</v>
      </c>
      <c r="G8080" s="160" t="s">
        <v>19714</v>
      </c>
      <c r="H8080" s="300">
        <v>57539.58</v>
      </c>
      <c r="I8080" s="209">
        <v>45376</v>
      </c>
      <c r="J8080" s="316" t="s">
        <v>19715</v>
      </c>
      <c r="K8080" s="160" t="s">
        <v>19722</v>
      </c>
      <c r="L8080" s="117"/>
      <c r="O8080" s="118" t="s">
        <v>1566</v>
      </c>
      <c r="P8080" s="160" t="s">
        <v>67</v>
      </c>
      <c r="Q8080" s="118" t="s">
        <v>108</v>
      </c>
      <c r="R8080" s="118" t="s">
        <v>272</v>
      </c>
    </row>
    <row r="8081" spans="1:18" ht="69" customHeight="1">
      <c r="B8081" s="259">
        <v>5214</v>
      </c>
      <c r="C8081" s="207" t="s">
        <v>458</v>
      </c>
      <c r="D8081" s="303"/>
      <c r="E8081" s="160" t="s">
        <v>19712</v>
      </c>
      <c r="F8081" s="160" t="s">
        <v>19724</v>
      </c>
      <c r="G8081" s="160" t="s">
        <v>19714</v>
      </c>
      <c r="H8081" s="300">
        <v>54050.81</v>
      </c>
      <c r="I8081" s="209">
        <v>45376</v>
      </c>
      <c r="J8081" s="316" t="s">
        <v>19715</v>
      </c>
      <c r="K8081" s="160" t="s">
        <v>19722</v>
      </c>
      <c r="L8081" s="99"/>
      <c r="O8081" s="259" t="s">
        <v>1566</v>
      </c>
      <c r="P8081" s="160" t="s">
        <v>67</v>
      </c>
      <c r="Q8081" s="160" t="s">
        <v>105</v>
      </c>
      <c r="R8081" s="160" t="s">
        <v>272</v>
      </c>
    </row>
    <row r="8082" spans="1:18" ht="69" customHeight="1">
      <c r="B8082" s="261">
        <v>5214</v>
      </c>
      <c r="C8082" s="207" t="s">
        <v>458</v>
      </c>
      <c r="D8082" s="303"/>
      <c r="E8082" s="160" t="s">
        <v>19712</v>
      </c>
      <c r="F8082" s="160" t="s">
        <v>19725</v>
      </c>
      <c r="G8082" s="160" t="s">
        <v>19714</v>
      </c>
      <c r="H8082" s="300">
        <v>76551.37</v>
      </c>
      <c r="I8082" s="209">
        <v>45376</v>
      </c>
      <c r="J8082" s="316" t="s">
        <v>19715</v>
      </c>
      <c r="K8082" s="160" t="s">
        <v>19722</v>
      </c>
      <c r="L8082" s="117"/>
      <c r="O8082" s="118" t="s">
        <v>1566</v>
      </c>
      <c r="P8082" s="160" t="s">
        <v>67</v>
      </c>
      <c r="Q8082" s="118" t="s">
        <v>114</v>
      </c>
      <c r="R8082" s="118" t="s">
        <v>272</v>
      </c>
    </row>
    <row r="8083" spans="1:18" ht="69" customHeight="1">
      <c r="B8083" s="261">
        <f>B8079+1</f>
        <v>5215</v>
      </c>
      <c r="C8083" s="160" t="s">
        <v>309</v>
      </c>
      <c r="D8083" s="303"/>
      <c r="E8083" s="160" t="s">
        <v>19712</v>
      </c>
      <c r="F8083" s="160" t="s">
        <v>19726</v>
      </c>
      <c r="G8083" s="160" t="s">
        <v>19714</v>
      </c>
      <c r="H8083" s="300">
        <v>32505.91</v>
      </c>
      <c r="I8083" s="209">
        <v>45376</v>
      </c>
      <c r="J8083" s="316" t="s">
        <v>19715</v>
      </c>
      <c r="K8083" s="300" t="s">
        <v>19727</v>
      </c>
      <c r="L8083" s="117"/>
      <c r="O8083" s="118" t="s">
        <v>1566</v>
      </c>
      <c r="P8083" s="160" t="s">
        <v>67</v>
      </c>
      <c r="Q8083" s="118" t="s">
        <v>25</v>
      </c>
      <c r="R8083" s="118" t="s">
        <v>272</v>
      </c>
    </row>
    <row r="8084" spans="1:18" ht="69" customHeight="1">
      <c r="B8084" s="261">
        <v>5215</v>
      </c>
      <c r="C8084" s="160" t="s">
        <v>309</v>
      </c>
      <c r="D8084" s="303"/>
      <c r="E8084" s="160" t="s">
        <v>19712</v>
      </c>
      <c r="F8084" s="160" t="s">
        <v>19728</v>
      </c>
      <c r="G8084" s="160" t="s">
        <v>19714</v>
      </c>
      <c r="H8084" s="300">
        <v>41386.46</v>
      </c>
      <c r="I8084" s="209">
        <v>45376</v>
      </c>
      <c r="J8084" s="316" t="s">
        <v>19715</v>
      </c>
      <c r="K8084" s="300" t="s">
        <v>19727</v>
      </c>
      <c r="L8084" s="117"/>
      <c r="O8084" s="118" t="s">
        <v>1566</v>
      </c>
      <c r="P8084" s="160" t="s">
        <v>67</v>
      </c>
      <c r="Q8084" s="118" t="s">
        <v>43</v>
      </c>
      <c r="R8084" s="118" t="s">
        <v>272</v>
      </c>
    </row>
    <row r="8085" spans="1:18" ht="69" customHeight="1">
      <c r="A8085" s="168"/>
      <c r="B8085" s="261">
        <v>5215</v>
      </c>
      <c r="C8085" s="160" t="s">
        <v>309</v>
      </c>
      <c r="D8085" s="303"/>
      <c r="E8085" s="160" t="s">
        <v>19712</v>
      </c>
      <c r="F8085" s="160" t="s">
        <v>19729</v>
      </c>
      <c r="G8085" s="160" t="s">
        <v>19730</v>
      </c>
      <c r="H8085" s="300">
        <v>49878</v>
      </c>
      <c r="I8085" s="209">
        <v>45376</v>
      </c>
      <c r="J8085" s="316" t="s">
        <v>19715</v>
      </c>
      <c r="K8085" s="300" t="s">
        <v>19727</v>
      </c>
      <c r="L8085" s="117"/>
      <c r="O8085" s="118" t="s">
        <v>1566</v>
      </c>
      <c r="P8085" s="160" t="s">
        <v>67</v>
      </c>
      <c r="Q8085" s="118" t="s">
        <v>20</v>
      </c>
      <c r="R8085" s="118" t="s">
        <v>272</v>
      </c>
    </row>
    <row r="8086" spans="1:18" ht="69" customHeight="1">
      <c r="B8086" s="261">
        <v>5215</v>
      </c>
      <c r="C8086" s="160" t="s">
        <v>309</v>
      </c>
      <c r="D8086" s="303"/>
      <c r="E8086" s="160" t="s">
        <v>19712</v>
      </c>
      <c r="F8086" s="160" t="s">
        <v>19731</v>
      </c>
      <c r="G8086" s="160" t="s">
        <v>19714</v>
      </c>
      <c r="H8086" s="300">
        <v>36703.089999999997</v>
      </c>
      <c r="I8086" s="209">
        <v>45376</v>
      </c>
      <c r="J8086" s="316" t="s">
        <v>19715</v>
      </c>
      <c r="K8086" s="300" t="s">
        <v>19727</v>
      </c>
      <c r="L8086" s="117"/>
      <c r="O8086" s="118" t="s">
        <v>1566</v>
      </c>
      <c r="P8086" s="160" t="s">
        <v>67</v>
      </c>
      <c r="Q8086" s="118" t="s">
        <v>27</v>
      </c>
      <c r="R8086" s="118" t="s">
        <v>272</v>
      </c>
    </row>
    <row r="8087" spans="1:18" ht="69" customHeight="1">
      <c r="B8087" s="62">
        <f>B8083+1</f>
        <v>5216</v>
      </c>
      <c r="C8087" s="59" t="s">
        <v>657</v>
      </c>
      <c r="D8087" s="545" t="s">
        <v>5861</v>
      </c>
      <c r="E8087" s="58" t="s">
        <v>17540</v>
      </c>
      <c r="F8087" s="58" t="s">
        <v>19732</v>
      </c>
      <c r="G8087" s="58" t="s">
        <v>19733</v>
      </c>
      <c r="H8087" s="546">
        <v>44424.78</v>
      </c>
      <c r="I8087" s="66">
        <v>45376</v>
      </c>
      <c r="J8087" s="73" t="s">
        <v>19734</v>
      </c>
      <c r="K8087" s="67"/>
      <c r="O8087" s="62" t="s">
        <v>147</v>
      </c>
      <c r="P8087" s="58" t="s">
        <v>22</v>
      </c>
      <c r="Q8087" s="45" t="s">
        <v>110</v>
      </c>
      <c r="R8087" s="45" t="s">
        <v>265</v>
      </c>
    </row>
    <row r="8088" spans="1:18" ht="69" customHeight="1">
      <c r="B8088" s="62">
        <f t="shared" ref="B8088:B8119" si="52">B8087+1</f>
        <v>5217</v>
      </c>
      <c r="C8088" s="59" t="s">
        <v>3667</v>
      </c>
      <c r="D8088" s="545" t="s">
        <v>19735</v>
      </c>
      <c r="E8088" s="58" t="s">
        <v>16289</v>
      </c>
      <c r="F8088" s="58" t="s">
        <v>19736</v>
      </c>
      <c r="G8088" s="58" t="s">
        <v>19737</v>
      </c>
      <c r="H8088" s="546">
        <v>161989.54999999999</v>
      </c>
      <c r="I8088" s="66">
        <v>45376</v>
      </c>
      <c r="J8088" s="73" t="s">
        <v>19738</v>
      </c>
      <c r="K8088" s="67"/>
      <c r="O8088" s="62" t="s">
        <v>208</v>
      </c>
      <c r="P8088" s="58" t="s">
        <v>57</v>
      </c>
      <c r="Q8088" s="45" t="s">
        <v>84</v>
      </c>
      <c r="R8088" s="45" t="s">
        <v>272</v>
      </c>
    </row>
    <row r="8089" spans="1:18" ht="69" customHeight="1">
      <c r="B8089" s="62">
        <f t="shared" si="52"/>
        <v>5218</v>
      </c>
      <c r="C8089" s="59" t="s">
        <v>657</v>
      </c>
      <c r="D8089" s="545" t="s">
        <v>6740</v>
      </c>
      <c r="E8089" s="58" t="s">
        <v>16289</v>
      </c>
      <c r="F8089" s="58" t="s">
        <v>19739</v>
      </c>
      <c r="G8089" s="58" t="s">
        <v>19740</v>
      </c>
      <c r="H8089" s="546">
        <v>94938.97</v>
      </c>
      <c r="I8089" s="66">
        <v>45376</v>
      </c>
      <c r="J8089" s="73" t="s">
        <v>19741</v>
      </c>
      <c r="K8089" s="67"/>
      <c r="O8089" s="62" t="s">
        <v>208</v>
      </c>
      <c r="P8089" s="58" t="s">
        <v>57</v>
      </c>
      <c r="Q8089" s="45" t="s">
        <v>110</v>
      </c>
      <c r="R8089" s="45" t="s">
        <v>272</v>
      </c>
    </row>
    <row r="8090" spans="1:18" ht="69" customHeight="1">
      <c r="B8090" s="62">
        <f t="shared" si="52"/>
        <v>5219</v>
      </c>
      <c r="C8090" s="59" t="s">
        <v>3667</v>
      </c>
      <c r="D8090" s="545" t="s">
        <v>19742</v>
      </c>
      <c r="E8090" s="58" t="s">
        <v>16289</v>
      </c>
      <c r="F8090" s="58" t="s">
        <v>19743</v>
      </c>
      <c r="G8090" s="58" t="s">
        <v>19737</v>
      </c>
      <c r="H8090" s="546">
        <v>56574.3</v>
      </c>
      <c r="I8090" s="66">
        <v>45376</v>
      </c>
      <c r="J8090" s="73" t="s">
        <v>19744</v>
      </c>
      <c r="K8090" s="67"/>
      <c r="O8090" s="62" t="s">
        <v>208</v>
      </c>
      <c r="P8090" s="58" t="s">
        <v>57</v>
      </c>
      <c r="Q8090" s="45" t="s">
        <v>78</v>
      </c>
      <c r="R8090" s="45" t="s">
        <v>272</v>
      </c>
    </row>
    <row r="8091" spans="1:18" ht="69" customHeight="1">
      <c r="B8091" s="62">
        <f t="shared" si="52"/>
        <v>5220</v>
      </c>
      <c r="C8091" s="59" t="s">
        <v>458</v>
      </c>
      <c r="D8091" s="84" t="s">
        <v>16553</v>
      </c>
      <c r="E8091" s="45" t="s">
        <v>19745</v>
      </c>
      <c r="F8091" s="45" t="s">
        <v>19746</v>
      </c>
      <c r="G8091" s="45" t="s">
        <v>19747</v>
      </c>
      <c r="H8091" s="546">
        <v>195714.27</v>
      </c>
      <c r="I8091" s="47">
        <v>45366</v>
      </c>
      <c r="J8091" s="73" t="s">
        <v>19748</v>
      </c>
      <c r="K8091" s="45"/>
      <c r="O8091" s="62" t="s">
        <v>147</v>
      </c>
      <c r="P8091" s="58" t="s">
        <v>22</v>
      </c>
      <c r="Q8091" s="45" t="s">
        <v>103</v>
      </c>
      <c r="R8091" s="45" t="s">
        <v>272</v>
      </c>
    </row>
    <row r="8092" spans="1:18" s="98" customFormat="1" ht="69" customHeight="1">
      <c r="A8092" s="169"/>
      <c r="B8092" s="48">
        <f t="shared" si="52"/>
        <v>5221</v>
      </c>
      <c r="C8092" s="59" t="s">
        <v>458</v>
      </c>
      <c r="D8092" s="84" t="s">
        <v>19749</v>
      </c>
      <c r="E8092" s="45" t="s">
        <v>19745</v>
      </c>
      <c r="F8092" s="45" t="s">
        <v>19750</v>
      </c>
      <c r="G8092" s="45" t="s">
        <v>19751</v>
      </c>
      <c r="H8092" s="546">
        <v>105384.61</v>
      </c>
      <c r="I8092" s="47">
        <v>45366</v>
      </c>
      <c r="J8092" s="73" t="s">
        <v>19748</v>
      </c>
      <c r="K8092" s="45"/>
      <c r="O8092" s="48" t="s">
        <v>147</v>
      </c>
      <c r="P8092" s="45" t="s">
        <v>22</v>
      </c>
      <c r="Q8092" s="45" t="s">
        <v>103</v>
      </c>
      <c r="R8092" s="45" t="s">
        <v>272</v>
      </c>
    </row>
    <row r="8093" spans="1:18" ht="69" customHeight="1">
      <c r="B8093" s="48">
        <f t="shared" si="52"/>
        <v>5222</v>
      </c>
      <c r="C8093" s="59" t="s">
        <v>458</v>
      </c>
      <c r="D8093" s="84" t="s">
        <v>19752</v>
      </c>
      <c r="E8093" s="45" t="s">
        <v>19745</v>
      </c>
      <c r="F8093" s="45" t="s">
        <v>19753</v>
      </c>
      <c r="G8093" s="45" t="s">
        <v>19754</v>
      </c>
      <c r="H8093" s="546">
        <v>23217.81</v>
      </c>
      <c r="I8093" s="47">
        <v>45366</v>
      </c>
      <c r="J8093" s="73" t="s">
        <v>19755</v>
      </c>
      <c r="K8093" s="45"/>
      <c r="O8093" s="62" t="s">
        <v>147</v>
      </c>
      <c r="P8093" s="58" t="s">
        <v>22</v>
      </c>
      <c r="Q8093" s="45" t="s">
        <v>112</v>
      </c>
      <c r="R8093" s="45" t="s">
        <v>272</v>
      </c>
    </row>
    <row r="8094" spans="1:18" ht="69" customHeight="1">
      <c r="B8094" s="48">
        <f t="shared" si="52"/>
        <v>5223</v>
      </c>
      <c r="C8094" s="59" t="s">
        <v>458</v>
      </c>
      <c r="D8094" s="84" t="s">
        <v>19756</v>
      </c>
      <c r="E8094" s="45" t="s">
        <v>19745</v>
      </c>
      <c r="F8094" s="45" t="s">
        <v>19757</v>
      </c>
      <c r="G8094" s="45" t="s">
        <v>19758</v>
      </c>
      <c r="H8094" s="546">
        <v>12501.9</v>
      </c>
      <c r="I8094" s="47">
        <v>45366</v>
      </c>
      <c r="J8094" s="73" t="s">
        <v>19755</v>
      </c>
      <c r="K8094" s="45"/>
      <c r="O8094" s="62" t="s">
        <v>147</v>
      </c>
      <c r="P8094" s="58" t="s">
        <v>22</v>
      </c>
      <c r="Q8094" s="45" t="s">
        <v>112</v>
      </c>
      <c r="R8094" s="45" t="s">
        <v>272</v>
      </c>
    </row>
    <row r="8095" spans="1:18" ht="69" customHeight="1">
      <c r="B8095" s="259">
        <f t="shared" si="52"/>
        <v>5224</v>
      </c>
      <c r="C8095" s="207" t="s">
        <v>19759</v>
      </c>
      <c r="D8095" s="303" t="s">
        <v>2933</v>
      </c>
      <c r="E8095" s="207" t="s">
        <v>266</v>
      </c>
      <c r="F8095" s="160" t="s">
        <v>19760</v>
      </c>
      <c r="G8095" s="160" t="s">
        <v>19761</v>
      </c>
      <c r="H8095" s="300">
        <v>9877.26</v>
      </c>
      <c r="I8095" s="209">
        <v>45366</v>
      </c>
      <c r="J8095" s="316" t="s">
        <v>19762</v>
      </c>
      <c r="K8095" s="160" t="s">
        <v>11084</v>
      </c>
      <c r="O8095" s="259" t="s">
        <v>19763</v>
      </c>
      <c r="P8095" s="160" t="s">
        <v>67</v>
      </c>
      <c r="Q8095" s="160" t="s">
        <v>96</v>
      </c>
      <c r="R8095" s="160" t="s">
        <v>272</v>
      </c>
    </row>
    <row r="8096" spans="1:18" ht="69" customHeight="1">
      <c r="B8096" s="259">
        <f t="shared" si="52"/>
        <v>5225</v>
      </c>
      <c r="C8096" s="160" t="s">
        <v>19764</v>
      </c>
      <c r="D8096" s="303" t="s">
        <v>337</v>
      </c>
      <c r="E8096" s="207" t="s">
        <v>266</v>
      </c>
      <c r="F8096" s="160" t="s">
        <v>19765</v>
      </c>
      <c r="G8096" s="160" t="s">
        <v>19766</v>
      </c>
      <c r="H8096" s="300">
        <v>24000</v>
      </c>
      <c r="I8096" s="209">
        <v>45366</v>
      </c>
      <c r="J8096" s="316" t="s">
        <v>19767</v>
      </c>
      <c r="K8096" s="160" t="s">
        <v>11084</v>
      </c>
      <c r="O8096" s="259" t="s">
        <v>5969</v>
      </c>
      <c r="P8096" s="160" t="s">
        <v>67</v>
      </c>
      <c r="Q8096" s="160" t="s">
        <v>96</v>
      </c>
      <c r="R8096" s="160" t="s">
        <v>272</v>
      </c>
    </row>
    <row r="8097" spans="1:18" ht="69" customHeight="1">
      <c r="B8097" s="62">
        <f t="shared" si="52"/>
        <v>5226</v>
      </c>
      <c r="C8097" s="128" t="s">
        <v>581</v>
      </c>
      <c r="D8097" s="545" t="s">
        <v>19039</v>
      </c>
      <c r="E8097" s="58" t="s">
        <v>17521</v>
      </c>
      <c r="F8097" s="58" t="s">
        <v>19768</v>
      </c>
      <c r="G8097" s="58" t="s">
        <v>19769</v>
      </c>
      <c r="H8097" s="546">
        <v>27000</v>
      </c>
      <c r="I8097" s="66">
        <v>45376</v>
      </c>
      <c r="J8097" s="73" t="s">
        <v>19770</v>
      </c>
      <c r="K8097" s="67"/>
      <c r="O8097" s="62" t="s">
        <v>441</v>
      </c>
      <c r="P8097" s="58" t="s">
        <v>22</v>
      </c>
      <c r="Q8097" s="45" t="s">
        <v>18</v>
      </c>
      <c r="R8097" s="45" t="s">
        <v>265</v>
      </c>
    </row>
    <row r="8098" spans="1:18" s="98" customFormat="1" ht="69" customHeight="1">
      <c r="A8098" s="169"/>
      <c r="B8098" s="48">
        <f t="shared" si="52"/>
        <v>5227</v>
      </c>
      <c r="C8098" s="128" t="s">
        <v>581</v>
      </c>
      <c r="D8098" s="84" t="s">
        <v>14474</v>
      </c>
      <c r="E8098" s="45" t="s">
        <v>17521</v>
      </c>
      <c r="F8098" s="45" t="s">
        <v>19771</v>
      </c>
      <c r="G8098" s="45" t="s">
        <v>19772</v>
      </c>
      <c r="H8098" s="546">
        <v>33300</v>
      </c>
      <c r="I8098" s="47">
        <v>45376</v>
      </c>
      <c r="J8098" s="73" t="s">
        <v>19773</v>
      </c>
      <c r="K8098" s="45"/>
      <c r="O8098" s="48" t="s">
        <v>441</v>
      </c>
      <c r="P8098" s="45" t="s">
        <v>22</v>
      </c>
      <c r="Q8098" s="45" t="s">
        <v>18</v>
      </c>
      <c r="R8098" s="45" t="s">
        <v>265</v>
      </c>
    </row>
    <row r="8099" spans="1:18" s="98" customFormat="1" ht="69" customHeight="1">
      <c r="A8099" s="169"/>
      <c r="B8099" s="48">
        <f t="shared" si="52"/>
        <v>5228</v>
      </c>
      <c r="C8099" s="128" t="s">
        <v>581</v>
      </c>
      <c r="D8099" s="84" t="s">
        <v>19043</v>
      </c>
      <c r="E8099" s="45" t="s">
        <v>17521</v>
      </c>
      <c r="F8099" s="45" t="s">
        <v>19774</v>
      </c>
      <c r="G8099" s="45" t="s">
        <v>19775</v>
      </c>
      <c r="H8099" s="546">
        <v>51167</v>
      </c>
      <c r="I8099" s="47">
        <v>45376</v>
      </c>
      <c r="J8099" s="73" t="s">
        <v>19776</v>
      </c>
      <c r="K8099" s="45"/>
      <c r="O8099" s="62" t="s">
        <v>441</v>
      </c>
      <c r="P8099" s="58" t="s">
        <v>22</v>
      </c>
      <c r="Q8099" s="45" t="s">
        <v>18</v>
      </c>
      <c r="R8099" s="45" t="s">
        <v>265</v>
      </c>
    </row>
    <row r="8100" spans="1:18" s="98" customFormat="1" ht="69" customHeight="1">
      <c r="A8100" s="169"/>
      <c r="B8100" s="48">
        <f t="shared" si="52"/>
        <v>5229</v>
      </c>
      <c r="C8100" s="128" t="s">
        <v>581</v>
      </c>
      <c r="D8100" s="84" t="s">
        <v>15258</v>
      </c>
      <c r="E8100" s="58" t="s">
        <v>17367</v>
      </c>
      <c r="F8100" s="45" t="s">
        <v>19777</v>
      </c>
      <c r="G8100" s="45" t="s">
        <v>19778</v>
      </c>
      <c r="H8100" s="546">
        <v>100000</v>
      </c>
      <c r="I8100" s="47">
        <v>45376</v>
      </c>
      <c r="J8100" s="73" t="s">
        <v>19779</v>
      </c>
      <c r="K8100" s="45"/>
      <c r="O8100" s="48" t="s">
        <v>175</v>
      </c>
      <c r="P8100" s="45" t="s">
        <v>59</v>
      </c>
      <c r="Q8100" s="45" t="s">
        <v>18</v>
      </c>
      <c r="R8100" s="45" t="s">
        <v>265</v>
      </c>
    </row>
    <row r="8101" spans="1:18" ht="69" customHeight="1">
      <c r="B8101" s="62">
        <f t="shared" si="52"/>
        <v>5230</v>
      </c>
      <c r="C8101" s="58" t="s">
        <v>9545</v>
      </c>
      <c r="D8101" s="545" t="s">
        <v>16575</v>
      </c>
      <c r="E8101" s="58" t="s">
        <v>19780</v>
      </c>
      <c r="F8101" s="45" t="s">
        <v>19781</v>
      </c>
      <c r="G8101" s="58" t="s">
        <v>19782</v>
      </c>
      <c r="H8101" s="546">
        <v>348662.14</v>
      </c>
      <c r="I8101" s="47">
        <v>45376</v>
      </c>
      <c r="J8101" s="73" t="s">
        <v>19783</v>
      </c>
      <c r="K8101" s="67"/>
      <c r="O8101" s="62" t="s">
        <v>18678</v>
      </c>
      <c r="P8101" s="58" t="s">
        <v>57</v>
      </c>
      <c r="Q8101" s="45" t="s">
        <v>117</v>
      </c>
      <c r="R8101" s="45" t="s">
        <v>272</v>
      </c>
    </row>
    <row r="8102" spans="1:18" s="98" customFormat="1" ht="69" customHeight="1">
      <c r="A8102" s="169"/>
      <c r="B8102" s="48">
        <f t="shared" si="52"/>
        <v>5231</v>
      </c>
      <c r="C8102" s="128" t="s">
        <v>581</v>
      </c>
      <c r="D8102" s="84" t="s">
        <v>19141</v>
      </c>
      <c r="E8102" s="58" t="s">
        <v>17367</v>
      </c>
      <c r="F8102" s="45" t="s">
        <v>19784</v>
      </c>
      <c r="G8102" s="45" t="s">
        <v>19785</v>
      </c>
      <c r="H8102" s="546">
        <v>150000</v>
      </c>
      <c r="I8102" s="47">
        <v>45376</v>
      </c>
      <c r="J8102" s="73" t="s">
        <v>19786</v>
      </c>
      <c r="K8102" s="45"/>
      <c r="O8102" s="48" t="s">
        <v>175</v>
      </c>
      <c r="P8102" s="45" t="s">
        <v>57</v>
      </c>
      <c r="Q8102" s="45" t="s">
        <v>18</v>
      </c>
      <c r="R8102" s="45" t="s">
        <v>265</v>
      </c>
    </row>
    <row r="8103" spans="1:18" ht="69" customHeight="1">
      <c r="B8103" s="52">
        <f t="shared" si="52"/>
        <v>5232</v>
      </c>
      <c r="C8103" s="270" t="s">
        <v>581</v>
      </c>
      <c r="D8103" s="251" t="s">
        <v>19049</v>
      </c>
      <c r="E8103" s="191" t="s">
        <v>266</v>
      </c>
      <c r="F8103" s="46" t="s">
        <v>19787</v>
      </c>
      <c r="G8103" s="46" t="s">
        <v>19788</v>
      </c>
      <c r="H8103" s="534">
        <v>68994.850000000006</v>
      </c>
      <c r="I8103" s="56">
        <v>45376</v>
      </c>
      <c r="J8103" s="199" t="s">
        <v>19789</v>
      </c>
      <c r="K8103" s="46"/>
      <c r="O8103" s="52" t="s">
        <v>175</v>
      </c>
      <c r="P8103" s="46" t="s">
        <v>65</v>
      </c>
      <c r="Q8103" s="46" t="s">
        <v>18</v>
      </c>
      <c r="R8103" s="46" t="s">
        <v>272</v>
      </c>
    </row>
    <row r="8104" spans="1:18" ht="69" customHeight="1">
      <c r="B8104" s="259">
        <f t="shared" si="52"/>
        <v>5233</v>
      </c>
      <c r="C8104" s="207" t="s">
        <v>458</v>
      </c>
      <c r="D8104" s="303" t="s">
        <v>19790</v>
      </c>
      <c r="E8104" s="207" t="s">
        <v>266</v>
      </c>
      <c r="F8104" s="160" t="s">
        <v>19791</v>
      </c>
      <c r="G8104" s="160" t="s">
        <v>19792</v>
      </c>
      <c r="H8104" s="300">
        <v>29575.200000000001</v>
      </c>
      <c r="I8104" s="209">
        <v>45376</v>
      </c>
      <c r="J8104" s="316" t="s">
        <v>19793</v>
      </c>
      <c r="K8104" s="160" t="s">
        <v>19794</v>
      </c>
      <c r="O8104" s="259"/>
      <c r="P8104" s="160" t="s">
        <v>67</v>
      </c>
      <c r="Q8104" s="160" t="s">
        <v>96</v>
      </c>
      <c r="R8104" s="160" t="s">
        <v>272</v>
      </c>
    </row>
    <row r="8105" spans="1:18" ht="69" customHeight="1">
      <c r="B8105" s="52">
        <f t="shared" si="52"/>
        <v>5234</v>
      </c>
      <c r="C8105" s="46" t="s">
        <v>309</v>
      </c>
      <c r="D8105" s="251" t="s">
        <v>15390</v>
      </c>
      <c r="E8105" s="191" t="s">
        <v>266</v>
      </c>
      <c r="F8105" s="46" t="s">
        <v>19795</v>
      </c>
      <c r="G8105" s="46" t="s">
        <v>19796</v>
      </c>
      <c r="H8105" s="534">
        <v>1100</v>
      </c>
      <c r="I8105" s="56">
        <v>45376</v>
      </c>
      <c r="J8105" s="199" t="s">
        <v>19797</v>
      </c>
      <c r="K8105" s="46"/>
      <c r="O8105" s="52" t="s">
        <v>14652</v>
      </c>
      <c r="P8105" s="46" t="s">
        <v>65</v>
      </c>
      <c r="Q8105" s="46" t="s">
        <v>41</v>
      </c>
      <c r="R8105" s="46" t="s">
        <v>272</v>
      </c>
    </row>
    <row r="8106" spans="1:18" ht="69" customHeight="1">
      <c r="B8106" s="52">
        <f t="shared" si="52"/>
        <v>5235</v>
      </c>
      <c r="C8106" s="46" t="s">
        <v>309</v>
      </c>
      <c r="D8106" s="251" t="s">
        <v>15429</v>
      </c>
      <c r="E8106" s="191" t="s">
        <v>266</v>
      </c>
      <c r="F8106" s="46" t="s">
        <v>19798</v>
      </c>
      <c r="G8106" s="46" t="s">
        <v>19796</v>
      </c>
      <c r="H8106" s="534">
        <v>2600</v>
      </c>
      <c r="I8106" s="56">
        <v>45376</v>
      </c>
      <c r="J8106" s="199" t="s">
        <v>19797</v>
      </c>
      <c r="K8106" s="46"/>
      <c r="O8106" s="52" t="s">
        <v>14652</v>
      </c>
      <c r="P8106" s="46" t="s">
        <v>65</v>
      </c>
      <c r="Q8106" s="46" t="s">
        <v>39</v>
      </c>
      <c r="R8106" s="46" t="s">
        <v>272</v>
      </c>
    </row>
    <row r="8107" spans="1:18" ht="69" customHeight="1">
      <c r="B8107" s="52">
        <f t="shared" si="52"/>
        <v>5236</v>
      </c>
      <c r="C8107" s="46" t="s">
        <v>309</v>
      </c>
      <c r="D8107" s="251" t="s">
        <v>19065</v>
      </c>
      <c r="E8107" s="191" t="s">
        <v>266</v>
      </c>
      <c r="F8107" s="46" t="s">
        <v>19799</v>
      </c>
      <c r="G8107" s="46" t="s">
        <v>19796</v>
      </c>
      <c r="H8107" s="534">
        <v>2900</v>
      </c>
      <c r="I8107" s="56">
        <v>45376</v>
      </c>
      <c r="J8107" s="199" t="s">
        <v>19797</v>
      </c>
      <c r="K8107" s="46"/>
      <c r="O8107" s="46" t="s">
        <v>16879</v>
      </c>
      <c r="P8107" s="46" t="s">
        <v>65</v>
      </c>
      <c r="Q8107" s="46" t="s">
        <v>23</v>
      </c>
      <c r="R8107" s="46" t="s">
        <v>272</v>
      </c>
    </row>
    <row r="8108" spans="1:18" ht="69" customHeight="1">
      <c r="B8108" s="52">
        <f t="shared" si="52"/>
        <v>5237</v>
      </c>
      <c r="C8108" s="46" t="s">
        <v>309</v>
      </c>
      <c r="D8108" s="251" t="s">
        <v>15494</v>
      </c>
      <c r="E8108" s="191" t="s">
        <v>266</v>
      </c>
      <c r="F8108" s="46" t="s">
        <v>19800</v>
      </c>
      <c r="G8108" s="46" t="s">
        <v>19796</v>
      </c>
      <c r="H8108" s="534">
        <v>16200</v>
      </c>
      <c r="I8108" s="56">
        <v>45376</v>
      </c>
      <c r="J8108" s="199" t="s">
        <v>19801</v>
      </c>
      <c r="K8108" s="46"/>
      <c r="O8108" s="52" t="s">
        <v>11361</v>
      </c>
      <c r="P8108" s="46" t="s">
        <v>65</v>
      </c>
      <c r="Q8108" s="46" t="s">
        <v>96</v>
      </c>
      <c r="R8108" s="46" t="s">
        <v>272</v>
      </c>
    </row>
    <row r="8109" spans="1:18" ht="69" customHeight="1">
      <c r="B8109" s="62">
        <f t="shared" si="52"/>
        <v>5238</v>
      </c>
      <c r="C8109" s="128" t="s">
        <v>581</v>
      </c>
      <c r="D8109" s="545" t="s">
        <v>19802</v>
      </c>
      <c r="E8109" s="45" t="s">
        <v>15202</v>
      </c>
      <c r="F8109" s="58" t="s">
        <v>19803</v>
      </c>
      <c r="G8109" s="58" t="s">
        <v>19804</v>
      </c>
      <c r="H8109" s="546">
        <v>33612.6</v>
      </c>
      <c r="I8109" s="47">
        <v>45376</v>
      </c>
      <c r="J8109" s="73" t="s">
        <v>19805</v>
      </c>
      <c r="K8109" s="67"/>
      <c r="O8109" s="62" t="s">
        <v>175</v>
      </c>
      <c r="P8109" s="58" t="s">
        <v>59</v>
      </c>
      <c r="Q8109" s="45" t="s">
        <v>18</v>
      </c>
      <c r="R8109" s="45" t="s">
        <v>272</v>
      </c>
    </row>
    <row r="8110" spans="1:18" s="98" customFormat="1" ht="69" customHeight="1">
      <c r="A8110" s="169"/>
      <c r="B8110" s="48">
        <f t="shared" si="52"/>
        <v>5239</v>
      </c>
      <c r="C8110" s="59" t="s">
        <v>458</v>
      </c>
      <c r="D8110" s="84" t="s">
        <v>16687</v>
      </c>
      <c r="E8110" s="45" t="s">
        <v>19806</v>
      </c>
      <c r="F8110" s="45" t="s">
        <v>19807</v>
      </c>
      <c r="G8110" s="45" t="s">
        <v>19808</v>
      </c>
      <c r="H8110" s="546">
        <v>62942.400000000001</v>
      </c>
      <c r="I8110" s="47">
        <v>45376</v>
      </c>
      <c r="J8110" s="73" t="s">
        <v>19809</v>
      </c>
      <c r="K8110" s="45"/>
      <c r="O8110" s="48" t="s">
        <v>141</v>
      </c>
      <c r="P8110" s="45" t="s">
        <v>19</v>
      </c>
      <c r="Q8110" s="45" t="s">
        <v>123</v>
      </c>
      <c r="R8110" s="45" t="s">
        <v>272</v>
      </c>
    </row>
    <row r="8111" spans="1:18" s="98" customFormat="1" ht="69" customHeight="1">
      <c r="A8111" s="169"/>
      <c r="B8111" s="52">
        <f t="shared" si="52"/>
        <v>5240</v>
      </c>
      <c r="C8111" s="46" t="s">
        <v>309</v>
      </c>
      <c r="D8111" s="251" t="s">
        <v>16072</v>
      </c>
      <c r="E8111" s="191" t="s">
        <v>266</v>
      </c>
      <c r="F8111" s="46" t="s">
        <v>19810</v>
      </c>
      <c r="G8111" s="46" t="s">
        <v>19811</v>
      </c>
      <c r="H8111" s="534">
        <v>246</v>
      </c>
      <c r="I8111" s="56">
        <v>45448</v>
      </c>
      <c r="J8111" s="199" t="s">
        <v>19812</v>
      </c>
      <c r="K8111" s="46"/>
      <c r="O8111" s="52" t="s">
        <v>14669</v>
      </c>
      <c r="P8111" s="46" t="s">
        <v>65</v>
      </c>
      <c r="Q8111" s="46" t="s">
        <v>39</v>
      </c>
      <c r="R8111" s="46" t="s">
        <v>272</v>
      </c>
    </row>
    <row r="8112" spans="1:18" ht="69" customHeight="1">
      <c r="B8112" s="52">
        <f t="shared" si="52"/>
        <v>5241</v>
      </c>
      <c r="C8112" s="46" t="s">
        <v>309</v>
      </c>
      <c r="D8112" s="251" t="s">
        <v>15535</v>
      </c>
      <c r="E8112" s="191" t="s">
        <v>266</v>
      </c>
      <c r="F8112" s="46" t="s">
        <v>19813</v>
      </c>
      <c r="G8112" s="46" t="s">
        <v>19814</v>
      </c>
      <c r="H8112" s="534">
        <v>10250</v>
      </c>
      <c r="I8112" s="56">
        <v>45376</v>
      </c>
      <c r="J8112" s="199" t="s">
        <v>19815</v>
      </c>
      <c r="K8112" s="46"/>
      <c r="O8112" s="52" t="s">
        <v>11200</v>
      </c>
      <c r="P8112" s="46" t="s">
        <v>65</v>
      </c>
      <c r="Q8112" s="46" t="s">
        <v>23</v>
      </c>
      <c r="R8112" s="46" t="s">
        <v>272</v>
      </c>
    </row>
    <row r="8113" spans="1:18" s="98" customFormat="1" ht="69" customHeight="1">
      <c r="A8113" s="169"/>
      <c r="B8113" s="52">
        <f t="shared" si="52"/>
        <v>5242</v>
      </c>
      <c r="C8113" s="46" t="s">
        <v>11055</v>
      </c>
      <c r="D8113" s="251" t="s">
        <v>15782</v>
      </c>
      <c r="E8113" s="191" t="s">
        <v>266</v>
      </c>
      <c r="F8113" s="46" t="s">
        <v>19816</v>
      </c>
      <c r="G8113" s="46" t="s">
        <v>19817</v>
      </c>
      <c r="H8113" s="534">
        <v>18000</v>
      </c>
      <c r="I8113" s="56">
        <v>45417</v>
      </c>
      <c r="J8113" s="199" t="s">
        <v>19818</v>
      </c>
      <c r="K8113" s="46"/>
      <c r="O8113" s="52" t="s">
        <v>19819</v>
      </c>
      <c r="P8113" s="46" t="s">
        <v>65</v>
      </c>
      <c r="Q8113" s="46" t="s">
        <v>45</v>
      </c>
      <c r="R8113" s="46" t="s">
        <v>272</v>
      </c>
    </row>
    <row r="8114" spans="1:18" ht="69" customHeight="1">
      <c r="B8114" s="52">
        <f t="shared" si="52"/>
        <v>5243</v>
      </c>
      <c r="C8114" s="191" t="s">
        <v>458</v>
      </c>
      <c r="D8114" s="251" t="s">
        <v>16631</v>
      </c>
      <c r="E8114" s="191" t="s">
        <v>266</v>
      </c>
      <c r="F8114" s="46" t="s">
        <v>19820</v>
      </c>
      <c r="G8114" s="46" t="s">
        <v>19821</v>
      </c>
      <c r="H8114" s="534">
        <v>900</v>
      </c>
      <c r="I8114" s="56">
        <v>45376</v>
      </c>
      <c r="J8114" s="199" t="s">
        <v>19822</v>
      </c>
      <c r="K8114" s="46"/>
      <c r="O8114" s="52" t="s">
        <v>6744</v>
      </c>
      <c r="P8114" s="46" t="s">
        <v>65</v>
      </c>
      <c r="Q8114" s="46" t="s">
        <v>100</v>
      </c>
      <c r="R8114" s="46" t="s">
        <v>272</v>
      </c>
    </row>
    <row r="8115" spans="1:18" ht="69" customHeight="1">
      <c r="B8115" s="62">
        <f t="shared" si="52"/>
        <v>5244</v>
      </c>
      <c r="C8115" s="59" t="s">
        <v>9094</v>
      </c>
      <c r="D8115" s="545" t="s">
        <v>19823</v>
      </c>
      <c r="E8115" s="58" t="s">
        <v>19824</v>
      </c>
      <c r="F8115" s="58" t="s">
        <v>19825</v>
      </c>
      <c r="G8115" s="58" t="s">
        <v>19826</v>
      </c>
      <c r="H8115" s="546">
        <v>19050</v>
      </c>
      <c r="I8115" s="47">
        <v>45376</v>
      </c>
      <c r="J8115" s="73" t="s">
        <v>19827</v>
      </c>
      <c r="K8115" s="67"/>
      <c r="O8115" s="62" t="s">
        <v>16504</v>
      </c>
      <c r="P8115" s="58" t="s">
        <v>44</v>
      </c>
      <c r="Q8115" s="45" t="s">
        <v>112</v>
      </c>
      <c r="R8115" s="45" t="s">
        <v>272</v>
      </c>
    </row>
    <row r="8116" spans="1:18" ht="69" customHeight="1">
      <c r="B8116" s="62">
        <f t="shared" si="52"/>
        <v>5245</v>
      </c>
      <c r="C8116" s="59" t="s">
        <v>458</v>
      </c>
      <c r="D8116" s="545" t="s">
        <v>16646</v>
      </c>
      <c r="E8116" s="58" t="s">
        <v>350</v>
      </c>
      <c r="F8116" s="58" t="s">
        <v>19828</v>
      </c>
      <c r="G8116" s="58" t="s">
        <v>19829</v>
      </c>
      <c r="H8116" s="546">
        <v>363010.31</v>
      </c>
      <c r="I8116" s="47">
        <v>45376</v>
      </c>
      <c r="J8116" s="73" t="s">
        <v>19830</v>
      </c>
      <c r="K8116" s="67"/>
      <c r="O8116" s="62" t="s">
        <v>141</v>
      </c>
      <c r="P8116" s="58" t="s">
        <v>19</v>
      </c>
      <c r="Q8116" s="45" t="s">
        <v>117</v>
      </c>
      <c r="R8116" s="45" t="s">
        <v>265</v>
      </c>
    </row>
    <row r="8117" spans="1:18" s="98" customFormat="1" ht="69" customHeight="1">
      <c r="A8117" s="169"/>
      <c r="B8117" s="62">
        <f t="shared" si="52"/>
        <v>5246</v>
      </c>
      <c r="C8117" s="178" t="s">
        <v>458</v>
      </c>
      <c r="D8117" s="174" t="s">
        <v>19831</v>
      </c>
      <c r="E8117" s="58" t="s">
        <v>350</v>
      </c>
      <c r="F8117" s="58" t="s">
        <v>19832</v>
      </c>
      <c r="G8117" s="58" t="s">
        <v>19833</v>
      </c>
      <c r="H8117" s="552">
        <v>59535</v>
      </c>
      <c r="I8117" s="66">
        <v>45376</v>
      </c>
      <c r="J8117" s="65" t="s">
        <v>19834</v>
      </c>
      <c r="K8117" s="174" t="s">
        <v>15946</v>
      </c>
      <c r="O8117" s="62" t="s">
        <v>141</v>
      </c>
      <c r="P8117" s="58" t="s">
        <v>19</v>
      </c>
      <c r="Q8117" s="58" t="s">
        <v>123</v>
      </c>
      <c r="R8117" s="58" t="s">
        <v>272</v>
      </c>
    </row>
    <row r="8118" spans="1:18" ht="69" customHeight="1">
      <c r="B8118" s="259">
        <f t="shared" si="52"/>
        <v>5247</v>
      </c>
      <c r="C8118" s="207" t="s">
        <v>458</v>
      </c>
      <c r="D8118" s="303" t="s">
        <v>16650</v>
      </c>
      <c r="E8118" s="207" t="s">
        <v>266</v>
      </c>
      <c r="F8118" s="160" t="s">
        <v>19835</v>
      </c>
      <c r="G8118" s="160" t="s">
        <v>19836</v>
      </c>
      <c r="H8118" s="300">
        <v>27219.4</v>
      </c>
      <c r="I8118" s="209">
        <v>45376</v>
      </c>
      <c r="J8118" s="316" t="s">
        <v>19837</v>
      </c>
      <c r="K8118" s="160" t="s">
        <v>19499</v>
      </c>
      <c r="O8118" s="259" t="s">
        <v>17690</v>
      </c>
      <c r="P8118" s="160" t="s">
        <v>67</v>
      </c>
      <c r="Q8118" s="160" t="s">
        <v>117</v>
      </c>
      <c r="R8118" s="160" t="s">
        <v>272</v>
      </c>
    </row>
    <row r="8119" spans="1:18" ht="69" customHeight="1">
      <c r="B8119" s="259">
        <f t="shared" si="52"/>
        <v>5248</v>
      </c>
      <c r="C8119" s="207" t="s">
        <v>458</v>
      </c>
      <c r="D8119" s="303" t="s">
        <v>16644</v>
      </c>
      <c r="E8119" s="207" t="s">
        <v>266</v>
      </c>
      <c r="F8119" s="160" t="s">
        <v>19838</v>
      </c>
      <c r="G8119" s="160" t="s">
        <v>19836</v>
      </c>
      <c r="H8119" s="300">
        <v>27219.4</v>
      </c>
      <c r="I8119" s="209">
        <v>45376</v>
      </c>
      <c r="J8119" s="316" t="s">
        <v>19837</v>
      </c>
      <c r="K8119" s="160" t="s">
        <v>19499</v>
      </c>
      <c r="O8119" s="259" t="s">
        <v>17690</v>
      </c>
      <c r="P8119" s="160" t="s">
        <v>67</v>
      </c>
      <c r="Q8119" s="160" t="s">
        <v>117</v>
      </c>
      <c r="R8119" s="160" t="s">
        <v>272</v>
      </c>
    </row>
    <row r="8120" spans="1:18" ht="69" customHeight="1">
      <c r="B8120" s="62">
        <f t="shared" ref="B8120:B8150" si="53">B8119+1</f>
        <v>5249</v>
      </c>
      <c r="C8120" s="59" t="s">
        <v>657</v>
      </c>
      <c r="D8120" s="545" t="s">
        <v>14275</v>
      </c>
      <c r="E8120" s="58" t="s">
        <v>19839</v>
      </c>
      <c r="F8120" s="58" t="s">
        <v>19840</v>
      </c>
      <c r="G8120" s="58" t="s">
        <v>19841</v>
      </c>
      <c r="H8120" s="546">
        <v>800000</v>
      </c>
      <c r="I8120" s="126">
        <v>45376</v>
      </c>
      <c r="J8120" s="73" t="s">
        <v>19842</v>
      </c>
      <c r="K8120" s="67"/>
      <c r="O8120" s="62" t="s">
        <v>141</v>
      </c>
      <c r="P8120" s="58" t="s">
        <v>19</v>
      </c>
      <c r="Q8120" s="45" t="s">
        <v>104</v>
      </c>
      <c r="R8120" s="45" t="s">
        <v>272</v>
      </c>
    </row>
    <row r="8121" spans="1:18" ht="69" customHeight="1">
      <c r="B8121" s="48">
        <f t="shared" si="53"/>
        <v>5250</v>
      </c>
      <c r="C8121" s="59" t="s">
        <v>7452</v>
      </c>
      <c r="D8121" s="84" t="s">
        <v>16707</v>
      </c>
      <c r="E8121" s="45" t="s">
        <v>19843</v>
      </c>
      <c r="F8121" s="45" t="s">
        <v>19844</v>
      </c>
      <c r="G8121" s="45" t="s">
        <v>19845</v>
      </c>
      <c r="H8121" s="546">
        <v>732334.12</v>
      </c>
      <c r="I8121" s="47">
        <v>45376</v>
      </c>
      <c r="J8121" s="73" t="s">
        <v>19846</v>
      </c>
      <c r="K8121" s="45"/>
      <c r="O8121" s="62" t="s">
        <v>1566</v>
      </c>
      <c r="P8121" s="58" t="s">
        <v>28</v>
      </c>
      <c r="Q8121" s="45" t="s">
        <v>101</v>
      </c>
      <c r="R8121" s="45" t="s">
        <v>272</v>
      </c>
    </row>
    <row r="8122" spans="1:18" ht="69" customHeight="1">
      <c r="B8122" s="62">
        <f t="shared" si="53"/>
        <v>5251</v>
      </c>
      <c r="C8122" s="59" t="s">
        <v>7521</v>
      </c>
      <c r="D8122" s="84" t="s">
        <v>4529</v>
      </c>
      <c r="E8122" s="45" t="s">
        <v>19843</v>
      </c>
      <c r="F8122" s="45" t="s">
        <v>19847</v>
      </c>
      <c r="G8122" s="45" t="s">
        <v>19845</v>
      </c>
      <c r="H8122" s="546">
        <v>732334.12</v>
      </c>
      <c r="I8122" s="47">
        <v>45376</v>
      </c>
      <c r="J8122" s="73" t="s">
        <v>19846</v>
      </c>
      <c r="K8122" s="45"/>
      <c r="O8122" s="62" t="s">
        <v>1566</v>
      </c>
      <c r="P8122" s="58" t="s">
        <v>28</v>
      </c>
      <c r="Q8122" s="45" t="s">
        <v>102</v>
      </c>
      <c r="R8122" s="45" t="s">
        <v>272</v>
      </c>
    </row>
    <row r="8123" spans="1:18" ht="69" customHeight="1">
      <c r="B8123" s="62">
        <f t="shared" si="53"/>
        <v>5252</v>
      </c>
      <c r="C8123" s="44" t="s">
        <v>12295</v>
      </c>
      <c r="D8123" s="545" t="s">
        <v>19848</v>
      </c>
      <c r="E8123" s="45" t="s">
        <v>17212</v>
      </c>
      <c r="F8123" s="45" t="s">
        <v>19849</v>
      </c>
      <c r="G8123" s="45" t="s">
        <v>17214</v>
      </c>
      <c r="H8123" s="546">
        <v>187280</v>
      </c>
      <c r="I8123" s="126">
        <v>45376</v>
      </c>
      <c r="J8123" s="73" t="s">
        <v>19850</v>
      </c>
      <c r="K8123" s="67"/>
      <c r="O8123" s="62" t="s">
        <v>16399</v>
      </c>
      <c r="P8123" s="58" t="s">
        <v>55</v>
      </c>
      <c r="Q8123" s="45" t="s">
        <v>68</v>
      </c>
      <c r="R8123" s="45" t="s">
        <v>272</v>
      </c>
    </row>
    <row r="8124" spans="1:18" ht="69" customHeight="1">
      <c r="B8124" s="62">
        <f t="shared" si="53"/>
        <v>5253</v>
      </c>
      <c r="C8124" s="44" t="s">
        <v>16807</v>
      </c>
      <c r="D8124" s="545" t="s">
        <v>19851</v>
      </c>
      <c r="E8124" s="45" t="s">
        <v>17212</v>
      </c>
      <c r="F8124" s="45" t="s">
        <v>19852</v>
      </c>
      <c r="G8124" s="45" t="s">
        <v>17214</v>
      </c>
      <c r="H8124" s="546">
        <v>192900</v>
      </c>
      <c r="I8124" s="126">
        <v>45376</v>
      </c>
      <c r="J8124" s="73" t="s">
        <v>19850</v>
      </c>
      <c r="K8124" s="67"/>
      <c r="O8124" s="62" t="s">
        <v>16399</v>
      </c>
      <c r="P8124" s="58" t="s">
        <v>55</v>
      </c>
      <c r="Q8124" s="45" t="s">
        <v>70</v>
      </c>
      <c r="R8124" s="45" t="s">
        <v>272</v>
      </c>
    </row>
    <row r="8125" spans="1:18" ht="69" customHeight="1">
      <c r="B8125" s="62">
        <f t="shared" si="53"/>
        <v>5254</v>
      </c>
      <c r="C8125" s="45" t="s">
        <v>6062</v>
      </c>
      <c r="D8125" s="545" t="s">
        <v>19853</v>
      </c>
      <c r="E8125" s="45" t="s">
        <v>17212</v>
      </c>
      <c r="F8125" s="45" t="s">
        <v>19854</v>
      </c>
      <c r="G8125" s="45" t="s">
        <v>17214</v>
      </c>
      <c r="H8125" s="546">
        <v>186130</v>
      </c>
      <c r="I8125" s="126">
        <v>45376</v>
      </c>
      <c r="J8125" s="73" t="s">
        <v>19850</v>
      </c>
      <c r="K8125" s="67"/>
      <c r="O8125" s="62" t="s">
        <v>16399</v>
      </c>
      <c r="P8125" s="58" t="s">
        <v>55</v>
      </c>
      <c r="Q8125" s="45" t="s">
        <v>72</v>
      </c>
      <c r="R8125" s="45" t="s">
        <v>272</v>
      </c>
    </row>
    <row r="8126" spans="1:18" ht="69" customHeight="1">
      <c r="B8126" s="62">
        <f t="shared" si="53"/>
        <v>5255</v>
      </c>
      <c r="C8126" s="45" t="s">
        <v>10947</v>
      </c>
      <c r="D8126" s="545" t="s">
        <v>16674</v>
      </c>
      <c r="E8126" s="45" t="s">
        <v>17212</v>
      </c>
      <c r="F8126" s="45" t="s">
        <v>19855</v>
      </c>
      <c r="G8126" s="45" t="s">
        <v>17214</v>
      </c>
      <c r="H8126" s="546">
        <v>194540</v>
      </c>
      <c r="I8126" s="126">
        <v>45376</v>
      </c>
      <c r="J8126" s="73" t="s">
        <v>19850</v>
      </c>
      <c r="K8126" s="67"/>
      <c r="O8126" s="62" t="s">
        <v>16399</v>
      </c>
      <c r="P8126" s="58" t="s">
        <v>55</v>
      </c>
      <c r="Q8126" s="45" t="s">
        <v>100</v>
      </c>
      <c r="R8126" s="45" t="s">
        <v>272</v>
      </c>
    </row>
    <row r="8127" spans="1:18" ht="69" customHeight="1">
      <c r="B8127" s="62">
        <f t="shared" si="53"/>
        <v>5256</v>
      </c>
      <c r="C8127" s="201" t="s">
        <v>15449</v>
      </c>
      <c r="D8127" s="545" t="s">
        <v>15602</v>
      </c>
      <c r="E8127" s="45" t="s">
        <v>17212</v>
      </c>
      <c r="F8127" s="45" t="s">
        <v>19856</v>
      </c>
      <c r="G8127" s="45" t="s">
        <v>17214</v>
      </c>
      <c r="H8127" s="546">
        <v>180990</v>
      </c>
      <c r="I8127" s="126">
        <v>45376</v>
      </c>
      <c r="J8127" s="73" t="s">
        <v>19850</v>
      </c>
      <c r="K8127" s="67"/>
      <c r="O8127" s="62" t="s">
        <v>16399</v>
      </c>
      <c r="P8127" s="58" t="s">
        <v>55</v>
      </c>
      <c r="Q8127" s="45" t="s">
        <v>41</v>
      </c>
      <c r="R8127" s="45" t="s">
        <v>272</v>
      </c>
    </row>
    <row r="8128" spans="1:18" s="98" customFormat="1" ht="69" customHeight="1">
      <c r="A8128" s="169"/>
      <c r="B8128" s="48">
        <f t="shared" si="53"/>
        <v>5257</v>
      </c>
      <c r="C8128" s="124" t="s">
        <v>15700</v>
      </c>
      <c r="D8128" s="84" t="s">
        <v>15592</v>
      </c>
      <c r="E8128" s="45" t="s">
        <v>17212</v>
      </c>
      <c r="F8128" s="45" t="s">
        <v>19857</v>
      </c>
      <c r="G8128" s="45" t="s">
        <v>17214</v>
      </c>
      <c r="H8128" s="546">
        <v>181105</v>
      </c>
      <c r="I8128" s="47">
        <v>45376</v>
      </c>
      <c r="J8128" s="73" t="s">
        <v>19850</v>
      </c>
      <c r="K8128" s="45"/>
      <c r="O8128" s="48" t="s">
        <v>16399</v>
      </c>
      <c r="P8128" s="45" t="s">
        <v>55</v>
      </c>
      <c r="Q8128" s="45" t="s">
        <v>39</v>
      </c>
      <c r="R8128" s="45" t="s">
        <v>272</v>
      </c>
    </row>
    <row r="8129" spans="2:18" ht="69" customHeight="1">
      <c r="B8129" s="62">
        <f t="shared" si="53"/>
        <v>5258</v>
      </c>
      <c r="C8129" s="58" t="s">
        <v>19651</v>
      </c>
      <c r="D8129" s="545" t="s">
        <v>14083</v>
      </c>
      <c r="E8129" s="45" t="s">
        <v>17212</v>
      </c>
      <c r="F8129" s="45" t="s">
        <v>19858</v>
      </c>
      <c r="G8129" s="45" t="s">
        <v>17214</v>
      </c>
      <c r="H8129" s="546">
        <v>220950</v>
      </c>
      <c r="I8129" s="126">
        <v>45376</v>
      </c>
      <c r="J8129" s="73" t="s">
        <v>19850</v>
      </c>
      <c r="K8129" s="67"/>
      <c r="O8129" s="62" t="s">
        <v>16399</v>
      </c>
      <c r="P8129" s="58" t="s">
        <v>55</v>
      </c>
      <c r="Q8129" s="45" t="s">
        <v>110</v>
      </c>
      <c r="R8129" s="45" t="s">
        <v>272</v>
      </c>
    </row>
    <row r="8130" spans="2:18" ht="69" customHeight="1">
      <c r="B8130" s="62">
        <f t="shared" si="53"/>
        <v>5259</v>
      </c>
      <c r="C8130" s="59" t="s">
        <v>11933</v>
      </c>
      <c r="D8130" s="545" t="s">
        <v>19859</v>
      </c>
      <c r="E8130" s="58" t="s">
        <v>19860</v>
      </c>
      <c r="F8130" s="58" t="s">
        <v>19861</v>
      </c>
      <c r="G8130" s="58" t="s">
        <v>19862</v>
      </c>
      <c r="H8130" s="546">
        <v>51185.42</v>
      </c>
      <c r="I8130" s="126">
        <v>45376</v>
      </c>
      <c r="J8130" s="73" t="s">
        <v>19863</v>
      </c>
      <c r="K8130" s="67"/>
      <c r="O8130" s="62" t="s">
        <v>16639</v>
      </c>
      <c r="P8130" s="58" t="s">
        <v>57</v>
      </c>
      <c r="Q8130" s="45" t="s">
        <v>123</v>
      </c>
      <c r="R8130" s="45" t="s">
        <v>272</v>
      </c>
    </row>
    <row r="8131" spans="2:18" ht="69" customHeight="1">
      <c r="B8131" s="62">
        <f t="shared" si="53"/>
        <v>5260</v>
      </c>
      <c r="C8131" s="59" t="s">
        <v>1593</v>
      </c>
      <c r="D8131" s="545" t="s">
        <v>15471</v>
      </c>
      <c r="E8131" s="58" t="s">
        <v>19864</v>
      </c>
      <c r="F8131" s="58" t="s">
        <v>19865</v>
      </c>
      <c r="G8131" s="58" t="s">
        <v>19866</v>
      </c>
      <c r="H8131" s="546">
        <v>48000</v>
      </c>
      <c r="I8131" s="126">
        <v>45376</v>
      </c>
      <c r="J8131" s="73" t="s">
        <v>19867</v>
      </c>
      <c r="K8131" s="67"/>
      <c r="O8131" s="62" t="s">
        <v>141</v>
      </c>
      <c r="P8131" s="58" t="s">
        <v>19</v>
      </c>
      <c r="Q8131" s="45" t="s">
        <v>27</v>
      </c>
      <c r="R8131" s="45" t="s">
        <v>265</v>
      </c>
    </row>
    <row r="8132" spans="2:18" ht="69" customHeight="1">
      <c r="B8132" s="52">
        <f t="shared" si="53"/>
        <v>5261</v>
      </c>
      <c r="C8132" s="191" t="s">
        <v>9094</v>
      </c>
      <c r="D8132" s="251" t="s">
        <v>19868</v>
      </c>
      <c r="E8132" s="191" t="s">
        <v>266</v>
      </c>
      <c r="F8132" s="191" t="s">
        <v>19869</v>
      </c>
      <c r="G8132" s="211" t="s">
        <v>19870</v>
      </c>
      <c r="H8132" s="534">
        <v>31020</v>
      </c>
      <c r="I8132" s="56">
        <v>45371</v>
      </c>
      <c r="J8132" s="199" t="s">
        <v>19871</v>
      </c>
      <c r="K8132" s="46" t="s">
        <v>5103</v>
      </c>
      <c r="O8132" s="52"/>
      <c r="P8132" s="46" t="s">
        <v>65</v>
      </c>
      <c r="Q8132" s="46" t="s">
        <v>112</v>
      </c>
      <c r="R8132" s="46" t="s">
        <v>272</v>
      </c>
    </row>
    <row r="8133" spans="2:18" ht="69" customHeight="1">
      <c r="B8133" s="62">
        <f t="shared" si="53"/>
        <v>5262</v>
      </c>
      <c r="C8133" s="59" t="s">
        <v>15650</v>
      </c>
      <c r="D8133" s="84" t="s">
        <v>19872</v>
      </c>
      <c r="E8133" s="45" t="s">
        <v>19843</v>
      </c>
      <c r="F8133" s="45" t="s">
        <v>19873</v>
      </c>
      <c r="G8133" s="45" t="s">
        <v>19845</v>
      </c>
      <c r="H8133" s="546">
        <v>732334.12</v>
      </c>
      <c r="I8133" s="126">
        <v>45376</v>
      </c>
      <c r="J8133" s="73" t="s">
        <v>19874</v>
      </c>
      <c r="K8133" s="62"/>
      <c r="L8133" s="99"/>
      <c r="M8133" s="64" t="s">
        <v>1566</v>
      </c>
      <c r="N8133" s="63" t="s">
        <v>28</v>
      </c>
      <c r="O8133" s="62" t="s">
        <v>1566</v>
      </c>
      <c r="P8133" s="58" t="s">
        <v>28</v>
      </c>
      <c r="Q8133" s="45" t="s">
        <v>56</v>
      </c>
      <c r="R8133" s="45" t="s">
        <v>272</v>
      </c>
    </row>
    <row r="8134" spans="2:18" ht="69" customHeight="1">
      <c r="B8134" s="48">
        <f t="shared" si="53"/>
        <v>5263</v>
      </c>
      <c r="C8134" s="59" t="s">
        <v>19875</v>
      </c>
      <c r="D8134" s="84" t="s">
        <v>19876</v>
      </c>
      <c r="E8134" s="45" t="s">
        <v>19843</v>
      </c>
      <c r="F8134" s="45" t="s">
        <v>19877</v>
      </c>
      <c r="G8134" s="45" t="s">
        <v>19845</v>
      </c>
      <c r="H8134" s="546">
        <v>732334.12</v>
      </c>
      <c r="I8134" s="47">
        <v>45376</v>
      </c>
      <c r="J8134" s="73" t="s">
        <v>19874</v>
      </c>
      <c r="K8134" s="45"/>
      <c r="L8134" s="99"/>
      <c r="M8134" s="64" t="s">
        <v>1566</v>
      </c>
      <c r="N8134" s="63" t="s">
        <v>28</v>
      </c>
      <c r="O8134" s="62" t="s">
        <v>1566</v>
      </c>
      <c r="P8134" s="58" t="s">
        <v>28</v>
      </c>
      <c r="Q8134" s="45" t="s">
        <v>58</v>
      </c>
      <c r="R8134" s="45" t="s">
        <v>272</v>
      </c>
    </row>
    <row r="8135" spans="2:18" ht="69" customHeight="1">
      <c r="B8135" s="62">
        <f t="shared" si="53"/>
        <v>5264</v>
      </c>
      <c r="C8135" s="59" t="s">
        <v>3667</v>
      </c>
      <c r="D8135" s="545" t="s">
        <v>19878</v>
      </c>
      <c r="E8135" s="58" t="s">
        <v>15522</v>
      </c>
      <c r="F8135" s="45" t="s">
        <v>19879</v>
      </c>
      <c r="G8135" s="58" t="s">
        <v>19880</v>
      </c>
      <c r="H8135" s="546">
        <v>3780</v>
      </c>
      <c r="I8135" s="126">
        <v>45376</v>
      </c>
      <c r="J8135" s="73" t="s">
        <v>19881</v>
      </c>
      <c r="K8135" s="67"/>
      <c r="O8135" s="62" t="s">
        <v>10607</v>
      </c>
      <c r="P8135" s="58" t="s">
        <v>22</v>
      </c>
      <c r="Q8135" s="45" t="s">
        <v>66</v>
      </c>
      <c r="R8135" s="45" t="s">
        <v>265</v>
      </c>
    </row>
    <row r="8136" spans="2:18" ht="69" customHeight="1">
      <c r="B8136" s="48">
        <f t="shared" si="53"/>
        <v>5265</v>
      </c>
      <c r="C8136" s="59" t="s">
        <v>458</v>
      </c>
      <c r="D8136" s="84" t="s">
        <v>16834</v>
      </c>
      <c r="E8136" s="45" t="s">
        <v>11417</v>
      </c>
      <c r="F8136" s="45" t="s">
        <v>19882</v>
      </c>
      <c r="G8136" s="45" t="s">
        <v>19883</v>
      </c>
      <c r="H8136" s="546">
        <v>143000</v>
      </c>
      <c r="I8136" s="47">
        <v>45387</v>
      </c>
      <c r="J8136" s="73" t="s">
        <v>19884</v>
      </c>
      <c r="K8136" s="45"/>
      <c r="O8136" s="62" t="s">
        <v>147</v>
      </c>
      <c r="P8136" s="58" t="s">
        <v>22</v>
      </c>
      <c r="Q8136" s="45" t="s">
        <v>122</v>
      </c>
      <c r="R8136" s="45" t="s">
        <v>265</v>
      </c>
    </row>
    <row r="8137" spans="2:18" ht="69" customHeight="1">
      <c r="B8137" s="62">
        <f t="shared" si="53"/>
        <v>5266</v>
      </c>
      <c r="C8137" s="128" t="s">
        <v>581</v>
      </c>
      <c r="D8137" s="545" t="s">
        <v>19885</v>
      </c>
      <c r="E8137" s="58" t="s">
        <v>17521</v>
      </c>
      <c r="F8137" s="58" t="s">
        <v>19886</v>
      </c>
      <c r="G8137" s="58" t="s">
        <v>19887</v>
      </c>
      <c r="H8137" s="546">
        <v>25536</v>
      </c>
      <c r="I8137" s="126">
        <v>45376</v>
      </c>
      <c r="J8137" s="73" t="s">
        <v>19888</v>
      </c>
      <c r="K8137" s="67"/>
      <c r="O8137" s="62" t="s">
        <v>441</v>
      </c>
      <c r="P8137" s="58" t="s">
        <v>22</v>
      </c>
      <c r="Q8137" s="45" t="s">
        <v>18</v>
      </c>
      <c r="R8137" s="45" t="s">
        <v>265</v>
      </c>
    </row>
    <row r="8138" spans="2:18" ht="69" customHeight="1">
      <c r="B8138" s="48">
        <f t="shared" si="53"/>
        <v>5267</v>
      </c>
      <c r="C8138" s="59" t="s">
        <v>11908</v>
      </c>
      <c r="D8138" s="84" t="s">
        <v>16683</v>
      </c>
      <c r="E8138" s="45" t="s">
        <v>358</v>
      </c>
      <c r="F8138" s="45" t="s">
        <v>19889</v>
      </c>
      <c r="G8138" s="45" t="s">
        <v>19890</v>
      </c>
      <c r="H8138" s="546">
        <v>300000</v>
      </c>
      <c r="I8138" s="47">
        <v>45376</v>
      </c>
      <c r="J8138" s="73" t="s">
        <v>19891</v>
      </c>
      <c r="K8138" s="45"/>
      <c r="O8138" s="62" t="s">
        <v>141</v>
      </c>
      <c r="P8138" s="58" t="s">
        <v>19</v>
      </c>
      <c r="Q8138" s="45" t="s">
        <v>103</v>
      </c>
      <c r="R8138" s="45" t="s">
        <v>272</v>
      </c>
    </row>
    <row r="8139" spans="2:18" ht="69" customHeight="1">
      <c r="B8139" s="48">
        <f t="shared" si="53"/>
        <v>5268</v>
      </c>
      <c r="C8139" s="45" t="s">
        <v>309</v>
      </c>
      <c r="D8139" s="84" t="s">
        <v>15600</v>
      </c>
      <c r="E8139" s="45" t="s">
        <v>18110</v>
      </c>
      <c r="F8139" s="45" t="s">
        <v>19892</v>
      </c>
      <c r="G8139" s="45" t="s">
        <v>19893</v>
      </c>
      <c r="H8139" s="198">
        <v>3862.63</v>
      </c>
      <c r="I8139" s="47">
        <v>45376</v>
      </c>
      <c r="J8139" s="73" t="s">
        <v>19894</v>
      </c>
      <c r="K8139" s="45"/>
      <c r="O8139" s="62" t="s">
        <v>150</v>
      </c>
      <c r="P8139" s="58" t="s">
        <v>51</v>
      </c>
      <c r="Q8139" s="45" t="s">
        <v>41</v>
      </c>
      <c r="R8139" s="45" t="s">
        <v>272</v>
      </c>
    </row>
    <row r="8140" spans="2:18" ht="69" customHeight="1">
      <c r="B8140" s="52">
        <f t="shared" si="53"/>
        <v>5269</v>
      </c>
      <c r="C8140" s="51" t="s">
        <v>10639</v>
      </c>
      <c r="D8140" s="251" t="s">
        <v>19895</v>
      </c>
      <c r="E8140" s="191" t="s">
        <v>266</v>
      </c>
      <c r="F8140" s="46" t="s">
        <v>19896</v>
      </c>
      <c r="G8140" s="46" t="s">
        <v>19897</v>
      </c>
      <c r="H8140" s="534">
        <v>11390</v>
      </c>
      <c r="I8140" s="56">
        <v>45376</v>
      </c>
      <c r="J8140" s="199" t="s">
        <v>19898</v>
      </c>
      <c r="K8140" s="46"/>
      <c r="O8140" s="52" t="s">
        <v>19899</v>
      </c>
      <c r="P8140" s="46" t="s">
        <v>65</v>
      </c>
      <c r="Q8140" s="46" t="s">
        <v>93</v>
      </c>
      <c r="R8140" s="46" t="s">
        <v>272</v>
      </c>
    </row>
    <row r="8141" spans="2:18" ht="69" customHeight="1">
      <c r="B8141" s="52">
        <f t="shared" si="53"/>
        <v>5270</v>
      </c>
      <c r="C8141" s="51" t="s">
        <v>10634</v>
      </c>
      <c r="D8141" s="251" t="s">
        <v>19900</v>
      </c>
      <c r="E8141" s="191" t="s">
        <v>266</v>
      </c>
      <c r="F8141" s="46" t="s">
        <v>19901</v>
      </c>
      <c r="G8141" s="46" t="s">
        <v>19897</v>
      </c>
      <c r="H8141" s="534">
        <v>11390</v>
      </c>
      <c r="I8141" s="56">
        <v>45376</v>
      </c>
      <c r="J8141" s="199" t="s">
        <v>19898</v>
      </c>
      <c r="K8141" s="46"/>
      <c r="O8141" s="52" t="s">
        <v>19899</v>
      </c>
      <c r="P8141" s="46" t="s">
        <v>65</v>
      </c>
      <c r="Q8141" s="46" t="s">
        <v>95</v>
      </c>
      <c r="R8141" s="46" t="s">
        <v>272</v>
      </c>
    </row>
    <row r="8142" spans="2:18" ht="69" customHeight="1">
      <c r="B8142" s="48">
        <f t="shared" si="53"/>
        <v>5271</v>
      </c>
      <c r="C8142" s="59" t="s">
        <v>5558</v>
      </c>
      <c r="D8142" s="84" t="s">
        <v>19902</v>
      </c>
      <c r="E8142" s="45" t="s">
        <v>19903</v>
      </c>
      <c r="F8142" s="45" t="s">
        <v>19904</v>
      </c>
      <c r="G8142" s="45" t="s">
        <v>19905</v>
      </c>
      <c r="H8142" s="546">
        <v>142400</v>
      </c>
      <c r="I8142" s="47">
        <v>45376</v>
      </c>
      <c r="J8142" s="73" t="s">
        <v>19906</v>
      </c>
      <c r="K8142" s="45"/>
      <c r="O8142" s="62" t="s">
        <v>441</v>
      </c>
      <c r="P8142" s="58" t="s">
        <v>22</v>
      </c>
      <c r="Q8142" s="45" t="s">
        <v>64</v>
      </c>
      <c r="R8142" s="45" t="s">
        <v>272</v>
      </c>
    </row>
    <row r="8143" spans="2:18" ht="69" customHeight="1">
      <c r="B8143" s="48">
        <f t="shared" si="53"/>
        <v>5272</v>
      </c>
      <c r="C8143" s="59" t="s">
        <v>13435</v>
      </c>
      <c r="D8143" s="84" t="s">
        <v>19907</v>
      </c>
      <c r="E8143" s="45" t="s">
        <v>19908</v>
      </c>
      <c r="F8143" s="45" t="s">
        <v>19909</v>
      </c>
      <c r="G8143" s="45" t="s">
        <v>19905</v>
      </c>
      <c r="H8143" s="546">
        <v>139959.75</v>
      </c>
      <c r="I8143" s="47">
        <v>45376</v>
      </c>
      <c r="J8143" s="73" t="s">
        <v>19906</v>
      </c>
      <c r="K8143" s="45"/>
      <c r="O8143" s="62" t="s">
        <v>441</v>
      </c>
      <c r="P8143" s="58" t="s">
        <v>22</v>
      </c>
      <c r="Q8143" s="45" t="s">
        <v>13</v>
      </c>
      <c r="R8143" s="45" t="s">
        <v>272</v>
      </c>
    </row>
    <row r="8144" spans="2:18" ht="69" customHeight="1">
      <c r="B8144" s="62">
        <f t="shared" si="53"/>
        <v>5273</v>
      </c>
      <c r="C8144" s="59" t="s">
        <v>581</v>
      </c>
      <c r="D8144" s="545" t="s">
        <v>19910</v>
      </c>
      <c r="E8144" s="58" t="s">
        <v>17521</v>
      </c>
      <c r="F8144" s="58" t="s">
        <v>19911</v>
      </c>
      <c r="G8144" s="58" t="s">
        <v>19912</v>
      </c>
      <c r="H8144" s="546">
        <v>25000</v>
      </c>
      <c r="I8144" s="126">
        <v>45376</v>
      </c>
      <c r="J8144" s="73" t="s">
        <v>19913</v>
      </c>
      <c r="K8144" s="67"/>
      <c r="O8144" s="62" t="s">
        <v>441</v>
      </c>
      <c r="P8144" s="58" t="s">
        <v>22</v>
      </c>
      <c r="Q8144" s="45" t="s">
        <v>18</v>
      </c>
      <c r="R8144" s="45" t="s">
        <v>265</v>
      </c>
    </row>
    <row r="8145" spans="1:18" ht="69" customHeight="1">
      <c r="B8145" s="48">
        <f t="shared" si="53"/>
        <v>5274</v>
      </c>
      <c r="C8145" s="59" t="s">
        <v>16106</v>
      </c>
      <c r="D8145" s="84" t="s">
        <v>15645</v>
      </c>
      <c r="E8145" s="45" t="s">
        <v>19908</v>
      </c>
      <c r="F8145" s="45" t="s">
        <v>19914</v>
      </c>
      <c r="G8145" s="45" t="s">
        <v>19915</v>
      </c>
      <c r="H8145" s="546">
        <v>3002</v>
      </c>
      <c r="I8145" s="47">
        <v>45387</v>
      </c>
      <c r="J8145" s="73" t="s">
        <v>19916</v>
      </c>
      <c r="K8145" s="45"/>
      <c r="O8145" s="62" t="s">
        <v>441</v>
      </c>
      <c r="P8145" s="58" t="s">
        <v>22</v>
      </c>
      <c r="Q8145" s="45" t="s">
        <v>33</v>
      </c>
      <c r="R8145" s="45" t="s">
        <v>272</v>
      </c>
    </row>
    <row r="8146" spans="1:18" ht="69" customHeight="1">
      <c r="B8146" s="261">
        <f t="shared" si="53"/>
        <v>5275</v>
      </c>
      <c r="C8146" s="118" t="s">
        <v>2182</v>
      </c>
      <c r="D8146" s="255" t="s">
        <v>19917</v>
      </c>
      <c r="E8146" s="118" t="s">
        <v>19908</v>
      </c>
      <c r="F8146" s="118" t="s">
        <v>19918</v>
      </c>
      <c r="G8146" s="118" t="s">
        <v>19919</v>
      </c>
      <c r="H8146" s="300">
        <v>143715</v>
      </c>
      <c r="I8146" s="262">
        <v>45387</v>
      </c>
      <c r="J8146" s="258" t="s">
        <v>19916</v>
      </c>
      <c r="K8146" s="118" t="s">
        <v>19920</v>
      </c>
      <c r="O8146" s="259" t="s">
        <v>441</v>
      </c>
      <c r="P8146" s="160" t="s">
        <v>67</v>
      </c>
      <c r="Q8146" s="160" t="s">
        <v>31</v>
      </c>
      <c r="R8146" s="160" t="s">
        <v>272</v>
      </c>
    </row>
    <row r="8147" spans="1:18" ht="69" customHeight="1">
      <c r="B8147" s="261">
        <f t="shared" si="53"/>
        <v>5276</v>
      </c>
      <c r="C8147" s="256" t="s">
        <v>16106</v>
      </c>
      <c r="D8147" s="255" t="s">
        <v>19921</v>
      </c>
      <c r="E8147" s="118" t="s">
        <v>19908</v>
      </c>
      <c r="F8147" s="118" t="s">
        <v>19922</v>
      </c>
      <c r="G8147" s="118" t="s">
        <v>19919</v>
      </c>
      <c r="H8147" s="300">
        <v>123700</v>
      </c>
      <c r="I8147" s="262">
        <v>45387</v>
      </c>
      <c r="J8147" s="258" t="s">
        <v>19916</v>
      </c>
      <c r="K8147" s="118" t="s">
        <v>13479</v>
      </c>
      <c r="O8147" s="259" t="s">
        <v>441</v>
      </c>
      <c r="P8147" s="160" t="s">
        <v>67</v>
      </c>
      <c r="Q8147" s="160" t="s">
        <v>33</v>
      </c>
      <c r="R8147" s="160" t="s">
        <v>272</v>
      </c>
    </row>
    <row r="8148" spans="1:18" s="98" customFormat="1" ht="69" customHeight="1">
      <c r="A8148" s="169"/>
      <c r="B8148" s="48">
        <f t="shared" si="53"/>
        <v>5277</v>
      </c>
      <c r="C8148" s="45" t="s">
        <v>2182</v>
      </c>
      <c r="D8148" s="84" t="s">
        <v>19923</v>
      </c>
      <c r="E8148" s="45" t="s">
        <v>19908</v>
      </c>
      <c r="F8148" s="45" t="s">
        <v>19924</v>
      </c>
      <c r="G8148" s="45" t="s">
        <v>19915</v>
      </c>
      <c r="H8148" s="546">
        <v>63144.43</v>
      </c>
      <c r="I8148" s="47">
        <v>45387</v>
      </c>
      <c r="J8148" s="73" t="s">
        <v>19916</v>
      </c>
      <c r="K8148" s="45"/>
      <c r="O8148" s="48" t="s">
        <v>441</v>
      </c>
      <c r="P8148" s="45" t="s">
        <v>22</v>
      </c>
      <c r="Q8148" s="45" t="s">
        <v>31</v>
      </c>
      <c r="R8148" s="45" t="s">
        <v>272</v>
      </c>
    </row>
    <row r="8149" spans="1:18" ht="69" customHeight="1">
      <c r="B8149" s="261">
        <f t="shared" si="53"/>
        <v>5278</v>
      </c>
      <c r="C8149" s="118" t="s">
        <v>2182</v>
      </c>
      <c r="D8149" s="255" t="s">
        <v>19925</v>
      </c>
      <c r="E8149" s="118" t="s">
        <v>19908</v>
      </c>
      <c r="F8149" s="118" t="s">
        <v>19926</v>
      </c>
      <c r="G8149" s="118" t="s">
        <v>19927</v>
      </c>
      <c r="H8149" s="300">
        <v>66108.899999999994</v>
      </c>
      <c r="I8149" s="262">
        <v>45387</v>
      </c>
      <c r="J8149" s="258" t="s">
        <v>19916</v>
      </c>
      <c r="K8149" s="118" t="s">
        <v>19920</v>
      </c>
      <c r="O8149" s="259" t="s">
        <v>441</v>
      </c>
      <c r="P8149" s="160" t="s">
        <v>67</v>
      </c>
      <c r="Q8149" s="160" t="s">
        <v>31</v>
      </c>
      <c r="R8149" s="160" t="s">
        <v>272</v>
      </c>
    </row>
    <row r="8150" spans="1:18" ht="69" customHeight="1">
      <c r="B8150" s="261">
        <f t="shared" si="53"/>
        <v>5279</v>
      </c>
      <c r="C8150" s="207" t="s">
        <v>458</v>
      </c>
      <c r="D8150" s="303"/>
      <c r="E8150" s="160" t="s">
        <v>19843</v>
      </c>
      <c r="F8150" s="160" t="s">
        <v>19928</v>
      </c>
      <c r="G8150" s="160" t="s">
        <v>19714</v>
      </c>
      <c r="H8150" s="300">
        <v>170234.97</v>
      </c>
      <c r="I8150" s="209">
        <v>45387</v>
      </c>
      <c r="J8150" s="316" t="s">
        <v>19929</v>
      </c>
      <c r="K8150" s="300" t="s">
        <v>19930</v>
      </c>
      <c r="L8150" s="117"/>
      <c r="O8150" s="118" t="s">
        <v>1566</v>
      </c>
      <c r="P8150" s="160" t="s">
        <v>67</v>
      </c>
      <c r="Q8150" s="118" t="s">
        <v>101</v>
      </c>
      <c r="R8150" s="118" t="s">
        <v>272</v>
      </c>
    </row>
    <row r="8151" spans="1:18" ht="69" customHeight="1">
      <c r="B8151" s="261">
        <v>5279</v>
      </c>
      <c r="C8151" s="207" t="s">
        <v>458</v>
      </c>
      <c r="D8151" s="303"/>
      <c r="E8151" s="160" t="s">
        <v>19843</v>
      </c>
      <c r="F8151" s="160" t="s">
        <v>19931</v>
      </c>
      <c r="G8151" s="160" t="s">
        <v>19714</v>
      </c>
      <c r="H8151" s="300">
        <v>172618.73</v>
      </c>
      <c r="I8151" s="209">
        <v>45387</v>
      </c>
      <c r="J8151" s="316" t="s">
        <v>19929</v>
      </c>
      <c r="K8151" s="300" t="s">
        <v>19930</v>
      </c>
      <c r="L8151" s="117"/>
      <c r="O8151" s="118" t="s">
        <v>1566</v>
      </c>
      <c r="P8151" s="160" t="s">
        <v>67</v>
      </c>
      <c r="Q8151" s="118" t="s">
        <v>108</v>
      </c>
      <c r="R8151" s="118" t="s">
        <v>272</v>
      </c>
    </row>
    <row r="8152" spans="1:18" ht="69" customHeight="1">
      <c r="B8152" s="261">
        <v>5279</v>
      </c>
      <c r="C8152" s="207" t="s">
        <v>458</v>
      </c>
      <c r="D8152" s="303"/>
      <c r="E8152" s="160" t="s">
        <v>19843</v>
      </c>
      <c r="F8152" s="160" t="s">
        <v>19932</v>
      </c>
      <c r="G8152" s="160" t="s">
        <v>19714</v>
      </c>
      <c r="H8152" s="300">
        <v>162152.42000000001</v>
      </c>
      <c r="I8152" s="209">
        <v>45387</v>
      </c>
      <c r="J8152" s="316" t="s">
        <v>19929</v>
      </c>
      <c r="K8152" s="300" t="s">
        <v>19930</v>
      </c>
      <c r="L8152" s="117"/>
      <c r="O8152" s="118" t="s">
        <v>1566</v>
      </c>
      <c r="P8152" s="160" t="s">
        <v>67</v>
      </c>
      <c r="Q8152" s="118" t="s">
        <v>105</v>
      </c>
      <c r="R8152" s="118" t="s">
        <v>272</v>
      </c>
    </row>
    <row r="8153" spans="1:18" ht="69" customHeight="1">
      <c r="B8153" s="261">
        <v>5279</v>
      </c>
      <c r="C8153" s="207" t="s">
        <v>458</v>
      </c>
      <c r="D8153" s="303"/>
      <c r="E8153" s="160" t="s">
        <v>19843</v>
      </c>
      <c r="F8153" s="160" t="s">
        <v>19933</v>
      </c>
      <c r="G8153" s="160" t="s">
        <v>19714</v>
      </c>
      <c r="H8153" s="300">
        <v>229654.1</v>
      </c>
      <c r="I8153" s="209">
        <v>45387</v>
      </c>
      <c r="J8153" s="316" t="s">
        <v>19929</v>
      </c>
      <c r="K8153" s="300" t="s">
        <v>19930</v>
      </c>
      <c r="L8153" s="103"/>
      <c r="M8153" s="403" t="s">
        <v>1566</v>
      </c>
      <c r="N8153" s="159" t="s">
        <v>28</v>
      </c>
      <c r="O8153" s="118" t="s">
        <v>1566</v>
      </c>
      <c r="P8153" s="160" t="s">
        <v>67</v>
      </c>
      <c r="Q8153" s="118" t="s">
        <v>114</v>
      </c>
      <c r="R8153" s="118" t="s">
        <v>272</v>
      </c>
    </row>
    <row r="8154" spans="1:18" ht="69" customHeight="1">
      <c r="B8154" s="261">
        <f>B8150+1</f>
        <v>5280</v>
      </c>
      <c r="C8154" s="160" t="s">
        <v>309</v>
      </c>
      <c r="D8154" s="303"/>
      <c r="E8154" s="160" t="s">
        <v>19843</v>
      </c>
      <c r="F8154" s="160" t="s">
        <v>19934</v>
      </c>
      <c r="G8154" s="160" t="s">
        <v>19730</v>
      </c>
      <c r="H8154" s="300">
        <f>(H8741-H8083)</f>
        <v>97517.73</v>
      </c>
      <c r="I8154" s="209">
        <v>45387</v>
      </c>
      <c r="J8154" s="316" t="s">
        <v>19929</v>
      </c>
      <c r="K8154" s="300" t="s">
        <v>19935</v>
      </c>
      <c r="L8154" s="117"/>
      <c r="O8154" s="118" t="s">
        <v>1566</v>
      </c>
      <c r="P8154" s="160" t="s">
        <v>67</v>
      </c>
      <c r="Q8154" s="118" t="s">
        <v>25</v>
      </c>
      <c r="R8154" s="118" t="s">
        <v>272</v>
      </c>
    </row>
    <row r="8155" spans="1:18" ht="69" customHeight="1">
      <c r="B8155" s="261">
        <v>5280</v>
      </c>
      <c r="C8155" s="160" t="s">
        <v>309</v>
      </c>
      <c r="D8155" s="303"/>
      <c r="E8155" s="160" t="s">
        <v>19843</v>
      </c>
      <c r="F8155" s="160" t="s">
        <v>19936</v>
      </c>
      <c r="G8155" s="160" t="s">
        <v>19937</v>
      </c>
      <c r="H8155" s="300">
        <v>124159.375</v>
      </c>
      <c r="I8155" s="209">
        <v>45387</v>
      </c>
      <c r="J8155" s="316" t="s">
        <v>19929</v>
      </c>
      <c r="K8155" s="300" t="s">
        <v>19935</v>
      </c>
      <c r="L8155" s="117"/>
      <c r="O8155" s="118" t="s">
        <v>1566</v>
      </c>
      <c r="P8155" s="160" t="s">
        <v>67</v>
      </c>
      <c r="Q8155" s="118" t="s">
        <v>43</v>
      </c>
      <c r="R8155" s="118" t="s">
        <v>272</v>
      </c>
    </row>
    <row r="8156" spans="1:18" ht="69" customHeight="1">
      <c r="B8156" s="261">
        <v>5280</v>
      </c>
      <c r="C8156" s="160" t="s">
        <v>309</v>
      </c>
      <c r="D8156" s="303"/>
      <c r="E8156" s="160" t="s">
        <v>19843</v>
      </c>
      <c r="F8156" s="160" t="s">
        <v>19938</v>
      </c>
      <c r="G8156" s="160" t="s">
        <v>19714</v>
      </c>
      <c r="H8156" s="300">
        <v>149633.99</v>
      </c>
      <c r="I8156" s="209">
        <v>45387</v>
      </c>
      <c r="J8156" s="316" t="s">
        <v>19929</v>
      </c>
      <c r="K8156" s="300" t="s">
        <v>19935</v>
      </c>
      <c r="L8156" s="117"/>
      <c r="O8156" s="118" t="s">
        <v>1566</v>
      </c>
      <c r="P8156" s="160" t="s">
        <v>67</v>
      </c>
      <c r="Q8156" s="118" t="s">
        <v>20</v>
      </c>
      <c r="R8156" s="118" t="s">
        <v>272</v>
      </c>
    </row>
    <row r="8157" spans="1:18" ht="69" customHeight="1">
      <c r="B8157" s="261">
        <v>5280</v>
      </c>
      <c r="C8157" s="160" t="s">
        <v>309</v>
      </c>
      <c r="D8157" s="303"/>
      <c r="E8157" s="160" t="s">
        <v>19843</v>
      </c>
      <c r="F8157" s="160" t="s">
        <v>19939</v>
      </c>
      <c r="G8157" s="160" t="s">
        <v>19940</v>
      </c>
      <c r="H8157" s="300">
        <v>110109.26</v>
      </c>
      <c r="I8157" s="209">
        <v>45387</v>
      </c>
      <c r="J8157" s="316" t="s">
        <v>19929</v>
      </c>
      <c r="K8157" s="300" t="s">
        <v>19935</v>
      </c>
      <c r="L8157" s="117"/>
      <c r="O8157" s="118" t="s">
        <v>1566</v>
      </c>
      <c r="P8157" s="160" t="s">
        <v>67</v>
      </c>
      <c r="Q8157" s="118" t="s">
        <v>27</v>
      </c>
      <c r="R8157" s="118" t="s">
        <v>272</v>
      </c>
    </row>
    <row r="8158" spans="1:18" ht="69" customHeight="1">
      <c r="B8158" s="261">
        <f>B8154+1</f>
        <v>5281</v>
      </c>
      <c r="C8158" s="160" t="s">
        <v>657</v>
      </c>
      <c r="D8158" s="328"/>
      <c r="E8158" s="160" t="s">
        <v>19843</v>
      </c>
      <c r="F8158" s="160" t="s">
        <v>19941</v>
      </c>
      <c r="G8158" s="160" t="s">
        <v>19714</v>
      </c>
      <c r="H8158" s="300">
        <v>130214.48</v>
      </c>
      <c r="I8158" s="209">
        <v>45387</v>
      </c>
      <c r="J8158" s="316" t="s">
        <v>19929</v>
      </c>
      <c r="K8158" s="300" t="s">
        <v>19942</v>
      </c>
      <c r="L8158" s="117"/>
      <c r="M8158" s="122"/>
      <c r="N8158" s="112"/>
      <c r="O8158" s="118" t="s">
        <v>1566</v>
      </c>
      <c r="P8158" s="160" t="s">
        <v>67</v>
      </c>
      <c r="Q8158" s="118" t="s">
        <v>106</v>
      </c>
      <c r="R8158" s="118" t="s">
        <v>272</v>
      </c>
    </row>
    <row r="8159" spans="1:18" ht="69" customHeight="1">
      <c r="B8159" s="261">
        <v>5281</v>
      </c>
      <c r="C8159" s="160" t="s">
        <v>657</v>
      </c>
      <c r="D8159" s="303"/>
      <c r="E8159" s="160" t="s">
        <v>19843</v>
      </c>
      <c r="F8159" s="160" t="s">
        <v>19943</v>
      </c>
      <c r="G8159" s="160" t="s">
        <v>19714</v>
      </c>
      <c r="H8159" s="300">
        <v>123202.94</v>
      </c>
      <c r="I8159" s="209">
        <v>45387</v>
      </c>
      <c r="J8159" s="316" t="s">
        <v>19929</v>
      </c>
      <c r="K8159" s="300" t="s">
        <v>19942</v>
      </c>
      <c r="L8159" s="103"/>
      <c r="O8159" s="118" t="s">
        <v>1566</v>
      </c>
      <c r="P8159" s="160" t="s">
        <v>67</v>
      </c>
      <c r="Q8159" s="118" t="s">
        <v>102</v>
      </c>
      <c r="R8159" s="118" t="s">
        <v>272</v>
      </c>
    </row>
    <row r="8160" spans="1:18" ht="69" customHeight="1">
      <c r="B8160" s="261">
        <v>5281</v>
      </c>
      <c r="C8160" s="160" t="s">
        <v>657</v>
      </c>
      <c r="D8160" s="303"/>
      <c r="E8160" s="160" t="s">
        <v>19843</v>
      </c>
      <c r="F8160" s="160" t="s">
        <v>19944</v>
      </c>
      <c r="G8160" s="160" t="s">
        <v>19714</v>
      </c>
      <c r="H8160" s="300">
        <v>146441.12</v>
      </c>
      <c r="I8160" s="209">
        <v>45387</v>
      </c>
      <c r="J8160" s="316" t="s">
        <v>19929</v>
      </c>
      <c r="K8160" s="300" t="s">
        <v>19942</v>
      </c>
      <c r="L8160" s="103"/>
      <c r="O8160" s="118" t="s">
        <v>1566</v>
      </c>
      <c r="P8160" s="160" t="s">
        <v>67</v>
      </c>
      <c r="Q8160" s="118" t="s">
        <v>109</v>
      </c>
      <c r="R8160" s="118" t="s">
        <v>272</v>
      </c>
    </row>
    <row r="8161" spans="2:18" ht="69" customHeight="1">
      <c r="B8161" s="261">
        <v>5281</v>
      </c>
      <c r="C8161" s="160" t="s">
        <v>657</v>
      </c>
      <c r="D8161" s="303"/>
      <c r="E8161" s="160" t="s">
        <v>19843</v>
      </c>
      <c r="F8161" s="160" t="s">
        <v>19945</v>
      </c>
      <c r="G8161" s="160" t="s">
        <v>19714</v>
      </c>
      <c r="H8161" s="300">
        <v>267536.15000000002</v>
      </c>
      <c r="I8161" s="209">
        <v>45387</v>
      </c>
      <c r="J8161" s="316" t="s">
        <v>19929</v>
      </c>
      <c r="K8161" s="300" t="s">
        <v>19942</v>
      </c>
      <c r="L8161" s="103"/>
      <c r="O8161" s="118" t="s">
        <v>1566</v>
      </c>
      <c r="P8161" s="160" t="s">
        <v>67</v>
      </c>
      <c r="Q8161" s="118" t="s">
        <v>116</v>
      </c>
      <c r="R8161" s="118" t="s">
        <v>272</v>
      </c>
    </row>
    <row r="8162" spans="2:18" ht="69" customHeight="1">
      <c r="B8162" s="261">
        <v>5281</v>
      </c>
      <c r="C8162" s="160" t="s">
        <v>657</v>
      </c>
      <c r="D8162" s="303"/>
      <c r="E8162" s="160" t="s">
        <v>19843</v>
      </c>
      <c r="F8162" s="160" t="s">
        <v>19946</v>
      </c>
      <c r="G8162" s="160" t="s">
        <v>19714</v>
      </c>
      <c r="H8162" s="300">
        <v>296501.99</v>
      </c>
      <c r="I8162" s="209">
        <v>45387</v>
      </c>
      <c r="J8162" s="316" t="s">
        <v>19929</v>
      </c>
      <c r="K8162" s="300" t="s">
        <v>19942</v>
      </c>
      <c r="L8162" s="103"/>
      <c r="O8162" s="118" t="s">
        <v>1566</v>
      </c>
      <c r="P8162" s="160" t="s">
        <v>67</v>
      </c>
      <c r="Q8162" s="118" t="s">
        <v>118</v>
      </c>
      <c r="R8162" s="118" t="s">
        <v>272</v>
      </c>
    </row>
    <row r="8163" spans="2:18" ht="69" customHeight="1">
      <c r="B8163" s="48">
        <f>B8158+1</f>
        <v>5282</v>
      </c>
      <c r="C8163" s="59" t="s">
        <v>5558</v>
      </c>
      <c r="D8163" s="84" t="s">
        <v>19947</v>
      </c>
      <c r="E8163" s="45" t="s">
        <v>19903</v>
      </c>
      <c r="F8163" s="45" t="s">
        <v>19948</v>
      </c>
      <c r="G8163" s="45" t="s">
        <v>19949</v>
      </c>
      <c r="H8163" s="546">
        <v>40922.800000000003</v>
      </c>
      <c r="I8163" s="47">
        <v>45387</v>
      </c>
      <c r="J8163" s="73" t="s">
        <v>19950</v>
      </c>
      <c r="K8163" s="45"/>
      <c r="O8163" s="62" t="s">
        <v>441</v>
      </c>
      <c r="P8163" s="58" t="s">
        <v>22</v>
      </c>
      <c r="Q8163" s="45" t="s">
        <v>64</v>
      </c>
      <c r="R8163" s="45" t="s">
        <v>272</v>
      </c>
    </row>
    <row r="8164" spans="2:18" ht="69" customHeight="1">
      <c r="B8164" s="261">
        <f t="shared" ref="B8164:B8195" si="54">B8163+1</f>
        <v>5283</v>
      </c>
      <c r="C8164" s="256" t="s">
        <v>13435</v>
      </c>
      <c r="D8164" s="255" t="s">
        <v>19364</v>
      </c>
      <c r="E8164" s="118" t="s">
        <v>19908</v>
      </c>
      <c r="F8164" s="118" t="s">
        <v>19951</v>
      </c>
      <c r="G8164" s="118" t="s">
        <v>19949</v>
      </c>
      <c r="H8164" s="300">
        <v>82296.33</v>
      </c>
      <c r="I8164" s="262">
        <v>45387</v>
      </c>
      <c r="J8164" s="258" t="s">
        <v>19950</v>
      </c>
      <c r="K8164" s="160" t="s">
        <v>19952</v>
      </c>
      <c r="O8164" s="118" t="s">
        <v>441</v>
      </c>
      <c r="P8164" s="160" t="s">
        <v>67</v>
      </c>
      <c r="Q8164" s="118" t="s">
        <v>13</v>
      </c>
      <c r="R8164" s="118" t="s">
        <v>272</v>
      </c>
    </row>
    <row r="8165" spans="2:18" ht="69" customHeight="1">
      <c r="B8165" s="62">
        <f t="shared" si="54"/>
        <v>5284</v>
      </c>
      <c r="C8165" s="59" t="s">
        <v>8080</v>
      </c>
      <c r="D8165" s="545" t="s">
        <v>4704</v>
      </c>
      <c r="E8165" s="45" t="s">
        <v>19953</v>
      </c>
      <c r="F8165" s="45" t="s">
        <v>19954</v>
      </c>
      <c r="G8165" s="45" t="s">
        <v>19955</v>
      </c>
      <c r="H8165" s="546">
        <v>114750.38</v>
      </c>
      <c r="I8165" s="47">
        <v>45387</v>
      </c>
      <c r="J8165" s="73" t="s">
        <v>19956</v>
      </c>
      <c r="K8165" s="67"/>
      <c r="O8165" s="62" t="s">
        <v>203</v>
      </c>
      <c r="P8165" s="58" t="s">
        <v>75</v>
      </c>
      <c r="Q8165" s="45" t="s">
        <v>106</v>
      </c>
      <c r="R8165" s="45" t="s">
        <v>272</v>
      </c>
    </row>
    <row r="8166" spans="2:18" ht="69" customHeight="1">
      <c r="B8166" s="62">
        <f t="shared" si="54"/>
        <v>5285</v>
      </c>
      <c r="C8166" s="44" t="s">
        <v>8057</v>
      </c>
      <c r="D8166" s="545" t="s">
        <v>16769</v>
      </c>
      <c r="E8166" s="45" t="s">
        <v>19953</v>
      </c>
      <c r="F8166" s="45" t="s">
        <v>19957</v>
      </c>
      <c r="G8166" s="45" t="s">
        <v>19955</v>
      </c>
      <c r="H8166" s="546">
        <v>114750.38</v>
      </c>
      <c r="I8166" s="47">
        <v>45387</v>
      </c>
      <c r="J8166" s="73" t="s">
        <v>19956</v>
      </c>
      <c r="K8166" s="67"/>
      <c r="O8166" s="62" t="s">
        <v>203</v>
      </c>
      <c r="P8166" s="58" t="s">
        <v>75</v>
      </c>
      <c r="Q8166" s="45" t="s">
        <v>105</v>
      </c>
      <c r="R8166" s="45" t="s">
        <v>272</v>
      </c>
    </row>
    <row r="8167" spans="2:18" ht="69" customHeight="1">
      <c r="B8167" s="62">
        <f t="shared" si="54"/>
        <v>5286</v>
      </c>
      <c r="C8167" s="614" t="s">
        <v>9322</v>
      </c>
      <c r="D8167" s="545" t="s">
        <v>16771</v>
      </c>
      <c r="E8167" s="45" t="s">
        <v>19953</v>
      </c>
      <c r="F8167" s="45" t="s">
        <v>19958</v>
      </c>
      <c r="G8167" s="45" t="s">
        <v>19955</v>
      </c>
      <c r="H8167" s="546">
        <v>114750.38</v>
      </c>
      <c r="I8167" s="47">
        <v>45387</v>
      </c>
      <c r="J8167" s="73" t="s">
        <v>19956</v>
      </c>
      <c r="K8167" s="67"/>
      <c r="O8167" s="62" t="s">
        <v>203</v>
      </c>
      <c r="P8167" s="58" t="s">
        <v>75</v>
      </c>
      <c r="Q8167" s="45" t="s">
        <v>114</v>
      </c>
      <c r="R8167" s="45" t="s">
        <v>272</v>
      </c>
    </row>
    <row r="8168" spans="2:18" ht="69" customHeight="1">
      <c r="B8168" s="62">
        <f t="shared" si="54"/>
        <v>5287</v>
      </c>
      <c r="C8168" s="178" t="s">
        <v>9441</v>
      </c>
      <c r="D8168" s="545" t="s">
        <v>4814</v>
      </c>
      <c r="E8168" s="45" t="s">
        <v>19953</v>
      </c>
      <c r="F8168" s="45" t="s">
        <v>19959</v>
      </c>
      <c r="G8168" s="45" t="s">
        <v>19955</v>
      </c>
      <c r="H8168" s="546">
        <v>114750.38</v>
      </c>
      <c r="I8168" s="47">
        <v>45387</v>
      </c>
      <c r="J8168" s="73" t="s">
        <v>19956</v>
      </c>
      <c r="K8168" s="67"/>
      <c r="O8168" s="45" t="s">
        <v>13916</v>
      </c>
      <c r="P8168" s="58" t="s">
        <v>75</v>
      </c>
      <c r="Q8168" s="45" t="s">
        <v>116</v>
      </c>
      <c r="R8168" s="45" t="s">
        <v>272</v>
      </c>
    </row>
    <row r="8169" spans="2:18" ht="69" customHeight="1">
      <c r="B8169" s="62">
        <f t="shared" si="54"/>
        <v>5288</v>
      </c>
      <c r="C8169" s="128" t="s">
        <v>581</v>
      </c>
      <c r="D8169" s="545" t="s">
        <v>15669</v>
      </c>
      <c r="E8169" s="58" t="s">
        <v>17367</v>
      </c>
      <c r="F8169" s="45" t="s">
        <v>19960</v>
      </c>
      <c r="G8169" s="45" t="s">
        <v>19961</v>
      </c>
      <c r="H8169" s="546">
        <v>200000</v>
      </c>
      <c r="I8169" s="47">
        <v>45387</v>
      </c>
      <c r="J8169" s="73" t="s">
        <v>19962</v>
      </c>
      <c r="K8169" s="67"/>
      <c r="O8169" s="62" t="s">
        <v>175</v>
      </c>
      <c r="P8169" s="58" t="s">
        <v>57</v>
      </c>
      <c r="Q8169" s="45" t="s">
        <v>18</v>
      </c>
      <c r="R8169" s="45" t="s">
        <v>265</v>
      </c>
    </row>
    <row r="8170" spans="2:18" ht="69" customHeight="1">
      <c r="B8170" s="62">
        <f t="shared" si="54"/>
        <v>5289</v>
      </c>
      <c r="C8170" s="128" t="s">
        <v>581</v>
      </c>
      <c r="D8170" s="545" t="s">
        <v>15671</v>
      </c>
      <c r="E8170" s="58" t="s">
        <v>17367</v>
      </c>
      <c r="F8170" s="45" t="s">
        <v>19963</v>
      </c>
      <c r="G8170" s="58" t="s">
        <v>19964</v>
      </c>
      <c r="H8170" s="546">
        <v>50000</v>
      </c>
      <c r="I8170" s="47">
        <v>45387</v>
      </c>
      <c r="J8170" s="73" t="s">
        <v>19965</v>
      </c>
      <c r="K8170" s="67"/>
      <c r="O8170" s="62" t="s">
        <v>175</v>
      </c>
      <c r="P8170" s="58" t="s">
        <v>57</v>
      </c>
      <c r="Q8170" s="45" t="s">
        <v>18</v>
      </c>
      <c r="R8170" s="45" t="s">
        <v>265</v>
      </c>
    </row>
    <row r="8171" spans="2:18" ht="69" customHeight="1">
      <c r="B8171" s="62">
        <f t="shared" si="54"/>
        <v>5290</v>
      </c>
      <c r="C8171" s="59" t="s">
        <v>458</v>
      </c>
      <c r="D8171" s="84" t="s">
        <v>16775</v>
      </c>
      <c r="E8171" s="45" t="s">
        <v>19745</v>
      </c>
      <c r="F8171" s="45" t="s">
        <v>19966</v>
      </c>
      <c r="G8171" s="45" t="s">
        <v>19967</v>
      </c>
      <c r="H8171" s="546">
        <v>33621.230000000003</v>
      </c>
      <c r="I8171" s="47">
        <v>45376</v>
      </c>
      <c r="J8171" s="73" t="s">
        <v>19968</v>
      </c>
      <c r="K8171" s="67"/>
      <c r="O8171" s="62" t="s">
        <v>147</v>
      </c>
      <c r="P8171" s="58" t="s">
        <v>22</v>
      </c>
      <c r="Q8171" s="45" t="s">
        <v>103</v>
      </c>
      <c r="R8171" s="45" t="s">
        <v>272</v>
      </c>
    </row>
    <row r="8172" spans="2:18" ht="69" customHeight="1">
      <c r="B8172" s="62">
        <f t="shared" si="54"/>
        <v>5291</v>
      </c>
      <c r="C8172" s="59" t="s">
        <v>458</v>
      </c>
      <c r="D8172" s="84" t="s">
        <v>16777</v>
      </c>
      <c r="E8172" s="45" t="s">
        <v>19745</v>
      </c>
      <c r="F8172" s="45" t="s">
        <v>19969</v>
      </c>
      <c r="G8172" s="45" t="s">
        <v>19970</v>
      </c>
      <c r="H8172" s="546">
        <v>18103.740000000002</v>
      </c>
      <c r="I8172" s="47">
        <v>45376</v>
      </c>
      <c r="J8172" s="73" t="s">
        <v>19968</v>
      </c>
      <c r="K8172" s="67"/>
      <c r="O8172" s="62" t="s">
        <v>147</v>
      </c>
      <c r="P8172" s="58" t="s">
        <v>22</v>
      </c>
      <c r="Q8172" s="45" t="s">
        <v>103</v>
      </c>
      <c r="R8172" s="45" t="s">
        <v>272</v>
      </c>
    </row>
    <row r="8173" spans="2:18" ht="69" customHeight="1">
      <c r="B8173" s="52">
        <f t="shared" si="54"/>
        <v>5292</v>
      </c>
      <c r="C8173" s="46" t="s">
        <v>657</v>
      </c>
      <c r="D8173" s="251" t="s">
        <v>13680</v>
      </c>
      <c r="E8173" s="46" t="s">
        <v>19953</v>
      </c>
      <c r="F8173" s="46" t="s">
        <v>19971</v>
      </c>
      <c r="G8173" s="46" t="s">
        <v>19972</v>
      </c>
      <c r="H8173" s="534">
        <v>4060</v>
      </c>
      <c r="I8173" s="56">
        <v>45478</v>
      </c>
      <c r="J8173" s="199" t="s">
        <v>19973</v>
      </c>
      <c r="K8173" s="46"/>
      <c r="O8173" s="52" t="s">
        <v>2091</v>
      </c>
      <c r="P8173" s="46" t="s">
        <v>65</v>
      </c>
      <c r="Q8173" s="46" t="s">
        <v>99</v>
      </c>
      <c r="R8173" s="46" t="s">
        <v>272</v>
      </c>
    </row>
    <row r="8174" spans="2:18" ht="69" customHeight="1">
      <c r="B8174" s="52">
        <f t="shared" si="54"/>
        <v>5293</v>
      </c>
      <c r="C8174" s="191" t="s">
        <v>458</v>
      </c>
      <c r="D8174" s="251" t="s">
        <v>16806</v>
      </c>
      <c r="E8174" s="46" t="s">
        <v>19953</v>
      </c>
      <c r="F8174" s="46" t="s">
        <v>19974</v>
      </c>
      <c r="G8174" s="46" t="s">
        <v>19972</v>
      </c>
      <c r="H8174" s="534">
        <v>4060</v>
      </c>
      <c r="I8174" s="56">
        <v>45478</v>
      </c>
      <c r="J8174" s="199" t="s">
        <v>19973</v>
      </c>
      <c r="K8174" s="46"/>
      <c r="O8174" s="52" t="s">
        <v>2091</v>
      </c>
      <c r="P8174" s="46" t="s">
        <v>65</v>
      </c>
      <c r="Q8174" s="46" t="s">
        <v>90</v>
      </c>
      <c r="R8174" s="46" t="s">
        <v>272</v>
      </c>
    </row>
    <row r="8175" spans="2:18" ht="69" customHeight="1">
      <c r="B8175" s="52">
        <f t="shared" si="54"/>
        <v>5294</v>
      </c>
      <c r="C8175" s="191" t="s">
        <v>3667</v>
      </c>
      <c r="D8175" s="251" t="s">
        <v>19975</v>
      </c>
      <c r="E8175" s="46" t="s">
        <v>19953</v>
      </c>
      <c r="F8175" s="46" t="s">
        <v>19976</v>
      </c>
      <c r="G8175" s="46" t="s">
        <v>19972</v>
      </c>
      <c r="H8175" s="534">
        <v>6892.78</v>
      </c>
      <c r="I8175" s="56">
        <v>45478</v>
      </c>
      <c r="J8175" s="199" t="s">
        <v>19973</v>
      </c>
      <c r="K8175" s="46"/>
      <c r="O8175" s="52" t="s">
        <v>2091</v>
      </c>
      <c r="P8175" s="46" t="s">
        <v>65</v>
      </c>
      <c r="Q8175" s="46" t="s">
        <v>49</v>
      </c>
      <c r="R8175" s="46" t="s">
        <v>272</v>
      </c>
    </row>
    <row r="8176" spans="2:18" ht="69" customHeight="1">
      <c r="B8176" s="52">
        <f t="shared" si="54"/>
        <v>5295</v>
      </c>
      <c r="C8176" s="46" t="s">
        <v>309</v>
      </c>
      <c r="D8176" s="251" t="s">
        <v>15675</v>
      </c>
      <c r="E8176" s="46" t="s">
        <v>19953</v>
      </c>
      <c r="F8176" s="46" t="s">
        <v>19977</v>
      </c>
      <c r="G8176" s="46" t="s">
        <v>19972</v>
      </c>
      <c r="H8176" s="534">
        <v>3511.39</v>
      </c>
      <c r="I8176" s="56">
        <v>45478</v>
      </c>
      <c r="J8176" s="199" t="s">
        <v>19973</v>
      </c>
      <c r="K8176" s="46"/>
      <c r="O8176" s="52" t="s">
        <v>2091</v>
      </c>
      <c r="P8176" s="46" t="s">
        <v>65</v>
      </c>
      <c r="Q8176" s="46" t="s">
        <v>15</v>
      </c>
      <c r="R8176" s="46" t="s">
        <v>272</v>
      </c>
    </row>
    <row r="8177" spans="1:18" ht="69" customHeight="1">
      <c r="B8177" s="62">
        <f t="shared" si="54"/>
        <v>5296</v>
      </c>
      <c r="C8177" s="58" t="s">
        <v>581</v>
      </c>
      <c r="D8177" s="545" t="s">
        <v>15786</v>
      </c>
      <c r="E8177" s="58" t="s">
        <v>17521</v>
      </c>
      <c r="F8177" s="58" t="s">
        <v>19978</v>
      </c>
      <c r="G8177" s="58" t="s">
        <v>19979</v>
      </c>
      <c r="H8177" s="546">
        <v>25000</v>
      </c>
      <c r="I8177" s="126">
        <v>45387</v>
      </c>
      <c r="J8177" s="73" t="s">
        <v>19980</v>
      </c>
      <c r="K8177" s="67"/>
      <c r="O8177" s="48" t="s">
        <v>441</v>
      </c>
      <c r="P8177" s="45" t="s">
        <v>22</v>
      </c>
      <c r="Q8177" s="45" t="s">
        <v>18</v>
      </c>
      <c r="R8177" s="45" t="s">
        <v>265</v>
      </c>
    </row>
    <row r="8178" spans="1:18" s="98" customFormat="1" ht="69" customHeight="1">
      <c r="A8178" s="169"/>
      <c r="B8178" s="52">
        <f t="shared" si="54"/>
        <v>5297</v>
      </c>
      <c r="C8178" s="46" t="s">
        <v>19981</v>
      </c>
      <c r="D8178" s="251" t="s">
        <v>15784</v>
      </c>
      <c r="E8178" s="46" t="s">
        <v>19953</v>
      </c>
      <c r="F8178" s="46" t="s">
        <v>19982</v>
      </c>
      <c r="G8178" s="46" t="s">
        <v>19983</v>
      </c>
      <c r="H8178" s="534">
        <v>200</v>
      </c>
      <c r="I8178" s="56">
        <v>45387</v>
      </c>
      <c r="J8178" s="199" t="s">
        <v>19984</v>
      </c>
      <c r="K8178" s="46"/>
      <c r="O8178" s="52"/>
      <c r="P8178" s="46" t="s">
        <v>65</v>
      </c>
      <c r="Q8178" s="46" t="s">
        <v>18</v>
      </c>
      <c r="R8178" s="46" t="s">
        <v>272</v>
      </c>
    </row>
    <row r="8179" spans="1:18" ht="69" customHeight="1">
      <c r="B8179" s="62">
        <f t="shared" si="54"/>
        <v>5298</v>
      </c>
      <c r="C8179" s="58" t="s">
        <v>19981</v>
      </c>
      <c r="D8179" s="545" t="s">
        <v>19985</v>
      </c>
      <c r="E8179" s="58" t="s">
        <v>17521</v>
      </c>
      <c r="F8179" s="58" t="s">
        <v>19986</v>
      </c>
      <c r="G8179" s="58" t="s">
        <v>16273</v>
      </c>
      <c r="H8179" s="546">
        <v>35723.919999999998</v>
      </c>
      <c r="I8179" s="126">
        <v>45387</v>
      </c>
      <c r="J8179" s="73" t="s">
        <v>19987</v>
      </c>
      <c r="K8179" s="67"/>
      <c r="O8179" s="62" t="s">
        <v>441</v>
      </c>
      <c r="P8179" s="58" t="s">
        <v>22</v>
      </c>
      <c r="Q8179" s="45" t="s">
        <v>18</v>
      </c>
      <c r="R8179" s="45" t="s">
        <v>265</v>
      </c>
    </row>
    <row r="8180" spans="1:18" ht="69" customHeight="1">
      <c r="B8180" s="62">
        <f t="shared" si="54"/>
        <v>5299</v>
      </c>
      <c r="C8180" s="44" t="s">
        <v>9004</v>
      </c>
      <c r="D8180" s="545" t="s">
        <v>13682</v>
      </c>
      <c r="E8180" s="127" t="s">
        <v>19988</v>
      </c>
      <c r="F8180" s="127" t="s">
        <v>19989</v>
      </c>
      <c r="G8180" s="58" t="s">
        <v>19990</v>
      </c>
      <c r="H8180" s="546">
        <v>76918.64</v>
      </c>
      <c r="I8180" s="126">
        <v>45387</v>
      </c>
      <c r="J8180" s="73" t="s">
        <v>19991</v>
      </c>
      <c r="K8180" s="67"/>
      <c r="O8180" s="62" t="s">
        <v>205</v>
      </c>
      <c r="P8180" s="58" t="s">
        <v>61</v>
      </c>
      <c r="Q8180" s="45" t="s">
        <v>111</v>
      </c>
      <c r="R8180" s="45" t="s">
        <v>272</v>
      </c>
    </row>
    <row r="8181" spans="1:18" ht="69" customHeight="1">
      <c r="B8181" s="62">
        <f t="shared" si="54"/>
        <v>5300</v>
      </c>
      <c r="C8181" s="59" t="s">
        <v>11933</v>
      </c>
      <c r="D8181" s="631" t="s">
        <v>16808</v>
      </c>
      <c r="E8181" s="127" t="s">
        <v>19992</v>
      </c>
      <c r="F8181" s="127" t="s">
        <v>19993</v>
      </c>
      <c r="G8181" s="58" t="s">
        <v>19990</v>
      </c>
      <c r="H8181" s="546">
        <v>90000</v>
      </c>
      <c r="I8181" s="126">
        <v>45387</v>
      </c>
      <c r="J8181" s="73" t="s">
        <v>19991</v>
      </c>
      <c r="K8181" s="67"/>
      <c r="O8181" s="62" t="s">
        <v>19994</v>
      </c>
      <c r="P8181" s="58" t="s">
        <v>61</v>
      </c>
      <c r="Q8181" s="45" t="s">
        <v>123</v>
      </c>
      <c r="R8181" s="45" t="s">
        <v>272</v>
      </c>
    </row>
    <row r="8182" spans="1:18" ht="69" customHeight="1">
      <c r="B8182" s="62">
        <f t="shared" si="54"/>
        <v>5301</v>
      </c>
      <c r="C8182" s="59" t="s">
        <v>9094</v>
      </c>
      <c r="D8182" s="545" t="s">
        <v>16809</v>
      </c>
      <c r="E8182" s="127" t="s">
        <v>19992</v>
      </c>
      <c r="F8182" s="127" t="s">
        <v>19995</v>
      </c>
      <c r="G8182" s="58" t="s">
        <v>19990</v>
      </c>
      <c r="H8182" s="546">
        <v>10000</v>
      </c>
      <c r="I8182" s="126">
        <v>45387</v>
      </c>
      <c r="J8182" s="73" t="s">
        <v>19991</v>
      </c>
      <c r="K8182" s="67"/>
      <c r="O8182" s="62" t="s">
        <v>19994</v>
      </c>
      <c r="P8182" s="58" t="s">
        <v>61</v>
      </c>
      <c r="Q8182" s="45" t="s">
        <v>112</v>
      </c>
      <c r="R8182" s="45" t="s">
        <v>272</v>
      </c>
    </row>
    <row r="8183" spans="1:18" ht="69" customHeight="1">
      <c r="B8183" s="62">
        <f t="shared" si="54"/>
        <v>5302</v>
      </c>
      <c r="C8183" s="128" t="s">
        <v>13435</v>
      </c>
      <c r="D8183" s="545" t="s">
        <v>15738</v>
      </c>
      <c r="E8183" s="58" t="s">
        <v>19996</v>
      </c>
      <c r="F8183" s="58" t="s">
        <v>19997</v>
      </c>
      <c r="G8183" s="58" t="s">
        <v>19998</v>
      </c>
      <c r="H8183" s="546">
        <v>154721.76999999999</v>
      </c>
      <c r="I8183" s="126">
        <v>45387</v>
      </c>
      <c r="J8183" s="73" t="s">
        <v>19999</v>
      </c>
      <c r="K8183" s="67"/>
      <c r="O8183" s="62" t="s">
        <v>18058</v>
      </c>
      <c r="P8183" s="58" t="s">
        <v>57</v>
      </c>
      <c r="Q8183" s="45" t="s">
        <v>13</v>
      </c>
      <c r="R8183" s="45" t="s">
        <v>272</v>
      </c>
    </row>
    <row r="8184" spans="1:18" ht="69" customHeight="1">
      <c r="B8184" s="62">
        <f t="shared" si="54"/>
        <v>5303</v>
      </c>
      <c r="C8184" s="59" t="s">
        <v>10621</v>
      </c>
      <c r="D8184" s="545" t="s">
        <v>20000</v>
      </c>
      <c r="E8184" s="58" t="s">
        <v>20001</v>
      </c>
      <c r="F8184" s="58" t="s">
        <v>20002</v>
      </c>
      <c r="G8184" s="58" t="s">
        <v>20003</v>
      </c>
      <c r="H8184" s="546">
        <v>200384.15</v>
      </c>
      <c r="I8184" s="126">
        <v>45387</v>
      </c>
      <c r="J8184" s="73" t="s">
        <v>20004</v>
      </c>
      <c r="K8184" s="67"/>
      <c r="O8184" s="45" t="s">
        <v>13916</v>
      </c>
      <c r="P8184" s="58" t="s">
        <v>57</v>
      </c>
      <c r="Q8184" s="45" t="s">
        <v>66</v>
      </c>
      <c r="R8184" s="45" t="s">
        <v>272</v>
      </c>
    </row>
    <row r="8185" spans="1:18" ht="69" customHeight="1">
      <c r="B8185" s="62">
        <f t="shared" si="54"/>
        <v>5304</v>
      </c>
      <c r="C8185" s="59" t="s">
        <v>10621</v>
      </c>
      <c r="D8185" s="545" t="s">
        <v>20005</v>
      </c>
      <c r="E8185" s="58" t="s">
        <v>20001</v>
      </c>
      <c r="F8185" s="58" t="s">
        <v>20006</v>
      </c>
      <c r="G8185" s="58" t="s">
        <v>20003</v>
      </c>
      <c r="H8185" s="546">
        <v>248929.63</v>
      </c>
      <c r="I8185" s="126">
        <v>45387</v>
      </c>
      <c r="J8185" s="73" t="s">
        <v>20004</v>
      </c>
      <c r="K8185" s="67"/>
      <c r="O8185" s="45" t="s">
        <v>13916</v>
      </c>
      <c r="P8185" s="58" t="s">
        <v>57</v>
      </c>
      <c r="Q8185" s="45" t="s">
        <v>66</v>
      </c>
      <c r="R8185" s="45" t="s">
        <v>272</v>
      </c>
    </row>
    <row r="8186" spans="1:18" ht="69" customHeight="1">
      <c r="B8186" s="62">
        <f t="shared" si="54"/>
        <v>5305</v>
      </c>
      <c r="C8186" s="44" t="s">
        <v>8057</v>
      </c>
      <c r="D8186" s="84" t="s">
        <v>16812</v>
      </c>
      <c r="E8186" s="45" t="s">
        <v>19843</v>
      </c>
      <c r="F8186" s="45" t="s">
        <v>20007</v>
      </c>
      <c r="G8186" s="45" t="s">
        <v>20008</v>
      </c>
      <c r="H8186" s="546">
        <v>732334.12</v>
      </c>
      <c r="I8186" s="126">
        <v>45387</v>
      </c>
      <c r="J8186" s="73" t="s">
        <v>20009</v>
      </c>
      <c r="K8186" s="67"/>
      <c r="O8186" s="62" t="s">
        <v>1566</v>
      </c>
      <c r="P8186" s="58" t="s">
        <v>28</v>
      </c>
      <c r="Q8186" s="45" t="s">
        <v>105</v>
      </c>
      <c r="R8186" s="45" t="s">
        <v>272</v>
      </c>
    </row>
    <row r="8187" spans="1:18" ht="69" customHeight="1">
      <c r="B8187" s="62">
        <f t="shared" si="54"/>
        <v>5306</v>
      </c>
      <c r="C8187" s="59" t="s">
        <v>8080</v>
      </c>
      <c r="D8187" s="545" t="s">
        <v>13703</v>
      </c>
      <c r="E8187" s="45" t="s">
        <v>19843</v>
      </c>
      <c r="F8187" s="45" t="s">
        <v>20010</v>
      </c>
      <c r="G8187" s="45" t="s">
        <v>20008</v>
      </c>
      <c r="H8187" s="546">
        <v>732334.12</v>
      </c>
      <c r="I8187" s="126">
        <v>45387</v>
      </c>
      <c r="J8187" s="73" t="s">
        <v>20009</v>
      </c>
      <c r="K8187" s="67"/>
      <c r="O8187" s="62" t="s">
        <v>1566</v>
      </c>
      <c r="P8187" s="58" t="s">
        <v>28</v>
      </c>
      <c r="Q8187" s="45" t="s">
        <v>106</v>
      </c>
      <c r="R8187" s="45" t="s">
        <v>272</v>
      </c>
    </row>
    <row r="8188" spans="1:18" ht="69" customHeight="1">
      <c r="B8188" s="62">
        <f t="shared" si="54"/>
        <v>5307</v>
      </c>
      <c r="C8188" s="58" t="s">
        <v>18817</v>
      </c>
      <c r="D8188" s="545" t="s">
        <v>15778</v>
      </c>
      <c r="E8188" s="45" t="s">
        <v>19843</v>
      </c>
      <c r="F8188" s="45" t="s">
        <v>20011</v>
      </c>
      <c r="G8188" s="45" t="s">
        <v>20008</v>
      </c>
      <c r="H8188" s="546">
        <v>438496.36</v>
      </c>
      <c r="I8188" s="126">
        <v>45387</v>
      </c>
      <c r="J8188" s="73" t="s">
        <v>20012</v>
      </c>
      <c r="K8188" s="67"/>
      <c r="O8188" s="62" t="s">
        <v>1566</v>
      </c>
      <c r="P8188" s="58" t="s">
        <v>28</v>
      </c>
      <c r="Q8188" s="45" t="s">
        <v>25</v>
      </c>
      <c r="R8188" s="45" t="s">
        <v>272</v>
      </c>
    </row>
    <row r="8189" spans="1:18" ht="69" customHeight="1">
      <c r="B8189" s="62">
        <f t="shared" si="54"/>
        <v>5308</v>
      </c>
      <c r="C8189" s="45" t="s">
        <v>860</v>
      </c>
      <c r="D8189" s="545" t="s">
        <v>15780</v>
      </c>
      <c r="E8189" s="45" t="s">
        <v>19843</v>
      </c>
      <c r="F8189" s="45" t="s">
        <v>20013</v>
      </c>
      <c r="G8189" s="45" t="s">
        <v>20014</v>
      </c>
      <c r="H8189" s="546">
        <v>587675.53</v>
      </c>
      <c r="I8189" s="126">
        <v>45387</v>
      </c>
      <c r="J8189" s="73" t="s">
        <v>20015</v>
      </c>
      <c r="K8189" s="67"/>
      <c r="O8189" s="62" t="s">
        <v>1566</v>
      </c>
      <c r="P8189" s="58" t="s">
        <v>28</v>
      </c>
      <c r="Q8189" s="45" t="s">
        <v>20</v>
      </c>
      <c r="R8189" s="45" t="s">
        <v>272</v>
      </c>
    </row>
    <row r="8190" spans="1:18" ht="69" customHeight="1">
      <c r="B8190" s="62">
        <f t="shared" si="54"/>
        <v>5309</v>
      </c>
      <c r="C8190" s="58" t="s">
        <v>8721</v>
      </c>
      <c r="D8190" s="545" t="s">
        <v>13690</v>
      </c>
      <c r="E8190" s="45" t="s">
        <v>19843</v>
      </c>
      <c r="F8190" s="45" t="s">
        <v>20016</v>
      </c>
      <c r="G8190" s="45" t="s">
        <v>20014</v>
      </c>
      <c r="H8190" s="546">
        <v>587675.53</v>
      </c>
      <c r="I8190" s="126">
        <v>45387</v>
      </c>
      <c r="J8190" s="73" t="s">
        <v>20017</v>
      </c>
      <c r="K8190" s="67"/>
      <c r="O8190" s="62" t="s">
        <v>1566</v>
      </c>
      <c r="P8190" s="58" t="s">
        <v>28</v>
      </c>
      <c r="Q8190" s="45" t="s">
        <v>109</v>
      </c>
      <c r="R8190" s="45" t="s">
        <v>272</v>
      </c>
    </row>
    <row r="8191" spans="1:18" ht="69" customHeight="1">
      <c r="B8191" s="62">
        <f t="shared" si="54"/>
        <v>5310</v>
      </c>
      <c r="C8191" s="178" t="s">
        <v>458</v>
      </c>
      <c r="D8191" s="545" t="s">
        <v>16815</v>
      </c>
      <c r="E8191" s="45" t="s">
        <v>10495</v>
      </c>
      <c r="F8191" s="45" t="s">
        <v>20018</v>
      </c>
      <c r="G8191" s="45" t="s">
        <v>20019</v>
      </c>
      <c r="H8191" s="546">
        <v>10961.09</v>
      </c>
      <c r="I8191" s="126">
        <v>45387</v>
      </c>
      <c r="J8191" s="73" t="s">
        <v>20020</v>
      </c>
      <c r="K8191" s="67"/>
      <c r="O8191" s="62" t="s">
        <v>147</v>
      </c>
      <c r="P8191" s="58" t="s">
        <v>22</v>
      </c>
      <c r="Q8191" s="45" t="s">
        <v>122</v>
      </c>
      <c r="R8191" s="45" t="s">
        <v>272</v>
      </c>
    </row>
    <row r="8192" spans="1:18" ht="69" customHeight="1">
      <c r="B8192" s="62">
        <f t="shared" si="54"/>
        <v>5311</v>
      </c>
      <c r="C8192" s="178" t="s">
        <v>458</v>
      </c>
      <c r="D8192" s="545" t="s">
        <v>16816</v>
      </c>
      <c r="E8192" s="45" t="s">
        <v>10495</v>
      </c>
      <c r="F8192" s="45" t="s">
        <v>20021</v>
      </c>
      <c r="G8192" s="45" t="s">
        <v>20022</v>
      </c>
      <c r="H8192" s="546">
        <v>5902.13</v>
      </c>
      <c r="I8192" s="126">
        <v>45387</v>
      </c>
      <c r="J8192" s="73" t="s">
        <v>20020</v>
      </c>
      <c r="K8192" s="67">
        <v>2511</v>
      </c>
      <c r="O8192" s="62" t="s">
        <v>147</v>
      </c>
      <c r="P8192" s="58" t="s">
        <v>22</v>
      </c>
      <c r="Q8192" s="45" t="s">
        <v>122</v>
      </c>
      <c r="R8192" s="45" t="s">
        <v>272</v>
      </c>
    </row>
    <row r="8193" spans="2:18" ht="69" customHeight="1">
      <c r="B8193" s="62">
        <f t="shared" si="54"/>
        <v>5312</v>
      </c>
      <c r="C8193" s="178" t="s">
        <v>458</v>
      </c>
      <c r="D8193" s="174" t="s">
        <v>16831</v>
      </c>
      <c r="E8193" s="45" t="s">
        <v>10495</v>
      </c>
      <c r="F8193" s="45" t="s">
        <v>20023</v>
      </c>
      <c r="G8193" s="45" t="s">
        <v>20024</v>
      </c>
      <c r="H8193" s="546">
        <v>48705.2</v>
      </c>
      <c r="I8193" s="126">
        <v>45387</v>
      </c>
      <c r="J8193" s="73" t="s">
        <v>20025</v>
      </c>
      <c r="K8193" s="67"/>
      <c r="O8193" s="62" t="s">
        <v>147</v>
      </c>
      <c r="P8193" s="58" t="s">
        <v>22</v>
      </c>
      <c r="Q8193" s="45" t="s">
        <v>88</v>
      </c>
      <c r="R8193" s="45" t="s">
        <v>272</v>
      </c>
    </row>
    <row r="8194" spans="2:18" ht="69" customHeight="1">
      <c r="B8194" s="62">
        <f t="shared" si="54"/>
        <v>5313</v>
      </c>
      <c r="C8194" s="178" t="s">
        <v>458</v>
      </c>
      <c r="D8194" s="545" t="s">
        <v>16832</v>
      </c>
      <c r="E8194" s="45" t="s">
        <v>10495</v>
      </c>
      <c r="F8194" s="45" t="s">
        <v>20026</v>
      </c>
      <c r="G8194" s="45" t="s">
        <v>20027</v>
      </c>
      <c r="H8194" s="546">
        <v>26225.88</v>
      </c>
      <c r="I8194" s="126">
        <v>45387</v>
      </c>
      <c r="J8194" s="73" t="s">
        <v>20025</v>
      </c>
      <c r="K8194" s="67"/>
      <c r="O8194" s="62" t="s">
        <v>147</v>
      </c>
      <c r="P8194" s="58" t="s">
        <v>22</v>
      </c>
      <c r="Q8194" s="45" t="s">
        <v>88</v>
      </c>
      <c r="R8194" s="45" t="s">
        <v>272</v>
      </c>
    </row>
    <row r="8195" spans="2:18" ht="69" customHeight="1">
      <c r="B8195" s="62">
        <f t="shared" si="54"/>
        <v>5314</v>
      </c>
      <c r="C8195" s="44" t="s">
        <v>9004</v>
      </c>
      <c r="D8195" s="84" t="s">
        <v>9205</v>
      </c>
      <c r="E8195" s="58" t="s">
        <v>20028</v>
      </c>
      <c r="F8195" s="58" t="s">
        <v>20029</v>
      </c>
      <c r="G8195" s="58" t="s">
        <v>20030</v>
      </c>
      <c r="H8195" s="546">
        <v>278568.3</v>
      </c>
      <c r="I8195" s="126">
        <v>45387</v>
      </c>
      <c r="J8195" s="73" t="s">
        <v>20031</v>
      </c>
      <c r="K8195" s="84"/>
      <c r="O8195" s="62" t="s">
        <v>141</v>
      </c>
      <c r="P8195" s="58" t="s">
        <v>19</v>
      </c>
      <c r="Q8195" s="45" t="s">
        <v>111</v>
      </c>
      <c r="R8195" s="45" t="s">
        <v>265</v>
      </c>
    </row>
    <row r="8196" spans="2:18" ht="69" customHeight="1">
      <c r="B8196" s="62">
        <f t="shared" ref="B8196:B8227" si="55">B8195+1</f>
        <v>5315</v>
      </c>
      <c r="C8196" s="59" t="s">
        <v>4411</v>
      </c>
      <c r="D8196" s="545" t="s">
        <v>20032</v>
      </c>
      <c r="E8196" s="45" t="s">
        <v>19843</v>
      </c>
      <c r="F8196" s="45" t="s">
        <v>20033</v>
      </c>
      <c r="G8196" s="45" t="s">
        <v>20008</v>
      </c>
      <c r="H8196" s="546">
        <v>732334.12</v>
      </c>
      <c r="I8196" s="126">
        <v>45387</v>
      </c>
      <c r="J8196" s="73" t="s">
        <v>20034</v>
      </c>
      <c r="K8196" s="67"/>
      <c r="O8196" s="62" t="s">
        <v>1566</v>
      </c>
      <c r="P8196" s="58" t="s">
        <v>28</v>
      </c>
      <c r="Q8196" s="45" t="s">
        <v>54</v>
      </c>
      <c r="R8196" s="45" t="s">
        <v>272</v>
      </c>
    </row>
    <row r="8197" spans="2:18" ht="69" customHeight="1">
      <c r="B8197" s="62">
        <f t="shared" si="55"/>
        <v>5316</v>
      </c>
      <c r="C8197" s="45" t="s">
        <v>6888</v>
      </c>
      <c r="D8197" s="545" t="s">
        <v>20035</v>
      </c>
      <c r="E8197" s="58" t="s">
        <v>20036</v>
      </c>
      <c r="F8197" s="58" t="s">
        <v>20037</v>
      </c>
      <c r="G8197" s="58" t="s">
        <v>20038</v>
      </c>
      <c r="H8197" s="546">
        <v>216129</v>
      </c>
      <c r="I8197" s="126">
        <v>45397</v>
      </c>
      <c r="J8197" s="73" t="s">
        <v>20039</v>
      </c>
      <c r="K8197" s="67"/>
      <c r="O8197" s="62" t="s">
        <v>156</v>
      </c>
      <c r="P8197" s="58" t="s">
        <v>19</v>
      </c>
      <c r="Q8197" s="45" t="s">
        <v>84</v>
      </c>
      <c r="R8197" s="45" t="s">
        <v>272</v>
      </c>
    </row>
    <row r="8198" spans="2:18" ht="69" customHeight="1">
      <c r="B8198" s="62">
        <f t="shared" si="55"/>
        <v>5317</v>
      </c>
      <c r="C8198" s="58" t="s">
        <v>309</v>
      </c>
      <c r="D8198" s="545" t="s">
        <v>15788</v>
      </c>
      <c r="E8198" s="58" t="s">
        <v>18110</v>
      </c>
      <c r="F8198" s="58" t="s">
        <v>20040</v>
      </c>
      <c r="G8198" s="58" t="s">
        <v>20041</v>
      </c>
      <c r="H8198" s="546">
        <v>12000</v>
      </c>
      <c r="I8198" s="126">
        <v>45387</v>
      </c>
      <c r="J8198" s="242" t="s">
        <v>20042</v>
      </c>
      <c r="K8198" s="67"/>
      <c r="O8198" s="62" t="s">
        <v>150</v>
      </c>
      <c r="P8198" s="58" t="s">
        <v>51</v>
      </c>
      <c r="Q8198" s="45" t="s">
        <v>37</v>
      </c>
      <c r="R8198" s="45" t="s">
        <v>272</v>
      </c>
    </row>
    <row r="8199" spans="2:18" ht="69" customHeight="1">
      <c r="B8199" s="62">
        <f t="shared" si="55"/>
        <v>5318</v>
      </c>
      <c r="C8199" s="58" t="s">
        <v>309</v>
      </c>
      <c r="D8199" s="545" t="s">
        <v>20043</v>
      </c>
      <c r="E8199" s="58" t="s">
        <v>18110</v>
      </c>
      <c r="F8199" s="58" t="s">
        <v>20044</v>
      </c>
      <c r="G8199" s="58" t="s">
        <v>20045</v>
      </c>
      <c r="H8199" s="546">
        <v>2000</v>
      </c>
      <c r="I8199" s="126">
        <v>45387</v>
      </c>
      <c r="J8199" s="242" t="s">
        <v>20042</v>
      </c>
      <c r="K8199" s="67"/>
      <c r="O8199" s="62" t="s">
        <v>150</v>
      </c>
      <c r="P8199" s="58" t="s">
        <v>51</v>
      </c>
      <c r="Q8199" s="45" t="s">
        <v>37</v>
      </c>
      <c r="R8199" s="45" t="s">
        <v>272</v>
      </c>
    </row>
    <row r="8200" spans="2:18" ht="69" customHeight="1">
      <c r="B8200" s="62">
        <f t="shared" si="55"/>
        <v>5319</v>
      </c>
      <c r="C8200" s="59" t="s">
        <v>3667</v>
      </c>
      <c r="D8200" s="545" t="s">
        <v>20046</v>
      </c>
      <c r="E8200" s="58" t="s">
        <v>18110</v>
      </c>
      <c r="F8200" s="58" t="s">
        <v>20047</v>
      </c>
      <c r="G8200" s="58" t="s">
        <v>20048</v>
      </c>
      <c r="H8200" s="546">
        <v>29180</v>
      </c>
      <c r="I8200" s="126">
        <v>45387</v>
      </c>
      <c r="J8200" s="242" t="s">
        <v>20042</v>
      </c>
      <c r="K8200" s="67"/>
      <c r="O8200" s="62" t="s">
        <v>150</v>
      </c>
      <c r="P8200" s="58" t="s">
        <v>51</v>
      </c>
      <c r="Q8200" s="45" t="s">
        <v>74</v>
      </c>
      <c r="R8200" s="45" t="s">
        <v>272</v>
      </c>
    </row>
    <row r="8201" spans="2:18" ht="69" customHeight="1">
      <c r="B8201" s="62">
        <f t="shared" si="55"/>
        <v>5320</v>
      </c>
      <c r="C8201" s="59" t="s">
        <v>3667</v>
      </c>
      <c r="D8201" s="545" t="s">
        <v>20049</v>
      </c>
      <c r="E8201" s="58" t="s">
        <v>18110</v>
      </c>
      <c r="F8201" s="58" t="s">
        <v>20050</v>
      </c>
      <c r="G8201" s="58" t="s">
        <v>20048</v>
      </c>
      <c r="H8201" s="546">
        <v>29180</v>
      </c>
      <c r="I8201" s="126">
        <v>45387</v>
      </c>
      <c r="J8201" s="242" t="s">
        <v>20042</v>
      </c>
      <c r="K8201" s="67"/>
      <c r="O8201" s="62" t="s">
        <v>150</v>
      </c>
      <c r="P8201" s="58" t="s">
        <v>51</v>
      </c>
      <c r="Q8201" s="45" t="s">
        <v>76</v>
      </c>
      <c r="R8201" s="45" t="s">
        <v>272</v>
      </c>
    </row>
    <row r="8202" spans="2:18" ht="69" customHeight="1">
      <c r="B8202" s="62">
        <f t="shared" si="55"/>
        <v>5321</v>
      </c>
      <c r="C8202" s="58" t="s">
        <v>309</v>
      </c>
      <c r="D8202" s="545" t="s">
        <v>15863</v>
      </c>
      <c r="E8202" s="58" t="s">
        <v>18110</v>
      </c>
      <c r="F8202" s="58" t="s">
        <v>20051</v>
      </c>
      <c r="G8202" s="58" t="s">
        <v>20052</v>
      </c>
      <c r="H8202" s="546">
        <v>1936.5</v>
      </c>
      <c r="I8202" s="126">
        <v>45387</v>
      </c>
      <c r="J8202" s="242" t="s">
        <v>20053</v>
      </c>
      <c r="K8202" s="67"/>
      <c r="O8202" s="62" t="s">
        <v>150</v>
      </c>
      <c r="P8202" s="58" t="s">
        <v>51</v>
      </c>
      <c r="Q8202" s="45" t="s">
        <v>39</v>
      </c>
      <c r="R8202" s="45" t="s">
        <v>272</v>
      </c>
    </row>
    <row r="8203" spans="2:18" ht="69" customHeight="1">
      <c r="B8203" s="62">
        <f t="shared" si="55"/>
        <v>5322</v>
      </c>
      <c r="C8203" s="58" t="s">
        <v>309</v>
      </c>
      <c r="D8203" s="545" t="s">
        <v>15867</v>
      </c>
      <c r="E8203" s="58" t="s">
        <v>18110</v>
      </c>
      <c r="F8203" s="58" t="s">
        <v>20054</v>
      </c>
      <c r="G8203" s="58" t="s">
        <v>20052</v>
      </c>
      <c r="H8203" s="546">
        <v>1936.5</v>
      </c>
      <c r="I8203" s="126">
        <v>45387</v>
      </c>
      <c r="J8203" s="242" t="s">
        <v>20053</v>
      </c>
      <c r="K8203" s="67"/>
      <c r="O8203" s="62" t="s">
        <v>150</v>
      </c>
      <c r="P8203" s="58" t="s">
        <v>51</v>
      </c>
      <c r="Q8203" s="45" t="s">
        <v>41</v>
      </c>
      <c r="R8203" s="45" t="s">
        <v>272</v>
      </c>
    </row>
    <row r="8204" spans="2:18" ht="69" customHeight="1">
      <c r="B8204" s="52">
        <f t="shared" si="55"/>
        <v>5323</v>
      </c>
      <c r="C8204" s="191" t="s">
        <v>3667</v>
      </c>
      <c r="D8204" s="251" t="s">
        <v>20055</v>
      </c>
      <c r="E8204" s="46" t="s">
        <v>19348</v>
      </c>
      <c r="F8204" s="46" t="s">
        <v>20056</v>
      </c>
      <c r="G8204" s="46" t="s">
        <v>20057</v>
      </c>
      <c r="H8204" s="534">
        <v>8700</v>
      </c>
      <c r="I8204" s="56">
        <v>45387</v>
      </c>
      <c r="J8204" s="199" t="s">
        <v>20058</v>
      </c>
      <c r="K8204" s="46"/>
      <c r="O8204" s="52" t="s">
        <v>20059</v>
      </c>
      <c r="P8204" s="46" t="s">
        <v>65</v>
      </c>
      <c r="Q8204" s="46" t="s">
        <v>95</v>
      </c>
      <c r="R8204" s="46" t="s">
        <v>272</v>
      </c>
    </row>
    <row r="8205" spans="2:18" ht="69" customHeight="1">
      <c r="B8205" s="62">
        <f t="shared" si="55"/>
        <v>5324</v>
      </c>
      <c r="C8205" s="59" t="s">
        <v>11058</v>
      </c>
      <c r="D8205" s="545" t="s">
        <v>15790</v>
      </c>
      <c r="E8205" s="45" t="s">
        <v>19953</v>
      </c>
      <c r="F8205" s="58" t="s">
        <v>20060</v>
      </c>
      <c r="G8205" s="58" t="s">
        <v>20061</v>
      </c>
      <c r="H8205" s="546">
        <v>1000</v>
      </c>
      <c r="I8205" s="126">
        <v>45387</v>
      </c>
      <c r="J8205" s="242" t="s">
        <v>20062</v>
      </c>
      <c r="K8205" s="67"/>
      <c r="O8205" s="62" t="s">
        <v>11411</v>
      </c>
      <c r="P8205" s="58" t="s">
        <v>44</v>
      </c>
      <c r="Q8205" s="45" t="s">
        <v>23</v>
      </c>
      <c r="R8205" s="45" t="s">
        <v>272</v>
      </c>
    </row>
    <row r="8206" spans="2:18" ht="69" customHeight="1">
      <c r="B8206" s="62">
        <f t="shared" si="55"/>
        <v>5325</v>
      </c>
      <c r="C8206" s="59" t="s">
        <v>1853</v>
      </c>
      <c r="D8206" s="545" t="s">
        <v>15906</v>
      </c>
      <c r="E8206" s="45" t="s">
        <v>19953</v>
      </c>
      <c r="F8206" s="58" t="s">
        <v>20063</v>
      </c>
      <c r="G8206" s="58" t="s">
        <v>20061</v>
      </c>
      <c r="H8206" s="546">
        <v>1000</v>
      </c>
      <c r="I8206" s="126">
        <v>45387</v>
      </c>
      <c r="J8206" s="242" t="s">
        <v>20062</v>
      </c>
      <c r="K8206" s="67"/>
      <c r="O8206" s="62" t="s">
        <v>11411</v>
      </c>
      <c r="P8206" s="58" t="s">
        <v>44</v>
      </c>
      <c r="Q8206" s="45" t="s">
        <v>29</v>
      </c>
      <c r="R8206" s="45" t="s">
        <v>272</v>
      </c>
    </row>
    <row r="8207" spans="2:18" ht="69" customHeight="1">
      <c r="B8207" s="62">
        <f t="shared" si="55"/>
        <v>5326</v>
      </c>
      <c r="C8207" s="59" t="s">
        <v>2182</v>
      </c>
      <c r="D8207" s="545" t="s">
        <v>16164</v>
      </c>
      <c r="E8207" s="45" t="s">
        <v>19953</v>
      </c>
      <c r="F8207" s="58" t="s">
        <v>20064</v>
      </c>
      <c r="G8207" s="58" t="s">
        <v>20061</v>
      </c>
      <c r="H8207" s="546">
        <v>1000</v>
      </c>
      <c r="I8207" s="126">
        <v>45387</v>
      </c>
      <c r="J8207" s="242" t="s">
        <v>20062</v>
      </c>
      <c r="K8207" s="67"/>
      <c r="O8207" s="62" t="s">
        <v>11411</v>
      </c>
      <c r="P8207" s="58" t="s">
        <v>44</v>
      </c>
      <c r="Q8207" s="45" t="s">
        <v>31</v>
      </c>
      <c r="R8207" s="45" t="s">
        <v>272</v>
      </c>
    </row>
    <row r="8208" spans="2:18" ht="69" customHeight="1">
      <c r="B8208" s="62">
        <f t="shared" si="55"/>
        <v>5327</v>
      </c>
      <c r="C8208" s="59" t="s">
        <v>16106</v>
      </c>
      <c r="D8208" s="545" t="s">
        <v>15950</v>
      </c>
      <c r="E8208" s="45" t="s">
        <v>19953</v>
      </c>
      <c r="F8208" s="58" t="s">
        <v>20065</v>
      </c>
      <c r="G8208" s="58" t="s">
        <v>20061</v>
      </c>
      <c r="H8208" s="546">
        <v>1000</v>
      </c>
      <c r="I8208" s="126">
        <v>45387</v>
      </c>
      <c r="J8208" s="242" t="s">
        <v>20062</v>
      </c>
      <c r="K8208" s="67"/>
      <c r="O8208" s="62" t="s">
        <v>11411</v>
      </c>
      <c r="P8208" s="58" t="s">
        <v>44</v>
      </c>
      <c r="Q8208" s="45" t="s">
        <v>33</v>
      </c>
      <c r="R8208" s="45" t="s">
        <v>272</v>
      </c>
    </row>
    <row r="8209" spans="2:18" ht="69" customHeight="1">
      <c r="B8209" s="62">
        <f t="shared" si="55"/>
        <v>5328</v>
      </c>
      <c r="C8209" s="59" t="s">
        <v>11050</v>
      </c>
      <c r="D8209" s="545" t="s">
        <v>20066</v>
      </c>
      <c r="E8209" s="45" t="s">
        <v>19953</v>
      </c>
      <c r="F8209" s="58" t="s">
        <v>20067</v>
      </c>
      <c r="G8209" s="58" t="s">
        <v>20061</v>
      </c>
      <c r="H8209" s="546">
        <v>1000</v>
      </c>
      <c r="I8209" s="126">
        <v>45387</v>
      </c>
      <c r="J8209" s="242" t="s">
        <v>20062</v>
      </c>
      <c r="K8209" s="67"/>
      <c r="O8209" s="62" t="s">
        <v>11411</v>
      </c>
      <c r="P8209" s="58" t="s">
        <v>44</v>
      </c>
      <c r="Q8209" s="45" t="s">
        <v>35</v>
      </c>
      <c r="R8209" s="45" t="s">
        <v>272</v>
      </c>
    </row>
    <row r="8210" spans="2:18" ht="69" customHeight="1">
      <c r="B8210" s="62">
        <f t="shared" si="55"/>
        <v>5329</v>
      </c>
      <c r="C8210" s="201" t="s">
        <v>11052</v>
      </c>
      <c r="D8210" s="545" t="s">
        <v>20068</v>
      </c>
      <c r="E8210" s="45" t="s">
        <v>19953</v>
      </c>
      <c r="F8210" s="58" t="s">
        <v>20069</v>
      </c>
      <c r="G8210" s="58" t="s">
        <v>20061</v>
      </c>
      <c r="H8210" s="546">
        <v>1000</v>
      </c>
      <c r="I8210" s="126">
        <v>45387</v>
      </c>
      <c r="J8210" s="242" t="s">
        <v>20062</v>
      </c>
      <c r="K8210" s="67"/>
      <c r="O8210" s="62" t="s">
        <v>11411</v>
      </c>
      <c r="P8210" s="58" t="s">
        <v>44</v>
      </c>
      <c r="Q8210" s="45" t="s">
        <v>37</v>
      </c>
      <c r="R8210" s="45" t="s">
        <v>272</v>
      </c>
    </row>
    <row r="8211" spans="2:18" ht="69" customHeight="1">
      <c r="B8211" s="62">
        <f t="shared" si="55"/>
        <v>5330</v>
      </c>
      <c r="C8211" s="58" t="s">
        <v>18812</v>
      </c>
      <c r="D8211" s="545" t="s">
        <v>19429</v>
      </c>
      <c r="E8211" s="45" t="s">
        <v>19953</v>
      </c>
      <c r="F8211" s="58" t="s">
        <v>20070</v>
      </c>
      <c r="G8211" s="58" t="s">
        <v>20061</v>
      </c>
      <c r="H8211" s="546">
        <v>1000</v>
      </c>
      <c r="I8211" s="126">
        <v>45387</v>
      </c>
      <c r="J8211" s="242" t="s">
        <v>20062</v>
      </c>
      <c r="K8211" s="67"/>
      <c r="O8211" s="62" t="s">
        <v>11411</v>
      </c>
      <c r="P8211" s="58" t="s">
        <v>44</v>
      </c>
      <c r="Q8211" s="45" t="s">
        <v>43</v>
      </c>
      <c r="R8211" s="45" t="s">
        <v>272</v>
      </c>
    </row>
    <row r="8212" spans="2:18" ht="69" customHeight="1">
      <c r="B8212" s="62">
        <f t="shared" si="55"/>
        <v>5331</v>
      </c>
      <c r="C8212" s="124" t="s">
        <v>11055</v>
      </c>
      <c r="D8212" s="545" t="s">
        <v>20071</v>
      </c>
      <c r="E8212" s="45" t="s">
        <v>19953</v>
      </c>
      <c r="F8212" s="58" t="s">
        <v>20072</v>
      </c>
      <c r="G8212" s="58" t="s">
        <v>20061</v>
      </c>
      <c r="H8212" s="546">
        <v>1000</v>
      </c>
      <c r="I8212" s="126">
        <v>45387</v>
      </c>
      <c r="J8212" s="242" t="s">
        <v>20062</v>
      </c>
      <c r="K8212" s="67"/>
      <c r="O8212" s="62" t="s">
        <v>11411</v>
      </c>
      <c r="P8212" s="58" t="s">
        <v>44</v>
      </c>
      <c r="Q8212" s="45" t="s">
        <v>45</v>
      </c>
      <c r="R8212" s="45" t="s">
        <v>272</v>
      </c>
    </row>
    <row r="8213" spans="2:18" ht="69" customHeight="1">
      <c r="B8213" s="62">
        <f t="shared" si="55"/>
        <v>5332</v>
      </c>
      <c r="C8213" s="45" t="s">
        <v>13435</v>
      </c>
      <c r="D8213" s="545" t="s">
        <v>19440</v>
      </c>
      <c r="E8213" s="45" t="s">
        <v>19953</v>
      </c>
      <c r="F8213" s="58" t="s">
        <v>20073</v>
      </c>
      <c r="G8213" s="58" t="s">
        <v>20061</v>
      </c>
      <c r="H8213" s="546">
        <v>1000</v>
      </c>
      <c r="I8213" s="126">
        <v>45387</v>
      </c>
      <c r="J8213" s="242" t="s">
        <v>20062</v>
      </c>
      <c r="K8213" s="67"/>
      <c r="O8213" s="62" t="s">
        <v>11411</v>
      </c>
      <c r="P8213" s="58" t="s">
        <v>44</v>
      </c>
      <c r="Q8213" s="45" t="s">
        <v>13</v>
      </c>
      <c r="R8213" s="45" t="s">
        <v>272</v>
      </c>
    </row>
    <row r="8214" spans="2:18" ht="69" customHeight="1">
      <c r="B8214" s="62">
        <f t="shared" si="55"/>
        <v>5333</v>
      </c>
      <c r="C8214" s="59" t="s">
        <v>581</v>
      </c>
      <c r="D8214" s="545" t="s">
        <v>19446</v>
      </c>
      <c r="E8214" s="45" t="s">
        <v>19953</v>
      </c>
      <c r="F8214" s="58" t="s">
        <v>20074</v>
      </c>
      <c r="G8214" s="58" t="s">
        <v>20061</v>
      </c>
      <c r="H8214" s="546">
        <v>3000</v>
      </c>
      <c r="I8214" s="126">
        <v>45387</v>
      </c>
      <c r="J8214" s="242" t="s">
        <v>20062</v>
      </c>
      <c r="K8214" s="67"/>
      <c r="O8214" s="62" t="s">
        <v>11411</v>
      </c>
      <c r="P8214" s="58" t="s">
        <v>44</v>
      </c>
      <c r="Q8214" s="45" t="s">
        <v>18</v>
      </c>
      <c r="R8214" s="45" t="s">
        <v>272</v>
      </c>
    </row>
    <row r="8215" spans="2:18" ht="69" customHeight="1">
      <c r="B8215" s="62">
        <f t="shared" si="55"/>
        <v>5334</v>
      </c>
      <c r="C8215" s="58" t="s">
        <v>860</v>
      </c>
      <c r="D8215" s="545" t="s">
        <v>20075</v>
      </c>
      <c r="E8215" s="45" t="s">
        <v>19953</v>
      </c>
      <c r="F8215" s="58" t="s">
        <v>20076</v>
      </c>
      <c r="G8215" s="58" t="s">
        <v>20061</v>
      </c>
      <c r="H8215" s="546">
        <v>1000</v>
      </c>
      <c r="I8215" s="126">
        <v>45387</v>
      </c>
      <c r="J8215" s="242" t="s">
        <v>20062</v>
      </c>
      <c r="K8215" s="67"/>
      <c r="O8215" s="62" t="s">
        <v>11411</v>
      </c>
      <c r="P8215" s="58" t="s">
        <v>44</v>
      </c>
      <c r="Q8215" s="45" t="s">
        <v>20</v>
      </c>
      <c r="R8215" s="45" t="s">
        <v>272</v>
      </c>
    </row>
    <row r="8216" spans="2:18" ht="69" customHeight="1">
      <c r="B8216" s="62">
        <f t="shared" si="55"/>
        <v>5335</v>
      </c>
      <c r="C8216" s="58" t="s">
        <v>18817</v>
      </c>
      <c r="D8216" s="545" t="s">
        <v>16056</v>
      </c>
      <c r="E8216" s="45" t="s">
        <v>19953</v>
      </c>
      <c r="F8216" s="58" t="s">
        <v>20077</v>
      </c>
      <c r="G8216" s="58" t="s">
        <v>20061</v>
      </c>
      <c r="H8216" s="546">
        <v>1000</v>
      </c>
      <c r="I8216" s="126">
        <v>45387</v>
      </c>
      <c r="J8216" s="242" t="s">
        <v>20062</v>
      </c>
      <c r="K8216" s="67"/>
      <c r="O8216" s="62" t="s">
        <v>11411</v>
      </c>
      <c r="P8216" s="58" t="s">
        <v>44</v>
      </c>
      <c r="Q8216" s="45" t="s">
        <v>25</v>
      </c>
      <c r="R8216" s="45" t="s">
        <v>272</v>
      </c>
    </row>
    <row r="8217" spans="2:18" ht="69" customHeight="1">
      <c r="B8217" s="62">
        <f t="shared" si="55"/>
        <v>5336</v>
      </c>
      <c r="C8217" s="178" t="s">
        <v>1593</v>
      </c>
      <c r="D8217" s="545" t="s">
        <v>16058</v>
      </c>
      <c r="E8217" s="45" t="s">
        <v>19953</v>
      </c>
      <c r="F8217" s="58" t="s">
        <v>20078</v>
      </c>
      <c r="G8217" s="58" t="s">
        <v>20061</v>
      </c>
      <c r="H8217" s="546">
        <v>3000</v>
      </c>
      <c r="I8217" s="126">
        <v>45387</v>
      </c>
      <c r="J8217" s="242" t="s">
        <v>20062</v>
      </c>
      <c r="K8217" s="67"/>
      <c r="O8217" s="62" t="s">
        <v>11411</v>
      </c>
      <c r="P8217" s="58" t="s">
        <v>44</v>
      </c>
      <c r="Q8217" s="45" t="s">
        <v>27</v>
      </c>
      <c r="R8217" s="45" t="s">
        <v>272</v>
      </c>
    </row>
    <row r="8218" spans="2:18" ht="69" customHeight="1">
      <c r="B8218" s="62">
        <f t="shared" si="55"/>
        <v>5337</v>
      </c>
      <c r="C8218" s="201" t="s">
        <v>15449</v>
      </c>
      <c r="D8218" s="545" t="s">
        <v>19558</v>
      </c>
      <c r="E8218" s="45" t="s">
        <v>19953</v>
      </c>
      <c r="F8218" s="58" t="s">
        <v>20079</v>
      </c>
      <c r="G8218" s="58" t="s">
        <v>20061</v>
      </c>
      <c r="H8218" s="546">
        <v>1000</v>
      </c>
      <c r="I8218" s="126">
        <v>45387</v>
      </c>
      <c r="J8218" s="242" t="s">
        <v>20062</v>
      </c>
      <c r="K8218" s="67"/>
      <c r="O8218" s="62" t="s">
        <v>11411</v>
      </c>
      <c r="P8218" s="58" t="s">
        <v>44</v>
      </c>
      <c r="Q8218" s="45" t="s">
        <v>39</v>
      </c>
      <c r="R8218" s="45" t="s">
        <v>272</v>
      </c>
    </row>
    <row r="8219" spans="2:18" ht="69" customHeight="1">
      <c r="B8219" s="62">
        <f t="shared" si="55"/>
        <v>5338</v>
      </c>
      <c r="C8219" s="201" t="s">
        <v>15700</v>
      </c>
      <c r="D8219" s="545" t="s">
        <v>15999</v>
      </c>
      <c r="E8219" s="45" t="s">
        <v>19953</v>
      </c>
      <c r="F8219" s="58" t="s">
        <v>20080</v>
      </c>
      <c r="G8219" s="58" t="s">
        <v>20061</v>
      </c>
      <c r="H8219" s="546">
        <v>1000</v>
      </c>
      <c r="I8219" s="126">
        <v>45387</v>
      </c>
      <c r="J8219" s="242" t="s">
        <v>20062</v>
      </c>
      <c r="K8219" s="67"/>
      <c r="O8219" s="62" t="s">
        <v>11411</v>
      </c>
      <c r="P8219" s="58" t="s">
        <v>44</v>
      </c>
      <c r="Q8219" s="45" t="s">
        <v>41</v>
      </c>
      <c r="R8219" s="45" t="s">
        <v>272</v>
      </c>
    </row>
    <row r="8220" spans="2:18" ht="69" customHeight="1">
      <c r="B8220" s="62">
        <f t="shared" si="55"/>
        <v>5339</v>
      </c>
      <c r="C8220" s="59" t="s">
        <v>3667</v>
      </c>
      <c r="D8220" s="545" t="s">
        <v>20081</v>
      </c>
      <c r="E8220" s="58" t="s">
        <v>20082</v>
      </c>
      <c r="F8220" s="58" t="s">
        <v>20083</v>
      </c>
      <c r="G8220" s="58" t="s">
        <v>20084</v>
      </c>
      <c r="H8220" s="546">
        <v>75000</v>
      </c>
      <c r="I8220" s="126">
        <v>45397</v>
      </c>
      <c r="J8220" s="242" t="s">
        <v>20085</v>
      </c>
      <c r="K8220" s="67"/>
      <c r="O8220" s="62" t="s">
        <v>192</v>
      </c>
      <c r="P8220" s="58" t="s">
        <v>57</v>
      </c>
      <c r="Q8220" s="45" t="s">
        <v>86</v>
      </c>
      <c r="R8220" s="45" t="s">
        <v>265</v>
      </c>
    </row>
    <row r="8221" spans="2:18" ht="69" customHeight="1">
      <c r="B8221" s="62">
        <f t="shared" si="55"/>
        <v>5340</v>
      </c>
      <c r="C8221" s="59" t="s">
        <v>3667</v>
      </c>
      <c r="D8221" s="545" t="s">
        <v>20086</v>
      </c>
      <c r="E8221" s="58" t="s">
        <v>20087</v>
      </c>
      <c r="F8221" s="58" t="s">
        <v>20088</v>
      </c>
      <c r="G8221" s="58" t="s">
        <v>20089</v>
      </c>
      <c r="H8221" s="546">
        <v>60442.62</v>
      </c>
      <c r="I8221" s="126">
        <v>45397</v>
      </c>
      <c r="J8221" s="242" t="s">
        <v>20090</v>
      </c>
      <c r="K8221" s="67"/>
      <c r="O8221" s="62" t="s">
        <v>10607</v>
      </c>
      <c r="P8221" s="58" t="s">
        <v>22</v>
      </c>
      <c r="Q8221" s="45" t="s">
        <v>93</v>
      </c>
      <c r="R8221" s="45" t="s">
        <v>272</v>
      </c>
    </row>
    <row r="8222" spans="2:18" ht="69" customHeight="1">
      <c r="B8222" s="62">
        <f t="shared" si="55"/>
        <v>5341</v>
      </c>
      <c r="C8222" s="58" t="s">
        <v>18817</v>
      </c>
      <c r="D8222" s="545" t="s">
        <v>15996</v>
      </c>
      <c r="E8222" s="58" t="s">
        <v>20082</v>
      </c>
      <c r="F8222" s="58" t="s">
        <v>20091</v>
      </c>
      <c r="G8222" s="58" t="s">
        <v>20092</v>
      </c>
      <c r="H8222" s="546">
        <v>40000</v>
      </c>
      <c r="I8222" s="126">
        <v>45397</v>
      </c>
      <c r="J8222" s="242" t="s">
        <v>20093</v>
      </c>
      <c r="K8222" s="67" t="s">
        <v>20094</v>
      </c>
      <c r="O8222" s="62" t="s">
        <v>192</v>
      </c>
      <c r="P8222" s="58" t="s">
        <v>75</v>
      </c>
      <c r="Q8222" s="45" t="s">
        <v>25</v>
      </c>
      <c r="R8222" s="45" t="s">
        <v>265</v>
      </c>
    </row>
    <row r="8223" spans="2:18" ht="69" customHeight="1">
      <c r="B8223" s="62">
        <f t="shared" si="55"/>
        <v>5342</v>
      </c>
      <c r="C8223" s="59" t="s">
        <v>4411</v>
      </c>
      <c r="D8223" s="545" t="s">
        <v>20095</v>
      </c>
      <c r="E8223" s="58" t="s">
        <v>20082</v>
      </c>
      <c r="F8223" s="58" t="s">
        <v>20096</v>
      </c>
      <c r="G8223" s="58" t="s">
        <v>20092</v>
      </c>
      <c r="H8223" s="546">
        <v>40603.589999999997</v>
      </c>
      <c r="I8223" s="126">
        <v>45397</v>
      </c>
      <c r="J8223" s="242" t="s">
        <v>20093</v>
      </c>
      <c r="K8223" s="67"/>
      <c r="O8223" s="62" t="s">
        <v>192</v>
      </c>
      <c r="P8223" s="58" t="s">
        <v>75</v>
      </c>
      <c r="Q8223" s="45" t="s">
        <v>54</v>
      </c>
      <c r="R8223" s="45" t="s">
        <v>265</v>
      </c>
    </row>
    <row r="8224" spans="2:18" ht="69" customHeight="1">
      <c r="B8224" s="48">
        <f t="shared" si="55"/>
        <v>5343</v>
      </c>
      <c r="C8224" s="201" t="s">
        <v>15449</v>
      </c>
      <c r="D8224" s="84" t="s">
        <v>19525</v>
      </c>
      <c r="E8224" s="45" t="s">
        <v>20082</v>
      </c>
      <c r="F8224" s="45" t="s">
        <v>20097</v>
      </c>
      <c r="G8224" s="45" t="s">
        <v>20092</v>
      </c>
      <c r="H8224" s="546">
        <v>74250</v>
      </c>
      <c r="I8224" s="47">
        <v>45397</v>
      </c>
      <c r="J8224" s="73" t="s">
        <v>20093</v>
      </c>
      <c r="K8224" s="45" t="s">
        <v>18526</v>
      </c>
      <c r="O8224" s="62" t="s">
        <v>192</v>
      </c>
      <c r="P8224" s="58" t="s">
        <v>75</v>
      </c>
      <c r="Q8224" s="45" t="s">
        <v>41</v>
      </c>
      <c r="R8224" s="45" t="s">
        <v>265</v>
      </c>
    </row>
    <row r="8225" spans="2:18" ht="69" customHeight="1">
      <c r="B8225" s="62">
        <f t="shared" si="55"/>
        <v>5344</v>
      </c>
      <c r="C8225" s="627" t="s">
        <v>11568</v>
      </c>
      <c r="D8225" s="545" t="s">
        <v>17065</v>
      </c>
      <c r="E8225" s="45" t="s">
        <v>19953</v>
      </c>
      <c r="F8225" s="58" t="s">
        <v>20098</v>
      </c>
      <c r="G8225" s="58" t="s">
        <v>20061</v>
      </c>
      <c r="H8225" s="546">
        <v>1000</v>
      </c>
      <c r="I8225" s="126">
        <v>45387</v>
      </c>
      <c r="J8225" s="242" t="s">
        <v>20099</v>
      </c>
      <c r="K8225" s="67"/>
      <c r="O8225" s="62" t="s">
        <v>11411</v>
      </c>
      <c r="P8225" s="58" t="s">
        <v>44</v>
      </c>
      <c r="Q8225" s="45" t="s">
        <v>107</v>
      </c>
      <c r="R8225" s="45" t="s">
        <v>272</v>
      </c>
    </row>
    <row r="8226" spans="2:18" ht="69" customHeight="1">
      <c r="B8226" s="62">
        <f t="shared" si="55"/>
        <v>5345</v>
      </c>
      <c r="C8226" s="201" t="s">
        <v>458</v>
      </c>
      <c r="D8226" s="545" t="s">
        <v>17137</v>
      </c>
      <c r="E8226" s="45" t="s">
        <v>19953</v>
      </c>
      <c r="F8226" s="58" t="s">
        <v>20100</v>
      </c>
      <c r="G8226" s="58" t="s">
        <v>20061</v>
      </c>
      <c r="H8226" s="546">
        <v>3000</v>
      </c>
      <c r="I8226" s="126">
        <v>45387</v>
      </c>
      <c r="J8226" s="242" t="s">
        <v>20099</v>
      </c>
      <c r="K8226" s="67"/>
      <c r="O8226" s="62" t="s">
        <v>11411</v>
      </c>
      <c r="P8226" s="58" t="s">
        <v>44</v>
      </c>
      <c r="Q8226" s="45" t="s">
        <v>100</v>
      </c>
      <c r="R8226" s="45" t="s">
        <v>272</v>
      </c>
    </row>
    <row r="8227" spans="2:18" ht="69" customHeight="1">
      <c r="B8227" s="62">
        <f t="shared" si="55"/>
        <v>5346</v>
      </c>
      <c r="C8227" s="59" t="s">
        <v>11908</v>
      </c>
      <c r="D8227" s="545" t="s">
        <v>17071</v>
      </c>
      <c r="E8227" s="45" t="s">
        <v>19953</v>
      </c>
      <c r="F8227" s="58" t="s">
        <v>20101</v>
      </c>
      <c r="G8227" s="58" t="s">
        <v>20061</v>
      </c>
      <c r="H8227" s="546">
        <v>1000</v>
      </c>
      <c r="I8227" s="126">
        <v>45387</v>
      </c>
      <c r="J8227" s="242" t="s">
        <v>20099</v>
      </c>
      <c r="K8227" s="67"/>
      <c r="O8227" s="62" t="s">
        <v>11411</v>
      </c>
      <c r="P8227" s="58" t="s">
        <v>44</v>
      </c>
      <c r="Q8227" s="45" t="s">
        <v>103</v>
      </c>
      <c r="R8227" s="45" t="s">
        <v>272</v>
      </c>
    </row>
    <row r="8228" spans="2:18" ht="69" customHeight="1">
      <c r="B8228" s="62">
        <f t="shared" ref="B8228:B8259" si="56">B8227+1</f>
        <v>5347</v>
      </c>
      <c r="C8228" s="178" t="s">
        <v>8057</v>
      </c>
      <c r="D8228" s="545" t="s">
        <v>17087</v>
      </c>
      <c r="E8228" s="45" t="s">
        <v>19953</v>
      </c>
      <c r="F8228" s="58" t="s">
        <v>20102</v>
      </c>
      <c r="G8228" s="58" t="s">
        <v>20061</v>
      </c>
      <c r="H8228" s="546">
        <v>1000</v>
      </c>
      <c r="I8228" s="126">
        <v>45387</v>
      </c>
      <c r="J8228" s="242" t="s">
        <v>20099</v>
      </c>
      <c r="K8228" s="67"/>
      <c r="O8228" s="62" t="s">
        <v>11411</v>
      </c>
      <c r="P8228" s="58" t="s">
        <v>44</v>
      </c>
      <c r="Q8228" s="45" t="s">
        <v>105</v>
      </c>
      <c r="R8228" s="45" t="s">
        <v>272</v>
      </c>
    </row>
    <row r="8229" spans="2:18" ht="69" customHeight="1">
      <c r="B8229" s="62">
        <f t="shared" si="56"/>
        <v>5348</v>
      </c>
      <c r="C8229" s="201" t="s">
        <v>458</v>
      </c>
      <c r="D8229" s="545" t="s">
        <v>17074</v>
      </c>
      <c r="E8229" s="45" t="s">
        <v>19953</v>
      </c>
      <c r="F8229" s="58" t="s">
        <v>20103</v>
      </c>
      <c r="G8229" s="58" t="s">
        <v>20061</v>
      </c>
      <c r="H8229" s="546">
        <v>1000</v>
      </c>
      <c r="I8229" s="126">
        <v>45387</v>
      </c>
      <c r="J8229" s="242" t="s">
        <v>20099</v>
      </c>
      <c r="K8229" s="67"/>
      <c r="O8229" s="62" t="s">
        <v>11411</v>
      </c>
      <c r="P8229" s="58" t="s">
        <v>44</v>
      </c>
      <c r="Q8229" s="45" t="s">
        <v>119</v>
      </c>
      <c r="R8229" s="45" t="s">
        <v>272</v>
      </c>
    </row>
    <row r="8230" spans="2:18" ht="69" customHeight="1">
      <c r="B8230" s="62">
        <f t="shared" si="56"/>
        <v>5349</v>
      </c>
      <c r="C8230" s="44" t="s">
        <v>10418</v>
      </c>
      <c r="D8230" s="545" t="s">
        <v>17091</v>
      </c>
      <c r="E8230" s="45" t="s">
        <v>19953</v>
      </c>
      <c r="F8230" s="58" t="s">
        <v>20104</v>
      </c>
      <c r="G8230" s="58" t="s">
        <v>20061</v>
      </c>
      <c r="H8230" s="546">
        <v>1000</v>
      </c>
      <c r="I8230" s="126">
        <v>45387</v>
      </c>
      <c r="J8230" s="242" t="s">
        <v>20099</v>
      </c>
      <c r="K8230" s="67"/>
      <c r="O8230" s="62" t="s">
        <v>11411</v>
      </c>
      <c r="P8230" s="58" t="s">
        <v>44</v>
      </c>
      <c r="Q8230" s="45" t="s">
        <v>121</v>
      </c>
      <c r="R8230" s="45" t="s">
        <v>272</v>
      </c>
    </row>
    <row r="8231" spans="2:18" ht="69" customHeight="1">
      <c r="B8231" s="62">
        <f t="shared" si="56"/>
        <v>5350</v>
      </c>
      <c r="C8231" s="201" t="s">
        <v>9215</v>
      </c>
      <c r="D8231" s="545" t="s">
        <v>20105</v>
      </c>
      <c r="E8231" s="45" t="s">
        <v>19953</v>
      </c>
      <c r="F8231" s="58" t="s">
        <v>20106</v>
      </c>
      <c r="G8231" s="58" t="s">
        <v>20061</v>
      </c>
      <c r="H8231" s="546">
        <v>1000</v>
      </c>
      <c r="I8231" s="126">
        <v>45387</v>
      </c>
      <c r="J8231" s="242" t="s">
        <v>20099</v>
      </c>
      <c r="K8231" s="67"/>
      <c r="O8231" s="62" t="s">
        <v>11411</v>
      </c>
      <c r="P8231" s="58" t="s">
        <v>44</v>
      </c>
      <c r="Q8231" s="45" t="s">
        <v>113</v>
      </c>
      <c r="R8231" s="45" t="s">
        <v>272</v>
      </c>
    </row>
    <row r="8232" spans="2:18" ht="69" customHeight="1">
      <c r="B8232" s="62">
        <f t="shared" si="56"/>
        <v>5351</v>
      </c>
      <c r="C8232" s="44" t="s">
        <v>13562</v>
      </c>
      <c r="D8232" s="545" t="s">
        <v>20107</v>
      </c>
      <c r="E8232" s="45" t="s">
        <v>19953</v>
      </c>
      <c r="F8232" s="58" t="s">
        <v>20108</v>
      </c>
      <c r="G8232" s="58" t="s">
        <v>20061</v>
      </c>
      <c r="H8232" s="546">
        <v>3000</v>
      </c>
      <c r="I8232" s="126">
        <v>45387</v>
      </c>
      <c r="J8232" s="242" t="s">
        <v>20099</v>
      </c>
      <c r="K8232" s="67"/>
      <c r="O8232" s="62" t="s">
        <v>11411</v>
      </c>
      <c r="P8232" s="58" t="s">
        <v>44</v>
      </c>
      <c r="Q8232" s="45" t="s">
        <v>88</v>
      </c>
      <c r="R8232" s="45" t="s">
        <v>272</v>
      </c>
    </row>
    <row r="8233" spans="2:18" ht="69" customHeight="1">
      <c r="B8233" s="62">
        <f t="shared" si="56"/>
        <v>5352</v>
      </c>
      <c r="C8233" s="178" t="s">
        <v>9322</v>
      </c>
      <c r="D8233" s="545" t="s">
        <v>17005</v>
      </c>
      <c r="E8233" s="45" t="s">
        <v>19953</v>
      </c>
      <c r="F8233" s="58" t="s">
        <v>20109</v>
      </c>
      <c r="G8233" s="58" t="s">
        <v>20061</v>
      </c>
      <c r="H8233" s="546">
        <v>1000</v>
      </c>
      <c r="I8233" s="126">
        <v>45387</v>
      </c>
      <c r="J8233" s="242" t="s">
        <v>20099</v>
      </c>
      <c r="K8233" s="67"/>
      <c r="O8233" s="62" t="s">
        <v>11411</v>
      </c>
      <c r="P8233" s="58" t="s">
        <v>44</v>
      </c>
      <c r="Q8233" s="45" t="s">
        <v>114</v>
      </c>
      <c r="R8233" s="45" t="s">
        <v>272</v>
      </c>
    </row>
    <row r="8234" spans="2:18" ht="69" customHeight="1">
      <c r="B8234" s="62">
        <f t="shared" si="56"/>
        <v>5353</v>
      </c>
      <c r="C8234" s="58" t="s">
        <v>9545</v>
      </c>
      <c r="D8234" s="545" t="s">
        <v>17012</v>
      </c>
      <c r="E8234" s="45" t="s">
        <v>19953</v>
      </c>
      <c r="F8234" s="58" t="s">
        <v>20110</v>
      </c>
      <c r="G8234" s="58" t="s">
        <v>20061</v>
      </c>
      <c r="H8234" s="546">
        <v>1000</v>
      </c>
      <c r="I8234" s="126">
        <v>45387</v>
      </c>
      <c r="J8234" s="242" t="s">
        <v>20099</v>
      </c>
      <c r="K8234" s="67"/>
      <c r="O8234" s="62" t="s">
        <v>11411</v>
      </c>
      <c r="P8234" s="58" t="s">
        <v>44</v>
      </c>
      <c r="Q8234" s="45" t="s">
        <v>117</v>
      </c>
      <c r="R8234" s="45" t="s">
        <v>272</v>
      </c>
    </row>
    <row r="8235" spans="2:18" ht="69" customHeight="1">
      <c r="B8235" s="62">
        <f t="shared" si="56"/>
        <v>5354</v>
      </c>
      <c r="C8235" s="58" t="s">
        <v>18826</v>
      </c>
      <c r="D8235" s="545" t="s">
        <v>17019</v>
      </c>
      <c r="E8235" s="45" t="s">
        <v>19953</v>
      </c>
      <c r="F8235" s="58" t="s">
        <v>20111</v>
      </c>
      <c r="G8235" s="58" t="s">
        <v>20061</v>
      </c>
      <c r="H8235" s="546">
        <v>1000</v>
      </c>
      <c r="I8235" s="126">
        <v>45387</v>
      </c>
      <c r="J8235" s="242" t="s">
        <v>20099</v>
      </c>
      <c r="K8235" s="67"/>
      <c r="O8235" s="62" t="s">
        <v>11411</v>
      </c>
      <c r="P8235" s="58" t="s">
        <v>44</v>
      </c>
      <c r="Q8235" s="45" t="s">
        <v>108</v>
      </c>
      <c r="R8235" s="45" t="s">
        <v>272</v>
      </c>
    </row>
    <row r="8236" spans="2:18" ht="69" customHeight="1">
      <c r="B8236" s="62">
        <f t="shared" si="56"/>
        <v>5355</v>
      </c>
      <c r="C8236" s="45" t="s">
        <v>11618</v>
      </c>
      <c r="D8236" s="545" t="s">
        <v>17024</v>
      </c>
      <c r="E8236" s="45" t="s">
        <v>19953</v>
      </c>
      <c r="F8236" s="58" t="s">
        <v>20112</v>
      </c>
      <c r="G8236" s="58" t="s">
        <v>20061</v>
      </c>
      <c r="H8236" s="546">
        <v>3000</v>
      </c>
      <c r="I8236" s="126">
        <v>45387</v>
      </c>
      <c r="J8236" s="242" t="s">
        <v>20099</v>
      </c>
      <c r="K8236" s="67"/>
      <c r="O8236" s="62" t="s">
        <v>11411</v>
      </c>
      <c r="P8236" s="58" t="s">
        <v>44</v>
      </c>
      <c r="Q8236" s="45" t="s">
        <v>122</v>
      </c>
      <c r="R8236" s="45" t="s">
        <v>272</v>
      </c>
    </row>
    <row r="8237" spans="2:18" ht="69" customHeight="1">
      <c r="B8237" s="62">
        <f t="shared" si="56"/>
        <v>5356</v>
      </c>
      <c r="C8237" s="59" t="s">
        <v>9094</v>
      </c>
      <c r="D8237" s="545" t="s">
        <v>17036</v>
      </c>
      <c r="E8237" s="45" t="s">
        <v>19953</v>
      </c>
      <c r="F8237" s="58" t="s">
        <v>20113</v>
      </c>
      <c r="G8237" s="58" t="s">
        <v>20061</v>
      </c>
      <c r="H8237" s="546">
        <v>1000</v>
      </c>
      <c r="I8237" s="126">
        <v>45387</v>
      </c>
      <c r="J8237" s="242" t="s">
        <v>20099</v>
      </c>
      <c r="K8237" s="67"/>
      <c r="O8237" s="62" t="s">
        <v>11411</v>
      </c>
      <c r="P8237" s="58" t="s">
        <v>44</v>
      </c>
      <c r="Q8237" s="45" t="s">
        <v>112</v>
      </c>
      <c r="R8237" s="45" t="s">
        <v>272</v>
      </c>
    </row>
    <row r="8238" spans="2:18" ht="69" customHeight="1">
      <c r="B8238" s="62">
        <f t="shared" si="56"/>
        <v>5357</v>
      </c>
      <c r="C8238" s="59" t="s">
        <v>11933</v>
      </c>
      <c r="D8238" s="545" t="s">
        <v>17044</v>
      </c>
      <c r="E8238" s="45" t="s">
        <v>19953</v>
      </c>
      <c r="F8238" s="58" t="s">
        <v>20114</v>
      </c>
      <c r="G8238" s="58" t="s">
        <v>20061</v>
      </c>
      <c r="H8238" s="546">
        <v>1000</v>
      </c>
      <c r="I8238" s="126">
        <v>45387</v>
      </c>
      <c r="J8238" s="242" t="s">
        <v>20099</v>
      </c>
      <c r="K8238" s="67"/>
      <c r="O8238" s="62" t="s">
        <v>11411</v>
      </c>
      <c r="P8238" s="58" t="s">
        <v>44</v>
      </c>
      <c r="Q8238" s="45" t="s">
        <v>123</v>
      </c>
      <c r="R8238" s="45" t="s">
        <v>272</v>
      </c>
    </row>
    <row r="8239" spans="2:18" ht="69" customHeight="1">
      <c r="B8239" s="62">
        <f t="shared" si="56"/>
        <v>5358</v>
      </c>
      <c r="C8239" s="59" t="s">
        <v>7452</v>
      </c>
      <c r="D8239" s="545" t="s">
        <v>17051</v>
      </c>
      <c r="E8239" s="45" t="s">
        <v>19953</v>
      </c>
      <c r="F8239" s="58" t="s">
        <v>20115</v>
      </c>
      <c r="G8239" s="58" t="s">
        <v>20061</v>
      </c>
      <c r="H8239" s="546">
        <v>1000</v>
      </c>
      <c r="I8239" s="126">
        <v>45387</v>
      </c>
      <c r="J8239" s="242" t="s">
        <v>20099</v>
      </c>
      <c r="K8239" s="67"/>
      <c r="O8239" s="62" t="s">
        <v>11411</v>
      </c>
      <c r="P8239" s="58" t="s">
        <v>44</v>
      </c>
      <c r="Q8239" s="45" t="s">
        <v>101</v>
      </c>
      <c r="R8239" s="45" t="s">
        <v>272</v>
      </c>
    </row>
    <row r="8240" spans="2:18" ht="69" customHeight="1">
      <c r="B8240" s="52">
        <f t="shared" si="56"/>
        <v>5359</v>
      </c>
      <c r="C8240" s="191" t="s">
        <v>309</v>
      </c>
      <c r="D8240" s="251" t="s">
        <v>20116</v>
      </c>
      <c r="E8240" s="46" t="s">
        <v>266</v>
      </c>
      <c r="F8240" s="46" t="s">
        <v>20117</v>
      </c>
      <c r="G8240" s="46" t="s">
        <v>20118</v>
      </c>
      <c r="H8240" s="534">
        <v>5337</v>
      </c>
      <c r="I8240" s="56">
        <v>45387</v>
      </c>
      <c r="J8240" s="199" t="s">
        <v>20119</v>
      </c>
      <c r="K8240" s="52"/>
      <c r="O8240" s="52" t="s">
        <v>14141</v>
      </c>
      <c r="P8240" s="46" t="s">
        <v>65</v>
      </c>
      <c r="Q8240" s="46" t="s">
        <v>13</v>
      </c>
      <c r="R8240" s="46" t="s">
        <v>272</v>
      </c>
    </row>
    <row r="8241" spans="1:18" ht="69" customHeight="1">
      <c r="B8241" s="62">
        <f t="shared" si="56"/>
        <v>5360</v>
      </c>
      <c r="C8241" s="58" t="s">
        <v>458</v>
      </c>
      <c r="D8241" s="545" t="s">
        <v>17042</v>
      </c>
      <c r="E8241" s="178" t="s">
        <v>10553</v>
      </c>
      <c r="F8241" s="58" t="s">
        <v>20120</v>
      </c>
      <c r="G8241" s="45" t="s">
        <v>20121</v>
      </c>
      <c r="H8241" s="546">
        <v>23685.63</v>
      </c>
      <c r="I8241" s="126">
        <v>45387</v>
      </c>
      <c r="J8241" s="242" t="s">
        <v>20122</v>
      </c>
      <c r="K8241" s="67"/>
      <c r="O8241" s="62" t="s">
        <v>147</v>
      </c>
      <c r="P8241" s="58" t="s">
        <v>22</v>
      </c>
      <c r="Q8241" s="45" t="s">
        <v>123</v>
      </c>
      <c r="R8241" s="45" t="s">
        <v>272</v>
      </c>
    </row>
    <row r="8242" spans="1:18" ht="69" customHeight="1">
      <c r="B8242" s="62">
        <f t="shared" si="56"/>
        <v>5361</v>
      </c>
      <c r="C8242" s="58" t="s">
        <v>458</v>
      </c>
      <c r="D8242" s="545" t="s">
        <v>17048</v>
      </c>
      <c r="E8242" s="178" t="s">
        <v>10553</v>
      </c>
      <c r="F8242" s="58" t="s">
        <v>20123</v>
      </c>
      <c r="G8242" s="45" t="s">
        <v>20124</v>
      </c>
      <c r="H8242" s="546">
        <v>45372</v>
      </c>
      <c r="I8242" s="126">
        <v>45387</v>
      </c>
      <c r="J8242" s="242" t="s">
        <v>20122</v>
      </c>
      <c r="K8242" s="67"/>
      <c r="O8242" s="62" t="s">
        <v>147</v>
      </c>
      <c r="P8242" s="58" t="s">
        <v>22</v>
      </c>
      <c r="Q8242" s="45" t="s">
        <v>123</v>
      </c>
      <c r="R8242" s="45" t="s">
        <v>272</v>
      </c>
    </row>
    <row r="8243" spans="1:18" ht="69" customHeight="1">
      <c r="B8243" s="62">
        <f t="shared" si="56"/>
        <v>5362</v>
      </c>
      <c r="C8243" s="44" t="s">
        <v>10944</v>
      </c>
      <c r="D8243" s="545" t="s">
        <v>13758</v>
      </c>
      <c r="E8243" s="45" t="s">
        <v>19953</v>
      </c>
      <c r="F8243" s="58" t="s">
        <v>20125</v>
      </c>
      <c r="G8243" s="58" t="s">
        <v>20061</v>
      </c>
      <c r="H8243" s="546">
        <v>1000</v>
      </c>
      <c r="I8243" s="126">
        <v>45387</v>
      </c>
      <c r="J8243" s="242" t="s">
        <v>20126</v>
      </c>
      <c r="K8243" s="67"/>
      <c r="O8243" s="62" t="s">
        <v>11411</v>
      </c>
      <c r="P8243" s="58" t="s">
        <v>44</v>
      </c>
      <c r="Q8243" s="45" t="s">
        <v>120</v>
      </c>
      <c r="R8243" s="45" t="s">
        <v>272</v>
      </c>
    </row>
    <row r="8244" spans="1:18" ht="69" customHeight="1">
      <c r="B8244" s="62">
        <f t="shared" si="56"/>
        <v>5363</v>
      </c>
      <c r="C8244" s="178" t="s">
        <v>8797</v>
      </c>
      <c r="D8244" s="545" t="s">
        <v>13765</v>
      </c>
      <c r="E8244" s="45" t="s">
        <v>19953</v>
      </c>
      <c r="F8244" s="58" t="s">
        <v>20127</v>
      </c>
      <c r="G8244" s="58" t="s">
        <v>20061</v>
      </c>
      <c r="H8244" s="546">
        <v>3000</v>
      </c>
      <c r="I8244" s="126">
        <v>45387</v>
      </c>
      <c r="J8244" s="242" t="s">
        <v>20126</v>
      </c>
      <c r="K8244" s="67"/>
      <c r="O8244" s="62" t="s">
        <v>11411</v>
      </c>
      <c r="P8244" s="58" t="s">
        <v>44</v>
      </c>
      <c r="Q8244" s="45" t="s">
        <v>110</v>
      </c>
      <c r="R8244" s="45" t="s">
        <v>272</v>
      </c>
    </row>
    <row r="8245" spans="1:18" ht="69" customHeight="1">
      <c r="B8245" s="62">
        <f t="shared" si="56"/>
        <v>5364</v>
      </c>
      <c r="C8245" s="59" t="s">
        <v>8080</v>
      </c>
      <c r="D8245" s="545" t="s">
        <v>6438</v>
      </c>
      <c r="E8245" s="45" t="s">
        <v>19953</v>
      </c>
      <c r="F8245" s="58" t="s">
        <v>20128</v>
      </c>
      <c r="G8245" s="58" t="s">
        <v>20061</v>
      </c>
      <c r="H8245" s="546">
        <v>3000</v>
      </c>
      <c r="I8245" s="126">
        <v>45387</v>
      </c>
      <c r="J8245" s="242" t="s">
        <v>20126</v>
      </c>
      <c r="K8245" s="67"/>
      <c r="O8245" s="62" t="s">
        <v>11411</v>
      </c>
      <c r="P8245" s="58" t="s">
        <v>44</v>
      </c>
      <c r="Q8245" s="45" t="s">
        <v>106</v>
      </c>
      <c r="R8245" s="45" t="s">
        <v>272</v>
      </c>
    </row>
    <row r="8246" spans="1:18" ht="69" customHeight="1">
      <c r="B8246" s="62">
        <f t="shared" si="56"/>
        <v>5365</v>
      </c>
      <c r="C8246" s="44" t="s">
        <v>9004</v>
      </c>
      <c r="D8246" s="545" t="s">
        <v>6442</v>
      </c>
      <c r="E8246" s="45" t="s">
        <v>19953</v>
      </c>
      <c r="F8246" s="58" t="s">
        <v>20129</v>
      </c>
      <c r="G8246" s="58" t="s">
        <v>20061</v>
      </c>
      <c r="H8246" s="546">
        <v>1000</v>
      </c>
      <c r="I8246" s="126">
        <v>45387</v>
      </c>
      <c r="J8246" s="242" t="s">
        <v>20126</v>
      </c>
      <c r="K8246" s="67"/>
      <c r="O8246" s="62" t="s">
        <v>11411</v>
      </c>
      <c r="P8246" s="58" t="s">
        <v>44</v>
      </c>
      <c r="Q8246" s="45" t="s">
        <v>111</v>
      </c>
      <c r="R8246" s="45" t="s">
        <v>272</v>
      </c>
    </row>
    <row r="8247" spans="1:18" ht="69" customHeight="1">
      <c r="B8247" s="62">
        <f t="shared" si="56"/>
        <v>5366</v>
      </c>
      <c r="C8247" s="58" t="s">
        <v>8721</v>
      </c>
      <c r="D8247" s="545" t="s">
        <v>6609</v>
      </c>
      <c r="E8247" s="45" t="s">
        <v>19953</v>
      </c>
      <c r="F8247" s="58" t="s">
        <v>20130</v>
      </c>
      <c r="G8247" s="58" t="s">
        <v>20061</v>
      </c>
      <c r="H8247" s="546">
        <v>1000</v>
      </c>
      <c r="I8247" s="126">
        <v>45387</v>
      </c>
      <c r="J8247" s="242" t="s">
        <v>20126</v>
      </c>
      <c r="K8247" s="67"/>
      <c r="O8247" s="62" t="s">
        <v>11411</v>
      </c>
      <c r="P8247" s="58" t="s">
        <v>44</v>
      </c>
      <c r="Q8247" s="45" t="s">
        <v>109</v>
      </c>
      <c r="R8247" s="45" t="s">
        <v>272</v>
      </c>
    </row>
    <row r="8248" spans="1:18" ht="69" customHeight="1">
      <c r="B8248" s="62">
        <f t="shared" si="56"/>
        <v>5367</v>
      </c>
      <c r="C8248" s="178" t="s">
        <v>9596</v>
      </c>
      <c r="D8248" s="545" t="s">
        <v>6613</v>
      </c>
      <c r="E8248" s="45" t="s">
        <v>19953</v>
      </c>
      <c r="F8248" s="58" t="s">
        <v>20131</v>
      </c>
      <c r="G8248" s="58" t="s">
        <v>20061</v>
      </c>
      <c r="H8248" s="546">
        <v>1000</v>
      </c>
      <c r="I8248" s="126">
        <v>45387</v>
      </c>
      <c r="J8248" s="242" t="s">
        <v>20126</v>
      </c>
      <c r="K8248" s="67"/>
      <c r="O8248" s="62" t="s">
        <v>11411</v>
      </c>
      <c r="P8248" s="58" t="s">
        <v>44</v>
      </c>
      <c r="Q8248" s="45" t="s">
        <v>118</v>
      </c>
      <c r="R8248" s="45" t="s">
        <v>272</v>
      </c>
    </row>
    <row r="8249" spans="1:18" ht="69" customHeight="1">
      <c r="B8249" s="62">
        <f t="shared" si="56"/>
        <v>5368</v>
      </c>
      <c r="C8249" s="59" t="s">
        <v>7189</v>
      </c>
      <c r="D8249" s="545" t="s">
        <v>13795</v>
      </c>
      <c r="E8249" s="45" t="s">
        <v>19953</v>
      </c>
      <c r="F8249" s="58" t="s">
        <v>20132</v>
      </c>
      <c r="G8249" s="58" t="s">
        <v>20061</v>
      </c>
      <c r="H8249" s="546">
        <v>3000</v>
      </c>
      <c r="I8249" s="126">
        <v>45387</v>
      </c>
      <c r="J8249" s="242" t="s">
        <v>20126</v>
      </c>
      <c r="K8249" s="67"/>
      <c r="O8249" s="62" t="s">
        <v>11411</v>
      </c>
      <c r="P8249" s="58" t="s">
        <v>44</v>
      </c>
      <c r="Q8249" s="45" t="s">
        <v>97</v>
      </c>
      <c r="R8249" s="45" t="s">
        <v>272</v>
      </c>
    </row>
    <row r="8250" spans="1:18" ht="69" customHeight="1">
      <c r="B8250" s="62">
        <f t="shared" si="56"/>
        <v>5369</v>
      </c>
      <c r="C8250" s="178" t="s">
        <v>9441</v>
      </c>
      <c r="D8250" s="545" t="s">
        <v>6237</v>
      </c>
      <c r="E8250" s="45" t="s">
        <v>19953</v>
      </c>
      <c r="F8250" s="58" t="s">
        <v>20133</v>
      </c>
      <c r="G8250" s="58" t="s">
        <v>20061</v>
      </c>
      <c r="H8250" s="546">
        <v>2000</v>
      </c>
      <c r="I8250" s="126">
        <v>45387</v>
      </c>
      <c r="J8250" s="242" t="s">
        <v>20126</v>
      </c>
      <c r="K8250" s="67"/>
      <c r="O8250" s="62" t="s">
        <v>11411</v>
      </c>
      <c r="P8250" s="58" t="s">
        <v>44</v>
      </c>
      <c r="Q8250" s="45" t="s">
        <v>116</v>
      </c>
      <c r="R8250" s="45" t="s">
        <v>272</v>
      </c>
    </row>
    <row r="8251" spans="1:18" ht="69" customHeight="1">
      <c r="B8251" s="62">
        <f t="shared" si="56"/>
        <v>5370</v>
      </c>
      <c r="C8251" s="59" t="s">
        <v>10937</v>
      </c>
      <c r="D8251" s="545" t="s">
        <v>13802</v>
      </c>
      <c r="E8251" s="45" t="s">
        <v>19953</v>
      </c>
      <c r="F8251" s="58" t="s">
        <v>20134</v>
      </c>
      <c r="G8251" s="58" t="s">
        <v>20061</v>
      </c>
      <c r="H8251" s="546">
        <v>2000</v>
      </c>
      <c r="I8251" s="126">
        <v>45387</v>
      </c>
      <c r="J8251" s="242" t="s">
        <v>20126</v>
      </c>
      <c r="K8251" s="67"/>
      <c r="O8251" s="62" t="s">
        <v>11411</v>
      </c>
      <c r="P8251" s="58" t="s">
        <v>44</v>
      </c>
      <c r="Q8251" s="45" t="s">
        <v>104</v>
      </c>
      <c r="R8251" s="45" t="s">
        <v>272</v>
      </c>
    </row>
    <row r="8252" spans="1:18" s="98" customFormat="1" ht="69" customHeight="1">
      <c r="A8252" s="169"/>
      <c r="B8252" s="259">
        <f t="shared" si="56"/>
        <v>5371</v>
      </c>
      <c r="C8252" s="207" t="s">
        <v>12503</v>
      </c>
      <c r="D8252" s="303" t="s">
        <v>20135</v>
      </c>
      <c r="E8252" s="160" t="s">
        <v>19953</v>
      </c>
      <c r="F8252" s="160" t="s">
        <v>20136</v>
      </c>
      <c r="G8252" s="160" t="s">
        <v>20137</v>
      </c>
      <c r="H8252" s="300">
        <v>1475</v>
      </c>
      <c r="I8252" s="329">
        <v>45397</v>
      </c>
      <c r="J8252" s="316" t="s">
        <v>20138</v>
      </c>
      <c r="K8252" s="160" t="s">
        <v>11084</v>
      </c>
      <c r="O8252" s="259" t="s">
        <v>467</v>
      </c>
      <c r="P8252" s="160" t="s">
        <v>67</v>
      </c>
      <c r="Q8252" s="160" t="s">
        <v>96</v>
      </c>
      <c r="R8252" s="160" t="s">
        <v>272</v>
      </c>
    </row>
    <row r="8253" spans="1:18" ht="69" customHeight="1">
      <c r="B8253" s="62">
        <f t="shared" si="56"/>
        <v>5372</v>
      </c>
      <c r="C8253" s="44" t="s">
        <v>9004</v>
      </c>
      <c r="D8253" s="545" t="s">
        <v>5199</v>
      </c>
      <c r="E8253" s="58" t="s">
        <v>20139</v>
      </c>
      <c r="F8253" s="58" t="s">
        <v>20140</v>
      </c>
      <c r="G8253" s="58" t="s">
        <v>20141</v>
      </c>
      <c r="H8253" s="546">
        <v>15343.47</v>
      </c>
      <c r="I8253" s="126">
        <v>45387</v>
      </c>
      <c r="J8253" s="242" t="s">
        <v>20142</v>
      </c>
      <c r="K8253" s="67"/>
      <c r="O8253" s="62" t="s">
        <v>233</v>
      </c>
      <c r="P8253" s="58" t="s">
        <v>57</v>
      </c>
      <c r="Q8253" s="45" t="s">
        <v>111</v>
      </c>
      <c r="R8253" s="45" t="s">
        <v>272</v>
      </c>
    </row>
    <row r="8254" spans="1:18" s="98" customFormat="1" ht="69" customHeight="1">
      <c r="A8254" s="169"/>
      <c r="B8254" s="48">
        <f t="shared" si="56"/>
        <v>5373</v>
      </c>
      <c r="C8254" s="44" t="s">
        <v>9004</v>
      </c>
      <c r="D8254" s="84" t="s">
        <v>13850</v>
      </c>
      <c r="E8254" s="45" t="s">
        <v>20139</v>
      </c>
      <c r="F8254" s="45" t="s">
        <v>20143</v>
      </c>
      <c r="G8254" s="45" t="s">
        <v>20141</v>
      </c>
      <c r="H8254" s="546">
        <v>15343.47</v>
      </c>
      <c r="I8254" s="47">
        <v>45387</v>
      </c>
      <c r="J8254" s="73" t="s">
        <v>20142</v>
      </c>
      <c r="K8254" s="45"/>
      <c r="O8254" s="48" t="s">
        <v>233</v>
      </c>
      <c r="P8254" s="45" t="s">
        <v>57</v>
      </c>
      <c r="Q8254" s="45" t="s">
        <v>111</v>
      </c>
      <c r="R8254" s="45" t="s">
        <v>272</v>
      </c>
    </row>
    <row r="8255" spans="1:18" s="98" customFormat="1" ht="69" customHeight="1">
      <c r="A8255" s="169"/>
      <c r="B8255" s="48">
        <f t="shared" si="56"/>
        <v>5374</v>
      </c>
      <c r="C8255" s="59" t="s">
        <v>458</v>
      </c>
      <c r="D8255" s="84" t="s">
        <v>17054</v>
      </c>
      <c r="E8255" s="45" t="s">
        <v>20144</v>
      </c>
      <c r="F8255" s="45" t="s">
        <v>20145</v>
      </c>
      <c r="G8255" s="45" t="s">
        <v>20146</v>
      </c>
      <c r="H8255" s="546">
        <v>114109.18</v>
      </c>
      <c r="I8255" s="47">
        <v>45387</v>
      </c>
      <c r="J8255" s="73" t="s">
        <v>20147</v>
      </c>
      <c r="K8255" s="45"/>
      <c r="O8255" s="48" t="s">
        <v>147</v>
      </c>
      <c r="P8255" s="45" t="s">
        <v>22</v>
      </c>
      <c r="Q8255" s="45" t="s">
        <v>88</v>
      </c>
      <c r="R8255" s="45" t="s">
        <v>272</v>
      </c>
    </row>
    <row r="8256" spans="1:18" s="98" customFormat="1" ht="69" customHeight="1">
      <c r="A8256" s="169"/>
      <c r="B8256" s="48">
        <f t="shared" si="56"/>
        <v>5375</v>
      </c>
      <c r="C8256" s="59" t="s">
        <v>458</v>
      </c>
      <c r="D8256" s="84" t="s">
        <v>17058</v>
      </c>
      <c r="E8256" s="45" t="s">
        <v>20144</v>
      </c>
      <c r="F8256" s="45" t="s">
        <v>20148</v>
      </c>
      <c r="G8256" s="45" t="s">
        <v>20149</v>
      </c>
      <c r="H8256" s="546">
        <v>61443.4</v>
      </c>
      <c r="I8256" s="47">
        <v>45387</v>
      </c>
      <c r="J8256" s="73" t="s">
        <v>20147</v>
      </c>
      <c r="K8256" s="45"/>
      <c r="O8256" s="48" t="s">
        <v>147</v>
      </c>
      <c r="P8256" s="45" t="s">
        <v>22</v>
      </c>
      <c r="Q8256" s="45" t="s">
        <v>88</v>
      </c>
      <c r="R8256" s="45" t="s">
        <v>272</v>
      </c>
    </row>
    <row r="8257" spans="2:18" ht="69" customHeight="1">
      <c r="B8257" s="259">
        <f t="shared" si="56"/>
        <v>5376</v>
      </c>
      <c r="C8257" s="160" t="s">
        <v>657</v>
      </c>
      <c r="D8257" s="303" t="s">
        <v>10795</v>
      </c>
      <c r="E8257" s="207" t="s">
        <v>16276</v>
      </c>
      <c r="F8257" s="208" t="s">
        <v>20150</v>
      </c>
      <c r="G8257" s="160" t="s">
        <v>20151</v>
      </c>
      <c r="H8257" s="300">
        <v>11041.39</v>
      </c>
      <c r="I8257" s="209">
        <v>45387</v>
      </c>
      <c r="J8257" s="316" t="s">
        <v>20152</v>
      </c>
      <c r="K8257" s="160"/>
      <c r="O8257" s="259" t="s">
        <v>11192</v>
      </c>
      <c r="P8257" s="160" t="s">
        <v>67</v>
      </c>
      <c r="Q8257" s="160" t="s">
        <v>99</v>
      </c>
      <c r="R8257" s="160" t="s">
        <v>272</v>
      </c>
    </row>
    <row r="8258" spans="2:18" ht="69" customHeight="1">
      <c r="B8258" s="259">
        <f t="shared" si="56"/>
        <v>5377</v>
      </c>
      <c r="C8258" s="160" t="s">
        <v>458</v>
      </c>
      <c r="D8258" s="303" t="s">
        <v>16938</v>
      </c>
      <c r="E8258" s="207" t="s">
        <v>16276</v>
      </c>
      <c r="F8258" s="208" t="s">
        <v>20153</v>
      </c>
      <c r="G8258" s="160" t="s">
        <v>20151</v>
      </c>
      <c r="H8258" s="300">
        <v>15335.28</v>
      </c>
      <c r="I8258" s="209">
        <v>45387</v>
      </c>
      <c r="J8258" s="316" t="s">
        <v>20152</v>
      </c>
      <c r="K8258" s="160"/>
      <c r="O8258" s="259" t="s">
        <v>11192</v>
      </c>
      <c r="P8258" s="160" t="s">
        <v>67</v>
      </c>
      <c r="Q8258" s="160" t="s">
        <v>90</v>
      </c>
      <c r="R8258" s="160" t="s">
        <v>272</v>
      </c>
    </row>
    <row r="8259" spans="2:18" ht="69" customHeight="1">
      <c r="B8259" s="259">
        <f t="shared" si="56"/>
        <v>5378</v>
      </c>
      <c r="C8259" s="207" t="s">
        <v>309</v>
      </c>
      <c r="D8259" s="303" t="s">
        <v>20154</v>
      </c>
      <c r="E8259" s="207" t="s">
        <v>16276</v>
      </c>
      <c r="F8259" s="208" t="s">
        <v>20155</v>
      </c>
      <c r="G8259" s="160" t="s">
        <v>20151</v>
      </c>
      <c r="H8259" s="300">
        <v>15335.28</v>
      </c>
      <c r="I8259" s="209">
        <v>45387</v>
      </c>
      <c r="J8259" s="316" t="s">
        <v>20152</v>
      </c>
      <c r="K8259" s="160"/>
      <c r="O8259" s="259" t="s">
        <v>11192</v>
      </c>
      <c r="P8259" s="160" t="s">
        <v>67</v>
      </c>
      <c r="Q8259" s="160" t="s">
        <v>15</v>
      </c>
      <c r="R8259" s="160" t="s">
        <v>272</v>
      </c>
    </row>
    <row r="8260" spans="2:18" ht="69" customHeight="1">
      <c r="B8260" s="259">
        <f t="shared" ref="B8260:B8291" si="57">B8259+1</f>
        <v>5379</v>
      </c>
      <c r="C8260" s="207" t="s">
        <v>3667</v>
      </c>
      <c r="D8260" s="303" t="s">
        <v>20156</v>
      </c>
      <c r="E8260" s="207" t="s">
        <v>16276</v>
      </c>
      <c r="F8260" s="208" t="s">
        <v>20157</v>
      </c>
      <c r="G8260" s="160" t="s">
        <v>20151</v>
      </c>
      <c r="H8260" s="300">
        <v>19629.16</v>
      </c>
      <c r="I8260" s="209">
        <v>45387</v>
      </c>
      <c r="J8260" s="316" t="s">
        <v>20152</v>
      </c>
      <c r="K8260" s="160"/>
      <c r="O8260" s="259" t="s">
        <v>11192</v>
      </c>
      <c r="P8260" s="160" t="s">
        <v>67</v>
      </c>
      <c r="Q8260" s="160" t="s">
        <v>49</v>
      </c>
      <c r="R8260" s="160" t="s">
        <v>272</v>
      </c>
    </row>
    <row r="8261" spans="2:18" ht="69" customHeight="1">
      <c r="B8261" s="52">
        <f t="shared" si="57"/>
        <v>5380</v>
      </c>
      <c r="C8261" s="46" t="s">
        <v>458</v>
      </c>
      <c r="D8261" s="251" t="s">
        <v>16946</v>
      </c>
      <c r="E8261" s="53" t="s">
        <v>1056</v>
      </c>
      <c r="F8261" s="211" t="s">
        <v>20158</v>
      </c>
      <c r="G8261" s="46" t="s">
        <v>16166</v>
      </c>
      <c r="H8261" s="534">
        <v>15783.71</v>
      </c>
      <c r="I8261" s="56">
        <v>45387</v>
      </c>
      <c r="J8261" s="199" t="s">
        <v>20159</v>
      </c>
      <c r="K8261" s="46"/>
      <c r="O8261" s="46" t="s">
        <v>1061</v>
      </c>
      <c r="P8261" s="46" t="s">
        <v>36</v>
      </c>
      <c r="Q8261" s="46" t="s">
        <v>90</v>
      </c>
      <c r="R8261" s="46" t="s">
        <v>272</v>
      </c>
    </row>
    <row r="8262" spans="2:18" ht="69" customHeight="1">
      <c r="B8262" s="52">
        <f t="shared" si="57"/>
        <v>5381</v>
      </c>
      <c r="C8262" s="191" t="s">
        <v>309</v>
      </c>
      <c r="D8262" s="251" t="s">
        <v>19523</v>
      </c>
      <c r="E8262" s="53" t="s">
        <v>1056</v>
      </c>
      <c r="F8262" s="211" t="s">
        <v>20160</v>
      </c>
      <c r="G8262" s="46" t="s">
        <v>16166</v>
      </c>
      <c r="H8262" s="534">
        <v>15783.71</v>
      </c>
      <c r="I8262" s="56">
        <v>45387</v>
      </c>
      <c r="J8262" s="199" t="s">
        <v>20159</v>
      </c>
      <c r="K8262" s="46"/>
      <c r="O8262" s="46" t="s">
        <v>1061</v>
      </c>
      <c r="P8262" s="46" t="s">
        <v>36</v>
      </c>
      <c r="Q8262" s="46" t="s">
        <v>15</v>
      </c>
      <c r="R8262" s="46" t="s">
        <v>272</v>
      </c>
    </row>
    <row r="8263" spans="2:18" ht="69" customHeight="1">
      <c r="B8263" s="52">
        <f t="shared" si="57"/>
        <v>5382</v>
      </c>
      <c r="C8263" s="191" t="s">
        <v>3667</v>
      </c>
      <c r="D8263" s="251" t="s">
        <v>20161</v>
      </c>
      <c r="E8263" s="53" t="s">
        <v>1056</v>
      </c>
      <c r="F8263" s="211" t="s">
        <v>20162</v>
      </c>
      <c r="G8263" s="46" t="s">
        <v>16166</v>
      </c>
      <c r="H8263" s="534">
        <v>20203.150000000001</v>
      </c>
      <c r="I8263" s="56">
        <v>45387</v>
      </c>
      <c r="J8263" s="199" t="s">
        <v>20159</v>
      </c>
      <c r="K8263" s="46"/>
      <c r="O8263" s="46" t="s">
        <v>1061</v>
      </c>
      <c r="P8263" s="46" t="s">
        <v>36</v>
      </c>
      <c r="Q8263" s="46" t="s">
        <v>49</v>
      </c>
      <c r="R8263" s="46" t="s">
        <v>272</v>
      </c>
    </row>
    <row r="8264" spans="2:18" ht="69" customHeight="1">
      <c r="B8264" s="52">
        <f t="shared" si="57"/>
        <v>5383</v>
      </c>
      <c r="C8264" s="46" t="s">
        <v>657</v>
      </c>
      <c r="D8264" s="251" t="s">
        <v>10775</v>
      </c>
      <c r="E8264" s="53" t="s">
        <v>1056</v>
      </c>
      <c r="F8264" s="211" t="s">
        <v>20163</v>
      </c>
      <c r="G8264" s="46" t="s">
        <v>16166</v>
      </c>
      <c r="H8264" s="534">
        <v>11364.27</v>
      </c>
      <c r="I8264" s="56">
        <v>45387</v>
      </c>
      <c r="J8264" s="199" t="s">
        <v>20159</v>
      </c>
      <c r="K8264" s="46"/>
      <c r="O8264" s="46" t="s">
        <v>1061</v>
      </c>
      <c r="P8264" s="46" t="s">
        <v>36</v>
      </c>
      <c r="Q8264" s="46" t="s">
        <v>99</v>
      </c>
      <c r="R8264" s="46" t="s">
        <v>272</v>
      </c>
    </row>
    <row r="8265" spans="2:18" ht="69" customHeight="1">
      <c r="B8265" s="52">
        <f t="shared" si="57"/>
        <v>5384</v>
      </c>
      <c r="C8265" s="46" t="s">
        <v>458</v>
      </c>
      <c r="D8265" s="251" t="s">
        <v>17082</v>
      </c>
      <c r="E8265" s="53" t="s">
        <v>1056</v>
      </c>
      <c r="F8265" s="211" t="s">
        <v>20164</v>
      </c>
      <c r="G8265" s="46" t="s">
        <v>16174</v>
      </c>
      <c r="H8265" s="534">
        <v>122822.77</v>
      </c>
      <c r="I8265" s="56">
        <v>45387</v>
      </c>
      <c r="J8265" s="199" t="s">
        <v>20159</v>
      </c>
      <c r="K8265" s="46"/>
      <c r="O8265" s="46" t="s">
        <v>1061</v>
      </c>
      <c r="P8265" s="46" t="s">
        <v>36</v>
      </c>
      <c r="Q8265" s="46" t="s">
        <v>90</v>
      </c>
      <c r="R8265" s="46" t="s">
        <v>272</v>
      </c>
    </row>
    <row r="8266" spans="2:18" ht="69" customHeight="1">
      <c r="B8266" s="52">
        <f t="shared" si="57"/>
        <v>5385</v>
      </c>
      <c r="C8266" s="46" t="s">
        <v>657</v>
      </c>
      <c r="D8266" s="251" t="s">
        <v>6615</v>
      </c>
      <c r="E8266" s="53" t="s">
        <v>1056</v>
      </c>
      <c r="F8266" s="211" t="s">
        <v>20165</v>
      </c>
      <c r="G8266" s="46" t="s">
        <v>16174</v>
      </c>
      <c r="H8266" s="534">
        <v>88432.39</v>
      </c>
      <c r="I8266" s="56">
        <v>45387</v>
      </c>
      <c r="J8266" s="199" t="s">
        <v>20159</v>
      </c>
      <c r="K8266" s="46"/>
      <c r="O8266" s="46" t="s">
        <v>1061</v>
      </c>
      <c r="P8266" s="46" t="s">
        <v>36</v>
      </c>
      <c r="Q8266" s="46" t="s">
        <v>99</v>
      </c>
      <c r="R8266" s="46" t="s">
        <v>272</v>
      </c>
    </row>
    <row r="8267" spans="2:18" ht="69" customHeight="1">
      <c r="B8267" s="52">
        <f t="shared" si="57"/>
        <v>5386</v>
      </c>
      <c r="C8267" s="191" t="s">
        <v>3667</v>
      </c>
      <c r="D8267" s="251" t="s">
        <v>20166</v>
      </c>
      <c r="E8267" s="53" t="s">
        <v>1056</v>
      </c>
      <c r="F8267" s="211" t="s">
        <v>20167</v>
      </c>
      <c r="G8267" s="46" t="s">
        <v>16174</v>
      </c>
      <c r="H8267" s="534">
        <v>157213.14000000001</v>
      </c>
      <c r="I8267" s="56">
        <v>45387</v>
      </c>
      <c r="J8267" s="199" t="s">
        <v>20159</v>
      </c>
      <c r="K8267" s="46"/>
      <c r="O8267" s="46" t="s">
        <v>1061</v>
      </c>
      <c r="P8267" s="46" t="s">
        <v>36</v>
      </c>
      <c r="Q8267" s="46" t="s">
        <v>49</v>
      </c>
      <c r="R8267" s="46" t="s">
        <v>272</v>
      </c>
    </row>
    <row r="8268" spans="2:18" ht="69" customHeight="1">
      <c r="B8268" s="52">
        <f t="shared" si="57"/>
        <v>5387</v>
      </c>
      <c r="C8268" s="191" t="s">
        <v>309</v>
      </c>
      <c r="D8268" s="251" t="s">
        <v>16040</v>
      </c>
      <c r="E8268" s="53" t="s">
        <v>1056</v>
      </c>
      <c r="F8268" s="211" t="s">
        <v>20168</v>
      </c>
      <c r="G8268" s="46" t="s">
        <v>16174</v>
      </c>
      <c r="H8268" s="534">
        <v>122822.77</v>
      </c>
      <c r="I8268" s="56">
        <v>45387</v>
      </c>
      <c r="J8268" s="199" t="s">
        <v>20159</v>
      </c>
      <c r="K8268" s="46"/>
      <c r="O8268" s="46" t="s">
        <v>1061</v>
      </c>
      <c r="P8268" s="46" t="s">
        <v>36</v>
      </c>
      <c r="Q8268" s="46" t="s">
        <v>15</v>
      </c>
      <c r="R8268" s="46" t="s">
        <v>272</v>
      </c>
    </row>
    <row r="8269" spans="2:18" ht="69" customHeight="1">
      <c r="B8269" s="62">
        <f t="shared" si="57"/>
        <v>5388</v>
      </c>
      <c r="C8269" s="59" t="s">
        <v>3667</v>
      </c>
      <c r="D8269" s="545" t="s">
        <v>20169</v>
      </c>
      <c r="E8269" s="58" t="s">
        <v>19072</v>
      </c>
      <c r="F8269" s="58" t="s">
        <v>20170</v>
      </c>
      <c r="G8269" s="58" t="s">
        <v>20171</v>
      </c>
      <c r="H8269" s="546">
        <v>124523.07</v>
      </c>
      <c r="I8269" s="126">
        <v>45387</v>
      </c>
      <c r="J8269" s="242" t="s">
        <v>20172</v>
      </c>
      <c r="K8269" s="67"/>
      <c r="O8269" s="62" t="s">
        <v>208</v>
      </c>
      <c r="P8269" s="58" t="s">
        <v>57</v>
      </c>
      <c r="Q8269" s="45" t="s">
        <v>78</v>
      </c>
      <c r="R8269" s="45" t="s">
        <v>272</v>
      </c>
    </row>
    <row r="8270" spans="2:18" ht="69" customHeight="1">
      <c r="B8270" s="62">
        <f t="shared" si="57"/>
        <v>5389</v>
      </c>
      <c r="C8270" s="58" t="s">
        <v>581</v>
      </c>
      <c r="D8270" s="545" t="s">
        <v>16043</v>
      </c>
      <c r="E8270" s="58" t="s">
        <v>17521</v>
      </c>
      <c r="F8270" s="58" t="s">
        <v>20173</v>
      </c>
      <c r="G8270" s="58" t="s">
        <v>20174</v>
      </c>
      <c r="H8270" s="546">
        <v>25941.599999999999</v>
      </c>
      <c r="I8270" s="126">
        <v>45387</v>
      </c>
      <c r="J8270" s="242" t="s">
        <v>20175</v>
      </c>
      <c r="K8270" s="67"/>
      <c r="O8270" s="62" t="s">
        <v>441</v>
      </c>
      <c r="P8270" s="58" t="s">
        <v>22</v>
      </c>
      <c r="Q8270" s="45" t="s">
        <v>18</v>
      </c>
      <c r="R8270" s="45" t="s">
        <v>265</v>
      </c>
    </row>
    <row r="8271" spans="2:18" ht="69" customHeight="1">
      <c r="B8271" s="48">
        <f t="shared" si="57"/>
        <v>5390</v>
      </c>
      <c r="C8271" s="59" t="s">
        <v>11908</v>
      </c>
      <c r="D8271" s="84" t="s">
        <v>17172</v>
      </c>
      <c r="E8271" s="127" t="s">
        <v>19988</v>
      </c>
      <c r="F8271" s="45" t="s">
        <v>20176</v>
      </c>
      <c r="G8271" s="45" t="s">
        <v>20177</v>
      </c>
      <c r="H8271" s="546">
        <v>32109.99</v>
      </c>
      <c r="I8271" s="47">
        <v>45387</v>
      </c>
      <c r="J8271" s="73" t="s">
        <v>20178</v>
      </c>
      <c r="K8271" s="45"/>
      <c r="O8271" s="62" t="s">
        <v>205</v>
      </c>
      <c r="P8271" s="58" t="s">
        <v>61</v>
      </c>
      <c r="Q8271" s="45" t="s">
        <v>103</v>
      </c>
      <c r="R8271" s="45" t="s">
        <v>272</v>
      </c>
    </row>
    <row r="8272" spans="2:18" ht="69" customHeight="1">
      <c r="B8272" s="48">
        <f t="shared" si="57"/>
        <v>5391</v>
      </c>
      <c r="C8272" s="45" t="s">
        <v>10947</v>
      </c>
      <c r="D8272" s="84" t="s">
        <v>17174</v>
      </c>
      <c r="E8272" s="127" t="s">
        <v>19992</v>
      </c>
      <c r="F8272" s="45" t="s">
        <v>20179</v>
      </c>
      <c r="G8272" s="45" t="s">
        <v>20180</v>
      </c>
      <c r="H8272" s="546">
        <v>10000</v>
      </c>
      <c r="I8272" s="47">
        <v>45387</v>
      </c>
      <c r="J8272" s="73" t="s">
        <v>20178</v>
      </c>
      <c r="K8272" s="45"/>
      <c r="O8272" s="62" t="s">
        <v>11301</v>
      </c>
      <c r="P8272" s="58" t="s">
        <v>61</v>
      </c>
      <c r="Q8272" s="45" t="s">
        <v>100</v>
      </c>
      <c r="R8272" s="45" t="s">
        <v>272</v>
      </c>
    </row>
    <row r="8273" spans="1:18" ht="69" customHeight="1">
      <c r="B8273" s="62">
        <f t="shared" si="57"/>
        <v>5392</v>
      </c>
      <c r="C8273" s="59" t="s">
        <v>3667</v>
      </c>
      <c r="D8273" s="545" t="s">
        <v>20181</v>
      </c>
      <c r="E8273" s="58" t="s">
        <v>18110</v>
      </c>
      <c r="F8273" s="58" t="s">
        <v>20182</v>
      </c>
      <c r="G8273" s="58" t="s">
        <v>20183</v>
      </c>
      <c r="H8273" s="546">
        <v>3862.63</v>
      </c>
      <c r="I8273" s="126">
        <v>45387</v>
      </c>
      <c r="J8273" s="242" t="s">
        <v>20184</v>
      </c>
      <c r="K8273" s="67"/>
      <c r="O8273" s="62" t="s">
        <v>150</v>
      </c>
      <c r="P8273" s="58" t="s">
        <v>51</v>
      </c>
      <c r="Q8273" s="45" t="s">
        <v>70</v>
      </c>
      <c r="R8273" s="45" t="s">
        <v>272</v>
      </c>
    </row>
    <row r="8274" spans="1:18" ht="69" customHeight="1">
      <c r="B8274" s="62">
        <f t="shared" si="57"/>
        <v>5393</v>
      </c>
      <c r="C8274" s="59" t="s">
        <v>309</v>
      </c>
      <c r="D8274" s="545" t="s">
        <v>16045</v>
      </c>
      <c r="E8274" s="58" t="s">
        <v>18110</v>
      </c>
      <c r="F8274" s="58" t="s">
        <v>20185</v>
      </c>
      <c r="G8274" s="58" t="s">
        <v>20183</v>
      </c>
      <c r="H8274" s="546">
        <v>3862.63</v>
      </c>
      <c r="I8274" s="126">
        <v>45387</v>
      </c>
      <c r="J8274" s="242" t="s">
        <v>20184</v>
      </c>
      <c r="K8274" s="67"/>
      <c r="O8274" s="62" t="s">
        <v>150</v>
      </c>
      <c r="P8274" s="58" t="s">
        <v>51</v>
      </c>
      <c r="Q8274" s="45" t="s">
        <v>23</v>
      </c>
      <c r="R8274" s="45" t="s">
        <v>272</v>
      </c>
    </row>
    <row r="8275" spans="1:18" ht="69" customHeight="1">
      <c r="B8275" s="62">
        <f t="shared" si="57"/>
        <v>5394</v>
      </c>
      <c r="C8275" s="59" t="s">
        <v>3667</v>
      </c>
      <c r="D8275" s="545" t="s">
        <v>20186</v>
      </c>
      <c r="E8275" s="58" t="s">
        <v>18110</v>
      </c>
      <c r="F8275" s="58" t="s">
        <v>20187</v>
      </c>
      <c r="G8275" s="58" t="s">
        <v>20183</v>
      </c>
      <c r="H8275" s="546">
        <v>3862.63</v>
      </c>
      <c r="I8275" s="126">
        <v>45387</v>
      </c>
      <c r="J8275" s="242" t="s">
        <v>20184</v>
      </c>
      <c r="K8275" s="67"/>
      <c r="O8275" s="62" t="s">
        <v>150</v>
      </c>
      <c r="P8275" s="58" t="s">
        <v>51</v>
      </c>
      <c r="Q8275" s="45" t="s">
        <v>66</v>
      </c>
      <c r="R8275" s="45" t="s">
        <v>272</v>
      </c>
    </row>
    <row r="8276" spans="1:18" ht="69" customHeight="1">
      <c r="B8276" s="62">
        <f t="shared" si="57"/>
        <v>5395</v>
      </c>
      <c r="C8276" s="58" t="s">
        <v>581</v>
      </c>
      <c r="D8276" s="545" t="s">
        <v>16054</v>
      </c>
      <c r="E8276" s="127" t="s">
        <v>17521</v>
      </c>
      <c r="F8276" s="127" t="s">
        <v>20188</v>
      </c>
      <c r="G8276" s="58" t="s">
        <v>20189</v>
      </c>
      <c r="H8276" s="546">
        <v>200000</v>
      </c>
      <c r="I8276" s="126">
        <v>45387</v>
      </c>
      <c r="J8276" s="242" t="s">
        <v>20190</v>
      </c>
      <c r="K8276" s="67"/>
      <c r="O8276" s="62" t="s">
        <v>14459</v>
      </c>
      <c r="P8276" s="58" t="s">
        <v>22</v>
      </c>
      <c r="Q8276" s="45" t="s">
        <v>18</v>
      </c>
      <c r="R8276" s="45" t="s">
        <v>265</v>
      </c>
    </row>
    <row r="8277" spans="1:18" ht="69" customHeight="1">
      <c r="B8277" s="52">
        <f t="shared" si="57"/>
        <v>5396</v>
      </c>
      <c r="C8277" s="191" t="s">
        <v>15700</v>
      </c>
      <c r="D8277" s="633" t="s">
        <v>16104</v>
      </c>
      <c r="E8277" s="634" t="s">
        <v>20191</v>
      </c>
      <c r="F8277" s="634" t="s">
        <v>20192</v>
      </c>
      <c r="G8277" s="46" t="s">
        <v>20193</v>
      </c>
      <c r="H8277" s="534">
        <v>55294.79</v>
      </c>
      <c r="I8277" s="56">
        <v>45397</v>
      </c>
      <c r="J8277" s="199" t="s">
        <v>20194</v>
      </c>
      <c r="K8277" s="46"/>
      <c r="O8277" s="46" t="s">
        <v>12106</v>
      </c>
      <c r="P8277" s="46" t="s">
        <v>22</v>
      </c>
      <c r="Q8277" s="46" t="s">
        <v>39</v>
      </c>
      <c r="R8277" s="46" t="s">
        <v>272</v>
      </c>
    </row>
    <row r="8278" spans="1:18" ht="69" customHeight="1">
      <c r="B8278" s="52">
        <f t="shared" si="57"/>
        <v>5397</v>
      </c>
      <c r="C8278" s="191" t="s">
        <v>15449</v>
      </c>
      <c r="D8278" s="633" t="s">
        <v>16110</v>
      </c>
      <c r="E8278" s="634" t="s">
        <v>20191</v>
      </c>
      <c r="F8278" s="634" t="s">
        <v>20195</v>
      </c>
      <c r="G8278" s="46" t="s">
        <v>20193</v>
      </c>
      <c r="H8278" s="534">
        <v>55294.79</v>
      </c>
      <c r="I8278" s="56">
        <v>45397</v>
      </c>
      <c r="J8278" s="199" t="s">
        <v>20194</v>
      </c>
      <c r="K8278" s="46"/>
      <c r="O8278" s="46" t="s">
        <v>12106</v>
      </c>
      <c r="P8278" s="46" t="s">
        <v>22</v>
      </c>
      <c r="Q8278" s="46" t="s">
        <v>41</v>
      </c>
      <c r="R8278" s="46" t="s">
        <v>272</v>
      </c>
    </row>
    <row r="8279" spans="1:18" ht="69" customHeight="1">
      <c r="B8279" s="62">
        <f t="shared" si="57"/>
        <v>5398</v>
      </c>
      <c r="C8279" s="45" t="s">
        <v>11618</v>
      </c>
      <c r="D8279" s="545" t="s">
        <v>17176</v>
      </c>
      <c r="E8279" s="58" t="s">
        <v>20139</v>
      </c>
      <c r="F8279" s="58" t="s">
        <v>20196</v>
      </c>
      <c r="G8279" s="58" t="s">
        <v>20197</v>
      </c>
      <c r="H8279" s="546">
        <v>12587.7</v>
      </c>
      <c r="I8279" s="47">
        <v>45397</v>
      </c>
      <c r="J8279" s="73" t="s">
        <v>20198</v>
      </c>
      <c r="K8279" s="67"/>
      <c r="O8279" s="62" t="s">
        <v>233</v>
      </c>
      <c r="P8279" s="58" t="s">
        <v>57</v>
      </c>
      <c r="Q8279" s="45" t="s">
        <v>122</v>
      </c>
      <c r="R8279" s="45" t="s">
        <v>272</v>
      </c>
    </row>
    <row r="8280" spans="1:18" ht="69" customHeight="1">
      <c r="B8280" s="62">
        <f t="shared" si="57"/>
        <v>5399</v>
      </c>
      <c r="C8280" s="45" t="s">
        <v>11618</v>
      </c>
      <c r="D8280" s="545" t="s">
        <v>20199</v>
      </c>
      <c r="E8280" s="58" t="s">
        <v>20139</v>
      </c>
      <c r="F8280" s="58" t="s">
        <v>20200</v>
      </c>
      <c r="G8280" s="58" t="s">
        <v>20197</v>
      </c>
      <c r="H8280" s="546">
        <v>12587.7</v>
      </c>
      <c r="I8280" s="47">
        <v>45397</v>
      </c>
      <c r="J8280" s="73" t="s">
        <v>20198</v>
      </c>
      <c r="K8280" s="67"/>
      <c r="O8280" s="62" t="s">
        <v>233</v>
      </c>
      <c r="P8280" s="58" t="s">
        <v>57</v>
      </c>
      <c r="Q8280" s="45" t="s">
        <v>122</v>
      </c>
      <c r="R8280" s="45" t="s">
        <v>272</v>
      </c>
    </row>
    <row r="8281" spans="1:18" ht="69" customHeight="1">
      <c r="B8281" s="52">
        <f t="shared" si="57"/>
        <v>5400</v>
      </c>
      <c r="C8281" s="191" t="s">
        <v>15700</v>
      </c>
      <c r="D8281" s="251" t="s">
        <v>16147</v>
      </c>
      <c r="E8281" s="46" t="s">
        <v>19953</v>
      </c>
      <c r="F8281" s="46" t="s">
        <v>20201</v>
      </c>
      <c r="G8281" s="46" t="s">
        <v>20202</v>
      </c>
      <c r="H8281" s="534">
        <v>3779.75</v>
      </c>
      <c r="I8281" s="56">
        <v>45397</v>
      </c>
      <c r="J8281" s="199" t="s">
        <v>20203</v>
      </c>
      <c r="K8281" s="46"/>
      <c r="O8281" s="52"/>
      <c r="P8281" s="46" t="s">
        <v>65</v>
      </c>
      <c r="Q8281" s="46" t="s">
        <v>39</v>
      </c>
      <c r="R8281" s="46" t="s">
        <v>272</v>
      </c>
    </row>
    <row r="8282" spans="1:18" ht="69" customHeight="1">
      <c r="B8282" s="52">
        <f t="shared" si="57"/>
        <v>5401</v>
      </c>
      <c r="C8282" s="191" t="s">
        <v>15449</v>
      </c>
      <c r="D8282" s="251" t="s">
        <v>16162</v>
      </c>
      <c r="E8282" s="46" t="s">
        <v>19953</v>
      </c>
      <c r="F8282" s="46" t="s">
        <v>20204</v>
      </c>
      <c r="G8282" s="46" t="s">
        <v>20202</v>
      </c>
      <c r="H8282" s="534">
        <v>3779.75</v>
      </c>
      <c r="I8282" s="56">
        <v>45397</v>
      </c>
      <c r="J8282" s="199" t="s">
        <v>20203</v>
      </c>
      <c r="K8282" s="46"/>
      <c r="O8282" s="52"/>
      <c r="P8282" s="46" t="s">
        <v>65</v>
      </c>
      <c r="Q8282" s="46" t="s">
        <v>41</v>
      </c>
      <c r="R8282" s="46" t="s">
        <v>272</v>
      </c>
    </row>
    <row r="8283" spans="1:18" ht="69" customHeight="1">
      <c r="B8283" s="62">
        <f t="shared" si="57"/>
        <v>5402</v>
      </c>
      <c r="C8283" s="59" t="s">
        <v>3667</v>
      </c>
      <c r="D8283" s="545" t="s">
        <v>20205</v>
      </c>
      <c r="E8283" s="58" t="s">
        <v>18762</v>
      </c>
      <c r="F8283" s="58" t="s">
        <v>20206</v>
      </c>
      <c r="G8283" s="58" t="s">
        <v>20207</v>
      </c>
      <c r="H8283" s="546">
        <v>46965.73</v>
      </c>
      <c r="I8283" s="47">
        <v>45397</v>
      </c>
      <c r="J8283" s="73" t="s">
        <v>20208</v>
      </c>
      <c r="K8283" s="67"/>
      <c r="O8283" s="62" t="s">
        <v>10607</v>
      </c>
      <c r="P8283" s="58" t="s">
        <v>22</v>
      </c>
      <c r="Q8283" s="45" t="s">
        <v>66</v>
      </c>
      <c r="R8283" s="45" t="s">
        <v>272</v>
      </c>
    </row>
    <row r="8284" spans="1:18" ht="69" customHeight="1">
      <c r="B8284" s="48">
        <f t="shared" si="57"/>
        <v>5403</v>
      </c>
      <c r="C8284" s="59" t="s">
        <v>3667</v>
      </c>
      <c r="D8284" s="84" t="s">
        <v>20209</v>
      </c>
      <c r="E8284" s="45" t="s">
        <v>18762</v>
      </c>
      <c r="F8284" s="45" t="s">
        <v>20210</v>
      </c>
      <c r="G8284" s="45" t="s">
        <v>20211</v>
      </c>
      <c r="H8284" s="546">
        <v>53154.12</v>
      </c>
      <c r="I8284" s="47">
        <v>45397</v>
      </c>
      <c r="J8284" s="73" t="s">
        <v>20208</v>
      </c>
      <c r="K8284" s="45"/>
      <c r="O8284" s="62" t="s">
        <v>10607</v>
      </c>
      <c r="P8284" s="58" t="s">
        <v>22</v>
      </c>
      <c r="Q8284" s="45" t="s">
        <v>86</v>
      </c>
      <c r="R8284" s="45" t="s">
        <v>272</v>
      </c>
    </row>
    <row r="8285" spans="1:18" ht="69" customHeight="1">
      <c r="B8285" s="62">
        <f t="shared" si="57"/>
        <v>5404</v>
      </c>
      <c r="C8285" s="45" t="s">
        <v>6888</v>
      </c>
      <c r="D8285" s="545" t="s">
        <v>20212</v>
      </c>
      <c r="E8285" s="58" t="s">
        <v>18762</v>
      </c>
      <c r="F8285" s="58" t="s">
        <v>20213</v>
      </c>
      <c r="G8285" s="58" t="s">
        <v>20207</v>
      </c>
      <c r="H8285" s="546">
        <v>192299.56</v>
      </c>
      <c r="I8285" s="47">
        <v>45397</v>
      </c>
      <c r="J8285" s="73" t="s">
        <v>20208</v>
      </c>
      <c r="K8285" s="67"/>
      <c r="O8285" s="62" t="s">
        <v>10607</v>
      </c>
      <c r="P8285" s="58" t="s">
        <v>22</v>
      </c>
      <c r="Q8285" s="45" t="s">
        <v>84</v>
      </c>
      <c r="R8285" s="45" t="s">
        <v>272</v>
      </c>
    </row>
    <row r="8286" spans="1:18" ht="69" customHeight="1">
      <c r="B8286" s="62">
        <f t="shared" si="57"/>
        <v>5405</v>
      </c>
      <c r="C8286" s="58" t="s">
        <v>458</v>
      </c>
      <c r="D8286" s="545" t="s">
        <v>20214</v>
      </c>
      <c r="E8286" s="58" t="s">
        <v>18762</v>
      </c>
      <c r="F8286" s="58" t="s">
        <v>20215</v>
      </c>
      <c r="G8286" s="58" t="s">
        <v>20207</v>
      </c>
      <c r="H8286" s="546">
        <v>46649.91</v>
      </c>
      <c r="I8286" s="47">
        <v>45397</v>
      </c>
      <c r="J8286" s="73" t="s">
        <v>20208</v>
      </c>
      <c r="K8286" s="67"/>
      <c r="O8286" s="62" t="s">
        <v>10607</v>
      </c>
      <c r="P8286" s="58" t="s">
        <v>22</v>
      </c>
      <c r="Q8286" s="45" t="s">
        <v>117</v>
      </c>
      <c r="R8286" s="45" t="s">
        <v>272</v>
      </c>
    </row>
    <row r="8287" spans="1:18" ht="69" customHeight="1">
      <c r="B8287" s="52">
        <f t="shared" si="57"/>
        <v>5406</v>
      </c>
      <c r="C8287" s="46" t="s">
        <v>458</v>
      </c>
      <c r="D8287" s="251" t="s">
        <v>20216</v>
      </c>
      <c r="E8287" s="53" t="s">
        <v>1056</v>
      </c>
      <c r="F8287" s="211" t="s">
        <v>20217</v>
      </c>
      <c r="G8287" s="46" t="s">
        <v>16174</v>
      </c>
      <c r="H8287" s="534">
        <v>124075.93</v>
      </c>
      <c r="I8287" s="56">
        <v>45397</v>
      </c>
      <c r="J8287" s="199" t="s">
        <v>20218</v>
      </c>
      <c r="K8287" s="46"/>
      <c r="O8287" s="46" t="s">
        <v>1061</v>
      </c>
      <c r="P8287" s="46" t="s">
        <v>36</v>
      </c>
      <c r="Q8287" s="46" t="s">
        <v>90</v>
      </c>
      <c r="R8287" s="46" t="s">
        <v>272</v>
      </c>
    </row>
    <row r="8288" spans="1:18" s="98" customFormat="1" ht="69" customHeight="1">
      <c r="A8288" s="169"/>
      <c r="B8288" s="259">
        <f t="shared" si="57"/>
        <v>5407</v>
      </c>
      <c r="C8288" s="160" t="s">
        <v>657</v>
      </c>
      <c r="D8288" s="303" t="s">
        <v>4103</v>
      </c>
      <c r="E8288" s="160" t="s">
        <v>19953</v>
      </c>
      <c r="F8288" s="160" t="s">
        <v>20219</v>
      </c>
      <c r="G8288" s="160" t="s">
        <v>20220</v>
      </c>
      <c r="H8288" s="300">
        <v>36865.96</v>
      </c>
      <c r="I8288" s="209">
        <v>45397</v>
      </c>
      <c r="J8288" s="316" t="s">
        <v>20221</v>
      </c>
      <c r="K8288" s="160" t="s">
        <v>20222</v>
      </c>
      <c r="O8288" s="259"/>
      <c r="P8288" s="160" t="s">
        <v>67</v>
      </c>
      <c r="Q8288" s="160" t="s">
        <v>99</v>
      </c>
      <c r="R8288" s="160" t="s">
        <v>272</v>
      </c>
    </row>
    <row r="8289" spans="2:18" ht="69" customHeight="1">
      <c r="B8289" s="62">
        <f t="shared" si="57"/>
        <v>5408</v>
      </c>
      <c r="C8289" s="58" t="s">
        <v>458</v>
      </c>
      <c r="D8289" s="200" t="s">
        <v>17026</v>
      </c>
      <c r="E8289" s="58" t="s">
        <v>7649</v>
      </c>
      <c r="F8289" s="58" t="s">
        <v>20223</v>
      </c>
      <c r="G8289" s="45" t="s">
        <v>20224</v>
      </c>
      <c r="H8289" s="546">
        <v>118653.31</v>
      </c>
      <c r="I8289" s="47">
        <v>45397</v>
      </c>
      <c r="J8289" s="73" t="s">
        <v>20225</v>
      </c>
      <c r="K8289" s="62"/>
      <c r="L8289" s="99"/>
      <c r="O8289" s="62" t="s">
        <v>147</v>
      </c>
      <c r="P8289" s="45" t="s">
        <v>22</v>
      </c>
      <c r="Q8289" s="45" t="s">
        <v>88</v>
      </c>
      <c r="R8289" s="45" t="s">
        <v>272</v>
      </c>
    </row>
    <row r="8290" spans="2:18" ht="69" customHeight="1">
      <c r="B8290" s="62">
        <f t="shared" si="57"/>
        <v>5409</v>
      </c>
      <c r="C8290" s="58" t="s">
        <v>458</v>
      </c>
      <c r="D8290" s="200" t="s">
        <v>17264</v>
      </c>
      <c r="E8290" s="58" t="s">
        <v>7649</v>
      </c>
      <c r="F8290" s="58" t="s">
        <v>20226</v>
      </c>
      <c r="G8290" s="45" t="s">
        <v>20227</v>
      </c>
      <c r="H8290" s="546">
        <v>63890.239999999998</v>
      </c>
      <c r="I8290" s="47">
        <v>45397</v>
      </c>
      <c r="J8290" s="73" t="s">
        <v>20225</v>
      </c>
      <c r="K8290" s="62"/>
      <c r="L8290" s="99"/>
      <c r="O8290" s="62" t="s">
        <v>147</v>
      </c>
      <c r="P8290" s="45" t="s">
        <v>22</v>
      </c>
      <c r="Q8290" s="45" t="s">
        <v>88</v>
      </c>
      <c r="R8290" s="45" t="s">
        <v>272</v>
      </c>
    </row>
    <row r="8291" spans="2:18" ht="69" customHeight="1">
      <c r="B8291" s="62">
        <f t="shared" si="57"/>
        <v>5410</v>
      </c>
      <c r="C8291" s="58" t="s">
        <v>458</v>
      </c>
      <c r="D8291" s="200" t="s">
        <v>17290</v>
      </c>
      <c r="E8291" s="58" t="s">
        <v>7649</v>
      </c>
      <c r="F8291" s="58" t="s">
        <v>20228</v>
      </c>
      <c r="G8291" s="45" t="s">
        <v>20229</v>
      </c>
      <c r="H8291" s="546">
        <v>80440.23</v>
      </c>
      <c r="I8291" s="47">
        <v>45397</v>
      </c>
      <c r="J8291" s="73" t="s">
        <v>20225</v>
      </c>
      <c r="K8291" s="62"/>
      <c r="L8291" s="99"/>
      <c r="O8291" s="62" t="s">
        <v>147</v>
      </c>
      <c r="P8291" s="45" t="s">
        <v>22</v>
      </c>
      <c r="Q8291" s="45" t="s">
        <v>113</v>
      </c>
      <c r="R8291" s="45" t="s">
        <v>272</v>
      </c>
    </row>
    <row r="8292" spans="2:18" ht="69" customHeight="1">
      <c r="B8292" s="62">
        <f t="shared" ref="B8292:B8327" si="58">B8291+1</f>
        <v>5411</v>
      </c>
      <c r="C8292" s="58" t="s">
        <v>458</v>
      </c>
      <c r="D8292" s="200" t="s">
        <v>17292</v>
      </c>
      <c r="E8292" s="58" t="s">
        <v>7649</v>
      </c>
      <c r="F8292" s="58" t="s">
        <v>20230</v>
      </c>
      <c r="G8292" s="45" t="s">
        <v>20231</v>
      </c>
      <c r="H8292" s="546">
        <v>43313.97</v>
      </c>
      <c r="I8292" s="47">
        <v>45397</v>
      </c>
      <c r="J8292" s="73" t="s">
        <v>20225</v>
      </c>
      <c r="K8292" s="62"/>
      <c r="L8292" s="99"/>
      <c r="O8292" s="62" t="s">
        <v>147</v>
      </c>
      <c r="P8292" s="45" t="s">
        <v>22</v>
      </c>
      <c r="Q8292" s="45" t="s">
        <v>113</v>
      </c>
      <c r="R8292" s="45" t="s">
        <v>272</v>
      </c>
    </row>
    <row r="8293" spans="2:18" ht="69" customHeight="1">
      <c r="B8293" s="62">
        <f t="shared" si="58"/>
        <v>5412</v>
      </c>
      <c r="C8293" s="45" t="s">
        <v>657</v>
      </c>
      <c r="D8293" s="200" t="s">
        <v>4819</v>
      </c>
      <c r="E8293" s="58" t="s">
        <v>7649</v>
      </c>
      <c r="F8293" s="58" t="s">
        <v>20232</v>
      </c>
      <c r="G8293" s="45" t="s">
        <v>20233</v>
      </c>
      <c r="H8293" s="546">
        <v>21866.12</v>
      </c>
      <c r="I8293" s="47">
        <v>45397</v>
      </c>
      <c r="J8293" s="73" t="s">
        <v>20225</v>
      </c>
      <c r="K8293" s="62"/>
      <c r="O8293" s="62" t="s">
        <v>147</v>
      </c>
      <c r="P8293" s="45" t="s">
        <v>22</v>
      </c>
      <c r="Q8293" s="45" t="s">
        <v>104</v>
      </c>
      <c r="R8293" s="45" t="s">
        <v>272</v>
      </c>
    </row>
    <row r="8294" spans="2:18" ht="69" customHeight="1">
      <c r="B8294" s="62">
        <f t="shared" si="58"/>
        <v>5413</v>
      </c>
      <c r="C8294" s="45" t="s">
        <v>657</v>
      </c>
      <c r="D8294" s="200" t="s">
        <v>4710</v>
      </c>
      <c r="E8294" s="58" t="s">
        <v>7649</v>
      </c>
      <c r="F8294" s="58" t="s">
        <v>20234</v>
      </c>
      <c r="G8294" s="45" t="s">
        <v>20235</v>
      </c>
      <c r="H8294" s="546">
        <v>11774.07</v>
      </c>
      <c r="I8294" s="47">
        <v>45397</v>
      </c>
      <c r="J8294" s="73" t="s">
        <v>20225</v>
      </c>
      <c r="K8294" s="62"/>
      <c r="O8294" s="62" t="s">
        <v>147</v>
      </c>
      <c r="P8294" s="45" t="s">
        <v>22</v>
      </c>
      <c r="Q8294" s="45" t="s">
        <v>104</v>
      </c>
      <c r="R8294" s="45" t="s">
        <v>272</v>
      </c>
    </row>
    <row r="8295" spans="2:18" ht="69" customHeight="1">
      <c r="B8295" s="62">
        <f t="shared" si="58"/>
        <v>5414</v>
      </c>
      <c r="C8295" s="58" t="s">
        <v>458</v>
      </c>
      <c r="D8295" s="200" t="s">
        <v>20236</v>
      </c>
      <c r="E8295" s="58" t="s">
        <v>7649</v>
      </c>
      <c r="F8295" s="58" t="s">
        <v>20237</v>
      </c>
      <c r="G8295" s="45" t="s">
        <v>20238</v>
      </c>
      <c r="H8295" s="546">
        <v>79168.77</v>
      </c>
      <c r="I8295" s="47">
        <v>45397</v>
      </c>
      <c r="J8295" s="73" t="s">
        <v>20225</v>
      </c>
      <c r="K8295" s="62"/>
      <c r="L8295" s="99"/>
      <c r="O8295" s="62" t="s">
        <v>147</v>
      </c>
      <c r="P8295" s="45" t="s">
        <v>22</v>
      </c>
      <c r="Q8295" s="45" t="s">
        <v>103</v>
      </c>
      <c r="R8295" s="45" t="s">
        <v>272</v>
      </c>
    </row>
    <row r="8296" spans="2:18" ht="69" customHeight="1">
      <c r="B8296" s="62">
        <f t="shared" si="58"/>
        <v>5415</v>
      </c>
      <c r="C8296" s="58" t="s">
        <v>458</v>
      </c>
      <c r="D8296" s="200" t="s">
        <v>17294</v>
      </c>
      <c r="E8296" s="58" t="s">
        <v>7649</v>
      </c>
      <c r="F8296" s="58" t="s">
        <v>20239</v>
      </c>
      <c r="G8296" s="45" t="s">
        <v>20240</v>
      </c>
      <c r="H8296" s="546">
        <v>42629.34</v>
      </c>
      <c r="I8296" s="47">
        <v>45397</v>
      </c>
      <c r="J8296" s="73" t="s">
        <v>20225</v>
      </c>
      <c r="K8296" s="62"/>
      <c r="L8296" s="99"/>
      <c r="O8296" s="62" t="s">
        <v>147</v>
      </c>
      <c r="P8296" s="45" t="s">
        <v>22</v>
      </c>
      <c r="Q8296" s="45" t="s">
        <v>103</v>
      </c>
      <c r="R8296" s="45" t="s">
        <v>272</v>
      </c>
    </row>
    <row r="8297" spans="2:18" ht="69" customHeight="1">
      <c r="B8297" s="62">
        <f t="shared" si="58"/>
        <v>5416</v>
      </c>
      <c r="C8297" s="58" t="s">
        <v>458</v>
      </c>
      <c r="D8297" s="200" t="s">
        <v>17296</v>
      </c>
      <c r="E8297" s="58" t="s">
        <v>7649</v>
      </c>
      <c r="F8297" s="58" t="s">
        <v>20241</v>
      </c>
      <c r="G8297" s="45" t="s">
        <v>20229</v>
      </c>
      <c r="H8297" s="546">
        <v>67684.05</v>
      </c>
      <c r="I8297" s="47">
        <v>45397</v>
      </c>
      <c r="J8297" s="73" t="s">
        <v>20225</v>
      </c>
      <c r="K8297" s="62"/>
      <c r="L8297" s="99"/>
      <c r="O8297" s="62" t="s">
        <v>147</v>
      </c>
      <c r="P8297" s="45" t="s">
        <v>22</v>
      </c>
      <c r="Q8297" s="45" t="s">
        <v>112</v>
      </c>
      <c r="R8297" s="45" t="s">
        <v>272</v>
      </c>
    </row>
    <row r="8298" spans="2:18" ht="74.25" customHeight="1">
      <c r="B8298" s="62">
        <f t="shared" si="58"/>
        <v>5417</v>
      </c>
      <c r="C8298" s="58" t="s">
        <v>458</v>
      </c>
      <c r="D8298" s="200" t="s">
        <v>20242</v>
      </c>
      <c r="E8298" s="45" t="s">
        <v>7649</v>
      </c>
      <c r="F8298" s="45" t="s">
        <v>20243</v>
      </c>
      <c r="G8298" s="45" t="s">
        <v>20231</v>
      </c>
      <c r="H8298" s="546">
        <v>36445.26</v>
      </c>
      <c r="I8298" s="47">
        <v>45397</v>
      </c>
      <c r="J8298" s="73" t="s">
        <v>20225</v>
      </c>
      <c r="K8298" s="62"/>
      <c r="L8298" s="99"/>
      <c r="O8298" s="62" t="s">
        <v>147</v>
      </c>
      <c r="P8298" s="45" t="s">
        <v>22</v>
      </c>
      <c r="Q8298" s="45" t="s">
        <v>112</v>
      </c>
      <c r="R8298" s="45" t="s">
        <v>272</v>
      </c>
    </row>
    <row r="8299" spans="2:18" ht="69" customHeight="1">
      <c r="B8299" s="62">
        <f t="shared" si="58"/>
        <v>5418</v>
      </c>
      <c r="C8299" s="59" t="s">
        <v>11933</v>
      </c>
      <c r="D8299" s="200" t="s">
        <v>17298</v>
      </c>
      <c r="E8299" s="58" t="s">
        <v>20244</v>
      </c>
      <c r="F8299" s="58" t="s">
        <v>20245</v>
      </c>
      <c r="G8299" s="45" t="s">
        <v>20246</v>
      </c>
      <c r="H8299" s="546">
        <v>26000</v>
      </c>
      <c r="I8299" s="47">
        <v>45407</v>
      </c>
      <c r="J8299" s="73" t="s">
        <v>20247</v>
      </c>
      <c r="K8299" s="62"/>
      <c r="L8299" s="99"/>
      <c r="O8299" s="62" t="s">
        <v>16639</v>
      </c>
      <c r="P8299" s="45" t="s">
        <v>57</v>
      </c>
      <c r="Q8299" s="45" t="s">
        <v>123</v>
      </c>
      <c r="R8299" s="45" t="s">
        <v>272</v>
      </c>
    </row>
    <row r="8300" spans="2:18" ht="69" customHeight="1">
      <c r="B8300" s="259">
        <f t="shared" si="58"/>
        <v>5419</v>
      </c>
      <c r="C8300" s="160" t="s">
        <v>458</v>
      </c>
      <c r="D8300" s="311" t="s">
        <v>20248</v>
      </c>
      <c r="E8300" s="160" t="s">
        <v>19953</v>
      </c>
      <c r="F8300" s="160" t="s">
        <v>20249</v>
      </c>
      <c r="G8300" s="160" t="s">
        <v>20250</v>
      </c>
      <c r="H8300" s="300">
        <v>45061.54</v>
      </c>
      <c r="I8300" s="209">
        <v>45407</v>
      </c>
      <c r="J8300" s="316" t="s">
        <v>20251</v>
      </c>
      <c r="K8300" s="160" t="s">
        <v>18833</v>
      </c>
      <c r="L8300" s="99"/>
      <c r="O8300" s="259" t="s">
        <v>12529</v>
      </c>
      <c r="P8300" s="160" t="s">
        <v>67</v>
      </c>
      <c r="Q8300" s="160" t="s">
        <v>90</v>
      </c>
      <c r="R8300" s="160" t="s">
        <v>272</v>
      </c>
    </row>
    <row r="8301" spans="2:18" ht="69" customHeight="1">
      <c r="B8301" s="62">
        <f t="shared" si="58"/>
        <v>5420</v>
      </c>
      <c r="C8301" s="44" t="s">
        <v>9004</v>
      </c>
      <c r="D8301" s="200" t="s">
        <v>4714</v>
      </c>
      <c r="E8301" s="58" t="s">
        <v>20252</v>
      </c>
      <c r="F8301" s="58" t="s">
        <v>20253</v>
      </c>
      <c r="G8301" s="45" t="s">
        <v>20254</v>
      </c>
      <c r="H8301" s="546">
        <v>520605.63</v>
      </c>
      <c r="I8301" s="47">
        <v>45407</v>
      </c>
      <c r="J8301" s="73" t="s">
        <v>20255</v>
      </c>
      <c r="K8301" s="62"/>
      <c r="L8301" s="99"/>
      <c r="O8301" s="62" t="s">
        <v>14160</v>
      </c>
      <c r="P8301" s="45" t="s">
        <v>26</v>
      </c>
      <c r="Q8301" s="45" t="s">
        <v>111</v>
      </c>
      <c r="R8301" s="45" t="s">
        <v>272</v>
      </c>
    </row>
    <row r="8302" spans="2:18" ht="69" customHeight="1">
      <c r="B8302" s="62">
        <f t="shared" si="58"/>
        <v>5421</v>
      </c>
      <c r="C8302" s="201" t="s">
        <v>9215</v>
      </c>
      <c r="D8302" s="200" t="s">
        <v>17300</v>
      </c>
      <c r="E8302" s="58" t="s">
        <v>20252</v>
      </c>
      <c r="F8302" s="58" t="s">
        <v>20256</v>
      </c>
      <c r="G8302" s="45" t="s">
        <v>20254</v>
      </c>
      <c r="H8302" s="546">
        <v>580757.85</v>
      </c>
      <c r="I8302" s="47">
        <v>45407</v>
      </c>
      <c r="J8302" s="73" t="s">
        <v>20255</v>
      </c>
      <c r="K8302" s="62"/>
      <c r="L8302" s="99"/>
      <c r="O8302" s="62" t="s">
        <v>14160</v>
      </c>
      <c r="P8302" s="45" t="s">
        <v>26</v>
      </c>
      <c r="Q8302" s="45" t="s">
        <v>113</v>
      </c>
      <c r="R8302" s="45" t="s">
        <v>272</v>
      </c>
    </row>
    <row r="8303" spans="2:18" ht="69" customHeight="1">
      <c r="B8303" s="259">
        <f t="shared" si="58"/>
        <v>5422</v>
      </c>
      <c r="C8303" s="304" t="s">
        <v>657</v>
      </c>
      <c r="D8303" s="311" t="s">
        <v>5971</v>
      </c>
      <c r="E8303" s="160" t="s">
        <v>19953</v>
      </c>
      <c r="F8303" s="160" t="s">
        <v>20257</v>
      </c>
      <c r="G8303" s="160" t="s">
        <v>20250</v>
      </c>
      <c r="H8303" s="300">
        <v>45061.54</v>
      </c>
      <c r="I8303" s="209">
        <v>45407</v>
      </c>
      <c r="J8303" s="316" t="s">
        <v>20258</v>
      </c>
      <c r="K8303" s="160" t="s">
        <v>18833</v>
      </c>
      <c r="L8303" s="99"/>
      <c r="O8303" s="259" t="s">
        <v>12529</v>
      </c>
      <c r="P8303" s="160" t="s">
        <v>67</v>
      </c>
      <c r="Q8303" s="160" t="s">
        <v>99</v>
      </c>
      <c r="R8303" s="160" t="s">
        <v>272</v>
      </c>
    </row>
    <row r="8304" spans="2:18" ht="69" customHeight="1">
      <c r="B8304" s="259">
        <f t="shared" si="58"/>
        <v>5423</v>
      </c>
      <c r="C8304" s="160" t="s">
        <v>458</v>
      </c>
      <c r="D8304" s="311" t="s">
        <v>20259</v>
      </c>
      <c r="E8304" s="160" t="s">
        <v>19953</v>
      </c>
      <c r="F8304" s="160" t="s">
        <v>20260</v>
      </c>
      <c r="G8304" s="160" t="s">
        <v>20250</v>
      </c>
      <c r="H8304" s="300">
        <v>5417.72</v>
      </c>
      <c r="I8304" s="209">
        <v>45407</v>
      </c>
      <c r="J8304" s="316" t="s">
        <v>20261</v>
      </c>
      <c r="K8304" s="160" t="s">
        <v>18833</v>
      </c>
      <c r="L8304" s="99"/>
      <c r="O8304" s="259" t="s">
        <v>12529</v>
      </c>
      <c r="P8304" s="160" t="s">
        <v>67</v>
      </c>
      <c r="Q8304" s="160" t="s">
        <v>90</v>
      </c>
      <c r="R8304" s="160" t="s">
        <v>272</v>
      </c>
    </row>
    <row r="8305" spans="1:18" ht="69" customHeight="1">
      <c r="B8305" s="259">
        <f t="shared" si="58"/>
        <v>5424</v>
      </c>
      <c r="C8305" s="160" t="s">
        <v>657</v>
      </c>
      <c r="D8305" s="311" t="s">
        <v>5551</v>
      </c>
      <c r="E8305" s="160" t="s">
        <v>19953</v>
      </c>
      <c r="F8305" s="160" t="s">
        <v>20262</v>
      </c>
      <c r="G8305" s="160" t="s">
        <v>20250</v>
      </c>
      <c r="H8305" s="300">
        <v>37404.67</v>
      </c>
      <c r="I8305" s="209">
        <v>45407</v>
      </c>
      <c r="J8305" s="316" t="s">
        <v>20263</v>
      </c>
      <c r="K8305" s="160" t="s">
        <v>18833</v>
      </c>
      <c r="L8305" s="99"/>
      <c r="O8305" s="259" t="s">
        <v>12529</v>
      </c>
      <c r="P8305" s="160" t="s">
        <v>67</v>
      </c>
      <c r="Q8305" s="160" t="s">
        <v>99</v>
      </c>
      <c r="R8305" s="160" t="s">
        <v>272</v>
      </c>
    </row>
    <row r="8306" spans="1:18" s="98" customFormat="1" ht="69" customHeight="1">
      <c r="A8306" s="169"/>
      <c r="B8306" s="259">
        <f t="shared" si="58"/>
        <v>5425</v>
      </c>
      <c r="C8306" s="207" t="s">
        <v>3340</v>
      </c>
      <c r="D8306" s="311" t="s">
        <v>948</v>
      </c>
      <c r="E8306" s="160" t="s">
        <v>19953</v>
      </c>
      <c r="F8306" s="160" t="s">
        <v>20264</v>
      </c>
      <c r="G8306" s="160" t="s">
        <v>20265</v>
      </c>
      <c r="H8306" s="300">
        <v>5131.21</v>
      </c>
      <c r="I8306" s="209">
        <v>45407</v>
      </c>
      <c r="J8306" s="316" t="s">
        <v>20266</v>
      </c>
      <c r="K8306" s="160" t="s">
        <v>11084</v>
      </c>
      <c r="O8306" s="259" t="s">
        <v>13735</v>
      </c>
      <c r="P8306" s="160" t="s">
        <v>67</v>
      </c>
      <c r="Q8306" s="160" t="s">
        <v>96</v>
      </c>
      <c r="R8306" s="160" t="s">
        <v>272</v>
      </c>
    </row>
    <row r="8307" spans="1:18" s="98" customFormat="1" ht="69" customHeight="1">
      <c r="A8307" s="169"/>
      <c r="B8307" s="259">
        <f t="shared" si="58"/>
        <v>5426</v>
      </c>
      <c r="C8307" s="207" t="s">
        <v>309</v>
      </c>
      <c r="D8307" s="301" t="s">
        <v>16203</v>
      </c>
      <c r="E8307" s="207" t="s">
        <v>305</v>
      </c>
      <c r="F8307" s="208" t="s">
        <v>20267</v>
      </c>
      <c r="G8307" s="160" t="s">
        <v>13201</v>
      </c>
      <c r="H8307" s="300">
        <v>22586.76</v>
      </c>
      <c r="I8307" s="209">
        <v>45407</v>
      </c>
      <c r="J8307" s="316" t="s">
        <v>20268</v>
      </c>
      <c r="K8307" s="259"/>
      <c r="O8307" s="259" t="s">
        <v>15366</v>
      </c>
      <c r="P8307" s="160" t="s">
        <v>67</v>
      </c>
      <c r="Q8307" s="160" t="s">
        <v>15</v>
      </c>
      <c r="R8307" s="160" t="s">
        <v>272</v>
      </c>
    </row>
    <row r="8308" spans="1:18" ht="69" customHeight="1">
      <c r="B8308" s="259">
        <f t="shared" si="58"/>
        <v>5427</v>
      </c>
      <c r="C8308" s="207" t="s">
        <v>3667</v>
      </c>
      <c r="D8308" s="311" t="s">
        <v>20269</v>
      </c>
      <c r="E8308" s="207" t="s">
        <v>266</v>
      </c>
      <c r="F8308" s="208" t="s">
        <v>20270</v>
      </c>
      <c r="G8308" s="160" t="s">
        <v>20271</v>
      </c>
      <c r="H8308" s="300">
        <v>5139.2</v>
      </c>
      <c r="I8308" s="209">
        <v>45407</v>
      </c>
      <c r="J8308" s="316" t="s">
        <v>20272</v>
      </c>
      <c r="K8308" s="160" t="s">
        <v>67</v>
      </c>
      <c r="L8308" s="99"/>
      <c r="O8308" s="259" t="s">
        <v>10810</v>
      </c>
      <c r="P8308" s="160" t="s">
        <v>67</v>
      </c>
      <c r="Q8308" s="160" t="s">
        <v>49</v>
      </c>
      <c r="R8308" s="160" t="s">
        <v>272</v>
      </c>
    </row>
    <row r="8309" spans="1:18" ht="69" customHeight="1">
      <c r="B8309" s="259">
        <f t="shared" si="58"/>
        <v>5428</v>
      </c>
      <c r="C8309" s="160" t="s">
        <v>309</v>
      </c>
      <c r="D8309" s="311" t="s">
        <v>16210</v>
      </c>
      <c r="E8309" s="207" t="s">
        <v>266</v>
      </c>
      <c r="F8309" s="208" t="s">
        <v>20273</v>
      </c>
      <c r="G8309" s="160" t="s">
        <v>20271</v>
      </c>
      <c r="H8309" s="300">
        <v>4015</v>
      </c>
      <c r="I8309" s="209">
        <v>45407</v>
      </c>
      <c r="J8309" s="316" t="s">
        <v>20272</v>
      </c>
      <c r="K8309" s="160" t="s">
        <v>67</v>
      </c>
      <c r="L8309" s="99"/>
      <c r="O8309" s="259" t="s">
        <v>10810</v>
      </c>
      <c r="P8309" s="160" t="s">
        <v>67</v>
      </c>
      <c r="Q8309" s="160" t="s">
        <v>15</v>
      </c>
      <c r="R8309" s="160" t="s">
        <v>272</v>
      </c>
    </row>
    <row r="8310" spans="1:18" ht="69" customHeight="1">
      <c r="B8310" s="259">
        <f t="shared" si="58"/>
        <v>5429</v>
      </c>
      <c r="C8310" s="160" t="s">
        <v>458</v>
      </c>
      <c r="D8310" s="311" t="s">
        <v>17302</v>
      </c>
      <c r="E8310" s="207" t="s">
        <v>266</v>
      </c>
      <c r="F8310" s="208" t="s">
        <v>20274</v>
      </c>
      <c r="G8310" s="160" t="s">
        <v>20271</v>
      </c>
      <c r="H8310" s="300">
        <v>4015</v>
      </c>
      <c r="I8310" s="209">
        <v>45407</v>
      </c>
      <c r="J8310" s="316" t="s">
        <v>20272</v>
      </c>
      <c r="K8310" s="160" t="s">
        <v>67</v>
      </c>
      <c r="L8310" s="99"/>
      <c r="O8310" s="259" t="s">
        <v>10810</v>
      </c>
      <c r="P8310" s="160" t="s">
        <v>67</v>
      </c>
      <c r="Q8310" s="160" t="s">
        <v>90</v>
      </c>
      <c r="R8310" s="160" t="s">
        <v>272</v>
      </c>
    </row>
    <row r="8311" spans="1:18" ht="69" customHeight="1">
      <c r="B8311" s="259">
        <f t="shared" si="58"/>
        <v>5430</v>
      </c>
      <c r="C8311" s="160" t="s">
        <v>657</v>
      </c>
      <c r="D8311" s="311" t="s">
        <v>6886</v>
      </c>
      <c r="E8311" s="207" t="s">
        <v>266</v>
      </c>
      <c r="F8311" s="208" t="s">
        <v>20275</v>
      </c>
      <c r="G8311" s="160" t="s">
        <v>20271</v>
      </c>
      <c r="H8311" s="300">
        <v>2890.8</v>
      </c>
      <c r="I8311" s="209">
        <v>45407</v>
      </c>
      <c r="J8311" s="316" t="s">
        <v>20272</v>
      </c>
      <c r="K8311" s="160" t="s">
        <v>67</v>
      </c>
      <c r="L8311" s="99"/>
      <c r="O8311" s="259" t="s">
        <v>10810</v>
      </c>
      <c r="P8311" s="160" t="s">
        <v>67</v>
      </c>
      <c r="Q8311" s="160" t="s">
        <v>99</v>
      </c>
      <c r="R8311" s="160" t="s">
        <v>272</v>
      </c>
    </row>
    <row r="8312" spans="1:18" ht="69" customHeight="1">
      <c r="B8312" s="62">
        <f t="shared" si="58"/>
        <v>5431</v>
      </c>
      <c r="C8312" s="58" t="s">
        <v>18826</v>
      </c>
      <c r="D8312" s="84" t="s">
        <v>20276</v>
      </c>
      <c r="E8312" s="45" t="s">
        <v>19843</v>
      </c>
      <c r="F8312" s="45" t="s">
        <v>20277</v>
      </c>
      <c r="G8312" s="45" t="s">
        <v>20008</v>
      </c>
      <c r="H8312" s="546">
        <v>622885.68000000005</v>
      </c>
      <c r="I8312" s="47">
        <v>45407</v>
      </c>
      <c r="J8312" s="73" t="s">
        <v>20278</v>
      </c>
      <c r="K8312" s="62"/>
      <c r="L8312" s="99"/>
      <c r="O8312" s="62" t="s">
        <v>1566</v>
      </c>
      <c r="P8312" s="45" t="s">
        <v>28</v>
      </c>
      <c r="Q8312" s="45" t="s">
        <v>108</v>
      </c>
      <c r="R8312" s="45" t="s">
        <v>272</v>
      </c>
    </row>
    <row r="8313" spans="1:18" ht="69" customHeight="1">
      <c r="B8313" s="62">
        <f t="shared" si="58"/>
        <v>5432</v>
      </c>
      <c r="C8313" s="178" t="s">
        <v>9322</v>
      </c>
      <c r="D8313" s="200" t="s">
        <v>17304</v>
      </c>
      <c r="E8313" s="45" t="s">
        <v>19843</v>
      </c>
      <c r="F8313" s="45" t="s">
        <v>20279</v>
      </c>
      <c r="G8313" s="45" t="s">
        <v>20008</v>
      </c>
      <c r="H8313" s="546">
        <v>542253.04</v>
      </c>
      <c r="I8313" s="47">
        <v>45407</v>
      </c>
      <c r="J8313" s="73" t="s">
        <v>20280</v>
      </c>
      <c r="K8313" s="62"/>
      <c r="L8313" s="99"/>
      <c r="O8313" s="62" t="s">
        <v>1566</v>
      </c>
      <c r="P8313" s="45" t="s">
        <v>28</v>
      </c>
      <c r="Q8313" s="45" t="s">
        <v>114</v>
      </c>
      <c r="R8313" s="45" t="s">
        <v>272</v>
      </c>
    </row>
    <row r="8314" spans="1:18" ht="69" customHeight="1">
      <c r="B8314" s="62">
        <f t="shared" si="58"/>
        <v>5433</v>
      </c>
      <c r="C8314" s="178" t="s">
        <v>9596</v>
      </c>
      <c r="D8314" s="200" t="s">
        <v>6444</v>
      </c>
      <c r="E8314" s="45" t="s">
        <v>19843</v>
      </c>
      <c r="F8314" s="45" t="s">
        <v>20281</v>
      </c>
      <c r="G8314" s="45" t="s">
        <v>20008</v>
      </c>
      <c r="H8314" s="546">
        <v>542253.04</v>
      </c>
      <c r="I8314" s="47">
        <v>45407</v>
      </c>
      <c r="J8314" s="73" t="s">
        <v>20280</v>
      </c>
      <c r="K8314" s="62"/>
      <c r="L8314" s="99"/>
      <c r="O8314" s="62" t="s">
        <v>1566</v>
      </c>
      <c r="P8314" s="45" t="s">
        <v>28</v>
      </c>
      <c r="Q8314" s="45" t="s">
        <v>118</v>
      </c>
      <c r="R8314" s="45" t="s">
        <v>272</v>
      </c>
    </row>
    <row r="8315" spans="1:18" ht="69" customHeight="1">
      <c r="B8315" s="62">
        <f t="shared" si="58"/>
        <v>5434</v>
      </c>
      <c r="C8315" s="44" t="s">
        <v>10634</v>
      </c>
      <c r="D8315" s="200" t="s">
        <v>20282</v>
      </c>
      <c r="E8315" s="45" t="s">
        <v>16139</v>
      </c>
      <c r="F8315" s="45" t="s">
        <v>20283</v>
      </c>
      <c r="G8315" s="45" t="s">
        <v>20284</v>
      </c>
      <c r="H8315" s="546">
        <v>83261.88</v>
      </c>
      <c r="I8315" s="47">
        <v>45407</v>
      </c>
      <c r="J8315" s="73" t="s">
        <v>20285</v>
      </c>
      <c r="K8315" s="62"/>
      <c r="L8315" s="99"/>
      <c r="O8315" s="62" t="s">
        <v>175</v>
      </c>
      <c r="P8315" s="45" t="s">
        <v>57</v>
      </c>
      <c r="Q8315" s="45" t="s">
        <v>93</v>
      </c>
      <c r="R8315" s="45" t="s">
        <v>272</v>
      </c>
    </row>
    <row r="8316" spans="1:18" ht="69" customHeight="1">
      <c r="B8316" s="259">
        <f t="shared" si="58"/>
        <v>5435</v>
      </c>
      <c r="C8316" s="160" t="s">
        <v>458</v>
      </c>
      <c r="D8316" s="311" t="s">
        <v>17315</v>
      </c>
      <c r="E8316" s="207" t="s">
        <v>266</v>
      </c>
      <c r="F8316" s="160" t="s">
        <v>20286</v>
      </c>
      <c r="G8316" s="160" t="s">
        <v>20250</v>
      </c>
      <c r="H8316" s="300">
        <v>809.21</v>
      </c>
      <c r="I8316" s="209">
        <v>45407</v>
      </c>
      <c r="J8316" s="316" t="s">
        <v>20287</v>
      </c>
      <c r="K8316" s="160" t="s">
        <v>18833</v>
      </c>
      <c r="L8316" s="99"/>
      <c r="O8316" s="259" t="s">
        <v>12529</v>
      </c>
      <c r="P8316" s="160" t="s">
        <v>67</v>
      </c>
      <c r="Q8316" s="160" t="s">
        <v>90</v>
      </c>
      <c r="R8316" s="160" t="s">
        <v>272</v>
      </c>
    </row>
    <row r="8317" spans="1:18" ht="69" customHeight="1">
      <c r="B8317" s="62">
        <f t="shared" si="58"/>
        <v>5436</v>
      </c>
      <c r="C8317" s="201" t="s">
        <v>11058</v>
      </c>
      <c r="D8317" s="200" t="s">
        <v>16213</v>
      </c>
      <c r="E8317" s="59" t="s">
        <v>382</v>
      </c>
      <c r="F8317" s="58" t="s">
        <v>20288</v>
      </c>
      <c r="G8317" s="58" t="s">
        <v>20289</v>
      </c>
      <c r="H8317" s="546">
        <v>5821.02</v>
      </c>
      <c r="I8317" s="47">
        <v>45407</v>
      </c>
      <c r="J8317" s="73" t="s">
        <v>20290</v>
      </c>
      <c r="K8317" s="62"/>
      <c r="L8317" s="99"/>
      <c r="O8317" s="62" t="s">
        <v>150</v>
      </c>
      <c r="P8317" s="45" t="s">
        <v>51</v>
      </c>
      <c r="Q8317" s="45" t="s">
        <v>23</v>
      </c>
      <c r="R8317" s="45" t="s">
        <v>265</v>
      </c>
    </row>
    <row r="8318" spans="1:18" ht="69" customHeight="1">
      <c r="B8318" s="62">
        <f t="shared" si="58"/>
        <v>5437</v>
      </c>
      <c r="C8318" s="44" t="s">
        <v>16807</v>
      </c>
      <c r="D8318" s="200" t="s">
        <v>20291</v>
      </c>
      <c r="E8318" s="59" t="s">
        <v>382</v>
      </c>
      <c r="F8318" s="58" t="s">
        <v>20292</v>
      </c>
      <c r="G8318" s="58" t="s">
        <v>20289</v>
      </c>
      <c r="H8318" s="546">
        <v>5821.02</v>
      </c>
      <c r="I8318" s="47">
        <v>45407</v>
      </c>
      <c r="J8318" s="73" t="s">
        <v>20290</v>
      </c>
      <c r="K8318" s="62"/>
      <c r="L8318" s="99"/>
      <c r="O8318" s="62" t="s">
        <v>150</v>
      </c>
      <c r="P8318" s="45" t="s">
        <v>51</v>
      </c>
      <c r="Q8318" s="45" t="s">
        <v>70</v>
      </c>
      <c r="R8318" s="45" t="s">
        <v>265</v>
      </c>
    </row>
    <row r="8319" spans="1:18" ht="69" customHeight="1">
      <c r="B8319" s="62">
        <f t="shared" si="58"/>
        <v>5438</v>
      </c>
      <c r="C8319" s="58" t="s">
        <v>309</v>
      </c>
      <c r="D8319" s="200" t="s">
        <v>16275</v>
      </c>
      <c r="E8319" s="58" t="s">
        <v>358</v>
      </c>
      <c r="F8319" s="58" t="s">
        <v>20293</v>
      </c>
      <c r="G8319" s="45" t="s">
        <v>20294</v>
      </c>
      <c r="H8319" s="546">
        <v>123279.35</v>
      </c>
      <c r="I8319" s="47">
        <v>45407</v>
      </c>
      <c r="J8319" s="73" t="s">
        <v>20295</v>
      </c>
      <c r="K8319" s="62"/>
      <c r="L8319" s="99"/>
      <c r="O8319" s="62" t="s">
        <v>141</v>
      </c>
      <c r="P8319" s="45" t="s">
        <v>19</v>
      </c>
      <c r="Q8319" s="45" t="s">
        <v>27</v>
      </c>
      <c r="R8319" s="45" t="s">
        <v>272</v>
      </c>
    </row>
    <row r="8320" spans="1:18" ht="69" customHeight="1">
      <c r="B8320" s="62">
        <f t="shared" si="58"/>
        <v>5439</v>
      </c>
      <c r="C8320" s="58" t="s">
        <v>9545</v>
      </c>
      <c r="D8320" s="200" t="s">
        <v>17320</v>
      </c>
      <c r="E8320" s="58" t="s">
        <v>358</v>
      </c>
      <c r="F8320" s="58" t="s">
        <v>20296</v>
      </c>
      <c r="G8320" s="45" t="s">
        <v>20297</v>
      </c>
      <c r="H8320" s="546">
        <v>110000</v>
      </c>
      <c r="I8320" s="47">
        <v>45407</v>
      </c>
      <c r="J8320" s="73" t="s">
        <v>20298</v>
      </c>
      <c r="K8320" s="62"/>
      <c r="L8320" s="99"/>
      <c r="O8320" s="62" t="s">
        <v>141</v>
      </c>
      <c r="P8320" s="45" t="s">
        <v>19</v>
      </c>
      <c r="Q8320" s="45" t="s">
        <v>117</v>
      </c>
      <c r="R8320" s="45" t="s">
        <v>272</v>
      </c>
    </row>
    <row r="8321" spans="1:18" s="98" customFormat="1" ht="69" customHeight="1">
      <c r="A8321" s="169"/>
      <c r="B8321" s="48">
        <f t="shared" si="58"/>
        <v>5440</v>
      </c>
      <c r="C8321" s="45" t="s">
        <v>9545</v>
      </c>
      <c r="D8321" s="611" t="s">
        <v>17798</v>
      </c>
      <c r="E8321" s="45" t="s">
        <v>350</v>
      </c>
      <c r="F8321" s="45" t="s">
        <v>20299</v>
      </c>
      <c r="G8321" s="45" t="s">
        <v>20300</v>
      </c>
      <c r="H8321" s="546">
        <v>90000</v>
      </c>
      <c r="I8321" s="47">
        <v>45417</v>
      </c>
      <c r="J8321" s="73" t="s">
        <v>20298</v>
      </c>
      <c r="K8321" s="45"/>
      <c r="O8321" s="48" t="s">
        <v>141</v>
      </c>
      <c r="P8321" s="45" t="s">
        <v>19</v>
      </c>
      <c r="Q8321" s="45" t="s">
        <v>117</v>
      </c>
      <c r="R8321" s="45" t="s">
        <v>265</v>
      </c>
    </row>
    <row r="8322" spans="1:18" ht="69" customHeight="1">
      <c r="B8322" s="52">
        <f t="shared" si="58"/>
        <v>5441</v>
      </c>
      <c r="C8322" s="46" t="s">
        <v>309</v>
      </c>
      <c r="D8322" s="539" t="s">
        <v>20301</v>
      </c>
      <c r="E8322" s="191" t="s">
        <v>266</v>
      </c>
      <c r="F8322" s="46" t="s">
        <v>20302</v>
      </c>
      <c r="G8322" s="46" t="s">
        <v>20303</v>
      </c>
      <c r="H8322" s="534">
        <v>3800</v>
      </c>
      <c r="I8322" s="56">
        <v>45407</v>
      </c>
      <c r="J8322" s="199" t="s">
        <v>20304</v>
      </c>
      <c r="K8322" s="52"/>
      <c r="L8322" s="99"/>
      <c r="O8322" s="52"/>
      <c r="P8322" s="46" t="s">
        <v>65</v>
      </c>
      <c r="Q8322" s="46" t="s">
        <v>41</v>
      </c>
      <c r="R8322" s="46" t="s">
        <v>272</v>
      </c>
    </row>
    <row r="8323" spans="1:18" ht="69" customHeight="1">
      <c r="B8323" s="52">
        <f t="shared" si="58"/>
        <v>5442</v>
      </c>
      <c r="C8323" s="46" t="s">
        <v>309</v>
      </c>
      <c r="D8323" s="539" t="s">
        <v>16288</v>
      </c>
      <c r="E8323" s="191" t="s">
        <v>266</v>
      </c>
      <c r="F8323" s="46" t="s">
        <v>20305</v>
      </c>
      <c r="G8323" s="46" t="s">
        <v>20303</v>
      </c>
      <c r="H8323" s="534">
        <v>2600</v>
      </c>
      <c r="I8323" s="56">
        <v>45407</v>
      </c>
      <c r="J8323" s="199" t="s">
        <v>20304</v>
      </c>
      <c r="K8323" s="52"/>
      <c r="L8323" s="99"/>
      <c r="O8323" s="52"/>
      <c r="P8323" s="46" t="s">
        <v>65</v>
      </c>
      <c r="Q8323" s="46" t="s">
        <v>39</v>
      </c>
      <c r="R8323" s="46" t="s">
        <v>272</v>
      </c>
    </row>
    <row r="8324" spans="1:18" ht="69" customHeight="1">
      <c r="B8324" s="52">
        <f t="shared" si="58"/>
        <v>5443</v>
      </c>
      <c r="C8324" s="46" t="s">
        <v>309</v>
      </c>
      <c r="D8324" s="539" t="s">
        <v>16293</v>
      </c>
      <c r="E8324" s="191" t="s">
        <v>266</v>
      </c>
      <c r="F8324" s="46" t="s">
        <v>20306</v>
      </c>
      <c r="G8324" s="46" t="s">
        <v>20303</v>
      </c>
      <c r="H8324" s="534">
        <v>5600</v>
      </c>
      <c r="I8324" s="56">
        <v>45407</v>
      </c>
      <c r="J8324" s="199" t="s">
        <v>20304</v>
      </c>
      <c r="K8324" s="52"/>
      <c r="L8324" s="99"/>
      <c r="O8324" s="52"/>
      <c r="P8324" s="46" t="s">
        <v>65</v>
      </c>
      <c r="Q8324" s="46" t="s">
        <v>39</v>
      </c>
      <c r="R8324" s="46" t="s">
        <v>272</v>
      </c>
    </row>
    <row r="8325" spans="1:18" ht="69" customHeight="1">
      <c r="B8325" s="52">
        <f t="shared" si="58"/>
        <v>5444</v>
      </c>
      <c r="C8325" s="46" t="s">
        <v>309</v>
      </c>
      <c r="D8325" s="539" t="s">
        <v>16295</v>
      </c>
      <c r="E8325" s="191" t="s">
        <v>266</v>
      </c>
      <c r="F8325" s="46" t="s">
        <v>20307</v>
      </c>
      <c r="G8325" s="46" t="s">
        <v>20303</v>
      </c>
      <c r="H8325" s="534">
        <v>2900</v>
      </c>
      <c r="I8325" s="56">
        <v>45407</v>
      </c>
      <c r="J8325" s="199" t="s">
        <v>20304</v>
      </c>
      <c r="K8325" s="52"/>
      <c r="L8325" s="99"/>
      <c r="O8325" s="46" t="s">
        <v>16879</v>
      </c>
      <c r="P8325" s="46" t="s">
        <v>65</v>
      </c>
      <c r="Q8325" s="46" t="s">
        <v>23</v>
      </c>
      <c r="R8325" s="46" t="s">
        <v>272</v>
      </c>
    </row>
    <row r="8326" spans="1:18" ht="69" customHeight="1">
      <c r="B8326" s="52">
        <f t="shared" si="58"/>
        <v>5445</v>
      </c>
      <c r="C8326" s="46" t="s">
        <v>309</v>
      </c>
      <c r="D8326" s="539" t="s">
        <v>16300</v>
      </c>
      <c r="E8326" s="191" t="s">
        <v>266</v>
      </c>
      <c r="F8326" s="46" t="s">
        <v>20308</v>
      </c>
      <c r="G8326" s="46" t="s">
        <v>20303</v>
      </c>
      <c r="H8326" s="534">
        <v>844</v>
      </c>
      <c r="I8326" s="56">
        <v>45407</v>
      </c>
      <c r="J8326" s="199" t="s">
        <v>20304</v>
      </c>
      <c r="K8326" s="52"/>
      <c r="L8326" s="99"/>
      <c r="O8326" s="52"/>
      <c r="P8326" s="46" t="s">
        <v>65</v>
      </c>
      <c r="Q8326" s="46" t="s">
        <v>41</v>
      </c>
      <c r="R8326" s="46" t="s">
        <v>272</v>
      </c>
    </row>
    <row r="8327" spans="1:18" ht="69" customHeight="1">
      <c r="B8327" s="62">
        <f t="shared" si="58"/>
        <v>5446</v>
      </c>
      <c r="C8327" s="58" t="s">
        <v>6888</v>
      </c>
      <c r="D8327" s="174" t="s">
        <v>20309</v>
      </c>
      <c r="E8327" s="178" t="s">
        <v>266</v>
      </c>
      <c r="F8327" s="58" t="s">
        <v>20310</v>
      </c>
      <c r="G8327" s="58" t="s">
        <v>20311</v>
      </c>
      <c r="H8327" s="552">
        <v>12000</v>
      </c>
      <c r="I8327" s="66">
        <v>45407</v>
      </c>
      <c r="J8327" s="65" t="s">
        <v>20312</v>
      </c>
      <c r="K8327" s="62"/>
      <c r="L8327" s="99"/>
      <c r="O8327" s="62" t="s">
        <v>6918</v>
      </c>
      <c r="P8327" s="58" t="s">
        <v>44</v>
      </c>
      <c r="Q8327" s="58" t="s">
        <v>84</v>
      </c>
      <c r="R8327" s="58" t="s">
        <v>272</v>
      </c>
    </row>
    <row r="8328" spans="1:18" ht="69" customHeight="1">
      <c r="B8328" s="259">
        <v>5447</v>
      </c>
      <c r="C8328" s="207" t="s">
        <v>13156</v>
      </c>
      <c r="D8328" s="303" t="s">
        <v>2430</v>
      </c>
      <c r="E8328" s="207" t="s">
        <v>266</v>
      </c>
      <c r="F8328" s="160" t="s">
        <v>20313</v>
      </c>
      <c r="G8328" s="160" t="s">
        <v>20314</v>
      </c>
      <c r="H8328" s="300">
        <v>156658</v>
      </c>
      <c r="I8328" s="209">
        <v>45407</v>
      </c>
      <c r="J8328" s="316" t="s">
        <v>20315</v>
      </c>
      <c r="K8328" s="160" t="s">
        <v>11084</v>
      </c>
      <c r="O8328" s="259" t="s">
        <v>20316</v>
      </c>
      <c r="P8328" s="160" t="s">
        <v>67</v>
      </c>
      <c r="Q8328" s="160" t="s">
        <v>96</v>
      </c>
      <c r="R8328" s="160" t="s">
        <v>272</v>
      </c>
    </row>
    <row r="8329" spans="1:18" ht="69" customHeight="1">
      <c r="B8329" s="62">
        <f t="shared" ref="B8329:B8392" si="59">B8328+1</f>
        <v>5448</v>
      </c>
      <c r="C8329" s="59" t="s">
        <v>10621</v>
      </c>
      <c r="D8329" s="200" t="s">
        <v>20317</v>
      </c>
      <c r="E8329" s="45" t="s">
        <v>17212</v>
      </c>
      <c r="F8329" s="45" t="s">
        <v>20318</v>
      </c>
      <c r="G8329" s="45" t="s">
        <v>17214</v>
      </c>
      <c r="H8329" s="546">
        <v>225870</v>
      </c>
      <c r="I8329" s="47">
        <v>45407</v>
      </c>
      <c r="J8329" s="73" t="s">
        <v>20319</v>
      </c>
      <c r="K8329" s="62"/>
      <c r="L8329" s="99"/>
      <c r="O8329" s="62" t="s">
        <v>16399</v>
      </c>
      <c r="P8329" s="45" t="s">
        <v>55</v>
      </c>
      <c r="Q8329" s="45" t="s">
        <v>66</v>
      </c>
      <c r="R8329" s="45" t="s">
        <v>272</v>
      </c>
    </row>
    <row r="8330" spans="1:18" ht="69" customHeight="1">
      <c r="B8330" s="62">
        <f t="shared" si="59"/>
        <v>5449</v>
      </c>
      <c r="C8330" s="59" t="s">
        <v>9322</v>
      </c>
      <c r="D8330" s="200" t="s">
        <v>20320</v>
      </c>
      <c r="E8330" s="45" t="s">
        <v>17212</v>
      </c>
      <c r="F8330" s="45" t="s">
        <v>20321</v>
      </c>
      <c r="G8330" s="45" t="s">
        <v>17214</v>
      </c>
      <c r="H8330" s="546">
        <v>204050</v>
      </c>
      <c r="I8330" s="47">
        <v>45407</v>
      </c>
      <c r="J8330" s="73" t="s">
        <v>20319</v>
      </c>
      <c r="K8330" s="62"/>
      <c r="L8330" s="99"/>
      <c r="O8330" s="62" t="s">
        <v>16399</v>
      </c>
      <c r="P8330" s="45" t="s">
        <v>55</v>
      </c>
      <c r="Q8330" s="45" t="s">
        <v>114</v>
      </c>
      <c r="R8330" s="45" t="s">
        <v>272</v>
      </c>
    </row>
    <row r="8331" spans="1:18" ht="69" customHeight="1">
      <c r="B8331" s="62">
        <f t="shared" si="59"/>
        <v>5450</v>
      </c>
      <c r="C8331" s="58" t="s">
        <v>9545</v>
      </c>
      <c r="D8331" s="200" t="s">
        <v>20322</v>
      </c>
      <c r="E8331" s="45" t="s">
        <v>17212</v>
      </c>
      <c r="F8331" s="45" t="s">
        <v>20323</v>
      </c>
      <c r="G8331" s="45" t="s">
        <v>17214</v>
      </c>
      <c r="H8331" s="546">
        <v>180875</v>
      </c>
      <c r="I8331" s="47">
        <v>45407</v>
      </c>
      <c r="J8331" s="73" t="s">
        <v>20319</v>
      </c>
      <c r="K8331" s="62"/>
      <c r="L8331" s="99"/>
      <c r="O8331" s="62" t="s">
        <v>16399</v>
      </c>
      <c r="P8331" s="45" t="s">
        <v>55</v>
      </c>
      <c r="Q8331" s="45" t="s">
        <v>117</v>
      </c>
      <c r="R8331" s="45" t="s">
        <v>272</v>
      </c>
    </row>
    <row r="8332" spans="1:18" ht="69" customHeight="1">
      <c r="B8332" s="62">
        <f t="shared" si="59"/>
        <v>5451</v>
      </c>
      <c r="C8332" s="178" t="s">
        <v>9596</v>
      </c>
      <c r="D8332" s="200" t="s">
        <v>4533</v>
      </c>
      <c r="E8332" s="45" t="s">
        <v>17212</v>
      </c>
      <c r="F8332" s="45" t="s">
        <v>20324</v>
      </c>
      <c r="G8332" s="45" t="s">
        <v>17214</v>
      </c>
      <c r="H8332" s="546">
        <v>184175</v>
      </c>
      <c r="I8332" s="47">
        <v>45407</v>
      </c>
      <c r="J8332" s="73" t="s">
        <v>20319</v>
      </c>
      <c r="K8332" s="62"/>
      <c r="L8332" s="99"/>
      <c r="O8332" s="62" t="s">
        <v>16399</v>
      </c>
      <c r="P8332" s="45" t="s">
        <v>55</v>
      </c>
      <c r="Q8332" s="45" t="s">
        <v>118</v>
      </c>
      <c r="R8332" s="45" t="s">
        <v>272</v>
      </c>
    </row>
    <row r="8333" spans="1:18" ht="69" customHeight="1">
      <c r="B8333" s="62">
        <f t="shared" si="59"/>
        <v>5452</v>
      </c>
      <c r="C8333" s="124" t="s">
        <v>10612</v>
      </c>
      <c r="D8333" s="200" t="s">
        <v>20325</v>
      </c>
      <c r="E8333" s="45" t="s">
        <v>17212</v>
      </c>
      <c r="F8333" s="45" t="s">
        <v>20326</v>
      </c>
      <c r="G8333" s="45" t="s">
        <v>17214</v>
      </c>
      <c r="H8333" s="546">
        <v>196475</v>
      </c>
      <c r="I8333" s="47">
        <v>45407</v>
      </c>
      <c r="J8333" s="73" t="s">
        <v>20319</v>
      </c>
      <c r="K8333" s="62"/>
      <c r="L8333" s="99"/>
      <c r="O8333" s="62" t="s">
        <v>16399</v>
      </c>
      <c r="P8333" s="45" t="s">
        <v>55</v>
      </c>
      <c r="Q8333" s="45" t="s">
        <v>86</v>
      </c>
      <c r="R8333" s="45" t="s">
        <v>272</v>
      </c>
    </row>
    <row r="8334" spans="1:18" ht="69" customHeight="1">
      <c r="B8334" s="62">
        <f t="shared" si="59"/>
        <v>5453</v>
      </c>
      <c r="C8334" s="45" t="s">
        <v>19659</v>
      </c>
      <c r="D8334" s="200" t="s">
        <v>20327</v>
      </c>
      <c r="E8334" s="45" t="s">
        <v>17212</v>
      </c>
      <c r="F8334" s="45" t="s">
        <v>20328</v>
      </c>
      <c r="G8334" s="45" t="s">
        <v>17214</v>
      </c>
      <c r="H8334" s="546">
        <v>183280</v>
      </c>
      <c r="I8334" s="47">
        <v>45407</v>
      </c>
      <c r="J8334" s="73" t="s">
        <v>20319</v>
      </c>
      <c r="K8334" s="62"/>
      <c r="L8334" s="99"/>
      <c r="O8334" s="62" t="s">
        <v>16399</v>
      </c>
      <c r="P8334" s="45" t="s">
        <v>55</v>
      </c>
      <c r="Q8334" s="45" t="s">
        <v>74</v>
      </c>
      <c r="R8334" s="45" t="s">
        <v>272</v>
      </c>
    </row>
    <row r="8335" spans="1:18" ht="69" customHeight="1">
      <c r="B8335" s="62">
        <f t="shared" si="59"/>
        <v>5454</v>
      </c>
      <c r="C8335" s="44" t="s">
        <v>6468</v>
      </c>
      <c r="D8335" s="200" t="s">
        <v>20329</v>
      </c>
      <c r="E8335" s="45" t="s">
        <v>17212</v>
      </c>
      <c r="F8335" s="45" t="s">
        <v>20330</v>
      </c>
      <c r="G8335" s="45" t="s">
        <v>17214</v>
      </c>
      <c r="H8335" s="546">
        <v>219300</v>
      </c>
      <c r="I8335" s="47">
        <v>45407</v>
      </c>
      <c r="J8335" s="73" t="s">
        <v>20319</v>
      </c>
      <c r="K8335" s="62"/>
      <c r="L8335" s="99"/>
      <c r="O8335" s="62" t="s">
        <v>16399</v>
      </c>
      <c r="P8335" s="45" t="s">
        <v>55</v>
      </c>
      <c r="Q8335" s="45" t="s">
        <v>76</v>
      </c>
      <c r="R8335" s="45" t="s">
        <v>272</v>
      </c>
    </row>
    <row r="8336" spans="1:18" ht="69" customHeight="1">
      <c r="B8336" s="62">
        <f t="shared" si="59"/>
        <v>5455</v>
      </c>
      <c r="C8336" s="59" t="s">
        <v>6693</v>
      </c>
      <c r="D8336" s="200" t="s">
        <v>20331</v>
      </c>
      <c r="E8336" s="45" t="s">
        <v>17212</v>
      </c>
      <c r="F8336" s="45" t="s">
        <v>20332</v>
      </c>
      <c r="G8336" s="45" t="s">
        <v>17214</v>
      </c>
      <c r="H8336" s="546">
        <v>203230</v>
      </c>
      <c r="I8336" s="47">
        <v>45407</v>
      </c>
      <c r="J8336" s="73" t="s">
        <v>20319</v>
      </c>
      <c r="K8336" s="62"/>
      <c r="L8336" s="99"/>
      <c r="O8336" s="62" t="s">
        <v>16399</v>
      </c>
      <c r="P8336" s="45" t="s">
        <v>55</v>
      </c>
      <c r="Q8336" s="45" t="s">
        <v>78</v>
      </c>
      <c r="R8336" s="45" t="s">
        <v>272</v>
      </c>
    </row>
    <row r="8337" spans="1:18" ht="69" customHeight="1">
      <c r="B8337" s="52">
        <f t="shared" si="59"/>
        <v>5456</v>
      </c>
      <c r="C8337" s="46" t="s">
        <v>16807</v>
      </c>
      <c r="D8337" s="539" t="s">
        <v>20333</v>
      </c>
      <c r="E8337" s="191" t="s">
        <v>20334</v>
      </c>
      <c r="F8337" s="46" t="s">
        <v>20335</v>
      </c>
      <c r="G8337" s="46" t="s">
        <v>20336</v>
      </c>
      <c r="H8337" s="534">
        <v>2499.6</v>
      </c>
      <c r="I8337" s="56">
        <v>45407</v>
      </c>
      <c r="J8337" s="199" t="s">
        <v>20337</v>
      </c>
      <c r="K8337" s="62"/>
      <c r="L8337" s="99"/>
      <c r="O8337" s="62" t="s">
        <v>17289</v>
      </c>
      <c r="P8337" s="45" t="s">
        <v>65</v>
      </c>
      <c r="Q8337" s="45" t="s">
        <v>70</v>
      </c>
      <c r="R8337" s="45" t="s">
        <v>272</v>
      </c>
    </row>
    <row r="8338" spans="1:18" ht="69" customHeight="1">
      <c r="B8338" s="52">
        <f t="shared" si="59"/>
        <v>5457</v>
      </c>
      <c r="C8338" s="46" t="s">
        <v>6888</v>
      </c>
      <c r="D8338" s="539" t="s">
        <v>20338</v>
      </c>
      <c r="E8338" s="191" t="s">
        <v>266</v>
      </c>
      <c r="F8338" s="46" t="s">
        <v>20339</v>
      </c>
      <c r="G8338" s="46" t="s">
        <v>20340</v>
      </c>
      <c r="H8338" s="534">
        <v>1756</v>
      </c>
      <c r="I8338" s="56">
        <v>45407</v>
      </c>
      <c r="J8338" s="199" t="s">
        <v>20341</v>
      </c>
      <c r="K8338" s="52"/>
      <c r="L8338" s="99"/>
      <c r="O8338" s="52"/>
      <c r="P8338" s="46" t="s">
        <v>65</v>
      </c>
      <c r="Q8338" s="46" t="s">
        <v>84</v>
      </c>
      <c r="R8338" s="46" t="s">
        <v>272</v>
      </c>
    </row>
    <row r="8339" spans="1:18" ht="69" customHeight="1">
      <c r="B8339" s="259">
        <f t="shared" si="59"/>
        <v>5458</v>
      </c>
      <c r="C8339" s="160" t="s">
        <v>16368</v>
      </c>
      <c r="D8339" s="311" t="s">
        <v>4143</v>
      </c>
      <c r="E8339" s="207" t="s">
        <v>266</v>
      </c>
      <c r="F8339" s="160" t="s">
        <v>20342</v>
      </c>
      <c r="G8339" s="160" t="s">
        <v>20343</v>
      </c>
      <c r="H8339" s="300">
        <v>4000</v>
      </c>
      <c r="I8339" s="209">
        <v>45407</v>
      </c>
      <c r="J8339" s="316" t="s">
        <v>20344</v>
      </c>
      <c r="K8339" s="160" t="s">
        <v>11084</v>
      </c>
      <c r="L8339" s="99"/>
      <c r="O8339" s="259" t="s">
        <v>18157</v>
      </c>
      <c r="P8339" s="160" t="s">
        <v>67</v>
      </c>
      <c r="Q8339" s="160" t="s">
        <v>96</v>
      </c>
      <c r="R8339" s="160" t="s">
        <v>272</v>
      </c>
    </row>
    <row r="8340" spans="1:18" ht="69" customHeight="1">
      <c r="B8340" s="259">
        <f t="shared" si="59"/>
        <v>5459</v>
      </c>
      <c r="C8340" s="160" t="s">
        <v>16368</v>
      </c>
      <c r="D8340" s="311" t="s">
        <v>4426</v>
      </c>
      <c r="E8340" s="207" t="s">
        <v>266</v>
      </c>
      <c r="F8340" s="160" t="s">
        <v>20345</v>
      </c>
      <c r="G8340" s="160" t="s">
        <v>20343</v>
      </c>
      <c r="H8340" s="300">
        <v>2000</v>
      </c>
      <c r="I8340" s="209">
        <v>45407</v>
      </c>
      <c r="J8340" s="316" t="s">
        <v>20344</v>
      </c>
      <c r="K8340" s="160" t="s">
        <v>11084</v>
      </c>
      <c r="L8340" s="99"/>
      <c r="O8340" s="259" t="s">
        <v>18157</v>
      </c>
      <c r="P8340" s="160" t="s">
        <v>67</v>
      </c>
      <c r="Q8340" s="160" t="s">
        <v>96</v>
      </c>
      <c r="R8340" s="160" t="s">
        <v>272</v>
      </c>
    </row>
    <row r="8341" spans="1:18" ht="69" customHeight="1">
      <c r="B8341" s="259">
        <f t="shared" si="59"/>
        <v>5460</v>
      </c>
      <c r="C8341" s="160" t="s">
        <v>16368</v>
      </c>
      <c r="D8341" s="311" t="s">
        <v>4431</v>
      </c>
      <c r="E8341" s="207" t="s">
        <v>266</v>
      </c>
      <c r="F8341" s="160" t="s">
        <v>20346</v>
      </c>
      <c r="G8341" s="160" t="s">
        <v>20343</v>
      </c>
      <c r="H8341" s="300">
        <v>2000</v>
      </c>
      <c r="I8341" s="209">
        <v>45407</v>
      </c>
      <c r="J8341" s="316" t="s">
        <v>20344</v>
      </c>
      <c r="K8341" s="160" t="s">
        <v>11084</v>
      </c>
      <c r="L8341" s="99"/>
      <c r="O8341" s="259" t="s">
        <v>18157</v>
      </c>
      <c r="P8341" s="160" t="s">
        <v>67</v>
      </c>
      <c r="Q8341" s="160" t="s">
        <v>96</v>
      </c>
      <c r="R8341" s="160" t="s">
        <v>272</v>
      </c>
    </row>
    <row r="8342" spans="1:18" ht="69" customHeight="1">
      <c r="B8342" s="259">
        <f t="shared" si="59"/>
        <v>5461</v>
      </c>
      <c r="C8342" s="160" t="s">
        <v>16368</v>
      </c>
      <c r="D8342" s="311" t="s">
        <v>3679</v>
      </c>
      <c r="E8342" s="207" t="s">
        <v>266</v>
      </c>
      <c r="F8342" s="160" t="s">
        <v>20347</v>
      </c>
      <c r="G8342" s="160" t="s">
        <v>20343</v>
      </c>
      <c r="H8342" s="300">
        <v>1000</v>
      </c>
      <c r="I8342" s="209">
        <v>45407</v>
      </c>
      <c r="J8342" s="316" t="s">
        <v>20344</v>
      </c>
      <c r="K8342" s="160" t="s">
        <v>11084</v>
      </c>
      <c r="L8342" s="99"/>
      <c r="O8342" s="259" t="s">
        <v>18157</v>
      </c>
      <c r="P8342" s="160" t="s">
        <v>67</v>
      </c>
      <c r="Q8342" s="160" t="s">
        <v>96</v>
      </c>
      <c r="R8342" s="160" t="s">
        <v>272</v>
      </c>
    </row>
    <row r="8343" spans="1:18" s="98" customFormat="1" ht="69" customHeight="1">
      <c r="A8343" s="169"/>
      <c r="B8343" s="52">
        <f t="shared" si="59"/>
        <v>5462</v>
      </c>
      <c r="C8343" s="46" t="s">
        <v>5082</v>
      </c>
      <c r="D8343" s="539" t="s">
        <v>20348</v>
      </c>
      <c r="E8343" s="191" t="s">
        <v>266</v>
      </c>
      <c r="F8343" s="46" t="s">
        <v>20349</v>
      </c>
      <c r="G8343" s="46" t="s">
        <v>20350</v>
      </c>
      <c r="H8343" s="534">
        <v>15785.46</v>
      </c>
      <c r="I8343" s="56">
        <v>45407</v>
      </c>
      <c r="J8343" s="199" t="s">
        <v>20351</v>
      </c>
      <c r="K8343" s="46"/>
      <c r="O8343" s="52"/>
      <c r="P8343" s="46" t="s">
        <v>65</v>
      </c>
      <c r="Q8343" s="46" t="s">
        <v>60</v>
      </c>
      <c r="R8343" s="46" t="s">
        <v>272</v>
      </c>
    </row>
    <row r="8344" spans="1:18" ht="69" customHeight="1">
      <c r="B8344" s="259">
        <f t="shared" si="59"/>
        <v>5463</v>
      </c>
      <c r="C8344" s="207" t="s">
        <v>3340</v>
      </c>
      <c r="D8344" s="311" t="s">
        <v>653</v>
      </c>
      <c r="E8344" s="207" t="s">
        <v>266</v>
      </c>
      <c r="F8344" s="160" t="s">
        <v>20352</v>
      </c>
      <c r="G8344" s="160" t="s">
        <v>20353</v>
      </c>
      <c r="H8344" s="300">
        <v>8440.2199999999993</v>
      </c>
      <c r="I8344" s="209">
        <v>45407</v>
      </c>
      <c r="J8344" s="316" t="s">
        <v>20354</v>
      </c>
      <c r="K8344" s="160" t="s">
        <v>11084</v>
      </c>
      <c r="L8344" s="99"/>
      <c r="O8344" s="259" t="s">
        <v>13735</v>
      </c>
      <c r="P8344" s="160" t="s">
        <v>67</v>
      </c>
      <c r="Q8344" s="160" t="s">
        <v>96</v>
      </c>
      <c r="R8344" s="160" t="s">
        <v>272</v>
      </c>
    </row>
    <row r="8345" spans="1:18" s="98" customFormat="1" ht="69" customHeight="1">
      <c r="A8345" s="169"/>
      <c r="B8345" s="52">
        <f t="shared" si="59"/>
        <v>5464</v>
      </c>
      <c r="C8345" s="191" t="s">
        <v>15449</v>
      </c>
      <c r="D8345" s="539" t="s">
        <v>16575</v>
      </c>
      <c r="E8345" s="191" t="s">
        <v>266</v>
      </c>
      <c r="F8345" s="46" t="s">
        <v>20355</v>
      </c>
      <c r="G8345" s="46" t="s">
        <v>20356</v>
      </c>
      <c r="H8345" s="534">
        <v>23267.41</v>
      </c>
      <c r="I8345" s="56">
        <v>45417</v>
      </c>
      <c r="J8345" s="199" t="s">
        <v>20357</v>
      </c>
      <c r="K8345" s="52"/>
      <c r="O8345" s="52"/>
      <c r="P8345" s="46" t="s">
        <v>65</v>
      </c>
      <c r="Q8345" s="46" t="s">
        <v>41</v>
      </c>
      <c r="R8345" s="46" t="s">
        <v>272</v>
      </c>
    </row>
    <row r="8346" spans="1:18" ht="69" customHeight="1">
      <c r="B8346" s="62">
        <f t="shared" si="59"/>
        <v>5465</v>
      </c>
      <c r="C8346" s="59" t="s">
        <v>11908</v>
      </c>
      <c r="D8346" s="200" t="s">
        <v>17360</v>
      </c>
      <c r="E8346" s="58" t="s">
        <v>18388</v>
      </c>
      <c r="F8346" s="58" t="s">
        <v>20358</v>
      </c>
      <c r="G8346" s="45" t="s">
        <v>20359</v>
      </c>
      <c r="H8346" s="546">
        <v>134671.93</v>
      </c>
      <c r="I8346" s="47">
        <v>45407</v>
      </c>
      <c r="J8346" s="73" t="s">
        <v>20360</v>
      </c>
      <c r="K8346" s="62"/>
      <c r="L8346" s="99"/>
      <c r="O8346" s="62" t="s">
        <v>16069</v>
      </c>
      <c r="P8346" s="45" t="s">
        <v>57</v>
      </c>
      <c r="Q8346" s="45" t="s">
        <v>103</v>
      </c>
      <c r="R8346" s="45" t="s">
        <v>272</v>
      </c>
    </row>
    <row r="8347" spans="1:18" ht="69" customHeight="1">
      <c r="B8347" s="62">
        <f t="shared" si="59"/>
        <v>5466</v>
      </c>
      <c r="C8347" s="58" t="s">
        <v>581</v>
      </c>
      <c r="D8347" s="200" t="s">
        <v>16333</v>
      </c>
      <c r="E8347" s="58" t="s">
        <v>17367</v>
      </c>
      <c r="F8347" s="58" t="s">
        <v>20361</v>
      </c>
      <c r="G8347" s="45" t="s">
        <v>20362</v>
      </c>
      <c r="H8347" s="546">
        <v>88595</v>
      </c>
      <c r="I8347" s="47">
        <v>45407</v>
      </c>
      <c r="J8347" s="73" t="s">
        <v>20363</v>
      </c>
      <c r="K8347" s="62"/>
      <c r="L8347" s="99"/>
      <c r="O8347" s="62" t="s">
        <v>175</v>
      </c>
      <c r="P8347" s="45" t="s">
        <v>57</v>
      </c>
      <c r="Q8347" s="45" t="s">
        <v>18</v>
      </c>
      <c r="R8347" s="45" t="s">
        <v>265</v>
      </c>
    </row>
    <row r="8348" spans="1:18" ht="69" customHeight="1">
      <c r="B8348" s="62">
        <f t="shared" si="59"/>
        <v>5467</v>
      </c>
      <c r="C8348" s="44" t="s">
        <v>9004</v>
      </c>
      <c r="D8348" s="200" t="s">
        <v>4117</v>
      </c>
      <c r="E8348" s="58" t="s">
        <v>20139</v>
      </c>
      <c r="F8348" s="58" t="s">
        <v>20364</v>
      </c>
      <c r="G8348" s="45" t="s">
        <v>20365</v>
      </c>
      <c r="H8348" s="546">
        <v>67499.53</v>
      </c>
      <c r="I8348" s="47">
        <v>45407</v>
      </c>
      <c r="J8348" s="73" t="s">
        <v>20366</v>
      </c>
      <c r="K8348" s="62"/>
      <c r="L8348" s="99"/>
      <c r="O8348" s="62" t="s">
        <v>233</v>
      </c>
      <c r="P8348" s="45" t="s">
        <v>57</v>
      </c>
      <c r="Q8348" s="45" t="s">
        <v>111</v>
      </c>
      <c r="R8348" s="45" t="s">
        <v>272</v>
      </c>
    </row>
    <row r="8349" spans="1:18" ht="69" customHeight="1">
      <c r="B8349" s="62">
        <f t="shared" si="59"/>
        <v>5468</v>
      </c>
      <c r="C8349" s="44" t="s">
        <v>9004</v>
      </c>
      <c r="D8349" s="200" t="s">
        <v>4389</v>
      </c>
      <c r="E8349" s="58" t="s">
        <v>20139</v>
      </c>
      <c r="F8349" s="58" t="s">
        <v>20367</v>
      </c>
      <c r="G8349" s="45" t="s">
        <v>20365</v>
      </c>
      <c r="H8349" s="546">
        <v>67499.53</v>
      </c>
      <c r="I8349" s="47">
        <v>45407</v>
      </c>
      <c r="J8349" s="73" t="s">
        <v>20366</v>
      </c>
      <c r="K8349" s="62"/>
      <c r="L8349" s="99"/>
      <c r="O8349" s="62" t="s">
        <v>233</v>
      </c>
      <c r="P8349" s="45" t="s">
        <v>57</v>
      </c>
      <c r="Q8349" s="45" t="s">
        <v>111</v>
      </c>
      <c r="R8349" s="45" t="s">
        <v>272</v>
      </c>
    </row>
    <row r="8350" spans="1:18" ht="69" customHeight="1">
      <c r="B8350" s="62">
        <f t="shared" si="59"/>
        <v>5469</v>
      </c>
      <c r="C8350" s="45" t="s">
        <v>11618</v>
      </c>
      <c r="D8350" s="200" t="s">
        <v>17473</v>
      </c>
      <c r="E8350" s="58" t="s">
        <v>20139</v>
      </c>
      <c r="F8350" s="58" t="s">
        <v>20368</v>
      </c>
      <c r="G8350" s="45" t="s">
        <v>20369</v>
      </c>
      <c r="H8350" s="546">
        <v>24240.86</v>
      </c>
      <c r="I8350" s="47">
        <v>45407</v>
      </c>
      <c r="J8350" s="73" t="s">
        <v>20370</v>
      </c>
      <c r="K8350" s="62"/>
      <c r="L8350" s="99"/>
      <c r="O8350" s="62" t="s">
        <v>233</v>
      </c>
      <c r="P8350" s="45" t="s">
        <v>57</v>
      </c>
      <c r="Q8350" s="45" t="s">
        <v>122</v>
      </c>
      <c r="R8350" s="45" t="s">
        <v>272</v>
      </c>
    </row>
    <row r="8351" spans="1:18" ht="69" customHeight="1">
      <c r="B8351" s="181">
        <f t="shared" si="59"/>
        <v>5470</v>
      </c>
      <c r="C8351" s="61" t="s">
        <v>11618</v>
      </c>
      <c r="D8351" s="635" t="s">
        <v>17475</v>
      </c>
      <c r="E8351" s="74" t="s">
        <v>20139</v>
      </c>
      <c r="F8351" s="74" t="s">
        <v>20371</v>
      </c>
      <c r="G8351" s="61" t="s">
        <v>20369</v>
      </c>
      <c r="H8351" s="546">
        <v>24240.86</v>
      </c>
      <c r="I8351" s="130">
        <v>45407</v>
      </c>
      <c r="J8351" s="417" t="s">
        <v>20370</v>
      </c>
      <c r="K8351" s="136"/>
      <c r="L8351" s="99"/>
      <c r="O8351" s="62" t="s">
        <v>233</v>
      </c>
      <c r="P8351" s="45" t="s">
        <v>57</v>
      </c>
      <c r="Q8351" s="45" t="s">
        <v>122</v>
      </c>
      <c r="R8351" s="45" t="s">
        <v>272</v>
      </c>
    </row>
    <row r="8352" spans="1:18" ht="69" customHeight="1">
      <c r="B8352" s="164">
        <f t="shared" si="59"/>
        <v>5471</v>
      </c>
      <c r="C8352" s="58" t="s">
        <v>16973</v>
      </c>
      <c r="D8352" s="200" t="s">
        <v>17489</v>
      </c>
      <c r="E8352" s="58" t="s">
        <v>18352</v>
      </c>
      <c r="F8352" s="58" t="s">
        <v>20372</v>
      </c>
      <c r="G8352" s="45" t="s">
        <v>20373</v>
      </c>
      <c r="H8352" s="546">
        <v>29036.12</v>
      </c>
      <c r="I8352" s="47">
        <v>45407</v>
      </c>
      <c r="J8352" s="73" t="s">
        <v>20374</v>
      </c>
      <c r="K8352" s="62"/>
      <c r="L8352" s="99"/>
      <c r="O8352" s="62" t="s">
        <v>17031</v>
      </c>
      <c r="P8352" s="45" t="s">
        <v>57</v>
      </c>
      <c r="Q8352" s="45" t="s">
        <v>113</v>
      </c>
      <c r="R8352" s="45" t="s">
        <v>272</v>
      </c>
    </row>
    <row r="8353" spans="1:18" ht="69" customHeight="1">
      <c r="B8353" s="164">
        <f t="shared" si="59"/>
        <v>5472</v>
      </c>
      <c r="C8353" s="58" t="s">
        <v>16973</v>
      </c>
      <c r="D8353" s="200" t="s">
        <v>17491</v>
      </c>
      <c r="E8353" s="58" t="s">
        <v>18352</v>
      </c>
      <c r="F8353" s="58" t="s">
        <v>20375</v>
      </c>
      <c r="G8353" s="45" t="s">
        <v>20373</v>
      </c>
      <c r="H8353" s="546">
        <v>12131.4</v>
      </c>
      <c r="I8353" s="47">
        <v>45407</v>
      </c>
      <c r="J8353" s="73" t="s">
        <v>20374</v>
      </c>
      <c r="K8353" s="62"/>
      <c r="L8353" s="99"/>
      <c r="O8353" s="62" t="s">
        <v>17031</v>
      </c>
      <c r="P8353" s="45" t="s">
        <v>57</v>
      </c>
      <c r="Q8353" s="45" t="s">
        <v>113</v>
      </c>
      <c r="R8353" s="45" t="s">
        <v>272</v>
      </c>
    </row>
    <row r="8354" spans="1:18" ht="69" customHeight="1">
      <c r="B8354" s="164">
        <f t="shared" si="59"/>
        <v>5473</v>
      </c>
      <c r="C8354" s="58" t="s">
        <v>16973</v>
      </c>
      <c r="D8354" s="200" t="s">
        <v>17493</v>
      </c>
      <c r="E8354" s="58" t="s">
        <v>18352</v>
      </c>
      <c r="F8354" s="58" t="s">
        <v>20376</v>
      </c>
      <c r="G8354" s="45" t="s">
        <v>20373</v>
      </c>
      <c r="H8354" s="546">
        <v>48177.5</v>
      </c>
      <c r="I8354" s="47">
        <v>45407</v>
      </c>
      <c r="J8354" s="73" t="s">
        <v>20374</v>
      </c>
      <c r="K8354" s="62"/>
      <c r="L8354" s="99"/>
      <c r="O8354" s="62" t="s">
        <v>17031</v>
      </c>
      <c r="P8354" s="45" t="s">
        <v>57</v>
      </c>
      <c r="Q8354" s="45" t="s">
        <v>113</v>
      </c>
      <c r="R8354" s="45" t="s">
        <v>272</v>
      </c>
    </row>
    <row r="8355" spans="1:18" ht="69" customHeight="1">
      <c r="B8355" s="164">
        <f t="shared" si="59"/>
        <v>5474</v>
      </c>
      <c r="C8355" s="59" t="s">
        <v>3667</v>
      </c>
      <c r="D8355" s="200" t="s">
        <v>20377</v>
      </c>
      <c r="E8355" s="58" t="s">
        <v>19072</v>
      </c>
      <c r="F8355" s="58" t="s">
        <v>20378</v>
      </c>
      <c r="G8355" s="45" t="s">
        <v>20379</v>
      </c>
      <c r="H8355" s="546">
        <v>31587.88</v>
      </c>
      <c r="I8355" s="47">
        <v>45407</v>
      </c>
      <c r="J8355" s="73" t="s">
        <v>20380</v>
      </c>
      <c r="K8355" s="62"/>
      <c r="L8355" s="99"/>
      <c r="O8355" s="62" t="s">
        <v>208</v>
      </c>
      <c r="P8355" s="45" t="s">
        <v>57</v>
      </c>
      <c r="Q8355" s="45" t="s">
        <v>84</v>
      </c>
      <c r="R8355" s="45" t="s">
        <v>272</v>
      </c>
    </row>
    <row r="8356" spans="1:18" ht="69" customHeight="1">
      <c r="B8356" s="164">
        <f t="shared" si="59"/>
        <v>5475</v>
      </c>
      <c r="C8356" s="59" t="s">
        <v>3667</v>
      </c>
      <c r="D8356" s="200" t="s">
        <v>20381</v>
      </c>
      <c r="E8356" s="58" t="s">
        <v>19072</v>
      </c>
      <c r="F8356" s="58" t="s">
        <v>20382</v>
      </c>
      <c r="G8356" s="45" t="s">
        <v>20379</v>
      </c>
      <c r="H8356" s="546">
        <v>94322.47</v>
      </c>
      <c r="I8356" s="47">
        <v>45407</v>
      </c>
      <c r="J8356" s="73" t="s">
        <v>20383</v>
      </c>
      <c r="K8356" s="62"/>
      <c r="L8356" s="99"/>
      <c r="O8356" s="62" t="s">
        <v>208</v>
      </c>
      <c r="P8356" s="45" t="s">
        <v>57</v>
      </c>
      <c r="Q8356" s="45" t="s">
        <v>78</v>
      </c>
      <c r="R8356" s="45" t="s">
        <v>272</v>
      </c>
    </row>
    <row r="8357" spans="1:18" ht="69" customHeight="1">
      <c r="B8357" s="164">
        <f t="shared" si="59"/>
        <v>5476</v>
      </c>
      <c r="C8357" s="58" t="s">
        <v>581</v>
      </c>
      <c r="D8357" s="200" t="s">
        <v>16483</v>
      </c>
      <c r="E8357" s="58" t="s">
        <v>17367</v>
      </c>
      <c r="F8357" s="58" t="s">
        <v>20384</v>
      </c>
      <c r="G8357" s="45" t="s">
        <v>20362</v>
      </c>
      <c r="H8357" s="546">
        <v>97512.5</v>
      </c>
      <c r="I8357" s="47">
        <v>45407</v>
      </c>
      <c r="J8357" s="73" t="s">
        <v>20385</v>
      </c>
      <c r="K8357" s="200" t="s">
        <v>20386</v>
      </c>
      <c r="L8357" s="99"/>
      <c r="O8357" s="62" t="s">
        <v>175</v>
      </c>
      <c r="P8357" s="45" t="s">
        <v>57</v>
      </c>
      <c r="Q8357" s="45" t="s">
        <v>18</v>
      </c>
      <c r="R8357" s="45" t="s">
        <v>265</v>
      </c>
    </row>
    <row r="8358" spans="1:18" ht="69" customHeight="1">
      <c r="B8358" s="164">
        <f t="shared" si="59"/>
        <v>5477</v>
      </c>
      <c r="C8358" s="58" t="s">
        <v>9545</v>
      </c>
      <c r="D8358" s="200" t="s">
        <v>17513</v>
      </c>
      <c r="E8358" s="58" t="s">
        <v>20387</v>
      </c>
      <c r="F8358" s="58" t="s">
        <v>20388</v>
      </c>
      <c r="G8358" s="45" t="s">
        <v>20389</v>
      </c>
      <c r="H8358" s="546">
        <v>208877.18</v>
      </c>
      <c r="I8358" s="47">
        <v>45407</v>
      </c>
      <c r="J8358" s="73" t="s">
        <v>20390</v>
      </c>
      <c r="K8358" s="62"/>
      <c r="L8358" s="99"/>
      <c r="O8358" s="62" t="s">
        <v>18678</v>
      </c>
      <c r="P8358" s="45" t="s">
        <v>57</v>
      </c>
      <c r="Q8358" s="45" t="s">
        <v>117</v>
      </c>
      <c r="R8358" s="45" t="s">
        <v>272</v>
      </c>
    </row>
    <row r="8359" spans="1:18" ht="69" customHeight="1">
      <c r="B8359" s="164">
        <f t="shared" si="59"/>
        <v>5478</v>
      </c>
      <c r="C8359" s="58" t="s">
        <v>581</v>
      </c>
      <c r="D8359" s="200" t="s">
        <v>20391</v>
      </c>
      <c r="E8359" s="58" t="s">
        <v>20392</v>
      </c>
      <c r="F8359" s="58" t="s">
        <v>20393</v>
      </c>
      <c r="G8359" s="45" t="s">
        <v>20394</v>
      </c>
      <c r="H8359" s="546">
        <v>168843.07</v>
      </c>
      <c r="I8359" s="47">
        <v>45407</v>
      </c>
      <c r="J8359" s="73" t="s">
        <v>20395</v>
      </c>
      <c r="K8359" s="62"/>
      <c r="L8359" s="99"/>
      <c r="O8359" s="62" t="s">
        <v>14459</v>
      </c>
      <c r="P8359" s="45" t="s">
        <v>22</v>
      </c>
      <c r="Q8359" s="45" t="s">
        <v>18</v>
      </c>
      <c r="R8359" s="45" t="s">
        <v>272</v>
      </c>
    </row>
    <row r="8360" spans="1:18" ht="69" customHeight="1">
      <c r="B8360" s="164">
        <f t="shared" si="59"/>
        <v>5479</v>
      </c>
      <c r="C8360" s="58" t="s">
        <v>458</v>
      </c>
      <c r="D8360" s="200" t="s">
        <v>17517</v>
      </c>
      <c r="E8360" s="178" t="s">
        <v>7890</v>
      </c>
      <c r="F8360" s="58" t="s">
        <v>20396</v>
      </c>
      <c r="G8360" s="45" t="s">
        <v>20397</v>
      </c>
      <c r="H8360" s="546">
        <v>29400</v>
      </c>
      <c r="I8360" s="47">
        <v>45407</v>
      </c>
      <c r="J8360" s="73" t="s">
        <v>20398</v>
      </c>
      <c r="K8360" s="62"/>
      <c r="L8360" s="99"/>
      <c r="O8360" s="62" t="s">
        <v>147</v>
      </c>
      <c r="P8360" s="45" t="s">
        <v>22</v>
      </c>
      <c r="Q8360" s="45" t="s">
        <v>123</v>
      </c>
      <c r="R8360" s="45" t="s">
        <v>265</v>
      </c>
    </row>
    <row r="8361" spans="1:18" ht="69" customHeight="1">
      <c r="B8361" s="164">
        <f t="shared" si="59"/>
        <v>5480</v>
      </c>
      <c r="C8361" s="58" t="s">
        <v>458</v>
      </c>
      <c r="D8361" s="200" t="s">
        <v>17528</v>
      </c>
      <c r="E8361" s="45" t="s">
        <v>11417</v>
      </c>
      <c r="F8361" s="58" t="s">
        <v>20399</v>
      </c>
      <c r="G8361" s="45" t="s">
        <v>20397</v>
      </c>
      <c r="H8361" s="546">
        <v>58850</v>
      </c>
      <c r="I8361" s="47">
        <v>45407</v>
      </c>
      <c r="J8361" s="73" t="s">
        <v>20400</v>
      </c>
      <c r="K8361" s="62"/>
      <c r="L8361" s="99"/>
      <c r="O8361" s="62" t="s">
        <v>147</v>
      </c>
      <c r="P8361" s="45" t="s">
        <v>22</v>
      </c>
      <c r="Q8361" s="45" t="s">
        <v>122</v>
      </c>
      <c r="R8361" s="45" t="s">
        <v>265</v>
      </c>
    </row>
    <row r="8362" spans="1:18" ht="69" customHeight="1">
      <c r="B8362" s="164">
        <f t="shared" si="59"/>
        <v>5481</v>
      </c>
      <c r="C8362" s="58" t="s">
        <v>458</v>
      </c>
      <c r="D8362" s="200" t="s">
        <v>17534</v>
      </c>
      <c r="E8362" s="58" t="s">
        <v>17540</v>
      </c>
      <c r="F8362" s="58" t="s">
        <v>20401</v>
      </c>
      <c r="G8362" s="45" t="s">
        <v>20397</v>
      </c>
      <c r="H8362" s="546">
        <v>26650</v>
      </c>
      <c r="I8362" s="47">
        <v>45407</v>
      </c>
      <c r="J8362" s="73" t="s">
        <v>20402</v>
      </c>
      <c r="K8362" s="62"/>
      <c r="L8362" s="99"/>
      <c r="O8362" s="62" t="s">
        <v>147</v>
      </c>
      <c r="P8362" s="45" t="s">
        <v>22</v>
      </c>
      <c r="Q8362" s="45" t="s">
        <v>88</v>
      </c>
      <c r="R8362" s="45" t="s">
        <v>265</v>
      </c>
    </row>
    <row r="8363" spans="1:18" s="98" customFormat="1" ht="69" customHeight="1">
      <c r="A8363" s="169"/>
      <c r="B8363" s="163">
        <f t="shared" si="59"/>
        <v>5482</v>
      </c>
      <c r="C8363" s="45" t="s">
        <v>458</v>
      </c>
      <c r="D8363" s="611" t="s">
        <v>17669</v>
      </c>
      <c r="E8363" s="178" t="s">
        <v>7890</v>
      </c>
      <c r="F8363" s="45" t="s">
        <v>20403</v>
      </c>
      <c r="G8363" s="45" t="s">
        <v>20404</v>
      </c>
      <c r="H8363" s="546">
        <v>73000</v>
      </c>
      <c r="I8363" s="47">
        <v>45407</v>
      </c>
      <c r="J8363" s="73" t="s">
        <v>20405</v>
      </c>
      <c r="K8363" s="45"/>
      <c r="O8363" s="48" t="s">
        <v>147</v>
      </c>
      <c r="P8363" s="45" t="s">
        <v>22</v>
      </c>
      <c r="Q8363" s="45" t="s">
        <v>123</v>
      </c>
      <c r="R8363" s="45" t="s">
        <v>265</v>
      </c>
    </row>
    <row r="8364" spans="1:18" ht="69" customHeight="1">
      <c r="B8364" s="164">
        <f t="shared" si="59"/>
        <v>5483</v>
      </c>
      <c r="C8364" s="44" t="s">
        <v>13562</v>
      </c>
      <c r="D8364" s="84" t="s">
        <v>17557</v>
      </c>
      <c r="E8364" s="127" t="s">
        <v>19992</v>
      </c>
      <c r="F8364" s="45" t="s">
        <v>20406</v>
      </c>
      <c r="G8364" s="45" t="s">
        <v>20407</v>
      </c>
      <c r="H8364" s="546">
        <v>78000</v>
      </c>
      <c r="I8364" s="47">
        <v>45407</v>
      </c>
      <c r="J8364" s="73" t="s">
        <v>20408</v>
      </c>
      <c r="K8364" s="62"/>
      <c r="L8364" s="99"/>
      <c r="O8364" s="62" t="s">
        <v>11301</v>
      </c>
      <c r="P8364" s="45" t="s">
        <v>61</v>
      </c>
      <c r="Q8364" s="45" t="s">
        <v>88</v>
      </c>
      <c r="R8364" s="45" t="s">
        <v>272</v>
      </c>
    </row>
    <row r="8365" spans="1:18" s="98" customFormat="1" ht="69" customHeight="1">
      <c r="A8365" s="169"/>
      <c r="B8365" s="185">
        <f t="shared" si="59"/>
        <v>5484</v>
      </c>
      <c r="C8365" s="46" t="s">
        <v>309</v>
      </c>
      <c r="D8365" s="539" t="s">
        <v>16533</v>
      </c>
      <c r="E8365" s="191" t="s">
        <v>266</v>
      </c>
      <c r="F8365" s="46" t="s">
        <v>20409</v>
      </c>
      <c r="G8365" s="46" t="s">
        <v>20410</v>
      </c>
      <c r="H8365" s="534">
        <v>5800</v>
      </c>
      <c r="I8365" s="56">
        <v>45417</v>
      </c>
      <c r="J8365" s="199" t="s">
        <v>20411</v>
      </c>
      <c r="K8365" s="52"/>
      <c r="O8365" s="52"/>
      <c r="P8365" s="46" t="s">
        <v>65</v>
      </c>
      <c r="Q8365" s="46" t="s">
        <v>27</v>
      </c>
      <c r="R8365" s="46" t="s">
        <v>272</v>
      </c>
    </row>
    <row r="8366" spans="1:18" ht="69" customHeight="1">
      <c r="B8366" s="164">
        <f t="shared" si="59"/>
        <v>5485</v>
      </c>
      <c r="C8366" s="58" t="s">
        <v>458</v>
      </c>
      <c r="D8366" s="200" t="s">
        <v>17544</v>
      </c>
      <c r="E8366" s="58" t="s">
        <v>350</v>
      </c>
      <c r="F8366" s="58" t="s">
        <v>20412</v>
      </c>
      <c r="G8366" s="45" t="s">
        <v>20413</v>
      </c>
      <c r="H8366" s="546">
        <v>24014.6</v>
      </c>
      <c r="I8366" s="47">
        <v>45407</v>
      </c>
      <c r="J8366" s="73" t="s">
        <v>20414</v>
      </c>
      <c r="K8366" s="62" t="s">
        <v>20415</v>
      </c>
      <c r="L8366" s="99"/>
      <c r="O8366" s="62" t="s">
        <v>141</v>
      </c>
      <c r="P8366" s="45" t="s">
        <v>19</v>
      </c>
      <c r="Q8366" s="45" t="s">
        <v>122</v>
      </c>
      <c r="R8366" s="45" t="s">
        <v>265</v>
      </c>
    </row>
    <row r="8367" spans="1:18" ht="69" customHeight="1">
      <c r="B8367" s="65">
        <f t="shared" si="59"/>
        <v>5486</v>
      </c>
      <c r="C8367" s="59" t="s">
        <v>657</v>
      </c>
      <c r="D8367" s="200" t="s">
        <v>5535</v>
      </c>
      <c r="E8367" s="58" t="s">
        <v>350</v>
      </c>
      <c r="F8367" s="58" t="s">
        <v>20416</v>
      </c>
      <c r="G8367" s="45" t="s">
        <v>20413</v>
      </c>
      <c r="H8367" s="546">
        <v>98480.960000000006</v>
      </c>
      <c r="I8367" s="47">
        <v>45407</v>
      </c>
      <c r="J8367" s="73" t="s">
        <v>20417</v>
      </c>
      <c r="K8367" s="62"/>
      <c r="L8367" s="99"/>
      <c r="O8367" s="62" t="s">
        <v>141</v>
      </c>
      <c r="P8367" s="45" t="s">
        <v>19</v>
      </c>
      <c r="Q8367" s="45" t="s">
        <v>110</v>
      </c>
      <c r="R8367" s="45" t="s">
        <v>265</v>
      </c>
    </row>
    <row r="8368" spans="1:18" ht="69" customHeight="1">
      <c r="B8368" s="181">
        <f t="shared" si="59"/>
        <v>5487</v>
      </c>
      <c r="C8368" s="45" t="s">
        <v>13435</v>
      </c>
      <c r="D8368" s="200" t="s">
        <v>19635</v>
      </c>
      <c r="E8368" s="58" t="s">
        <v>19996</v>
      </c>
      <c r="F8368" s="58" t="s">
        <v>20418</v>
      </c>
      <c r="G8368" s="45" t="s">
        <v>20419</v>
      </c>
      <c r="H8368" s="546">
        <v>122186.05</v>
      </c>
      <c r="I8368" s="47">
        <v>45407</v>
      </c>
      <c r="J8368" s="73" t="s">
        <v>20420</v>
      </c>
      <c r="K8368" s="62"/>
      <c r="L8368" s="99"/>
      <c r="O8368" s="62" t="s">
        <v>18058</v>
      </c>
      <c r="P8368" s="45" t="s">
        <v>57</v>
      </c>
      <c r="Q8368" s="45" t="s">
        <v>13</v>
      </c>
      <c r="R8368" s="45" t="s">
        <v>272</v>
      </c>
    </row>
    <row r="8369" spans="1:18" ht="69" customHeight="1">
      <c r="B8369" s="185">
        <f t="shared" si="59"/>
        <v>5488</v>
      </c>
      <c r="C8369" s="46" t="s">
        <v>13435</v>
      </c>
      <c r="D8369" s="539" t="s">
        <v>16383</v>
      </c>
      <c r="E8369" s="191" t="s">
        <v>20421</v>
      </c>
      <c r="F8369" s="46" t="s">
        <v>20422</v>
      </c>
      <c r="G8369" s="46" t="s">
        <v>20423</v>
      </c>
      <c r="H8369" s="534">
        <v>17500</v>
      </c>
      <c r="I8369" s="56">
        <v>45407</v>
      </c>
      <c r="J8369" s="199" t="s">
        <v>20420</v>
      </c>
      <c r="K8369" s="52"/>
      <c r="L8369" s="99"/>
      <c r="O8369" s="52" t="s">
        <v>18058</v>
      </c>
      <c r="P8369" s="46" t="s">
        <v>65</v>
      </c>
      <c r="Q8369" s="46" t="s">
        <v>13</v>
      </c>
      <c r="R8369" s="46" t="s">
        <v>272</v>
      </c>
    </row>
    <row r="8370" spans="1:18" ht="69" customHeight="1">
      <c r="B8370" s="164">
        <f t="shared" si="59"/>
        <v>5489</v>
      </c>
      <c r="C8370" s="58" t="s">
        <v>309</v>
      </c>
      <c r="D8370" s="200" t="s">
        <v>20424</v>
      </c>
      <c r="E8370" s="58" t="s">
        <v>18564</v>
      </c>
      <c r="F8370" s="58" t="s">
        <v>20425</v>
      </c>
      <c r="G8370" s="45" t="s">
        <v>20426</v>
      </c>
      <c r="H8370" s="546">
        <v>4661.17</v>
      </c>
      <c r="I8370" s="47">
        <v>45397</v>
      </c>
      <c r="J8370" s="73" t="s">
        <v>20427</v>
      </c>
      <c r="K8370" s="62" t="s">
        <v>96</v>
      </c>
      <c r="L8370" s="99"/>
      <c r="O8370" s="62" t="s">
        <v>147</v>
      </c>
      <c r="P8370" s="45" t="s">
        <v>40</v>
      </c>
      <c r="Q8370" s="45" t="s">
        <v>31</v>
      </c>
      <c r="R8370" s="45" t="s">
        <v>272</v>
      </c>
    </row>
    <row r="8371" spans="1:18" ht="69" customHeight="1">
      <c r="B8371" s="163">
        <f t="shared" si="59"/>
        <v>5490</v>
      </c>
      <c r="C8371" s="44" t="s">
        <v>12295</v>
      </c>
      <c r="D8371" s="611" t="s">
        <v>20428</v>
      </c>
      <c r="E8371" s="45" t="s">
        <v>18564</v>
      </c>
      <c r="F8371" s="45" t="s">
        <v>20429</v>
      </c>
      <c r="G8371" s="45" t="s">
        <v>20430</v>
      </c>
      <c r="H8371" s="546">
        <v>11115.1</v>
      </c>
      <c r="I8371" s="47">
        <v>45397</v>
      </c>
      <c r="J8371" s="73" t="s">
        <v>20427</v>
      </c>
      <c r="K8371" s="45"/>
      <c r="L8371" s="99"/>
      <c r="O8371" s="62" t="s">
        <v>147</v>
      </c>
      <c r="P8371" s="45" t="s">
        <v>40</v>
      </c>
      <c r="Q8371" s="45" t="s">
        <v>68</v>
      </c>
      <c r="R8371" s="45" t="s">
        <v>272</v>
      </c>
    </row>
    <row r="8372" spans="1:18" ht="69" customHeight="1">
      <c r="B8372" s="164">
        <f t="shared" si="59"/>
        <v>5491</v>
      </c>
      <c r="C8372" s="58" t="s">
        <v>16807</v>
      </c>
      <c r="D8372" s="200" t="s">
        <v>20431</v>
      </c>
      <c r="E8372" s="58" t="s">
        <v>18564</v>
      </c>
      <c r="F8372" s="58" t="s">
        <v>20432</v>
      </c>
      <c r="G8372" s="45" t="s">
        <v>20430</v>
      </c>
      <c r="H8372" s="546">
        <v>12190.75</v>
      </c>
      <c r="I8372" s="47">
        <v>45397</v>
      </c>
      <c r="J8372" s="73" t="s">
        <v>20427</v>
      </c>
      <c r="K8372" s="62"/>
      <c r="L8372" s="99"/>
      <c r="O8372" s="62" t="s">
        <v>147</v>
      </c>
      <c r="P8372" s="45" t="s">
        <v>40</v>
      </c>
      <c r="Q8372" s="45" t="s">
        <v>70</v>
      </c>
      <c r="R8372" s="45" t="s">
        <v>272</v>
      </c>
    </row>
    <row r="8373" spans="1:18" ht="69" customHeight="1">
      <c r="B8373" s="62">
        <f t="shared" si="59"/>
        <v>5492</v>
      </c>
      <c r="C8373" s="636" t="s">
        <v>5615</v>
      </c>
      <c r="D8373" s="200" t="s">
        <v>20433</v>
      </c>
      <c r="E8373" s="58" t="s">
        <v>18564</v>
      </c>
      <c r="F8373" s="58" t="s">
        <v>20434</v>
      </c>
      <c r="G8373" s="45" t="s">
        <v>20430</v>
      </c>
      <c r="H8373" s="546">
        <v>2868.41</v>
      </c>
      <c r="I8373" s="47">
        <v>45397</v>
      </c>
      <c r="J8373" s="73" t="s">
        <v>20427</v>
      </c>
      <c r="K8373" s="62"/>
      <c r="L8373" s="99"/>
      <c r="O8373" s="62" t="s">
        <v>147</v>
      </c>
      <c r="P8373" s="45" t="s">
        <v>40</v>
      </c>
      <c r="Q8373" s="45" t="s">
        <v>80</v>
      </c>
      <c r="R8373" s="45" t="s">
        <v>272</v>
      </c>
    </row>
    <row r="8374" spans="1:18" s="98" customFormat="1" ht="69" customHeight="1">
      <c r="A8374" s="169"/>
      <c r="B8374" s="184">
        <f t="shared" si="59"/>
        <v>5493</v>
      </c>
      <c r="C8374" s="45" t="s">
        <v>6888</v>
      </c>
      <c r="D8374" s="611" t="s">
        <v>20435</v>
      </c>
      <c r="E8374" s="45" t="s">
        <v>18564</v>
      </c>
      <c r="F8374" s="45" t="s">
        <v>20436</v>
      </c>
      <c r="G8374" s="45" t="s">
        <v>20430</v>
      </c>
      <c r="H8374" s="546">
        <v>5557.55</v>
      </c>
      <c r="I8374" s="47">
        <v>45397</v>
      </c>
      <c r="J8374" s="73" t="s">
        <v>20427</v>
      </c>
      <c r="K8374" s="45"/>
      <c r="O8374" s="48" t="s">
        <v>147</v>
      </c>
      <c r="P8374" s="45" t="s">
        <v>40</v>
      </c>
      <c r="Q8374" s="45" t="s">
        <v>84</v>
      </c>
      <c r="R8374" s="45" t="s">
        <v>272</v>
      </c>
    </row>
    <row r="8375" spans="1:18" ht="69" customHeight="1">
      <c r="B8375" s="164">
        <f t="shared" si="59"/>
        <v>5494</v>
      </c>
      <c r="C8375" s="59" t="s">
        <v>657</v>
      </c>
      <c r="D8375" s="200" t="s">
        <v>5539</v>
      </c>
      <c r="E8375" s="58" t="s">
        <v>18564</v>
      </c>
      <c r="F8375" s="58" t="s">
        <v>20437</v>
      </c>
      <c r="G8375" s="45" t="s">
        <v>20430</v>
      </c>
      <c r="H8375" s="546">
        <v>2868.41</v>
      </c>
      <c r="I8375" s="47">
        <v>45397</v>
      </c>
      <c r="J8375" s="73" t="s">
        <v>20427</v>
      </c>
      <c r="K8375" s="62"/>
      <c r="L8375" s="99"/>
      <c r="O8375" s="62" t="s">
        <v>147</v>
      </c>
      <c r="P8375" s="45" t="s">
        <v>40</v>
      </c>
      <c r="Q8375" s="45" t="s">
        <v>111</v>
      </c>
      <c r="R8375" s="45" t="s">
        <v>272</v>
      </c>
    </row>
    <row r="8376" spans="1:18" ht="69" customHeight="1">
      <c r="B8376" s="164">
        <f t="shared" si="59"/>
        <v>5495</v>
      </c>
      <c r="C8376" s="59" t="s">
        <v>10621</v>
      </c>
      <c r="D8376" s="200" t="s">
        <v>20438</v>
      </c>
      <c r="E8376" s="58" t="s">
        <v>18564</v>
      </c>
      <c r="F8376" s="58" t="s">
        <v>20439</v>
      </c>
      <c r="G8376" s="45" t="s">
        <v>20430</v>
      </c>
      <c r="H8376" s="546">
        <v>3944.07</v>
      </c>
      <c r="I8376" s="47">
        <v>45397</v>
      </c>
      <c r="J8376" s="73" t="s">
        <v>20427</v>
      </c>
      <c r="K8376" s="62"/>
      <c r="L8376" s="99"/>
      <c r="O8376" s="62" t="s">
        <v>147</v>
      </c>
      <c r="P8376" s="45" t="s">
        <v>40</v>
      </c>
      <c r="Q8376" s="45" t="s">
        <v>66</v>
      </c>
      <c r="R8376" s="45" t="s">
        <v>272</v>
      </c>
    </row>
    <row r="8377" spans="1:18" ht="69" customHeight="1">
      <c r="B8377" s="164">
        <f t="shared" si="59"/>
        <v>5496</v>
      </c>
      <c r="C8377" s="58" t="s">
        <v>458</v>
      </c>
      <c r="D8377" s="200" t="s">
        <v>17656</v>
      </c>
      <c r="E8377" s="58" t="s">
        <v>18564</v>
      </c>
      <c r="F8377" s="58" t="s">
        <v>20440</v>
      </c>
      <c r="G8377" s="45" t="s">
        <v>20430</v>
      </c>
      <c r="H8377" s="546">
        <v>3585.51</v>
      </c>
      <c r="I8377" s="47">
        <v>45397</v>
      </c>
      <c r="J8377" s="73" t="s">
        <v>20427</v>
      </c>
      <c r="K8377" s="62"/>
      <c r="L8377" s="99"/>
      <c r="O8377" s="62" t="s">
        <v>147</v>
      </c>
      <c r="P8377" s="45" t="s">
        <v>40</v>
      </c>
      <c r="Q8377" s="45" t="s">
        <v>117</v>
      </c>
      <c r="R8377" s="45" t="s">
        <v>272</v>
      </c>
    </row>
    <row r="8378" spans="1:18" s="98" customFormat="1" ht="69" customHeight="1">
      <c r="A8378" s="169"/>
      <c r="B8378" s="163">
        <f t="shared" si="59"/>
        <v>5497</v>
      </c>
      <c r="C8378" s="124" t="s">
        <v>10612</v>
      </c>
      <c r="D8378" s="611" t="s">
        <v>20441</v>
      </c>
      <c r="E8378" s="45" t="s">
        <v>18564</v>
      </c>
      <c r="F8378" s="45" t="s">
        <v>20442</v>
      </c>
      <c r="G8378" s="45" t="s">
        <v>20430</v>
      </c>
      <c r="H8378" s="546">
        <v>5557.55</v>
      </c>
      <c r="I8378" s="47">
        <v>45397</v>
      </c>
      <c r="J8378" s="73" t="s">
        <v>20427</v>
      </c>
      <c r="K8378" s="45"/>
      <c r="O8378" s="48" t="s">
        <v>147</v>
      </c>
      <c r="P8378" s="45" t="s">
        <v>40</v>
      </c>
      <c r="Q8378" s="45" t="s">
        <v>86</v>
      </c>
      <c r="R8378" s="45" t="s">
        <v>272</v>
      </c>
    </row>
    <row r="8379" spans="1:18" ht="69" customHeight="1">
      <c r="B8379" s="164">
        <f t="shared" si="59"/>
        <v>5498</v>
      </c>
      <c r="C8379" s="58" t="s">
        <v>309</v>
      </c>
      <c r="D8379" s="200" t="s">
        <v>16461</v>
      </c>
      <c r="E8379" s="58" t="s">
        <v>18564</v>
      </c>
      <c r="F8379" s="58" t="s">
        <v>20443</v>
      </c>
      <c r="G8379" s="45" t="s">
        <v>20430</v>
      </c>
      <c r="H8379" s="546">
        <v>24022.95</v>
      </c>
      <c r="I8379" s="47">
        <v>45397</v>
      </c>
      <c r="J8379" s="73" t="s">
        <v>20427</v>
      </c>
      <c r="K8379" s="62"/>
      <c r="L8379" s="99"/>
      <c r="O8379" s="62" t="s">
        <v>147</v>
      </c>
      <c r="P8379" s="45" t="s">
        <v>40</v>
      </c>
      <c r="Q8379" s="45" t="s">
        <v>45</v>
      </c>
      <c r="R8379" s="45" t="s">
        <v>272</v>
      </c>
    </row>
    <row r="8380" spans="1:18" ht="69" customHeight="1">
      <c r="B8380" s="65">
        <f t="shared" si="59"/>
        <v>5499</v>
      </c>
      <c r="C8380" s="59" t="s">
        <v>657</v>
      </c>
      <c r="D8380" s="200" t="s">
        <v>5531</v>
      </c>
      <c r="E8380" s="58" t="s">
        <v>18564</v>
      </c>
      <c r="F8380" s="58" t="s">
        <v>20444</v>
      </c>
      <c r="G8380" s="45" t="s">
        <v>20430</v>
      </c>
      <c r="H8380" s="546">
        <v>51850.15</v>
      </c>
      <c r="I8380" s="47">
        <v>45397</v>
      </c>
      <c r="J8380" s="73" t="s">
        <v>20445</v>
      </c>
      <c r="K8380" s="62"/>
      <c r="L8380" s="99"/>
      <c r="O8380" s="62" t="s">
        <v>147</v>
      </c>
      <c r="P8380" s="45" t="s">
        <v>42</v>
      </c>
      <c r="Q8380" s="45" t="s">
        <v>97</v>
      </c>
      <c r="R8380" s="45" t="s">
        <v>272</v>
      </c>
    </row>
    <row r="8381" spans="1:18" ht="69" customHeight="1">
      <c r="B8381" s="197">
        <f t="shared" si="59"/>
        <v>5500</v>
      </c>
      <c r="C8381" s="45" t="s">
        <v>458</v>
      </c>
      <c r="D8381" s="200" t="s">
        <v>20446</v>
      </c>
      <c r="E8381" s="58" t="s">
        <v>18564</v>
      </c>
      <c r="F8381" s="58" t="s">
        <v>20447</v>
      </c>
      <c r="G8381" s="45" t="s">
        <v>20430</v>
      </c>
      <c r="H8381" s="546">
        <v>53816.11</v>
      </c>
      <c r="I8381" s="47">
        <v>45397</v>
      </c>
      <c r="J8381" s="73" t="s">
        <v>20445</v>
      </c>
      <c r="K8381" s="58" t="s">
        <v>42</v>
      </c>
      <c r="L8381" s="99"/>
      <c r="O8381" s="62" t="s">
        <v>147</v>
      </c>
      <c r="P8381" s="45" t="s">
        <v>42</v>
      </c>
      <c r="Q8381" s="45" t="s">
        <v>103</v>
      </c>
      <c r="R8381" s="45" t="s">
        <v>272</v>
      </c>
    </row>
    <row r="8382" spans="1:18" ht="69" customHeight="1">
      <c r="B8382" s="181">
        <f t="shared" si="59"/>
        <v>5501</v>
      </c>
      <c r="C8382" s="59" t="s">
        <v>657</v>
      </c>
      <c r="D8382" s="200" t="s">
        <v>7015</v>
      </c>
      <c r="E8382" s="58" t="s">
        <v>18564</v>
      </c>
      <c r="F8382" s="58" t="s">
        <v>20448</v>
      </c>
      <c r="G8382" s="45" t="s">
        <v>20430</v>
      </c>
      <c r="H8382" s="546">
        <v>79969.7</v>
      </c>
      <c r="I8382" s="47">
        <v>45397</v>
      </c>
      <c r="J8382" s="73" t="s">
        <v>20445</v>
      </c>
      <c r="K8382" s="62"/>
      <c r="L8382" s="99"/>
      <c r="O8382" s="62" t="s">
        <v>147</v>
      </c>
      <c r="P8382" s="45" t="s">
        <v>42</v>
      </c>
      <c r="Q8382" s="45" t="s">
        <v>104</v>
      </c>
      <c r="R8382" s="45" t="s">
        <v>272</v>
      </c>
    </row>
    <row r="8383" spans="1:18" ht="69" customHeight="1">
      <c r="B8383" s="164">
        <f t="shared" si="59"/>
        <v>5502</v>
      </c>
      <c r="C8383" s="59" t="s">
        <v>309</v>
      </c>
      <c r="D8383" s="200" t="s">
        <v>16456</v>
      </c>
      <c r="E8383" s="58" t="s">
        <v>18564</v>
      </c>
      <c r="F8383" s="58" t="s">
        <v>20449</v>
      </c>
      <c r="G8383" s="45" t="s">
        <v>20430</v>
      </c>
      <c r="H8383" s="546">
        <v>42026.46</v>
      </c>
      <c r="I8383" s="47">
        <v>45397</v>
      </c>
      <c r="J8383" s="73" t="s">
        <v>20445</v>
      </c>
      <c r="K8383" s="62"/>
      <c r="L8383" s="99"/>
      <c r="O8383" s="62" t="s">
        <v>147</v>
      </c>
      <c r="P8383" s="45" t="s">
        <v>42</v>
      </c>
      <c r="Q8383" s="45" t="s">
        <v>13</v>
      </c>
      <c r="R8383" s="45" t="s">
        <v>272</v>
      </c>
    </row>
    <row r="8384" spans="1:18" ht="69" customHeight="1">
      <c r="B8384" s="164">
        <f t="shared" si="59"/>
        <v>5503</v>
      </c>
      <c r="C8384" s="59" t="s">
        <v>309</v>
      </c>
      <c r="D8384" s="200" t="s">
        <v>19645</v>
      </c>
      <c r="E8384" s="58" t="s">
        <v>18564</v>
      </c>
      <c r="F8384" s="58" t="s">
        <v>20450</v>
      </c>
      <c r="G8384" s="45" t="s">
        <v>20430</v>
      </c>
      <c r="H8384" s="546">
        <v>34676.160000000003</v>
      </c>
      <c r="I8384" s="47">
        <v>45397</v>
      </c>
      <c r="J8384" s="73" t="s">
        <v>20445</v>
      </c>
      <c r="K8384" s="62"/>
      <c r="L8384" s="99"/>
      <c r="O8384" s="62" t="s">
        <v>147</v>
      </c>
      <c r="P8384" s="45" t="s">
        <v>42</v>
      </c>
      <c r="Q8384" s="45" t="s">
        <v>18</v>
      </c>
      <c r="R8384" s="45" t="s">
        <v>272</v>
      </c>
    </row>
    <row r="8385" spans="1:18" ht="69" customHeight="1">
      <c r="B8385" s="164">
        <f t="shared" si="59"/>
        <v>5504</v>
      </c>
      <c r="C8385" s="59" t="s">
        <v>5558</v>
      </c>
      <c r="D8385" s="200" t="s">
        <v>20451</v>
      </c>
      <c r="E8385" s="58" t="s">
        <v>18564</v>
      </c>
      <c r="F8385" s="58" t="s">
        <v>20452</v>
      </c>
      <c r="G8385" s="45" t="s">
        <v>20430</v>
      </c>
      <c r="H8385" s="546">
        <v>42907.03</v>
      </c>
      <c r="I8385" s="47">
        <v>45397</v>
      </c>
      <c r="J8385" s="73" t="s">
        <v>20445</v>
      </c>
      <c r="K8385" s="62"/>
      <c r="L8385" s="99"/>
      <c r="O8385" s="62" t="s">
        <v>147</v>
      </c>
      <c r="P8385" s="45" t="s">
        <v>42</v>
      </c>
      <c r="Q8385" s="45" t="s">
        <v>64</v>
      </c>
      <c r="R8385" s="45" t="s">
        <v>272</v>
      </c>
    </row>
    <row r="8386" spans="1:18" ht="69" customHeight="1">
      <c r="B8386" s="164">
        <f t="shared" si="59"/>
        <v>5505</v>
      </c>
      <c r="C8386" s="45" t="s">
        <v>458</v>
      </c>
      <c r="D8386" s="200" t="s">
        <v>17608</v>
      </c>
      <c r="E8386" s="58" t="s">
        <v>18564</v>
      </c>
      <c r="F8386" s="58" t="s">
        <v>20453</v>
      </c>
      <c r="G8386" s="45" t="s">
        <v>20430</v>
      </c>
      <c r="H8386" s="546">
        <v>36455.54</v>
      </c>
      <c r="I8386" s="47">
        <v>45397</v>
      </c>
      <c r="J8386" s="73" t="s">
        <v>20445</v>
      </c>
      <c r="K8386" s="62"/>
      <c r="L8386" s="99"/>
      <c r="O8386" s="62" t="s">
        <v>147</v>
      </c>
      <c r="P8386" s="45" t="s">
        <v>42</v>
      </c>
      <c r="Q8386" s="45" t="s">
        <v>88</v>
      </c>
      <c r="R8386" s="45" t="s">
        <v>272</v>
      </c>
    </row>
    <row r="8387" spans="1:18" ht="69" customHeight="1">
      <c r="B8387" s="164">
        <f t="shared" si="59"/>
        <v>5506</v>
      </c>
      <c r="C8387" s="45" t="s">
        <v>458</v>
      </c>
      <c r="D8387" s="200" t="s">
        <v>17610</v>
      </c>
      <c r="E8387" s="58" t="s">
        <v>18564</v>
      </c>
      <c r="F8387" s="58" t="s">
        <v>20454</v>
      </c>
      <c r="G8387" s="45" t="s">
        <v>20430</v>
      </c>
      <c r="H8387" s="546">
        <v>33949.33</v>
      </c>
      <c r="I8387" s="47">
        <v>45397</v>
      </c>
      <c r="J8387" s="73" t="s">
        <v>20445</v>
      </c>
      <c r="K8387" s="62"/>
      <c r="L8387" s="99"/>
      <c r="O8387" s="62" t="s">
        <v>147</v>
      </c>
      <c r="P8387" s="45" t="s">
        <v>42</v>
      </c>
      <c r="Q8387" s="45" t="s">
        <v>123</v>
      </c>
      <c r="R8387" s="45" t="s">
        <v>272</v>
      </c>
    </row>
    <row r="8388" spans="1:18" ht="69" customHeight="1">
      <c r="B8388" s="164">
        <f t="shared" si="59"/>
        <v>5507</v>
      </c>
      <c r="C8388" s="45" t="s">
        <v>458</v>
      </c>
      <c r="D8388" s="200" t="s">
        <v>17647</v>
      </c>
      <c r="E8388" s="58" t="s">
        <v>18564</v>
      </c>
      <c r="F8388" s="58" t="s">
        <v>20455</v>
      </c>
      <c r="G8388" s="45" t="s">
        <v>20430</v>
      </c>
      <c r="H8388" s="546">
        <v>30736.95</v>
      </c>
      <c r="I8388" s="47">
        <v>45397</v>
      </c>
      <c r="J8388" s="73" t="s">
        <v>20445</v>
      </c>
      <c r="K8388" s="62"/>
      <c r="L8388" s="99"/>
      <c r="O8388" s="62" t="s">
        <v>147</v>
      </c>
      <c r="P8388" s="45" t="s">
        <v>42</v>
      </c>
      <c r="Q8388" s="45" t="s">
        <v>112</v>
      </c>
      <c r="R8388" s="45" t="s">
        <v>272</v>
      </c>
    </row>
    <row r="8389" spans="1:18" ht="69" customHeight="1">
      <c r="B8389" s="164">
        <f t="shared" si="59"/>
        <v>5508</v>
      </c>
      <c r="C8389" s="45" t="s">
        <v>458</v>
      </c>
      <c r="D8389" s="200" t="s">
        <v>17664</v>
      </c>
      <c r="E8389" s="58" t="s">
        <v>18564</v>
      </c>
      <c r="F8389" s="58" t="s">
        <v>20456</v>
      </c>
      <c r="G8389" s="45" t="s">
        <v>20430</v>
      </c>
      <c r="H8389" s="546">
        <v>42189.93</v>
      </c>
      <c r="I8389" s="47">
        <v>45397</v>
      </c>
      <c r="J8389" s="73" t="s">
        <v>20445</v>
      </c>
      <c r="K8389" s="62"/>
      <c r="L8389" s="99"/>
      <c r="O8389" s="62" t="s">
        <v>147</v>
      </c>
      <c r="P8389" s="45" t="s">
        <v>42</v>
      </c>
      <c r="Q8389" s="45" t="s">
        <v>113</v>
      </c>
      <c r="R8389" s="45" t="s">
        <v>272</v>
      </c>
    </row>
    <row r="8390" spans="1:18" ht="69" customHeight="1">
      <c r="B8390" s="164">
        <f t="shared" si="59"/>
        <v>5509</v>
      </c>
      <c r="C8390" s="45" t="s">
        <v>458</v>
      </c>
      <c r="D8390" s="200" t="s">
        <v>17651</v>
      </c>
      <c r="E8390" s="58" t="s">
        <v>18564</v>
      </c>
      <c r="F8390" s="58" t="s">
        <v>20457</v>
      </c>
      <c r="G8390" s="45" t="s">
        <v>20430</v>
      </c>
      <c r="H8390" s="546">
        <v>41102.120000000003</v>
      </c>
      <c r="I8390" s="47">
        <v>45397</v>
      </c>
      <c r="J8390" s="73" t="s">
        <v>20445</v>
      </c>
      <c r="K8390" s="62"/>
      <c r="L8390" s="99"/>
      <c r="O8390" s="62" t="s">
        <v>147</v>
      </c>
      <c r="P8390" s="45" t="s">
        <v>42</v>
      </c>
      <c r="Q8390" s="45" t="s">
        <v>122</v>
      </c>
      <c r="R8390" s="45" t="s">
        <v>272</v>
      </c>
    </row>
    <row r="8391" spans="1:18" ht="69" customHeight="1">
      <c r="B8391" s="164">
        <f t="shared" si="59"/>
        <v>5510</v>
      </c>
      <c r="C8391" s="58" t="s">
        <v>581</v>
      </c>
      <c r="D8391" s="200" t="s">
        <v>16465</v>
      </c>
      <c r="E8391" s="58" t="s">
        <v>20458</v>
      </c>
      <c r="F8391" s="58" t="s">
        <v>20459</v>
      </c>
      <c r="G8391" s="45" t="s">
        <v>20460</v>
      </c>
      <c r="H8391" s="546">
        <v>25000</v>
      </c>
      <c r="I8391" s="47">
        <v>45401</v>
      </c>
      <c r="J8391" s="73" t="s">
        <v>20461</v>
      </c>
      <c r="K8391" s="62"/>
      <c r="L8391" s="99"/>
      <c r="O8391" s="62" t="s">
        <v>441</v>
      </c>
      <c r="P8391" s="45" t="s">
        <v>22</v>
      </c>
      <c r="Q8391" s="45" t="s">
        <v>18</v>
      </c>
      <c r="R8391" s="45" t="s">
        <v>265</v>
      </c>
    </row>
    <row r="8392" spans="1:18" ht="69" customHeight="1">
      <c r="B8392" s="164">
        <f t="shared" si="59"/>
        <v>5511</v>
      </c>
      <c r="C8392" s="59" t="s">
        <v>8080</v>
      </c>
      <c r="D8392" s="575" t="s">
        <v>5543</v>
      </c>
      <c r="E8392" s="178" t="s">
        <v>755</v>
      </c>
      <c r="F8392" s="210" t="s">
        <v>20462</v>
      </c>
      <c r="G8392" s="58" t="s">
        <v>20463</v>
      </c>
      <c r="H8392" s="546">
        <v>1073528.3400000001</v>
      </c>
      <c r="I8392" s="47">
        <v>45407</v>
      </c>
      <c r="J8392" s="73" t="s">
        <v>20464</v>
      </c>
      <c r="K8392" s="62"/>
      <c r="L8392" s="99"/>
      <c r="O8392" s="62" t="s">
        <v>1566</v>
      </c>
      <c r="P8392" s="45" t="s">
        <v>28</v>
      </c>
      <c r="Q8392" s="45" t="s">
        <v>106</v>
      </c>
      <c r="R8392" s="45" t="s">
        <v>272</v>
      </c>
    </row>
    <row r="8393" spans="1:18" ht="69" customHeight="1">
      <c r="B8393" s="164">
        <f t="shared" ref="B8393:B8458" si="60">B8392+1</f>
        <v>5512</v>
      </c>
      <c r="C8393" s="59" t="s">
        <v>8080</v>
      </c>
      <c r="D8393" s="575" t="s">
        <v>13957</v>
      </c>
      <c r="E8393" s="178" t="s">
        <v>755</v>
      </c>
      <c r="F8393" s="210" t="s">
        <v>20465</v>
      </c>
      <c r="G8393" s="58" t="s">
        <v>20466</v>
      </c>
      <c r="H8393" s="546">
        <v>1269705.72</v>
      </c>
      <c r="I8393" s="47">
        <v>45407</v>
      </c>
      <c r="J8393" s="73" t="s">
        <v>20464</v>
      </c>
      <c r="K8393" s="62"/>
      <c r="L8393" s="99"/>
      <c r="O8393" s="62" t="s">
        <v>1566</v>
      </c>
      <c r="P8393" s="45" t="s">
        <v>28</v>
      </c>
      <c r="Q8393" s="45" t="s">
        <v>106</v>
      </c>
      <c r="R8393" s="45" t="s">
        <v>272</v>
      </c>
    </row>
    <row r="8394" spans="1:18" ht="69" customHeight="1">
      <c r="B8394" s="164">
        <f t="shared" si="60"/>
        <v>5513</v>
      </c>
      <c r="C8394" s="59" t="s">
        <v>8080</v>
      </c>
      <c r="D8394" s="200" t="s">
        <v>10599</v>
      </c>
      <c r="E8394" s="58" t="s">
        <v>755</v>
      </c>
      <c r="F8394" s="45" t="s">
        <v>20467</v>
      </c>
      <c r="G8394" s="45" t="s">
        <v>20468</v>
      </c>
      <c r="H8394" s="546">
        <v>1464668.25</v>
      </c>
      <c r="I8394" s="47">
        <v>45407</v>
      </c>
      <c r="J8394" s="73" t="s">
        <v>20464</v>
      </c>
      <c r="K8394" s="62"/>
      <c r="L8394" s="99"/>
      <c r="O8394" s="62" t="s">
        <v>1566</v>
      </c>
      <c r="P8394" s="45" t="s">
        <v>28</v>
      </c>
      <c r="Q8394" s="45" t="s">
        <v>106</v>
      </c>
      <c r="R8394" s="45" t="s">
        <v>272</v>
      </c>
    </row>
    <row r="8395" spans="1:18" ht="69" customHeight="1">
      <c r="B8395" s="164">
        <f t="shared" si="60"/>
        <v>5514</v>
      </c>
      <c r="C8395" s="59" t="s">
        <v>8080</v>
      </c>
      <c r="D8395" s="200" t="s">
        <v>4059</v>
      </c>
      <c r="E8395" s="58" t="s">
        <v>755</v>
      </c>
      <c r="F8395" s="58" t="s">
        <v>20469</v>
      </c>
      <c r="G8395" s="58" t="s">
        <v>20470</v>
      </c>
      <c r="H8395" s="546">
        <v>732334.12</v>
      </c>
      <c r="I8395" s="47">
        <v>45407</v>
      </c>
      <c r="J8395" s="73" t="s">
        <v>20464</v>
      </c>
      <c r="K8395" s="62"/>
      <c r="L8395" s="99"/>
      <c r="O8395" s="62" t="s">
        <v>1566</v>
      </c>
      <c r="P8395" s="45" t="s">
        <v>28</v>
      </c>
      <c r="Q8395" s="45" t="s">
        <v>106</v>
      </c>
      <c r="R8395" s="45" t="s">
        <v>272</v>
      </c>
    </row>
    <row r="8396" spans="1:18" ht="69" customHeight="1">
      <c r="B8396" s="185">
        <f t="shared" si="60"/>
        <v>5515</v>
      </c>
      <c r="C8396" s="191" t="s">
        <v>13435</v>
      </c>
      <c r="D8396" s="539" t="s">
        <v>16485</v>
      </c>
      <c r="E8396" s="191" t="s">
        <v>266</v>
      </c>
      <c r="F8396" s="46" t="s">
        <v>20471</v>
      </c>
      <c r="G8396" s="46" t="s">
        <v>20472</v>
      </c>
      <c r="H8396" s="534">
        <v>19174</v>
      </c>
      <c r="I8396" s="56">
        <v>45417</v>
      </c>
      <c r="J8396" s="199" t="s">
        <v>20473</v>
      </c>
      <c r="K8396" s="52"/>
      <c r="L8396" s="99"/>
      <c r="O8396" s="52" t="s">
        <v>17330</v>
      </c>
      <c r="P8396" s="46" t="s">
        <v>65</v>
      </c>
      <c r="Q8396" s="46" t="s">
        <v>13</v>
      </c>
      <c r="R8396" s="46" t="s">
        <v>272</v>
      </c>
    </row>
    <row r="8397" spans="1:18" ht="69" customHeight="1">
      <c r="B8397" s="164">
        <f t="shared" si="60"/>
        <v>5516</v>
      </c>
      <c r="C8397" s="44" t="s">
        <v>8057</v>
      </c>
      <c r="D8397" s="200" t="s">
        <v>17709</v>
      </c>
      <c r="E8397" s="58" t="s">
        <v>755</v>
      </c>
      <c r="F8397" s="58" t="s">
        <v>20474</v>
      </c>
      <c r="G8397" s="58" t="s">
        <v>20475</v>
      </c>
      <c r="H8397" s="546">
        <v>1464668.25</v>
      </c>
      <c r="I8397" s="47">
        <v>45407</v>
      </c>
      <c r="J8397" s="73" t="s">
        <v>20476</v>
      </c>
      <c r="K8397" s="62"/>
      <c r="L8397" s="99"/>
      <c r="O8397" s="62" t="s">
        <v>1566</v>
      </c>
      <c r="P8397" s="45" t="s">
        <v>28</v>
      </c>
      <c r="Q8397" s="45" t="s">
        <v>105</v>
      </c>
      <c r="R8397" s="45" t="s">
        <v>272</v>
      </c>
    </row>
    <row r="8398" spans="1:18" ht="69" customHeight="1">
      <c r="B8398" s="164">
        <f t="shared" si="60"/>
        <v>5517</v>
      </c>
      <c r="C8398" s="44" t="s">
        <v>8057</v>
      </c>
      <c r="D8398" s="200" t="s">
        <v>17711</v>
      </c>
      <c r="E8398" s="58" t="s">
        <v>755</v>
      </c>
      <c r="F8398" s="58" t="s">
        <v>20477</v>
      </c>
      <c r="G8398" s="58" t="s">
        <v>20478</v>
      </c>
      <c r="H8398" s="546">
        <v>1464668.25</v>
      </c>
      <c r="I8398" s="47">
        <v>45407</v>
      </c>
      <c r="J8398" s="73" t="s">
        <v>20476</v>
      </c>
      <c r="K8398" s="62"/>
      <c r="L8398" s="99"/>
      <c r="O8398" s="62" t="s">
        <v>1566</v>
      </c>
      <c r="P8398" s="45" t="s">
        <v>28</v>
      </c>
      <c r="Q8398" s="45" t="s">
        <v>105</v>
      </c>
      <c r="R8398" s="45" t="s">
        <v>272</v>
      </c>
    </row>
    <row r="8399" spans="1:18" ht="69" customHeight="1">
      <c r="B8399" s="164">
        <f t="shared" si="60"/>
        <v>5518</v>
      </c>
      <c r="C8399" s="44" t="s">
        <v>8057</v>
      </c>
      <c r="D8399" s="200" t="s">
        <v>17713</v>
      </c>
      <c r="E8399" s="58" t="s">
        <v>755</v>
      </c>
      <c r="F8399" s="58" t="s">
        <v>20479</v>
      </c>
      <c r="G8399" s="58" t="s">
        <v>20480</v>
      </c>
      <c r="H8399" s="546">
        <v>732334.12</v>
      </c>
      <c r="I8399" s="47">
        <v>45407</v>
      </c>
      <c r="J8399" s="73" t="s">
        <v>20476</v>
      </c>
      <c r="K8399" s="62"/>
      <c r="L8399" s="99"/>
      <c r="O8399" s="62" t="s">
        <v>1566</v>
      </c>
      <c r="P8399" s="45" t="s">
        <v>28</v>
      </c>
      <c r="Q8399" s="45" t="s">
        <v>105</v>
      </c>
      <c r="R8399" s="45" t="s">
        <v>272</v>
      </c>
    </row>
    <row r="8400" spans="1:18" s="98" customFormat="1" ht="69" customHeight="1">
      <c r="A8400" s="169"/>
      <c r="B8400" s="163">
        <f t="shared" si="60"/>
        <v>5519</v>
      </c>
      <c r="C8400" s="59" t="s">
        <v>9441</v>
      </c>
      <c r="D8400" s="611" t="s">
        <v>14007</v>
      </c>
      <c r="E8400" s="45" t="s">
        <v>755</v>
      </c>
      <c r="F8400" s="45" t="s">
        <v>20481</v>
      </c>
      <c r="G8400" s="45" t="s">
        <v>20480</v>
      </c>
      <c r="H8400" s="546">
        <v>732334.12</v>
      </c>
      <c r="I8400" s="47">
        <v>45407</v>
      </c>
      <c r="J8400" s="73" t="s">
        <v>20482</v>
      </c>
      <c r="K8400" s="48"/>
      <c r="O8400" s="48" t="s">
        <v>1566</v>
      </c>
      <c r="P8400" s="45" t="s">
        <v>28</v>
      </c>
      <c r="Q8400" s="45" t="s">
        <v>116</v>
      </c>
      <c r="R8400" s="45" t="s">
        <v>272</v>
      </c>
    </row>
    <row r="8401" spans="1:18" s="98" customFormat="1" ht="69" customHeight="1">
      <c r="A8401" s="169"/>
      <c r="B8401" s="163">
        <f t="shared" si="60"/>
        <v>5520</v>
      </c>
      <c r="C8401" s="59" t="s">
        <v>9596</v>
      </c>
      <c r="D8401" s="611" t="s">
        <v>6446</v>
      </c>
      <c r="E8401" s="45" t="s">
        <v>755</v>
      </c>
      <c r="F8401" s="45" t="s">
        <v>20483</v>
      </c>
      <c r="G8401" s="45" t="s">
        <v>20480</v>
      </c>
      <c r="H8401" s="546">
        <v>732334.12</v>
      </c>
      <c r="I8401" s="47">
        <v>45407</v>
      </c>
      <c r="J8401" s="73" t="s">
        <v>20482</v>
      </c>
      <c r="K8401" s="48"/>
      <c r="O8401" s="48" t="s">
        <v>1566</v>
      </c>
      <c r="P8401" s="45" t="s">
        <v>28</v>
      </c>
      <c r="Q8401" s="45" t="s">
        <v>118</v>
      </c>
      <c r="R8401" s="45" t="s">
        <v>272</v>
      </c>
    </row>
    <row r="8402" spans="1:18" ht="69" customHeight="1">
      <c r="B8402" s="73">
        <f t="shared" si="60"/>
        <v>5521</v>
      </c>
      <c r="C8402" s="45" t="s">
        <v>18817</v>
      </c>
      <c r="D8402" s="611" t="s">
        <v>16528</v>
      </c>
      <c r="E8402" s="45" t="s">
        <v>755</v>
      </c>
      <c r="F8402" s="45" t="s">
        <v>20484</v>
      </c>
      <c r="G8402" s="45" t="s">
        <v>20480</v>
      </c>
      <c r="H8402" s="546">
        <v>438496.36</v>
      </c>
      <c r="I8402" s="47">
        <v>45407</v>
      </c>
      <c r="J8402" s="73" t="s">
        <v>20485</v>
      </c>
      <c r="K8402" s="62"/>
      <c r="L8402" s="99"/>
      <c r="O8402" s="62" t="s">
        <v>1566</v>
      </c>
      <c r="P8402" s="45" t="s">
        <v>28</v>
      </c>
      <c r="Q8402" s="45" t="s">
        <v>25</v>
      </c>
      <c r="R8402" s="45" t="s">
        <v>272</v>
      </c>
    </row>
    <row r="8403" spans="1:18" ht="69" customHeight="1">
      <c r="B8403" s="181">
        <f t="shared" si="60"/>
        <v>5522</v>
      </c>
      <c r="C8403" s="45" t="s">
        <v>13435</v>
      </c>
      <c r="D8403" s="200" t="s">
        <v>20486</v>
      </c>
      <c r="E8403" s="58" t="s">
        <v>20487</v>
      </c>
      <c r="F8403" s="58" t="s">
        <v>20488</v>
      </c>
      <c r="G8403" s="45" t="s">
        <v>20489</v>
      </c>
      <c r="H8403" s="546">
        <v>251404.62</v>
      </c>
      <c r="I8403" s="47">
        <v>45417</v>
      </c>
      <c r="J8403" s="73" t="s">
        <v>20490</v>
      </c>
      <c r="K8403" s="62"/>
      <c r="L8403" s="99"/>
      <c r="O8403" s="62" t="s">
        <v>441</v>
      </c>
      <c r="P8403" s="45" t="s">
        <v>22</v>
      </c>
      <c r="Q8403" s="45" t="s">
        <v>13</v>
      </c>
      <c r="R8403" s="45" t="s">
        <v>272</v>
      </c>
    </row>
    <row r="8404" spans="1:18" ht="69" customHeight="1">
      <c r="B8404" s="164">
        <f t="shared" si="60"/>
        <v>5523</v>
      </c>
      <c r="C8404" s="178" t="s">
        <v>1593</v>
      </c>
      <c r="D8404" s="200" t="s">
        <v>16526</v>
      </c>
      <c r="E8404" s="178" t="s">
        <v>266</v>
      </c>
      <c r="F8404" s="210" t="s">
        <v>20491</v>
      </c>
      <c r="G8404" s="58" t="s">
        <v>17569</v>
      </c>
      <c r="H8404" s="552">
        <v>12000</v>
      </c>
      <c r="I8404" s="66">
        <v>45417</v>
      </c>
      <c r="J8404" s="65" t="s">
        <v>20492</v>
      </c>
      <c r="K8404" s="62"/>
      <c r="L8404" s="99"/>
      <c r="O8404" s="62" t="s">
        <v>6918</v>
      </c>
      <c r="P8404" s="58" t="s">
        <v>44</v>
      </c>
      <c r="Q8404" s="58" t="s">
        <v>27</v>
      </c>
      <c r="R8404" s="58" t="s">
        <v>272</v>
      </c>
    </row>
    <row r="8405" spans="1:18" ht="69" customHeight="1">
      <c r="B8405" s="164">
        <f t="shared" si="60"/>
        <v>5524</v>
      </c>
      <c r="C8405" s="58" t="s">
        <v>9545</v>
      </c>
      <c r="D8405" s="200" t="s">
        <v>17715</v>
      </c>
      <c r="E8405" s="58" t="s">
        <v>20493</v>
      </c>
      <c r="F8405" s="569" t="s">
        <v>20494</v>
      </c>
      <c r="G8405" s="45" t="s">
        <v>20495</v>
      </c>
      <c r="H8405" s="546">
        <v>39000</v>
      </c>
      <c r="I8405" s="47">
        <v>45417</v>
      </c>
      <c r="J8405" s="73" t="s">
        <v>20496</v>
      </c>
      <c r="K8405" s="62"/>
      <c r="L8405" s="99"/>
      <c r="O8405" s="58" t="s">
        <v>11155</v>
      </c>
      <c r="P8405" s="45" t="s">
        <v>61</v>
      </c>
      <c r="Q8405" s="45" t="s">
        <v>117</v>
      </c>
      <c r="R8405" s="45" t="s">
        <v>272</v>
      </c>
    </row>
    <row r="8406" spans="1:18" ht="69" customHeight="1">
      <c r="B8406" s="163">
        <f t="shared" si="60"/>
        <v>5525</v>
      </c>
      <c r="C8406" s="59" t="s">
        <v>5658</v>
      </c>
      <c r="D8406" s="611" t="s">
        <v>20497</v>
      </c>
      <c r="E8406" s="59" t="s">
        <v>432</v>
      </c>
      <c r="F8406" s="569" t="s">
        <v>20498</v>
      </c>
      <c r="G8406" s="45" t="s">
        <v>20499</v>
      </c>
      <c r="H8406" s="546">
        <v>34317.03</v>
      </c>
      <c r="I8406" s="47">
        <v>45478</v>
      </c>
      <c r="J8406" s="73" t="s">
        <v>20500</v>
      </c>
      <c r="K8406" s="48"/>
      <c r="M8406" s="98"/>
      <c r="N8406" s="98"/>
      <c r="O8406" s="48" t="s">
        <v>2091</v>
      </c>
      <c r="P8406" s="45" t="s">
        <v>53</v>
      </c>
      <c r="Q8406" s="45" t="s">
        <v>66</v>
      </c>
      <c r="R8406" s="45" t="s">
        <v>272</v>
      </c>
    </row>
    <row r="8407" spans="1:18" ht="69" customHeight="1">
      <c r="B8407" s="163">
        <f t="shared" si="60"/>
        <v>5526</v>
      </c>
      <c r="C8407" s="59" t="s">
        <v>458</v>
      </c>
      <c r="D8407" s="611" t="s">
        <v>17752</v>
      </c>
      <c r="E8407" s="59" t="s">
        <v>432</v>
      </c>
      <c r="F8407" s="569" t="s">
        <v>20501</v>
      </c>
      <c r="G8407" s="45" t="s">
        <v>20499</v>
      </c>
      <c r="H8407" s="546">
        <v>34317.03</v>
      </c>
      <c r="I8407" s="47">
        <v>45478</v>
      </c>
      <c r="J8407" s="73" t="s">
        <v>20502</v>
      </c>
      <c r="K8407" s="48"/>
      <c r="M8407" s="98"/>
      <c r="N8407" s="98"/>
      <c r="O8407" s="48" t="s">
        <v>2091</v>
      </c>
      <c r="P8407" s="45" t="s">
        <v>53</v>
      </c>
      <c r="Q8407" s="45" t="s">
        <v>123</v>
      </c>
      <c r="R8407" s="45" t="s">
        <v>272</v>
      </c>
    </row>
    <row r="8408" spans="1:18" ht="69" customHeight="1">
      <c r="B8408" s="163">
        <f t="shared" si="60"/>
        <v>5527</v>
      </c>
      <c r="C8408" s="59" t="s">
        <v>458</v>
      </c>
      <c r="D8408" s="611" t="s">
        <v>17754</v>
      </c>
      <c r="E8408" s="59" t="s">
        <v>432</v>
      </c>
      <c r="F8408" s="569" t="s">
        <v>20503</v>
      </c>
      <c r="G8408" s="45" t="s">
        <v>20499</v>
      </c>
      <c r="H8408" s="546">
        <v>34317.03</v>
      </c>
      <c r="I8408" s="47">
        <v>45478</v>
      </c>
      <c r="J8408" s="73" t="s">
        <v>20504</v>
      </c>
      <c r="K8408" s="48"/>
      <c r="M8408" s="98"/>
      <c r="N8408" s="98"/>
      <c r="O8408" s="48" t="s">
        <v>2091</v>
      </c>
      <c r="P8408" s="45" t="s">
        <v>53</v>
      </c>
      <c r="Q8408" s="45" t="s">
        <v>117</v>
      </c>
      <c r="R8408" s="45" t="s">
        <v>272</v>
      </c>
    </row>
    <row r="8409" spans="1:18" ht="69" customHeight="1">
      <c r="B8409" s="163">
        <f t="shared" si="60"/>
        <v>5528</v>
      </c>
      <c r="C8409" s="59" t="s">
        <v>458</v>
      </c>
      <c r="D8409" s="611" t="s">
        <v>20505</v>
      </c>
      <c r="E8409" s="59" t="s">
        <v>432</v>
      </c>
      <c r="F8409" s="569" t="s">
        <v>20506</v>
      </c>
      <c r="G8409" s="45" t="s">
        <v>20499</v>
      </c>
      <c r="H8409" s="546">
        <v>34317.03</v>
      </c>
      <c r="I8409" s="47">
        <v>45478</v>
      </c>
      <c r="J8409" s="73" t="s">
        <v>20507</v>
      </c>
      <c r="K8409" s="48"/>
      <c r="M8409" s="98"/>
      <c r="N8409" s="98"/>
      <c r="O8409" s="48" t="s">
        <v>2091</v>
      </c>
      <c r="P8409" s="45" t="s">
        <v>53</v>
      </c>
      <c r="Q8409" s="45" t="s">
        <v>112</v>
      </c>
      <c r="R8409" s="45" t="s">
        <v>272</v>
      </c>
    </row>
    <row r="8410" spans="1:18" ht="69" customHeight="1">
      <c r="B8410" s="163">
        <f t="shared" si="60"/>
        <v>5529</v>
      </c>
      <c r="C8410" s="59" t="s">
        <v>458</v>
      </c>
      <c r="D8410" s="611" t="s">
        <v>20508</v>
      </c>
      <c r="E8410" s="59" t="s">
        <v>432</v>
      </c>
      <c r="F8410" s="569" t="s">
        <v>20509</v>
      </c>
      <c r="G8410" s="45" t="s">
        <v>20499</v>
      </c>
      <c r="H8410" s="546">
        <v>34317.03</v>
      </c>
      <c r="I8410" s="47">
        <v>45478</v>
      </c>
      <c r="J8410" s="73" t="s">
        <v>20510</v>
      </c>
      <c r="K8410" s="48"/>
      <c r="M8410" s="98"/>
      <c r="N8410" s="98"/>
      <c r="O8410" s="48" t="s">
        <v>2091</v>
      </c>
      <c r="P8410" s="45" t="s">
        <v>53</v>
      </c>
      <c r="Q8410" s="45" t="s">
        <v>122</v>
      </c>
      <c r="R8410" s="45" t="s">
        <v>272</v>
      </c>
    </row>
    <row r="8411" spans="1:18" ht="69" customHeight="1">
      <c r="B8411" s="163">
        <f t="shared" si="60"/>
        <v>5530</v>
      </c>
      <c r="C8411" s="59" t="s">
        <v>657</v>
      </c>
      <c r="D8411" s="611" t="s">
        <v>6453</v>
      </c>
      <c r="E8411" s="59" t="s">
        <v>432</v>
      </c>
      <c r="F8411" s="569" t="s">
        <v>20511</v>
      </c>
      <c r="G8411" s="45" t="s">
        <v>20499</v>
      </c>
      <c r="H8411" s="546">
        <v>34317.03</v>
      </c>
      <c r="I8411" s="47">
        <v>45478</v>
      </c>
      <c r="J8411" s="73" t="s">
        <v>20512</v>
      </c>
      <c r="K8411" s="48"/>
      <c r="M8411" s="98"/>
      <c r="N8411" s="98"/>
      <c r="O8411" s="48" t="s">
        <v>2091</v>
      </c>
      <c r="P8411" s="45" t="s">
        <v>53</v>
      </c>
      <c r="Q8411" s="45" t="s">
        <v>111</v>
      </c>
      <c r="R8411" s="45" t="s">
        <v>272</v>
      </c>
    </row>
    <row r="8412" spans="1:18" ht="69" customHeight="1">
      <c r="B8412" s="163">
        <f t="shared" si="60"/>
        <v>5531</v>
      </c>
      <c r="C8412" s="59" t="s">
        <v>309</v>
      </c>
      <c r="D8412" s="611" t="s">
        <v>16536</v>
      </c>
      <c r="E8412" s="59" t="s">
        <v>432</v>
      </c>
      <c r="F8412" s="569" t="s">
        <v>20513</v>
      </c>
      <c r="G8412" s="45" t="s">
        <v>20499</v>
      </c>
      <c r="H8412" s="546">
        <v>34317.03</v>
      </c>
      <c r="I8412" s="47">
        <v>45478</v>
      </c>
      <c r="J8412" s="73" t="s">
        <v>20514</v>
      </c>
      <c r="K8412" s="48"/>
      <c r="M8412" s="98"/>
      <c r="N8412" s="98"/>
      <c r="O8412" s="48" t="s">
        <v>2091</v>
      </c>
      <c r="P8412" s="45" t="s">
        <v>53</v>
      </c>
      <c r="Q8412" s="45" t="s">
        <v>45</v>
      </c>
      <c r="R8412" s="45" t="s">
        <v>272</v>
      </c>
    </row>
    <row r="8413" spans="1:18" ht="69" customHeight="1">
      <c r="B8413" s="163">
        <f t="shared" si="60"/>
        <v>5532</v>
      </c>
      <c r="C8413" s="59" t="s">
        <v>309</v>
      </c>
      <c r="D8413" s="611" t="s">
        <v>16459</v>
      </c>
      <c r="E8413" s="59" t="s">
        <v>432</v>
      </c>
      <c r="F8413" s="569" t="s">
        <v>20515</v>
      </c>
      <c r="G8413" s="45" t="s">
        <v>20499</v>
      </c>
      <c r="H8413" s="546">
        <v>34317.03</v>
      </c>
      <c r="I8413" s="47">
        <v>45478</v>
      </c>
      <c r="J8413" s="73" t="s">
        <v>20516</v>
      </c>
      <c r="K8413" s="48"/>
      <c r="M8413" s="98"/>
      <c r="N8413" s="98"/>
      <c r="O8413" s="48" t="s">
        <v>2091</v>
      </c>
      <c r="P8413" s="45" t="s">
        <v>53</v>
      </c>
      <c r="Q8413" s="45" t="s">
        <v>13</v>
      </c>
      <c r="R8413" s="45" t="s">
        <v>272</v>
      </c>
    </row>
    <row r="8414" spans="1:18" ht="69" customHeight="1">
      <c r="B8414" s="163">
        <f t="shared" si="60"/>
        <v>5533</v>
      </c>
      <c r="C8414" s="59" t="s">
        <v>309</v>
      </c>
      <c r="D8414" s="611" t="s">
        <v>16553</v>
      </c>
      <c r="E8414" s="59" t="s">
        <v>432</v>
      </c>
      <c r="F8414" s="569" t="s">
        <v>20517</v>
      </c>
      <c r="G8414" s="45" t="s">
        <v>20499</v>
      </c>
      <c r="H8414" s="546">
        <v>34317.03</v>
      </c>
      <c r="I8414" s="47">
        <v>45478</v>
      </c>
      <c r="J8414" s="73" t="s">
        <v>20518</v>
      </c>
      <c r="K8414" s="48"/>
      <c r="M8414" s="98"/>
      <c r="N8414" s="98"/>
      <c r="O8414" s="48" t="s">
        <v>2091</v>
      </c>
      <c r="P8414" s="45" t="s">
        <v>53</v>
      </c>
      <c r="Q8414" s="45" t="s">
        <v>18</v>
      </c>
      <c r="R8414" s="45" t="s">
        <v>272</v>
      </c>
    </row>
    <row r="8415" spans="1:18" ht="69" customHeight="1">
      <c r="B8415" s="163">
        <f t="shared" si="60"/>
        <v>5534</v>
      </c>
      <c r="C8415" s="59" t="s">
        <v>309</v>
      </c>
      <c r="D8415" s="611" t="s">
        <v>16564</v>
      </c>
      <c r="E8415" s="59" t="s">
        <v>432</v>
      </c>
      <c r="F8415" s="569" t="s">
        <v>20519</v>
      </c>
      <c r="G8415" s="45" t="s">
        <v>20499</v>
      </c>
      <c r="H8415" s="546">
        <v>34317.03</v>
      </c>
      <c r="I8415" s="47">
        <v>45478</v>
      </c>
      <c r="J8415" s="73" t="s">
        <v>20520</v>
      </c>
      <c r="K8415" s="48"/>
      <c r="M8415" s="98"/>
      <c r="N8415" s="98"/>
      <c r="O8415" s="48" t="s">
        <v>2091</v>
      </c>
      <c r="P8415" s="45" t="s">
        <v>53</v>
      </c>
      <c r="Q8415" s="45" t="s">
        <v>31</v>
      </c>
      <c r="R8415" s="45" t="s">
        <v>272</v>
      </c>
    </row>
    <row r="8416" spans="1:18" ht="69" customHeight="1">
      <c r="B8416" s="164">
        <f t="shared" si="60"/>
        <v>5535</v>
      </c>
      <c r="C8416" s="59" t="s">
        <v>3667</v>
      </c>
      <c r="D8416" s="200" t="s">
        <v>20521</v>
      </c>
      <c r="E8416" s="58" t="s">
        <v>18110</v>
      </c>
      <c r="F8416" s="569" t="s">
        <v>20522</v>
      </c>
      <c r="G8416" s="45" t="s">
        <v>20523</v>
      </c>
      <c r="H8416" s="546">
        <v>29180</v>
      </c>
      <c r="I8416" s="47">
        <v>45417</v>
      </c>
      <c r="J8416" s="73" t="s">
        <v>20524</v>
      </c>
      <c r="K8416" s="62"/>
      <c r="L8416" s="99"/>
      <c r="O8416" s="62" t="s">
        <v>150</v>
      </c>
      <c r="P8416" s="45" t="s">
        <v>51</v>
      </c>
      <c r="Q8416" s="45" t="s">
        <v>66</v>
      </c>
      <c r="R8416" s="45" t="s">
        <v>272</v>
      </c>
    </row>
    <row r="8417" spans="2:18" ht="69" customHeight="1">
      <c r="B8417" s="164">
        <f t="shared" si="60"/>
        <v>5536</v>
      </c>
      <c r="C8417" s="59" t="s">
        <v>3667</v>
      </c>
      <c r="D8417" s="200" t="s">
        <v>20525</v>
      </c>
      <c r="E8417" s="58" t="s">
        <v>18110</v>
      </c>
      <c r="F8417" s="569" t="s">
        <v>20526</v>
      </c>
      <c r="G8417" s="45" t="s">
        <v>20523</v>
      </c>
      <c r="H8417" s="546">
        <v>29180</v>
      </c>
      <c r="I8417" s="47">
        <v>45417</v>
      </c>
      <c r="J8417" s="73" t="s">
        <v>20524</v>
      </c>
      <c r="K8417" s="62"/>
      <c r="L8417" s="99"/>
      <c r="O8417" s="62" t="s">
        <v>150</v>
      </c>
      <c r="P8417" s="45" t="s">
        <v>51</v>
      </c>
      <c r="Q8417" s="45" t="s">
        <v>70</v>
      </c>
      <c r="R8417" s="45" t="s">
        <v>272</v>
      </c>
    </row>
    <row r="8418" spans="2:18" ht="69" customHeight="1">
      <c r="B8418" s="164">
        <f t="shared" si="60"/>
        <v>5537</v>
      </c>
      <c r="C8418" s="178" t="s">
        <v>309</v>
      </c>
      <c r="D8418" s="200" t="s">
        <v>16567</v>
      </c>
      <c r="E8418" s="58" t="s">
        <v>18110</v>
      </c>
      <c r="F8418" s="569" t="s">
        <v>20527</v>
      </c>
      <c r="G8418" s="45" t="s">
        <v>20523</v>
      </c>
      <c r="H8418" s="546">
        <v>29180</v>
      </c>
      <c r="I8418" s="47">
        <v>45417</v>
      </c>
      <c r="J8418" s="73" t="s">
        <v>20524</v>
      </c>
      <c r="K8418" s="62"/>
      <c r="L8418" s="99"/>
      <c r="O8418" s="62" t="s">
        <v>150</v>
      </c>
      <c r="P8418" s="45" t="s">
        <v>51</v>
      </c>
      <c r="Q8418" s="45" t="s">
        <v>31</v>
      </c>
      <c r="R8418" s="45" t="s">
        <v>272</v>
      </c>
    </row>
    <row r="8419" spans="2:18" ht="69" customHeight="1">
      <c r="B8419" s="164">
        <f t="shared" si="60"/>
        <v>5538</v>
      </c>
      <c r="C8419" s="178" t="s">
        <v>309</v>
      </c>
      <c r="D8419" s="200" t="s">
        <v>16571</v>
      </c>
      <c r="E8419" s="58" t="s">
        <v>18110</v>
      </c>
      <c r="F8419" s="569" t="s">
        <v>20528</v>
      </c>
      <c r="G8419" s="45" t="s">
        <v>20523</v>
      </c>
      <c r="H8419" s="546">
        <v>23180</v>
      </c>
      <c r="I8419" s="47">
        <v>45417</v>
      </c>
      <c r="J8419" s="73" t="s">
        <v>20524</v>
      </c>
      <c r="K8419" s="62"/>
      <c r="L8419" s="99"/>
      <c r="O8419" s="62" t="s">
        <v>150</v>
      </c>
      <c r="P8419" s="45" t="s">
        <v>51</v>
      </c>
      <c r="Q8419" s="45" t="s">
        <v>23</v>
      </c>
      <c r="R8419" s="45" t="s">
        <v>272</v>
      </c>
    </row>
    <row r="8420" spans="2:18" ht="69" customHeight="1">
      <c r="B8420" s="313">
        <f t="shared" si="60"/>
        <v>5539</v>
      </c>
      <c r="C8420" s="160" t="s">
        <v>11164</v>
      </c>
      <c r="D8420" s="311" t="s">
        <v>4938</v>
      </c>
      <c r="E8420" s="160" t="s">
        <v>350</v>
      </c>
      <c r="F8420" s="160" t="s">
        <v>20529</v>
      </c>
      <c r="G8420" s="160" t="s">
        <v>20530</v>
      </c>
      <c r="H8420" s="300">
        <v>24760.3</v>
      </c>
      <c r="I8420" s="209">
        <v>45417</v>
      </c>
      <c r="J8420" s="316" t="s">
        <v>20531</v>
      </c>
      <c r="K8420" s="160" t="s">
        <v>11084</v>
      </c>
      <c r="L8420" s="99"/>
      <c r="O8420" s="259" t="s">
        <v>141</v>
      </c>
      <c r="P8420" s="160" t="s">
        <v>67</v>
      </c>
      <c r="Q8420" s="160" t="s">
        <v>96</v>
      </c>
      <c r="R8420" s="160" t="s">
        <v>272</v>
      </c>
    </row>
    <row r="8421" spans="2:18" ht="69" customHeight="1">
      <c r="B8421" s="164">
        <f t="shared" si="60"/>
        <v>5540</v>
      </c>
      <c r="C8421" s="178" t="s">
        <v>309</v>
      </c>
      <c r="D8421" s="200" t="s">
        <v>19749</v>
      </c>
      <c r="E8421" s="58" t="s">
        <v>18110</v>
      </c>
      <c r="F8421" s="58" t="s">
        <v>20532</v>
      </c>
      <c r="G8421" s="45" t="s">
        <v>20533</v>
      </c>
      <c r="H8421" s="546">
        <v>3862.63</v>
      </c>
      <c r="I8421" s="47">
        <v>45417</v>
      </c>
      <c r="J8421" s="73" t="s">
        <v>20534</v>
      </c>
      <c r="K8421" s="62"/>
      <c r="L8421" s="99"/>
      <c r="O8421" s="62" t="s">
        <v>150</v>
      </c>
      <c r="P8421" s="45" t="s">
        <v>51</v>
      </c>
      <c r="Q8421" s="45" t="s">
        <v>31</v>
      </c>
      <c r="R8421" s="45" t="s">
        <v>272</v>
      </c>
    </row>
    <row r="8422" spans="2:18" ht="69" customHeight="1">
      <c r="B8422" s="164">
        <f t="shared" si="60"/>
        <v>5541</v>
      </c>
      <c r="C8422" s="59" t="s">
        <v>3667</v>
      </c>
      <c r="D8422" s="200" t="s">
        <v>20535</v>
      </c>
      <c r="E8422" s="58" t="s">
        <v>18110</v>
      </c>
      <c r="F8422" s="58" t="s">
        <v>20536</v>
      </c>
      <c r="G8422" s="45" t="s">
        <v>20533</v>
      </c>
      <c r="H8422" s="546">
        <v>3862.63</v>
      </c>
      <c r="I8422" s="47">
        <v>45417</v>
      </c>
      <c r="J8422" s="73" t="s">
        <v>20534</v>
      </c>
      <c r="K8422" s="62"/>
      <c r="L8422" s="99"/>
      <c r="O8422" s="62" t="s">
        <v>150</v>
      </c>
      <c r="P8422" s="45" t="s">
        <v>51</v>
      </c>
      <c r="Q8422" s="45" t="s">
        <v>84</v>
      </c>
      <c r="R8422" s="45" t="s">
        <v>272</v>
      </c>
    </row>
    <row r="8423" spans="2:18" ht="69" customHeight="1">
      <c r="B8423" s="164">
        <f t="shared" si="60"/>
        <v>5542</v>
      </c>
      <c r="C8423" s="59" t="s">
        <v>3667</v>
      </c>
      <c r="D8423" s="200" t="s">
        <v>20537</v>
      </c>
      <c r="E8423" s="58" t="s">
        <v>18110</v>
      </c>
      <c r="F8423" s="569" t="s">
        <v>20538</v>
      </c>
      <c r="G8423" s="45" t="s">
        <v>20539</v>
      </c>
      <c r="H8423" s="546">
        <v>29180</v>
      </c>
      <c r="I8423" s="47">
        <v>45417</v>
      </c>
      <c r="J8423" s="73" t="s">
        <v>20540</v>
      </c>
      <c r="K8423" s="62"/>
      <c r="L8423" s="99"/>
      <c r="O8423" s="62" t="s">
        <v>150</v>
      </c>
      <c r="P8423" s="45" t="s">
        <v>51</v>
      </c>
      <c r="Q8423" s="45" t="s">
        <v>84</v>
      </c>
      <c r="R8423" s="45" t="s">
        <v>272</v>
      </c>
    </row>
    <row r="8424" spans="2:18" ht="69" customHeight="1">
      <c r="B8424" s="185">
        <f t="shared" si="60"/>
        <v>5543</v>
      </c>
      <c r="C8424" s="51" t="s">
        <v>19257</v>
      </c>
      <c r="D8424" s="539" t="s">
        <v>20541</v>
      </c>
      <c r="E8424" s="191" t="s">
        <v>266</v>
      </c>
      <c r="F8424" s="211" t="s">
        <v>20542</v>
      </c>
      <c r="G8424" s="46" t="s">
        <v>20543</v>
      </c>
      <c r="H8424" s="534">
        <v>11390</v>
      </c>
      <c r="I8424" s="56">
        <v>45417</v>
      </c>
      <c r="J8424" s="199" t="s">
        <v>20544</v>
      </c>
      <c r="K8424" s="52"/>
      <c r="L8424" s="99"/>
      <c r="O8424" s="52" t="s">
        <v>19899</v>
      </c>
      <c r="P8424" s="46" t="s">
        <v>65</v>
      </c>
      <c r="Q8424" s="46" t="s">
        <v>95</v>
      </c>
      <c r="R8424" s="46" t="s">
        <v>272</v>
      </c>
    </row>
    <row r="8425" spans="2:18" ht="69" customHeight="1">
      <c r="B8425" s="185">
        <f t="shared" si="60"/>
        <v>5544</v>
      </c>
      <c r="C8425" s="51" t="s">
        <v>19266</v>
      </c>
      <c r="D8425" s="539" t="s">
        <v>20545</v>
      </c>
      <c r="E8425" s="191" t="s">
        <v>266</v>
      </c>
      <c r="F8425" s="211" t="s">
        <v>20546</v>
      </c>
      <c r="G8425" s="46" t="s">
        <v>20543</v>
      </c>
      <c r="H8425" s="534">
        <v>11390</v>
      </c>
      <c r="I8425" s="56">
        <v>45417</v>
      </c>
      <c r="J8425" s="199" t="s">
        <v>20544</v>
      </c>
      <c r="K8425" s="52"/>
      <c r="L8425" s="99"/>
      <c r="O8425" s="52" t="s">
        <v>19899</v>
      </c>
      <c r="P8425" s="46" t="s">
        <v>65</v>
      </c>
      <c r="Q8425" s="46" t="s">
        <v>93</v>
      </c>
      <c r="R8425" s="46" t="s">
        <v>272</v>
      </c>
    </row>
    <row r="8426" spans="2:18" ht="69" customHeight="1">
      <c r="B8426" s="185">
        <f t="shared" si="60"/>
        <v>5545</v>
      </c>
      <c r="C8426" s="191" t="s">
        <v>309</v>
      </c>
      <c r="D8426" s="539" t="s">
        <v>16667</v>
      </c>
      <c r="E8426" s="191" t="s">
        <v>266</v>
      </c>
      <c r="F8426" s="46" t="s">
        <v>20547</v>
      </c>
      <c r="G8426" s="46" t="s">
        <v>20548</v>
      </c>
      <c r="H8426" s="534">
        <v>21999.96</v>
      </c>
      <c r="I8426" s="56">
        <v>45417</v>
      </c>
      <c r="J8426" s="199" t="s">
        <v>20549</v>
      </c>
      <c r="K8426" s="52"/>
      <c r="L8426" s="99"/>
      <c r="O8426" s="52" t="s">
        <v>20550</v>
      </c>
      <c r="P8426" s="46" t="s">
        <v>65</v>
      </c>
      <c r="Q8426" s="46" t="s">
        <v>15</v>
      </c>
      <c r="R8426" s="46" t="s">
        <v>272</v>
      </c>
    </row>
    <row r="8427" spans="2:18" ht="69" customHeight="1">
      <c r="B8427" s="185">
        <f t="shared" si="60"/>
        <v>5546</v>
      </c>
      <c r="C8427" s="191" t="s">
        <v>15700</v>
      </c>
      <c r="D8427" s="539" t="s">
        <v>19756</v>
      </c>
      <c r="E8427" s="191" t="s">
        <v>266</v>
      </c>
      <c r="F8427" s="46" t="s">
        <v>20551</v>
      </c>
      <c r="G8427" s="46" t="s">
        <v>20552</v>
      </c>
      <c r="H8427" s="534">
        <v>3000</v>
      </c>
      <c r="I8427" s="56">
        <v>45417</v>
      </c>
      <c r="J8427" s="199" t="s">
        <v>20553</v>
      </c>
      <c r="K8427" s="52"/>
      <c r="L8427" s="99"/>
      <c r="O8427" s="52"/>
      <c r="P8427" s="46" t="s">
        <v>65</v>
      </c>
      <c r="Q8427" s="46" t="s">
        <v>39</v>
      </c>
      <c r="R8427" s="46" t="s">
        <v>272</v>
      </c>
    </row>
    <row r="8428" spans="2:18" ht="69" customHeight="1">
      <c r="B8428" s="164">
        <f t="shared" si="60"/>
        <v>5547</v>
      </c>
      <c r="C8428" s="59" t="s">
        <v>7189</v>
      </c>
      <c r="D8428" s="200" t="s">
        <v>6225</v>
      </c>
      <c r="E8428" s="58" t="s">
        <v>19072</v>
      </c>
      <c r="F8428" s="569" t="s">
        <v>20554</v>
      </c>
      <c r="G8428" s="45" t="s">
        <v>19070</v>
      </c>
      <c r="H8428" s="546">
        <v>119449.17</v>
      </c>
      <c r="I8428" s="47">
        <v>45417</v>
      </c>
      <c r="J8428" s="73" t="s">
        <v>20555</v>
      </c>
      <c r="K8428" s="62"/>
      <c r="L8428" s="99"/>
      <c r="O8428" s="62" t="s">
        <v>208</v>
      </c>
      <c r="P8428" s="45" t="s">
        <v>57</v>
      </c>
      <c r="Q8428" s="45" t="s">
        <v>97</v>
      </c>
      <c r="R8428" s="45" t="s">
        <v>272</v>
      </c>
    </row>
    <row r="8429" spans="2:18" ht="69" customHeight="1">
      <c r="B8429" s="313">
        <f t="shared" si="60"/>
        <v>5548</v>
      </c>
      <c r="C8429" s="207" t="s">
        <v>458</v>
      </c>
      <c r="D8429" s="311" t="s">
        <v>20556</v>
      </c>
      <c r="E8429" s="207" t="s">
        <v>266</v>
      </c>
      <c r="F8429" s="160" t="s">
        <v>20557</v>
      </c>
      <c r="G8429" s="160" t="s">
        <v>20558</v>
      </c>
      <c r="H8429" s="300">
        <v>866.22</v>
      </c>
      <c r="I8429" s="209">
        <v>45417</v>
      </c>
      <c r="J8429" s="316" t="s">
        <v>20559</v>
      </c>
      <c r="K8429" s="160" t="s">
        <v>17689</v>
      </c>
      <c r="L8429" s="99"/>
      <c r="O8429" s="259"/>
      <c r="P8429" s="160" t="s">
        <v>67</v>
      </c>
      <c r="Q8429" s="160" t="s">
        <v>96</v>
      </c>
      <c r="R8429" s="160" t="s">
        <v>272</v>
      </c>
    </row>
    <row r="8430" spans="2:18" ht="69" customHeight="1">
      <c r="B8430" s="313">
        <f t="shared" si="60"/>
        <v>5549</v>
      </c>
      <c r="C8430" s="207" t="s">
        <v>458</v>
      </c>
      <c r="D8430" s="311" t="s">
        <v>20560</v>
      </c>
      <c r="E8430" s="207" t="s">
        <v>266</v>
      </c>
      <c r="F8430" s="160" t="s">
        <v>20561</v>
      </c>
      <c r="G8430" s="160" t="s">
        <v>20558</v>
      </c>
      <c r="H8430" s="300">
        <v>4454.6099999999997</v>
      </c>
      <c r="I8430" s="209">
        <v>45417</v>
      </c>
      <c r="J8430" s="316" t="s">
        <v>20562</v>
      </c>
      <c r="K8430" s="160" t="s">
        <v>17689</v>
      </c>
      <c r="L8430" s="99"/>
      <c r="O8430" s="259"/>
      <c r="P8430" s="160" t="s">
        <v>67</v>
      </c>
      <c r="Q8430" s="160" t="s">
        <v>96</v>
      </c>
      <c r="R8430" s="160" t="s">
        <v>272</v>
      </c>
    </row>
    <row r="8431" spans="2:18" ht="69" customHeight="1">
      <c r="B8431" s="164">
        <f t="shared" si="60"/>
        <v>5550</v>
      </c>
      <c r="C8431" s="59" t="s">
        <v>458</v>
      </c>
      <c r="D8431" s="200" t="s">
        <v>20563</v>
      </c>
      <c r="E8431" s="58" t="s">
        <v>350</v>
      </c>
      <c r="F8431" s="569" t="s">
        <v>20564</v>
      </c>
      <c r="G8431" s="45" t="s">
        <v>20565</v>
      </c>
      <c r="H8431" s="546">
        <v>146865.60000000001</v>
      </c>
      <c r="I8431" s="47">
        <v>45417</v>
      </c>
      <c r="J8431" s="73" t="s">
        <v>20566</v>
      </c>
      <c r="K8431" s="62"/>
      <c r="L8431" s="99"/>
      <c r="O8431" s="62" t="s">
        <v>141</v>
      </c>
      <c r="P8431" s="45" t="s">
        <v>19</v>
      </c>
      <c r="Q8431" s="45" t="s">
        <v>123</v>
      </c>
      <c r="R8431" s="45" t="s">
        <v>265</v>
      </c>
    </row>
    <row r="8432" spans="2:18" ht="69" customHeight="1">
      <c r="B8432" s="164">
        <f t="shared" si="60"/>
        <v>5551</v>
      </c>
      <c r="C8432" s="59" t="s">
        <v>15700</v>
      </c>
      <c r="D8432" s="545" t="s">
        <v>19790</v>
      </c>
      <c r="E8432" s="58" t="s">
        <v>15627</v>
      </c>
      <c r="F8432" s="569" t="s">
        <v>20567</v>
      </c>
      <c r="G8432" s="58" t="s">
        <v>20568</v>
      </c>
      <c r="H8432" s="546">
        <v>45000</v>
      </c>
      <c r="I8432" s="47">
        <v>45417</v>
      </c>
      <c r="J8432" s="73" t="s">
        <v>20569</v>
      </c>
      <c r="K8432" s="62"/>
      <c r="L8432" s="99"/>
      <c r="O8432" s="62" t="s">
        <v>192</v>
      </c>
      <c r="P8432" s="45" t="s">
        <v>75</v>
      </c>
      <c r="Q8432" s="45" t="s">
        <v>39</v>
      </c>
      <c r="R8432" s="45" t="s">
        <v>272</v>
      </c>
    </row>
    <row r="8433" spans="1:18" ht="69" customHeight="1">
      <c r="B8433" s="185">
        <f t="shared" si="60"/>
        <v>5552</v>
      </c>
      <c r="C8433" s="191" t="s">
        <v>657</v>
      </c>
      <c r="D8433" s="251" t="s">
        <v>10613</v>
      </c>
      <c r="E8433" s="191" t="s">
        <v>266</v>
      </c>
      <c r="F8433" s="211" t="s">
        <v>20570</v>
      </c>
      <c r="G8433" s="46" t="s">
        <v>20571</v>
      </c>
      <c r="H8433" s="534">
        <v>20000</v>
      </c>
      <c r="I8433" s="56">
        <v>45417</v>
      </c>
      <c r="J8433" s="199" t="s">
        <v>20572</v>
      </c>
      <c r="K8433" s="211"/>
      <c r="L8433" s="99"/>
      <c r="O8433" s="46" t="s">
        <v>1171</v>
      </c>
      <c r="P8433" s="46" t="s">
        <v>71</v>
      </c>
      <c r="Q8433" s="46" t="s">
        <v>104</v>
      </c>
      <c r="R8433" s="46" t="s">
        <v>272</v>
      </c>
    </row>
    <row r="8434" spans="1:18" ht="69" customHeight="1">
      <c r="B8434" s="185">
        <f t="shared" si="60"/>
        <v>5553</v>
      </c>
      <c r="C8434" s="46" t="s">
        <v>16973</v>
      </c>
      <c r="D8434" s="251" t="s">
        <v>20573</v>
      </c>
      <c r="E8434" s="191" t="s">
        <v>266</v>
      </c>
      <c r="F8434" s="211" t="s">
        <v>20574</v>
      </c>
      <c r="G8434" s="46" t="s">
        <v>20571</v>
      </c>
      <c r="H8434" s="534">
        <v>21527.72</v>
      </c>
      <c r="I8434" s="56">
        <v>45417</v>
      </c>
      <c r="J8434" s="199" t="s">
        <v>20572</v>
      </c>
      <c r="K8434" s="52"/>
      <c r="L8434" s="99"/>
      <c r="O8434" s="46" t="s">
        <v>1171</v>
      </c>
      <c r="P8434" s="46" t="s">
        <v>71</v>
      </c>
      <c r="Q8434" s="46" t="s">
        <v>113</v>
      </c>
      <c r="R8434" s="46" t="s">
        <v>272</v>
      </c>
    </row>
    <row r="8435" spans="1:18" ht="69" customHeight="1">
      <c r="B8435" s="185">
        <f t="shared" si="60"/>
        <v>5554</v>
      </c>
      <c r="C8435" s="191" t="s">
        <v>657</v>
      </c>
      <c r="D8435" s="539" t="s">
        <v>10601</v>
      </c>
      <c r="E8435" s="191" t="s">
        <v>266</v>
      </c>
      <c r="F8435" s="211" t="s">
        <v>20575</v>
      </c>
      <c r="G8435" s="46" t="s">
        <v>20571</v>
      </c>
      <c r="H8435" s="534">
        <v>22212.39</v>
      </c>
      <c r="I8435" s="56">
        <v>45417</v>
      </c>
      <c r="J8435" s="199" t="s">
        <v>20572</v>
      </c>
      <c r="K8435" s="52"/>
      <c r="L8435" s="99"/>
      <c r="O8435" s="46" t="s">
        <v>1171</v>
      </c>
      <c r="P8435" s="46" t="s">
        <v>71</v>
      </c>
      <c r="Q8435" s="46" t="s">
        <v>97</v>
      </c>
      <c r="R8435" s="46" t="s">
        <v>272</v>
      </c>
    </row>
    <row r="8436" spans="1:18" ht="69" customHeight="1">
      <c r="B8436" s="185">
        <f t="shared" si="60"/>
        <v>5555</v>
      </c>
      <c r="C8436" s="46" t="s">
        <v>16973</v>
      </c>
      <c r="D8436" s="539" t="s">
        <v>20576</v>
      </c>
      <c r="E8436" s="191" t="s">
        <v>266</v>
      </c>
      <c r="F8436" s="211" t="s">
        <v>20577</v>
      </c>
      <c r="G8436" s="46" t="s">
        <v>20571</v>
      </c>
      <c r="H8436" s="534">
        <v>21527.72</v>
      </c>
      <c r="I8436" s="56">
        <v>45417</v>
      </c>
      <c r="J8436" s="199" t="s">
        <v>20578</v>
      </c>
      <c r="K8436" s="52"/>
      <c r="L8436" s="99"/>
      <c r="O8436" s="46" t="s">
        <v>1171</v>
      </c>
      <c r="P8436" s="46" t="s">
        <v>71</v>
      </c>
      <c r="Q8436" s="46" t="s">
        <v>113</v>
      </c>
      <c r="R8436" s="46" t="s">
        <v>272</v>
      </c>
    </row>
    <row r="8437" spans="1:18" ht="69" customHeight="1">
      <c r="B8437" s="185">
        <f t="shared" si="60"/>
        <v>5556</v>
      </c>
      <c r="C8437" s="191" t="s">
        <v>657</v>
      </c>
      <c r="D8437" s="539" t="s">
        <v>14055</v>
      </c>
      <c r="E8437" s="191" t="s">
        <v>266</v>
      </c>
      <c r="F8437" s="211" t="s">
        <v>20579</v>
      </c>
      <c r="G8437" s="46" t="s">
        <v>20571</v>
      </c>
      <c r="H8437" s="534">
        <v>22212.39</v>
      </c>
      <c r="I8437" s="56">
        <v>45417</v>
      </c>
      <c r="J8437" s="199" t="s">
        <v>20578</v>
      </c>
      <c r="K8437" s="52"/>
      <c r="L8437" s="99"/>
      <c r="O8437" s="46" t="s">
        <v>1171</v>
      </c>
      <c r="P8437" s="46" t="s">
        <v>71</v>
      </c>
      <c r="Q8437" s="46" t="s">
        <v>97</v>
      </c>
      <c r="R8437" s="46" t="s">
        <v>272</v>
      </c>
    </row>
    <row r="8438" spans="1:18" s="98" customFormat="1" ht="69" customHeight="1">
      <c r="A8438" s="169"/>
      <c r="B8438" s="185">
        <f t="shared" si="60"/>
        <v>5557</v>
      </c>
      <c r="C8438" s="191" t="s">
        <v>657</v>
      </c>
      <c r="D8438" s="539" t="s">
        <v>20580</v>
      </c>
      <c r="E8438" s="191" t="s">
        <v>266</v>
      </c>
      <c r="F8438" s="211" t="s">
        <v>20581</v>
      </c>
      <c r="G8438" s="46" t="s">
        <v>20571</v>
      </c>
      <c r="H8438" s="534">
        <v>20000</v>
      </c>
      <c r="I8438" s="56">
        <v>45437</v>
      </c>
      <c r="J8438" s="199" t="s">
        <v>20578</v>
      </c>
      <c r="K8438" s="211"/>
      <c r="O8438" s="46" t="s">
        <v>1171</v>
      </c>
      <c r="P8438" s="46" t="s">
        <v>71</v>
      </c>
      <c r="Q8438" s="46" t="s">
        <v>104</v>
      </c>
      <c r="R8438" s="46" t="s">
        <v>272</v>
      </c>
    </row>
    <row r="8439" spans="1:18" ht="69" customHeight="1">
      <c r="B8439" s="185">
        <f t="shared" si="60"/>
        <v>5558</v>
      </c>
      <c r="C8439" s="630" t="s">
        <v>11568</v>
      </c>
      <c r="D8439" s="539" t="s">
        <v>20582</v>
      </c>
      <c r="E8439" s="191" t="s">
        <v>266</v>
      </c>
      <c r="F8439" s="211" t="s">
        <v>20583</v>
      </c>
      <c r="G8439" s="46" t="s">
        <v>20571</v>
      </c>
      <c r="H8439" s="534">
        <v>20000</v>
      </c>
      <c r="I8439" s="56">
        <v>45417</v>
      </c>
      <c r="J8439" s="199" t="s">
        <v>20578</v>
      </c>
      <c r="K8439" s="52"/>
      <c r="L8439" s="99"/>
      <c r="O8439" s="46" t="s">
        <v>1171</v>
      </c>
      <c r="P8439" s="46" t="s">
        <v>71</v>
      </c>
      <c r="Q8439" s="46" t="s">
        <v>107</v>
      </c>
      <c r="R8439" s="46" t="s">
        <v>272</v>
      </c>
    </row>
    <row r="8440" spans="1:18" ht="69" customHeight="1">
      <c r="B8440" s="73">
        <f t="shared" si="60"/>
        <v>5559</v>
      </c>
      <c r="C8440" s="201" t="s">
        <v>11058</v>
      </c>
      <c r="D8440" s="611" t="s">
        <v>20584</v>
      </c>
      <c r="E8440" s="58" t="s">
        <v>15627</v>
      </c>
      <c r="F8440" s="569" t="s">
        <v>20585</v>
      </c>
      <c r="G8440" s="45" t="s">
        <v>20568</v>
      </c>
      <c r="H8440" s="546">
        <v>40000</v>
      </c>
      <c r="I8440" s="47">
        <v>45417</v>
      </c>
      <c r="J8440" s="73" t="s">
        <v>20586</v>
      </c>
      <c r="K8440" s="569"/>
      <c r="L8440" s="99"/>
      <c r="O8440" s="48" t="s">
        <v>192</v>
      </c>
      <c r="P8440" s="45" t="s">
        <v>75</v>
      </c>
      <c r="Q8440" s="45" t="s">
        <v>23</v>
      </c>
      <c r="R8440" s="45" t="s">
        <v>265</v>
      </c>
    </row>
    <row r="8441" spans="1:18" ht="69" customHeight="1">
      <c r="B8441" s="314">
        <f t="shared" si="60"/>
        <v>5560</v>
      </c>
      <c r="C8441" s="326" t="s">
        <v>16368</v>
      </c>
      <c r="D8441" s="311" t="s">
        <v>669</v>
      </c>
      <c r="E8441" s="207" t="s">
        <v>266</v>
      </c>
      <c r="F8441" s="208" t="s">
        <v>20587</v>
      </c>
      <c r="G8441" s="160" t="s">
        <v>20588</v>
      </c>
      <c r="H8441" s="300">
        <v>1941.3</v>
      </c>
      <c r="I8441" s="209">
        <v>45417</v>
      </c>
      <c r="J8441" s="316" t="s">
        <v>20589</v>
      </c>
      <c r="K8441" s="259" t="s">
        <v>20590</v>
      </c>
      <c r="L8441" s="99"/>
      <c r="O8441" s="259" t="s">
        <v>15347</v>
      </c>
      <c r="P8441" s="160" t="s">
        <v>67</v>
      </c>
      <c r="Q8441" s="160" t="s">
        <v>96</v>
      </c>
      <c r="R8441" s="160" t="s">
        <v>272</v>
      </c>
    </row>
    <row r="8442" spans="1:18" ht="69" customHeight="1">
      <c r="B8442" s="313">
        <f t="shared" si="60"/>
        <v>5561</v>
      </c>
      <c r="C8442" s="326" t="s">
        <v>16368</v>
      </c>
      <c r="D8442" s="311" t="s">
        <v>1293</v>
      </c>
      <c r="E8442" s="207" t="s">
        <v>266</v>
      </c>
      <c r="F8442" s="208" t="s">
        <v>20587</v>
      </c>
      <c r="G8442" s="160" t="s">
        <v>20591</v>
      </c>
      <c r="H8442" s="300">
        <v>2634.21</v>
      </c>
      <c r="I8442" s="209">
        <v>45417</v>
      </c>
      <c r="J8442" s="316" t="s">
        <v>20589</v>
      </c>
      <c r="K8442" s="259" t="s">
        <v>20590</v>
      </c>
      <c r="L8442" s="99"/>
      <c r="O8442" s="259" t="s">
        <v>15347</v>
      </c>
      <c r="P8442" s="160" t="s">
        <v>67</v>
      </c>
      <c r="Q8442" s="160" t="s">
        <v>96</v>
      </c>
      <c r="R8442" s="160" t="s">
        <v>272</v>
      </c>
    </row>
    <row r="8443" spans="1:18" ht="69" customHeight="1">
      <c r="B8443" s="313">
        <f t="shared" si="60"/>
        <v>5562</v>
      </c>
      <c r="C8443" s="326" t="s">
        <v>16368</v>
      </c>
      <c r="D8443" s="311" t="s">
        <v>1514</v>
      </c>
      <c r="E8443" s="207" t="s">
        <v>266</v>
      </c>
      <c r="F8443" s="208" t="s">
        <v>20587</v>
      </c>
      <c r="G8443" s="160" t="s">
        <v>20592</v>
      </c>
      <c r="H8443" s="300">
        <v>2261.7399999999998</v>
      </c>
      <c r="I8443" s="209">
        <v>45417</v>
      </c>
      <c r="J8443" s="316" t="s">
        <v>20589</v>
      </c>
      <c r="K8443" s="259" t="s">
        <v>20590</v>
      </c>
      <c r="L8443" s="99"/>
      <c r="O8443" s="259" t="s">
        <v>15347</v>
      </c>
      <c r="P8443" s="160" t="s">
        <v>67</v>
      </c>
      <c r="Q8443" s="160" t="s">
        <v>96</v>
      </c>
      <c r="R8443" s="160" t="s">
        <v>272</v>
      </c>
    </row>
    <row r="8444" spans="1:18" ht="69" customHeight="1">
      <c r="B8444" s="313">
        <f t="shared" si="60"/>
        <v>5563</v>
      </c>
      <c r="C8444" s="326" t="s">
        <v>16368</v>
      </c>
      <c r="D8444" s="311" t="s">
        <v>2961</v>
      </c>
      <c r="E8444" s="207" t="s">
        <v>266</v>
      </c>
      <c r="F8444" s="208" t="s">
        <v>20587</v>
      </c>
      <c r="G8444" s="160" t="s">
        <v>20593</v>
      </c>
      <c r="H8444" s="300">
        <v>1201.0999999999999</v>
      </c>
      <c r="I8444" s="209">
        <v>45417</v>
      </c>
      <c r="J8444" s="316" t="s">
        <v>20589</v>
      </c>
      <c r="K8444" s="259" t="s">
        <v>20590</v>
      </c>
      <c r="L8444" s="99"/>
      <c r="O8444" s="259" t="s">
        <v>15347</v>
      </c>
      <c r="P8444" s="160" t="s">
        <v>67</v>
      </c>
      <c r="Q8444" s="160" t="s">
        <v>96</v>
      </c>
      <c r="R8444" s="160" t="s">
        <v>272</v>
      </c>
    </row>
    <row r="8445" spans="1:18" ht="69" customHeight="1">
      <c r="B8445" s="185">
        <f t="shared" si="60"/>
        <v>5564</v>
      </c>
      <c r="C8445" s="191" t="s">
        <v>309</v>
      </c>
      <c r="D8445" s="539" t="s">
        <v>20594</v>
      </c>
      <c r="E8445" s="191" t="s">
        <v>266</v>
      </c>
      <c r="F8445" s="211" t="s">
        <v>20595</v>
      </c>
      <c r="G8445" s="46" t="s">
        <v>20596</v>
      </c>
      <c r="H8445" s="534">
        <v>16200</v>
      </c>
      <c r="I8445" s="56">
        <v>45417</v>
      </c>
      <c r="J8445" s="199" t="s">
        <v>20597</v>
      </c>
      <c r="K8445" s="52"/>
      <c r="L8445" s="99"/>
      <c r="O8445" s="52" t="s">
        <v>20598</v>
      </c>
      <c r="P8445" s="46" t="s">
        <v>65</v>
      </c>
      <c r="Q8445" s="46" t="s">
        <v>23</v>
      </c>
      <c r="R8445" s="46" t="s">
        <v>272</v>
      </c>
    </row>
    <row r="8446" spans="1:18" s="98" customFormat="1" ht="69" customHeight="1">
      <c r="A8446" s="169"/>
      <c r="B8446" s="163">
        <f t="shared" si="60"/>
        <v>5565</v>
      </c>
      <c r="C8446" s="45" t="s">
        <v>581</v>
      </c>
      <c r="D8446" s="84" t="s">
        <v>20599</v>
      </c>
      <c r="E8446" s="45" t="s">
        <v>15202</v>
      </c>
      <c r="F8446" s="45" t="s">
        <v>20600</v>
      </c>
      <c r="G8446" s="45" t="s">
        <v>20601</v>
      </c>
      <c r="H8446" s="546">
        <v>164771.5</v>
      </c>
      <c r="I8446" s="47">
        <v>45417</v>
      </c>
      <c r="J8446" s="73" t="s">
        <v>20602</v>
      </c>
      <c r="K8446" s="48"/>
      <c r="O8446" s="48" t="s">
        <v>175</v>
      </c>
      <c r="P8446" s="45" t="s">
        <v>57</v>
      </c>
      <c r="Q8446" s="45" t="s">
        <v>18</v>
      </c>
      <c r="R8446" s="45" t="s">
        <v>272</v>
      </c>
    </row>
    <row r="8447" spans="1:18" ht="69" customHeight="1">
      <c r="B8447" s="185">
        <f t="shared" si="60"/>
        <v>5566</v>
      </c>
      <c r="C8447" s="191" t="s">
        <v>13435</v>
      </c>
      <c r="D8447" s="539" t="s">
        <v>20603</v>
      </c>
      <c r="E8447" s="191" t="s">
        <v>266</v>
      </c>
      <c r="F8447" s="46" t="s">
        <v>20604</v>
      </c>
      <c r="G8447" s="46" t="s">
        <v>20605</v>
      </c>
      <c r="H8447" s="534">
        <v>24000</v>
      </c>
      <c r="I8447" s="56">
        <v>45417</v>
      </c>
      <c r="J8447" s="199" t="s">
        <v>20606</v>
      </c>
      <c r="K8447" s="52"/>
      <c r="L8447" s="99"/>
      <c r="O8447" s="52" t="s">
        <v>175</v>
      </c>
      <c r="P8447" s="46" t="s">
        <v>65</v>
      </c>
      <c r="Q8447" s="46" t="s">
        <v>13</v>
      </c>
      <c r="R8447" s="46" t="s">
        <v>272</v>
      </c>
    </row>
    <row r="8448" spans="1:18" ht="69" customHeight="1">
      <c r="B8448" s="164">
        <f t="shared" si="60"/>
        <v>5567</v>
      </c>
      <c r="C8448" s="58" t="s">
        <v>581</v>
      </c>
      <c r="D8448" s="200" t="s">
        <v>19576</v>
      </c>
      <c r="E8448" s="58" t="s">
        <v>20458</v>
      </c>
      <c r="F8448" s="58" t="s">
        <v>20607</v>
      </c>
      <c r="G8448" s="45" t="s">
        <v>20608</v>
      </c>
      <c r="H8448" s="546">
        <v>31920</v>
      </c>
      <c r="I8448" s="47">
        <v>45417</v>
      </c>
      <c r="J8448" s="73" t="s">
        <v>20609</v>
      </c>
      <c r="K8448" s="62"/>
      <c r="L8448" s="99"/>
      <c r="O8448" s="62" t="s">
        <v>441</v>
      </c>
      <c r="P8448" s="45" t="s">
        <v>22</v>
      </c>
      <c r="Q8448" s="45" t="s">
        <v>18</v>
      </c>
      <c r="R8448" s="45" t="s">
        <v>265</v>
      </c>
    </row>
    <row r="8449" spans="1:18" ht="69" customHeight="1">
      <c r="B8449" s="164">
        <f t="shared" si="60"/>
        <v>5568</v>
      </c>
      <c r="C8449" s="58" t="s">
        <v>581</v>
      </c>
      <c r="D8449" s="200" t="s">
        <v>16660</v>
      </c>
      <c r="E8449" s="58" t="s">
        <v>20458</v>
      </c>
      <c r="F8449" s="58" t="s">
        <v>20610</v>
      </c>
      <c r="G8449" s="45" t="s">
        <v>20611</v>
      </c>
      <c r="H8449" s="546">
        <v>43080</v>
      </c>
      <c r="I8449" s="47">
        <v>45417</v>
      </c>
      <c r="J8449" s="73" t="s">
        <v>20612</v>
      </c>
      <c r="K8449" s="62"/>
      <c r="L8449" s="99"/>
      <c r="O8449" s="62" t="s">
        <v>441</v>
      </c>
      <c r="P8449" s="45" t="s">
        <v>22</v>
      </c>
      <c r="Q8449" s="45" t="s">
        <v>18</v>
      </c>
      <c r="R8449" s="45" t="s">
        <v>265</v>
      </c>
    </row>
    <row r="8450" spans="1:18" s="98" customFormat="1" ht="69" customHeight="1">
      <c r="A8450" s="169"/>
      <c r="B8450" s="313">
        <f t="shared" si="60"/>
        <v>5569</v>
      </c>
      <c r="C8450" s="207" t="s">
        <v>309</v>
      </c>
      <c r="D8450" s="303" t="s">
        <v>16664</v>
      </c>
      <c r="E8450" s="207" t="s">
        <v>16276</v>
      </c>
      <c r="F8450" s="208" t="s">
        <v>20613</v>
      </c>
      <c r="G8450" s="160" t="s">
        <v>20614</v>
      </c>
      <c r="H8450" s="300">
        <v>15335.28</v>
      </c>
      <c r="I8450" s="209">
        <v>45417</v>
      </c>
      <c r="J8450" s="316" t="s">
        <v>20615</v>
      </c>
      <c r="K8450" s="259"/>
      <c r="O8450" s="259" t="s">
        <v>11192</v>
      </c>
      <c r="P8450" s="160" t="s">
        <v>67</v>
      </c>
      <c r="Q8450" s="160" t="s">
        <v>15</v>
      </c>
      <c r="R8450" s="160" t="s">
        <v>272</v>
      </c>
    </row>
    <row r="8451" spans="1:18" s="98" customFormat="1" ht="69" customHeight="1">
      <c r="A8451" s="169"/>
      <c r="B8451" s="313">
        <f t="shared" si="60"/>
        <v>5570</v>
      </c>
      <c r="C8451" s="160" t="s">
        <v>657</v>
      </c>
      <c r="D8451" s="303" t="s">
        <v>10585</v>
      </c>
      <c r="E8451" s="207" t="s">
        <v>16276</v>
      </c>
      <c r="F8451" s="208" t="s">
        <v>20616</v>
      </c>
      <c r="G8451" s="160" t="s">
        <v>20614</v>
      </c>
      <c r="H8451" s="300">
        <v>11041.39</v>
      </c>
      <c r="I8451" s="209">
        <v>45417</v>
      </c>
      <c r="J8451" s="316" t="s">
        <v>20615</v>
      </c>
      <c r="K8451" s="259"/>
      <c r="O8451" s="259" t="s">
        <v>11192</v>
      </c>
      <c r="P8451" s="160" t="s">
        <v>67</v>
      </c>
      <c r="Q8451" s="160" t="s">
        <v>99</v>
      </c>
      <c r="R8451" s="160" t="s">
        <v>272</v>
      </c>
    </row>
    <row r="8452" spans="1:18" s="98" customFormat="1" ht="69" customHeight="1">
      <c r="A8452" s="169"/>
      <c r="B8452" s="313">
        <f t="shared" si="60"/>
        <v>5571</v>
      </c>
      <c r="C8452" s="160" t="s">
        <v>458</v>
      </c>
      <c r="D8452" s="303" t="s">
        <v>18243</v>
      </c>
      <c r="E8452" s="207" t="s">
        <v>16276</v>
      </c>
      <c r="F8452" s="208" t="s">
        <v>20617</v>
      </c>
      <c r="G8452" s="160" t="s">
        <v>20614</v>
      </c>
      <c r="H8452" s="300">
        <v>15335.28</v>
      </c>
      <c r="I8452" s="209">
        <v>45417</v>
      </c>
      <c r="J8452" s="316" t="s">
        <v>20615</v>
      </c>
      <c r="K8452" s="259"/>
      <c r="O8452" s="259" t="s">
        <v>11192</v>
      </c>
      <c r="P8452" s="160" t="s">
        <v>67</v>
      </c>
      <c r="Q8452" s="160" t="s">
        <v>90</v>
      </c>
      <c r="R8452" s="160" t="s">
        <v>272</v>
      </c>
    </row>
    <row r="8453" spans="1:18" s="98" customFormat="1" ht="69" customHeight="1">
      <c r="A8453" s="169"/>
      <c r="B8453" s="313">
        <f t="shared" si="60"/>
        <v>5572</v>
      </c>
      <c r="C8453" s="207" t="s">
        <v>3667</v>
      </c>
      <c r="D8453" s="303" t="s">
        <v>20618</v>
      </c>
      <c r="E8453" s="207" t="s">
        <v>16276</v>
      </c>
      <c r="F8453" s="208" t="s">
        <v>20619</v>
      </c>
      <c r="G8453" s="160" t="s">
        <v>20614</v>
      </c>
      <c r="H8453" s="300">
        <v>19629.16</v>
      </c>
      <c r="I8453" s="209">
        <v>45417</v>
      </c>
      <c r="J8453" s="316" t="s">
        <v>20615</v>
      </c>
      <c r="K8453" s="259"/>
      <c r="O8453" s="259" t="s">
        <v>11192</v>
      </c>
      <c r="P8453" s="160" t="s">
        <v>67</v>
      </c>
      <c r="Q8453" s="160" t="s">
        <v>49</v>
      </c>
      <c r="R8453" s="160" t="s">
        <v>272</v>
      </c>
    </row>
    <row r="8454" spans="1:18" s="98" customFormat="1" ht="69" customHeight="1">
      <c r="A8454" s="169"/>
      <c r="B8454" s="73"/>
      <c r="C8454" s="59" t="s">
        <v>4411</v>
      </c>
      <c r="D8454" s="84" t="s">
        <v>20620</v>
      </c>
      <c r="E8454" s="45" t="s">
        <v>20621</v>
      </c>
      <c r="F8454" s="45" t="s">
        <v>20622</v>
      </c>
      <c r="G8454" s="45" t="s">
        <v>20623</v>
      </c>
      <c r="H8454" s="198">
        <v>217975.09</v>
      </c>
      <c r="I8454" s="47">
        <v>45540</v>
      </c>
      <c r="J8454" s="73" t="s">
        <v>20624</v>
      </c>
      <c r="K8454" s="45" t="s">
        <v>20625</v>
      </c>
      <c r="O8454" s="48" t="s">
        <v>1566</v>
      </c>
      <c r="P8454" s="48" t="s">
        <v>79</v>
      </c>
      <c r="Q8454" s="48" t="s">
        <v>54</v>
      </c>
      <c r="R8454" s="48" t="s">
        <v>272</v>
      </c>
    </row>
    <row r="8455" spans="1:18" s="98" customFormat="1" ht="69" customHeight="1">
      <c r="A8455" s="169"/>
      <c r="B8455" s="73"/>
      <c r="C8455" s="59" t="s">
        <v>20626</v>
      </c>
      <c r="D8455" s="84" t="s">
        <v>20627</v>
      </c>
      <c r="E8455" s="45" t="s">
        <v>20621</v>
      </c>
      <c r="F8455" s="45" t="s">
        <v>20628</v>
      </c>
      <c r="G8455" s="45" t="s">
        <v>20623</v>
      </c>
      <c r="H8455" s="198">
        <v>228633.61</v>
      </c>
      <c r="I8455" s="47">
        <v>45540</v>
      </c>
      <c r="J8455" s="73" t="s">
        <v>20624</v>
      </c>
      <c r="K8455" s="45" t="s">
        <v>20625</v>
      </c>
      <c r="O8455" s="48" t="s">
        <v>1566</v>
      </c>
      <c r="P8455" s="48" t="s">
        <v>79</v>
      </c>
      <c r="Q8455" s="48" t="s">
        <v>56</v>
      </c>
      <c r="R8455" s="48" t="s">
        <v>272</v>
      </c>
    </row>
    <row r="8456" spans="1:18" ht="69" customHeight="1">
      <c r="B8456" s="73">
        <f>B8453+1</f>
        <v>5573</v>
      </c>
      <c r="C8456" s="59" t="s">
        <v>20626</v>
      </c>
      <c r="D8456" s="84" t="s">
        <v>20629</v>
      </c>
      <c r="E8456" s="45" t="s">
        <v>20621</v>
      </c>
      <c r="F8456" s="45" t="s">
        <v>20630</v>
      </c>
      <c r="G8456" s="45" t="s">
        <v>20623</v>
      </c>
      <c r="H8456" s="198">
        <v>613131.15</v>
      </c>
      <c r="I8456" s="47">
        <v>45540</v>
      </c>
      <c r="J8456" s="73" t="s">
        <v>20624</v>
      </c>
      <c r="K8456" s="45" t="s">
        <v>20625</v>
      </c>
      <c r="O8456" s="48" t="s">
        <v>1566</v>
      </c>
      <c r="P8456" s="48" t="s">
        <v>79</v>
      </c>
      <c r="Q8456" s="48" t="s">
        <v>58</v>
      </c>
      <c r="R8456" s="48" t="s">
        <v>272</v>
      </c>
    </row>
    <row r="8457" spans="1:18" ht="69" customHeight="1">
      <c r="B8457" s="314">
        <f t="shared" si="60"/>
        <v>5574</v>
      </c>
      <c r="C8457" s="207" t="s">
        <v>13665</v>
      </c>
      <c r="D8457" s="311" t="s">
        <v>3447</v>
      </c>
      <c r="E8457" s="207" t="s">
        <v>266</v>
      </c>
      <c r="F8457" s="303" t="s">
        <v>20631</v>
      </c>
      <c r="G8457" s="160" t="s">
        <v>20632</v>
      </c>
      <c r="H8457" s="300">
        <v>63.36</v>
      </c>
      <c r="I8457" s="209">
        <v>45427</v>
      </c>
      <c r="J8457" s="316" t="s">
        <v>20633</v>
      </c>
      <c r="K8457" s="259" t="s">
        <v>11161</v>
      </c>
      <c r="L8457" s="99"/>
      <c r="O8457" s="259" t="s">
        <v>5969</v>
      </c>
      <c r="P8457" s="160" t="s">
        <v>67</v>
      </c>
      <c r="Q8457" s="160" t="s">
        <v>96</v>
      </c>
      <c r="R8457" s="160" t="s">
        <v>272</v>
      </c>
    </row>
    <row r="8458" spans="1:18" ht="69" customHeight="1">
      <c r="B8458" s="164">
        <f t="shared" si="60"/>
        <v>5575</v>
      </c>
      <c r="C8458" s="45" t="s">
        <v>6888</v>
      </c>
      <c r="D8458" s="200" t="s">
        <v>20634</v>
      </c>
      <c r="E8458" s="59" t="s">
        <v>382</v>
      </c>
      <c r="F8458" s="58" t="s">
        <v>20635</v>
      </c>
      <c r="G8458" s="58" t="s">
        <v>20289</v>
      </c>
      <c r="H8458" s="546">
        <v>5821.02</v>
      </c>
      <c r="I8458" s="47">
        <v>45427</v>
      </c>
      <c r="J8458" s="73" t="s">
        <v>20636</v>
      </c>
      <c r="K8458" s="62"/>
      <c r="L8458" s="99"/>
      <c r="O8458" s="62" t="s">
        <v>150</v>
      </c>
      <c r="P8458" s="45" t="s">
        <v>51</v>
      </c>
      <c r="Q8458" s="45" t="s">
        <v>84</v>
      </c>
      <c r="R8458" s="45" t="s">
        <v>265</v>
      </c>
    </row>
    <row r="8459" spans="1:18" s="98" customFormat="1" ht="69" customHeight="1">
      <c r="A8459" s="169"/>
      <c r="B8459" s="73">
        <f t="shared" ref="B8459:B8522" si="61">B8458+1</f>
        <v>5576</v>
      </c>
      <c r="C8459" s="59" t="s">
        <v>657</v>
      </c>
      <c r="D8459" s="611" t="s">
        <v>4124</v>
      </c>
      <c r="E8459" s="45" t="s">
        <v>350</v>
      </c>
      <c r="F8459" s="45" t="s">
        <v>20637</v>
      </c>
      <c r="G8459" s="45" t="s">
        <v>20638</v>
      </c>
      <c r="H8459" s="546">
        <v>16980</v>
      </c>
      <c r="I8459" s="47">
        <v>45427</v>
      </c>
      <c r="J8459" s="73" t="s">
        <v>20639</v>
      </c>
      <c r="K8459" s="45"/>
      <c r="O8459" s="48" t="s">
        <v>141</v>
      </c>
      <c r="P8459" s="45" t="s">
        <v>19</v>
      </c>
      <c r="Q8459" s="45" t="s">
        <v>111</v>
      </c>
      <c r="R8459" s="45" t="s">
        <v>272</v>
      </c>
    </row>
    <row r="8460" spans="1:18" ht="69" customHeight="1">
      <c r="B8460" s="181">
        <f t="shared" si="61"/>
        <v>5577</v>
      </c>
      <c r="C8460" s="58" t="s">
        <v>18826</v>
      </c>
      <c r="D8460" s="84" t="s">
        <v>20640</v>
      </c>
      <c r="E8460" s="55" t="s">
        <v>20641</v>
      </c>
      <c r="F8460" s="45" t="s">
        <v>20642</v>
      </c>
      <c r="G8460" s="45" t="s">
        <v>20643</v>
      </c>
      <c r="H8460" s="546">
        <v>68460.63</v>
      </c>
      <c r="I8460" s="47">
        <v>45427</v>
      </c>
      <c r="J8460" s="73" t="s">
        <v>20644</v>
      </c>
      <c r="K8460" s="45"/>
      <c r="M8460" s="385"/>
      <c r="N8460" s="75"/>
      <c r="O8460" s="45" t="s">
        <v>11301</v>
      </c>
      <c r="P8460" s="45" t="s">
        <v>61</v>
      </c>
      <c r="Q8460" s="45" t="s">
        <v>108</v>
      </c>
      <c r="R8460" s="45" t="s">
        <v>272</v>
      </c>
    </row>
    <row r="8461" spans="1:18" ht="69" customHeight="1">
      <c r="B8461" s="164">
        <f t="shared" si="61"/>
        <v>5578</v>
      </c>
      <c r="C8461" s="59" t="s">
        <v>15449</v>
      </c>
      <c r="D8461" s="612" t="s">
        <v>19859</v>
      </c>
      <c r="E8461" s="45" t="s">
        <v>15627</v>
      </c>
      <c r="F8461" s="569" t="s">
        <v>20645</v>
      </c>
      <c r="G8461" s="45" t="s">
        <v>20568</v>
      </c>
      <c r="H8461" s="546">
        <v>32000</v>
      </c>
      <c r="I8461" s="47">
        <v>45427</v>
      </c>
      <c r="J8461" s="73" t="s">
        <v>20646</v>
      </c>
      <c r="K8461" s="62"/>
      <c r="L8461" s="99"/>
      <c r="O8461" s="62" t="s">
        <v>192</v>
      </c>
      <c r="P8461" s="45" t="s">
        <v>75</v>
      </c>
      <c r="Q8461" s="45" t="s">
        <v>41</v>
      </c>
      <c r="R8461" s="45" t="s">
        <v>265</v>
      </c>
    </row>
    <row r="8462" spans="1:18" s="98" customFormat="1" ht="69" customHeight="1">
      <c r="A8462" s="169"/>
      <c r="B8462" s="185">
        <f t="shared" si="61"/>
        <v>5579</v>
      </c>
      <c r="C8462" s="191" t="s">
        <v>309</v>
      </c>
      <c r="D8462" s="539" t="s">
        <v>16670</v>
      </c>
      <c r="E8462" s="191" t="s">
        <v>266</v>
      </c>
      <c r="F8462" s="211" t="s">
        <v>20647</v>
      </c>
      <c r="G8462" s="46" t="s">
        <v>20648</v>
      </c>
      <c r="H8462" s="534">
        <v>6100</v>
      </c>
      <c r="I8462" s="56">
        <v>45427</v>
      </c>
      <c r="J8462" s="199" t="s">
        <v>20649</v>
      </c>
      <c r="K8462" s="46"/>
      <c r="O8462" s="52" t="s">
        <v>20650</v>
      </c>
      <c r="P8462" s="46" t="s">
        <v>65</v>
      </c>
      <c r="Q8462" s="46" t="s">
        <v>15</v>
      </c>
      <c r="R8462" s="46" t="s">
        <v>272</v>
      </c>
    </row>
    <row r="8463" spans="1:18" ht="69" customHeight="1">
      <c r="B8463" s="164">
        <f t="shared" si="61"/>
        <v>5580</v>
      </c>
      <c r="C8463" s="45" t="s">
        <v>11618</v>
      </c>
      <c r="D8463" s="200" t="s">
        <v>20651</v>
      </c>
      <c r="E8463" s="58" t="s">
        <v>20139</v>
      </c>
      <c r="F8463" s="569" t="s">
        <v>20652</v>
      </c>
      <c r="G8463" s="45" t="s">
        <v>20653</v>
      </c>
      <c r="H8463" s="546">
        <v>51827.37</v>
      </c>
      <c r="I8463" s="47">
        <v>45427</v>
      </c>
      <c r="J8463" s="73" t="s">
        <v>20654</v>
      </c>
      <c r="K8463" s="62"/>
      <c r="L8463" s="99"/>
      <c r="O8463" s="48" t="s">
        <v>233</v>
      </c>
      <c r="P8463" s="45" t="s">
        <v>57</v>
      </c>
      <c r="Q8463" s="45" t="s">
        <v>122</v>
      </c>
      <c r="R8463" s="45" t="s">
        <v>272</v>
      </c>
    </row>
    <row r="8464" spans="1:18" ht="69" customHeight="1">
      <c r="B8464" s="164">
        <f t="shared" si="61"/>
        <v>5581</v>
      </c>
      <c r="C8464" s="45" t="s">
        <v>11618</v>
      </c>
      <c r="D8464" s="200" t="s">
        <v>20655</v>
      </c>
      <c r="E8464" s="58" t="s">
        <v>20139</v>
      </c>
      <c r="F8464" s="569" t="s">
        <v>20656</v>
      </c>
      <c r="G8464" s="45" t="s">
        <v>20653</v>
      </c>
      <c r="H8464" s="546">
        <v>51827.37</v>
      </c>
      <c r="I8464" s="47">
        <v>45427</v>
      </c>
      <c r="J8464" s="73" t="s">
        <v>20654</v>
      </c>
      <c r="K8464" s="62"/>
      <c r="L8464" s="99"/>
      <c r="O8464" s="48" t="s">
        <v>233</v>
      </c>
      <c r="P8464" s="45" t="s">
        <v>57</v>
      </c>
      <c r="Q8464" s="45" t="s">
        <v>122</v>
      </c>
      <c r="R8464" s="45" t="s">
        <v>272</v>
      </c>
    </row>
    <row r="8465" spans="2:18" ht="69" customHeight="1">
      <c r="B8465" s="164">
        <f t="shared" si="61"/>
        <v>5582</v>
      </c>
      <c r="C8465" s="59" t="s">
        <v>3667</v>
      </c>
      <c r="D8465" s="200" t="s">
        <v>20657</v>
      </c>
      <c r="E8465" s="58" t="s">
        <v>16073</v>
      </c>
      <c r="F8465" s="569" t="s">
        <v>20658</v>
      </c>
      <c r="G8465" s="45" t="s">
        <v>20379</v>
      </c>
      <c r="H8465" s="546">
        <v>227075.59</v>
      </c>
      <c r="I8465" s="47">
        <v>45427</v>
      </c>
      <c r="J8465" s="73" t="s">
        <v>20659</v>
      </c>
      <c r="K8465" s="62"/>
      <c r="L8465" s="99"/>
      <c r="O8465" s="62" t="s">
        <v>192</v>
      </c>
      <c r="P8465" s="45" t="s">
        <v>57</v>
      </c>
      <c r="Q8465" s="45" t="s">
        <v>86</v>
      </c>
      <c r="R8465" s="45" t="s">
        <v>272</v>
      </c>
    </row>
    <row r="8466" spans="2:18" ht="69" customHeight="1">
      <c r="B8466" s="164">
        <f t="shared" si="61"/>
        <v>5583</v>
      </c>
      <c r="C8466" s="59" t="s">
        <v>3667</v>
      </c>
      <c r="D8466" s="200" t="s">
        <v>20660</v>
      </c>
      <c r="E8466" s="58" t="s">
        <v>18110</v>
      </c>
      <c r="F8466" s="569" t="s">
        <v>20661</v>
      </c>
      <c r="G8466" s="45" t="s">
        <v>20662</v>
      </c>
      <c r="H8466" s="546">
        <v>12000</v>
      </c>
      <c r="I8466" s="47">
        <v>45427</v>
      </c>
      <c r="J8466" s="73" t="s">
        <v>20663</v>
      </c>
      <c r="K8466" s="62"/>
      <c r="L8466" s="99"/>
      <c r="O8466" s="62" t="s">
        <v>150</v>
      </c>
      <c r="P8466" s="45" t="s">
        <v>51</v>
      </c>
      <c r="Q8466" s="45" t="s">
        <v>68</v>
      </c>
      <c r="R8466" s="45" t="s">
        <v>272</v>
      </c>
    </row>
    <row r="8467" spans="2:18" ht="69" customHeight="1">
      <c r="B8467" s="164">
        <f t="shared" si="61"/>
        <v>5584</v>
      </c>
      <c r="C8467" s="59" t="s">
        <v>3667</v>
      </c>
      <c r="D8467" s="200" t="s">
        <v>20664</v>
      </c>
      <c r="E8467" s="58" t="s">
        <v>18110</v>
      </c>
      <c r="F8467" s="569" t="s">
        <v>20665</v>
      </c>
      <c r="G8467" s="45" t="s">
        <v>20662</v>
      </c>
      <c r="H8467" s="546">
        <v>12000</v>
      </c>
      <c r="I8467" s="47">
        <v>45427</v>
      </c>
      <c r="J8467" s="73" t="s">
        <v>20663</v>
      </c>
      <c r="K8467" s="62"/>
      <c r="L8467" s="99"/>
      <c r="O8467" s="62" t="s">
        <v>150</v>
      </c>
      <c r="P8467" s="45" t="s">
        <v>51</v>
      </c>
      <c r="Q8467" s="45" t="s">
        <v>70</v>
      </c>
      <c r="R8467" s="45" t="s">
        <v>272</v>
      </c>
    </row>
    <row r="8468" spans="2:18" ht="69" customHeight="1">
      <c r="B8468" s="164">
        <f t="shared" si="61"/>
        <v>5585</v>
      </c>
      <c r="C8468" s="59" t="s">
        <v>3667</v>
      </c>
      <c r="D8468" s="200" t="s">
        <v>20666</v>
      </c>
      <c r="E8468" s="58" t="s">
        <v>18110</v>
      </c>
      <c r="F8468" s="569" t="s">
        <v>20667</v>
      </c>
      <c r="G8468" s="45" t="s">
        <v>20662</v>
      </c>
      <c r="H8468" s="546">
        <v>12000</v>
      </c>
      <c r="I8468" s="47">
        <v>45427</v>
      </c>
      <c r="J8468" s="73" t="s">
        <v>20663</v>
      </c>
      <c r="K8468" s="62"/>
      <c r="L8468" s="99"/>
      <c r="O8468" s="62" t="s">
        <v>150</v>
      </c>
      <c r="P8468" s="45" t="s">
        <v>51</v>
      </c>
      <c r="Q8468" s="45" t="s">
        <v>60</v>
      </c>
      <c r="R8468" s="45" t="s">
        <v>272</v>
      </c>
    </row>
    <row r="8469" spans="2:18" ht="69" customHeight="1">
      <c r="B8469" s="164">
        <f t="shared" si="61"/>
        <v>5586</v>
      </c>
      <c r="C8469" s="59" t="s">
        <v>3667</v>
      </c>
      <c r="D8469" s="200" t="s">
        <v>20668</v>
      </c>
      <c r="E8469" s="58" t="s">
        <v>18110</v>
      </c>
      <c r="F8469" s="569" t="s">
        <v>20669</v>
      </c>
      <c r="G8469" s="45" t="s">
        <v>20662</v>
      </c>
      <c r="H8469" s="546">
        <v>12000</v>
      </c>
      <c r="I8469" s="47">
        <v>45427</v>
      </c>
      <c r="J8469" s="73" t="s">
        <v>20663</v>
      </c>
      <c r="K8469" s="62"/>
      <c r="L8469" s="99"/>
      <c r="O8469" s="62" t="s">
        <v>150</v>
      </c>
      <c r="P8469" s="45" t="s">
        <v>51</v>
      </c>
      <c r="Q8469" s="45" t="s">
        <v>62</v>
      </c>
      <c r="R8469" s="45" t="s">
        <v>272</v>
      </c>
    </row>
    <row r="8470" spans="2:18" ht="69" customHeight="1">
      <c r="B8470" s="164">
        <f t="shared" si="61"/>
        <v>5587</v>
      </c>
      <c r="C8470" s="59" t="s">
        <v>10937</v>
      </c>
      <c r="D8470" s="545" t="s">
        <v>14936</v>
      </c>
      <c r="E8470" s="58" t="s">
        <v>18388</v>
      </c>
      <c r="F8470" s="58" t="s">
        <v>20670</v>
      </c>
      <c r="G8470" s="58" t="s">
        <v>20671</v>
      </c>
      <c r="H8470" s="546">
        <v>118262.18</v>
      </c>
      <c r="I8470" s="47">
        <v>45417</v>
      </c>
      <c r="J8470" s="73" t="s">
        <v>20672</v>
      </c>
      <c r="K8470" s="62"/>
      <c r="L8470" s="99"/>
      <c r="O8470" s="62" t="s">
        <v>16069</v>
      </c>
      <c r="P8470" s="45" t="s">
        <v>57</v>
      </c>
      <c r="Q8470" s="45" t="s">
        <v>104</v>
      </c>
      <c r="R8470" s="45" t="s">
        <v>272</v>
      </c>
    </row>
    <row r="8471" spans="2:18" ht="69" customHeight="1">
      <c r="B8471" s="164">
        <f t="shared" si="61"/>
        <v>5588</v>
      </c>
      <c r="C8471" s="59" t="s">
        <v>13435</v>
      </c>
      <c r="D8471" s="200" t="s">
        <v>16674</v>
      </c>
      <c r="E8471" s="58" t="s">
        <v>17367</v>
      </c>
      <c r="F8471" s="58" t="s">
        <v>20673</v>
      </c>
      <c r="G8471" s="45" t="s">
        <v>20674</v>
      </c>
      <c r="H8471" s="546">
        <v>94354.5</v>
      </c>
      <c r="I8471" s="47">
        <v>45427</v>
      </c>
      <c r="J8471" s="73" t="s">
        <v>20675</v>
      </c>
      <c r="K8471" s="62"/>
      <c r="L8471" s="99"/>
      <c r="O8471" s="62" t="s">
        <v>175</v>
      </c>
      <c r="P8471" s="45" t="s">
        <v>57</v>
      </c>
      <c r="Q8471" s="45" t="s">
        <v>13</v>
      </c>
      <c r="R8471" s="45" t="s">
        <v>265</v>
      </c>
    </row>
    <row r="8472" spans="2:18" ht="69" customHeight="1">
      <c r="B8472" s="164">
        <f t="shared" si="61"/>
        <v>5589</v>
      </c>
      <c r="C8472" s="59" t="s">
        <v>13435</v>
      </c>
      <c r="D8472" s="200" t="s">
        <v>16672</v>
      </c>
      <c r="E8472" s="58" t="s">
        <v>16139</v>
      </c>
      <c r="F8472" s="58" t="s">
        <v>20676</v>
      </c>
      <c r="G8472" s="45" t="s">
        <v>20677</v>
      </c>
      <c r="H8472" s="546">
        <v>94354.5</v>
      </c>
      <c r="I8472" s="47">
        <v>45427</v>
      </c>
      <c r="J8472" s="73" t="s">
        <v>20675</v>
      </c>
      <c r="K8472" s="62"/>
      <c r="L8472" s="99"/>
      <c r="O8472" s="62" t="s">
        <v>175</v>
      </c>
      <c r="P8472" s="45" t="s">
        <v>57</v>
      </c>
      <c r="Q8472" s="45" t="s">
        <v>13</v>
      </c>
      <c r="R8472" s="45" t="s">
        <v>272</v>
      </c>
    </row>
    <row r="8473" spans="2:18" ht="69" customHeight="1">
      <c r="B8473" s="164">
        <f t="shared" si="61"/>
        <v>5590</v>
      </c>
      <c r="C8473" s="549" t="s">
        <v>2182</v>
      </c>
      <c r="D8473" s="200" t="s">
        <v>20678</v>
      </c>
      <c r="E8473" s="58" t="s">
        <v>382</v>
      </c>
      <c r="F8473" s="58" t="s">
        <v>20679</v>
      </c>
      <c r="G8473" s="637" t="s">
        <v>20289</v>
      </c>
      <c r="H8473" s="546">
        <v>5821.02</v>
      </c>
      <c r="I8473" s="47">
        <v>45427</v>
      </c>
      <c r="J8473" s="73" t="s">
        <v>20680</v>
      </c>
      <c r="K8473" s="62"/>
      <c r="L8473" s="99"/>
      <c r="O8473" s="235" t="s">
        <v>150</v>
      </c>
      <c r="P8473" s="45" t="s">
        <v>51</v>
      </c>
      <c r="Q8473" s="45" t="s">
        <v>31</v>
      </c>
      <c r="R8473" s="45" t="s">
        <v>265</v>
      </c>
    </row>
    <row r="8474" spans="2:18" ht="69" customHeight="1">
      <c r="B8474" s="259">
        <f t="shared" si="61"/>
        <v>5591</v>
      </c>
      <c r="C8474" s="207" t="s">
        <v>13665</v>
      </c>
      <c r="D8474" s="330" t="s">
        <v>642</v>
      </c>
      <c r="E8474" s="207" t="s">
        <v>266</v>
      </c>
      <c r="F8474" s="160" t="s">
        <v>20681</v>
      </c>
      <c r="G8474" s="160" t="s">
        <v>20682</v>
      </c>
      <c r="H8474" s="300">
        <v>254201.05</v>
      </c>
      <c r="I8474" s="209">
        <v>45427</v>
      </c>
      <c r="J8474" s="316" t="s">
        <v>20683</v>
      </c>
      <c r="K8474" s="259" t="s">
        <v>11084</v>
      </c>
      <c r="L8474" s="99"/>
      <c r="O8474" s="288" t="s">
        <v>194</v>
      </c>
      <c r="P8474" s="160" t="s">
        <v>67</v>
      </c>
      <c r="Q8474" s="160" t="s">
        <v>80</v>
      </c>
      <c r="R8474" s="160" t="s">
        <v>272</v>
      </c>
    </row>
    <row r="8475" spans="2:18" ht="69" customHeight="1">
      <c r="B8475" s="181">
        <f t="shared" si="61"/>
        <v>5592</v>
      </c>
      <c r="C8475" s="638" t="s">
        <v>5558</v>
      </c>
      <c r="D8475" s="200" t="s">
        <v>20684</v>
      </c>
      <c r="E8475" s="58" t="s">
        <v>17367</v>
      </c>
      <c r="F8475" s="58" t="s">
        <v>20685</v>
      </c>
      <c r="G8475" s="45" t="s">
        <v>20686</v>
      </c>
      <c r="H8475" s="546">
        <v>200000</v>
      </c>
      <c r="I8475" s="47">
        <v>45427</v>
      </c>
      <c r="J8475" s="73" t="s">
        <v>20687</v>
      </c>
      <c r="K8475" s="62"/>
      <c r="L8475" s="99"/>
      <c r="O8475" s="136" t="s">
        <v>175</v>
      </c>
      <c r="P8475" s="45" t="s">
        <v>57</v>
      </c>
      <c r="Q8475" s="45" t="s">
        <v>64</v>
      </c>
      <c r="R8475" s="45" t="s">
        <v>265</v>
      </c>
    </row>
    <row r="8476" spans="2:18" ht="69" customHeight="1">
      <c r="B8476" s="164">
        <f t="shared" si="61"/>
        <v>5593</v>
      </c>
      <c r="C8476" s="59" t="s">
        <v>3667</v>
      </c>
      <c r="D8476" s="200" t="s">
        <v>20688</v>
      </c>
      <c r="E8476" s="58" t="s">
        <v>16289</v>
      </c>
      <c r="F8476" s="58" t="s">
        <v>20689</v>
      </c>
      <c r="G8476" s="45" t="s">
        <v>20690</v>
      </c>
      <c r="H8476" s="546">
        <v>40344.93</v>
      </c>
      <c r="I8476" s="47">
        <v>45427</v>
      </c>
      <c r="J8476" s="73" t="s">
        <v>20691</v>
      </c>
      <c r="K8476" s="62"/>
      <c r="L8476" s="99"/>
      <c r="O8476" s="62" t="s">
        <v>208</v>
      </c>
      <c r="P8476" s="45" t="s">
        <v>57</v>
      </c>
      <c r="Q8476" s="45" t="s">
        <v>78</v>
      </c>
      <c r="R8476" s="45" t="s">
        <v>272</v>
      </c>
    </row>
    <row r="8477" spans="2:18" ht="69" customHeight="1">
      <c r="B8477" s="65">
        <f t="shared" si="61"/>
        <v>5594</v>
      </c>
      <c r="C8477" s="59" t="s">
        <v>657</v>
      </c>
      <c r="D8477" s="200" t="s">
        <v>4404</v>
      </c>
      <c r="E8477" s="58" t="s">
        <v>16289</v>
      </c>
      <c r="F8477" s="58" t="s">
        <v>20692</v>
      </c>
      <c r="G8477" s="45" t="s">
        <v>20690</v>
      </c>
      <c r="H8477" s="546">
        <v>21200</v>
      </c>
      <c r="I8477" s="47">
        <v>45427</v>
      </c>
      <c r="J8477" s="73" t="s">
        <v>20693</v>
      </c>
      <c r="K8477" s="62"/>
      <c r="L8477" s="99"/>
      <c r="O8477" s="62" t="s">
        <v>208</v>
      </c>
      <c r="P8477" s="45" t="s">
        <v>57</v>
      </c>
      <c r="Q8477" s="45" t="s">
        <v>110</v>
      </c>
      <c r="R8477" s="45" t="s">
        <v>272</v>
      </c>
    </row>
    <row r="8478" spans="2:18" ht="69" customHeight="1">
      <c r="B8478" s="181">
        <f t="shared" si="61"/>
        <v>5595</v>
      </c>
      <c r="C8478" s="59" t="s">
        <v>3667</v>
      </c>
      <c r="D8478" s="200" t="s">
        <v>20694</v>
      </c>
      <c r="E8478" s="58" t="s">
        <v>18110</v>
      </c>
      <c r="F8478" s="58" t="s">
        <v>20695</v>
      </c>
      <c r="G8478" s="45" t="s">
        <v>20662</v>
      </c>
      <c r="H8478" s="546">
        <v>12000</v>
      </c>
      <c r="I8478" s="47">
        <v>45427</v>
      </c>
      <c r="J8478" s="73" t="s">
        <v>20696</v>
      </c>
      <c r="K8478" s="62"/>
      <c r="L8478" s="99"/>
      <c r="O8478" s="62" t="s">
        <v>150</v>
      </c>
      <c r="P8478" s="45" t="s">
        <v>51</v>
      </c>
      <c r="Q8478" s="45" t="s">
        <v>84</v>
      </c>
      <c r="R8478" s="45" t="s">
        <v>272</v>
      </c>
    </row>
    <row r="8479" spans="2:18" ht="69" customHeight="1">
      <c r="B8479" s="164">
        <f t="shared" si="61"/>
        <v>5596</v>
      </c>
      <c r="C8479" s="178" t="s">
        <v>309</v>
      </c>
      <c r="D8479" s="200" t="s">
        <v>16707</v>
      </c>
      <c r="E8479" s="58" t="s">
        <v>18110</v>
      </c>
      <c r="F8479" s="58" t="s">
        <v>20697</v>
      </c>
      <c r="G8479" s="45" t="s">
        <v>20662</v>
      </c>
      <c r="H8479" s="546">
        <v>12000</v>
      </c>
      <c r="I8479" s="47">
        <v>45427</v>
      </c>
      <c r="J8479" s="73" t="s">
        <v>20696</v>
      </c>
      <c r="K8479" s="62"/>
      <c r="L8479" s="99"/>
      <c r="O8479" s="62" t="s">
        <v>150</v>
      </c>
      <c r="P8479" s="45" t="s">
        <v>51</v>
      </c>
      <c r="Q8479" s="45" t="s">
        <v>33</v>
      </c>
      <c r="R8479" s="45" t="s">
        <v>272</v>
      </c>
    </row>
    <row r="8480" spans="2:18" ht="69" customHeight="1">
      <c r="B8480" s="164">
        <f t="shared" si="61"/>
        <v>5597</v>
      </c>
      <c r="C8480" s="178" t="s">
        <v>309</v>
      </c>
      <c r="D8480" s="200" t="s">
        <v>19868</v>
      </c>
      <c r="E8480" s="58" t="s">
        <v>18110</v>
      </c>
      <c r="F8480" s="58" t="s">
        <v>20698</v>
      </c>
      <c r="G8480" s="45" t="s">
        <v>20662</v>
      </c>
      <c r="H8480" s="546">
        <v>12000</v>
      </c>
      <c r="I8480" s="47">
        <v>45427</v>
      </c>
      <c r="J8480" s="73" t="s">
        <v>20696</v>
      </c>
      <c r="K8480" s="62"/>
      <c r="L8480" s="99"/>
      <c r="O8480" s="62" t="s">
        <v>150</v>
      </c>
      <c r="P8480" s="45" t="s">
        <v>51</v>
      </c>
      <c r="Q8480" s="45" t="s">
        <v>35</v>
      </c>
      <c r="R8480" s="45" t="s">
        <v>272</v>
      </c>
    </row>
    <row r="8481" spans="2:18" ht="69" customHeight="1">
      <c r="B8481" s="163">
        <f t="shared" si="61"/>
        <v>5598</v>
      </c>
      <c r="C8481" s="59" t="s">
        <v>309</v>
      </c>
      <c r="D8481" s="611" t="s">
        <v>20699</v>
      </c>
      <c r="E8481" s="45" t="s">
        <v>18110</v>
      </c>
      <c r="F8481" s="45" t="s">
        <v>20700</v>
      </c>
      <c r="G8481" s="45" t="s">
        <v>19076</v>
      </c>
      <c r="H8481" s="546">
        <v>2987.63</v>
      </c>
      <c r="I8481" s="47">
        <v>45427</v>
      </c>
      <c r="J8481" s="73" t="s">
        <v>20701</v>
      </c>
      <c r="K8481" s="48"/>
      <c r="L8481" s="99"/>
      <c r="O8481" s="62" t="s">
        <v>150</v>
      </c>
      <c r="P8481" s="45" t="s">
        <v>51</v>
      </c>
      <c r="Q8481" s="45" t="s">
        <v>27</v>
      </c>
      <c r="R8481" s="45" t="s">
        <v>272</v>
      </c>
    </row>
    <row r="8482" spans="2:18" ht="69" customHeight="1">
      <c r="B8482" s="163">
        <f t="shared" si="61"/>
        <v>5599</v>
      </c>
      <c r="C8482" s="59" t="s">
        <v>657</v>
      </c>
      <c r="D8482" s="611" t="s">
        <v>4543</v>
      </c>
      <c r="E8482" s="45" t="s">
        <v>18110</v>
      </c>
      <c r="F8482" s="45" t="s">
        <v>20702</v>
      </c>
      <c r="G8482" s="45" t="s">
        <v>19076</v>
      </c>
      <c r="H8482" s="546">
        <v>3862.63</v>
      </c>
      <c r="I8482" s="47">
        <v>45427</v>
      </c>
      <c r="J8482" s="73" t="s">
        <v>20701</v>
      </c>
      <c r="K8482" s="48"/>
      <c r="L8482" s="99"/>
      <c r="O8482" s="62" t="s">
        <v>150</v>
      </c>
      <c r="P8482" s="45" t="s">
        <v>51</v>
      </c>
      <c r="Q8482" s="45" t="s">
        <v>97</v>
      </c>
      <c r="R8482" s="45" t="s">
        <v>272</v>
      </c>
    </row>
    <row r="8483" spans="2:18" ht="69" customHeight="1">
      <c r="B8483" s="163">
        <f t="shared" si="61"/>
        <v>5600</v>
      </c>
      <c r="C8483" s="45" t="s">
        <v>458</v>
      </c>
      <c r="D8483" s="611" t="s">
        <v>20703</v>
      </c>
      <c r="E8483" s="45" t="s">
        <v>18110</v>
      </c>
      <c r="F8483" s="45" t="s">
        <v>20704</v>
      </c>
      <c r="G8483" s="45" t="s">
        <v>19076</v>
      </c>
      <c r="H8483" s="546">
        <v>3862.63</v>
      </c>
      <c r="I8483" s="47">
        <v>45427</v>
      </c>
      <c r="J8483" s="73" t="s">
        <v>20701</v>
      </c>
      <c r="K8483" s="48"/>
      <c r="L8483" s="99"/>
      <c r="O8483" s="62" t="s">
        <v>150</v>
      </c>
      <c r="P8483" s="45" t="s">
        <v>51</v>
      </c>
      <c r="Q8483" s="45" t="s">
        <v>112</v>
      </c>
      <c r="R8483" s="45" t="s">
        <v>272</v>
      </c>
    </row>
    <row r="8484" spans="2:18" ht="69" customHeight="1">
      <c r="B8484" s="164">
        <f t="shared" si="61"/>
        <v>5601</v>
      </c>
      <c r="C8484" s="58" t="s">
        <v>458</v>
      </c>
      <c r="D8484" s="200" t="s">
        <v>20705</v>
      </c>
      <c r="E8484" s="58" t="s">
        <v>15554</v>
      </c>
      <c r="F8484" s="58" t="s">
        <v>15555</v>
      </c>
      <c r="G8484" s="45" t="s">
        <v>15556</v>
      </c>
      <c r="H8484" s="546">
        <v>7000</v>
      </c>
      <c r="I8484" s="47">
        <v>45212</v>
      </c>
      <c r="J8484" s="73" t="s">
        <v>15557</v>
      </c>
      <c r="K8484" s="58" t="s">
        <v>15558</v>
      </c>
      <c r="L8484" s="99"/>
      <c r="O8484" s="62" t="s">
        <v>147</v>
      </c>
      <c r="P8484" s="45" t="s">
        <v>40</v>
      </c>
      <c r="Q8484" s="45" t="s">
        <v>117</v>
      </c>
      <c r="R8484" s="45" t="s">
        <v>272</v>
      </c>
    </row>
    <row r="8485" spans="2:18" ht="69" customHeight="1">
      <c r="B8485" s="164">
        <f t="shared" si="61"/>
        <v>5602</v>
      </c>
      <c r="C8485" s="58" t="s">
        <v>458</v>
      </c>
      <c r="D8485" s="200" t="s">
        <v>20705</v>
      </c>
      <c r="E8485" s="58" t="s">
        <v>15554</v>
      </c>
      <c r="F8485" s="58" t="s">
        <v>15555</v>
      </c>
      <c r="G8485" s="45" t="s">
        <v>15556</v>
      </c>
      <c r="H8485" s="546">
        <v>41148.1</v>
      </c>
      <c r="I8485" s="47">
        <v>45212</v>
      </c>
      <c r="J8485" s="73" t="s">
        <v>15557</v>
      </c>
      <c r="K8485" s="58" t="s">
        <v>15558</v>
      </c>
      <c r="L8485" s="99"/>
      <c r="O8485" s="62" t="s">
        <v>147</v>
      </c>
      <c r="P8485" s="45" t="s">
        <v>42</v>
      </c>
      <c r="Q8485" s="45" t="s">
        <v>122</v>
      </c>
      <c r="R8485" s="45" t="s">
        <v>272</v>
      </c>
    </row>
    <row r="8486" spans="2:18" ht="69" customHeight="1">
      <c r="B8486" s="164">
        <f t="shared" si="61"/>
        <v>5603</v>
      </c>
      <c r="C8486" s="58" t="s">
        <v>458</v>
      </c>
      <c r="D8486" s="200" t="s">
        <v>20705</v>
      </c>
      <c r="E8486" s="58" t="s">
        <v>15554</v>
      </c>
      <c r="F8486" s="58" t="s">
        <v>15555</v>
      </c>
      <c r="G8486" s="45" t="s">
        <v>15556</v>
      </c>
      <c r="H8486" s="546">
        <v>41148.1</v>
      </c>
      <c r="I8486" s="47">
        <v>45212</v>
      </c>
      <c r="J8486" s="73" t="s">
        <v>15557</v>
      </c>
      <c r="K8486" s="58" t="s">
        <v>15558</v>
      </c>
      <c r="L8486" s="99"/>
      <c r="O8486" s="62" t="s">
        <v>147</v>
      </c>
      <c r="P8486" s="45" t="s">
        <v>42</v>
      </c>
      <c r="Q8486" s="45" t="s">
        <v>123</v>
      </c>
      <c r="R8486" s="45" t="s">
        <v>272</v>
      </c>
    </row>
    <row r="8487" spans="2:18" ht="69" customHeight="1">
      <c r="B8487" s="164">
        <f t="shared" si="61"/>
        <v>5604</v>
      </c>
      <c r="C8487" s="58" t="s">
        <v>458</v>
      </c>
      <c r="D8487" s="200" t="s">
        <v>20706</v>
      </c>
      <c r="E8487" s="58" t="s">
        <v>266</v>
      </c>
      <c r="F8487" s="58" t="s">
        <v>20707</v>
      </c>
      <c r="G8487" s="45" t="s">
        <v>20708</v>
      </c>
      <c r="H8487" s="546">
        <v>17500</v>
      </c>
      <c r="I8487" s="47">
        <v>44832</v>
      </c>
      <c r="J8487" s="73" t="s">
        <v>20709</v>
      </c>
      <c r="K8487" s="62"/>
      <c r="L8487" s="99"/>
      <c r="O8487" s="62" t="s">
        <v>147</v>
      </c>
      <c r="P8487" s="45" t="s">
        <v>42</v>
      </c>
      <c r="Q8487" s="45" t="s">
        <v>112</v>
      </c>
      <c r="R8487" s="45" t="s">
        <v>272</v>
      </c>
    </row>
    <row r="8488" spans="2:18" ht="69" customHeight="1">
      <c r="B8488" s="164">
        <f t="shared" si="61"/>
        <v>5605</v>
      </c>
      <c r="C8488" s="58" t="s">
        <v>458</v>
      </c>
      <c r="D8488" s="200" t="s">
        <v>2766</v>
      </c>
      <c r="E8488" s="58" t="s">
        <v>266</v>
      </c>
      <c r="F8488" s="58" t="s">
        <v>20710</v>
      </c>
      <c r="G8488" s="45" t="s">
        <v>20708</v>
      </c>
      <c r="H8488" s="546">
        <v>17500</v>
      </c>
      <c r="I8488" s="47">
        <v>44832</v>
      </c>
      <c r="J8488" s="73" t="s">
        <v>20711</v>
      </c>
      <c r="K8488" s="62"/>
      <c r="L8488" s="99"/>
      <c r="O8488" s="62" t="s">
        <v>147</v>
      </c>
      <c r="P8488" s="45" t="s">
        <v>42</v>
      </c>
      <c r="Q8488" s="45" t="s">
        <v>113</v>
      </c>
      <c r="R8488" s="45" t="s">
        <v>272</v>
      </c>
    </row>
    <row r="8489" spans="2:18" ht="69" customHeight="1">
      <c r="B8489" s="164">
        <f t="shared" si="61"/>
        <v>5606</v>
      </c>
      <c r="C8489" s="58" t="s">
        <v>458</v>
      </c>
      <c r="D8489" s="200" t="s">
        <v>2067</v>
      </c>
      <c r="E8489" s="58" t="s">
        <v>266</v>
      </c>
      <c r="F8489" s="58" t="s">
        <v>20712</v>
      </c>
      <c r="G8489" s="45" t="s">
        <v>20708</v>
      </c>
      <c r="H8489" s="546">
        <v>17500</v>
      </c>
      <c r="I8489" s="47">
        <v>44832</v>
      </c>
      <c r="J8489" s="73" t="s">
        <v>20713</v>
      </c>
      <c r="K8489" s="62"/>
      <c r="L8489" s="99"/>
      <c r="O8489" s="62" t="s">
        <v>147</v>
      </c>
      <c r="P8489" s="45" t="s">
        <v>40</v>
      </c>
      <c r="Q8489" s="45" t="s">
        <v>117</v>
      </c>
      <c r="R8489" s="45" t="s">
        <v>272</v>
      </c>
    </row>
    <row r="8490" spans="2:18" ht="69" customHeight="1">
      <c r="B8490" s="164">
        <f t="shared" si="61"/>
        <v>5607</v>
      </c>
      <c r="C8490" s="58" t="s">
        <v>458</v>
      </c>
      <c r="D8490" s="200" t="s">
        <v>20714</v>
      </c>
      <c r="E8490" s="58" t="s">
        <v>266</v>
      </c>
      <c r="F8490" s="58" t="s">
        <v>20715</v>
      </c>
      <c r="G8490" s="45" t="s">
        <v>20708</v>
      </c>
      <c r="H8490" s="546">
        <v>17500</v>
      </c>
      <c r="I8490" s="47">
        <v>44832</v>
      </c>
      <c r="J8490" s="73" t="s">
        <v>20716</v>
      </c>
      <c r="K8490" s="62"/>
      <c r="L8490" s="99"/>
      <c r="O8490" s="62" t="s">
        <v>147</v>
      </c>
      <c r="P8490" s="45" t="s">
        <v>42</v>
      </c>
      <c r="Q8490" s="45" t="s">
        <v>122</v>
      </c>
      <c r="R8490" s="45" t="s">
        <v>272</v>
      </c>
    </row>
    <row r="8491" spans="2:18" ht="69" customHeight="1">
      <c r="B8491" s="164">
        <f t="shared" si="61"/>
        <v>5608</v>
      </c>
      <c r="C8491" s="58" t="s">
        <v>657</v>
      </c>
      <c r="D8491" s="200" t="s">
        <v>3320</v>
      </c>
      <c r="E8491" s="58" t="s">
        <v>15554</v>
      </c>
      <c r="F8491" s="58" t="s">
        <v>15608</v>
      </c>
      <c r="G8491" s="58" t="s">
        <v>15556</v>
      </c>
      <c r="H8491" s="546">
        <v>48148.083330000001</v>
      </c>
      <c r="I8491" s="47">
        <v>45212</v>
      </c>
      <c r="J8491" s="65" t="s">
        <v>15557</v>
      </c>
      <c r="K8491" s="58" t="s">
        <v>15609</v>
      </c>
      <c r="L8491" s="99"/>
      <c r="O8491" s="62" t="s">
        <v>147</v>
      </c>
      <c r="P8491" s="45" t="s">
        <v>42</v>
      </c>
      <c r="Q8491" s="45" t="s">
        <v>104</v>
      </c>
      <c r="R8491" s="45" t="s">
        <v>272</v>
      </c>
    </row>
    <row r="8492" spans="2:18" ht="69" customHeight="1">
      <c r="B8492" s="164">
        <f t="shared" si="61"/>
        <v>5609</v>
      </c>
      <c r="C8492" s="58" t="s">
        <v>657</v>
      </c>
      <c r="D8492" s="200" t="s">
        <v>3320</v>
      </c>
      <c r="E8492" s="58" t="s">
        <v>15554</v>
      </c>
      <c r="F8492" s="58" t="s">
        <v>15608</v>
      </c>
      <c r="G8492" s="58" t="s">
        <v>15556</v>
      </c>
      <c r="H8492" s="546">
        <v>6999.9833330000001</v>
      </c>
      <c r="I8492" s="47">
        <v>45212</v>
      </c>
      <c r="J8492" s="65" t="s">
        <v>15557</v>
      </c>
      <c r="K8492" s="58" t="s">
        <v>15609</v>
      </c>
      <c r="L8492" s="99"/>
      <c r="O8492" s="62" t="s">
        <v>147</v>
      </c>
      <c r="P8492" s="45" t="s">
        <v>40</v>
      </c>
      <c r="Q8492" s="45" t="s">
        <v>111</v>
      </c>
      <c r="R8492" s="45" t="s">
        <v>272</v>
      </c>
    </row>
    <row r="8493" spans="2:18" ht="69" customHeight="1">
      <c r="B8493" s="164">
        <f t="shared" si="61"/>
        <v>5610</v>
      </c>
      <c r="C8493" s="58" t="s">
        <v>309</v>
      </c>
      <c r="D8493" s="62" t="s">
        <v>15120</v>
      </c>
      <c r="E8493" s="58" t="s">
        <v>15554</v>
      </c>
      <c r="F8493" s="58" t="s">
        <v>15605</v>
      </c>
      <c r="G8493" s="45" t="s">
        <v>15556</v>
      </c>
      <c r="H8493" s="546">
        <v>48148.1</v>
      </c>
      <c r="I8493" s="47">
        <v>45212</v>
      </c>
      <c r="J8493" s="73" t="s">
        <v>15557</v>
      </c>
      <c r="K8493" s="58" t="s">
        <v>15606</v>
      </c>
      <c r="L8493" s="99"/>
      <c r="O8493" s="62" t="s">
        <v>147</v>
      </c>
      <c r="P8493" s="45" t="s">
        <v>42</v>
      </c>
      <c r="Q8493" s="45" t="s">
        <v>18</v>
      </c>
      <c r="R8493" s="45" t="s">
        <v>272</v>
      </c>
    </row>
    <row r="8494" spans="2:18" ht="69" customHeight="1">
      <c r="B8494" s="164">
        <f t="shared" si="61"/>
        <v>5611</v>
      </c>
      <c r="C8494" s="58" t="s">
        <v>309</v>
      </c>
      <c r="D8494" s="62" t="s">
        <v>15120</v>
      </c>
      <c r="E8494" s="58" t="s">
        <v>15554</v>
      </c>
      <c r="F8494" s="58" t="s">
        <v>15605</v>
      </c>
      <c r="G8494" s="45" t="s">
        <v>15556</v>
      </c>
      <c r="H8494" s="546">
        <v>7000</v>
      </c>
      <c r="I8494" s="47">
        <v>45212</v>
      </c>
      <c r="J8494" s="73" t="s">
        <v>15557</v>
      </c>
      <c r="K8494" s="58" t="s">
        <v>15606</v>
      </c>
      <c r="L8494" s="99"/>
      <c r="O8494" s="62" t="s">
        <v>147</v>
      </c>
      <c r="P8494" s="45" t="s">
        <v>40</v>
      </c>
      <c r="Q8494" s="45" t="s">
        <v>31</v>
      </c>
      <c r="R8494" s="45" t="s">
        <v>272</v>
      </c>
    </row>
    <row r="8495" spans="2:18" ht="69" customHeight="1">
      <c r="B8495" s="164">
        <f t="shared" si="61"/>
        <v>5612</v>
      </c>
      <c r="C8495" s="58" t="s">
        <v>309</v>
      </c>
      <c r="D8495" s="62" t="s">
        <v>15120</v>
      </c>
      <c r="E8495" s="58" t="s">
        <v>15554</v>
      </c>
      <c r="F8495" s="58" t="s">
        <v>15605</v>
      </c>
      <c r="G8495" s="45" t="s">
        <v>15556</v>
      </c>
      <c r="H8495" s="546">
        <v>7000</v>
      </c>
      <c r="I8495" s="47">
        <v>45212</v>
      </c>
      <c r="J8495" s="73" t="s">
        <v>15557</v>
      </c>
      <c r="K8495" s="58" t="s">
        <v>15606</v>
      </c>
      <c r="L8495" s="99"/>
      <c r="O8495" s="62" t="s">
        <v>147</v>
      </c>
      <c r="P8495" s="45" t="s">
        <v>40</v>
      </c>
      <c r="Q8495" s="45" t="s">
        <v>45</v>
      </c>
      <c r="R8495" s="45" t="s">
        <v>272</v>
      </c>
    </row>
    <row r="8496" spans="2:18" ht="69" customHeight="1">
      <c r="B8496" s="164">
        <f t="shared" si="61"/>
        <v>5613</v>
      </c>
      <c r="C8496" s="59" t="s">
        <v>3667</v>
      </c>
      <c r="D8496" s="62" t="s">
        <v>15602</v>
      </c>
      <c r="E8496" s="58" t="s">
        <v>15554</v>
      </c>
      <c r="F8496" s="58" t="s">
        <v>15603</v>
      </c>
      <c r="G8496" s="45" t="s">
        <v>15556</v>
      </c>
      <c r="H8496" s="546">
        <v>7000</v>
      </c>
      <c r="I8496" s="47">
        <v>45212</v>
      </c>
      <c r="J8496" s="73" t="s">
        <v>15557</v>
      </c>
      <c r="K8496" s="58" t="s">
        <v>15604</v>
      </c>
      <c r="L8496" s="99"/>
      <c r="O8496" s="62" t="s">
        <v>147</v>
      </c>
      <c r="P8496" s="45" t="s">
        <v>40</v>
      </c>
      <c r="Q8496" s="45" t="s">
        <v>68</v>
      </c>
      <c r="R8496" s="45" t="s">
        <v>272</v>
      </c>
    </row>
    <row r="8497" spans="2:18" ht="69" customHeight="1">
      <c r="B8497" s="164">
        <f t="shared" si="61"/>
        <v>5614</v>
      </c>
      <c r="C8497" s="59" t="s">
        <v>3667</v>
      </c>
      <c r="D8497" s="62" t="s">
        <v>15602</v>
      </c>
      <c r="E8497" s="58" t="s">
        <v>15554</v>
      </c>
      <c r="F8497" s="58" t="s">
        <v>15603</v>
      </c>
      <c r="G8497" s="45" t="s">
        <v>15556</v>
      </c>
      <c r="H8497" s="546">
        <v>7000</v>
      </c>
      <c r="I8497" s="47">
        <v>45212</v>
      </c>
      <c r="J8497" s="73" t="s">
        <v>15557</v>
      </c>
      <c r="K8497" s="58" t="s">
        <v>15604</v>
      </c>
      <c r="L8497" s="99"/>
      <c r="O8497" s="62" t="s">
        <v>147</v>
      </c>
      <c r="P8497" s="45" t="s">
        <v>40</v>
      </c>
      <c r="Q8497" s="45" t="s">
        <v>70</v>
      </c>
      <c r="R8497" s="45" t="s">
        <v>272</v>
      </c>
    </row>
    <row r="8498" spans="2:18" ht="69" customHeight="1">
      <c r="B8498" s="164">
        <f t="shared" si="61"/>
        <v>5615</v>
      </c>
      <c r="C8498" s="59" t="s">
        <v>3667</v>
      </c>
      <c r="D8498" s="62" t="s">
        <v>15602</v>
      </c>
      <c r="E8498" s="58" t="s">
        <v>15554</v>
      </c>
      <c r="F8498" s="58" t="s">
        <v>15603</v>
      </c>
      <c r="G8498" s="45" t="s">
        <v>15556</v>
      </c>
      <c r="H8498" s="546">
        <v>7000</v>
      </c>
      <c r="I8498" s="47">
        <v>45212</v>
      </c>
      <c r="J8498" s="73" t="s">
        <v>15557</v>
      </c>
      <c r="K8498" s="58" t="s">
        <v>15604</v>
      </c>
      <c r="L8498" s="99"/>
      <c r="O8498" s="62" t="s">
        <v>147</v>
      </c>
      <c r="P8498" s="45" t="s">
        <v>40</v>
      </c>
      <c r="Q8498" s="45" t="s">
        <v>80</v>
      </c>
      <c r="R8498" s="45" t="s">
        <v>272</v>
      </c>
    </row>
    <row r="8499" spans="2:18" ht="69" customHeight="1">
      <c r="B8499" s="164">
        <f t="shared" si="61"/>
        <v>5616</v>
      </c>
      <c r="C8499" s="59" t="s">
        <v>3667</v>
      </c>
      <c r="D8499" s="62" t="s">
        <v>15602</v>
      </c>
      <c r="E8499" s="58" t="s">
        <v>15554</v>
      </c>
      <c r="F8499" s="58" t="s">
        <v>15603</v>
      </c>
      <c r="G8499" s="45" t="s">
        <v>15556</v>
      </c>
      <c r="H8499" s="546">
        <v>7000</v>
      </c>
      <c r="I8499" s="47">
        <v>45212</v>
      </c>
      <c r="J8499" s="73" t="s">
        <v>15557</v>
      </c>
      <c r="K8499" s="58" t="s">
        <v>15604</v>
      </c>
      <c r="L8499" s="99"/>
      <c r="O8499" s="62" t="s">
        <v>147</v>
      </c>
      <c r="P8499" s="45" t="s">
        <v>40</v>
      </c>
      <c r="Q8499" s="45" t="s">
        <v>82</v>
      </c>
      <c r="R8499" s="45" t="s">
        <v>272</v>
      </c>
    </row>
    <row r="8500" spans="2:18" ht="69" customHeight="1">
      <c r="B8500" s="164">
        <f t="shared" si="61"/>
        <v>5617</v>
      </c>
      <c r="C8500" s="59" t="s">
        <v>3667</v>
      </c>
      <c r="D8500" s="62" t="s">
        <v>15602</v>
      </c>
      <c r="E8500" s="58" t="s">
        <v>15554</v>
      </c>
      <c r="F8500" s="58" t="s">
        <v>15603</v>
      </c>
      <c r="G8500" s="45" t="s">
        <v>15556</v>
      </c>
      <c r="H8500" s="546">
        <v>7000</v>
      </c>
      <c r="I8500" s="47">
        <v>45212</v>
      </c>
      <c r="J8500" s="73" t="s">
        <v>15557</v>
      </c>
      <c r="K8500" s="58" t="s">
        <v>15604</v>
      </c>
      <c r="L8500" s="99"/>
      <c r="O8500" s="62" t="s">
        <v>147</v>
      </c>
      <c r="P8500" s="45" t="s">
        <v>40</v>
      </c>
      <c r="Q8500" s="45" t="s">
        <v>84</v>
      </c>
      <c r="R8500" s="45" t="s">
        <v>272</v>
      </c>
    </row>
    <row r="8501" spans="2:18" ht="69" customHeight="1">
      <c r="B8501" s="164">
        <f t="shared" si="61"/>
        <v>5618</v>
      </c>
      <c r="C8501" s="59" t="s">
        <v>3667</v>
      </c>
      <c r="D8501" s="62" t="s">
        <v>15602</v>
      </c>
      <c r="E8501" s="58" t="s">
        <v>15554</v>
      </c>
      <c r="F8501" s="58" t="s">
        <v>15603</v>
      </c>
      <c r="G8501" s="45" t="s">
        <v>15556</v>
      </c>
      <c r="H8501" s="546">
        <v>7000</v>
      </c>
      <c r="I8501" s="47">
        <v>45212</v>
      </c>
      <c r="J8501" s="73" t="s">
        <v>15557</v>
      </c>
      <c r="K8501" s="58" t="s">
        <v>15604</v>
      </c>
      <c r="L8501" s="99"/>
      <c r="O8501" s="62" t="s">
        <v>147</v>
      </c>
      <c r="P8501" s="45" t="s">
        <v>40</v>
      </c>
      <c r="Q8501" s="45" t="s">
        <v>66</v>
      </c>
      <c r="R8501" s="45" t="s">
        <v>272</v>
      </c>
    </row>
    <row r="8502" spans="2:18" ht="69" customHeight="1">
      <c r="B8502" s="164">
        <f t="shared" si="61"/>
        <v>5619</v>
      </c>
      <c r="C8502" s="59" t="s">
        <v>3667</v>
      </c>
      <c r="D8502" s="62" t="s">
        <v>15602</v>
      </c>
      <c r="E8502" s="58" t="s">
        <v>15554</v>
      </c>
      <c r="F8502" s="58" t="s">
        <v>15603</v>
      </c>
      <c r="G8502" s="45" t="s">
        <v>15556</v>
      </c>
      <c r="H8502" s="546">
        <v>7000</v>
      </c>
      <c r="I8502" s="47">
        <v>45212</v>
      </c>
      <c r="J8502" s="73" t="s">
        <v>15557</v>
      </c>
      <c r="K8502" s="58" t="s">
        <v>15604</v>
      </c>
      <c r="L8502" s="99"/>
      <c r="O8502" s="62" t="s">
        <v>147</v>
      </c>
      <c r="P8502" s="45" t="s">
        <v>40</v>
      </c>
      <c r="Q8502" s="45" t="s">
        <v>86</v>
      </c>
      <c r="R8502" s="45" t="s">
        <v>272</v>
      </c>
    </row>
    <row r="8503" spans="2:18" ht="69" customHeight="1">
      <c r="B8503" s="164">
        <f t="shared" si="61"/>
        <v>5620</v>
      </c>
      <c r="C8503" s="59" t="s">
        <v>3667</v>
      </c>
      <c r="D8503" s="62">
        <v>973</v>
      </c>
      <c r="E8503" s="58" t="s">
        <v>409</v>
      </c>
      <c r="F8503" s="58" t="s">
        <v>20717</v>
      </c>
      <c r="G8503" s="45" t="s">
        <v>18681</v>
      </c>
      <c r="H8503" s="546">
        <v>11756.6</v>
      </c>
      <c r="I8503" s="47">
        <v>44858</v>
      </c>
      <c r="J8503" s="73" t="s">
        <v>18682</v>
      </c>
      <c r="K8503" s="58" t="s">
        <v>20718</v>
      </c>
      <c r="L8503" s="99"/>
      <c r="O8503" s="62" t="s">
        <v>147</v>
      </c>
      <c r="P8503" s="45" t="s">
        <v>42</v>
      </c>
      <c r="Q8503" s="45" t="s">
        <v>64</v>
      </c>
      <c r="R8503" s="45" t="s">
        <v>272</v>
      </c>
    </row>
    <row r="8504" spans="2:18" ht="69" customHeight="1">
      <c r="B8504" s="639">
        <f t="shared" si="61"/>
        <v>5621</v>
      </c>
      <c r="C8504" s="191" t="s">
        <v>3667</v>
      </c>
      <c r="D8504" s="172">
        <v>973</v>
      </c>
      <c r="E8504" s="100" t="s">
        <v>409</v>
      </c>
      <c r="F8504" s="100" t="s">
        <v>20717</v>
      </c>
      <c r="G8504" s="100" t="s">
        <v>18681</v>
      </c>
      <c r="H8504" s="534">
        <v>0</v>
      </c>
      <c r="I8504" s="96">
        <v>44858</v>
      </c>
      <c r="J8504" s="268" t="s">
        <v>18682</v>
      </c>
      <c r="K8504" s="100" t="s">
        <v>20718</v>
      </c>
      <c r="L8504" s="404"/>
      <c r="O8504" s="172" t="s">
        <v>147</v>
      </c>
      <c r="P8504" s="100" t="s">
        <v>40</v>
      </c>
      <c r="Q8504" s="100" t="s">
        <v>68</v>
      </c>
      <c r="R8504" s="100" t="s">
        <v>272</v>
      </c>
    </row>
    <row r="8505" spans="2:18" ht="69" customHeight="1">
      <c r="B8505" s="164">
        <f t="shared" si="61"/>
        <v>5622</v>
      </c>
      <c r="C8505" s="58" t="s">
        <v>9545</v>
      </c>
      <c r="D8505" s="200" t="s">
        <v>20719</v>
      </c>
      <c r="E8505" s="58" t="s">
        <v>20387</v>
      </c>
      <c r="F8505" s="58" t="s">
        <v>20720</v>
      </c>
      <c r="G8505" s="45" t="s">
        <v>20721</v>
      </c>
      <c r="H8505" s="546">
        <v>24660.21</v>
      </c>
      <c r="I8505" s="47">
        <v>45427</v>
      </c>
      <c r="J8505" s="73" t="s">
        <v>20722</v>
      </c>
      <c r="K8505" s="62"/>
      <c r="L8505" s="99"/>
      <c r="O8505" s="62" t="s">
        <v>18678</v>
      </c>
      <c r="P8505" s="45" t="s">
        <v>57</v>
      </c>
      <c r="Q8505" s="45" t="s">
        <v>117</v>
      </c>
      <c r="R8505" s="45" t="s">
        <v>272</v>
      </c>
    </row>
    <row r="8506" spans="2:18" ht="69" customHeight="1">
      <c r="B8506" s="185">
        <f t="shared" si="61"/>
        <v>5623</v>
      </c>
      <c r="C8506" s="191" t="s">
        <v>2182</v>
      </c>
      <c r="D8506" s="539" t="s">
        <v>20723</v>
      </c>
      <c r="E8506" s="191" t="s">
        <v>266</v>
      </c>
      <c r="F8506" s="46" t="s">
        <v>20724</v>
      </c>
      <c r="G8506" s="46" t="s">
        <v>20725</v>
      </c>
      <c r="H8506" s="534">
        <v>7000</v>
      </c>
      <c r="I8506" s="56">
        <v>45427</v>
      </c>
      <c r="J8506" s="199" t="s">
        <v>20726</v>
      </c>
      <c r="K8506" s="52"/>
      <c r="L8506" s="99"/>
      <c r="O8506" s="52" t="s">
        <v>19819</v>
      </c>
      <c r="P8506" s="46" t="s">
        <v>65</v>
      </c>
      <c r="Q8506" s="46" t="s">
        <v>33</v>
      </c>
      <c r="R8506" s="46" t="s">
        <v>272</v>
      </c>
    </row>
    <row r="8507" spans="2:18" ht="69" customHeight="1">
      <c r="B8507" s="185">
        <f t="shared" si="61"/>
        <v>5624</v>
      </c>
      <c r="C8507" s="191" t="s">
        <v>309</v>
      </c>
      <c r="D8507" s="539" t="s">
        <v>16679</v>
      </c>
      <c r="E8507" s="53" t="s">
        <v>1056</v>
      </c>
      <c r="F8507" s="211" t="s">
        <v>20727</v>
      </c>
      <c r="G8507" s="46" t="s">
        <v>16166</v>
      </c>
      <c r="H8507" s="534">
        <v>15783.71</v>
      </c>
      <c r="I8507" s="56">
        <v>45427</v>
      </c>
      <c r="J8507" s="199" t="s">
        <v>20728</v>
      </c>
      <c r="K8507" s="52"/>
      <c r="L8507" s="99"/>
      <c r="O8507" s="46" t="s">
        <v>1061</v>
      </c>
      <c r="P8507" s="46" t="s">
        <v>36</v>
      </c>
      <c r="Q8507" s="46" t="s">
        <v>15</v>
      </c>
      <c r="R8507" s="46" t="s">
        <v>272</v>
      </c>
    </row>
    <row r="8508" spans="2:18" ht="69" customHeight="1">
      <c r="B8508" s="185">
        <f t="shared" si="61"/>
        <v>5625</v>
      </c>
      <c r="C8508" s="191" t="s">
        <v>309</v>
      </c>
      <c r="D8508" s="539" t="s">
        <v>16683</v>
      </c>
      <c r="E8508" s="53" t="s">
        <v>1056</v>
      </c>
      <c r="F8508" s="211" t="s">
        <v>20729</v>
      </c>
      <c r="G8508" s="46" t="s">
        <v>16174</v>
      </c>
      <c r="H8508" s="534">
        <v>116367.07</v>
      </c>
      <c r="I8508" s="56">
        <v>45427</v>
      </c>
      <c r="J8508" s="199" t="s">
        <v>20728</v>
      </c>
      <c r="K8508" s="52"/>
      <c r="L8508" s="99"/>
      <c r="O8508" s="46" t="s">
        <v>1061</v>
      </c>
      <c r="P8508" s="46" t="s">
        <v>36</v>
      </c>
      <c r="Q8508" s="46" t="s">
        <v>15</v>
      </c>
      <c r="R8508" s="46" t="s">
        <v>272</v>
      </c>
    </row>
    <row r="8509" spans="2:18" ht="69" customHeight="1">
      <c r="B8509" s="185">
        <f t="shared" si="61"/>
        <v>5626</v>
      </c>
      <c r="C8509" s="191" t="s">
        <v>3667</v>
      </c>
      <c r="D8509" s="539" t="s">
        <v>20730</v>
      </c>
      <c r="E8509" s="53" t="s">
        <v>1056</v>
      </c>
      <c r="F8509" s="211" t="s">
        <v>20731</v>
      </c>
      <c r="G8509" s="46" t="s">
        <v>16166</v>
      </c>
      <c r="H8509" s="534">
        <v>20203.150000000001</v>
      </c>
      <c r="I8509" s="56">
        <v>45427</v>
      </c>
      <c r="J8509" s="199" t="s">
        <v>20728</v>
      </c>
      <c r="K8509" s="52"/>
      <c r="L8509" s="99"/>
      <c r="O8509" s="46" t="s">
        <v>1061</v>
      </c>
      <c r="P8509" s="46" t="s">
        <v>36</v>
      </c>
      <c r="Q8509" s="46" t="s">
        <v>49</v>
      </c>
      <c r="R8509" s="46" t="s">
        <v>272</v>
      </c>
    </row>
    <row r="8510" spans="2:18" ht="69" customHeight="1">
      <c r="B8510" s="185">
        <f t="shared" si="61"/>
        <v>5627</v>
      </c>
      <c r="C8510" s="191" t="s">
        <v>3667</v>
      </c>
      <c r="D8510" s="539" t="s">
        <v>20732</v>
      </c>
      <c r="E8510" s="53" t="s">
        <v>1056</v>
      </c>
      <c r="F8510" s="211" t="s">
        <v>20733</v>
      </c>
      <c r="G8510" s="46" t="s">
        <v>16174</v>
      </c>
      <c r="H8510" s="534">
        <v>148949.85</v>
      </c>
      <c r="I8510" s="56">
        <v>45427</v>
      </c>
      <c r="J8510" s="199" t="s">
        <v>20728</v>
      </c>
      <c r="K8510" s="52"/>
      <c r="L8510" s="99"/>
      <c r="O8510" s="46" t="s">
        <v>1061</v>
      </c>
      <c r="P8510" s="46" t="s">
        <v>36</v>
      </c>
      <c r="Q8510" s="46" t="s">
        <v>49</v>
      </c>
      <c r="R8510" s="46" t="s">
        <v>272</v>
      </c>
    </row>
    <row r="8511" spans="2:18" ht="69" customHeight="1">
      <c r="B8511" s="185">
        <f t="shared" si="61"/>
        <v>5628</v>
      </c>
      <c r="C8511" s="46" t="s">
        <v>458</v>
      </c>
      <c r="D8511" s="539" t="s">
        <v>20734</v>
      </c>
      <c r="E8511" s="53" t="s">
        <v>1056</v>
      </c>
      <c r="F8511" s="211" t="s">
        <v>20735</v>
      </c>
      <c r="G8511" s="46" t="s">
        <v>16166</v>
      </c>
      <c r="H8511" s="534">
        <v>15783.71</v>
      </c>
      <c r="I8511" s="56">
        <v>45427</v>
      </c>
      <c r="J8511" s="199" t="s">
        <v>20728</v>
      </c>
      <c r="K8511" s="52"/>
      <c r="L8511" s="99"/>
      <c r="O8511" s="46" t="s">
        <v>1061</v>
      </c>
      <c r="P8511" s="46" t="s">
        <v>36</v>
      </c>
      <c r="Q8511" s="46" t="s">
        <v>90</v>
      </c>
      <c r="R8511" s="46" t="s">
        <v>272</v>
      </c>
    </row>
    <row r="8512" spans="2:18" ht="69" customHeight="1">
      <c r="B8512" s="185">
        <f t="shared" si="61"/>
        <v>5629</v>
      </c>
      <c r="C8512" s="46" t="s">
        <v>458</v>
      </c>
      <c r="D8512" s="539" t="s">
        <v>20736</v>
      </c>
      <c r="E8512" s="53" t="s">
        <v>1056</v>
      </c>
      <c r="F8512" s="211" t="s">
        <v>20737</v>
      </c>
      <c r="G8512" s="46" t="s">
        <v>16174</v>
      </c>
      <c r="H8512" s="534">
        <v>116367.07</v>
      </c>
      <c r="I8512" s="56">
        <v>45427</v>
      </c>
      <c r="J8512" s="199" t="s">
        <v>20728</v>
      </c>
      <c r="K8512" s="52"/>
      <c r="L8512" s="99"/>
      <c r="O8512" s="46" t="s">
        <v>1061</v>
      </c>
      <c r="P8512" s="46" t="s">
        <v>36</v>
      </c>
      <c r="Q8512" s="46" t="s">
        <v>90</v>
      </c>
      <c r="R8512" s="46" t="s">
        <v>272</v>
      </c>
    </row>
    <row r="8513" spans="1:18" ht="69" customHeight="1">
      <c r="B8513" s="185">
        <f t="shared" si="61"/>
        <v>5630</v>
      </c>
      <c r="C8513" s="191" t="s">
        <v>657</v>
      </c>
      <c r="D8513" s="539" t="s">
        <v>5648</v>
      </c>
      <c r="E8513" s="53" t="s">
        <v>1056</v>
      </c>
      <c r="F8513" s="211" t="s">
        <v>20738</v>
      </c>
      <c r="G8513" s="46" t="s">
        <v>16166</v>
      </c>
      <c r="H8513" s="534">
        <v>11364.27</v>
      </c>
      <c r="I8513" s="56">
        <v>45427</v>
      </c>
      <c r="J8513" s="199" t="s">
        <v>20728</v>
      </c>
      <c r="K8513" s="52"/>
      <c r="L8513" s="99"/>
      <c r="O8513" s="46" t="s">
        <v>1061</v>
      </c>
      <c r="P8513" s="46" t="s">
        <v>36</v>
      </c>
      <c r="Q8513" s="46" t="s">
        <v>99</v>
      </c>
      <c r="R8513" s="46" t="s">
        <v>272</v>
      </c>
    </row>
    <row r="8514" spans="1:18" ht="69" customHeight="1">
      <c r="B8514" s="185">
        <f t="shared" si="61"/>
        <v>5631</v>
      </c>
      <c r="C8514" s="191" t="s">
        <v>657</v>
      </c>
      <c r="D8514" s="539" t="s">
        <v>10635</v>
      </c>
      <c r="E8514" s="53" t="s">
        <v>1056</v>
      </c>
      <c r="F8514" s="211" t="s">
        <v>20739</v>
      </c>
      <c r="G8514" s="46" t="s">
        <v>16174</v>
      </c>
      <c r="H8514" s="534">
        <v>83784.289999999994</v>
      </c>
      <c r="I8514" s="56">
        <v>45427</v>
      </c>
      <c r="J8514" s="199" t="s">
        <v>20728</v>
      </c>
      <c r="K8514" s="52"/>
      <c r="L8514" s="99"/>
      <c r="O8514" s="46" t="s">
        <v>1061</v>
      </c>
      <c r="P8514" s="46" t="s">
        <v>36</v>
      </c>
      <c r="Q8514" s="46" t="s">
        <v>99</v>
      </c>
      <c r="R8514" s="46" t="s">
        <v>272</v>
      </c>
    </row>
    <row r="8515" spans="1:18" ht="69" customHeight="1">
      <c r="B8515" s="202">
        <f t="shared" si="61"/>
        <v>5632</v>
      </c>
      <c r="C8515" s="640" t="s">
        <v>3667</v>
      </c>
      <c r="D8515" s="641" t="s">
        <v>20740</v>
      </c>
      <c r="E8515" s="182" t="s">
        <v>18762</v>
      </c>
      <c r="F8515" s="182" t="s">
        <v>20741</v>
      </c>
      <c r="G8515" s="182" t="s">
        <v>20742</v>
      </c>
      <c r="H8515" s="684">
        <v>71000.39</v>
      </c>
      <c r="I8515" s="196">
        <v>45427</v>
      </c>
      <c r="J8515" s="202" t="s">
        <v>20743</v>
      </c>
      <c r="K8515" s="685"/>
      <c r="L8515" s="99"/>
      <c r="O8515" s="62" t="s">
        <v>10607</v>
      </c>
      <c r="P8515" s="45" t="s">
        <v>22</v>
      </c>
      <c r="Q8515" s="45" t="s">
        <v>66</v>
      </c>
      <c r="R8515" s="45" t="s">
        <v>272</v>
      </c>
    </row>
    <row r="8516" spans="1:18" ht="69" customHeight="1">
      <c r="B8516" s="203">
        <f t="shared" si="61"/>
        <v>5633</v>
      </c>
      <c r="C8516" s="182" t="s">
        <v>6888</v>
      </c>
      <c r="D8516" s="641" t="s">
        <v>20744</v>
      </c>
      <c r="E8516" s="182" t="s">
        <v>18762</v>
      </c>
      <c r="F8516" s="182" t="s">
        <v>20745</v>
      </c>
      <c r="G8516" s="182" t="s">
        <v>20746</v>
      </c>
      <c r="H8516" s="684">
        <v>77207.62</v>
      </c>
      <c r="I8516" s="196">
        <v>45427</v>
      </c>
      <c r="J8516" s="202" t="s">
        <v>20743</v>
      </c>
      <c r="K8516" s="685"/>
      <c r="L8516" s="99"/>
      <c r="O8516" s="62" t="s">
        <v>10607</v>
      </c>
      <c r="P8516" s="45" t="s">
        <v>22</v>
      </c>
      <c r="Q8516" s="45" t="s">
        <v>84</v>
      </c>
      <c r="R8516" s="45" t="s">
        <v>272</v>
      </c>
    </row>
    <row r="8517" spans="1:18" ht="69" customHeight="1">
      <c r="B8517" s="181">
        <f t="shared" si="61"/>
        <v>5634</v>
      </c>
      <c r="C8517" s="59" t="s">
        <v>3667</v>
      </c>
      <c r="D8517" s="200" t="s">
        <v>20747</v>
      </c>
      <c r="E8517" s="58" t="s">
        <v>18762</v>
      </c>
      <c r="F8517" s="58" t="s">
        <v>20748</v>
      </c>
      <c r="G8517" s="45" t="s">
        <v>19395</v>
      </c>
      <c r="H8517" s="546">
        <v>484823.03</v>
      </c>
      <c r="I8517" s="47">
        <v>45427</v>
      </c>
      <c r="J8517" s="73" t="s">
        <v>20743</v>
      </c>
      <c r="K8517" s="62"/>
      <c r="L8517" s="99"/>
      <c r="O8517" s="62" t="s">
        <v>10607</v>
      </c>
      <c r="P8517" s="45" t="s">
        <v>22</v>
      </c>
      <c r="Q8517" s="45" t="s">
        <v>93</v>
      </c>
      <c r="R8517" s="45" t="s">
        <v>272</v>
      </c>
    </row>
    <row r="8518" spans="1:18" ht="69" customHeight="1">
      <c r="B8518" s="164">
        <f t="shared" si="61"/>
        <v>5635</v>
      </c>
      <c r="C8518" s="59" t="s">
        <v>3667</v>
      </c>
      <c r="D8518" s="200" t="s">
        <v>20749</v>
      </c>
      <c r="E8518" s="58" t="s">
        <v>18762</v>
      </c>
      <c r="F8518" s="58" t="s">
        <v>20750</v>
      </c>
      <c r="G8518" s="45" t="s">
        <v>19395</v>
      </c>
      <c r="H8518" s="546">
        <v>249502.42</v>
      </c>
      <c r="I8518" s="47">
        <v>45427</v>
      </c>
      <c r="J8518" s="73" t="s">
        <v>20743</v>
      </c>
      <c r="K8518" s="62"/>
      <c r="L8518" s="99"/>
      <c r="O8518" s="62" t="s">
        <v>10607</v>
      </c>
      <c r="P8518" s="45" t="s">
        <v>22</v>
      </c>
      <c r="Q8518" s="45" t="s">
        <v>95</v>
      </c>
      <c r="R8518" s="45" t="s">
        <v>272</v>
      </c>
    </row>
    <row r="8519" spans="1:18" ht="69" customHeight="1">
      <c r="B8519" s="204">
        <f t="shared" si="61"/>
        <v>5636</v>
      </c>
      <c r="C8519" s="642" t="s">
        <v>657</v>
      </c>
      <c r="D8519" s="641" t="s">
        <v>10640</v>
      </c>
      <c r="E8519" s="182" t="s">
        <v>18762</v>
      </c>
      <c r="F8519" s="182" t="s">
        <v>20751</v>
      </c>
      <c r="G8519" s="182" t="s">
        <v>20752</v>
      </c>
      <c r="H8519" s="684">
        <v>101298.75</v>
      </c>
      <c r="I8519" s="196">
        <v>45427</v>
      </c>
      <c r="J8519" s="202" t="s">
        <v>20743</v>
      </c>
      <c r="K8519" s="685"/>
      <c r="L8519" s="99"/>
      <c r="O8519" s="62" t="s">
        <v>10607</v>
      </c>
      <c r="P8519" s="45" t="s">
        <v>22</v>
      </c>
      <c r="Q8519" s="45" t="s">
        <v>111</v>
      </c>
      <c r="R8519" s="45" t="s">
        <v>272</v>
      </c>
    </row>
    <row r="8520" spans="1:18" s="98" customFormat="1" ht="69" customHeight="1">
      <c r="A8520" s="169"/>
      <c r="B8520" s="163">
        <f t="shared" si="61"/>
        <v>5637</v>
      </c>
      <c r="C8520" s="59" t="s">
        <v>15700</v>
      </c>
      <c r="D8520" s="611" t="s">
        <v>16689</v>
      </c>
      <c r="E8520" s="45" t="s">
        <v>15627</v>
      </c>
      <c r="F8520" s="45" t="s">
        <v>20753</v>
      </c>
      <c r="G8520" s="45" t="s">
        <v>20568</v>
      </c>
      <c r="H8520" s="546">
        <v>50400</v>
      </c>
      <c r="I8520" s="47">
        <v>45427</v>
      </c>
      <c r="J8520" s="73" t="s">
        <v>20754</v>
      </c>
      <c r="K8520" s="45"/>
      <c r="O8520" s="48" t="s">
        <v>192</v>
      </c>
      <c r="P8520" s="45" t="s">
        <v>75</v>
      </c>
      <c r="Q8520" s="45" t="s">
        <v>39</v>
      </c>
      <c r="R8520" s="45" t="s">
        <v>272</v>
      </c>
    </row>
    <row r="8521" spans="1:18" ht="69" customHeight="1">
      <c r="B8521" s="65">
        <f t="shared" si="61"/>
        <v>5638</v>
      </c>
      <c r="C8521" s="45" t="s">
        <v>458</v>
      </c>
      <c r="D8521" s="200" t="s">
        <v>20755</v>
      </c>
      <c r="E8521" s="58" t="s">
        <v>350</v>
      </c>
      <c r="F8521" s="58" t="s">
        <v>20756</v>
      </c>
      <c r="G8521" s="45" t="s">
        <v>20757</v>
      </c>
      <c r="H8521" s="546">
        <v>49143.44</v>
      </c>
      <c r="I8521" s="47">
        <v>45427</v>
      </c>
      <c r="J8521" s="73" t="s">
        <v>20758</v>
      </c>
      <c r="K8521" s="62"/>
      <c r="L8521" s="99"/>
      <c r="O8521" s="62" t="s">
        <v>141</v>
      </c>
      <c r="P8521" s="45" t="s">
        <v>19</v>
      </c>
      <c r="Q8521" s="45" t="s">
        <v>103</v>
      </c>
      <c r="R8521" s="45" t="s">
        <v>265</v>
      </c>
    </row>
    <row r="8522" spans="1:18" ht="69" customHeight="1">
      <c r="B8522" s="197">
        <f t="shared" si="61"/>
        <v>5639</v>
      </c>
      <c r="C8522" s="128" t="s">
        <v>581</v>
      </c>
      <c r="D8522" s="200" t="s">
        <v>16685</v>
      </c>
      <c r="E8522" s="58" t="s">
        <v>20458</v>
      </c>
      <c r="F8522" s="58" t="s">
        <v>20759</v>
      </c>
      <c r="G8522" s="45" t="s">
        <v>20760</v>
      </c>
      <c r="H8522" s="546">
        <v>43080</v>
      </c>
      <c r="I8522" s="47">
        <v>45427</v>
      </c>
      <c r="J8522" s="73" t="s">
        <v>20761</v>
      </c>
      <c r="K8522" s="62"/>
      <c r="L8522" s="99"/>
      <c r="O8522" s="62" t="s">
        <v>441</v>
      </c>
      <c r="P8522" s="45" t="s">
        <v>22</v>
      </c>
      <c r="Q8522" s="45" t="s">
        <v>18</v>
      </c>
      <c r="R8522" s="45" t="s">
        <v>265</v>
      </c>
    </row>
    <row r="8523" spans="1:18" ht="69" customHeight="1">
      <c r="B8523" s="181">
        <f t="shared" ref="B8523:B8586" si="62">B8522+1</f>
        <v>5640</v>
      </c>
      <c r="C8523" s="128" t="s">
        <v>581</v>
      </c>
      <c r="D8523" s="200" t="s">
        <v>16687</v>
      </c>
      <c r="E8523" s="58" t="s">
        <v>20458</v>
      </c>
      <c r="F8523" s="58" t="s">
        <v>20762</v>
      </c>
      <c r="G8523" s="45" t="s">
        <v>20763</v>
      </c>
      <c r="H8523" s="546">
        <v>27000</v>
      </c>
      <c r="I8523" s="47">
        <v>45427</v>
      </c>
      <c r="J8523" s="73" t="s">
        <v>20764</v>
      </c>
      <c r="K8523" s="62"/>
      <c r="L8523" s="99"/>
      <c r="O8523" s="62" t="s">
        <v>441</v>
      </c>
      <c r="P8523" s="45" t="s">
        <v>22</v>
      </c>
      <c r="Q8523" s="45" t="s">
        <v>18</v>
      </c>
      <c r="R8523" s="45" t="s">
        <v>265</v>
      </c>
    </row>
    <row r="8524" spans="1:18" s="98" customFormat="1" ht="69" customHeight="1">
      <c r="A8524" s="169"/>
      <c r="B8524" s="313">
        <f t="shared" si="62"/>
        <v>5641</v>
      </c>
      <c r="C8524" s="207" t="s">
        <v>3340</v>
      </c>
      <c r="D8524" s="311" t="s">
        <v>1506</v>
      </c>
      <c r="E8524" s="207" t="s">
        <v>266</v>
      </c>
      <c r="F8524" s="160" t="s">
        <v>20765</v>
      </c>
      <c r="G8524" s="160" t="s">
        <v>20766</v>
      </c>
      <c r="H8524" s="300">
        <v>3444.83</v>
      </c>
      <c r="I8524" s="209">
        <v>45427</v>
      </c>
      <c r="J8524" s="316" t="s">
        <v>20767</v>
      </c>
      <c r="K8524" s="160" t="s">
        <v>11084</v>
      </c>
      <c r="O8524" s="259" t="s">
        <v>20768</v>
      </c>
      <c r="P8524" s="160" t="s">
        <v>67</v>
      </c>
      <c r="Q8524" s="160" t="s">
        <v>96</v>
      </c>
      <c r="R8524" s="160" t="s">
        <v>272</v>
      </c>
    </row>
    <row r="8525" spans="1:18" ht="69" customHeight="1">
      <c r="B8525" s="185">
        <f t="shared" si="62"/>
        <v>5642</v>
      </c>
      <c r="C8525" s="191" t="s">
        <v>10937</v>
      </c>
      <c r="D8525" s="539" t="s">
        <v>14173</v>
      </c>
      <c r="E8525" s="191" t="s">
        <v>266</v>
      </c>
      <c r="F8525" s="46" t="s">
        <v>20769</v>
      </c>
      <c r="G8525" s="46" t="s">
        <v>20770</v>
      </c>
      <c r="H8525" s="534">
        <v>9729.5300000000007</v>
      </c>
      <c r="I8525" s="56">
        <v>45427</v>
      </c>
      <c r="J8525" s="199" t="s">
        <v>20771</v>
      </c>
      <c r="K8525" s="52"/>
      <c r="L8525" s="99"/>
      <c r="O8525" s="52" t="s">
        <v>17289</v>
      </c>
      <c r="P8525" s="46" t="s">
        <v>65</v>
      </c>
      <c r="Q8525" s="46" t="s">
        <v>104</v>
      </c>
      <c r="R8525" s="46" t="s">
        <v>272</v>
      </c>
    </row>
    <row r="8526" spans="1:18" ht="69" customHeight="1">
      <c r="B8526" s="185">
        <f t="shared" si="62"/>
        <v>5643</v>
      </c>
      <c r="C8526" s="51" t="s">
        <v>11055</v>
      </c>
      <c r="D8526" s="539" t="s">
        <v>16691</v>
      </c>
      <c r="E8526" s="191" t="s">
        <v>266</v>
      </c>
      <c r="F8526" s="46" t="s">
        <v>20772</v>
      </c>
      <c r="G8526" s="46" t="s">
        <v>20770</v>
      </c>
      <c r="H8526" s="534">
        <v>14359.15</v>
      </c>
      <c r="I8526" s="56">
        <v>45427</v>
      </c>
      <c r="J8526" s="199" t="s">
        <v>20771</v>
      </c>
      <c r="K8526" s="52"/>
      <c r="L8526" s="99"/>
      <c r="O8526" s="52" t="s">
        <v>17289</v>
      </c>
      <c r="P8526" s="46" t="s">
        <v>65</v>
      </c>
      <c r="Q8526" s="46" t="s">
        <v>45</v>
      </c>
      <c r="R8526" s="46" t="s">
        <v>272</v>
      </c>
    </row>
    <row r="8527" spans="1:18" ht="69" customHeight="1">
      <c r="B8527" s="185">
        <f t="shared" si="62"/>
        <v>5644</v>
      </c>
      <c r="C8527" s="46" t="s">
        <v>6888</v>
      </c>
      <c r="D8527" s="539" t="s">
        <v>20773</v>
      </c>
      <c r="E8527" s="191" t="s">
        <v>266</v>
      </c>
      <c r="F8527" s="46" t="s">
        <v>20774</v>
      </c>
      <c r="G8527" s="46" t="s">
        <v>20770</v>
      </c>
      <c r="H8527" s="534">
        <v>9853.15</v>
      </c>
      <c r="I8527" s="56">
        <v>45427</v>
      </c>
      <c r="J8527" s="199" t="s">
        <v>20771</v>
      </c>
      <c r="K8527" s="52"/>
      <c r="L8527" s="99"/>
      <c r="O8527" s="52" t="s">
        <v>17289</v>
      </c>
      <c r="P8527" s="46" t="s">
        <v>65</v>
      </c>
      <c r="Q8527" s="46" t="s">
        <v>84</v>
      </c>
      <c r="R8527" s="46" t="s">
        <v>272</v>
      </c>
    </row>
    <row r="8528" spans="1:18" ht="69" customHeight="1">
      <c r="B8528" s="185">
        <f t="shared" si="62"/>
        <v>5645</v>
      </c>
      <c r="C8528" s="46" t="s">
        <v>11618</v>
      </c>
      <c r="D8528" s="539" t="s">
        <v>20775</v>
      </c>
      <c r="E8528" s="191" t="s">
        <v>266</v>
      </c>
      <c r="F8528" s="46" t="s">
        <v>20776</v>
      </c>
      <c r="G8528" s="46" t="s">
        <v>20770</v>
      </c>
      <c r="H8528" s="534">
        <v>14258.5</v>
      </c>
      <c r="I8528" s="56">
        <v>45427</v>
      </c>
      <c r="J8528" s="199" t="s">
        <v>20771</v>
      </c>
      <c r="K8528" s="52"/>
      <c r="L8528" s="99"/>
      <c r="O8528" s="52" t="s">
        <v>17289</v>
      </c>
      <c r="P8528" s="46" t="s">
        <v>65</v>
      </c>
      <c r="Q8528" s="46" t="s">
        <v>122</v>
      </c>
      <c r="R8528" s="46" t="s">
        <v>272</v>
      </c>
    </row>
    <row r="8529" spans="1:18" ht="69" customHeight="1">
      <c r="B8529" s="185">
        <f t="shared" si="62"/>
        <v>5646</v>
      </c>
      <c r="C8529" s="191" t="s">
        <v>11933</v>
      </c>
      <c r="D8529" s="539" t="s">
        <v>20777</v>
      </c>
      <c r="E8529" s="191" t="s">
        <v>266</v>
      </c>
      <c r="F8529" s="46" t="s">
        <v>20778</v>
      </c>
      <c r="G8529" s="46" t="s">
        <v>20770</v>
      </c>
      <c r="H8529" s="534">
        <v>14530.48</v>
      </c>
      <c r="I8529" s="56">
        <v>45427</v>
      </c>
      <c r="J8529" s="199" t="s">
        <v>20771</v>
      </c>
      <c r="K8529" s="52"/>
      <c r="L8529" s="99"/>
      <c r="O8529" s="52" t="s">
        <v>17289</v>
      </c>
      <c r="P8529" s="46" t="s">
        <v>65</v>
      </c>
      <c r="Q8529" s="46" t="s">
        <v>123</v>
      </c>
      <c r="R8529" s="46" t="s">
        <v>272</v>
      </c>
    </row>
    <row r="8530" spans="1:18" ht="69" customHeight="1">
      <c r="B8530" s="185">
        <f t="shared" si="62"/>
        <v>5647</v>
      </c>
      <c r="C8530" s="46" t="s">
        <v>10947</v>
      </c>
      <c r="D8530" s="539" t="s">
        <v>20779</v>
      </c>
      <c r="E8530" s="191" t="s">
        <v>266</v>
      </c>
      <c r="F8530" s="46" t="s">
        <v>20780</v>
      </c>
      <c r="G8530" s="46" t="s">
        <v>20770</v>
      </c>
      <c r="H8530" s="534">
        <v>9729.5300000000007</v>
      </c>
      <c r="I8530" s="56">
        <v>45427</v>
      </c>
      <c r="J8530" s="199" t="s">
        <v>20771</v>
      </c>
      <c r="K8530" s="52"/>
      <c r="L8530" s="99"/>
      <c r="O8530" s="52" t="s">
        <v>17289</v>
      </c>
      <c r="P8530" s="46" t="s">
        <v>65</v>
      </c>
      <c r="Q8530" s="46" t="s">
        <v>100</v>
      </c>
      <c r="R8530" s="46" t="s">
        <v>272</v>
      </c>
    </row>
    <row r="8531" spans="1:18" ht="69" customHeight="1">
      <c r="B8531" s="185">
        <f t="shared" si="62"/>
        <v>5648</v>
      </c>
      <c r="C8531" s="46" t="s">
        <v>16973</v>
      </c>
      <c r="D8531" s="539" t="s">
        <v>20781</v>
      </c>
      <c r="E8531" s="191" t="s">
        <v>266</v>
      </c>
      <c r="F8531" s="46" t="s">
        <v>20782</v>
      </c>
      <c r="G8531" s="46" t="s">
        <v>20770</v>
      </c>
      <c r="H8531" s="534">
        <v>13121.5</v>
      </c>
      <c r="I8531" s="56">
        <v>45427</v>
      </c>
      <c r="J8531" s="199" t="s">
        <v>20771</v>
      </c>
      <c r="K8531" s="52"/>
      <c r="L8531" s="99"/>
      <c r="O8531" s="52" t="s">
        <v>17289</v>
      </c>
      <c r="P8531" s="46" t="s">
        <v>65</v>
      </c>
      <c r="Q8531" s="46" t="s">
        <v>113</v>
      </c>
      <c r="R8531" s="46" t="s">
        <v>272</v>
      </c>
    </row>
    <row r="8532" spans="1:18" ht="69" customHeight="1">
      <c r="B8532" s="185">
        <f t="shared" si="62"/>
        <v>5649</v>
      </c>
      <c r="C8532" s="191" t="s">
        <v>11908</v>
      </c>
      <c r="D8532" s="539" t="s">
        <v>20783</v>
      </c>
      <c r="E8532" s="191" t="s">
        <v>266</v>
      </c>
      <c r="F8532" s="46" t="s">
        <v>20784</v>
      </c>
      <c r="G8532" s="46" t="s">
        <v>20770</v>
      </c>
      <c r="H8532" s="534">
        <v>9729.5300000000007</v>
      </c>
      <c r="I8532" s="56">
        <v>45427</v>
      </c>
      <c r="J8532" s="199" t="s">
        <v>20771</v>
      </c>
      <c r="K8532" s="52"/>
      <c r="L8532" s="99"/>
      <c r="O8532" s="52" t="s">
        <v>17289</v>
      </c>
      <c r="P8532" s="46" t="s">
        <v>65</v>
      </c>
      <c r="Q8532" s="46" t="s">
        <v>103</v>
      </c>
      <c r="R8532" s="46" t="s">
        <v>272</v>
      </c>
    </row>
    <row r="8533" spans="1:18" ht="69" customHeight="1">
      <c r="B8533" s="185">
        <f t="shared" si="62"/>
        <v>5650</v>
      </c>
      <c r="C8533" s="191" t="s">
        <v>13562</v>
      </c>
      <c r="D8533" s="539" t="s">
        <v>20785</v>
      </c>
      <c r="E8533" s="191" t="s">
        <v>266</v>
      </c>
      <c r="F8533" s="46" t="s">
        <v>20786</v>
      </c>
      <c r="G8533" s="46" t="s">
        <v>20770</v>
      </c>
      <c r="H8533" s="534">
        <v>12025.36</v>
      </c>
      <c r="I8533" s="56">
        <v>45427</v>
      </c>
      <c r="J8533" s="199" t="s">
        <v>20771</v>
      </c>
      <c r="K8533" s="52"/>
      <c r="L8533" s="99"/>
      <c r="O8533" s="52" t="s">
        <v>17289</v>
      </c>
      <c r="P8533" s="46" t="s">
        <v>65</v>
      </c>
      <c r="Q8533" s="46" t="s">
        <v>88</v>
      </c>
      <c r="R8533" s="46" t="s">
        <v>272</v>
      </c>
    </row>
    <row r="8534" spans="1:18" ht="69" customHeight="1">
      <c r="B8534" s="185">
        <f t="shared" si="62"/>
        <v>5651</v>
      </c>
      <c r="C8534" s="191" t="s">
        <v>9094</v>
      </c>
      <c r="D8534" s="539" t="s">
        <v>20787</v>
      </c>
      <c r="E8534" s="191" t="s">
        <v>266</v>
      </c>
      <c r="F8534" s="46" t="s">
        <v>20788</v>
      </c>
      <c r="G8534" s="46" t="s">
        <v>20770</v>
      </c>
      <c r="H8534" s="534">
        <v>15431.2</v>
      </c>
      <c r="I8534" s="56">
        <v>45427</v>
      </c>
      <c r="J8534" s="199" t="s">
        <v>20771</v>
      </c>
      <c r="K8534" s="46" t="s">
        <v>5103</v>
      </c>
      <c r="L8534" s="99"/>
      <c r="O8534" s="52" t="s">
        <v>17289</v>
      </c>
      <c r="P8534" s="46" t="s">
        <v>65</v>
      </c>
      <c r="Q8534" s="46" t="s">
        <v>112</v>
      </c>
      <c r="R8534" s="46" t="s">
        <v>272</v>
      </c>
    </row>
    <row r="8535" spans="1:18" ht="69" customHeight="1">
      <c r="B8535" s="185">
        <f t="shared" si="62"/>
        <v>5652</v>
      </c>
      <c r="C8535" s="191" t="s">
        <v>7189</v>
      </c>
      <c r="D8535" s="539" t="s">
        <v>14184</v>
      </c>
      <c r="E8535" s="191" t="s">
        <v>266</v>
      </c>
      <c r="F8535" s="46" t="s">
        <v>20789</v>
      </c>
      <c r="G8535" s="46" t="s">
        <v>20770</v>
      </c>
      <c r="H8535" s="534">
        <v>9853.15</v>
      </c>
      <c r="I8535" s="56">
        <v>45427</v>
      </c>
      <c r="J8535" s="199" t="s">
        <v>20771</v>
      </c>
      <c r="K8535" s="52"/>
      <c r="L8535" s="99"/>
      <c r="O8535" s="52" t="s">
        <v>17289</v>
      </c>
      <c r="P8535" s="46" t="s">
        <v>65</v>
      </c>
      <c r="Q8535" s="46" t="s">
        <v>97</v>
      </c>
      <c r="R8535" s="46" t="s">
        <v>272</v>
      </c>
    </row>
    <row r="8536" spans="1:18" ht="69" customHeight="1">
      <c r="B8536" s="185">
        <f t="shared" si="62"/>
        <v>5653</v>
      </c>
      <c r="C8536" s="51" t="s">
        <v>9004</v>
      </c>
      <c r="D8536" s="539" t="s">
        <v>14186</v>
      </c>
      <c r="E8536" s="191" t="s">
        <v>266</v>
      </c>
      <c r="F8536" s="46" t="s">
        <v>20790</v>
      </c>
      <c r="G8536" s="46" t="s">
        <v>20770</v>
      </c>
      <c r="H8536" s="534">
        <v>18034.259999999998</v>
      </c>
      <c r="I8536" s="56">
        <v>45427</v>
      </c>
      <c r="J8536" s="199" t="s">
        <v>20771</v>
      </c>
      <c r="K8536" s="52"/>
      <c r="L8536" s="99"/>
      <c r="O8536" s="52" t="s">
        <v>17289</v>
      </c>
      <c r="P8536" s="46" t="s">
        <v>65</v>
      </c>
      <c r="Q8536" s="46" t="s">
        <v>111</v>
      </c>
      <c r="R8536" s="46" t="s">
        <v>272</v>
      </c>
    </row>
    <row r="8537" spans="1:18" ht="69" customHeight="1">
      <c r="B8537" s="199">
        <f t="shared" si="62"/>
        <v>5654</v>
      </c>
      <c r="C8537" s="191" t="s">
        <v>5658</v>
      </c>
      <c r="D8537" s="539" t="s">
        <v>20791</v>
      </c>
      <c r="E8537" s="191" t="s">
        <v>266</v>
      </c>
      <c r="F8537" s="46" t="s">
        <v>20792</v>
      </c>
      <c r="G8537" s="46" t="s">
        <v>20770</v>
      </c>
      <c r="H8537" s="534">
        <v>10512.4</v>
      </c>
      <c r="I8537" s="56">
        <v>45427</v>
      </c>
      <c r="J8537" s="199" t="s">
        <v>20771</v>
      </c>
      <c r="K8537" s="52"/>
      <c r="L8537" s="99"/>
      <c r="O8537" s="52" t="s">
        <v>17289</v>
      </c>
      <c r="P8537" s="46" t="s">
        <v>65</v>
      </c>
      <c r="Q8537" s="46" t="s">
        <v>66</v>
      </c>
      <c r="R8537" s="46" t="s">
        <v>272</v>
      </c>
    </row>
    <row r="8538" spans="1:18" ht="69" customHeight="1">
      <c r="B8538" s="205">
        <f t="shared" si="62"/>
        <v>5655</v>
      </c>
      <c r="C8538" s="270" t="s">
        <v>13435</v>
      </c>
      <c r="D8538" s="539" t="s">
        <v>16758</v>
      </c>
      <c r="E8538" s="191" t="s">
        <v>266</v>
      </c>
      <c r="F8538" s="46" t="s">
        <v>20793</v>
      </c>
      <c r="G8538" s="46" t="s">
        <v>20770</v>
      </c>
      <c r="H8538" s="534">
        <v>11853.15</v>
      </c>
      <c r="I8538" s="56">
        <v>45427</v>
      </c>
      <c r="J8538" s="199" t="s">
        <v>20771</v>
      </c>
      <c r="K8538" s="52"/>
      <c r="L8538" s="99"/>
      <c r="O8538" s="52" t="s">
        <v>17289</v>
      </c>
      <c r="P8538" s="46" t="s">
        <v>65</v>
      </c>
      <c r="Q8538" s="46" t="s">
        <v>13</v>
      </c>
      <c r="R8538" s="46" t="s">
        <v>272</v>
      </c>
    </row>
    <row r="8539" spans="1:18" ht="69" customHeight="1">
      <c r="B8539" s="185">
        <f t="shared" si="62"/>
        <v>5656</v>
      </c>
      <c r="C8539" s="270" t="s">
        <v>581</v>
      </c>
      <c r="D8539" s="539" t="s">
        <v>16760</v>
      </c>
      <c r="E8539" s="191" t="s">
        <v>266</v>
      </c>
      <c r="F8539" s="46" t="s">
        <v>20794</v>
      </c>
      <c r="G8539" s="46" t="s">
        <v>20770</v>
      </c>
      <c r="H8539" s="534">
        <v>14530.48</v>
      </c>
      <c r="I8539" s="56">
        <v>45427</v>
      </c>
      <c r="J8539" s="199" t="s">
        <v>20771</v>
      </c>
      <c r="K8539" s="52"/>
      <c r="L8539" s="99"/>
      <c r="O8539" s="52" t="s">
        <v>17289</v>
      </c>
      <c r="P8539" s="46" t="s">
        <v>65</v>
      </c>
      <c r="Q8539" s="46" t="s">
        <v>18</v>
      </c>
      <c r="R8539" s="46" t="s">
        <v>272</v>
      </c>
    </row>
    <row r="8540" spans="1:18" ht="69" customHeight="1">
      <c r="B8540" s="185">
        <f t="shared" si="62"/>
        <v>5657</v>
      </c>
      <c r="C8540" s="191" t="s">
        <v>2182</v>
      </c>
      <c r="D8540" s="539" t="s">
        <v>16769</v>
      </c>
      <c r="E8540" s="191" t="s">
        <v>266</v>
      </c>
      <c r="F8540" s="46" t="s">
        <v>20795</v>
      </c>
      <c r="G8540" s="46" t="s">
        <v>20770</v>
      </c>
      <c r="H8540" s="534">
        <v>9729.5300000000007</v>
      </c>
      <c r="I8540" s="56">
        <v>45427</v>
      </c>
      <c r="J8540" s="199" t="s">
        <v>20771</v>
      </c>
      <c r="K8540" s="52"/>
      <c r="L8540" s="99"/>
      <c r="O8540" s="52" t="s">
        <v>17289</v>
      </c>
      <c r="P8540" s="46" t="s">
        <v>65</v>
      </c>
      <c r="Q8540" s="46" t="s">
        <v>31</v>
      </c>
      <c r="R8540" s="46" t="s">
        <v>272</v>
      </c>
    </row>
    <row r="8541" spans="1:18" ht="69" customHeight="1">
      <c r="B8541" s="164">
        <f t="shared" si="62"/>
        <v>5658</v>
      </c>
      <c r="C8541" s="45" t="s">
        <v>860</v>
      </c>
      <c r="D8541" s="200" t="s">
        <v>16771</v>
      </c>
      <c r="E8541" s="59" t="s">
        <v>266</v>
      </c>
      <c r="F8541" s="45" t="s">
        <v>20796</v>
      </c>
      <c r="G8541" s="45" t="s">
        <v>20797</v>
      </c>
      <c r="H8541" s="546">
        <v>84313.88</v>
      </c>
      <c r="I8541" s="47">
        <v>45417</v>
      </c>
      <c r="J8541" s="73" t="s">
        <v>20798</v>
      </c>
      <c r="K8541" s="62"/>
      <c r="L8541" s="99"/>
      <c r="O8541" s="62" t="s">
        <v>20799</v>
      </c>
      <c r="P8541" s="45" t="s">
        <v>75</v>
      </c>
      <c r="Q8541" s="45" t="s">
        <v>20</v>
      </c>
      <c r="R8541" s="45" t="s">
        <v>272</v>
      </c>
    </row>
    <row r="8542" spans="1:18" ht="69" customHeight="1">
      <c r="B8542" s="164">
        <f t="shared" si="62"/>
        <v>5659</v>
      </c>
      <c r="C8542" s="59" t="s">
        <v>15650</v>
      </c>
      <c r="D8542" s="200" t="s">
        <v>20800</v>
      </c>
      <c r="E8542" s="59" t="s">
        <v>266</v>
      </c>
      <c r="F8542" s="45" t="s">
        <v>20801</v>
      </c>
      <c r="G8542" s="45" t="s">
        <v>20797</v>
      </c>
      <c r="H8542" s="546">
        <v>84313.77</v>
      </c>
      <c r="I8542" s="47">
        <v>45417</v>
      </c>
      <c r="J8542" s="73" t="s">
        <v>20798</v>
      </c>
      <c r="K8542" s="62"/>
      <c r="L8542" s="99"/>
      <c r="O8542" s="62" t="s">
        <v>20799</v>
      </c>
      <c r="P8542" s="45" t="s">
        <v>75</v>
      </c>
      <c r="Q8542" s="45" t="s">
        <v>56</v>
      </c>
      <c r="R8542" s="45" t="s">
        <v>272</v>
      </c>
    </row>
    <row r="8543" spans="1:18" ht="69" customHeight="1">
      <c r="B8543" s="164">
        <f t="shared" si="62"/>
        <v>5660</v>
      </c>
      <c r="C8543" s="59" t="s">
        <v>4728</v>
      </c>
      <c r="D8543" s="200" t="s">
        <v>20802</v>
      </c>
      <c r="E8543" s="59" t="s">
        <v>266</v>
      </c>
      <c r="F8543" s="45" t="s">
        <v>20803</v>
      </c>
      <c r="G8543" s="45" t="s">
        <v>20797</v>
      </c>
      <c r="H8543" s="546">
        <v>84313.88</v>
      </c>
      <c r="I8543" s="47">
        <v>45417</v>
      </c>
      <c r="J8543" s="73" t="s">
        <v>20798</v>
      </c>
      <c r="K8543" s="62"/>
      <c r="L8543" s="99"/>
      <c r="O8543" s="62" t="s">
        <v>20799</v>
      </c>
      <c r="P8543" s="45" t="s">
        <v>75</v>
      </c>
      <c r="Q8543" s="45" t="s">
        <v>58</v>
      </c>
      <c r="R8543" s="45" t="s">
        <v>272</v>
      </c>
    </row>
    <row r="8544" spans="1:18" s="98" customFormat="1" ht="69" customHeight="1">
      <c r="A8544" s="169"/>
      <c r="B8544" s="313">
        <f t="shared" si="62"/>
        <v>5661</v>
      </c>
      <c r="C8544" s="160" t="s">
        <v>18776</v>
      </c>
      <c r="D8544" s="311" t="s">
        <v>20804</v>
      </c>
      <c r="E8544" s="207" t="s">
        <v>266</v>
      </c>
      <c r="F8544" s="160" t="s">
        <v>20805</v>
      </c>
      <c r="G8544" s="160" t="s">
        <v>20806</v>
      </c>
      <c r="H8544" s="300">
        <v>11840</v>
      </c>
      <c r="I8544" s="209">
        <v>45427</v>
      </c>
      <c r="J8544" s="316" t="s">
        <v>20807</v>
      </c>
      <c r="K8544" s="259"/>
      <c r="O8544" s="259" t="s">
        <v>20808</v>
      </c>
      <c r="P8544" s="160" t="s">
        <v>67</v>
      </c>
      <c r="Q8544" s="160" t="s">
        <v>96</v>
      </c>
      <c r="R8544" s="160" t="s">
        <v>272</v>
      </c>
    </row>
    <row r="8545" spans="2:18" ht="69" customHeight="1">
      <c r="B8545" s="313">
        <f t="shared" si="62"/>
        <v>5662</v>
      </c>
      <c r="C8545" s="207" t="s">
        <v>13156</v>
      </c>
      <c r="D8545" s="311" t="s">
        <v>5321</v>
      </c>
      <c r="E8545" s="207" t="s">
        <v>266</v>
      </c>
      <c r="F8545" s="160" t="s">
        <v>20809</v>
      </c>
      <c r="G8545" s="160" t="s">
        <v>20810</v>
      </c>
      <c r="H8545" s="300">
        <v>725</v>
      </c>
      <c r="I8545" s="209">
        <v>45427</v>
      </c>
      <c r="J8545" s="316" t="s">
        <v>20811</v>
      </c>
      <c r="K8545" s="259" t="s">
        <v>11084</v>
      </c>
      <c r="L8545" s="99"/>
      <c r="O8545" s="259" t="s">
        <v>20812</v>
      </c>
      <c r="P8545" s="160" t="s">
        <v>67</v>
      </c>
      <c r="Q8545" s="160" t="s">
        <v>96</v>
      </c>
      <c r="R8545" s="160" t="s">
        <v>272</v>
      </c>
    </row>
    <row r="8546" spans="2:18" ht="69" customHeight="1">
      <c r="B8546" s="316">
        <f t="shared" si="62"/>
        <v>5663</v>
      </c>
      <c r="C8546" s="160" t="s">
        <v>6822</v>
      </c>
      <c r="D8546" s="311" t="s">
        <v>1268</v>
      </c>
      <c r="E8546" s="207" t="s">
        <v>266</v>
      </c>
      <c r="F8546" s="208" t="s">
        <v>20813</v>
      </c>
      <c r="G8546" s="160" t="s">
        <v>392</v>
      </c>
      <c r="H8546" s="300">
        <v>243.37</v>
      </c>
      <c r="I8546" s="209">
        <v>45427</v>
      </c>
      <c r="J8546" s="316" t="s">
        <v>20814</v>
      </c>
      <c r="K8546" s="259" t="s">
        <v>11084</v>
      </c>
      <c r="L8546" s="99"/>
      <c r="O8546" s="259" t="s">
        <v>467</v>
      </c>
      <c r="P8546" s="160" t="s">
        <v>67</v>
      </c>
      <c r="Q8546" s="160" t="s">
        <v>80</v>
      </c>
      <c r="R8546" s="160" t="s">
        <v>272</v>
      </c>
    </row>
    <row r="8547" spans="2:18" ht="69" customHeight="1">
      <c r="B8547" s="314">
        <f t="shared" si="62"/>
        <v>5664</v>
      </c>
      <c r="C8547" s="315" t="s">
        <v>9004</v>
      </c>
      <c r="D8547" s="311" t="s">
        <v>4408</v>
      </c>
      <c r="E8547" s="160" t="s">
        <v>350</v>
      </c>
      <c r="F8547" s="160" t="s">
        <v>20815</v>
      </c>
      <c r="G8547" s="160" t="s">
        <v>20816</v>
      </c>
      <c r="H8547" s="300">
        <v>35388.800000000003</v>
      </c>
      <c r="I8547" s="209">
        <v>45427</v>
      </c>
      <c r="J8547" s="316" t="s">
        <v>20817</v>
      </c>
      <c r="K8547" s="259" t="s">
        <v>20818</v>
      </c>
      <c r="L8547" s="99"/>
      <c r="O8547" s="259" t="s">
        <v>141</v>
      </c>
      <c r="P8547" s="160" t="s">
        <v>67</v>
      </c>
      <c r="Q8547" s="160" t="s">
        <v>111</v>
      </c>
      <c r="R8547" s="160" t="s">
        <v>265</v>
      </c>
    </row>
    <row r="8548" spans="2:18" ht="69" customHeight="1">
      <c r="B8548" s="313">
        <f t="shared" si="62"/>
        <v>5665</v>
      </c>
      <c r="C8548" s="304" t="s">
        <v>9004</v>
      </c>
      <c r="D8548" s="311" t="s">
        <v>14236</v>
      </c>
      <c r="E8548" s="160" t="s">
        <v>350</v>
      </c>
      <c r="F8548" s="160" t="s">
        <v>20819</v>
      </c>
      <c r="G8548" s="160" t="s">
        <v>20816</v>
      </c>
      <c r="H8548" s="300">
        <v>35388.800000000003</v>
      </c>
      <c r="I8548" s="209">
        <v>45427</v>
      </c>
      <c r="J8548" s="316" t="s">
        <v>20817</v>
      </c>
      <c r="K8548" s="259" t="s">
        <v>20818</v>
      </c>
      <c r="L8548" s="99"/>
      <c r="O8548" s="259" t="s">
        <v>141</v>
      </c>
      <c r="P8548" s="160" t="s">
        <v>67</v>
      </c>
      <c r="Q8548" s="160" t="s">
        <v>111</v>
      </c>
      <c r="R8548" s="160" t="s">
        <v>265</v>
      </c>
    </row>
    <row r="8549" spans="2:18" ht="69" customHeight="1">
      <c r="B8549" s="316">
        <f t="shared" si="62"/>
        <v>5666</v>
      </c>
      <c r="C8549" s="304" t="s">
        <v>9004</v>
      </c>
      <c r="D8549" s="311" t="s">
        <v>6624</v>
      </c>
      <c r="E8549" s="160" t="s">
        <v>350</v>
      </c>
      <c r="F8549" s="160" t="s">
        <v>20820</v>
      </c>
      <c r="G8549" s="160" t="s">
        <v>20816</v>
      </c>
      <c r="H8549" s="300">
        <v>31654.2</v>
      </c>
      <c r="I8549" s="209">
        <v>45427</v>
      </c>
      <c r="J8549" s="316" t="s">
        <v>20817</v>
      </c>
      <c r="K8549" s="259" t="s">
        <v>20818</v>
      </c>
      <c r="L8549" s="99"/>
      <c r="O8549" s="259" t="s">
        <v>141</v>
      </c>
      <c r="P8549" s="160" t="s">
        <v>67</v>
      </c>
      <c r="Q8549" s="160" t="s">
        <v>111</v>
      </c>
      <c r="R8549" s="160" t="s">
        <v>265</v>
      </c>
    </row>
    <row r="8550" spans="2:18" ht="69" customHeight="1">
      <c r="B8550" s="314">
        <f t="shared" si="62"/>
        <v>5667</v>
      </c>
      <c r="C8550" s="160" t="s">
        <v>458</v>
      </c>
      <c r="D8550" s="311" t="s">
        <v>20821</v>
      </c>
      <c r="E8550" s="207" t="s">
        <v>266</v>
      </c>
      <c r="F8550" s="160" t="s">
        <v>20822</v>
      </c>
      <c r="G8550" s="160" t="s">
        <v>20823</v>
      </c>
      <c r="H8550" s="300">
        <v>928.42</v>
      </c>
      <c r="I8550" s="209">
        <v>45427</v>
      </c>
      <c r="J8550" s="316" t="s">
        <v>20824</v>
      </c>
      <c r="K8550" s="259" t="s">
        <v>20818</v>
      </c>
      <c r="L8550" s="99"/>
      <c r="O8550" s="259"/>
      <c r="P8550" s="160" t="s">
        <v>67</v>
      </c>
      <c r="Q8550" s="160" t="s">
        <v>96</v>
      </c>
      <c r="R8550" s="160" t="s">
        <v>272</v>
      </c>
    </row>
    <row r="8551" spans="2:18" ht="69" customHeight="1">
      <c r="B8551" s="164">
        <f t="shared" si="62"/>
        <v>5668</v>
      </c>
      <c r="C8551" s="58" t="s">
        <v>309</v>
      </c>
      <c r="D8551" s="200" t="s">
        <v>6390</v>
      </c>
      <c r="E8551" s="58" t="s">
        <v>6192</v>
      </c>
      <c r="F8551" s="58" t="s">
        <v>10598</v>
      </c>
      <c r="G8551" s="45" t="s">
        <v>10593</v>
      </c>
      <c r="H8551" s="546">
        <v>7000</v>
      </c>
      <c r="I8551" s="47">
        <v>45035</v>
      </c>
      <c r="J8551" s="73" t="s">
        <v>10594</v>
      </c>
      <c r="K8551" s="58" t="s">
        <v>20825</v>
      </c>
      <c r="L8551" s="99"/>
      <c r="M8551" s="117"/>
      <c r="N8551" s="117"/>
      <c r="O8551" s="62" t="s">
        <v>147</v>
      </c>
      <c r="P8551" s="45" t="s">
        <v>42</v>
      </c>
      <c r="Q8551" s="45" t="s">
        <v>13</v>
      </c>
      <c r="R8551" s="45" t="s">
        <v>272</v>
      </c>
    </row>
    <row r="8552" spans="2:18" ht="69" customHeight="1">
      <c r="B8552" s="164">
        <f t="shared" si="62"/>
        <v>5669</v>
      </c>
      <c r="C8552" s="58" t="s">
        <v>309</v>
      </c>
      <c r="D8552" s="200" t="s">
        <v>6390</v>
      </c>
      <c r="E8552" s="58" t="s">
        <v>6192</v>
      </c>
      <c r="F8552" s="58" t="s">
        <v>10598</v>
      </c>
      <c r="G8552" s="45" t="s">
        <v>10593</v>
      </c>
      <c r="H8552" s="546">
        <v>7000</v>
      </c>
      <c r="I8552" s="47">
        <v>45035</v>
      </c>
      <c r="J8552" s="73" t="s">
        <v>10594</v>
      </c>
      <c r="K8552" s="58" t="s">
        <v>20825</v>
      </c>
      <c r="L8552" s="99"/>
      <c r="M8552" s="117"/>
      <c r="N8552" s="117"/>
      <c r="O8552" s="62" t="s">
        <v>147</v>
      </c>
      <c r="P8552" s="45" t="s">
        <v>42</v>
      </c>
      <c r="Q8552" s="45" t="s">
        <v>18</v>
      </c>
      <c r="R8552" s="45" t="s">
        <v>272</v>
      </c>
    </row>
    <row r="8553" spans="2:18" ht="69" customHeight="1">
      <c r="B8553" s="164">
        <f t="shared" si="62"/>
        <v>5670</v>
      </c>
      <c r="C8553" s="58" t="s">
        <v>309</v>
      </c>
      <c r="D8553" s="200" t="s">
        <v>6390</v>
      </c>
      <c r="E8553" s="58" t="s">
        <v>6192</v>
      </c>
      <c r="F8553" s="58" t="s">
        <v>10598</v>
      </c>
      <c r="G8553" s="45" t="s">
        <v>10593</v>
      </c>
      <c r="H8553" s="546">
        <v>7000</v>
      </c>
      <c r="I8553" s="47">
        <v>45035</v>
      </c>
      <c r="J8553" s="73" t="s">
        <v>10594</v>
      </c>
      <c r="K8553" s="58" t="s">
        <v>20825</v>
      </c>
      <c r="L8553" s="99"/>
      <c r="M8553" s="117"/>
      <c r="N8553" s="117"/>
      <c r="O8553" s="62" t="s">
        <v>147</v>
      </c>
      <c r="P8553" s="45" t="s">
        <v>40</v>
      </c>
      <c r="Q8553" s="45" t="s">
        <v>31</v>
      </c>
      <c r="R8553" s="45" t="s">
        <v>272</v>
      </c>
    </row>
    <row r="8554" spans="2:18" ht="69" customHeight="1">
      <c r="B8554" s="164">
        <f t="shared" si="62"/>
        <v>5671</v>
      </c>
      <c r="C8554" s="58" t="s">
        <v>309</v>
      </c>
      <c r="D8554" s="200" t="s">
        <v>6390</v>
      </c>
      <c r="E8554" s="58" t="s">
        <v>6192</v>
      </c>
      <c r="F8554" s="58" t="s">
        <v>10598</v>
      </c>
      <c r="G8554" s="45" t="s">
        <v>10593</v>
      </c>
      <c r="H8554" s="546">
        <v>7000</v>
      </c>
      <c r="I8554" s="47">
        <v>45035</v>
      </c>
      <c r="J8554" s="73" t="s">
        <v>10594</v>
      </c>
      <c r="K8554" s="58" t="s">
        <v>20825</v>
      </c>
      <c r="L8554" s="99"/>
      <c r="M8554" s="117"/>
      <c r="N8554" s="117"/>
      <c r="O8554" s="62" t="s">
        <v>147</v>
      </c>
      <c r="P8554" s="45" t="s">
        <v>40</v>
      </c>
      <c r="Q8554" s="45" t="s">
        <v>45</v>
      </c>
      <c r="R8554" s="45" t="s">
        <v>272</v>
      </c>
    </row>
    <row r="8555" spans="2:18" ht="69" customHeight="1">
      <c r="B8555" s="164">
        <f t="shared" si="62"/>
        <v>5672</v>
      </c>
      <c r="C8555" s="58" t="s">
        <v>657</v>
      </c>
      <c r="D8555" s="200" t="s">
        <v>6354</v>
      </c>
      <c r="E8555" s="58" t="s">
        <v>6192</v>
      </c>
      <c r="F8555" s="58" t="s">
        <v>10592</v>
      </c>
      <c r="G8555" s="45" t="s">
        <v>10593</v>
      </c>
      <c r="H8555" s="546">
        <v>7000</v>
      </c>
      <c r="I8555" s="47">
        <v>45035</v>
      </c>
      <c r="J8555" s="73" t="s">
        <v>10594</v>
      </c>
      <c r="K8555" s="58" t="s">
        <v>20826</v>
      </c>
      <c r="L8555" s="404"/>
      <c r="O8555" s="62" t="s">
        <v>147</v>
      </c>
      <c r="P8555" s="45" t="s">
        <v>42</v>
      </c>
      <c r="Q8555" s="45" t="s">
        <v>97</v>
      </c>
      <c r="R8555" s="45" t="s">
        <v>272</v>
      </c>
    </row>
    <row r="8556" spans="2:18" ht="69" customHeight="1">
      <c r="B8556" s="164">
        <f t="shared" si="62"/>
        <v>5673</v>
      </c>
      <c r="C8556" s="58" t="s">
        <v>657</v>
      </c>
      <c r="D8556" s="200" t="s">
        <v>6354</v>
      </c>
      <c r="E8556" s="58" t="s">
        <v>6192</v>
      </c>
      <c r="F8556" s="58" t="s">
        <v>10592</v>
      </c>
      <c r="G8556" s="45" t="s">
        <v>10593</v>
      </c>
      <c r="H8556" s="546">
        <v>7000</v>
      </c>
      <c r="I8556" s="47">
        <v>45035</v>
      </c>
      <c r="J8556" s="73" t="s">
        <v>10594</v>
      </c>
      <c r="K8556" s="58" t="s">
        <v>20826</v>
      </c>
      <c r="L8556" s="404"/>
      <c r="O8556" s="62" t="s">
        <v>147</v>
      </c>
      <c r="P8556" s="45" t="s">
        <v>42</v>
      </c>
      <c r="Q8556" s="45" t="s">
        <v>104</v>
      </c>
      <c r="R8556" s="45" t="s">
        <v>272</v>
      </c>
    </row>
    <row r="8557" spans="2:18" ht="69" customHeight="1">
      <c r="B8557" s="164">
        <f t="shared" si="62"/>
        <v>5674</v>
      </c>
      <c r="C8557" s="58" t="s">
        <v>657</v>
      </c>
      <c r="D8557" s="62" t="s">
        <v>418</v>
      </c>
      <c r="E8557" s="58" t="s">
        <v>409</v>
      </c>
      <c r="F8557" s="58" t="s">
        <v>20827</v>
      </c>
      <c r="G8557" s="45" t="s">
        <v>18681</v>
      </c>
      <c r="H8557" s="546">
        <v>11756.6</v>
      </c>
      <c r="I8557" s="47">
        <v>44858</v>
      </c>
      <c r="J8557" s="73" t="s">
        <v>18682</v>
      </c>
      <c r="K8557" s="58" t="s">
        <v>20828</v>
      </c>
      <c r="L8557" s="99"/>
      <c r="O8557" s="62" t="s">
        <v>147</v>
      </c>
      <c r="P8557" s="45" t="s">
        <v>42</v>
      </c>
      <c r="Q8557" s="45" t="s">
        <v>97</v>
      </c>
      <c r="R8557" s="45" t="s">
        <v>272</v>
      </c>
    </row>
    <row r="8558" spans="2:18" ht="69" customHeight="1">
      <c r="B8558" s="313">
        <f t="shared" si="62"/>
        <v>5675</v>
      </c>
      <c r="C8558" s="326" t="s">
        <v>16368</v>
      </c>
      <c r="D8558" s="311" t="s">
        <v>2966</v>
      </c>
      <c r="E8558" s="207" t="s">
        <v>266</v>
      </c>
      <c r="F8558" s="207" t="s">
        <v>20829</v>
      </c>
      <c r="G8558" s="160" t="s">
        <v>20830</v>
      </c>
      <c r="H8558" s="300">
        <v>1250</v>
      </c>
      <c r="I8558" s="209">
        <v>45422</v>
      </c>
      <c r="J8558" s="316" t="s">
        <v>20831</v>
      </c>
      <c r="K8558" s="160" t="s">
        <v>11084</v>
      </c>
      <c r="L8558" s="99"/>
      <c r="O8558" s="259" t="s">
        <v>20832</v>
      </c>
      <c r="P8558" s="160" t="s">
        <v>67</v>
      </c>
      <c r="Q8558" s="160" t="s">
        <v>96</v>
      </c>
      <c r="R8558" s="160" t="s">
        <v>272</v>
      </c>
    </row>
    <row r="8559" spans="2:18" ht="69" customHeight="1">
      <c r="B8559" s="164">
        <f t="shared" si="62"/>
        <v>5676</v>
      </c>
      <c r="C8559" s="59" t="s">
        <v>657</v>
      </c>
      <c r="D8559" s="200" t="s">
        <v>6456</v>
      </c>
      <c r="E8559" s="58" t="s">
        <v>20833</v>
      </c>
      <c r="F8559" s="45" t="s">
        <v>20834</v>
      </c>
      <c r="G8559" s="45" t="s">
        <v>20835</v>
      </c>
      <c r="H8559" s="546">
        <v>154000</v>
      </c>
      <c r="I8559" s="47">
        <v>45427</v>
      </c>
      <c r="J8559" s="73" t="s">
        <v>20836</v>
      </c>
      <c r="K8559" s="62"/>
      <c r="L8559" s="99"/>
      <c r="O8559" s="62" t="s">
        <v>141</v>
      </c>
      <c r="P8559" s="45" t="s">
        <v>19</v>
      </c>
      <c r="Q8559" s="45" t="s">
        <v>104</v>
      </c>
      <c r="R8559" s="45" t="s">
        <v>272</v>
      </c>
    </row>
    <row r="8560" spans="2:18" ht="69" customHeight="1">
      <c r="B8560" s="65">
        <f t="shared" si="62"/>
        <v>5677</v>
      </c>
      <c r="C8560" s="59" t="s">
        <v>458</v>
      </c>
      <c r="D8560" s="200" t="s">
        <v>20837</v>
      </c>
      <c r="E8560" s="58" t="s">
        <v>20833</v>
      </c>
      <c r="F8560" s="45" t="s">
        <v>20838</v>
      </c>
      <c r="G8560" s="45" t="s">
        <v>20839</v>
      </c>
      <c r="H8560" s="546">
        <v>42000</v>
      </c>
      <c r="I8560" s="47">
        <v>45427</v>
      </c>
      <c r="J8560" s="73" t="s">
        <v>20840</v>
      </c>
      <c r="K8560" s="62"/>
      <c r="L8560" s="99"/>
      <c r="O8560" s="62" t="s">
        <v>141</v>
      </c>
      <c r="P8560" s="45" t="s">
        <v>19</v>
      </c>
      <c r="Q8560" s="45" t="s">
        <v>107</v>
      </c>
      <c r="R8560" s="45" t="s">
        <v>272</v>
      </c>
    </row>
    <row r="8561" spans="1:18" ht="69" customHeight="1">
      <c r="B8561" s="181">
        <f t="shared" si="62"/>
        <v>5678</v>
      </c>
      <c r="C8561" s="178" t="s">
        <v>9094</v>
      </c>
      <c r="D8561" s="174" t="s">
        <v>20841</v>
      </c>
      <c r="E8561" s="178" t="s">
        <v>266</v>
      </c>
      <c r="F8561" s="58" t="s">
        <v>20842</v>
      </c>
      <c r="G8561" s="58" t="s">
        <v>20311</v>
      </c>
      <c r="H8561" s="552">
        <v>12000</v>
      </c>
      <c r="I8561" s="66">
        <v>45427</v>
      </c>
      <c r="J8561" s="65" t="s">
        <v>20843</v>
      </c>
      <c r="K8561" s="62"/>
      <c r="L8561" s="99"/>
      <c r="O8561" s="62" t="s">
        <v>6918</v>
      </c>
      <c r="P8561" s="58" t="s">
        <v>44</v>
      </c>
      <c r="Q8561" s="58" t="s">
        <v>112</v>
      </c>
      <c r="R8561" s="58" t="s">
        <v>272</v>
      </c>
    </row>
    <row r="8562" spans="1:18" ht="69" customHeight="1">
      <c r="B8562" s="164">
        <f t="shared" si="62"/>
        <v>5679</v>
      </c>
      <c r="C8562" s="128" t="s">
        <v>581</v>
      </c>
      <c r="D8562" s="200" t="s">
        <v>17170</v>
      </c>
      <c r="E8562" s="58" t="s">
        <v>10845</v>
      </c>
      <c r="F8562" s="58" t="s">
        <v>20844</v>
      </c>
      <c r="G8562" s="45" t="s">
        <v>20845</v>
      </c>
      <c r="H8562" s="546">
        <v>400000</v>
      </c>
      <c r="I8562" s="47">
        <v>45437</v>
      </c>
      <c r="J8562" s="73" t="s">
        <v>20846</v>
      </c>
      <c r="K8562" s="62"/>
      <c r="L8562" s="99"/>
      <c r="O8562" s="62" t="s">
        <v>156</v>
      </c>
      <c r="P8562" s="45" t="s">
        <v>73</v>
      </c>
      <c r="Q8562" s="45" t="s">
        <v>18</v>
      </c>
      <c r="R8562" s="45" t="s">
        <v>272</v>
      </c>
    </row>
    <row r="8563" spans="1:18" ht="69" customHeight="1">
      <c r="B8563" s="65">
        <f t="shared" si="62"/>
        <v>5680</v>
      </c>
      <c r="C8563" s="59" t="s">
        <v>5658</v>
      </c>
      <c r="D8563" s="200" t="s">
        <v>20847</v>
      </c>
      <c r="E8563" s="58" t="s">
        <v>10845</v>
      </c>
      <c r="F8563" s="45" t="s">
        <v>20848</v>
      </c>
      <c r="G8563" s="45" t="s">
        <v>20845</v>
      </c>
      <c r="H8563" s="546">
        <v>340000</v>
      </c>
      <c r="I8563" s="47">
        <v>45437</v>
      </c>
      <c r="J8563" s="73" t="s">
        <v>20849</v>
      </c>
      <c r="K8563" s="62"/>
      <c r="L8563" s="99"/>
      <c r="O8563" s="62" t="s">
        <v>156</v>
      </c>
      <c r="P8563" s="45" t="s">
        <v>19</v>
      </c>
      <c r="Q8563" s="45" t="s">
        <v>66</v>
      </c>
      <c r="R8563" s="45" t="s">
        <v>272</v>
      </c>
    </row>
    <row r="8564" spans="1:18" ht="69" customHeight="1">
      <c r="B8564" s="181">
        <f t="shared" si="62"/>
        <v>5681</v>
      </c>
      <c r="C8564" s="128" t="s">
        <v>13435</v>
      </c>
      <c r="D8564" s="200" t="s">
        <v>17172</v>
      </c>
      <c r="E8564" s="58" t="s">
        <v>10845</v>
      </c>
      <c r="F8564" s="45" t="s">
        <v>20850</v>
      </c>
      <c r="G8564" s="45" t="s">
        <v>20845</v>
      </c>
      <c r="H8564" s="546">
        <v>250000</v>
      </c>
      <c r="I8564" s="47">
        <v>45437</v>
      </c>
      <c r="J8564" s="73" t="s">
        <v>20851</v>
      </c>
      <c r="K8564" s="62"/>
      <c r="L8564" s="99"/>
      <c r="O8564" s="62" t="s">
        <v>156</v>
      </c>
      <c r="P8564" s="45" t="s">
        <v>73</v>
      </c>
      <c r="Q8564" s="45" t="s">
        <v>13</v>
      </c>
      <c r="R8564" s="45" t="s">
        <v>272</v>
      </c>
    </row>
    <row r="8565" spans="1:18" ht="69" customHeight="1">
      <c r="B8565" s="185">
        <f t="shared" si="62"/>
        <v>5682</v>
      </c>
      <c r="C8565" s="46" t="s">
        <v>11908</v>
      </c>
      <c r="D8565" s="539" t="s">
        <v>20852</v>
      </c>
      <c r="E8565" s="46" t="s">
        <v>266</v>
      </c>
      <c r="F8565" s="46" t="s">
        <v>20853</v>
      </c>
      <c r="G8565" s="46" t="s">
        <v>20854</v>
      </c>
      <c r="H8565" s="534">
        <v>695</v>
      </c>
      <c r="I8565" s="56">
        <v>45437</v>
      </c>
      <c r="J8565" s="199" t="s">
        <v>20855</v>
      </c>
      <c r="K8565" s="52"/>
      <c r="L8565" s="99"/>
      <c r="O8565" s="52" t="s">
        <v>20856</v>
      </c>
      <c r="P8565" s="46" t="s">
        <v>65</v>
      </c>
      <c r="Q8565" s="46" t="s">
        <v>103</v>
      </c>
      <c r="R8565" s="46" t="s">
        <v>272</v>
      </c>
    </row>
    <row r="8566" spans="1:18" ht="69" customHeight="1">
      <c r="B8566" s="185">
        <f t="shared" si="62"/>
        <v>5683</v>
      </c>
      <c r="C8566" s="46" t="s">
        <v>10937</v>
      </c>
      <c r="D8566" s="539" t="s">
        <v>4722</v>
      </c>
      <c r="E8566" s="46" t="s">
        <v>266</v>
      </c>
      <c r="F8566" s="46" t="s">
        <v>20857</v>
      </c>
      <c r="G8566" s="46" t="s">
        <v>20858</v>
      </c>
      <c r="H8566" s="534">
        <v>695</v>
      </c>
      <c r="I8566" s="56">
        <v>45437</v>
      </c>
      <c r="J8566" s="199" t="s">
        <v>20855</v>
      </c>
      <c r="K8566" s="52"/>
      <c r="L8566" s="99"/>
      <c r="O8566" s="52" t="s">
        <v>20856</v>
      </c>
      <c r="P8566" s="46" t="s">
        <v>65</v>
      </c>
      <c r="Q8566" s="46" t="s">
        <v>104</v>
      </c>
      <c r="R8566" s="46" t="s">
        <v>272</v>
      </c>
    </row>
    <row r="8567" spans="1:18" ht="69" customHeight="1">
      <c r="B8567" s="268">
        <f t="shared" si="62"/>
        <v>5684</v>
      </c>
      <c r="C8567" s="171" t="s">
        <v>9094</v>
      </c>
      <c r="D8567" s="269" t="s">
        <v>20859</v>
      </c>
      <c r="E8567" s="100" t="s">
        <v>10845</v>
      </c>
      <c r="F8567" s="100" t="s">
        <v>20860</v>
      </c>
      <c r="G8567" s="100" t="s">
        <v>20861</v>
      </c>
      <c r="H8567" s="542">
        <v>0</v>
      </c>
      <c r="I8567" s="96">
        <v>45437</v>
      </c>
      <c r="J8567" s="268" t="s">
        <v>20862</v>
      </c>
      <c r="K8567" s="46" t="s">
        <v>20863</v>
      </c>
      <c r="L8567" s="99"/>
      <c r="O8567" s="172" t="s">
        <v>156</v>
      </c>
      <c r="P8567" s="100" t="s">
        <v>73</v>
      </c>
      <c r="Q8567" s="100" t="s">
        <v>112</v>
      </c>
      <c r="R8567" s="100" t="s">
        <v>272</v>
      </c>
    </row>
    <row r="8568" spans="1:18" ht="69" customHeight="1">
      <c r="B8568" s="181">
        <f t="shared" si="62"/>
        <v>5685</v>
      </c>
      <c r="C8568" s="59" t="s">
        <v>5658</v>
      </c>
      <c r="D8568" s="200" t="s">
        <v>20864</v>
      </c>
      <c r="E8568" s="58" t="s">
        <v>20865</v>
      </c>
      <c r="F8568" s="45" t="s">
        <v>20866</v>
      </c>
      <c r="G8568" s="45" t="s">
        <v>20867</v>
      </c>
      <c r="H8568" s="546">
        <v>52111.16</v>
      </c>
      <c r="I8568" s="47">
        <v>45437</v>
      </c>
      <c r="J8568" s="73" t="s">
        <v>20868</v>
      </c>
      <c r="K8568" s="62"/>
      <c r="L8568" s="99"/>
      <c r="O8568" s="62" t="s">
        <v>203</v>
      </c>
      <c r="P8568" s="45" t="s">
        <v>57</v>
      </c>
      <c r="Q8568" s="45" t="s">
        <v>66</v>
      </c>
      <c r="R8568" s="45" t="s">
        <v>272</v>
      </c>
    </row>
    <row r="8569" spans="1:18" ht="69" customHeight="1">
      <c r="B8569" s="185">
        <f t="shared" si="62"/>
        <v>5686</v>
      </c>
      <c r="C8569" s="191" t="s">
        <v>458</v>
      </c>
      <c r="D8569" s="539" t="s">
        <v>20869</v>
      </c>
      <c r="E8569" s="46" t="s">
        <v>266</v>
      </c>
      <c r="F8569" s="46" t="s">
        <v>20870</v>
      </c>
      <c r="G8569" s="46" t="s">
        <v>20871</v>
      </c>
      <c r="H8569" s="534">
        <v>15250</v>
      </c>
      <c r="I8569" s="56">
        <v>45437</v>
      </c>
      <c r="J8569" s="199" t="s">
        <v>20872</v>
      </c>
      <c r="K8569" s="52"/>
      <c r="L8569" s="99"/>
      <c r="O8569" s="52"/>
      <c r="P8569" s="46" t="s">
        <v>65</v>
      </c>
      <c r="Q8569" s="46" t="s">
        <v>122</v>
      </c>
      <c r="R8569" s="46" t="s">
        <v>272</v>
      </c>
    </row>
    <row r="8570" spans="1:18" ht="69" customHeight="1">
      <c r="B8570" s="313">
        <f t="shared" si="62"/>
        <v>5687</v>
      </c>
      <c r="C8570" s="207" t="s">
        <v>3667</v>
      </c>
      <c r="D8570" s="311" t="s">
        <v>20873</v>
      </c>
      <c r="E8570" s="207" t="s">
        <v>266</v>
      </c>
      <c r="F8570" s="208" t="s">
        <v>20874</v>
      </c>
      <c r="G8570" s="160" t="s">
        <v>20875</v>
      </c>
      <c r="H8570" s="300">
        <v>4287.3599999999997</v>
      </c>
      <c r="I8570" s="209">
        <v>45437</v>
      </c>
      <c r="J8570" s="316" t="s">
        <v>20876</v>
      </c>
      <c r="K8570" s="160" t="s">
        <v>67</v>
      </c>
      <c r="L8570" s="99"/>
      <c r="O8570" s="259" t="s">
        <v>10810</v>
      </c>
      <c r="P8570" s="160" t="s">
        <v>67</v>
      </c>
      <c r="Q8570" s="160" t="s">
        <v>49</v>
      </c>
      <c r="R8570" s="160" t="s">
        <v>272</v>
      </c>
    </row>
    <row r="8571" spans="1:18" ht="69" customHeight="1">
      <c r="B8571" s="313">
        <f t="shared" si="62"/>
        <v>5688</v>
      </c>
      <c r="C8571" s="207" t="s">
        <v>309</v>
      </c>
      <c r="D8571" s="311" t="s">
        <v>20877</v>
      </c>
      <c r="E8571" s="207" t="s">
        <v>266</v>
      </c>
      <c r="F8571" s="208" t="s">
        <v>20878</v>
      </c>
      <c r="G8571" s="160" t="s">
        <v>20875</v>
      </c>
      <c r="H8571" s="300">
        <v>3349.5</v>
      </c>
      <c r="I8571" s="209">
        <v>45437</v>
      </c>
      <c r="J8571" s="316" t="s">
        <v>20876</v>
      </c>
      <c r="K8571" s="160" t="s">
        <v>67</v>
      </c>
      <c r="L8571" s="99"/>
      <c r="O8571" s="259" t="s">
        <v>10810</v>
      </c>
      <c r="P8571" s="160" t="s">
        <v>67</v>
      </c>
      <c r="Q8571" s="160" t="s">
        <v>15</v>
      </c>
      <c r="R8571" s="160" t="s">
        <v>272</v>
      </c>
    </row>
    <row r="8572" spans="1:18" ht="69" customHeight="1">
      <c r="B8572" s="313">
        <f t="shared" si="62"/>
        <v>5689</v>
      </c>
      <c r="C8572" s="207" t="s">
        <v>458</v>
      </c>
      <c r="D8572" s="311" t="s">
        <v>20879</v>
      </c>
      <c r="E8572" s="207" t="s">
        <v>266</v>
      </c>
      <c r="F8572" s="208" t="s">
        <v>20880</v>
      </c>
      <c r="G8572" s="160" t="s">
        <v>20875</v>
      </c>
      <c r="H8572" s="300">
        <v>3349.5</v>
      </c>
      <c r="I8572" s="209">
        <v>45437</v>
      </c>
      <c r="J8572" s="316" t="s">
        <v>20876</v>
      </c>
      <c r="K8572" s="160" t="s">
        <v>67</v>
      </c>
      <c r="L8572" s="99"/>
      <c r="O8572" s="259" t="s">
        <v>10810</v>
      </c>
      <c r="P8572" s="160" t="s">
        <v>67</v>
      </c>
      <c r="Q8572" s="160" t="s">
        <v>90</v>
      </c>
      <c r="R8572" s="160" t="s">
        <v>272</v>
      </c>
    </row>
    <row r="8573" spans="1:18" ht="69" customHeight="1">
      <c r="B8573" s="313">
        <f t="shared" si="62"/>
        <v>5690</v>
      </c>
      <c r="C8573" s="207" t="s">
        <v>657</v>
      </c>
      <c r="D8573" s="311" t="s">
        <v>20881</v>
      </c>
      <c r="E8573" s="207" t="s">
        <v>266</v>
      </c>
      <c r="F8573" s="208" t="s">
        <v>20882</v>
      </c>
      <c r="G8573" s="160" t="s">
        <v>20875</v>
      </c>
      <c r="H8573" s="300">
        <v>2411.64</v>
      </c>
      <c r="I8573" s="209">
        <v>45437</v>
      </c>
      <c r="J8573" s="316" t="s">
        <v>20876</v>
      </c>
      <c r="K8573" s="160" t="s">
        <v>67</v>
      </c>
      <c r="L8573" s="99"/>
      <c r="O8573" s="259" t="s">
        <v>10810</v>
      </c>
      <c r="P8573" s="160" t="s">
        <v>67</v>
      </c>
      <c r="Q8573" s="160" t="s">
        <v>99</v>
      </c>
      <c r="R8573" s="160" t="s">
        <v>272</v>
      </c>
    </row>
    <row r="8574" spans="1:18" ht="69" customHeight="1">
      <c r="B8574" s="185">
        <f t="shared" si="62"/>
        <v>5691</v>
      </c>
      <c r="C8574" s="191" t="s">
        <v>458</v>
      </c>
      <c r="D8574" s="539" t="s">
        <v>20883</v>
      </c>
      <c r="E8574" s="191" t="s">
        <v>266</v>
      </c>
      <c r="F8574" s="46" t="s">
        <v>20884</v>
      </c>
      <c r="G8574" s="46" t="s">
        <v>20885</v>
      </c>
      <c r="H8574" s="534">
        <v>3502.6</v>
      </c>
      <c r="I8574" s="56">
        <v>45437</v>
      </c>
      <c r="J8574" s="199" t="s">
        <v>20886</v>
      </c>
      <c r="K8574" s="46" t="s">
        <v>5103</v>
      </c>
      <c r="L8574" s="99"/>
      <c r="O8574" s="52"/>
      <c r="P8574" s="46" t="s">
        <v>65</v>
      </c>
      <c r="Q8574" s="46" t="s">
        <v>112</v>
      </c>
      <c r="R8574" s="46" t="s">
        <v>272</v>
      </c>
    </row>
    <row r="8575" spans="1:18" s="98" customFormat="1" ht="69" customHeight="1">
      <c r="A8575" s="169"/>
      <c r="B8575" s="313">
        <f t="shared" si="62"/>
        <v>5692</v>
      </c>
      <c r="C8575" s="207" t="s">
        <v>309</v>
      </c>
      <c r="D8575" s="311" t="s">
        <v>17331</v>
      </c>
      <c r="E8575" s="207" t="s">
        <v>305</v>
      </c>
      <c r="F8575" s="208" t="s">
        <v>20887</v>
      </c>
      <c r="G8575" s="160" t="s">
        <v>13201</v>
      </c>
      <c r="H8575" s="300">
        <v>23010.48</v>
      </c>
      <c r="I8575" s="209">
        <v>45437</v>
      </c>
      <c r="J8575" s="316" t="s">
        <v>20888</v>
      </c>
      <c r="K8575" s="259"/>
      <c r="O8575" s="259" t="s">
        <v>15366</v>
      </c>
      <c r="P8575" s="160" t="s">
        <v>67</v>
      </c>
      <c r="Q8575" s="160" t="s">
        <v>15</v>
      </c>
      <c r="R8575" s="160" t="s">
        <v>272</v>
      </c>
    </row>
    <row r="8576" spans="1:18" ht="69" customHeight="1">
      <c r="B8576" s="199">
        <f t="shared" si="62"/>
        <v>5693</v>
      </c>
      <c r="C8576" s="191" t="s">
        <v>309</v>
      </c>
      <c r="D8576" s="539" t="s">
        <v>17350</v>
      </c>
      <c r="E8576" s="191" t="s">
        <v>266</v>
      </c>
      <c r="F8576" s="46" t="s">
        <v>20889</v>
      </c>
      <c r="G8576" s="46" t="s">
        <v>20890</v>
      </c>
      <c r="H8576" s="534">
        <v>2059.5700000000002</v>
      </c>
      <c r="I8576" s="56">
        <v>45437</v>
      </c>
      <c r="J8576" s="199" t="s">
        <v>20891</v>
      </c>
      <c r="K8576" s="52"/>
      <c r="L8576" s="99"/>
      <c r="O8576" s="52" t="s">
        <v>20892</v>
      </c>
      <c r="P8576" s="46" t="s">
        <v>65</v>
      </c>
      <c r="Q8576" s="46" t="s">
        <v>96</v>
      </c>
      <c r="R8576" s="46" t="s">
        <v>272</v>
      </c>
    </row>
    <row r="8577" spans="1:18" ht="69" customHeight="1">
      <c r="B8577" s="181">
        <f t="shared" si="62"/>
        <v>5694</v>
      </c>
      <c r="C8577" s="128" t="s">
        <v>581</v>
      </c>
      <c r="D8577" s="200" t="s">
        <v>17354</v>
      </c>
      <c r="E8577" s="58" t="s">
        <v>20458</v>
      </c>
      <c r="F8577" s="58" t="s">
        <v>20893</v>
      </c>
      <c r="G8577" s="45" t="s">
        <v>20894</v>
      </c>
      <c r="H8577" s="546">
        <v>25000</v>
      </c>
      <c r="I8577" s="47">
        <v>45437</v>
      </c>
      <c r="J8577" s="73" t="s">
        <v>20895</v>
      </c>
      <c r="K8577" s="62"/>
      <c r="L8577" s="99"/>
      <c r="O8577" s="62" t="s">
        <v>441</v>
      </c>
      <c r="P8577" s="45" t="s">
        <v>22</v>
      </c>
      <c r="Q8577" s="45" t="s">
        <v>18</v>
      </c>
      <c r="R8577" s="45" t="s">
        <v>265</v>
      </c>
    </row>
    <row r="8578" spans="1:18" ht="69" customHeight="1">
      <c r="B8578" s="185">
        <f t="shared" si="62"/>
        <v>5695</v>
      </c>
      <c r="C8578" s="191" t="s">
        <v>15700</v>
      </c>
      <c r="D8578" s="539" t="s">
        <v>17356</v>
      </c>
      <c r="E8578" s="191" t="s">
        <v>266</v>
      </c>
      <c r="F8578" s="46" t="s">
        <v>20896</v>
      </c>
      <c r="G8578" s="46" t="s">
        <v>20897</v>
      </c>
      <c r="H8578" s="534">
        <v>1625</v>
      </c>
      <c r="I8578" s="56">
        <v>45437</v>
      </c>
      <c r="J8578" s="199" t="s">
        <v>20898</v>
      </c>
      <c r="K8578" s="52"/>
      <c r="L8578" s="99"/>
      <c r="O8578" s="52"/>
      <c r="P8578" s="46" t="s">
        <v>65</v>
      </c>
      <c r="Q8578" s="46" t="s">
        <v>39</v>
      </c>
      <c r="R8578" s="46" t="s">
        <v>272</v>
      </c>
    </row>
    <row r="8579" spans="1:18" ht="69" customHeight="1">
      <c r="B8579" s="185">
        <f t="shared" si="62"/>
        <v>5696</v>
      </c>
      <c r="C8579" s="191" t="s">
        <v>15449</v>
      </c>
      <c r="D8579" s="539" t="s">
        <v>17360</v>
      </c>
      <c r="E8579" s="191" t="s">
        <v>266</v>
      </c>
      <c r="F8579" s="46" t="s">
        <v>20899</v>
      </c>
      <c r="G8579" s="46" t="s">
        <v>20897</v>
      </c>
      <c r="H8579" s="534">
        <v>1625</v>
      </c>
      <c r="I8579" s="56">
        <v>45437</v>
      </c>
      <c r="J8579" s="199" t="s">
        <v>20898</v>
      </c>
      <c r="K8579" s="52"/>
      <c r="L8579" s="99"/>
      <c r="O8579" s="52"/>
      <c r="P8579" s="46" t="s">
        <v>65</v>
      </c>
      <c r="Q8579" s="46" t="s">
        <v>41</v>
      </c>
      <c r="R8579" s="46" t="s">
        <v>272</v>
      </c>
    </row>
    <row r="8580" spans="1:18" ht="69" customHeight="1">
      <c r="B8580" s="164">
        <f t="shared" si="62"/>
        <v>5697</v>
      </c>
      <c r="C8580" s="128" t="s">
        <v>581</v>
      </c>
      <c r="D8580" s="200" t="s">
        <v>17358</v>
      </c>
      <c r="E8580" s="58" t="s">
        <v>20458</v>
      </c>
      <c r="F8580" s="58" t="s">
        <v>20900</v>
      </c>
      <c r="G8580" s="45" t="s">
        <v>20901</v>
      </c>
      <c r="H8580" s="546">
        <v>35629.599999999999</v>
      </c>
      <c r="I8580" s="47">
        <v>45437</v>
      </c>
      <c r="J8580" s="73" t="s">
        <v>20902</v>
      </c>
      <c r="K8580" s="62"/>
      <c r="L8580" s="99"/>
      <c r="O8580" s="62" t="s">
        <v>441</v>
      </c>
      <c r="P8580" s="45" t="s">
        <v>22</v>
      </c>
      <c r="Q8580" s="45" t="s">
        <v>18</v>
      </c>
      <c r="R8580" s="45" t="s">
        <v>265</v>
      </c>
    </row>
    <row r="8581" spans="1:18" ht="69" customHeight="1">
      <c r="B8581" s="65">
        <f t="shared" si="62"/>
        <v>5698</v>
      </c>
      <c r="C8581" s="128" t="s">
        <v>13435</v>
      </c>
      <c r="D8581" s="200" t="s">
        <v>17362</v>
      </c>
      <c r="E8581" s="58" t="s">
        <v>20903</v>
      </c>
      <c r="F8581" s="45" t="s">
        <v>20904</v>
      </c>
      <c r="G8581" s="45" t="s">
        <v>20905</v>
      </c>
      <c r="H8581" s="546">
        <v>44129.95</v>
      </c>
      <c r="I8581" s="47">
        <v>45437</v>
      </c>
      <c r="J8581" s="73" t="s">
        <v>20906</v>
      </c>
      <c r="K8581" s="62"/>
      <c r="L8581" s="99"/>
      <c r="O8581" s="62" t="s">
        <v>441</v>
      </c>
      <c r="P8581" s="45" t="s">
        <v>22</v>
      </c>
      <c r="Q8581" s="45" t="s">
        <v>13</v>
      </c>
      <c r="R8581" s="45" t="s">
        <v>272</v>
      </c>
    </row>
    <row r="8582" spans="1:18" ht="69" customHeight="1">
      <c r="B8582" s="205">
        <f t="shared" si="62"/>
        <v>5699</v>
      </c>
      <c r="C8582" s="270" t="s">
        <v>13435</v>
      </c>
      <c r="D8582" s="539" t="s">
        <v>20907</v>
      </c>
      <c r="E8582" s="191" t="s">
        <v>266</v>
      </c>
      <c r="F8582" s="46" t="s">
        <v>20908</v>
      </c>
      <c r="G8582" s="46" t="s">
        <v>20909</v>
      </c>
      <c r="H8582" s="534">
        <v>10500</v>
      </c>
      <c r="I8582" s="56">
        <v>45437</v>
      </c>
      <c r="J8582" s="199" t="s">
        <v>20910</v>
      </c>
      <c r="K8582" s="52"/>
      <c r="L8582" s="99"/>
      <c r="O8582" s="46" t="s">
        <v>1171</v>
      </c>
      <c r="P8582" s="46" t="s">
        <v>71</v>
      </c>
      <c r="Q8582" s="46" t="s">
        <v>13</v>
      </c>
      <c r="R8582" s="46" t="s">
        <v>272</v>
      </c>
    </row>
    <row r="8583" spans="1:18" ht="69" customHeight="1">
      <c r="B8583" s="199">
        <f t="shared" si="62"/>
        <v>5700</v>
      </c>
      <c r="C8583" s="270" t="s">
        <v>13435</v>
      </c>
      <c r="D8583" s="539" t="s">
        <v>17377</v>
      </c>
      <c r="E8583" s="191" t="s">
        <v>266</v>
      </c>
      <c r="F8583" s="46" t="s">
        <v>20911</v>
      </c>
      <c r="G8583" s="46" t="s">
        <v>20912</v>
      </c>
      <c r="H8583" s="534">
        <v>21000</v>
      </c>
      <c r="I8583" s="56">
        <v>45437</v>
      </c>
      <c r="J8583" s="199" t="s">
        <v>20910</v>
      </c>
      <c r="K8583" s="52"/>
      <c r="L8583" s="99"/>
      <c r="O8583" s="46" t="s">
        <v>1171</v>
      </c>
      <c r="P8583" s="46" t="s">
        <v>71</v>
      </c>
      <c r="Q8583" s="46" t="s">
        <v>13</v>
      </c>
      <c r="R8583" s="46" t="s">
        <v>272</v>
      </c>
    </row>
    <row r="8584" spans="1:18" ht="69" customHeight="1">
      <c r="B8584" s="181">
        <f t="shared" si="62"/>
        <v>5701</v>
      </c>
      <c r="C8584" s="58" t="s">
        <v>657</v>
      </c>
      <c r="D8584" s="62" t="s">
        <v>418</v>
      </c>
      <c r="E8584" s="58" t="s">
        <v>409</v>
      </c>
      <c r="F8584" s="58" t="s">
        <v>20827</v>
      </c>
      <c r="G8584" s="45" t="s">
        <v>18681</v>
      </c>
      <c r="H8584" s="546">
        <v>11756.6</v>
      </c>
      <c r="I8584" s="47">
        <v>44858</v>
      </c>
      <c r="J8584" s="73" t="s">
        <v>18682</v>
      </c>
      <c r="K8584" s="58" t="s">
        <v>20828</v>
      </c>
      <c r="L8584" s="99"/>
      <c r="O8584" s="62" t="s">
        <v>147</v>
      </c>
      <c r="P8584" s="45" t="s">
        <v>42</v>
      </c>
      <c r="Q8584" s="45" t="s">
        <v>104</v>
      </c>
      <c r="R8584" s="45" t="s">
        <v>272</v>
      </c>
    </row>
    <row r="8585" spans="1:18" ht="69" customHeight="1">
      <c r="B8585" s="164">
        <f t="shared" si="62"/>
        <v>5702</v>
      </c>
      <c r="C8585" s="58" t="s">
        <v>309</v>
      </c>
      <c r="D8585" s="62" t="s">
        <v>9861</v>
      </c>
      <c r="E8585" s="58" t="s">
        <v>409</v>
      </c>
      <c r="F8585" s="58" t="s">
        <v>20913</v>
      </c>
      <c r="G8585" s="45" t="s">
        <v>18681</v>
      </c>
      <c r="H8585" s="546">
        <v>11756.6</v>
      </c>
      <c r="I8585" s="47">
        <v>44858</v>
      </c>
      <c r="J8585" s="73" t="s">
        <v>18682</v>
      </c>
      <c r="K8585" s="58" t="s">
        <v>20914</v>
      </c>
      <c r="L8585" s="99"/>
      <c r="O8585" s="62" t="s">
        <v>147</v>
      </c>
      <c r="P8585" s="45" t="s">
        <v>42</v>
      </c>
      <c r="Q8585" s="45" t="s">
        <v>13</v>
      </c>
      <c r="R8585" s="45" t="s">
        <v>272</v>
      </c>
    </row>
    <row r="8586" spans="1:18" ht="69" customHeight="1">
      <c r="B8586" s="164">
        <f t="shared" si="62"/>
        <v>5703</v>
      </c>
      <c r="C8586" s="58" t="s">
        <v>309</v>
      </c>
      <c r="D8586" s="62" t="s">
        <v>9861</v>
      </c>
      <c r="E8586" s="58" t="s">
        <v>409</v>
      </c>
      <c r="F8586" s="58" t="s">
        <v>20913</v>
      </c>
      <c r="G8586" s="45" t="s">
        <v>18681</v>
      </c>
      <c r="H8586" s="546">
        <v>11756.6</v>
      </c>
      <c r="I8586" s="47">
        <v>44858</v>
      </c>
      <c r="J8586" s="73" t="s">
        <v>18682</v>
      </c>
      <c r="K8586" s="58" t="s">
        <v>20914</v>
      </c>
      <c r="L8586" s="99"/>
      <c r="O8586" s="62" t="s">
        <v>147</v>
      </c>
      <c r="P8586" s="45" t="s">
        <v>42</v>
      </c>
      <c r="Q8586" s="45" t="s">
        <v>18</v>
      </c>
      <c r="R8586" s="45" t="s">
        <v>272</v>
      </c>
    </row>
    <row r="8587" spans="1:18" s="98" customFormat="1" ht="69" customHeight="1">
      <c r="A8587" s="169"/>
      <c r="B8587" s="185">
        <f t="shared" ref="B8587:B8650" si="63">B8586+1</f>
        <v>5704</v>
      </c>
      <c r="C8587" s="270" t="s">
        <v>581</v>
      </c>
      <c r="D8587" s="539" t="s">
        <v>17798</v>
      </c>
      <c r="E8587" s="191" t="s">
        <v>266</v>
      </c>
      <c r="F8587" s="46" t="s">
        <v>20915</v>
      </c>
      <c r="G8587" s="46" t="s">
        <v>20916</v>
      </c>
      <c r="H8587" s="534">
        <v>800</v>
      </c>
      <c r="I8587" s="56">
        <v>45437</v>
      </c>
      <c r="J8587" s="199" t="s">
        <v>20917</v>
      </c>
      <c r="K8587" s="52"/>
      <c r="O8587" s="52" t="s">
        <v>20918</v>
      </c>
      <c r="P8587" s="46" t="s">
        <v>65</v>
      </c>
      <c r="Q8587" s="46" t="s">
        <v>18</v>
      </c>
      <c r="R8587" s="46" t="s">
        <v>272</v>
      </c>
    </row>
    <row r="8588" spans="1:18" ht="69" customHeight="1">
      <c r="B8588" s="65">
        <f t="shared" si="63"/>
        <v>5705</v>
      </c>
      <c r="C8588" s="58" t="s">
        <v>9545</v>
      </c>
      <c r="D8588" s="200" t="s">
        <v>20919</v>
      </c>
      <c r="E8588" s="58" t="s">
        <v>20387</v>
      </c>
      <c r="F8588" s="58" t="s">
        <v>20920</v>
      </c>
      <c r="G8588" s="45" t="s">
        <v>20921</v>
      </c>
      <c r="H8588" s="546">
        <v>82557.95</v>
      </c>
      <c r="I8588" s="47">
        <v>45437</v>
      </c>
      <c r="J8588" s="73" t="s">
        <v>20922</v>
      </c>
      <c r="K8588" s="62"/>
      <c r="L8588" s="99"/>
      <c r="O8588" s="62" t="s">
        <v>18678</v>
      </c>
      <c r="P8588" s="45" t="s">
        <v>57</v>
      </c>
      <c r="Q8588" s="45" t="s">
        <v>117</v>
      </c>
      <c r="R8588" s="45" t="s">
        <v>272</v>
      </c>
    </row>
    <row r="8589" spans="1:18" ht="69" customHeight="1">
      <c r="B8589" s="205">
        <f t="shared" si="63"/>
        <v>5706</v>
      </c>
      <c r="C8589" s="46" t="s">
        <v>657</v>
      </c>
      <c r="D8589" s="539" t="s">
        <v>14728</v>
      </c>
      <c r="E8589" s="191" t="s">
        <v>266</v>
      </c>
      <c r="F8589" s="46" t="s">
        <v>20923</v>
      </c>
      <c r="G8589" s="46" t="s">
        <v>20924</v>
      </c>
      <c r="H8589" s="534">
        <v>22212.39</v>
      </c>
      <c r="I8589" s="56">
        <v>45437</v>
      </c>
      <c r="J8589" s="199" t="s">
        <v>20925</v>
      </c>
      <c r="K8589" s="52"/>
      <c r="L8589" s="99"/>
      <c r="O8589" s="46" t="s">
        <v>1171</v>
      </c>
      <c r="P8589" s="46" t="s">
        <v>71</v>
      </c>
      <c r="Q8589" s="46" t="s">
        <v>110</v>
      </c>
      <c r="R8589" s="46" t="s">
        <v>272</v>
      </c>
    </row>
    <row r="8590" spans="1:18" ht="69" customHeight="1">
      <c r="B8590" s="185">
        <f t="shared" si="63"/>
        <v>5707</v>
      </c>
      <c r="C8590" s="46" t="s">
        <v>657</v>
      </c>
      <c r="D8590" s="539" t="s">
        <v>14731</v>
      </c>
      <c r="E8590" s="191" t="s">
        <v>266</v>
      </c>
      <c r="F8590" s="46" t="s">
        <v>20926</v>
      </c>
      <c r="G8590" s="46" t="s">
        <v>20924</v>
      </c>
      <c r="H8590" s="534">
        <v>22212.39</v>
      </c>
      <c r="I8590" s="56">
        <v>45437</v>
      </c>
      <c r="J8590" s="199" t="s">
        <v>20925</v>
      </c>
      <c r="K8590" s="52"/>
      <c r="L8590" s="99"/>
      <c r="O8590" s="46" t="s">
        <v>1171</v>
      </c>
      <c r="P8590" s="46" t="s">
        <v>71</v>
      </c>
      <c r="Q8590" s="46" t="s">
        <v>110</v>
      </c>
      <c r="R8590" s="46" t="s">
        <v>272</v>
      </c>
    </row>
    <row r="8591" spans="1:18" ht="69" customHeight="1">
      <c r="B8591" s="164">
        <f t="shared" si="63"/>
        <v>5708</v>
      </c>
      <c r="C8591" s="59" t="s">
        <v>1853</v>
      </c>
      <c r="D8591" s="200" t="s">
        <v>20556</v>
      </c>
      <c r="E8591" s="45" t="s">
        <v>17212</v>
      </c>
      <c r="F8591" s="45" t="s">
        <v>20927</v>
      </c>
      <c r="G8591" s="45" t="s">
        <v>17214</v>
      </c>
      <c r="H8591" s="546">
        <v>191770</v>
      </c>
      <c r="I8591" s="47">
        <v>45437</v>
      </c>
      <c r="J8591" s="73" t="s">
        <v>20928</v>
      </c>
      <c r="K8591" s="62"/>
      <c r="L8591" s="99"/>
      <c r="O8591" s="62" t="s">
        <v>16399</v>
      </c>
      <c r="P8591" s="45" t="s">
        <v>55</v>
      </c>
      <c r="Q8591" s="45" t="s">
        <v>29</v>
      </c>
      <c r="R8591" s="45" t="s">
        <v>272</v>
      </c>
    </row>
    <row r="8592" spans="1:18" ht="69" customHeight="1">
      <c r="B8592" s="164">
        <f t="shared" si="63"/>
        <v>5709</v>
      </c>
      <c r="C8592" s="59" t="s">
        <v>2182</v>
      </c>
      <c r="D8592" s="200" t="s">
        <v>20929</v>
      </c>
      <c r="E8592" s="45" t="s">
        <v>17212</v>
      </c>
      <c r="F8592" s="45" t="s">
        <v>20930</v>
      </c>
      <c r="G8592" s="45" t="s">
        <v>17214</v>
      </c>
      <c r="H8592" s="546">
        <v>206635</v>
      </c>
      <c r="I8592" s="47">
        <v>45437</v>
      </c>
      <c r="J8592" s="73" t="s">
        <v>20928</v>
      </c>
      <c r="K8592" s="62"/>
      <c r="L8592" s="99"/>
      <c r="O8592" s="62" t="s">
        <v>16399</v>
      </c>
      <c r="P8592" s="45" t="s">
        <v>55</v>
      </c>
      <c r="Q8592" s="45" t="s">
        <v>31</v>
      </c>
      <c r="R8592" s="45" t="s">
        <v>272</v>
      </c>
    </row>
    <row r="8593" spans="2:18" ht="69" customHeight="1">
      <c r="B8593" s="164">
        <f t="shared" si="63"/>
        <v>5710</v>
      </c>
      <c r="C8593" s="178" t="s">
        <v>11047</v>
      </c>
      <c r="D8593" s="200" t="s">
        <v>20734</v>
      </c>
      <c r="E8593" s="45" t="s">
        <v>17212</v>
      </c>
      <c r="F8593" s="45" t="s">
        <v>20931</v>
      </c>
      <c r="G8593" s="45" t="s">
        <v>17214</v>
      </c>
      <c r="H8593" s="546">
        <v>171700</v>
      </c>
      <c r="I8593" s="47">
        <v>45437</v>
      </c>
      <c r="J8593" s="73" t="s">
        <v>20928</v>
      </c>
      <c r="K8593" s="62"/>
      <c r="L8593" s="99"/>
      <c r="O8593" s="62" t="s">
        <v>16399</v>
      </c>
      <c r="P8593" s="45" t="s">
        <v>55</v>
      </c>
      <c r="Q8593" s="45" t="s">
        <v>33</v>
      </c>
      <c r="R8593" s="45" t="s">
        <v>272</v>
      </c>
    </row>
    <row r="8594" spans="2:18" ht="69" customHeight="1">
      <c r="B8594" s="164">
        <f t="shared" si="63"/>
        <v>5711</v>
      </c>
      <c r="C8594" s="178" t="s">
        <v>11050</v>
      </c>
      <c r="D8594" s="200" t="s">
        <v>20755</v>
      </c>
      <c r="E8594" s="45" t="s">
        <v>17212</v>
      </c>
      <c r="F8594" s="45" t="s">
        <v>20932</v>
      </c>
      <c r="G8594" s="45" t="s">
        <v>17214</v>
      </c>
      <c r="H8594" s="546">
        <v>184520</v>
      </c>
      <c r="I8594" s="47">
        <v>45437</v>
      </c>
      <c r="J8594" s="73" t="s">
        <v>20928</v>
      </c>
      <c r="K8594" s="62"/>
      <c r="L8594" s="99"/>
      <c r="O8594" s="62" t="s">
        <v>16399</v>
      </c>
      <c r="P8594" s="45" t="s">
        <v>55</v>
      </c>
      <c r="Q8594" s="45" t="s">
        <v>35</v>
      </c>
      <c r="R8594" s="45" t="s">
        <v>272</v>
      </c>
    </row>
    <row r="8595" spans="2:18" ht="69" customHeight="1">
      <c r="B8595" s="65">
        <f t="shared" si="63"/>
        <v>5712</v>
      </c>
      <c r="C8595" s="178" t="s">
        <v>11052</v>
      </c>
      <c r="D8595" s="200" t="s">
        <v>20933</v>
      </c>
      <c r="E8595" s="45" t="s">
        <v>17212</v>
      </c>
      <c r="F8595" s="45" t="s">
        <v>20934</v>
      </c>
      <c r="G8595" s="45" t="s">
        <v>17214</v>
      </c>
      <c r="H8595" s="546">
        <v>172605</v>
      </c>
      <c r="I8595" s="47">
        <v>45437</v>
      </c>
      <c r="J8595" s="73" t="s">
        <v>20928</v>
      </c>
      <c r="K8595" s="62"/>
      <c r="L8595" s="99"/>
      <c r="O8595" s="62" t="s">
        <v>16399</v>
      </c>
      <c r="P8595" s="45" t="s">
        <v>55</v>
      </c>
      <c r="Q8595" s="45" t="s">
        <v>37</v>
      </c>
      <c r="R8595" s="45" t="s">
        <v>272</v>
      </c>
    </row>
    <row r="8596" spans="2:18" ht="69" customHeight="1">
      <c r="B8596" s="181">
        <f t="shared" si="63"/>
        <v>5713</v>
      </c>
      <c r="C8596" s="201" t="s">
        <v>11058</v>
      </c>
      <c r="D8596" s="200" t="s">
        <v>20935</v>
      </c>
      <c r="E8596" s="45" t="s">
        <v>17212</v>
      </c>
      <c r="F8596" s="45" t="s">
        <v>20936</v>
      </c>
      <c r="G8596" s="45" t="s">
        <v>17214</v>
      </c>
      <c r="H8596" s="546">
        <v>138210</v>
      </c>
      <c r="I8596" s="47">
        <v>45437</v>
      </c>
      <c r="J8596" s="73" t="s">
        <v>20928</v>
      </c>
      <c r="K8596" s="62"/>
      <c r="L8596" s="99"/>
      <c r="O8596" s="62" t="s">
        <v>16399</v>
      </c>
      <c r="P8596" s="45" t="s">
        <v>55</v>
      </c>
      <c r="Q8596" s="45" t="s">
        <v>23</v>
      </c>
      <c r="R8596" s="45" t="s">
        <v>272</v>
      </c>
    </row>
    <row r="8597" spans="2:18" ht="69" customHeight="1">
      <c r="B8597" s="65">
        <f t="shared" si="63"/>
        <v>5714</v>
      </c>
      <c r="C8597" s="44" t="s">
        <v>11055</v>
      </c>
      <c r="D8597" s="200" t="s">
        <v>20937</v>
      </c>
      <c r="E8597" s="45" t="s">
        <v>17212</v>
      </c>
      <c r="F8597" s="45" t="s">
        <v>20938</v>
      </c>
      <c r="G8597" s="45" t="s">
        <v>17214</v>
      </c>
      <c r="H8597" s="546">
        <v>167355</v>
      </c>
      <c r="I8597" s="47">
        <v>45437</v>
      </c>
      <c r="J8597" s="73" t="s">
        <v>20928</v>
      </c>
      <c r="K8597" s="62"/>
      <c r="L8597" s="99"/>
      <c r="O8597" s="62" t="s">
        <v>16399</v>
      </c>
      <c r="P8597" s="45" t="s">
        <v>55</v>
      </c>
      <c r="Q8597" s="45" t="s">
        <v>45</v>
      </c>
      <c r="R8597" s="45" t="s">
        <v>272</v>
      </c>
    </row>
    <row r="8598" spans="2:18" ht="69" customHeight="1">
      <c r="B8598" s="205">
        <f t="shared" si="63"/>
        <v>5715</v>
      </c>
      <c r="C8598" s="191" t="s">
        <v>11933</v>
      </c>
      <c r="D8598" s="539" t="s">
        <v>20939</v>
      </c>
      <c r="E8598" s="191" t="s">
        <v>266</v>
      </c>
      <c r="F8598" s="46" t="s">
        <v>20940</v>
      </c>
      <c r="G8598" s="46" t="s">
        <v>20941</v>
      </c>
      <c r="H8598" s="534">
        <v>42500</v>
      </c>
      <c r="I8598" s="56">
        <v>45427</v>
      </c>
      <c r="J8598" s="199" t="s">
        <v>20942</v>
      </c>
      <c r="K8598" s="52"/>
      <c r="L8598" s="99"/>
      <c r="O8598" s="52" t="s">
        <v>141</v>
      </c>
      <c r="P8598" s="46" t="s">
        <v>65</v>
      </c>
      <c r="Q8598" s="46" t="s">
        <v>123</v>
      </c>
      <c r="R8598" s="46" t="s">
        <v>272</v>
      </c>
    </row>
    <row r="8599" spans="2:18" ht="69" customHeight="1">
      <c r="B8599" s="185">
        <f t="shared" si="63"/>
        <v>5716</v>
      </c>
      <c r="C8599" s="46" t="s">
        <v>657</v>
      </c>
      <c r="D8599" s="539" t="s">
        <v>14858</v>
      </c>
      <c r="E8599" s="191" t="s">
        <v>266</v>
      </c>
      <c r="F8599" s="46" t="s">
        <v>20943</v>
      </c>
      <c r="G8599" s="46" t="s">
        <v>20941</v>
      </c>
      <c r="H8599" s="534">
        <v>25040</v>
      </c>
      <c r="I8599" s="56">
        <v>45427</v>
      </c>
      <c r="J8599" s="199" t="s">
        <v>20942</v>
      </c>
      <c r="K8599" s="52"/>
      <c r="L8599" s="99"/>
      <c r="O8599" s="52" t="s">
        <v>141</v>
      </c>
      <c r="P8599" s="46" t="s">
        <v>65</v>
      </c>
      <c r="Q8599" s="46" t="s">
        <v>104</v>
      </c>
      <c r="R8599" s="46" t="s">
        <v>272</v>
      </c>
    </row>
    <row r="8600" spans="2:18" ht="69" customHeight="1">
      <c r="B8600" s="313">
        <f t="shared" si="63"/>
        <v>5717</v>
      </c>
      <c r="C8600" s="207" t="s">
        <v>309</v>
      </c>
      <c r="D8600" s="311" t="s">
        <v>17713</v>
      </c>
      <c r="E8600" s="207" t="s">
        <v>266</v>
      </c>
      <c r="F8600" s="160" t="s">
        <v>20944</v>
      </c>
      <c r="G8600" s="160" t="s">
        <v>20890</v>
      </c>
      <c r="H8600" s="300">
        <v>1605.66</v>
      </c>
      <c r="I8600" s="209">
        <v>45422</v>
      </c>
      <c r="J8600" s="316" t="s">
        <v>20945</v>
      </c>
      <c r="K8600" s="259"/>
      <c r="L8600" s="99"/>
      <c r="O8600" s="259" t="s">
        <v>12529</v>
      </c>
      <c r="P8600" s="160" t="s">
        <v>67</v>
      </c>
      <c r="Q8600" s="160" t="s">
        <v>96</v>
      </c>
      <c r="R8600" s="160" t="s">
        <v>272</v>
      </c>
    </row>
    <row r="8601" spans="2:18" ht="69" customHeight="1">
      <c r="B8601" s="185">
        <f t="shared" si="63"/>
        <v>5718</v>
      </c>
      <c r="C8601" s="191" t="s">
        <v>458</v>
      </c>
      <c r="D8601" s="539" t="s">
        <v>17916</v>
      </c>
      <c r="E8601" s="191" t="s">
        <v>266</v>
      </c>
      <c r="F8601" s="46" t="s">
        <v>20946</v>
      </c>
      <c r="G8601" s="46" t="s">
        <v>20947</v>
      </c>
      <c r="H8601" s="534">
        <v>11103.89</v>
      </c>
      <c r="I8601" s="56">
        <v>45437</v>
      </c>
      <c r="J8601" s="199" t="s">
        <v>20948</v>
      </c>
      <c r="K8601" s="52"/>
      <c r="L8601" s="99"/>
      <c r="O8601" s="46" t="s">
        <v>1171</v>
      </c>
      <c r="P8601" s="46" t="s">
        <v>71</v>
      </c>
      <c r="Q8601" s="46" t="s">
        <v>122</v>
      </c>
      <c r="R8601" s="46" t="s">
        <v>272</v>
      </c>
    </row>
    <row r="8602" spans="2:18" ht="69" customHeight="1">
      <c r="B8602" s="199">
        <f t="shared" si="63"/>
        <v>5719</v>
      </c>
      <c r="C8602" s="191" t="s">
        <v>458</v>
      </c>
      <c r="D8602" s="539" t="s">
        <v>17919</v>
      </c>
      <c r="E8602" s="191" t="s">
        <v>266</v>
      </c>
      <c r="F8602" s="46" t="s">
        <v>20949</v>
      </c>
      <c r="G8602" s="46" t="s">
        <v>20950</v>
      </c>
      <c r="H8602" s="534">
        <v>11103.89</v>
      </c>
      <c r="I8602" s="56">
        <v>45437</v>
      </c>
      <c r="J8602" s="199" t="s">
        <v>20948</v>
      </c>
      <c r="K8602" s="52"/>
      <c r="L8602" s="99"/>
      <c r="O8602" s="46" t="s">
        <v>1171</v>
      </c>
      <c r="P8602" s="46" t="s">
        <v>71</v>
      </c>
      <c r="Q8602" s="46" t="s">
        <v>123</v>
      </c>
      <c r="R8602" s="46" t="s">
        <v>272</v>
      </c>
    </row>
    <row r="8603" spans="2:18" ht="69" customHeight="1">
      <c r="B8603" s="181">
        <f t="shared" si="63"/>
        <v>5720</v>
      </c>
      <c r="C8603" s="58" t="s">
        <v>309</v>
      </c>
      <c r="D8603" s="200" t="s">
        <v>20446</v>
      </c>
      <c r="E8603" s="58" t="s">
        <v>16011</v>
      </c>
      <c r="F8603" s="58" t="s">
        <v>20951</v>
      </c>
      <c r="G8603" s="45" t="s">
        <v>19076</v>
      </c>
      <c r="H8603" s="546">
        <v>3862.63</v>
      </c>
      <c r="I8603" s="47">
        <v>45407</v>
      </c>
      <c r="J8603" s="73" t="s">
        <v>20952</v>
      </c>
      <c r="K8603" s="62"/>
      <c r="L8603" s="99"/>
      <c r="O8603" s="62" t="s">
        <v>150</v>
      </c>
      <c r="P8603" s="45" t="s">
        <v>51</v>
      </c>
      <c r="Q8603" s="45" t="s">
        <v>13</v>
      </c>
      <c r="R8603" s="45" t="s">
        <v>272</v>
      </c>
    </row>
    <row r="8604" spans="2:18" ht="69" customHeight="1">
      <c r="B8604" s="164">
        <f t="shared" si="63"/>
        <v>5721</v>
      </c>
      <c r="C8604" s="58" t="s">
        <v>657</v>
      </c>
      <c r="D8604" s="62" t="s">
        <v>418</v>
      </c>
      <c r="E8604" s="58" t="s">
        <v>409</v>
      </c>
      <c r="F8604" s="58" t="s">
        <v>20827</v>
      </c>
      <c r="G8604" s="45" t="s">
        <v>18681</v>
      </c>
      <c r="H8604" s="546">
        <v>11756.6</v>
      </c>
      <c r="I8604" s="47">
        <v>44858</v>
      </c>
      <c r="J8604" s="73" t="s">
        <v>18682</v>
      </c>
      <c r="K8604" s="58" t="s">
        <v>20828</v>
      </c>
      <c r="L8604" s="99"/>
      <c r="O8604" s="62" t="s">
        <v>147</v>
      </c>
      <c r="P8604" s="45" t="s">
        <v>40</v>
      </c>
      <c r="Q8604" s="45" t="s">
        <v>111</v>
      </c>
      <c r="R8604" s="45" t="s">
        <v>272</v>
      </c>
    </row>
    <row r="8605" spans="2:18" ht="69" customHeight="1">
      <c r="B8605" s="164">
        <f t="shared" si="63"/>
        <v>5722</v>
      </c>
      <c r="C8605" s="58" t="s">
        <v>309</v>
      </c>
      <c r="D8605" s="200" t="s">
        <v>17608</v>
      </c>
      <c r="E8605" s="58" t="s">
        <v>20953</v>
      </c>
      <c r="F8605" s="58" t="s">
        <v>20954</v>
      </c>
      <c r="G8605" s="45" t="s">
        <v>20955</v>
      </c>
      <c r="H8605" s="546">
        <v>26582</v>
      </c>
      <c r="I8605" s="47">
        <v>45437</v>
      </c>
      <c r="J8605" s="73" t="s">
        <v>20956</v>
      </c>
      <c r="K8605" s="62"/>
      <c r="L8605" s="99"/>
      <c r="O8605" s="62" t="s">
        <v>150</v>
      </c>
      <c r="P8605" s="45" t="s">
        <v>51</v>
      </c>
      <c r="Q8605" s="45" t="s">
        <v>27</v>
      </c>
      <c r="R8605" s="45" t="s">
        <v>272</v>
      </c>
    </row>
    <row r="8606" spans="2:18" ht="69" customHeight="1">
      <c r="B8606" s="164">
        <f t="shared" si="63"/>
        <v>5723</v>
      </c>
      <c r="C8606" s="58" t="s">
        <v>657</v>
      </c>
      <c r="D8606" s="200" t="s">
        <v>15065</v>
      </c>
      <c r="E8606" s="58" t="s">
        <v>20953</v>
      </c>
      <c r="F8606" s="58" t="s">
        <v>20957</v>
      </c>
      <c r="G8606" s="45" t="s">
        <v>20955</v>
      </c>
      <c r="H8606" s="546">
        <v>29180</v>
      </c>
      <c r="I8606" s="47">
        <v>45407</v>
      </c>
      <c r="J8606" s="73" t="s">
        <v>20956</v>
      </c>
      <c r="K8606" s="62"/>
      <c r="L8606" s="99"/>
      <c r="O8606" s="62" t="s">
        <v>150</v>
      </c>
      <c r="P8606" s="45" t="s">
        <v>51</v>
      </c>
      <c r="Q8606" s="45" t="s">
        <v>97</v>
      </c>
      <c r="R8606" s="45" t="s">
        <v>272</v>
      </c>
    </row>
    <row r="8607" spans="2:18" ht="69" customHeight="1">
      <c r="B8607" s="164">
        <f t="shared" si="63"/>
        <v>5724</v>
      </c>
      <c r="C8607" s="44" t="s">
        <v>12295</v>
      </c>
      <c r="D8607" s="200" t="s">
        <v>20958</v>
      </c>
      <c r="E8607" s="59" t="s">
        <v>266</v>
      </c>
      <c r="F8607" s="174" t="s">
        <v>20959</v>
      </c>
      <c r="G8607" s="58" t="s">
        <v>20960</v>
      </c>
      <c r="H8607" s="546">
        <v>63.36</v>
      </c>
      <c r="I8607" s="47">
        <v>45427</v>
      </c>
      <c r="J8607" s="73" t="s">
        <v>20961</v>
      </c>
      <c r="K8607" s="62"/>
      <c r="L8607" s="99"/>
      <c r="O8607" s="62" t="s">
        <v>5969</v>
      </c>
      <c r="P8607" s="45" t="s">
        <v>44</v>
      </c>
      <c r="Q8607" s="45" t="s">
        <v>13</v>
      </c>
      <c r="R8607" s="45" t="s">
        <v>272</v>
      </c>
    </row>
    <row r="8608" spans="2:18" ht="69" customHeight="1">
      <c r="B8608" s="164">
        <f t="shared" si="63"/>
        <v>5725</v>
      </c>
      <c r="C8608" s="59" t="s">
        <v>15700</v>
      </c>
      <c r="D8608" s="200" t="s">
        <v>17610</v>
      </c>
      <c r="E8608" s="58" t="s">
        <v>20962</v>
      </c>
      <c r="F8608" s="58" t="s">
        <v>20963</v>
      </c>
      <c r="G8608" s="45" t="s">
        <v>20964</v>
      </c>
      <c r="H8608" s="546">
        <v>5821.02</v>
      </c>
      <c r="I8608" s="47">
        <v>45427</v>
      </c>
      <c r="J8608" s="73" t="s">
        <v>20965</v>
      </c>
      <c r="K8608" s="62"/>
      <c r="L8608" s="99"/>
      <c r="O8608" s="62" t="s">
        <v>150</v>
      </c>
      <c r="P8608" s="45" t="s">
        <v>51</v>
      </c>
      <c r="Q8608" s="45" t="s">
        <v>39</v>
      </c>
      <c r="R8608" s="45" t="s">
        <v>265</v>
      </c>
    </row>
    <row r="8609" spans="1:18" ht="69" customHeight="1">
      <c r="B8609" s="164">
        <f t="shared" si="63"/>
        <v>5726</v>
      </c>
      <c r="C8609" s="59" t="s">
        <v>15449</v>
      </c>
      <c r="D8609" s="200" t="s">
        <v>17647</v>
      </c>
      <c r="E8609" s="58" t="s">
        <v>20962</v>
      </c>
      <c r="F8609" s="58" t="s">
        <v>20966</v>
      </c>
      <c r="G8609" s="45" t="s">
        <v>20964</v>
      </c>
      <c r="H8609" s="546">
        <v>5821.02</v>
      </c>
      <c r="I8609" s="47">
        <v>45427</v>
      </c>
      <c r="J8609" s="73" t="s">
        <v>20965</v>
      </c>
      <c r="K8609" s="62"/>
      <c r="L8609" s="99"/>
      <c r="O8609" s="62" t="s">
        <v>150</v>
      </c>
      <c r="P8609" s="45" t="s">
        <v>51</v>
      </c>
      <c r="Q8609" s="45" t="s">
        <v>41</v>
      </c>
      <c r="R8609" s="45" t="s">
        <v>265</v>
      </c>
    </row>
    <row r="8610" spans="1:18" ht="69" customHeight="1">
      <c r="B8610" s="164">
        <f t="shared" si="63"/>
        <v>5727</v>
      </c>
      <c r="C8610" s="59" t="s">
        <v>1593</v>
      </c>
      <c r="D8610" s="200" t="s">
        <v>17664</v>
      </c>
      <c r="E8610" s="58" t="s">
        <v>20962</v>
      </c>
      <c r="F8610" s="58" t="s">
        <v>20967</v>
      </c>
      <c r="G8610" s="45" t="s">
        <v>20964</v>
      </c>
      <c r="H8610" s="546">
        <v>5821.02</v>
      </c>
      <c r="I8610" s="47">
        <v>45427</v>
      </c>
      <c r="J8610" s="73" t="s">
        <v>20965</v>
      </c>
      <c r="K8610" s="62"/>
      <c r="L8610" s="99"/>
      <c r="O8610" s="62" t="s">
        <v>150</v>
      </c>
      <c r="P8610" s="45" t="s">
        <v>51</v>
      </c>
      <c r="Q8610" s="45" t="s">
        <v>27</v>
      </c>
      <c r="R8610" s="45" t="s">
        <v>265</v>
      </c>
    </row>
    <row r="8611" spans="1:18" ht="69" customHeight="1">
      <c r="B8611" s="164">
        <f t="shared" si="63"/>
        <v>5728</v>
      </c>
      <c r="C8611" s="59" t="s">
        <v>7189</v>
      </c>
      <c r="D8611" s="200" t="s">
        <v>15067</v>
      </c>
      <c r="E8611" s="58" t="s">
        <v>19072</v>
      </c>
      <c r="F8611" s="58" t="s">
        <v>20968</v>
      </c>
      <c r="G8611" s="45" t="s">
        <v>19383</v>
      </c>
      <c r="H8611" s="546">
        <v>191173.16</v>
      </c>
      <c r="I8611" s="47">
        <v>45437</v>
      </c>
      <c r="J8611" s="73" t="s">
        <v>20969</v>
      </c>
      <c r="K8611" s="62"/>
      <c r="L8611" s="99"/>
      <c r="O8611" s="62" t="s">
        <v>208</v>
      </c>
      <c r="P8611" s="45" t="s">
        <v>57</v>
      </c>
      <c r="Q8611" s="45" t="s">
        <v>97</v>
      </c>
      <c r="R8611" s="45" t="s">
        <v>272</v>
      </c>
    </row>
    <row r="8612" spans="1:18" ht="69" customHeight="1">
      <c r="B8612" s="313">
        <f t="shared" si="63"/>
        <v>5729</v>
      </c>
      <c r="C8612" s="207" t="s">
        <v>13665</v>
      </c>
      <c r="D8612" s="311" t="s">
        <v>3450</v>
      </c>
      <c r="E8612" s="207" t="s">
        <v>266</v>
      </c>
      <c r="F8612" s="160" t="s">
        <v>20970</v>
      </c>
      <c r="G8612" s="160" t="s">
        <v>20971</v>
      </c>
      <c r="H8612" s="300">
        <v>63.36</v>
      </c>
      <c r="I8612" s="209">
        <v>45420</v>
      </c>
      <c r="J8612" s="316" t="s">
        <v>20972</v>
      </c>
      <c r="K8612" s="259" t="s">
        <v>11084</v>
      </c>
      <c r="L8612" s="99"/>
      <c r="O8612" s="259" t="s">
        <v>5969</v>
      </c>
      <c r="P8612" s="160" t="s">
        <v>67</v>
      </c>
      <c r="Q8612" s="160" t="s">
        <v>96</v>
      </c>
      <c r="R8612" s="160" t="s">
        <v>272</v>
      </c>
    </row>
    <row r="8613" spans="1:18" ht="69" customHeight="1">
      <c r="B8613" s="313">
        <f t="shared" si="63"/>
        <v>5730</v>
      </c>
      <c r="C8613" s="207" t="s">
        <v>13665</v>
      </c>
      <c r="D8613" s="311" t="s">
        <v>4558</v>
      </c>
      <c r="E8613" s="207" t="s">
        <v>266</v>
      </c>
      <c r="F8613" s="160" t="s">
        <v>20973</v>
      </c>
      <c r="G8613" s="160" t="s">
        <v>20971</v>
      </c>
      <c r="H8613" s="300">
        <v>63.36</v>
      </c>
      <c r="I8613" s="209">
        <v>45420</v>
      </c>
      <c r="J8613" s="316" t="s">
        <v>20972</v>
      </c>
      <c r="K8613" s="259" t="s">
        <v>11084</v>
      </c>
      <c r="L8613" s="99"/>
      <c r="O8613" s="259" t="s">
        <v>5969</v>
      </c>
      <c r="P8613" s="160" t="s">
        <v>67</v>
      </c>
      <c r="Q8613" s="160" t="s">
        <v>96</v>
      </c>
      <c r="R8613" s="160" t="s">
        <v>272</v>
      </c>
    </row>
    <row r="8614" spans="1:18" ht="69" customHeight="1">
      <c r="B8614" s="316">
        <f t="shared" si="63"/>
        <v>5731</v>
      </c>
      <c r="C8614" s="207" t="s">
        <v>13665</v>
      </c>
      <c r="D8614" s="311" t="s">
        <v>1468</v>
      </c>
      <c r="E8614" s="207" t="s">
        <v>266</v>
      </c>
      <c r="F8614" s="160" t="s">
        <v>20974</v>
      </c>
      <c r="G8614" s="160" t="s">
        <v>20971</v>
      </c>
      <c r="H8614" s="300">
        <v>63.36</v>
      </c>
      <c r="I8614" s="209">
        <v>45420</v>
      </c>
      <c r="J8614" s="316" t="s">
        <v>20972</v>
      </c>
      <c r="K8614" s="259" t="s">
        <v>11084</v>
      </c>
      <c r="L8614" s="99"/>
      <c r="O8614" s="259" t="s">
        <v>5969</v>
      </c>
      <c r="P8614" s="160" t="s">
        <v>67</v>
      </c>
      <c r="Q8614" s="160" t="s">
        <v>96</v>
      </c>
      <c r="R8614" s="160" t="s">
        <v>272</v>
      </c>
    </row>
    <row r="8615" spans="1:18" ht="69" customHeight="1">
      <c r="B8615" s="314">
        <f t="shared" si="63"/>
        <v>5732</v>
      </c>
      <c r="C8615" s="160" t="s">
        <v>13156</v>
      </c>
      <c r="D8615" s="311" t="s">
        <v>4832</v>
      </c>
      <c r="E8615" s="207" t="s">
        <v>266</v>
      </c>
      <c r="F8615" s="160" t="s">
        <v>20975</v>
      </c>
      <c r="G8615" s="160" t="s">
        <v>20976</v>
      </c>
      <c r="H8615" s="300">
        <v>1484</v>
      </c>
      <c r="I8615" s="209">
        <v>45437</v>
      </c>
      <c r="J8615" s="316" t="s">
        <v>20977</v>
      </c>
      <c r="K8615" s="259" t="s">
        <v>11084</v>
      </c>
      <c r="L8615" s="99"/>
      <c r="O8615" s="259" t="s">
        <v>20978</v>
      </c>
      <c r="P8615" s="160" t="s">
        <v>67</v>
      </c>
      <c r="Q8615" s="160" t="s">
        <v>96</v>
      </c>
      <c r="R8615" s="160" t="s">
        <v>272</v>
      </c>
    </row>
    <row r="8616" spans="1:18" ht="69" customHeight="1">
      <c r="B8616" s="313">
        <f t="shared" si="63"/>
        <v>5733</v>
      </c>
      <c r="C8616" s="160" t="s">
        <v>19699</v>
      </c>
      <c r="D8616" s="311" t="s">
        <v>8267</v>
      </c>
      <c r="E8616" s="207" t="s">
        <v>266</v>
      </c>
      <c r="F8616" s="160" t="s">
        <v>20979</v>
      </c>
      <c r="G8616" s="160" t="s">
        <v>20980</v>
      </c>
      <c r="H8616" s="300">
        <v>1292</v>
      </c>
      <c r="I8616" s="209">
        <v>45458</v>
      </c>
      <c r="J8616" s="316" t="s">
        <v>20977</v>
      </c>
      <c r="K8616" s="259" t="s">
        <v>11084</v>
      </c>
      <c r="L8616" s="99"/>
      <c r="O8616" s="259" t="s">
        <v>20978</v>
      </c>
      <c r="P8616" s="160" t="s">
        <v>67</v>
      </c>
      <c r="Q8616" s="160" t="s">
        <v>96</v>
      </c>
      <c r="R8616" s="160" t="s">
        <v>272</v>
      </c>
    </row>
    <row r="8617" spans="1:18" s="98" customFormat="1" ht="69" customHeight="1">
      <c r="A8617" s="169"/>
      <c r="B8617" s="313">
        <f t="shared" si="63"/>
        <v>5734</v>
      </c>
      <c r="C8617" s="160" t="s">
        <v>19699</v>
      </c>
      <c r="D8617" s="311" t="s">
        <v>14043</v>
      </c>
      <c r="E8617" s="207" t="s">
        <v>266</v>
      </c>
      <c r="F8617" s="160" t="s">
        <v>20981</v>
      </c>
      <c r="G8617" s="160" t="s">
        <v>20982</v>
      </c>
      <c r="H8617" s="300">
        <v>1219</v>
      </c>
      <c r="I8617" s="209">
        <v>45458</v>
      </c>
      <c r="J8617" s="316" t="s">
        <v>20977</v>
      </c>
      <c r="K8617" s="259" t="s">
        <v>11084</v>
      </c>
      <c r="O8617" s="259" t="s">
        <v>20978</v>
      </c>
      <c r="P8617" s="160" t="s">
        <v>67</v>
      </c>
      <c r="Q8617" s="160" t="s">
        <v>96</v>
      </c>
      <c r="R8617" s="160" t="s">
        <v>272</v>
      </c>
    </row>
    <row r="8618" spans="1:18" ht="69" customHeight="1">
      <c r="B8618" s="313">
        <f t="shared" si="63"/>
        <v>5735</v>
      </c>
      <c r="C8618" s="160" t="s">
        <v>13156</v>
      </c>
      <c r="D8618" s="311" t="s">
        <v>5241</v>
      </c>
      <c r="E8618" s="207" t="s">
        <v>266</v>
      </c>
      <c r="F8618" s="160" t="s">
        <v>20983</v>
      </c>
      <c r="G8618" s="160" t="s">
        <v>20984</v>
      </c>
      <c r="H8618" s="300">
        <v>3074</v>
      </c>
      <c r="I8618" s="209">
        <v>45437</v>
      </c>
      <c r="J8618" s="316" t="s">
        <v>20977</v>
      </c>
      <c r="K8618" s="259" t="s">
        <v>11084</v>
      </c>
      <c r="L8618" s="99"/>
      <c r="O8618" s="259" t="s">
        <v>20978</v>
      </c>
      <c r="P8618" s="160" t="s">
        <v>67</v>
      </c>
      <c r="Q8618" s="160" t="s">
        <v>96</v>
      </c>
      <c r="R8618" s="160" t="s">
        <v>272</v>
      </c>
    </row>
    <row r="8619" spans="1:18" ht="69" customHeight="1">
      <c r="B8619" s="313">
        <f t="shared" si="63"/>
        <v>5736</v>
      </c>
      <c r="C8619" s="160" t="s">
        <v>13156</v>
      </c>
      <c r="D8619" s="311" t="s">
        <v>7260</v>
      </c>
      <c r="E8619" s="207" t="s">
        <v>266</v>
      </c>
      <c r="F8619" s="160" t="s">
        <v>20985</v>
      </c>
      <c r="G8619" s="160" t="s">
        <v>20986</v>
      </c>
      <c r="H8619" s="300">
        <v>1537</v>
      </c>
      <c r="I8619" s="209">
        <v>45437</v>
      </c>
      <c r="J8619" s="316" t="s">
        <v>20977</v>
      </c>
      <c r="K8619" s="259" t="s">
        <v>11084</v>
      </c>
      <c r="L8619" s="99"/>
      <c r="O8619" s="259" t="s">
        <v>20978</v>
      </c>
      <c r="P8619" s="160" t="s">
        <v>67</v>
      </c>
      <c r="Q8619" s="160" t="s">
        <v>96</v>
      </c>
      <c r="R8619" s="160" t="s">
        <v>272</v>
      </c>
    </row>
    <row r="8620" spans="1:18" ht="69" customHeight="1">
      <c r="B8620" s="185">
        <f t="shared" si="63"/>
        <v>5737</v>
      </c>
      <c r="C8620" s="191" t="s">
        <v>3933</v>
      </c>
      <c r="D8620" s="539" t="s">
        <v>20987</v>
      </c>
      <c r="E8620" s="191" t="s">
        <v>266</v>
      </c>
      <c r="F8620" s="46" t="s">
        <v>20988</v>
      </c>
      <c r="G8620" s="46" t="s">
        <v>20989</v>
      </c>
      <c r="H8620" s="534">
        <v>6598</v>
      </c>
      <c r="I8620" s="56">
        <v>45437</v>
      </c>
      <c r="J8620" s="199" t="s">
        <v>20990</v>
      </c>
      <c r="K8620" s="52"/>
      <c r="L8620" s="99"/>
      <c r="O8620" s="52"/>
      <c r="P8620" s="46" t="s">
        <v>65</v>
      </c>
      <c r="Q8620" s="46" t="s">
        <v>52</v>
      </c>
      <c r="R8620" s="46" t="s">
        <v>272</v>
      </c>
    </row>
    <row r="8621" spans="1:18" ht="69" customHeight="1">
      <c r="B8621" s="185">
        <f t="shared" si="63"/>
        <v>5738</v>
      </c>
      <c r="C8621" s="191" t="s">
        <v>3933</v>
      </c>
      <c r="D8621" s="539" t="s">
        <v>20991</v>
      </c>
      <c r="E8621" s="191" t="s">
        <v>266</v>
      </c>
      <c r="F8621" s="46" t="s">
        <v>20992</v>
      </c>
      <c r="G8621" s="46" t="s">
        <v>20993</v>
      </c>
      <c r="H8621" s="534">
        <v>45440</v>
      </c>
      <c r="I8621" s="56">
        <v>45437</v>
      </c>
      <c r="J8621" s="199" t="s">
        <v>20990</v>
      </c>
      <c r="K8621" s="52"/>
      <c r="L8621" s="99"/>
      <c r="O8621" s="52"/>
      <c r="P8621" s="46" t="s">
        <v>65</v>
      </c>
      <c r="Q8621" s="46" t="s">
        <v>52</v>
      </c>
      <c r="R8621" s="46" t="s">
        <v>272</v>
      </c>
    </row>
    <row r="8622" spans="1:18" ht="69" customHeight="1">
      <c r="B8622" s="164">
        <f t="shared" si="63"/>
        <v>5739</v>
      </c>
      <c r="C8622" s="58" t="s">
        <v>581</v>
      </c>
      <c r="D8622" s="200" t="s">
        <v>17814</v>
      </c>
      <c r="E8622" s="58" t="s">
        <v>20994</v>
      </c>
      <c r="F8622" s="58" t="s">
        <v>20995</v>
      </c>
      <c r="G8622" s="45" t="s">
        <v>20996</v>
      </c>
      <c r="H8622" s="546">
        <v>29000</v>
      </c>
      <c r="I8622" s="47">
        <v>45437</v>
      </c>
      <c r="J8622" s="73" t="s">
        <v>20997</v>
      </c>
      <c r="K8622" s="62"/>
      <c r="L8622" s="99"/>
      <c r="O8622" s="62" t="s">
        <v>441</v>
      </c>
      <c r="P8622" s="45" t="s">
        <v>22</v>
      </c>
      <c r="Q8622" s="45" t="s">
        <v>18</v>
      </c>
      <c r="R8622" s="45" t="s">
        <v>265</v>
      </c>
    </row>
    <row r="8623" spans="1:18" ht="69" customHeight="1">
      <c r="B8623" s="313">
        <f t="shared" si="63"/>
        <v>5740</v>
      </c>
      <c r="C8623" s="160" t="s">
        <v>20998</v>
      </c>
      <c r="D8623" s="311" t="s">
        <v>5660</v>
      </c>
      <c r="E8623" s="207" t="s">
        <v>266</v>
      </c>
      <c r="F8623" s="160" t="s">
        <v>20999</v>
      </c>
      <c r="G8623" s="160" t="s">
        <v>21000</v>
      </c>
      <c r="H8623" s="300">
        <v>1335</v>
      </c>
      <c r="I8623" s="209">
        <v>45437</v>
      </c>
      <c r="J8623" s="316" t="s">
        <v>21001</v>
      </c>
      <c r="K8623" s="259" t="s">
        <v>11084</v>
      </c>
      <c r="L8623" s="99"/>
      <c r="O8623" s="259" t="s">
        <v>5969</v>
      </c>
      <c r="P8623" s="160" t="s">
        <v>67</v>
      </c>
      <c r="Q8623" s="160" t="s">
        <v>96</v>
      </c>
      <c r="R8623" s="160" t="s">
        <v>272</v>
      </c>
    </row>
    <row r="8624" spans="1:18" ht="69" customHeight="1">
      <c r="B8624" s="65">
        <f t="shared" si="63"/>
        <v>5741</v>
      </c>
      <c r="C8624" s="58" t="s">
        <v>18817</v>
      </c>
      <c r="D8624" s="200" t="s">
        <v>17818</v>
      </c>
      <c r="E8624" s="58" t="s">
        <v>21002</v>
      </c>
      <c r="F8624" s="58" t="s">
        <v>21003</v>
      </c>
      <c r="G8624" s="45" t="s">
        <v>21004</v>
      </c>
      <c r="H8624" s="546">
        <v>48000</v>
      </c>
      <c r="I8624" s="47">
        <v>45437</v>
      </c>
      <c r="J8624" s="73" t="s">
        <v>21005</v>
      </c>
      <c r="K8624" s="62"/>
      <c r="L8624" s="99"/>
      <c r="O8624" s="62" t="s">
        <v>192</v>
      </c>
      <c r="P8624" s="45" t="s">
        <v>75</v>
      </c>
      <c r="Q8624" s="45" t="s">
        <v>25</v>
      </c>
      <c r="R8624" s="45" t="s">
        <v>265</v>
      </c>
    </row>
    <row r="8625" spans="2:18" ht="69" customHeight="1">
      <c r="B8625" s="197">
        <f t="shared" si="63"/>
        <v>5742</v>
      </c>
      <c r="C8625" s="178" t="s">
        <v>3368</v>
      </c>
      <c r="D8625" s="200" t="s">
        <v>17823</v>
      </c>
      <c r="E8625" s="58" t="s">
        <v>15627</v>
      </c>
      <c r="F8625" s="58" t="s">
        <v>21006</v>
      </c>
      <c r="G8625" s="45" t="s">
        <v>21004</v>
      </c>
      <c r="H8625" s="546">
        <v>55000</v>
      </c>
      <c r="I8625" s="47">
        <v>45437</v>
      </c>
      <c r="J8625" s="73" t="s">
        <v>21007</v>
      </c>
      <c r="K8625" s="62"/>
      <c r="L8625" s="99"/>
      <c r="O8625" s="62" t="s">
        <v>192</v>
      </c>
      <c r="P8625" s="45" t="s">
        <v>75</v>
      </c>
      <c r="Q8625" s="45" t="s">
        <v>43</v>
      </c>
      <c r="R8625" s="45" t="s">
        <v>265</v>
      </c>
    </row>
    <row r="8626" spans="2:18" ht="69" customHeight="1">
      <c r="B8626" s="181">
        <f t="shared" si="63"/>
        <v>5743</v>
      </c>
      <c r="C8626" s="201" t="s">
        <v>11058</v>
      </c>
      <c r="D8626" s="200" t="s">
        <v>17825</v>
      </c>
      <c r="E8626" s="58" t="s">
        <v>15627</v>
      </c>
      <c r="F8626" s="58" t="s">
        <v>21008</v>
      </c>
      <c r="G8626" s="45" t="s">
        <v>21004</v>
      </c>
      <c r="H8626" s="546">
        <v>50000</v>
      </c>
      <c r="I8626" s="47">
        <v>45437</v>
      </c>
      <c r="J8626" s="73" t="s">
        <v>21009</v>
      </c>
      <c r="K8626" s="62"/>
      <c r="L8626" s="99"/>
      <c r="O8626" s="48" t="s">
        <v>192</v>
      </c>
      <c r="P8626" s="45" t="s">
        <v>75</v>
      </c>
      <c r="Q8626" s="45" t="s">
        <v>23</v>
      </c>
      <c r="R8626" s="45" t="s">
        <v>265</v>
      </c>
    </row>
    <row r="8627" spans="2:18" ht="69" customHeight="1">
      <c r="B8627" s="313">
        <f t="shared" si="63"/>
        <v>5744</v>
      </c>
      <c r="C8627" s="207" t="s">
        <v>3340</v>
      </c>
      <c r="D8627" s="311" t="s">
        <v>6021</v>
      </c>
      <c r="E8627" s="207" t="s">
        <v>266</v>
      </c>
      <c r="F8627" s="160" t="s">
        <v>21010</v>
      </c>
      <c r="G8627" s="160" t="s">
        <v>21011</v>
      </c>
      <c r="H8627" s="300">
        <v>3745.33</v>
      </c>
      <c r="I8627" s="209">
        <v>45437</v>
      </c>
      <c r="J8627" s="316" t="s">
        <v>21012</v>
      </c>
      <c r="K8627" s="259"/>
      <c r="L8627" s="99"/>
      <c r="O8627" s="259" t="s">
        <v>13735</v>
      </c>
      <c r="P8627" s="160" t="s">
        <v>67</v>
      </c>
      <c r="Q8627" s="160" t="s">
        <v>96</v>
      </c>
      <c r="R8627" s="160" t="s">
        <v>272</v>
      </c>
    </row>
    <row r="8628" spans="2:18" ht="69" customHeight="1">
      <c r="B8628" s="164">
        <f t="shared" si="63"/>
        <v>5745</v>
      </c>
      <c r="C8628" s="58" t="s">
        <v>309</v>
      </c>
      <c r="D8628" s="200" t="s">
        <v>21013</v>
      </c>
      <c r="E8628" s="58" t="s">
        <v>20953</v>
      </c>
      <c r="F8628" s="58" t="s">
        <v>21014</v>
      </c>
      <c r="G8628" s="45" t="s">
        <v>21015</v>
      </c>
      <c r="H8628" s="546">
        <v>26582</v>
      </c>
      <c r="I8628" s="47">
        <v>45437</v>
      </c>
      <c r="J8628" s="73" t="s">
        <v>21016</v>
      </c>
      <c r="K8628" s="62"/>
      <c r="L8628" s="99"/>
      <c r="O8628" s="62" t="s">
        <v>150</v>
      </c>
      <c r="P8628" s="45" t="s">
        <v>51</v>
      </c>
      <c r="Q8628" s="45" t="s">
        <v>39</v>
      </c>
      <c r="R8628" s="45" t="s">
        <v>272</v>
      </c>
    </row>
    <row r="8629" spans="2:18" ht="69" customHeight="1">
      <c r="B8629" s="65">
        <f t="shared" si="63"/>
        <v>5746</v>
      </c>
      <c r="C8629" s="58" t="s">
        <v>309</v>
      </c>
      <c r="D8629" s="200" t="s">
        <v>21017</v>
      </c>
      <c r="E8629" s="58" t="s">
        <v>20953</v>
      </c>
      <c r="F8629" s="58" t="s">
        <v>21018</v>
      </c>
      <c r="G8629" s="45" t="s">
        <v>21015</v>
      </c>
      <c r="H8629" s="546">
        <v>26582</v>
      </c>
      <c r="I8629" s="47">
        <v>45437</v>
      </c>
      <c r="J8629" s="73" t="s">
        <v>21016</v>
      </c>
      <c r="K8629" s="62"/>
      <c r="L8629" s="99"/>
      <c r="O8629" s="62" t="s">
        <v>150</v>
      </c>
      <c r="P8629" s="45" t="s">
        <v>51</v>
      </c>
      <c r="Q8629" s="45" t="s">
        <v>41</v>
      </c>
      <c r="R8629" s="45" t="s">
        <v>272</v>
      </c>
    </row>
    <row r="8630" spans="2:18" ht="69" customHeight="1">
      <c r="B8630" s="184">
        <f t="shared" si="63"/>
        <v>5747</v>
      </c>
      <c r="C8630" s="45" t="s">
        <v>458</v>
      </c>
      <c r="D8630" s="611" t="s">
        <v>18119</v>
      </c>
      <c r="E8630" s="45" t="s">
        <v>21019</v>
      </c>
      <c r="F8630" s="45" t="s">
        <v>21020</v>
      </c>
      <c r="G8630" s="45" t="s">
        <v>21021</v>
      </c>
      <c r="H8630" s="546">
        <v>91065</v>
      </c>
      <c r="I8630" s="47">
        <v>45437</v>
      </c>
      <c r="J8630" s="73" t="s">
        <v>21022</v>
      </c>
      <c r="K8630" s="62" t="s">
        <v>20415</v>
      </c>
      <c r="L8630" s="99"/>
      <c r="O8630" s="62" t="s">
        <v>141</v>
      </c>
      <c r="P8630" s="45" t="s">
        <v>19</v>
      </c>
      <c r="Q8630" s="45" t="s">
        <v>122</v>
      </c>
      <c r="R8630" s="45" t="s">
        <v>272</v>
      </c>
    </row>
    <row r="8631" spans="2:18" ht="69" customHeight="1">
      <c r="B8631" s="185">
        <f t="shared" si="63"/>
        <v>5748</v>
      </c>
      <c r="C8631" s="46" t="s">
        <v>309</v>
      </c>
      <c r="D8631" s="539" t="s">
        <v>21023</v>
      </c>
      <c r="E8631" s="191" t="s">
        <v>266</v>
      </c>
      <c r="F8631" s="46" t="s">
        <v>21024</v>
      </c>
      <c r="G8631" s="46" t="s">
        <v>21025</v>
      </c>
      <c r="H8631" s="534">
        <v>2900</v>
      </c>
      <c r="I8631" s="56">
        <v>45448</v>
      </c>
      <c r="J8631" s="199" t="s">
        <v>21026</v>
      </c>
      <c r="K8631" s="52"/>
      <c r="L8631" s="99"/>
      <c r="O8631" s="46" t="s">
        <v>16879</v>
      </c>
      <c r="P8631" s="46" t="s">
        <v>65</v>
      </c>
      <c r="Q8631" s="46" t="s">
        <v>23</v>
      </c>
      <c r="R8631" s="46" t="s">
        <v>272</v>
      </c>
    </row>
    <row r="8632" spans="2:18" ht="69" customHeight="1">
      <c r="B8632" s="185">
        <f t="shared" si="63"/>
        <v>5749</v>
      </c>
      <c r="C8632" s="46" t="s">
        <v>309</v>
      </c>
      <c r="D8632" s="539" t="s">
        <v>21027</v>
      </c>
      <c r="E8632" s="191" t="s">
        <v>266</v>
      </c>
      <c r="F8632" s="46" t="s">
        <v>21028</v>
      </c>
      <c r="G8632" s="46" t="s">
        <v>21029</v>
      </c>
      <c r="H8632" s="534">
        <v>7600</v>
      </c>
      <c r="I8632" s="56">
        <v>45448</v>
      </c>
      <c r="J8632" s="199" t="s">
        <v>21026</v>
      </c>
      <c r="K8632" s="52"/>
      <c r="L8632" s="99"/>
      <c r="O8632" s="46" t="s">
        <v>16879</v>
      </c>
      <c r="P8632" s="46" t="s">
        <v>65</v>
      </c>
      <c r="Q8632" s="46" t="s">
        <v>23</v>
      </c>
      <c r="R8632" s="46" t="s">
        <v>272</v>
      </c>
    </row>
    <row r="8633" spans="2:18" ht="69" customHeight="1">
      <c r="B8633" s="164">
        <f t="shared" si="63"/>
        <v>5750</v>
      </c>
      <c r="C8633" s="59" t="s">
        <v>3667</v>
      </c>
      <c r="D8633" s="200" t="s">
        <v>21030</v>
      </c>
      <c r="E8633" s="58" t="s">
        <v>18110</v>
      </c>
      <c r="F8633" s="58" t="s">
        <v>21031</v>
      </c>
      <c r="G8633" s="45" t="s">
        <v>19076</v>
      </c>
      <c r="H8633" s="546">
        <v>2382.5100000000002</v>
      </c>
      <c r="I8633" s="47">
        <v>45448</v>
      </c>
      <c r="J8633" s="73" t="s">
        <v>21032</v>
      </c>
      <c r="K8633" s="62"/>
      <c r="L8633" s="99"/>
      <c r="O8633" s="62" t="s">
        <v>150</v>
      </c>
      <c r="P8633" s="45" t="s">
        <v>51</v>
      </c>
      <c r="Q8633" s="45" t="s">
        <v>66</v>
      </c>
      <c r="R8633" s="45" t="s">
        <v>272</v>
      </c>
    </row>
    <row r="8634" spans="2:18" ht="69" customHeight="1">
      <c r="B8634" s="164">
        <f t="shared" si="63"/>
        <v>5751</v>
      </c>
      <c r="C8634" s="59" t="s">
        <v>3667</v>
      </c>
      <c r="D8634" s="200" t="s">
        <v>21033</v>
      </c>
      <c r="E8634" s="58" t="s">
        <v>18110</v>
      </c>
      <c r="F8634" s="58" t="s">
        <v>21034</v>
      </c>
      <c r="G8634" s="45" t="s">
        <v>19076</v>
      </c>
      <c r="H8634" s="546">
        <v>2382.4899999999998</v>
      </c>
      <c r="I8634" s="47">
        <v>45448</v>
      </c>
      <c r="J8634" s="73" t="s">
        <v>21032</v>
      </c>
      <c r="K8634" s="62"/>
      <c r="L8634" s="99"/>
      <c r="O8634" s="62" t="s">
        <v>150</v>
      </c>
      <c r="P8634" s="45" t="s">
        <v>51</v>
      </c>
      <c r="Q8634" s="45" t="s">
        <v>84</v>
      </c>
      <c r="R8634" s="45" t="s">
        <v>272</v>
      </c>
    </row>
    <row r="8635" spans="2:18" ht="69" customHeight="1">
      <c r="B8635" s="164">
        <f t="shared" si="63"/>
        <v>5752</v>
      </c>
      <c r="C8635" s="59" t="s">
        <v>1593</v>
      </c>
      <c r="D8635" s="200" t="s">
        <v>21035</v>
      </c>
      <c r="E8635" s="45" t="s">
        <v>15627</v>
      </c>
      <c r="F8635" s="45" t="s">
        <v>21036</v>
      </c>
      <c r="G8635" s="45" t="s">
        <v>21037</v>
      </c>
      <c r="H8635" s="546">
        <v>48000</v>
      </c>
      <c r="I8635" s="47">
        <v>45448</v>
      </c>
      <c r="J8635" s="73" t="s">
        <v>21038</v>
      </c>
      <c r="K8635" s="62"/>
      <c r="L8635" s="99"/>
      <c r="O8635" s="48" t="s">
        <v>192</v>
      </c>
      <c r="P8635" s="45" t="s">
        <v>75</v>
      </c>
      <c r="Q8635" s="45" t="s">
        <v>27</v>
      </c>
      <c r="R8635" s="45" t="s">
        <v>265</v>
      </c>
    </row>
    <row r="8636" spans="2:18" ht="69" customHeight="1">
      <c r="B8636" s="164">
        <f t="shared" si="63"/>
        <v>5753</v>
      </c>
      <c r="C8636" s="59" t="s">
        <v>15700</v>
      </c>
      <c r="D8636" s="200" t="s">
        <v>21039</v>
      </c>
      <c r="E8636" s="45" t="s">
        <v>15627</v>
      </c>
      <c r="F8636" s="45" t="s">
        <v>21040</v>
      </c>
      <c r="G8636" s="45" t="s">
        <v>21037</v>
      </c>
      <c r="H8636" s="546">
        <v>44800</v>
      </c>
      <c r="I8636" s="47">
        <v>45448</v>
      </c>
      <c r="J8636" s="73" t="s">
        <v>21041</v>
      </c>
      <c r="K8636" s="62"/>
      <c r="L8636" s="99"/>
      <c r="O8636" s="48" t="s">
        <v>192</v>
      </c>
      <c r="P8636" s="45" t="s">
        <v>75</v>
      </c>
      <c r="Q8636" s="45" t="s">
        <v>39</v>
      </c>
      <c r="R8636" s="45" t="s">
        <v>265</v>
      </c>
    </row>
    <row r="8637" spans="2:18" ht="69" customHeight="1">
      <c r="B8637" s="164">
        <f t="shared" si="63"/>
        <v>5754</v>
      </c>
      <c r="C8637" s="58" t="s">
        <v>5658</v>
      </c>
      <c r="D8637" s="200" t="s">
        <v>21042</v>
      </c>
      <c r="E8637" s="58" t="s">
        <v>21043</v>
      </c>
      <c r="F8637" s="45" t="s">
        <v>21044</v>
      </c>
      <c r="G8637" s="45" t="s">
        <v>21045</v>
      </c>
      <c r="H8637" s="546">
        <v>362218.59</v>
      </c>
      <c r="I8637" s="47">
        <v>45448</v>
      </c>
      <c r="J8637" s="73" t="s">
        <v>21046</v>
      </c>
      <c r="K8637" s="62"/>
      <c r="L8637" s="99"/>
      <c r="O8637" s="62" t="s">
        <v>14160</v>
      </c>
      <c r="P8637" s="45" t="s">
        <v>26</v>
      </c>
      <c r="Q8637" s="45" t="s">
        <v>66</v>
      </c>
      <c r="R8637" s="45" t="s">
        <v>272</v>
      </c>
    </row>
    <row r="8638" spans="2:18" ht="69" customHeight="1">
      <c r="B8638" s="164">
        <f t="shared" si="63"/>
        <v>5755</v>
      </c>
      <c r="C8638" s="58" t="s">
        <v>5658</v>
      </c>
      <c r="D8638" s="200" t="s">
        <v>21047</v>
      </c>
      <c r="E8638" s="58" t="s">
        <v>21043</v>
      </c>
      <c r="F8638" s="45" t="s">
        <v>21048</v>
      </c>
      <c r="G8638" s="45" t="s">
        <v>21049</v>
      </c>
      <c r="H8638" s="546">
        <v>13704.55</v>
      </c>
      <c r="I8638" s="47">
        <v>45448</v>
      </c>
      <c r="J8638" s="73" t="s">
        <v>21046</v>
      </c>
      <c r="K8638" s="62"/>
      <c r="L8638" s="99"/>
      <c r="O8638" s="62" t="s">
        <v>14160</v>
      </c>
      <c r="P8638" s="45" t="s">
        <v>26</v>
      </c>
      <c r="Q8638" s="45" t="s">
        <v>66</v>
      </c>
      <c r="R8638" s="45" t="s">
        <v>272</v>
      </c>
    </row>
    <row r="8639" spans="2:18" ht="69" customHeight="1">
      <c r="B8639" s="164">
        <f t="shared" si="63"/>
        <v>5756</v>
      </c>
      <c r="C8639" s="58" t="s">
        <v>21050</v>
      </c>
      <c r="D8639" s="200" t="s">
        <v>18145</v>
      </c>
      <c r="E8639" s="58" t="s">
        <v>21043</v>
      </c>
      <c r="F8639" s="58" t="s">
        <v>21051</v>
      </c>
      <c r="G8639" s="45" t="s">
        <v>21052</v>
      </c>
      <c r="H8639" s="546">
        <v>13704.55</v>
      </c>
      <c r="I8639" s="47">
        <v>45448</v>
      </c>
      <c r="J8639" s="73" t="s">
        <v>21046</v>
      </c>
      <c r="K8639" s="62"/>
      <c r="L8639" s="99"/>
      <c r="O8639" s="62" t="s">
        <v>14160</v>
      </c>
      <c r="P8639" s="45" t="s">
        <v>26</v>
      </c>
      <c r="Q8639" s="45" t="s">
        <v>117</v>
      </c>
      <c r="R8639" s="45" t="s">
        <v>272</v>
      </c>
    </row>
    <row r="8640" spans="2:18" ht="69" customHeight="1">
      <c r="B8640" s="164">
        <f t="shared" si="63"/>
        <v>5757</v>
      </c>
      <c r="C8640" s="58" t="s">
        <v>9004</v>
      </c>
      <c r="D8640" s="200" t="s">
        <v>10711</v>
      </c>
      <c r="E8640" s="58" t="s">
        <v>21043</v>
      </c>
      <c r="F8640" s="58" t="s">
        <v>21053</v>
      </c>
      <c r="G8640" s="45" t="s">
        <v>21054</v>
      </c>
      <c r="H8640" s="546">
        <v>13704.55</v>
      </c>
      <c r="I8640" s="47">
        <v>45448</v>
      </c>
      <c r="J8640" s="73" t="s">
        <v>21046</v>
      </c>
      <c r="K8640" s="62"/>
      <c r="L8640" s="99"/>
      <c r="O8640" s="62" t="s">
        <v>14160</v>
      </c>
      <c r="P8640" s="45" t="s">
        <v>26</v>
      </c>
      <c r="Q8640" s="45" t="s">
        <v>111</v>
      </c>
      <c r="R8640" s="45" t="s">
        <v>272</v>
      </c>
    </row>
    <row r="8641" spans="2:18" ht="69" customHeight="1">
      <c r="B8641" s="164">
        <f t="shared" si="63"/>
        <v>5758</v>
      </c>
      <c r="C8641" s="58" t="s">
        <v>16973</v>
      </c>
      <c r="D8641" s="200" t="s">
        <v>18181</v>
      </c>
      <c r="E8641" s="58" t="s">
        <v>21043</v>
      </c>
      <c r="F8641" s="58" t="s">
        <v>21055</v>
      </c>
      <c r="G8641" s="45" t="s">
        <v>21054</v>
      </c>
      <c r="H8641" s="546">
        <v>13704.55</v>
      </c>
      <c r="I8641" s="47">
        <v>45448</v>
      </c>
      <c r="J8641" s="73" t="s">
        <v>21046</v>
      </c>
      <c r="K8641" s="62"/>
      <c r="L8641" s="99"/>
      <c r="O8641" s="62" t="s">
        <v>14160</v>
      </c>
      <c r="P8641" s="45" t="s">
        <v>26</v>
      </c>
      <c r="Q8641" s="45" t="s">
        <v>113</v>
      </c>
      <c r="R8641" s="45" t="s">
        <v>272</v>
      </c>
    </row>
    <row r="8642" spans="2:18" ht="69" customHeight="1">
      <c r="B8642" s="164">
        <f t="shared" si="63"/>
        <v>5759</v>
      </c>
      <c r="C8642" s="58" t="s">
        <v>21056</v>
      </c>
      <c r="D8642" s="200" t="s">
        <v>10713</v>
      </c>
      <c r="E8642" s="58" t="s">
        <v>21043</v>
      </c>
      <c r="F8642" s="58" t="s">
        <v>21057</v>
      </c>
      <c r="G8642" s="45" t="s">
        <v>21054</v>
      </c>
      <c r="H8642" s="546">
        <v>13704.55</v>
      </c>
      <c r="I8642" s="47">
        <v>45448</v>
      </c>
      <c r="J8642" s="73" t="s">
        <v>21046</v>
      </c>
      <c r="K8642" s="62"/>
      <c r="L8642" s="99"/>
      <c r="O8642" s="62" t="s">
        <v>14160</v>
      </c>
      <c r="P8642" s="45" t="s">
        <v>26</v>
      </c>
      <c r="Q8642" s="45" t="s">
        <v>104</v>
      </c>
      <c r="R8642" s="45" t="s">
        <v>272</v>
      </c>
    </row>
    <row r="8643" spans="2:18" ht="69" customHeight="1">
      <c r="B8643" s="164">
        <f t="shared" si="63"/>
        <v>5760</v>
      </c>
      <c r="C8643" s="59" t="s">
        <v>7189</v>
      </c>
      <c r="D8643" s="200" t="s">
        <v>10667</v>
      </c>
      <c r="E8643" s="58" t="s">
        <v>21043</v>
      </c>
      <c r="F8643" s="58" t="s">
        <v>21058</v>
      </c>
      <c r="G8643" s="45" t="s">
        <v>21059</v>
      </c>
      <c r="H8643" s="546">
        <v>13704.5</v>
      </c>
      <c r="I8643" s="47">
        <v>45448</v>
      </c>
      <c r="J8643" s="73" t="s">
        <v>21060</v>
      </c>
      <c r="K8643" s="62"/>
      <c r="L8643" s="99"/>
      <c r="O8643" s="62" t="s">
        <v>14160</v>
      </c>
      <c r="P8643" s="45" t="s">
        <v>26</v>
      </c>
      <c r="Q8643" s="45" t="s">
        <v>97</v>
      </c>
      <c r="R8643" s="45" t="s">
        <v>272</v>
      </c>
    </row>
    <row r="8644" spans="2:18" ht="69" customHeight="1">
      <c r="B8644" s="65">
        <f t="shared" si="63"/>
        <v>5761</v>
      </c>
      <c r="C8644" s="44" t="s">
        <v>19266</v>
      </c>
      <c r="D8644" s="200" t="s">
        <v>21061</v>
      </c>
      <c r="E8644" s="58" t="s">
        <v>16139</v>
      </c>
      <c r="F8644" s="58" t="s">
        <v>21062</v>
      </c>
      <c r="G8644" s="45" t="s">
        <v>21063</v>
      </c>
      <c r="H8644" s="546">
        <v>297803.7</v>
      </c>
      <c r="I8644" s="47">
        <v>45448</v>
      </c>
      <c r="J8644" s="73" t="s">
        <v>21064</v>
      </c>
      <c r="K8644" s="62"/>
      <c r="L8644" s="99"/>
      <c r="O8644" s="62" t="s">
        <v>175</v>
      </c>
      <c r="P8644" s="45" t="s">
        <v>59</v>
      </c>
      <c r="Q8644" s="45" t="s">
        <v>93</v>
      </c>
      <c r="R8644" s="45" t="s">
        <v>272</v>
      </c>
    </row>
    <row r="8645" spans="2:18" ht="69" customHeight="1">
      <c r="B8645" s="181">
        <f t="shared" si="63"/>
        <v>5762</v>
      </c>
      <c r="C8645" s="59" t="s">
        <v>15449</v>
      </c>
      <c r="D8645" s="200" t="s">
        <v>21065</v>
      </c>
      <c r="E8645" s="58" t="s">
        <v>21066</v>
      </c>
      <c r="F8645" s="58" t="s">
        <v>21067</v>
      </c>
      <c r="G8645" s="45" t="s">
        <v>21068</v>
      </c>
      <c r="H8645" s="546">
        <v>58543.4</v>
      </c>
      <c r="I8645" s="47">
        <v>45448</v>
      </c>
      <c r="J8645" s="73" t="s">
        <v>21069</v>
      </c>
      <c r="K8645" s="62"/>
      <c r="L8645" s="99"/>
      <c r="O8645" s="62" t="s">
        <v>192</v>
      </c>
      <c r="P8645" s="45" t="s">
        <v>75</v>
      </c>
      <c r="Q8645" s="45" t="s">
        <v>41</v>
      </c>
      <c r="R8645" s="45" t="s">
        <v>272</v>
      </c>
    </row>
    <row r="8646" spans="2:18" ht="69" customHeight="1">
      <c r="B8646" s="185">
        <f t="shared" si="63"/>
        <v>5763</v>
      </c>
      <c r="C8646" s="46" t="s">
        <v>5082</v>
      </c>
      <c r="D8646" s="539" t="s">
        <v>21070</v>
      </c>
      <c r="E8646" s="191" t="s">
        <v>266</v>
      </c>
      <c r="F8646" s="46" t="s">
        <v>21071</v>
      </c>
      <c r="G8646" s="46" t="s">
        <v>21072</v>
      </c>
      <c r="H8646" s="534">
        <v>3524</v>
      </c>
      <c r="I8646" s="56">
        <v>45448</v>
      </c>
      <c r="J8646" s="199" t="s">
        <v>21073</v>
      </c>
      <c r="K8646" s="52"/>
      <c r="L8646" s="99"/>
      <c r="O8646" s="52" t="s">
        <v>21074</v>
      </c>
      <c r="P8646" s="46" t="s">
        <v>65</v>
      </c>
      <c r="Q8646" s="46" t="s">
        <v>60</v>
      </c>
      <c r="R8646" s="46" t="s">
        <v>272</v>
      </c>
    </row>
    <row r="8647" spans="2:18" ht="69" customHeight="1">
      <c r="B8647" s="185">
        <f t="shared" si="63"/>
        <v>5764</v>
      </c>
      <c r="C8647" s="51" t="s">
        <v>5189</v>
      </c>
      <c r="D8647" s="539" t="s">
        <v>21075</v>
      </c>
      <c r="E8647" s="191" t="s">
        <v>266</v>
      </c>
      <c r="F8647" s="46" t="s">
        <v>21076</v>
      </c>
      <c r="G8647" s="46" t="s">
        <v>21072</v>
      </c>
      <c r="H8647" s="534">
        <v>3524</v>
      </c>
      <c r="I8647" s="56">
        <v>45448</v>
      </c>
      <c r="J8647" s="199" t="s">
        <v>21073</v>
      </c>
      <c r="K8647" s="52"/>
      <c r="L8647" s="99"/>
      <c r="O8647" s="52" t="s">
        <v>21074</v>
      </c>
      <c r="P8647" s="46" t="s">
        <v>65</v>
      </c>
      <c r="Q8647" s="46" t="s">
        <v>62</v>
      </c>
      <c r="R8647" s="46" t="s">
        <v>272</v>
      </c>
    </row>
    <row r="8648" spans="2:18" ht="69" customHeight="1">
      <c r="B8648" s="185">
        <f t="shared" si="63"/>
        <v>5765</v>
      </c>
      <c r="C8648" s="46" t="s">
        <v>309</v>
      </c>
      <c r="D8648" s="539" t="s">
        <v>21077</v>
      </c>
      <c r="E8648" s="53" t="s">
        <v>1056</v>
      </c>
      <c r="F8648" s="211" t="s">
        <v>21078</v>
      </c>
      <c r="G8648" s="46" t="s">
        <v>21079</v>
      </c>
      <c r="H8648" s="534">
        <v>4642.2700000000004</v>
      </c>
      <c r="I8648" s="56">
        <v>45448</v>
      </c>
      <c r="J8648" s="199" t="s">
        <v>21080</v>
      </c>
      <c r="K8648" s="52"/>
      <c r="L8648" s="99"/>
      <c r="O8648" s="46" t="s">
        <v>1061</v>
      </c>
      <c r="P8648" s="46" t="s">
        <v>36</v>
      </c>
      <c r="Q8648" s="46" t="s">
        <v>15</v>
      </c>
      <c r="R8648" s="46" t="s">
        <v>272</v>
      </c>
    </row>
    <row r="8649" spans="2:18" ht="69" customHeight="1">
      <c r="B8649" s="185">
        <f t="shared" si="63"/>
        <v>5766</v>
      </c>
      <c r="C8649" s="46" t="s">
        <v>309</v>
      </c>
      <c r="D8649" s="539" t="s">
        <v>21081</v>
      </c>
      <c r="E8649" s="53" t="s">
        <v>1056</v>
      </c>
      <c r="F8649" s="211" t="s">
        <v>21082</v>
      </c>
      <c r="G8649" s="46" t="s">
        <v>21083</v>
      </c>
      <c r="H8649" s="534">
        <v>110004.2</v>
      </c>
      <c r="I8649" s="56">
        <v>45448</v>
      </c>
      <c r="J8649" s="199" t="s">
        <v>21080</v>
      </c>
      <c r="K8649" s="52"/>
      <c r="L8649" s="99"/>
      <c r="O8649" s="46" t="s">
        <v>1061</v>
      </c>
      <c r="P8649" s="46" t="s">
        <v>36</v>
      </c>
      <c r="Q8649" s="46" t="s">
        <v>15</v>
      </c>
      <c r="R8649" s="46" t="s">
        <v>272</v>
      </c>
    </row>
    <row r="8650" spans="2:18" ht="69" customHeight="1">
      <c r="B8650" s="185">
        <f t="shared" si="63"/>
        <v>5767</v>
      </c>
      <c r="C8650" s="46" t="s">
        <v>657</v>
      </c>
      <c r="D8650" s="539" t="s">
        <v>10669</v>
      </c>
      <c r="E8650" s="53" t="s">
        <v>1056</v>
      </c>
      <c r="F8650" s="211" t="s">
        <v>21084</v>
      </c>
      <c r="G8650" s="46" t="s">
        <v>21079</v>
      </c>
      <c r="H8650" s="534">
        <v>3342.43</v>
      </c>
      <c r="I8650" s="56">
        <v>45448</v>
      </c>
      <c r="J8650" s="199" t="s">
        <v>21080</v>
      </c>
      <c r="K8650" s="52"/>
      <c r="L8650" s="99"/>
      <c r="O8650" s="46" t="s">
        <v>1061</v>
      </c>
      <c r="P8650" s="46" t="s">
        <v>36</v>
      </c>
      <c r="Q8650" s="46" t="s">
        <v>99</v>
      </c>
      <c r="R8650" s="46" t="s">
        <v>272</v>
      </c>
    </row>
    <row r="8651" spans="2:18" ht="69" customHeight="1">
      <c r="B8651" s="185">
        <f t="shared" ref="B8651:B8714" si="64">B8650+1</f>
        <v>5768</v>
      </c>
      <c r="C8651" s="46" t="s">
        <v>657</v>
      </c>
      <c r="D8651" s="539" t="s">
        <v>10709</v>
      </c>
      <c r="E8651" s="53" t="s">
        <v>1056</v>
      </c>
      <c r="F8651" s="211" t="s">
        <v>21085</v>
      </c>
      <c r="G8651" s="46" t="s">
        <v>16174</v>
      </c>
      <c r="H8651" s="534">
        <v>79203.03</v>
      </c>
      <c r="I8651" s="56">
        <v>45448</v>
      </c>
      <c r="J8651" s="199" t="s">
        <v>21080</v>
      </c>
      <c r="K8651" s="52"/>
      <c r="L8651" s="99"/>
      <c r="O8651" s="46" t="s">
        <v>1061</v>
      </c>
      <c r="P8651" s="46" t="s">
        <v>36</v>
      </c>
      <c r="Q8651" s="46" t="s">
        <v>99</v>
      </c>
      <c r="R8651" s="46" t="s">
        <v>272</v>
      </c>
    </row>
    <row r="8652" spans="2:18" ht="69" customHeight="1">
      <c r="B8652" s="185">
        <f t="shared" si="64"/>
        <v>5769</v>
      </c>
      <c r="C8652" s="46" t="s">
        <v>458</v>
      </c>
      <c r="D8652" s="539" t="s">
        <v>21086</v>
      </c>
      <c r="E8652" s="53" t="s">
        <v>1056</v>
      </c>
      <c r="F8652" s="211" t="s">
        <v>21087</v>
      </c>
      <c r="G8652" s="46" t="s">
        <v>21079</v>
      </c>
      <c r="H8652" s="534">
        <v>4642.2700000000004</v>
      </c>
      <c r="I8652" s="56">
        <v>45448</v>
      </c>
      <c r="J8652" s="199" t="s">
        <v>21080</v>
      </c>
      <c r="K8652" s="52"/>
      <c r="L8652" s="99"/>
      <c r="O8652" s="46" t="s">
        <v>1061</v>
      </c>
      <c r="P8652" s="46" t="s">
        <v>36</v>
      </c>
      <c r="Q8652" s="46" t="s">
        <v>90</v>
      </c>
      <c r="R8652" s="46" t="s">
        <v>272</v>
      </c>
    </row>
    <row r="8653" spans="2:18" ht="69" customHeight="1">
      <c r="B8653" s="185">
        <f t="shared" si="64"/>
        <v>5770</v>
      </c>
      <c r="C8653" s="46" t="s">
        <v>458</v>
      </c>
      <c r="D8653" s="539" t="s">
        <v>18143</v>
      </c>
      <c r="E8653" s="53" t="s">
        <v>1056</v>
      </c>
      <c r="F8653" s="211" t="s">
        <v>21088</v>
      </c>
      <c r="G8653" s="46" t="s">
        <v>16174</v>
      </c>
      <c r="H8653" s="534">
        <v>110004.2</v>
      </c>
      <c r="I8653" s="56">
        <v>45448</v>
      </c>
      <c r="J8653" s="199" t="s">
        <v>21080</v>
      </c>
      <c r="K8653" s="52"/>
      <c r="L8653" s="99"/>
      <c r="O8653" s="46" t="s">
        <v>1061</v>
      </c>
      <c r="P8653" s="46" t="s">
        <v>36</v>
      </c>
      <c r="Q8653" s="46" t="s">
        <v>90</v>
      </c>
      <c r="R8653" s="46" t="s">
        <v>272</v>
      </c>
    </row>
    <row r="8654" spans="2:18" ht="69" customHeight="1">
      <c r="B8654" s="185">
        <f t="shared" si="64"/>
        <v>5771</v>
      </c>
      <c r="C8654" s="191" t="s">
        <v>3667</v>
      </c>
      <c r="D8654" s="539" t="s">
        <v>21089</v>
      </c>
      <c r="E8654" s="53" t="s">
        <v>1056</v>
      </c>
      <c r="F8654" s="211" t="s">
        <v>21090</v>
      </c>
      <c r="G8654" s="46" t="s">
        <v>21079</v>
      </c>
      <c r="H8654" s="534">
        <v>5942.1</v>
      </c>
      <c r="I8654" s="56">
        <v>45448</v>
      </c>
      <c r="J8654" s="199" t="s">
        <v>21080</v>
      </c>
      <c r="K8654" s="52"/>
      <c r="L8654" s="99"/>
      <c r="O8654" s="46" t="s">
        <v>1061</v>
      </c>
      <c r="P8654" s="46" t="s">
        <v>36</v>
      </c>
      <c r="Q8654" s="46" t="s">
        <v>49</v>
      </c>
      <c r="R8654" s="46" t="s">
        <v>272</v>
      </c>
    </row>
    <row r="8655" spans="2:18" ht="69" customHeight="1">
      <c r="B8655" s="185">
        <f t="shared" si="64"/>
        <v>5772</v>
      </c>
      <c r="C8655" s="191" t="s">
        <v>3667</v>
      </c>
      <c r="D8655" s="539" t="s">
        <v>21091</v>
      </c>
      <c r="E8655" s="53" t="s">
        <v>1056</v>
      </c>
      <c r="F8655" s="211" t="s">
        <v>21092</v>
      </c>
      <c r="G8655" s="46" t="s">
        <v>16174</v>
      </c>
      <c r="H8655" s="534">
        <v>140805.38</v>
      </c>
      <c r="I8655" s="56">
        <v>45448</v>
      </c>
      <c r="J8655" s="199" t="s">
        <v>21080</v>
      </c>
      <c r="K8655" s="52"/>
      <c r="L8655" s="99"/>
      <c r="O8655" s="46" t="s">
        <v>1061</v>
      </c>
      <c r="P8655" s="46" t="s">
        <v>36</v>
      </c>
      <c r="Q8655" s="46" t="s">
        <v>49</v>
      </c>
      <c r="R8655" s="46" t="s">
        <v>272</v>
      </c>
    </row>
    <row r="8656" spans="2:18" ht="69" customHeight="1">
      <c r="B8656" s="185">
        <f t="shared" si="64"/>
        <v>5773</v>
      </c>
      <c r="C8656" s="46" t="s">
        <v>657</v>
      </c>
      <c r="D8656" s="539" t="s">
        <v>10715</v>
      </c>
      <c r="E8656" s="191" t="s">
        <v>266</v>
      </c>
      <c r="F8656" s="46" t="s">
        <v>21093</v>
      </c>
      <c r="G8656" s="46" t="s">
        <v>21094</v>
      </c>
      <c r="H8656" s="534">
        <v>6001.56</v>
      </c>
      <c r="I8656" s="56">
        <v>45437</v>
      </c>
      <c r="J8656" s="199" t="s">
        <v>21095</v>
      </c>
      <c r="K8656" s="52"/>
      <c r="L8656" s="99"/>
      <c r="O8656" s="52" t="s">
        <v>11386</v>
      </c>
      <c r="P8656" s="46" t="s">
        <v>65</v>
      </c>
      <c r="Q8656" s="46" t="s">
        <v>90</v>
      </c>
      <c r="R8656" s="46" t="s">
        <v>272</v>
      </c>
    </row>
    <row r="8657" spans="2:18" ht="69" customHeight="1">
      <c r="B8657" s="185">
        <f t="shared" si="64"/>
        <v>5774</v>
      </c>
      <c r="C8657" s="46" t="s">
        <v>458</v>
      </c>
      <c r="D8657" s="539" t="s">
        <v>18186</v>
      </c>
      <c r="E8657" s="191" t="s">
        <v>266</v>
      </c>
      <c r="F8657" s="46" t="s">
        <v>21096</v>
      </c>
      <c r="G8657" s="46" t="s">
        <v>21094</v>
      </c>
      <c r="H8657" s="534">
        <v>6001.56</v>
      </c>
      <c r="I8657" s="56">
        <v>45437</v>
      </c>
      <c r="J8657" s="199" t="s">
        <v>21095</v>
      </c>
      <c r="K8657" s="52"/>
      <c r="L8657" s="99"/>
      <c r="O8657" s="52" t="s">
        <v>11386</v>
      </c>
      <c r="P8657" s="46" t="s">
        <v>65</v>
      </c>
      <c r="Q8657" s="46" t="s">
        <v>99</v>
      </c>
      <c r="R8657" s="46" t="s">
        <v>272</v>
      </c>
    </row>
    <row r="8658" spans="2:18" ht="69" customHeight="1">
      <c r="B8658" s="65">
        <f t="shared" si="64"/>
        <v>5775</v>
      </c>
      <c r="C8658" s="59" t="s">
        <v>15700</v>
      </c>
      <c r="D8658" s="200" t="s">
        <v>21097</v>
      </c>
      <c r="E8658" s="58" t="s">
        <v>21098</v>
      </c>
      <c r="F8658" s="45" t="s">
        <v>21099</v>
      </c>
      <c r="G8658" s="45" t="s">
        <v>21100</v>
      </c>
      <c r="H8658" s="546">
        <v>86616.4</v>
      </c>
      <c r="I8658" s="47">
        <v>45448</v>
      </c>
      <c r="J8658" s="73" t="s">
        <v>21101</v>
      </c>
      <c r="K8658" s="62"/>
      <c r="L8658" s="99"/>
      <c r="O8658" s="48" t="s">
        <v>192</v>
      </c>
      <c r="P8658" s="45" t="s">
        <v>75</v>
      </c>
      <c r="Q8658" s="45" t="s">
        <v>39</v>
      </c>
      <c r="R8658" s="45" t="s">
        <v>272</v>
      </c>
    </row>
    <row r="8659" spans="2:18" ht="69" customHeight="1">
      <c r="B8659" s="205">
        <f t="shared" si="64"/>
        <v>5776</v>
      </c>
      <c r="C8659" s="191" t="s">
        <v>6888</v>
      </c>
      <c r="D8659" s="539" t="s">
        <v>21102</v>
      </c>
      <c r="E8659" s="191" t="s">
        <v>266</v>
      </c>
      <c r="F8659" s="46" t="s">
        <v>21103</v>
      </c>
      <c r="G8659" s="46" t="s">
        <v>21104</v>
      </c>
      <c r="H8659" s="534">
        <v>6000</v>
      </c>
      <c r="I8659" s="56">
        <v>45448</v>
      </c>
      <c r="J8659" s="199" t="s">
        <v>21105</v>
      </c>
      <c r="K8659" s="46"/>
      <c r="L8659" s="99"/>
      <c r="O8659" s="52"/>
      <c r="P8659" s="46" t="s">
        <v>65</v>
      </c>
      <c r="Q8659" s="46" t="s">
        <v>84</v>
      </c>
      <c r="R8659" s="46" t="s">
        <v>272</v>
      </c>
    </row>
    <row r="8660" spans="2:18" ht="69" customHeight="1">
      <c r="B8660" s="65">
        <f t="shared" si="64"/>
        <v>5777</v>
      </c>
      <c r="C8660" s="58" t="s">
        <v>581</v>
      </c>
      <c r="D8660" s="200" t="s">
        <v>21106</v>
      </c>
      <c r="E8660" s="58" t="s">
        <v>20458</v>
      </c>
      <c r="F8660" s="58" t="s">
        <v>21107</v>
      </c>
      <c r="G8660" s="45" t="s">
        <v>21108</v>
      </c>
      <c r="H8660" s="546">
        <v>44000</v>
      </c>
      <c r="I8660" s="47">
        <v>45448</v>
      </c>
      <c r="J8660" s="73" t="s">
        <v>21109</v>
      </c>
      <c r="K8660" s="62"/>
      <c r="L8660" s="99"/>
      <c r="O8660" s="62" t="s">
        <v>441</v>
      </c>
      <c r="P8660" s="45" t="s">
        <v>22</v>
      </c>
      <c r="Q8660" s="45" t="s">
        <v>18</v>
      </c>
      <c r="R8660" s="45" t="s">
        <v>265</v>
      </c>
    </row>
    <row r="8661" spans="2:18" ht="69" customHeight="1">
      <c r="B8661" s="271">
        <f t="shared" si="64"/>
        <v>5778</v>
      </c>
      <c r="C8661" s="264" t="s">
        <v>10612</v>
      </c>
      <c r="D8661" s="539" t="s">
        <v>21110</v>
      </c>
      <c r="E8661" s="46" t="s">
        <v>21111</v>
      </c>
      <c r="F8661" s="46" t="s">
        <v>21112</v>
      </c>
      <c r="G8661" s="46" t="s">
        <v>21113</v>
      </c>
      <c r="H8661" s="534">
        <v>18650</v>
      </c>
      <c r="I8661" s="56">
        <v>45448</v>
      </c>
      <c r="J8661" s="199" t="s">
        <v>21114</v>
      </c>
      <c r="K8661" s="52"/>
      <c r="L8661" s="99"/>
      <c r="O8661" s="52" t="s">
        <v>11943</v>
      </c>
      <c r="P8661" s="46" t="s">
        <v>65</v>
      </c>
      <c r="Q8661" s="46" t="s">
        <v>86</v>
      </c>
      <c r="R8661" s="46" t="s">
        <v>272</v>
      </c>
    </row>
    <row r="8662" spans="2:18" ht="69" customHeight="1">
      <c r="B8662" s="181">
        <f t="shared" si="64"/>
        <v>5779</v>
      </c>
      <c r="C8662" s="59" t="s">
        <v>21115</v>
      </c>
      <c r="D8662" s="200" t="s">
        <v>21116</v>
      </c>
      <c r="E8662" s="58" t="s">
        <v>21117</v>
      </c>
      <c r="F8662" s="58" t="s">
        <v>21118</v>
      </c>
      <c r="G8662" s="58" t="s">
        <v>21119</v>
      </c>
      <c r="H8662" s="546">
        <v>150000</v>
      </c>
      <c r="I8662" s="47">
        <v>45448</v>
      </c>
      <c r="J8662" s="73" t="s">
        <v>21120</v>
      </c>
      <c r="K8662" s="62"/>
      <c r="L8662" s="99"/>
      <c r="O8662" s="62" t="s">
        <v>175</v>
      </c>
      <c r="P8662" s="45" t="s">
        <v>57</v>
      </c>
      <c r="Q8662" s="45" t="s">
        <v>64</v>
      </c>
      <c r="R8662" s="45" t="s">
        <v>265</v>
      </c>
    </row>
    <row r="8663" spans="2:18" ht="69" customHeight="1">
      <c r="B8663" s="164">
        <f t="shared" si="64"/>
        <v>5780</v>
      </c>
      <c r="C8663" s="59" t="s">
        <v>21115</v>
      </c>
      <c r="D8663" s="611" t="s">
        <v>21121</v>
      </c>
      <c r="E8663" s="45" t="s">
        <v>16139</v>
      </c>
      <c r="F8663" s="45" t="s">
        <v>21122</v>
      </c>
      <c r="G8663" s="45" t="s">
        <v>21119</v>
      </c>
      <c r="H8663" s="546">
        <v>50000</v>
      </c>
      <c r="I8663" s="47">
        <v>45448</v>
      </c>
      <c r="J8663" s="73" t="s">
        <v>21123</v>
      </c>
      <c r="K8663" s="48"/>
      <c r="L8663" s="99"/>
      <c r="O8663" s="62" t="s">
        <v>21124</v>
      </c>
      <c r="P8663" s="45" t="s">
        <v>57</v>
      </c>
      <c r="Q8663" s="45" t="s">
        <v>64</v>
      </c>
      <c r="R8663" s="45" t="s">
        <v>272</v>
      </c>
    </row>
    <row r="8664" spans="2:18" ht="69" customHeight="1">
      <c r="B8664" s="185">
        <f t="shared" si="64"/>
        <v>5781</v>
      </c>
      <c r="C8664" s="191" t="s">
        <v>8797</v>
      </c>
      <c r="D8664" s="539" t="s">
        <v>10724</v>
      </c>
      <c r="E8664" s="46" t="s">
        <v>21111</v>
      </c>
      <c r="F8664" s="46" t="s">
        <v>21125</v>
      </c>
      <c r="G8664" s="46" t="s">
        <v>21113</v>
      </c>
      <c r="H8664" s="534">
        <v>6810</v>
      </c>
      <c r="I8664" s="56">
        <v>45448</v>
      </c>
      <c r="J8664" s="199" t="s">
        <v>21126</v>
      </c>
      <c r="K8664" s="52"/>
      <c r="L8664" s="99"/>
      <c r="O8664" s="52" t="s">
        <v>11943</v>
      </c>
      <c r="P8664" s="46" t="s">
        <v>65</v>
      </c>
      <c r="Q8664" s="46" t="s">
        <v>110</v>
      </c>
      <c r="R8664" s="46" t="s">
        <v>272</v>
      </c>
    </row>
    <row r="8665" spans="2:18" ht="69" customHeight="1">
      <c r="B8665" s="199">
        <f t="shared" si="64"/>
        <v>5782</v>
      </c>
      <c r="C8665" s="191" t="s">
        <v>8797</v>
      </c>
      <c r="D8665" s="539" t="s">
        <v>10726</v>
      </c>
      <c r="E8665" s="46" t="s">
        <v>21111</v>
      </c>
      <c r="F8665" s="46" t="s">
        <v>21127</v>
      </c>
      <c r="G8665" s="46" t="s">
        <v>21113</v>
      </c>
      <c r="H8665" s="534">
        <v>7400</v>
      </c>
      <c r="I8665" s="56">
        <v>45448</v>
      </c>
      <c r="J8665" s="199" t="s">
        <v>21126</v>
      </c>
      <c r="K8665" s="52"/>
      <c r="L8665" s="99"/>
      <c r="O8665" s="52" t="s">
        <v>11943</v>
      </c>
      <c r="P8665" s="46" t="s">
        <v>65</v>
      </c>
      <c r="Q8665" s="46" t="s">
        <v>110</v>
      </c>
      <c r="R8665" s="46" t="s">
        <v>272</v>
      </c>
    </row>
    <row r="8666" spans="2:18" ht="69" customHeight="1">
      <c r="B8666" s="181">
        <f t="shared" si="64"/>
        <v>5783</v>
      </c>
      <c r="C8666" s="58" t="s">
        <v>581</v>
      </c>
      <c r="D8666" s="200" t="s">
        <v>21128</v>
      </c>
      <c r="E8666" s="58" t="s">
        <v>21129</v>
      </c>
      <c r="F8666" s="58" t="s">
        <v>21130</v>
      </c>
      <c r="G8666" s="45" t="s">
        <v>21131</v>
      </c>
      <c r="H8666" s="546">
        <v>305721.87</v>
      </c>
      <c r="I8666" s="47">
        <v>45448</v>
      </c>
      <c r="J8666" s="73" t="s">
        <v>21132</v>
      </c>
      <c r="K8666" s="62"/>
      <c r="L8666" s="99"/>
      <c r="O8666" s="62" t="s">
        <v>441</v>
      </c>
      <c r="P8666" s="45" t="s">
        <v>22</v>
      </c>
      <c r="Q8666" s="45" t="s">
        <v>18</v>
      </c>
      <c r="R8666" s="45" t="s">
        <v>272</v>
      </c>
    </row>
    <row r="8667" spans="2:18" ht="69" customHeight="1">
      <c r="B8667" s="185">
        <f t="shared" si="64"/>
        <v>5784</v>
      </c>
      <c r="C8667" s="46" t="s">
        <v>16807</v>
      </c>
      <c r="D8667" s="539" t="s">
        <v>21133</v>
      </c>
      <c r="E8667" s="46" t="s">
        <v>21111</v>
      </c>
      <c r="F8667" s="46" t="s">
        <v>21134</v>
      </c>
      <c r="G8667" s="46" t="s">
        <v>21113</v>
      </c>
      <c r="H8667" s="534">
        <v>10000</v>
      </c>
      <c r="I8667" s="56">
        <v>45448</v>
      </c>
      <c r="J8667" s="199" t="s">
        <v>21135</v>
      </c>
      <c r="K8667" s="52"/>
      <c r="L8667" s="99"/>
      <c r="O8667" s="52" t="s">
        <v>11943</v>
      </c>
      <c r="P8667" s="46" t="s">
        <v>65</v>
      </c>
      <c r="Q8667" s="46" t="s">
        <v>70</v>
      </c>
      <c r="R8667" s="46" t="s">
        <v>272</v>
      </c>
    </row>
    <row r="8668" spans="2:18" ht="69" customHeight="1">
      <c r="B8668" s="164">
        <f t="shared" si="64"/>
        <v>5785</v>
      </c>
      <c r="C8668" s="177" t="s">
        <v>11047</v>
      </c>
      <c r="D8668" s="200" t="s">
        <v>21136</v>
      </c>
      <c r="E8668" s="59" t="s">
        <v>266</v>
      </c>
      <c r="F8668" s="210" t="s">
        <v>21137</v>
      </c>
      <c r="G8668" s="58" t="s">
        <v>21138</v>
      </c>
      <c r="H8668" s="546">
        <v>279.82</v>
      </c>
      <c r="I8668" s="47">
        <v>45448</v>
      </c>
      <c r="J8668" s="73" t="s">
        <v>21139</v>
      </c>
      <c r="K8668" s="62"/>
      <c r="L8668" s="99"/>
      <c r="O8668" s="62" t="s">
        <v>5969</v>
      </c>
      <c r="P8668" s="45" t="s">
        <v>44</v>
      </c>
      <c r="Q8668" s="45" t="s">
        <v>33</v>
      </c>
      <c r="R8668" s="45" t="s">
        <v>272</v>
      </c>
    </row>
    <row r="8669" spans="2:18" ht="69" customHeight="1">
      <c r="B8669" s="65">
        <f t="shared" si="64"/>
        <v>5786</v>
      </c>
      <c r="C8669" s="178" t="s">
        <v>11050</v>
      </c>
      <c r="D8669" s="200" t="s">
        <v>21140</v>
      </c>
      <c r="E8669" s="59" t="s">
        <v>266</v>
      </c>
      <c r="F8669" s="210" t="s">
        <v>21141</v>
      </c>
      <c r="G8669" s="58" t="s">
        <v>21138</v>
      </c>
      <c r="H8669" s="546">
        <v>279.82</v>
      </c>
      <c r="I8669" s="47">
        <v>45448</v>
      </c>
      <c r="J8669" s="73" t="s">
        <v>21139</v>
      </c>
      <c r="K8669" s="62"/>
      <c r="L8669" s="99"/>
      <c r="O8669" s="62" t="s">
        <v>5969</v>
      </c>
      <c r="P8669" s="45" t="s">
        <v>44</v>
      </c>
      <c r="Q8669" s="45" t="s">
        <v>35</v>
      </c>
      <c r="R8669" s="45" t="s">
        <v>272</v>
      </c>
    </row>
    <row r="8670" spans="2:18" ht="69" customHeight="1">
      <c r="B8670" s="181">
        <f t="shared" si="64"/>
        <v>5787</v>
      </c>
      <c r="C8670" s="59" t="s">
        <v>11052</v>
      </c>
      <c r="D8670" s="200" t="s">
        <v>21142</v>
      </c>
      <c r="E8670" s="59" t="s">
        <v>266</v>
      </c>
      <c r="F8670" s="210" t="s">
        <v>21143</v>
      </c>
      <c r="G8670" s="58" t="s">
        <v>21138</v>
      </c>
      <c r="H8670" s="546">
        <v>279.82</v>
      </c>
      <c r="I8670" s="47">
        <v>45448</v>
      </c>
      <c r="J8670" s="73" t="s">
        <v>21139</v>
      </c>
      <c r="K8670" s="62"/>
      <c r="L8670" s="99"/>
      <c r="O8670" s="62" t="s">
        <v>5969</v>
      </c>
      <c r="P8670" s="45" t="s">
        <v>44</v>
      </c>
      <c r="Q8670" s="45" t="s">
        <v>37</v>
      </c>
      <c r="R8670" s="45" t="s">
        <v>272</v>
      </c>
    </row>
    <row r="8671" spans="2:18" ht="69" customHeight="1">
      <c r="B8671" s="164">
        <f t="shared" si="64"/>
        <v>5788</v>
      </c>
      <c r="C8671" s="45" t="s">
        <v>19659</v>
      </c>
      <c r="D8671" s="200" t="s">
        <v>21144</v>
      </c>
      <c r="E8671" s="59" t="s">
        <v>266</v>
      </c>
      <c r="F8671" s="210" t="s">
        <v>21145</v>
      </c>
      <c r="G8671" s="58" t="s">
        <v>21138</v>
      </c>
      <c r="H8671" s="546">
        <v>279.82</v>
      </c>
      <c r="I8671" s="47">
        <v>45448</v>
      </c>
      <c r="J8671" s="73" t="s">
        <v>21139</v>
      </c>
      <c r="K8671" s="62"/>
      <c r="L8671" s="99"/>
      <c r="O8671" s="62" t="s">
        <v>5969</v>
      </c>
      <c r="P8671" s="45" t="s">
        <v>44</v>
      </c>
      <c r="Q8671" s="45" t="s">
        <v>74</v>
      </c>
      <c r="R8671" s="45" t="s">
        <v>272</v>
      </c>
    </row>
    <row r="8672" spans="2:18" ht="69" customHeight="1">
      <c r="B8672" s="164">
        <f t="shared" si="64"/>
        <v>5789</v>
      </c>
      <c r="C8672" s="44" t="s">
        <v>6468</v>
      </c>
      <c r="D8672" s="200" t="s">
        <v>21146</v>
      </c>
      <c r="E8672" s="59" t="s">
        <v>266</v>
      </c>
      <c r="F8672" s="210" t="s">
        <v>21147</v>
      </c>
      <c r="G8672" s="58" t="s">
        <v>21138</v>
      </c>
      <c r="H8672" s="546">
        <v>279.82</v>
      </c>
      <c r="I8672" s="47">
        <v>45448</v>
      </c>
      <c r="J8672" s="73" t="s">
        <v>21139</v>
      </c>
      <c r="K8672" s="62"/>
      <c r="L8672" s="99"/>
      <c r="O8672" s="62" t="s">
        <v>5969</v>
      </c>
      <c r="P8672" s="45" t="s">
        <v>44</v>
      </c>
      <c r="Q8672" s="45" t="s">
        <v>76</v>
      </c>
      <c r="R8672" s="45" t="s">
        <v>272</v>
      </c>
    </row>
    <row r="8673" spans="2:18" ht="69" customHeight="1">
      <c r="B8673" s="164">
        <f t="shared" si="64"/>
        <v>5790</v>
      </c>
      <c r="C8673" s="58" t="s">
        <v>16973</v>
      </c>
      <c r="D8673" s="200" t="s">
        <v>18191</v>
      </c>
      <c r="E8673" s="59" t="s">
        <v>266</v>
      </c>
      <c r="F8673" s="210" t="s">
        <v>21148</v>
      </c>
      <c r="G8673" s="58" t="s">
        <v>21138</v>
      </c>
      <c r="H8673" s="546">
        <v>279.82</v>
      </c>
      <c r="I8673" s="47">
        <v>45448</v>
      </c>
      <c r="J8673" s="73" t="s">
        <v>21139</v>
      </c>
      <c r="K8673" s="62"/>
      <c r="L8673" s="99"/>
      <c r="O8673" s="62" t="s">
        <v>5969</v>
      </c>
      <c r="P8673" s="45" t="s">
        <v>44</v>
      </c>
      <c r="Q8673" s="45" t="s">
        <v>113</v>
      </c>
      <c r="R8673" s="45" t="s">
        <v>272</v>
      </c>
    </row>
    <row r="8674" spans="2:18" ht="69" customHeight="1">
      <c r="B8674" s="164">
        <f t="shared" si="64"/>
        <v>5791</v>
      </c>
      <c r="C8674" s="59" t="s">
        <v>5658</v>
      </c>
      <c r="D8674" s="200" t="s">
        <v>21149</v>
      </c>
      <c r="E8674" s="59" t="s">
        <v>266</v>
      </c>
      <c r="F8674" s="210" t="s">
        <v>21150</v>
      </c>
      <c r="G8674" s="58" t="s">
        <v>21138</v>
      </c>
      <c r="H8674" s="546">
        <v>279.82</v>
      </c>
      <c r="I8674" s="47">
        <v>45448</v>
      </c>
      <c r="J8674" s="73" t="s">
        <v>21139</v>
      </c>
      <c r="K8674" s="62"/>
      <c r="L8674" s="99"/>
      <c r="O8674" s="62" t="s">
        <v>5969</v>
      </c>
      <c r="P8674" s="45" t="s">
        <v>44</v>
      </c>
      <c r="Q8674" s="45" t="s">
        <v>66</v>
      </c>
      <c r="R8674" s="45" t="s">
        <v>272</v>
      </c>
    </row>
    <row r="8675" spans="2:18" ht="69" customHeight="1">
      <c r="B8675" s="164">
        <f t="shared" si="64"/>
        <v>5792</v>
      </c>
      <c r="C8675" s="124" t="s">
        <v>10612</v>
      </c>
      <c r="D8675" s="200" t="s">
        <v>21151</v>
      </c>
      <c r="E8675" s="59" t="s">
        <v>266</v>
      </c>
      <c r="F8675" s="210" t="s">
        <v>21152</v>
      </c>
      <c r="G8675" s="58" t="s">
        <v>21138</v>
      </c>
      <c r="H8675" s="546">
        <v>279.82</v>
      </c>
      <c r="I8675" s="47">
        <v>45448</v>
      </c>
      <c r="J8675" s="73" t="s">
        <v>21139</v>
      </c>
      <c r="K8675" s="62"/>
      <c r="L8675" s="99"/>
      <c r="O8675" s="62" t="s">
        <v>5969</v>
      </c>
      <c r="P8675" s="45" t="s">
        <v>44</v>
      </c>
      <c r="Q8675" s="45" t="s">
        <v>86</v>
      </c>
      <c r="R8675" s="45" t="s">
        <v>272</v>
      </c>
    </row>
    <row r="8676" spans="2:18" ht="69" customHeight="1">
      <c r="B8676" s="164">
        <f t="shared" si="64"/>
        <v>5793</v>
      </c>
      <c r="C8676" s="59" t="s">
        <v>11908</v>
      </c>
      <c r="D8676" s="200" t="s">
        <v>18199</v>
      </c>
      <c r="E8676" s="59" t="s">
        <v>266</v>
      </c>
      <c r="F8676" s="210" t="s">
        <v>21153</v>
      </c>
      <c r="G8676" s="58" t="s">
        <v>21138</v>
      </c>
      <c r="H8676" s="546">
        <v>279.82</v>
      </c>
      <c r="I8676" s="47">
        <v>45448</v>
      </c>
      <c r="J8676" s="73" t="s">
        <v>21139</v>
      </c>
      <c r="K8676" s="62"/>
      <c r="L8676" s="99"/>
      <c r="O8676" s="62" t="s">
        <v>5969</v>
      </c>
      <c r="P8676" s="45" t="s">
        <v>44</v>
      </c>
      <c r="Q8676" s="45" t="s">
        <v>103</v>
      </c>
      <c r="R8676" s="45" t="s">
        <v>272</v>
      </c>
    </row>
    <row r="8677" spans="2:18" ht="69" customHeight="1">
      <c r="B8677" s="164">
        <f t="shared" si="64"/>
        <v>5794</v>
      </c>
      <c r="C8677" s="59" t="s">
        <v>10937</v>
      </c>
      <c r="D8677" s="200" t="s">
        <v>15705</v>
      </c>
      <c r="E8677" s="59" t="s">
        <v>266</v>
      </c>
      <c r="F8677" s="210" t="s">
        <v>21154</v>
      </c>
      <c r="G8677" s="58" t="s">
        <v>21138</v>
      </c>
      <c r="H8677" s="546">
        <v>279.82</v>
      </c>
      <c r="I8677" s="47">
        <v>45448</v>
      </c>
      <c r="J8677" s="73" t="s">
        <v>21139</v>
      </c>
      <c r="K8677" s="62"/>
      <c r="L8677" s="99"/>
      <c r="O8677" s="62" t="s">
        <v>5969</v>
      </c>
      <c r="P8677" s="45" t="s">
        <v>44</v>
      </c>
      <c r="Q8677" s="45" t="s">
        <v>104</v>
      </c>
      <c r="R8677" s="45" t="s">
        <v>272</v>
      </c>
    </row>
    <row r="8678" spans="2:18" ht="69" customHeight="1">
      <c r="B8678" s="164">
        <f t="shared" si="64"/>
        <v>5795</v>
      </c>
      <c r="C8678" s="58" t="s">
        <v>8057</v>
      </c>
      <c r="D8678" s="200" t="s">
        <v>21155</v>
      </c>
      <c r="E8678" s="59" t="s">
        <v>266</v>
      </c>
      <c r="F8678" s="210" t="s">
        <v>21156</v>
      </c>
      <c r="G8678" s="58" t="s">
        <v>21138</v>
      </c>
      <c r="H8678" s="546">
        <v>279.82</v>
      </c>
      <c r="I8678" s="47">
        <v>45448</v>
      </c>
      <c r="J8678" s="73" t="s">
        <v>21139</v>
      </c>
      <c r="K8678" s="62"/>
      <c r="L8678" s="99"/>
      <c r="O8678" s="62" t="s">
        <v>5969</v>
      </c>
      <c r="P8678" s="45" t="s">
        <v>44</v>
      </c>
      <c r="Q8678" s="45" t="s">
        <v>105</v>
      </c>
      <c r="R8678" s="45" t="s">
        <v>272</v>
      </c>
    </row>
    <row r="8679" spans="2:18" ht="69" customHeight="1">
      <c r="B8679" s="164">
        <f t="shared" si="64"/>
        <v>5796</v>
      </c>
      <c r="C8679" s="58" t="s">
        <v>8080</v>
      </c>
      <c r="D8679" s="200" t="s">
        <v>10582</v>
      </c>
      <c r="E8679" s="59" t="s">
        <v>266</v>
      </c>
      <c r="F8679" s="210" t="s">
        <v>21157</v>
      </c>
      <c r="G8679" s="58" t="s">
        <v>21138</v>
      </c>
      <c r="H8679" s="546">
        <v>279.82</v>
      </c>
      <c r="I8679" s="47">
        <v>45448</v>
      </c>
      <c r="J8679" s="73" t="s">
        <v>21139</v>
      </c>
      <c r="K8679" s="62"/>
      <c r="L8679" s="99"/>
      <c r="O8679" s="62" t="s">
        <v>5969</v>
      </c>
      <c r="P8679" s="45" t="s">
        <v>44</v>
      </c>
      <c r="Q8679" s="45" t="s">
        <v>106</v>
      </c>
      <c r="R8679" s="45" t="s">
        <v>272</v>
      </c>
    </row>
    <row r="8680" spans="2:18" ht="69" customHeight="1">
      <c r="B8680" s="164">
        <f t="shared" si="64"/>
        <v>5797</v>
      </c>
      <c r="C8680" s="45" t="s">
        <v>11568</v>
      </c>
      <c r="D8680" s="200" t="s">
        <v>21158</v>
      </c>
      <c r="E8680" s="59" t="s">
        <v>266</v>
      </c>
      <c r="F8680" s="210" t="s">
        <v>21159</v>
      </c>
      <c r="G8680" s="58" t="s">
        <v>21138</v>
      </c>
      <c r="H8680" s="546">
        <v>279.82</v>
      </c>
      <c r="I8680" s="47">
        <v>45448</v>
      </c>
      <c r="J8680" s="73" t="s">
        <v>21139</v>
      </c>
      <c r="K8680" s="62"/>
      <c r="L8680" s="99"/>
      <c r="O8680" s="62" t="s">
        <v>5969</v>
      </c>
      <c r="P8680" s="45" t="s">
        <v>44</v>
      </c>
      <c r="Q8680" s="45" t="s">
        <v>107</v>
      </c>
      <c r="R8680" s="45" t="s">
        <v>272</v>
      </c>
    </row>
    <row r="8681" spans="2:18" ht="69" customHeight="1">
      <c r="B8681" s="164">
        <f t="shared" si="64"/>
        <v>5798</v>
      </c>
      <c r="C8681" s="45" t="s">
        <v>13435</v>
      </c>
      <c r="D8681" s="200" t="s">
        <v>21160</v>
      </c>
      <c r="E8681" s="59" t="s">
        <v>266</v>
      </c>
      <c r="F8681" s="210" t="s">
        <v>21161</v>
      </c>
      <c r="G8681" s="58" t="s">
        <v>21138</v>
      </c>
      <c r="H8681" s="546">
        <v>279.82</v>
      </c>
      <c r="I8681" s="47">
        <v>45448</v>
      </c>
      <c r="J8681" s="73" t="s">
        <v>21139</v>
      </c>
      <c r="K8681" s="62"/>
      <c r="L8681" s="99"/>
      <c r="O8681" s="62" t="s">
        <v>5969</v>
      </c>
      <c r="P8681" s="45" t="s">
        <v>44</v>
      </c>
      <c r="Q8681" s="45" t="s">
        <v>13</v>
      </c>
      <c r="R8681" s="45" t="s">
        <v>272</v>
      </c>
    </row>
    <row r="8682" spans="2:18" ht="69" customHeight="1">
      <c r="B8682" s="164">
        <f t="shared" si="64"/>
        <v>5799</v>
      </c>
      <c r="C8682" s="44" t="s">
        <v>12295</v>
      </c>
      <c r="D8682" s="200" t="s">
        <v>21162</v>
      </c>
      <c r="E8682" s="59" t="s">
        <v>266</v>
      </c>
      <c r="F8682" s="210" t="s">
        <v>21163</v>
      </c>
      <c r="G8682" s="58" t="s">
        <v>21138</v>
      </c>
      <c r="H8682" s="546">
        <v>279.82</v>
      </c>
      <c r="I8682" s="47">
        <v>45448</v>
      </c>
      <c r="J8682" s="73" t="s">
        <v>21139</v>
      </c>
      <c r="K8682" s="62"/>
      <c r="L8682" s="99"/>
      <c r="O8682" s="62" t="s">
        <v>5969</v>
      </c>
      <c r="P8682" s="45" t="s">
        <v>44</v>
      </c>
      <c r="Q8682" s="45" t="s">
        <v>68</v>
      </c>
      <c r="R8682" s="45" t="s">
        <v>272</v>
      </c>
    </row>
    <row r="8683" spans="2:18" ht="69" customHeight="1">
      <c r="B8683" s="164">
        <f t="shared" si="64"/>
        <v>5800</v>
      </c>
      <c r="C8683" s="58" t="s">
        <v>16807</v>
      </c>
      <c r="D8683" s="200" t="s">
        <v>21164</v>
      </c>
      <c r="E8683" s="59" t="s">
        <v>266</v>
      </c>
      <c r="F8683" s="210" t="s">
        <v>21165</v>
      </c>
      <c r="G8683" s="58" t="s">
        <v>21138</v>
      </c>
      <c r="H8683" s="546">
        <v>279.82</v>
      </c>
      <c r="I8683" s="47">
        <v>45448</v>
      </c>
      <c r="J8683" s="73" t="s">
        <v>21139</v>
      </c>
      <c r="K8683" s="62"/>
      <c r="L8683" s="99"/>
      <c r="O8683" s="62" t="s">
        <v>5969</v>
      </c>
      <c r="P8683" s="45" t="s">
        <v>44</v>
      </c>
      <c r="Q8683" s="45" t="s">
        <v>70</v>
      </c>
      <c r="R8683" s="45" t="s">
        <v>272</v>
      </c>
    </row>
    <row r="8684" spans="2:18" ht="69" customHeight="1">
      <c r="B8684" s="164">
        <f t="shared" si="64"/>
        <v>5801</v>
      </c>
      <c r="C8684" s="178" t="s">
        <v>6062</v>
      </c>
      <c r="D8684" s="200" t="s">
        <v>21166</v>
      </c>
      <c r="E8684" s="59" t="s">
        <v>266</v>
      </c>
      <c r="F8684" s="210" t="s">
        <v>21167</v>
      </c>
      <c r="G8684" s="58" t="s">
        <v>21138</v>
      </c>
      <c r="H8684" s="546">
        <v>279.82</v>
      </c>
      <c r="I8684" s="47">
        <v>45448</v>
      </c>
      <c r="J8684" s="73" t="s">
        <v>21139</v>
      </c>
      <c r="K8684" s="62"/>
      <c r="L8684" s="99"/>
      <c r="O8684" s="62" t="s">
        <v>5969</v>
      </c>
      <c r="P8684" s="45" t="s">
        <v>44</v>
      </c>
      <c r="Q8684" s="45" t="s">
        <v>72</v>
      </c>
      <c r="R8684" s="45" t="s">
        <v>272</v>
      </c>
    </row>
    <row r="8685" spans="2:18" ht="69" customHeight="1">
      <c r="B8685" s="164">
        <f t="shared" si="64"/>
        <v>5802</v>
      </c>
      <c r="C8685" s="45" t="s">
        <v>6888</v>
      </c>
      <c r="D8685" s="200" t="s">
        <v>21168</v>
      </c>
      <c r="E8685" s="59" t="s">
        <v>266</v>
      </c>
      <c r="F8685" s="210" t="s">
        <v>21169</v>
      </c>
      <c r="G8685" s="58" t="s">
        <v>21138</v>
      </c>
      <c r="H8685" s="546">
        <v>279.82</v>
      </c>
      <c r="I8685" s="47">
        <v>45448</v>
      </c>
      <c r="J8685" s="73" t="s">
        <v>21139</v>
      </c>
      <c r="K8685" s="62"/>
      <c r="L8685" s="99"/>
      <c r="O8685" s="62" t="s">
        <v>5969</v>
      </c>
      <c r="P8685" s="45" t="s">
        <v>44</v>
      </c>
      <c r="Q8685" s="45" t="s">
        <v>84</v>
      </c>
      <c r="R8685" s="45" t="s">
        <v>272</v>
      </c>
    </row>
    <row r="8686" spans="2:18" ht="69" customHeight="1">
      <c r="B8686" s="164">
        <f t="shared" si="64"/>
        <v>5803</v>
      </c>
      <c r="C8686" s="59" t="s">
        <v>9094</v>
      </c>
      <c r="D8686" s="200" t="s">
        <v>18201</v>
      </c>
      <c r="E8686" s="59" t="s">
        <v>266</v>
      </c>
      <c r="F8686" s="210" t="s">
        <v>21170</v>
      </c>
      <c r="G8686" s="58" t="s">
        <v>21138</v>
      </c>
      <c r="H8686" s="546">
        <v>279.82</v>
      </c>
      <c r="I8686" s="47">
        <v>45448</v>
      </c>
      <c r="J8686" s="73" t="s">
        <v>21139</v>
      </c>
      <c r="K8686" s="62"/>
      <c r="L8686" s="99"/>
      <c r="O8686" s="62" t="s">
        <v>5969</v>
      </c>
      <c r="P8686" s="45" t="s">
        <v>44</v>
      </c>
      <c r="Q8686" s="45" t="s">
        <v>112</v>
      </c>
      <c r="R8686" s="45" t="s">
        <v>272</v>
      </c>
    </row>
    <row r="8687" spans="2:18" ht="69" customHeight="1">
      <c r="B8687" s="164">
        <f t="shared" si="64"/>
        <v>5804</v>
      </c>
      <c r="C8687" s="59" t="s">
        <v>1853</v>
      </c>
      <c r="D8687" s="200" t="s">
        <v>21171</v>
      </c>
      <c r="E8687" s="59" t="s">
        <v>266</v>
      </c>
      <c r="F8687" s="210" t="s">
        <v>21172</v>
      </c>
      <c r="G8687" s="58" t="s">
        <v>21138</v>
      </c>
      <c r="H8687" s="546">
        <v>279.82</v>
      </c>
      <c r="I8687" s="47">
        <v>45448</v>
      </c>
      <c r="J8687" s="73" t="s">
        <v>21139</v>
      </c>
      <c r="K8687" s="62"/>
      <c r="L8687" s="99"/>
      <c r="O8687" s="62" t="s">
        <v>5969</v>
      </c>
      <c r="P8687" s="45" t="s">
        <v>44</v>
      </c>
      <c r="Q8687" s="45" t="s">
        <v>29</v>
      </c>
      <c r="R8687" s="45" t="s">
        <v>272</v>
      </c>
    </row>
    <row r="8688" spans="2:18" ht="69" customHeight="1">
      <c r="B8688" s="164">
        <f t="shared" si="64"/>
        <v>5805</v>
      </c>
      <c r="C8688" s="59" t="s">
        <v>2182</v>
      </c>
      <c r="D8688" s="200" t="s">
        <v>21173</v>
      </c>
      <c r="E8688" s="59" t="s">
        <v>266</v>
      </c>
      <c r="F8688" s="210" t="s">
        <v>21174</v>
      </c>
      <c r="G8688" s="58" t="s">
        <v>21138</v>
      </c>
      <c r="H8688" s="546">
        <v>279.82</v>
      </c>
      <c r="I8688" s="47">
        <v>45448</v>
      </c>
      <c r="J8688" s="73" t="s">
        <v>21139</v>
      </c>
      <c r="K8688" s="62"/>
      <c r="L8688" s="99"/>
      <c r="O8688" s="62" t="s">
        <v>5969</v>
      </c>
      <c r="P8688" s="45" t="s">
        <v>44</v>
      </c>
      <c r="Q8688" s="45" t="s">
        <v>31</v>
      </c>
      <c r="R8688" s="45" t="s">
        <v>272</v>
      </c>
    </row>
    <row r="8689" spans="1:18" ht="69" customHeight="1">
      <c r="B8689" s="164">
        <f t="shared" si="64"/>
        <v>5806</v>
      </c>
      <c r="C8689" s="131" t="s">
        <v>21050</v>
      </c>
      <c r="D8689" s="200" t="s">
        <v>18206</v>
      </c>
      <c r="E8689" s="59" t="s">
        <v>266</v>
      </c>
      <c r="F8689" s="210" t="s">
        <v>21175</v>
      </c>
      <c r="G8689" s="58" t="s">
        <v>21138</v>
      </c>
      <c r="H8689" s="546">
        <v>279.82</v>
      </c>
      <c r="I8689" s="47">
        <v>45448</v>
      </c>
      <c r="J8689" s="73" t="s">
        <v>21139</v>
      </c>
      <c r="K8689" s="62"/>
      <c r="L8689" s="99"/>
      <c r="O8689" s="62" t="s">
        <v>5969</v>
      </c>
      <c r="P8689" s="45" t="s">
        <v>44</v>
      </c>
      <c r="Q8689" s="45" t="s">
        <v>117</v>
      </c>
      <c r="R8689" s="45" t="s">
        <v>272</v>
      </c>
    </row>
    <row r="8690" spans="1:18" ht="69" customHeight="1">
      <c r="B8690" s="313">
        <f t="shared" si="64"/>
        <v>5807</v>
      </c>
      <c r="C8690" s="207" t="s">
        <v>13665</v>
      </c>
      <c r="D8690" s="311" t="s">
        <v>940</v>
      </c>
      <c r="E8690" s="207" t="s">
        <v>266</v>
      </c>
      <c r="F8690" s="208" t="s">
        <v>21176</v>
      </c>
      <c r="G8690" s="208" t="s">
        <v>21177</v>
      </c>
      <c r="H8690" s="300">
        <v>1830.16</v>
      </c>
      <c r="I8690" s="209">
        <v>45433</v>
      </c>
      <c r="J8690" s="316" t="s">
        <v>21178</v>
      </c>
      <c r="K8690" s="160" t="s">
        <v>11084</v>
      </c>
      <c r="L8690" s="99"/>
      <c r="O8690" s="259" t="s">
        <v>5969</v>
      </c>
      <c r="P8690" s="160" t="s">
        <v>67</v>
      </c>
      <c r="Q8690" s="160" t="s">
        <v>96</v>
      </c>
      <c r="R8690" s="160" t="s">
        <v>272</v>
      </c>
    </row>
    <row r="8691" spans="1:18" ht="69" customHeight="1">
      <c r="B8691" s="313">
        <f t="shared" si="64"/>
        <v>5808</v>
      </c>
      <c r="C8691" s="207" t="s">
        <v>13665</v>
      </c>
      <c r="D8691" s="311" t="s">
        <v>645</v>
      </c>
      <c r="E8691" s="207" t="s">
        <v>266</v>
      </c>
      <c r="F8691" s="208" t="s">
        <v>21179</v>
      </c>
      <c r="G8691" s="208" t="s">
        <v>21180</v>
      </c>
      <c r="H8691" s="300">
        <v>4971.8</v>
      </c>
      <c r="I8691" s="209">
        <v>45433</v>
      </c>
      <c r="J8691" s="316" t="s">
        <v>21178</v>
      </c>
      <c r="K8691" s="160" t="s">
        <v>11084</v>
      </c>
      <c r="L8691" s="99"/>
      <c r="O8691" s="259" t="s">
        <v>5969</v>
      </c>
      <c r="P8691" s="160" t="s">
        <v>67</v>
      </c>
      <c r="Q8691" s="160" t="s">
        <v>96</v>
      </c>
      <c r="R8691" s="160" t="s">
        <v>272</v>
      </c>
    </row>
    <row r="8692" spans="1:18" ht="69" customHeight="1">
      <c r="B8692" s="313">
        <f t="shared" si="64"/>
        <v>5809</v>
      </c>
      <c r="C8692" s="207" t="s">
        <v>13665</v>
      </c>
      <c r="D8692" s="311" t="s">
        <v>2221</v>
      </c>
      <c r="E8692" s="207" t="s">
        <v>266</v>
      </c>
      <c r="F8692" s="208" t="s">
        <v>21181</v>
      </c>
      <c r="G8692" s="208" t="s">
        <v>21182</v>
      </c>
      <c r="H8692" s="300">
        <v>1055.94</v>
      </c>
      <c r="I8692" s="209">
        <v>45433</v>
      </c>
      <c r="J8692" s="316" t="s">
        <v>21178</v>
      </c>
      <c r="K8692" s="160" t="s">
        <v>11084</v>
      </c>
      <c r="L8692" s="99"/>
      <c r="O8692" s="259" t="s">
        <v>5969</v>
      </c>
      <c r="P8692" s="160" t="s">
        <v>67</v>
      </c>
      <c r="Q8692" s="160" t="s">
        <v>96</v>
      </c>
      <c r="R8692" s="160" t="s">
        <v>272</v>
      </c>
    </row>
    <row r="8693" spans="1:18" ht="69" customHeight="1">
      <c r="B8693" s="313">
        <f t="shared" si="64"/>
        <v>5810</v>
      </c>
      <c r="C8693" s="160" t="s">
        <v>13156</v>
      </c>
      <c r="D8693" s="311" t="s">
        <v>10232</v>
      </c>
      <c r="E8693" s="207" t="s">
        <v>266</v>
      </c>
      <c r="F8693" s="160" t="s">
        <v>21183</v>
      </c>
      <c r="G8693" s="160" t="s">
        <v>21184</v>
      </c>
      <c r="H8693" s="300">
        <v>8000</v>
      </c>
      <c r="I8693" s="209">
        <v>45448</v>
      </c>
      <c r="J8693" s="316" t="s">
        <v>21185</v>
      </c>
      <c r="K8693" s="259" t="s">
        <v>11084</v>
      </c>
      <c r="L8693" s="99"/>
      <c r="O8693" s="259" t="s">
        <v>21186</v>
      </c>
      <c r="P8693" s="160" t="s">
        <v>67</v>
      </c>
      <c r="Q8693" s="160" t="s">
        <v>96</v>
      </c>
      <c r="R8693" s="160" t="s">
        <v>272</v>
      </c>
    </row>
    <row r="8694" spans="1:18" s="98" customFormat="1" ht="69" customHeight="1">
      <c r="A8694" s="169"/>
      <c r="B8694" s="185">
        <f t="shared" si="64"/>
        <v>5811</v>
      </c>
      <c r="C8694" s="46" t="s">
        <v>16807</v>
      </c>
      <c r="D8694" s="539" t="s">
        <v>21187</v>
      </c>
      <c r="E8694" s="191" t="s">
        <v>266</v>
      </c>
      <c r="F8694" s="46" t="s">
        <v>21188</v>
      </c>
      <c r="G8694" s="46" t="s">
        <v>21189</v>
      </c>
      <c r="H8694" s="534">
        <v>48700</v>
      </c>
      <c r="I8694" s="56">
        <v>45448</v>
      </c>
      <c r="J8694" s="199" t="s">
        <v>21190</v>
      </c>
      <c r="K8694" s="52"/>
      <c r="O8694" s="52" t="s">
        <v>21191</v>
      </c>
      <c r="P8694" s="46" t="s">
        <v>65</v>
      </c>
      <c r="Q8694" s="46" t="s">
        <v>70</v>
      </c>
      <c r="R8694" s="46" t="s">
        <v>272</v>
      </c>
    </row>
    <row r="8695" spans="1:18" ht="69" customHeight="1">
      <c r="B8695" s="313">
        <f t="shared" si="64"/>
        <v>5812</v>
      </c>
      <c r="C8695" s="160" t="s">
        <v>20998</v>
      </c>
      <c r="D8695" s="259"/>
      <c r="E8695" s="207" t="s">
        <v>266</v>
      </c>
      <c r="F8695" s="160" t="s">
        <v>21192</v>
      </c>
      <c r="G8695" s="160" t="s">
        <v>21193</v>
      </c>
      <c r="H8695" s="300">
        <v>700</v>
      </c>
      <c r="I8695" s="209">
        <v>45448</v>
      </c>
      <c r="J8695" s="316" t="s">
        <v>21194</v>
      </c>
      <c r="K8695" s="160" t="s">
        <v>21195</v>
      </c>
      <c r="L8695" s="99"/>
      <c r="O8695" s="259" t="s">
        <v>20832</v>
      </c>
      <c r="P8695" s="160" t="s">
        <v>67</v>
      </c>
      <c r="Q8695" s="160" t="s">
        <v>96</v>
      </c>
      <c r="R8695" s="160" t="s">
        <v>272</v>
      </c>
    </row>
    <row r="8696" spans="1:18" ht="69" customHeight="1">
      <c r="B8696" s="185">
        <f t="shared" si="64"/>
        <v>5813</v>
      </c>
      <c r="C8696" s="46" t="s">
        <v>13435</v>
      </c>
      <c r="D8696" s="539" t="s">
        <v>21196</v>
      </c>
      <c r="E8696" s="191" t="s">
        <v>266</v>
      </c>
      <c r="F8696" s="46" t="s">
        <v>21197</v>
      </c>
      <c r="G8696" s="46" t="s">
        <v>21198</v>
      </c>
      <c r="H8696" s="534">
        <v>11800</v>
      </c>
      <c r="I8696" s="56">
        <v>45448</v>
      </c>
      <c r="J8696" s="199" t="s">
        <v>21199</v>
      </c>
      <c r="K8696" s="52"/>
      <c r="L8696" s="99"/>
      <c r="O8696" s="52" t="s">
        <v>21200</v>
      </c>
      <c r="P8696" s="46" t="s">
        <v>65</v>
      </c>
      <c r="Q8696" s="46" t="s">
        <v>13</v>
      </c>
      <c r="R8696" s="46" t="s">
        <v>272</v>
      </c>
    </row>
    <row r="8697" spans="1:18" ht="69" customHeight="1">
      <c r="B8697" s="185">
        <f t="shared" si="64"/>
        <v>5814</v>
      </c>
      <c r="C8697" s="46" t="s">
        <v>309</v>
      </c>
      <c r="D8697" s="539" t="s">
        <v>21201</v>
      </c>
      <c r="E8697" s="191" t="s">
        <v>266</v>
      </c>
      <c r="F8697" s="46" t="s">
        <v>21202</v>
      </c>
      <c r="G8697" s="46" t="s">
        <v>21203</v>
      </c>
      <c r="H8697" s="534">
        <v>9700</v>
      </c>
      <c r="I8697" s="56">
        <v>45448</v>
      </c>
      <c r="J8697" s="199" t="s">
        <v>21204</v>
      </c>
      <c r="K8697" s="52"/>
      <c r="L8697" s="99"/>
      <c r="O8697" s="52"/>
      <c r="P8697" s="46" t="s">
        <v>65</v>
      </c>
      <c r="Q8697" s="46" t="s">
        <v>39</v>
      </c>
      <c r="R8697" s="46" t="s">
        <v>272</v>
      </c>
    </row>
    <row r="8698" spans="1:18" ht="69" customHeight="1">
      <c r="B8698" s="185">
        <f t="shared" si="64"/>
        <v>5815</v>
      </c>
      <c r="C8698" s="46" t="s">
        <v>309</v>
      </c>
      <c r="D8698" s="539" t="s">
        <v>21205</v>
      </c>
      <c r="E8698" s="191" t="s">
        <v>266</v>
      </c>
      <c r="F8698" s="46" t="s">
        <v>21206</v>
      </c>
      <c r="G8698" s="46" t="s">
        <v>21203</v>
      </c>
      <c r="H8698" s="534">
        <v>39366.67</v>
      </c>
      <c r="I8698" s="56">
        <v>45448</v>
      </c>
      <c r="J8698" s="199" t="s">
        <v>21204</v>
      </c>
      <c r="K8698" s="52"/>
      <c r="L8698" s="99"/>
      <c r="O8698" s="52"/>
      <c r="P8698" s="46" t="s">
        <v>65</v>
      </c>
      <c r="Q8698" s="46" t="s">
        <v>41</v>
      </c>
      <c r="R8698" s="46" t="s">
        <v>272</v>
      </c>
    </row>
    <row r="8699" spans="1:18" ht="69" customHeight="1">
      <c r="B8699" s="313">
        <f t="shared" si="64"/>
        <v>5816</v>
      </c>
      <c r="C8699" s="160" t="s">
        <v>13156</v>
      </c>
      <c r="D8699" s="311" t="s">
        <v>3651</v>
      </c>
      <c r="E8699" s="207" t="s">
        <v>266</v>
      </c>
      <c r="F8699" s="160" t="s">
        <v>21207</v>
      </c>
      <c r="G8699" s="160" t="s">
        <v>21208</v>
      </c>
      <c r="H8699" s="300">
        <v>1056.98</v>
      </c>
      <c r="I8699" s="209">
        <v>45448</v>
      </c>
      <c r="J8699" s="316" t="s">
        <v>21209</v>
      </c>
      <c r="K8699" s="259" t="s">
        <v>11084</v>
      </c>
      <c r="L8699" s="99"/>
      <c r="O8699" s="259" t="s">
        <v>21210</v>
      </c>
      <c r="P8699" s="160" t="s">
        <v>67</v>
      </c>
      <c r="Q8699" s="160" t="s">
        <v>96</v>
      </c>
      <c r="R8699" s="160" t="s">
        <v>272</v>
      </c>
    </row>
    <row r="8700" spans="1:18" ht="69" customHeight="1">
      <c r="B8700" s="185">
        <f t="shared" si="64"/>
        <v>5817</v>
      </c>
      <c r="C8700" s="46" t="s">
        <v>19257</v>
      </c>
      <c r="D8700" s="539" t="s">
        <v>21211</v>
      </c>
      <c r="E8700" s="191" t="s">
        <v>266</v>
      </c>
      <c r="F8700" s="211" t="s">
        <v>21212</v>
      </c>
      <c r="G8700" s="46" t="s">
        <v>20543</v>
      </c>
      <c r="H8700" s="534">
        <v>11390</v>
      </c>
      <c r="I8700" s="56">
        <v>45448</v>
      </c>
      <c r="J8700" s="199" t="s">
        <v>21213</v>
      </c>
      <c r="K8700" s="52"/>
      <c r="L8700" s="99"/>
      <c r="O8700" s="52" t="s">
        <v>19899</v>
      </c>
      <c r="P8700" s="46" t="s">
        <v>65</v>
      </c>
      <c r="Q8700" s="46" t="s">
        <v>95</v>
      </c>
      <c r="R8700" s="46" t="s">
        <v>272</v>
      </c>
    </row>
    <row r="8701" spans="1:18" ht="69" customHeight="1">
      <c r="B8701" s="185">
        <f t="shared" si="64"/>
        <v>5818</v>
      </c>
      <c r="C8701" s="46" t="s">
        <v>21214</v>
      </c>
      <c r="D8701" s="539" t="s">
        <v>21215</v>
      </c>
      <c r="E8701" s="191" t="s">
        <v>266</v>
      </c>
      <c r="F8701" s="211" t="s">
        <v>21216</v>
      </c>
      <c r="G8701" s="46" t="s">
        <v>20543</v>
      </c>
      <c r="H8701" s="534">
        <v>11390</v>
      </c>
      <c r="I8701" s="56">
        <v>45448</v>
      </c>
      <c r="J8701" s="199" t="s">
        <v>21213</v>
      </c>
      <c r="K8701" s="52"/>
      <c r="L8701" s="99"/>
      <c r="O8701" s="52" t="s">
        <v>19899</v>
      </c>
      <c r="P8701" s="46" t="s">
        <v>65</v>
      </c>
      <c r="Q8701" s="46" t="s">
        <v>93</v>
      </c>
      <c r="R8701" s="46" t="s">
        <v>272</v>
      </c>
    </row>
    <row r="8702" spans="1:18" ht="69" customHeight="1">
      <c r="B8702" s="164">
        <f t="shared" si="64"/>
        <v>5819</v>
      </c>
      <c r="C8702" s="58" t="s">
        <v>11908</v>
      </c>
      <c r="D8702" s="200" t="s">
        <v>18208</v>
      </c>
      <c r="E8702" s="59" t="s">
        <v>266</v>
      </c>
      <c r="F8702" s="569" t="s">
        <v>21217</v>
      </c>
      <c r="G8702" s="45" t="s">
        <v>21218</v>
      </c>
      <c r="H8702" s="546">
        <v>7500</v>
      </c>
      <c r="I8702" s="47">
        <v>45448</v>
      </c>
      <c r="J8702" s="73" t="s">
        <v>21219</v>
      </c>
      <c r="K8702" s="62"/>
      <c r="L8702" s="99"/>
      <c r="O8702" s="58" t="s">
        <v>11155</v>
      </c>
      <c r="P8702" s="45" t="s">
        <v>61</v>
      </c>
      <c r="Q8702" s="45" t="s">
        <v>103</v>
      </c>
      <c r="R8702" s="45" t="s">
        <v>272</v>
      </c>
    </row>
    <row r="8703" spans="1:18" ht="69" customHeight="1">
      <c r="B8703" s="164">
        <f t="shared" si="64"/>
        <v>5820</v>
      </c>
      <c r="C8703" s="131" t="s">
        <v>21050</v>
      </c>
      <c r="D8703" s="200" t="s">
        <v>18210</v>
      </c>
      <c r="E8703" s="59" t="s">
        <v>266</v>
      </c>
      <c r="F8703" s="569" t="s">
        <v>21220</v>
      </c>
      <c r="G8703" s="179" t="s">
        <v>21221</v>
      </c>
      <c r="H8703" s="546">
        <v>13000</v>
      </c>
      <c r="I8703" s="47">
        <v>45448</v>
      </c>
      <c r="J8703" s="73" t="s">
        <v>21219</v>
      </c>
      <c r="K8703" s="62"/>
      <c r="L8703" s="99"/>
      <c r="O8703" s="58" t="s">
        <v>11155</v>
      </c>
      <c r="P8703" s="45" t="s">
        <v>61</v>
      </c>
      <c r="Q8703" s="45" t="s">
        <v>117</v>
      </c>
      <c r="R8703" s="45" t="s">
        <v>272</v>
      </c>
    </row>
    <row r="8704" spans="1:18" ht="69" customHeight="1">
      <c r="B8704" s="164">
        <f t="shared" si="64"/>
        <v>5821</v>
      </c>
      <c r="C8704" s="131" t="s">
        <v>13562</v>
      </c>
      <c r="D8704" s="200" t="s">
        <v>21222</v>
      </c>
      <c r="E8704" s="59" t="s">
        <v>266</v>
      </c>
      <c r="F8704" s="569" t="s">
        <v>21223</v>
      </c>
      <c r="G8704" s="179" t="s">
        <v>21224</v>
      </c>
      <c r="H8704" s="546">
        <v>52000</v>
      </c>
      <c r="I8704" s="47">
        <v>45448</v>
      </c>
      <c r="J8704" s="73" t="s">
        <v>21219</v>
      </c>
      <c r="K8704" s="58"/>
      <c r="L8704" s="99"/>
      <c r="O8704" s="58" t="s">
        <v>11155</v>
      </c>
      <c r="P8704" s="45" t="s">
        <v>61</v>
      </c>
      <c r="Q8704" s="45" t="s">
        <v>88</v>
      </c>
      <c r="R8704" s="45" t="s">
        <v>272</v>
      </c>
    </row>
    <row r="8705" spans="2:18" ht="69" customHeight="1">
      <c r="B8705" s="164">
        <f t="shared" si="64"/>
        <v>5822</v>
      </c>
      <c r="C8705" s="58" t="s">
        <v>458</v>
      </c>
      <c r="D8705" s="200" t="s">
        <v>18214</v>
      </c>
      <c r="E8705" s="58" t="s">
        <v>19223</v>
      </c>
      <c r="F8705" s="58" t="s">
        <v>21225</v>
      </c>
      <c r="G8705" s="45" t="s">
        <v>21226</v>
      </c>
      <c r="H8705" s="546">
        <v>138920.4</v>
      </c>
      <c r="I8705" s="47">
        <v>45448</v>
      </c>
      <c r="J8705" s="73" t="s">
        <v>21227</v>
      </c>
      <c r="K8705" s="62" t="s">
        <v>20415</v>
      </c>
      <c r="L8705" s="99"/>
      <c r="O8705" s="62" t="s">
        <v>141</v>
      </c>
      <c r="P8705" s="45" t="s">
        <v>19</v>
      </c>
      <c r="Q8705" s="45" t="s">
        <v>122</v>
      </c>
      <c r="R8705" s="45" t="s">
        <v>272</v>
      </c>
    </row>
    <row r="8706" spans="2:18" ht="69" customHeight="1">
      <c r="B8706" s="185">
        <f t="shared" si="64"/>
        <v>5823</v>
      </c>
      <c r="C8706" s="46" t="s">
        <v>309</v>
      </c>
      <c r="D8706" s="539" t="s">
        <v>21228</v>
      </c>
      <c r="E8706" s="46" t="s">
        <v>266</v>
      </c>
      <c r="F8706" s="46" t="s">
        <v>21229</v>
      </c>
      <c r="G8706" s="46" t="s">
        <v>21230</v>
      </c>
      <c r="H8706" s="534">
        <v>14316.83</v>
      </c>
      <c r="I8706" s="56">
        <v>45448</v>
      </c>
      <c r="J8706" s="199" t="s">
        <v>21231</v>
      </c>
      <c r="K8706" s="46"/>
      <c r="L8706" s="99"/>
      <c r="O8706" s="46" t="s">
        <v>21232</v>
      </c>
      <c r="P8706" s="46" t="s">
        <v>65</v>
      </c>
      <c r="Q8706" s="46" t="s">
        <v>18</v>
      </c>
      <c r="R8706" s="46" t="s">
        <v>272</v>
      </c>
    </row>
    <row r="8707" spans="2:18" ht="69" customHeight="1">
      <c r="B8707" s="185">
        <f t="shared" si="64"/>
        <v>5824</v>
      </c>
      <c r="C8707" s="46" t="s">
        <v>1853</v>
      </c>
      <c r="D8707" s="539" t="s">
        <v>21233</v>
      </c>
      <c r="E8707" s="52" t="s">
        <v>266</v>
      </c>
      <c r="F8707" s="191" t="s">
        <v>21234</v>
      </c>
      <c r="G8707" s="46" t="s">
        <v>21235</v>
      </c>
      <c r="H8707" s="534">
        <v>7000</v>
      </c>
      <c r="I8707" s="56">
        <v>45448</v>
      </c>
      <c r="J8707" s="418" t="s">
        <v>21236</v>
      </c>
      <c r="K8707" s="46"/>
      <c r="L8707" s="99"/>
      <c r="O8707" s="46" t="s">
        <v>21237</v>
      </c>
      <c r="P8707" s="46" t="s">
        <v>65</v>
      </c>
      <c r="Q8707" s="46" t="s">
        <v>29</v>
      </c>
      <c r="R8707" s="46" t="s">
        <v>272</v>
      </c>
    </row>
    <row r="8708" spans="2:18" ht="69" customHeight="1">
      <c r="B8708" s="185">
        <f t="shared" si="64"/>
        <v>5825</v>
      </c>
      <c r="C8708" s="46" t="s">
        <v>9004</v>
      </c>
      <c r="D8708" s="539" t="s">
        <v>15731</v>
      </c>
      <c r="E8708" s="191" t="s">
        <v>266</v>
      </c>
      <c r="F8708" s="46" t="s">
        <v>21238</v>
      </c>
      <c r="G8708" s="46" t="s">
        <v>21239</v>
      </c>
      <c r="H8708" s="534">
        <v>3000</v>
      </c>
      <c r="I8708" s="56">
        <v>45448</v>
      </c>
      <c r="J8708" s="199" t="s">
        <v>21240</v>
      </c>
      <c r="K8708" s="52"/>
      <c r="L8708" s="99"/>
      <c r="O8708" s="52" t="s">
        <v>21241</v>
      </c>
      <c r="P8708" s="46" t="s">
        <v>65</v>
      </c>
      <c r="Q8708" s="46" t="s">
        <v>111</v>
      </c>
      <c r="R8708" s="46" t="s">
        <v>272</v>
      </c>
    </row>
    <row r="8709" spans="2:18" ht="69" customHeight="1">
      <c r="B8709" s="164">
        <f t="shared" si="64"/>
        <v>5826</v>
      </c>
      <c r="C8709" s="45" t="s">
        <v>11618</v>
      </c>
      <c r="D8709" s="200" t="s">
        <v>21242</v>
      </c>
      <c r="E8709" s="58" t="s">
        <v>19667</v>
      </c>
      <c r="F8709" s="58" t="s">
        <v>21243</v>
      </c>
      <c r="G8709" s="45" t="s">
        <v>20653</v>
      </c>
      <c r="H8709" s="546">
        <v>106871.58</v>
      </c>
      <c r="I8709" s="47">
        <v>45448</v>
      </c>
      <c r="J8709" s="73" t="s">
        <v>21244</v>
      </c>
      <c r="K8709" s="62"/>
      <c r="L8709" s="99"/>
      <c r="O8709" s="62" t="s">
        <v>233</v>
      </c>
      <c r="P8709" s="45" t="s">
        <v>57</v>
      </c>
      <c r="Q8709" s="45" t="s">
        <v>122</v>
      </c>
      <c r="R8709" s="45" t="s">
        <v>272</v>
      </c>
    </row>
    <row r="8710" spans="2:18" ht="69" customHeight="1">
      <c r="B8710" s="164">
        <f t="shared" si="64"/>
        <v>5827</v>
      </c>
      <c r="C8710" s="45" t="s">
        <v>11618</v>
      </c>
      <c r="D8710" s="200" t="s">
        <v>21245</v>
      </c>
      <c r="E8710" s="58" t="s">
        <v>19667</v>
      </c>
      <c r="F8710" s="58" t="s">
        <v>21246</v>
      </c>
      <c r="G8710" s="45" t="s">
        <v>20653</v>
      </c>
      <c r="H8710" s="546">
        <v>106871.58</v>
      </c>
      <c r="I8710" s="47">
        <v>45448</v>
      </c>
      <c r="J8710" s="73" t="s">
        <v>21244</v>
      </c>
      <c r="K8710" s="62"/>
      <c r="L8710" s="99"/>
      <c r="O8710" s="62" t="s">
        <v>233</v>
      </c>
      <c r="P8710" s="45" t="s">
        <v>57</v>
      </c>
      <c r="Q8710" s="45" t="s">
        <v>122</v>
      </c>
      <c r="R8710" s="45" t="s">
        <v>272</v>
      </c>
    </row>
    <row r="8711" spans="2:18" ht="69" customHeight="1">
      <c r="B8711" s="185">
        <f t="shared" si="64"/>
        <v>5828</v>
      </c>
      <c r="C8711" s="191" t="s">
        <v>458</v>
      </c>
      <c r="D8711" s="539" t="s">
        <v>21247</v>
      </c>
      <c r="E8711" s="46" t="s">
        <v>266</v>
      </c>
      <c r="F8711" s="46" t="s">
        <v>21248</v>
      </c>
      <c r="G8711" s="46" t="s">
        <v>20871</v>
      </c>
      <c r="H8711" s="534">
        <v>11381.12</v>
      </c>
      <c r="I8711" s="56">
        <v>45448</v>
      </c>
      <c r="J8711" s="199" t="s">
        <v>21249</v>
      </c>
      <c r="K8711" s="52"/>
      <c r="L8711" s="99"/>
      <c r="O8711" s="52" t="s">
        <v>21250</v>
      </c>
      <c r="P8711" s="46" t="s">
        <v>65</v>
      </c>
      <c r="Q8711" s="46" t="s">
        <v>96</v>
      </c>
      <c r="R8711" s="46" t="s">
        <v>272</v>
      </c>
    </row>
    <row r="8712" spans="2:18" ht="69" customHeight="1">
      <c r="B8712" s="185">
        <f t="shared" si="64"/>
        <v>5829</v>
      </c>
      <c r="C8712" s="191" t="s">
        <v>3667</v>
      </c>
      <c r="D8712" s="539" t="s">
        <v>21251</v>
      </c>
      <c r="E8712" s="46" t="s">
        <v>266</v>
      </c>
      <c r="F8712" s="211" t="s">
        <v>21252</v>
      </c>
      <c r="G8712" s="46" t="s">
        <v>21253</v>
      </c>
      <c r="H8712" s="534">
        <v>3851.33</v>
      </c>
      <c r="I8712" s="56">
        <v>45458</v>
      </c>
      <c r="J8712" s="199" t="s">
        <v>21254</v>
      </c>
      <c r="K8712" s="52"/>
      <c r="L8712" s="99"/>
      <c r="O8712" s="52" t="s">
        <v>21255</v>
      </c>
      <c r="P8712" s="46" t="s">
        <v>65</v>
      </c>
      <c r="Q8712" s="46" t="s">
        <v>78</v>
      </c>
      <c r="R8712" s="46" t="s">
        <v>272</v>
      </c>
    </row>
    <row r="8713" spans="2:18" ht="69" customHeight="1">
      <c r="B8713" s="185">
        <f t="shared" si="64"/>
        <v>5830</v>
      </c>
      <c r="C8713" s="191" t="s">
        <v>3667</v>
      </c>
      <c r="D8713" s="539" t="s">
        <v>21256</v>
      </c>
      <c r="E8713" s="46" t="s">
        <v>266</v>
      </c>
      <c r="F8713" s="211" t="s">
        <v>21257</v>
      </c>
      <c r="G8713" s="46" t="s">
        <v>21253</v>
      </c>
      <c r="H8713" s="534">
        <v>3851.33</v>
      </c>
      <c r="I8713" s="56">
        <v>45458</v>
      </c>
      <c r="J8713" s="199" t="s">
        <v>21254</v>
      </c>
      <c r="K8713" s="52"/>
      <c r="L8713" s="99"/>
      <c r="O8713" s="52" t="s">
        <v>21255</v>
      </c>
      <c r="P8713" s="46" t="s">
        <v>65</v>
      </c>
      <c r="Q8713" s="46" t="s">
        <v>66</v>
      </c>
      <c r="R8713" s="46" t="s">
        <v>272</v>
      </c>
    </row>
    <row r="8714" spans="2:18" ht="69" customHeight="1">
      <c r="B8714" s="185">
        <f t="shared" si="64"/>
        <v>5831</v>
      </c>
      <c r="C8714" s="191" t="s">
        <v>458</v>
      </c>
      <c r="D8714" s="539" t="s">
        <v>21258</v>
      </c>
      <c r="E8714" s="46" t="s">
        <v>266</v>
      </c>
      <c r="F8714" s="211" t="s">
        <v>21259</v>
      </c>
      <c r="G8714" s="46" t="s">
        <v>21253</v>
      </c>
      <c r="H8714" s="534">
        <v>3851.33</v>
      </c>
      <c r="I8714" s="56">
        <v>45458</v>
      </c>
      <c r="J8714" s="199" t="s">
        <v>21254</v>
      </c>
      <c r="K8714" s="52"/>
      <c r="L8714" s="99"/>
      <c r="O8714" s="52" t="s">
        <v>21255</v>
      </c>
      <c r="P8714" s="46" t="s">
        <v>65</v>
      </c>
      <c r="Q8714" s="46" t="s">
        <v>117</v>
      </c>
      <c r="R8714" s="46" t="s">
        <v>272</v>
      </c>
    </row>
    <row r="8715" spans="2:18" ht="69" customHeight="1">
      <c r="B8715" s="185">
        <f t="shared" ref="B8715:B8753" si="65">B8714+1</f>
        <v>5832</v>
      </c>
      <c r="C8715" s="191" t="s">
        <v>3667</v>
      </c>
      <c r="D8715" s="539" t="s">
        <v>21260</v>
      </c>
      <c r="E8715" s="46" t="s">
        <v>266</v>
      </c>
      <c r="F8715" s="211" t="s">
        <v>21261</v>
      </c>
      <c r="G8715" s="46" t="s">
        <v>21253</v>
      </c>
      <c r="H8715" s="534">
        <v>3851.33</v>
      </c>
      <c r="I8715" s="56">
        <v>45458</v>
      </c>
      <c r="J8715" s="199" t="s">
        <v>21254</v>
      </c>
      <c r="K8715" s="52"/>
      <c r="L8715" s="99"/>
      <c r="O8715" s="52" t="s">
        <v>21255</v>
      </c>
      <c r="P8715" s="46" t="s">
        <v>65</v>
      </c>
      <c r="Q8715" s="46" t="s">
        <v>86</v>
      </c>
      <c r="R8715" s="46" t="s">
        <v>272</v>
      </c>
    </row>
    <row r="8716" spans="2:18" ht="69" customHeight="1">
      <c r="B8716" s="185">
        <f t="shared" si="65"/>
        <v>5833</v>
      </c>
      <c r="C8716" s="191" t="s">
        <v>3667</v>
      </c>
      <c r="D8716" s="539" t="s">
        <v>21262</v>
      </c>
      <c r="E8716" s="46" t="s">
        <v>266</v>
      </c>
      <c r="F8716" s="211" t="s">
        <v>21263</v>
      </c>
      <c r="G8716" s="46" t="s">
        <v>21253</v>
      </c>
      <c r="H8716" s="534">
        <v>3851.33</v>
      </c>
      <c r="I8716" s="56">
        <v>45458</v>
      </c>
      <c r="J8716" s="199" t="s">
        <v>21254</v>
      </c>
      <c r="K8716" s="52"/>
      <c r="L8716" s="99"/>
      <c r="O8716" s="52" t="s">
        <v>21255</v>
      </c>
      <c r="P8716" s="46" t="s">
        <v>65</v>
      </c>
      <c r="Q8716" s="46" t="s">
        <v>84</v>
      </c>
      <c r="R8716" s="46" t="s">
        <v>272</v>
      </c>
    </row>
    <row r="8717" spans="2:18" ht="69" customHeight="1">
      <c r="B8717" s="199">
        <f t="shared" si="65"/>
        <v>5834</v>
      </c>
      <c r="C8717" s="191" t="s">
        <v>3667</v>
      </c>
      <c r="D8717" s="539" t="s">
        <v>21264</v>
      </c>
      <c r="E8717" s="46" t="s">
        <v>266</v>
      </c>
      <c r="F8717" s="211" t="s">
        <v>21265</v>
      </c>
      <c r="G8717" s="46" t="s">
        <v>21253</v>
      </c>
      <c r="H8717" s="534">
        <v>3851.33</v>
      </c>
      <c r="I8717" s="56">
        <v>45458</v>
      </c>
      <c r="J8717" s="199" t="s">
        <v>21266</v>
      </c>
      <c r="K8717" s="52"/>
      <c r="L8717" s="99"/>
      <c r="O8717" s="52" t="s">
        <v>21255</v>
      </c>
      <c r="P8717" s="46" t="s">
        <v>65</v>
      </c>
      <c r="Q8717" s="46" t="s">
        <v>93</v>
      </c>
      <c r="R8717" s="46" t="s">
        <v>272</v>
      </c>
    </row>
    <row r="8718" spans="2:18" ht="69" customHeight="1">
      <c r="B8718" s="205">
        <f t="shared" si="65"/>
        <v>5835</v>
      </c>
      <c r="C8718" s="191" t="s">
        <v>3667</v>
      </c>
      <c r="D8718" s="539" t="s">
        <v>21267</v>
      </c>
      <c r="E8718" s="46" t="s">
        <v>266</v>
      </c>
      <c r="F8718" s="211" t="s">
        <v>21268</v>
      </c>
      <c r="G8718" s="46" t="s">
        <v>21253</v>
      </c>
      <c r="H8718" s="534">
        <v>3851.33</v>
      </c>
      <c r="I8718" s="56">
        <v>45458</v>
      </c>
      <c r="J8718" s="199" t="s">
        <v>21266</v>
      </c>
      <c r="K8718" s="52"/>
      <c r="L8718" s="99"/>
      <c r="O8718" s="52" t="s">
        <v>21255</v>
      </c>
      <c r="P8718" s="46" t="s">
        <v>65</v>
      </c>
      <c r="Q8718" s="46" t="s">
        <v>95</v>
      </c>
      <c r="R8718" s="46" t="s">
        <v>272</v>
      </c>
    </row>
    <row r="8719" spans="2:18" ht="69" customHeight="1">
      <c r="B8719" s="185">
        <f t="shared" si="65"/>
        <v>5836</v>
      </c>
      <c r="C8719" s="46" t="s">
        <v>657</v>
      </c>
      <c r="D8719" s="539" t="s">
        <v>10576</v>
      </c>
      <c r="E8719" s="46" t="s">
        <v>266</v>
      </c>
      <c r="F8719" s="211" t="s">
        <v>21269</v>
      </c>
      <c r="G8719" s="46" t="s">
        <v>21253</v>
      </c>
      <c r="H8719" s="534">
        <v>3851.33</v>
      </c>
      <c r="I8719" s="56">
        <v>45458</v>
      </c>
      <c r="J8719" s="199" t="s">
        <v>21266</v>
      </c>
      <c r="K8719" s="52"/>
      <c r="L8719" s="99"/>
      <c r="O8719" s="52" t="s">
        <v>21255</v>
      </c>
      <c r="P8719" s="46" t="s">
        <v>65</v>
      </c>
      <c r="Q8719" s="46" t="s">
        <v>111</v>
      </c>
      <c r="R8719" s="46" t="s">
        <v>272</v>
      </c>
    </row>
    <row r="8720" spans="2:18" ht="69" customHeight="1">
      <c r="B8720" s="185">
        <f t="shared" si="65"/>
        <v>5837</v>
      </c>
      <c r="C8720" s="46" t="s">
        <v>657</v>
      </c>
      <c r="D8720" s="539" t="s">
        <v>15721</v>
      </c>
      <c r="E8720" s="46" t="s">
        <v>266</v>
      </c>
      <c r="F8720" s="211" t="s">
        <v>21270</v>
      </c>
      <c r="G8720" s="46" t="s">
        <v>21253</v>
      </c>
      <c r="H8720" s="534">
        <v>3851.33</v>
      </c>
      <c r="I8720" s="56">
        <v>45458</v>
      </c>
      <c r="J8720" s="199" t="s">
        <v>21266</v>
      </c>
      <c r="K8720" s="52"/>
      <c r="L8720" s="99"/>
      <c r="O8720" s="52" t="s">
        <v>21255</v>
      </c>
      <c r="P8720" s="46" t="s">
        <v>65</v>
      </c>
      <c r="Q8720" s="46" t="s">
        <v>110</v>
      </c>
      <c r="R8720" s="46" t="s">
        <v>272</v>
      </c>
    </row>
    <row r="8721" spans="2:18" ht="69" customHeight="1">
      <c r="B8721" s="185">
        <f t="shared" si="65"/>
        <v>5838</v>
      </c>
      <c r="C8721" s="191" t="s">
        <v>458</v>
      </c>
      <c r="D8721" s="539" t="s">
        <v>18240</v>
      </c>
      <c r="E8721" s="46" t="s">
        <v>266</v>
      </c>
      <c r="F8721" s="211" t="s">
        <v>21271</v>
      </c>
      <c r="G8721" s="46" t="s">
        <v>21253</v>
      </c>
      <c r="H8721" s="534">
        <v>3851.33</v>
      </c>
      <c r="I8721" s="56">
        <v>45458</v>
      </c>
      <c r="J8721" s="199" t="s">
        <v>21266</v>
      </c>
      <c r="K8721" s="52"/>
      <c r="L8721" s="99"/>
      <c r="O8721" s="52" t="s">
        <v>21255</v>
      </c>
      <c r="P8721" s="46" t="s">
        <v>65</v>
      </c>
      <c r="Q8721" s="46" t="s">
        <v>100</v>
      </c>
      <c r="R8721" s="46" t="s">
        <v>272</v>
      </c>
    </row>
    <row r="8722" spans="2:18" ht="69" customHeight="1">
      <c r="B8722" s="331">
        <f t="shared" si="65"/>
        <v>5839</v>
      </c>
      <c r="C8722" s="160" t="s">
        <v>6822</v>
      </c>
      <c r="D8722" s="311" t="s">
        <v>1457</v>
      </c>
      <c r="E8722" s="160" t="s">
        <v>266</v>
      </c>
      <c r="F8722" s="160" t="s">
        <v>21272</v>
      </c>
      <c r="G8722" s="160" t="s">
        <v>21273</v>
      </c>
      <c r="H8722" s="300">
        <v>8975.49</v>
      </c>
      <c r="I8722" s="209">
        <v>45435</v>
      </c>
      <c r="J8722" s="316" t="s">
        <v>21274</v>
      </c>
      <c r="K8722" s="160" t="s">
        <v>11084</v>
      </c>
      <c r="L8722" s="99"/>
      <c r="O8722" s="259" t="s">
        <v>5969</v>
      </c>
      <c r="P8722" s="160" t="s">
        <v>67</v>
      </c>
      <c r="Q8722" s="160" t="s">
        <v>96</v>
      </c>
      <c r="R8722" s="160" t="s">
        <v>272</v>
      </c>
    </row>
    <row r="8723" spans="2:18" ht="69" customHeight="1">
      <c r="B8723" s="65">
        <f t="shared" si="65"/>
        <v>5840</v>
      </c>
      <c r="C8723" s="131" t="s">
        <v>13562</v>
      </c>
      <c r="D8723" s="200" t="s">
        <v>18245</v>
      </c>
      <c r="E8723" s="59" t="s">
        <v>21275</v>
      </c>
      <c r="F8723" s="569" t="s">
        <v>21276</v>
      </c>
      <c r="G8723" s="179" t="s">
        <v>21277</v>
      </c>
      <c r="H8723" s="546">
        <v>7500</v>
      </c>
      <c r="I8723" s="47">
        <v>45458</v>
      </c>
      <c r="J8723" s="73" t="s">
        <v>21278</v>
      </c>
      <c r="K8723" s="58"/>
      <c r="L8723" s="99"/>
      <c r="O8723" s="58" t="s">
        <v>11155</v>
      </c>
      <c r="P8723" s="45" t="s">
        <v>61</v>
      </c>
      <c r="Q8723" s="45" t="s">
        <v>88</v>
      </c>
      <c r="R8723" s="45" t="s">
        <v>272</v>
      </c>
    </row>
    <row r="8724" spans="2:18" ht="69" customHeight="1">
      <c r="B8724" s="181">
        <f t="shared" si="65"/>
        <v>5841</v>
      </c>
      <c r="C8724" s="58" t="s">
        <v>309</v>
      </c>
      <c r="D8724" s="200" t="s">
        <v>21279</v>
      </c>
      <c r="E8724" s="58" t="s">
        <v>16011</v>
      </c>
      <c r="F8724" s="58" t="s">
        <v>21280</v>
      </c>
      <c r="G8724" s="45" t="s">
        <v>20662</v>
      </c>
      <c r="H8724" s="546">
        <v>12000</v>
      </c>
      <c r="I8724" s="47">
        <v>45458</v>
      </c>
      <c r="J8724" s="73" t="s">
        <v>21281</v>
      </c>
      <c r="K8724" s="62"/>
      <c r="L8724" s="99"/>
      <c r="O8724" s="62" t="s">
        <v>150</v>
      </c>
      <c r="P8724" s="45" t="s">
        <v>51</v>
      </c>
      <c r="Q8724" s="45" t="s">
        <v>39</v>
      </c>
      <c r="R8724" s="45" t="s">
        <v>272</v>
      </c>
    </row>
    <row r="8725" spans="2:18" ht="69" customHeight="1">
      <c r="B8725" s="164">
        <f t="shared" si="65"/>
        <v>5842</v>
      </c>
      <c r="C8725" s="58" t="s">
        <v>309</v>
      </c>
      <c r="D8725" s="200" t="s">
        <v>21282</v>
      </c>
      <c r="E8725" s="58" t="s">
        <v>16011</v>
      </c>
      <c r="F8725" s="58" t="s">
        <v>21283</v>
      </c>
      <c r="G8725" s="45" t="s">
        <v>20662</v>
      </c>
      <c r="H8725" s="546">
        <v>12000</v>
      </c>
      <c r="I8725" s="47">
        <v>45458</v>
      </c>
      <c r="J8725" s="73" t="s">
        <v>21281</v>
      </c>
      <c r="K8725" s="62"/>
      <c r="L8725" s="99"/>
      <c r="O8725" s="62" t="s">
        <v>150</v>
      </c>
      <c r="P8725" s="45" t="s">
        <v>51</v>
      </c>
      <c r="Q8725" s="45" t="s">
        <v>41</v>
      </c>
      <c r="R8725" s="45" t="s">
        <v>272</v>
      </c>
    </row>
    <row r="8726" spans="2:18" ht="69" customHeight="1">
      <c r="B8726" s="164">
        <f t="shared" si="65"/>
        <v>5843</v>
      </c>
      <c r="C8726" s="59" t="s">
        <v>7189</v>
      </c>
      <c r="D8726" s="200" t="s">
        <v>10737</v>
      </c>
      <c r="E8726" s="58" t="s">
        <v>16289</v>
      </c>
      <c r="F8726" s="58" t="s">
        <v>21284</v>
      </c>
      <c r="G8726" s="45" t="s">
        <v>21285</v>
      </c>
      <c r="H8726" s="546">
        <v>81436.3</v>
      </c>
      <c r="I8726" s="47">
        <v>45458</v>
      </c>
      <c r="J8726" s="73" t="s">
        <v>21286</v>
      </c>
      <c r="K8726" s="62"/>
      <c r="L8726" s="99"/>
      <c r="O8726" s="62" t="s">
        <v>208</v>
      </c>
      <c r="P8726" s="45" t="s">
        <v>57</v>
      </c>
      <c r="Q8726" s="45" t="s">
        <v>97</v>
      </c>
      <c r="R8726" s="45" t="s">
        <v>272</v>
      </c>
    </row>
    <row r="8727" spans="2:18" ht="69" customHeight="1">
      <c r="B8727" s="319">
        <f t="shared" si="65"/>
        <v>5844</v>
      </c>
      <c r="C8727" s="160" t="s">
        <v>19699</v>
      </c>
      <c r="D8727" s="311" t="s">
        <v>610</v>
      </c>
      <c r="E8727" s="207" t="s">
        <v>266</v>
      </c>
      <c r="F8727" s="160" t="s">
        <v>21287</v>
      </c>
      <c r="G8727" s="160" t="s">
        <v>20982</v>
      </c>
      <c r="H8727" s="300">
        <v>2593</v>
      </c>
      <c r="I8727" s="209">
        <v>45458</v>
      </c>
      <c r="J8727" s="316" t="s">
        <v>21288</v>
      </c>
      <c r="K8727" s="259" t="s">
        <v>11084</v>
      </c>
      <c r="L8727" s="99"/>
      <c r="O8727" s="259" t="s">
        <v>20978</v>
      </c>
      <c r="P8727" s="160" t="s">
        <v>67</v>
      </c>
      <c r="Q8727" s="160" t="s">
        <v>96</v>
      </c>
      <c r="R8727" s="160" t="s">
        <v>272</v>
      </c>
    </row>
    <row r="8728" spans="2:18" ht="69" customHeight="1">
      <c r="B8728" s="202">
        <f t="shared" si="65"/>
        <v>5845</v>
      </c>
      <c r="C8728" s="642" t="s">
        <v>458</v>
      </c>
      <c r="D8728" s="641" t="s">
        <v>21289</v>
      </c>
      <c r="E8728" s="642" t="s">
        <v>20087</v>
      </c>
      <c r="F8728" s="182" t="s">
        <v>21290</v>
      </c>
      <c r="G8728" s="182" t="s">
        <v>21291</v>
      </c>
      <c r="H8728" s="684">
        <v>66089.289999999994</v>
      </c>
      <c r="I8728" s="196">
        <v>45458</v>
      </c>
      <c r="J8728" s="202" t="s">
        <v>21292</v>
      </c>
      <c r="K8728" s="48"/>
      <c r="M8728" s="98"/>
      <c r="N8728" s="98"/>
      <c r="O8728" s="48" t="s">
        <v>10607</v>
      </c>
      <c r="P8728" s="45" t="s">
        <v>22</v>
      </c>
      <c r="Q8728" s="45" t="s">
        <v>117</v>
      </c>
      <c r="R8728" s="45" t="s">
        <v>272</v>
      </c>
    </row>
    <row r="8729" spans="2:18" ht="69" customHeight="1">
      <c r="B8729" s="205">
        <f t="shared" si="65"/>
        <v>5846</v>
      </c>
      <c r="C8729" s="191" t="s">
        <v>3667</v>
      </c>
      <c r="D8729" s="539" t="s">
        <v>21293</v>
      </c>
      <c r="E8729" s="46" t="s">
        <v>266</v>
      </c>
      <c r="F8729" s="211" t="s">
        <v>21294</v>
      </c>
      <c r="G8729" s="46" t="s">
        <v>21253</v>
      </c>
      <c r="H8729" s="534">
        <v>3851.33</v>
      </c>
      <c r="I8729" s="56">
        <v>45458</v>
      </c>
      <c r="J8729" s="199" t="s">
        <v>21295</v>
      </c>
      <c r="K8729" s="52"/>
      <c r="L8729" s="99"/>
      <c r="O8729" s="52" t="s">
        <v>21255</v>
      </c>
      <c r="P8729" s="46" t="s">
        <v>65</v>
      </c>
      <c r="Q8729" s="46" t="s">
        <v>68</v>
      </c>
      <c r="R8729" s="46" t="s">
        <v>272</v>
      </c>
    </row>
    <row r="8730" spans="2:18" ht="69" customHeight="1">
      <c r="B8730" s="185">
        <f t="shared" si="65"/>
        <v>5847</v>
      </c>
      <c r="C8730" s="191" t="s">
        <v>3667</v>
      </c>
      <c r="D8730" s="539" t="s">
        <v>21296</v>
      </c>
      <c r="E8730" s="46" t="s">
        <v>266</v>
      </c>
      <c r="F8730" s="211" t="s">
        <v>21297</v>
      </c>
      <c r="G8730" s="46" t="s">
        <v>21253</v>
      </c>
      <c r="H8730" s="534">
        <v>3851.33</v>
      </c>
      <c r="I8730" s="56">
        <v>45458</v>
      </c>
      <c r="J8730" s="199" t="s">
        <v>21295</v>
      </c>
      <c r="K8730" s="52"/>
      <c r="L8730" s="99"/>
      <c r="O8730" s="52" t="s">
        <v>21255</v>
      </c>
      <c r="P8730" s="46" t="s">
        <v>65</v>
      </c>
      <c r="Q8730" s="46" t="s">
        <v>70</v>
      </c>
      <c r="R8730" s="46" t="s">
        <v>272</v>
      </c>
    </row>
    <row r="8731" spans="2:18" ht="69" customHeight="1">
      <c r="B8731" s="185">
        <f t="shared" si="65"/>
        <v>5848</v>
      </c>
      <c r="C8731" s="543" t="s">
        <v>3667</v>
      </c>
      <c r="D8731" s="539" t="s">
        <v>21298</v>
      </c>
      <c r="E8731" s="46" t="s">
        <v>266</v>
      </c>
      <c r="F8731" s="211" t="s">
        <v>21299</v>
      </c>
      <c r="G8731" s="46" t="s">
        <v>21253</v>
      </c>
      <c r="H8731" s="534">
        <v>3851.33</v>
      </c>
      <c r="I8731" s="56">
        <v>45458</v>
      </c>
      <c r="J8731" s="199" t="s">
        <v>21295</v>
      </c>
      <c r="K8731" s="52"/>
      <c r="L8731" s="99"/>
      <c r="O8731" s="52" t="s">
        <v>21255</v>
      </c>
      <c r="P8731" s="46" t="s">
        <v>65</v>
      </c>
      <c r="Q8731" s="46" t="s">
        <v>72</v>
      </c>
      <c r="R8731" s="46" t="s">
        <v>272</v>
      </c>
    </row>
    <row r="8732" spans="2:18" ht="69" customHeight="1">
      <c r="B8732" s="62">
        <f t="shared" si="65"/>
        <v>5849</v>
      </c>
      <c r="C8732" s="178" t="s">
        <v>11933</v>
      </c>
      <c r="D8732" s="747" t="s">
        <v>18270</v>
      </c>
      <c r="E8732" s="58" t="s">
        <v>21300</v>
      </c>
      <c r="F8732" s="45" t="s">
        <v>21301</v>
      </c>
      <c r="G8732" s="45" t="s">
        <v>21302</v>
      </c>
      <c r="H8732" s="546">
        <v>245005.03</v>
      </c>
      <c r="I8732" s="47">
        <v>45458</v>
      </c>
      <c r="J8732" s="73" t="s">
        <v>21303</v>
      </c>
      <c r="K8732" s="62"/>
      <c r="L8732" s="99"/>
      <c r="O8732" s="62" t="s">
        <v>21304</v>
      </c>
      <c r="P8732" s="45" t="s">
        <v>77</v>
      </c>
      <c r="Q8732" s="45" t="s">
        <v>123</v>
      </c>
      <c r="R8732" s="45" t="s">
        <v>272</v>
      </c>
    </row>
    <row r="8733" spans="2:18" ht="69" customHeight="1">
      <c r="B8733" s="181">
        <f t="shared" si="65"/>
        <v>5850</v>
      </c>
      <c r="C8733" s="748" t="s">
        <v>11058</v>
      </c>
      <c r="D8733" s="200" t="s">
        <v>21305</v>
      </c>
      <c r="E8733" s="58" t="s">
        <v>21306</v>
      </c>
      <c r="F8733" s="58" t="s">
        <v>21307</v>
      </c>
      <c r="G8733" s="45" t="s">
        <v>21308</v>
      </c>
      <c r="H8733" s="546">
        <v>40000</v>
      </c>
      <c r="I8733" s="47">
        <v>45458</v>
      </c>
      <c r="J8733" s="73" t="s">
        <v>21309</v>
      </c>
      <c r="K8733" s="62"/>
      <c r="L8733" s="99"/>
      <c r="O8733" s="48" t="s">
        <v>192</v>
      </c>
      <c r="P8733" s="45" t="s">
        <v>75</v>
      </c>
      <c r="Q8733" s="45" t="s">
        <v>23</v>
      </c>
      <c r="R8733" s="45" t="s">
        <v>265</v>
      </c>
    </row>
    <row r="8734" spans="2:18" ht="69" customHeight="1">
      <c r="B8734" s="62">
        <f t="shared" si="65"/>
        <v>5851</v>
      </c>
      <c r="C8734" s="178" t="s">
        <v>11618</v>
      </c>
      <c r="D8734" s="747" t="s">
        <v>18274</v>
      </c>
      <c r="E8734" s="58" t="s">
        <v>21310</v>
      </c>
      <c r="F8734" s="58" t="s">
        <v>21311</v>
      </c>
      <c r="G8734" s="45" t="s">
        <v>21302</v>
      </c>
      <c r="H8734" s="546">
        <v>193889.84</v>
      </c>
      <c r="I8734" s="47">
        <v>45458</v>
      </c>
      <c r="J8734" s="73" t="s">
        <v>21312</v>
      </c>
      <c r="K8734" s="62"/>
      <c r="L8734" s="99"/>
      <c r="O8734" s="62" t="s">
        <v>21304</v>
      </c>
      <c r="P8734" s="45" t="s">
        <v>77</v>
      </c>
      <c r="Q8734" s="45" t="s">
        <v>122</v>
      </c>
      <c r="R8734" s="45" t="s">
        <v>272</v>
      </c>
    </row>
    <row r="8735" spans="2:18" ht="69" customHeight="1">
      <c r="B8735" s="271">
        <f t="shared" si="65"/>
        <v>5852</v>
      </c>
      <c r="C8735" s="557" t="s">
        <v>3667</v>
      </c>
      <c r="D8735" s="539" t="s">
        <v>21313</v>
      </c>
      <c r="E8735" s="46" t="s">
        <v>266</v>
      </c>
      <c r="F8735" s="46" t="s">
        <v>21314</v>
      </c>
      <c r="G8735" s="46" t="s">
        <v>21253</v>
      </c>
      <c r="H8735" s="534">
        <v>3851.33</v>
      </c>
      <c r="I8735" s="56">
        <v>45458</v>
      </c>
      <c r="J8735" s="199" t="s">
        <v>21315</v>
      </c>
      <c r="K8735" s="52"/>
      <c r="L8735" s="99"/>
      <c r="O8735" s="52" t="s">
        <v>21255</v>
      </c>
      <c r="P8735" s="46" t="s">
        <v>65</v>
      </c>
      <c r="Q8735" s="46" t="s">
        <v>74</v>
      </c>
      <c r="R8735" s="46" t="s">
        <v>272</v>
      </c>
    </row>
    <row r="8736" spans="2:18" ht="69" customHeight="1">
      <c r="B8736" s="205">
        <f t="shared" si="65"/>
        <v>5853</v>
      </c>
      <c r="C8736" s="191" t="s">
        <v>3667</v>
      </c>
      <c r="D8736" s="539" t="s">
        <v>21316</v>
      </c>
      <c r="E8736" s="46" t="s">
        <v>266</v>
      </c>
      <c r="F8736" s="46" t="s">
        <v>21317</v>
      </c>
      <c r="G8736" s="46" t="s">
        <v>21253</v>
      </c>
      <c r="H8736" s="534">
        <v>3851.33</v>
      </c>
      <c r="I8736" s="56">
        <v>45458</v>
      </c>
      <c r="J8736" s="199" t="s">
        <v>21318</v>
      </c>
      <c r="K8736" s="52"/>
      <c r="L8736" s="99"/>
      <c r="O8736" s="52" t="s">
        <v>21255</v>
      </c>
      <c r="P8736" s="46" t="s">
        <v>65</v>
      </c>
      <c r="Q8736" s="46" t="s">
        <v>76</v>
      </c>
      <c r="R8736" s="46" t="s">
        <v>272</v>
      </c>
    </row>
    <row r="8737" spans="1:18" ht="69" customHeight="1">
      <c r="B8737" s="313">
        <f t="shared" si="65"/>
        <v>5854</v>
      </c>
      <c r="C8737" s="160" t="s">
        <v>19699</v>
      </c>
      <c r="D8737" s="311" t="s">
        <v>469</v>
      </c>
      <c r="E8737" s="160" t="s">
        <v>266</v>
      </c>
      <c r="F8737" s="160" t="s">
        <v>21319</v>
      </c>
      <c r="G8737" s="160" t="s">
        <v>21320</v>
      </c>
      <c r="H8737" s="300">
        <v>615</v>
      </c>
      <c r="I8737" s="209">
        <v>45458</v>
      </c>
      <c r="J8737" s="316" t="s">
        <v>21321</v>
      </c>
      <c r="K8737" s="160" t="s">
        <v>11084</v>
      </c>
      <c r="L8737" s="99"/>
      <c r="O8737" s="259" t="s">
        <v>21322</v>
      </c>
      <c r="P8737" s="160" t="s">
        <v>67</v>
      </c>
      <c r="Q8737" s="160" t="s">
        <v>96</v>
      </c>
      <c r="R8737" s="160" t="s">
        <v>272</v>
      </c>
    </row>
    <row r="8738" spans="1:18" ht="69" customHeight="1">
      <c r="B8738" s="313">
        <f t="shared" si="65"/>
        <v>5855</v>
      </c>
      <c r="C8738" s="160" t="s">
        <v>19699</v>
      </c>
      <c r="D8738" s="311" t="s">
        <v>1659</v>
      </c>
      <c r="E8738" s="160" t="s">
        <v>266</v>
      </c>
      <c r="F8738" s="160" t="s">
        <v>21323</v>
      </c>
      <c r="G8738" s="160" t="s">
        <v>21320</v>
      </c>
      <c r="H8738" s="300">
        <v>2320</v>
      </c>
      <c r="I8738" s="209">
        <v>45458</v>
      </c>
      <c r="J8738" s="316" t="s">
        <v>21321</v>
      </c>
      <c r="K8738" s="160" t="s">
        <v>11084</v>
      </c>
      <c r="L8738" s="99"/>
      <c r="O8738" s="259" t="s">
        <v>21322</v>
      </c>
      <c r="P8738" s="160" t="s">
        <v>67</v>
      </c>
      <c r="Q8738" s="160" t="s">
        <v>96</v>
      </c>
      <c r="R8738" s="160" t="s">
        <v>272</v>
      </c>
    </row>
    <row r="8739" spans="1:18" ht="69" customHeight="1">
      <c r="B8739" s="313">
        <f t="shared" si="65"/>
        <v>5856</v>
      </c>
      <c r="C8739" s="160" t="s">
        <v>19699</v>
      </c>
      <c r="D8739" s="311" t="s">
        <v>1960</v>
      </c>
      <c r="E8739" s="160" t="s">
        <v>266</v>
      </c>
      <c r="F8739" s="160" t="s">
        <v>21324</v>
      </c>
      <c r="G8739" s="160" t="s">
        <v>21320</v>
      </c>
      <c r="H8739" s="300">
        <v>646.6</v>
      </c>
      <c r="I8739" s="209">
        <v>45458</v>
      </c>
      <c r="J8739" s="316" t="s">
        <v>21321</v>
      </c>
      <c r="K8739" s="160" t="s">
        <v>11084</v>
      </c>
      <c r="L8739" s="99"/>
      <c r="O8739" s="259" t="s">
        <v>21322</v>
      </c>
      <c r="P8739" s="160" t="s">
        <v>67</v>
      </c>
      <c r="Q8739" s="160" t="s">
        <v>96</v>
      </c>
      <c r="R8739" s="160" t="s">
        <v>272</v>
      </c>
    </row>
    <row r="8740" spans="1:18" ht="69" customHeight="1">
      <c r="B8740" s="313">
        <f t="shared" si="65"/>
        <v>5857</v>
      </c>
      <c r="C8740" s="160" t="s">
        <v>19699</v>
      </c>
      <c r="D8740" s="311" t="s">
        <v>2418</v>
      </c>
      <c r="E8740" s="160" t="s">
        <v>266</v>
      </c>
      <c r="F8740" s="160" t="s">
        <v>21325</v>
      </c>
      <c r="G8740" s="160" t="s">
        <v>21320</v>
      </c>
      <c r="H8740" s="300">
        <v>2440</v>
      </c>
      <c r="I8740" s="209">
        <v>45458</v>
      </c>
      <c r="J8740" s="316" t="s">
        <v>21321</v>
      </c>
      <c r="K8740" s="160" t="s">
        <v>11084</v>
      </c>
      <c r="L8740" s="99"/>
      <c r="O8740" s="259" t="s">
        <v>21322</v>
      </c>
      <c r="P8740" s="160" t="s">
        <v>67</v>
      </c>
      <c r="Q8740" s="160" t="s">
        <v>96</v>
      </c>
      <c r="R8740" s="160" t="s">
        <v>272</v>
      </c>
    </row>
    <row r="8741" spans="1:18" ht="69" customHeight="1">
      <c r="B8741" s="164">
        <f t="shared" si="65"/>
        <v>5858</v>
      </c>
      <c r="C8741" s="45" t="s">
        <v>18817</v>
      </c>
      <c r="D8741" s="611" t="s">
        <v>21326</v>
      </c>
      <c r="E8741" s="45" t="s">
        <v>877</v>
      </c>
      <c r="F8741" s="45" t="s">
        <v>21327</v>
      </c>
      <c r="G8741" s="45" t="s">
        <v>21328</v>
      </c>
      <c r="H8741" s="546">
        <v>130023.64</v>
      </c>
      <c r="I8741" s="47">
        <v>45458</v>
      </c>
      <c r="J8741" s="73" t="s">
        <v>21329</v>
      </c>
      <c r="K8741" s="45"/>
      <c r="L8741" s="99"/>
      <c r="O8741" s="62" t="s">
        <v>1566</v>
      </c>
      <c r="P8741" s="45" t="s">
        <v>79</v>
      </c>
      <c r="Q8741" s="45" t="s">
        <v>25</v>
      </c>
      <c r="R8741" s="45" t="s">
        <v>272</v>
      </c>
    </row>
    <row r="8742" spans="1:18" s="98" customFormat="1" ht="69" customHeight="1">
      <c r="A8742" s="169"/>
      <c r="B8742" s="163">
        <f t="shared" si="65"/>
        <v>5859</v>
      </c>
      <c r="C8742" s="45" t="s">
        <v>860</v>
      </c>
      <c r="D8742" s="611" t="s">
        <v>21330</v>
      </c>
      <c r="E8742" s="45" t="s">
        <v>877</v>
      </c>
      <c r="F8742" s="45" t="s">
        <v>21331</v>
      </c>
      <c r="G8742" s="45" t="s">
        <v>21328</v>
      </c>
      <c r="H8742" s="198">
        <v>199511.98</v>
      </c>
      <c r="I8742" s="47">
        <v>45540</v>
      </c>
      <c r="J8742" s="73" t="s">
        <v>21329</v>
      </c>
      <c r="K8742" s="48"/>
      <c r="M8742" s="99"/>
      <c r="N8742" s="99"/>
      <c r="O8742" s="48" t="s">
        <v>1566</v>
      </c>
      <c r="P8742" s="48" t="s">
        <v>79</v>
      </c>
      <c r="Q8742" s="48" t="s">
        <v>20</v>
      </c>
      <c r="R8742" s="48" t="s">
        <v>272</v>
      </c>
    </row>
    <row r="8743" spans="1:18" ht="69" customHeight="1">
      <c r="B8743" s="164">
        <f t="shared" si="65"/>
        <v>5860</v>
      </c>
      <c r="C8743" s="59" t="s">
        <v>9441</v>
      </c>
      <c r="D8743" s="611" t="s">
        <v>15226</v>
      </c>
      <c r="E8743" s="45" t="s">
        <v>877</v>
      </c>
      <c r="F8743" s="45" t="s">
        <v>21332</v>
      </c>
      <c r="G8743" s="45" t="s">
        <v>21333</v>
      </c>
      <c r="H8743" s="546">
        <v>356714.87</v>
      </c>
      <c r="I8743" s="47">
        <v>45458</v>
      </c>
      <c r="J8743" s="73" t="s">
        <v>21329</v>
      </c>
      <c r="K8743" s="198"/>
      <c r="L8743" s="99"/>
      <c r="O8743" s="62" t="s">
        <v>1566</v>
      </c>
      <c r="P8743" s="45" t="s">
        <v>79</v>
      </c>
      <c r="Q8743" s="45" t="s">
        <v>116</v>
      </c>
      <c r="R8743" s="45" t="s">
        <v>272</v>
      </c>
    </row>
    <row r="8744" spans="1:18" ht="69" customHeight="1">
      <c r="B8744" s="164">
        <f t="shared" si="65"/>
        <v>5861</v>
      </c>
      <c r="C8744" s="59" t="s">
        <v>9596</v>
      </c>
      <c r="D8744" s="611" t="s">
        <v>10588</v>
      </c>
      <c r="E8744" s="45" t="s">
        <v>877</v>
      </c>
      <c r="F8744" s="45" t="s">
        <v>21334</v>
      </c>
      <c r="G8744" s="45" t="s">
        <v>21333</v>
      </c>
      <c r="H8744" s="546">
        <v>395335.98</v>
      </c>
      <c r="I8744" s="47">
        <v>45458</v>
      </c>
      <c r="J8744" s="73" t="s">
        <v>21329</v>
      </c>
      <c r="K8744" s="198"/>
      <c r="L8744" s="99"/>
      <c r="O8744" s="62" t="s">
        <v>1566</v>
      </c>
      <c r="P8744" s="45" t="s">
        <v>79</v>
      </c>
      <c r="Q8744" s="45" t="s">
        <v>118</v>
      </c>
      <c r="R8744" s="45" t="s">
        <v>272</v>
      </c>
    </row>
    <row r="8745" spans="1:18" ht="69" customHeight="1">
      <c r="B8745" s="164">
        <f t="shared" si="65"/>
        <v>5862</v>
      </c>
      <c r="C8745" s="45" t="s">
        <v>8721</v>
      </c>
      <c r="D8745" s="611" t="s">
        <v>10580</v>
      </c>
      <c r="E8745" s="45" t="s">
        <v>877</v>
      </c>
      <c r="F8745" s="45" t="s">
        <v>21335</v>
      </c>
      <c r="G8745" s="45" t="s">
        <v>21333</v>
      </c>
      <c r="H8745" s="546">
        <v>195254.82</v>
      </c>
      <c r="I8745" s="47">
        <v>45458</v>
      </c>
      <c r="J8745" s="73" t="s">
        <v>21329</v>
      </c>
      <c r="K8745" s="45"/>
      <c r="L8745" s="99"/>
      <c r="O8745" s="62" t="s">
        <v>1566</v>
      </c>
      <c r="P8745" s="45" t="s">
        <v>79</v>
      </c>
      <c r="Q8745" s="45" t="s">
        <v>109</v>
      </c>
      <c r="R8745" s="45" t="s">
        <v>272</v>
      </c>
    </row>
    <row r="8746" spans="1:18" ht="69" customHeight="1">
      <c r="B8746" s="164">
        <f t="shared" si="65"/>
        <v>5863</v>
      </c>
      <c r="C8746" s="59" t="s">
        <v>9322</v>
      </c>
      <c r="D8746" s="611" t="s">
        <v>21336</v>
      </c>
      <c r="E8746" s="45" t="s">
        <v>877</v>
      </c>
      <c r="F8746" s="45" t="s">
        <v>21337</v>
      </c>
      <c r="G8746" s="45" t="s">
        <v>21338</v>
      </c>
      <c r="H8746" s="546">
        <v>306205.46000000002</v>
      </c>
      <c r="I8746" s="47">
        <v>45458</v>
      </c>
      <c r="J8746" s="73" t="s">
        <v>21329</v>
      </c>
      <c r="K8746" s="45"/>
      <c r="L8746" s="99"/>
      <c r="O8746" s="62" t="s">
        <v>1566</v>
      </c>
      <c r="P8746" s="45" t="s">
        <v>79</v>
      </c>
      <c r="Q8746" s="45" t="s">
        <v>114</v>
      </c>
      <c r="R8746" s="45" t="s">
        <v>272</v>
      </c>
    </row>
    <row r="8747" spans="1:18" ht="69" customHeight="1">
      <c r="B8747" s="65">
        <f t="shared" si="65"/>
        <v>5864</v>
      </c>
      <c r="C8747" s="59" t="s">
        <v>7521</v>
      </c>
      <c r="D8747" s="611" t="s">
        <v>10589</v>
      </c>
      <c r="E8747" s="45" t="s">
        <v>877</v>
      </c>
      <c r="F8747" s="45" t="s">
        <v>21339</v>
      </c>
      <c r="G8747" s="45" t="s">
        <v>21333</v>
      </c>
      <c r="H8747" s="546">
        <v>164270.59</v>
      </c>
      <c r="I8747" s="47">
        <v>45458</v>
      </c>
      <c r="J8747" s="73" t="s">
        <v>21329</v>
      </c>
      <c r="K8747" s="45"/>
      <c r="L8747" s="99"/>
      <c r="O8747" s="62" t="s">
        <v>1566</v>
      </c>
      <c r="P8747" s="45" t="s">
        <v>79</v>
      </c>
      <c r="Q8747" s="45" t="s">
        <v>102</v>
      </c>
      <c r="R8747" s="45" t="s">
        <v>272</v>
      </c>
    </row>
    <row r="8748" spans="1:18" ht="69" customHeight="1">
      <c r="B8748" s="181">
        <f t="shared" si="65"/>
        <v>5865</v>
      </c>
      <c r="C8748" s="58" t="s">
        <v>8057</v>
      </c>
      <c r="D8748" s="611" t="s">
        <v>17756</v>
      </c>
      <c r="E8748" s="45" t="s">
        <v>877</v>
      </c>
      <c r="F8748" s="45" t="s">
        <v>21340</v>
      </c>
      <c r="G8748" s="45" t="s">
        <v>21338</v>
      </c>
      <c r="H8748" s="546">
        <v>216203.22</v>
      </c>
      <c r="I8748" s="47">
        <v>45458</v>
      </c>
      <c r="J8748" s="73" t="s">
        <v>21329</v>
      </c>
      <c r="K8748" s="45"/>
      <c r="L8748" s="99"/>
      <c r="O8748" s="62" t="s">
        <v>1566</v>
      </c>
      <c r="P8748" s="45" t="s">
        <v>79</v>
      </c>
      <c r="Q8748" s="45" t="s">
        <v>105</v>
      </c>
      <c r="R8748" s="45" t="s">
        <v>272</v>
      </c>
    </row>
    <row r="8749" spans="1:18" ht="69" customHeight="1">
      <c r="B8749" s="164">
        <f t="shared" si="65"/>
        <v>5866</v>
      </c>
      <c r="C8749" s="58" t="s">
        <v>18826</v>
      </c>
      <c r="D8749" s="611" t="s">
        <v>17758</v>
      </c>
      <c r="E8749" s="45" t="s">
        <v>877</v>
      </c>
      <c r="F8749" s="45" t="s">
        <v>21341</v>
      </c>
      <c r="G8749" s="45" t="s">
        <v>21338</v>
      </c>
      <c r="H8749" s="546">
        <v>230158.31</v>
      </c>
      <c r="I8749" s="47">
        <v>45458</v>
      </c>
      <c r="J8749" s="73" t="s">
        <v>21329</v>
      </c>
      <c r="K8749" s="45"/>
      <c r="L8749" s="99"/>
      <c r="O8749" s="62" t="s">
        <v>1566</v>
      </c>
      <c r="P8749" s="45" t="s">
        <v>79</v>
      </c>
      <c r="Q8749" s="45" t="s">
        <v>108</v>
      </c>
      <c r="R8749" s="45" t="s">
        <v>272</v>
      </c>
    </row>
    <row r="8750" spans="1:18" ht="69" customHeight="1">
      <c r="B8750" s="164">
        <f t="shared" si="65"/>
        <v>5867</v>
      </c>
      <c r="C8750" s="45" t="s">
        <v>7452</v>
      </c>
      <c r="D8750" s="45" t="s">
        <v>17760</v>
      </c>
      <c r="E8750" s="45" t="s">
        <v>877</v>
      </c>
      <c r="F8750" s="45" t="s">
        <v>21342</v>
      </c>
      <c r="G8750" s="45" t="s">
        <v>21338</v>
      </c>
      <c r="H8750" s="546">
        <v>226979.96</v>
      </c>
      <c r="I8750" s="47">
        <v>45458</v>
      </c>
      <c r="J8750" s="81" t="s">
        <v>21329</v>
      </c>
      <c r="K8750" s="45"/>
      <c r="L8750" s="99"/>
      <c r="O8750" s="62" t="s">
        <v>1566</v>
      </c>
      <c r="P8750" s="45" t="s">
        <v>79</v>
      </c>
      <c r="Q8750" s="45" t="s">
        <v>101</v>
      </c>
      <c r="R8750" s="45" t="s">
        <v>272</v>
      </c>
    </row>
    <row r="8751" spans="1:18" ht="69" customHeight="1">
      <c r="B8751" s="65">
        <f t="shared" si="65"/>
        <v>5868</v>
      </c>
      <c r="C8751" s="45" t="s">
        <v>1593</v>
      </c>
      <c r="D8751" s="45" t="s">
        <v>21343</v>
      </c>
      <c r="E8751" s="45" t="s">
        <v>877</v>
      </c>
      <c r="F8751" s="45" t="s">
        <v>21344</v>
      </c>
      <c r="G8751" s="45" t="s">
        <v>21328</v>
      </c>
      <c r="H8751" s="546">
        <v>146812.34</v>
      </c>
      <c r="I8751" s="47">
        <v>45458</v>
      </c>
      <c r="J8751" s="81" t="s">
        <v>21329</v>
      </c>
      <c r="K8751" s="45"/>
      <c r="L8751" s="99"/>
      <c r="O8751" s="62" t="s">
        <v>1566</v>
      </c>
      <c r="P8751" s="45" t="s">
        <v>79</v>
      </c>
      <c r="Q8751" s="45" t="s">
        <v>27</v>
      </c>
      <c r="R8751" s="45" t="s">
        <v>272</v>
      </c>
    </row>
    <row r="8752" spans="1:18" s="98" customFormat="1" ht="69" customHeight="1">
      <c r="A8752" s="169"/>
      <c r="B8752" s="417">
        <f t="shared" si="65"/>
        <v>5869</v>
      </c>
      <c r="C8752" s="59" t="s">
        <v>8080</v>
      </c>
      <c r="D8752" s="84" t="s">
        <v>16824</v>
      </c>
      <c r="E8752" s="45" t="s">
        <v>877</v>
      </c>
      <c r="F8752" s="45" t="s">
        <v>21345</v>
      </c>
      <c r="G8752" s="45" t="s">
        <v>21328</v>
      </c>
      <c r="H8752" s="198">
        <v>173619.05</v>
      </c>
      <c r="I8752" s="47">
        <v>45540</v>
      </c>
      <c r="J8752" s="81" t="s">
        <v>21329</v>
      </c>
      <c r="K8752" s="48"/>
      <c r="M8752" s="99"/>
      <c r="N8752" s="99"/>
      <c r="O8752" s="48" t="s">
        <v>1566</v>
      </c>
      <c r="P8752" s="48" t="s">
        <v>79</v>
      </c>
      <c r="Q8752" s="48" t="s">
        <v>106</v>
      </c>
      <c r="R8752" s="48" t="s">
        <v>272</v>
      </c>
    </row>
    <row r="8753" spans="1:18" ht="69" customHeight="1">
      <c r="B8753" s="197">
        <f t="shared" si="65"/>
        <v>5870</v>
      </c>
      <c r="C8753" s="45" t="s">
        <v>3368</v>
      </c>
      <c r="D8753" s="45" t="s">
        <v>21346</v>
      </c>
      <c r="E8753" s="45" t="s">
        <v>877</v>
      </c>
      <c r="F8753" s="45" t="s">
        <v>21347</v>
      </c>
      <c r="G8753" s="45" t="s">
        <v>21328</v>
      </c>
      <c r="H8753" s="546">
        <v>165545.84</v>
      </c>
      <c r="I8753" s="47">
        <v>45458</v>
      </c>
      <c r="J8753" s="81" t="s">
        <v>21329</v>
      </c>
      <c r="K8753" s="45"/>
      <c r="L8753" s="99"/>
      <c r="O8753" s="62" t="s">
        <v>1566</v>
      </c>
      <c r="P8753" s="45" t="s">
        <v>79</v>
      </c>
      <c r="Q8753" s="45" t="s">
        <v>43</v>
      </c>
      <c r="R8753" s="45" t="s">
        <v>272</v>
      </c>
    </row>
    <row r="8754" spans="1:18" ht="69" customHeight="1">
      <c r="B8754" s="181">
        <f t="shared" ref="B8754:B8777" si="66">B8753+1</f>
        <v>5871</v>
      </c>
      <c r="C8754" s="45" t="s">
        <v>4411</v>
      </c>
      <c r="D8754" s="45" t="s">
        <v>21348</v>
      </c>
      <c r="E8754" s="45" t="s">
        <v>21349</v>
      </c>
      <c r="F8754" s="45" t="s">
        <v>21350</v>
      </c>
      <c r="G8754" s="45" t="s">
        <v>21037</v>
      </c>
      <c r="H8754" s="546">
        <v>58000</v>
      </c>
      <c r="I8754" s="47">
        <v>45458</v>
      </c>
      <c r="J8754" s="81" t="s">
        <v>21351</v>
      </c>
      <c r="K8754" s="48"/>
      <c r="L8754" s="99"/>
      <c r="O8754" s="62" t="s">
        <v>192</v>
      </c>
      <c r="P8754" s="45" t="s">
        <v>75</v>
      </c>
      <c r="Q8754" s="45" t="s">
        <v>54</v>
      </c>
      <c r="R8754" s="45" t="s">
        <v>265</v>
      </c>
    </row>
    <row r="8755" spans="1:18" ht="69" customHeight="1">
      <c r="B8755" s="164">
        <f t="shared" si="66"/>
        <v>5872</v>
      </c>
      <c r="C8755" s="45" t="s">
        <v>21050</v>
      </c>
      <c r="D8755" s="84" t="s">
        <v>18282</v>
      </c>
      <c r="E8755" s="45" t="s">
        <v>21043</v>
      </c>
      <c r="F8755" s="45" t="s">
        <v>21352</v>
      </c>
      <c r="G8755" s="45" t="s">
        <v>21353</v>
      </c>
      <c r="H8755" s="546">
        <v>598359.15</v>
      </c>
      <c r="I8755" s="47">
        <v>45458</v>
      </c>
      <c r="J8755" s="81" t="s">
        <v>21354</v>
      </c>
      <c r="K8755" s="48"/>
      <c r="L8755" s="99"/>
      <c r="O8755" s="62" t="s">
        <v>14160</v>
      </c>
      <c r="P8755" s="45" t="s">
        <v>26</v>
      </c>
      <c r="Q8755" s="45" t="s">
        <v>117</v>
      </c>
      <c r="R8755" s="45" t="s">
        <v>272</v>
      </c>
    </row>
    <row r="8756" spans="1:18" ht="69" customHeight="1">
      <c r="B8756" s="164">
        <f t="shared" si="66"/>
        <v>5873</v>
      </c>
      <c r="C8756" s="45" t="s">
        <v>11908</v>
      </c>
      <c r="D8756" s="84" t="s">
        <v>18286</v>
      </c>
      <c r="E8756" s="45" t="s">
        <v>21043</v>
      </c>
      <c r="F8756" s="45" t="s">
        <v>21355</v>
      </c>
      <c r="G8756" s="45" t="s">
        <v>21356</v>
      </c>
      <c r="H8756" s="546">
        <v>384849.76</v>
      </c>
      <c r="I8756" s="47">
        <v>45458</v>
      </c>
      <c r="J8756" s="81" t="s">
        <v>21354</v>
      </c>
      <c r="K8756" s="62"/>
      <c r="L8756" s="99"/>
      <c r="O8756" s="62" t="s">
        <v>14160</v>
      </c>
      <c r="P8756" s="45" t="s">
        <v>26</v>
      </c>
      <c r="Q8756" s="45" t="s">
        <v>103</v>
      </c>
      <c r="R8756" s="45" t="s">
        <v>272</v>
      </c>
    </row>
    <row r="8757" spans="1:18" ht="69" customHeight="1">
      <c r="B8757" s="65">
        <f t="shared" si="66"/>
        <v>5874</v>
      </c>
      <c r="C8757" s="45" t="s">
        <v>11908</v>
      </c>
      <c r="D8757" s="84" t="s">
        <v>18297</v>
      </c>
      <c r="E8757" s="45" t="s">
        <v>21043</v>
      </c>
      <c r="F8757" s="45" t="s">
        <v>21357</v>
      </c>
      <c r="G8757" s="45" t="s">
        <v>21358</v>
      </c>
      <c r="H8757" s="546">
        <v>13704.55</v>
      </c>
      <c r="I8757" s="47">
        <v>45458</v>
      </c>
      <c r="J8757" s="81" t="s">
        <v>21354</v>
      </c>
      <c r="K8757" s="62"/>
      <c r="L8757" s="99"/>
      <c r="O8757" s="62" t="s">
        <v>14160</v>
      </c>
      <c r="P8757" s="45" t="s">
        <v>26</v>
      </c>
      <c r="Q8757" s="45" t="s">
        <v>103</v>
      </c>
      <c r="R8757" s="45" t="s">
        <v>272</v>
      </c>
    </row>
    <row r="8758" spans="1:18" ht="69" customHeight="1">
      <c r="B8758" s="184">
        <f t="shared" si="66"/>
        <v>5875</v>
      </c>
      <c r="C8758" s="45" t="s">
        <v>5615</v>
      </c>
      <c r="D8758" s="84" t="s">
        <v>21359</v>
      </c>
      <c r="E8758" s="45" t="s">
        <v>432</v>
      </c>
      <c r="F8758" s="45" t="s">
        <v>21360</v>
      </c>
      <c r="G8758" s="45" t="s">
        <v>21361</v>
      </c>
      <c r="H8758" s="546">
        <v>34317.03</v>
      </c>
      <c r="I8758" s="47">
        <v>45478</v>
      </c>
      <c r="J8758" s="81" t="s">
        <v>21362</v>
      </c>
      <c r="K8758" s="48"/>
      <c r="M8758" s="183"/>
      <c r="N8758" s="183"/>
      <c r="O8758" s="48" t="s">
        <v>2091</v>
      </c>
      <c r="P8758" s="45" t="s">
        <v>53</v>
      </c>
      <c r="Q8758" s="45" t="s">
        <v>95</v>
      </c>
      <c r="R8758" s="45" t="s">
        <v>272</v>
      </c>
    </row>
    <row r="8759" spans="1:18" s="98" customFormat="1" ht="69" customHeight="1">
      <c r="A8759" s="169"/>
      <c r="B8759" s="163">
        <f t="shared" si="66"/>
        <v>5876</v>
      </c>
      <c r="C8759" s="45" t="s">
        <v>5615</v>
      </c>
      <c r="D8759" s="84" t="s">
        <v>21363</v>
      </c>
      <c r="E8759" s="45" t="s">
        <v>432</v>
      </c>
      <c r="F8759" s="45" t="s">
        <v>21364</v>
      </c>
      <c r="G8759" s="45" t="s">
        <v>21365</v>
      </c>
      <c r="H8759" s="546">
        <v>34317.03</v>
      </c>
      <c r="I8759" s="47">
        <v>45478</v>
      </c>
      <c r="J8759" s="81" t="s">
        <v>21362</v>
      </c>
      <c r="K8759" s="48"/>
      <c r="O8759" s="48" t="s">
        <v>2091</v>
      </c>
      <c r="P8759" s="45" t="s">
        <v>53</v>
      </c>
      <c r="Q8759" s="45" t="s">
        <v>93</v>
      </c>
      <c r="R8759" s="45" t="s">
        <v>272</v>
      </c>
    </row>
    <row r="8760" spans="1:18" ht="69" customHeight="1">
      <c r="B8760" s="163">
        <f t="shared" si="66"/>
        <v>5877</v>
      </c>
      <c r="C8760" s="45" t="s">
        <v>5615</v>
      </c>
      <c r="D8760" s="84" t="s">
        <v>21366</v>
      </c>
      <c r="E8760" s="45" t="s">
        <v>432</v>
      </c>
      <c r="F8760" s="45" t="s">
        <v>21367</v>
      </c>
      <c r="G8760" s="45" t="s">
        <v>20499</v>
      </c>
      <c r="H8760" s="546">
        <v>34317.03</v>
      </c>
      <c r="I8760" s="47">
        <v>45478</v>
      </c>
      <c r="J8760" s="81" t="s">
        <v>21362</v>
      </c>
      <c r="K8760" s="48"/>
      <c r="M8760" s="98"/>
      <c r="N8760" s="98"/>
      <c r="O8760" s="48" t="s">
        <v>2091</v>
      </c>
      <c r="P8760" s="45" t="s">
        <v>53</v>
      </c>
      <c r="Q8760" s="45" t="s">
        <v>84</v>
      </c>
      <c r="R8760" s="45" t="s">
        <v>272</v>
      </c>
    </row>
    <row r="8761" spans="1:18" ht="69" customHeight="1">
      <c r="B8761" s="313">
        <f t="shared" si="66"/>
        <v>5878</v>
      </c>
      <c r="C8761" s="207" t="s">
        <v>3667</v>
      </c>
      <c r="D8761" s="303" t="s">
        <v>21368</v>
      </c>
      <c r="E8761" s="207" t="s">
        <v>16276</v>
      </c>
      <c r="F8761" s="208" t="s">
        <v>21369</v>
      </c>
      <c r="G8761" s="160" t="s">
        <v>21370</v>
      </c>
      <c r="H8761" s="300">
        <v>19629.16</v>
      </c>
      <c r="I8761" s="209">
        <v>45458</v>
      </c>
      <c r="J8761" s="338" t="s">
        <v>21371</v>
      </c>
      <c r="K8761" s="259"/>
      <c r="L8761" s="99"/>
      <c r="O8761" s="259" t="s">
        <v>11192</v>
      </c>
      <c r="P8761" s="160" t="s">
        <v>67</v>
      </c>
      <c r="Q8761" s="160" t="s">
        <v>49</v>
      </c>
      <c r="R8761" s="160" t="s">
        <v>272</v>
      </c>
    </row>
    <row r="8762" spans="1:18" ht="69" customHeight="1">
      <c r="B8762" s="313">
        <f t="shared" si="66"/>
        <v>5879</v>
      </c>
      <c r="C8762" s="207" t="s">
        <v>309</v>
      </c>
      <c r="D8762" s="303" t="s">
        <v>21372</v>
      </c>
      <c r="E8762" s="207" t="s">
        <v>16276</v>
      </c>
      <c r="F8762" s="208" t="s">
        <v>21373</v>
      </c>
      <c r="G8762" s="160" t="s">
        <v>21370</v>
      </c>
      <c r="H8762" s="300">
        <v>15335.28</v>
      </c>
      <c r="I8762" s="209">
        <v>45458</v>
      </c>
      <c r="J8762" s="338" t="s">
        <v>21371</v>
      </c>
      <c r="K8762" s="259"/>
      <c r="L8762" s="99"/>
      <c r="O8762" s="259" t="s">
        <v>11192</v>
      </c>
      <c r="P8762" s="160" t="s">
        <v>67</v>
      </c>
      <c r="Q8762" s="160" t="s">
        <v>15</v>
      </c>
      <c r="R8762" s="160" t="s">
        <v>272</v>
      </c>
    </row>
    <row r="8763" spans="1:18" ht="69" customHeight="1">
      <c r="B8763" s="313">
        <f t="shared" si="66"/>
        <v>5880</v>
      </c>
      <c r="C8763" s="160" t="s">
        <v>458</v>
      </c>
      <c r="D8763" s="303" t="s">
        <v>18293</v>
      </c>
      <c r="E8763" s="207" t="s">
        <v>16276</v>
      </c>
      <c r="F8763" s="208" t="s">
        <v>21374</v>
      </c>
      <c r="G8763" s="160" t="s">
        <v>21370</v>
      </c>
      <c r="H8763" s="300">
        <v>15335.28</v>
      </c>
      <c r="I8763" s="209">
        <v>45458</v>
      </c>
      <c r="J8763" s="338" t="s">
        <v>21371</v>
      </c>
      <c r="K8763" s="259"/>
      <c r="L8763" s="99"/>
      <c r="O8763" s="259" t="s">
        <v>11192</v>
      </c>
      <c r="P8763" s="160" t="s">
        <v>67</v>
      </c>
      <c r="Q8763" s="160" t="s">
        <v>90</v>
      </c>
      <c r="R8763" s="160" t="s">
        <v>272</v>
      </c>
    </row>
    <row r="8764" spans="1:18" ht="69" customHeight="1">
      <c r="B8764" s="316">
        <f t="shared" si="66"/>
        <v>5881</v>
      </c>
      <c r="C8764" s="160" t="s">
        <v>657</v>
      </c>
      <c r="D8764" s="303" t="s">
        <v>10778</v>
      </c>
      <c r="E8764" s="207" t="s">
        <v>16276</v>
      </c>
      <c r="F8764" s="208" t="s">
        <v>21375</v>
      </c>
      <c r="G8764" s="160" t="s">
        <v>21370</v>
      </c>
      <c r="H8764" s="300">
        <v>11041.39</v>
      </c>
      <c r="I8764" s="209">
        <v>45458</v>
      </c>
      <c r="J8764" s="338" t="s">
        <v>21371</v>
      </c>
      <c r="K8764" s="259"/>
      <c r="L8764" s="99"/>
      <c r="O8764" s="259" t="s">
        <v>11192</v>
      </c>
      <c r="P8764" s="160" t="s">
        <v>67</v>
      </c>
      <c r="Q8764" s="160" t="s">
        <v>99</v>
      </c>
      <c r="R8764" s="160" t="s">
        <v>272</v>
      </c>
    </row>
    <row r="8765" spans="1:18" ht="69" customHeight="1">
      <c r="B8765" s="314">
        <f t="shared" si="66"/>
        <v>5882</v>
      </c>
      <c r="C8765" s="160" t="s">
        <v>458</v>
      </c>
      <c r="D8765" s="311" t="s">
        <v>21376</v>
      </c>
      <c r="E8765" s="207" t="s">
        <v>266</v>
      </c>
      <c r="F8765" s="160" t="s">
        <v>21377</v>
      </c>
      <c r="G8765" s="160" t="s">
        <v>20250</v>
      </c>
      <c r="H8765" s="300">
        <v>844.4</v>
      </c>
      <c r="I8765" s="209">
        <v>45458</v>
      </c>
      <c r="J8765" s="316" t="s">
        <v>21378</v>
      </c>
      <c r="K8765" s="160" t="s">
        <v>20222</v>
      </c>
      <c r="L8765" s="99"/>
      <c r="O8765" s="259" t="s">
        <v>20892</v>
      </c>
      <c r="P8765" s="160" t="s">
        <v>67</v>
      </c>
      <c r="Q8765" s="160" t="s">
        <v>96</v>
      </c>
      <c r="R8765" s="160" t="s">
        <v>272</v>
      </c>
    </row>
    <row r="8766" spans="1:18" ht="69" customHeight="1">
      <c r="B8766" s="164">
        <f t="shared" si="66"/>
        <v>5883</v>
      </c>
      <c r="C8766" s="59" t="s">
        <v>309</v>
      </c>
      <c r="D8766" s="200" t="s">
        <v>21379</v>
      </c>
      <c r="E8766" s="58" t="s">
        <v>18110</v>
      </c>
      <c r="F8766" s="58" t="s">
        <v>21380</v>
      </c>
      <c r="G8766" s="45" t="s">
        <v>21381</v>
      </c>
      <c r="H8766" s="546">
        <v>2382.5</v>
      </c>
      <c r="I8766" s="47">
        <v>45458</v>
      </c>
      <c r="J8766" s="73" t="s">
        <v>21382</v>
      </c>
      <c r="K8766" s="62"/>
      <c r="L8766" s="99"/>
      <c r="O8766" s="62" t="s">
        <v>150</v>
      </c>
      <c r="P8766" s="45" t="s">
        <v>51</v>
      </c>
      <c r="Q8766" s="45" t="s">
        <v>31</v>
      </c>
      <c r="R8766" s="45" t="s">
        <v>272</v>
      </c>
    </row>
    <row r="8767" spans="1:18" ht="69" customHeight="1">
      <c r="B8767" s="164">
        <f t="shared" si="66"/>
        <v>5884</v>
      </c>
      <c r="C8767" s="59" t="s">
        <v>3667</v>
      </c>
      <c r="D8767" s="200" t="s">
        <v>21383</v>
      </c>
      <c r="E8767" s="58" t="s">
        <v>18110</v>
      </c>
      <c r="F8767" s="58" t="s">
        <v>21384</v>
      </c>
      <c r="G8767" s="45" t="s">
        <v>21381</v>
      </c>
      <c r="H8767" s="546">
        <v>2382.4899999999998</v>
      </c>
      <c r="I8767" s="47">
        <v>45458</v>
      </c>
      <c r="J8767" s="73" t="s">
        <v>21382</v>
      </c>
      <c r="K8767" s="62"/>
      <c r="L8767" s="99"/>
      <c r="O8767" s="62" t="s">
        <v>150</v>
      </c>
      <c r="P8767" s="45" t="s">
        <v>51</v>
      </c>
      <c r="Q8767" s="45" t="s">
        <v>70</v>
      </c>
      <c r="R8767" s="45" t="s">
        <v>272</v>
      </c>
    </row>
    <row r="8768" spans="1:18" ht="69" customHeight="1">
      <c r="B8768" s="164">
        <f t="shared" si="66"/>
        <v>5885</v>
      </c>
      <c r="C8768" s="59" t="s">
        <v>309</v>
      </c>
      <c r="D8768" s="200" t="s">
        <v>21385</v>
      </c>
      <c r="E8768" s="58" t="s">
        <v>18110</v>
      </c>
      <c r="F8768" s="58" t="s">
        <v>21386</v>
      </c>
      <c r="G8768" s="45" t="s">
        <v>21381</v>
      </c>
      <c r="H8768" s="546">
        <v>2382.4899999999998</v>
      </c>
      <c r="I8768" s="47">
        <v>45458</v>
      </c>
      <c r="J8768" s="73" t="s">
        <v>21382</v>
      </c>
      <c r="K8768" s="62"/>
      <c r="L8768" s="99"/>
      <c r="O8768" s="62" t="s">
        <v>150</v>
      </c>
      <c r="P8768" s="45" t="s">
        <v>51</v>
      </c>
      <c r="Q8768" s="45" t="s">
        <v>13</v>
      </c>
      <c r="R8768" s="45" t="s">
        <v>272</v>
      </c>
    </row>
    <row r="8769" spans="2:18" ht="69" customHeight="1">
      <c r="B8769" s="164">
        <f t="shared" si="66"/>
        <v>5886</v>
      </c>
      <c r="C8769" s="59" t="s">
        <v>309</v>
      </c>
      <c r="D8769" s="200" t="s">
        <v>21387</v>
      </c>
      <c r="E8769" s="58" t="s">
        <v>18110</v>
      </c>
      <c r="F8769" s="58" t="s">
        <v>21388</v>
      </c>
      <c r="G8769" s="45" t="s">
        <v>21381</v>
      </c>
      <c r="H8769" s="546">
        <v>1936.51</v>
      </c>
      <c r="I8769" s="47">
        <v>45458</v>
      </c>
      <c r="J8769" s="73" t="s">
        <v>21382</v>
      </c>
      <c r="K8769" s="62"/>
      <c r="L8769" s="99"/>
      <c r="O8769" s="62" t="s">
        <v>150</v>
      </c>
      <c r="P8769" s="45" t="s">
        <v>51</v>
      </c>
      <c r="Q8769" s="45" t="s">
        <v>27</v>
      </c>
      <c r="R8769" s="45" t="s">
        <v>272</v>
      </c>
    </row>
    <row r="8770" spans="2:18" ht="69" customHeight="1">
      <c r="B8770" s="164">
        <f t="shared" si="66"/>
        <v>5887</v>
      </c>
      <c r="C8770" s="59" t="s">
        <v>309</v>
      </c>
      <c r="D8770" s="200" t="s">
        <v>21389</v>
      </c>
      <c r="E8770" s="58" t="s">
        <v>18110</v>
      </c>
      <c r="F8770" s="58" t="s">
        <v>21390</v>
      </c>
      <c r="G8770" s="45" t="s">
        <v>21381</v>
      </c>
      <c r="H8770" s="546">
        <v>1490.5</v>
      </c>
      <c r="I8770" s="47">
        <v>45458</v>
      </c>
      <c r="J8770" s="73" t="s">
        <v>21382</v>
      </c>
      <c r="K8770" s="62"/>
      <c r="L8770" s="99"/>
      <c r="O8770" s="62" t="s">
        <v>150</v>
      </c>
      <c r="P8770" s="45" t="s">
        <v>51</v>
      </c>
      <c r="Q8770" s="45" t="s">
        <v>23</v>
      </c>
      <c r="R8770" s="45" t="s">
        <v>272</v>
      </c>
    </row>
    <row r="8771" spans="2:18" ht="69" customHeight="1">
      <c r="B8771" s="316">
        <f t="shared" si="66"/>
        <v>5888</v>
      </c>
      <c r="C8771" s="160" t="s">
        <v>3340</v>
      </c>
      <c r="D8771" s="311" t="s">
        <v>1285</v>
      </c>
      <c r="E8771" s="160" t="s">
        <v>266</v>
      </c>
      <c r="F8771" s="160" t="s">
        <v>21391</v>
      </c>
      <c r="G8771" s="160" t="s">
        <v>21392</v>
      </c>
      <c r="H8771" s="300">
        <v>4194.8</v>
      </c>
      <c r="I8771" s="209">
        <v>45458</v>
      </c>
      <c r="J8771" s="316" t="s">
        <v>21393</v>
      </c>
      <c r="K8771" s="259"/>
      <c r="L8771" s="99"/>
      <c r="O8771" s="259" t="s">
        <v>13735</v>
      </c>
      <c r="P8771" s="160" t="s">
        <v>67</v>
      </c>
      <c r="Q8771" s="160" t="s">
        <v>88</v>
      </c>
      <c r="R8771" s="160" t="s">
        <v>272</v>
      </c>
    </row>
    <row r="8772" spans="2:18" ht="69" customHeight="1">
      <c r="B8772" s="314">
        <f t="shared" si="66"/>
        <v>5889</v>
      </c>
      <c r="C8772" s="160" t="s">
        <v>9004</v>
      </c>
      <c r="D8772" s="311" t="s">
        <v>10747</v>
      </c>
      <c r="E8772" s="160" t="s">
        <v>266</v>
      </c>
      <c r="F8772" s="160" t="s">
        <v>21394</v>
      </c>
      <c r="G8772" s="160" t="s">
        <v>20250</v>
      </c>
      <c r="H8772" s="300">
        <v>30965.200000000001</v>
      </c>
      <c r="I8772" s="209">
        <v>45458</v>
      </c>
      <c r="J8772" s="316" t="s">
        <v>21395</v>
      </c>
      <c r="K8772" s="160" t="s">
        <v>20222</v>
      </c>
      <c r="L8772" s="99"/>
      <c r="O8772" s="259" t="s">
        <v>12529</v>
      </c>
      <c r="P8772" s="160" t="s">
        <v>67</v>
      </c>
      <c r="Q8772" s="160" t="s">
        <v>111</v>
      </c>
      <c r="R8772" s="160" t="s">
        <v>272</v>
      </c>
    </row>
    <row r="8773" spans="2:18" ht="69" customHeight="1">
      <c r="B8773" s="164">
        <f t="shared" si="66"/>
        <v>5890</v>
      </c>
      <c r="C8773" s="59" t="s">
        <v>15449</v>
      </c>
      <c r="D8773" s="200" t="s">
        <v>21396</v>
      </c>
      <c r="E8773" s="58" t="s">
        <v>21397</v>
      </c>
      <c r="F8773" s="58" t="s">
        <v>21398</v>
      </c>
      <c r="G8773" s="45" t="s">
        <v>21399</v>
      </c>
      <c r="H8773" s="546">
        <v>41000</v>
      </c>
      <c r="I8773" s="47">
        <v>45458</v>
      </c>
      <c r="J8773" s="73" t="s">
        <v>21400</v>
      </c>
      <c r="K8773" s="62"/>
      <c r="L8773" s="99"/>
      <c r="O8773" s="62" t="s">
        <v>192</v>
      </c>
      <c r="P8773" s="45" t="s">
        <v>75</v>
      </c>
      <c r="Q8773" s="45" t="s">
        <v>41</v>
      </c>
      <c r="R8773" s="45" t="s">
        <v>265</v>
      </c>
    </row>
    <row r="8774" spans="2:18" ht="69" customHeight="1">
      <c r="B8774" s="164">
        <f t="shared" si="66"/>
        <v>5891</v>
      </c>
      <c r="C8774" s="59" t="s">
        <v>15449</v>
      </c>
      <c r="D8774" s="200" t="s">
        <v>21401</v>
      </c>
      <c r="E8774" s="58" t="s">
        <v>21397</v>
      </c>
      <c r="F8774" s="58" t="s">
        <v>21402</v>
      </c>
      <c r="G8774" s="45" t="s">
        <v>21399</v>
      </c>
      <c r="H8774" s="546">
        <v>42321</v>
      </c>
      <c r="I8774" s="47">
        <v>45458</v>
      </c>
      <c r="J8774" s="73" t="s">
        <v>21403</v>
      </c>
      <c r="K8774" s="62"/>
      <c r="L8774" s="99"/>
      <c r="O8774" s="62" t="s">
        <v>192</v>
      </c>
      <c r="P8774" s="45" t="s">
        <v>75</v>
      </c>
      <c r="Q8774" s="45" t="s">
        <v>41</v>
      </c>
      <c r="R8774" s="45" t="s">
        <v>265</v>
      </c>
    </row>
    <row r="8775" spans="2:18" ht="69" customHeight="1">
      <c r="B8775" s="313">
        <f t="shared" si="66"/>
        <v>5892</v>
      </c>
      <c r="C8775" s="160" t="s">
        <v>9004</v>
      </c>
      <c r="D8775" s="311" t="s">
        <v>15734</v>
      </c>
      <c r="E8775" s="160" t="s">
        <v>11501</v>
      </c>
      <c r="F8775" s="160" t="s">
        <v>21404</v>
      </c>
      <c r="G8775" s="160" t="s">
        <v>20250</v>
      </c>
      <c r="H8775" s="300">
        <v>22118</v>
      </c>
      <c r="I8775" s="209">
        <v>45458</v>
      </c>
      <c r="J8775" s="316" t="s">
        <v>21405</v>
      </c>
      <c r="K8775" s="160" t="s">
        <v>20222</v>
      </c>
      <c r="L8775" s="99"/>
      <c r="O8775" s="259" t="s">
        <v>12529</v>
      </c>
      <c r="P8775" s="160" t="s">
        <v>67</v>
      </c>
      <c r="Q8775" s="160" t="s">
        <v>96</v>
      </c>
      <c r="R8775" s="160" t="s">
        <v>272</v>
      </c>
    </row>
    <row r="8776" spans="2:18" ht="69" customHeight="1">
      <c r="B8776" s="313">
        <f t="shared" si="66"/>
        <v>5893</v>
      </c>
      <c r="C8776" s="160" t="s">
        <v>9004</v>
      </c>
      <c r="D8776" s="311" t="s">
        <v>10797</v>
      </c>
      <c r="E8776" s="160" t="s">
        <v>11501</v>
      </c>
      <c r="F8776" s="160" t="s">
        <v>21406</v>
      </c>
      <c r="G8776" s="160" t="s">
        <v>20250</v>
      </c>
      <c r="H8776" s="300">
        <v>22631.599999999999</v>
      </c>
      <c r="I8776" s="209">
        <v>45458</v>
      </c>
      <c r="J8776" s="316" t="s">
        <v>21405</v>
      </c>
      <c r="K8776" s="160" t="s">
        <v>20222</v>
      </c>
      <c r="L8776" s="99"/>
      <c r="O8776" s="259" t="s">
        <v>12529</v>
      </c>
      <c r="P8776" s="160" t="s">
        <v>67</v>
      </c>
      <c r="Q8776" s="160" t="s">
        <v>96</v>
      </c>
      <c r="R8776" s="160" t="s">
        <v>272</v>
      </c>
    </row>
    <row r="8777" spans="2:18" ht="69" customHeight="1">
      <c r="B8777" s="313">
        <f t="shared" si="66"/>
        <v>5894</v>
      </c>
      <c r="C8777" s="160" t="s">
        <v>9004</v>
      </c>
      <c r="D8777" s="311" t="s">
        <v>15370</v>
      </c>
      <c r="E8777" s="160" t="s">
        <v>11501</v>
      </c>
      <c r="F8777" s="160" t="s">
        <v>21407</v>
      </c>
      <c r="G8777" s="160" t="s">
        <v>20250</v>
      </c>
      <c r="H8777" s="300">
        <v>30965.200000000001</v>
      </c>
      <c r="I8777" s="209">
        <v>45458</v>
      </c>
      <c r="J8777" s="316" t="s">
        <v>21405</v>
      </c>
      <c r="K8777" s="160" t="s">
        <v>20222</v>
      </c>
      <c r="L8777" s="99"/>
      <c r="O8777" s="259" t="s">
        <v>12529</v>
      </c>
      <c r="P8777" s="160" t="s">
        <v>67</v>
      </c>
      <c r="Q8777" s="160" t="s">
        <v>96</v>
      </c>
      <c r="R8777" s="160" t="s">
        <v>272</v>
      </c>
    </row>
    <row r="8778" spans="2:18" ht="69" customHeight="1">
      <c r="B8778" s="313">
        <f t="shared" ref="B8778:B8841" si="67">B8777+1</f>
        <v>5895</v>
      </c>
      <c r="C8778" s="160" t="s">
        <v>9004</v>
      </c>
      <c r="D8778" s="311" t="s">
        <v>15374</v>
      </c>
      <c r="E8778" s="160" t="s">
        <v>11501</v>
      </c>
      <c r="F8778" s="160" t="s">
        <v>21408</v>
      </c>
      <c r="G8778" s="160" t="s">
        <v>20250</v>
      </c>
      <c r="H8778" s="300">
        <v>30965.200000000001</v>
      </c>
      <c r="I8778" s="209">
        <v>45458</v>
      </c>
      <c r="J8778" s="316" t="s">
        <v>21405</v>
      </c>
      <c r="K8778" s="160" t="s">
        <v>20222</v>
      </c>
      <c r="L8778" s="99"/>
      <c r="O8778" s="259" t="s">
        <v>12529</v>
      </c>
      <c r="P8778" s="160" t="s">
        <v>67</v>
      </c>
      <c r="Q8778" s="160" t="s">
        <v>96</v>
      </c>
      <c r="R8778" s="160" t="s">
        <v>272</v>
      </c>
    </row>
    <row r="8779" spans="2:18" ht="69" customHeight="1">
      <c r="B8779" s="65">
        <f t="shared" si="67"/>
        <v>5896</v>
      </c>
      <c r="C8779" s="45" t="s">
        <v>3368</v>
      </c>
      <c r="D8779" s="84" t="s">
        <v>21409</v>
      </c>
      <c r="E8779" s="45" t="s">
        <v>21410</v>
      </c>
      <c r="F8779" s="45" t="s">
        <v>21411</v>
      </c>
      <c r="G8779" s="45" t="s">
        <v>15438</v>
      </c>
      <c r="H8779" s="546">
        <v>22798.09</v>
      </c>
      <c r="I8779" s="47">
        <v>45468</v>
      </c>
      <c r="J8779" s="73" t="s">
        <v>21412</v>
      </c>
      <c r="K8779" s="111"/>
      <c r="L8779" s="99"/>
      <c r="M8779" s="70"/>
      <c r="N8779" s="75" t="s">
        <v>15440</v>
      </c>
      <c r="O8779" s="45" t="s">
        <v>15440</v>
      </c>
      <c r="P8779" s="45" t="s">
        <v>55</v>
      </c>
      <c r="Q8779" s="45" t="s">
        <v>43</v>
      </c>
      <c r="R8779" s="45" t="s">
        <v>265</v>
      </c>
    </row>
    <row r="8780" spans="2:18" ht="69" customHeight="1">
      <c r="B8780" s="181">
        <f t="shared" si="67"/>
        <v>5897</v>
      </c>
      <c r="C8780" s="45" t="s">
        <v>4411</v>
      </c>
      <c r="D8780" s="200" t="s">
        <v>21413</v>
      </c>
      <c r="E8780" s="45" t="s">
        <v>21410</v>
      </c>
      <c r="F8780" s="45" t="s">
        <v>21414</v>
      </c>
      <c r="G8780" s="45" t="s">
        <v>15438</v>
      </c>
      <c r="H8780" s="546">
        <v>9908.73</v>
      </c>
      <c r="I8780" s="47">
        <v>45468</v>
      </c>
      <c r="J8780" s="73" t="s">
        <v>21412</v>
      </c>
      <c r="K8780" s="62"/>
      <c r="L8780" s="99"/>
      <c r="O8780" s="45" t="s">
        <v>15440</v>
      </c>
      <c r="P8780" s="45" t="s">
        <v>55</v>
      </c>
      <c r="Q8780" s="45" t="s">
        <v>54</v>
      </c>
      <c r="R8780" s="45" t="s">
        <v>265</v>
      </c>
    </row>
    <row r="8781" spans="2:18" ht="69" customHeight="1">
      <c r="B8781" s="65">
        <f t="shared" si="67"/>
        <v>5898</v>
      </c>
      <c r="C8781" s="45" t="s">
        <v>8721</v>
      </c>
      <c r="D8781" s="200" t="s">
        <v>15684</v>
      </c>
      <c r="E8781" s="45" t="s">
        <v>21410</v>
      </c>
      <c r="F8781" s="45" t="s">
        <v>21415</v>
      </c>
      <c r="G8781" s="45" t="s">
        <v>15438</v>
      </c>
      <c r="H8781" s="546">
        <v>13690.93</v>
      </c>
      <c r="I8781" s="47">
        <v>45468</v>
      </c>
      <c r="J8781" s="73" t="s">
        <v>21412</v>
      </c>
      <c r="K8781" s="62"/>
      <c r="L8781" s="99"/>
      <c r="O8781" s="45" t="s">
        <v>15440</v>
      </c>
      <c r="P8781" s="45" t="s">
        <v>55</v>
      </c>
      <c r="Q8781" s="45" t="s">
        <v>109</v>
      </c>
      <c r="R8781" s="45" t="s">
        <v>265</v>
      </c>
    </row>
    <row r="8782" spans="2:18" ht="69" customHeight="1">
      <c r="B8782" s="197">
        <f t="shared" si="67"/>
        <v>5899</v>
      </c>
      <c r="C8782" s="59" t="s">
        <v>15449</v>
      </c>
      <c r="D8782" s="200" t="s">
        <v>21416</v>
      </c>
      <c r="E8782" s="45" t="s">
        <v>21410</v>
      </c>
      <c r="F8782" s="45" t="s">
        <v>21417</v>
      </c>
      <c r="G8782" s="45" t="s">
        <v>15438</v>
      </c>
      <c r="H8782" s="546">
        <v>11423.1</v>
      </c>
      <c r="I8782" s="47">
        <v>45468</v>
      </c>
      <c r="J8782" s="73" t="s">
        <v>21412</v>
      </c>
      <c r="K8782" s="62"/>
      <c r="L8782" s="99"/>
      <c r="O8782" s="45" t="s">
        <v>15440</v>
      </c>
      <c r="P8782" s="45" t="s">
        <v>55</v>
      </c>
      <c r="Q8782" s="45" t="s">
        <v>41</v>
      </c>
      <c r="R8782" s="45" t="s">
        <v>265</v>
      </c>
    </row>
    <row r="8783" spans="2:18" ht="69" customHeight="1">
      <c r="B8783" s="197">
        <f t="shared" si="67"/>
        <v>5900</v>
      </c>
      <c r="C8783" s="178" t="s">
        <v>11050</v>
      </c>
      <c r="D8783" s="200" t="s">
        <v>21418</v>
      </c>
      <c r="E8783" s="45" t="s">
        <v>21410</v>
      </c>
      <c r="F8783" s="45" t="s">
        <v>21419</v>
      </c>
      <c r="G8783" s="45" t="s">
        <v>15438</v>
      </c>
      <c r="H8783" s="546">
        <v>11731.21</v>
      </c>
      <c r="I8783" s="47">
        <v>45468</v>
      </c>
      <c r="J8783" s="73" t="s">
        <v>21412</v>
      </c>
      <c r="K8783" s="62"/>
      <c r="L8783" s="99"/>
      <c r="O8783" s="45" t="s">
        <v>15440</v>
      </c>
      <c r="P8783" s="45" t="s">
        <v>55</v>
      </c>
      <c r="Q8783" s="45" t="s">
        <v>35</v>
      </c>
      <c r="R8783" s="45" t="s">
        <v>265</v>
      </c>
    </row>
    <row r="8784" spans="2:18" ht="69" customHeight="1">
      <c r="B8784" s="181">
        <f t="shared" si="67"/>
        <v>5901</v>
      </c>
      <c r="C8784" s="59" t="s">
        <v>15700</v>
      </c>
      <c r="D8784" s="200" t="s">
        <v>20852</v>
      </c>
      <c r="E8784" s="45" t="s">
        <v>21410</v>
      </c>
      <c r="F8784" s="45" t="s">
        <v>21420</v>
      </c>
      <c r="G8784" s="45" t="s">
        <v>15438</v>
      </c>
      <c r="H8784" s="546">
        <v>15146.21</v>
      </c>
      <c r="I8784" s="47">
        <v>45468</v>
      </c>
      <c r="J8784" s="73" t="s">
        <v>21412</v>
      </c>
      <c r="K8784" s="62"/>
      <c r="L8784" s="99"/>
      <c r="O8784" s="45" t="s">
        <v>15440</v>
      </c>
      <c r="P8784" s="45" t="s">
        <v>55</v>
      </c>
      <c r="Q8784" s="45" t="s">
        <v>39</v>
      </c>
      <c r="R8784" s="45" t="s">
        <v>265</v>
      </c>
    </row>
    <row r="8785" spans="1:18" ht="69" customHeight="1">
      <c r="B8785" s="164">
        <f t="shared" si="67"/>
        <v>5902</v>
      </c>
      <c r="C8785" s="45" t="s">
        <v>7452</v>
      </c>
      <c r="D8785" s="200" t="s">
        <v>18319</v>
      </c>
      <c r="E8785" s="45" t="s">
        <v>21410</v>
      </c>
      <c r="F8785" s="45" t="s">
        <v>21421</v>
      </c>
      <c r="G8785" s="45" t="s">
        <v>15438</v>
      </c>
      <c r="H8785" s="546">
        <v>17976.21</v>
      </c>
      <c r="I8785" s="47">
        <v>45468</v>
      </c>
      <c r="J8785" s="73" t="s">
        <v>21412</v>
      </c>
      <c r="K8785" s="62"/>
      <c r="L8785" s="99"/>
      <c r="O8785" s="45" t="s">
        <v>15440</v>
      </c>
      <c r="P8785" s="45" t="s">
        <v>55</v>
      </c>
      <c r="Q8785" s="45" t="s">
        <v>101</v>
      </c>
      <c r="R8785" s="45" t="s">
        <v>265</v>
      </c>
    </row>
    <row r="8786" spans="1:18" ht="69" customHeight="1">
      <c r="B8786" s="164">
        <f t="shared" si="67"/>
        <v>5903</v>
      </c>
      <c r="C8786" s="59" t="s">
        <v>7521</v>
      </c>
      <c r="D8786" s="200" t="s">
        <v>21422</v>
      </c>
      <c r="E8786" s="45" t="s">
        <v>21410</v>
      </c>
      <c r="F8786" s="45" t="s">
        <v>21423</v>
      </c>
      <c r="G8786" s="45" t="s">
        <v>15438</v>
      </c>
      <c r="H8786" s="546">
        <v>15385.35</v>
      </c>
      <c r="I8786" s="47">
        <v>45468</v>
      </c>
      <c r="J8786" s="73" t="s">
        <v>21412</v>
      </c>
      <c r="K8786" s="62"/>
      <c r="L8786" s="99"/>
      <c r="O8786" s="45" t="s">
        <v>15440</v>
      </c>
      <c r="P8786" s="45" t="s">
        <v>55</v>
      </c>
      <c r="Q8786" s="45" t="s">
        <v>102</v>
      </c>
      <c r="R8786" s="45" t="s">
        <v>265</v>
      </c>
    </row>
    <row r="8787" spans="1:18" ht="69" customHeight="1">
      <c r="B8787" s="164">
        <f t="shared" si="67"/>
        <v>5904</v>
      </c>
      <c r="C8787" s="58" t="s">
        <v>8057</v>
      </c>
      <c r="D8787" s="200" t="s">
        <v>18323</v>
      </c>
      <c r="E8787" s="45" t="s">
        <v>21410</v>
      </c>
      <c r="F8787" s="45" t="s">
        <v>21424</v>
      </c>
      <c r="G8787" s="45" t="s">
        <v>15438</v>
      </c>
      <c r="H8787" s="546">
        <v>7709.86</v>
      </c>
      <c r="I8787" s="47">
        <v>45468</v>
      </c>
      <c r="J8787" s="73" t="s">
        <v>21412</v>
      </c>
      <c r="K8787" s="62"/>
      <c r="L8787" s="99"/>
      <c r="O8787" s="45" t="s">
        <v>15440</v>
      </c>
      <c r="P8787" s="45" t="s">
        <v>55</v>
      </c>
      <c r="Q8787" s="45" t="s">
        <v>105</v>
      </c>
      <c r="R8787" s="45" t="s">
        <v>265</v>
      </c>
    </row>
    <row r="8788" spans="1:18" ht="69" customHeight="1">
      <c r="B8788" s="164">
        <f t="shared" si="67"/>
        <v>5905</v>
      </c>
      <c r="C8788" s="58" t="s">
        <v>18826</v>
      </c>
      <c r="D8788" s="200" t="s">
        <v>18325</v>
      </c>
      <c r="E8788" s="45" t="s">
        <v>21410</v>
      </c>
      <c r="F8788" s="45" t="s">
        <v>21425</v>
      </c>
      <c r="G8788" s="45" t="s">
        <v>15438</v>
      </c>
      <c r="H8788" s="546">
        <v>969.58</v>
      </c>
      <c r="I8788" s="47">
        <v>45468</v>
      </c>
      <c r="J8788" s="73" t="s">
        <v>21412</v>
      </c>
      <c r="K8788" s="62"/>
      <c r="L8788" s="99"/>
      <c r="O8788" s="45" t="s">
        <v>15440</v>
      </c>
      <c r="P8788" s="45" t="s">
        <v>55</v>
      </c>
      <c r="Q8788" s="45" t="s">
        <v>108</v>
      </c>
      <c r="R8788" s="45" t="s">
        <v>265</v>
      </c>
    </row>
    <row r="8789" spans="1:18" ht="69" customHeight="1">
      <c r="B8789" s="199">
        <f t="shared" si="67"/>
        <v>5906</v>
      </c>
      <c r="C8789" s="46" t="s">
        <v>16973</v>
      </c>
      <c r="D8789" s="539" t="s">
        <v>18331</v>
      </c>
      <c r="E8789" s="46" t="s">
        <v>585</v>
      </c>
      <c r="F8789" s="46" t="s">
        <v>21426</v>
      </c>
      <c r="G8789" s="46" t="s">
        <v>21427</v>
      </c>
      <c r="H8789" s="534">
        <v>4140</v>
      </c>
      <c r="I8789" s="56">
        <v>45468</v>
      </c>
      <c r="J8789" s="199" t="s">
        <v>21428</v>
      </c>
      <c r="K8789" s="52"/>
      <c r="L8789" s="99"/>
      <c r="O8789" s="52" t="s">
        <v>21429</v>
      </c>
      <c r="P8789" s="46" t="s">
        <v>65</v>
      </c>
      <c r="Q8789" s="46" t="s">
        <v>113</v>
      </c>
      <c r="R8789" s="46" t="s">
        <v>272</v>
      </c>
    </row>
    <row r="8790" spans="1:18" ht="69" customHeight="1">
      <c r="B8790" s="271">
        <f t="shared" si="67"/>
        <v>5907</v>
      </c>
      <c r="C8790" s="46" t="s">
        <v>21050</v>
      </c>
      <c r="D8790" s="539" t="s">
        <v>18335</v>
      </c>
      <c r="E8790" s="46" t="s">
        <v>585</v>
      </c>
      <c r="F8790" s="46" t="s">
        <v>21430</v>
      </c>
      <c r="G8790" s="46" t="s">
        <v>21427</v>
      </c>
      <c r="H8790" s="534">
        <v>4140</v>
      </c>
      <c r="I8790" s="56">
        <v>45498</v>
      </c>
      <c r="J8790" s="199" t="s">
        <v>21428</v>
      </c>
      <c r="K8790" s="46" t="s">
        <v>21431</v>
      </c>
      <c r="L8790" s="99"/>
      <c r="O8790" s="52" t="s">
        <v>21429</v>
      </c>
      <c r="P8790" s="46" t="s">
        <v>65</v>
      </c>
      <c r="Q8790" s="46" t="s">
        <v>117</v>
      </c>
      <c r="R8790" s="46" t="s">
        <v>272</v>
      </c>
    </row>
    <row r="8791" spans="1:18" ht="69" customHeight="1">
      <c r="B8791" s="314">
        <f t="shared" si="67"/>
        <v>5908</v>
      </c>
      <c r="C8791" s="160" t="s">
        <v>13156</v>
      </c>
      <c r="D8791" s="311" t="s">
        <v>3654</v>
      </c>
      <c r="E8791" s="160" t="s">
        <v>585</v>
      </c>
      <c r="F8791" s="160" t="s">
        <v>21432</v>
      </c>
      <c r="G8791" s="160" t="s">
        <v>21433</v>
      </c>
      <c r="H8791" s="300">
        <v>13100</v>
      </c>
      <c r="I8791" s="209">
        <v>45458</v>
      </c>
      <c r="J8791" s="316" t="s">
        <v>21434</v>
      </c>
      <c r="K8791" s="259" t="s">
        <v>11084</v>
      </c>
      <c r="L8791" s="99"/>
      <c r="O8791" s="259" t="s">
        <v>21210</v>
      </c>
      <c r="P8791" s="160" t="s">
        <v>67</v>
      </c>
      <c r="Q8791" s="160" t="s">
        <v>96</v>
      </c>
      <c r="R8791" s="160" t="s">
        <v>272</v>
      </c>
    </row>
    <row r="8792" spans="1:18" ht="69" customHeight="1">
      <c r="B8792" s="313">
        <f t="shared" si="67"/>
        <v>5909</v>
      </c>
      <c r="C8792" s="160" t="s">
        <v>19699</v>
      </c>
      <c r="D8792" s="311" t="s">
        <v>2670</v>
      </c>
      <c r="E8792" s="160" t="s">
        <v>585</v>
      </c>
      <c r="F8792" s="160" t="s">
        <v>21435</v>
      </c>
      <c r="G8792" s="160" t="s">
        <v>21436</v>
      </c>
      <c r="H8792" s="300">
        <v>6500</v>
      </c>
      <c r="I8792" s="209">
        <v>45458</v>
      </c>
      <c r="J8792" s="316" t="s">
        <v>21434</v>
      </c>
      <c r="K8792" s="259" t="s">
        <v>11084</v>
      </c>
      <c r="L8792" s="99"/>
      <c r="O8792" s="259" t="s">
        <v>21210</v>
      </c>
      <c r="P8792" s="160" t="s">
        <v>67</v>
      </c>
      <c r="Q8792" s="160" t="s">
        <v>96</v>
      </c>
      <c r="R8792" s="160" t="s">
        <v>272</v>
      </c>
    </row>
    <row r="8793" spans="1:18" ht="69" customHeight="1">
      <c r="B8793" s="313">
        <f t="shared" si="67"/>
        <v>5910</v>
      </c>
      <c r="C8793" s="160" t="s">
        <v>13156</v>
      </c>
      <c r="D8793" s="311" t="s">
        <v>3657</v>
      </c>
      <c r="E8793" s="160" t="s">
        <v>585</v>
      </c>
      <c r="F8793" s="160" t="s">
        <v>21437</v>
      </c>
      <c r="G8793" s="160" t="s">
        <v>21438</v>
      </c>
      <c r="H8793" s="300">
        <v>6500</v>
      </c>
      <c r="I8793" s="209">
        <v>45458</v>
      </c>
      <c r="J8793" s="316" t="s">
        <v>21434</v>
      </c>
      <c r="K8793" s="259" t="s">
        <v>11084</v>
      </c>
      <c r="L8793" s="99"/>
      <c r="O8793" s="259" t="s">
        <v>21210</v>
      </c>
      <c r="P8793" s="160" t="s">
        <v>67</v>
      </c>
      <c r="Q8793" s="160" t="s">
        <v>96</v>
      </c>
      <c r="R8793" s="160" t="s">
        <v>272</v>
      </c>
    </row>
    <row r="8794" spans="1:18" ht="69" customHeight="1">
      <c r="B8794" s="313">
        <f t="shared" si="67"/>
        <v>5911</v>
      </c>
      <c r="C8794" s="160" t="s">
        <v>13156</v>
      </c>
      <c r="D8794" s="311" t="s">
        <v>3672</v>
      </c>
      <c r="E8794" s="160" t="s">
        <v>585</v>
      </c>
      <c r="F8794" s="160" t="s">
        <v>21439</v>
      </c>
      <c r="G8794" s="160" t="s">
        <v>21438</v>
      </c>
      <c r="H8794" s="300">
        <v>6500</v>
      </c>
      <c r="I8794" s="209">
        <v>45458</v>
      </c>
      <c r="J8794" s="316" t="s">
        <v>21434</v>
      </c>
      <c r="K8794" s="259" t="s">
        <v>11084</v>
      </c>
      <c r="L8794" s="99"/>
      <c r="O8794" s="259" t="s">
        <v>21210</v>
      </c>
      <c r="P8794" s="160" t="s">
        <v>67</v>
      </c>
      <c r="Q8794" s="160" t="s">
        <v>96</v>
      </c>
      <c r="R8794" s="160" t="s">
        <v>272</v>
      </c>
    </row>
    <row r="8795" spans="1:18" ht="69" customHeight="1">
      <c r="B8795" s="313">
        <f t="shared" si="67"/>
        <v>5912</v>
      </c>
      <c r="C8795" s="160" t="s">
        <v>19699</v>
      </c>
      <c r="D8795" s="311" t="s">
        <v>2900</v>
      </c>
      <c r="E8795" s="160" t="s">
        <v>585</v>
      </c>
      <c r="F8795" s="160" t="s">
        <v>21440</v>
      </c>
      <c r="G8795" s="160" t="s">
        <v>21436</v>
      </c>
      <c r="H8795" s="300">
        <v>6500</v>
      </c>
      <c r="I8795" s="209">
        <v>45458</v>
      </c>
      <c r="J8795" s="316" t="s">
        <v>21434</v>
      </c>
      <c r="K8795" s="259" t="s">
        <v>11084</v>
      </c>
      <c r="L8795" s="99"/>
      <c r="O8795" s="259" t="s">
        <v>21210</v>
      </c>
      <c r="P8795" s="160" t="s">
        <v>67</v>
      </c>
      <c r="Q8795" s="160" t="s">
        <v>96</v>
      </c>
      <c r="R8795" s="160" t="s">
        <v>272</v>
      </c>
    </row>
    <row r="8796" spans="1:18" s="98" customFormat="1" ht="69" customHeight="1">
      <c r="A8796" s="169"/>
      <c r="B8796" s="316">
        <f t="shared" si="67"/>
        <v>5913</v>
      </c>
      <c r="C8796" s="160" t="s">
        <v>309</v>
      </c>
      <c r="D8796" s="311" t="s">
        <v>21441</v>
      </c>
      <c r="E8796" s="160" t="s">
        <v>305</v>
      </c>
      <c r="F8796" s="160" t="s">
        <v>21442</v>
      </c>
      <c r="G8796" s="160" t="s">
        <v>13201</v>
      </c>
      <c r="H8796" s="300">
        <v>23808.560000000001</v>
      </c>
      <c r="I8796" s="209">
        <v>45468</v>
      </c>
      <c r="J8796" s="316" t="s">
        <v>21443</v>
      </c>
      <c r="K8796" s="259"/>
      <c r="O8796" s="290" t="s">
        <v>15366</v>
      </c>
      <c r="P8796" s="160" t="s">
        <v>67</v>
      </c>
      <c r="Q8796" s="160" t="s">
        <v>96</v>
      </c>
      <c r="R8796" s="160" t="s">
        <v>272</v>
      </c>
    </row>
    <row r="8797" spans="1:18" ht="69" customHeight="1">
      <c r="B8797" s="314">
        <f t="shared" si="67"/>
        <v>5914</v>
      </c>
      <c r="C8797" s="160" t="s">
        <v>18372</v>
      </c>
      <c r="D8797" s="303" t="s">
        <v>2418</v>
      </c>
      <c r="E8797" s="160" t="s">
        <v>585</v>
      </c>
      <c r="F8797" s="160" t="s">
        <v>21444</v>
      </c>
      <c r="G8797" s="160" t="s">
        <v>21445</v>
      </c>
      <c r="H8797" s="300">
        <v>1875</v>
      </c>
      <c r="I8797" s="209">
        <v>45458</v>
      </c>
      <c r="J8797" s="316" t="s">
        <v>21446</v>
      </c>
      <c r="K8797" s="259" t="s">
        <v>21447</v>
      </c>
      <c r="L8797" s="99"/>
      <c r="O8797" s="290"/>
      <c r="P8797" s="160" t="s">
        <v>67</v>
      </c>
      <c r="Q8797" s="160" t="s">
        <v>96</v>
      </c>
      <c r="R8797" s="160" t="s">
        <v>272</v>
      </c>
    </row>
    <row r="8798" spans="1:18" ht="69" customHeight="1">
      <c r="B8798" s="313">
        <f t="shared" si="67"/>
        <v>5915</v>
      </c>
      <c r="C8798" s="160" t="s">
        <v>20998</v>
      </c>
      <c r="D8798" s="311" t="s">
        <v>5668</v>
      </c>
      <c r="E8798" s="160" t="s">
        <v>585</v>
      </c>
      <c r="F8798" s="160" t="s">
        <v>21448</v>
      </c>
      <c r="G8798" s="160" t="s">
        <v>21445</v>
      </c>
      <c r="H8798" s="300">
        <v>1875</v>
      </c>
      <c r="I8798" s="209">
        <v>45458</v>
      </c>
      <c r="J8798" s="316" t="s">
        <v>21446</v>
      </c>
      <c r="K8798" s="259" t="s">
        <v>21447</v>
      </c>
      <c r="L8798" s="99"/>
      <c r="O8798" s="290"/>
      <c r="P8798" s="160" t="s">
        <v>67</v>
      </c>
      <c r="Q8798" s="160" t="s">
        <v>96</v>
      </c>
      <c r="R8798" s="160" t="s">
        <v>272</v>
      </c>
    </row>
    <row r="8799" spans="1:18" ht="69" customHeight="1">
      <c r="B8799" s="313">
        <f t="shared" si="67"/>
        <v>5916</v>
      </c>
      <c r="C8799" s="160" t="s">
        <v>20998</v>
      </c>
      <c r="D8799" s="311" t="s">
        <v>6755</v>
      </c>
      <c r="E8799" s="160" t="s">
        <v>585</v>
      </c>
      <c r="F8799" s="160" t="s">
        <v>21449</v>
      </c>
      <c r="G8799" s="160" t="s">
        <v>21445</v>
      </c>
      <c r="H8799" s="300">
        <v>1875</v>
      </c>
      <c r="I8799" s="209">
        <v>45458</v>
      </c>
      <c r="J8799" s="316" t="s">
        <v>21446</v>
      </c>
      <c r="K8799" s="259" t="s">
        <v>21447</v>
      </c>
      <c r="L8799" s="99"/>
      <c r="O8799" s="290"/>
      <c r="P8799" s="160" t="s">
        <v>67</v>
      </c>
      <c r="Q8799" s="160" t="s">
        <v>96</v>
      </c>
      <c r="R8799" s="160" t="s">
        <v>272</v>
      </c>
    </row>
    <row r="8800" spans="1:18" ht="69" customHeight="1">
      <c r="B8800" s="163">
        <f t="shared" si="67"/>
        <v>5917</v>
      </c>
      <c r="C8800" s="59" t="s">
        <v>11933</v>
      </c>
      <c r="D8800" s="84" t="s">
        <v>21450</v>
      </c>
      <c r="E8800" s="59" t="s">
        <v>17540</v>
      </c>
      <c r="F8800" s="45" t="s">
        <v>21451</v>
      </c>
      <c r="G8800" s="45" t="s">
        <v>21452</v>
      </c>
      <c r="H8800" s="198">
        <v>37000</v>
      </c>
      <c r="I8800" s="47">
        <v>45468</v>
      </c>
      <c r="J8800" s="73" t="s">
        <v>21453</v>
      </c>
      <c r="K8800" s="48"/>
      <c r="L8800" s="99"/>
      <c r="O8800" s="62" t="s">
        <v>147</v>
      </c>
      <c r="P8800" s="45" t="s">
        <v>22</v>
      </c>
      <c r="Q8800" s="45" t="s">
        <v>123</v>
      </c>
      <c r="R8800" s="45" t="s">
        <v>265</v>
      </c>
    </row>
    <row r="8801" spans="2:18" ht="69" customHeight="1">
      <c r="B8801" s="62">
        <f t="shared" si="67"/>
        <v>5918</v>
      </c>
      <c r="C8801" s="229" t="s">
        <v>11618</v>
      </c>
      <c r="D8801" s="200" t="s">
        <v>21454</v>
      </c>
      <c r="E8801" s="45" t="s">
        <v>11417</v>
      </c>
      <c r="F8801" s="58" t="s">
        <v>21455</v>
      </c>
      <c r="G8801" s="45" t="s">
        <v>21452</v>
      </c>
      <c r="H8801" s="546">
        <v>23000</v>
      </c>
      <c r="I8801" s="47">
        <v>45468</v>
      </c>
      <c r="J8801" s="73" t="s">
        <v>21453</v>
      </c>
      <c r="K8801" s="58" t="s">
        <v>21456</v>
      </c>
      <c r="L8801" s="99"/>
      <c r="O8801" s="62" t="s">
        <v>147</v>
      </c>
      <c r="P8801" s="45" t="s">
        <v>22</v>
      </c>
      <c r="Q8801" s="45" t="s">
        <v>122</v>
      </c>
      <c r="R8801" s="45" t="s">
        <v>265</v>
      </c>
    </row>
    <row r="8802" spans="2:18" ht="69" customHeight="1">
      <c r="B8802" s="181">
        <f t="shared" si="67"/>
        <v>5919</v>
      </c>
      <c r="C8802" s="58" t="s">
        <v>9004</v>
      </c>
      <c r="D8802" s="200" t="s">
        <v>10806</v>
      </c>
      <c r="E8802" s="58" t="s">
        <v>21457</v>
      </c>
      <c r="F8802" s="58" t="s">
        <v>21458</v>
      </c>
      <c r="G8802" s="45" t="s">
        <v>21459</v>
      </c>
      <c r="H8802" s="546">
        <v>63277.58</v>
      </c>
      <c r="I8802" s="47">
        <v>45468</v>
      </c>
      <c r="J8802" s="73" t="s">
        <v>21460</v>
      </c>
      <c r="K8802" s="62"/>
      <c r="L8802" s="99"/>
      <c r="O8802" s="643" t="s">
        <v>141</v>
      </c>
      <c r="P8802" s="45" t="s">
        <v>19</v>
      </c>
      <c r="Q8802" s="45" t="s">
        <v>111</v>
      </c>
      <c r="R8802" s="45" t="s">
        <v>265</v>
      </c>
    </row>
    <row r="8803" spans="2:18" ht="69" customHeight="1">
      <c r="B8803" s="313">
        <f t="shared" si="67"/>
        <v>5920</v>
      </c>
      <c r="C8803" s="160" t="s">
        <v>20998</v>
      </c>
      <c r="D8803" s="311" t="s">
        <v>8267</v>
      </c>
      <c r="E8803" s="160" t="s">
        <v>585</v>
      </c>
      <c r="F8803" s="160" t="s">
        <v>21461</v>
      </c>
      <c r="G8803" s="160" t="s">
        <v>21462</v>
      </c>
      <c r="H8803" s="300">
        <v>6006.25</v>
      </c>
      <c r="I8803" s="209">
        <v>45468</v>
      </c>
      <c r="J8803" s="316" t="s">
        <v>21463</v>
      </c>
      <c r="K8803" s="259" t="s">
        <v>11084</v>
      </c>
      <c r="L8803" s="99"/>
      <c r="O8803" s="290" t="s">
        <v>21464</v>
      </c>
      <c r="P8803" s="160" t="s">
        <v>67</v>
      </c>
      <c r="Q8803" s="160" t="s">
        <v>96</v>
      </c>
      <c r="R8803" s="160" t="s">
        <v>272</v>
      </c>
    </row>
    <row r="8804" spans="2:18" ht="69" customHeight="1">
      <c r="B8804" s="313">
        <f t="shared" si="67"/>
        <v>5921</v>
      </c>
      <c r="C8804" s="160" t="s">
        <v>20998</v>
      </c>
      <c r="D8804" s="311" t="s">
        <v>14043</v>
      </c>
      <c r="E8804" s="160" t="s">
        <v>585</v>
      </c>
      <c r="F8804" s="160" t="s">
        <v>21465</v>
      </c>
      <c r="G8804" s="160" t="s">
        <v>21462</v>
      </c>
      <c r="H8804" s="300">
        <v>6006.25</v>
      </c>
      <c r="I8804" s="209">
        <v>45468</v>
      </c>
      <c r="J8804" s="316" t="s">
        <v>21463</v>
      </c>
      <c r="K8804" s="259" t="s">
        <v>11084</v>
      </c>
      <c r="L8804" s="99"/>
      <c r="O8804" s="290" t="s">
        <v>21464</v>
      </c>
      <c r="P8804" s="160" t="s">
        <v>67</v>
      </c>
      <c r="Q8804" s="160" t="s">
        <v>96</v>
      </c>
      <c r="R8804" s="160" t="s">
        <v>272</v>
      </c>
    </row>
    <row r="8805" spans="2:18" ht="69" customHeight="1">
      <c r="B8805" s="313">
        <f t="shared" si="67"/>
        <v>5922</v>
      </c>
      <c r="C8805" s="160" t="s">
        <v>18372</v>
      </c>
      <c r="D8805" s="311" t="s">
        <v>2670</v>
      </c>
      <c r="E8805" s="160" t="s">
        <v>585</v>
      </c>
      <c r="F8805" s="160" t="s">
        <v>21466</v>
      </c>
      <c r="G8805" s="160" t="s">
        <v>21462</v>
      </c>
      <c r="H8805" s="300">
        <v>6006.25</v>
      </c>
      <c r="I8805" s="209">
        <v>45468</v>
      </c>
      <c r="J8805" s="316" t="s">
        <v>21463</v>
      </c>
      <c r="K8805" s="259" t="s">
        <v>11084</v>
      </c>
      <c r="L8805" s="99"/>
      <c r="O8805" s="290" t="s">
        <v>21464</v>
      </c>
      <c r="P8805" s="160" t="s">
        <v>67</v>
      </c>
      <c r="Q8805" s="160" t="s">
        <v>96</v>
      </c>
      <c r="R8805" s="160" t="s">
        <v>272</v>
      </c>
    </row>
    <row r="8806" spans="2:18" ht="69" customHeight="1">
      <c r="B8806" s="313">
        <f t="shared" si="67"/>
        <v>5923</v>
      </c>
      <c r="C8806" s="160" t="s">
        <v>18372</v>
      </c>
      <c r="D8806" s="311" t="s">
        <v>3154</v>
      </c>
      <c r="E8806" s="160" t="s">
        <v>585</v>
      </c>
      <c r="F8806" s="160" t="s">
        <v>21467</v>
      </c>
      <c r="G8806" s="160" t="s">
        <v>21462</v>
      </c>
      <c r="H8806" s="300">
        <v>8062.5</v>
      </c>
      <c r="I8806" s="209">
        <v>45468</v>
      </c>
      <c r="J8806" s="316" t="s">
        <v>21463</v>
      </c>
      <c r="K8806" s="259" t="s">
        <v>11084</v>
      </c>
      <c r="L8806" s="99"/>
      <c r="O8806" s="290" t="s">
        <v>21464</v>
      </c>
      <c r="P8806" s="160" t="s">
        <v>67</v>
      </c>
      <c r="Q8806" s="160" t="s">
        <v>96</v>
      </c>
      <c r="R8806" s="160" t="s">
        <v>272</v>
      </c>
    </row>
    <row r="8807" spans="2:18" ht="69" customHeight="1">
      <c r="B8807" s="164">
        <f t="shared" si="67"/>
        <v>5924</v>
      </c>
      <c r="C8807" s="58" t="s">
        <v>9004</v>
      </c>
      <c r="D8807" s="200" t="s">
        <v>10814</v>
      </c>
      <c r="E8807" s="58" t="s">
        <v>21468</v>
      </c>
      <c r="F8807" s="58" t="s">
        <v>21469</v>
      </c>
      <c r="G8807" s="45" t="s">
        <v>21470</v>
      </c>
      <c r="H8807" s="546">
        <v>500010.15</v>
      </c>
      <c r="I8807" s="47">
        <v>45468</v>
      </c>
      <c r="J8807" s="73" t="s">
        <v>21471</v>
      </c>
      <c r="K8807" s="62"/>
      <c r="L8807" s="99"/>
      <c r="O8807" s="85" t="s">
        <v>141</v>
      </c>
      <c r="P8807" s="45" t="s">
        <v>19</v>
      </c>
      <c r="Q8807" s="45" t="s">
        <v>111</v>
      </c>
      <c r="R8807" s="45" t="s">
        <v>265</v>
      </c>
    </row>
    <row r="8808" spans="2:18" ht="69" customHeight="1">
      <c r="B8808" s="313">
        <f t="shared" si="67"/>
        <v>5925</v>
      </c>
      <c r="C8808" s="160" t="s">
        <v>19158</v>
      </c>
      <c r="D8808" s="311" t="s">
        <v>1268</v>
      </c>
      <c r="E8808" s="160" t="s">
        <v>585</v>
      </c>
      <c r="F8808" s="160" t="s">
        <v>21472</v>
      </c>
      <c r="G8808" s="160" t="s">
        <v>21473</v>
      </c>
      <c r="H8808" s="300">
        <v>175.88</v>
      </c>
      <c r="I8808" s="209">
        <v>45450</v>
      </c>
      <c r="J8808" s="316" t="s">
        <v>21474</v>
      </c>
      <c r="K8808" s="259" t="s">
        <v>11084</v>
      </c>
      <c r="L8808" s="99"/>
      <c r="O8808" s="290" t="s">
        <v>5969</v>
      </c>
      <c r="P8808" s="160" t="s">
        <v>67</v>
      </c>
      <c r="Q8808" s="160" t="s">
        <v>96</v>
      </c>
      <c r="R8808" s="160" t="s">
        <v>272</v>
      </c>
    </row>
    <row r="8809" spans="2:18" ht="69" customHeight="1">
      <c r="B8809" s="164">
        <f t="shared" si="67"/>
        <v>5926</v>
      </c>
      <c r="C8809" s="58" t="s">
        <v>21214</v>
      </c>
      <c r="D8809" s="200" t="s">
        <v>21475</v>
      </c>
      <c r="E8809" s="58" t="s">
        <v>21476</v>
      </c>
      <c r="F8809" s="58" t="s">
        <v>21477</v>
      </c>
      <c r="G8809" s="45" t="s">
        <v>21478</v>
      </c>
      <c r="H8809" s="546">
        <v>309507.58</v>
      </c>
      <c r="I8809" s="47">
        <v>45468</v>
      </c>
      <c r="J8809" s="73" t="s">
        <v>21479</v>
      </c>
      <c r="K8809" s="62"/>
      <c r="L8809" s="99"/>
      <c r="O8809" s="85" t="s">
        <v>156</v>
      </c>
      <c r="P8809" s="45" t="s">
        <v>26</v>
      </c>
      <c r="Q8809" s="45" t="s">
        <v>93</v>
      </c>
      <c r="R8809" s="45" t="s">
        <v>272</v>
      </c>
    </row>
    <row r="8810" spans="2:18" ht="69" customHeight="1">
      <c r="B8810" s="164">
        <f t="shared" si="67"/>
        <v>5927</v>
      </c>
      <c r="C8810" s="58" t="s">
        <v>19257</v>
      </c>
      <c r="D8810" s="200" t="s">
        <v>21480</v>
      </c>
      <c r="E8810" s="58" t="s">
        <v>21476</v>
      </c>
      <c r="F8810" s="58" t="s">
        <v>21481</v>
      </c>
      <c r="G8810" s="45" t="s">
        <v>21478</v>
      </c>
      <c r="H8810" s="546">
        <v>471827.72</v>
      </c>
      <c r="I8810" s="47">
        <v>45468</v>
      </c>
      <c r="J8810" s="73" t="s">
        <v>21479</v>
      </c>
      <c r="K8810" s="62"/>
      <c r="L8810" s="99"/>
      <c r="O8810" s="85" t="s">
        <v>156</v>
      </c>
      <c r="P8810" s="45" t="s">
        <v>26</v>
      </c>
      <c r="Q8810" s="45" t="s">
        <v>95</v>
      </c>
      <c r="R8810" s="45" t="s">
        <v>272</v>
      </c>
    </row>
    <row r="8811" spans="2:18" ht="69" customHeight="1">
      <c r="B8811" s="164">
        <f t="shared" si="67"/>
        <v>5928</v>
      </c>
      <c r="C8811" s="58" t="s">
        <v>5658</v>
      </c>
      <c r="D8811" s="200" t="s">
        <v>21482</v>
      </c>
      <c r="E8811" s="58" t="s">
        <v>21476</v>
      </c>
      <c r="F8811" s="58" t="s">
        <v>21483</v>
      </c>
      <c r="G8811" s="45" t="s">
        <v>21484</v>
      </c>
      <c r="H8811" s="546">
        <v>330000</v>
      </c>
      <c r="I8811" s="47">
        <v>45468</v>
      </c>
      <c r="J8811" s="73" t="s">
        <v>21485</v>
      </c>
      <c r="K8811" s="62"/>
      <c r="L8811" s="99"/>
      <c r="O8811" s="85" t="s">
        <v>156</v>
      </c>
      <c r="P8811" s="45" t="s">
        <v>19</v>
      </c>
      <c r="Q8811" s="45" t="s">
        <v>66</v>
      </c>
      <c r="R8811" s="45" t="s">
        <v>272</v>
      </c>
    </row>
    <row r="8812" spans="2:18" ht="69" customHeight="1">
      <c r="B8812" s="65">
        <f t="shared" si="67"/>
        <v>5929</v>
      </c>
      <c r="C8812" s="58" t="s">
        <v>13562</v>
      </c>
      <c r="D8812" s="200" t="s">
        <v>21486</v>
      </c>
      <c r="E8812" s="58" t="s">
        <v>21476</v>
      </c>
      <c r="F8812" s="58" t="s">
        <v>21487</v>
      </c>
      <c r="G8812" s="45" t="s">
        <v>21484</v>
      </c>
      <c r="H8812" s="546">
        <v>250000</v>
      </c>
      <c r="I8812" s="47">
        <v>45468</v>
      </c>
      <c r="J8812" s="73" t="s">
        <v>21485</v>
      </c>
      <c r="K8812" s="62"/>
      <c r="L8812" s="99"/>
      <c r="O8812" s="85" t="s">
        <v>156</v>
      </c>
      <c r="P8812" s="45" t="s">
        <v>73</v>
      </c>
      <c r="Q8812" s="45" t="s">
        <v>88</v>
      </c>
      <c r="R8812" s="45" t="s">
        <v>272</v>
      </c>
    </row>
    <row r="8813" spans="2:18" ht="69" customHeight="1">
      <c r="B8813" s="314">
        <f t="shared" si="67"/>
        <v>5930</v>
      </c>
      <c r="C8813" s="207" t="s">
        <v>3667</v>
      </c>
      <c r="D8813" s="311" t="s">
        <v>21488</v>
      </c>
      <c r="E8813" s="160" t="s">
        <v>266</v>
      </c>
      <c r="F8813" s="160" t="s">
        <v>21489</v>
      </c>
      <c r="G8813" s="160" t="s">
        <v>21490</v>
      </c>
      <c r="H8813" s="300">
        <v>3435.52</v>
      </c>
      <c r="I8813" s="209">
        <v>45468</v>
      </c>
      <c r="J8813" s="316" t="s">
        <v>21491</v>
      </c>
      <c r="K8813" s="160" t="s">
        <v>67</v>
      </c>
      <c r="L8813" s="99"/>
      <c r="O8813" s="290" t="s">
        <v>21492</v>
      </c>
      <c r="P8813" s="160" t="s">
        <v>67</v>
      </c>
      <c r="Q8813" s="160" t="s">
        <v>49</v>
      </c>
      <c r="R8813" s="160" t="s">
        <v>272</v>
      </c>
    </row>
    <row r="8814" spans="2:18" ht="69" customHeight="1">
      <c r="B8814" s="313">
        <f t="shared" si="67"/>
        <v>5931</v>
      </c>
      <c r="C8814" s="160" t="s">
        <v>309</v>
      </c>
      <c r="D8814" s="311" t="s">
        <v>20879</v>
      </c>
      <c r="E8814" s="160" t="s">
        <v>266</v>
      </c>
      <c r="F8814" s="160" t="s">
        <v>21493</v>
      </c>
      <c r="G8814" s="160" t="s">
        <v>21490</v>
      </c>
      <c r="H8814" s="300">
        <v>2684</v>
      </c>
      <c r="I8814" s="209">
        <v>45468</v>
      </c>
      <c r="J8814" s="316" t="s">
        <v>21491</v>
      </c>
      <c r="K8814" s="160" t="s">
        <v>67</v>
      </c>
      <c r="L8814" s="99"/>
      <c r="O8814" s="290" t="s">
        <v>21492</v>
      </c>
      <c r="P8814" s="160" t="s">
        <v>67</v>
      </c>
      <c r="Q8814" s="160" t="s">
        <v>15</v>
      </c>
      <c r="R8814" s="160" t="s">
        <v>272</v>
      </c>
    </row>
    <row r="8815" spans="2:18" ht="69" customHeight="1">
      <c r="B8815" s="313">
        <f t="shared" si="67"/>
        <v>5932</v>
      </c>
      <c r="C8815" s="160" t="s">
        <v>458</v>
      </c>
      <c r="D8815" s="311" t="s">
        <v>21494</v>
      </c>
      <c r="E8815" s="160" t="s">
        <v>266</v>
      </c>
      <c r="F8815" s="160" t="s">
        <v>21495</v>
      </c>
      <c r="G8815" s="160" t="s">
        <v>21490</v>
      </c>
      <c r="H8815" s="300">
        <v>2684</v>
      </c>
      <c r="I8815" s="209">
        <v>45468</v>
      </c>
      <c r="J8815" s="316" t="s">
        <v>21491</v>
      </c>
      <c r="K8815" s="160" t="s">
        <v>67</v>
      </c>
      <c r="L8815" s="99"/>
      <c r="O8815" s="290" t="s">
        <v>21492</v>
      </c>
      <c r="P8815" s="160" t="s">
        <v>67</v>
      </c>
      <c r="Q8815" s="160" t="s">
        <v>90</v>
      </c>
      <c r="R8815" s="160" t="s">
        <v>272</v>
      </c>
    </row>
    <row r="8816" spans="2:18" ht="69" customHeight="1">
      <c r="B8816" s="316">
        <f t="shared" si="67"/>
        <v>5933</v>
      </c>
      <c r="C8816" s="160" t="s">
        <v>657</v>
      </c>
      <c r="D8816" s="311" t="s">
        <v>10854</v>
      </c>
      <c r="E8816" s="160" t="s">
        <v>266</v>
      </c>
      <c r="F8816" s="160" t="s">
        <v>21496</v>
      </c>
      <c r="G8816" s="160" t="s">
        <v>21490</v>
      </c>
      <c r="H8816" s="300">
        <v>1932.48</v>
      </c>
      <c r="I8816" s="209">
        <v>45468</v>
      </c>
      <c r="J8816" s="316" t="s">
        <v>21491</v>
      </c>
      <c r="K8816" s="160" t="s">
        <v>67</v>
      </c>
      <c r="L8816" s="99"/>
      <c r="O8816" s="290" t="s">
        <v>21492</v>
      </c>
      <c r="P8816" s="160" t="s">
        <v>67</v>
      </c>
      <c r="Q8816" s="160" t="s">
        <v>99</v>
      </c>
      <c r="R8816" s="160" t="s">
        <v>272</v>
      </c>
    </row>
    <row r="8817" spans="2:18" ht="69" customHeight="1">
      <c r="B8817" s="314">
        <f t="shared" si="67"/>
        <v>5934</v>
      </c>
      <c r="C8817" s="160" t="s">
        <v>21497</v>
      </c>
      <c r="D8817" s="311" t="s">
        <v>21498</v>
      </c>
      <c r="E8817" s="160" t="s">
        <v>21476</v>
      </c>
      <c r="F8817" s="160" t="s">
        <v>21499</v>
      </c>
      <c r="G8817" s="160" t="s">
        <v>21500</v>
      </c>
      <c r="H8817" s="300">
        <v>52709.5</v>
      </c>
      <c r="I8817" s="209">
        <v>45468</v>
      </c>
      <c r="J8817" s="316" t="s">
        <v>21501</v>
      </c>
      <c r="K8817" s="259" t="s">
        <v>11084</v>
      </c>
      <c r="L8817" s="99"/>
      <c r="O8817" s="290" t="s">
        <v>156</v>
      </c>
      <c r="P8817" s="160" t="s">
        <v>67</v>
      </c>
      <c r="Q8817" s="160" t="s">
        <v>96</v>
      </c>
      <c r="R8817" s="160" t="s">
        <v>272</v>
      </c>
    </row>
    <row r="8818" spans="2:18" ht="69" customHeight="1">
      <c r="B8818" s="313">
        <f t="shared" si="67"/>
        <v>5935</v>
      </c>
      <c r="C8818" s="160" t="s">
        <v>21502</v>
      </c>
      <c r="D8818" s="311" t="s">
        <v>21503</v>
      </c>
      <c r="E8818" s="160" t="s">
        <v>21476</v>
      </c>
      <c r="F8818" s="160" t="s">
        <v>21504</v>
      </c>
      <c r="G8818" s="160" t="s">
        <v>21500</v>
      </c>
      <c r="H8818" s="300">
        <v>52709.5</v>
      </c>
      <c r="I8818" s="209">
        <v>45468</v>
      </c>
      <c r="J8818" s="316" t="s">
        <v>21501</v>
      </c>
      <c r="K8818" s="259" t="s">
        <v>11084</v>
      </c>
      <c r="L8818" s="99"/>
      <c r="O8818" s="290" t="s">
        <v>156</v>
      </c>
      <c r="P8818" s="160" t="s">
        <v>67</v>
      </c>
      <c r="Q8818" s="160" t="s">
        <v>96</v>
      </c>
      <c r="R8818" s="160" t="s">
        <v>272</v>
      </c>
    </row>
    <row r="8819" spans="2:18" ht="69" customHeight="1">
      <c r="B8819" s="65">
        <f t="shared" si="67"/>
        <v>5936</v>
      </c>
      <c r="C8819" s="58" t="s">
        <v>581</v>
      </c>
      <c r="D8819" s="200" t="s">
        <v>21505</v>
      </c>
      <c r="E8819" s="58" t="s">
        <v>21506</v>
      </c>
      <c r="F8819" s="58" t="s">
        <v>21507</v>
      </c>
      <c r="G8819" s="45" t="s">
        <v>21508</v>
      </c>
      <c r="H8819" s="546">
        <v>38000</v>
      </c>
      <c r="I8819" s="47">
        <v>45468</v>
      </c>
      <c r="J8819" s="73" t="s">
        <v>21509</v>
      </c>
      <c r="K8819" s="62"/>
      <c r="L8819" s="99"/>
      <c r="O8819" s="85" t="s">
        <v>441</v>
      </c>
      <c r="P8819" s="45" t="s">
        <v>22</v>
      </c>
      <c r="Q8819" s="45" t="s">
        <v>18</v>
      </c>
      <c r="R8819" s="45" t="s">
        <v>265</v>
      </c>
    </row>
    <row r="8820" spans="2:18" ht="69" customHeight="1">
      <c r="B8820" s="181">
        <f t="shared" si="67"/>
        <v>5937</v>
      </c>
      <c r="C8820" s="58" t="s">
        <v>657</v>
      </c>
      <c r="D8820" s="200" t="s">
        <v>15568</v>
      </c>
      <c r="E8820" s="58" t="s">
        <v>16011</v>
      </c>
      <c r="F8820" s="58" t="s">
        <v>21510</v>
      </c>
      <c r="G8820" s="45" t="s">
        <v>21511</v>
      </c>
      <c r="H8820" s="546">
        <v>2382.5100000000002</v>
      </c>
      <c r="I8820" s="47">
        <v>45468</v>
      </c>
      <c r="J8820" s="73" t="s">
        <v>21512</v>
      </c>
      <c r="K8820" s="62"/>
      <c r="L8820" s="99"/>
      <c r="O8820" s="85" t="s">
        <v>150</v>
      </c>
      <c r="P8820" s="45" t="s">
        <v>51</v>
      </c>
      <c r="Q8820" s="45" t="s">
        <v>97</v>
      </c>
      <c r="R8820" s="45" t="s">
        <v>272</v>
      </c>
    </row>
    <row r="8821" spans="2:18" ht="69" customHeight="1">
      <c r="B8821" s="164">
        <f t="shared" si="67"/>
        <v>5938</v>
      </c>
      <c r="C8821" s="58" t="s">
        <v>458</v>
      </c>
      <c r="D8821" s="200" t="s">
        <v>21513</v>
      </c>
      <c r="E8821" s="58" t="s">
        <v>16011</v>
      </c>
      <c r="F8821" s="58" t="s">
        <v>21514</v>
      </c>
      <c r="G8821" s="45" t="s">
        <v>21511</v>
      </c>
      <c r="H8821" s="546">
        <v>2382.5100000000002</v>
      </c>
      <c r="I8821" s="47">
        <v>45468</v>
      </c>
      <c r="J8821" s="73" t="s">
        <v>21512</v>
      </c>
      <c r="K8821" s="62"/>
      <c r="L8821" s="99"/>
      <c r="O8821" s="85" t="s">
        <v>150</v>
      </c>
      <c r="P8821" s="45" t="s">
        <v>51</v>
      </c>
      <c r="Q8821" s="45" t="s">
        <v>112</v>
      </c>
      <c r="R8821" s="45" t="s">
        <v>272</v>
      </c>
    </row>
    <row r="8822" spans="2:18" ht="69" customHeight="1">
      <c r="B8822" s="65">
        <f t="shared" si="67"/>
        <v>5939</v>
      </c>
      <c r="C8822" s="58" t="s">
        <v>13435</v>
      </c>
      <c r="D8822" s="200" t="s">
        <v>21515</v>
      </c>
      <c r="E8822" s="58" t="s">
        <v>17212</v>
      </c>
      <c r="F8822" s="58" t="s">
        <v>21516</v>
      </c>
      <c r="G8822" s="45" t="s">
        <v>21511</v>
      </c>
      <c r="H8822" s="546">
        <v>171615</v>
      </c>
      <c r="I8822" s="47">
        <v>45468</v>
      </c>
      <c r="J8822" s="73" t="s">
        <v>21517</v>
      </c>
      <c r="K8822" s="62"/>
      <c r="L8822" s="99"/>
      <c r="O8822" s="85" t="s">
        <v>16399</v>
      </c>
      <c r="P8822" s="45" t="s">
        <v>55</v>
      </c>
      <c r="Q8822" s="45" t="s">
        <v>13</v>
      </c>
      <c r="R8822" s="45" t="s">
        <v>272</v>
      </c>
    </row>
    <row r="8823" spans="2:18" ht="69" customHeight="1">
      <c r="B8823" s="197">
        <f t="shared" si="67"/>
        <v>5940</v>
      </c>
      <c r="C8823" s="58" t="s">
        <v>581</v>
      </c>
      <c r="D8823" s="200" t="s">
        <v>21518</v>
      </c>
      <c r="E8823" s="58" t="s">
        <v>17212</v>
      </c>
      <c r="F8823" s="58" t="s">
        <v>21519</v>
      </c>
      <c r="G8823" s="45" t="s">
        <v>21511</v>
      </c>
      <c r="H8823" s="546">
        <v>187660</v>
      </c>
      <c r="I8823" s="47">
        <v>45468</v>
      </c>
      <c r="J8823" s="73" t="s">
        <v>21517</v>
      </c>
      <c r="K8823" s="62"/>
      <c r="L8823" s="99"/>
      <c r="O8823" s="85" t="s">
        <v>16399</v>
      </c>
      <c r="P8823" s="45" t="s">
        <v>55</v>
      </c>
      <c r="Q8823" s="45" t="s">
        <v>18</v>
      </c>
      <c r="R8823" s="45" t="s">
        <v>272</v>
      </c>
    </row>
    <row r="8824" spans="2:18" ht="69" customHeight="1">
      <c r="B8824" s="197">
        <f t="shared" si="67"/>
        <v>5941</v>
      </c>
      <c r="C8824" s="58" t="s">
        <v>860</v>
      </c>
      <c r="D8824" s="200" t="s">
        <v>17869</v>
      </c>
      <c r="E8824" s="58" t="s">
        <v>17212</v>
      </c>
      <c r="F8824" s="58" t="s">
        <v>21520</v>
      </c>
      <c r="G8824" s="45" t="s">
        <v>21511</v>
      </c>
      <c r="H8824" s="546">
        <v>204475</v>
      </c>
      <c r="I8824" s="47">
        <v>45468</v>
      </c>
      <c r="J8824" s="73" t="s">
        <v>21517</v>
      </c>
      <c r="K8824" s="62"/>
      <c r="L8824" s="99"/>
      <c r="O8824" s="85" t="s">
        <v>16399</v>
      </c>
      <c r="P8824" s="45" t="s">
        <v>55</v>
      </c>
      <c r="Q8824" s="45" t="s">
        <v>20</v>
      </c>
      <c r="R8824" s="45" t="s">
        <v>272</v>
      </c>
    </row>
    <row r="8825" spans="2:18" ht="69" customHeight="1">
      <c r="B8825" s="197">
        <f t="shared" si="67"/>
        <v>5942</v>
      </c>
      <c r="C8825" s="59" t="s">
        <v>657</v>
      </c>
      <c r="D8825" s="84" t="s">
        <v>15843</v>
      </c>
      <c r="E8825" s="45" t="s">
        <v>16289</v>
      </c>
      <c r="F8825" s="45" t="s">
        <v>21521</v>
      </c>
      <c r="G8825" s="45" t="s">
        <v>21522</v>
      </c>
      <c r="H8825" s="546">
        <v>53579.07</v>
      </c>
      <c r="I8825" s="47">
        <v>45468</v>
      </c>
      <c r="J8825" s="73" t="s">
        <v>21523</v>
      </c>
      <c r="K8825" s="111"/>
      <c r="L8825" s="99"/>
      <c r="O8825" s="62" t="s">
        <v>208</v>
      </c>
      <c r="P8825" s="45" t="s">
        <v>57</v>
      </c>
      <c r="Q8825" s="45" t="s">
        <v>110</v>
      </c>
      <c r="R8825" s="45" t="s">
        <v>272</v>
      </c>
    </row>
    <row r="8826" spans="2:18" ht="69" customHeight="1">
      <c r="B8826" s="181">
        <f t="shared" si="67"/>
        <v>5943</v>
      </c>
      <c r="C8826" s="59" t="s">
        <v>458</v>
      </c>
      <c r="D8826" s="200" t="s">
        <v>18519</v>
      </c>
      <c r="E8826" s="58" t="s">
        <v>16011</v>
      </c>
      <c r="F8826" s="45" t="s">
        <v>21524</v>
      </c>
      <c r="G8826" s="45" t="s">
        <v>21525</v>
      </c>
      <c r="H8826" s="546">
        <v>29180</v>
      </c>
      <c r="I8826" s="47">
        <v>45468</v>
      </c>
      <c r="J8826" s="73" t="s">
        <v>21526</v>
      </c>
      <c r="K8826" s="62" t="s">
        <v>20094</v>
      </c>
      <c r="L8826" s="99"/>
      <c r="O8826" s="62" t="s">
        <v>150</v>
      </c>
      <c r="P8826" s="45" t="s">
        <v>51</v>
      </c>
      <c r="Q8826" s="45" t="s">
        <v>112</v>
      </c>
      <c r="R8826" s="45" t="s">
        <v>272</v>
      </c>
    </row>
    <row r="8827" spans="2:18" ht="69" customHeight="1">
      <c r="B8827" s="65">
        <f t="shared" si="67"/>
        <v>5944</v>
      </c>
      <c r="C8827" s="59" t="s">
        <v>309</v>
      </c>
      <c r="D8827" s="200" t="s">
        <v>17885</v>
      </c>
      <c r="E8827" s="58" t="s">
        <v>16011</v>
      </c>
      <c r="F8827" s="45" t="s">
        <v>21527</v>
      </c>
      <c r="G8827" s="45" t="s">
        <v>21525</v>
      </c>
      <c r="H8827" s="546">
        <v>29180</v>
      </c>
      <c r="I8827" s="47">
        <v>45468</v>
      </c>
      <c r="J8827" s="73" t="s">
        <v>21526</v>
      </c>
      <c r="K8827" s="62"/>
      <c r="L8827" s="99"/>
      <c r="O8827" s="62" t="s">
        <v>150</v>
      </c>
      <c r="P8827" s="45" t="s">
        <v>51</v>
      </c>
      <c r="Q8827" s="45" t="s">
        <v>13</v>
      </c>
      <c r="R8827" s="45" t="s">
        <v>272</v>
      </c>
    </row>
    <row r="8828" spans="2:18" ht="69" customHeight="1">
      <c r="B8828" s="181">
        <f t="shared" si="67"/>
        <v>5945</v>
      </c>
      <c r="C8828" s="59" t="s">
        <v>309</v>
      </c>
      <c r="D8828" s="200" t="s">
        <v>17896</v>
      </c>
      <c r="E8828" s="58" t="s">
        <v>16011</v>
      </c>
      <c r="F8828" s="45" t="s">
        <v>21528</v>
      </c>
      <c r="G8828" s="45" t="s">
        <v>21525</v>
      </c>
      <c r="H8828" s="546">
        <v>2000</v>
      </c>
      <c r="I8828" s="47">
        <v>45468</v>
      </c>
      <c r="J8828" s="73" t="s">
        <v>21526</v>
      </c>
      <c r="K8828" s="62"/>
      <c r="L8828" s="99"/>
      <c r="O8828" s="62" t="s">
        <v>150</v>
      </c>
      <c r="P8828" s="45" t="s">
        <v>51</v>
      </c>
      <c r="Q8828" s="45" t="s">
        <v>33</v>
      </c>
      <c r="R8828" s="45" t="s">
        <v>272</v>
      </c>
    </row>
    <row r="8829" spans="2:18" ht="69" customHeight="1">
      <c r="B8829" s="164">
        <f t="shared" si="67"/>
        <v>5946</v>
      </c>
      <c r="C8829" s="59" t="s">
        <v>309</v>
      </c>
      <c r="D8829" s="200" t="s">
        <v>17890</v>
      </c>
      <c r="E8829" s="58" t="s">
        <v>16011</v>
      </c>
      <c r="F8829" s="45" t="s">
        <v>21529</v>
      </c>
      <c r="G8829" s="45" t="s">
        <v>21525</v>
      </c>
      <c r="H8829" s="546">
        <v>2000</v>
      </c>
      <c r="I8829" s="47">
        <v>45468</v>
      </c>
      <c r="J8829" s="73" t="s">
        <v>21526</v>
      </c>
      <c r="K8829" s="62"/>
      <c r="L8829" s="99"/>
      <c r="O8829" s="62" t="s">
        <v>150</v>
      </c>
      <c r="P8829" s="45" t="s">
        <v>51</v>
      </c>
      <c r="Q8829" s="45" t="s">
        <v>35</v>
      </c>
      <c r="R8829" s="45" t="s">
        <v>272</v>
      </c>
    </row>
    <row r="8830" spans="2:18" ht="69" customHeight="1">
      <c r="B8830" s="164">
        <f t="shared" si="67"/>
        <v>5947</v>
      </c>
      <c r="C8830" s="59" t="s">
        <v>309</v>
      </c>
      <c r="D8830" s="200" t="s">
        <v>17910</v>
      </c>
      <c r="E8830" s="58" t="s">
        <v>16011</v>
      </c>
      <c r="F8830" s="45" t="s">
        <v>21530</v>
      </c>
      <c r="G8830" s="45" t="s">
        <v>21525</v>
      </c>
      <c r="H8830" s="546">
        <v>2000</v>
      </c>
      <c r="I8830" s="47">
        <v>45468</v>
      </c>
      <c r="J8830" s="73" t="s">
        <v>21526</v>
      </c>
      <c r="K8830" s="62"/>
      <c r="L8830" s="99"/>
      <c r="O8830" s="62" t="s">
        <v>150</v>
      </c>
      <c r="P8830" s="45" t="s">
        <v>51</v>
      </c>
      <c r="Q8830" s="45" t="s">
        <v>39</v>
      </c>
      <c r="R8830" s="45" t="s">
        <v>272</v>
      </c>
    </row>
    <row r="8831" spans="2:18" ht="69" customHeight="1">
      <c r="B8831" s="164">
        <f t="shared" si="67"/>
        <v>5948</v>
      </c>
      <c r="C8831" s="59" t="s">
        <v>309</v>
      </c>
      <c r="D8831" s="200" t="s">
        <v>17923</v>
      </c>
      <c r="E8831" s="58" t="s">
        <v>16011</v>
      </c>
      <c r="F8831" s="45" t="s">
        <v>21531</v>
      </c>
      <c r="G8831" s="45" t="s">
        <v>21525</v>
      </c>
      <c r="H8831" s="546">
        <v>2000</v>
      </c>
      <c r="I8831" s="47">
        <v>45468</v>
      </c>
      <c r="J8831" s="73" t="s">
        <v>21526</v>
      </c>
      <c r="K8831" s="62"/>
      <c r="L8831" s="99"/>
      <c r="O8831" s="62" t="s">
        <v>150</v>
      </c>
      <c r="P8831" s="45" t="s">
        <v>51</v>
      </c>
      <c r="Q8831" s="45" t="s">
        <v>41</v>
      </c>
      <c r="R8831" s="45" t="s">
        <v>272</v>
      </c>
    </row>
    <row r="8832" spans="2:18" ht="69" customHeight="1">
      <c r="B8832" s="164">
        <f t="shared" si="67"/>
        <v>5949</v>
      </c>
      <c r="C8832" s="59" t="s">
        <v>3667</v>
      </c>
      <c r="D8832" s="200" t="s">
        <v>21532</v>
      </c>
      <c r="E8832" s="58" t="s">
        <v>16011</v>
      </c>
      <c r="F8832" s="45" t="s">
        <v>21533</v>
      </c>
      <c r="G8832" s="45" t="s">
        <v>21525</v>
      </c>
      <c r="H8832" s="546">
        <v>2000</v>
      </c>
      <c r="I8832" s="47">
        <v>45468</v>
      </c>
      <c r="J8832" s="73" t="s">
        <v>21526</v>
      </c>
      <c r="K8832" s="62"/>
      <c r="L8832" s="99"/>
      <c r="O8832" s="62" t="s">
        <v>150</v>
      </c>
      <c r="P8832" s="45" t="s">
        <v>51</v>
      </c>
      <c r="Q8832" s="45" t="s">
        <v>60</v>
      </c>
      <c r="R8832" s="45" t="s">
        <v>272</v>
      </c>
    </row>
    <row r="8833" spans="2:18" ht="69" customHeight="1">
      <c r="B8833" s="164">
        <f t="shared" si="67"/>
        <v>5950</v>
      </c>
      <c r="C8833" s="59" t="s">
        <v>3667</v>
      </c>
      <c r="D8833" s="200" t="s">
        <v>21534</v>
      </c>
      <c r="E8833" s="58" t="s">
        <v>16011</v>
      </c>
      <c r="F8833" s="45" t="s">
        <v>21535</v>
      </c>
      <c r="G8833" s="45" t="s">
        <v>21525</v>
      </c>
      <c r="H8833" s="546">
        <v>2000</v>
      </c>
      <c r="I8833" s="47">
        <v>45468</v>
      </c>
      <c r="J8833" s="73" t="s">
        <v>21526</v>
      </c>
      <c r="K8833" s="62"/>
      <c r="L8833" s="99"/>
      <c r="O8833" s="62" t="s">
        <v>150</v>
      </c>
      <c r="P8833" s="45" t="s">
        <v>51</v>
      </c>
      <c r="Q8833" s="45" t="s">
        <v>62</v>
      </c>
      <c r="R8833" s="45" t="s">
        <v>272</v>
      </c>
    </row>
    <row r="8834" spans="2:18" ht="69" customHeight="1">
      <c r="B8834" s="164">
        <f t="shared" si="67"/>
        <v>5951</v>
      </c>
      <c r="C8834" s="59" t="s">
        <v>3667</v>
      </c>
      <c r="D8834" s="200" t="s">
        <v>21536</v>
      </c>
      <c r="E8834" s="58" t="s">
        <v>16011</v>
      </c>
      <c r="F8834" s="45" t="s">
        <v>21537</v>
      </c>
      <c r="G8834" s="45" t="s">
        <v>21525</v>
      </c>
      <c r="H8834" s="546">
        <v>2000</v>
      </c>
      <c r="I8834" s="47">
        <v>45468</v>
      </c>
      <c r="J8834" s="73" t="s">
        <v>21526</v>
      </c>
      <c r="K8834" s="62"/>
      <c r="L8834" s="99"/>
      <c r="O8834" s="62" t="s">
        <v>150</v>
      </c>
      <c r="P8834" s="45" t="s">
        <v>51</v>
      </c>
      <c r="Q8834" s="45" t="s">
        <v>68</v>
      </c>
      <c r="R8834" s="45" t="s">
        <v>272</v>
      </c>
    </row>
    <row r="8835" spans="2:18" ht="69" customHeight="1">
      <c r="B8835" s="164">
        <f t="shared" si="67"/>
        <v>5952</v>
      </c>
      <c r="C8835" s="59" t="s">
        <v>3667</v>
      </c>
      <c r="D8835" s="200" t="s">
        <v>21538</v>
      </c>
      <c r="E8835" s="58" t="s">
        <v>16011</v>
      </c>
      <c r="F8835" s="45" t="s">
        <v>21539</v>
      </c>
      <c r="G8835" s="45" t="s">
        <v>21525</v>
      </c>
      <c r="H8835" s="546">
        <v>2000</v>
      </c>
      <c r="I8835" s="47">
        <v>45468</v>
      </c>
      <c r="J8835" s="73" t="s">
        <v>21526</v>
      </c>
      <c r="K8835" s="62"/>
      <c r="L8835" s="99"/>
      <c r="O8835" s="62" t="s">
        <v>150</v>
      </c>
      <c r="P8835" s="45" t="s">
        <v>51</v>
      </c>
      <c r="Q8835" s="45" t="s">
        <v>70</v>
      </c>
      <c r="R8835" s="45" t="s">
        <v>272</v>
      </c>
    </row>
    <row r="8836" spans="2:18" ht="69" customHeight="1">
      <c r="B8836" s="164">
        <f t="shared" si="67"/>
        <v>5953</v>
      </c>
      <c r="C8836" s="59" t="s">
        <v>3667</v>
      </c>
      <c r="D8836" s="200" t="s">
        <v>21540</v>
      </c>
      <c r="E8836" s="58" t="s">
        <v>16011</v>
      </c>
      <c r="F8836" s="45" t="s">
        <v>21541</v>
      </c>
      <c r="G8836" s="45" t="s">
        <v>21525</v>
      </c>
      <c r="H8836" s="546">
        <v>2000</v>
      </c>
      <c r="I8836" s="47">
        <v>45468</v>
      </c>
      <c r="J8836" s="73" t="s">
        <v>21526</v>
      </c>
      <c r="K8836" s="62"/>
      <c r="L8836" s="99"/>
      <c r="O8836" s="62" t="s">
        <v>150</v>
      </c>
      <c r="P8836" s="45" t="s">
        <v>51</v>
      </c>
      <c r="Q8836" s="45" t="s">
        <v>84</v>
      </c>
      <c r="R8836" s="45" t="s">
        <v>272</v>
      </c>
    </row>
    <row r="8837" spans="2:18" ht="69" customHeight="1">
      <c r="B8837" s="185">
        <f t="shared" si="67"/>
        <v>5954</v>
      </c>
      <c r="C8837" s="46" t="s">
        <v>14255</v>
      </c>
      <c r="D8837" s="539" t="s">
        <v>18669</v>
      </c>
      <c r="E8837" s="46" t="s">
        <v>266</v>
      </c>
      <c r="F8837" s="46" t="s">
        <v>21542</v>
      </c>
      <c r="G8837" s="46" t="s">
        <v>21543</v>
      </c>
      <c r="H8837" s="534">
        <v>4500</v>
      </c>
      <c r="I8837" s="56">
        <v>45468</v>
      </c>
      <c r="J8837" s="199" t="s">
        <v>21544</v>
      </c>
      <c r="K8837" s="52"/>
      <c r="L8837" s="99"/>
      <c r="O8837" s="52" t="s">
        <v>20856</v>
      </c>
      <c r="P8837" s="46" t="s">
        <v>65</v>
      </c>
      <c r="Q8837" s="46" t="s">
        <v>107</v>
      </c>
      <c r="R8837" s="46" t="s">
        <v>272</v>
      </c>
    </row>
    <row r="8838" spans="2:18" ht="69" customHeight="1">
      <c r="B8838" s="185">
        <f t="shared" si="67"/>
        <v>5955</v>
      </c>
      <c r="C8838" s="46" t="s">
        <v>10937</v>
      </c>
      <c r="D8838" s="539" t="s">
        <v>10972</v>
      </c>
      <c r="E8838" s="46" t="s">
        <v>266</v>
      </c>
      <c r="F8838" s="46" t="s">
        <v>21545</v>
      </c>
      <c r="G8838" s="46" t="s">
        <v>21543</v>
      </c>
      <c r="H8838" s="534">
        <v>7000</v>
      </c>
      <c r="I8838" s="56">
        <v>45468</v>
      </c>
      <c r="J8838" s="199" t="s">
        <v>21544</v>
      </c>
      <c r="K8838" s="52"/>
      <c r="L8838" s="99"/>
      <c r="O8838" s="52" t="s">
        <v>20856</v>
      </c>
      <c r="P8838" s="46" t="s">
        <v>65</v>
      </c>
      <c r="Q8838" s="46" t="s">
        <v>104</v>
      </c>
      <c r="R8838" s="46" t="s">
        <v>272</v>
      </c>
    </row>
    <row r="8839" spans="2:18" ht="69" customHeight="1">
      <c r="B8839" s="199">
        <f t="shared" si="67"/>
        <v>5956</v>
      </c>
      <c r="C8839" s="46" t="s">
        <v>10937</v>
      </c>
      <c r="D8839" s="539" t="s">
        <v>10976</v>
      </c>
      <c r="E8839" s="46" t="s">
        <v>266</v>
      </c>
      <c r="F8839" s="46" t="s">
        <v>21546</v>
      </c>
      <c r="G8839" s="46" t="s">
        <v>21547</v>
      </c>
      <c r="H8839" s="534">
        <v>2000</v>
      </c>
      <c r="I8839" s="56">
        <v>45468</v>
      </c>
      <c r="J8839" s="199" t="s">
        <v>21544</v>
      </c>
      <c r="K8839" s="52"/>
      <c r="L8839" s="99"/>
      <c r="O8839" s="52" t="s">
        <v>20856</v>
      </c>
      <c r="P8839" s="46" t="s">
        <v>65</v>
      </c>
      <c r="Q8839" s="46" t="s">
        <v>104</v>
      </c>
      <c r="R8839" s="46" t="s">
        <v>272</v>
      </c>
    </row>
    <row r="8840" spans="2:18" ht="69" customHeight="1">
      <c r="B8840" s="271">
        <f t="shared" si="67"/>
        <v>5957</v>
      </c>
      <c r="C8840" s="46" t="s">
        <v>11908</v>
      </c>
      <c r="D8840" s="251" t="s">
        <v>18646</v>
      </c>
      <c r="E8840" s="191" t="s">
        <v>266</v>
      </c>
      <c r="F8840" s="211" t="s">
        <v>21548</v>
      </c>
      <c r="G8840" s="46" t="s">
        <v>21543</v>
      </c>
      <c r="H8840" s="534">
        <v>5000</v>
      </c>
      <c r="I8840" s="56">
        <v>45468</v>
      </c>
      <c r="J8840" s="199" t="s">
        <v>21544</v>
      </c>
      <c r="K8840" s="46"/>
      <c r="L8840" s="99"/>
      <c r="O8840" s="52" t="s">
        <v>20856</v>
      </c>
      <c r="P8840" s="46" t="s">
        <v>65</v>
      </c>
      <c r="Q8840" s="46" t="s">
        <v>103</v>
      </c>
      <c r="R8840" s="46" t="s">
        <v>272</v>
      </c>
    </row>
    <row r="8841" spans="2:18" ht="69" customHeight="1">
      <c r="B8841" s="181">
        <f t="shared" si="67"/>
        <v>5958</v>
      </c>
      <c r="C8841" s="59" t="s">
        <v>3667</v>
      </c>
      <c r="D8841" s="200" t="s">
        <v>21549</v>
      </c>
      <c r="E8841" s="58" t="s">
        <v>18182</v>
      </c>
      <c r="F8841" s="58" t="s">
        <v>21550</v>
      </c>
      <c r="G8841" s="45" t="s">
        <v>21551</v>
      </c>
      <c r="H8841" s="546">
        <v>399552.97</v>
      </c>
      <c r="I8841" s="47">
        <v>45468</v>
      </c>
      <c r="J8841" s="73" t="s">
        <v>21552</v>
      </c>
      <c r="K8841" s="62"/>
      <c r="L8841" s="99"/>
      <c r="O8841" s="62" t="s">
        <v>10607</v>
      </c>
      <c r="P8841" s="45" t="s">
        <v>22</v>
      </c>
      <c r="Q8841" s="45" t="s">
        <v>93</v>
      </c>
      <c r="R8841" s="45" t="s">
        <v>272</v>
      </c>
    </row>
    <row r="8842" spans="2:18" ht="69" customHeight="1">
      <c r="B8842" s="164">
        <f t="shared" ref="B8842:B8905" si="68">B8841+1</f>
        <v>5959</v>
      </c>
      <c r="C8842" s="59" t="s">
        <v>3667</v>
      </c>
      <c r="D8842" s="200" t="s">
        <v>21553</v>
      </c>
      <c r="E8842" s="58" t="s">
        <v>18182</v>
      </c>
      <c r="F8842" s="58" t="s">
        <v>21554</v>
      </c>
      <c r="G8842" s="45" t="s">
        <v>21551</v>
      </c>
      <c r="H8842" s="546">
        <v>241568.23</v>
      </c>
      <c r="I8842" s="47">
        <v>45468</v>
      </c>
      <c r="J8842" s="73" t="s">
        <v>21552</v>
      </c>
      <c r="K8842" s="62"/>
      <c r="L8842" s="99"/>
      <c r="O8842" s="62" t="s">
        <v>10607</v>
      </c>
      <c r="P8842" s="45" t="s">
        <v>22</v>
      </c>
      <c r="Q8842" s="45" t="s">
        <v>95</v>
      </c>
      <c r="R8842" s="45" t="s">
        <v>272</v>
      </c>
    </row>
    <row r="8843" spans="2:18" ht="69" customHeight="1">
      <c r="B8843" s="313">
        <f t="shared" si="68"/>
        <v>5960</v>
      </c>
      <c r="C8843" s="207" t="s">
        <v>13665</v>
      </c>
      <c r="D8843" s="311" t="s">
        <v>4478</v>
      </c>
      <c r="E8843" s="207" t="s">
        <v>266</v>
      </c>
      <c r="F8843" s="208" t="s">
        <v>21555</v>
      </c>
      <c r="G8843" s="160" t="s">
        <v>21556</v>
      </c>
      <c r="H8843" s="300">
        <v>6500</v>
      </c>
      <c r="I8843" s="209">
        <v>45468</v>
      </c>
      <c r="J8843" s="316" t="s">
        <v>21557</v>
      </c>
      <c r="K8843" s="160" t="s">
        <v>19130</v>
      </c>
      <c r="L8843" s="99"/>
      <c r="O8843" s="160" t="s">
        <v>21558</v>
      </c>
      <c r="P8843" s="160" t="s">
        <v>67</v>
      </c>
      <c r="Q8843" s="160" t="s">
        <v>96</v>
      </c>
      <c r="R8843" s="160" t="s">
        <v>272</v>
      </c>
    </row>
    <row r="8844" spans="2:18" ht="69" customHeight="1">
      <c r="B8844" s="313">
        <f t="shared" si="68"/>
        <v>5961</v>
      </c>
      <c r="C8844" s="207" t="s">
        <v>13665</v>
      </c>
      <c r="D8844" s="311" t="s">
        <v>2940</v>
      </c>
      <c r="E8844" s="207" t="s">
        <v>266</v>
      </c>
      <c r="F8844" s="208" t="s">
        <v>21559</v>
      </c>
      <c r="G8844" s="160" t="s">
        <v>21556</v>
      </c>
      <c r="H8844" s="300">
        <v>6500</v>
      </c>
      <c r="I8844" s="209">
        <v>45468</v>
      </c>
      <c r="J8844" s="316" t="s">
        <v>21557</v>
      </c>
      <c r="K8844" s="160" t="s">
        <v>19130</v>
      </c>
      <c r="L8844" s="99"/>
      <c r="O8844" s="160" t="s">
        <v>21558</v>
      </c>
      <c r="P8844" s="160" t="s">
        <v>67</v>
      </c>
      <c r="Q8844" s="160" t="s">
        <v>96</v>
      </c>
      <c r="R8844" s="160" t="s">
        <v>272</v>
      </c>
    </row>
    <row r="8845" spans="2:18" ht="69" customHeight="1">
      <c r="B8845" s="313">
        <f t="shared" si="68"/>
        <v>5962</v>
      </c>
      <c r="C8845" s="207" t="s">
        <v>13665</v>
      </c>
      <c r="D8845" s="311" t="s">
        <v>3453</v>
      </c>
      <c r="E8845" s="207" t="s">
        <v>266</v>
      </c>
      <c r="F8845" s="208" t="s">
        <v>21560</v>
      </c>
      <c r="G8845" s="160" t="s">
        <v>21556</v>
      </c>
      <c r="H8845" s="300">
        <v>6500</v>
      </c>
      <c r="I8845" s="209">
        <v>45468</v>
      </c>
      <c r="J8845" s="316" t="s">
        <v>21557</v>
      </c>
      <c r="K8845" s="160" t="s">
        <v>19130</v>
      </c>
      <c r="L8845" s="99"/>
      <c r="O8845" s="160" t="s">
        <v>21558</v>
      </c>
      <c r="P8845" s="160" t="s">
        <v>67</v>
      </c>
      <c r="Q8845" s="160" t="s">
        <v>96</v>
      </c>
      <c r="R8845" s="160" t="s">
        <v>272</v>
      </c>
    </row>
    <row r="8846" spans="2:18" ht="69" customHeight="1">
      <c r="B8846" s="185">
        <f t="shared" si="68"/>
        <v>5963</v>
      </c>
      <c r="C8846" s="46" t="s">
        <v>11933</v>
      </c>
      <c r="D8846" s="539" t="s">
        <v>21561</v>
      </c>
      <c r="E8846" s="46" t="s">
        <v>266</v>
      </c>
      <c r="F8846" s="46" t="s">
        <v>21562</v>
      </c>
      <c r="G8846" s="46" t="s">
        <v>21563</v>
      </c>
      <c r="H8846" s="534">
        <v>12000</v>
      </c>
      <c r="I8846" s="56">
        <v>45468</v>
      </c>
      <c r="J8846" s="199" t="s">
        <v>21564</v>
      </c>
      <c r="K8846" s="52"/>
      <c r="L8846" s="99"/>
      <c r="O8846" s="46" t="s">
        <v>21565</v>
      </c>
      <c r="P8846" s="46" t="s">
        <v>65</v>
      </c>
      <c r="Q8846" s="46" t="s">
        <v>123</v>
      </c>
      <c r="R8846" s="46" t="s">
        <v>272</v>
      </c>
    </row>
    <row r="8847" spans="2:18" ht="69" customHeight="1">
      <c r="B8847" s="199">
        <f t="shared" si="68"/>
        <v>5964</v>
      </c>
      <c r="C8847" s="46" t="s">
        <v>9004</v>
      </c>
      <c r="D8847" s="539" t="s">
        <v>15881</v>
      </c>
      <c r="E8847" s="46" t="s">
        <v>266</v>
      </c>
      <c r="F8847" s="46" t="s">
        <v>21566</v>
      </c>
      <c r="G8847" s="46" t="s">
        <v>21567</v>
      </c>
      <c r="H8847" s="534">
        <v>750</v>
      </c>
      <c r="I8847" s="56">
        <v>45468</v>
      </c>
      <c r="J8847" s="199" t="s">
        <v>21568</v>
      </c>
      <c r="K8847" s="52"/>
      <c r="L8847" s="99"/>
      <c r="O8847" s="52" t="s">
        <v>21569</v>
      </c>
      <c r="P8847" s="46" t="s">
        <v>65</v>
      </c>
      <c r="Q8847" s="46" t="s">
        <v>111</v>
      </c>
      <c r="R8847" s="46" t="s">
        <v>272</v>
      </c>
    </row>
    <row r="8848" spans="2:18" ht="69" customHeight="1">
      <c r="B8848" s="271">
        <f t="shared" si="68"/>
        <v>5965</v>
      </c>
      <c r="C8848" s="46" t="s">
        <v>13435</v>
      </c>
      <c r="D8848" s="539" t="s">
        <v>17937</v>
      </c>
      <c r="E8848" s="46" t="s">
        <v>266</v>
      </c>
      <c r="F8848" s="46" t="s">
        <v>21570</v>
      </c>
      <c r="G8848" s="46" t="s">
        <v>21571</v>
      </c>
      <c r="H8848" s="534">
        <v>10500</v>
      </c>
      <c r="I8848" s="56">
        <v>45468</v>
      </c>
      <c r="J8848" s="199" t="s">
        <v>21572</v>
      </c>
      <c r="K8848" s="52"/>
      <c r="L8848" s="99"/>
      <c r="O8848" s="46" t="s">
        <v>1171</v>
      </c>
      <c r="P8848" s="46" t="s">
        <v>71</v>
      </c>
      <c r="Q8848" s="46" t="s">
        <v>13</v>
      </c>
      <c r="R8848" s="46" t="s">
        <v>272</v>
      </c>
    </row>
    <row r="8849" spans="2:18" ht="69" customHeight="1">
      <c r="B8849" s="271">
        <f t="shared" si="68"/>
        <v>5966</v>
      </c>
      <c r="C8849" s="46" t="s">
        <v>13435</v>
      </c>
      <c r="D8849" s="539" t="s">
        <v>17548</v>
      </c>
      <c r="E8849" s="46" t="s">
        <v>266</v>
      </c>
      <c r="F8849" s="46" t="s">
        <v>21573</v>
      </c>
      <c r="G8849" s="46" t="s">
        <v>21571</v>
      </c>
      <c r="H8849" s="534">
        <v>21000</v>
      </c>
      <c r="I8849" s="56">
        <v>45468</v>
      </c>
      <c r="J8849" s="199" t="s">
        <v>21572</v>
      </c>
      <c r="K8849" s="52"/>
      <c r="L8849" s="99"/>
      <c r="O8849" s="46" t="s">
        <v>1171</v>
      </c>
      <c r="P8849" s="46" t="s">
        <v>71</v>
      </c>
      <c r="Q8849" s="46" t="s">
        <v>13</v>
      </c>
      <c r="R8849" s="46" t="s">
        <v>272</v>
      </c>
    </row>
    <row r="8850" spans="2:18" ht="69" customHeight="1">
      <c r="B8850" s="314">
        <f t="shared" si="68"/>
        <v>5967</v>
      </c>
      <c r="C8850" s="160" t="s">
        <v>458</v>
      </c>
      <c r="D8850" s="311" t="s">
        <v>18696</v>
      </c>
      <c r="E8850" s="160" t="s">
        <v>266</v>
      </c>
      <c r="F8850" s="160" t="s">
        <v>21574</v>
      </c>
      <c r="G8850" s="160" t="s">
        <v>20250</v>
      </c>
      <c r="H8850" s="300">
        <v>4371.6099999999997</v>
      </c>
      <c r="I8850" s="209">
        <v>45468</v>
      </c>
      <c r="J8850" s="316" t="s">
        <v>21575</v>
      </c>
      <c r="K8850" s="160" t="s">
        <v>20222</v>
      </c>
      <c r="L8850" s="99"/>
      <c r="O8850" s="259" t="s">
        <v>12529</v>
      </c>
      <c r="P8850" s="160" t="s">
        <v>67</v>
      </c>
      <c r="Q8850" s="160" t="s">
        <v>112</v>
      </c>
      <c r="R8850" s="160" t="s">
        <v>272</v>
      </c>
    </row>
    <row r="8851" spans="2:18" ht="69" customHeight="1">
      <c r="B8851" s="313">
        <f t="shared" si="68"/>
        <v>5968</v>
      </c>
      <c r="C8851" s="160" t="s">
        <v>657</v>
      </c>
      <c r="D8851" s="311" t="s">
        <v>10997</v>
      </c>
      <c r="E8851" s="160" t="s">
        <v>266</v>
      </c>
      <c r="F8851" s="160" t="s">
        <v>21576</v>
      </c>
      <c r="G8851" s="160" t="s">
        <v>20250</v>
      </c>
      <c r="H8851" s="300">
        <v>4371.6099999999997</v>
      </c>
      <c r="I8851" s="209">
        <v>45468</v>
      </c>
      <c r="J8851" s="316" t="s">
        <v>21577</v>
      </c>
      <c r="K8851" s="160" t="s">
        <v>20222</v>
      </c>
      <c r="L8851" s="99"/>
      <c r="O8851" s="259" t="s">
        <v>12529</v>
      </c>
      <c r="P8851" s="160" t="s">
        <v>67</v>
      </c>
      <c r="Q8851" s="160" t="s">
        <v>110</v>
      </c>
      <c r="R8851" s="160" t="s">
        <v>272</v>
      </c>
    </row>
    <row r="8852" spans="2:18" ht="69" customHeight="1">
      <c r="B8852" s="313">
        <f t="shared" si="68"/>
        <v>5969</v>
      </c>
      <c r="C8852" s="160" t="s">
        <v>3340</v>
      </c>
      <c r="D8852" s="311" t="s">
        <v>661</v>
      </c>
      <c r="E8852" s="160" t="s">
        <v>266</v>
      </c>
      <c r="F8852" s="160" t="s">
        <v>21578</v>
      </c>
      <c r="G8852" s="160" t="s">
        <v>21579</v>
      </c>
      <c r="H8852" s="300">
        <v>4890.9399999999996</v>
      </c>
      <c r="I8852" s="209">
        <v>45468</v>
      </c>
      <c r="J8852" s="316" t="s">
        <v>21580</v>
      </c>
      <c r="K8852" s="259"/>
      <c r="L8852" s="99"/>
      <c r="O8852" s="259" t="s">
        <v>13735</v>
      </c>
      <c r="P8852" s="160" t="s">
        <v>67</v>
      </c>
      <c r="Q8852" s="160" t="s">
        <v>97</v>
      </c>
      <c r="R8852" s="160" t="s">
        <v>272</v>
      </c>
    </row>
    <row r="8853" spans="2:18" ht="69" customHeight="1">
      <c r="B8853" s="164">
        <f t="shared" si="68"/>
        <v>5970</v>
      </c>
      <c r="C8853" s="58" t="s">
        <v>11058</v>
      </c>
      <c r="D8853" s="200" t="s">
        <v>21581</v>
      </c>
      <c r="E8853" s="58" t="s">
        <v>266</v>
      </c>
      <c r="F8853" s="58" t="s">
        <v>21582</v>
      </c>
      <c r="G8853" s="45" t="s">
        <v>17649</v>
      </c>
      <c r="H8853" s="546">
        <v>279.82</v>
      </c>
      <c r="I8853" s="47">
        <v>45478</v>
      </c>
      <c r="J8853" s="73" t="s">
        <v>21583</v>
      </c>
      <c r="K8853" s="62"/>
      <c r="L8853" s="99"/>
      <c r="O8853" s="62" t="s">
        <v>5969</v>
      </c>
      <c r="P8853" s="45" t="s">
        <v>44</v>
      </c>
      <c r="Q8853" s="45" t="s">
        <v>23</v>
      </c>
      <c r="R8853" s="45" t="s">
        <v>272</v>
      </c>
    </row>
    <row r="8854" spans="2:18" ht="69" customHeight="1">
      <c r="B8854" s="164">
        <f t="shared" si="68"/>
        <v>5971</v>
      </c>
      <c r="C8854" s="58" t="s">
        <v>15700</v>
      </c>
      <c r="D8854" s="200" t="s">
        <v>17961</v>
      </c>
      <c r="E8854" s="58" t="s">
        <v>266</v>
      </c>
      <c r="F8854" s="58" t="s">
        <v>21584</v>
      </c>
      <c r="G8854" s="45" t="s">
        <v>17649</v>
      </c>
      <c r="H8854" s="546">
        <v>279.82</v>
      </c>
      <c r="I8854" s="47">
        <v>45478</v>
      </c>
      <c r="J8854" s="73" t="s">
        <v>21583</v>
      </c>
      <c r="K8854" s="62"/>
      <c r="L8854" s="99"/>
      <c r="O8854" s="62" t="s">
        <v>5969</v>
      </c>
      <c r="P8854" s="45" t="s">
        <v>44</v>
      </c>
      <c r="Q8854" s="45" t="s">
        <v>39</v>
      </c>
      <c r="R8854" s="45" t="s">
        <v>272</v>
      </c>
    </row>
    <row r="8855" spans="2:18" ht="69" customHeight="1">
      <c r="B8855" s="164">
        <f t="shared" si="68"/>
        <v>5972</v>
      </c>
      <c r="C8855" s="58" t="s">
        <v>15449</v>
      </c>
      <c r="D8855" s="200" t="s">
        <v>17984</v>
      </c>
      <c r="E8855" s="58" t="s">
        <v>266</v>
      </c>
      <c r="F8855" s="58" t="s">
        <v>21585</v>
      </c>
      <c r="G8855" s="45" t="s">
        <v>17649</v>
      </c>
      <c r="H8855" s="546">
        <v>279.82</v>
      </c>
      <c r="I8855" s="47">
        <v>45478</v>
      </c>
      <c r="J8855" s="73" t="s">
        <v>21583</v>
      </c>
      <c r="K8855" s="62"/>
      <c r="L8855" s="99"/>
      <c r="O8855" s="62" t="s">
        <v>5969</v>
      </c>
      <c r="P8855" s="45" t="s">
        <v>44</v>
      </c>
      <c r="Q8855" s="45" t="s">
        <v>41</v>
      </c>
      <c r="R8855" s="45" t="s">
        <v>272</v>
      </c>
    </row>
    <row r="8856" spans="2:18" ht="69" customHeight="1">
      <c r="B8856" s="185">
        <f t="shared" si="68"/>
        <v>5973</v>
      </c>
      <c r="C8856" s="46" t="s">
        <v>11933</v>
      </c>
      <c r="D8856" s="539" t="s">
        <v>21586</v>
      </c>
      <c r="E8856" s="46" t="s">
        <v>266</v>
      </c>
      <c r="F8856" s="46" t="s">
        <v>21587</v>
      </c>
      <c r="G8856" s="46" t="s">
        <v>21588</v>
      </c>
      <c r="H8856" s="534">
        <v>9948.51</v>
      </c>
      <c r="I8856" s="56">
        <v>45478</v>
      </c>
      <c r="J8856" s="199" t="s">
        <v>21589</v>
      </c>
      <c r="K8856" s="52"/>
      <c r="L8856" s="99"/>
      <c r="O8856" s="46" t="s">
        <v>1171</v>
      </c>
      <c r="P8856" s="46" t="s">
        <v>71</v>
      </c>
      <c r="Q8856" s="46" t="s">
        <v>123</v>
      </c>
      <c r="R8856" s="46" t="s">
        <v>272</v>
      </c>
    </row>
    <row r="8857" spans="2:18" ht="69" customHeight="1">
      <c r="B8857" s="185">
        <f t="shared" si="68"/>
        <v>5974</v>
      </c>
      <c r="C8857" s="46" t="s">
        <v>21590</v>
      </c>
      <c r="D8857" s="539" t="s">
        <v>21591</v>
      </c>
      <c r="E8857" s="46" t="s">
        <v>266</v>
      </c>
      <c r="F8857" s="46" t="s">
        <v>21592</v>
      </c>
      <c r="G8857" s="46" t="s">
        <v>21588</v>
      </c>
      <c r="H8857" s="534">
        <v>9948.51</v>
      </c>
      <c r="I8857" s="56">
        <v>45478</v>
      </c>
      <c r="J8857" s="199" t="s">
        <v>21589</v>
      </c>
      <c r="K8857" s="52"/>
      <c r="L8857" s="99"/>
      <c r="O8857" s="46" t="s">
        <v>1171</v>
      </c>
      <c r="P8857" s="46" t="s">
        <v>71</v>
      </c>
      <c r="Q8857" s="46" t="s">
        <v>88</v>
      </c>
      <c r="R8857" s="46" t="s">
        <v>272</v>
      </c>
    </row>
    <row r="8858" spans="2:18" ht="69" customHeight="1">
      <c r="B8858" s="185">
        <f t="shared" si="68"/>
        <v>5975</v>
      </c>
      <c r="C8858" s="46" t="s">
        <v>11618</v>
      </c>
      <c r="D8858" s="539" t="s">
        <v>18706</v>
      </c>
      <c r="E8858" s="46" t="s">
        <v>266</v>
      </c>
      <c r="F8858" s="46" t="s">
        <v>21593</v>
      </c>
      <c r="G8858" s="46" t="s">
        <v>21588</v>
      </c>
      <c r="H8858" s="534">
        <v>9948.51</v>
      </c>
      <c r="I8858" s="56">
        <v>45478</v>
      </c>
      <c r="J8858" s="199" t="s">
        <v>21589</v>
      </c>
      <c r="K8858" s="52"/>
      <c r="L8858" s="99"/>
      <c r="O8858" s="46" t="s">
        <v>1171</v>
      </c>
      <c r="P8858" s="46" t="s">
        <v>71</v>
      </c>
      <c r="Q8858" s="46" t="s">
        <v>122</v>
      </c>
      <c r="R8858" s="46" t="s">
        <v>272</v>
      </c>
    </row>
    <row r="8859" spans="2:18" ht="69" customHeight="1">
      <c r="B8859" s="164">
        <f t="shared" si="68"/>
        <v>5976</v>
      </c>
      <c r="C8859" s="58" t="s">
        <v>21594</v>
      </c>
      <c r="D8859" s="200" t="s">
        <v>18017</v>
      </c>
      <c r="E8859" s="58" t="s">
        <v>21506</v>
      </c>
      <c r="F8859" s="58" t="s">
        <v>21595</v>
      </c>
      <c r="G8859" s="45" t="s">
        <v>21596</v>
      </c>
      <c r="H8859" s="546">
        <v>31245.77</v>
      </c>
      <c r="I8859" s="47">
        <v>45478</v>
      </c>
      <c r="J8859" s="73" t="s">
        <v>21597</v>
      </c>
      <c r="K8859" s="62"/>
      <c r="L8859" s="99"/>
      <c r="O8859" s="45" t="s">
        <v>1171</v>
      </c>
      <c r="P8859" s="45" t="s">
        <v>22</v>
      </c>
      <c r="Q8859" s="45" t="s">
        <v>18</v>
      </c>
      <c r="R8859" s="45" t="s">
        <v>265</v>
      </c>
    </row>
    <row r="8860" spans="2:18" ht="69" customHeight="1">
      <c r="B8860" s="313">
        <f t="shared" si="68"/>
        <v>5977</v>
      </c>
      <c r="C8860" s="207" t="s">
        <v>21598</v>
      </c>
      <c r="D8860" s="311" t="s">
        <v>6828</v>
      </c>
      <c r="E8860" s="207" t="s">
        <v>266</v>
      </c>
      <c r="F8860" s="208" t="s">
        <v>21599</v>
      </c>
      <c r="G8860" s="160" t="s">
        <v>21600</v>
      </c>
      <c r="H8860" s="300">
        <v>596.70000000000005</v>
      </c>
      <c r="I8860" s="209">
        <v>45471</v>
      </c>
      <c r="J8860" s="316" t="s">
        <v>21601</v>
      </c>
      <c r="K8860" s="160" t="s">
        <v>19130</v>
      </c>
      <c r="L8860" s="99"/>
      <c r="O8860" s="160" t="s">
        <v>21602</v>
      </c>
      <c r="P8860" s="160" t="s">
        <v>67</v>
      </c>
      <c r="Q8860" s="160" t="s">
        <v>96</v>
      </c>
      <c r="R8860" s="160" t="s">
        <v>272</v>
      </c>
    </row>
    <row r="8861" spans="2:18" ht="69" customHeight="1">
      <c r="B8861" s="313">
        <f t="shared" si="68"/>
        <v>5978</v>
      </c>
      <c r="C8861" s="207" t="s">
        <v>21598</v>
      </c>
      <c r="D8861" s="311" t="s">
        <v>6893</v>
      </c>
      <c r="E8861" s="207" t="s">
        <v>266</v>
      </c>
      <c r="F8861" s="208" t="s">
        <v>21603</v>
      </c>
      <c r="G8861" s="160" t="s">
        <v>21600</v>
      </c>
      <c r="H8861" s="300">
        <v>596.70000000000005</v>
      </c>
      <c r="I8861" s="209">
        <v>45471</v>
      </c>
      <c r="J8861" s="316" t="s">
        <v>21604</v>
      </c>
      <c r="K8861" s="160" t="s">
        <v>19130</v>
      </c>
      <c r="L8861" s="99"/>
      <c r="O8861" s="160" t="s">
        <v>21602</v>
      </c>
      <c r="P8861" s="160" t="s">
        <v>67</v>
      </c>
      <c r="Q8861" s="160" t="s">
        <v>96</v>
      </c>
      <c r="R8861" s="160" t="s">
        <v>272</v>
      </c>
    </row>
    <row r="8862" spans="2:18" ht="69" customHeight="1">
      <c r="B8862" s="185">
        <f t="shared" si="68"/>
        <v>5979</v>
      </c>
      <c r="C8862" s="46" t="s">
        <v>13435</v>
      </c>
      <c r="D8862" s="539" t="s">
        <v>18033</v>
      </c>
      <c r="E8862" s="46" t="s">
        <v>266</v>
      </c>
      <c r="F8862" s="46" t="s">
        <v>21605</v>
      </c>
      <c r="G8862" s="46" t="s">
        <v>21606</v>
      </c>
      <c r="H8862" s="534">
        <v>1400</v>
      </c>
      <c r="I8862" s="56">
        <v>45478</v>
      </c>
      <c r="J8862" s="199" t="s">
        <v>21607</v>
      </c>
      <c r="K8862" s="52"/>
      <c r="L8862" s="99"/>
      <c r="O8862" s="46" t="s">
        <v>21608</v>
      </c>
      <c r="P8862" s="46" t="s">
        <v>65</v>
      </c>
      <c r="Q8862" s="46" t="s">
        <v>13</v>
      </c>
      <c r="R8862" s="46" t="s">
        <v>272</v>
      </c>
    </row>
    <row r="8863" spans="2:18" ht="69" customHeight="1">
      <c r="B8863" s="185">
        <f t="shared" si="68"/>
        <v>5980</v>
      </c>
      <c r="C8863" s="191" t="s">
        <v>13435</v>
      </c>
      <c r="D8863" s="539" t="s">
        <v>18031</v>
      </c>
      <c r="E8863" s="191" t="s">
        <v>266</v>
      </c>
      <c r="F8863" s="211" t="s">
        <v>21609</v>
      </c>
      <c r="G8863" s="46" t="s">
        <v>21610</v>
      </c>
      <c r="H8863" s="534">
        <v>6300</v>
      </c>
      <c r="I8863" s="56">
        <v>45478</v>
      </c>
      <c r="J8863" s="199" t="s">
        <v>21607</v>
      </c>
      <c r="K8863" s="46"/>
      <c r="L8863" s="99"/>
      <c r="O8863" s="46" t="s">
        <v>21608</v>
      </c>
      <c r="P8863" s="46" t="s">
        <v>65</v>
      </c>
      <c r="Q8863" s="46" t="s">
        <v>13</v>
      </c>
      <c r="R8863" s="46" t="s">
        <v>272</v>
      </c>
    </row>
    <row r="8864" spans="2:18" ht="69" customHeight="1">
      <c r="B8864" s="185">
        <f t="shared" si="68"/>
        <v>5981</v>
      </c>
      <c r="C8864" s="191" t="s">
        <v>309</v>
      </c>
      <c r="D8864" s="539" t="s">
        <v>18029</v>
      </c>
      <c r="E8864" s="191" t="s">
        <v>266</v>
      </c>
      <c r="F8864" s="211" t="s">
        <v>21611</v>
      </c>
      <c r="G8864" s="46" t="s">
        <v>21612</v>
      </c>
      <c r="H8864" s="534">
        <v>8400</v>
      </c>
      <c r="I8864" s="56">
        <v>45478</v>
      </c>
      <c r="J8864" s="199" t="s">
        <v>21613</v>
      </c>
      <c r="K8864" s="46"/>
      <c r="L8864" s="99"/>
      <c r="O8864" s="46" t="s">
        <v>21614</v>
      </c>
      <c r="P8864" s="46" t="s">
        <v>65</v>
      </c>
      <c r="Q8864" s="46" t="s">
        <v>31</v>
      </c>
      <c r="R8864" s="46" t="s">
        <v>272</v>
      </c>
    </row>
    <row r="8865" spans="1:18" ht="69" customHeight="1">
      <c r="B8865" s="65">
        <f t="shared" si="68"/>
        <v>5982</v>
      </c>
      <c r="C8865" s="58" t="s">
        <v>21615</v>
      </c>
      <c r="D8865" s="200" t="s">
        <v>18021</v>
      </c>
      <c r="E8865" s="58" t="s">
        <v>266</v>
      </c>
      <c r="F8865" s="58" t="s">
        <v>21616</v>
      </c>
      <c r="G8865" s="58" t="s">
        <v>21617</v>
      </c>
      <c r="H8865" s="546">
        <v>6206.9</v>
      </c>
      <c r="I8865" s="66">
        <v>45478</v>
      </c>
      <c r="J8865" s="65" t="s">
        <v>21618</v>
      </c>
      <c r="K8865" s="62"/>
      <c r="L8865" s="99"/>
      <c r="O8865" s="62" t="s">
        <v>684</v>
      </c>
      <c r="P8865" s="45" t="s">
        <v>46</v>
      </c>
      <c r="Q8865" s="45" t="s">
        <v>31</v>
      </c>
      <c r="R8865" s="45" t="s">
        <v>272</v>
      </c>
    </row>
    <row r="8866" spans="1:18" ht="69" customHeight="1">
      <c r="B8866" s="181">
        <f t="shared" si="68"/>
        <v>5983</v>
      </c>
      <c r="C8866" s="58" t="s">
        <v>13435</v>
      </c>
      <c r="D8866" s="200" t="s">
        <v>18023</v>
      </c>
      <c r="E8866" s="58" t="s">
        <v>266</v>
      </c>
      <c r="F8866" s="58" t="s">
        <v>21619</v>
      </c>
      <c r="G8866" s="58" t="s">
        <v>21620</v>
      </c>
      <c r="H8866" s="546">
        <v>6206.9</v>
      </c>
      <c r="I8866" s="66">
        <v>45478</v>
      </c>
      <c r="J8866" s="65" t="s">
        <v>21618</v>
      </c>
      <c r="K8866" s="62"/>
      <c r="L8866" s="99"/>
      <c r="O8866" s="62" t="s">
        <v>684</v>
      </c>
      <c r="P8866" s="45" t="s">
        <v>46</v>
      </c>
      <c r="Q8866" s="45" t="s">
        <v>13</v>
      </c>
      <c r="R8866" s="45" t="s">
        <v>272</v>
      </c>
    </row>
    <row r="8867" spans="1:18" ht="69" customHeight="1">
      <c r="B8867" s="164">
        <f t="shared" si="68"/>
        <v>5984</v>
      </c>
      <c r="C8867" s="58" t="s">
        <v>21594</v>
      </c>
      <c r="D8867" s="200" t="s">
        <v>18025</v>
      </c>
      <c r="E8867" s="58" t="s">
        <v>266</v>
      </c>
      <c r="F8867" s="58" t="s">
        <v>21621</v>
      </c>
      <c r="G8867" s="58" t="s">
        <v>21620</v>
      </c>
      <c r="H8867" s="546">
        <v>6206.9</v>
      </c>
      <c r="I8867" s="66">
        <v>45478</v>
      </c>
      <c r="J8867" s="65" t="s">
        <v>21618</v>
      </c>
      <c r="K8867" s="62"/>
      <c r="L8867" s="99"/>
      <c r="O8867" s="62" t="s">
        <v>684</v>
      </c>
      <c r="P8867" s="45" t="s">
        <v>46</v>
      </c>
      <c r="Q8867" s="45" t="s">
        <v>18</v>
      </c>
      <c r="R8867" s="45" t="s">
        <v>272</v>
      </c>
    </row>
    <row r="8868" spans="1:18" ht="69" customHeight="1">
      <c r="B8868" s="164">
        <f t="shared" si="68"/>
        <v>5985</v>
      </c>
      <c r="C8868" s="58" t="s">
        <v>21622</v>
      </c>
      <c r="D8868" s="200" t="s">
        <v>18700</v>
      </c>
      <c r="E8868" s="58" t="s">
        <v>266</v>
      </c>
      <c r="F8868" s="58" t="s">
        <v>21623</v>
      </c>
      <c r="G8868" s="58" t="s">
        <v>21624</v>
      </c>
      <c r="H8868" s="546">
        <v>6206.9</v>
      </c>
      <c r="I8868" s="66">
        <v>45478</v>
      </c>
      <c r="J8868" s="65" t="s">
        <v>21618</v>
      </c>
      <c r="K8868" s="62"/>
      <c r="L8868" s="99"/>
      <c r="O8868" s="62" t="s">
        <v>684</v>
      </c>
      <c r="P8868" s="45" t="s">
        <v>46</v>
      </c>
      <c r="Q8868" s="45" t="s">
        <v>113</v>
      </c>
      <c r="R8868" s="45" t="s">
        <v>272</v>
      </c>
    </row>
    <row r="8869" spans="1:18" ht="69" customHeight="1">
      <c r="B8869" s="164">
        <f t="shared" si="68"/>
        <v>5986</v>
      </c>
      <c r="C8869" s="58" t="s">
        <v>21625</v>
      </c>
      <c r="D8869" s="200" t="s">
        <v>21626</v>
      </c>
      <c r="E8869" s="58" t="s">
        <v>266</v>
      </c>
      <c r="F8869" s="58" t="s">
        <v>21627</v>
      </c>
      <c r="G8869" s="58" t="s">
        <v>21620</v>
      </c>
      <c r="H8869" s="546">
        <v>6206.9</v>
      </c>
      <c r="I8869" s="66">
        <v>45478</v>
      </c>
      <c r="J8869" s="65" t="s">
        <v>21618</v>
      </c>
      <c r="K8869" s="62"/>
      <c r="L8869" s="99"/>
      <c r="O8869" s="62" t="s">
        <v>684</v>
      </c>
      <c r="P8869" s="45" t="s">
        <v>46</v>
      </c>
      <c r="Q8869" s="45" t="s">
        <v>95</v>
      </c>
      <c r="R8869" s="45" t="s">
        <v>272</v>
      </c>
    </row>
    <row r="8870" spans="1:18" ht="69" customHeight="1">
      <c r="B8870" s="164">
        <f t="shared" si="68"/>
        <v>5987</v>
      </c>
      <c r="C8870" s="58" t="s">
        <v>21628</v>
      </c>
      <c r="D8870" s="200" t="s">
        <v>21629</v>
      </c>
      <c r="E8870" s="58" t="s">
        <v>266</v>
      </c>
      <c r="F8870" s="58" t="s">
        <v>21630</v>
      </c>
      <c r="G8870" s="58" t="s">
        <v>21631</v>
      </c>
      <c r="H8870" s="546">
        <v>6206.9</v>
      </c>
      <c r="I8870" s="66">
        <v>45478</v>
      </c>
      <c r="J8870" s="65" t="s">
        <v>21618</v>
      </c>
      <c r="K8870" s="62"/>
      <c r="L8870" s="99"/>
      <c r="O8870" s="62" t="s">
        <v>684</v>
      </c>
      <c r="P8870" s="45" t="s">
        <v>46</v>
      </c>
      <c r="Q8870" s="45" t="s">
        <v>93</v>
      </c>
      <c r="R8870" s="45" t="s">
        <v>272</v>
      </c>
    </row>
    <row r="8871" spans="1:18" ht="69" customHeight="1">
      <c r="B8871" s="313">
        <f t="shared" si="68"/>
        <v>5988</v>
      </c>
      <c r="C8871" s="160" t="s">
        <v>19506</v>
      </c>
      <c r="D8871" s="311" t="s">
        <v>3672</v>
      </c>
      <c r="E8871" s="160" t="s">
        <v>266</v>
      </c>
      <c r="F8871" s="160" t="s">
        <v>21632</v>
      </c>
      <c r="G8871" s="160" t="s">
        <v>21633</v>
      </c>
      <c r="H8871" s="300">
        <v>6206.9</v>
      </c>
      <c r="I8871" s="209">
        <v>45478</v>
      </c>
      <c r="J8871" s="316" t="s">
        <v>21618</v>
      </c>
      <c r="K8871" s="259" t="s">
        <v>11084</v>
      </c>
      <c r="L8871" s="99"/>
      <c r="O8871" s="259" t="s">
        <v>684</v>
      </c>
      <c r="P8871" s="160" t="s">
        <v>67</v>
      </c>
      <c r="Q8871" s="160" t="s">
        <v>96</v>
      </c>
      <c r="R8871" s="160" t="s">
        <v>272</v>
      </c>
    </row>
    <row r="8872" spans="1:18" ht="69" customHeight="1">
      <c r="B8872" s="185">
        <f t="shared" si="68"/>
        <v>5989</v>
      </c>
      <c r="C8872" s="46" t="s">
        <v>1853</v>
      </c>
      <c r="D8872" s="539" t="s">
        <v>18037</v>
      </c>
      <c r="E8872" s="46" t="s">
        <v>266</v>
      </c>
      <c r="F8872" s="46" t="s">
        <v>21634</v>
      </c>
      <c r="G8872" s="46" t="s">
        <v>21635</v>
      </c>
      <c r="H8872" s="534">
        <v>8000</v>
      </c>
      <c r="I8872" s="56">
        <v>45478</v>
      </c>
      <c r="J8872" s="199" t="s">
        <v>21636</v>
      </c>
      <c r="K8872" s="52"/>
      <c r="L8872" s="99"/>
      <c r="O8872" s="52"/>
      <c r="P8872" s="46" t="s">
        <v>65</v>
      </c>
      <c r="Q8872" s="46" t="s">
        <v>29</v>
      </c>
      <c r="R8872" s="46" t="s">
        <v>272</v>
      </c>
    </row>
    <row r="8873" spans="1:18" ht="69" customHeight="1">
      <c r="B8873" s="185">
        <f t="shared" si="68"/>
        <v>5990</v>
      </c>
      <c r="C8873" s="46" t="s">
        <v>21615</v>
      </c>
      <c r="D8873" s="539" t="s">
        <v>18027</v>
      </c>
      <c r="E8873" s="46" t="s">
        <v>266</v>
      </c>
      <c r="F8873" s="46" t="s">
        <v>21637</v>
      </c>
      <c r="G8873" s="46" t="s">
        <v>21635</v>
      </c>
      <c r="H8873" s="534">
        <v>8000</v>
      </c>
      <c r="I8873" s="56">
        <v>45478</v>
      </c>
      <c r="J8873" s="199" t="s">
        <v>21636</v>
      </c>
      <c r="K8873" s="52"/>
      <c r="L8873" s="99"/>
      <c r="O8873" s="52"/>
      <c r="P8873" s="46" t="s">
        <v>65</v>
      </c>
      <c r="Q8873" s="46" t="s">
        <v>31</v>
      </c>
      <c r="R8873" s="46" t="s">
        <v>272</v>
      </c>
    </row>
    <row r="8874" spans="1:18" ht="69" customHeight="1">
      <c r="B8874" s="185">
        <f t="shared" si="68"/>
        <v>5991</v>
      </c>
      <c r="C8874" s="46" t="s">
        <v>21625</v>
      </c>
      <c r="D8874" s="540" t="s">
        <v>21638</v>
      </c>
      <c r="E8874" s="46" t="s">
        <v>266</v>
      </c>
      <c r="F8874" s="46" t="s">
        <v>21639</v>
      </c>
      <c r="G8874" s="46" t="s">
        <v>20543</v>
      </c>
      <c r="H8874" s="534">
        <v>11390</v>
      </c>
      <c r="I8874" s="56">
        <v>45478</v>
      </c>
      <c r="J8874" s="199" t="s">
        <v>21640</v>
      </c>
      <c r="K8874" s="52"/>
      <c r="L8874" s="99"/>
      <c r="O8874" s="52" t="s">
        <v>19899</v>
      </c>
      <c r="P8874" s="46" t="s">
        <v>65</v>
      </c>
      <c r="Q8874" s="46" t="s">
        <v>95</v>
      </c>
      <c r="R8874" s="46" t="s">
        <v>272</v>
      </c>
    </row>
    <row r="8875" spans="1:18" ht="69" customHeight="1">
      <c r="B8875" s="185">
        <f t="shared" si="68"/>
        <v>5992</v>
      </c>
      <c r="C8875" s="46" t="s">
        <v>21628</v>
      </c>
      <c r="D8875" s="539" t="s">
        <v>21641</v>
      </c>
      <c r="E8875" s="46" t="s">
        <v>266</v>
      </c>
      <c r="F8875" s="46" t="s">
        <v>21642</v>
      </c>
      <c r="G8875" s="46" t="s">
        <v>20543</v>
      </c>
      <c r="H8875" s="534">
        <v>11390</v>
      </c>
      <c r="I8875" s="56">
        <v>45478</v>
      </c>
      <c r="J8875" s="199" t="s">
        <v>21640</v>
      </c>
      <c r="K8875" s="52"/>
      <c r="L8875" s="99"/>
      <c r="O8875" s="52" t="s">
        <v>19899</v>
      </c>
      <c r="P8875" s="46" t="s">
        <v>65</v>
      </c>
      <c r="Q8875" s="46" t="s">
        <v>93</v>
      </c>
      <c r="R8875" s="46" t="s">
        <v>272</v>
      </c>
    </row>
    <row r="8876" spans="1:18" ht="69" customHeight="1">
      <c r="B8876" s="164">
        <f t="shared" si="68"/>
        <v>5993</v>
      </c>
      <c r="C8876" s="58" t="s">
        <v>657</v>
      </c>
      <c r="D8876" s="200" t="s">
        <v>11006</v>
      </c>
      <c r="E8876" s="58" t="s">
        <v>11480</v>
      </c>
      <c r="F8876" s="58" t="s">
        <v>21643</v>
      </c>
      <c r="G8876" s="45" t="s">
        <v>21644</v>
      </c>
      <c r="H8876" s="546">
        <v>205664.85</v>
      </c>
      <c r="I8876" s="66">
        <v>45478</v>
      </c>
      <c r="J8876" s="65" t="s">
        <v>21645</v>
      </c>
      <c r="K8876" s="62"/>
      <c r="L8876" s="99"/>
      <c r="O8876" s="62" t="s">
        <v>141</v>
      </c>
      <c r="P8876" s="45" t="s">
        <v>19</v>
      </c>
      <c r="Q8876" s="45" t="s">
        <v>104</v>
      </c>
      <c r="R8876" s="45" t="s">
        <v>272</v>
      </c>
    </row>
    <row r="8877" spans="1:18" ht="69" customHeight="1">
      <c r="B8877" s="185">
        <f t="shared" si="68"/>
        <v>5994</v>
      </c>
      <c r="C8877" s="46" t="s">
        <v>9004</v>
      </c>
      <c r="D8877" s="539" t="s">
        <v>11025</v>
      </c>
      <c r="E8877" s="46" t="s">
        <v>266</v>
      </c>
      <c r="F8877" s="46" t="s">
        <v>21646</v>
      </c>
      <c r="G8877" s="46" t="s">
        <v>21647</v>
      </c>
      <c r="H8877" s="534">
        <v>500</v>
      </c>
      <c r="I8877" s="56">
        <v>45478</v>
      </c>
      <c r="J8877" s="199" t="s">
        <v>21648</v>
      </c>
      <c r="K8877" s="52"/>
      <c r="L8877" s="99"/>
      <c r="O8877" s="52"/>
      <c r="P8877" s="46" t="s">
        <v>65</v>
      </c>
      <c r="Q8877" s="46" t="s">
        <v>111</v>
      </c>
      <c r="R8877" s="46" t="s">
        <v>272</v>
      </c>
    </row>
    <row r="8878" spans="1:18" s="98" customFormat="1" ht="69" customHeight="1">
      <c r="A8878" s="169"/>
      <c r="B8878" s="185">
        <f t="shared" si="68"/>
        <v>5995</v>
      </c>
      <c r="C8878" s="191" t="s">
        <v>8797</v>
      </c>
      <c r="D8878" s="539" t="s">
        <v>11029</v>
      </c>
      <c r="E8878" s="46" t="s">
        <v>266</v>
      </c>
      <c r="F8878" s="46" t="s">
        <v>21649</v>
      </c>
      <c r="G8878" s="46" t="s">
        <v>21650</v>
      </c>
      <c r="H8878" s="534">
        <v>680</v>
      </c>
      <c r="I8878" s="56">
        <v>45478</v>
      </c>
      <c r="J8878" s="199" t="s">
        <v>21651</v>
      </c>
      <c r="K8878" s="52"/>
      <c r="O8878" s="52"/>
      <c r="P8878" s="46" t="s">
        <v>65</v>
      </c>
      <c r="Q8878" s="46" t="s">
        <v>110</v>
      </c>
      <c r="R8878" s="46" t="s">
        <v>272</v>
      </c>
    </row>
    <row r="8879" spans="1:18" ht="69" customHeight="1">
      <c r="B8879" s="185">
        <f t="shared" si="68"/>
        <v>5996</v>
      </c>
      <c r="C8879" s="46" t="s">
        <v>6888</v>
      </c>
      <c r="D8879" s="539" t="s">
        <v>21652</v>
      </c>
      <c r="E8879" s="46" t="s">
        <v>266</v>
      </c>
      <c r="F8879" s="46" t="s">
        <v>21653</v>
      </c>
      <c r="G8879" s="46" t="s">
        <v>21650</v>
      </c>
      <c r="H8879" s="534">
        <v>680</v>
      </c>
      <c r="I8879" s="56">
        <v>45478</v>
      </c>
      <c r="J8879" s="199" t="s">
        <v>21651</v>
      </c>
      <c r="K8879" s="52"/>
      <c r="L8879" s="99"/>
      <c r="O8879" s="52"/>
      <c r="P8879" s="46" t="s">
        <v>65</v>
      </c>
      <c r="Q8879" s="46" t="s">
        <v>84</v>
      </c>
      <c r="R8879" s="46" t="s">
        <v>272</v>
      </c>
    </row>
    <row r="8880" spans="1:18" ht="69" customHeight="1">
      <c r="B8880" s="185">
        <f t="shared" si="68"/>
        <v>5997</v>
      </c>
      <c r="C8880" s="46" t="s">
        <v>10947</v>
      </c>
      <c r="D8880" s="539" t="s">
        <v>18745</v>
      </c>
      <c r="E8880" s="46" t="s">
        <v>266</v>
      </c>
      <c r="F8880" s="46" t="s">
        <v>21654</v>
      </c>
      <c r="G8880" s="46" t="s">
        <v>21650</v>
      </c>
      <c r="H8880" s="534">
        <v>680</v>
      </c>
      <c r="I8880" s="56">
        <v>45478</v>
      </c>
      <c r="J8880" s="199" t="s">
        <v>21651</v>
      </c>
      <c r="K8880" s="52"/>
      <c r="L8880" s="99"/>
      <c r="O8880" s="52"/>
      <c r="P8880" s="46" t="s">
        <v>65</v>
      </c>
      <c r="Q8880" s="46" t="s">
        <v>100</v>
      </c>
      <c r="R8880" s="46" t="s">
        <v>272</v>
      </c>
    </row>
    <row r="8881" spans="2:18" ht="69" customHeight="1">
      <c r="B8881" s="259">
        <f t="shared" si="68"/>
        <v>5998</v>
      </c>
      <c r="C8881" s="793" t="s">
        <v>13665</v>
      </c>
      <c r="D8881" s="311" t="s">
        <v>3472</v>
      </c>
      <c r="E8881" s="160" t="s">
        <v>21655</v>
      </c>
      <c r="F8881" s="160" t="s">
        <v>21656</v>
      </c>
      <c r="G8881" s="160" t="s">
        <v>21657</v>
      </c>
      <c r="H8881" s="300">
        <v>26108.799999999999</v>
      </c>
      <c r="I8881" s="209">
        <v>45498</v>
      </c>
      <c r="J8881" s="316" t="s">
        <v>21658</v>
      </c>
      <c r="K8881" s="259" t="s">
        <v>11084</v>
      </c>
      <c r="L8881" s="99"/>
      <c r="O8881" s="259" t="s">
        <v>156</v>
      </c>
      <c r="P8881" s="160" t="s">
        <v>67</v>
      </c>
      <c r="Q8881" s="160" t="s">
        <v>96</v>
      </c>
      <c r="R8881" s="160" t="s">
        <v>272</v>
      </c>
    </row>
    <row r="8882" spans="2:18" ht="69" customHeight="1">
      <c r="B8882" s="205">
        <f t="shared" si="68"/>
        <v>5999</v>
      </c>
      <c r="C8882" s="51" t="s">
        <v>12295</v>
      </c>
      <c r="D8882" s="539" t="s">
        <v>21659</v>
      </c>
      <c r="E8882" s="46" t="s">
        <v>266</v>
      </c>
      <c r="F8882" s="46" t="s">
        <v>21660</v>
      </c>
      <c r="G8882" s="46" t="s">
        <v>21650</v>
      </c>
      <c r="H8882" s="534">
        <v>850</v>
      </c>
      <c r="I8882" s="56">
        <v>45478</v>
      </c>
      <c r="J8882" s="199" t="s">
        <v>21661</v>
      </c>
      <c r="K8882" s="52"/>
      <c r="L8882" s="99"/>
      <c r="O8882" s="52"/>
      <c r="P8882" s="46" t="s">
        <v>65</v>
      </c>
      <c r="Q8882" s="46" t="s">
        <v>68</v>
      </c>
      <c r="R8882" s="46" t="s">
        <v>272</v>
      </c>
    </row>
    <row r="8883" spans="2:18" ht="69" customHeight="1">
      <c r="B8883" s="185">
        <f t="shared" si="68"/>
        <v>6000</v>
      </c>
      <c r="C8883" s="46" t="s">
        <v>16807</v>
      </c>
      <c r="D8883" s="539" t="s">
        <v>21662</v>
      </c>
      <c r="E8883" s="46" t="s">
        <v>266</v>
      </c>
      <c r="F8883" s="46" t="s">
        <v>21663</v>
      </c>
      <c r="G8883" s="46" t="s">
        <v>21650</v>
      </c>
      <c r="H8883" s="534">
        <v>850</v>
      </c>
      <c r="I8883" s="56">
        <v>45478</v>
      </c>
      <c r="J8883" s="199" t="s">
        <v>21661</v>
      </c>
      <c r="K8883" s="52"/>
      <c r="L8883" s="99"/>
      <c r="O8883" s="52" t="s">
        <v>21664</v>
      </c>
      <c r="P8883" s="46" t="s">
        <v>65</v>
      </c>
      <c r="Q8883" s="46" t="s">
        <v>70</v>
      </c>
      <c r="R8883" s="46" t="s">
        <v>272</v>
      </c>
    </row>
    <row r="8884" spans="2:18" ht="69" customHeight="1">
      <c r="B8884" s="185">
        <f t="shared" si="68"/>
        <v>6001</v>
      </c>
      <c r="C8884" s="191" t="s">
        <v>6062</v>
      </c>
      <c r="D8884" s="539" t="s">
        <v>21665</v>
      </c>
      <c r="E8884" s="46" t="s">
        <v>266</v>
      </c>
      <c r="F8884" s="46" t="s">
        <v>21666</v>
      </c>
      <c r="G8884" s="46" t="s">
        <v>21650</v>
      </c>
      <c r="H8884" s="534">
        <v>850</v>
      </c>
      <c r="I8884" s="56">
        <v>45478</v>
      </c>
      <c r="J8884" s="199" t="s">
        <v>21661</v>
      </c>
      <c r="K8884" s="52"/>
      <c r="L8884" s="99"/>
      <c r="O8884" s="52"/>
      <c r="P8884" s="46" t="s">
        <v>65</v>
      </c>
      <c r="Q8884" s="46" t="s">
        <v>72</v>
      </c>
      <c r="R8884" s="46" t="s">
        <v>272</v>
      </c>
    </row>
    <row r="8885" spans="2:18" ht="69" customHeight="1">
      <c r="B8885" s="185">
        <f t="shared" si="68"/>
        <v>6002</v>
      </c>
      <c r="C8885" s="51" t="s">
        <v>6468</v>
      </c>
      <c r="D8885" s="539" t="s">
        <v>21667</v>
      </c>
      <c r="E8885" s="46" t="s">
        <v>266</v>
      </c>
      <c r="F8885" s="46" t="s">
        <v>21668</v>
      </c>
      <c r="G8885" s="46" t="s">
        <v>21650</v>
      </c>
      <c r="H8885" s="534">
        <v>850</v>
      </c>
      <c r="I8885" s="56">
        <v>45478</v>
      </c>
      <c r="J8885" s="199" t="s">
        <v>21661</v>
      </c>
      <c r="K8885" s="52"/>
      <c r="L8885" s="99"/>
      <c r="O8885" s="52" t="s">
        <v>21664</v>
      </c>
      <c r="P8885" s="46" t="s">
        <v>65</v>
      </c>
      <c r="Q8885" s="46" t="s">
        <v>76</v>
      </c>
      <c r="R8885" s="46" t="s">
        <v>272</v>
      </c>
    </row>
    <row r="8886" spans="2:18" ht="69" customHeight="1">
      <c r="B8886" s="185">
        <f t="shared" si="68"/>
        <v>6003</v>
      </c>
      <c r="C8886" s="46" t="s">
        <v>5658</v>
      </c>
      <c r="D8886" s="539" t="s">
        <v>21669</v>
      </c>
      <c r="E8886" s="46" t="s">
        <v>266</v>
      </c>
      <c r="F8886" s="46" t="s">
        <v>21670</v>
      </c>
      <c r="G8886" s="46" t="s">
        <v>21650</v>
      </c>
      <c r="H8886" s="534">
        <v>850</v>
      </c>
      <c r="I8886" s="56">
        <v>45478</v>
      </c>
      <c r="J8886" s="199" t="s">
        <v>21661</v>
      </c>
      <c r="K8886" s="52"/>
      <c r="L8886" s="99"/>
      <c r="O8886" s="52"/>
      <c r="P8886" s="46" t="s">
        <v>65</v>
      </c>
      <c r="Q8886" s="46" t="s">
        <v>66</v>
      </c>
      <c r="R8886" s="46" t="s">
        <v>272</v>
      </c>
    </row>
    <row r="8887" spans="2:18" ht="69" customHeight="1">
      <c r="B8887" s="185">
        <f t="shared" si="68"/>
        <v>6004</v>
      </c>
      <c r="C8887" s="264" t="s">
        <v>10612</v>
      </c>
      <c r="D8887" s="539" t="s">
        <v>21671</v>
      </c>
      <c r="E8887" s="46" t="s">
        <v>266</v>
      </c>
      <c r="F8887" s="46" t="s">
        <v>21672</v>
      </c>
      <c r="G8887" s="46" t="s">
        <v>21650</v>
      </c>
      <c r="H8887" s="534">
        <v>850</v>
      </c>
      <c r="I8887" s="56">
        <v>45478</v>
      </c>
      <c r="J8887" s="199" t="s">
        <v>21661</v>
      </c>
      <c r="K8887" s="52"/>
      <c r="L8887" s="99"/>
      <c r="O8887" s="52"/>
      <c r="P8887" s="46" t="s">
        <v>65</v>
      </c>
      <c r="Q8887" s="46" t="s">
        <v>86</v>
      </c>
      <c r="R8887" s="46" t="s">
        <v>272</v>
      </c>
    </row>
    <row r="8888" spans="2:18" ht="69" customHeight="1">
      <c r="B8888" s="199">
        <f t="shared" si="68"/>
        <v>6005</v>
      </c>
      <c r="C8888" s="46" t="s">
        <v>19659</v>
      </c>
      <c r="D8888" s="539" t="s">
        <v>21673</v>
      </c>
      <c r="E8888" s="46" t="s">
        <v>266</v>
      </c>
      <c r="F8888" s="46" t="s">
        <v>21674</v>
      </c>
      <c r="G8888" s="46" t="s">
        <v>21650</v>
      </c>
      <c r="H8888" s="534">
        <v>850</v>
      </c>
      <c r="I8888" s="56">
        <v>45478</v>
      </c>
      <c r="J8888" s="199" t="s">
        <v>21661</v>
      </c>
      <c r="K8888" s="52"/>
      <c r="L8888" s="99"/>
      <c r="O8888" s="52"/>
      <c r="P8888" s="46" t="s">
        <v>65</v>
      </c>
      <c r="Q8888" s="46" t="s">
        <v>74</v>
      </c>
      <c r="R8888" s="46" t="s">
        <v>272</v>
      </c>
    </row>
    <row r="8889" spans="2:18" ht="69" customHeight="1">
      <c r="B8889" s="271">
        <f t="shared" si="68"/>
        <v>6006</v>
      </c>
      <c r="C8889" s="46" t="s">
        <v>21050</v>
      </c>
      <c r="D8889" s="539" t="s">
        <v>18747</v>
      </c>
      <c r="E8889" s="46" t="s">
        <v>266</v>
      </c>
      <c r="F8889" s="46" t="s">
        <v>21675</v>
      </c>
      <c r="G8889" s="46" t="s">
        <v>21650</v>
      </c>
      <c r="H8889" s="534">
        <v>850</v>
      </c>
      <c r="I8889" s="56">
        <v>45478</v>
      </c>
      <c r="J8889" s="199" t="s">
        <v>21661</v>
      </c>
      <c r="K8889" s="52"/>
      <c r="L8889" s="99"/>
      <c r="O8889" s="52"/>
      <c r="P8889" s="46" t="s">
        <v>65</v>
      </c>
      <c r="Q8889" s="46" t="s">
        <v>117</v>
      </c>
      <c r="R8889" s="46" t="s">
        <v>272</v>
      </c>
    </row>
    <row r="8890" spans="2:18" ht="69" customHeight="1">
      <c r="B8890" s="314">
        <f>B8889+1</f>
        <v>6007</v>
      </c>
      <c r="C8890" s="160" t="s">
        <v>13665</v>
      </c>
      <c r="D8890" s="303" t="s">
        <v>3463</v>
      </c>
      <c r="E8890" s="160" t="s">
        <v>21676</v>
      </c>
      <c r="F8890" s="160" t="s">
        <v>21677</v>
      </c>
      <c r="G8890" s="160" t="s">
        <v>21657</v>
      </c>
      <c r="H8890" s="300">
        <v>105895.8</v>
      </c>
      <c r="I8890" s="209">
        <v>45498</v>
      </c>
      <c r="J8890" s="316" t="s">
        <v>21678</v>
      </c>
      <c r="K8890" s="259" t="s">
        <v>11084</v>
      </c>
      <c r="L8890" s="99"/>
      <c r="O8890" s="259" t="s">
        <v>156</v>
      </c>
      <c r="P8890" s="160" t="s">
        <v>67</v>
      </c>
      <c r="Q8890" s="160" t="s">
        <v>96</v>
      </c>
      <c r="R8890" s="160" t="s">
        <v>272</v>
      </c>
    </row>
    <row r="8891" spans="2:18" ht="69" customHeight="1">
      <c r="B8891" s="317">
        <f t="shared" si="68"/>
        <v>6008</v>
      </c>
      <c r="C8891" s="256" t="s">
        <v>21679</v>
      </c>
      <c r="D8891" s="318" t="s">
        <v>18073</v>
      </c>
      <c r="E8891" s="118" t="s">
        <v>266</v>
      </c>
      <c r="F8891" s="118" t="s">
        <v>21680</v>
      </c>
      <c r="G8891" s="118" t="s">
        <v>21681</v>
      </c>
      <c r="H8891" s="300" t="s">
        <v>96</v>
      </c>
      <c r="I8891" s="262">
        <v>45478</v>
      </c>
      <c r="J8891" s="258" t="s">
        <v>21682</v>
      </c>
      <c r="K8891" s="261" t="s">
        <v>16635</v>
      </c>
      <c r="L8891" s="117"/>
      <c r="M8891" s="117"/>
      <c r="N8891" s="117"/>
      <c r="O8891" s="259" t="s">
        <v>96</v>
      </c>
      <c r="P8891" s="118" t="s">
        <v>67</v>
      </c>
      <c r="Q8891" s="160" t="s">
        <v>35</v>
      </c>
      <c r="R8891" s="160" t="s">
        <v>272</v>
      </c>
    </row>
    <row r="8892" spans="2:18" ht="69" customHeight="1">
      <c r="B8892" s="313">
        <f t="shared" si="68"/>
        <v>6009</v>
      </c>
      <c r="C8892" s="207" t="s">
        <v>13665</v>
      </c>
      <c r="D8892" s="311" t="s">
        <v>3469</v>
      </c>
      <c r="E8892" s="160" t="s">
        <v>21676</v>
      </c>
      <c r="F8892" s="160" t="s">
        <v>21683</v>
      </c>
      <c r="G8892" s="160" t="s">
        <v>21657</v>
      </c>
      <c r="H8892" s="300">
        <v>269127.33</v>
      </c>
      <c r="I8892" s="209">
        <v>45498</v>
      </c>
      <c r="J8892" s="316" t="s">
        <v>21684</v>
      </c>
      <c r="K8892" s="259" t="s">
        <v>11084</v>
      </c>
      <c r="L8892" s="99"/>
      <c r="O8892" s="259" t="s">
        <v>156</v>
      </c>
      <c r="P8892" s="160" t="s">
        <v>67</v>
      </c>
      <c r="Q8892" s="160" t="s">
        <v>96</v>
      </c>
      <c r="R8892" s="160" t="s">
        <v>272</v>
      </c>
    </row>
    <row r="8893" spans="2:18" ht="69" customHeight="1">
      <c r="B8893" s="185">
        <f t="shared" si="68"/>
        <v>6010</v>
      </c>
      <c r="C8893" s="46" t="s">
        <v>458</v>
      </c>
      <c r="D8893" s="539" t="s">
        <v>18801</v>
      </c>
      <c r="E8893" s="46" t="s">
        <v>266</v>
      </c>
      <c r="F8893" s="46" t="s">
        <v>21685</v>
      </c>
      <c r="G8893" s="46" t="s">
        <v>21686</v>
      </c>
      <c r="H8893" s="534">
        <v>22212.39</v>
      </c>
      <c r="I8893" s="56">
        <v>45478</v>
      </c>
      <c r="J8893" s="199" t="s">
        <v>21687</v>
      </c>
      <c r="K8893" s="52"/>
      <c r="L8893" s="99"/>
      <c r="O8893" s="46" t="s">
        <v>1171</v>
      </c>
      <c r="P8893" s="46" t="s">
        <v>71</v>
      </c>
      <c r="Q8893" s="46" t="s">
        <v>100</v>
      </c>
      <c r="R8893" s="46" t="s">
        <v>272</v>
      </c>
    </row>
    <row r="8894" spans="2:18" ht="69" customHeight="1">
      <c r="B8894" s="317">
        <f t="shared" si="68"/>
        <v>6011</v>
      </c>
      <c r="C8894" s="118" t="s">
        <v>657</v>
      </c>
      <c r="D8894" s="318" t="s">
        <v>11110</v>
      </c>
      <c r="E8894" s="118" t="s">
        <v>266</v>
      </c>
      <c r="F8894" s="118" t="s">
        <v>21688</v>
      </c>
      <c r="G8894" s="118" t="s">
        <v>21686</v>
      </c>
      <c r="H8894" s="300">
        <v>22212.39</v>
      </c>
      <c r="I8894" s="262">
        <v>45478</v>
      </c>
      <c r="J8894" s="258" t="s">
        <v>21687</v>
      </c>
      <c r="K8894" s="261" t="s">
        <v>16635</v>
      </c>
      <c r="L8894" s="99"/>
      <c r="O8894" s="46" t="s">
        <v>1171</v>
      </c>
      <c r="P8894" s="118" t="s">
        <v>67</v>
      </c>
      <c r="Q8894" s="118" t="s">
        <v>110</v>
      </c>
      <c r="R8894" s="118" t="s">
        <v>272</v>
      </c>
    </row>
    <row r="8895" spans="2:18" ht="69" customHeight="1">
      <c r="B8895" s="317">
        <f t="shared" si="68"/>
        <v>6012</v>
      </c>
      <c r="C8895" s="118" t="s">
        <v>657</v>
      </c>
      <c r="D8895" s="318" t="s">
        <v>11121</v>
      </c>
      <c r="E8895" s="118" t="s">
        <v>266</v>
      </c>
      <c r="F8895" s="118" t="s">
        <v>21689</v>
      </c>
      <c r="G8895" s="118" t="s">
        <v>21686</v>
      </c>
      <c r="H8895" s="300">
        <v>22212.39</v>
      </c>
      <c r="I8895" s="262">
        <v>45478</v>
      </c>
      <c r="J8895" s="258" t="s">
        <v>21687</v>
      </c>
      <c r="K8895" s="261" t="s">
        <v>16635</v>
      </c>
      <c r="L8895" s="99"/>
      <c r="O8895" s="46" t="s">
        <v>1171</v>
      </c>
      <c r="P8895" s="118" t="s">
        <v>67</v>
      </c>
      <c r="Q8895" s="118" t="s">
        <v>110</v>
      </c>
      <c r="R8895" s="118" t="s">
        <v>272</v>
      </c>
    </row>
    <row r="8896" spans="2:18" ht="69" customHeight="1">
      <c r="B8896" s="313">
        <f t="shared" si="68"/>
        <v>6013</v>
      </c>
      <c r="C8896" s="207" t="s">
        <v>13665</v>
      </c>
      <c r="D8896" s="311" t="s">
        <v>3466</v>
      </c>
      <c r="E8896" s="160" t="s">
        <v>21690</v>
      </c>
      <c r="F8896" s="160" t="s">
        <v>21691</v>
      </c>
      <c r="G8896" s="160" t="s">
        <v>21657</v>
      </c>
      <c r="H8896" s="300">
        <v>56285.56</v>
      </c>
      <c r="I8896" s="209">
        <v>45488</v>
      </c>
      <c r="J8896" s="316" t="s">
        <v>21692</v>
      </c>
      <c r="K8896" s="259" t="s">
        <v>11084</v>
      </c>
      <c r="L8896" s="99"/>
      <c r="O8896" s="259" t="s">
        <v>156</v>
      </c>
      <c r="P8896" s="160" t="s">
        <v>67</v>
      </c>
      <c r="Q8896" s="160" t="s">
        <v>96</v>
      </c>
      <c r="R8896" s="160" t="s">
        <v>272</v>
      </c>
    </row>
    <row r="8897" spans="2:18" ht="69" customHeight="1">
      <c r="B8897" s="313">
        <f t="shared" si="68"/>
        <v>6014</v>
      </c>
      <c r="C8897" s="493" t="s">
        <v>13665</v>
      </c>
      <c r="D8897" s="494" t="s">
        <v>3457</v>
      </c>
      <c r="E8897" s="345" t="s">
        <v>21690</v>
      </c>
      <c r="F8897" s="345" t="s">
        <v>21693</v>
      </c>
      <c r="G8897" s="345" t="s">
        <v>21657</v>
      </c>
      <c r="H8897" s="495">
        <v>184311.6</v>
      </c>
      <c r="I8897" s="496">
        <v>45488</v>
      </c>
      <c r="J8897" s="313" t="s">
        <v>21694</v>
      </c>
      <c r="K8897" s="497" t="s">
        <v>11084</v>
      </c>
      <c r="L8897" s="99"/>
      <c r="O8897" s="259" t="s">
        <v>156</v>
      </c>
      <c r="P8897" s="160" t="s">
        <v>67</v>
      </c>
      <c r="Q8897" s="160" t="s">
        <v>96</v>
      </c>
      <c r="R8897" s="160" t="s">
        <v>272</v>
      </c>
    </row>
    <row r="8898" spans="2:18" ht="69" customHeight="1">
      <c r="B8898" s="62">
        <f t="shared" si="68"/>
        <v>6015</v>
      </c>
      <c r="C8898" s="58" t="s">
        <v>11058</v>
      </c>
      <c r="D8898" s="200" t="s">
        <v>21695</v>
      </c>
      <c r="E8898" s="58" t="s">
        <v>21397</v>
      </c>
      <c r="F8898" s="45" t="s">
        <v>21696</v>
      </c>
      <c r="G8898" s="45" t="s">
        <v>21399</v>
      </c>
      <c r="H8898" s="546">
        <v>100209.74</v>
      </c>
      <c r="I8898" s="47">
        <v>45488</v>
      </c>
      <c r="J8898" s="62" t="s">
        <v>21697</v>
      </c>
      <c r="K8898" s="62"/>
      <c r="L8898" s="99"/>
      <c r="O8898" s="62" t="s">
        <v>192</v>
      </c>
      <c r="P8898" s="45" t="s">
        <v>75</v>
      </c>
      <c r="Q8898" s="45" t="s">
        <v>23</v>
      </c>
      <c r="R8898" s="45" t="s">
        <v>272</v>
      </c>
    </row>
    <row r="8899" spans="2:18" ht="69" customHeight="1">
      <c r="B8899" s="181">
        <f t="shared" si="68"/>
        <v>6016</v>
      </c>
      <c r="C8899" s="74" t="s">
        <v>15700</v>
      </c>
      <c r="D8899" s="635" t="s">
        <v>21086</v>
      </c>
      <c r="E8899" s="74" t="s">
        <v>21397</v>
      </c>
      <c r="F8899" s="61" t="s">
        <v>21698</v>
      </c>
      <c r="G8899" s="61" t="s">
        <v>21399</v>
      </c>
      <c r="H8899" s="644">
        <v>50209.38</v>
      </c>
      <c r="I8899" s="130">
        <v>45488</v>
      </c>
      <c r="J8899" s="197" t="s">
        <v>21697</v>
      </c>
      <c r="K8899" s="136"/>
      <c r="L8899" s="99"/>
      <c r="O8899" s="62" t="s">
        <v>192</v>
      </c>
      <c r="P8899" s="45" t="s">
        <v>75</v>
      </c>
      <c r="Q8899" s="45" t="s">
        <v>39</v>
      </c>
      <c r="R8899" s="45" t="s">
        <v>272</v>
      </c>
    </row>
    <row r="8900" spans="2:18" ht="69" customHeight="1">
      <c r="B8900" s="164">
        <f t="shared" si="68"/>
        <v>6017</v>
      </c>
      <c r="C8900" s="58" t="s">
        <v>15449</v>
      </c>
      <c r="D8900" s="200" t="s">
        <v>18143</v>
      </c>
      <c r="E8900" s="58" t="s">
        <v>21397</v>
      </c>
      <c r="F8900" s="45" t="s">
        <v>21699</v>
      </c>
      <c r="G8900" s="45" t="s">
        <v>21399</v>
      </c>
      <c r="H8900" s="546">
        <v>57838.38</v>
      </c>
      <c r="I8900" s="47">
        <v>45488</v>
      </c>
      <c r="J8900" s="65" t="s">
        <v>21697</v>
      </c>
      <c r="K8900" s="62"/>
      <c r="L8900" s="99"/>
      <c r="O8900" s="62" t="s">
        <v>192</v>
      </c>
      <c r="P8900" s="45" t="s">
        <v>75</v>
      </c>
      <c r="Q8900" s="45" t="s">
        <v>41</v>
      </c>
      <c r="R8900" s="45" t="s">
        <v>272</v>
      </c>
    </row>
    <row r="8901" spans="2:18" ht="69" customHeight="1">
      <c r="B8901" s="164">
        <f t="shared" si="68"/>
        <v>6018</v>
      </c>
      <c r="C8901" s="45" t="s">
        <v>1593</v>
      </c>
      <c r="D8901" s="200" t="s">
        <v>18145</v>
      </c>
      <c r="E8901" s="58" t="s">
        <v>21397</v>
      </c>
      <c r="F8901" s="45" t="s">
        <v>21700</v>
      </c>
      <c r="G8901" s="45" t="s">
        <v>21399</v>
      </c>
      <c r="H8901" s="546">
        <v>59704.69</v>
      </c>
      <c r="I8901" s="47">
        <v>45488</v>
      </c>
      <c r="J8901" s="65" t="s">
        <v>21697</v>
      </c>
      <c r="K8901" s="62"/>
      <c r="L8901" s="99"/>
      <c r="O8901" s="62" t="s">
        <v>192</v>
      </c>
      <c r="P8901" s="45" t="s">
        <v>75</v>
      </c>
      <c r="Q8901" s="45" t="s">
        <v>27</v>
      </c>
      <c r="R8901" s="45" t="s">
        <v>272</v>
      </c>
    </row>
    <row r="8902" spans="2:18" ht="69" customHeight="1">
      <c r="B8902" s="164">
        <f t="shared" si="68"/>
        <v>6019</v>
      </c>
      <c r="C8902" s="45" t="s">
        <v>3368</v>
      </c>
      <c r="D8902" s="200" t="s">
        <v>18181</v>
      </c>
      <c r="E8902" s="58" t="s">
        <v>21397</v>
      </c>
      <c r="F8902" s="45" t="s">
        <v>21701</v>
      </c>
      <c r="G8902" s="45" t="s">
        <v>21399</v>
      </c>
      <c r="H8902" s="546">
        <v>52704.69</v>
      </c>
      <c r="I8902" s="47">
        <v>45488</v>
      </c>
      <c r="J8902" s="65" t="s">
        <v>21697</v>
      </c>
      <c r="K8902" s="62"/>
      <c r="L8902" s="99"/>
      <c r="O8902" s="62" t="s">
        <v>192</v>
      </c>
      <c r="P8902" s="45" t="s">
        <v>75</v>
      </c>
      <c r="Q8902" s="45" t="s">
        <v>43</v>
      </c>
      <c r="R8902" s="45" t="s">
        <v>272</v>
      </c>
    </row>
    <row r="8903" spans="2:18" ht="69" customHeight="1">
      <c r="B8903" s="164">
        <f t="shared" si="68"/>
        <v>6020</v>
      </c>
      <c r="C8903" s="45" t="s">
        <v>18817</v>
      </c>
      <c r="D8903" s="200" t="s">
        <v>18186</v>
      </c>
      <c r="E8903" s="58" t="s">
        <v>21397</v>
      </c>
      <c r="F8903" s="45" t="s">
        <v>21702</v>
      </c>
      <c r="G8903" s="45" t="s">
        <v>21399</v>
      </c>
      <c r="H8903" s="546">
        <v>59407.69</v>
      </c>
      <c r="I8903" s="47">
        <v>45488</v>
      </c>
      <c r="J8903" s="65" t="s">
        <v>21697</v>
      </c>
      <c r="K8903" s="62"/>
      <c r="L8903" s="99"/>
      <c r="O8903" s="62" t="s">
        <v>192</v>
      </c>
      <c r="P8903" s="45" t="s">
        <v>75</v>
      </c>
      <c r="Q8903" s="45" t="s">
        <v>25</v>
      </c>
      <c r="R8903" s="45" t="s">
        <v>272</v>
      </c>
    </row>
    <row r="8904" spans="2:18" ht="69" customHeight="1">
      <c r="B8904" s="164">
        <f t="shared" si="68"/>
        <v>6021</v>
      </c>
      <c r="C8904" s="45" t="s">
        <v>4411</v>
      </c>
      <c r="D8904" s="200" t="s">
        <v>21703</v>
      </c>
      <c r="E8904" s="58" t="s">
        <v>21397</v>
      </c>
      <c r="F8904" s="45" t="s">
        <v>21704</v>
      </c>
      <c r="G8904" s="45" t="s">
        <v>21399</v>
      </c>
      <c r="H8904" s="546">
        <v>49101.1</v>
      </c>
      <c r="I8904" s="47">
        <v>45488</v>
      </c>
      <c r="J8904" s="65" t="s">
        <v>21697</v>
      </c>
      <c r="K8904" s="62"/>
      <c r="L8904" s="99"/>
      <c r="O8904" s="62" t="s">
        <v>192</v>
      </c>
      <c r="P8904" s="45" t="s">
        <v>75</v>
      </c>
      <c r="Q8904" s="45" t="s">
        <v>54</v>
      </c>
      <c r="R8904" s="45" t="s">
        <v>272</v>
      </c>
    </row>
    <row r="8905" spans="2:18" ht="69" customHeight="1">
      <c r="B8905" s="185">
        <f t="shared" si="68"/>
        <v>6022</v>
      </c>
      <c r="C8905" s="46" t="s">
        <v>14255</v>
      </c>
      <c r="D8905" s="539" t="s">
        <v>18803</v>
      </c>
      <c r="E8905" s="46" t="s">
        <v>266</v>
      </c>
      <c r="F8905" s="46" t="s">
        <v>21705</v>
      </c>
      <c r="G8905" s="46" t="s">
        <v>21706</v>
      </c>
      <c r="H8905" s="534">
        <v>3730</v>
      </c>
      <c r="I8905" s="56">
        <v>45488</v>
      </c>
      <c r="J8905" s="199" t="s">
        <v>21707</v>
      </c>
      <c r="K8905" s="52"/>
      <c r="L8905" s="99"/>
      <c r="O8905" s="52"/>
      <c r="P8905" s="46" t="s">
        <v>65</v>
      </c>
      <c r="Q8905" s="46" t="s">
        <v>107</v>
      </c>
      <c r="R8905" s="46" t="s">
        <v>272</v>
      </c>
    </row>
    <row r="8906" spans="2:18" ht="69" customHeight="1">
      <c r="B8906" s="185">
        <f t="shared" ref="B8906:B8969" si="69">B8905+1</f>
        <v>6023</v>
      </c>
      <c r="C8906" s="191" t="s">
        <v>9094</v>
      </c>
      <c r="D8906" s="539" t="s">
        <v>18805</v>
      </c>
      <c r="E8906" s="46" t="s">
        <v>266</v>
      </c>
      <c r="F8906" s="46" t="s">
        <v>21708</v>
      </c>
      <c r="G8906" s="46" t="s">
        <v>21706</v>
      </c>
      <c r="H8906" s="534">
        <v>3730</v>
      </c>
      <c r="I8906" s="56">
        <v>45488</v>
      </c>
      <c r="J8906" s="199" t="s">
        <v>21707</v>
      </c>
      <c r="K8906" s="46" t="s">
        <v>5103</v>
      </c>
      <c r="L8906" s="99"/>
      <c r="O8906" s="52"/>
      <c r="P8906" s="46" t="s">
        <v>65</v>
      </c>
      <c r="Q8906" s="46" t="s">
        <v>112</v>
      </c>
      <c r="R8906" s="46" t="s">
        <v>272</v>
      </c>
    </row>
    <row r="8907" spans="2:18" ht="69" customHeight="1">
      <c r="B8907" s="185">
        <f t="shared" si="69"/>
        <v>6024</v>
      </c>
      <c r="C8907" s="46" t="s">
        <v>21590</v>
      </c>
      <c r="D8907" s="539" t="s">
        <v>18820</v>
      </c>
      <c r="E8907" s="46" t="s">
        <v>266</v>
      </c>
      <c r="F8907" s="46" t="s">
        <v>21709</v>
      </c>
      <c r="G8907" s="46" t="s">
        <v>21706</v>
      </c>
      <c r="H8907" s="534">
        <v>3730</v>
      </c>
      <c r="I8907" s="56">
        <v>45488</v>
      </c>
      <c r="J8907" s="199" t="s">
        <v>21707</v>
      </c>
      <c r="K8907" s="52"/>
      <c r="L8907" s="99"/>
      <c r="O8907" s="52"/>
      <c r="P8907" s="46" t="s">
        <v>65</v>
      </c>
      <c r="Q8907" s="46" t="s">
        <v>107</v>
      </c>
      <c r="R8907" s="46" t="s">
        <v>272</v>
      </c>
    </row>
    <row r="8908" spans="2:18" ht="69" customHeight="1">
      <c r="B8908" s="185">
        <f t="shared" si="69"/>
        <v>6025</v>
      </c>
      <c r="C8908" s="46" t="s">
        <v>21622</v>
      </c>
      <c r="D8908" s="539" t="s">
        <v>21710</v>
      </c>
      <c r="E8908" s="46" t="s">
        <v>266</v>
      </c>
      <c r="F8908" s="46" t="s">
        <v>21711</v>
      </c>
      <c r="G8908" s="46" t="s">
        <v>21706</v>
      </c>
      <c r="H8908" s="534">
        <v>3730</v>
      </c>
      <c r="I8908" s="56">
        <v>45488</v>
      </c>
      <c r="J8908" s="199" t="s">
        <v>21707</v>
      </c>
      <c r="K8908" s="52"/>
      <c r="L8908" s="99"/>
      <c r="O8908" s="52"/>
      <c r="P8908" s="46" t="s">
        <v>65</v>
      </c>
      <c r="Q8908" s="46" t="s">
        <v>113</v>
      </c>
      <c r="R8908" s="46" t="s">
        <v>272</v>
      </c>
    </row>
    <row r="8909" spans="2:18" ht="69" customHeight="1">
      <c r="B8909" s="185">
        <f t="shared" si="69"/>
        <v>6026</v>
      </c>
      <c r="C8909" s="46" t="s">
        <v>11933</v>
      </c>
      <c r="D8909" s="539" t="s">
        <v>18829</v>
      </c>
      <c r="E8909" s="46" t="s">
        <v>266</v>
      </c>
      <c r="F8909" s="46" t="s">
        <v>21712</v>
      </c>
      <c r="G8909" s="46" t="s">
        <v>21706</v>
      </c>
      <c r="H8909" s="534">
        <v>3730</v>
      </c>
      <c r="I8909" s="56">
        <v>45488</v>
      </c>
      <c r="J8909" s="199" t="s">
        <v>21707</v>
      </c>
      <c r="K8909" s="52"/>
      <c r="L8909" s="99"/>
      <c r="O8909" s="52" t="s">
        <v>20550</v>
      </c>
      <c r="P8909" s="46" t="s">
        <v>65</v>
      </c>
      <c r="Q8909" s="46" t="s">
        <v>123</v>
      </c>
      <c r="R8909" s="46" t="s">
        <v>272</v>
      </c>
    </row>
    <row r="8910" spans="2:18" ht="69" customHeight="1">
      <c r="B8910" s="185">
        <f t="shared" si="69"/>
        <v>6027</v>
      </c>
      <c r="C8910" s="46" t="s">
        <v>11618</v>
      </c>
      <c r="D8910" s="539" t="s">
        <v>21330</v>
      </c>
      <c r="E8910" s="46" t="s">
        <v>266</v>
      </c>
      <c r="F8910" s="46" t="s">
        <v>21713</v>
      </c>
      <c r="G8910" s="46" t="s">
        <v>21706</v>
      </c>
      <c r="H8910" s="534">
        <v>3730</v>
      </c>
      <c r="I8910" s="56">
        <v>45488</v>
      </c>
      <c r="J8910" s="199" t="s">
        <v>21707</v>
      </c>
      <c r="K8910" s="52"/>
      <c r="L8910" s="99"/>
      <c r="O8910" s="52"/>
      <c r="P8910" s="46" t="s">
        <v>65</v>
      </c>
      <c r="Q8910" s="46" t="s">
        <v>122</v>
      </c>
      <c r="R8910" s="46" t="s">
        <v>272</v>
      </c>
    </row>
    <row r="8911" spans="2:18" ht="69" customHeight="1">
      <c r="B8911" s="185">
        <f t="shared" si="69"/>
        <v>6028</v>
      </c>
      <c r="C8911" s="191" t="s">
        <v>7189</v>
      </c>
      <c r="D8911" s="539" t="s">
        <v>11126</v>
      </c>
      <c r="E8911" s="46" t="s">
        <v>266</v>
      </c>
      <c r="F8911" s="46" t="s">
        <v>21714</v>
      </c>
      <c r="G8911" s="46" t="s">
        <v>21706</v>
      </c>
      <c r="H8911" s="534">
        <v>3730</v>
      </c>
      <c r="I8911" s="56">
        <v>45488</v>
      </c>
      <c r="J8911" s="199" t="s">
        <v>21707</v>
      </c>
      <c r="K8911" s="52"/>
      <c r="L8911" s="99"/>
      <c r="O8911" s="52"/>
      <c r="P8911" s="46" t="s">
        <v>65</v>
      </c>
      <c r="Q8911" s="46" t="s">
        <v>97</v>
      </c>
      <c r="R8911" s="46" t="s">
        <v>272</v>
      </c>
    </row>
    <row r="8912" spans="2:18" ht="69" customHeight="1">
      <c r="B8912" s="185">
        <f t="shared" si="69"/>
        <v>6029</v>
      </c>
      <c r="C8912" s="46" t="s">
        <v>10937</v>
      </c>
      <c r="D8912" s="539" t="s">
        <v>11128</v>
      </c>
      <c r="E8912" s="46" t="s">
        <v>266</v>
      </c>
      <c r="F8912" s="46" t="s">
        <v>21715</v>
      </c>
      <c r="G8912" s="46" t="s">
        <v>21706</v>
      </c>
      <c r="H8912" s="534">
        <v>3730</v>
      </c>
      <c r="I8912" s="56">
        <v>45488</v>
      </c>
      <c r="J8912" s="199" t="s">
        <v>21707</v>
      </c>
      <c r="K8912" s="52"/>
      <c r="L8912" s="99"/>
      <c r="O8912" s="52"/>
      <c r="P8912" s="46" t="s">
        <v>65</v>
      </c>
      <c r="Q8912" s="46" t="s">
        <v>104</v>
      </c>
      <c r="R8912" s="46" t="s">
        <v>272</v>
      </c>
    </row>
    <row r="8913" spans="2:18" ht="69" customHeight="1">
      <c r="B8913" s="185">
        <f t="shared" si="69"/>
        <v>6030</v>
      </c>
      <c r="C8913" s="46" t="s">
        <v>11908</v>
      </c>
      <c r="D8913" s="539" t="s">
        <v>21716</v>
      </c>
      <c r="E8913" s="46" t="s">
        <v>266</v>
      </c>
      <c r="F8913" s="46" t="s">
        <v>21717</v>
      </c>
      <c r="G8913" s="46" t="s">
        <v>21706</v>
      </c>
      <c r="H8913" s="534">
        <v>3730</v>
      </c>
      <c r="I8913" s="56">
        <v>45488</v>
      </c>
      <c r="J8913" s="199" t="s">
        <v>21707</v>
      </c>
      <c r="K8913" s="52"/>
      <c r="L8913" s="99"/>
      <c r="O8913" s="52"/>
      <c r="P8913" s="46" t="s">
        <v>65</v>
      </c>
      <c r="Q8913" s="46" t="s">
        <v>103</v>
      </c>
      <c r="R8913" s="46" t="s">
        <v>272</v>
      </c>
    </row>
    <row r="8914" spans="2:18" ht="69" customHeight="1">
      <c r="B8914" s="163">
        <f t="shared" si="69"/>
        <v>6031</v>
      </c>
      <c r="C8914" s="59" t="s">
        <v>15700</v>
      </c>
      <c r="D8914" s="631" t="s">
        <v>18188</v>
      </c>
      <c r="E8914" s="127" t="s">
        <v>20191</v>
      </c>
      <c r="F8914" s="127" t="s">
        <v>21718</v>
      </c>
      <c r="G8914" s="45" t="s">
        <v>21719</v>
      </c>
      <c r="H8914" s="546">
        <v>9900.9599999999991</v>
      </c>
      <c r="I8914" s="47">
        <v>45488</v>
      </c>
      <c r="J8914" s="73" t="s">
        <v>21720</v>
      </c>
      <c r="K8914" s="62"/>
      <c r="L8914" s="99"/>
      <c r="O8914" s="62" t="s">
        <v>21721</v>
      </c>
      <c r="P8914" s="45" t="s">
        <v>22</v>
      </c>
      <c r="Q8914" s="45" t="s">
        <v>39</v>
      </c>
      <c r="R8914" s="45" t="s">
        <v>272</v>
      </c>
    </row>
    <row r="8915" spans="2:18" ht="69" customHeight="1">
      <c r="B8915" s="163">
        <f t="shared" si="69"/>
        <v>6032</v>
      </c>
      <c r="C8915" s="59" t="s">
        <v>15449</v>
      </c>
      <c r="D8915" s="631" t="s">
        <v>18191</v>
      </c>
      <c r="E8915" s="127" t="s">
        <v>20191</v>
      </c>
      <c r="F8915" s="127" t="s">
        <v>21722</v>
      </c>
      <c r="G8915" s="45" t="s">
        <v>20193</v>
      </c>
      <c r="H8915" s="546">
        <v>9900.9599999999991</v>
      </c>
      <c r="I8915" s="47">
        <v>45488</v>
      </c>
      <c r="J8915" s="73" t="s">
        <v>21720</v>
      </c>
      <c r="K8915" s="62"/>
      <c r="L8915" s="99"/>
      <c r="O8915" s="62" t="s">
        <v>21721</v>
      </c>
      <c r="P8915" s="45" t="s">
        <v>22</v>
      </c>
      <c r="Q8915" s="45" t="s">
        <v>41</v>
      </c>
      <c r="R8915" s="45" t="s">
        <v>272</v>
      </c>
    </row>
    <row r="8916" spans="2:18" ht="69" customHeight="1">
      <c r="B8916" s="313">
        <f t="shared" si="69"/>
        <v>6033</v>
      </c>
      <c r="C8916" s="207" t="s">
        <v>3667</v>
      </c>
      <c r="D8916" s="303" t="s">
        <v>21723</v>
      </c>
      <c r="E8916" s="207" t="s">
        <v>16276</v>
      </c>
      <c r="F8916" s="208" t="s">
        <v>21724</v>
      </c>
      <c r="G8916" s="160" t="s">
        <v>21725</v>
      </c>
      <c r="H8916" s="300">
        <v>19626.16</v>
      </c>
      <c r="I8916" s="209">
        <v>45488</v>
      </c>
      <c r="J8916" s="316" t="s">
        <v>21726</v>
      </c>
      <c r="K8916" s="259"/>
      <c r="M8916" s="98"/>
      <c r="N8916" s="98"/>
      <c r="O8916" s="259" t="s">
        <v>11192</v>
      </c>
      <c r="P8916" s="160" t="s">
        <v>67</v>
      </c>
      <c r="Q8916" s="160" t="s">
        <v>49</v>
      </c>
      <c r="R8916" s="160" t="s">
        <v>272</v>
      </c>
    </row>
    <row r="8917" spans="2:18" ht="69" customHeight="1">
      <c r="B8917" s="313">
        <f t="shared" si="69"/>
        <v>6034</v>
      </c>
      <c r="C8917" s="207" t="s">
        <v>309</v>
      </c>
      <c r="D8917" s="303" t="s">
        <v>18199</v>
      </c>
      <c r="E8917" s="207" t="s">
        <v>16276</v>
      </c>
      <c r="F8917" s="208" t="s">
        <v>21727</v>
      </c>
      <c r="G8917" s="160" t="s">
        <v>21725</v>
      </c>
      <c r="H8917" s="300">
        <v>15335.28</v>
      </c>
      <c r="I8917" s="209">
        <v>45488</v>
      </c>
      <c r="J8917" s="316" t="s">
        <v>21726</v>
      </c>
      <c r="K8917" s="259"/>
      <c r="M8917" s="98"/>
      <c r="N8917" s="98"/>
      <c r="O8917" s="259" t="s">
        <v>11192</v>
      </c>
      <c r="P8917" s="160" t="s">
        <v>67</v>
      </c>
      <c r="Q8917" s="160" t="s">
        <v>15</v>
      </c>
      <c r="R8917" s="160" t="s">
        <v>272</v>
      </c>
    </row>
    <row r="8918" spans="2:18" ht="69" customHeight="1">
      <c r="B8918" s="313">
        <f t="shared" si="69"/>
        <v>6035</v>
      </c>
      <c r="C8918" s="160" t="s">
        <v>458</v>
      </c>
      <c r="D8918" s="303" t="s">
        <v>21728</v>
      </c>
      <c r="E8918" s="207" t="s">
        <v>16276</v>
      </c>
      <c r="F8918" s="208" t="s">
        <v>21729</v>
      </c>
      <c r="G8918" s="160" t="s">
        <v>21725</v>
      </c>
      <c r="H8918" s="300">
        <v>15335.28</v>
      </c>
      <c r="I8918" s="209">
        <v>45488</v>
      </c>
      <c r="J8918" s="316" t="s">
        <v>21726</v>
      </c>
      <c r="K8918" s="259"/>
      <c r="M8918" s="98"/>
      <c r="N8918" s="98"/>
      <c r="O8918" s="259" t="s">
        <v>11192</v>
      </c>
      <c r="P8918" s="160" t="s">
        <v>67</v>
      </c>
      <c r="Q8918" s="160" t="s">
        <v>90</v>
      </c>
      <c r="R8918" s="160" t="s">
        <v>272</v>
      </c>
    </row>
    <row r="8919" spans="2:18" ht="69" customHeight="1">
      <c r="B8919" s="313">
        <f t="shared" si="69"/>
        <v>6036</v>
      </c>
      <c r="C8919" s="160" t="s">
        <v>657</v>
      </c>
      <c r="D8919" s="303" t="s">
        <v>15750</v>
      </c>
      <c r="E8919" s="207" t="s">
        <v>16276</v>
      </c>
      <c r="F8919" s="208" t="s">
        <v>21730</v>
      </c>
      <c r="G8919" s="160" t="s">
        <v>21725</v>
      </c>
      <c r="H8919" s="300">
        <v>11041.39</v>
      </c>
      <c r="I8919" s="209">
        <v>45488</v>
      </c>
      <c r="J8919" s="316" t="s">
        <v>21726</v>
      </c>
      <c r="K8919" s="259"/>
      <c r="M8919" s="98"/>
      <c r="N8919" s="98"/>
      <c r="O8919" s="259" t="s">
        <v>11192</v>
      </c>
      <c r="P8919" s="160" t="s">
        <v>67</v>
      </c>
      <c r="Q8919" s="160" t="s">
        <v>99</v>
      </c>
      <c r="R8919" s="160" t="s">
        <v>272</v>
      </c>
    </row>
    <row r="8920" spans="2:18" ht="69" customHeight="1">
      <c r="B8920" s="164">
        <f t="shared" si="69"/>
        <v>6037</v>
      </c>
      <c r="C8920" s="59" t="s">
        <v>309</v>
      </c>
      <c r="D8920" s="200" t="s">
        <v>21155</v>
      </c>
      <c r="E8920" s="58" t="s">
        <v>16011</v>
      </c>
      <c r="F8920" s="58" t="s">
        <v>21731</v>
      </c>
      <c r="G8920" s="45" t="s">
        <v>21732</v>
      </c>
      <c r="H8920" s="546">
        <v>3862.63</v>
      </c>
      <c r="I8920" s="47">
        <v>45488</v>
      </c>
      <c r="J8920" s="73" t="s">
        <v>21733</v>
      </c>
      <c r="K8920" s="62"/>
      <c r="L8920" s="99"/>
      <c r="O8920" s="62" t="s">
        <v>150</v>
      </c>
      <c r="P8920" s="45" t="s">
        <v>51</v>
      </c>
      <c r="Q8920" s="45" t="s">
        <v>29</v>
      </c>
      <c r="R8920" s="45" t="s">
        <v>272</v>
      </c>
    </row>
    <row r="8921" spans="2:18" ht="69" customHeight="1">
      <c r="B8921" s="164">
        <f t="shared" si="69"/>
        <v>6038</v>
      </c>
      <c r="C8921" s="45" t="s">
        <v>458</v>
      </c>
      <c r="D8921" s="200" t="s">
        <v>21734</v>
      </c>
      <c r="E8921" s="58" t="s">
        <v>16011</v>
      </c>
      <c r="F8921" s="58" t="s">
        <v>21735</v>
      </c>
      <c r="G8921" s="45" t="s">
        <v>21015</v>
      </c>
      <c r="H8921" s="546">
        <v>29180</v>
      </c>
      <c r="I8921" s="47">
        <v>45488</v>
      </c>
      <c r="J8921" s="73" t="s">
        <v>21736</v>
      </c>
      <c r="K8921" s="62"/>
      <c r="L8921" s="99"/>
      <c r="O8921" s="62" t="s">
        <v>150</v>
      </c>
      <c r="P8921" s="45" t="s">
        <v>51</v>
      </c>
      <c r="Q8921" s="45" t="s">
        <v>107</v>
      </c>
      <c r="R8921" s="45" t="s">
        <v>272</v>
      </c>
    </row>
    <row r="8922" spans="2:18" ht="69" customHeight="1">
      <c r="B8922" s="164">
        <f t="shared" si="69"/>
        <v>6039</v>
      </c>
      <c r="C8922" s="58" t="s">
        <v>11618</v>
      </c>
      <c r="D8922" s="200" t="s">
        <v>21737</v>
      </c>
      <c r="E8922" s="58" t="s">
        <v>21310</v>
      </c>
      <c r="F8922" s="58" t="s">
        <v>21738</v>
      </c>
      <c r="G8922" s="45" t="s">
        <v>21739</v>
      </c>
      <c r="H8922" s="546">
        <v>166680.64000000001</v>
      </c>
      <c r="I8922" s="47">
        <v>45488</v>
      </c>
      <c r="J8922" s="73" t="s">
        <v>21740</v>
      </c>
      <c r="K8922" s="62"/>
      <c r="L8922" s="99"/>
      <c r="O8922" s="62" t="s">
        <v>21304</v>
      </c>
      <c r="P8922" s="45" t="s">
        <v>77</v>
      </c>
      <c r="Q8922" s="45" t="s">
        <v>122</v>
      </c>
      <c r="R8922" s="45" t="s">
        <v>272</v>
      </c>
    </row>
    <row r="8923" spans="2:18" ht="69" customHeight="1">
      <c r="B8923" s="164">
        <f t="shared" si="69"/>
        <v>6040</v>
      </c>
      <c r="C8923" s="58" t="s">
        <v>11933</v>
      </c>
      <c r="D8923" s="200" t="s">
        <v>21741</v>
      </c>
      <c r="E8923" s="58" t="s">
        <v>21310</v>
      </c>
      <c r="F8923" s="45" t="s">
        <v>21742</v>
      </c>
      <c r="G8923" s="45" t="s">
        <v>21739</v>
      </c>
      <c r="H8923" s="546">
        <v>98002.02</v>
      </c>
      <c r="I8923" s="47">
        <v>45488</v>
      </c>
      <c r="J8923" s="73" t="s">
        <v>21743</v>
      </c>
      <c r="K8923" s="62"/>
      <c r="L8923" s="99"/>
      <c r="O8923" s="62" t="s">
        <v>21304</v>
      </c>
      <c r="P8923" s="45" t="s">
        <v>77</v>
      </c>
      <c r="Q8923" s="45" t="s">
        <v>123</v>
      </c>
      <c r="R8923" s="45" t="s">
        <v>272</v>
      </c>
    </row>
    <row r="8924" spans="2:18" ht="69" customHeight="1">
      <c r="B8924" s="185">
        <f t="shared" si="69"/>
        <v>6041</v>
      </c>
      <c r="C8924" s="191" t="s">
        <v>21744</v>
      </c>
      <c r="D8924" s="539" t="s">
        <v>21745</v>
      </c>
      <c r="E8924" s="46" t="s">
        <v>266</v>
      </c>
      <c r="F8924" s="46" t="s">
        <v>21746</v>
      </c>
      <c r="G8924" s="46" t="s">
        <v>21747</v>
      </c>
      <c r="H8924" s="534">
        <v>1265</v>
      </c>
      <c r="I8924" s="56">
        <v>45488</v>
      </c>
      <c r="J8924" s="199" t="s">
        <v>21748</v>
      </c>
      <c r="K8924" s="52"/>
      <c r="L8924" s="99"/>
      <c r="O8924" s="52"/>
      <c r="P8924" s="46" t="s">
        <v>65</v>
      </c>
      <c r="Q8924" s="46" t="s">
        <v>64</v>
      </c>
      <c r="R8924" s="46" t="s">
        <v>272</v>
      </c>
    </row>
    <row r="8925" spans="2:18" ht="69" customHeight="1">
      <c r="B8925" s="185">
        <f t="shared" si="69"/>
        <v>6042</v>
      </c>
      <c r="C8925" s="191" t="s">
        <v>21744</v>
      </c>
      <c r="D8925" s="539" t="s">
        <v>21749</v>
      </c>
      <c r="E8925" s="46" t="s">
        <v>266</v>
      </c>
      <c r="F8925" s="46" t="s">
        <v>21750</v>
      </c>
      <c r="G8925" s="46" t="s">
        <v>21706</v>
      </c>
      <c r="H8925" s="534">
        <v>3150</v>
      </c>
      <c r="I8925" s="56">
        <v>45488</v>
      </c>
      <c r="J8925" s="199" t="s">
        <v>21748</v>
      </c>
      <c r="K8925" s="52"/>
      <c r="L8925" s="99"/>
      <c r="O8925" s="52"/>
      <c r="P8925" s="46" t="s">
        <v>65</v>
      </c>
      <c r="Q8925" s="46" t="s">
        <v>64</v>
      </c>
      <c r="R8925" s="46" t="s">
        <v>272</v>
      </c>
    </row>
    <row r="8926" spans="2:18" ht="69" customHeight="1">
      <c r="B8926" s="185">
        <f t="shared" si="69"/>
        <v>6043</v>
      </c>
      <c r="C8926" s="46" t="s">
        <v>21594</v>
      </c>
      <c r="D8926" s="539" t="s">
        <v>21158</v>
      </c>
      <c r="E8926" s="46" t="s">
        <v>266</v>
      </c>
      <c r="F8926" s="46" t="s">
        <v>21751</v>
      </c>
      <c r="G8926" s="46" t="s">
        <v>21752</v>
      </c>
      <c r="H8926" s="534">
        <v>2497</v>
      </c>
      <c r="I8926" s="56">
        <v>45488</v>
      </c>
      <c r="J8926" s="199" t="s">
        <v>21753</v>
      </c>
      <c r="K8926" s="52"/>
      <c r="L8926" s="99"/>
      <c r="O8926" s="52"/>
      <c r="P8926" s="46" t="s">
        <v>65</v>
      </c>
      <c r="Q8926" s="46" t="s">
        <v>18</v>
      </c>
      <c r="R8926" s="46" t="s">
        <v>272</v>
      </c>
    </row>
    <row r="8927" spans="2:18" ht="69" customHeight="1">
      <c r="B8927" s="164">
        <f t="shared" si="69"/>
        <v>6044</v>
      </c>
      <c r="C8927" s="58" t="s">
        <v>21594</v>
      </c>
      <c r="D8927" s="200" t="s">
        <v>18201</v>
      </c>
      <c r="E8927" s="58" t="s">
        <v>19908</v>
      </c>
      <c r="F8927" s="58" t="s">
        <v>21754</v>
      </c>
      <c r="G8927" s="45" t="s">
        <v>21755</v>
      </c>
      <c r="H8927" s="546">
        <v>180412.33</v>
      </c>
      <c r="I8927" s="47">
        <v>45488</v>
      </c>
      <c r="J8927" s="73" t="s">
        <v>21756</v>
      </c>
      <c r="K8927" s="62"/>
      <c r="L8927" s="99"/>
      <c r="O8927" s="62" t="s">
        <v>14459</v>
      </c>
      <c r="P8927" s="45" t="s">
        <v>22</v>
      </c>
      <c r="Q8927" s="45" t="s">
        <v>18</v>
      </c>
      <c r="R8927" s="45" t="s">
        <v>272</v>
      </c>
    </row>
    <row r="8928" spans="2:18" ht="69" customHeight="1">
      <c r="B8928" s="164">
        <f t="shared" si="69"/>
        <v>6045</v>
      </c>
      <c r="C8928" s="58" t="s">
        <v>21590</v>
      </c>
      <c r="D8928" s="200" t="s">
        <v>18848</v>
      </c>
      <c r="E8928" s="58" t="s">
        <v>20641</v>
      </c>
      <c r="F8928" s="58" t="s">
        <v>21757</v>
      </c>
      <c r="G8928" s="45" t="s">
        <v>21758</v>
      </c>
      <c r="H8928" s="546">
        <v>21500</v>
      </c>
      <c r="I8928" s="47">
        <v>45488</v>
      </c>
      <c r="J8928" s="73" t="s">
        <v>21759</v>
      </c>
      <c r="K8928" s="62"/>
      <c r="L8928" s="99"/>
      <c r="O8928" s="58" t="s">
        <v>11155</v>
      </c>
      <c r="P8928" s="45" t="s">
        <v>61</v>
      </c>
      <c r="Q8928" s="45" t="s">
        <v>88</v>
      </c>
      <c r="R8928" s="45" t="s">
        <v>272</v>
      </c>
    </row>
    <row r="8929" spans="2:19" ht="69" customHeight="1">
      <c r="B8929" s="164">
        <f t="shared" si="69"/>
        <v>6046</v>
      </c>
      <c r="C8929" s="58" t="s">
        <v>9004</v>
      </c>
      <c r="D8929" s="200" t="s">
        <v>11140</v>
      </c>
      <c r="E8929" s="58" t="s">
        <v>16737</v>
      </c>
      <c r="F8929" s="58" t="s">
        <v>21760</v>
      </c>
      <c r="G8929" s="45" t="s">
        <v>21761</v>
      </c>
      <c r="H8929" s="546">
        <v>51279.09</v>
      </c>
      <c r="I8929" s="47">
        <v>45488</v>
      </c>
      <c r="J8929" s="73" t="s">
        <v>21759</v>
      </c>
      <c r="K8929" s="62"/>
      <c r="L8929" s="99"/>
      <c r="O8929" s="62" t="s">
        <v>21762</v>
      </c>
      <c r="P8929" s="45" t="s">
        <v>61</v>
      </c>
      <c r="Q8929" s="45" t="s">
        <v>111</v>
      </c>
      <c r="R8929" s="45" t="s">
        <v>272</v>
      </c>
    </row>
    <row r="8930" spans="2:19" ht="69" customHeight="1">
      <c r="B8930" s="164">
        <f t="shared" si="69"/>
        <v>6047</v>
      </c>
      <c r="C8930" s="58" t="s">
        <v>21763</v>
      </c>
      <c r="D8930" s="200" t="s">
        <v>21764</v>
      </c>
      <c r="E8930" s="58" t="s">
        <v>16737</v>
      </c>
      <c r="F8930" s="58" t="s">
        <v>21765</v>
      </c>
      <c r="G8930" s="45" t="s">
        <v>21766</v>
      </c>
      <c r="H8930" s="546">
        <v>62129.62</v>
      </c>
      <c r="I8930" s="47">
        <v>45488</v>
      </c>
      <c r="J8930" s="73" t="s">
        <v>21759</v>
      </c>
      <c r="K8930" s="62"/>
      <c r="L8930" s="99"/>
      <c r="O8930" s="62" t="s">
        <v>21762</v>
      </c>
      <c r="P8930" s="45" t="s">
        <v>61</v>
      </c>
      <c r="Q8930" s="45" t="s">
        <v>66</v>
      </c>
      <c r="R8930" s="45" t="s">
        <v>272</v>
      </c>
    </row>
    <row r="8931" spans="2:19" ht="69" customHeight="1">
      <c r="B8931" s="164">
        <f t="shared" si="69"/>
        <v>6048</v>
      </c>
      <c r="C8931" s="58" t="s">
        <v>21763</v>
      </c>
      <c r="D8931" s="200" t="s">
        <v>21767</v>
      </c>
      <c r="E8931" s="58" t="s">
        <v>16737</v>
      </c>
      <c r="F8931" s="58" t="s">
        <v>21768</v>
      </c>
      <c r="G8931" s="45" t="s">
        <v>21769</v>
      </c>
      <c r="H8931" s="546">
        <v>17870.38</v>
      </c>
      <c r="I8931" s="47">
        <v>45488</v>
      </c>
      <c r="J8931" s="73" t="s">
        <v>21759</v>
      </c>
      <c r="K8931" s="62"/>
      <c r="L8931" s="99"/>
      <c r="O8931" s="62" t="s">
        <v>21762</v>
      </c>
      <c r="P8931" s="45" t="s">
        <v>61</v>
      </c>
      <c r="Q8931" s="45" t="s">
        <v>66</v>
      </c>
      <c r="R8931" s="45" t="s">
        <v>272</v>
      </c>
    </row>
    <row r="8932" spans="2:19" ht="69" customHeight="1">
      <c r="B8932" s="313">
        <f t="shared" si="69"/>
        <v>6049</v>
      </c>
      <c r="C8932" s="160" t="s">
        <v>3340</v>
      </c>
      <c r="D8932" s="311" t="s">
        <v>1503</v>
      </c>
      <c r="E8932" s="160" t="s">
        <v>266</v>
      </c>
      <c r="F8932" s="160" t="s">
        <v>21770</v>
      </c>
      <c r="G8932" s="160" t="s">
        <v>21771</v>
      </c>
      <c r="H8932" s="300">
        <v>2095.6799999999998</v>
      </c>
      <c r="I8932" s="209">
        <v>45478</v>
      </c>
      <c r="J8932" s="316" t="s">
        <v>21772</v>
      </c>
      <c r="K8932" s="259"/>
      <c r="L8932" s="99"/>
      <c r="O8932" s="259"/>
      <c r="P8932" s="160" t="s">
        <v>67</v>
      </c>
      <c r="Q8932" s="160" t="s">
        <v>96</v>
      </c>
      <c r="R8932" s="160" t="s">
        <v>272</v>
      </c>
    </row>
    <row r="8933" spans="2:19" ht="69" customHeight="1">
      <c r="B8933" s="65">
        <f t="shared" si="69"/>
        <v>6050</v>
      </c>
      <c r="C8933" s="45" t="s">
        <v>4277</v>
      </c>
      <c r="D8933" s="611" t="s">
        <v>9371</v>
      </c>
      <c r="E8933" s="45" t="s">
        <v>755</v>
      </c>
      <c r="F8933" s="45" t="s">
        <v>21773</v>
      </c>
      <c r="G8933" s="45" t="s">
        <v>21774</v>
      </c>
      <c r="H8933" s="546">
        <v>862471.72</v>
      </c>
      <c r="I8933" s="47">
        <v>44914</v>
      </c>
      <c r="J8933" s="73" t="s">
        <v>758</v>
      </c>
      <c r="K8933" s="62" t="s">
        <v>21775</v>
      </c>
      <c r="L8933" s="99"/>
      <c r="O8933" s="62" t="s">
        <v>1566</v>
      </c>
      <c r="P8933" s="45" t="s">
        <v>28</v>
      </c>
      <c r="Q8933" s="45" t="s">
        <v>58</v>
      </c>
      <c r="R8933" s="45" t="s">
        <v>272</v>
      </c>
      <c r="S8933" s="167"/>
    </row>
    <row r="8934" spans="2:19" ht="69" customHeight="1">
      <c r="B8934" s="65">
        <f t="shared" si="69"/>
        <v>6051</v>
      </c>
      <c r="C8934" s="58" t="s">
        <v>96</v>
      </c>
      <c r="D8934" s="62" t="s">
        <v>96</v>
      </c>
      <c r="E8934" s="58" t="s">
        <v>755</v>
      </c>
      <c r="F8934" s="58" t="s">
        <v>7508</v>
      </c>
      <c r="G8934" s="45" t="s">
        <v>7509</v>
      </c>
      <c r="H8934" s="546">
        <v>86847.39</v>
      </c>
      <c r="I8934" s="47">
        <v>45035</v>
      </c>
      <c r="J8934" s="73" t="s">
        <v>96</v>
      </c>
      <c r="K8934" s="62" t="s">
        <v>21775</v>
      </c>
      <c r="L8934" s="99"/>
      <c r="O8934" s="62" t="s">
        <v>1566</v>
      </c>
      <c r="P8934" s="45" t="s">
        <v>28</v>
      </c>
      <c r="Q8934" s="45" t="s">
        <v>102</v>
      </c>
      <c r="R8934" s="45" t="s">
        <v>272</v>
      </c>
      <c r="S8934" s="167"/>
    </row>
    <row r="8935" spans="2:19" ht="66.75" customHeight="1">
      <c r="B8935" s="316">
        <f t="shared" si="69"/>
        <v>6052</v>
      </c>
      <c r="C8935" s="160" t="s">
        <v>13665</v>
      </c>
      <c r="D8935" s="311" t="s">
        <v>5999</v>
      </c>
      <c r="E8935" s="160" t="s">
        <v>21776</v>
      </c>
      <c r="F8935" s="160" t="s">
        <v>21777</v>
      </c>
      <c r="G8935" s="160" t="s">
        <v>21657</v>
      </c>
      <c r="H8935" s="300">
        <v>401855.1</v>
      </c>
      <c r="I8935" s="209">
        <v>45488</v>
      </c>
      <c r="J8935" s="316" t="s">
        <v>21778</v>
      </c>
      <c r="K8935" s="259" t="s">
        <v>11084</v>
      </c>
      <c r="L8935" s="99"/>
      <c r="O8935" s="259" t="s">
        <v>156</v>
      </c>
      <c r="P8935" s="160" t="s">
        <v>67</v>
      </c>
      <c r="Q8935" s="160" t="s">
        <v>96</v>
      </c>
      <c r="R8935" s="160" t="s">
        <v>272</v>
      </c>
      <c r="S8935" s="167"/>
    </row>
    <row r="8936" spans="2:19" ht="57" customHeight="1">
      <c r="B8936" s="316">
        <f t="shared" si="69"/>
        <v>6053</v>
      </c>
      <c r="C8936" s="207" t="s">
        <v>21598</v>
      </c>
      <c r="D8936" s="311" t="s">
        <v>5660</v>
      </c>
      <c r="E8936" s="160" t="s">
        <v>266</v>
      </c>
      <c r="F8936" s="160" t="s">
        <v>21779</v>
      </c>
      <c r="G8936" s="160" t="s">
        <v>21780</v>
      </c>
      <c r="H8936" s="300">
        <v>18265</v>
      </c>
      <c r="I8936" s="209">
        <v>45488</v>
      </c>
      <c r="J8936" s="316" t="s">
        <v>21781</v>
      </c>
      <c r="K8936" s="259" t="s">
        <v>11084</v>
      </c>
      <c r="L8936" s="99"/>
      <c r="O8936" s="259" t="s">
        <v>18481</v>
      </c>
      <c r="P8936" s="160" t="s">
        <v>67</v>
      </c>
      <c r="Q8936" s="160" t="s">
        <v>96</v>
      </c>
      <c r="R8936" s="160" t="s">
        <v>272</v>
      </c>
      <c r="S8936" s="167"/>
    </row>
    <row r="8937" spans="2:19" ht="63.75" customHeight="1">
      <c r="B8937" s="316">
        <f t="shared" si="69"/>
        <v>6054</v>
      </c>
      <c r="C8937" s="207" t="s">
        <v>21598</v>
      </c>
      <c r="D8937" s="311" t="s">
        <v>405</v>
      </c>
      <c r="E8937" s="160" t="s">
        <v>266</v>
      </c>
      <c r="F8937" s="160" t="s">
        <v>21782</v>
      </c>
      <c r="G8937" s="160" t="s">
        <v>21780</v>
      </c>
      <c r="H8937" s="300">
        <v>18265</v>
      </c>
      <c r="I8937" s="209">
        <v>45488</v>
      </c>
      <c r="J8937" s="316" t="s">
        <v>21781</v>
      </c>
      <c r="K8937" s="259" t="s">
        <v>11084</v>
      </c>
      <c r="L8937" s="99"/>
      <c r="O8937" s="259" t="s">
        <v>18481</v>
      </c>
      <c r="P8937" s="160" t="s">
        <v>67</v>
      </c>
      <c r="Q8937" s="160" t="s">
        <v>96</v>
      </c>
      <c r="R8937" s="160" t="s">
        <v>272</v>
      </c>
      <c r="S8937" s="167"/>
    </row>
    <row r="8938" spans="2:19" ht="68.25" customHeight="1">
      <c r="B8938" s="316">
        <f t="shared" si="69"/>
        <v>6055</v>
      </c>
      <c r="C8938" s="207" t="s">
        <v>21598</v>
      </c>
      <c r="D8938" s="311" t="s">
        <v>5668</v>
      </c>
      <c r="E8938" s="160" t="s">
        <v>266</v>
      </c>
      <c r="F8938" s="160" t="s">
        <v>21783</v>
      </c>
      <c r="G8938" s="160" t="s">
        <v>21780</v>
      </c>
      <c r="H8938" s="300">
        <v>18265</v>
      </c>
      <c r="I8938" s="209">
        <v>45488</v>
      </c>
      <c r="J8938" s="316" t="s">
        <v>21781</v>
      </c>
      <c r="K8938" s="259" t="s">
        <v>11084</v>
      </c>
      <c r="L8938" s="99"/>
      <c r="O8938" s="259" t="s">
        <v>18481</v>
      </c>
      <c r="P8938" s="160" t="s">
        <v>67</v>
      </c>
      <c r="Q8938" s="160" t="s">
        <v>96</v>
      </c>
      <c r="R8938" s="160" t="s">
        <v>272</v>
      </c>
    </row>
    <row r="8939" spans="2:19" ht="69" customHeight="1">
      <c r="B8939" s="199">
        <f t="shared" si="69"/>
        <v>6056</v>
      </c>
      <c r="C8939" s="191" t="s">
        <v>8797</v>
      </c>
      <c r="D8939" s="251" t="s">
        <v>15761</v>
      </c>
      <c r="E8939" s="46" t="s">
        <v>266</v>
      </c>
      <c r="F8939" s="46" t="s">
        <v>21784</v>
      </c>
      <c r="G8939" s="46" t="s">
        <v>21785</v>
      </c>
      <c r="H8939" s="534">
        <v>6232</v>
      </c>
      <c r="I8939" s="56">
        <v>45488</v>
      </c>
      <c r="J8939" s="199" t="s">
        <v>21786</v>
      </c>
      <c r="K8939" s="46"/>
      <c r="O8939" s="52"/>
      <c r="P8939" s="46" t="s">
        <v>65</v>
      </c>
      <c r="Q8939" s="46" t="s">
        <v>110</v>
      </c>
      <c r="R8939" s="46" t="s">
        <v>272</v>
      </c>
    </row>
    <row r="8940" spans="2:19" ht="69" customHeight="1">
      <c r="B8940" s="199">
        <f t="shared" si="69"/>
        <v>6057</v>
      </c>
      <c r="C8940" s="46" t="s">
        <v>9004</v>
      </c>
      <c r="D8940" s="251" t="s">
        <v>11142</v>
      </c>
      <c r="E8940" s="46" t="s">
        <v>266</v>
      </c>
      <c r="F8940" s="46" t="s">
        <v>21787</v>
      </c>
      <c r="G8940" s="46" t="s">
        <v>21788</v>
      </c>
      <c r="H8940" s="534">
        <v>21600</v>
      </c>
      <c r="I8940" s="56">
        <v>45488</v>
      </c>
      <c r="J8940" s="199" t="s">
        <v>21789</v>
      </c>
      <c r="K8940" s="46"/>
      <c r="O8940" s="46" t="s">
        <v>1171</v>
      </c>
      <c r="P8940" s="46" t="s">
        <v>71</v>
      </c>
      <c r="Q8940" s="46" t="s">
        <v>111</v>
      </c>
      <c r="R8940" s="46" t="s">
        <v>272</v>
      </c>
    </row>
    <row r="8941" spans="2:19" ht="69" customHeight="1">
      <c r="B8941" s="199">
        <f t="shared" si="69"/>
        <v>6058</v>
      </c>
      <c r="C8941" s="46" t="s">
        <v>5658</v>
      </c>
      <c r="D8941" s="251" t="s">
        <v>21790</v>
      </c>
      <c r="E8941" s="46" t="s">
        <v>266</v>
      </c>
      <c r="F8941" s="46" t="s">
        <v>21791</v>
      </c>
      <c r="G8941" s="46" t="s">
        <v>21788</v>
      </c>
      <c r="H8941" s="534">
        <v>22211.07</v>
      </c>
      <c r="I8941" s="56">
        <v>45488</v>
      </c>
      <c r="J8941" s="199" t="s">
        <v>21792</v>
      </c>
      <c r="K8941" s="46"/>
      <c r="O8941" s="46" t="s">
        <v>1171</v>
      </c>
      <c r="P8941" s="46" t="s">
        <v>71</v>
      </c>
      <c r="Q8941" s="46" t="s">
        <v>66</v>
      </c>
      <c r="R8941" s="46" t="s">
        <v>272</v>
      </c>
    </row>
    <row r="8942" spans="2:19" ht="69" customHeight="1">
      <c r="B8942" s="199">
        <f t="shared" si="69"/>
        <v>6059</v>
      </c>
      <c r="C8942" s="46" t="s">
        <v>5658</v>
      </c>
      <c r="D8942" s="251" t="s">
        <v>21793</v>
      </c>
      <c r="E8942" s="46" t="s">
        <v>266</v>
      </c>
      <c r="F8942" s="46" t="s">
        <v>21794</v>
      </c>
      <c r="G8942" s="46" t="s">
        <v>21788</v>
      </c>
      <c r="H8942" s="534">
        <v>14067.01</v>
      </c>
      <c r="I8942" s="56">
        <v>45488</v>
      </c>
      <c r="J8942" s="199" t="s">
        <v>21792</v>
      </c>
      <c r="K8942" s="46"/>
      <c r="O8942" s="46" t="s">
        <v>1171</v>
      </c>
      <c r="P8942" s="46" t="s">
        <v>71</v>
      </c>
      <c r="Q8942" s="46" t="s">
        <v>66</v>
      </c>
      <c r="R8942" s="46" t="s">
        <v>272</v>
      </c>
    </row>
    <row r="8943" spans="2:19" ht="69" customHeight="1">
      <c r="B8943" s="65">
        <f t="shared" si="69"/>
        <v>6060</v>
      </c>
      <c r="C8943" s="58" t="s">
        <v>6261</v>
      </c>
      <c r="D8943" s="545" t="s">
        <v>9631</v>
      </c>
      <c r="E8943" s="45" t="s">
        <v>266</v>
      </c>
      <c r="F8943" s="58" t="s">
        <v>21795</v>
      </c>
      <c r="G8943" s="58" t="s">
        <v>1107</v>
      </c>
      <c r="H8943" s="546">
        <v>7293.34</v>
      </c>
      <c r="I8943" s="47">
        <v>44799</v>
      </c>
      <c r="J8943" s="73" t="s">
        <v>21796</v>
      </c>
      <c r="K8943" s="62" t="s">
        <v>21775</v>
      </c>
      <c r="O8943" s="62" t="s">
        <v>971</v>
      </c>
      <c r="P8943" s="58" t="s">
        <v>38</v>
      </c>
      <c r="Q8943" s="45" t="s">
        <v>74</v>
      </c>
      <c r="R8943" s="45" t="s">
        <v>272</v>
      </c>
    </row>
    <row r="8944" spans="2:19" ht="69" customHeight="1">
      <c r="B8944" s="65">
        <f t="shared" si="69"/>
        <v>6061</v>
      </c>
      <c r="C8944" s="58" t="s">
        <v>6261</v>
      </c>
      <c r="D8944" s="545" t="s">
        <v>21797</v>
      </c>
      <c r="E8944" s="45" t="s">
        <v>266</v>
      </c>
      <c r="F8944" s="58" t="s">
        <v>21798</v>
      </c>
      <c r="G8944" s="58" t="s">
        <v>1107</v>
      </c>
      <c r="H8944" s="546">
        <v>7293.34</v>
      </c>
      <c r="I8944" s="47">
        <v>44799</v>
      </c>
      <c r="J8944" s="73" t="s">
        <v>21799</v>
      </c>
      <c r="K8944" s="62" t="s">
        <v>21775</v>
      </c>
      <c r="O8944" s="62" t="s">
        <v>971</v>
      </c>
      <c r="P8944" s="58" t="s">
        <v>38</v>
      </c>
      <c r="Q8944" s="45" t="s">
        <v>76</v>
      </c>
      <c r="R8944" s="45" t="s">
        <v>272</v>
      </c>
    </row>
    <row r="8945" spans="2:18" ht="69" customHeight="1">
      <c r="B8945" s="65">
        <f t="shared" si="69"/>
        <v>6062</v>
      </c>
      <c r="C8945" s="58" t="s">
        <v>6261</v>
      </c>
      <c r="D8945" s="545" t="s">
        <v>763</v>
      </c>
      <c r="E8945" s="45" t="s">
        <v>266</v>
      </c>
      <c r="F8945" s="58" t="s">
        <v>21800</v>
      </c>
      <c r="G8945" s="58" t="s">
        <v>1107</v>
      </c>
      <c r="H8945" s="546">
        <v>7293.34</v>
      </c>
      <c r="I8945" s="47">
        <v>44799</v>
      </c>
      <c r="J8945" s="73" t="s">
        <v>21799</v>
      </c>
      <c r="K8945" s="62" t="s">
        <v>21775</v>
      </c>
      <c r="O8945" s="62" t="s">
        <v>971</v>
      </c>
      <c r="P8945" s="58" t="s">
        <v>38</v>
      </c>
      <c r="Q8945" s="45" t="s">
        <v>76</v>
      </c>
      <c r="R8945" s="45" t="s">
        <v>272</v>
      </c>
    </row>
    <row r="8946" spans="2:18" ht="69" customHeight="1">
      <c r="B8946" s="65">
        <f t="shared" si="69"/>
        <v>6063</v>
      </c>
      <c r="C8946" s="58" t="s">
        <v>6261</v>
      </c>
      <c r="D8946" s="545" t="s">
        <v>1585</v>
      </c>
      <c r="E8946" s="45" t="s">
        <v>266</v>
      </c>
      <c r="F8946" s="58" t="s">
        <v>21801</v>
      </c>
      <c r="G8946" s="58" t="s">
        <v>1107</v>
      </c>
      <c r="H8946" s="546">
        <v>7293.34</v>
      </c>
      <c r="I8946" s="47">
        <v>44799</v>
      </c>
      <c r="J8946" s="73" t="s">
        <v>21802</v>
      </c>
      <c r="K8946" s="62" t="s">
        <v>21775</v>
      </c>
      <c r="O8946" s="62" t="s">
        <v>971</v>
      </c>
      <c r="P8946" s="58" t="s">
        <v>38</v>
      </c>
      <c r="Q8946" s="45" t="s">
        <v>78</v>
      </c>
      <c r="R8946" s="45" t="s">
        <v>272</v>
      </c>
    </row>
    <row r="8947" spans="2:18" ht="69" customHeight="1">
      <c r="B8947" s="65">
        <f t="shared" si="69"/>
        <v>6064</v>
      </c>
      <c r="C8947" s="58" t="s">
        <v>6261</v>
      </c>
      <c r="D8947" s="545" t="s">
        <v>21803</v>
      </c>
      <c r="E8947" s="45" t="s">
        <v>266</v>
      </c>
      <c r="F8947" s="58" t="s">
        <v>21804</v>
      </c>
      <c r="G8947" s="58" t="s">
        <v>1107</v>
      </c>
      <c r="H8947" s="546">
        <v>7293.34</v>
      </c>
      <c r="I8947" s="47">
        <v>44799</v>
      </c>
      <c r="J8947" s="73" t="s">
        <v>21802</v>
      </c>
      <c r="K8947" s="62" t="s">
        <v>21775</v>
      </c>
      <c r="O8947" s="62" t="s">
        <v>971</v>
      </c>
      <c r="P8947" s="58" t="s">
        <v>38</v>
      </c>
      <c r="Q8947" s="45" t="s">
        <v>78</v>
      </c>
      <c r="R8947" s="45" t="s">
        <v>272</v>
      </c>
    </row>
    <row r="8948" spans="2:18" ht="69" customHeight="1">
      <c r="B8948" s="68">
        <f t="shared" si="69"/>
        <v>6065</v>
      </c>
      <c r="C8948" s="58" t="s">
        <v>309</v>
      </c>
      <c r="D8948" s="545" t="s">
        <v>4182</v>
      </c>
      <c r="E8948" s="45" t="s">
        <v>266</v>
      </c>
      <c r="F8948" s="58" t="s">
        <v>21805</v>
      </c>
      <c r="G8948" s="58" t="s">
        <v>1107</v>
      </c>
      <c r="H8948" s="546">
        <v>7293.34</v>
      </c>
      <c r="I8948" s="47">
        <v>44799</v>
      </c>
      <c r="J8948" s="73" t="s">
        <v>21806</v>
      </c>
      <c r="K8948" s="62" t="s">
        <v>21775</v>
      </c>
      <c r="O8948" s="62" t="s">
        <v>971</v>
      </c>
      <c r="P8948" s="58" t="s">
        <v>38</v>
      </c>
      <c r="Q8948" s="45" t="s">
        <v>39</v>
      </c>
      <c r="R8948" s="45" t="s">
        <v>272</v>
      </c>
    </row>
    <row r="8949" spans="2:18" ht="69" customHeight="1">
      <c r="B8949" s="57">
        <f t="shared" si="69"/>
        <v>6066</v>
      </c>
      <c r="C8949" s="58" t="s">
        <v>309</v>
      </c>
      <c r="D8949" s="545" t="s">
        <v>4179</v>
      </c>
      <c r="E8949" s="45" t="s">
        <v>266</v>
      </c>
      <c r="F8949" s="58" t="s">
        <v>21807</v>
      </c>
      <c r="G8949" s="58" t="s">
        <v>1107</v>
      </c>
      <c r="H8949" s="546">
        <v>7293.34</v>
      </c>
      <c r="I8949" s="47">
        <v>44799</v>
      </c>
      <c r="J8949" s="73" t="s">
        <v>21808</v>
      </c>
      <c r="K8949" s="62" t="s">
        <v>21775</v>
      </c>
      <c r="O8949" s="62" t="s">
        <v>971</v>
      </c>
      <c r="P8949" s="58" t="s">
        <v>38</v>
      </c>
      <c r="Q8949" s="45" t="s">
        <v>41</v>
      </c>
      <c r="R8949" s="45" t="s">
        <v>272</v>
      </c>
    </row>
    <row r="8950" spans="2:18" ht="69" customHeight="1">
      <c r="B8950" s="57">
        <f t="shared" si="69"/>
        <v>6067</v>
      </c>
      <c r="C8950" s="58" t="s">
        <v>309</v>
      </c>
      <c r="D8950" s="545" t="s">
        <v>4606</v>
      </c>
      <c r="E8950" s="45" t="s">
        <v>266</v>
      </c>
      <c r="F8950" s="58" t="s">
        <v>21809</v>
      </c>
      <c r="G8950" s="58" t="s">
        <v>1107</v>
      </c>
      <c r="H8950" s="546">
        <v>7293.34</v>
      </c>
      <c r="I8950" s="47">
        <v>44799</v>
      </c>
      <c r="J8950" s="73" t="s">
        <v>21810</v>
      </c>
      <c r="K8950" s="62" t="s">
        <v>21775</v>
      </c>
      <c r="O8950" s="62" t="s">
        <v>971</v>
      </c>
      <c r="P8950" s="58" t="s">
        <v>38</v>
      </c>
      <c r="Q8950" s="45" t="s">
        <v>33</v>
      </c>
      <c r="R8950" s="45" t="s">
        <v>272</v>
      </c>
    </row>
    <row r="8951" spans="2:18" ht="69" customHeight="1">
      <c r="B8951" s="57">
        <f t="shared" si="69"/>
        <v>6068</v>
      </c>
      <c r="C8951" s="58" t="s">
        <v>309</v>
      </c>
      <c r="D8951" s="545" t="s">
        <v>7864</v>
      </c>
      <c r="E8951" s="45" t="s">
        <v>266</v>
      </c>
      <c r="F8951" s="58" t="s">
        <v>21811</v>
      </c>
      <c r="G8951" s="58" t="s">
        <v>1107</v>
      </c>
      <c r="H8951" s="546">
        <v>7293.34</v>
      </c>
      <c r="I8951" s="47">
        <v>44799</v>
      </c>
      <c r="J8951" s="73" t="s">
        <v>21812</v>
      </c>
      <c r="K8951" s="62" t="s">
        <v>21775</v>
      </c>
      <c r="O8951" s="62" t="s">
        <v>971</v>
      </c>
      <c r="P8951" s="58" t="s">
        <v>38</v>
      </c>
      <c r="Q8951" s="45" t="s">
        <v>35</v>
      </c>
      <c r="R8951" s="45" t="s">
        <v>272</v>
      </c>
    </row>
    <row r="8952" spans="2:18" ht="69" customHeight="1">
      <c r="B8952" s="57">
        <f t="shared" si="69"/>
        <v>6069</v>
      </c>
      <c r="C8952" s="58" t="s">
        <v>3906</v>
      </c>
      <c r="D8952" s="545" t="s">
        <v>1572</v>
      </c>
      <c r="E8952" s="45" t="s">
        <v>266</v>
      </c>
      <c r="F8952" s="58" t="s">
        <v>21813</v>
      </c>
      <c r="G8952" s="58" t="s">
        <v>1107</v>
      </c>
      <c r="H8952" s="546">
        <v>7293.34</v>
      </c>
      <c r="I8952" s="47">
        <v>44799</v>
      </c>
      <c r="J8952" s="73" t="s">
        <v>21814</v>
      </c>
      <c r="K8952" s="62" t="s">
        <v>21775</v>
      </c>
      <c r="O8952" s="62" t="s">
        <v>971</v>
      </c>
      <c r="P8952" s="58" t="s">
        <v>38</v>
      </c>
      <c r="Q8952" s="45" t="s">
        <v>72</v>
      </c>
      <c r="R8952" s="45" t="s">
        <v>272</v>
      </c>
    </row>
    <row r="8953" spans="2:18" ht="69" customHeight="1">
      <c r="B8953" s="272">
        <f t="shared" si="69"/>
        <v>6070</v>
      </c>
      <c r="C8953" s="191" t="s">
        <v>9545</v>
      </c>
      <c r="D8953" s="251" t="s">
        <v>18852</v>
      </c>
      <c r="E8953" s="46" t="s">
        <v>266</v>
      </c>
      <c r="F8953" s="46" t="s">
        <v>21815</v>
      </c>
      <c r="G8953" s="46" t="s">
        <v>21788</v>
      </c>
      <c r="H8953" s="534">
        <v>14067.01</v>
      </c>
      <c r="I8953" s="56">
        <v>45488</v>
      </c>
      <c r="J8953" s="199" t="s">
        <v>21792</v>
      </c>
      <c r="K8953" s="46"/>
      <c r="O8953" s="46" t="s">
        <v>1171</v>
      </c>
      <c r="P8953" s="46" t="s">
        <v>71</v>
      </c>
      <c r="Q8953" s="46" t="s">
        <v>117</v>
      </c>
      <c r="R8953" s="46" t="s">
        <v>272</v>
      </c>
    </row>
    <row r="8954" spans="2:18" ht="69" customHeight="1">
      <c r="B8954" s="57">
        <f t="shared" si="69"/>
        <v>6071</v>
      </c>
      <c r="C8954" s="58" t="s">
        <v>5658</v>
      </c>
      <c r="D8954" s="545" t="s">
        <v>2048</v>
      </c>
      <c r="E8954" s="45" t="s">
        <v>266</v>
      </c>
      <c r="F8954" s="58" t="s">
        <v>21816</v>
      </c>
      <c r="G8954" s="58" t="s">
        <v>1107</v>
      </c>
      <c r="H8954" s="546">
        <v>6500</v>
      </c>
      <c r="I8954" s="66" t="s">
        <v>96</v>
      </c>
      <c r="J8954" s="73" t="s">
        <v>21817</v>
      </c>
      <c r="K8954" s="62" t="s">
        <v>21775</v>
      </c>
      <c r="O8954" s="62" t="s">
        <v>971</v>
      </c>
      <c r="P8954" s="58" t="s">
        <v>38</v>
      </c>
      <c r="Q8954" s="45" t="s">
        <v>86</v>
      </c>
      <c r="R8954" s="45" t="s">
        <v>272</v>
      </c>
    </row>
    <row r="8955" spans="2:18" ht="69" customHeight="1">
      <c r="B8955" s="272">
        <f t="shared" si="69"/>
        <v>6072</v>
      </c>
      <c r="C8955" s="191" t="s">
        <v>9545</v>
      </c>
      <c r="D8955" s="251" t="s">
        <v>21818</v>
      </c>
      <c r="E8955" s="46" t="s">
        <v>266</v>
      </c>
      <c r="F8955" s="46" t="s">
        <v>21819</v>
      </c>
      <c r="G8955" s="46" t="s">
        <v>21788</v>
      </c>
      <c r="H8955" s="534">
        <v>22212.07</v>
      </c>
      <c r="I8955" s="56">
        <v>45488</v>
      </c>
      <c r="J8955" s="199" t="s">
        <v>21792</v>
      </c>
      <c r="K8955" s="46"/>
      <c r="O8955" s="46" t="s">
        <v>1171</v>
      </c>
      <c r="P8955" s="46" t="s">
        <v>71</v>
      </c>
      <c r="Q8955" s="46" t="s">
        <v>117</v>
      </c>
      <c r="R8955" s="46" t="s">
        <v>272</v>
      </c>
    </row>
    <row r="8956" spans="2:18" ht="69" customHeight="1">
      <c r="B8956" s="57">
        <f t="shared" si="69"/>
        <v>6073</v>
      </c>
      <c r="C8956" s="178" t="s">
        <v>6261</v>
      </c>
      <c r="D8956" s="545" t="s">
        <v>9816</v>
      </c>
      <c r="E8956" s="45" t="s">
        <v>266</v>
      </c>
      <c r="F8956" s="58" t="s">
        <v>21820</v>
      </c>
      <c r="G8956" s="58" t="s">
        <v>1107</v>
      </c>
      <c r="H8956" s="546">
        <v>7293.34</v>
      </c>
      <c r="I8956" s="126">
        <v>44820</v>
      </c>
      <c r="J8956" s="73" t="s">
        <v>21821</v>
      </c>
      <c r="K8956" s="67" t="s">
        <v>21775</v>
      </c>
      <c r="O8956" s="62" t="s">
        <v>971</v>
      </c>
      <c r="P8956" s="58" t="s">
        <v>38</v>
      </c>
      <c r="Q8956" s="45" t="s">
        <v>74</v>
      </c>
      <c r="R8956" s="45" t="s">
        <v>272</v>
      </c>
    </row>
    <row r="8957" spans="2:18" ht="69" customHeight="1">
      <c r="B8957" s="57">
        <f t="shared" si="69"/>
        <v>6074</v>
      </c>
      <c r="C8957" s="178" t="s">
        <v>6261</v>
      </c>
      <c r="D8957" s="545" t="s">
        <v>7169</v>
      </c>
      <c r="E8957" s="45" t="s">
        <v>266</v>
      </c>
      <c r="F8957" s="58" t="s">
        <v>21822</v>
      </c>
      <c r="G8957" s="58" t="s">
        <v>1107</v>
      </c>
      <c r="H8957" s="546">
        <v>7293.34</v>
      </c>
      <c r="I8957" s="126">
        <v>44832</v>
      </c>
      <c r="J8957" s="73" t="s">
        <v>21823</v>
      </c>
      <c r="K8957" s="67" t="s">
        <v>21775</v>
      </c>
      <c r="O8957" s="62" t="s">
        <v>971</v>
      </c>
      <c r="P8957" s="58" t="s">
        <v>38</v>
      </c>
      <c r="Q8957" s="45" t="s">
        <v>76</v>
      </c>
      <c r="R8957" s="45" t="s">
        <v>272</v>
      </c>
    </row>
    <row r="8958" spans="2:18" ht="69" customHeight="1">
      <c r="B8958" s="57">
        <f t="shared" si="69"/>
        <v>6075</v>
      </c>
      <c r="C8958" s="178" t="s">
        <v>309</v>
      </c>
      <c r="D8958" s="545" t="s">
        <v>8906</v>
      </c>
      <c r="E8958" s="45" t="s">
        <v>266</v>
      </c>
      <c r="F8958" s="58" t="s">
        <v>21824</v>
      </c>
      <c r="G8958" s="58" t="s">
        <v>1107</v>
      </c>
      <c r="H8958" s="546">
        <v>7293.34</v>
      </c>
      <c r="I8958" s="126">
        <v>44848</v>
      </c>
      <c r="J8958" s="73" t="s">
        <v>21825</v>
      </c>
      <c r="K8958" s="67" t="s">
        <v>21775</v>
      </c>
      <c r="O8958" s="62" t="s">
        <v>971</v>
      </c>
      <c r="P8958" s="58" t="s">
        <v>38</v>
      </c>
      <c r="Q8958" s="45" t="s">
        <v>33</v>
      </c>
      <c r="R8958" s="45" t="s">
        <v>272</v>
      </c>
    </row>
    <row r="8959" spans="2:18" ht="69" customHeight="1">
      <c r="B8959" s="57">
        <f t="shared" si="69"/>
        <v>6076</v>
      </c>
      <c r="C8959" s="178" t="s">
        <v>309</v>
      </c>
      <c r="D8959" s="545" t="s">
        <v>10327</v>
      </c>
      <c r="E8959" s="45" t="s">
        <v>266</v>
      </c>
      <c r="F8959" s="58" t="s">
        <v>21826</v>
      </c>
      <c r="G8959" s="58" t="s">
        <v>1107</v>
      </c>
      <c r="H8959" s="546">
        <v>7293.34</v>
      </c>
      <c r="I8959" s="126">
        <v>44848</v>
      </c>
      <c r="J8959" s="73" t="s">
        <v>21825</v>
      </c>
      <c r="K8959" s="67" t="s">
        <v>21775</v>
      </c>
      <c r="O8959" s="62" t="s">
        <v>971</v>
      </c>
      <c r="P8959" s="58" t="s">
        <v>38</v>
      </c>
      <c r="Q8959" s="45" t="s">
        <v>33</v>
      </c>
      <c r="R8959" s="45" t="s">
        <v>272</v>
      </c>
    </row>
    <row r="8960" spans="2:18" ht="69" customHeight="1">
      <c r="B8960" s="57">
        <f t="shared" si="69"/>
        <v>6077</v>
      </c>
      <c r="C8960" s="178" t="s">
        <v>309</v>
      </c>
      <c r="D8960" s="545" t="s">
        <v>9787</v>
      </c>
      <c r="E8960" s="45" t="s">
        <v>266</v>
      </c>
      <c r="F8960" s="58" t="s">
        <v>21827</v>
      </c>
      <c r="G8960" s="58" t="s">
        <v>1107</v>
      </c>
      <c r="H8960" s="546">
        <v>7293.34</v>
      </c>
      <c r="I8960" s="126">
        <v>44848</v>
      </c>
      <c r="J8960" s="73" t="s">
        <v>21825</v>
      </c>
      <c r="K8960" s="67" t="s">
        <v>21775</v>
      </c>
      <c r="O8960" s="62" t="s">
        <v>971</v>
      </c>
      <c r="P8960" s="58" t="s">
        <v>38</v>
      </c>
      <c r="Q8960" s="45" t="s">
        <v>37</v>
      </c>
      <c r="R8960" s="45" t="s">
        <v>272</v>
      </c>
    </row>
    <row r="8961" spans="2:18" ht="69" customHeight="1">
      <c r="B8961" s="57">
        <f t="shared" si="69"/>
        <v>6078</v>
      </c>
      <c r="C8961" s="178" t="s">
        <v>309</v>
      </c>
      <c r="D8961" s="545" t="s">
        <v>10176</v>
      </c>
      <c r="E8961" s="45" t="s">
        <v>266</v>
      </c>
      <c r="F8961" s="58" t="s">
        <v>21828</v>
      </c>
      <c r="G8961" s="58" t="s">
        <v>1107</v>
      </c>
      <c r="H8961" s="546">
        <v>7293.34</v>
      </c>
      <c r="I8961" s="126">
        <v>44848</v>
      </c>
      <c r="J8961" s="73" t="s">
        <v>21829</v>
      </c>
      <c r="K8961" s="67" t="s">
        <v>21775</v>
      </c>
      <c r="O8961" s="62" t="s">
        <v>971</v>
      </c>
      <c r="P8961" s="58" t="s">
        <v>38</v>
      </c>
      <c r="Q8961" s="45" t="s">
        <v>39</v>
      </c>
      <c r="R8961" s="45" t="s">
        <v>272</v>
      </c>
    </row>
    <row r="8962" spans="2:18" ht="69" customHeight="1">
      <c r="B8962" s="57">
        <f t="shared" si="69"/>
        <v>6079</v>
      </c>
      <c r="C8962" s="178" t="s">
        <v>6261</v>
      </c>
      <c r="D8962" s="545" t="s">
        <v>7598</v>
      </c>
      <c r="E8962" s="45" t="s">
        <v>266</v>
      </c>
      <c r="F8962" s="58" t="s">
        <v>21830</v>
      </c>
      <c r="G8962" s="58" t="s">
        <v>1107</v>
      </c>
      <c r="H8962" s="546">
        <v>7293.34</v>
      </c>
      <c r="I8962" s="126">
        <v>44848</v>
      </c>
      <c r="J8962" s="73" t="s">
        <v>21831</v>
      </c>
      <c r="K8962" s="67" t="s">
        <v>21775</v>
      </c>
      <c r="O8962" s="62" t="s">
        <v>971</v>
      </c>
      <c r="P8962" s="58" t="s">
        <v>38</v>
      </c>
      <c r="Q8962" s="45" t="s">
        <v>74</v>
      </c>
      <c r="R8962" s="45" t="s">
        <v>272</v>
      </c>
    </row>
    <row r="8963" spans="2:18" ht="69" customHeight="1">
      <c r="B8963" s="57">
        <f t="shared" si="69"/>
        <v>6080</v>
      </c>
      <c r="C8963" s="178" t="s">
        <v>309</v>
      </c>
      <c r="D8963" s="67">
        <v>833</v>
      </c>
      <c r="E8963" s="58" t="s">
        <v>266</v>
      </c>
      <c r="F8963" s="58" t="s">
        <v>21832</v>
      </c>
      <c r="G8963" s="58" t="s">
        <v>1107</v>
      </c>
      <c r="H8963" s="546">
        <v>7293.34</v>
      </c>
      <c r="I8963" s="126">
        <v>44860</v>
      </c>
      <c r="J8963" s="242" t="s">
        <v>21833</v>
      </c>
      <c r="K8963" s="67" t="s">
        <v>21775</v>
      </c>
      <c r="O8963" s="62" t="s">
        <v>971</v>
      </c>
      <c r="P8963" s="58" t="s">
        <v>38</v>
      </c>
      <c r="Q8963" s="45" t="s">
        <v>39</v>
      </c>
      <c r="R8963" s="45" t="s">
        <v>272</v>
      </c>
    </row>
    <row r="8964" spans="2:18" ht="69" customHeight="1">
      <c r="B8964" s="57">
        <f t="shared" si="69"/>
        <v>6081</v>
      </c>
      <c r="C8964" s="178" t="s">
        <v>309</v>
      </c>
      <c r="D8964" s="67">
        <v>834</v>
      </c>
      <c r="E8964" s="58" t="s">
        <v>266</v>
      </c>
      <c r="F8964" s="58" t="s">
        <v>21834</v>
      </c>
      <c r="G8964" s="58" t="s">
        <v>1107</v>
      </c>
      <c r="H8964" s="546">
        <v>7293.34</v>
      </c>
      <c r="I8964" s="126">
        <v>44860</v>
      </c>
      <c r="J8964" s="242" t="s">
        <v>21833</v>
      </c>
      <c r="K8964" s="67" t="s">
        <v>21775</v>
      </c>
      <c r="O8964" s="62" t="s">
        <v>971</v>
      </c>
      <c r="P8964" s="58" t="s">
        <v>38</v>
      </c>
      <c r="Q8964" s="45" t="s">
        <v>41</v>
      </c>
      <c r="R8964" s="45" t="s">
        <v>272</v>
      </c>
    </row>
    <row r="8965" spans="2:18" ht="69" customHeight="1">
      <c r="B8965" s="57">
        <f t="shared" si="69"/>
        <v>6082</v>
      </c>
      <c r="C8965" s="178" t="s">
        <v>309</v>
      </c>
      <c r="D8965" s="67">
        <v>1235</v>
      </c>
      <c r="E8965" s="178" t="s">
        <v>552</v>
      </c>
      <c r="F8965" s="58" t="s">
        <v>21835</v>
      </c>
      <c r="G8965" s="58" t="s">
        <v>1107</v>
      </c>
      <c r="H8965" s="546">
        <v>6500</v>
      </c>
      <c r="I8965" s="126">
        <v>44923</v>
      </c>
      <c r="J8965" s="242" t="s">
        <v>2128</v>
      </c>
      <c r="K8965" s="67" t="s">
        <v>21775</v>
      </c>
      <c r="O8965" s="62" t="s">
        <v>971</v>
      </c>
      <c r="P8965" s="58" t="s">
        <v>38</v>
      </c>
      <c r="Q8965" s="45" t="s">
        <v>45</v>
      </c>
      <c r="R8965" s="45" t="s">
        <v>272</v>
      </c>
    </row>
    <row r="8966" spans="2:18" ht="69" customHeight="1">
      <c r="B8966" s="57">
        <f t="shared" si="69"/>
        <v>6083</v>
      </c>
      <c r="C8966" s="178" t="s">
        <v>5615</v>
      </c>
      <c r="D8966" s="67">
        <v>1454</v>
      </c>
      <c r="E8966" s="58" t="s">
        <v>409</v>
      </c>
      <c r="F8966" s="58" t="s">
        <v>21836</v>
      </c>
      <c r="G8966" s="58" t="s">
        <v>1107</v>
      </c>
      <c r="H8966" s="546">
        <v>6500</v>
      </c>
      <c r="I8966" s="126">
        <v>44923</v>
      </c>
      <c r="J8966" s="242" t="s">
        <v>2128</v>
      </c>
      <c r="K8966" s="67" t="s">
        <v>21775</v>
      </c>
      <c r="O8966" s="62" t="s">
        <v>971</v>
      </c>
      <c r="P8966" s="58" t="s">
        <v>38</v>
      </c>
      <c r="Q8966" s="45" t="s">
        <v>80</v>
      </c>
      <c r="R8966" s="45" t="s">
        <v>272</v>
      </c>
    </row>
    <row r="8967" spans="2:18" ht="69" customHeight="1">
      <c r="B8967" s="57">
        <f t="shared" si="69"/>
        <v>6084</v>
      </c>
      <c r="C8967" s="178" t="s">
        <v>5615</v>
      </c>
      <c r="D8967" s="67">
        <v>1455</v>
      </c>
      <c r="E8967" s="58" t="s">
        <v>409</v>
      </c>
      <c r="F8967" s="58" t="s">
        <v>21837</v>
      </c>
      <c r="G8967" s="58" t="s">
        <v>1107</v>
      </c>
      <c r="H8967" s="546">
        <v>6500</v>
      </c>
      <c r="I8967" s="126">
        <v>44923</v>
      </c>
      <c r="J8967" s="242" t="s">
        <v>2128</v>
      </c>
      <c r="K8967" s="67" t="s">
        <v>21775</v>
      </c>
      <c r="O8967" s="62" t="s">
        <v>971</v>
      </c>
      <c r="P8967" s="58" t="s">
        <v>38</v>
      </c>
      <c r="Q8967" s="45" t="s">
        <v>80</v>
      </c>
      <c r="R8967" s="45" t="s">
        <v>272</v>
      </c>
    </row>
    <row r="8968" spans="2:18" ht="69" customHeight="1">
      <c r="B8968" s="57">
        <f t="shared" si="69"/>
        <v>6085</v>
      </c>
      <c r="C8968" s="178" t="s">
        <v>5615</v>
      </c>
      <c r="D8968" s="67">
        <v>1456</v>
      </c>
      <c r="E8968" s="58" t="s">
        <v>409</v>
      </c>
      <c r="F8968" s="58" t="s">
        <v>21838</v>
      </c>
      <c r="G8968" s="58" t="s">
        <v>1107</v>
      </c>
      <c r="H8968" s="546">
        <v>6500</v>
      </c>
      <c r="I8968" s="126">
        <v>44923</v>
      </c>
      <c r="J8968" s="242" t="s">
        <v>2128</v>
      </c>
      <c r="K8968" s="67" t="s">
        <v>21775</v>
      </c>
      <c r="O8968" s="62" t="s">
        <v>971</v>
      </c>
      <c r="P8968" s="58" t="s">
        <v>38</v>
      </c>
      <c r="Q8968" s="45" t="s">
        <v>80</v>
      </c>
      <c r="R8968" s="45" t="s">
        <v>272</v>
      </c>
    </row>
    <row r="8969" spans="2:18" ht="69" customHeight="1">
      <c r="B8969" s="57">
        <f t="shared" si="69"/>
        <v>6086</v>
      </c>
      <c r="C8969" s="178" t="s">
        <v>5615</v>
      </c>
      <c r="D8969" s="67">
        <v>1457</v>
      </c>
      <c r="E8969" s="58" t="s">
        <v>409</v>
      </c>
      <c r="F8969" s="58" t="s">
        <v>21839</v>
      </c>
      <c r="G8969" s="58" t="s">
        <v>1107</v>
      </c>
      <c r="H8969" s="546">
        <v>6500</v>
      </c>
      <c r="I8969" s="126">
        <v>44923</v>
      </c>
      <c r="J8969" s="242" t="s">
        <v>2128</v>
      </c>
      <c r="K8969" s="67" t="s">
        <v>21775</v>
      </c>
      <c r="O8969" s="62" t="s">
        <v>971</v>
      </c>
      <c r="P8969" s="58" t="s">
        <v>38</v>
      </c>
      <c r="Q8969" s="45" t="s">
        <v>82</v>
      </c>
      <c r="R8969" s="45" t="s">
        <v>272</v>
      </c>
    </row>
    <row r="8970" spans="2:18" ht="69" customHeight="1">
      <c r="B8970" s="57">
        <f t="shared" ref="B8970:B9033" si="70">B8969+1</f>
        <v>6087</v>
      </c>
      <c r="C8970" s="178" t="s">
        <v>5615</v>
      </c>
      <c r="D8970" s="67">
        <v>1458</v>
      </c>
      <c r="E8970" s="58" t="s">
        <v>409</v>
      </c>
      <c r="F8970" s="58" t="s">
        <v>21840</v>
      </c>
      <c r="G8970" s="58" t="s">
        <v>1107</v>
      </c>
      <c r="H8970" s="546">
        <v>850</v>
      </c>
      <c r="I8970" s="126">
        <v>44923</v>
      </c>
      <c r="J8970" s="242" t="s">
        <v>2128</v>
      </c>
      <c r="K8970" s="67" t="s">
        <v>21775</v>
      </c>
      <c r="O8970" s="62" t="s">
        <v>971</v>
      </c>
      <c r="P8970" s="58" t="s">
        <v>38</v>
      </c>
      <c r="Q8970" s="45" t="s">
        <v>80</v>
      </c>
      <c r="R8970" s="45" t="s">
        <v>272</v>
      </c>
    </row>
    <row r="8971" spans="2:18" ht="69" customHeight="1">
      <c r="B8971" s="57">
        <f t="shared" si="70"/>
        <v>6088</v>
      </c>
      <c r="C8971" s="178" t="s">
        <v>5615</v>
      </c>
      <c r="D8971" s="67">
        <v>1459</v>
      </c>
      <c r="E8971" s="58" t="s">
        <v>409</v>
      </c>
      <c r="F8971" s="58" t="s">
        <v>21841</v>
      </c>
      <c r="G8971" s="58" t="s">
        <v>1107</v>
      </c>
      <c r="H8971" s="546">
        <v>850</v>
      </c>
      <c r="I8971" s="126">
        <v>44923</v>
      </c>
      <c r="J8971" s="242" t="s">
        <v>2128</v>
      </c>
      <c r="K8971" s="67" t="s">
        <v>21775</v>
      </c>
      <c r="O8971" s="62" t="s">
        <v>971</v>
      </c>
      <c r="P8971" s="58" t="s">
        <v>38</v>
      </c>
      <c r="Q8971" s="45" t="s">
        <v>82</v>
      </c>
      <c r="R8971" s="45" t="s">
        <v>272</v>
      </c>
    </row>
    <row r="8972" spans="2:18" ht="69" customHeight="1">
      <c r="B8972" s="332">
        <f t="shared" si="70"/>
        <v>6089</v>
      </c>
      <c r="C8972" s="160" t="s">
        <v>19158</v>
      </c>
      <c r="D8972" s="303" t="s">
        <v>3158</v>
      </c>
      <c r="E8972" s="160" t="s">
        <v>266</v>
      </c>
      <c r="F8972" s="160" t="s">
        <v>21842</v>
      </c>
      <c r="G8972" s="160" t="s">
        <v>21843</v>
      </c>
      <c r="H8972" s="300">
        <v>129.88999999999999</v>
      </c>
      <c r="I8972" s="209">
        <v>45469</v>
      </c>
      <c r="J8972" s="316" t="s">
        <v>21844</v>
      </c>
      <c r="K8972" s="259" t="s">
        <v>11084</v>
      </c>
      <c r="O8972" s="259" t="s">
        <v>20832</v>
      </c>
      <c r="P8972" s="160" t="s">
        <v>67</v>
      </c>
      <c r="Q8972" s="160" t="s">
        <v>96</v>
      </c>
      <c r="R8972" s="160" t="s">
        <v>272</v>
      </c>
    </row>
    <row r="8973" spans="2:18" ht="69" customHeight="1">
      <c r="B8973" s="57">
        <f t="shared" si="70"/>
        <v>6090</v>
      </c>
      <c r="C8973" s="178" t="s">
        <v>5658</v>
      </c>
      <c r="D8973" s="67">
        <v>1452</v>
      </c>
      <c r="E8973" s="58" t="s">
        <v>409</v>
      </c>
      <c r="F8973" s="58" t="s">
        <v>21845</v>
      </c>
      <c r="G8973" s="58" t="s">
        <v>1107</v>
      </c>
      <c r="H8973" s="546">
        <v>6500</v>
      </c>
      <c r="I8973" s="126">
        <v>44923</v>
      </c>
      <c r="J8973" s="242" t="s">
        <v>2128</v>
      </c>
      <c r="K8973" s="67" t="s">
        <v>21775</v>
      </c>
      <c r="O8973" s="62" t="s">
        <v>971</v>
      </c>
      <c r="P8973" s="58" t="s">
        <v>38</v>
      </c>
      <c r="Q8973" s="45" t="s">
        <v>86</v>
      </c>
      <c r="R8973" s="45" t="s">
        <v>272</v>
      </c>
    </row>
    <row r="8974" spans="2:18" ht="69" customHeight="1">
      <c r="B8974" s="57">
        <f t="shared" si="70"/>
        <v>6091</v>
      </c>
      <c r="C8974" s="178" t="s">
        <v>5658</v>
      </c>
      <c r="D8974" s="67">
        <v>1721</v>
      </c>
      <c r="E8974" s="58" t="s">
        <v>409</v>
      </c>
      <c r="F8974" s="58" t="s">
        <v>21846</v>
      </c>
      <c r="G8974" s="58" t="s">
        <v>1107</v>
      </c>
      <c r="H8974" s="546">
        <v>6500</v>
      </c>
      <c r="I8974" s="126">
        <v>44967</v>
      </c>
      <c r="J8974" s="73" t="s">
        <v>6819</v>
      </c>
      <c r="K8974" s="67" t="s">
        <v>21775</v>
      </c>
      <c r="O8974" s="62" t="s">
        <v>971</v>
      </c>
      <c r="P8974" s="58" t="s">
        <v>38</v>
      </c>
      <c r="Q8974" s="45" t="s">
        <v>86</v>
      </c>
      <c r="R8974" s="45" t="s">
        <v>272</v>
      </c>
    </row>
    <row r="8975" spans="2:18" ht="69" customHeight="1">
      <c r="B8975" s="57">
        <f t="shared" si="70"/>
        <v>6092</v>
      </c>
      <c r="C8975" s="178" t="s">
        <v>5658</v>
      </c>
      <c r="D8975" s="67">
        <v>1722</v>
      </c>
      <c r="E8975" s="58" t="s">
        <v>409</v>
      </c>
      <c r="F8975" s="58" t="s">
        <v>21847</v>
      </c>
      <c r="G8975" s="58" t="s">
        <v>8391</v>
      </c>
      <c r="H8975" s="546">
        <v>6500</v>
      </c>
      <c r="I8975" s="126">
        <v>44967</v>
      </c>
      <c r="J8975" s="73" t="s">
        <v>6819</v>
      </c>
      <c r="K8975" s="67" t="s">
        <v>21775</v>
      </c>
      <c r="O8975" s="62" t="s">
        <v>971</v>
      </c>
      <c r="P8975" s="58" t="s">
        <v>38</v>
      </c>
      <c r="Q8975" s="45" t="s">
        <v>66</v>
      </c>
      <c r="R8975" s="45" t="s">
        <v>272</v>
      </c>
    </row>
    <row r="8976" spans="2:18" ht="69" customHeight="1">
      <c r="B8976" s="57">
        <f t="shared" si="70"/>
        <v>6093</v>
      </c>
      <c r="C8976" s="178" t="s">
        <v>458</v>
      </c>
      <c r="D8976" s="67">
        <v>1170</v>
      </c>
      <c r="E8976" s="58" t="s">
        <v>409</v>
      </c>
      <c r="F8976" s="58" t="s">
        <v>21848</v>
      </c>
      <c r="G8976" s="58" t="s">
        <v>8391</v>
      </c>
      <c r="H8976" s="546">
        <v>6500</v>
      </c>
      <c r="I8976" s="126">
        <v>44967</v>
      </c>
      <c r="J8976" s="242" t="s">
        <v>6819</v>
      </c>
      <c r="K8976" s="67" t="s">
        <v>21775</v>
      </c>
      <c r="O8976" s="62" t="s">
        <v>971</v>
      </c>
      <c r="P8976" s="58" t="s">
        <v>38</v>
      </c>
      <c r="Q8976" s="45" t="s">
        <v>117</v>
      </c>
      <c r="R8976" s="45" t="s">
        <v>272</v>
      </c>
    </row>
    <row r="8977" spans="1:18" ht="69" customHeight="1">
      <c r="B8977" s="57">
        <f t="shared" si="70"/>
        <v>6094</v>
      </c>
      <c r="C8977" s="178" t="s">
        <v>5658</v>
      </c>
      <c r="D8977" s="67">
        <v>1723</v>
      </c>
      <c r="E8977" s="58" t="s">
        <v>409</v>
      </c>
      <c r="F8977" s="58" t="s">
        <v>21849</v>
      </c>
      <c r="G8977" s="58" t="s">
        <v>5731</v>
      </c>
      <c r="H8977" s="546">
        <v>850</v>
      </c>
      <c r="I8977" s="126">
        <v>44967</v>
      </c>
      <c r="J8977" s="242" t="s">
        <v>6819</v>
      </c>
      <c r="K8977" s="67" t="s">
        <v>21775</v>
      </c>
      <c r="O8977" s="62" t="s">
        <v>971</v>
      </c>
      <c r="P8977" s="58" t="s">
        <v>38</v>
      </c>
      <c r="Q8977" s="45" t="s">
        <v>117</v>
      </c>
      <c r="R8977" s="45" t="s">
        <v>272</v>
      </c>
    </row>
    <row r="8978" spans="1:18" ht="69" customHeight="1">
      <c r="B8978" s="332">
        <f t="shared" si="70"/>
        <v>6095</v>
      </c>
      <c r="C8978" s="207" t="s">
        <v>21598</v>
      </c>
      <c r="D8978" s="303" t="s">
        <v>6755</v>
      </c>
      <c r="E8978" s="160" t="s">
        <v>266</v>
      </c>
      <c r="F8978" s="160" t="s">
        <v>21850</v>
      </c>
      <c r="G8978" s="160" t="s">
        <v>21851</v>
      </c>
      <c r="H8978" s="300">
        <v>227</v>
      </c>
      <c r="I8978" s="209">
        <v>45469</v>
      </c>
      <c r="J8978" s="316" t="s">
        <v>21852</v>
      </c>
      <c r="K8978" s="259" t="s">
        <v>11084</v>
      </c>
      <c r="O8978" s="259" t="s">
        <v>21853</v>
      </c>
      <c r="P8978" s="160" t="s">
        <v>67</v>
      </c>
      <c r="Q8978" s="160" t="s">
        <v>96</v>
      </c>
      <c r="R8978" s="160" t="s">
        <v>272</v>
      </c>
    </row>
    <row r="8979" spans="1:18" ht="69" customHeight="1">
      <c r="B8979" s="332">
        <f t="shared" si="70"/>
        <v>6096</v>
      </c>
      <c r="C8979" s="207" t="s">
        <v>21598</v>
      </c>
      <c r="D8979" s="303" t="s">
        <v>8267</v>
      </c>
      <c r="E8979" s="160" t="s">
        <v>266</v>
      </c>
      <c r="F8979" s="160" t="s">
        <v>21854</v>
      </c>
      <c r="G8979" s="160" t="s">
        <v>21851</v>
      </c>
      <c r="H8979" s="300">
        <v>227</v>
      </c>
      <c r="I8979" s="209">
        <v>45469</v>
      </c>
      <c r="J8979" s="316" t="s">
        <v>21852</v>
      </c>
      <c r="K8979" s="259" t="s">
        <v>11084</v>
      </c>
      <c r="O8979" s="259" t="s">
        <v>21853</v>
      </c>
      <c r="P8979" s="160" t="s">
        <v>67</v>
      </c>
      <c r="Q8979" s="160" t="s">
        <v>96</v>
      </c>
      <c r="R8979" s="160" t="s">
        <v>272</v>
      </c>
    </row>
    <row r="8980" spans="1:18" ht="69" customHeight="1">
      <c r="B8980" s="332">
        <f t="shared" si="70"/>
        <v>6097</v>
      </c>
      <c r="C8980" s="207" t="s">
        <v>458</v>
      </c>
      <c r="D8980" s="303" t="s">
        <v>21855</v>
      </c>
      <c r="E8980" s="160" t="s">
        <v>266</v>
      </c>
      <c r="F8980" s="208" t="s">
        <v>21856</v>
      </c>
      <c r="G8980" s="160" t="s">
        <v>13552</v>
      </c>
      <c r="H8980" s="300">
        <v>29660</v>
      </c>
      <c r="I8980" s="209">
        <v>45488</v>
      </c>
      <c r="J8980" s="316" t="s">
        <v>21857</v>
      </c>
      <c r="K8980" s="160" t="s">
        <v>4128</v>
      </c>
      <c r="O8980" s="259" t="s">
        <v>141</v>
      </c>
      <c r="P8980" s="160" t="s">
        <v>67</v>
      </c>
      <c r="Q8980" s="160" t="s">
        <v>123</v>
      </c>
      <c r="R8980" s="160" t="s">
        <v>272</v>
      </c>
    </row>
    <row r="8981" spans="1:18" ht="69" customHeight="1">
      <c r="B8981" s="57">
        <f t="shared" si="70"/>
        <v>6098</v>
      </c>
      <c r="C8981" s="59" t="s">
        <v>21744</v>
      </c>
      <c r="D8981" s="545" t="s">
        <v>21858</v>
      </c>
      <c r="E8981" s="59" t="s">
        <v>266</v>
      </c>
      <c r="F8981" s="210" t="s">
        <v>21859</v>
      </c>
      <c r="G8981" s="58" t="s">
        <v>21138</v>
      </c>
      <c r="H8981" s="546">
        <v>279.82</v>
      </c>
      <c r="I8981" s="126">
        <v>45488</v>
      </c>
      <c r="J8981" s="73" t="s">
        <v>21860</v>
      </c>
      <c r="K8981" s="67"/>
      <c r="O8981" s="62" t="s">
        <v>5969</v>
      </c>
      <c r="P8981" s="58" t="s">
        <v>44</v>
      </c>
      <c r="Q8981" s="45" t="s">
        <v>64</v>
      </c>
      <c r="R8981" s="45" t="s">
        <v>272</v>
      </c>
    </row>
    <row r="8982" spans="1:18" ht="69" customHeight="1">
      <c r="B8982" s="57">
        <f t="shared" si="70"/>
        <v>6099</v>
      </c>
      <c r="C8982" s="58" t="s">
        <v>9004</v>
      </c>
      <c r="D8982" s="545" t="s">
        <v>11144</v>
      </c>
      <c r="E8982" s="59" t="s">
        <v>266</v>
      </c>
      <c r="F8982" s="210" t="s">
        <v>21861</v>
      </c>
      <c r="G8982" s="58" t="s">
        <v>21138</v>
      </c>
      <c r="H8982" s="546">
        <v>279.82</v>
      </c>
      <c r="I8982" s="126">
        <v>45488</v>
      </c>
      <c r="J8982" s="73" t="s">
        <v>21860</v>
      </c>
      <c r="K8982" s="67"/>
      <c r="O8982" s="62" t="s">
        <v>5969</v>
      </c>
      <c r="P8982" s="58" t="s">
        <v>44</v>
      </c>
      <c r="Q8982" s="45" t="s">
        <v>111</v>
      </c>
      <c r="R8982" s="45" t="s">
        <v>272</v>
      </c>
    </row>
    <row r="8983" spans="1:18" s="98" customFormat="1" ht="69" customHeight="1">
      <c r="A8983" s="169"/>
      <c r="B8983" s="332">
        <f t="shared" si="70"/>
        <v>6100</v>
      </c>
      <c r="C8983" s="160" t="s">
        <v>18372</v>
      </c>
      <c r="D8983" s="303" t="s">
        <v>16369</v>
      </c>
      <c r="E8983" s="207" t="s">
        <v>266</v>
      </c>
      <c r="F8983" s="208" t="s">
        <v>21862</v>
      </c>
      <c r="G8983" s="160" t="s">
        <v>21863</v>
      </c>
      <c r="H8983" s="300">
        <v>4750</v>
      </c>
      <c r="I8983" s="209">
        <v>45488</v>
      </c>
      <c r="J8983" s="316" t="s">
        <v>21864</v>
      </c>
      <c r="K8983" s="259" t="s">
        <v>11084</v>
      </c>
      <c r="O8983" s="259" t="s">
        <v>21210</v>
      </c>
      <c r="P8983" s="160" t="s">
        <v>67</v>
      </c>
      <c r="Q8983" s="160" t="s">
        <v>96</v>
      </c>
      <c r="R8983" s="160" t="s">
        <v>272</v>
      </c>
    </row>
    <row r="8984" spans="1:18" ht="69" customHeight="1">
      <c r="B8984" s="332">
        <f t="shared" si="70"/>
        <v>6101</v>
      </c>
      <c r="C8984" s="160" t="s">
        <v>13665</v>
      </c>
      <c r="D8984" s="303" t="s">
        <v>323</v>
      </c>
      <c r="E8984" s="160" t="s">
        <v>21865</v>
      </c>
      <c r="F8984" s="160" t="s">
        <v>21866</v>
      </c>
      <c r="G8984" s="160" t="s">
        <v>21657</v>
      </c>
      <c r="H8984" s="300">
        <v>135900</v>
      </c>
      <c r="I8984" s="209">
        <v>45488</v>
      </c>
      <c r="J8984" s="316" t="s">
        <v>21867</v>
      </c>
      <c r="K8984" s="259" t="s">
        <v>11084</v>
      </c>
      <c r="O8984" s="259" t="s">
        <v>156</v>
      </c>
      <c r="P8984" s="160" t="s">
        <v>67</v>
      </c>
      <c r="Q8984" s="160" t="s">
        <v>96</v>
      </c>
      <c r="R8984" s="160" t="s">
        <v>272</v>
      </c>
    </row>
    <row r="8985" spans="1:18" ht="69" customHeight="1">
      <c r="B8985" s="333">
        <v>6102</v>
      </c>
      <c r="C8985" s="160" t="s">
        <v>13665</v>
      </c>
      <c r="D8985" s="303" t="s">
        <v>515</v>
      </c>
      <c r="E8985" s="160" t="s">
        <v>21865</v>
      </c>
      <c r="F8985" s="160" t="s">
        <v>21868</v>
      </c>
      <c r="G8985" s="160" t="s">
        <v>21657</v>
      </c>
      <c r="H8985" s="300">
        <v>84006.49</v>
      </c>
      <c r="I8985" s="209">
        <v>45488</v>
      </c>
      <c r="J8985" s="316" t="s">
        <v>21867</v>
      </c>
      <c r="K8985" s="259" t="s">
        <v>11084</v>
      </c>
      <c r="O8985" s="259" t="s">
        <v>156</v>
      </c>
      <c r="P8985" s="160" t="s">
        <v>67</v>
      </c>
      <c r="Q8985" s="160" t="s">
        <v>96</v>
      </c>
      <c r="R8985" s="160" t="s">
        <v>272</v>
      </c>
    </row>
    <row r="8986" spans="1:18" ht="69" customHeight="1">
      <c r="B8986" s="332">
        <f t="shared" si="70"/>
        <v>6103</v>
      </c>
      <c r="C8986" s="207" t="s">
        <v>458</v>
      </c>
      <c r="D8986" s="303" t="s">
        <v>21869</v>
      </c>
      <c r="E8986" s="207" t="s">
        <v>266</v>
      </c>
      <c r="F8986" s="208" t="s">
        <v>21870</v>
      </c>
      <c r="G8986" s="160" t="s">
        <v>13552</v>
      </c>
      <c r="H8986" s="300">
        <v>32770</v>
      </c>
      <c r="I8986" s="209">
        <v>45488</v>
      </c>
      <c r="J8986" s="316" t="s">
        <v>21871</v>
      </c>
      <c r="K8986" s="160" t="s">
        <v>4128</v>
      </c>
      <c r="O8986" s="259" t="s">
        <v>141</v>
      </c>
      <c r="P8986" s="160" t="s">
        <v>67</v>
      </c>
      <c r="Q8986" s="160" t="s">
        <v>123</v>
      </c>
      <c r="R8986" s="160" t="s">
        <v>272</v>
      </c>
    </row>
    <row r="8987" spans="1:18" ht="69" customHeight="1">
      <c r="B8987" s="332">
        <f t="shared" si="70"/>
        <v>6104</v>
      </c>
      <c r="C8987" s="207" t="s">
        <v>458</v>
      </c>
      <c r="D8987" s="303" t="s">
        <v>21872</v>
      </c>
      <c r="E8987" s="207" t="s">
        <v>266</v>
      </c>
      <c r="F8987" s="208" t="s">
        <v>21873</v>
      </c>
      <c r="G8987" s="160" t="s">
        <v>13552</v>
      </c>
      <c r="H8987" s="300">
        <v>36482</v>
      </c>
      <c r="I8987" s="209">
        <v>45488</v>
      </c>
      <c r="J8987" s="316" t="s">
        <v>21871</v>
      </c>
      <c r="K8987" s="160" t="s">
        <v>4128</v>
      </c>
      <c r="O8987" s="259" t="s">
        <v>141</v>
      </c>
      <c r="P8987" s="160" t="s">
        <v>67</v>
      </c>
      <c r="Q8987" s="160" t="s">
        <v>123</v>
      </c>
      <c r="R8987" s="160" t="s">
        <v>272</v>
      </c>
    </row>
    <row r="8988" spans="1:18" ht="69" customHeight="1">
      <c r="B8988" s="332">
        <f t="shared" si="70"/>
        <v>6105</v>
      </c>
      <c r="C8988" s="207" t="s">
        <v>458</v>
      </c>
      <c r="D8988" s="303" t="s">
        <v>21874</v>
      </c>
      <c r="E8988" s="207" t="s">
        <v>266</v>
      </c>
      <c r="F8988" s="208" t="s">
        <v>21875</v>
      </c>
      <c r="G8988" s="160" t="s">
        <v>13552</v>
      </c>
      <c r="H8988" s="300">
        <v>29660</v>
      </c>
      <c r="I8988" s="209">
        <v>45488</v>
      </c>
      <c r="J8988" s="316" t="s">
        <v>21876</v>
      </c>
      <c r="K8988" s="160" t="s">
        <v>4128</v>
      </c>
      <c r="O8988" s="259" t="s">
        <v>141</v>
      </c>
      <c r="P8988" s="160" t="s">
        <v>67</v>
      </c>
      <c r="Q8988" s="160" t="s">
        <v>123</v>
      </c>
      <c r="R8988" s="160" t="s">
        <v>272</v>
      </c>
    </row>
    <row r="8989" spans="1:18" ht="69" customHeight="1">
      <c r="B8989" s="332">
        <f t="shared" si="70"/>
        <v>6106</v>
      </c>
      <c r="C8989" s="207" t="s">
        <v>458</v>
      </c>
      <c r="D8989" s="303" t="s">
        <v>21877</v>
      </c>
      <c r="E8989" s="207" t="s">
        <v>266</v>
      </c>
      <c r="F8989" s="208" t="s">
        <v>21878</v>
      </c>
      <c r="G8989" s="160" t="s">
        <v>13552</v>
      </c>
      <c r="H8989" s="300">
        <v>46147</v>
      </c>
      <c r="I8989" s="209">
        <v>45488</v>
      </c>
      <c r="J8989" s="316" t="s">
        <v>21876</v>
      </c>
      <c r="K8989" s="160" t="s">
        <v>4128</v>
      </c>
      <c r="O8989" s="259" t="s">
        <v>141</v>
      </c>
      <c r="P8989" s="160" t="s">
        <v>67</v>
      </c>
      <c r="Q8989" s="160" t="s">
        <v>123</v>
      </c>
      <c r="R8989" s="160" t="s">
        <v>272</v>
      </c>
    </row>
    <row r="8990" spans="1:18" ht="69" customHeight="1">
      <c r="B8990" s="57">
        <f t="shared" si="70"/>
        <v>6107</v>
      </c>
      <c r="C8990" s="59" t="s">
        <v>7189</v>
      </c>
      <c r="D8990" s="545" t="s">
        <v>11158</v>
      </c>
      <c r="E8990" s="58" t="s">
        <v>16500</v>
      </c>
      <c r="F8990" s="58" t="s">
        <v>21879</v>
      </c>
      <c r="G8990" s="58" t="s">
        <v>21880</v>
      </c>
      <c r="H8990" s="546">
        <v>42087.5</v>
      </c>
      <c r="I8990" s="126">
        <v>45488</v>
      </c>
      <c r="J8990" s="73" t="s">
        <v>21881</v>
      </c>
      <c r="K8990" s="67"/>
      <c r="O8990" s="62" t="s">
        <v>16504</v>
      </c>
      <c r="P8990" s="58" t="s">
        <v>61</v>
      </c>
      <c r="Q8990" s="45" t="s">
        <v>97</v>
      </c>
      <c r="R8990" s="45" t="s">
        <v>272</v>
      </c>
    </row>
    <row r="8991" spans="1:18" ht="69" customHeight="1">
      <c r="B8991" s="272">
        <f t="shared" si="70"/>
        <v>6108</v>
      </c>
      <c r="C8991" s="46" t="s">
        <v>10947</v>
      </c>
      <c r="D8991" s="251" t="s">
        <v>18923</v>
      </c>
      <c r="E8991" s="46" t="s">
        <v>19223</v>
      </c>
      <c r="F8991" s="46" t="s">
        <v>21882</v>
      </c>
      <c r="G8991" s="46" t="s">
        <v>21883</v>
      </c>
      <c r="H8991" s="534">
        <v>56000</v>
      </c>
      <c r="I8991" s="56">
        <v>45488</v>
      </c>
      <c r="J8991" s="199" t="s">
        <v>21884</v>
      </c>
      <c r="K8991" s="46" t="s">
        <v>21885</v>
      </c>
      <c r="O8991" s="52" t="s">
        <v>141</v>
      </c>
      <c r="P8991" s="46" t="s">
        <v>65</v>
      </c>
      <c r="Q8991" s="46" t="s">
        <v>100</v>
      </c>
      <c r="R8991" s="46" t="s">
        <v>272</v>
      </c>
    </row>
    <row r="8992" spans="1:18" ht="69" customHeight="1">
      <c r="B8992" s="57">
        <f t="shared" si="70"/>
        <v>6109</v>
      </c>
      <c r="C8992" s="59" t="s">
        <v>3667</v>
      </c>
      <c r="D8992" s="545" t="s">
        <v>21886</v>
      </c>
      <c r="E8992" s="58" t="s">
        <v>18182</v>
      </c>
      <c r="F8992" s="58" t="s">
        <v>21887</v>
      </c>
      <c r="G8992" s="58" t="s">
        <v>21888</v>
      </c>
      <c r="H8992" s="546">
        <v>225980.62</v>
      </c>
      <c r="I8992" s="126">
        <v>45488</v>
      </c>
      <c r="J8992" s="73" t="s">
        <v>21889</v>
      </c>
      <c r="K8992" s="67"/>
      <c r="O8992" s="62" t="s">
        <v>10607</v>
      </c>
      <c r="P8992" s="58" t="s">
        <v>22</v>
      </c>
      <c r="Q8992" s="45" t="s">
        <v>93</v>
      </c>
      <c r="R8992" s="45" t="s">
        <v>272</v>
      </c>
    </row>
    <row r="8993" spans="2:18" ht="69" customHeight="1">
      <c r="B8993" s="57">
        <f t="shared" si="70"/>
        <v>6110</v>
      </c>
      <c r="C8993" s="59" t="s">
        <v>3667</v>
      </c>
      <c r="D8993" s="545" t="s">
        <v>21890</v>
      </c>
      <c r="E8993" s="58" t="s">
        <v>18182</v>
      </c>
      <c r="F8993" s="58" t="s">
        <v>21891</v>
      </c>
      <c r="G8993" s="58" t="s">
        <v>21888</v>
      </c>
      <c r="H8993" s="546">
        <v>521743.9</v>
      </c>
      <c r="I8993" s="126">
        <v>45488</v>
      </c>
      <c r="J8993" s="73" t="s">
        <v>21889</v>
      </c>
      <c r="K8993" s="67"/>
      <c r="O8993" s="62" t="s">
        <v>10607</v>
      </c>
      <c r="P8993" s="58" t="s">
        <v>22</v>
      </c>
      <c r="Q8993" s="45" t="s">
        <v>95</v>
      </c>
      <c r="R8993" s="45" t="s">
        <v>272</v>
      </c>
    </row>
    <row r="8994" spans="2:18" ht="69" customHeight="1">
      <c r="B8994" s="332">
        <f t="shared" si="70"/>
        <v>6111</v>
      </c>
      <c r="C8994" s="207" t="s">
        <v>309</v>
      </c>
      <c r="D8994" s="303" t="s">
        <v>18212</v>
      </c>
      <c r="E8994" s="207" t="s">
        <v>266</v>
      </c>
      <c r="F8994" s="208" t="s">
        <v>21892</v>
      </c>
      <c r="G8994" s="160" t="s">
        <v>13552</v>
      </c>
      <c r="H8994" s="300">
        <v>13564.65</v>
      </c>
      <c r="I8994" s="209">
        <v>45488</v>
      </c>
      <c r="J8994" s="316" t="s">
        <v>21893</v>
      </c>
      <c r="K8994" s="160" t="s">
        <v>4128</v>
      </c>
      <c r="O8994" s="291"/>
      <c r="P8994" s="160" t="s">
        <v>67</v>
      </c>
      <c r="Q8994" s="160" t="s">
        <v>96</v>
      </c>
      <c r="R8994" s="160" t="s">
        <v>272</v>
      </c>
    </row>
    <row r="8995" spans="2:18" ht="69" customHeight="1">
      <c r="B8995" s="332">
        <f t="shared" si="70"/>
        <v>6112</v>
      </c>
      <c r="C8995" s="207" t="s">
        <v>458</v>
      </c>
      <c r="D8995" s="303" t="s">
        <v>21894</v>
      </c>
      <c r="E8995" s="207" t="s">
        <v>266</v>
      </c>
      <c r="F8995" s="208" t="s">
        <v>21895</v>
      </c>
      <c r="G8995" s="160" t="s">
        <v>13552</v>
      </c>
      <c r="H8995" s="300">
        <v>38702.36</v>
      </c>
      <c r="I8995" s="209">
        <v>45488</v>
      </c>
      <c r="J8995" s="316" t="s">
        <v>21896</v>
      </c>
      <c r="K8995" s="160" t="s">
        <v>4128</v>
      </c>
      <c r="O8995" s="259"/>
      <c r="P8995" s="160" t="s">
        <v>67</v>
      </c>
      <c r="Q8995" s="160" t="s">
        <v>96</v>
      </c>
      <c r="R8995" s="160" t="s">
        <v>272</v>
      </c>
    </row>
    <row r="8996" spans="2:18" ht="69" customHeight="1">
      <c r="B8996" s="332">
        <f t="shared" si="70"/>
        <v>6113</v>
      </c>
      <c r="C8996" s="207" t="s">
        <v>458</v>
      </c>
      <c r="D8996" s="303" t="s">
        <v>21897</v>
      </c>
      <c r="E8996" s="207" t="s">
        <v>266</v>
      </c>
      <c r="F8996" s="208" t="s">
        <v>21898</v>
      </c>
      <c r="G8996" s="160" t="s">
        <v>13552</v>
      </c>
      <c r="H8996" s="300">
        <v>38702.36</v>
      </c>
      <c r="I8996" s="209">
        <v>45488</v>
      </c>
      <c r="J8996" s="316" t="s">
        <v>21899</v>
      </c>
      <c r="K8996" s="160" t="s">
        <v>4128</v>
      </c>
      <c r="O8996" s="259"/>
      <c r="P8996" s="160" t="s">
        <v>67</v>
      </c>
      <c r="Q8996" s="160" t="s">
        <v>96</v>
      </c>
      <c r="R8996" s="160" t="s">
        <v>272</v>
      </c>
    </row>
    <row r="8997" spans="2:18" ht="69" customHeight="1">
      <c r="B8997" s="332">
        <f t="shared" si="70"/>
        <v>6114</v>
      </c>
      <c r="C8997" s="207" t="s">
        <v>458</v>
      </c>
      <c r="D8997" s="303" t="s">
        <v>18979</v>
      </c>
      <c r="E8997" s="207" t="s">
        <v>266</v>
      </c>
      <c r="F8997" s="208" t="s">
        <v>21900</v>
      </c>
      <c r="G8997" s="160" t="s">
        <v>13552</v>
      </c>
      <c r="H8997" s="300">
        <v>38702.36</v>
      </c>
      <c r="I8997" s="209">
        <v>45488</v>
      </c>
      <c r="J8997" s="316" t="s">
        <v>21901</v>
      </c>
      <c r="K8997" s="160" t="s">
        <v>4128</v>
      </c>
      <c r="O8997" s="259"/>
      <c r="P8997" s="160" t="s">
        <v>67</v>
      </c>
      <c r="Q8997" s="160" t="s">
        <v>96</v>
      </c>
      <c r="R8997" s="160" t="s">
        <v>272</v>
      </c>
    </row>
    <row r="8998" spans="2:18" ht="69" customHeight="1">
      <c r="B8998" s="57">
        <f t="shared" si="70"/>
        <v>6115</v>
      </c>
      <c r="C8998" s="58" t="s">
        <v>11618</v>
      </c>
      <c r="D8998" s="545" t="s">
        <v>21902</v>
      </c>
      <c r="E8998" s="58" t="s">
        <v>16737</v>
      </c>
      <c r="F8998" s="58" t="s">
        <v>21903</v>
      </c>
      <c r="G8998" s="45" t="s">
        <v>21904</v>
      </c>
      <c r="H8998" s="546">
        <v>18000</v>
      </c>
      <c r="I8998" s="126">
        <v>45488</v>
      </c>
      <c r="J8998" s="73" t="s">
        <v>21905</v>
      </c>
      <c r="K8998" s="67"/>
      <c r="O8998" s="62" t="s">
        <v>205</v>
      </c>
      <c r="P8998" s="58" t="s">
        <v>61</v>
      </c>
      <c r="Q8998" s="45" t="s">
        <v>122</v>
      </c>
      <c r="R8998" s="45" t="s">
        <v>272</v>
      </c>
    </row>
    <row r="8999" spans="2:18" ht="69" customHeight="1">
      <c r="B8999" s="57">
        <f t="shared" si="70"/>
        <v>6116</v>
      </c>
      <c r="C8999" s="58" t="s">
        <v>21590</v>
      </c>
      <c r="D8999" s="545" t="s">
        <v>18948</v>
      </c>
      <c r="E8999" s="58" t="s">
        <v>16737</v>
      </c>
      <c r="F8999" s="58" t="s">
        <v>21906</v>
      </c>
      <c r="G8999" s="45" t="s">
        <v>21907</v>
      </c>
      <c r="H8999" s="546">
        <v>71901.179999999993</v>
      </c>
      <c r="I8999" s="126">
        <v>45488</v>
      </c>
      <c r="J8999" s="73" t="s">
        <v>21905</v>
      </c>
      <c r="K8999" s="67"/>
      <c r="O8999" s="62" t="s">
        <v>205</v>
      </c>
      <c r="P8999" s="58" t="s">
        <v>61</v>
      </c>
      <c r="Q8999" s="45" t="s">
        <v>88</v>
      </c>
      <c r="R8999" s="45" t="s">
        <v>272</v>
      </c>
    </row>
    <row r="9000" spans="2:18" ht="69" customHeight="1">
      <c r="B9000" s="332">
        <f t="shared" si="70"/>
        <v>6117</v>
      </c>
      <c r="C9000" s="207" t="s">
        <v>458</v>
      </c>
      <c r="D9000" s="303" t="s">
        <v>21908</v>
      </c>
      <c r="E9000" s="207" t="s">
        <v>266</v>
      </c>
      <c r="F9000" s="208" t="s">
        <v>21909</v>
      </c>
      <c r="G9000" s="160" t="s">
        <v>13552</v>
      </c>
      <c r="H9000" s="300">
        <v>46147</v>
      </c>
      <c r="I9000" s="209">
        <v>45488</v>
      </c>
      <c r="J9000" s="316" t="s">
        <v>21910</v>
      </c>
      <c r="K9000" s="160" t="s">
        <v>4128</v>
      </c>
      <c r="O9000" s="259" t="s">
        <v>141</v>
      </c>
      <c r="P9000" s="160" t="s">
        <v>67</v>
      </c>
      <c r="Q9000" s="160" t="s">
        <v>123</v>
      </c>
      <c r="R9000" s="160" t="s">
        <v>272</v>
      </c>
    </row>
    <row r="9001" spans="2:18" ht="69" customHeight="1">
      <c r="B9001" s="332">
        <f t="shared" si="70"/>
        <v>6118</v>
      </c>
      <c r="C9001" s="207" t="s">
        <v>458</v>
      </c>
      <c r="D9001" s="303" t="s">
        <v>21911</v>
      </c>
      <c r="E9001" s="207" t="s">
        <v>266</v>
      </c>
      <c r="F9001" s="208" t="s">
        <v>21912</v>
      </c>
      <c r="G9001" s="160" t="s">
        <v>13552</v>
      </c>
      <c r="H9001" s="300">
        <v>36947</v>
      </c>
      <c r="I9001" s="209">
        <v>45488</v>
      </c>
      <c r="J9001" s="316" t="s">
        <v>21910</v>
      </c>
      <c r="K9001" s="160" t="s">
        <v>4128</v>
      </c>
      <c r="O9001" s="259" t="s">
        <v>141</v>
      </c>
      <c r="P9001" s="160" t="s">
        <v>67</v>
      </c>
      <c r="Q9001" s="160" t="s">
        <v>123</v>
      </c>
      <c r="R9001" s="160" t="s">
        <v>272</v>
      </c>
    </row>
    <row r="9002" spans="2:18" ht="69" customHeight="1">
      <c r="B9002" s="332">
        <f t="shared" si="70"/>
        <v>6119</v>
      </c>
      <c r="C9002" s="207" t="s">
        <v>458</v>
      </c>
      <c r="D9002" s="303" t="s">
        <v>21913</v>
      </c>
      <c r="E9002" s="207" t="s">
        <v>266</v>
      </c>
      <c r="F9002" s="208" t="s">
        <v>21914</v>
      </c>
      <c r="G9002" s="160" t="s">
        <v>13552</v>
      </c>
      <c r="H9002" s="300">
        <v>48664</v>
      </c>
      <c r="I9002" s="209">
        <v>45488</v>
      </c>
      <c r="J9002" s="316" t="s">
        <v>21910</v>
      </c>
      <c r="K9002" s="160" t="s">
        <v>4128</v>
      </c>
      <c r="O9002" s="259" t="s">
        <v>141</v>
      </c>
      <c r="P9002" s="160" t="s">
        <v>67</v>
      </c>
      <c r="Q9002" s="160" t="s">
        <v>123</v>
      </c>
      <c r="R9002" s="160" t="s">
        <v>272</v>
      </c>
    </row>
    <row r="9003" spans="2:18" ht="69" customHeight="1">
      <c r="B9003" s="57">
        <f t="shared" si="70"/>
        <v>6120</v>
      </c>
      <c r="C9003" s="58" t="s">
        <v>9004</v>
      </c>
      <c r="D9003" s="545" t="s">
        <v>11162</v>
      </c>
      <c r="E9003" s="58" t="s">
        <v>19223</v>
      </c>
      <c r="F9003" s="58" t="s">
        <v>21915</v>
      </c>
      <c r="G9003" s="58" t="s">
        <v>21916</v>
      </c>
      <c r="H9003" s="546">
        <v>38700</v>
      </c>
      <c r="I9003" s="126">
        <v>45488</v>
      </c>
      <c r="J9003" s="73" t="s">
        <v>21917</v>
      </c>
      <c r="K9003" s="67" t="s">
        <v>21918</v>
      </c>
      <c r="O9003" s="62" t="s">
        <v>141</v>
      </c>
      <c r="P9003" s="58" t="s">
        <v>19</v>
      </c>
      <c r="Q9003" s="45" t="s">
        <v>111</v>
      </c>
      <c r="R9003" s="45" t="s">
        <v>272</v>
      </c>
    </row>
    <row r="9004" spans="2:18" ht="69" customHeight="1">
      <c r="B9004" s="57">
        <f t="shared" si="70"/>
        <v>6121</v>
      </c>
      <c r="C9004" s="178" t="s">
        <v>10947</v>
      </c>
      <c r="D9004" s="545" t="s">
        <v>21919</v>
      </c>
      <c r="E9004" s="58" t="s">
        <v>19223</v>
      </c>
      <c r="F9004" s="58" t="s">
        <v>21920</v>
      </c>
      <c r="G9004" s="58" t="s">
        <v>21921</v>
      </c>
      <c r="H9004" s="546">
        <v>34500</v>
      </c>
      <c r="I9004" s="126">
        <v>45488</v>
      </c>
      <c r="J9004" s="73" t="s">
        <v>21922</v>
      </c>
      <c r="K9004" s="67"/>
      <c r="O9004" s="62" t="s">
        <v>141</v>
      </c>
      <c r="P9004" s="58" t="s">
        <v>19</v>
      </c>
      <c r="Q9004" s="45" t="s">
        <v>100</v>
      </c>
      <c r="R9004" s="45" t="s">
        <v>272</v>
      </c>
    </row>
    <row r="9005" spans="2:18" ht="69" customHeight="1">
      <c r="B9005" s="272">
        <f t="shared" si="70"/>
        <v>6122</v>
      </c>
      <c r="C9005" s="191" t="s">
        <v>9545</v>
      </c>
      <c r="D9005" s="251" t="s">
        <v>21923</v>
      </c>
      <c r="E9005" s="46" t="s">
        <v>19223</v>
      </c>
      <c r="F9005" s="46" t="s">
        <v>21924</v>
      </c>
      <c r="G9005" s="46" t="s">
        <v>21921</v>
      </c>
      <c r="H9005" s="534">
        <v>46920</v>
      </c>
      <c r="I9005" s="56">
        <v>45488</v>
      </c>
      <c r="J9005" s="199" t="s">
        <v>21925</v>
      </c>
      <c r="K9005" s="46" t="s">
        <v>167</v>
      </c>
      <c r="O9005" s="52" t="s">
        <v>141</v>
      </c>
      <c r="P9005" s="46" t="s">
        <v>65</v>
      </c>
      <c r="Q9005" s="46" t="s">
        <v>117</v>
      </c>
      <c r="R9005" s="46" t="s">
        <v>272</v>
      </c>
    </row>
    <row r="9006" spans="2:18" ht="69" customHeight="1">
      <c r="B9006" s="332">
        <f t="shared" si="70"/>
        <v>6123</v>
      </c>
      <c r="C9006" s="207" t="s">
        <v>309</v>
      </c>
      <c r="D9006" s="311" t="s">
        <v>18210</v>
      </c>
      <c r="E9006" s="207" t="s">
        <v>305</v>
      </c>
      <c r="F9006" s="208" t="s">
        <v>21926</v>
      </c>
      <c r="G9006" s="160" t="s">
        <v>13201</v>
      </c>
      <c r="H9006" s="300">
        <v>24518.52</v>
      </c>
      <c r="I9006" s="209">
        <v>45488</v>
      </c>
      <c r="J9006" s="316" t="s">
        <v>21927</v>
      </c>
      <c r="K9006" s="259"/>
      <c r="M9006" s="98"/>
      <c r="N9006" s="98"/>
      <c r="O9006" s="290" t="s">
        <v>15366</v>
      </c>
      <c r="P9006" s="160" t="s">
        <v>67</v>
      </c>
      <c r="Q9006" s="160" t="s">
        <v>96</v>
      </c>
      <c r="R9006" s="160" t="s">
        <v>272</v>
      </c>
    </row>
    <row r="9007" spans="2:18" ht="69" customHeight="1">
      <c r="B9007" s="332">
        <f t="shared" si="70"/>
        <v>6124</v>
      </c>
      <c r="C9007" s="160" t="s">
        <v>13665</v>
      </c>
      <c r="D9007" s="303" t="s">
        <v>647</v>
      </c>
      <c r="E9007" s="207" t="s">
        <v>266</v>
      </c>
      <c r="F9007" s="160" t="s">
        <v>21928</v>
      </c>
      <c r="G9007" s="160" t="s">
        <v>21929</v>
      </c>
      <c r="H9007" s="300">
        <v>116.15</v>
      </c>
      <c r="I9007" s="209">
        <v>45488</v>
      </c>
      <c r="J9007" s="316" t="s">
        <v>21930</v>
      </c>
      <c r="K9007" s="160" t="s">
        <v>11084</v>
      </c>
      <c r="O9007" s="259" t="s">
        <v>5969</v>
      </c>
      <c r="P9007" s="160" t="s">
        <v>67</v>
      </c>
      <c r="Q9007" s="160" t="s">
        <v>96</v>
      </c>
      <c r="R9007" s="160" t="s">
        <v>272</v>
      </c>
    </row>
    <row r="9008" spans="2:18" ht="69" customHeight="1">
      <c r="B9008" s="332">
        <f t="shared" si="70"/>
        <v>6125</v>
      </c>
      <c r="C9008" s="160" t="s">
        <v>13665</v>
      </c>
      <c r="D9008" s="303" t="s">
        <v>943</v>
      </c>
      <c r="E9008" s="207" t="s">
        <v>266</v>
      </c>
      <c r="F9008" s="160" t="s">
        <v>21931</v>
      </c>
      <c r="G9008" s="160" t="s">
        <v>21932</v>
      </c>
      <c r="H9008" s="300">
        <v>184.79</v>
      </c>
      <c r="I9008" s="209">
        <v>45488</v>
      </c>
      <c r="J9008" s="316" t="s">
        <v>21930</v>
      </c>
      <c r="K9008" s="160" t="s">
        <v>11084</v>
      </c>
      <c r="O9008" s="259" t="s">
        <v>5969</v>
      </c>
      <c r="P9008" s="160" t="s">
        <v>67</v>
      </c>
      <c r="Q9008" s="160" t="s">
        <v>96</v>
      </c>
      <c r="R9008" s="160" t="s">
        <v>272</v>
      </c>
    </row>
    <row r="9009" spans="2:18" ht="69" customHeight="1">
      <c r="B9009" s="332">
        <f t="shared" si="70"/>
        <v>6126</v>
      </c>
      <c r="C9009" s="160" t="s">
        <v>13665</v>
      </c>
      <c r="D9009" s="303" t="s">
        <v>1271</v>
      </c>
      <c r="E9009" s="207" t="s">
        <v>266</v>
      </c>
      <c r="F9009" s="160" t="s">
        <v>21933</v>
      </c>
      <c r="G9009" s="160" t="s">
        <v>21932</v>
      </c>
      <c r="H9009" s="300">
        <v>184.79</v>
      </c>
      <c r="I9009" s="209">
        <v>45488</v>
      </c>
      <c r="J9009" s="316" t="s">
        <v>21930</v>
      </c>
      <c r="K9009" s="160" t="s">
        <v>11084</v>
      </c>
      <c r="O9009" s="259" t="s">
        <v>5969</v>
      </c>
      <c r="P9009" s="160" t="s">
        <v>67</v>
      </c>
      <c r="Q9009" s="160" t="s">
        <v>96</v>
      </c>
      <c r="R9009" s="160" t="s">
        <v>272</v>
      </c>
    </row>
    <row r="9010" spans="2:18" ht="69" customHeight="1">
      <c r="B9010" s="332">
        <f t="shared" si="70"/>
        <v>6127</v>
      </c>
      <c r="C9010" s="160" t="s">
        <v>13665</v>
      </c>
      <c r="D9010" s="303" t="s">
        <v>1490</v>
      </c>
      <c r="E9010" s="207" t="s">
        <v>266</v>
      </c>
      <c r="F9010" s="160" t="s">
        <v>21934</v>
      </c>
      <c r="G9010" s="160" t="s">
        <v>21932</v>
      </c>
      <c r="H9010" s="300">
        <v>184.79</v>
      </c>
      <c r="I9010" s="209">
        <v>45488</v>
      </c>
      <c r="J9010" s="316" t="s">
        <v>21930</v>
      </c>
      <c r="K9010" s="160" t="s">
        <v>11084</v>
      </c>
      <c r="O9010" s="259" t="s">
        <v>5969</v>
      </c>
      <c r="P9010" s="160" t="s">
        <v>67</v>
      </c>
      <c r="Q9010" s="160" t="s">
        <v>96</v>
      </c>
      <c r="R9010" s="160" t="s">
        <v>272</v>
      </c>
    </row>
    <row r="9011" spans="2:18" ht="69" customHeight="1">
      <c r="B9011" s="332">
        <f t="shared" si="70"/>
        <v>6128</v>
      </c>
      <c r="C9011" s="160" t="s">
        <v>13665</v>
      </c>
      <c r="D9011" s="303" t="s">
        <v>1703</v>
      </c>
      <c r="E9011" s="207" t="s">
        <v>266</v>
      </c>
      <c r="F9011" s="160" t="s">
        <v>21935</v>
      </c>
      <c r="G9011" s="160" t="s">
        <v>21932</v>
      </c>
      <c r="H9011" s="300">
        <v>184.79</v>
      </c>
      <c r="I9011" s="209">
        <v>45488</v>
      </c>
      <c r="J9011" s="316" t="s">
        <v>21930</v>
      </c>
      <c r="K9011" s="160" t="s">
        <v>11084</v>
      </c>
      <c r="O9011" s="259" t="s">
        <v>5969</v>
      </c>
      <c r="P9011" s="160" t="s">
        <v>67</v>
      </c>
      <c r="Q9011" s="160" t="s">
        <v>96</v>
      </c>
      <c r="R9011" s="160" t="s">
        <v>272</v>
      </c>
    </row>
    <row r="9012" spans="2:18" ht="69" customHeight="1">
      <c r="B9012" s="332">
        <f t="shared" si="70"/>
        <v>6129</v>
      </c>
      <c r="C9012" s="207" t="s">
        <v>21598</v>
      </c>
      <c r="D9012" s="303" t="s">
        <v>14043</v>
      </c>
      <c r="E9012" s="207" t="s">
        <v>266</v>
      </c>
      <c r="F9012" s="160" t="s">
        <v>21936</v>
      </c>
      <c r="G9012" s="160" t="s">
        <v>21937</v>
      </c>
      <c r="H9012" s="300">
        <v>596.1</v>
      </c>
      <c r="I9012" s="209">
        <v>45488</v>
      </c>
      <c r="J9012" s="316" t="s">
        <v>21938</v>
      </c>
      <c r="K9012" s="160" t="s">
        <v>11084</v>
      </c>
      <c r="O9012" s="259" t="s">
        <v>5969</v>
      </c>
      <c r="P9012" s="160" t="s">
        <v>67</v>
      </c>
      <c r="Q9012" s="160" t="s">
        <v>96</v>
      </c>
      <c r="R9012" s="160" t="s">
        <v>272</v>
      </c>
    </row>
    <row r="9013" spans="2:18" ht="69" customHeight="1">
      <c r="B9013" s="332">
        <f t="shared" si="70"/>
        <v>6130</v>
      </c>
      <c r="C9013" s="207" t="s">
        <v>21598</v>
      </c>
      <c r="D9013" s="303" t="s">
        <v>610</v>
      </c>
      <c r="E9013" s="207" t="s">
        <v>266</v>
      </c>
      <c r="F9013" s="160" t="s">
        <v>21939</v>
      </c>
      <c r="G9013" s="160" t="s">
        <v>21937</v>
      </c>
      <c r="H9013" s="300">
        <v>596.1</v>
      </c>
      <c r="I9013" s="209">
        <v>45488</v>
      </c>
      <c r="J9013" s="316" t="s">
        <v>21938</v>
      </c>
      <c r="K9013" s="160" t="s">
        <v>11084</v>
      </c>
      <c r="O9013" s="259" t="s">
        <v>5969</v>
      </c>
      <c r="P9013" s="160" t="s">
        <v>67</v>
      </c>
      <c r="Q9013" s="160" t="s">
        <v>96</v>
      </c>
      <c r="R9013" s="160" t="s">
        <v>272</v>
      </c>
    </row>
    <row r="9014" spans="2:18" ht="69" customHeight="1">
      <c r="B9014" s="332">
        <f t="shared" si="70"/>
        <v>6131</v>
      </c>
      <c r="C9014" s="160" t="s">
        <v>19158</v>
      </c>
      <c r="D9014" s="303" t="s">
        <v>2685</v>
      </c>
      <c r="E9014" s="207" t="s">
        <v>266</v>
      </c>
      <c r="F9014" s="160" t="s">
        <v>21940</v>
      </c>
      <c r="G9014" s="160" t="s">
        <v>21941</v>
      </c>
      <c r="H9014" s="300">
        <v>184.79</v>
      </c>
      <c r="I9014" s="209">
        <v>45481</v>
      </c>
      <c r="J9014" s="316" t="s">
        <v>21942</v>
      </c>
      <c r="K9014" s="160" t="s">
        <v>11084</v>
      </c>
      <c r="O9014" s="259" t="s">
        <v>5969</v>
      </c>
      <c r="P9014" s="160" t="s">
        <v>67</v>
      </c>
      <c r="Q9014" s="160" t="s">
        <v>96</v>
      </c>
      <c r="R9014" s="160" t="s">
        <v>272</v>
      </c>
    </row>
    <row r="9015" spans="2:18" ht="69" customHeight="1">
      <c r="B9015" s="332">
        <f t="shared" si="70"/>
        <v>6132</v>
      </c>
      <c r="C9015" s="160" t="s">
        <v>19158</v>
      </c>
      <c r="D9015" s="303" t="s">
        <v>907</v>
      </c>
      <c r="E9015" s="207" t="s">
        <v>266</v>
      </c>
      <c r="F9015" s="160" t="s">
        <v>21943</v>
      </c>
      <c r="G9015" s="160" t="s">
        <v>21941</v>
      </c>
      <c r="H9015" s="300">
        <v>184.79</v>
      </c>
      <c r="I9015" s="209">
        <v>45481</v>
      </c>
      <c r="J9015" s="316" t="s">
        <v>21942</v>
      </c>
      <c r="K9015" s="160" t="s">
        <v>11084</v>
      </c>
      <c r="O9015" s="259" t="s">
        <v>5969</v>
      </c>
      <c r="P9015" s="160" t="s">
        <v>67</v>
      </c>
      <c r="Q9015" s="160" t="s">
        <v>96</v>
      </c>
      <c r="R9015" s="160" t="s">
        <v>272</v>
      </c>
    </row>
    <row r="9016" spans="2:18" ht="69" customHeight="1">
      <c r="B9016" s="272">
        <f t="shared" si="70"/>
        <v>6133</v>
      </c>
      <c r="C9016" s="191" t="s">
        <v>458</v>
      </c>
      <c r="D9016" s="251" t="s">
        <v>18984</v>
      </c>
      <c r="E9016" s="46" t="s">
        <v>19223</v>
      </c>
      <c r="F9016" s="46" t="s">
        <v>21944</v>
      </c>
      <c r="G9016" s="46" t="s">
        <v>21945</v>
      </c>
      <c r="H9016" s="534">
        <v>111840</v>
      </c>
      <c r="I9016" s="56">
        <v>45488</v>
      </c>
      <c r="J9016" s="199" t="s">
        <v>21946</v>
      </c>
      <c r="K9016" s="46"/>
      <c r="O9016" s="52" t="s">
        <v>141</v>
      </c>
      <c r="P9016" s="46" t="s">
        <v>65</v>
      </c>
      <c r="Q9016" s="46" t="s">
        <v>113</v>
      </c>
      <c r="R9016" s="46" t="s">
        <v>272</v>
      </c>
    </row>
    <row r="9017" spans="2:18" ht="69" customHeight="1">
      <c r="B9017" s="57">
        <f t="shared" si="70"/>
        <v>6134</v>
      </c>
      <c r="C9017" s="178" t="s">
        <v>9004</v>
      </c>
      <c r="D9017" s="545" t="s">
        <v>15770</v>
      </c>
      <c r="E9017" s="58" t="s">
        <v>19223</v>
      </c>
      <c r="F9017" s="58" t="s">
        <v>21947</v>
      </c>
      <c r="G9017" s="58" t="s">
        <v>21948</v>
      </c>
      <c r="H9017" s="546">
        <v>550000</v>
      </c>
      <c r="I9017" s="126">
        <v>45488</v>
      </c>
      <c r="J9017" s="73" t="s">
        <v>21949</v>
      </c>
      <c r="K9017" s="67"/>
      <c r="O9017" s="62" t="s">
        <v>141</v>
      </c>
      <c r="P9017" s="58" t="s">
        <v>19</v>
      </c>
      <c r="Q9017" s="45" t="s">
        <v>111</v>
      </c>
      <c r="R9017" s="45" t="s">
        <v>272</v>
      </c>
    </row>
    <row r="9018" spans="2:18" ht="69" customHeight="1">
      <c r="B9018" s="57">
        <f t="shared" si="70"/>
        <v>6135</v>
      </c>
      <c r="C9018" s="178" t="s">
        <v>458</v>
      </c>
      <c r="D9018" s="545" t="s">
        <v>18987</v>
      </c>
      <c r="E9018" s="58" t="s">
        <v>21950</v>
      </c>
      <c r="F9018" s="58" t="s">
        <v>21951</v>
      </c>
      <c r="G9018" s="58" t="s">
        <v>21952</v>
      </c>
      <c r="H9018" s="546">
        <v>85000</v>
      </c>
      <c r="I9018" s="126">
        <v>45488</v>
      </c>
      <c r="J9018" s="73" t="s">
        <v>21953</v>
      </c>
      <c r="K9018" s="67"/>
      <c r="O9018" s="62" t="s">
        <v>141</v>
      </c>
      <c r="P9018" s="58" t="s">
        <v>19</v>
      </c>
      <c r="Q9018" s="45" t="s">
        <v>123</v>
      </c>
      <c r="R9018" s="45" t="s">
        <v>272</v>
      </c>
    </row>
    <row r="9019" spans="2:18" ht="69" customHeight="1">
      <c r="B9019" s="57">
        <f t="shared" si="70"/>
        <v>6136</v>
      </c>
      <c r="C9019" s="178" t="s">
        <v>309</v>
      </c>
      <c r="D9019" s="545" t="s">
        <v>21245</v>
      </c>
      <c r="E9019" s="85" t="s">
        <v>16011</v>
      </c>
      <c r="F9019" s="210" t="s">
        <v>21954</v>
      </c>
      <c r="G9019" s="58" t="s">
        <v>21955</v>
      </c>
      <c r="H9019" s="546">
        <v>3862.63</v>
      </c>
      <c r="I9019" s="126">
        <v>45488</v>
      </c>
      <c r="J9019" s="73" t="s">
        <v>21956</v>
      </c>
      <c r="K9019" s="67"/>
      <c r="O9019" s="62" t="s">
        <v>150</v>
      </c>
      <c r="P9019" s="58" t="s">
        <v>51</v>
      </c>
      <c r="Q9019" s="45" t="s">
        <v>18</v>
      </c>
      <c r="R9019" s="45" t="s">
        <v>272</v>
      </c>
    </row>
    <row r="9020" spans="2:18" ht="69" customHeight="1">
      <c r="B9020" s="57">
        <f t="shared" si="70"/>
        <v>6137</v>
      </c>
      <c r="C9020" s="178" t="s">
        <v>458</v>
      </c>
      <c r="D9020" s="545" t="s">
        <v>18997</v>
      </c>
      <c r="E9020" s="85" t="s">
        <v>16011</v>
      </c>
      <c r="F9020" s="210" t="s">
        <v>21957</v>
      </c>
      <c r="G9020" s="58" t="s">
        <v>21955</v>
      </c>
      <c r="H9020" s="546">
        <v>1264</v>
      </c>
      <c r="I9020" s="126">
        <v>45498</v>
      </c>
      <c r="J9020" s="73" t="s">
        <v>21958</v>
      </c>
      <c r="K9020" s="67"/>
      <c r="O9020" s="62" t="s">
        <v>150</v>
      </c>
      <c r="P9020" s="58" t="s">
        <v>51</v>
      </c>
      <c r="Q9020" s="45" t="s">
        <v>107</v>
      </c>
      <c r="R9020" s="45" t="s">
        <v>272</v>
      </c>
    </row>
    <row r="9021" spans="2:18" ht="69" customHeight="1">
      <c r="B9021" s="57">
        <f t="shared" si="70"/>
        <v>6138</v>
      </c>
      <c r="C9021" s="44" t="s">
        <v>9004</v>
      </c>
      <c r="D9021" s="174" t="s">
        <v>11172</v>
      </c>
      <c r="E9021" s="45" t="s">
        <v>17212</v>
      </c>
      <c r="F9021" s="45" t="s">
        <v>21959</v>
      </c>
      <c r="G9021" s="45" t="s">
        <v>16034</v>
      </c>
      <c r="H9021" s="546">
        <v>182420</v>
      </c>
      <c r="I9021" s="66">
        <v>45498</v>
      </c>
      <c r="J9021" s="73" t="s">
        <v>21960</v>
      </c>
      <c r="K9021" s="45"/>
      <c r="M9021" s="70" t="s">
        <v>16399</v>
      </c>
      <c r="O9021" s="62" t="s">
        <v>16399</v>
      </c>
      <c r="P9021" s="58" t="s">
        <v>55</v>
      </c>
      <c r="Q9021" s="45" t="s">
        <v>111</v>
      </c>
      <c r="R9021" s="45" t="s">
        <v>272</v>
      </c>
    </row>
    <row r="9022" spans="2:18" ht="69" customHeight="1">
      <c r="B9022" s="57">
        <f t="shared" si="70"/>
        <v>6139</v>
      </c>
      <c r="C9022" s="58" t="s">
        <v>11933</v>
      </c>
      <c r="D9022" s="545" t="s">
        <v>19000</v>
      </c>
      <c r="E9022" s="45" t="s">
        <v>17212</v>
      </c>
      <c r="F9022" s="45" t="s">
        <v>21961</v>
      </c>
      <c r="G9022" s="45" t="s">
        <v>16034</v>
      </c>
      <c r="H9022" s="546">
        <v>225590</v>
      </c>
      <c r="I9022" s="66">
        <v>45498</v>
      </c>
      <c r="J9022" s="73" t="s">
        <v>21960</v>
      </c>
      <c r="K9022" s="45"/>
      <c r="O9022" s="62" t="s">
        <v>16399</v>
      </c>
      <c r="P9022" s="58" t="s">
        <v>55</v>
      </c>
      <c r="Q9022" s="45" t="s">
        <v>123</v>
      </c>
      <c r="R9022" s="45" t="s">
        <v>272</v>
      </c>
    </row>
    <row r="9023" spans="2:18" ht="69" customHeight="1">
      <c r="B9023" s="57">
        <f t="shared" si="70"/>
        <v>6140</v>
      </c>
      <c r="C9023" s="59" t="s">
        <v>9094</v>
      </c>
      <c r="D9023" s="545" t="s">
        <v>19016</v>
      </c>
      <c r="E9023" s="45" t="s">
        <v>17212</v>
      </c>
      <c r="F9023" s="45" t="s">
        <v>21962</v>
      </c>
      <c r="G9023" s="45" t="s">
        <v>16034</v>
      </c>
      <c r="H9023" s="546">
        <v>169195</v>
      </c>
      <c r="I9023" s="66">
        <v>45498</v>
      </c>
      <c r="J9023" s="73" t="s">
        <v>21960</v>
      </c>
      <c r="K9023" s="45"/>
      <c r="O9023" s="62" t="s">
        <v>16399</v>
      </c>
      <c r="P9023" s="58" t="s">
        <v>55</v>
      </c>
      <c r="Q9023" s="45" t="s">
        <v>112</v>
      </c>
      <c r="R9023" s="45" t="s">
        <v>272</v>
      </c>
    </row>
    <row r="9024" spans="2:18" ht="69" customHeight="1">
      <c r="B9024" s="57">
        <f t="shared" si="70"/>
        <v>6141</v>
      </c>
      <c r="C9024" s="59" t="s">
        <v>7189</v>
      </c>
      <c r="D9024" s="545" t="s">
        <v>11168</v>
      </c>
      <c r="E9024" s="45" t="s">
        <v>17212</v>
      </c>
      <c r="F9024" s="45" t="s">
        <v>21963</v>
      </c>
      <c r="G9024" s="45" t="s">
        <v>16034</v>
      </c>
      <c r="H9024" s="546">
        <v>232455</v>
      </c>
      <c r="I9024" s="66">
        <v>45498</v>
      </c>
      <c r="J9024" s="73" t="s">
        <v>21960</v>
      </c>
      <c r="K9024" s="45"/>
      <c r="O9024" s="62" t="s">
        <v>16399</v>
      </c>
      <c r="P9024" s="58" t="s">
        <v>55</v>
      </c>
      <c r="Q9024" s="45" t="s">
        <v>97</v>
      </c>
      <c r="R9024" s="45" t="s">
        <v>272</v>
      </c>
    </row>
    <row r="9025" spans="2:18" ht="69" customHeight="1">
      <c r="B9025" s="57">
        <f t="shared" si="70"/>
        <v>6142</v>
      </c>
      <c r="C9025" s="58" t="s">
        <v>21590</v>
      </c>
      <c r="D9025" s="545" t="s">
        <v>21964</v>
      </c>
      <c r="E9025" s="45" t="s">
        <v>17212</v>
      </c>
      <c r="F9025" s="45" t="s">
        <v>21965</v>
      </c>
      <c r="G9025" s="45" t="s">
        <v>16034</v>
      </c>
      <c r="H9025" s="546">
        <v>220345</v>
      </c>
      <c r="I9025" s="66">
        <v>45498</v>
      </c>
      <c r="J9025" s="73" t="s">
        <v>21960</v>
      </c>
      <c r="K9025" s="45"/>
      <c r="O9025" s="62" t="s">
        <v>16399</v>
      </c>
      <c r="P9025" s="58" t="s">
        <v>55</v>
      </c>
      <c r="Q9025" s="45" t="s">
        <v>88</v>
      </c>
      <c r="R9025" s="45" t="s">
        <v>272</v>
      </c>
    </row>
    <row r="9026" spans="2:18" ht="69" customHeight="1">
      <c r="B9026" s="1087">
        <f t="shared" si="70"/>
        <v>6143</v>
      </c>
      <c r="C9026" s="1088" t="s">
        <v>21622</v>
      </c>
      <c r="D9026" s="1089" t="s">
        <v>21966</v>
      </c>
      <c r="E9026" s="1088" t="s">
        <v>17212</v>
      </c>
      <c r="F9026" s="1088" t="s">
        <v>21967</v>
      </c>
      <c r="G9026" s="1088" t="s">
        <v>16034</v>
      </c>
      <c r="H9026" s="1090">
        <v>204510</v>
      </c>
      <c r="I9026" s="1091">
        <v>45498</v>
      </c>
      <c r="J9026" s="1092" t="s">
        <v>21960</v>
      </c>
      <c r="K9026" s="1088"/>
      <c r="O9026" s="62" t="s">
        <v>16399</v>
      </c>
      <c r="P9026" s="58" t="s">
        <v>55</v>
      </c>
      <c r="Q9026" s="45" t="s">
        <v>113</v>
      </c>
      <c r="R9026" s="45" t="s">
        <v>272</v>
      </c>
    </row>
    <row r="9027" spans="2:18" ht="69" customHeight="1">
      <c r="B9027" s="57">
        <f t="shared" si="70"/>
        <v>6144</v>
      </c>
      <c r="C9027" s="58" t="s">
        <v>11618</v>
      </c>
      <c r="D9027" s="545" t="s">
        <v>21968</v>
      </c>
      <c r="E9027" s="45" t="s">
        <v>17212</v>
      </c>
      <c r="F9027" s="45" t="s">
        <v>21969</v>
      </c>
      <c r="G9027" s="45" t="s">
        <v>16034</v>
      </c>
      <c r="H9027" s="546">
        <v>179445</v>
      </c>
      <c r="I9027" s="66">
        <v>45498</v>
      </c>
      <c r="J9027" s="73" t="s">
        <v>21960</v>
      </c>
      <c r="K9027" s="45"/>
      <c r="O9027" s="62" t="s">
        <v>16399</v>
      </c>
      <c r="P9027" s="58" t="s">
        <v>55</v>
      </c>
      <c r="Q9027" s="45" t="s">
        <v>122</v>
      </c>
      <c r="R9027" s="45" t="s">
        <v>272</v>
      </c>
    </row>
    <row r="9028" spans="2:18" ht="69" customHeight="1">
      <c r="B9028" s="272">
        <f t="shared" si="70"/>
        <v>6145</v>
      </c>
      <c r="C9028" s="191" t="s">
        <v>458</v>
      </c>
      <c r="D9028" s="251" t="s">
        <v>19003</v>
      </c>
      <c r="E9028" s="191" t="s">
        <v>266</v>
      </c>
      <c r="F9028" s="46" t="s">
        <v>21970</v>
      </c>
      <c r="G9028" s="46" t="s">
        <v>21971</v>
      </c>
      <c r="H9028" s="534">
        <v>11103.89</v>
      </c>
      <c r="I9028" s="56">
        <v>45498</v>
      </c>
      <c r="J9028" s="199" t="s">
        <v>21972</v>
      </c>
      <c r="K9028" s="46"/>
      <c r="O9028" s="46" t="s">
        <v>1171</v>
      </c>
      <c r="P9028" s="46" t="s">
        <v>71</v>
      </c>
      <c r="Q9028" s="46" t="s">
        <v>123</v>
      </c>
      <c r="R9028" s="46" t="s">
        <v>272</v>
      </c>
    </row>
    <row r="9029" spans="2:18" ht="69" customHeight="1">
      <c r="B9029" s="272">
        <f t="shared" si="70"/>
        <v>6146</v>
      </c>
      <c r="C9029" s="191" t="s">
        <v>458</v>
      </c>
      <c r="D9029" s="251" t="s">
        <v>18950</v>
      </c>
      <c r="E9029" s="191" t="s">
        <v>266</v>
      </c>
      <c r="F9029" s="46" t="s">
        <v>21973</v>
      </c>
      <c r="G9029" s="46" t="s">
        <v>21971</v>
      </c>
      <c r="H9029" s="534">
        <v>11103.89</v>
      </c>
      <c r="I9029" s="56">
        <v>45498</v>
      </c>
      <c r="J9029" s="199" t="s">
        <v>21972</v>
      </c>
      <c r="K9029" s="46"/>
      <c r="O9029" s="46" t="s">
        <v>1171</v>
      </c>
      <c r="P9029" s="46" t="s">
        <v>71</v>
      </c>
      <c r="Q9029" s="46" t="s">
        <v>122</v>
      </c>
      <c r="R9029" s="46" t="s">
        <v>272</v>
      </c>
    </row>
    <row r="9030" spans="2:18" ht="69" customHeight="1">
      <c r="B9030" s="272">
        <f t="shared" si="70"/>
        <v>6147</v>
      </c>
      <c r="C9030" s="46" t="s">
        <v>657</v>
      </c>
      <c r="D9030" s="251" t="s">
        <v>11179</v>
      </c>
      <c r="E9030" s="191" t="s">
        <v>266</v>
      </c>
      <c r="F9030" s="46" t="s">
        <v>21974</v>
      </c>
      <c r="G9030" s="46" t="s">
        <v>21975</v>
      </c>
      <c r="H9030" s="534">
        <v>22212.39</v>
      </c>
      <c r="I9030" s="56">
        <v>45498</v>
      </c>
      <c r="J9030" s="199" t="s">
        <v>21972</v>
      </c>
      <c r="K9030" s="46"/>
      <c r="O9030" s="46" t="s">
        <v>1171</v>
      </c>
      <c r="P9030" s="46" t="s">
        <v>71</v>
      </c>
      <c r="Q9030" s="46" t="s">
        <v>97</v>
      </c>
      <c r="R9030" s="46" t="s">
        <v>272</v>
      </c>
    </row>
    <row r="9031" spans="2:18" ht="69" customHeight="1">
      <c r="B9031" s="272">
        <f t="shared" si="70"/>
        <v>6148</v>
      </c>
      <c r="C9031" s="191" t="s">
        <v>458</v>
      </c>
      <c r="D9031" s="251" t="s">
        <v>18964</v>
      </c>
      <c r="E9031" s="191" t="s">
        <v>266</v>
      </c>
      <c r="F9031" s="46" t="s">
        <v>21976</v>
      </c>
      <c r="G9031" s="46" t="s">
        <v>21975</v>
      </c>
      <c r="H9031" s="534">
        <v>22958.12</v>
      </c>
      <c r="I9031" s="56">
        <v>45498</v>
      </c>
      <c r="J9031" s="199" t="s">
        <v>21972</v>
      </c>
      <c r="K9031" s="46"/>
      <c r="O9031" s="46" t="s">
        <v>1171</v>
      </c>
      <c r="P9031" s="46" t="s">
        <v>71</v>
      </c>
      <c r="Q9031" s="46" t="s">
        <v>103</v>
      </c>
      <c r="R9031" s="46" t="s">
        <v>272</v>
      </c>
    </row>
    <row r="9032" spans="2:18" ht="69" customHeight="1">
      <c r="B9032" s="272">
        <f t="shared" si="70"/>
        <v>6149</v>
      </c>
      <c r="C9032" s="191" t="s">
        <v>458</v>
      </c>
      <c r="D9032" s="251" t="s">
        <v>18968</v>
      </c>
      <c r="E9032" s="191" t="s">
        <v>266</v>
      </c>
      <c r="F9032" s="46" t="s">
        <v>21977</v>
      </c>
      <c r="G9032" s="46" t="s">
        <v>21978</v>
      </c>
      <c r="H9032" s="534">
        <v>22958.12</v>
      </c>
      <c r="I9032" s="56">
        <v>45498</v>
      </c>
      <c r="J9032" s="199" t="s">
        <v>21972</v>
      </c>
      <c r="K9032" s="46"/>
      <c r="O9032" s="46" t="s">
        <v>1171</v>
      </c>
      <c r="P9032" s="46" t="s">
        <v>71</v>
      </c>
      <c r="Q9032" s="46" t="s">
        <v>88</v>
      </c>
      <c r="R9032" s="46" t="s">
        <v>272</v>
      </c>
    </row>
    <row r="9033" spans="2:18" ht="69" customHeight="1">
      <c r="B9033" s="272">
        <f t="shared" si="70"/>
        <v>6150</v>
      </c>
      <c r="C9033" s="191" t="s">
        <v>458</v>
      </c>
      <c r="D9033" s="251" t="s">
        <v>18955</v>
      </c>
      <c r="E9033" s="191" t="s">
        <v>266</v>
      </c>
      <c r="F9033" s="46" t="s">
        <v>21979</v>
      </c>
      <c r="G9033" s="46" t="s">
        <v>21978</v>
      </c>
      <c r="H9033" s="534">
        <v>22958.12</v>
      </c>
      <c r="I9033" s="56">
        <v>45498</v>
      </c>
      <c r="J9033" s="199" t="s">
        <v>21972</v>
      </c>
      <c r="K9033" s="46"/>
      <c r="O9033" s="46" t="s">
        <v>1171</v>
      </c>
      <c r="P9033" s="46" t="s">
        <v>71</v>
      </c>
      <c r="Q9033" s="46" t="s">
        <v>123</v>
      </c>
      <c r="R9033" s="46" t="s">
        <v>272</v>
      </c>
    </row>
    <row r="9034" spans="2:18" ht="69" customHeight="1">
      <c r="B9034" s="272">
        <f t="shared" ref="B9034:B9097" si="71">B9033+1</f>
        <v>6151</v>
      </c>
      <c r="C9034" s="191" t="s">
        <v>458</v>
      </c>
      <c r="D9034" s="251" t="s">
        <v>18958</v>
      </c>
      <c r="E9034" s="191" t="s">
        <v>266</v>
      </c>
      <c r="F9034" s="46" t="s">
        <v>21980</v>
      </c>
      <c r="G9034" s="46" t="s">
        <v>21978</v>
      </c>
      <c r="H9034" s="534">
        <v>22958.12</v>
      </c>
      <c r="I9034" s="56">
        <v>45498</v>
      </c>
      <c r="J9034" s="199" t="s">
        <v>21972</v>
      </c>
      <c r="K9034" s="46"/>
      <c r="O9034" s="46" t="s">
        <v>1171</v>
      </c>
      <c r="P9034" s="46" t="s">
        <v>71</v>
      </c>
      <c r="Q9034" s="46" t="s">
        <v>122</v>
      </c>
      <c r="R9034" s="46" t="s">
        <v>272</v>
      </c>
    </row>
    <row r="9035" spans="2:18" ht="69" customHeight="1">
      <c r="B9035" s="272">
        <f t="shared" si="71"/>
        <v>6152</v>
      </c>
      <c r="C9035" s="46" t="s">
        <v>11933</v>
      </c>
      <c r="D9035" s="251" t="s">
        <v>18975</v>
      </c>
      <c r="E9035" s="191" t="s">
        <v>266</v>
      </c>
      <c r="F9035" s="46" t="s">
        <v>21981</v>
      </c>
      <c r="G9035" s="46" t="s">
        <v>21978</v>
      </c>
      <c r="H9035" s="534">
        <v>22958.12</v>
      </c>
      <c r="I9035" s="56">
        <v>45498</v>
      </c>
      <c r="J9035" s="199" t="s">
        <v>21982</v>
      </c>
      <c r="K9035" s="46"/>
      <c r="O9035" s="46" t="s">
        <v>1171</v>
      </c>
      <c r="P9035" s="46" t="s">
        <v>71</v>
      </c>
      <c r="Q9035" s="46" t="s">
        <v>123</v>
      </c>
      <c r="R9035" s="46" t="s">
        <v>272</v>
      </c>
    </row>
    <row r="9036" spans="2:18" ht="69" customHeight="1">
      <c r="B9036" s="272">
        <f t="shared" si="71"/>
        <v>6153</v>
      </c>
      <c r="C9036" s="46" t="s">
        <v>21590</v>
      </c>
      <c r="D9036" s="251" t="s">
        <v>21983</v>
      </c>
      <c r="E9036" s="191" t="s">
        <v>266</v>
      </c>
      <c r="F9036" s="46" t="s">
        <v>21984</v>
      </c>
      <c r="G9036" s="46" t="s">
        <v>21978</v>
      </c>
      <c r="H9036" s="534">
        <v>22958.12</v>
      </c>
      <c r="I9036" s="56">
        <v>45498</v>
      </c>
      <c r="J9036" s="199" t="s">
        <v>21982</v>
      </c>
      <c r="K9036" s="46"/>
      <c r="O9036" s="46" t="s">
        <v>1171</v>
      </c>
      <c r="P9036" s="46" t="s">
        <v>71</v>
      </c>
      <c r="Q9036" s="46" t="s">
        <v>88</v>
      </c>
      <c r="R9036" s="46" t="s">
        <v>272</v>
      </c>
    </row>
    <row r="9037" spans="2:18" ht="69" customHeight="1">
      <c r="B9037" s="272">
        <f t="shared" si="71"/>
        <v>6154</v>
      </c>
      <c r="C9037" s="46" t="s">
        <v>11618</v>
      </c>
      <c r="D9037" s="251" t="s">
        <v>19028</v>
      </c>
      <c r="E9037" s="191" t="s">
        <v>266</v>
      </c>
      <c r="F9037" s="46" t="s">
        <v>21985</v>
      </c>
      <c r="G9037" s="46" t="s">
        <v>21978</v>
      </c>
      <c r="H9037" s="534">
        <v>22958.12</v>
      </c>
      <c r="I9037" s="56">
        <v>45498</v>
      </c>
      <c r="J9037" s="199" t="s">
        <v>21982</v>
      </c>
      <c r="K9037" s="46"/>
      <c r="O9037" s="46" t="s">
        <v>1171</v>
      </c>
      <c r="P9037" s="46" t="s">
        <v>71</v>
      </c>
      <c r="Q9037" s="46" t="s">
        <v>122</v>
      </c>
      <c r="R9037" s="46" t="s">
        <v>272</v>
      </c>
    </row>
    <row r="9038" spans="2:18" ht="69" customHeight="1">
      <c r="B9038" s="272">
        <f t="shared" si="71"/>
        <v>6155</v>
      </c>
      <c r="C9038" s="191" t="s">
        <v>9094</v>
      </c>
      <c r="D9038" s="251" t="s">
        <v>21986</v>
      </c>
      <c r="E9038" s="191" t="s">
        <v>266</v>
      </c>
      <c r="F9038" s="46" t="s">
        <v>21987</v>
      </c>
      <c r="G9038" s="46" t="s">
        <v>21988</v>
      </c>
      <c r="H9038" s="534">
        <v>9948.51</v>
      </c>
      <c r="I9038" s="56">
        <v>45498</v>
      </c>
      <c r="J9038" s="199" t="s">
        <v>21989</v>
      </c>
      <c r="K9038" s="46"/>
      <c r="O9038" s="46" t="s">
        <v>1171</v>
      </c>
      <c r="P9038" s="46" t="s">
        <v>71</v>
      </c>
      <c r="Q9038" s="46" t="s">
        <v>112</v>
      </c>
      <c r="R9038" s="46" t="s">
        <v>272</v>
      </c>
    </row>
    <row r="9039" spans="2:18" ht="69" customHeight="1">
      <c r="B9039" s="272">
        <f t="shared" si="71"/>
        <v>6156</v>
      </c>
      <c r="C9039" s="46" t="s">
        <v>11908</v>
      </c>
      <c r="D9039" s="251" t="s">
        <v>19005</v>
      </c>
      <c r="E9039" s="191" t="s">
        <v>266</v>
      </c>
      <c r="F9039" s="46" t="s">
        <v>21990</v>
      </c>
      <c r="G9039" s="46" t="s">
        <v>21991</v>
      </c>
      <c r="H9039" s="534">
        <v>4000</v>
      </c>
      <c r="I9039" s="56">
        <v>45498</v>
      </c>
      <c r="J9039" s="199" t="s">
        <v>21992</v>
      </c>
      <c r="K9039" s="46"/>
      <c r="O9039" s="52" t="s">
        <v>20856</v>
      </c>
      <c r="P9039" s="46" t="s">
        <v>65</v>
      </c>
      <c r="Q9039" s="46" t="s">
        <v>103</v>
      </c>
      <c r="R9039" s="46" t="s">
        <v>272</v>
      </c>
    </row>
    <row r="9040" spans="2:18" ht="69" customHeight="1">
      <c r="B9040" s="272">
        <f t="shared" si="71"/>
        <v>6157</v>
      </c>
      <c r="C9040" s="46" t="s">
        <v>21622</v>
      </c>
      <c r="D9040" s="251" t="s">
        <v>21993</v>
      </c>
      <c r="E9040" s="191" t="s">
        <v>266</v>
      </c>
      <c r="F9040" s="46" t="s">
        <v>21994</v>
      </c>
      <c r="G9040" s="46" t="s">
        <v>21995</v>
      </c>
      <c r="H9040" s="534">
        <v>10000</v>
      </c>
      <c r="I9040" s="56">
        <v>45498</v>
      </c>
      <c r="J9040" s="199" t="s">
        <v>21992</v>
      </c>
      <c r="K9040" s="46"/>
      <c r="O9040" s="52" t="s">
        <v>20856</v>
      </c>
      <c r="P9040" s="46" t="s">
        <v>65</v>
      </c>
      <c r="Q9040" s="46" t="s">
        <v>113</v>
      </c>
      <c r="R9040" s="46" t="s">
        <v>272</v>
      </c>
    </row>
    <row r="9041" spans="2:18" ht="69" customHeight="1">
      <c r="B9041" s="57">
        <f t="shared" si="71"/>
        <v>6158</v>
      </c>
      <c r="C9041" s="59" t="s">
        <v>309</v>
      </c>
      <c r="D9041" s="545" t="s">
        <v>21247</v>
      </c>
      <c r="E9041" s="59" t="s">
        <v>16011</v>
      </c>
      <c r="F9041" s="58" t="s">
        <v>21996</v>
      </c>
      <c r="G9041" s="58" t="s">
        <v>21997</v>
      </c>
      <c r="H9041" s="546">
        <v>29180</v>
      </c>
      <c r="I9041" s="66">
        <v>45498</v>
      </c>
      <c r="J9041" s="73" t="s">
        <v>21998</v>
      </c>
      <c r="K9041" s="67"/>
      <c r="O9041" s="62" t="s">
        <v>150</v>
      </c>
      <c r="P9041" s="58" t="s">
        <v>51</v>
      </c>
      <c r="Q9041" s="45" t="s">
        <v>29</v>
      </c>
      <c r="R9041" s="45" t="s">
        <v>272</v>
      </c>
    </row>
    <row r="9042" spans="2:18" ht="69" customHeight="1">
      <c r="B9042" s="57">
        <f t="shared" si="71"/>
        <v>6159</v>
      </c>
      <c r="C9042" s="58" t="s">
        <v>11618</v>
      </c>
      <c r="D9042" s="545" t="s">
        <v>19007</v>
      </c>
      <c r="E9042" s="58" t="s">
        <v>21310</v>
      </c>
      <c r="F9042" s="58" t="s">
        <v>21999</v>
      </c>
      <c r="G9042" s="45" t="s">
        <v>22000</v>
      </c>
      <c r="H9042" s="546">
        <v>270088.53999999998</v>
      </c>
      <c r="I9042" s="66">
        <v>45498</v>
      </c>
      <c r="J9042" s="73" t="s">
        <v>22001</v>
      </c>
      <c r="K9042" s="58"/>
      <c r="O9042" s="62" t="s">
        <v>21304</v>
      </c>
      <c r="P9042" s="58" t="s">
        <v>77</v>
      </c>
      <c r="Q9042" s="45" t="s">
        <v>122</v>
      </c>
      <c r="R9042" s="45" t="s">
        <v>272</v>
      </c>
    </row>
    <row r="9043" spans="2:18" ht="69" customHeight="1">
      <c r="B9043" s="57">
        <f t="shared" si="71"/>
        <v>6160</v>
      </c>
      <c r="C9043" s="58" t="s">
        <v>11933</v>
      </c>
      <c r="D9043" s="545" t="s">
        <v>19009</v>
      </c>
      <c r="E9043" s="58" t="s">
        <v>21310</v>
      </c>
      <c r="F9043" s="45" t="s">
        <v>22002</v>
      </c>
      <c r="G9043" s="60" t="s">
        <v>22000</v>
      </c>
      <c r="H9043" s="546">
        <v>204144.72</v>
      </c>
      <c r="I9043" s="66">
        <v>45498</v>
      </c>
      <c r="J9043" s="163" t="s">
        <v>22003</v>
      </c>
      <c r="K9043" s="58"/>
      <c r="O9043" s="62" t="s">
        <v>21304</v>
      </c>
      <c r="P9043" s="58" t="s">
        <v>77</v>
      </c>
      <c r="Q9043" s="45" t="s">
        <v>123</v>
      </c>
      <c r="R9043" s="45" t="s">
        <v>272</v>
      </c>
    </row>
    <row r="9044" spans="2:18" ht="69" customHeight="1">
      <c r="B9044" s="160">
        <f t="shared" si="71"/>
        <v>6161</v>
      </c>
      <c r="C9044" s="160" t="s">
        <v>19158</v>
      </c>
      <c r="D9044" s="160" t="s">
        <v>1973</v>
      </c>
      <c r="E9044" s="160" t="s">
        <v>266</v>
      </c>
      <c r="F9044" s="331" t="s">
        <v>22004</v>
      </c>
      <c r="G9044" s="334" t="s">
        <v>22005</v>
      </c>
      <c r="H9044" s="300">
        <v>21210</v>
      </c>
      <c r="I9044" s="335">
        <v>45498</v>
      </c>
      <c r="J9044" s="316" t="s">
        <v>22006</v>
      </c>
      <c r="K9044" s="336" t="s">
        <v>11084</v>
      </c>
      <c r="M9044" s="103"/>
      <c r="N9044" s="103"/>
      <c r="O9044" s="292" t="s">
        <v>22007</v>
      </c>
      <c r="P9044" s="160" t="s">
        <v>67</v>
      </c>
      <c r="Q9044" s="160" t="s">
        <v>96</v>
      </c>
      <c r="R9044" s="160" t="s">
        <v>272</v>
      </c>
    </row>
    <row r="9045" spans="2:18" ht="69" customHeight="1">
      <c r="B9045" s="160">
        <f t="shared" si="71"/>
        <v>6162</v>
      </c>
      <c r="C9045" s="160" t="s">
        <v>19158</v>
      </c>
      <c r="D9045" s="160" t="s">
        <v>2435</v>
      </c>
      <c r="E9045" s="337" t="s">
        <v>266</v>
      </c>
      <c r="F9045" s="160" t="s">
        <v>22008</v>
      </c>
      <c r="G9045" s="294" t="s">
        <v>22009</v>
      </c>
      <c r="H9045" s="300">
        <v>3210</v>
      </c>
      <c r="I9045" s="209">
        <v>45498</v>
      </c>
      <c r="J9045" s="419" t="s">
        <v>22006</v>
      </c>
      <c r="K9045" s="336" t="s">
        <v>11084</v>
      </c>
      <c r="M9045" s="103"/>
      <c r="N9045" s="103"/>
      <c r="O9045" s="293" t="s">
        <v>22007</v>
      </c>
      <c r="P9045" s="160" t="s">
        <v>67</v>
      </c>
      <c r="Q9045" s="160" t="s">
        <v>96</v>
      </c>
      <c r="R9045" s="160" t="s">
        <v>272</v>
      </c>
    </row>
    <row r="9046" spans="2:18" ht="69" customHeight="1">
      <c r="B9046" s="160">
        <f t="shared" si="71"/>
        <v>6163</v>
      </c>
      <c r="C9046" s="160" t="s">
        <v>19456</v>
      </c>
      <c r="D9046" s="160" t="s">
        <v>2907</v>
      </c>
      <c r="E9046" s="160" t="s">
        <v>266</v>
      </c>
      <c r="F9046" s="336" t="s">
        <v>22010</v>
      </c>
      <c r="G9046" s="334" t="s">
        <v>22005</v>
      </c>
      <c r="H9046" s="300">
        <v>3210</v>
      </c>
      <c r="I9046" s="209">
        <v>45498</v>
      </c>
      <c r="J9046" s="316" t="s">
        <v>22006</v>
      </c>
      <c r="K9046" s="336" t="s">
        <v>11084</v>
      </c>
      <c r="M9046" s="98"/>
      <c r="N9046" s="98"/>
      <c r="O9046" s="293" t="s">
        <v>22007</v>
      </c>
      <c r="P9046" s="160" t="s">
        <v>67</v>
      </c>
      <c r="Q9046" s="160" t="s">
        <v>96</v>
      </c>
      <c r="R9046" s="160" t="s">
        <v>272</v>
      </c>
    </row>
    <row r="9047" spans="2:18" ht="69" customHeight="1">
      <c r="B9047" s="160">
        <f t="shared" si="71"/>
        <v>6164</v>
      </c>
      <c r="C9047" s="160" t="s">
        <v>19515</v>
      </c>
      <c r="D9047" s="160" t="s">
        <v>3164</v>
      </c>
      <c r="E9047" s="160" t="s">
        <v>266</v>
      </c>
      <c r="F9047" s="160" t="s">
        <v>22011</v>
      </c>
      <c r="G9047" s="334" t="s">
        <v>22005</v>
      </c>
      <c r="H9047" s="300">
        <v>3210</v>
      </c>
      <c r="I9047" s="209">
        <v>45498</v>
      </c>
      <c r="J9047" s="316" t="s">
        <v>22006</v>
      </c>
      <c r="K9047" s="336" t="s">
        <v>11084</v>
      </c>
      <c r="M9047" s="98"/>
      <c r="N9047" s="98"/>
      <c r="O9047" s="293" t="s">
        <v>22007</v>
      </c>
      <c r="P9047" s="160" t="s">
        <v>67</v>
      </c>
      <c r="Q9047" s="160" t="s">
        <v>96</v>
      </c>
      <c r="R9047" s="160" t="s">
        <v>272</v>
      </c>
    </row>
    <row r="9048" spans="2:18" ht="69" customHeight="1">
      <c r="B9048" s="160">
        <f t="shared" si="71"/>
        <v>6165</v>
      </c>
      <c r="C9048" s="160" t="s">
        <v>13665</v>
      </c>
      <c r="D9048" s="160" t="s">
        <v>1989</v>
      </c>
      <c r="E9048" s="160" t="s">
        <v>266</v>
      </c>
      <c r="F9048" s="160" t="s">
        <v>22012</v>
      </c>
      <c r="G9048" s="334" t="s">
        <v>22005</v>
      </c>
      <c r="H9048" s="300">
        <v>12840</v>
      </c>
      <c r="I9048" s="209">
        <v>45498</v>
      </c>
      <c r="J9048" s="316" t="s">
        <v>22006</v>
      </c>
      <c r="K9048" s="336" t="s">
        <v>11084</v>
      </c>
      <c r="M9048" s="98"/>
      <c r="N9048" s="98"/>
      <c r="O9048" s="293" t="s">
        <v>22007</v>
      </c>
      <c r="P9048" s="160" t="s">
        <v>67</v>
      </c>
      <c r="Q9048" s="160" t="s">
        <v>96</v>
      </c>
      <c r="R9048" s="160" t="s">
        <v>272</v>
      </c>
    </row>
    <row r="9049" spans="2:18" ht="69" customHeight="1">
      <c r="B9049" s="160">
        <f t="shared" si="71"/>
        <v>6166</v>
      </c>
      <c r="C9049" s="160" t="s">
        <v>21598</v>
      </c>
      <c r="D9049" s="160" t="s">
        <v>469</v>
      </c>
      <c r="E9049" s="160" t="s">
        <v>266</v>
      </c>
      <c r="F9049" s="160" t="s">
        <v>22013</v>
      </c>
      <c r="G9049" s="334" t="s">
        <v>22014</v>
      </c>
      <c r="H9049" s="300">
        <v>18265</v>
      </c>
      <c r="I9049" s="209">
        <v>45498</v>
      </c>
      <c r="J9049" s="316" t="s">
        <v>22006</v>
      </c>
      <c r="K9049" s="336" t="s">
        <v>11084</v>
      </c>
      <c r="M9049" s="98"/>
      <c r="N9049" s="98"/>
      <c r="O9049" s="293" t="s">
        <v>22007</v>
      </c>
      <c r="P9049" s="160" t="s">
        <v>67</v>
      </c>
      <c r="Q9049" s="160" t="s">
        <v>96</v>
      </c>
      <c r="R9049" s="160" t="s">
        <v>272</v>
      </c>
    </row>
    <row r="9050" spans="2:18" ht="69" customHeight="1">
      <c r="B9050" s="160">
        <f t="shared" si="71"/>
        <v>6167</v>
      </c>
      <c r="C9050" s="160" t="s">
        <v>21598</v>
      </c>
      <c r="D9050" s="160" t="s">
        <v>1960</v>
      </c>
      <c r="E9050" s="160" t="s">
        <v>266</v>
      </c>
      <c r="F9050" s="160" t="s">
        <v>22015</v>
      </c>
      <c r="G9050" s="334" t="s">
        <v>22016</v>
      </c>
      <c r="H9050" s="300">
        <v>18265</v>
      </c>
      <c r="I9050" s="209">
        <v>45498</v>
      </c>
      <c r="J9050" s="316" t="s">
        <v>22006</v>
      </c>
      <c r="K9050" s="336" t="s">
        <v>11084</v>
      </c>
      <c r="M9050" s="98"/>
      <c r="N9050" s="98"/>
      <c r="O9050" s="293" t="s">
        <v>22007</v>
      </c>
      <c r="P9050" s="160" t="s">
        <v>67</v>
      </c>
      <c r="Q9050" s="160" t="s">
        <v>96</v>
      </c>
      <c r="R9050" s="160" t="s">
        <v>272</v>
      </c>
    </row>
    <row r="9051" spans="2:18" ht="69" customHeight="1">
      <c r="B9051" s="160">
        <f t="shared" si="71"/>
        <v>6168</v>
      </c>
      <c r="C9051" s="160" t="s">
        <v>21598</v>
      </c>
      <c r="D9051" s="160" t="s">
        <v>1659</v>
      </c>
      <c r="E9051" s="160" t="s">
        <v>266</v>
      </c>
      <c r="F9051" s="160" t="s">
        <v>22017</v>
      </c>
      <c r="G9051" s="334" t="s">
        <v>22005</v>
      </c>
      <c r="H9051" s="300">
        <v>18265</v>
      </c>
      <c r="I9051" s="209">
        <v>45498</v>
      </c>
      <c r="J9051" s="316" t="s">
        <v>22006</v>
      </c>
      <c r="K9051" s="336" t="s">
        <v>11084</v>
      </c>
      <c r="M9051" s="98"/>
      <c r="N9051" s="98"/>
      <c r="O9051" s="293" t="s">
        <v>22007</v>
      </c>
      <c r="P9051" s="160" t="s">
        <v>67</v>
      </c>
      <c r="Q9051" s="160" t="s">
        <v>96</v>
      </c>
      <c r="R9051" s="160" t="s">
        <v>272</v>
      </c>
    </row>
    <row r="9052" spans="2:18" ht="69" customHeight="1">
      <c r="B9052" s="272">
        <f t="shared" si="71"/>
        <v>6169</v>
      </c>
      <c r="C9052" s="46" t="s">
        <v>21590</v>
      </c>
      <c r="D9052" s="251" t="s">
        <v>22018</v>
      </c>
      <c r="E9052" s="46" t="s">
        <v>266</v>
      </c>
      <c r="F9052" s="46" t="s">
        <v>22019</v>
      </c>
      <c r="G9052" s="46" t="s">
        <v>22020</v>
      </c>
      <c r="H9052" s="534">
        <v>3360</v>
      </c>
      <c r="I9052" s="56">
        <v>45498</v>
      </c>
      <c r="J9052" s="199" t="s">
        <v>22021</v>
      </c>
      <c r="K9052" s="46"/>
      <c r="M9052" s="228"/>
      <c r="N9052" s="228"/>
      <c r="O9052" s="46" t="s">
        <v>22022</v>
      </c>
      <c r="P9052" s="286" t="s">
        <v>65</v>
      </c>
      <c r="Q9052" s="286" t="s">
        <v>88</v>
      </c>
      <c r="R9052" s="46" t="s">
        <v>272</v>
      </c>
    </row>
    <row r="9053" spans="2:18" ht="69" customHeight="1">
      <c r="B9053" s="272">
        <f t="shared" si="71"/>
        <v>6170</v>
      </c>
      <c r="C9053" s="46" t="s">
        <v>18826</v>
      </c>
      <c r="D9053" s="251" t="s">
        <v>22023</v>
      </c>
      <c r="E9053" s="46" t="s">
        <v>266</v>
      </c>
      <c r="F9053" s="46" t="s">
        <v>22024</v>
      </c>
      <c r="G9053" s="46" t="s">
        <v>22025</v>
      </c>
      <c r="H9053" s="534">
        <v>20550</v>
      </c>
      <c r="I9053" s="56">
        <v>45498</v>
      </c>
      <c r="J9053" s="199" t="s">
        <v>22026</v>
      </c>
      <c r="K9053" s="46"/>
      <c r="O9053" s="266" t="s">
        <v>22027</v>
      </c>
      <c r="P9053" s="287" t="s">
        <v>65</v>
      </c>
      <c r="Q9053" s="287" t="s">
        <v>108</v>
      </c>
      <c r="R9053" s="266" t="s">
        <v>272</v>
      </c>
    </row>
    <row r="9054" spans="2:18" ht="69" customHeight="1">
      <c r="B9054" s="272">
        <f t="shared" si="71"/>
        <v>6171</v>
      </c>
      <c r="C9054" s="46" t="s">
        <v>9094</v>
      </c>
      <c r="D9054" s="251" t="s">
        <v>22028</v>
      </c>
      <c r="E9054" s="46" t="s">
        <v>266</v>
      </c>
      <c r="F9054" s="46" t="s">
        <v>22029</v>
      </c>
      <c r="G9054" s="46" t="s">
        <v>22030</v>
      </c>
      <c r="H9054" s="534">
        <v>19182.48</v>
      </c>
      <c r="I9054" s="56">
        <v>45498</v>
      </c>
      <c r="J9054" s="199" t="s">
        <v>22031</v>
      </c>
      <c r="K9054" s="46" t="s">
        <v>5103</v>
      </c>
      <c r="O9054" s="266" t="s">
        <v>22032</v>
      </c>
      <c r="P9054" s="286" t="s">
        <v>65</v>
      </c>
      <c r="Q9054" s="286" t="s">
        <v>112</v>
      </c>
      <c r="R9054" s="46" t="s">
        <v>272</v>
      </c>
    </row>
    <row r="9055" spans="2:18" ht="69" customHeight="1">
      <c r="B9055" s="57">
        <f t="shared" si="71"/>
        <v>6172</v>
      </c>
      <c r="C9055" s="58" t="s">
        <v>6693</v>
      </c>
      <c r="D9055" s="174" t="s">
        <v>22033</v>
      </c>
      <c r="E9055" s="58" t="s">
        <v>22034</v>
      </c>
      <c r="F9055" s="58" t="s">
        <v>22035</v>
      </c>
      <c r="G9055" s="58" t="s">
        <v>22036</v>
      </c>
      <c r="H9055" s="546">
        <v>22160</v>
      </c>
      <c r="I9055" s="66">
        <v>45498</v>
      </c>
      <c r="J9055" s="65" t="s">
        <v>22037</v>
      </c>
      <c r="K9055" s="58" t="s">
        <v>22038</v>
      </c>
      <c r="L9055" s="99"/>
      <c r="O9055" s="58" t="s">
        <v>210</v>
      </c>
      <c r="P9055" s="229" t="s">
        <v>81</v>
      </c>
      <c r="Q9055" s="229" t="s">
        <v>78</v>
      </c>
      <c r="R9055" s="45" t="s">
        <v>272</v>
      </c>
    </row>
    <row r="9056" spans="2:18" ht="69" customHeight="1">
      <c r="B9056" s="231">
        <f t="shared" si="71"/>
        <v>6173</v>
      </c>
      <c r="C9056" s="46" t="s">
        <v>9004</v>
      </c>
      <c r="D9056" s="251" t="s">
        <v>15990</v>
      </c>
      <c r="E9056" s="191" t="s">
        <v>266</v>
      </c>
      <c r="F9056" s="46" t="s">
        <v>22039</v>
      </c>
      <c r="G9056" s="46" t="s">
        <v>22040</v>
      </c>
      <c r="H9056" s="534">
        <v>21600</v>
      </c>
      <c r="I9056" s="56">
        <v>45498</v>
      </c>
      <c r="J9056" s="199" t="s">
        <v>22041</v>
      </c>
      <c r="K9056" s="46"/>
      <c r="O9056" s="46" t="s">
        <v>1171</v>
      </c>
      <c r="P9056" s="46" t="s">
        <v>71</v>
      </c>
      <c r="Q9056" s="52" t="s">
        <v>111</v>
      </c>
      <c r="R9056" s="46" t="s">
        <v>272</v>
      </c>
    </row>
    <row r="9057" spans="2:18" ht="69" customHeight="1">
      <c r="B9057" s="231">
        <f t="shared" si="71"/>
        <v>6174</v>
      </c>
      <c r="C9057" s="46" t="s">
        <v>657</v>
      </c>
      <c r="D9057" s="251" t="s">
        <v>15986</v>
      </c>
      <c r="E9057" s="191" t="s">
        <v>266</v>
      </c>
      <c r="F9057" s="46" t="s">
        <v>22042</v>
      </c>
      <c r="G9057" s="46" t="s">
        <v>22040</v>
      </c>
      <c r="H9057" s="534">
        <v>22212.39</v>
      </c>
      <c r="I9057" s="56">
        <v>45498</v>
      </c>
      <c r="J9057" s="199" t="s">
        <v>22041</v>
      </c>
      <c r="K9057" s="46"/>
      <c r="O9057" s="46" t="s">
        <v>1171</v>
      </c>
      <c r="P9057" s="46" t="s">
        <v>71</v>
      </c>
      <c r="Q9057" s="52" t="s">
        <v>110</v>
      </c>
      <c r="R9057" s="46" t="s">
        <v>272</v>
      </c>
    </row>
    <row r="9058" spans="2:18" ht="69" customHeight="1">
      <c r="B9058" s="231">
        <f t="shared" si="71"/>
        <v>6175</v>
      </c>
      <c r="C9058" s="46" t="s">
        <v>458</v>
      </c>
      <c r="D9058" s="251" t="s">
        <v>19011</v>
      </c>
      <c r="E9058" s="191" t="s">
        <v>266</v>
      </c>
      <c r="F9058" s="46" t="s">
        <v>22043</v>
      </c>
      <c r="G9058" s="46" t="s">
        <v>22040</v>
      </c>
      <c r="H9058" s="534">
        <v>22212.39</v>
      </c>
      <c r="I9058" s="56">
        <v>45498</v>
      </c>
      <c r="J9058" s="199" t="s">
        <v>22041</v>
      </c>
      <c r="K9058" s="46"/>
      <c r="O9058" s="46" t="s">
        <v>1171</v>
      </c>
      <c r="P9058" s="46" t="s">
        <v>71</v>
      </c>
      <c r="Q9058" s="52" t="s">
        <v>100</v>
      </c>
      <c r="R9058" s="46" t="s">
        <v>272</v>
      </c>
    </row>
    <row r="9059" spans="2:18" ht="69" customHeight="1">
      <c r="B9059" s="57">
        <f t="shared" si="71"/>
        <v>6176</v>
      </c>
      <c r="C9059" s="58" t="s">
        <v>21590</v>
      </c>
      <c r="D9059" s="174" t="s">
        <v>19262</v>
      </c>
      <c r="E9059" s="58" t="s">
        <v>266</v>
      </c>
      <c r="F9059" s="58" t="s">
        <v>22044</v>
      </c>
      <c r="G9059" s="58" t="s">
        <v>22045</v>
      </c>
      <c r="H9059" s="546">
        <v>20000</v>
      </c>
      <c r="I9059" s="66">
        <v>45498</v>
      </c>
      <c r="J9059" s="65" t="s">
        <v>22046</v>
      </c>
      <c r="K9059" s="58" t="s">
        <v>22038</v>
      </c>
      <c r="L9059" s="99"/>
      <c r="O9059" s="58" t="s">
        <v>210</v>
      </c>
      <c r="P9059" s="229" t="s">
        <v>81</v>
      </c>
      <c r="Q9059" s="229" t="s">
        <v>88</v>
      </c>
      <c r="R9059" s="45" t="s">
        <v>272</v>
      </c>
    </row>
    <row r="9060" spans="2:18" ht="69" customHeight="1">
      <c r="B9060" s="57">
        <f t="shared" si="71"/>
        <v>6177</v>
      </c>
      <c r="C9060" s="58" t="s">
        <v>11618</v>
      </c>
      <c r="D9060" s="174" t="s">
        <v>19258</v>
      </c>
      <c r="E9060" s="58" t="s">
        <v>266</v>
      </c>
      <c r="F9060" s="58" t="s">
        <v>22047</v>
      </c>
      <c r="G9060" s="58" t="s">
        <v>22045</v>
      </c>
      <c r="H9060" s="546">
        <v>7906</v>
      </c>
      <c r="I9060" s="66">
        <v>45498</v>
      </c>
      <c r="J9060" s="65" t="s">
        <v>22046</v>
      </c>
      <c r="K9060" s="58" t="s">
        <v>22038</v>
      </c>
      <c r="L9060" s="99"/>
      <c r="O9060" s="58" t="s">
        <v>210</v>
      </c>
      <c r="P9060" s="229" t="s">
        <v>81</v>
      </c>
      <c r="Q9060" s="229" t="s">
        <v>122</v>
      </c>
      <c r="R9060" s="45" t="s">
        <v>272</v>
      </c>
    </row>
    <row r="9061" spans="2:18" ht="69" customHeight="1">
      <c r="B9061" s="253">
        <f t="shared" si="71"/>
        <v>6178</v>
      </c>
      <c r="C9061" s="118" t="s">
        <v>9004</v>
      </c>
      <c r="D9061" s="255" t="s">
        <v>11201</v>
      </c>
      <c r="E9061" s="118" t="s">
        <v>19223</v>
      </c>
      <c r="F9061" s="118" t="s">
        <v>22048</v>
      </c>
      <c r="G9061" s="118" t="s">
        <v>22049</v>
      </c>
      <c r="H9061" s="300">
        <v>38700</v>
      </c>
      <c r="I9061" s="262">
        <v>45498</v>
      </c>
      <c r="J9061" s="258" t="s">
        <v>22050</v>
      </c>
      <c r="K9061" s="160" t="s">
        <v>22051</v>
      </c>
      <c r="O9061" s="261" t="s">
        <v>141</v>
      </c>
      <c r="P9061" s="118" t="s">
        <v>67</v>
      </c>
      <c r="Q9061" s="261" t="s">
        <v>111</v>
      </c>
      <c r="R9061" s="118" t="s">
        <v>272</v>
      </c>
    </row>
    <row r="9062" spans="2:18" ht="69" customHeight="1">
      <c r="B9062" s="160">
        <f t="shared" si="71"/>
        <v>6179</v>
      </c>
      <c r="C9062" s="160" t="s">
        <v>3340</v>
      </c>
      <c r="D9062" s="160" t="s">
        <v>2949</v>
      </c>
      <c r="E9062" s="160" t="s">
        <v>266</v>
      </c>
      <c r="F9062" s="160" t="s">
        <v>22052</v>
      </c>
      <c r="G9062" s="334" t="s">
        <v>15349</v>
      </c>
      <c r="H9062" s="300">
        <v>3723.53</v>
      </c>
      <c r="I9062" s="209">
        <v>45498</v>
      </c>
      <c r="J9062" s="316" t="s">
        <v>22053</v>
      </c>
      <c r="K9062" s="160" t="s">
        <v>11084</v>
      </c>
      <c r="O9062" s="160" t="s">
        <v>13735</v>
      </c>
      <c r="P9062" s="160" t="s">
        <v>67</v>
      </c>
      <c r="Q9062" s="160" t="s">
        <v>96</v>
      </c>
      <c r="R9062" s="160" t="s">
        <v>272</v>
      </c>
    </row>
    <row r="9063" spans="2:18" ht="69" customHeight="1">
      <c r="B9063" s="272">
        <f t="shared" si="71"/>
        <v>6180</v>
      </c>
      <c r="C9063" s="46" t="s">
        <v>21214</v>
      </c>
      <c r="D9063" s="251" t="s">
        <v>22054</v>
      </c>
      <c r="E9063" s="46" t="s">
        <v>266</v>
      </c>
      <c r="F9063" s="46" t="s">
        <v>22055</v>
      </c>
      <c r="G9063" s="46" t="s">
        <v>22056</v>
      </c>
      <c r="H9063" s="534">
        <v>1850</v>
      </c>
      <c r="I9063" s="56">
        <v>45498</v>
      </c>
      <c r="J9063" s="199" t="s">
        <v>22057</v>
      </c>
      <c r="K9063" s="46" t="s">
        <v>22058</v>
      </c>
      <c r="L9063" s="99"/>
      <c r="O9063" s="266" t="s">
        <v>22059</v>
      </c>
      <c r="P9063" s="46" t="s">
        <v>65</v>
      </c>
      <c r="Q9063" s="46" t="s">
        <v>93</v>
      </c>
      <c r="R9063" s="46" t="s">
        <v>272</v>
      </c>
    </row>
    <row r="9064" spans="2:18" ht="69" customHeight="1">
      <c r="B9064" s="319">
        <f t="shared" si="71"/>
        <v>6181</v>
      </c>
      <c r="C9064" s="207" t="s">
        <v>3667</v>
      </c>
      <c r="D9064" s="303" t="s">
        <v>22060</v>
      </c>
      <c r="E9064" s="207" t="s">
        <v>266</v>
      </c>
      <c r="F9064" s="208" t="s">
        <v>22061</v>
      </c>
      <c r="G9064" s="160" t="s">
        <v>10808</v>
      </c>
      <c r="H9064" s="300">
        <v>3111.68</v>
      </c>
      <c r="I9064" s="209">
        <v>45498</v>
      </c>
      <c r="J9064" s="316" t="s">
        <v>22062</v>
      </c>
      <c r="K9064" s="160"/>
      <c r="O9064" s="295" t="s">
        <v>21492</v>
      </c>
      <c r="P9064" s="160" t="s">
        <v>67</v>
      </c>
      <c r="Q9064" s="160" t="s">
        <v>96</v>
      </c>
      <c r="R9064" s="160" t="s">
        <v>272</v>
      </c>
    </row>
    <row r="9065" spans="2:18" ht="69" customHeight="1">
      <c r="B9065" s="207">
        <f t="shared" si="71"/>
        <v>6182</v>
      </c>
      <c r="C9065" s="207" t="s">
        <v>309</v>
      </c>
      <c r="D9065" s="207" t="s">
        <v>21222</v>
      </c>
      <c r="E9065" s="207" t="s">
        <v>266</v>
      </c>
      <c r="F9065" s="208" t="s">
        <v>22063</v>
      </c>
      <c r="G9065" s="160" t="s">
        <v>10808</v>
      </c>
      <c r="H9065" s="300">
        <v>2431</v>
      </c>
      <c r="I9065" s="209">
        <v>45498</v>
      </c>
      <c r="J9065" s="316" t="s">
        <v>22062</v>
      </c>
      <c r="K9065" s="160"/>
      <c r="O9065" s="295" t="s">
        <v>21492</v>
      </c>
      <c r="P9065" s="160" t="s">
        <v>67</v>
      </c>
      <c r="Q9065" s="160" t="s">
        <v>96</v>
      </c>
      <c r="R9065" s="160" t="s">
        <v>272</v>
      </c>
    </row>
    <row r="9066" spans="2:18" ht="69" customHeight="1">
      <c r="B9066" s="319">
        <f t="shared" si="71"/>
        <v>6183</v>
      </c>
      <c r="C9066" s="207" t="s">
        <v>458</v>
      </c>
      <c r="D9066" s="303" t="s">
        <v>22064</v>
      </c>
      <c r="E9066" s="207" t="s">
        <v>266</v>
      </c>
      <c r="F9066" s="208" t="s">
        <v>22065</v>
      </c>
      <c r="G9066" s="160" t="s">
        <v>10808</v>
      </c>
      <c r="H9066" s="300">
        <v>2431</v>
      </c>
      <c r="I9066" s="209">
        <v>45498</v>
      </c>
      <c r="J9066" s="316" t="s">
        <v>22062</v>
      </c>
      <c r="K9066" s="160"/>
      <c r="O9066" s="259" t="s">
        <v>21492</v>
      </c>
      <c r="P9066" s="160" t="s">
        <v>67</v>
      </c>
      <c r="Q9066" s="160" t="s">
        <v>96</v>
      </c>
      <c r="R9066" s="160" t="s">
        <v>272</v>
      </c>
    </row>
    <row r="9067" spans="2:18" ht="69" customHeight="1">
      <c r="B9067" s="319">
        <f t="shared" si="71"/>
        <v>6184</v>
      </c>
      <c r="C9067" s="207" t="s">
        <v>657</v>
      </c>
      <c r="D9067" s="303" t="s">
        <v>11252</v>
      </c>
      <c r="E9067" s="207" t="s">
        <v>266</v>
      </c>
      <c r="F9067" s="208" t="s">
        <v>22066</v>
      </c>
      <c r="G9067" s="160" t="s">
        <v>10808</v>
      </c>
      <c r="H9067" s="300">
        <v>1750.32</v>
      </c>
      <c r="I9067" s="209">
        <v>45498</v>
      </c>
      <c r="J9067" s="316" t="s">
        <v>22062</v>
      </c>
      <c r="K9067" s="160"/>
      <c r="O9067" s="259" t="s">
        <v>21492</v>
      </c>
      <c r="P9067" s="160" t="s">
        <v>67</v>
      </c>
      <c r="Q9067" s="160" t="s">
        <v>96</v>
      </c>
      <c r="R9067" s="160" t="s">
        <v>272</v>
      </c>
    </row>
    <row r="9068" spans="2:18" ht="69" customHeight="1">
      <c r="B9068" s="46">
        <f t="shared" si="71"/>
        <v>6185</v>
      </c>
      <c r="C9068" s="46" t="s">
        <v>9545</v>
      </c>
      <c r="D9068" s="251" t="s">
        <v>22067</v>
      </c>
      <c r="E9068" s="46" t="s">
        <v>266</v>
      </c>
      <c r="F9068" s="46" t="s">
        <v>22068</v>
      </c>
      <c r="G9068" s="46" t="s">
        <v>22069</v>
      </c>
      <c r="H9068" s="534">
        <v>550</v>
      </c>
      <c r="I9068" s="56">
        <v>45498</v>
      </c>
      <c r="J9068" s="283" t="s">
        <v>22070</v>
      </c>
      <c r="K9068" s="46" t="s">
        <v>22058</v>
      </c>
      <c r="L9068" s="99"/>
      <c r="O9068" s="46" t="s">
        <v>22071</v>
      </c>
      <c r="P9068" s="46" t="s">
        <v>65</v>
      </c>
      <c r="Q9068" s="286" t="s">
        <v>117</v>
      </c>
      <c r="R9068" s="46" t="s">
        <v>272</v>
      </c>
    </row>
    <row r="9069" spans="2:18" ht="69" customHeight="1">
      <c r="B9069" s="319">
        <f t="shared" si="71"/>
        <v>6186</v>
      </c>
      <c r="C9069" s="160" t="s">
        <v>13665</v>
      </c>
      <c r="D9069" s="303" t="s">
        <v>2225</v>
      </c>
      <c r="E9069" s="160" t="s">
        <v>266</v>
      </c>
      <c r="F9069" s="208" t="s">
        <v>22072</v>
      </c>
      <c r="G9069" s="160" t="s">
        <v>22073</v>
      </c>
      <c r="H9069" s="300">
        <v>1583.91</v>
      </c>
      <c r="I9069" s="209">
        <v>45485</v>
      </c>
      <c r="J9069" s="316" t="s">
        <v>22074</v>
      </c>
      <c r="K9069" s="336" t="s">
        <v>11084</v>
      </c>
      <c r="O9069" s="259" t="s">
        <v>5969</v>
      </c>
      <c r="P9069" s="160" t="s">
        <v>67</v>
      </c>
      <c r="Q9069" s="160" t="s">
        <v>96</v>
      </c>
      <c r="R9069" s="160" t="s">
        <v>272</v>
      </c>
    </row>
    <row r="9070" spans="2:18" ht="69" customHeight="1">
      <c r="B9070" s="319">
        <f t="shared" si="71"/>
        <v>6187</v>
      </c>
      <c r="C9070" s="160" t="s">
        <v>13665</v>
      </c>
      <c r="D9070" s="303" t="s">
        <v>7839</v>
      </c>
      <c r="E9070" s="338" t="s">
        <v>266</v>
      </c>
      <c r="F9070" s="208" t="s">
        <v>22075</v>
      </c>
      <c r="G9070" s="289" t="s">
        <v>22076</v>
      </c>
      <c r="H9070" s="300">
        <v>55964.82</v>
      </c>
      <c r="I9070" s="209">
        <v>45485</v>
      </c>
      <c r="J9070" s="316" t="s">
        <v>22074</v>
      </c>
      <c r="K9070" s="336" t="s">
        <v>11084</v>
      </c>
      <c r="O9070" s="259" t="s">
        <v>5969</v>
      </c>
      <c r="P9070" s="160" t="s">
        <v>67</v>
      </c>
      <c r="Q9070" s="160" t="s">
        <v>96</v>
      </c>
      <c r="R9070" s="160" t="s">
        <v>272</v>
      </c>
    </row>
    <row r="9071" spans="2:18" ht="69" customHeight="1">
      <c r="B9071" s="319">
        <f t="shared" si="71"/>
        <v>6188</v>
      </c>
      <c r="C9071" s="160" t="s">
        <v>13665</v>
      </c>
      <c r="D9071" s="303" t="s">
        <v>2451</v>
      </c>
      <c r="E9071" s="160" t="s">
        <v>266</v>
      </c>
      <c r="F9071" s="208" t="s">
        <v>22077</v>
      </c>
      <c r="G9071" s="336" t="s">
        <v>22078</v>
      </c>
      <c r="H9071" s="300">
        <v>5059.01</v>
      </c>
      <c r="I9071" s="209">
        <v>45485</v>
      </c>
      <c r="J9071" s="316" t="s">
        <v>22074</v>
      </c>
      <c r="K9071" s="336" t="s">
        <v>11084</v>
      </c>
      <c r="O9071" s="259" t="s">
        <v>5969</v>
      </c>
      <c r="P9071" s="160" t="s">
        <v>67</v>
      </c>
      <c r="Q9071" s="160" t="s">
        <v>96</v>
      </c>
      <c r="R9071" s="160" t="s">
        <v>272</v>
      </c>
    </row>
    <row r="9072" spans="2:18" ht="69" customHeight="1">
      <c r="B9072" s="231">
        <f t="shared" si="71"/>
        <v>6189</v>
      </c>
      <c r="C9072" s="191" t="s">
        <v>9545</v>
      </c>
      <c r="D9072" s="251" t="s">
        <v>22079</v>
      </c>
      <c r="E9072" s="46" t="s">
        <v>266</v>
      </c>
      <c r="F9072" s="46" t="s">
        <v>22080</v>
      </c>
      <c r="G9072" s="46" t="s">
        <v>22040</v>
      </c>
      <c r="H9072" s="534">
        <v>22211.07</v>
      </c>
      <c r="I9072" s="56">
        <v>45498</v>
      </c>
      <c r="J9072" s="199" t="s">
        <v>22081</v>
      </c>
      <c r="K9072" s="46"/>
      <c r="O9072" s="46" t="s">
        <v>1171</v>
      </c>
      <c r="P9072" s="46" t="s">
        <v>71</v>
      </c>
      <c r="Q9072" s="52" t="s">
        <v>117</v>
      </c>
      <c r="R9072" s="46" t="s">
        <v>272</v>
      </c>
    </row>
    <row r="9073" spans="2:18" ht="69" customHeight="1">
      <c r="B9073" s="231">
        <f t="shared" si="71"/>
        <v>6190</v>
      </c>
      <c r="C9073" s="191" t="s">
        <v>5658</v>
      </c>
      <c r="D9073" s="251" t="s">
        <v>22082</v>
      </c>
      <c r="E9073" s="46" t="s">
        <v>266</v>
      </c>
      <c r="F9073" s="46" t="s">
        <v>22083</v>
      </c>
      <c r="G9073" s="46" t="s">
        <v>22040</v>
      </c>
      <c r="H9073" s="534">
        <v>22211.07</v>
      </c>
      <c r="I9073" s="56">
        <v>45498</v>
      </c>
      <c r="J9073" s="199" t="s">
        <v>22084</v>
      </c>
      <c r="K9073" s="46"/>
      <c r="O9073" s="46" t="s">
        <v>1171</v>
      </c>
      <c r="P9073" s="46" t="s">
        <v>71</v>
      </c>
      <c r="Q9073" s="52" t="s">
        <v>66</v>
      </c>
      <c r="R9073" s="46" t="s">
        <v>272</v>
      </c>
    </row>
    <row r="9074" spans="2:18" ht="69" customHeight="1">
      <c r="B9074" s="231">
        <f t="shared" si="71"/>
        <v>6191</v>
      </c>
      <c r="C9074" s="46" t="s">
        <v>21628</v>
      </c>
      <c r="D9074" s="251" t="s">
        <v>22085</v>
      </c>
      <c r="E9074" s="46" t="s">
        <v>266</v>
      </c>
      <c r="F9074" s="46" t="s">
        <v>22086</v>
      </c>
      <c r="G9074" s="46" t="s">
        <v>22040</v>
      </c>
      <c r="H9074" s="534">
        <v>11346</v>
      </c>
      <c r="I9074" s="56">
        <v>45498</v>
      </c>
      <c r="J9074" s="199" t="s">
        <v>22087</v>
      </c>
      <c r="K9074" s="46"/>
      <c r="O9074" s="46" t="s">
        <v>1171</v>
      </c>
      <c r="P9074" s="46" t="s">
        <v>71</v>
      </c>
      <c r="Q9074" s="52" t="s">
        <v>93</v>
      </c>
      <c r="R9074" s="46" t="s">
        <v>272</v>
      </c>
    </row>
    <row r="9075" spans="2:18" ht="69" customHeight="1">
      <c r="B9075" s="231">
        <f t="shared" si="71"/>
        <v>6192</v>
      </c>
      <c r="C9075" s="191" t="s">
        <v>450</v>
      </c>
      <c r="D9075" s="251" t="s">
        <v>18274</v>
      </c>
      <c r="E9075" s="46" t="s">
        <v>266</v>
      </c>
      <c r="F9075" s="46" t="s">
        <v>22088</v>
      </c>
      <c r="G9075" s="46" t="s">
        <v>22089</v>
      </c>
      <c r="H9075" s="534">
        <v>21000</v>
      </c>
      <c r="I9075" s="56">
        <v>45498</v>
      </c>
      <c r="J9075" s="199" t="s">
        <v>22090</v>
      </c>
      <c r="K9075" s="46"/>
      <c r="O9075" s="46" t="s">
        <v>1171</v>
      </c>
      <c r="P9075" s="46" t="s">
        <v>71</v>
      </c>
      <c r="Q9075" s="52" t="s">
        <v>13</v>
      </c>
      <c r="R9075" s="46" t="s">
        <v>272</v>
      </c>
    </row>
    <row r="9076" spans="2:18" ht="69" customHeight="1">
      <c r="B9076" s="231">
        <f t="shared" si="71"/>
        <v>6193</v>
      </c>
      <c r="C9076" s="191" t="s">
        <v>450</v>
      </c>
      <c r="D9076" s="251" t="s">
        <v>21336</v>
      </c>
      <c r="E9076" s="46" t="s">
        <v>266</v>
      </c>
      <c r="F9076" s="46" t="s">
        <v>22091</v>
      </c>
      <c r="G9076" s="46" t="s">
        <v>22089</v>
      </c>
      <c r="H9076" s="534">
        <v>10500</v>
      </c>
      <c r="I9076" s="56">
        <v>45498</v>
      </c>
      <c r="J9076" s="199" t="s">
        <v>22090</v>
      </c>
      <c r="K9076" s="46"/>
      <c r="O9076" s="46" t="s">
        <v>1171</v>
      </c>
      <c r="P9076" s="46" t="s">
        <v>71</v>
      </c>
      <c r="Q9076" s="52" t="s">
        <v>13</v>
      </c>
      <c r="R9076" s="46" t="s">
        <v>272</v>
      </c>
    </row>
    <row r="9077" spans="2:18" ht="69" customHeight="1">
      <c r="B9077" s="231">
        <f t="shared" si="71"/>
        <v>6194</v>
      </c>
      <c r="C9077" s="191" t="s">
        <v>581</v>
      </c>
      <c r="D9077" s="251" t="s">
        <v>17756</v>
      </c>
      <c r="E9077" s="46" t="s">
        <v>266</v>
      </c>
      <c r="F9077" s="46" t="s">
        <v>22092</v>
      </c>
      <c r="G9077" s="46" t="s">
        <v>22089</v>
      </c>
      <c r="H9077" s="534">
        <v>6540</v>
      </c>
      <c r="I9077" s="56">
        <v>45498</v>
      </c>
      <c r="J9077" s="199" t="s">
        <v>22093</v>
      </c>
      <c r="K9077" s="46"/>
      <c r="O9077" s="46" t="s">
        <v>1171</v>
      </c>
      <c r="P9077" s="46" t="s">
        <v>71</v>
      </c>
      <c r="Q9077" s="52" t="s">
        <v>18</v>
      </c>
      <c r="R9077" s="46" t="s">
        <v>272</v>
      </c>
    </row>
    <row r="9078" spans="2:18" ht="69" customHeight="1">
      <c r="B9078" s="231">
        <f t="shared" si="71"/>
        <v>6195</v>
      </c>
      <c r="C9078" s="191" t="s">
        <v>458</v>
      </c>
      <c r="D9078" s="251" t="s">
        <v>22094</v>
      </c>
      <c r="E9078" s="46" t="s">
        <v>266</v>
      </c>
      <c r="F9078" s="46" t="s">
        <v>22095</v>
      </c>
      <c r="G9078" s="46" t="s">
        <v>22096</v>
      </c>
      <c r="H9078" s="534">
        <v>11103.89</v>
      </c>
      <c r="I9078" s="56">
        <v>45498</v>
      </c>
      <c r="J9078" s="199" t="s">
        <v>22097</v>
      </c>
      <c r="K9078" s="46"/>
      <c r="O9078" s="46" t="s">
        <v>1171</v>
      </c>
      <c r="P9078" s="46" t="s">
        <v>71</v>
      </c>
      <c r="Q9078" s="52" t="s">
        <v>123</v>
      </c>
      <c r="R9078" s="46" t="s">
        <v>272</v>
      </c>
    </row>
    <row r="9079" spans="2:18" ht="69" customHeight="1">
      <c r="B9079" s="231">
        <f t="shared" si="71"/>
        <v>6196</v>
      </c>
      <c r="C9079" s="191" t="s">
        <v>458</v>
      </c>
      <c r="D9079" s="251" t="s">
        <v>22098</v>
      </c>
      <c r="E9079" s="46" t="s">
        <v>266</v>
      </c>
      <c r="F9079" s="46" t="s">
        <v>22099</v>
      </c>
      <c r="G9079" s="46" t="s">
        <v>22096</v>
      </c>
      <c r="H9079" s="534">
        <v>22958.12</v>
      </c>
      <c r="I9079" s="56">
        <v>45498</v>
      </c>
      <c r="J9079" s="199" t="s">
        <v>22097</v>
      </c>
      <c r="K9079" s="46"/>
      <c r="O9079" s="46" t="s">
        <v>1171</v>
      </c>
      <c r="P9079" s="46" t="s">
        <v>71</v>
      </c>
      <c r="Q9079" s="52" t="s">
        <v>103</v>
      </c>
      <c r="R9079" s="46" t="s">
        <v>272</v>
      </c>
    </row>
    <row r="9080" spans="2:18" ht="69" customHeight="1">
      <c r="B9080" s="231">
        <f t="shared" si="71"/>
        <v>6197</v>
      </c>
      <c r="C9080" s="46" t="s">
        <v>657</v>
      </c>
      <c r="D9080" s="251" t="s">
        <v>15736</v>
      </c>
      <c r="E9080" s="46" t="s">
        <v>266</v>
      </c>
      <c r="F9080" s="46" t="s">
        <v>22100</v>
      </c>
      <c r="G9080" s="46" t="s">
        <v>22096</v>
      </c>
      <c r="H9080" s="534">
        <v>20000</v>
      </c>
      <c r="I9080" s="56">
        <v>45498</v>
      </c>
      <c r="J9080" s="199" t="s">
        <v>22097</v>
      </c>
      <c r="K9080" s="46"/>
      <c r="O9080" s="46" t="s">
        <v>1171</v>
      </c>
      <c r="P9080" s="46" t="s">
        <v>71</v>
      </c>
      <c r="Q9080" s="52" t="s">
        <v>104</v>
      </c>
      <c r="R9080" s="46" t="s">
        <v>272</v>
      </c>
    </row>
    <row r="9081" spans="2:18" ht="69" customHeight="1">
      <c r="B9081" s="231">
        <f t="shared" si="71"/>
        <v>6198</v>
      </c>
      <c r="C9081" s="191" t="s">
        <v>458</v>
      </c>
      <c r="D9081" s="251" t="s">
        <v>22101</v>
      </c>
      <c r="E9081" s="46" t="s">
        <v>266</v>
      </c>
      <c r="F9081" s="46" t="s">
        <v>22102</v>
      </c>
      <c r="G9081" s="46" t="s">
        <v>22096</v>
      </c>
      <c r="H9081" s="534">
        <v>11103.89</v>
      </c>
      <c r="I9081" s="56">
        <v>45498</v>
      </c>
      <c r="J9081" s="199" t="s">
        <v>22097</v>
      </c>
      <c r="K9081" s="46"/>
      <c r="O9081" s="46" t="s">
        <v>1171</v>
      </c>
      <c r="P9081" s="46" t="s">
        <v>71</v>
      </c>
      <c r="Q9081" s="52" t="s">
        <v>122</v>
      </c>
      <c r="R9081" s="46" t="s">
        <v>272</v>
      </c>
    </row>
    <row r="9082" spans="2:18" ht="69" customHeight="1">
      <c r="B9082" s="231">
        <f t="shared" si="71"/>
        <v>6199</v>
      </c>
      <c r="C9082" s="191" t="s">
        <v>9215</v>
      </c>
      <c r="D9082" s="251" t="s">
        <v>19186</v>
      </c>
      <c r="E9082" s="46" t="s">
        <v>266</v>
      </c>
      <c r="F9082" s="46" t="s">
        <v>22103</v>
      </c>
      <c r="G9082" s="46" t="s">
        <v>22096</v>
      </c>
      <c r="H9082" s="534">
        <v>21527.72</v>
      </c>
      <c r="I9082" s="56">
        <v>45498</v>
      </c>
      <c r="J9082" s="199" t="s">
        <v>22097</v>
      </c>
      <c r="K9082" s="46"/>
      <c r="O9082" s="46" t="s">
        <v>1171</v>
      </c>
      <c r="P9082" s="46" t="s">
        <v>71</v>
      </c>
      <c r="Q9082" s="52" t="s">
        <v>113</v>
      </c>
      <c r="R9082" s="46" t="s">
        <v>272</v>
      </c>
    </row>
    <row r="9083" spans="2:18" ht="69" customHeight="1">
      <c r="B9083" s="79">
        <f t="shared" si="71"/>
        <v>6200</v>
      </c>
      <c r="C9083" s="178" t="s">
        <v>657</v>
      </c>
      <c r="D9083" s="174" t="s">
        <v>11288</v>
      </c>
      <c r="E9083" s="178" t="s">
        <v>16011</v>
      </c>
      <c r="F9083" s="58" t="s">
        <v>22104</v>
      </c>
      <c r="G9083" s="58" t="s">
        <v>22105</v>
      </c>
      <c r="H9083" s="546">
        <v>3862.63</v>
      </c>
      <c r="I9083" s="66">
        <v>45509</v>
      </c>
      <c r="J9083" s="65" t="s">
        <v>22106</v>
      </c>
      <c r="K9083" s="67"/>
      <c r="O9083" s="62" t="s">
        <v>3551</v>
      </c>
      <c r="P9083" s="58" t="s">
        <v>51</v>
      </c>
      <c r="Q9083" s="62" t="s">
        <v>104</v>
      </c>
      <c r="R9083" s="45" t="s">
        <v>265</v>
      </c>
    </row>
    <row r="9084" spans="2:18" ht="69" customHeight="1">
      <c r="B9084" s="79">
        <f t="shared" si="71"/>
        <v>6201</v>
      </c>
      <c r="C9084" s="178" t="s">
        <v>309</v>
      </c>
      <c r="D9084" s="174" t="s">
        <v>22107</v>
      </c>
      <c r="E9084" s="178" t="s">
        <v>16011</v>
      </c>
      <c r="F9084" s="58" t="s">
        <v>22108</v>
      </c>
      <c r="G9084" s="58" t="s">
        <v>22109</v>
      </c>
      <c r="H9084" s="546">
        <v>12000</v>
      </c>
      <c r="I9084" s="66">
        <v>45509</v>
      </c>
      <c r="J9084" s="65" t="s">
        <v>22110</v>
      </c>
      <c r="K9084" s="67"/>
      <c r="O9084" s="62" t="s">
        <v>3551</v>
      </c>
      <c r="P9084" s="58" t="s">
        <v>51</v>
      </c>
      <c r="Q9084" s="62" t="s">
        <v>31</v>
      </c>
      <c r="R9084" s="45" t="s">
        <v>272</v>
      </c>
    </row>
    <row r="9085" spans="2:18" ht="69" customHeight="1">
      <c r="B9085" s="79">
        <f t="shared" si="71"/>
        <v>6202</v>
      </c>
      <c r="C9085" s="178" t="s">
        <v>309</v>
      </c>
      <c r="D9085" s="174" t="s">
        <v>22111</v>
      </c>
      <c r="E9085" s="178" t="s">
        <v>16011</v>
      </c>
      <c r="F9085" s="58" t="s">
        <v>22112</v>
      </c>
      <c r="G9085" s="58" t="s">
        <v>22109</v>
      </c>
      <c r="H9085" s="546">
        <v>12000</v>
      </c>
      <c r="I9085" s="66">
        <v>45509</v>
      </c>
      <c r="J9085" s="65" t="s">
        <v>22110</v>
      </c>
      <c r="K9085" s="67"/>
      <c r="O9085" s="62" t="s">
        <v>3551</v>
      </c>
      <c r="P9085" s="58" t="s">
        <v>51</v>
      </c>
      <c r="Q9085" s="62" t="s">
        <v>27</v>
      </c>
      <c r="R9085" s="45" t="s">
        <v>272</v>
      </c>
    </row>
    <row r="9086" spans="2:18" ht="69" customHeight="1">
      <c r="B9086" s="79">
        <f t="shared" si="71"/>
        <v>6203</v>
      </c>
      <c r="C9086" s="178" t="s">
        <v>309</v>
      </c>
      <c r="D9086" s="174" t="s">
        <v>22113</v>
      </c>
      <c r="E9086" s="178" t="s">
        <v>16011</v>
      </c>
      <c r="F9086" s="58" t="s">
        <v>22114</v>
      </c>
      <c r="G9086" s="58" t="s">
        <v>22115</v>
      </c>
      <c r="H9086" s="546">
        <v>2000</v>
      </c>
      <c r="I9086" s="66">
        <v>45509</v>
      </c>
      <c r="J9086" s="65" t="s">
        <v>22110</v>
      </c>
      <c r="K9086" s="67"/>
      <c r="O9086" s="62" t="s">
        <v>3551</v>
      </c>
      <c r="P9086" s="58" t="s">
        <v>51</v>
      </c>
      <c r="Q9086" s="62" t="s">
        <v>31</v>
      </c>
      <c r="R9086" s="45" t="s">
        <v>272</v>
      </c>
    </row>
    <row r="9087" spans="2:18" ht="69" customHeight="1">
      <c r="B9087" s="79">
        <f t="shared" si="71"/>
        <v>6204</v>
      </c>
      <c r="C9087" s="178" t="s">
        <v>309</v>
      </c>
      <c r="D9087" s="174" t="s">
        <v>22116</v>
      </c>
      <c r="E9087" s="178" t="s">
        <v>16011</v>
      </c>
      <c r="F9087" s="58" t="s">
        <v>22117</v>
      </c>
      <c r="G9087" s="58" t="s">
        <v>22115</v>
      </c>
      <c r="H9087" s="546">
        <v>2000</v>
      </c>
      <c r="I9087" s="66">
        <v>45509</v>
      </c>
      <c r="J9087" s="65" t="s">
        <v>22110</v>
      </c>
      <c r="K9087" s="67"/>
      <c r="O9087" s="62" t="s">
        <v>3551</v>
      </c>
      <c r="P9087" s="58" t="s">
        <v>51</v>
      </c>
      <c r="Q9087" s="62" t="s">
        <v>27</v>
      </c>
      <c r="R9087" s="45" t="s">
        <v>272</v>
      </c>
    </row>
    <row r="9088" spans="2:18" ht="69" customHeight="1">
      <c r="B9088" s="79">
        <f t="shared" si="71"/>
        <v>6205</v>
      </c>
      <c r="C9088" s="59" t="s">
        <v>3667</v>
      </c>
      <c r="D9088" s="174" t="s">
        <v>22118</v>
      </c>
      <c r="E9088" s="178" t="s">
        <v>16011</v>
      </c>
      <c r="F9088" s="58" t="s">
        <v>22119</v>
      </c>
      <c r="G9088" s="58" t="s">
        <v>22115</v>
      </c>
      <c r="H9088" s="546">
        <v>2000</v>
      </c>
      <c r="I9088" s="66">
        <v>45509</v>
      </c>
      <c r="J9088" s="65" t="s">
        <v>22110</v>
      </c>
      <c r="K9088" s="67"/>
      <c r="O9088" s="62" t="s">
        <v>3551</v>
      </c>
      <c r="P9088" s="58" t="s">
        <v>51</v>
      </c>
      <c r="Q9088" s="62" t="s">
        <v>47</v>
      </c>
      <c r="R9088" s="45" t="s">
        <v>272</v>
      </c>
    </row>
    <row r="9089" spans="2:18" ht="69" customHeight="1">
      <c r="B9089" s="79">
        <f t="shared" si="71"/>
        <v>6206</v>
      </c>
      <c r="C9089" s="59" t="s">
        <v>3667</v>
      </c>
      <c r="D9089" s="174" t="s">
        <v>22120</v>
      </c>
      <c r="E9089" s="178" t="s">
        <v>16011</v>
      </c>
      <c r="F9089" s="58" t="s">
        <v>22121</v>
      </c>
      <c r="G9089" s="63" t="s">
        <v>22115</v>
      </c>
      <c r="H9089" s="546">
        <v>2000</v>
      </c>
      <c r="I9089" s="66">
        <v>45509</v>
      </c>
      <c r="J9089" s="65" t="s">
        <v>22110</v>
      </c>
      <c r="K9089" s="67"/>
      <c r="O9089" s="62" t="s">
        <v>3551</v>
      </c>
      <c r="P9089" s="58" t="s">
        <v>51</v>
      </c>
      <c r="Q9089" s="62" t="s">
        <v>52</v>
      </c>
      <c r="R9089" s="45" t="s">
        <v>272</v>
      </c>
    </row>
    <row r="9090" spans="2:18" ht="69" customHeight="1">
      <c r="B9090" s="79">
        <f t="shared" si="71"/>
        <v>6207</v>
      </c>
      <c r="C9090" s="59" t="s">
        <v>3667</v>
      </c>
      <c r="D9090" s="174" t="s">
        <v>22122</v>
      </c>
      <c r="E9090" s="178" t="s">
        <v>16011</v>
      </c>
      <c r="F9090" s="58" t="s">
        <v>22123</v>
      </c>
      <c r="G9090" s="58" t="s">
        <v>22109</v>
      </c>
      <c r="H9090" s="546">
        <v>12000</v>
      </c>
      <c r="I9090" s="66">
        <v>45509</v>
      </c>
      <c r="J9090" s="65" t="s">
        <v>22110</v>
      </c>
      <c r="K9090" s="67"/>
      <c r="O9090" s="62" t="s">
        <v>3551</v>
      </c>
      <c r="P9090" s="58" t="s">
        <v>51</v>
      </c>
      <c r="Q9090" s="62" t="s">
        <v>47</v>
      </c>
      <c r="R9090" s="45" t="s">
        <v>272</v>
      </c>
    </row>
    <row r="9091" spans="2:18" ht="69" customHeight="1">
      <c r="B9091" s="79">
        <f t="shared" si="71"/>
        <v>6208</v>
      </c>
      <c r="C9091" s="59" t="s">
        <v>3667</v>
      </c>
      <c r="D9091" s="174" t="s">
        <v>22124</v>
      </c>
      <c r="E9091" s="178" t="s">
        <v>16011</v>
      </c>
      <c r="F9091" s="58" t="s">
        <v>22125</v>
      </c>
      <c r="G9091" s="58" t="s">
        <v>22109</v>
      </c>
      <c r="H9091" s="546">
        <v>12000</v>
      </c>
      <c r="I9091" s="66">
        <v>45509</v>
      </c>
      <c r="J9091" s="65" t="s">
        <v>22110</v>
      </c>
      <c r="K9091" s="67"/>
      <c r="O9091" s="62" t="s">
        <v>3551</v>
      </c>
      <c r="P9091" s="58" t="s">
        <v>51</v>
      </c>
      <c r="Q9091" s="62" t="s">
        <v>52</v>
      </c>
      <c r="R9091" s="45" t="s">
        <v>272</v>
      </c>
    </row>
    <row r="9092" spans="2:18" ht="69" customHeight="1">
      <c r="B9092" s="319">
        <f t="shared" si="71"/>
        <v>6209</v>
      </c>
      <c r="C9092" s="261"/>
      <c r="D9092" s="255"/>
      <c r="E9092" s="256" t="s">
        <v>16011</v>
      </c>
      <c r="F9092" s="118" t="s">
        <v>22126</v>
      </c>
      <c r="G9092" s="118" t="s">
        <v>22109</v>
      </c>
      <c r="H9092" s="300">
        <v>12000</v>
      </c>
      <c r="I9092" s="262">
        <v>45509</v>
      </c>
      <c r="J9092" s="258" t="s">
        <v>22110</v>
      </c>
      <c r="K9092" s="160" t="s">
        <v>22127</v>
      </c>
      <c r="O9092" s="261" t="s">
        <v>3551</v>
      </c>
      <c r="P9092" s="118" t="s">
        <v>67</v>
      </c>
      <c r="Q9092" s="261" t="s">
        <v>107</v>
      </c>
      <c r="R9092" s="118" t="s">
        <v>272</v>
      </c>
    </row>
    <row r="9093" spans="2:18" ht="69" customHeight="1">
      <c r="B9093" s="319">
        <f t="shared" si="71"/>
        <v>6210</v>
      </c>
      <c r="C9093" s="261"/>
      <c r="D9093" s="255"/>
      <c r="E9093" s="256" t="s">
        <v>16011</v>
      </c>
      <c r="F9093" s="118" t="s">
        <v>22128</v>
      </c>
      <c r="G9093" s="118" t="s">
        <v>22109</v>
      </c>
      <c r="H9093" s="300">
        <v>2000</v>
      </c>
      <c r="I9093" s="262">
        <v>45509</v>
      </c>
      <c r="J9093" s="258" t="s">
        <v>22110</v>
      </c>
      <c r="K9093" s="160" t="s">
        <v>22129</v>
      </c>
      <c r="O9093" s="261" t="s">
        <v>3551</v>
      </c>
      <c r="P9093" s="118" t="s">
        <v>67</v>
      </c>
      <c r="Q9093" s="261" t="s">
        <v>107</v>
      </c>
      <c r="R9093" s="118" t="s">
        <v>272</v>
      </c>
    </row>
    <row r="9094" spans="2:18" ht="69" customHeight="1">
      <c r="B9094" s="79">
        <f t="shared" si="71"/>
        <v>6211</v>
      </c>
      <c r="C9094" s="178" t="s">
        <v>458</v>
      </c>
      <c r="D9094" s="174" t="s">
        <v>19267</v>
      </c>
      <c r="E9094" s="178" t="s">
        <v>16011</v>
      </c>
      <c r="F9094" s="58" t="s">
        <v>22130</v>
      </c>
      <c r="G9094" s="58" t="s">
        <v>22109</v>
      </c>
      <c r="H9094" s="546">
        <v>12000</v>
      </c>
      <c r="I9094" s="66">
        <v>45509</v>
      </c>
      <c r="J9094" s="65" t="s">
        <v>22110</v>
      </c>
      <c r="K9094" s="67" t="s">
        <v>22131</v>
      </c>
      <c r="O9094" s="62" t="s">
        <v>3551</v>
      </c>
      <c r="P9094" s="58" t="s">
        <v>51</v>
      </c>
      <c r="Q9094" s="62" t="s">
        <v>107</v>
      </c>
      <c r="R9094" s="45" t="s">
        <v>272</v>
      </c>
    </row>
    <row r="9095" spans="2:18" ht="69" customHeight="1">
      <c r="B9095" s="79">
        <f t="shared" si="71"/>
        <v>6212</v>
      </c>
      <c r="C9095" s="178" t="s">
        <v>458</v>
      </c>
      <c r="D9095" s="174" t="s">
        <v>19286</v>
      </c>
      <c r="E9095" s="178" t="s">
        <v>16011</v>
      </c>
      <c r="F9095" s="58" t="s">
        <v>22132</v>
      </c>
      <c r="G9095" s="58" t="s">
        <v>22109</v>
      </c>
      <c r="H9095" s="546">
        <v>2000</v>
      </c>
      <c r="I9095" s="66">
        <v>45509</v>
      </c>
      <c r="J9095" s="65" t="s">
        <v>22110</v>
      </c>
      <c r="K9095" s="67" t="s">
        <v>22133</v>
      </c>
      <c r="O9095" s="62" t="s">
        <v>3551</v>
      </c>
      <c r="P9095" s="58" t="s">
        <v>51</v>
      </c>
      <c r="Q9095" s="62" t="s">
        <v>107</v>
      </c>
      <c r="R9095" s="45" t="s">
        <v>272</v>
      </c>
    </row>
    <row r="9096" spans="2:18" ht="69" customHeight="1">
      <c r="B9096" s="319">
        <f t="shared" si="71"/>
        <v>6213</v>
      </c>
      <c r="C9096" s="207" t="s">
        <v>21598</v>
      </c>
      <c r="D9096" s="303" t="s">
        <v>2900</v>
      </c>
      <c r="E9096" s="207" t="s">
        <v>266</v>
      </c>
      <c r="F9096" s="160" t="s">
        <v>22134</v>
      </c>
      <c r="G9096" s="160" t="s">
        <v>22135</v>
      </c>
      <c r="H9096" s="300">
        <v>324.27999999999997</v>
      </c>
      <c r="I9096" s="209">
        <v>45509</v>
      </c>
      <c r="J9096" s="316" t="s">
        <v>22136</v>
      </c>
      <c r="K9096" s="336" t="s">
        <v>11084</v>
      </c>
      <c r="O9096" s="160" t="s">
        <v>22137</v>
      </c>
      <c r="P9096" s="160" t="s">
        <v>67</v>
      </c>
      <c r="Q9096" s="160" t="s">
        <v>96</v>
      </c>
      <c r="R9096" s="160" t="s">
        <v>272</v>
      </c>
    </row>
    <row r="9097" spans="2:18" ht="69" customHeight="1">
      <c r="B9097" s="319">
        <f>B9096+1</f>
        <v>6214</v>
      </c>
      <c r="C9097" s="118" t="s">
        <v>13435</v>
      </c>
      <c r="D9097" s="255" t="s">
        <v>22138</v>
      </c>
      <c r="E9097" s="256" t="s">
        <v>22139</v>
      </c>
      <c r="F9097" s="118" t="s">
        <v>22140</v>
      </c>
      <c r="G9097" s="118" t="s">
        <v>22141</v>
      </c>
      <c r="H9097" s="300">
        <v>362229.73</v>
      </c>
      <c r="I9097" s="262">
        <v>45509</v>
      </c>
      <c r="J9097" s="258" t="s">
        <v>22142</v>
      </c>
      <c r="K9097" s="160" t="s">
        <v>22143</v>
      </c>
      <c r="M9097" s="234"/>
      <c r="N9097" s="234"/>
      <c r="O9097" s="259" t="s">
        <v>14160</v>
      </c>
      <c r="P9097" s="160" t="s">
        <v>67</v>
      </c>
      <c r="Q9097" s="259" t="s">
        <v>13</v>
      </c>
      <c r="R9097" s="160" t="s">
        <v>272</v>
      </c>
    </row>
    <row r="9098" spans="2:18" ht="69" customHeight="1">
      <c r="B9098" s="319">
        <f t="shared" ref="B9098:B9161" si="72">B9097+1</f>
        <v>6215</v>
      </c>
      <c r="C9098" s="118" t="s">
        <v>13435</v>
      </c>
      <c r="D9098" s="255" t="s">
        <v>22144</v>
      </c>
      <c r="E9098" s="256" t="s">
        <v>22139</v>
      </c>
      <c r="F9098" s="118" t="s">
        <v>22145</v>
      </c>
      <c r="G9098" s="118" t="s">
        <v>22146</v>
      </c>
      <c r="H9098" s="300">
        <v>13704.55</v>
      </c>
      <c r="I9098" s="262">
        <v>45509</v>
      </c>
      <c r="J9098" s="258" t="s">
        <v>22142</v>
      </c>
      <c r="K9098" s="160" t="s">
        <v>22143</v>
      </c>
      <c r="M9098" s="234"/>
      <c r="N9098" s="234"/>
      <c r="O9098" s="259" t="s">
        <v>14160</v>
      </c>
      <c r="P9098" s="160" t="s">
        <v>67</v>
      </c>
      <c r="Q9098" s="259" t="s">
        <v>13</v>
      </c>
      <c r="R9098" s="160" t="s">
        <v>272</v>
      </c>
    </row>
    <row r="9099" spans="2:18" ht="69" customHeight="1">
      <c r="B9099" s="319">
        <f t="shared" si="72"/>
        <v>6216</v>
      </c>
      <c r="C9099" s="118" t="s">
        <v>13435</v>
      </c>
      <c r="D9099" s="255" t="s">
        <v>22147</v>
      </c>
      <c r="E9099" s="256" t="s">
        <v>22139</v>
      </c>
      <c r="F9099" s="118" t="s">
        <v>22148</v>
      </c>
      <c r="G9099" s="118" t="s">
        <v>22149</v>
      </c>
      <c r="H9099" s="300">
        <v>13704.55</v>
      </c>
      <c r="I9099" s="262">
        <v>45509</v>
      </c>
      <c r="J9099" s="258"/>
      <c r="K9099" s="160" t="s">
        <v>22143</v>
      </c>
      <c r="M9099" s="234"/>
      <c r="N9099" s="234"/>
      <c r="O9099" s="259" t="s">
        <v>14160</v>
      </c>
      <c r="P9099" s="160" t="s">
        <v>67</v>
      </c>
      <c r="Q9099" s="259" t="s">
        <v>18</v>
      </c>
      <c r="R9099" s="160" t="s">
        <v>272</v>
      </c>
    </row>
    <row r="9100" spans="2:18" ht="69" customHeight="1">
      <c r="B9100" s="79">
        <f t="shared" si="72"/>
        <v>6217</v>
      </c>
      <c r="C9100" s="59" t="s">
        <v>458</v>
      </c>
      <c r="D9100" s="84" t="s">
        <v>22150</v>
      </c>
      <c r="E9100" s="59" t="s">
        <v>22151</v>
      </c>
      <c r="F9100" s="45" t="s">
        <v>22152</v>
      </c>
      <c r="G9100" s="45" t="s">
        <v>22153</v>
      </c>
      <c r="H9100" s="546">
        <v>10033.790000000001</v>
      </c>
      <c r="I9100" s="47">
        <v>45509</v>
      </c>
      <c r="J9100" s="65" t="s">
        <v>22154</v>
      </c>
      <c r="K9100" s="58"/>
      <c r="O9100" s="62" t="s">
        <v>8228</v>
      </c>
      <c r="P9100" s="58" t="s">
        <v>59</v>
      </c>
      <c r="Q9100" s="62" t="s">
        <v>107</v>
      </c>
      <c r="R9100" s="45" t="s">
        <v>272</v>
      </c>
    </row>
    <row r="9101" spans="2:18" ht="69" customHeight="1">
      <c r="B9101" s="232">
        <f t="shared" si="72"/>
        <v>6218</v>
      </c>
      <c r="C9101" s="59" t="s">
        <v>458</v>
      </c>
      <c r="D9101" s="84" t="s">
        <v>19292</v>
      </c>
      <c r="E9101" s="59" t="s">
        <v>22151</v>
      </c>
      <c r="F9101" s="61" t="s">
        <v>22155</v>
      </c>
      <c r="G9101" s="45" t="s">
        <v>22156</v>
      </c>
      <c r="H9101" s="546">
        <v>40135.17</v>
      </c>
      <c r="I9101" s="47">
        <v>45509</v>
      </c>
      <c r="J9101" s="65" t="s">
        <v>22154</v>
      </c>
      <c r="K9101" s="67"/>
      <c r="O9101" s="62" t="s">
        <v>8228</v>
      </c>
      <c r="P9101" s="58" t="s">
        <v>59</v>
      </c>
      <c r="Q9101" s="62" t="s">
        <v>107</v>
      </c>
      <c r="R9101" s="45" t="s">
        <v>272</v>
      </c>
    </row>
    <row r="9102" spans="2:18" ht="69" customHeight="1">
      <c r="B9102" s="236">
        <f t="shared" si="72"/>
        <v>6219</v>
      </c>
      <c r="C9102" s="59" t="s">
        <v>657</v>
      </c>
      <c r="D9102" s="84" t="s">
        <v>11302</v>
      </c>
      <c r="E9102" s="59" t="s">
        <v>22151</v>
      </c>
      <c r="F9102" s="45" t="s">
        <v>22157</v>
      </c>
      <c r="G9102" s="45" t="s">
        <v>22153</v>
      </c>
      <c r="H9102" s="546">
        <v>58117.01</v>
      </c>
      <c r="I9102" s="47">
        <v>45509</v>
      </c>
      <c r="J9102" s="65" t="s">
        <v>22154</v>
      </c>
      <c r="K9102" s="67"/>
      <c r="O9102" s="62" t="s">
        <v>8228</v>
      </c>
      <c r="P9102" s="58" t="s">
        <v>59</v>
      </c>
      <c r="Q9102" s="62" t="s">
        <v>104</v>
      </c>
      <c r="R9102" s="45" t="s">
        <v>272</v>
      </c>
    </row>
    <row r="9103" spans="2:18" ht="69" customHeight="1">
      <c r="B9103" s="79">
        <f t="shared" si="72"/>
        <v>6220</v>
      </c>
      <c r="C9103" s="59" t="s">
        <v>657</v>
      </c>
      <c r="D9103" s="84" t="s">
        <v>11307</v>
      </c>
      <c r="E9103" s="59" t="s">
        <v>22151</v>
      </c>
      <c r="F9103" s="45" t="s">
        <v>22158</v>
      </c>
      <c r="G9103" s="45" t="s">
        <v>22156</v>
      </c>
      <c r="H9103" s="546">
        <v>232468.05</v>
      </c>
      <c r="I9103" s="47">
        <v>45509</v>
      </c>
      <c r="J9103" s="65" t="s">
        <v>22154</v>
      </c>
      <c r="K9103" s="58"/>
      <c r="O9103" s="62" t="s">
        <v>8228</v>
      </c>
      <c r="P9103" s="58" t="s">
        <v>59</v>
      </c>
      <c r="Q9103" s="62" t="s">
        <v>104</v>
      </c>
      <c r="R9103" s="45" t="s">
        <v>272</v>
      </c>
    </row>
    <row r="9104" spans="2:18" ht="69" customHeight="1">
      <c r="B9104" s="79">
        <f t="shared" si="72"/>
        <v>6221</v>
      </c>
      <c r="C9104" s="59" t="s">
        <v>458</v>
      </c>
      <c r="D9104" s="84" t="s">
        <v>19296</v>
      </c>
      <c r="E9104" s="59" t="s">
        <v>22151</v>
      </c>
      <c r="F9104" s="45" t="s">
        <v>22159</v>
      </c>
      <c r="G9104" s="45" t="s">
        <v>22153</v>
      </c>
      <c r="H9104" s="546">
        <v>15843</v>
      </c>
      <c r="I9104" s="47">
        <v>45509</v>
      </c>
      <c r="J9104" s="65" t="s">
        <v>22154</v>
      </c>
      <c r="K9104" s="67"/>
      <c r="O9104" s="62" t="s">
        <v>8228</v>
      </c>
      <c r="P9104" s="58" t="s">
        <v>59</v>
      </c>
      <c r="Q9104" s="62" t="s">
        <v>103</v>
      </c>
      <c r="R9104" s="45" t="s">
        <v>272</v>
      </c>
    </row>
    <row r="9105" spans="1:18" ht="69" customHeight="1">
      <c r="B9105" s="79">
        <f t="shared" si="72"/>
        <v>6222</v>
      </c>
      <c r="C9105" s="59" t="s">
        <v>458</v>
      </c>
      <c r="D9105" s="84" t="s">
        <v>22160</v>
      </c>
      <c r="E9105" s="59" t="s">
        <v>22151</v>
      </c>
      <c r="F9105" s="45" t="s">
        <v>22161</v>
      </c>
      <c r="G9105" s="45" t="s">
        <v>22156</v>
      </c>
      <c r="H9105" s="546">
        <v>63372</v>
      </c>
      <c r="I9105" s="47">
        <v>45509</v>
      </c>
      <c r="J9105" s="65" t="s">
        <v>22154</v>
      </c>
      <c r="K9105" s="67"/>
      <c r="O9105" s="62" t="s">
        <v>8228</v>
      </c>
      <c r="P9105" s="58" t="s">
        <v>59</v>
      </c>
      <c r="Q9105" s="62" t="s">
        <v>103</v>
      </c>
      <c r="R9105" s="45" t="s">
        <v>272</v>
      </c>
    </row>
    <row r="9106" spans="1:18" ht="69" customHeight="1">
      <c r="B9106" s="79">
        <f t="shared" si="72"/>
        <v>6223</v>
      </c>
      <c r="C9106" s="59" t="s">
        <v>9215</v>
      </c>
      <c r="D9106" s="84" t="s">
        <v>19299</v>
      </c>
      <c r="E9106" s="59" t="s">
        <v>22151</v>
      </c>
      <c r="F9106" s="45" t="s">
        <v>22162</v>
      </c>
      <c r="G9106" s="45" t="s">
        <v>22153</v>
      </c>
      <c r="H9106" s="546">
        <v>39997.760000000002</v>
      </c>
      <c r="I9106" s="47">
        <v>45509</v>
      </c>
      <c r="J9106" s="65" t="s">
        <v>22154</v>
      </c>
      <c r="K9106" s="67"/>
      <c r="O9106" s="62" t="s">
        <v>8228</v>
      </c>
      <c r="P9106" s="58" t="s">
        <v>59</v>
      </c>
      <c r="Q9106" s="62" t="s">
        <v>113</v>
      </c>
      <c r="R9106" s="45" t="s">
        <v>272</v>
      </c>
    </row>
    <row r="9107" spans="1:18" ht="69" customHeight="1">
      <c r="B9107" s="79">
        <f t="shared" si="72"/>
        <v>6224</v>
      </c>
      <c r="C9107" s="59" t="s">
        <v>9215</v>
      </c>
      <c r="D9107" s="84" t="s">
        <v>22163</v>
      </c>
      <c r="E9107" s="59" t="s">
        <v>22151</v>
      </c>
      <c r="F9107" s="45" t="s">
        <v>22164</v>
      </c>
      <c r="G9107" s="45" t="s">
        <v>22156</v>
      </c>
      <c r="H9107" s="546">
        <v>159991.06</v>
      </c>
      <c r="I9107" s="47">
        <v>45509</v>
      </c>
      <c r="J9107" s="65" t="s">
        <v>22154</v>
      </c>
      <c r="K9107" s="67"/>
      <c r="O9107" s="62" t="s">
        <v>8228</v>
      </c>
      <c r="P9107" s="58" t="s">
        <v>59</v>
      </c>
      <c r="Q9107" s="62" t="s">
        <v>113</v>
      </c>
      <c r="R9107" s="45" t="s">
        <v>272</v>
      </c>
    </row>
    <row r="9108" spans="1:18" s="98" customFormat="1" ht="69" customHeight="1">
      <c r="A9108" s="169"/>
      <c r="B9108" s="239">
        <f t="shared" si="72"/>
        <v>6225</v>
      </c>
      <c r="C9108" s="59" t="s">
        <v>458</v>
      </c>
      <c r="D9108" s="84" t="s">
        <v>19318</v>
      </c>
      <c r="E9108" s="59" t="s">
        <v>22165</v>
      </c>
      <c r="F9108" s="45" t="s">
        <v>22166</v>
      </c>
      <c r="G9108" s="45" t="s">
        <v>22167</v>
      </c>
      <c r="H9108" s="546">
        <v>35582.519999999997</v>
      </c>
      <c r="I9108" s="47">
        <v>45509</v>
      </c>
      <c r="J9108" s="73" t="s">
        <v>22168</v>
      </c>
      <c r="K9108" s="45"/>
      <c r="O9108" s="45" t="s">
        <v>1061</v>
      </c>
      <c r="P9108" s="45" t="s">
        <v>36</v>
      </c>
      <c r="Q9108" s="45" t="s">
        <v>90</v>
      </c>
      <c r="R9108" s="45" t="s">
        <v>272</v>
      </c>
    </row>
    <row r="9109" spans="1:18" s="98" customFormat="1" ht="69" customHeight="1">
      <c r="A9109" s="169"/>
      <c r="B9109" s="239">
        <f t="shared" si="72"/>
        <v>6226</v>
      </c>
      <c r="C9109" s="59" t="s">
        <v>309</v>
      </c>
      <c r="D9109" s="84" t="s">
        <v>18422</v>
      </c>
      <c r="E9109" s="59" t="s">
        <v>22169</v>
      </c>
      <c r="F9109" s="45" t="s">
        <v>22170</v>
      </c>
      <c r="G9109" s="45" t="s">
        <v>22171</v>
      </c>
      <c r="H9109" s="546">
        <v>35582.519999999997</v>
      </c>
      <c r="I9109" s="47">
        <v>45509</v>
      </c>
      <c r="J9109" s="73" t="s">
        <v>22168</v>
      </c>
      <c r="K9109" s="45"/>
      <c r="O9109" s="45" t="s">
        <v>1061</v>
      </c>
      <c r="P9109" s="45" t="s">
        <v>36</v>
      </c>
      <c r="Q9109" s="45" t="s">
        <v>15</v>
      </c>
      <c r="R9109" s="45" t="s">
        <v>272</v>
      </c>
    </row>
    <row r="9110" spans="1:18" s="98" customFormat="1" ht="69" customHeight="1">
      <c r="A9110" s="169"/>
      <c r="B9110" s="239">
        <f t="shared" si="72"/>
        <v>6227</v>
      </c>
      <c r="C9110" s="59" t="s">
        <v>3667</v>
      </c>
      <c r="D9110" s="84" t="s">
        <v>22172</v>
      </c>
      <c r="E9110" s="59" t="s">
        <v>22173</v>
      </c>
      <c r="F9110" s="45" t="s">
        <v>22174</v>
      </c>
      <c r="G9110" s="45" t="s">
        <v>22171</v>
      </c>
      <c r="H9110" s="546">
        <v>45545.62</v>
      </c>
      <c r="I9110" s="47">
        <v>45509</v>
      </c>
      <c r="J9110" s="73" t="s">
        <v>22168</v>
      </c>
      <c r="K9110" s="45"/>
      <c r="O9110" s="45" t="s">
        <v>1061</v>
      </c>
      <c r="P9110" s="45" t="s">
        <v>36</v>
      </c>
      <c r="Q9110" s="45" t="s">
        <v>49</v>
      </c>
      <c r="R9110" s="45" t="s">
        <v>272</v>
      </c>
    </row>
    <row r="9111" spans="1:18" s="98" customFormat="1" ht="69" customHeight="1">
      <c r="A9111" s="169"/>
      <c r="B9111" s="239">
        <f t="shared" si="72"/>
        <v>6228</v>
      </c>
      <c r="C9111" s="59" t="s">
        <v>657</v>
      </c>
      <c r="D9111" s="84" t="s">
        <v>15869</v>
      </c>
      <c r="E9111" s="59" t="s">
        <v>22175</v>
      </c>
      <c r="F9111" s="45" t="s">
        <v>22176</v>
      </c>
      <c r="G9111" s="45" t="s">
        <v>22171</v>
      </c>
      <c r="H9111" s="546">
        <v>25619.41</v>
      </c>
      <c r="I9111" s="47">
        <v>45509</v>
      </c>
      <c r="J9111" s="73" t="s">
        <v>22168</v>
      </c>
      <c r="K9111" s="60"/>
      <c r="O9111" s="45" t="s">
        <v>1061</v>
      </c>
      <c r="P9111" s="45" t="s">
        <v>36</v>
      </c>
      <c r="Q9111" s="45" t="s">
        <v>99</v>
      </c>
      <c r="R9111" s="45" t="s">
        <v>272</v>
      </c>
    </row>
    <row r="9112" spans="1:18" ht="69" customHeight="1">
      <c r="B9112" s="232">
        <f t="shared" si="72"/>
        <v>6229</v>
      </c>
      <c r="C9112" s="178" t="s">
        <v>10937</v>
      </c>
      <c r="D9112" s="174" t="s">
        <v>11311</v>
      </c>
      <c r="E9112" s="178" t="s">
        <v>22177</v>
      </c>
      <c r="F9112" s="58" t="s">
        <v>22178</v>
      </c>
      <c r="G9112" s="58" t="s">
        <v>22179</v>
      </c>
      <c r="H9112" s="552">
        <v>12000</v>
      </c>
      <c r="I9112" s="66">
        <v>45509</v>
      </c>
      <c r="J9112" s="65" t="s">
        <v>22180</v>
      </c>
      <c r="K9112" s="58"/>
      <c r="O9112" s="62" t="s">
        <v>6918</v>
      </c>
      <c r="P9112" s="58" t="s">
        <v>44</v>
      </c>
      <c r="Q9112" s="62" t="s">
        <v>104</v>
      </c>
      <c r="R9112" s="58" t="s">
        <v>272</v>
      </c>
    </row>
    <row r="9113" spans="1:18" ht="69" customHeight="1">
      <c r="B9113" s="254">
        <f t="shared" si="72"/>
        <v>6230</v>
      </c>
      <c r="C9113" s="254" t="s">
        <v>2447</v>
      </c>
      <c r="D9113" s="118"/>
      <c r="E9113" s="118" t="s">
        <v>266</v>
      </c>
      <c r="F9113" s="118" t="s">
        <v>22181</v>
      </c>
      <c r="G9113" s="118" t="s">
        <v>22182</v>
      </c>
      <c r="H9113" s="300">
        <v>10532.14</v>
      </c>
      <c r="I9113" s="309">
        <v>45509</v>
      </c>
      <c r="J9113" s="320" t="s">
        <v>22183</v>
      </c>
      <c r="K9113" s="160" t="s">
        <v>19952</v>
      </c>
      <c r="O9113" s="160" t="s">
        <v>22184</v>
      </c>
      <c r="P9113" s="160" t="s">
        <v>67</v>
      </c>
      <c r="Q9113" s="160" t="s">
        <v>96</v>
      </c>
      <c r="R9113" s="160" t="s">
        <v>272</v>
      </c>
    </row>
    <row r="9114" spans="1:18" ht="69" customHeight="1">
      <c r="B9114" s="273">
        <f t="shared" si="72"/>
        <v>6231</v>
      </c>
      <c r="C9114" s="191" t="s">
        <v>13562</v>
      </c>
      <c r="D9114" s="251" t="s">
        <v>19402</v>
      </c>
      <c r="E9114" s="46" t="s">
        <v>266</v>
      </c>
      <c r="F9114" s="46" t="s">
        <v>22185</v>
      </c>
      <c r="G9114" s="46" t="s">
        <v>22186</v>
      </c>
      <c r="H9114" s="534">
        <v>22315</v>
      </c>
      <c r="I9114" s="274">
        <v>45509</v>
      </c>
      <c r="J9114" s="275" t="s">
        <v>22187</v>
      </c>
      <c r="K9114" s="276" t="s">
        <v>22188</v>
      </c>
      <c r="O9114" s="46" t="s">
        <v>22189</v>
      </c>
      <c r="P9114" s="46" t="s">
        <v>65</v>
      </c>
      <c r="Q9114" s="52" t="s">
        <v>88</v>
      </c>
      <c r="R9114" s="46" t="s">
        <v>272</v>
      </c>
    </row>
    <row r="9115" spans="1:18" ht="69" customHeight="1">
      <c r="B9115" s="277">
        <f t="shared" si="72"/>
        <v>6232</v>
      </c>
      <c r="C9115" s="191" t="s">
        <v>13562</v>
      </c>
      <c r="D9115" s="251" t="s">
        <v>22190</v>
      </c>
      <c r="E9115" s="46" t="s">
        <v>266</v>
      </c>
      <c r="F9115" s="46" t="s">
        <v>22191</v>
      </c>
      <c r="G9115" s="46" t="s">
        <v>22192</v>
      </c>
      <c r="H9115" s="534">
        <v>14735</v>
      </c>
      <c r="I9115" s="274">
        <v>45509</v>
      </c>
      <c r="J9115" s="275" t="s">
        <v>22187</v>
      </c>
      <c r="K9115" s="46" t="s">
        <v>22188</v>
      </c>
      <c r="O9115" s="46" t="s">
        <v>22189</v>
      </c>
      <c r="P9115" s="46" t="s">
        <v>65</v>
      </c>
      <c r="Q9115" s="52" t="s">
        <v>88</v>
      </c>
      <c r="R9115" s="46" t="s">
        <v>272</v>
      </c>
    </row>
    <row r="9116" spans="1:18" ht="69" customHeight="1">
      <c r="B9116" s="259">
        <f t="shared" si="72"/>
        <v>6233</v>
      </c>
      <c r="C9116" s="289" t="s">
        <v>19699</v>
      </c>
      <c r="D9116" s="303" t="s">
        <v>5241</v>
      </c>
      <c r="E9116" s="160" t="s">
        <v>266</v>
      </c>
      <c r="F9116" s="160" t="s">
        <v>22193</v>
      </c>
      <c r="G9116" s="160" t="s">
        <v>22194</v>
      </c>
      <c r="H9116" s="300">
        <v>1450</v>
      </c>
      <c r="I9116" s="209">
        <v>45509</v>
      </c>
      <c r="J9116" s="316" t="s">
        <v>22195</v>
      </c>
      <c r="K9116" s="339" t="s">
        <v>11084</v>
      </c>
      <c r="O9116" s="160" t="s">
        <v>22196</v>
      </c>
      <c r="P9116" s="160" t="s">
        <v>67</v>
      </c>
      <c r="Q9116" s="160" t="s">
        <v>96</v>
      </c>
      <c r="R9116" s="160" t="s">
        <v>272</v>
      </c>
    </row>
    <row r="9117" spans="1:18" ht="69" customHeight="1">
      <c r="B9117" s="340">
        <f t="shared" si="72"/>
        <v>6234</v>
      </c>
      <c r="C9117" s="340" t="s">
        <v>13156</v>
      </c>
      <c r="D9117" s="303" t="s">
        <v>907</v>
      </c>
      <c r="E9117" s="160" t="s">
        <v>266</v>
      </c>
      <c r="F9117" s="160" t="s">
        <v>22197</v>
      </c>
      <c r="G9117" s="160" t="s">
        <v>22194</v>
      </c>
      <c r="H9117" s="300">
        <v>1275</v>
      </c>
      <c r="I9117" s="312">
        <v>45529</v>
      </c>
      <c r="J9117" s="341" t="s">
        <v>22195</v>
      </c>
      <c r="K9117" s="160" t="s">
        <v>11084</v>
      </c>
      <c r="O9117" s="160" t="s">
        <v>22196</v>
      </c>
      <c r="P9117" s="160" t="s">
        <v>67</v>
      </c>
      <c r="Q9117" s="160" t="s">
        <v>96</v>
      </c>
      <c r="R9117" s="160" t="s">
        <v>272</v>
      </c>
    </row>
    <row r="9118" spans="1:18" ht="69" customHeight="1">
      <c r="B9118" s="319">
        <f t="shared" si="72"/>
        <v>6235</v>
      </c>
      <c r="C9118" s="303" t="s">
        <v>19699</v>
      </c>
      <c r="D9118" s="303" t="s">
        <v>7260</v>
      </c>
      <c r="E9118" s="160" t="s">
        <v>266</v>
      </c>
      <c r="F9118" s="160" t="s">
        <v>22198</v>
      </c>
      <c r="G9118" s="160" t="s">
        <v>22194</v>
      </c>
      <c r="H9118" s="300">
        <v>1525</v>
      </c>
      <c r="I9118" s="209">
        <v>45509</v>
      </c>
      <c r="J9118" s="316" t="s">
        <v>22195</v>
      </c>
      <c r="K9118" s="336" t="s">
        <v>11084</v>
      </c>
      <c r="O9118" s="160" t="s">
        <v>22196</v>
      </c>
      <c r="P9118" s="160" t="s">
        <v>67</v>
      </c>
      <c r="Q9118" s="160" t="s">
        <v>96</v>
      </c>
      <c r="R9118" s="160" t="s">
        <v>272</v>
      </c>
    </row>
    <row r="9119" spans="1:18" ht="69" customHeight="1">
      <c r="B9119" s="79">
        <f t="shared" si="72"/>
        <v>6236</v>
      </c>
      <c r="C9119" s="178" t="s">
        <v>5558</v>
      </c>
      <c r="D9119" s="545" t="s">
        <v>22199</v>
      </c>
      <c r="E9119" s="545" t="s">
        <v>266</v>
      </c>
      <c r="F9119" s="174" t="s">
        <v>22200</v>
      </c>
      <c r="G9119" s="58" t="s">
        <v>22201</v>
      </c>
      <c r="H9119" s="546">
        <v>2450</v>
      </c>
      <c r="I9119" s="126">
        <v>45509</v>
      </c>
      <c r="J9119" s="242" t="s">
        <v>22202</v>
      </c>
      <c r="K9119" s="67" t="s">
        <v>22203</v>
      </c>
      <c r="O9119" s="62" t="s">
        <v>467</v>
      </c>
      <c r="P9119" s="58" t="s">
        <v>44</v>
      </c>
      <c r="Q9119" s="62" t="s">
        <v>64</v>
      </c>
      <c r="R9119" s="62" t="s">
        <v>272</v>
      </c>
    </row>
    <row r="9120" spans="1:18" ht="69" customHeight="1">
      <c r="B9120" s="79">
        <f t="shared" si="72"/>
        <v>6237</v>
      </c>
      <c r="C9120" s="178" t="s">
        <v>5558</v>
      </c>
      <c r="D9120" s="545" t="s">
        <v>22204</v>
      </c>
      <c r="E9120" s="545" t="s">
        <v>266</v>
      </c>
      <c r="F9120" s="174" t="s">
        <v>22205</v>
      </c>
      <c r="G9120" s="58" t="s">
        <v>22206</v>
      </c>
      <c r="H9120" s="546">
        <v>1769.3</v>
      </c>
      <c r="I9120" s="126">
        <v>45509</v>
      </c>
      <c r="J9120" s="242" t="s">
        <v>22202</v>
      </c>
      <c r="K9120" s="67" t="s">
        <v>22203</v>
      </c>
      <c r="O9120" s="62" t="s">
        <v>467</v>
      </c>
      <c r="P9120" s="58" t="s">
        <v>44</v>
      </c>
      <c r="Q9120" s="62" t="s">
        <v>64</v>
      </c>
      <c r="R9120" s="62" t="s">
        <v>272</v>
      </c>
    </row>
    <row r="9121" spans="2:18" ht="69" customHeight="1">
      <c r="B9121" s="79">
        <f t="shared" si="72"/>
        <v>6238</v>
      </c>
      <c r="C9121" s="178" t="s">
        <v>11618</v>
      </c>
      <c r="D9121" s="545" t="s">
        <v>22207</v>
      </c>
      <c r="E9121" s="58" t="s">
        <v>21310</v>
      </c>
      <c r="F9121" s="174" t="s">
        <v>22208</v>
      </c>
      <c r="G9121" s="58" t="s">
        <v>22209</v>
      </c>
      <c r="H9121" s="546">
        <v>54000</v>
      </c>
      <c r="I9121" s="126">
        <v>45509</v>
      </c>
      <c r="J9121" s="242" t="s">
        <v>22210</v>
      </c>
      <c r="K9121" s="67"/>
      <c r="O9121" s="62" t="s">
        <v>147</v>
      </c>
      <c r="P9121" s="58" t="s">
        <v>22</v>
      </c>
      <c r="Q9121" s="62" t="s">
        <v>122</v>
      </c>
      <c r="R9121" s="62" t="s">
        <v>272</v>
      </c>
    </row>
    <row r="9122" spans="2:18" ht="69" customHeight="1">
      <c r="B9122" s="79">
        <f t="shared" si="72"/>
        <v>6239</v>
      </c>
      <c r="C9122" s="174" t="s">
        <v>10634</v>
      </c>
      <c r="D9122" s="174" t="s">
        <v>22211</v>
      </c>
      <c r="E9122" s="174" t="s">
        <v>266</v>
      </c>
      <c r="F9122" s="58" t="s">
        <v>22212</v>
      </c>
      <c r="G9122" s="58" t="s">
        <v>22213</v>
      </c>
      <c r="H9122" s="546">
        <v>29200</v>
      </c>
      <c r="I9122" s="66">
        <v>45509</v>
      </c>
      <c r="J9122" s="65" t="s">
        <v>22214</v>
      </c>
      <c r="K9122" s="58"/>
      <c r="O9122" s="645" t="s">
        <v>971</v>
      </c>
      <c r="P9122" s="58" t="s">
        <v>38</v>
      </c>
      <c r="Q9122" s="62" t="s">
        <v>93</v>
      </c>
      <c r="R9122" s="62" t="s">
        <v>272</v>
      </c>
    </row>
    <row r="9123" spans="2:18" ht="69" customHeight="1">
      <c r="B9123" s="79">
        <f t="shared" si="72"/>
        <v>6240</v>
      </c>
      <c r="C9123" s="178" t="s">
        <v>10639</v>
      </c>
      <c r="D9123" s="174" t="s">
        <v>22215</v>
      </c>
      <c r="E9123" s="174" t="s">
        <v>266</v>
      </c>
      <c r="F9123" s="58" t="s">
        <v>22216</v>
      </c>
      <c r="G9123" s="58" t="s">
        <v>22213</v>
      </c>
      <c r="H9123" s="546">
        <v>19200</v>
      </c>
      <c r="I9123" s="66">
        <v>45509</v>
      </c>
      <c r="J9123" s="65" t="s">
        <v>22214</v>
      </c>
      <c r="K9123" s="58"/>
      <c r="O9123" s="646" t="s">
        <v>971</v>
      </c>
      <c r="P9123" s="58" t="s">
        <v>38</v>
      </c>
      <c r="Q9123" s="62" t="s">
        <v>95</v>
      </c>
      <c r="R9123" s="62" t="s">
        <v>272</v>
      </c>
    </row>
    <row r="9124" spans="2:18" ht="69" customHeight="1">
      <c r="B9124" s="319">
        <f t="shared" si="72"/>
        <v>6241</v>
      </c>
      <c r="C9124" s="259"/>
      <c r="D9124" s="303"/>
      <c r="E9124" s="118" t="s">
        <v>20252</v>
      </c>
      <c r="F9124" s="118" t="s">
        <v>22217</v>
      </c>
      <c r="G9124" s="118" t="s">
        <v>22218</v>
      </c>
      <c r="H9124" s="300">
        <v>630076.5</v>
      </c>
      <c r="I9124" s="262">
        <v>45509</v>
      </c>
      <c r="J9124" s="258" t="s">
        <v>22219</v>
      </c>
      <c r="K9124" s="160" t="s">
        <v>22143</v>
      </c>
      <c r="M9124" s="234"/>
      <c r="N9124" s="234"/>
      <c r="O9124" s="296" t="s">
        <v>14160</v>
      </c>
      <c r="P9124" s="297" t="s">
        <v>67</v>
      </c>
      <c r="Q9124" s="261" t="s">
        <v>13</v>
      </c>
      <c r="R9124" s="261" t="s">
        <v>272</v>
      </c>
    </row>
    <row r="9125" spans="2:18" ht="69" customHeight="1">
      <c r="B9125" s="232">
        <f t="shared" si="72"/>
        <v>6242</v>
      </c>
      <c r="C9125" s="178" t="s">
        <v>581</v>
      </c>
      <c r="D9125" s="174" t="s">
        <v>22220</v>
      </c>
      <c r="E9125" s="58" t="s">
        <v>20252</v>
      </c>
      <c r="F9125" s="58" t="s">
        <v>22221</v>
      </c>
      <c r="G9125" s="58" t="s">
        <v>22218</v>
      </c>
      <c r="H9125" s="546">
        <v>630076.5</v>
      </c>
      <c r="I9125" s="66">
        <v>45509</v>
      </c>
      <c r="J9125" s="65" t="s">
        <v>22219</v>
      </c>
      <c r="K9125" s="67"/>
      <c r="O9125" s="645" t="s">
        <v>14160</v>
      </c>
      <c r="P9125" s="229" t="s">
        <v>26</v>
      </c>
      <c r="Q9125" s="62" t="s">
        <v>18</v>
      </c>
      <c r="R9125" s="62" t="s">
        <v>272</v>
      </c>
    </row>
    <row r="9126" spans="2:18" ht="69" customHeight="1">
      <c r="B9126" s="236">
        <f t="shared" si="72"/>
        <v>6243</v>
      </c>
      <c r="C9126" s="58" t="s">
        <v>13435</v>
      </c>
      <c r="D9126" s="647" t="s">
        <v>22222</v>
      </c>
      <c r="E9126" s="178" t="s">
        <v>22139</v>
      </c>
      <c r="F9126" s="58" t="s">
        <v>22223</v>
      </c>
      <c r="G9126" s="58" t="s">
        <v>22146</v>
      </c>
      <c r="H9126" s="546">
        <v>362229.73</v>
      </c>
      <c r="I9126" s="126">
        <v>45509</v>
      </c>
      <c r="J9126" s="65" t="s">
        <v>22224</v>
      </c>
      <c r="K9126" s="67"/>
      <c r="O9126" s="645" t="s">
        <v>14160</v>
      </c>
      <c r="P9126" s="229" t="s">
        <v>26</v>
      </c>
      <c r="Q9126" s="62" t="s">
        <v>13</v>
      </c>
      <c r="R9126" s="62" t="s">
        <v>272</v>
      </c>
    </row>
    <row r="9127" spans="2:18" ht="69" customHeight="1">
      <c r="B9127" s="79">
        <f t="shared" si="72"/>
        <v>6244</v>
      </c>
      <c r="C9127" s="58" t="s">
        <v>13435</v>
      </c>
      <c r="D9127" s="545" t="s">
        <v>22225</v>
      </c>
      <c r="E9127" s="178" t="s">
        <v>22139</v>
      </c>
      <c r="F9127" s="58" t="s">
        <v>22226</v>
      </c>
      <c r="G9127" s="58" t="s">
        <v>22146</v>
      </c>
      <c r="H9127" s="546">
        <v>13704.55</v>
      </c>
      <c r="I9127" s="126">
        <v>45509</v>
      </c>
      <c r="J9127" s="65" t="s">
        <v>22224</v>
      </c>
      <c r="K9127" s="67"/>
      <c r="O9127" s="645" t="s">
        <v>14160</v>
      </c>
      <c r="P9127" s="229" t="s">
        <v>26</v>
      </c>
      <c r="Q9127" s="62" t="s">
        <v>13</v>
      </c>
      <c r="R9127" s="62" t="s">
        <v>272</v>
      </c>
    </row>
    <row r="9128" spans="2:18" ht="69" customHeight="1">
      <c r="B9128" s="79">
        <f t="shared" si="72"/>
        <v>6245</v>
      </c>
      <c r="C9128" s="58" t="s">
        <v>581</v>
      </c>
      <c r="D9128" s="545" t="s">
        <v>21494</v>
      </c>
      <c r="E9128" s="178" t="s">
        <v>22139</v>
      </c>
      <c r="F9128" s="58" t="s">
        <v>22227</v>
      </c>
      <c r="G9128" s="58" t="s">
        <v>22146</v>
      </c>
      <c r="H9128" s="546">
        <v>13704.55</v>
      </c>
      <c r="I9128" s="126">
        <v>45509</v>
      </c>
      <c r="J9128" s="65" t="s">
        <v>22224</v>
      </c>
      <c r="K9128" s="67"/>
      <c r="O9128" s="645" t="s">
        <v>14160</v>
      </c>
      <c r="P9128" s="229" t="s">
        <v>26</v>
      </c>
      <c r="Q9128" s="62" t="s">
        <v>18</v>
      </c>
      <c r="R9128" s="62" t="s">
        <v>272</v>
      </c>
    </row>
    <row r="9129" spans="2:18" ht="69" customHeight="1">
      <c r="B9129" s="79">
        <f t="shared" si="72"/>
        <v>6246</v>
      </c>
      <c r="C9129" s="178" t="s">
        <v>6693</v>
      </c>
      <c r="D9129" s="545" t="s">
        <v>22228</v>
      </c>
      <c r="E9129" s="58" t="s">
        <v>22034</v>
      </c>
      <c r="F9129" s="210" t="s">
        <v>22229</v>
      </c>
      <c r="G9129" s="58" t="s">
        <v>22036</v>
      </c>
      <c r="H9129" s="546">
        <v>60081.63</v>
      </c>
      <c r="I9129" s="126">
        <v>45509</v>
      </c>
      <c r="J9129" s="65" t="s">
        <v>22230</v>
      </c>
      <c r="K9129" s="67"/>
      <c r="O9129" s="645" t="s">
        <v>210</v>
      </c>
      <c r="P9129" s="58" t="s">
        <v>81</v>
      </c>
      <c r="Q9129" s="62" t="s">
        <v>78</v>
      </c>
      <c r="R9129" s="62" t="s">
        <v>272</v>
      </c>
    </row>
    <row r="9130" spans="2:18" ht="69" customHeight="1">
      <c r="B9130" s="319">
        <f t="shared" si="72"/>
        <v>6247</v>
      </c>
      <c r="C9130" s="207" t="s">
        <v>21598</v>
      </c>
      <c r="D9130" s="303" t="s">
        <v>5990</v>
      </c>
      <c r="E9130" s="207" t="s">
        <v>266</v>
      </c>
      <c r="F9130" s="160" t="s">
        <v>22231</v>
      </c>
      <c r="G9130" s="160" t="s">
        <v>22232</v>
      </c>
      <c r="H9130" s="300">
        <v>79.989999999999995</v>
      </c>
      <c r="I9130" s="209">
        <v>45495</v>
      </c>
      <c r="J9130" s="316" t="s">
        <v>22233</v>
      </c>
      <c r="K9130" s="160" t="s">
        <v>22234</v>
      </c>
      <c r="O9130" s="160" t="s">
        <v>22137</v>
      </c>
      <c r="P9130" s="160" t="s">
        <v>67</v>
      </c>
      <c r="Q9130" s="160" t="s">
        <v>96</v>
      </c>
      <c r="R9130" s="160" t="s">
        <v>272</v>
      </c>
    </row>
    <row r="9131" spans="2:18" ht="69" customHeight="1">
      <c r="B9131" s="79">
        <f t="shared" si="72"/>
        <v>6248</v>
      </c>
      <c r="C9131" s="178" t="s">
        <v>13562</v>
      </c>
      <c r="D9131" s="174" t="s">
        <v>19359</v>
      </c>
      <c r="E9131" s="58" t="s">
        <v>22034</v>
      </c>
      <c r="F9131" s="210" t="s">
        <v>22235</v>
      </c>
      <c r="G9131" s="58" t="s">
        <v>22236</v>
      </c>
      <c r="H9131" s="546">
        <v>35655.82</v>
      </c>
      <c r="I9131" s="66">
        <v>45509</v>
      </c>
      <c r="J9131" s="65" t="s">
        <v>22237</v>
      </c>
      <c r="K9131" s="58"/>
      <c r="O9131" s="645" t="s">
        <v>210</v>
      </c>
      <c r="P9131" s="58" t="s">
        <v>81</v>
      </c>
      <c r="Q9131" s="62" t="s">
        <v>88</v>
      </c>
      <c r="R9131" s="62" t="s">
        <v>272</v>
      </c>
    </row>
    <row r="9132" spans="2:18" ht="69" customHeight="1">
      <c r="B9132" s="62">
        <f t="shared" si="72"/>
        <v>6249</v>
      </c>
      <c r="C9132" s="636" t="s">
        <v>11618</v>
      </c>
      <c r="D9132" s="174" t="s">
        <v>19389</v>
      </c>
      <c r="E9132" s="58" t="s">
        <v>22034</v>
      </c>
      <c r="F9132" s="210" t="s">
        <v>22238</v>
      </c>
      <c r="G9132" s="74" t="s">
        <v>22236</v>
      </c>
      <c r="H9132" s="546">
        <v>16000</v>
      </c>
      <c r="I9132" s="248">
        <v>45509</v>
      </c>
      <c r="J9132" s="197" t="s">
        <v>22239</v>
      </c>
      <c r="K9132" s="74"/>
      <c r="O9132" s="645" t="s">
        <v>210</v>
      </c>
      <c r="P9132" s="233" t="s">
        <v>81</v>
      </c>
      <c r="Q9132" s="136" t="s">
        <v>122</v>
      </c>
      <c r="R9132" s="136" t="s">
        <v>272</v>
      </c>
    </row>
    <row r="9133" spans="2:18" ht="69" customHeight="1">
      <c r="B9133" s="46">
        <f t="shared" si="72"/>
        <v>6250</v>
      </c>
      <c r="C9133" s="278" t="s">
        <v>9094</v>
      </c>
      <c r="D9133" s="251" t="s">
        <v>22240</v>
      </c>
      <c r="E9133" s="46" t="s">
        <v>266</v>
      </c>
      <c r="F9133" s="46" t="s">
        <v>22241</v>
      </c>
      <c r="G9133" s="46" t="s">
        <v>22242</v>
      </c>
      <c r="H9133" s="534">
        <v>750</v>
      </c>
      <c r="I9133" s="274">
        <v>45519</v>
      </c>
      <c r="J9133" s="275" t="s">
        <v>22243</v>
      </c>
      <c r="K9133" s="46" t="s">
        <v>5103</v>
      </c>
      <c r="O9133" s="265" t="s">
        <v>22244</v>
      </c>
      <c r="P9133" s="46" t="s">
        <v>65</v>
      </c>
      <c r="Q9133" s="52" t="s">
        <v>112</v>
      </c>
      <c r="R9133" s="52" t="s">
        <v>272</v>
      </c>
    </row>
    <row r="9134" spans="2:18" ht="69" customHeight="1">
      <c r="B9134" s="46">
        <f t="shared" si="72"/>
        <v>6251</v>
      </c>
      <c r="C9134" s="191" t="s">
        <v>10937</v>
      </c>
      <c r="D9134" s="251" t="s">
        <v>11389</v>
      </c>
      <c r="E9134" s="46" t="s">
        <v>266</v>
      </c>
      <c r="F9134" s="46" t="s">
        <v>22245</v>
      </c>
      <c r="G9134" s="46" t="s">
        <v>22242</v>
      </c>
      <c r="H9134" s="534">
        <v>750</v>
      </c>
      <c r="I9134" s="274">
        <v>45519</v>
      </c>
      <c r="J9134" s="275" t="s">
        <v>22243</v>
      </c>
      <c r="K9134" s="46"/>
      <c r="O9134" s="52" t="s">
        <v>22244</v>
      </c>
      <c r="P9134" s="46" t="s">
        <v>65</v>
      </c>
      <c r="Q9134" s="52" t="s">
        <v>104</v>
      </c>
      <c r="R9134" s="52" t="s">
        <v>272</v>
      </c>
    </row>
    <row r="9135" spans="2:18" ht="69" customHeight="1">
      <c r="B9135" s="273">
        <f t="shared" si="72"/>
        <v>6252</v>
      </c>
      <c r="C9135" s="191" t="s">
        <v>14255</v>
      </c>
      <c r="D9135" s="251" t="s">
        <v>22246</v>
      </c>
      <c r="E9135" s="46" t="s">
        <v>266</v>
      </c>
      <c r="F9135" s="46" t="s">
        <v>22247</v>
      </c>
      <c r="G9135" s="46" t="s">
        <v>22242</v>
      </c>
      <c r="H9135" s="534">
        <v>750</v>
      </c>
      <c r="I9135" s="274">
        <v>45519</v>
      </c>
      <c r="J9135" s="275" t="s">
        <v>22243</v>
      </c>
      <c r="K9135" s="46"/>
      <c r="O9135" s="52" t="s">
        <v>22244</v>
      </c>
      <c r="P9135" s="46" t="s">
        <v>65</v>
      </c>
      <c r="Q9135" s="52" t="s">
        <v>107</v>
      </c>
      <c r="R9135" s="52" t="s">
        <v>272</v>
      </c>
    </row>
    <row r="9136" spans="2:18" ht="69" customHeight="1">
      <c r="B9136" s="231">
        <f t="shared" si="72"/>
        <v>6253</v>
      </c>
      <c r="C9136" s="191" t="s">
        <v>10639</v>
      </c>
      <c r="D9136" s="251" t="s">
        <v>22248</v>
      </c>
      <c r="E9136" s="191" t="s">
        <v>266</v>
      </c>
      <c r="F9136" s="46" t="s">
        <v>22249</v>
      </c>
      <c r="G9136" s="46" t="s">
        <v>22250</v>
      </c>
      <c r="H9136" s="534">
        <v>11390</v>
      </c>
      <c r="I9136" s="56">
        <v>45503</v>
      </c>
      <c r="J9136" s="199" t="s">
        <v>22251</v>
      </c>
      <c r="K9136" s="46"/>
      <c r="O9136" s="648" t="s">
        <v>22252</v>
      </c>
      <c r="P9136" s="46" t="s">
        <v>71</v>
      </c>
      <c r="Q9136" s="52" t="s">
        <v>95</v>
      </c>
      <c r="R9136" s="52" t="s">
        <v>272</v>
      </c>
    </row>
    <row r="9137" spans="1:18" ht="69" customHeight="1">
      <c r="B9137" s="231">
        <f t="shared" si="72"/>
        <v>6254</v>
      </c>
      <c r="C9137" s="191" t="s">
        <v>10634</v>
      </c>
      <c r="D9137" s="251" t="s">
        <v>22253</v>
      </c>
      <c r="E9137" s="191" t="s">
        <v>266</v>
      </c>
      <c r="F9137" s="46" t="s">
        <v>22254</v>
      </c>
      <c r="G9137" s="46" t="s">
        <v>22250</v>
      </c>
      <c r="H9137" s="534">
        <v>11390</v>
      </c>
      <c r="I9137" s="56">
        <v>45503</v>
      </c>
      <c r="J9137" s="199" t="s">
        <v>22251</v>
      </c>
      <c r="K9137" s="266"/>
      <c r="O9137" s="648" t="s">
        <v>22252</v>
      </c>
      <c r="P9137" s="46" t="s">
        <v>71</v>
      </c>
      <c r="Q9137" s="52" t="s">
        <v>93</v>
      </c>
      <c r="R9137" s="52" t="s">
        <v>272</v>
      </c>
    </row>
    <row r="9138" spans="1:18" ht="69" customHeight="1">
      <c r="B9138" s="79">
        <f t="shared" si="72"/>
        <v>6255</v>
      </c>
      <c r="C9138" s="59" t="s">
        <v>3667</v>
      </c>
      <c r="D9138" s="174" t="s">
        <v>22255</v>
      </c>
      <c r="E9138" s="58" t="s">
        <v>18182</v>
      </c>
      <c r="F9138" s="58" t="s">
        <v>22256</v>
      </c>
      <c r="G9138" s="58" t="s">
        <v>22257</v>
      </c>
      <c r="H9138" s="546">
        <v>478804.28</v>
      </c>
      <c r="I9138" s="66">
        <v>45509</v>
      </c>
      <c r="J9138" s="65" t="s">
        <v>22258</v>
      </c>
      <c r="K9138" s="67"/>
      <c r="O9138" s="62" t="s">
        <v>10607</v>
      </c>
      <c r="P9138" s="58" t="s">
        <v>22</v>
      </c>
      <c r="Q9138" s="62" t="s">
        <v>95</v>
      </c>
      <c r="R9138" s="62" t="s">
        <v>272</v>
      </c>
    </row>
    <row r="9139" spans="1:18" ht="69" customHeight="1">
      <c r="B9139" s="79">
        <f t="shared" si="72"/>
        <v>6256</v>
      </c>
      <c r="C9139" s="59" t="s">
        <v>3667</v>
      </c>
      <c r="D9139" s="174" t="s">
        <v>22259</v>
      </c>
      <c r="E9139" s="58" t="s">
        <v>18182</v>
      </c>
      <c r="F9139" s="58" t="s">
        <v>22260</v>
      </c>
      <c r="G9139" s="58" t="s">
        <v>22257</v>
      </c>
      <c r="H9139" s="546">
        <v>478804.28</v>
      </c>
      <c r="I9139" s="66">
        <v>45509</v>
      </c>
      <c r="J9139" s="65" t="s">
        <v>22258</v>
      </c>
      <c r="K9139" s="67"/>
      <c r="O9139" s="62" t="s">
        <v>10607</v>
      </c>
      <c r="P9139" s="58" t="s">
        <v>22</v>
      </c>
      <c r="Q9139" s="62" t="s">
        <v>93</v>
      </c>
      <c r="R9139" s="62" t="s">
        <v>272</v>
      </c>
    </row>
    <row r="9140" spans="1:18" ht="69" customHeight="1">
      <c r="B9140" s="79">
        <f t="shared" si="72"/>
        <v>6257</v>
      </c>
      <c r="C9140" s="178" t="s">
        <v>7189</v>
      </c>
      <c r="D9140" s="174" t="s">
        <v>11331</v>
      </c>
      <c r="E9140" s="178" t="s">
        <v>266</v>
      </c>
      <c r="F9140" s="58" t="s">
        <v>22261</v>
      </c>
      <c r="G9140" s="58" t="s">
        <v>22262</v>
      </c>
      <c r="H9140" s="546">
        <v>66439.44</v>
      </c>
      <c r="I9140" s="66">
        <v>45509</v>
      </c>
      <c r="J9140" s="65" t="s">
        <v>22263</v>
      </c>
      <c r="K9140" s="67"/>
      <c r="O9140" s="62" t="s">
        <v>208</v>
      </c>
      <c r="P9140" s="58" t="s">
        <v>57</v>
      </c>
      <c r="Q9140" s="62" t="s">
        <v>97</v>
      </c>
      <c r="R9140" s="62" t="s">
        <v>272</v>
      </c>
    </row>
    <row r="9141" spans="1:18" ht="69" customHeight="1">
      <c r="B9141" s="232">
        <f t="shared" si="72"/>
        <v>6258</v>
      </c>
      <c r="C9141" s="178" t="s">
        <v>309</v>
      </c>
      <c r="D9141" s="174" t="s">
        <v>22264</v>
      </c>
      <c r="E9141" s="58" t="s">
        <v>15921</v>
      </c>
      <c r="F9141" s="210" t="s">
        <v>22265</v>
      </c>
      <c r="G9141" s="58" t="s">
        <v>22266</v>
      </c>
      <c r="H9141" s="546">
        <v>2382.5</v>
      </c>
      <c r="I9141" s="66">
        <v>45519</v>
      </c>
      <c r="J9141" s="65" t="s">
        <v>22267</v>
      </c>
      <c r="K9141" s="67"/>
      <c r="O9141" s="62" t="s">
        <v>150</v>
      </c>
      <c r="P9141" s="58" t="s">
        <v>51</v>
      </c>
      <c r="Q9141" s="62" t="s">
        <v>18</v>
      </c>
      <c r="R9141" s="62" t="s">
        <v>272</v>
      </c>
    </row>
    <row r="9142" spans="1:18" ht="69" customHeight="1">
      <c r="B9142" s="136">
        <f t="shared" si="72"/>
        <v>6259</v>
      </c>
      <c r="C9142" s="229" t="s">
        <v>309</v>
      </c>
      <c r="D9142" s="174" t="s">
        <v>22268</v>
      </c>
      <c r="E9142" s="58" t="s">
        <v>15921</v>
      </c>
      <c r="F9142" s="210" t="s">
        <v>22269</v>
      </c>
      <c r="G9142" s="58" t="s">
        <v>22266</v>
      </c>
      <c r="H9142" s="546">
        <v>2382.5</v>
      </c>
      <c r="I9142" s="66">
        <v>45519</v>
      </c>
      <c r="J9142" s="65" t="s">
        <v>22267</v>
      </c>
      <c r="K9142" s="237"/>
      <c r="O9142" s="62" t="s">
        <v>150</v>
      </c>
      <c r="P9142" s="58" t="s">
        <v>51</v>
      </c>
      <c r="Q9142" s="62" t="s">
        <v>29</v>
      </c>
      <c r="R9142" s="62" t="s">
        <v>272</v>
      </c>
    </row>
    <row r="9143" spans="1:18" ht="69" customHeight="1">
      <c r="B9143" s="45">
        <f t="shared" si="72"/>
        <v>6260</v>
      </c>
      <c r="C9143" s="240" t="s">
        <v>657</v>
      </c>
      <c r="D9143" s="45" t="s">
        <v>16124</v>
      </c>
      <c r="E9143" s="45" t="s">
        <v>15921</v>
      </c>
      <c r="F9143" s="45" t="s">
        <v>22270</v>
      </c>
      <c r="G9143" s="45" t="s">
        <v>22266</v>
      </c>
      <c r="H9143" s="546">
        <v>2382.5</v>
      </c>
      <c r="I9143" s="132">
        <v>45519</v>
      </c>
      <c r="J9143" s="244" t="s">
        <v>22267</v>
      </c>
      <c r="K9143" s="45"/>
      <c r="O9143" s="62" t="s">
        <v>150</v>
      </c>
      <c r="P9143" s="58" t="s">
        <v>51</v>
      </c>
      <c r="Q9143" s="62" t="s">
        <v>104</v>
      </c>
      <c r="R9143" s="62" t="s">
        <v>272</v>
      </c>
    </row>
    <row r="9144" spans="1:18" ht="69" customHeight="1">
      <c r="B9144" s="236">
        <f t="shared" si="72"/>
        <v>6261</v>
      </c>
      <c r="C9144" s="178" t="s">
        <v>309</v>
      </c>
      <c r="D9144" s="174" t="s">
        <v>22271</v>
      </c>
      <c r="E9144" s="58" t="s">
        <v>15921</v>
      </c>
      <c r="F9144" s="58" t="s">
        <v>22272</v>
      </c>
      <c r="G9144" s="58" t="s">
        <v>22273</v>
      </c>
      <c r="H9144" s="546">
        <v>29180</v>
      </c>
      <c r="I9144" s="66">
        <v>45519</v>
      </c>
      <c r="J9144" s="65" t="s">
        <v>22274</v>
      </c>
      <c r="K9144" s="241"/>
      <c r="O9144" s="62" t="s">
        <v>150</v>
      </c>
      <c r="P9144" s="58" t="s">
        <v>51</v>
      </c>
      <c r="Q9144" s="62" t="s">
        <v>18</v>
      </c>
      <c r="R9144" s="62" t="s">
        <v>272</v>
      </c>
    </row>
    <row r="9145" spans="1:18" ht="69" customHeight="1">
      <c r="B9145" s="79">
        <f t="shared" si="72"/>
        <v>6262</v>
      </c>
      <c r="C9145" s="58" t="s">
        <v>657</v>
      </c>
      <c r="D9145" s="174" t="s">
        <v>11336</v>
      </c>
      <c r="E9145" s="58" t="s">
        <v>15921</v>
      </c>
      <c r="F9145" s="58" t="s">
        <v>22275</v>
      </c>
      <c r="G9145" s="58" t="s">
        <v>22273</v>
      </c>
      <c r="H9145" s="546">
        <v>29180</v>
      </c>
      <c r="I9145" s="66">
        <v>45519</v>
      </c>
      <c r="J9145" s="65" t="s">
        <v>22274</v>
      </c>
      <c r="K9145" s="243"/>
      <c r="O9145" s="235" t="s">
        <v>150</v>
      </c>
      <c r="P9145" s="58" t="s">
        <v>51</v>
      </c>
      <c r="Q9145" s="62" t="s">
        <v>104</v>
      </c>
      <c r="R9145" s="62" t="s">
        <v>272</v>
      </c>
    </row>
    <row r="9146" spans="1:18" ht="69" customHeight="1">
      <c r="B9146" s="46">
        <f t="shared" si="72"/>
        <v>6263</v>
      </c>
      <c r="C9146" s="278" t="s">
        <v>6693</v>
      </c>
      <c r="D9146" s="251" t="s">
        <v>22276</v>
      </c>
      <c r="E9146" s="46" t="s">
        <v>266</v>
      </c>
      <c r="F9146" s="46" t="s">
        <v>22277</v>
      </c>
      <c r="G9146" s="46" t="s">
        <v>22278</v>
      </c>
      <c r="H9146" s="534">
        <v>7677</v>
      </c>
      <c r="I9146" s="274">
        <v>45519</v>
      </c>
      <c r="J9146" s="275" t="s">
        <v>22279</v>
      </c>
      <c r="K9146" s="46"/>
      <c r="O9146" s="530" t="s">
        <v>22280</v>
      </c>
      <c r="P9146" s="46" t="s">
        <v>65</v>
      </c>
      <c r="Q9146" s="52" t="s">
        <v>78</v>
      </c>
      <c r="R9146" s="52" t="s">
        <v>272</v>
      </c>
    </row>
    <row r="9147" spans="1:18" ht="69" customHeight="1">
      <c r="B9147" s="279">
        <f t="shared" si="72"/>
        <v>6264</v>
      </c>
      <c r="C9147" s="46" t="s">
        <v>6693</v>
      </c>
      <c r="D9147" s="251" t="s">
        <v>22281</v>
      </c>
      <c r="E9147" s="46" t="s">
        <v>266</v>
      </c>
      <c r="F9147" s="46" t="s">
        <v>22282</v>
      </c>
      <c r="G9147" s="46" t="s">
        <v>22283</v>
      </c>
      <c r="H9147" s="534">
        <v>5000</v>
      </c>
      <c r="I9147" s="56">
        <v>45509</v>
      </c>
      <c r="J9147" s="199" t="s">
        <v>22284</v>
      </c>
      <c r="K9147" s="266"/>
      <c r="O9147" s="52" t="s">
        <v>20856</v>
      </c>
      <c r="P9147" s="46" t="s">
        <v>65</v>
      </c>
      <c r="Q9147" s="52" t="s">
        <v>78</v>
      </c>
      <c r="R9147" s="52" t="s">
        <v>272</v>
      </c>
    </row>
    <row r="9148" spans="1:18" ht="69" customHeight="1">
      <c r="B9148" s="231">
        <f t="shared" si="72"/>
        <v>6265</v>
      </c>
      <c r="C9148" s="46" t="s">
        <v>6468</v>
      </c>
      <c r="D9148" s="251" t="s">
        <v>22285</v>
      </c>
      <c r="E9148" s="46" t="s">
        <v>266</v>
      </c>
      <c r="F9148" s="46" t="s">
        <v>22286</v>
      </c>
      <c r="G9148" s="46" t="s">
        <v>22287</v>
      </c>
      <c r="H9148" s="534">
        <v>5000</v>
      </c>
      <c r="I9148" s="56">
        <v>45509</v>
      </c>
      <c r="J9148" s="199" t="s">
        <v>22288</v>
      </c>
      <c r="K9148" s="46"/>
      <c r="O9148" s="52" t="s">
        <v>20856</v>
      </c>
      <c r="P9148" s="46" t="s">
        <v>65</v>
      </c>
      <c r="Q9148" s="52" t="s">
        <v>76</v>
      </c>
      <c r="R9148" s="52" t="s">
        <v>272</v>
      </c>
    </row>
    <row r="9149" spans="1:18" s="98" customFormat="1" ht="69" customHeight="1">
      <c r="A9149" s="169"/>
      <c r="B9149" s="238">
        <f t="shared" si="72"/>
        <v>6266</v>
      </c>
      <c r="C9149" s="171" t="s">
        <v>6693</v>
      </c>
      <c r="D9149" s="541" t="s">
        <v>22289</v>
      </c>
      <c r="E9149" s="171" t="s">
        <v>266</v>
      </c>
      <c r="F9149" s="100" t="s">
        <v>22290</v>
      </c>
      <c r="G9149" s="100" t="s">
        <v>22291</v>
      </c>
      <c r="H9149" s="542">
        <v>5000</v>
      </c>
      <c r="I9149" s="96">
        <v>45509</v>
      </c>
      <c r="J9149" s="268" t="s">
        <v>22292</v>
      </c>
      <c r="K9149" s="100" t="s">
        <v>22293</v>
      </c>
      <c r="O9149" s="172" t="s">
        <v>22294</v>
      </c>
      <c r="P9149" s="100" t="s">
        <v>65</v>
      </c>
      <c r="Q9149" s="46" t="s">
        <v>96</v>
      </c>
      <c r="R9149" s="46" t="s">
        <v>272</v>
      </c>
    </row>
    <row r="9150" spans="1:18" ht="69" customHeight="1">
      <c r="B9150" s="231">
        <f t="shared" si="72"/>
        <v>6267</v>
      </c>
      <c r="C9150" s="46" t="s">
        <v>9545</v>
      </c>
      <c r="D9150" s="251" t="s">
        <v>19399</v>
      </c>
      <c r="E9150" s="46" t="s">
        <v>266</v>
      </c>
      <c r="F9150" s="46" t="s">
        <v>22295</v>
      </c>
      <c r="G9150" s="46" t="s">
        <v>22296</v>
      </c>
      <c r="H9150" s="534">
        <v>695</v>
      </c>
      <c r="I9150" s="56">
        <v>45519</v>
      </c>
      <c r="J9150" s="199" t="s">
        <v>22297</v>
      </c>
      <c r="K9150" s="281"/>
      <c r="O9150" s="52" t="s">
        <v>20856</v>
      </c>
      <c r="P9150" s="46" t="s">
        <v>65</v>
      </c>
      <c r="Q9150" s="52" t="s">
        <v>117</v>
      </c>
      <c r="R9150" s="52" t="s">
        <v>272</v>
      </c>
    </row>
    <row r="9151" spans="1:18" ht="69" customHeight="1">
      <c r="B9151" s="46">
        <f t="shared" si="72"/>
        <v>6268</v>
      </c>
      <c r="C9151" s="278" t="s">
        <v>6693</v>
      </c>
      <c r="D9151" s="251" t="s">
        <v>22298</v>
      </c>
      <c r="E9151" s="46" t="s">
        <v>266</v>
      </c>
      <c r="F9151" s="46" t="s">
        <v>22299</v>
      </c>
      <c r="G9151" s="46" t="s">
        <v>22296</v>
      </c>
      <c r="H9151" s="534">
        <v>900</v>
      </c>
      <c r="I9151" s="274">
        <v>45519</v>
      </c>
      <c r="J9151" s="275" t="s">
        <v>22300</v>
      </c>
      <c r="K9151" s="281"/>
      <c r="O9151" s="52" t="s">
        <v>20856</v>
      </c>
      <c r="P9151" s="46" t="s">
        <v>65</v>
      </c>
      <c r="Q9151" s="52" t="s">
        <v>78</v>
      </c>
      <c r="R9151" s="52" t="s">
        <v>272</v>
      </c>
    </row>
    <row r="9152" spans="1:18" ht="69" customHeight="1">
      <c r="B9152" s="273">
        <f t="shared" si="72"/>
        <v>6269</v>
      </c>
      <c r="C9152" s="273" t="s">
        <v>22301</v>
      </c>
      <c r="D9152" s="251" t="s">
        <v>22302</v>
      </c>
      <c r="E9152" s="46" t="s">
        <v>266</v>
      </c>
      <c r="F9152" s="46" t="s">
        <v>22303</v>
      </c>
      <c r="G9152" s="46" t="s">
        <v>22296</v>
      </c>
      <c r="H9152" s="534">
        <v>695</v>
      </c>
      <c r="I9152" s="274">
        <v>45509</v>
      </c>
      <c r="J9152" s="275" t="s">
        <v>22304</v>
      </c>
      <c r="K9152" s="46"/>
      <c r="O9152" s="52" t="s">
        <v>20856</v>
      </c>
      <c r="P9152" s="46" t="s">
        <v>65</v>
      </c>
      <c r="Q9152" s="52" t="s">
        <v>110</v>
      </c>
      <c r="R9152" s="52" t="s">
        <v>272</v>
      </c>
    </row>
    <row r="9153" spans="2:18" ht="69" customHeight="1">
      <c r="B9153" s="231">
        <f t="shared" si="72"/>
        <v>6270</v>
      </c>
      <c r="C9153" s="191" t="s">
        <v>9322</v>
      </c>
      <c r="D9153" s="251" t="s">
        <v>22305</v>
      </c>
      <c r="E9153" s="191" t="s">
        <v>266</v>
      </c>
      <c r="F9153" s="46" t="s">
        <v>22306</v>
      </c>
      <c r="G9153" s="46" t="s">
        <v>22307</v>
      </c>
      <c r="H9153" s="534">
        <v>14500</v>
      </c>
      <c r="I9153" s="56">
        <v>45509</v>
      </c>
      <c r="J9153" s="199" t="s">
        <v>22308</v>
      </c>
      <c r="K9153" s="266"/>
      <c r="O9153" s="530" t="s">
        <v>22309</v>
      </c>
      <c r="P9153" s="286" t="s">
        <v>65</v>
      </c>
      <c r="Q9153" s="52" t="s">
        <v>114</v>
      </c>
      <c r="R9153" s="52" t="s">
        <v>272</v>
      </c>
    </row>
    <row r="9154" spans="2:18" ht="69" customHeight="1">
      <c r="B9154" s="319">
        <f t="shared" si="72"/>
        <v>6271</v>
      </c>
      <c r="C9154" s="207" t="s">
        <v>657</v>
      </c>
      <c r="D9154" s="303" t="s">
        <v>15903</v>
      </c>
      <c r="E9154" s="160" t="s">
        <v>16276</v>
      </c>
      <c r="F9154" s="208" t="s">
        <v>22310</v>
      </c>
      <c r="G9154" s="321" t="s">
        <v>22311</v>
      </c>
      <c r="H9154" s="300">
        <v>11041.39</v>
      </c>
      <c r="I9154" s="209">
        <v>45523</v>
      </c>
      <c r="J9154" s="316" t="s">
        <v>22312</v>
      </c>
      <c r="K9154" s="160"/>
      <c r="O9154" s="295" t="s">
        <v>17135</v>
      </c>
      <c r="P9154" s="160" t="s">
        <v>67</v>
      </c>
      <c r="Q9154" s="259" t="s">
        <v>99</v>
      </c>
      <c r="R9154" s="259" t="s">
        <v>272</v>
      </c>
    </row>
    <row r="9155" spans="2:18" ht="69" customHeight="1">
      <c r="B9155" s="319">
        <f t="shared" si="72"/>
        <v>6272</v>
      </c>
      <c r="C9155" s="207" t="s">
        <v>3667</v>
      </c>
      <c r="D9155" s="303" t="s">
        <v>22313</v>
      </c>
      <c r="E9155" s="160" t="s">
        <v>16276</v>
      </c>
      <c r="F9155" s="322" t="s">
        <v>22314</v>
      </c>
      <c r="G9155" s="323" t="s">
        <v>22311</v>
      </c>
      <c r="H9155" s="300">
        <v>19629.16</v>
      </c>
      <c r="I9155" s="209">
        <v>45523</v>
      </c>
      <c r="J9155" s="316" t="s">
        <v>22312</v>
      </c>
      <c r="K9155" s="160"/>
      <c r="O9155" s="259" t="s">
        <v>17135</v>
      </c>
      <c r="P9155" s="160" t="s">
        <v>67</v>
      </c>
      <c r="Q9155" s="259" t="s">
        <v>49</v>
      </c>
      <c r="R9155" s="259" t="s">
        <v>272</v>
      </c>
    </row>
    <row r="9156" spans="2:18" ht="69" customHeight="1">
      <c r="B9156" s="319">
        <f t="shared" si="72"/>
        <v>6273</v>
      </c>
      <c r="C9156" s="207" t="s">
        <v>309</v>
      </c>
      <c r="D9156" s="303" t="s">
        <v>22315</v>
      </c>
      <c r="E9156" s="160" t="s">
        <v>16276</v>
      </c>
      <c r="F9156" s="322" t="s">
        <v>22316</v>
      </c>
      <c r="G9156" s="323" t="s">
        <v>22311</v>
      </c>
      <c r="H9156" s="300">
        <v>15335.28</v>
      </c>
      <c r="I9156" s="209">
        <v>45523</v>
      </c>
      <c r="J9156" s="316" t="s">
        <v>22312</v>
      </c>
      <c r="K9156" s="160"/>
      <c r="O9156" s="259" t="s">
        <v>17135</v>
      </c>
      <c r="P9156" s="160" t="s">
        <v>67</v>
      </c>
      <c r="Q9156" s="259" t="s">
        <v>15</v>
      </c>
      <c r="R9156" s="259" t="s">
        <v>272</v>
      </c>
    </row>
    <row r="9157" spans="2:18" ht="69" customHeight="1">
      <c r="B9157" s="324">
        <f t="shared" si="72"/>
        <v>6274</v>
      </c>
      <c r="C9157" s="207" t="s">
        <v>458</v>
      </c>
      <c r="D9157" s="303" t="s">
        <v>22317</v>
      </c>
      <c r="E9157" s="160" t="s">
        <v>16276</v>
      </c>
      <c r="F9157" s="322" t="s">
        <v>22318</v>
      </c>
      <c r="G9157" s="323" t="s">
        <v>22311</v>
      </c>
      <c r="H9157" s="300">
        <v>15335.28</v>
      </c>
      <c r="I9157" s="209">
        <v>45523</v>
      </c>
      <c r="J9157" s="316" t="s">
        <v>22312</v>
      </c>
      <c r="K9157" s="160"/>
      <c r="O9157" s="259" t="s">
        <v>17135</v>
      </c>
      <c r="P9157" s="160" t="s">
        <v>67</v>
      </c>
      <c r="Q9157" s="259" t="s">
        <v>90</v>
      </c>
      <c r="R9157" s="259" t="s">
        <v>272</v>
      </c>
    </row>
    <row r="9158" spans="2:18" ht="69" customHeight="1">
      <c r="B9158" s="347">
        <f t="shared" si="72"/>
        <v>6275</v>
      </c>
      <c r="C9158" s="160" t="s">
        <v>16368</v>
      </c>
      <c r="D9158" s="303" t="s">
        <v>2983</v>
      </c>
      <c r="E9158" s="160" t="s">
        <v>266</v>
      </c>
      <c r="F9158" s="160" t="s">
        <v>22319</v>
      </c>
      <c r="G9158" s="336" t="s">
        <v>22320</v>
      </c>
      <c r="H9158" s="300">
        <v>934.5</v>
      </c>
      <c r="I9158" s="209">
        <v>45509</v>
      </c>
      <c r="J9158" s="316" t="s">
        <v>22321</v>
      </c>
      <c r="K9158" s="160" t="s">
        <v>22234</v>
      </c>
      <c r="O9158" s="160" t="s">
        <v>22322</v>
      </c>
      <c r="P9158" s="160" t="s">
        <v>67</v>
      </c>
      <c r="Q9158" s="160" t="s">
        <v>96</v>
      </c>
      <c r="R9158" s="160" t="s">
        <v>272</v>
      </c>
    </row>
    <row r="9159" spans="2:18" ht="69" customHeight="1">
      <c r="B9159" s="319">
        <f t="shared" si="72"/>
        <v>6276</v>
      </c>
      <c r="C9159" s="160" t="s">
        <v>18372</v>
      </c>
      <c r="D9159" s="303" t="s">
        <v>5241</v>
      </c>
      <c r="E9159" s="160" t="s">
        <v>266</v>
      </c>
      <c r="F9159" s="160" t="s">
        <v>22323</v>
      </c>
      <c r="G9159" s="160" t="s">
        <v>22324</v>
      </c>
      <c r="H9159" s="300">
        <v>700</v>
      </c>
      <c r="I9159" s="209">
        <v>45509</v>
      </c>
      <c r="J9159" s="316" t="s">
        <v>22325</v>
      </c>
      <c r="K9159" s="160" t="s">
        <v>22234</v>
      </c>
      <c r="O9159" s="259" t="s">
        <v>22326</v>
      </c>
      <c r="P9159" s="160" t="s">
        <v>67</v>
      </c>
      <c r="Q9159" s="160" t="s">
        <v>96</v>
      </c>
      <c r="R9159" s="160" t="s">
        <v>272</v>
      </c>
    </row>
    <row r="9160" spans="2:18" ht="69" customHeight="1">
      <c r="B9160" s="160">
        <f t="shared" si="72"/>
        <v>6277</v>
      </c>
      <c r="C9160" s="342" t="s">
        <v>20998</v>
      </c>
      <c r="D9160" s="303" t="s">
        <v>926</v>
      </c>
      <c r="E9160" s="160" t="s">
        <v>266</v>
      </c>
      <c r="F9160" s="160" t="s">
        <v>22327</v>
      </c>
      <c r="G9160" s="160" t="s">
        <v>22328</v>
      </c>
      <c r="H9160" s="300">
        <v>2900</v>
      </c>
      <c r="I9160" s="312">
        <v>45529</v>
      </c>
      <c r="J9160" s="341" t="s">
        <v>22329</v>
      </c>
      <c r="K9160" s="160" t="s">
        <v>22234</v>
      </c>
      <c r="O9160" s="259" t="s">
        <v>22330</v>
      </c>
      <c r="P9160" s="160" t="s">
        <v>67</v>
      </c>
      <c r="Q9160" s="160" t="s">
        <v>96</v>
      </c>
      <c r="R9160" s="160" t="s">
        <v>272</v>
      </c>
    </row>
    <row r="9161" spans="2:18" ht="69" customHeight="1">
      <c r="B9161" s="279">
        <f t="shared" si="72"/>
        <v>6278</v>
      </c>
      <c r="C9161" s="46" t="s">
        <v>6261</v>
      </c>
      <c r="D9161" s="251" t="s">
        <v>22331</v>
      </c>
      <c r="E9161" s="191" t="s">
        <v>266</v>
      </c>
      <c r="F9161" s="46" t="s">
        <v>22332</v>
      </c>
      <c r="G9161" s="46" t="s">
        <v>22291</v>
      </c>
      <c r="H9161" s="534">
        <v>5000</v>
      </c>
      <c r="I9161" s="56">
        <v>45509</v>
      </c>
      <c r="J9161" s="199" t="s">
        <v>22292</v>
      </c>
      <c r="K9161" s="46"/>
      <c r="O9161" s="52" t="s">
        <v>20856</v>
      </c>
      <c r="P9161" s="46" t="s">
        <v>65</v>
      </c>
      <c r="Q9161" s="52" t="s">
        <v>74</v>
      </c>
      <c r="R9161" s="52" t="s">
        <v>272</v>
      </c>
    </row>
    <row r="9162" spans="2:18" ht="69" customHeight="1">
      <c r="B9162" s="319">
        <f t="shared" ref="B9162:B9227" si="73">B9161+1</f>
        <v>6279</v>
      </c>
      <c r="C9162" s="160" t="s">
        <v>20998</v>
      </c>
      <c r="D9162" s="303" t="s">
        <v>5884</v>
      </c>
      <c r="E9162" s="207" t="s">
        <v>266</v>
      </c>
      <c r="F9162" s="160" t="s">
        <v>22333</v>
      </c>
      <c r="G9162" s="160" t="s">
        <v>22334</v>
      </c>
      <c r="H9162" s="300">
        <v>500</v>
      </c>
      <c r="I9162" s="209">
        <v>45509</v>
      </c>
      <c r="J9162" s="316" t="s">
        <v>22335</v>
      </c>
      <c r="K9162" s="160" t="s">
        <v>11084</v>
      </c>
      <c r="O9162" s="259" t="s">
        <v>20832</v>
      </c>
      <c r="P9162" s="160" t="s">
        <v>67</v>
      </c>
      <c r="Q9162" s="160" t="s">
        <v>96</v>
      </c>
      <c r="R9162" s="160" t="s">
        <v>272</v>
      </c>
    </row>
    <row r="9163" spans="2:18" ht="69" customHeight="1">
      <c r="B9163" s="259">
        <f t="shared" si="73"/>
        <v>6280</v>
      </c>
      <c r="C9163" s="289" t="s">
        <v>20998</v>
      </c>
      <c r="D9163" s="303" t="s">
        <v>300</v>
      </c>
      <c r="E9163" s="207" t="s">
        <v>266</v>
      </c>
      <c r="F9163" s="160" t="s">
        <v>22336</v>
      </c>
      <c r="G9163" s="160" t="s">
        <v>22334</v>
      </c>
      <c r="H9163" s="300">
        <v>500</v>
      </c>
      <c r="I9163" s="209">
        <v>45509</v>
      </c>
      <c r="J9163" s="316" t="s">
        <v>22335</v>
      </c>
      <c r="K9163" s="160" t="s">
        <v>11084</v>
      </c>
      <c r="O9163" s="259" t="s">
        <v>20832</v>
      </c>
      <c r="P9163" s="160" t="s">
        <v>67</v>
      </c>
      <c r="Q9163" s="160" t="s">
        <v>96</v>
      </c>
      <c r="R9163" s="160" t="s">
        <v>272</v>
      </c>
    </row>
    <row r="9164" spans="2:18" ht="69" customHeight="1">
      <c r="B9164" s="279">
        <f t="shared" si="73"/>
        <v>6281</v>
      </c>
      <c r="C9164" s="191" t="s">
        <v>3647</v>
      </c>
      <c r="D9164" s="251" t="s">
        <v>22337</v>
      </c>
      <c r="E9164" s="46" t="s">
        <v>382</v>
      </c>
      <c r="F9164" s="46" t="s">
        <v>22338</v>
      </c>
      <c r="G9164" s="1077" t="s">
        <v>22339</v>
      </c>
      <c r="H9164" s="534">
        <v>2280</v>
      </c>
      <c r="I9164" s="56">
        <v>45519</v>
      </c>
      <c r="J9164" s="199" t="s">
        <v>22340</v>
      </c>
      <c r="K9164" s="266"/>
      <c r="O9164" s="52" t="s">
        <v>17289</v>
      </c>
      <c r="P9164" s="46" t="s">
        <v>65</v>
      </c>
      <c r="Q9164" s="52" t="s">
        <v>47</v>
      </c>
      <c r="R9164" s="46" t="s">
        <v>265</v>
      </c>
    </row>
    <row r="9165" spans="2:18" ht="69" customHeight="1">
      <c r="B9165" s="231">
        <f t="shared" si="73"/>
        <v>6282</v>
      </c>
      <c r="C9165" s="191" t="s">
        <v>3933</v>
      </c>
      <c r="D9165" s="251" t="s">
        <v>22341</v>
      </c>
      <c r="E9165" s="46" t="s">
        <v>382</v>
      </c>
      <c r="F9165" s="46" t="s">
        <v>22342</v>
      </c>
      <c r="G9165" s="1077" t="s">
        <v>22339</v>
      </c>
      <c r="H9165" s="534">
        <v>760</v>
      </c>
      <c r="I9165" s="56">
        <v>45519</v>
      </c>
      <c r="J9165" s="199" t="s">
        <v>22340</v>
      </c>
      <c r="K9165" s="46"/>
      <c r="O9165" s="52" t="s">
        <v>17289</v>
      </c>
      <c r="P9165" s="46" t="s">
        <v>65</v>
      </c>
      <c r="Q9165" s="52" t="s">
        <v>52</v>
      </c>
      <c r="R9165" s="46" t="s">
        <v>265</v>
      </c>
    </row>
    <row r="9166" spans="2:18" ht="69" customHeight="1">
      <c r="B9166" s="503">
        <f t="shared" si="73"/>
        <v>6283</v>
      </c>
      <c r="C9166" s="191" t="s">
        <v>5558</v>
      </c>
      <c r="D9166" s="251" t="s">
        <v>22343</v>
      </c>
      <c r="E9166" s="46" t="s">
        <v>382</v>
      </c>
      <c r="F9166" s="46" t="s">
        <v>22344</v>
      </c>
      <c r="G9166" s="1077" t="s">
        <v>22339</v>
      </c>
      <c r="H9166" s="534">
        <v>2993</v>
      </c>
      <c r="I9166" s="56">
        <v>45519</v>
      </c>
      <c r="J9166" s="199" t="s">
        <v>22340</v>
      </c>
      <c r="K9166" s="46"/>
      <c r="O9166" s="52" t="s">
        <v>17289</v>
      </c>
      <c r="P9166" s="46" t="s">
        <v>65</v>
      </c>
      <c r="Q9166" s="52" t="s">
        <v>64</v>
      </c>
      <c r="R9166" s="46" t="s">
        <v>265</v>
      </c>
    </row>
    <row r="9167" spans="2:18" ht="69" customHeight="1">
      <c r="B9167" s="236">
        <f t="shared" si="73"/>
        <v>6284</v>
      </c>
      <c r="C9167" s="74" t="s">
        <v>1853</v>
      </c>
      <c r="D9167" s="647" t="s">
        <v>21513</v>
      </c>
      <c r="E9167" s="74" t="s">
        <v>382</v>
      </c>
      <c r="F9167" s="74" t="s">
        <v>22345</v>
      </c>
      <c r="G9167" s="1079" t="s">
        <v>22346</v>
      </c>
      <c r="H9167" s="644">
        <v>5821.02</v>
      </c>
      <c r="I9167" s="252">
        <v>45519</v>
      </c>
      <c r="J9167" s="417" t="s">
        <v>22347</v>
      </c>
      <c r="K9167" s="241"/>
      <c r="O9167" s="45" t="s">
        <v>17289</v>
      </c>
      <c r="P9167" s="45" t="s">
        <v>51</v>
      </c>
      <c r="Q9167" s="48" t="s">
        <v>29</v>
      </c>
      <c r="R9167" s="45" t="s">
        <v>265</v>
      </c>
    </row>
    <row r="9168" spans="2:18" ht="69" customHeight="1">
      <c r="B9168" s="79">
        <f t="shared" si="73"/>
        <v>6285</v>
      </c>
      <c r="C9168" s="45" t="s">
        <v>11618</v>
      </c>
      <c r="D9168" s="84" t="s">
        <v>22348</v>
      </c>
      <c r="E9168" s="59" t="s">
        <v>22151</v>
      </c>
      <c r="F9168" s="45" t="s">
        <v>22349</v>
      </c>
      <c r="G9168" s="45" t="s">
        <v>22350</v>
      </c>
      <c r="H9168" s="546">
        <v>6904.12</v>
      </c>
      <c r="I9168" s="47">
        <v>45519</v>
      </c>
      <c r="J9168" s="73" t="s">
        <v>22351</v>
      </c>
      <c r="K9168" s="45"/>
      <c r="O9168" s="45" t="s">
        <v>8228</v>
      </c>
      <c r="P9168" s="45" t="s">
        <v>59</v>
      </c>
      <c r="Q9168" s="48" t="s">
        <v>122</v>
      </c>
      <c r="R9168" s="45" t="s">
        <v>272</v>
      </c>
    </row>
    <row r="9169" spans="2:18" ht="69" customHeight="1">
      <c r="B9169" s="79">
        <f t="shared" si="73"/>
        <v>6286</v>
      </c>
      <c r="C9169" s="45" t="s">
        <v>11618</v>
      </c>
      <c r="D9169" s="84" t="s">
        <v>22352</v>
      </c>
      <c r="E9169" s="59" t="s">
        <v>22151</v>
      </c>
      <c r="F9169" s="45" t="s">
        <v>22353</v>
      </c>
      <c r="G9169" s="45" t="s">
        <v>22156</v>
      </c>
      <c r="H9169" s="546">
        <v>27616.52</v>
      </c>
      <c r="I9169" s="47">
        <v>45519</v>
      </c>
      <c r="J9169" s="73" t="s">
        <v>22351</v>
      </c>
      <c r="K9169" s="45"/>
      <c r="O9169" s="45" t="s">
        <v>8228</v>
      </c>
      <c r="P9169" s="45" t="s">
        <v>59</v>
      </c>
      <c r="Q9169" s="48" t="s">
        <v>122</v>
      </c>
      <c r="R9169" s="45" t="s">
        <v>272</v>
      </c>
    </row>
    <row r="9170" spans="2:18" ht="69" customHeight="1">
      <c r="B9170" s="79">
        <f t="shared" si="73"/>
        <v>6287</v>
      </c>
      <c r="C9170" s="58" t="s">
        <v>309</v>
      </c>
      <c r="D9170" s="545" t="s">
        <v>7906</v>
      </c>
      <c r="E9170" s="58" t="s">
        <v>409</v>
      </c>
      <c r="F9170" s="58" t="s">
        <v>22354</v>
      </c>
      <c r="G9170" s="637" t="s">
        <v>22355</v>
      </c>
      <c r="H9170" s="546">
        <v>243290.27</v>
      </c>
      <c r="I9170" s="126">
        <v>44851</v>
      </c>
      <c r="J9170" s="73" t="s">
        <v>22356</v>
      </c>
      <c r="K9170" s="67" t="s">
        <v>22357</v>
      </c>
      <c r="O9170" s="60" t="s">
        <v>154</v>
      </c>
      <c r="P9170" s="45" t="s">
        <v>59</v>
      </c>
      <c r="Q9170" s="48" t="s">
        <v>25</v>
      </c>
      <c r="R9170" s="45" t="s">
        <v>272</v>
      </c>
    </row>
    <row r="9171" spans="2:18" ht="69" customHeight="1">
      <c r="B9171" s="319">
        <f t="shared" si="73"/>
        <v>6288</v>
      </c>
      <c r="C9171" s="207" t="s">
        <v>657</v>
      </c>
      <c r="D9171" s="303" t="s">
        <v>15916</v>
      </c>
      <c r="E9171" s="207" t="s">
        <v>266</v>
      </c>
      <c r="F9171" s="208" t="s">
        <v>22358</v>
      </c>
      <c r="G9171" s="160" t="s">
        <v>13552</v>
      </c>
      <c r="H9171" s="300">
        <v>38818.870000000003</v>
      </c>
      <c r="I9171" s="209">
        <v>45519</v>
      </c>
      <c r="J9171" s="316" t="s">
        <v>22359</v>
      </c>
      <c r="K9171" s="160" t="s">
        <v>22360</v>
      </c>
      <c r="O9171" s="288" t="s">
        <v>12529</v>
      </c>
      <c r="P9171" s="289" t="s">
        <v>67</v>
      </c>
      <c r="Q9171" s="160" t="s">
        <v>96</v>
      </c>
      <c r="R9171" s="160" t="s">
        <v>272</v>
      </c>
    </row>
    <row r="9172" spans="2:18" ht="69" customHeight="1">
      <c r="B9172" s="319">
        <f t="shared" si="73"/>
        <v>6289</v>
      </c>
      <c r="C9172" s="207" t="s">
        <v>458</v>
      </c>
      <c r="D9172" s="303" t="s">
        <v>22361</v>
      </c>
      <c r="E9172" s="207" t="s">
        <v>266</v>
      </c>
      <c r="F9172" s="208" t="s">
        <v>22362</v>
      </c>
      <c r="G9172" s="338" t="s">
        <v>13552</v>
      </c>
      <c r="H9172" s="300">
        <v>38818.870000000003</v>
      </c>
      <c r="I9172" s="343">
        <v>45519</v>
      </c>
      <c r="J9172" s="316" t="s">
        <v>22363</v>
      </c>
      <c r="K9172" s="160" t="s">
        <v>22360</v>
      </c>
      <c r="O9172" s="288" t="s">
        <v>12529</v>
      </c>
      <c r="P9172" s="160" t="s">
        <v>67</v>
      </c>
      <c r="Q9172" s="160" t="s">
        <v>96</v>
      </c>
      <c r="R9172" s="160" t="s">
        <v>272</v>
      </c>
    </row>
    <row r="9173" spans="2:18" ht="69" customHeight="1">
      <c r="B9173" s="319">
        <f t="shared" si="73"/>
        <v>6290</v>
      </c>
      <c r="C9173" s="207" t="s">
        <v>309</v>
      </c>
      <c r="D9173" s="303" t="s">
        <v>22364</v>
      </c>
      <c r="E9173" s="207" t="s">
        <v>266</v>
      </c>
      <c r="F9173" s="208" t="s">
        <v>22365</v>
      </c>
      <c r="G9173" s="338" t="s">
        <v>13552</v>
      </c>
      <c r="H9173" s="300">
        <v>38818.870000000003</v>
      </c>
      <c r="I9173" s="343">
        <v>45519</v>
      </c>
      <c r="J9173" s="316" t="s">
        <v>22366</v>
      </c>
      <c r="K9173" s="160" t="s">
        <v>22360</v>
      </c>
      <c r="O9173" s="288" t="s">
        <v>12529</v>
      </c>
      <c r="P9173" s="160" t="s">
        <v>67</v>
      </c>
      <c r="Q9173" s="160" t="s">
        <v>96</v>
      </c>
      <c r="R9173" s="160" t="s">
        <v>272</v>
      </c>
    </row>
    <row r="9174" spans="2:18" ht="69" customHeight="1">
      <c r="B9174" s="319">
        <f t="shared" si="73"/>
        <v>6291</v>
      </c>
      <c r="C9174" s="207" t="s">
        <v>309</v>
      </c>
      <c r="D9174" s="303" t="s">
        <v>22367</v>
      </c>
      <c r="E9174" s="207" t="s">
        <v>266</v>
      </c>
      <c r="F9174" s="208" t="s">
        <v>22368</v>
      </c>
      <c r="G9174" s="338" t="s">
        <v>13552</v>
      </c>
      <c r="H9174" s="300">
        <v>38818.870000000003</v>
      </c>
      <c r="I9174" s="343">
        <v>45519</v>
      </c>
      <c r="J9174" s="316" t="s">
        <v>22366</v>
      </c>
      <c r="K9174" s="160" t="s">
        <v>22360</v>
      </c>
      <c r="O9174" s="288" t="s">
        <v>12529</v>
      </c>
      <c r="P9174" s="160" t="s">
        <v>67</v>
      </c>
      <c r="Q9174" s="160" t="s">
        <v>96</v>
      </c>
      <c r="R9174" s="160" t="s">
        <v>272</v>
      </c>
    </row>
    <row r="9175" spans="2:18" ht="69" customHeight="1">
      <c r="B9175" s="79">
        <f t="shared" si="73"/>
        <v>6292</v>
      </c>
      <c r="C9175" s="178" t="s">
        <v>7189</v>
      </c>
      <c r="D9175" s="545" t="s">
        <v>11407</v>
      </c>
      <c r="E9175" s="59" t="s">
        <v>266</v>
      </c>
      <c r="F9175" s="210" t="s">
        <v>22369</v>
      </c>
      <c r="G9175" s="58" t="s">
        <v>21138</v>
      </c>
      <c r="H9175" s="546">
        <v>279.82</v>
      </c>
      <c r="I9175" s="247">
        <v>45519</v>
      </c>
      <c r="J9175" s="65" t="s">
        <v>22370</v>
      </c>
      <c r="K9175" s="67"/>
      <c r="O9175" s="45" t="s">
        <v>5969</v>
      </c>
      <c r="P9175" s="45" t="s">
        <v>44</v>
      </c>
      <c r="Q9175" s="48" t="s">
        <v>97</v>
      </c>
      <c r="R9175" s="45" t="s">
        <v>272</v>
      </c>
    </row>
    <row r="9176" spans="2:18" ht="69" customHeight="1">
      <c r="B9176" s="319">
        <f t="shared" si="73"/>
        <v>6293</v>
      </c>
      <c r="C9176" s="160" t="s">
        <v>3340</v>
      </c>
      <c r="D9176" s="311" t="s">
        <v>2954</v>
      </c>
      <c r="E9176" s="207" t="s">
        <v>266</v>
      </c>
      <c r="F9176" s="160" t="s">
        <v>22371</v>
      </c>
      <c r="G9176" s="334" t="s">
        <v>22372</v>
      </c>
      <c r="H9176" s="300">
        <v>3548.94</v>
      </c>
      <c r="I9176" s="343">
        <v>45519</v>
      </c>
      <c r="J9176" s="316" t="s">
        <v>22373</v>
      </c>
      <c r="K9176" s="160"/>
      <c r="O9176" s="160" t="s">
        <v>11084</v>
      </c>
      <c r="P9176" s="160" t="s">
        <v>67</v>
      </c>
      <c r="Q9176" s="160" t="s">
        <v>96</v>
      </c>
      <c r="R9176" s="160" t="s">
        <v>272</v>
      </c>
    </row>
    <row r="9177" spans="2:18" ht="69" customHeight="1">
      <c r="B9177" s="79">
        <f t="shared" si="73"/>
        <v>6294</v>
      </c>
      <c r="C9177" s="178" t="s">
        <v>10937</v>
      </c>
      <c r="D9177" s="545" t="s">
        <v>15920</v>
      </c>
      <c r="E9177" s="59" t="s">
        <v>266</v>
      </c>
      <c r="F9177" s="237" t="s">
        <v>22374</v>
      </c>
      <c r="G9177" s="237" t="s">
        <v>22375</v>
      </c>
      <c r="H9177" s="546">
        <v>2906.98</v>
      </c>
      <c r="I9177" s="247">
        <v>45512</v>
      </c>
      <c r="J9177" s="65" t="s">
        <v>22376</v>
      </c>
      <c r="K9177" s="67"/>
      <c r="O9177" s="45"/>
      <c r="P9177" s="45" t="s">
        <v>44</v>
      </c>
      <c r="Q9177" s="48" t="s">
        <v>104</v>
      </c>
      <c r="R9177" s="45" t="s">
        <v>272</v>
      </c>
    </row>
    <row r="9178" spans="2:18" ht="69" customHeight="1">
      <c r="B9178" s="319">
        <f t="shared" si="73"/>
        <v>6295</v>
      </c>
      <c r="C9178" s="160" t="s">
        <v>13665</v>
      </c>
      <c r="D9178" s="303" t="s">
        <v>2470</v>
      </c>
      <c r="E9178" s="344" t="s">
        <v>266</v>
      </c>
      <c r="F9178" s="160" t="s">
        <v>22377</v>
      </c>
      <c r="G9178" s="160" t="s">
        <v>22378</v>
      </c>
      <c r="H9178" s="300">
        <v>966.19</v>
      </c>
      <c r="I9178" s="329">
        <v>45505</v>
      </c>
      <c r="J9178" s="316" t="s">
        <v>22379</v>
      </c>
      <c r="K9178" s="160" t="s">
        <v>5969</v>
      </c>
      <c r="O9178" s="160" t="s">
        <v>11084</v>
      </c>
      <c r="P9178" s="160" t="s">
        <v>67</v>
      </c>
      <c r="Q9178" s="160" t="s">
        <v>96</v>
      </c>
      <c r="R9178" s="160" t="s">
        <v>272</v>
      </c>
    </row>
    <row r="9179" spans="2:18" ht="69" customHeight="1">
      <c r="B9179" s="253">
        <f t="shared" si="73"/>
        <v>6296</v>
      </c>
      <c r="C9179" s="256" t="s">
        <v>11618</v>
      </c>
      <c r="D9179" s="255" t="s">
        <v>22380</v>
      </c>
      <c r="E9179" s="513" t="s">
        <v>22151</v>
      </c>
      <c r="F9179" s="118" t="s">
        <v>22381</v>
      </c>
      <c r="G9179" s="118" t="s">
        <v>22382</v>
      </c>
      <c r="H9179" s="300">
        <v>6904.12</v>
      </c>
      <c r="I9179" s="262">
        <v>45519</v>
      </c>
      <c r="J9179" s="258" t="s">
        <v>22383</v>
      </c>
      <c r="K9179" s="160" t="s">
        <v>22384</v>
      </c>
      <c r="L9179" s="406"/>
      <c r="O9179" s="118" t="s">
        <v>8228</v>
      </c>
      <c r="P9179" s="118" t="s">
        <v>67</v>
      </c>
      <c r="Q9179" s="261" t="s">
        <v>122</v>
      </c>
      <c r="R9179" s="118" t="s">
        <v>272</v>
      </c>
    </row>
    <row r="9180" spans="2:18" ht="69" customHeight="1">
      <c r="B9180" s="253">
        <f t="shared" si="73"/>
        <v>6297</v>
      </c>
      <c r="C9180" s="256" t="s">
        <v>11618</v>
      </c>
      <c r="D9180" s="255" t="s">
        <v>22385</v>
      </c>
      <c r="E9180" s="513" t="s">
        <v>22151</v>
      </c>
      <c r="F9180" s="118" t="s">
        <v>22386</v>
      </c>
      <c r="G9180" s="118" t="s">
        <v>22382</v>
      </c>
      <c r="H9180" s="300">
        <v>27616.52</v>
      </c>
      <c r="I9180" s="262">
        <v>45519</v>
      </c>
      <c r="J9180" s="258" t="s">
        <v>22383</v>
      </c>
      <c r="K9180" s="160" t="s">
        <v>22384</v>
      </c>
      <c r="L9180" s="406"/>
      <c r="O9180" s="118" t="s">
        <v>8228</v>
      </c>
      <c r="P9180" s="118" t="s">
        <v>67</v>
      </c>
      <c r="Q9180" s="261" t="s">
        <v>122</v>
      </c>
      <c r="R9180" s="118" t="s">
        <v>272</v>
      </c>
    </row>
    <row r="9181" spans="2:18" ht="69" customHeight="1">
      <c r="B9181" s="319">
        <f t="shared" si="73"/>
        <v>6298</v>
      </c>
      <c r="C9181" s="345" t="s">
        <v>13665</v>
      </c>
      <c r="D9181" s="303" t="s">
        <v>2710</v>
      </c>
      <c r="E9181" s="344" t="s">
        <v>266</v>
      </c>
      <c r="F9181" s="160" t="s">
        <v>22387</v>
      </c>
      <c r="G9181" s="160" t="s">
        <v>22388</v>
      </c>
      <c r="H9181" s="300">
        <v>686.36</v>
      </c>
      <c r="I9181" s="329">
        <v>45506</v>
      </c>
      <c r="J9181" s="316" t="s">
        <v>22389</v>
      </c>
      <c r="K9181" s="160"/>
      <c r="O9181" s="160" t="s">
        <v>11084</v>
      </c>
      <c r="P9181" s="160" t="s">
        <v>67</v>
      </c>
      <c r="Q9181" s="160" t="s">
        <v>96</v>
      </c>
      <c r="R9181" s="160" t="s">
        <v>272</v>
      </c>
    </row>
    <row r="9182" spans="2:18" ht="69" customHeight="1">
      <c r="B9182" s="253">
        <f t="shared" si="73"/>
        <v>6299</v>
      </c>
      <c r="C9182" s="256" t="s">
        <v>458</v>
      </c>
      <c r="D9182" s="514" t="s">
        <v>22390</v>
      </c>
      <c r="E9182" s="513" t="s">
        <v>22151</v>
      </c>
      <c r="F9182" s="118" t="s">
        <v>22391</v>
      </c>
      <c r="G9182" s="118" t="s">
        <v>22382</v>
      </c>
      <c r="H9182" s="300">
        <v>10033.790000000001</v>
      </c>
      <c r="I9182" s="262">
        <v>45519</v>
      </c>
      <c r="J9182" s="258" t="s">
        <v>22392</v>
      </c>
      <c r="K9182" s="118" t="s">
        <v>22384</v>
      </c>
      <c r="L9182" s="406"/>
      <c r="O9182" s="118" t="s">
        <v>8228</v>
      </c>
      <c r="P9182" s="118" t="s">
        <v>67</v>
      </c>
      <c r="Q9182" s="261" t="s">
        <v>107</v>
      </c>
      <c r="R9182" s="118" t="s">
        <v>272</v>
      </c>
    </row>
    <row r="9183" spans="2:18" ht="69" customHeight="1">
      <c r="B9183" s="253">
        <f t="shared" si="73"/>
        <v>6300</v>
      </c>
      <c r="C9183" s="256" t="s">
        <v>458</v>
      </c>
      <c r="D9183" s="255" t="s">
        <v>22393</v>
      </c>
      <c r="E9183" s="513" t="s">
        <v>22151</v>
      </c>
      <c r="F9183" s="118" t="s">
        <v>22394</v>
      </c>
      <c r="G9183" s="118" t="s">
        <v>22382</v>
      </c>
      <c r="H9183" s="300">
        <v>40135.17</v>
      </c>
      <c r="I9183" s="262">
        <v>45519</v>
      </c>
      <c r="J9183" s="258" t="s">
        <v>22392</v>
      </c>
      <c r="K9183" s="118" t="s">
        <v>22384</v>
      </c>
      <c r="L9183" s="406"/>
      <c r="O9183" s="118" t="s">
        <v>8228</v>
      </c>
      <c r="P9183" s="118" t="s">
        <v>67</v>
      </c>
      <c r="Q9183" s="261" t="s">
        <v>107</v>
      </c>
      <c r="R9183" s="118" t="s">
        <v>272</v>
      </c>
    </row>
    <row r="9184" spans="2:18" ht="69" customHeight="1">
      <c r="B9184" s="319">
        <f t="shared" si="73"/>
        <v>6301</v>
      </c>
      <c r="C9184" s="160" t="s">
        <v>16368</v>
      </c>
      <c r="D9184" s="311" t="s">
        <v>3190</v>
      </c>
      <c r="E9184" s="207" t="s">
        <v>266</v>
      </c>
      <c r="F9184" s="160" t="s">
        <v>22395</v>
      </c>
      <c r="G9184" s="334" t="s">
        <v>22372</v>
      </c>
      <c r="H9184" s="300">
        <v>946.2</v>
      </c>
      <c r="I9184" s="209">
        <v>45519</v>
      </c>
      <c r="J9184" s="316" t="s">
        <v>22396</v>
      </c>
      <c r="K9184" s="160" t="s">
        <v>11084</v>
      </c>
      <c r="O9184" s="160"/>
      <c r="P9184" s="160" t="s">
        <v>67</v>
      </c>
      <c r="Q9184" s="160" t="s">
        <v>96</v>
      </c>
      <c r="R9184" s="160" t="s">
        <v>272</v>
      </c>
    </row>
    <row r="9185" spans="2:18" ht="69" customHeight="1">
      <c r="B9185" s="79">
        <f t="shared" si="73"/>
        <v>6302</v>
      </c>
      <c r="C9185" s="178" t="s">
        <v>11618</v>
      </c>
      <c r="D9185" s="545" t="s">
        <v>22397</v>
      </c>
      <c r="E9185" s="649" t="s">
        <v>22398</v>
      </c>
      <c r="F9185" s="58" t="s">
        <v>22399</v>
      </c>
      <c r="G9185" s="45" t="s">
        <v>22400</v>
      </c>
      <c r="H9185" s="546">
        <v>343831.33</v>
      </c>
      <c r="I9185" s="126">
        <v>45519</v>
      </c>
      <c r="J9185" s="73" t="s">
        <v>22401</v>
      </c>
      <c r="K9185" s="58"/>
      <c r="O9185" s="45" t="s">
        <v>21304</v>
      </c>
      <c r="P9185" s="45" t="s">
        <v>77</v>
      </c>
      <c r="Q9185" s="48" t="s">
        <v>122</v>
      </c>
      <c r="R9185" s="45" t="s">
        <v>272</v>
      </c>
    </row>
    <row r="9186" spans="2:18" ht="69" customHeight="1">
      <c r="B9186" s="79">
        <f t="shared" si="73"/>
        <v>6303</v>
      </c>
      <c r="C9186" s="178" t="s">
        <v>11618</v>
      </c>
      <c r="D9186" s="174" t="s">
        <v>19406</v>
      </c>
      <c r="E9186" s="706" t="s">
        <v>22398</v>
      </c>
      <c r="F9186" s="58" t="s">
        <v>22402</v>
      </c>
      <c r="G9186" s="58" t="s">
        <v>22400</v>
      </c>
      <c r="H9186" s="552">
        <v>25810</v>
      </c>
      <c r="I9186" s="66">
        <v>45519</v>
      </c>
      <c r="J9186" s="65" t="s">
        <v>22401</v>
      </c>
      <c r="K9186" s="58"/>
      <c r="O9186" s="58" t="s">
        <v>21304</v>
      </c>
      <c r="P9186" s="58" t="s">
        <v>77</v>
      </c>
      <c r="Q9186" s="62" t="s">
        <v>122</v>
      </c>
      <c r="R9186" s="58" t="s">
        <v>272</v>
      </c>
    </row>
    <row r="9187" spans="2:18" ht="69" customHeight="1">
      <c r="B9187" s="79">
        <f t="shared" si="73"/>
        <v>6304</v>
      </c>
      <c r="C9187" s="58" t="s">
        <v>11933</v>
      </c>
      <c r="D9187" s="545" t="s">
        <v>19411</v>
      </c>
      <c r="E9187" s="649" t="s">
        <v>22398</v>
      </c>
      <c r="F9187" s="45" t="s">
        <v>22403</v>
      </c>
      <c r="G9187" s="45" t="s">
        <v>22404</v>
      </c>
      <c r="H9187" s="546">
        <v>449992.7</v>
      </c>
      <c r="I9187" s="126">
        <v>45519</v>
      </c>
      <c r="J9187" s="73" t="s">
        <v>22405</v>
      </c>
      <c r="K9187" s="58"/>
      <c r="O9187" s="45" t="s">
        <v>21304</v>
      </c>
      <c r="P9187" s="45" t="s">
        <v>77</v>
      </c>
      <c r="Q9187" s="48" t="s">
        <v>123</v>
      </c>
      <c r="R9187" s="45" t="s">
        <v>272</v>
      </c>
    </row>
    <row r="9188" spans="2:18" ht="69" customHeight="1">
      <c r="B9188" s="79">
        <f t="shared" si="73"/>
        <v>6305</v>
      </c>
      <c r="C9188" s="58" t="s">
        <v>11933</v>
      </c>
      <c r="D9188" s="545" t="s">
        <v>19421</v>
      </c>
      <c r="E9188" s="649" t="s">
        <v>22398</v>
      </c>
      <c r="F9188" s="45" t="s">
        <v>22406</v>
      </c>
      <c r="G9188" s="45" t="s">
        <v>22404</v>
      </c>
      <c r="H9188" s="546">
        <v>62400</v>
      </c>
      <c r="I9188" s="126">
        <v>45519</v>
      </c>
      <c r="J9188" s="73" t="s">
        <v>22405</v>
      </c>
      <c r="K9188" s="58"/>
      <c r="O9188" s="45" t="s">
        <v>21304</v>
      </c>
      <c r="P9188" s="45" t="s">
        <v>77</v>
      </c>
      <c r="Q9188" s="48" t="s">
        <v>123</v>
      </c>
      <c r="R9188" s="45" t="s">
        <v>272</v>
      </c>
    </row>
    <row r="9189" spans="2:18" ht="69" customHeight="1">
      <c r="B9189" s="79">
        <f t="shared" si="73"/>
        <v>6306</v>
      </c>
      <c r="C9189" s="178" t="s">
        <v>458</v>
      </c>
      <c r="D9189" s="545" t="s">
        <v>22407</v>
      </c>
      <c r="E9189" s="649" t="s">
        <v>22151</v>
      </c>
      <c r="F9189" s="58" t="s">
        <v>22408</v>
      </c>
      <c r="G9189" s="45" t="s">
        <v>22409</v>
      </c>
      <c r="H9189" s="546">
        <v>15040</v>
      </c>
      <c r="I9189" s="126">
        <v>45519</v>
      </c>
      <c r="J9189" s="73" t="s">
        <v>22410</v>
      </c>
      <c r="K9189" s="45" t="s">
        <v>22411</v>
      </c>
      <c r="M9189" s="117"/>
      <c r="N9189" s="117"/>
      <c r="O9189" s="45" t="s">
        <v>8228</v>
      </c>
      <c r="P9189" s="45" t="s">
        <v>59</v>
      </c>
      <c r="Q9189" s="48" t="s">
        <v>119</v>
      </c>
      <c r="R9189" s="45" t="s">
        <v>272</v>
      </c>
    </row>
    <row r="9190" spans="2:18" ht="69" customHeight="1">
      <c r="B9190" s="231" t="s">
        <v>96</v>
      </c>
      <c r="C9190" s="191" t="s">
        <v>458</v>
      </c>
      <c r="D9190" s="251" t="s">
        <v>96</v>
      </c>
      <c r="E9190" s="650" t="s">
        <v>22151</v>
      </c>
      <c r="F9190" s="46" t="s">
        <v>22412</v>
      </c>
      <c r="G9190" s="46" t="s">
        <v>22409</v>
      </c>
      <c r="H9190" s="534">
        <f>14075-H9191</f>
        <v>10840</v>
      </c>
      <c r="I9190" s="56">
        <v>45519</v>
      </c>
      <c r="J9190" s="199" t="s">
        <v>22410</v>
      </c>
      <c r="K9190" s="46" t="s">
        <v>22411</v>
      </c>
      <c r="M9190" s="117"/>
      <c r="N9190" s="117"/>
      <c r="O9190" s="46" t="s">
        <v>8228</v>
      </c>
      <c r="P9190" s="46" t="s">
        <v>59</v>
      </c>
      <c r="Q9190" s="52" t="s">
        <v>120</v>
      </c>
      <c r="R9190" s="46" t="s">
        <v>272</v>
      </c>
    </row>
    <row r="9191" spans="2:18" ht="69" customHeight="1">
      <c r="B9191" s="231" t="s">
        <v>96</v>
      </c>
      <c r="C9191" s="191" t="s">
        <v>458</v>
      </c>
      <c r="D9191" s="251" t="s">
        <v>96</v>
      </c>
      <c r="E9191" s="650" t="s">
        <v>22151</v>
      </c>
      <c r="F9191" s="46" t="s">
        <v>22413</v>
      </c>
      <c r="G9191" s="46" t="s">
        <v>22409</v>
      </c>
      <c r="H9191" s="534">
        <f>6470/2</f>
        <v>3235</v>
      </c>
      <c r="I9191" s="56">
        <v>45519</v>
      </c>
      <c r="J9191" s="199" t="s">
        <v>22410</v>
      </c>
      <c r="K9191" s="46" t="s">
        <v>22411</v>
      </c>
      <c r="M9191" s="117"/>
      <c r="N9191" s="117"/>
      <c r="O9191" s="46" t="s">
        <v>8228</v>
      </c>
      <c r="P9191" s="46" t="s">
        <v>59</v>
      </c>
      <c r="Q9191" s="52" t="s">
        <v>120</v>
      </c>
      <c r="R9191" s="46" t="s">
        <v>272</v>
      </c>
    </row>
    <row r="9192" spans="2:18" ht="69" customHeight="1">
      <c r="B9192" s="232">
        <f>B9189+1</f>
        <v>6307</v>
      </c>
      <c r="C9192" s="178" t="s">
        <v>458</v>
      </c>
      <c r="D9192" s="545" t="s">
        <v>19432</v>
      </c>
      <c r="E9192" s="649" t="s">
        <v>22151</v>
      </c>
      <c r="F9192" s="58" t="s">
        <v>22414</v>
      </c>
      <c r="G9192" s="45" t="s">
        <v>22409</v>
      </c>
      <c r="H9192" s="546">
        <f>6470/2</f>
        <v>3235</v>
      </c>
      <c r="I9192" s="126">
        <v>45519</v>
      </c>
      <c r="J9192" s="73" t="s">
        <v>22410</v>
      </c>
      <c r="K9192" s="45" t="s">
        <v>22411</v>
      </c>
      <c r="M9192" s="117"/>
      <c r="N9192" s="117"/>
      <c r="O9192" s="45" t="s">
        <v>8228</v>
      </c>
      <c r="P9192" s="45" t="s">
        <v>59</v>
      </c>
      <c r="Q9192" s="48" t="s">
        <v>119</v>
      </c>
      <c r="R9192" s="45" t="s">
        <v>272</v>
      </c>
    </row>
    <row r="9193" spans="2:18" ht="69" customHeight="1">
      <c r="B9193" s="236">
        <f t="shared" si="73"/>
        <v>6308</v>
      </c>
      <c r="C9193" s="74" t="s">
        <v>13435</v>
      </c>
      <c r="D9193" s="647" t="s">
        <v>22415</v>
      </c>
      <c r="E9193" s="74" t="s">
        <v>21476</v>
      </c>
      <c r="F9193" s="74" t="s">
        <v>22416</v>
      </c>
      <c r="G9193" s="74" t="s">
        <v>22417</v>
      </c>
      <c r="H9193" s="644">
        <v>250000</v>
      </c>
      <c r="I9193" s="130">
        <v>45529</v>
      </c>
      <c r="J9193" s="417" t="s">
        <v>22418</v>
      </c>
      <c r="K9193" s="241"/>
      <c r="O9193" s="45" t="s">
        <v>156</v>
      </c>
      <c r="P9193" s="45" t="s">
        <v>73</v>
      </c>
      <c r="Q9193" s="48" t="s">
        <v>13</v>
      </c>
      <c r="R9193" s="45" t="s">
        <v>272</v>
      </c>
    </row>
    <row r="9194" spans="2:18" ht="69" customHeight="1">
      <c r="B9194" s="79">
        <f t="shared" si="73"/>
        <v>6309</v>
      </c>
      <c r="C9194" s="58" t="s">
        <v>13435</v>
      </c>
      <c r="D9194" s="545" t="s">
        <v>22419</v>
      </c>
      <c r="E9194" s="58" t="s">
        <v>22420</v>
      </c>
      <c r="F9194" s="58" t="s">
        <v>22421</v>
      </c>
      <c r="G9194" s="58" t="s">
        <v>22422</v>
      </c>
      <c r="H9194" s="546">
        <v>5821.02</v>
      </c>
      <c r="I9194" s="126">
        <v>45519</v>
      </c>
      <c r="J9194" s="73" t="s">
        <v>22423</v>
      </c>
      <c r="K9194" s="67"/>
      <c r="O9194" s="45" t="s">
        <v>150</v>
      </c>
      <c r="P9194" s="45" t="s">
        <v>51</v>
      </c>
      <c r="Q9194" s="48" t="s">
        <v>13</v>
      </c>
      <c r="R9194" s="45" t="s">
        <v>265</v>
      </c>
    </row>
    <row r="9195" spans="2:18" ht="69" customHeight="1">
      <c r="B9195" s="79">
        <f t="shared" si="73"/>
        <v>6310</v>
      </c>
      <c r="C9195" s="58" t="s">
        <v>581</v>
      </c>
      <c r="D9195" s="545" t="s">
        <v>22424</v>
      </c>
      <c r="E9195" s="58" t="s">
        <v>22420</v>
      </c>
      <c r="F9195" s="58" t="s">
        <v>22425</v>
      </c>
      <c r="G9195" s="58" t="s">
        <v>22422</v>
      </c>
      <c r="H9195" s="546">
        <v>5821.02</v>
      </c>
      <c r="I9195" s="126">
        <v>45519</v>
      </c>
      <c r="J9195" s="73" t="s">
        <v>22423</v>
      </c>
      <c r="K9195" s="67"/>
      <c r="O9195" s="45" t="s">
        <v>150</v>
      </c>
      <c r="P9195" s="45" t="s">
        <v>51</v>
      </c>
      <c r="Q9195" s="48" t="s">
        <v>18</v>
      </c>
      <c r="R9195" s="45" t="s">
        <v>265</v>
      </c>
    </row>
    <row r="9196" spans="2:18" ht="69" customHeight="1">
      <c r="B9196" s="319">
        <f t="shared" si="73"/>
        <v>6311</v>
      </c>
      <c r="C9196" s="160" t="s">
        <v>19158</v>
      </c>
      <c r="D9196" s="303" t="s">
        <v>3569</v>
      </c>
      <c r="E9196" s="344" t="s">
        <v>266</v>
      </c>
      <c r="F9196" s="160" t="s">
        <v>22426</v>
      </c>
      <c r="G9196" s="160" t="s">
        <v>22427</v>
      </c>
      <c r="H9196" s="300">
        <v>10532.14</v>
      </c>
      <c r="I9196" s="209">
        <v>45519</v>
      </c>
      <c r="J9196" s="316" t="s">
        <v>22428</v>
      </c>
      <c r="K9196" s="160" t="s">
        <v>11084</v>
      </c>
      <c r="O9196" s="259" t="s">
        <v>141</v>
      </c>
      <c r="P9196" s="160" t="s">
        <v>67</v>
      </c>
      <c r="Q9196" s="160" t="s">
        <v>96</v>
      </c>
      <c r="R9196" s="160" t="s">
        <v>272</v>
      </c>
    </row>
    <row r="9197" spans="2:18" ht="69" customHeight="1">
      <c r="B9197" s="319">
        <f t="shared" si="73"/>
        <v>6312</v>
      </c>
      <c r="C9197" s="207" t="s">
        <v>309</v>
      </c>
      <c r="D9197" s="311" t="s">
        <v>22429</v>
      </c>
      <c r="E9197" s="344" t="s">
        <v>266</v>
      </c>
      <c r="F9197" s="208" t="s">
        <v>22430</v>
      </c>
      <c r="G9197" s="160" t="s">
        <v>13201</v>
      </c>
      <c r="H9197" s="300">
        <v>25271.599999999999</v>
      </c>
      <c r="I9197" s="209">
        <v>45519</v>
      </c>
      <c r="J9197" s="316" t="s">
        <v>22431</v>
      </c>
      <c r="K9197" s="160"/>
      <c r="O9197" s="290" t="s">
        <v>15366</v>
      </c>
      <c r="P9197" s="160" t="s">
        <v>67</v>
      </c>
      <c r="Q9197" s="160" t="s">
        <v>96</v>
      </c>
      <c r="R9197" s="160" t="s">
        <v>272</v>
      </c>
    </row>
    <row r="9198" spans="2:18" ht="69" customHeight="1">
      <c r="B9198" s="319">
        <f t="shared" si="73"/>
        <v>6313</v>
      </c>
      <c r="C9198" s="345" t="s">
        <v>13665</v>
      </c>
      <c r="D9198" s="311" t="s">
        <v>2716</v>
      </c>
      <c r="E9198" s="160" t="s">
        <v>21476</v>
      </c>
      <c r="F9198" s="160" t="s">
        <v>22432</v>
      </c>
      <c r="G9198" s="160" t="s">
        <v>22433</v>
      </c>
      <c r="H9198" s="300">
        <v>365000</v>
      </c>
      <c r="I9198" s="209">
        <v>45529</v>
      </c>
      <c r="J9198" s="316" t="s">
        <v>22434</v>
      </c>
      <c r="K9198" s="259" t="s">
        <v>11084</v>
      </c>
      <c r="M9198" s="98"/>
      <c r="N9198" s="98"/>
      <c r="O9198" s="160" t="s">
        <v>156</v>
      </c>
      <c r="P9198" s="160" t="s">
        <v>67</v>
      </c>
      <c r="Q9198" s="160" t="s">
        <v>96</v>
      </c>
      <c r="R9198" s="160" t="s">
        <v>272</v>
      </c>
    </row>
    <row r="9199" spans="2:18" ht="69" customHeight="1">
      <c r="B9199" s="319">
        <f t="shared" si="73"/>
        <v>6314</v>
      </c>
      <c r="C9199" s="345" t="s">
        <v>13665</v>
      </c>
      <c r="D9199" s="303" t="s">
        <v>3341</v>
      </c>
      <c r="E9199" s="160" t="s">
        <v>21476</v>
      </c>
      <c r="F9199" s="160" t="s">
        <v>22435</v>
      </c>
      <c r="G9199" s="160" t="s">
        <v>22433</v>
      </c>
      <c r="H9199" s="300">
        <v>500000</v>
      </c>
      <c r="I9199" s="209">
        <v>45529</v>
      </c>
      <c r="J9199" s="316" t="s">
        <v>22436</v>
      </c>
      <c r="K9199" s="160" t="s">
        <v>20590</v>
      </c>
      <c r="O9199" s="160" t="s">
        <v>156</v>
      </c>
      <c r="P9199" s="160" t="s">
        <v>67</v>
      </c>
      <c r="Q9199" s="160" t="s">
        <v>96</v>
      </c>
      <c r="R9199" s="160" t="s">
        <v>272</v>
      </c>
    </row>
    <row r="9200" spans="2:18" ht="69" customHeight="1">
      <c r="B9200" s="79">
        <f t="shared" si="73"/>
        <v>6315</v>
      </c>
      <c r="C9200" s="58" t="s">
        <v>581</v>
      </c>
      <c r="D9200" s="174" t="s">
        <v>18456</v>
      </c>
      <c r="E9200" s="58" t="s">
        <v>21476</v>
      </c>
      <c r="F9200" s="58" t="s">
        <v>22437</v>
      </c>
      <c r="G9200" s="58" t="s">
        <v>22438</v>
      </c>
      <c r="H9200" s="546">
        <v>250000</v>
      </c>
      <c r="I9200" s="47">
        <v>45529</v>
      </c>
      <c r="J9200" s="73" t="s">
        <v>22439</v>
      </c>
      <c r="K9200" s="67"/>
      <c r="O9200" s="45" t="s">
        <v>156</v>
      </c>
      <c r="P9200" s="45" t="s">
        <v>73</v>
      </c>
      <c r="Q9200" s="48" t="s">
        <v>18</v>
      </c>
      <c r="R9200" s="45" t="s">
        <v>272</v>
      </c>
    </row>
    <row r="9201" spans="2:18" ht="69" customHeight="1">
      <c r="B9201" s="231">
        <f t="shared" si="73"/>
        <v>6316</v>
      </c>
      <c r="C9201" s="46" t="s">
        <v>13435</v>
      </c>
      <c r="D9201" s="251" t="s">
        <v>18461</v>
      </c>
      <c r="E9201" s="191" t="s">
        <v>266</v>
      </c>
      <c r="F9201" s="46" t="s">
        <v>22440</v>
      </c>
      <c r="G9201" s="46" t="s">
        <v>22441</v>
      </c>
      <c r="H9201" s="534">
        <v>21000</v>
      </c>
      <c r="I9201" s="56">
        <v>45529</v>
      </c>
      <c r="J9201" s="199" t="s">
        <v>22442</v>
      </c>
      <c r="K9201" s="46"/>
      <c r="O9201" s="46" t="s">
        <v>1171</v>
      </c>
      <c r="P9201" s="46" t="s">
        <v>71</v>
      </c>
      <c r="Q9201" s="52" t="s">
        <v>13</v>
      </c>
      <c r="R9201" s="46" t="s">
        <v>272</v>
      </c>
    </row>
    <row r="9202" spans="2:18" ht="69" customHeight="1">
      <c r="B9202" s="231">
        <f t="shared" si="73"/>
        <v>6317</v>
      </c>
      <c r="C9202" s="46" t="s">
        <v>581</v>
      </c>
      <c r="D9202" s="251" t="s">
        <v>18487</v>
      </c>
      <c r="E9202" s="191" t="s">
        <v>266</v>
      </c>
      <c r="F9202" s="46" t="s">
        <v>22443</v>
      </c>
      <c r="G9202" s="46" t="s">
        <v>22441</v>
      </c>
      <c r="H9202" s="534">
        <v>43080</v>
      </c>
      <c r="I9202" s="56">
        <v>45529</v>
      </c>
      <c r="J9202" s="199" t="s">
        <v>22442</v>
      </c>
      <c r="K9202" s="46"/>
      <c r="O9202" s="46" t="s">
        <v>1171</v>
      </c>
      <c r="P9202" s="46" t="s">
        <v>71</v>
      </c>
      <c r="Q9202" s="52" t="s">
        <v>18</v>
      </c>
      <c r="R9202" s="46" t="s">
        <v>272</v>
      </c>
    </row>
    <row r="9203" spans="2:18" ht="69" customHeight="1">
      <c r="B9203" s="231">
        <f t="shared" si="73"/>
        <v>6318</v>
      </c>
      <c r="C9203" s="46" t="s">
        <v>13435</v>
      </c>
      <c r="D9203" s="251" t="s">
        <v>22444</v>
      </c>
      <c r="E9203" s="191" t="s">
        <v>266</v>
      </c>
      <c r="F9203" s="46" t="s">
        <v>22445</v>
      </c>
      <c r="G9203" s="46" t="s">
        <v>22441</v>
      </c>
      <c r="H9203" s="534">
        <v>10500</v>
      </c>
      <c r="I9203" s="56">
        <v>45529</v>
      </c>
      <c r="J9203" s="199" t="s">
        <v>22442</v>
      </c>
      <c r="K9203" s="46" t="s">
        <v>22446</v>
      </c>
      <c r="O9203" s="46" t="s">
        <v>1171</v>
      </c>
      <c r="P9203" s="46" t="s">
        <v>71</v>
      </c>
      <c r="Q9203" s="52" t="s">
        <v>13</v>
      </c>
      <c r="R9203" s="46" t="s">
        <v>272</v>
      </c>
    </row>
    <row r="9204" spans="2:18" ht="69" customHeight="1">
      <c r="B9204" s="231">
        <f t="shared" si="73"/>
        <v>6319</v>
      </c>
      <c r="C9204" s="191" t="s">
        <v>458</v>
      </c>
      <c r="D9204" s="251" t="s">
        <v>22447</v>
      </c>
      <c r="E9204" s="191" t="s">
        <v>266</v>
      </c>
      <c r="F9204" s="46" t="s">
        <v>22448</v>
      </c>
      <c r="G9204" s="46" t="s">
        <v>22449</v>
      </c>
      <c r="H9204" s="534">
        <v>15551.02</v>
      </c>
      <c r="I9204" s="56">
        <v>45529</v>
      </c>
      <c r="J9204" s="199" t="s">
        <v>22450</v>
      </c>
      <c r="K9204" s="46"/>
      <c r="L9204" s="103"/>
      <c r="M9204" s="117"/>
      <c r="N9204" s="117"/>
      <c r="O9204" s="46" t="s">
        <v>13921</v>
      </c>
      <c r="P9204" s="46" t="s">
        <v>65</v>
      </c>
      <c r="Q9204" s="52" t="s">
        <v>122</v>
      </c>
      <c r="R9204" s="46" t="s">
        <v>272</v>
      </c>
    </row>
    <row r="9205" spans="2:18" ht="69" customHeight="1">
      <c r="B9205" s="319">
        <f t="shared" si="73"/>
        <v>6320</v>
      </c>
      <c r="C9205" s="207" t="s">
        <v>309</v>
      </c>
      <c r="D9205" s="303" t="s">
        <v>18519</v>
      </c>
      <c r="E9205" s="207" t="s">
        <v>266</v>
      </c>
      <c r="F9205" s="160" t="s">
        <v>22451</v>
      </c>
      <c r="G9205" s="160" t="s">
        <v>22452</v>
      </c>
      <c r="H9205" s="300">
        <v>1400</v>
      </c>
      <c r="I9205" s="209">
        <v>45519</v>
      </c>
      <c r="J9205" s="316" t="s">
        <v>22453</v>
      </c>
      <c r="K9205" s="160"/>
      <c r="O9205" s="160"/>
      <c r="P9205" s="160" t="s">
        <v>67</v>
      </c>
      <c r="Q9205" s="259" t="s">
        <v>15</v>
      </c>
      <c r="R9205" s="160" t="s">
        <v>272</v>
      </c>
    </row>
    <row r="9206" spans="2:18" ht="69" customHeight="1">
      <c r="B9206" s="79">
        <f t="shared" si="73"/>
        <v>6321</v>
      </c>
      <c r="C9206" s="59" t="s">
        <v>3667</v>
      </c>
      <c r="D9206" s="545" t="s">
        <v>22454</v>
      </c>
      <c r="E9206" s="58" t="s">
        <v>16011</v>
      </c>
      <c r="F9206" s="58" t="s">
        <v>22455</v>
      </c>
      <c r="G9206" s="58" t="s">
        <v>22456</v>
      </c>
      <c r="H9206" s="546">
        <v>12000</v>
      </c>
      <c r="I9206" s="126">
        <v>45529</v>
      </c>
      <c r="J9206" s="73" t="s">
        <v>22457</v>
      </c>
      <c r="K9206" s="67"/>
      <c r="O9206" s="45" t="s">
        <v>150</v>
      </c>
      <c r="P9206" s="58" t="s">
        <v>51</v>
      </c>
      <c r="Q9206" s="62" t="s">
        <v>64</v>
      </c>
      <c r="R9206" s="45" t="s">
        <v>272</v>
      </c>
    </row>
    <row r="9207" spans="2:18" ht="69" customHeight="1">
      <c r="B9207" s="79">
        <f t="shared" si="73"/>
        <v>6322</v>
      </c>
      <c r="C9207" s="59" t="s">
        <v>3667</v>
      </c>
      <c r="D9207" s="545" t="s">
        <v>22458</v>
      </c>
      <c r="E9207" s="58" t="s">
        <v>16011</v>
      </c>
      <c r="F9207" s="58" t="s">
        <v>22459</v>
      </c>
      <c r="G9207" s="58" t="s">
        <v>22460</v>
      </c>
      <c r="H9207" s="546">
        <v>2000</v>
      </c>
      <c r="I9207" s="126">
        <v>45529</v>
      </c>
      <c r="J9207" s="73" t="s">
        <v>22457</v>
      </c>
      <c r="K9207" s="67"/>
      <c r="O9207" s="45" t="s">
        <v>150</v>
      </c>
      <c r="P9207" s="58" t="s">
        <v>51</v>
      </c>
      <c r="Q9207" s="62" t="s">
        <v>64</v>
      </c>
      <c r="R9207" s="45" t="s">
        <v>272</v>
      </c>
    </row>
    <row r="9208" spans="2:18" ht="69" customHeight="1">
      <c r="B9208" s="79">
        <f t="shared" si="73"/>
        <v>6323</v>
      </c>
      <c r="C9208" s="178" t="s">
        <v>309</v>
      </c>
      <c r="D9208" s="545" t="s">
        <v>22461</v>
      </c>
      <c r="E9208" s="58" t="s">
        <v>16011</v>
      </c>
      <c r="F9208" s="58" t="s">
        <v>22462</v>
      </c>
      <c r="G9208" s="58" t="s">
        <v>22463</v>
      </c>
      <c r="H9208" s="546">
        <v>12000</v>
      </c>
      <c r="I9208" s="126">
        <v>45529</v>
      </c>
      <c r="J9208" s="73" t="s">
        <v>22457</v>
      </c>
      <c r="K9208" s="67"/>
      <c r="O9208" s="45" t="s">
        <v>150</v>
      </c>
      <c r="P9208" s="58" t="s">
        <v>51</v>
      </c>
      <c r="Q9208" s="62" t="s">
        <v>45</v>
      </c>
      <c r="R9208" s="45" t="s">
        <v>272</v>
      </c>
    </row>
    <row r="9209" spans="2:18" ht="69" customHeight="1">
      <c r="B9209" s="79">
        <f t="shared" si="73"/>
        <v>6324</v>
      </c>
      <c r="C9209" s="178" t="s">
        <v>309</v>
      </c>
      <c r="D9209" s="545" t="s">
        <v>22464</v>
      </c>
      <c r="E9209" s="58" t="s">
        <v>16011</v>
      </c>
      <c r="F9209" s="58" t="s">
        <v>22465</v>
      </c>
      <c r="G9209" s="58" t="s">
        <v>22460</v>
      </c>
      <c r="H9209" s="546">
        <v>2000</v>
      </c>
      <c r="I9209" s="126">
        <v>45529</v>
      </c>
      <c r="J9209" s="73" t="s">
        <v>22457</v>
      </c>
      <c r="K9209" s="67"/>
      <c r="O9209" s="45" t="s">
        <v>150</v>
      </c>
      <c r="P9209" s="58" t="s">
        <v>51</v>
      </c>
      <c r="Q9209" s="62" t="s">
        <v>45</v>
      </c>
      <c r="R9209" s="45" t="s">
        <v>272</v>
      </c>
    </row>
    <row r="9210" spans="2:18" ht="69" customHeight="1">
      <c r="B9210" s="79">
        <f t="shared" si="73"/>
        <v>6325</v>
      </c>
      <c r="C9210" s="178" t="s">
        <v>657</v>
      </c>
      <c r="D9210" s="545" t="s">
        <v>16357</v>
      </c>
      <c r="E9210" s="58" t="s">
        <v>16011</v>
      </c>
      <c r="F9210" s="58" t="s">
        <v>22466</v>
      </c>
      <c r="G9210" s="58" t="s">
        <v>22463</v>
      </c>
      <c r="H9210" s="546">
        <v>12000</v>
      </c>
      <c r="I9210" s="126">
        <v>45529</v>
      </c>
      <c r="J9210" s="73" t="s">
        <v>22457</v>
      </c>
      <c r="K9210" s="67"/>
      <c r="O9210" s="45" t="s">
        <v>150</v>
      </c>
      <c r="P9210" s="58" t="s">
        <v>51</v>
      </c>
      <c r="Q9210" s="62" t="s">
        <v>104</v>
      </c>
      <c r="R9210" s="45" t="s">
        <v>272</v>
      </c>
    </row>
    <row r="9211" spans="2:18" ht="69" customHeight="1">
      <c r="B9211" s="79">
        <f t="shared" si="73"/>
        <v>6326</v>
      </c>
      <c r="C9211" s="178" t="s">
        <v>657</v>
      </c>
      <c r="D9211" s="545" t="s">
        <v>16364</v>
      </c>
      <c r="E9211" s="58" t="s">
        <v>16011</v>
      </c>
      <c r="F9211" s="58" t="s">
        <v>22467</v>
      </c>
      <c r="G9211" s="58" t="s">
        <v>22460</v>
      </c>
      <c r="H9211" s="546">
        <v>2000</v>
      </c>
      <c r="I9211" s="126">
        <v>45529</v>
      </c>
      <c r="J9211" s="73" t="s">
        <v>22457</v>
      </c>
      <c r="K9211" s="67"/>
      <c r="O9211" s="45" t="s">
        <v>150</v>
      </c>
      <c r="P9211" s="58" t="s">
        <v>51</v>
      </c>
      <c r="Q9211" s="62" t="s">
        <v>104</v>
      </c>
      <c r="R9211" s="45" t="s">
        <v>272</v>
      </c>
    </row>
    <row r="9212" spans="2:18" ht="69" customHeight="1">
      <c r="B9212" s="231">
        <f t="shared" si="73"/>
        <v>6327</v>
      </c>
      <c r="C9212" s="191" t="s">
        <v>11618</v>
      </c>
      <c r="D9212" s="251" t="s">
        <v>22468</v>
      </c>
      <c r="E9212" s="191" t="s">
        <v>266</v>
      </c>
      <c r="F9212" s="46" t="s">
        <v>22469</v>
      </c>
      <c r="G9212" s="46" t="s">
        <v>22470</v>
      </c>
      <c r="H9212" s="534">
        <v>181.24</v>
      </c>
      <c r="I9212" s="56">
        <v>45529</v>
      </c>
      <c r="J9212" s="199" t="s">
        <v>22471</v>
      </c>
      <c r="K9212" s="46"/>
      <c r="O9212" s="46"/>
      <c r="P9212" s="46" t="s">
        <v>65</v>
      </c>
      <c r="Q9212" s="52" t="s">
        <v>122</v>
      </c>
      <c r="R9212" s="46" t="s">
        <v>272</v>
      </c>
    </row>
    <row r="9213" spans="2:18" ht="69" customHeight="1">
      <c r="B9213" s="231">
        <f t="shared" si="73"/>
        <v>6328</v>
      </c>
      <c r="C9213" s="191" t="s">
        <v>11618</v>
      </c>
      <c r="D9213" s="251" t="s">
        <v>22472</v>
      </c>
      <c r="E9213" s="191" t="s">
        <v>266</v>
      </c>
      <c r="F9213" s="46" t="s">
        <v>22473</v>
      </c>
      <c r="G9213" s="46" t="s">
        <v>22470</v>
      </c>
      <c r="H9213" s="534">
        <v>380</v>
      </c>
      <c r="I9213" s="56">
        <v>45529</v>
      </c>
      <c r="J9213" s="199" t="s">
        <v>22471</v>
      </c>
      <c r="K9213" s="46"/>
      <c r="O9213" s="46"/>
      <c r="P9213" s="46" t="s">
        <v>65</v>
      </c>
      <c r="Q9213" s="52" t="s">
        <v>122</v>
      </c>
      <c r="R9213" s="46" t="s">
        <v>272</v>
      </c>
    </row>
    <row r="9214" spans="2:18" ht="69" customHeight="1">
      <c r="B9214" s="231">
        <f t="shared" si="73"/>
        <v>6329</v>
      </c>
      <c r="C9214" s="191" t="s">
        <v>11618</v>
      </c>
      <c r="D9214" s="251" t="s">
        <v>22474</v>
      </c>
      <c r="E9214" s="191" t="s">
        <v>266</v>
      </c>
      <c r="F9214" s="46" t="s">
        <v>22475</v>
      </c>
      <c r="G9214" s="281" t="s">
        <v>22470</v>
      </c>
      <c r="H9214" s="534">
        <v>2600</v>
      </c>
      <c r="I9214" s="56">
        <v>45529</v>
      </c>
      <c r="J9214" s="199" t="s">
        <v>22471</v>
      </c>
      <c r="K9214" s="281"/>
      <c r="O9214" s="46"/>
      <c r="P9214" s="46" t="s">
        <v>65</v>
      </c>
      <c r="Q9214" s="52" t="s">
        <v>122</v>
      </c>
      <c r="R9214" s="46" t="s">
        <v>272</v>
      </c>
    </row>
    <row r="9215" spans="2:18" ht="69" customHeight="1">
      <c r="B9215" s="319">
        <f t="shared" si="73"/>
        <v>6330</v>
      </c>
      <c r="C9215" s="207" t="s">
        <v>657</v>
      </c>
      <c r="D9215" s="303" t="s">
        <v>15975</v>
      </c>
      <c r="E9215" s="207" t="s">
        <v>266</v>
      </c>
      <c r="F9215" s="322" t="s">
        <v>22476</v>
      </c>
      <c r="G9215" s="160" t="s">
        <v>13552</v>
      </c>
      <c r="H9215" s="300">
        <v>1328.88</v>
      </c>
      <c r="I9215" s="209">
        <v>45529</v>
      </c>
      <c r="J9215" s="316" t="s">
        <v>22477</v>
      </c>
      <c r="K9215" s="304" t="s">
        <v>22478</v>
      </c>
      <c r="O9215" s="288" t="s">
        <v>12529</v>
      </c>
      <c r="P9215" s="160" t="s">
        <v>67</v>
      </c>
      <c r="Q9215" s="259" t="s">
        <v>99</v>
      </c>
      <c r="R9215" s="160" t="s">
        <v>272</v>
      </c>
    </row>
    <row r="9216" spans="2:18" ht="69" customHeight="1">
      <c r="B9216" s="79">
        <f t="shared" si="73"/>
        <v>6331</v>
      </c>
      <c r="C9216" s="178" t="s">
        <v>11618</v>
      </c>
      <c r="D9216" s="545" t="s">
        <v>22479</v>
      </c>
      <c r="E9216" s="58" t="s">
        <v>22034</v>
      </c>
      <c r="F9216" s="411" t="s">
        <v>22480</v>
      </c>
      <c r="G9216" s="58" t="s">
        <v>22481</v>
      </c>
      <c r="H9216" s="546">
        <v>15626.36</v>
      </c>
      <c r="I9216" s="126">
        <v>45529</v>
      </c>
      <c r="J9216" s="73" t="s">
        <v>22482</v>
      </c>
      <c r="K9216" s="241"/>
      <c r="O9216" s="45" t="s">
        <v>210</v>
      </c>
      <c r="P9216" s="229" t="s">
        <v>81</v>
      </c>
      <c r="Q9216" s="48" t="s">
        <v>122</v>
      </c>
      <c r="R9216" s="45" t="s">
        <v>272</v>
      </c>
    </row>
    <row r="9217" spans="2:18" ht="69" customHeight="1">
      <c r="B9217" s="231">
        <f t="shared" si="73"/>
        <v>6332</v>
      </c>
      <c r="C9217" s="191" t="s">
        <v>458</v>
      </c>
      <c r="D9217" s="251" t="s">
        <v>22483</v>
      </c>
      <c r="E9217" s="191" t="s">
        <v>266</v>
      </c>
      <c r="F9217" s="46" t="s">
        <v>22484</v>
      </c>
      <c r="G9217" s="46" t="s">
        <v>22485</v>
      </c>
      <c r="H9217" s="534">
        <v>11103.89</v>
      </c>
      <c r="I9217" s="56">
        <v>45529</v>
      </c>
      <c r="J9217" s="199" t="s">
        <v>22486</v>
      </c>
      <c r="K9217" s="46"/>
      <c r="O9217" s="46" t="s">
        <v>1171</v>
      </c>
      <c r="P9217" s="46" t="s">
        <v>71</v>
      </c>
      <c r="Q9217" s="52" t="s">
        <v>123</v>
      </c>
      <c r="R9217" s="46" t="s">
        <v>272</v>
      </c>
    </row>
    <row r="9218" spans="2:18" ht="69" customHeight="1">
      <c r="B9218" s="231">
        <f t="shared" si="73"/>
        <v>6333</v>
      </c>
      <c r="C9218" s="191" t="s">
        <v>458</v>
      </c>
      <c r="D9218" s="251" t="s">
        <v>22487</v>
      </c>
      <c r="E9218" s="191" t="s">
        <v>266</v>
      </c>
      <c r="F9218" s="46" t="s">
        <v>22488</v>
      </c>
      <c r="G9218" s="46" t="s">
        <v>22485</v>
      </c>
      <c r="H9218" s="534">
        <v>11103.89</v>
      </c>
      <c r="I9218" s="56">
        <v>45529</v>
      </c>
      <c r="J9218" s="199" t="s">
        <v>22486</v>
      </c>
      <c r="K9218" s="46"/>
      <c r="O9218" s="46" t="s">
        <v>1171</v>
      </c>
      <c r="P9218" s="46" t="s">
        <v>71</v>
      </c>
      <c r="Q9218" s="52" t="s">
        <v>122</v>
      </c>
      <c r="R9218" s="46" t="s">
        <v>272</v>
      </c>
    </row>
    <row r="9219" spans="2:18" ht="69" customHeight="1">
      <c r="B9219" s="231">
        <f t="shared" si="73"/>
        <v>6334</v>
      </c>
      <c r="C9219" s="191" t="s">
        <v>458</v>
      </c>
      <c r="D9219" s="251" t="s">
        <v>22489</v>
      </c>
      <c r="E9219" s="191" t="s">
        <v>266</v>
      </c>
      <c r="F9219" s="46" t="s">
        <v>22490</v>
      </c>
      <c r="G9219" s="46" t="s">
        <v>22491</v>
      </c>
      <c r="H9219" s="534">
        <v>22958.12</v>
      </c>
      <c r="I9219" s="56">
        <v>45529</v>
      </c>
      <c r="J9219" s="199" t="s">
        <v>22486</v>
      </c>
      <c r="K9219" s="46"/>
      <c r="O9219" s="46" t="s">
        <v>1171</v>
      </c>
      <c r="P9219" s="46" t="s">
        <v>71</v>
      </c>
      <c r="Q9219" s="52" t="s">
        <v>123</v>
      </c>
      <c r="R9219" s="46" t="s">
        <v>272</v>
      </c>
    </row>
    <row r="9220" spans="2:18" ht="69" customHeight="1">
      <c r="B9220" s="231">
        <f t="shared" si="73"/>
        <v>6335</v>
      </c>
      <c r="C9220" s="191" t="s">
        <v>9215</v>
      </c>
      <c r="D9220" s="251" t="s">
        <v>22492</v>
      </c>
      <c r="E9220" s="191" t="s">
        <v>266</v>
      </c>
      <c r="F9220" s="46" t="s">
        <v>22493</v>
      </c>
      <c r="G9220" s="46" t="s">
        <v>22491</v>
      </c>
      <c r="H9220" s="534">
        <v>21527.72</v>
      </c>
      <c r="I9220" s="56">
        <v>45529</v>
      </c>
      <c r="J9220" s="199" t="s">
        <v>22486</v>
      </c>
      <c r="K9220" s="46"/>
      <c r="O9220" s="46" t="s">
        <v>1171</v>
      </c>
      <c r="P9220" s="46" t="s">
        <v>71</v>
      </c>
      <c r="Q9220" s="52" t="s">
        <v>113</v>
      </c>
      <c r="R9220" s="46" t="s">
        <v>272</v>
      </c>
    </row>
    <row r="9221" spans="2:18" ht="69" customHeight="1">
      <c r="B9221" s="231">
        <f t="shared" si="73"/>
        <v>6336</v>
      </c>
      <c r="C9221" s="191" t="s">
        <v>458</v>
      </c>
      <c r="D9221" s="251" t="s">
        <v>22494</v>
      </c>
      <c r="E9221" s="191" t="s">
        <v>266</v>
      </c>
      <c r="F9221" s="46" t="s">
        <v>22495</v>
      </c>
      <c r="G9221" s="46" t="s">
        <v>22491</v>
      </c>
      <c r="H9221" s="534">
        <v>22958.12</v>
      </c>
      <c r="I9221" s="56">
        <v>45529</v>
      </c>
      <c r="J9221" s="199" t="s">
        <v>22486</v>
      </c>
      <c r="K9221" s="46"/>
      <c r="O9221" s="46" t="s">
        <v>1171</v>
      </c>
      <c r="P9221" s="46" t="s">
        <v>71</v>
      </c>
      <c r="Q9221" s="52" t="s">
        <v>122</v>
      </c>
      <c r="R9221" s="46" t="s">
        <v>272</v>
      </c>
    </row>
    <row r="9222" spans="2:18" ht="69" customHeight="1">
      <c r="B9222" s="231">
        <f t="shared" si="73"/>
        <v>6337</v>
      </c>
      <c r="C9222" s="191" t="s">
        <v>657</v>
      </c>
      <c r="D9222" s="251" t="s">
        <v>22496</v>
      </c>
      <c r="E9222" s="191" t="s">
        <v>266</v>
      </c>
      <c r="F9222" s="46" t="s">
        <v>22497</v>
      </c>
      <c r="G9222" s="46" t="s">
        <v>22491</v>
      </c>
      <c r="H9222" s="534">
        <v>22212.39</v>
      </c>
      <c r="I9222" s="56">
        <v>45529</v>
      </c>
      <c r="J9222" s="199" t="s">
        <v>22486</v>
      </c>
      <c r="K9222" s="46"/>
      <c r="O9222" s="46" t="s">
        <v>1171</v>
      </c>
      <c r="P9222" s="46" t="s">
        <v>71</v>
      </c>
      <c r="Q9222" s="52" t="s">
        <v>97</v>
      </c>
      <c r="R9222" s="46" t="s">
        <v>272</v>
      </c>
    </row>
    <row r="9223" spans="2:18" ht="69" customHeight="1">
      <c r="B9223" s="231">
        <f t="shared" si="73"/>
        <v>6338</v>
      </c>
      <c r="C9223" s="191" t="s">
        <v>458</v>
      </c>
      <c r="D9223" s="251" t="s">
        <v>22498</v>
      </c>
      <c r="E9223" s="191" t="s">
        <v>266</v>
      </c>
      <c r="F9223" s="46" t="s">
        <v>22499</v>
      </c>
      <c r="G9223" s="46" t="s">
        <v>22491</v>
      </c>
      <c r="H9223" s="534">
        <v>22958.12</v>
      </c>
      <c r="I9223" s="56">
        <v>45529</v>
      </c>
      <c r="J9223" s="199" t="s">
        <v>22486</v>
      </c>
      <c r="K9223" s="46"/>
      <c r="O9223" s="46" t="s">
        <v>1171</v>
      </c>
      <c r="P9223" s="46" t="s">
        <v>71</v>
      </c>
      <c r="Q9223" s="52" t="s">
        <v>103</v>
      </c>
      <c r="R9223" s="46" t="s">
        <v>272</v>
      </c>
    </row>
    <row r="9224" spans="2:18" ht="69" customHeight="1">
      <c r="B9224" s="79">
        <f t="shared" si="73"/>
        <v>6339</v>
      </c>
      <c r="C9224" s="58" t="s">
        <v>9545</v>
      </c>
      <c r="D9224" s="174" t="s">
        <v>22500</v>
      </c>
      <c r="E9224" s="178" t="s">
        <v>266</v>
      </c>
      <c r="F9224" s="58" t="s">
        <v>22501</v>
      </c>
      <c r="G9224" s="58" t="s">
        <v>22502</v>
      </c>
      <c r="H9224" s="552">
        <v>12000</v>
      </c>
      <c r="I9224" s="66">
        <v>45529</v>
      </c>
      <c r="J9224" s="65" t="s">
        <v>22503</v>
      </c>
      <c r="K9224" s="58"/>
      <c r="O9224" s="62" t="s">
        <v>6918</v>
      </c>
      <c r="P9224" s="58" t="s">
        <v>44</v>
      </c>
      <c r="Q9224" s="62" t="s">
        <v>117</v>
      </c>
      <c r="R9224" s="58" t="s">
        <v>272</v>
      </c>
    </row>
    <row r="9225" spans="2:18" ht="69" customHeight="1">
      <c r="B9225" s="79">
        <f t="shared" si="73"/>
        <v>6340</v>
      </c>
      <c r="C9225" s="178" t="s">
        <v>458</v>
      </c>
      <c r="D9225" s="545" t="s">
        <v>22504</v>
      </c>
      <c r="E9225" s="58" t="s">
        <v>19223</v>
      </c>
      <c r="F9225" s="58" t="s">
        <v>22505</v>
      </c>
      <c r="G9225" s="58" t="s">
        <v>22506</v>
      </c>
      <c r="H9225" s="546">
        <v>400000</v>
      </c>
      <c r="I9225" s="126">
        <v>45529</v>
      </c>
      <c r="J9225" s="73" t="s">
        <v>22507</v>
      </c>
      <c r="K9225" s="67"/>
      <c r="O9225" s="45" t="s">
        <v>141</v>
      </c>
      <c r="P9225" s="45" t="s">
        <v>19</v>
      </c>
      <c r="Q9225" s="48" t="s">
        <v>123</v>
      </c>
      <c r="R9225" s="45" t="s">
        <v>272</v>
      </c>
    </row>
    <row r="9226" spans="2:18" ht="69" customHeight="1">
      <c r="B9226" s="79">
        <f t="shared" si="73"/>
        <v>6341</v>
      </c>
      <c r="C9226" s="178" t="s">
        <v>458</v>
      </c>
      <c r="D9226" s="545" t="s">
        <v>19688</v>
      </c>
      <c r="E9226" s="58" t="s">
        <v>19223</v>
      </c>
      <c r="F9226" s="58" t="s">
        <v>22508</v>
      </c>
      <c r="G9226" s="58" t="s">
        <v>22506</v>
      </c>
      <c r="H9226" s="546">
        <v>671800</v>
      </c>
      <c r="I9226" s="126">
        <v>45529</v>
      </c>
      <c r="J9226" s="73" t="s">
        <v>22509</v>
      </c>
      <c r="K9226" s="67"/>
      <c r="O9226" s="45" t="s">
        <v>141</v>
      </c>
      <c r="P9226" s="45" t="s">
        <v>19</v>
      </c>
      <c r="Q9226" s="48" t="s">
        <v>122</v>
      </c>
      <c r="R9226" s="45" t="s">
        <v>272</v>
      </c>
    </row>
    <row r="9227" spans="2:18" ht="69" customHeight="1">
      <c r="B9227" s="79">
        <f t="shared" si="73"/>
        <v>6342</v>
      </c>
      <c r="C9227" s="178" t="s">
        <v>657</v>
      </c>
      <c r="D9227" s="545" t="s">
        <v>11513</v>
      </c>
      <c r="E9227" s="58" t="s">
        <v>19223</v>
      </c>
      <c r="F9227" s="58" t="s">
        <v>22510</v>
      </c>
      <c r="G9227" s="58" t="s">
        <v>22506</v>
      </c>
      <c r="H9227" s="546">
        <v>300000</v>
      </c>
      <c r="I9227" s="126">
        <v>45529</v>
      </c>
      <c r="J9227" s="73" t="s">
        <v>22511</v>
      </c>
      <c r="K9227" s="67"/>
      <c r="O9227" s="45" t="s">
        <v>141</v>
      </c>
      <c r="P9227" s="45" t="s">
        <v>19</v>
      </c>
      <c r="Q9227" s="48" t="s">
        <v>97</v>
      </c>
      <c r="R9227" s="45" t="s">
        <v>272</v>
      </c>
    </row>
    <row r="9228" spans="2:18" ht="69" customHeight="1">
      <c r="B9228" s="79">
        <f t="shared" ref="B9228:B9291" si="74">B9227+1</f>
        <v>6343</v>
      </c>
      <c r="C9228" s="178" t="s">
        <v>657</v>
      </c>
      <c r="D9228" s="545" t="s">
        <v>11515</v>
      </c>
      <c r="E9228" s="58" t="s">
        <v>21950</v>
      </c>
      <c r="F9228" s="58" t="s">
        <v>22512</v>
      </c>
      <c r="G9228" s="58" t="s">
        <v>22513</v>
      </c>
      <c r="H9228" s="546">
        <v>250000</v>
      </c>
      <c r="I9228" s="126">
        <v>45529</v>
      </c>
      <c r="J9228" s="73" t="s">
        <v>22511</v>
      </c>
      <c r="K9228" s="67"/>
      <c r="O9228" s="45" t="s">
        <v>141</v>
      </c>
      <c r="P9228" s="45" t="s">
        <v>19</v>
      </c>
      <c r="Q9228" s="48" t="s">
        <v>97</v>
      </c>
      <c r="R9228" s="45" t="s">
        <v>265</v>
      </c>
    </row>
    <row r="9229" spans="2:18" ht="69" customHeight="1">
      <c r="B9229" s="79">
        <f t="shared" si="74"/>
        <v>6344</v>
      </c>
      <c r="C9229" s="178" t="s">
        <v>6888</v>
      </c>
      <c r="D9229" s="545" t="s">
        <v>22514</v>
      </c>
      <c r="E9229" s="45" t="s">
        <v>17212</v>
      </c>
      <c r="F9229" s="210" t="s">
        <v>22515</v>
      </c>
      <c r="G9229" s="45" t="s">
        <v>22516</v>
      </c>
      <c r="H9229" s="546">
        <v>168825</v>
      </c>
      <c r="I9229" s="126">
        <v>45529</v>
      </c>
      <c r="J9229" s="73" t="s">
        <v>22517</v>
      </c>
      <c r="K9229" s="67"/>
      <c r="O9229" s="62" t="s">
        <v>16399</v>
      </c>
      <c r="P9229" s="58" t="s">
        <v>55</v>
      </c>
      <c r="Q9229" s="48" t="s">
        <v>84</v>
      </c>
      <c r="R9229" s="45" t="s">
        <v>272</v>
      </c>
    </row>
    <row r="9230" spans="2:18" ht="69" customHeight="1">
      <c r="B9230" s="79">
        <f t="shared" si="74"/>
        <v>6345</v>
      </c>
      <c r="C9230" s="59" t="s">
        <v>11908</v>
      </c>
      <c r="D9230" s="545" t="s">
        <v>19660</v>
      </c>
      <c r="E9230" s="45" t="s">
        <v>17212</v>
      </c>
      <c r="F9230" s="210" t="s">
        <v>22518</v>
      </c>
      <c r="G9230" s="45" t="s">
        <v>22516</v>
      </c>
      <c r="H9230" s="546">
        <v>215020</v>
      </c>
      <c r="I9230" s="126">
        <v>45529</v>
      </c>
      <c r="J9230" s="73" t="s">
        <v>22517</v>
      </c>
      <c r="K9230" s="67"/>
      <c r="O9230" s="62" t="s">
        <v>16399</v>
      </c>
      <c r="P9230" s="58" t="s">
        <v>55</v>
      </c>
      <c r="Q9230" s="48" t="s">
        <v>103</v>
      </c>
      <c r="R9230" s="45" t="s">
        <v>272</v>
      </c>
    </row>
    <row r="9231" spans="2:18" ht="69" customHeight="1">
      <c r="B9231" s="79">
        <f t="shared" si="74"/>
        <v>6346</v>
      </c>
      <c r="C9231" s="178" t="s">
        <v>10937</v>
      </c>
      <c r="D9231" s="545" t="s">
        <v>11536</v>
      </c>
      <c r="E9231" s="45" t="s">
        <v>17212</v>
      </c>
      <c r="F9231" s="210" t="s">
        <v>22519</v>
      </c>
      <c r="G9231" s="45" t="s">
        <v>22516</v>
      </c>
      <c r="H9231" s="546">
        <v>204130</v>
      </c>
      <c r="I9231" s="126">
        <v>45529</v>
      </c>
      <c r="J9231" s="73" t="s">
        <v>22517</v>
      </c>
      <c r="K9231" s="67"/>
      <c r="O9231" s="62" t="s">
        <v>16399</v>
      </c>
      <c r="P9231" s="58" t="s">
        <v>55</v>
      </c>
      <c r="Q9231" s="48" t="s">
        <v>104</v>
      </c>
      <c r="R9231" s="45" t="s">
        <v>272</v>
      </c>
    </row>
    <row r="9232" spans="2:18" ht="69" customHeight="1">
      <c r="B9232" s="79">
        <f t="shared" si="74"/>
        <v>6347</v>
      </c>
      <c r="C9232" s="178" t="s">
        <v>5558</v>
      </c>
      <c r="D9232" s="545" t="s">
        <v>22520</v>
      </c>
      <c r="E9232" s="45" t="s">
        <v>17212</v>
      </c>
      <c r="F9232" s="210" t="s">
        <v>22521</v>
      </c>
      <c r="G9232" s="81" t="s">
        <v>22516</v>
      </c>
      <c r="H9232" s="546">
        <v>218240</v>
      </c>
      <c r="I9232" s="247">
        <v>45529</v>
      </c>
      <c r="J9232" s="73" t="s">
        <v>22517</v>
      </c>
      <c r="K9232" s="67"/>
      <c r="O9232" s="62" t="s">
        <v>16399</v>
      </c>
      <c r="P9232" s="58" t="s">
        <v>55</v>
      </c>
      <c r="Q9232" s="48" t="s">
        <v>64</v>
      </c>
      <c r="R9232" s="45" t="s">
        <v>272</v>
      </c>
    </row>
    <row r="9233" spans="2:18" ht="69" customHeight="1">
      <c r="B9233" s="231">
        <f t="shared" si="74"/>
        <v>6348</v>
      </c>
      <c r="C9233" s="46" t="s">
        <v>9004</v>
      </c>
      <c r="D9233" s="251" t="s">
        <v>11523</v>
      </c>
      <c r="E9233" s="191" t="s">
        <v>266</v>
      </c>
      <c r="F9233" s="46" t="s">
        <v>22522</v>
      </c>
      <c r="G9233" s="46" t="s">
        <v>22523</v>
      </c>
      <c r="H9233" s="534">
        <v>135</v>
      </c>
      <c r="I9233" s="56">
        <v>45529</v>
      </c>
      <c r="J9233" s="199" t="s">
        <v>22524</v>
      </c>
      <c r="K9233" s="46"/>
      <c r="O9233" s="46"/>
      <c r="P9233" s="46" t="s">
        <v>65</v>
      </c>
      <c r="Q9233" s="52" t="s">
        <v>111</v>
      </c>
      <c r="R9233" s="46" t="s">
        <v>272</v>
      </c>
    </row>
    <row r="9234" spans="2:18" ht="69" customHeight="1">
      <c r="B9234" s="231">
        <f t="shared" si="74"/>
        <v>6349</v>
      </c>
      <c r="C9234" s="46" t="s">
        <v>9545</v>
      </c>
      <c r="D9234" s="251" t="s">
        <v>19742</v>
      </c>
      <c r="E9234" s="191" t="s">
        <v>266</v>
      </c>
      <c r="F9234" s="46" t="s">
        <v>22525</v>
      </c>
      <c r="G9234" s="46" t="s">
        <v>22523</v>
      </c>
      <c r="H9234" s="534">
        <v>135</v>
      </c>
      <c r="I9234" s="56">
        <v>45529</v>
      </c>
      <c r="J9234" s="199" t="s">
        <v>22524</v>
      </c>
      <c r="K9234" s="46"/>
      <c r="O9234" s="46"/>
      <c r="P9234" s="46" t="s">
        <v>65</v>
      </c>
      <c r="Q9234" s="52" t="s">
        <v>117</v>
      </c>
      <c r="R9234" s="46" t="s">
        <v>272</v>
      </c>
    </row>
    <row r="9235" spans="2:18" ht="69" customHeight="1">
      <c r="B9235" s="231">
        <f t="shared" si="74"/>
        <v>6350</v>
      </c>
      <c r="C9235" s="191" t="s">
        <v>9215</v>
      </c>
      <c r="D9235" s="251" t="s">
        <v>19393</v>
      </c>
      <c r="E9235" s="191" t="s">
        <v>266</v>
      </c>
      <c r="F9235" s="46" t="s">
        <v>22526</v>
      </c>
      <c r="G9235" s="46" t="s">
        <v>22523</v>
      </c>
      <c r="H9235" s="534">
        <v>135</v>
      </c>
      <c r="I9235" s="56">
        <v>45529</v>
      </c>
      <c r="J9235" s="199" t="s">
        <v>22524</v>
      </c>
      <c r="K9235" s="46"/>
      <c r="O9235" s="46"/>
      <c r="P9235" s="46" t="s">
        <v>65</v>
      </c>
      <c r="Q9235" s="52" t="s">
        <v>113</v>
      </c>
      <c r="R9235" s="46" t="s">
        <v>272</v>
      </c>
    </row>
    <row r="9236" spans="2:18" ht="69" customHeight="1">
      <c r="B9236" s="231">
        <f t="shared" si="74"/>
        <v>6351</v>
      </c>
      <c r="C9236" s="191" t="s">
        <v>11618</v>
      </c>
      <c r="D9236" s="251" t="s">
        <v>19397</v>
      </c>
      <c r="E9236" s="191" t="s">
        <v>266</v>
      </c>
      <c r="F9236" s="46" t="s">
        <v>22527</v>
      </c>
      <c r="G9236" s="46" t="s">
        <v>22523</v>
      </c>
      <c r="H9236" s="534">
        <v>135</v>
      </c>
      <c r="I9236" s="56">
        <v>45529</v>
      </c>
      <c r="J9236" s="199" t="s">
        <v>22524</v>
      </c>
      <c r="K9236" s="46"/>
      <c r="O9236" s="46"/>
      <c r="P9236" s="46" t="s">
        <v>65</v>
      </c>
      <c r="Q9236" s="52" t="s">
        <v>122</v>
      </c>
      <c r="R9236" s="46" t="s">
        <v>272</v>
      </c>
    </row>
    <row r="9237" spans="2:18" ht="69" customHeight="1">
      <c r="B9237" s="231">
        <f t="shared" si="74"/>
        <v>6352</v>
      </c>
      <c r="C9237" s="191" t="s">
        <v>7189</v>
      </c>
      <c r="D9237" s="251" t="s">
        <v>11525</v>
      </c>
      <c r="E9237" s="191" t="s">
        <v>266</v>
      </c>
      <c r="F9237" s="46" t="s">
        <v>22528</v>
      </c>
      <c r="G9237" s="46" t="s">
        <v>22523</v>
      </c>
      <c r="H9237" s="534">
        <v>135</v>
      </c>
      <c r="I9237" s="56">
        <v>45529</v>
      </c>
      <c r="J9237" s="199" t="s">
        <v>22524</v>
      </c>
      <c r="K9237" s="46"/>
      <c r="O9237" s="46"/>
      <c r="P9237" s="46" t="s">
        <v>65</v>
      </c>
      <c r="Q9237" s="52" t="s">
        <v>97</v>
      </c>
      <c r="R9237" s="46" t="s">
        <v>272</v>
      </c>
    </row>
    <row r="9238" spans="2:18" ht="69" customHeight="1">
      <c r="B9238" s="231">
        <f t="shared" si="74"/>
        <v>6353</v>
      </c>
      <c r="C9238" s="46" t="s">
        <v>11933</v>
      </c>
      <c r="D9238" s="251" t="s">
        <v>19664</v>
      </c>
      <c r="E9238" s="191" t="s">
        <v>266</v>
      </c>
      <c r="F9238" s="46" t="s">
        <v>22529</v>
      </c>
      <c r="G9238" s="46" t="s">
        <v>22523</v>
      </c>
      <c r="H9238" s="534">
        <v>135</v>
      </c>
      <c r="I9238" s="56">
        <v>45529</v>
      </c>
      <c r="J9238" s="199" t="s">
        <v>22524</v>
      </c>
      <c r="K9238" s="46"/>
      <c r="O9238" s="46" t="s">
        <v>22530</v>
      </c>
      <c r="P9238" s="46" t="s">
        <v>65</v>
      </c>
      <c r="Q9238" s="52" t="s">
        <v>123</v>
      </c>
      <c r="R9238" s="46" t="s">
        <v>272</v>
      </c>
    </row>
    <row r="9239" spans="2:18" ht="69" customHeight="1">
      <c r="B9239" s="79">
        <f t="shared" si="74"/>
        <v>6354</v>
      </c>
      <c r="C9239" s="58" t="s">
        <v>11058</v>
      </c>
      <c r="D9239" s="545" t="s">
        <v>22531</v>
      </c>
      <c r="E9239" s="58" t="s">
        <v>22532</v>
      </c>
      <c r="F9239" s="58" t="s">
        <v>22533</v>
      </c>
      <c r="G9239" s="58" t="s">
        <v>22534</v>
      </c>
      <c r="H9239" s="546">
        <v>17578.09</v>
      </c>
      <c r="I9239" s="126">
        <v>45529</v>
      </c>
      <c r="J9239" s="73" t="s">
        <v>22535</v>
      </c>
      <c r="K9239" s="67"/>
      <c r="O9239" s="45" t="s">
        <v>15440</v>
      </c>
      <c r="P9239" s="58" t="s">
        <v>55</v>
      </c>
      <c r="Q9239" s="48" t="s">
        <v>23</v>
      </c>
      <c r="R9239" s="45" t="s">
        <v>265</v>
      </c>
    </row>
    <row r="9240" spans="2:18" ht="69" customHeight="1">
      <c r="B9240" s="79">
        <f t="shared" si="74"/>
        <v>6355</v>
      </c>
      <c r="C9240" s="44" t="s">
        <v>11055</v>
      </c>
      <c r="D9240" s="545" t="s">
        <v>18634</v>
      </c>
      <c r="E9240" s="58" t="s">
        <v>22532</v>
      </c>
      <c r="F9240" s="58" t="s">
        <v>22536</v>
      </c>
      <c r="G9240" s="58" t="s">
        <v>22534</v>
      </c>
      <c r="H9240" s="546">
        <v>11883.73</v>
      </c>
      <c r="I9240" s="126">
        <v>45529</v>
      </c>
      <c r="J9240" s="73" t="s">
        <v>22535</v>
      </c>
      <c r="K9240" s="67"/>
      <c r="O9240" s="45" t="s">
        <v>15440</v>
      </c>
      <c r="P9240" s="58" t="s">
        <v>55</v>
      </c>
      <c r="Q9240" s="48" t="s">
        <v>45</v>
      </c>
      <c r="R9240" s="45" t="s">
        <v>265</v>
      </c>
    </row>
    <row r="9241" spans="2:18" ht="69" customHeight="1">
      <c r="B9241" s="79">
        <f t="shared" si="74"/>
        <v>6356</v>
      </c>
      <c r="C9241" s="58" t="s">
        <v>1853</v>
      </c>
      <c r="D9241" s="545" t="s">
        <v>22537</v>
      </c>
      <c r="E9241" s="58" t="s">
        <v>22532</v>
      </c>
      <c r="F9241" s="58" t="s">
        <v>22538</v>
      </c>
      <c r="G9241" s="58" t="s">
        <v>22534</v>
      </c>
      <c r="H9241" s="546">
        <v>5676.08</v>
      </c>
      <c r="I9241" s="126">
        <v>45529</v>
      </c>
      <c r="J9241" s="73" t="s">
        <v>22535</v>
      </c>
      <c r="K9241" s="67"/>
      <c r="O9241" s="45" t="s">
        <v>15440</v>
      </c>
      <c r="P9241" s="58" t="s">
        <v>55</v>
      </c>
      <c r="Q9241" s="48" t="s">
        <v>29</v>
      </c>
      <c r="R9241" s="45" t="s">
        <v>265</v>
      </c>
    </row>
    <row r="9242" spans="2:18" ht="69" customHeight="1">
      <c r="B9242" s="79">
        <f t="shared" si="74"/>
        <v>6357</v>
      </c>
      <c r="C9242" s="58" t="s">
        <v>21615</v>
      </c>
      <c r="D9242" s="545" t="s">
        <v>21561</v>
      </c>
      <c r="E9242" s="58" t="s">
        <v>22532</v>
      </c>
      <c r="F9242" s="58" t="s">
        <v>22539</v>
      </c>
      <c r="G9242" s="58" t="s">
        <v>22534</v>
      </c>
      <c r="H9242" s="546">
        <v>10623.79</v>
      </c>
      <c r="I9242" s="126">
        <v>45529</v>
      </c>
      <c r="J9242" s="73" t="s">
        <v>22535</v>
      </c>
      <c r="K9242" s="67"/>
      <c r="O9242" s="45" t="s">
        <v>15440</v>
      </c>
      <c r="P9242" s="58" t="s">
        <v>55</v>
      </c>
      <c r="Q9242" s="48" t="s">
        <v>31</v>
      </c>
      <c r="R9242" s="45" t="s">
        <v>265</v>
      </c>
    </row>
    <row r="9243" spans="2:18" ht="69" customHeight="1">
      <c r="B9243" s="79">
        <f t="shared" si="74"/>
        <v>6358</v>
      </c>
      <c r="C9243" s="59" t="s">
        <v>11052</v>
      </c>
      <c r="D9243" s="545" t="s">
        <v>18669</v>
      </c>
      <c r="E9243" s="58" t="s">
        <v>22532</v>
      </c>
      <c r="F9243" s="58" t="s">
        <v>22540</v>
      </c>
      <c r="G9243" s="58" t="s">
        <v>22534</v>
      </c>
      <c r="H9243" s="546">
        <v>6633.73</v>
      </c>
      <c r="I9243" s="126">
        <v>45529</v>
      </c>
      <c r="J9243" s="73" t="s">
        <v>22535</v>
      </c>
      <c r="K9243" s="67"/>
      <c r="O9243" s="45" t="s">
        <v>15440</v>
      </c>
      <c r="P9243" s="58" t="s">
        <v>55</v>
      </c>
      <c r="Q9243" s="48" t="s">
        <v>37</v>
      </c>
      <c r="R9243" s="45" t="s">
        <v>265</v>
      </c>
    </row>
    <row r="9244" spans="2:18" ht="69" customHeight="1">
      <c r="B9244" s="79">
        <f t="shared" si="74"/>
        <v>6359</v>
      </c>
      <c r="C9244" s="178" t="s">
        <v>6062</v>
      </c>
      <c r="D9244" s="545" t="s">
        <v>22541</v>
      </c>
      <c r="E9244" s="58" t="s">
        <v>22532</v>
      </c>
      <c r="F9244" s="58" t="s">
        <v>22542</v>
      </c>
      <c r="G9244" s="58" t="s">
        <v>22534</v>
      </c>
      <c r="H9244" s="546">
        <v>4605.4399999999996</v>
      </c>
      <c r="I9244" s="126">
        <v>45529</v>
      </c>
      <c r="J9244" s="73" t="s">
        <v>22535</v>
      </c>
      <c r="K9244" s="67"/>
      <c r="O9244" s="45" t="s">
        <v>15440</v>
      </c>
      <c r="P9244" s="58" t="s">
        <v>55</v>
      </c>
      <c r="Q9244" s="48" t="s">
        <v>72</v>
      </c>
      <c r="R9244" s="45" t="s">
        <v>265</v>
      </c>
    </row>
    <row r="9245" spans="2:18" ht="69" customHeight="1">
      <c r="B9245" s="231">
        <f t="shared" si="74"/>
        <v>6360</v>
      </c>
      <c r="C9245" s="191" t="s">
        <v>9215</v>
      </c>
      <c r="D9245" s="251" t="s">
        <v>22543</v>
      </c>
      <c r="E9245" s="191" t="s">
        <v>266</v>
      </c>
      <c r="F9245" s="46" t="s">
        <v>22544</v>
      </c>
      <c r="G9245" s="46" t="s">
        <v>22545</v>
      </c>
      <c r="H9245" s="534">
        <v>1300</v>
      </c>
      <c r="I9245" s="56">
        <v>45529</v>
      </c>
      <c r="J9245" s="199" t="s">
        <v>22546</v>
      </c>
      <c r="K9245" s="46"/>
      <c r="O9245" s="52" t="s">
        <v>20856</v>
      </c>
      <c r="P9245" s="46" t="s">
        <v>65</v>
      </c>
      <c r="Q9245" s="52" t="s">
        <v>113</v>
      </c>
      <c r="R9245" s="46" t="s">
        <v>272</v>
      </c>
    </row>
    <row r="9246" spans="2:18" ht="69" customHeight="1">
      <c r="B9246" s="231">
        <f t="shared" si="74"/>
        <v>6361</v>
      </c>
      <c r="C9246" s="191" t="s">
        <v>11908</v>
      </c>
      <c r="D9246" s="251" t="s">
        <v>22547</v>
      </c>
      <c r="E9246" s="191" t="s">
        <v>266</v>
      </c>
      <c r="F9246" s="46" t="s">
        <v>22548</v>
      </c>
      <c r="G9246" s="46" t="s">
        <v>22545</v>
      </c>
      <c r="H9246" s="534">
        <v>695</v>
      </c>
      <c r="I9246" s="56">
        <v>45529</v>
      </c>
      <c r="J9246" s="199" t="s">
        <v>22546</v>
      </c>
      <c r="K9246" s="46"/>
      <c r="O9246" s="52" t="s">
        <v>20856</v>
      </c>
      <c r="P9246" s="46" t="s">
        <v>65</v>
      </c>
      <c r="Q9246" s="52" t="s">
        <v>103</v>
      </c>
      <c r="R9246" s="46" t="s">
        <v>272</v>
      </c>
    </row>
    <row r="9247" spans="2:18" ht="69" customHeight="1">
      <c r="B9247" s="319">
        <f t="shared" si="74"/>
        <v>6362</v>
      </c>
      <c r="C9247" s="304" t="s">
        <v>10961</v>
      </c>
      <c r="D9247" s="303" t="s">
        <v>22549</v>
      </c>
      <c r="E9247" s="207" t="s">
        <v>266</v>
      </c>
      <c r="F9247" s="160" t="s">
        <v>22550</v>
      </c>
      <c r="G9247" s="160" t="s">
        <v>22551</v>
      </c>
      <c r="H9247" s="300">
        <v>3256</v>
      </c>
      <c r="I9247" s="209">
        <v>45529</v>
      </c>
      <c r="J9247" s="316" t="s">
        <v>22552</v>
      </c>
      <c r="K9247" s="160"/>
      <c r="O9247" s="298" t="s">
        <v>20808</v>
      </c>
      <c r="P9247" s="289" t="s">
        <v>67</v>
      </c>
      <c r="Q9247" s="160" t="s">
        <v>96</v>
      </c>
      <c r="R9247" s="160" t="s">
        <v>272</v>
      </c>
    </row>
    <row r="9248" spans="2:18" ht="69" customHeight="1">
      <c r="B9248" s="79">
        <f t="shared" si="74"/>
        <v>6363</v>
      </c>
      <c r="C9248" s="178" t="s">
        <v>458</v>
      </c>
      <c r="D9248" s="545" t="s">
        <v>22553</v>
      </c>
      <c r="E9248" s="58" t="s">
        <v>22554</v>
      </c>
      <c r="F9248" s="58" t="s">
        <v>22555</v>
      </c>
      <c r="G9248" s="58" t="s">
        <v>16634</v>
      </c>
      <c r="H9248" s="546">
        <v>3862.63</v>
      </c>
      <c r="I9248" s="126">
        <v>45529</v>
      </c>
      <c r="J9248" s="73" t="s">
        <v>22556</v>
      </c>
      <c r="K9248" s="67"/>
      <c r="O9248" s="61" t="s">
        <v>150</v>
      </c>
      <c r="P9248" s="45" t="s">
        <v>51</v>
      </c>
      <c r="Q9248" s="48" t="s">
        <v>100</v>
      </c>
      <c r="R9248" s="45" t="s">
        <v>272</v>
      </c>
    </row>
    <row r="9249" spans="2:18" ht="69" customHeight="1">
      <c r="B9249" s="319">
        <f t="shared" si="74"/>
        <v>6364</v>
      </c>
      <c r="C9249" s="160" t="s">
        <v>16368</v>
      </c>
      <c r="D9249" s="303" t="s">
        <v>1299</v>
      </c>
      <c r="E9249" s="207" t="s">
        <v>266</v>
      </c>
      <c r="F9249" s="160" t="s">
        <v>22557</v>
      </c>
      <c r="G9249" s="160" t="s">
        <v>22558</v>
      </c>
      <c r="H9249" s="300">
        <v>5001.08</v>
      </c>
      <c r="I9249" s="209">
        <v>45529</v>
      </c>
      <c r="J9249" s="316" t="s">
        <v>22559</v>
      </c>
      <c r="K9249" s="160"/>
      <c r="O9249" s="160" t="s">
        <v>11084</v>
      </c>
      <c r="P9249" s="160" t="s">
        <v>67</v>
      </c>
      <c r="Q9249" s="160" t="s">
        <v>96</v>
      </c>
      <c r="R9249" s="160" t="s">
        <v>272</v>
      </c>
    </row>
    <row r="9250" spans="2:18" ht="69" customHeight="1">
      <c r="B9250" s="319">
        <f t="shared" si="74"/>
        <v>6365</v>
      </c>
      <c r="C9250" s="160" t="s">
        <v>16368</v>
      </c>
      <c r="D9250" s="303" t="s">
        <v>675</v>
      </c>
      <c r="E9250" s="207" t="s">
        <v>266</v>
      </c>
      <c r="F9250" s="160" t="s">
        <v>22560</v>
      </c>
      <c r="G9250" s="160" t="s">
        <v>22558</v>
      </c>
      <c r="H9250" s="300">
        <v>5001.08</v>
      </c>
      <c r="I9250" s="209">
        <v>45529</v>
      </c>
      <c r="J9250" s="316" t="s">
        <v>22559</v>
      </c>
      <c r="K9250" s="160"/>
      <c r="O9250" s="160" t="s">
        <v>11084</v>
      </c>
      <c r="P9250" s="160" t="s">
        <v>67</v>
      </c>
      <c r="Q9250" s="160" t="s">
        <v>96</v>
      </c>
      <c r="R9250" s="160" t="s">
        <v>272</v>
      </c>
    </row>
    <row r="9251" spans="2:18" ht="69" customHeight="1">
      <c r="B9251" s="319">
        <f t="shared" si="74"/>
        <v>6366</v>
      </c>
      <c r="C9251" s="160" t="s">
        <v>16368</v>
      </c>
      <c r="D9251" s="303" t="s">
        <v>1728</v>
      </c>
      <c r="E9251" s="207" t="s">
        <v>266</v>
      </c>
      <c r="F9251" s="160" t="s">
        <v>22561</v>
      </c>
      <c r="G9251" s="160" t="s">
        <v>22558</v>
      </c>
      <c r="H9251" s="300">
        <v>3000</v>
      </c>
      <c r="I9251" s="209">
        <v>45529</v>
      </c>
      <c r="J9251" s="316" t="s">
        <v>22559</v>
      </c>
      <c r="K9251" s="160"/>
      <c r="O9251" s="160" t="s">
        <v>11084</v>
      </c>
      <c r="P9251" s="160" t="s">
        <v>67</v>
      </c>
      <c r="Q9251" s="160" t="s">
        <v>96</v>
      </c>
      <c r="R9251" s="160" t="s">
        <v>272</v>
      </c>
    </row>
    <row r="9252" spans="2:18" ht="69" customHeight="1">
      <c r="B9252" s="319">
        <f t="shared" si="74"/>
        <v>6367</v>
      </c>
      <c r="C9252" s="160" t="s">
        <v>16368</v>
      </c>
      <c r="D9252" s="303" t="s">
        <v>2033</v>
      </c>
      <c r="E9252" s="207" t="s">
        <v>266</v>
      </c>
      <c r="F9252" s="160" t="s">
        <v>22562</v>
      </c>
      <c r="G9252" s="160" t="s">
        <v>22558</v>
      </c>
      <c r="H9252" s="300">
        <v>1825.49</v>
      </c>
      <c r="I9252" s="209">
        <v>45529</v>
      </c>
      <c r="J9252" s="316" t="s">
        <v>22559</v>
      </c>
      <c r="K9252" s="160"/>
      <c r="O9252" s="160" t="s">
        <v>11084</v>
      </c>
      <c r="P9252" s="160" t="s">
        <v>67</v>
      </c>
      <c r="Q9252" s="160" t="s">
        <v>96</v>
      </c>
      <c r="R9252" s="160" t="s">
        <v>272</v>
      </c>
    </row>
    <row r="9253" spans="2:18" ht="69" customHeight="1">
      <c r="B9253" s="231">
        <f t="shared" si="74"/>
        <v>6368</v>
      </c>
      <c r="C9253" s="191" t="s">
        <v>458</v>
      </c>
      <c r="D9253" s="251" t="s">
        <v>22563</v>
      </c>
      <c r="E9253" s="191" t="s">
        <v>266</v>
      </c>
      <c r="F9253" s="46" t="s">
        <v>22564</v>
      </c>
      <c r="G9253" s="46" t="s">
        <v>22565</v>
      </c>
      <c r="H9253" s="534">
        <v>22212.39</v>
      </c>
      <c r="I9253" s="56">
        <v>45529</v>
      </c>
      <c r="J9253" s="199" t="s">
        <v>22566</v>
      </c>
      <c r="K9253" s="46"/>
      <c r="O9253" s="46" t="s">
        <v>1171</v>
      </c>
      <c r="P9253" s="46" t="s">
        <v>71</v>
      </c>
      <c r="Q9253" s="52" t="s">
        <v>100</v>
      </c>
      <c r="R9253" s="46" t="s">
        <v>272</v>
      </c>
    </row>
    <row r="9254" spans="2:18" ht="69" customHeight="1">
      <c r="B9254" s="231">
        <f t="shared" si="74"/>
        <v>6369</v>
      </c>
      <c r="C9254" s="543" t="s">
        <v>657</v>
      </c>
      <c r="D9254" s="251" t="s">
        <v>16027</v>
      </c>
      <c r="E9254" s="191" t="s">
        <v>266</v>
      </c>
      <c r="F9254" s="46" t="s">
        <v>22567</v>
      </c>
      <c r="G9254" s="46" t="s">
        <v>22565</v>
      </c>
      <c r="H9254" s="534">
        <v>22212.39</v>
      </c>
      <c r="I9254" s="56">
        <v>45529</v>
      </c>
      <c r="J9254" s="199" t="s">
        <v>22566</v>
      </c>
      <c r="K9254" s="46"/>
      <c r="O9254" s="46" t="s">
        <v>1171</v>
      </c>
      <c r="P9254" s="46" t="s">
        <v>71</v>
      </c>
      <c r="Q9254" s="52" t="s">
        <v>110</v>
      </c>
      <c r="R9254" s="46" t="s">
        <v>272</v>
      </c>
    </row>
    <row r="9255" spans="2:18" ht="69" customHeight="1">
      <c r="B9255" s="52">
        <f t="shared" si="74"/>
        <v>6370</v>
      </c>
      <c r="C9255" s="191" t="s">
        <v>9004</v>
      </c>
      <c r="D9255" s="502" t="s">
        <v>11541</v>
      </c>
      <c r="E9255" s="191" t="s">
        <v>266</v>
      </c>
      <c r="F9255" s="46" t="s">
        <v>22568</v>
      </c>
      <c r="G9255" s="283" t="s">
        <v>22565</v>
      </c>
      <c r="H9255" s="534">
        <v>21600</v>
      </c>
      <c r="I9255" s="284">
        <v>45529</v>
      </c>
      <c r="J9255" s="199" t="s">
        <v>22566</v>
      </c>
      <c r="K9255" s="46"/>
      <c r="O9255" s="46" t="s">
        <v>1171</v>
      </c>
      <c r="P9255" s="46" t="s">
        <v>71</v>
      </c>
      <c r="Q9255" s="52" t="s">
        <v>111</v>
      </c>
      <c r="R9255" s="46" t="s">
        <v>272</v>
      </c>
    </row>
    <row r="9256" spans="2:18" ht="69" customHeight="1">
      <c r="B9256" s="279">
        <f t="shared" si="74"/>
        <v>6371</v>
      </c>
      <c r="C9256" s="557" t="s">
        <v>5658</v>
      </c>
      <c r="D9256" s="251" t="s">
        <v>22569</v>
      </c>
      <c r="E9256" s="191" t="s">
        <v>266</v>
      </c>
      <c r="F9256" s="46" t="s">
        <v>22570</v>
      </c>
      <c r="G9256" s="46" t="s">
        <v>22565</v>
      </c>
      <c r="H9256" s="534">
        <v>22211.07</v>
      </c>
      <c r="I9256" s="56">
        <v>45529</v>
      </c>
      <c r="J9256" s="199" t="s">
        <v>22566</v>
      </c>
      <c r="K9256" s="46"/>
      <c r="O9256" s="46" t="s">
        <v>1171</v>
      </c>
      <c r="P9256" s="46" t="s">
        <v>71</v>
      </c>
      <c r="Q9256" s="52" t="s">
        <v>66</v>
      </c>
      <c r="R9256" s="46" t="s">
        <v>272</v>
      </c>
    </row>
    <row r="9257" spans="2:18" ht="69" customHeight="1">
      <c r="B9257" s="231">
        <f t="shared" si="74"/>
        <v>6372</v>
      </c>
      <c r="C9257" s="191" t="s">
        <v>9545</v>
      </c>
      <c r="D9257" s="251" t="s">
        <v>22571</v>
      </c>
      <c r="E9257" s="191" t="s">
        <v>266</v>
      </c>
      <c r="F9257" s="46" t="s">
        <v>22572</v>
      </c>
      <c r="G9257" s="283" t="s">
        <v>22565</v>
      </c>
      <c r="H9257" s="534">
        <v>22211.07</v>
      </c>
      <c r="I9257" s="284">
        <v>45529</v>
      </c>
      <c r="J9257" s="199" t="s">
        <v>22566</v>
      </c>
      <c r="K9257" s="46"/>
      <c r="O9257" s="46" t="s">
        <v>1171</v>
      </c>
      <c r="P9257" s="46" t="s">
        <v>71</v>
      </c>
      <c r="Q9257" s="52" t="s">
        <v>117</v>
      </c>
      <c r="R9257" s="46" t="s">
        <v>272</v>
      </c>
    </row>
    <row r="9258" spans="2:18" ht="69" customHeight="1">
      <c r="B9258" s="79">
        <f t="shared" si="74"/>
        <v>6373</v>
      </c>
      <c r="C9258" s="178" t="s">
        <v>458</v>
      </c>
      <c r="D9258" s="174" t="s">
        <v>22573</v>
      </c>
      <c r="E9258" s="178" t="s">
        <v>266</v>
      </c>
      <c r="F9258" s="58" t="s">
        <v>22574</v>
      </c>
      <c r="G9258" s="58" t="s">
        <v>22575</v>
      </c>
      <c r="H9258" s="552">
        <v>12000</v>
      </c>
      <c r="I9258" s="421">
        <v>45529</v>
      </c>
      <c r="J9258" s="65" t="s">
        <v>22576</v>
      </c>
      <c r="K9258" s="58"/>
      <c r="O9258" s="62" t="s">
        <v>6918</v>
      </c>
      <c r="P9258" s="58" t="s">
        <v>44</v>
      </c>
      <c r="Q9258" s="62" t="s">
        <v>100</v>
      </c>
      <c r="R9258" s="58" t="s">
        <v>272</v>
      </c>
    </row>
    <row r="9259" spans="2:18" ht="69" customHeight="1">
      <c r="B9259" s="79">
        <f t="shared" si="74"/>
        <v>6374</v>
      </c>
      <c r="C9259" s="178" t="s">
        <v>458</v>
      </c>
      <c r="D9259" s="545" t="s">
        <v>22577</v>
      </c>
      <c r="E9259" s="58" t="s">
        <v>21950</v>
      </c>
      <c r="F9259" s="58" t="s">
        <v>22578</v>
      </c>
      <c r="G9259" s="58" t="s">
        <v>22579</v>
      </c>
      <c r="H9259" s="546">
        <v>1225000</v>
      </c>
      <c r="I9259" s="247">
        <v>45539</v>
      </c>
      <c r="J9259" s="73" t="s">
        <v>22580</v>
      </c>
      <c r="K9259" s="67" t="s">
        <v>22203</v>
      </c>
      <c r="O9259" s="45" t="s">
        <v>141</v>
      </c>
      <c r="P9259" s="45" t="s">
        <v>19</v>
      </c>
      <c r="Q9259" s="48" t="s">
        <v>122</v>
      </c>
      <c r="R9259" s="45" t="s">
        <v>265</v>
      </c>
    </row>
    <row r="9260" spans="2:18" ht="69" customHeight="1">
      <c r="B9260" s="319">
        <f t="shared" si="74"/>
        <v>6375</v>
      </c>
      <c r="C9260" s="303" t="s">
        <v>22581</v>
      </c>
      <c r="D9260" s="303" t="s">
        <v>4561</v>
      </c>
      <c r="E9260" s="207" t="s">
        <v>266</v>
      </c>
      <c r="F9260" s="160" t="s">
        <v>22582</v>
      </c>
      <c r="G9260" s="160" t="s">
        <v>22583</v>
      </c>
      <c r="H9260" s="300">
        <v>1409.29</v>
      </c>
      <c r="I9260" s="343">
        <v>45529</v>
      </c>
      <c r="J9260" s="316" t="s">
        <v>22584</v>
      </c>
      <c r="K9260" s="160" t="s">
        <v>11084</v>
      </c>
      <c r="O9260" s="160" t="s">
        <v>21210</v>
      </c>
      <c r="P9260" s="160" t="s">
        <v>67</v>
      </c>
      <c r="Q9260" s="160" t="s">
        <v>96</v>
      </c>
      <c r="R9260" s="160" t="s">
        <v>272</v>
      </c>
    </row>
    <row r="9261" spans="2:18" ht="69" customHeight="1">
      <c r="B9261" s="319">
        <f t="shared" si="74"/>
        <v>6376</v>
      </c>
      <c r="C9261" s="303" t="s">
        <v>22581</v>
      </c>
      <c r="D9261" s="303" t="s">
        <v>4738</v>
      </c>
      <c r="E9261" s="207" t="s">
        <v>266</v>
      </c>
      <c r="F9261" s="160" t="s">
        <v>22585</v>
      </c>
      <c r="G9261" s="160" t="s">
        <v>22583</v>
      </c>
      <c r="H9261" s="300">
        <v>1409.29</v>
      </c>
      <c r="I9261" s="343">
        <v>45529</v>
      </c>
      <c r="J9261" s="316" t="s">
        <v>22584</v>
      </c>
      <c r="K9261" s="160" t="s">
        <v>11084</v>
      </c>
      <c r="O9261" s="160" t="s">
        <v>21210</v>
      </c>
      <c r="P9261" s="160" t="s">
        <v>67</v>
      </c>
      <c r="Q9261" s="160" t="s">
        <v>96</v>
      </c>
      <c r="R9261" s="160" t="s">
        <v>272</v>
      </c>
    </row>
    <row r="9262" spans="2:18" ht="69" customHeight="1">
      <c r="B9262" s="253">
        <f t="shared" si="74"/>
        <v>6377</v>
      </c>
      <c r="C9262" s="254" t="s">
        <v>13156</v>
      </c>
      <c r="D9262" s="255" t="s">
        <v>1973</v>
      </c>
      <c r="E9262" s="256" t="s">
        <v>266</v>
      </c>
      <c r="F9262" s="118" t="s">
        <v>22586</v>
      </c>
      <c r="G9262" s="118" t="s">
        <v>22587</v>
      </c>
      <c r="H9262" s="300">
        <v>1056.98</v>
      </c>
      <c r="I9262" s="257">
        <v>45529</v>
      </c>
      <c r="J9262" s="258" t="s">
        <v>22584</v>
      </c>
      <c r="K9262" s="118" t="s">
        <v>15415</v>
      </c>
      <c r="O9262" s="160" t="s">
        <v>21210</v>
      </c>
      <c r="P9262" s="118" t="s">
        <v>67</v>
      </c>
      <c r="Q9262" s="160" t="s">
        <v>96</v>
      </c>
      <c r="R9262" s="160" t="s">
        <v>272</v>
      </c>
    </row>
    <row r="9263" spans="2:18" ht="69" customHeight="1">
      <c r="B9263" s="319">
        <f t="shared" si="74"/>
        <v>6378</v>
      </c>
      <c r="C9263" s="304" t="s">
        <v>10961</v>
      </c>
      <c r="D9263" s="303" t="s">
        <v>22588</v>
      </c>
      <c r="E9263" s="207" t="s">
        <v>266</v>
      </c>
      <c r="F9263" s="160" t="s">
        <v>22589</v>
      </c>
      <c r="G9263" s="160" t="s">
        <v>22590</v>
      </c>
      <c r="H9263" s="300">
        <v>169.92</v>
      </c>
      <c r="I9263" s="209">
        <v>45540</v>
      </c>
      <c r="J9263" s="316" t="s">
        <v>22591</v>
      </c>
      <c r="K9263" s="160"/>
      <c r="O9263" s="160" t="s">
        <v>17035</v>
      </c>
      <c r="P9263" s="160" t="s">
        <v>67</v>
      </c>
      <c r="Q9263" s="160" t="s">
        <v>96</v>
      </c>
      <c r="R9263" s="160" t="s">
        <v>272</v>
      </c>
    </row>
    <row r="9264" spans="2:18" ht="69" customHeight="1">
      <c r="B9264" s="231">
        <f t="shared" si="74"/>
        <v>6379</v>
      </c>
      <c r="C9264" s="191" t="s">
        <v>10634</v>
      </c>
      <c r="D9264" s="251" t="s">
        <v>22592</v>
      </c>
      <c r="E9264" s="191" t="s">
        <v>266</v>
      </c>
      <c r="F9264" s="251" t="s">
        <v>22593</v>
      </c>
      <c r="G9264" s="191" t="s">
        <v>22594</v>
      </c>
      <c r="H9264" s="534">
        <v>11346</v>
      </c>
      <c r="I9264" s="284">
        <v>45529</v>
      </c>
      <c r="J9264" s="199" t="s">
        <v>22595</v>
      </c>
      <c r="K9264" s="46"/>
      <c r="O9264" s="46" t="s">
        <v>1171</v>
      </c>
      <c r="P9264" s="46" t="s">
        <v>71</v>
      </c>
      <c r="Q9264" s="52" t="s">
        <v>93</v>
      </c>
      <c r="R9264" s="46" t="s">
        <v>272</v>
      </c>
    </row>
    <row r="9265" spans="2:18" ht="69" customHeight="1">
      <c r="B9265" s="319">
        <f t="shared" si="74"/>
        <v>6380</v>
      </c>
      <c r="C9265" s="345" t="s">
        <v>13665</v>
      </c>
      <c r="D9265" s="303" t="s">
        <v>7133</v>
      </c>
      <c r="E9265" s="207" t="s">
        <v>266</v>
      </c>
      <c r="F9265" s="160" t="s">
        <v>22596</v>
      </c>
      <c r="G9265" s="160" t="s">
        <v>22597</v>
      </c>
      <c r="H9265" s="300">
        <v>760.64</v>
      </c>
      <c r="I9265" s="329">
        <v>45513</v>
      </c>
      <c r="J9265" s="316" t="s">
        <v>22598</v>
      </c>
      <c r="K9265" s="160" t="s">
        <v>11084</v>
      </c>
      <c r="O9265" s="160" t="s">
        <v>5969</v>
      </c>
      <c r="P9265" s="160" t="s">
        <v>67</v>
      </c>
      <c r="Q9265" s="160" t="s">
        <v>96</v>
      </c>
      <c r="R9265" s="160" t="s">
        <v>272</v>
      </c>
    </row>
    <row r="9266" spans="2:18" ht="69" customHeight="1">
      <c r="B9266" s="319">
        <f t="shared" si="74"/>
        <v>6381</v>
      </c>
      <c r="C9266" s="345" t="s">
        <v>13665</v>
      </c>
      <c r="D9266" s="303" t="s">
        <v>6010</v>
      </c>
      <c r="E9266" s="207" t="s">
        <v>266</v>
      </c>
      <c r="F9266" s="160" t="s">
        <v>22599</v>
      </c>
      <c r="G9266" s="160" t="s">
        <v>22600</v>
      </c>
      <c r="H9266" s="300">
        <v>16068.8</v>
      </c>
      <c r="I9266" s="329">
        <v>45513</v>
      </c>
      <c r="J9266" s="316" t="s">
        <v>22598</v>
      </c>
      <c r="K9266" s="160" t="s">
        <v>11084</v>
      </c>
      <c r="O9266" s="160" t="s">
        <v>5969</v>
      </c>
      <c r="P9266" s="160" t="s">
        <v>67</v>
      </c>
      <c r="Q9266" s="160" t="s">
        <v>96</v>
      </c>
      <c r="R9266" s="160" t="s">
        <v>272</v>
      </c>
    </row>
    <row r="9267" spans="2:18" ht="69" customHeight="1">
      <c r="B9267" s="319">
        <f t="shared" si="74"/>
        <v>6382</v>
      </c>
      <c r="C9267" s="345" t="s">
        <v>13665</v>
      </c>
      <c r="D9267" s="303" t="s">
        <v>6016</v>
      </c>
      <c r="E9267" s="207" t="s">
        <v>266</v>
      </c>
      <c r="F9267" s="160" t="s">
        <v>22601</v>
      </c>
      <c r="G9267" s="160" t="s">
        <v>22602</v>
      </c>
      <c r="H9267" s="300">
        <v>2639.85</v>
      </c>
      <c r="I9267" s="329">
        <v>45513</v>
      </c>
      <c r="J9267" s="316" t="s">
        <v>22598</v>
      </c>
      <c r="K9267" s="160" t="s">
        <v>11084</v>
      </c>
      <c r="O9267" s="160" t="s">
        <v>5969</v>
      </c>
      <c r="P9267" s="160" t="s">
        <v>67</v>
      </c>
      <c r="Q9267" s="160" t="s">
        <v>96</v>
      </c>
      <c r="R9267" s="160" t="s">
        <v>272</v>
      </c>
    </row>
    <row r="9268" spans="2:18" ht="69" customHeight="1">
      <c r="B9268" s="319">
        <f t="shared" si="74"/>
        <v>6383</v>
      </c>
      <c r="C9268" s="345" t="s">
        <v>13665</v>
      </c>
      <c r="D9268" s="303" t="s">
        <v>3683</v>
      </c>
      <c r="E9268" s="207" t="s">
        <v>266</v>
      </c>
      <c r="F9268" s="160" t="s">
        <v>22603</v>
      </c>
      <c r="G9268" s="160" t="s">
        <v>22604</v>
      </c>
      <c r="H9268" s="300">
        <v>3167.82</v>
      </c>
      <c r="I9268" s="329">
        <v>45513</v>
      </c>
      <c r="J9268" s="316" t="s">
        <v>22598</v>
      </c>
      <c r="K9268" s="160" t="s">
        <v>11084</v>
      </c>
      <c r="O9268" s="160" t="s">
        <v>5969</v>
      </c>
      <c r="P9268" s="160" t="s">
        <v>67</v>
      </c>
      <c r="Q9268" s="160" t="s">
        <v>96</v>
      </c>
      <c r="R9268" s="160" t="s">
        <v>272</v>
      </c>
    </row>
    <row r="9269" spans="2:18" ht="69" customHeight="1">
      <c r="B9269" s="231">
        <f t="shared" si="74"/>
        <v>6384</v>
      </c>
      <c r="C9269" s="191" t="s">
        <v>10634</v>
      </c>
      <c r="D9269" s="251" t="s">
        <v>22605</v>
      </c>
      <c r="E9269" s="191" t="s">
        <v>266</v>
      </c>
      <c r="F9269" s="46" t="s">
        <v>22606</v>
      </c>
      <c r="G9269" s="46" t="s">
        <v>22607</v>
      </c>
      <c r="H9269" s="534">
        <v>680</v>
      </c>
      <c r="I9269" s="284">
        <v>45529</v>
      </c>
      <c r="J9269" s="199" t="s">
        <v>22608</v>
      </c>
      <c r="K9269" s="46"/>
      <c r="O9269" s="46"/>
      <c r="P9269" s="46" t="s">
        <v>65</v>
      </c>
      <c r="Q9269" s="52" t="s">
        <v>93</v>
      </c>
      <c r="R9269" s="46" t="s">
        <v>272</v>
      </c>
    </row>
    <row r="9270" spans="2:18" ht="69" customHeight="1">
      <c r="B9270" s="231">
        <f t="shared" si="74"/>
        <v>6385</v>
      </c>
      <c r="C9270" s="191" t="s">
        <v>10639</v>
      </c>
      <c r="D9270" s="251" t="s">
        <v>22609</v>
      </c>
      <c r="E9270" s="191" t="s">
        <v>266</v>
      </c>
      <c r="F9270" s="46" t="s">
        <v>22610</v>
      </c>
      <c r="G9270" s="46" t="s">
        <v>22607</v>
      </c>
      <c r="H9270" s="534">
        <v>680</v>
      </c>
      <c r="I9270" s="284">
        <v>45529</v>
      </c>
      <c r="J9270" s="199" t="s">
        <v>22608</v>
      </c>
      <c r="K9270" s="46"/>
      <c r="O9270" s="46"/>
      <c r="P9270" s="46" t="s">
        <v>65</v>
      </c>
      <c r="Q9270" s="52" t="s">
        <v>95</v>
      </c>
      <c r="R9270" s="46" t="s">
        <v>272</v>
      </c>
    </row>
    <row r="9271" spans="2:18" ht="69" customHeight="1">
      <c r="B9271" s="319">
        <f t="shared" si="74"/>
        <v>6386</v>
      </c>
      <c r="C9271" s="160" t="s">
        <v>19537</v>
      </c>
      <c r="D9271" s="303" t="s">
        <v>2435</v>
      </c>
      <c r="E9271" s="207" t="s">
        <v>266</v>
      </c>
      <c r="F9271" s="160" t="s">
        <v>22611</v>
      </c>
      <c r="G9271" s="160" t="s">
        <v>22583</v>
      </c>
      <c r="H9271" s="300">
        <v>1409.29</v>
      </c>
      <c r="I9271" s="343">
        <v>45529</v>
      </c>
      <c r="J9271" s="316" t="s">
        <v>22612</v>
      </c>
      <c r="K9271" s="160" t="s">
        <v>11161</v>
      </c>
      <c r="O9271" s="160"/>
      <c r="P9271" s="160" t="s">
        <v>67</v>
      </c>
      <c r="Q9271" s="160" t="s">
        <v>96</v>
      </c>
      <c r="R9271" s="160" t="s">
        <v>272</v>
      </c>
    </row>
    <row r="9272" spans="2:18" ht="69" customHeight="1">
      <c r="B9272" s="319">
        <f t="shared" si="74"/>
        <v>6387</v>
      </c>
      <c r="C9272" s="160" t="s">
        <v>3340</v>
      </c>
      <c r="D9272" s="303" t="s">
        <v>3490</v>
      </c>
      <c r="E9272" s="207" t="s">
        <v>266</v>
      </c>
      <c r="F9272" s="160" t="s">
        <v>22613</v>
      </c>
      <c r="G9272" s="160" t="s">
        <v>22614</v>
      </c>
      <c r="H9272" s="300">
        <v>1492.52</v>
      </c>
      <c r="I9272" s="346">
        <v>45529</v>
      </c>
      <c r="J9272" s="316" t="s">
        <v>22615</v>
      </c>
      <c r="K9272" s="160" t="s">
        <v>11084</v>
      </c>
      <c r="O9272" s="160" t="s">
        <v>13735</v>
      </c>
      <c r="P9272" s="160" t="s">
        <v>67</v>
      </c>
      <c r="Q9272" s="160" t="s">
        <v>96</v>
      </c>
      <c r="R9272" s="160" t="s">
        <v>272</v>
      </c>
    </row>
    <row r="9273" spans="2:18" ht="69" customHeight="1">
      <c r="B9273" s="231">
        <f t="shared" si="74"/>
        <v>6388</v>
      </c>
      <c r="C9273" s="543" t="s">
        <v>10947</v>
      </c>
      <c r="D9273" s="251" t="s">
        <v>20169</v>
      </c>
      <c r="E9273" s="191" t="s">
        <v>266</v>
      </c>
      <c r="F9273" s="46" t="s">
        <v>22616</v>
      </c>
      <c r="G9273" s="283" t="s">
        <v>22617</v>
      </c>
      <c r="H9273" s="534">
        <v>1168</v>
      </c>
      <c r="I9273" s="56">
        <v>45529</v>
      </c>
      <c r="J9273" s="544" t="s">
        <v>22618</v>
      </c>
      <c r="K9273" s="46"/>
      <c r="O9273" s="46" t="s">
        <v>22619</v>
      </c>
      <c r="P9273" s="46" t="s">
        <v>65</v>
      </c>
      <c r="Q9273" s="52" t="s">
        <v>100</v>
      </c>
      <c r="R9273" s="46" t="s">
        <v>272</v>
      </c>
    </row>
    <row r="9274" spans="2:18" ht="69" customHeight="1">
      <c r="B9274" s="231">
        <f t="shared" si="74"/>
        <v>6389</v>
      </c>
      <c r="C9274" s="543" t="s">
        <v>6261</v>
      </c>
      <c r="D9274" s="502" t="s">
        <v>22620</v>
      </c>
      <c r="E9274" s="191" t="s">
        <v>266</v>
      </c>
      <c r="F9274" s="46" t="s">
        <v>22621</v>
      </c>
      <c r="G9274" s="283" t="s">
        <v>22622</v>
      </c>
      <c r="H9274" s="534">
        <v>4000</v>
      </c>
      <c r="I9274" s="284">
        <v>45529</v>
      </c>
      <c r="J9274" s="544" t="s">
        <v>22623</v>
      </c>
      <c r="K9274" s="46"/>
      <c r="O9274" s="52" t="s">
        <v>20856</v>
      </c>
      <c r="P9274" s="46" t="s">
        <v>65</v>
      </c>
      <c r="Q9274" s="52" t="s">
        <v>74</v>
      </c>
      <c r="R9274" s="46" t="s">
        <v>272</v>
      </c>
    </row>
    <row r="9275" spans="2:18" ht="69" customHeight="1">
      <c r="B9275" s="231">
        <f t="shared" si="74"/>
        <v>6390</v>
      </c>
      <c r="C9275" s="46" t="s">
        <v>6468</v>
      </c>
      <c r="D9275" s="502" t="s">
        <v>22624</v>
      </c>
      <c r="E9275" s="191" t="s">
        <v>266</v>
      </c>
      <c r="F9275" s="46" t="s">
        <v>22625</v>
      </c>
      <c r="G9275" s="283" t="s">
        <v>22622</v>
      </c>
      <c r="H9275" s="534">
        <v>4000</v>
      </c>
      <c r="I9275" s="56">
        <v>45529</v>
      </c>
      <c r="J9275" s="544" t="s">
        <v>22626</v>
      </c>
      <c r="K9275" s="46"/>
      <c r="O9275" s="52" t="s">
        <v>20856</v>
      </c>
      <c r="P9275" s="46" t="s">
        <v>65</v>
      </c>
      <c r="Q9275" s="52" t="s">
        <v>76</v>
      </c>
      <c r="R9275" s="46" t="s">
        <v>272</v>
      </c>
    </row>
    <row r="9276" spans="2:18" ht="69" customHeight="1">
      <c r="B9276" s="231">
        <f t="shared" si="74"/>
        <v>6391</v>
      </c>
      <c r="C9276" s="46" t="s">
        <v>6693</v>
      </c>
      <c r="D9276" s="502" t="s">
        <v>22627</v>
      </c>
      <c r="E9276" s="191" t="s">
        <v>266</v>
      </c>
      <c r="F9276" s="46" t="s">
        <v>22628</v>
      </c>
      <c r="G9276" s="283" t="s">
        <v>22622</v>
      </c>
      <c r="H9276" s="534">
        <v>4000</v>
      </c>
      <c r="I9276" s="56">
        <v>45529</v>
      </c>
      <c r="J9276" s="544" t="s">
        <v>22629</v>
      </c>
      <c r="K9276" s="46"/>
      <c r="O9276" s="52" t="s">
        <v>20856</v>
      </c>
      <c r="P9276" s="46" t="s">
        <v>65</v>
      </c>
      <c r="Q9276" s="52" t="s">
        <v>78</v>
      </c>
      <c r="R9276" s="46" t="s">
        <v>272</v>
      </c>
    </row>
    <row r="9277" spans="2:18" ht="69" customHeight="1">
      <c r="B9277" s="231">
        <f t="shared" si="74"/>
        <v>6392</v>
      </c>
      <c r="C9277" s="46" t="s">
        <v>22301</v>
      </c>
      <c r="D9277" s="502" t="s">
        <v>11680</v>
      </c>
      <c r="E9277" s="191" t="s">
        <v>266</v>
      </c>
      <c r="F9277" s="46" t="s">
        <v>22630</v>
      </c>
      <c r="G9277" s="283" t="s">
        <v>22622</v>
      </c>
      <c r="H9277" s="534">
        <v>2484</v>
      </c>
      <c r="I9277" s="56">
        <v>45529</v>
      </c>
      <c r="J9277" s="544" t="s">
        <v>22631</v>
      </c>
      <c r="K9277" s="46"/>
      <c r="O9277" s="52" t="s">
        <v>20856</v>
      </c>
      <c r="P9277" s="46" t="s">
        <v>65</v>
      </c>
      <c r="Q9277" s="52" t="s">
        <v>110</v>
      </c>
      <c r="R9277" s="46" t="s">
        <v>272</v>
      </c>
    </row>
    <row r="9278" spans="2:18" ht="69" customHeight="1">
      <c r="B9278" s="231">
        <f t="shared" si="74"/>
        <v>6393</v>
      </c>
      <c r="C9278" s="191" t="s">
        <v>22632</v>
      </c>
      <c r="D9278" s="251" t="s">
        <v>22633</v>
      </c>
      <c r="E9278" s="191" t="s">
        <v>266</v>
      </c>
      <c r="F9278" s="46" t="s">
        <v>22634</v>
      </c>
      <c r="G9278" s="283" t="s">
        <v>22622</v>
      </c>
      <c r="H9278" s="534">
        <v>4000</v>
      </c>
      <c r="I9278" s="56">
        <v>45529</v>
      </c>
      <c r="J9278" s="544" t="s">
        <v>22635</v>
      </c>
      <c r="K9278" s="46"/>
      <c r="O9278" s="52" t="s">
        <v>20856</v>
      </c>
      <c r="P9278" s="46" t="s">
        <v>65</v>
      </c>
      <c r="Q9278" s="52" t="s">
        <v>72</v>
      </c>
      <c r="R9278" s="46" t="s">
        <v>272</v>
      </c>
    </row>
    <row r="9279" spans="2:18" ht="69" customHeight="1">
      <c r="B9279" s="231">
        <f t="shared" si="74"/>
        <v>6394</v>
      </c>
      <c r="C9279" s="51" t="s">
        <v>22636</v>
      </c>
      <c r="D9279" s="251" t="s">
        <v>22637</v>
      </c>
      <c r="E9279" s="191" t="s">
        <v>266</v>
      </c>
      <c r="F9279" s="46" t="s">
        <v>22638</v>
      </c>
      <c r="G9279" s="283" t="s">
        <v>22622</v>
      </c>
      <c r="H9279" s="534">
        <v>4000</v>
      </c>
      <c r="I9279" s="56">
        <v>45529</v>
      </c>
      <c r="J9279" s="544" t="s">
        <v>22639</v>
      </c>
      <c r="K9279" s="46"/>
      <c r="O9279" s="52" t="s">
        <v>20856</v>
      </c>
      <c r="P9279" s="46" t="s">
        <v>65</v>
      </c>
      <c r="Q9279" s="52" t="s">
        <v>68</v>
      </c>
      <c r="R9279" s="46" t="s">
        <v>272</v>
      </c>
    </row>
    <row r="9280" spans="2:18" ht="69" customHeight="1">
      <c r="B9280" s="231">
        <f t="shared" si="74"/>
        <v>6395</v>
      </c>
      <c r="C9280" s="46" t="s">
        <v>22640</v>
      </c>
      <c r="D9280" s="251" t="s">
        <v>22641</v>
      </c>
      <c r="E9280" s="191" t="s">
        <v>266</v>
      </c>
      <c r="F9280" s="46" t="s">
        <v>22642</v>
      </c>
      <c r="G9280" s="283" t="s">
        <v>22622</v>
      </c>
      <c r="H9280" s="534">
        <v>4000</v>
      </c>
      <c r="I9280" s="56">
        <v>45529</v>
      </c>
      <c r="J9280" s="544" t="s">
        <v>22643</v>
      </c>
      <c r="K9280" s="46"/>
      <c r="O9280" s="52" t="s">
        <v>20856</v>
      </c>
      <c r="P9280" s="46" t="s">
        <v>65</v>
      </c>
      <c r="Q9280" s="52" t="s">
        <v>70</v>
      </c>
      <c r="R9280" s="46" t="s">
        <v>272</v>
      </c>
    </row>
    <row r="9281" spans="2:18" ht="69" customHeight="1">
      <c r="B9281" s="62">
        <f t="shared" si="74"/>
        <v>6396</v>
      </c>
      <c r="C9281" s="651" t="s">
        <v>458</v>
      </c>
      <c r="D9281" s="647" t="s">
        <v>20186</v>
      </c>
      <c r="E9281" s="74" t="s">
        <v>21950</v>
      </c>
      <c r="F9281" s="74" t="s">
        <v>22644</v>
      </c>
      <c r="G9281" s="74" t="s">
        <v>22645</v>
      </c>
      <c r="H9281" s="644">
        <v>303360</v>
      </c>
      <c r="I9281" s="252">
        <v>45529</v>
      </c>
      <c r="J9281" s="417" t="s">
        <v>22646</v>
      </c>
      <c r="K9281" s="241"/>
      <c r="O9281" s="45" t="s">
        <v>141</v>
      </c>
      <c r="P9281" s="45" t="s">
        <v>19</v>
      </c>
      <c r="Q9281" s="48" t="s">
        <v>122</v>
      </c>
      <c r="R9281" s="45" t="s">
        <v>265</v>
      </c>
    </row>
    <row r="9282" spans="2:18" ht="69" customHeight="1">
      <c r="B9282" s="347">
        <f t="shared" si="74"/>
        <v>6397</v>
      </c>
      <c r="C9282" s="207" t="s">
        <v>3667</v>
      </c>
      <c r="D9282" s="348" t="s">
        <v>22647</v>
      </c>
      <c r="E9282" s="349" t="s">
        <v>266</v>
      </c>
      <c r="F9282" s="350" t="s">
        <v>22648</v>
      </c>
      <c r="G9282" s="336" t="s">
        <v>22649</v>
      </c>
      <c r="H9282" s="300">
        <v>3864.96</v>
      </c>
      <c r="I9282" s="351">
        <v>45529</v>
      </c>
      <c r="J9282" s="352" t="s">
        <v>22650</v>
      </c>
      <c r="K9282" s="336"/>
      <c r="O9282" s="160" t="s">
        <v>10810</v>
      </c>
      <c r="P9282" s="160" t="s">
        <v>67</v>
      </c>
      <c r="Q9282" s="259" t="s">
        <v>49</v>
      </c>
      <c r="R9282" s="160" t="s">
        <v>272</v>
      </c>
    </row>
    <row r="9283" spans="2:18" ht="69" customHeight="1">
      <c r="B9283" s="319">
        <f t="shared" si="74"/>
        <v>6398</v>
      </c>
      <c r="C9283" s="207" t="s">
        <v>309</v>
      </c>
      <c r="D9283" s="301" t="s">
        <v>18774</v>
      </c>
      <c r="E9283" s="207" t="s">
        <v>266</v>
      </c>
      <c r="F9283" s="208" t="s">
        <v>22651</v>
      </c>
      <c r="G9283" s="160" t="s">
        <v>10808</v>
      </c>
      <c r="H9283" s="300">
        <v>3019.5</v>
      </c>
      <c r="I9283" s="209">
        <v>45529</v>
      </c>
      <c r="J9283" s="353" t="s">
        <v>22650</v>
      </c>
      <c r="K9283" s="160"/>
      <c r="O9283" s="160" t="s">
        <v>10810</v>
      </c>
      <c r="P9283" s="160" t="s">
        <v>67</v>
      </c>
      <c r="Q9283" s="259" t="s">
        <v>15</v>
      </c>
      <c r="R9283" s="160" t="s">
        <v>272</v>
      </c>
    </row>
    <row r="9284" spans="2:18" ht="69" customHeight="1">
      <c r="B9284" s="319">
        <f t="shared" si="74"/>
        <v>6399</v>
      </c>
      <c r="C9284" s="207" t="s">
        <v>458</v>
      </c>
      <c r="D9284" s="303" t="s">
        <v>22652</v>
      </c>
      <c r="E9284" s="207" t="s">
        <v>266</v>
      </c>
      <c r="F9284" s="208" t="s">
        <v>22653</v>
      </c>
      <c r="G9284" s="160" t="s">
        <v>10808</v>
      </c>
      <c r="H9284" s="300">
        <v>3019.5</v>
      </c>
      <c r="I9284" s="209">
        <v>45529</v>
      </c>
      <c r="J9284" s="353" t="s">
        <v>22650</v>
      </c>
      <c r="K9284" s="160"/>
      <c r="O9284" s="160" t="s">
        <v>10810</v>
      </c>
      <c r="P9284" s="160" t="s">
        <v>67</v>
      </c>
      <c r="Q9284" s="259" t="s">
        <v>90</v>
      </c>
      <c r="R9284" s="160" t="s">
        <v>272</v>
      </c>
    </row>
    <row r="9285" spans="2:18" ht="69" customHeight="1">
      <c r="B9285" s="319">
        <f t="shared" si="74"/>
        <v>6400</v>
      </c>
      <c r="C9285" s="207" t="s">
        <v>657</v>
      </c>
      <c r="D9285" s="303" t="s">
        <v>16241</v>
      </c>
      <c r="E9285" s="207" t="s">
        <v>266</v>
      </c>
      <c r="F9285" s="208" t="s">
        <v>22654</v>
      </c>
      <c r="G9285" s="160" t="s">
        <v>10808</v>
      </c>
      <c r="H9285" s="300">
        <v>2714.04</v>
      </c>
      <c r="I9285" s="209">
        <v>45529</v>
      </c>
      <c r="J9285" s="353" t="s">
        <v>22650</v>
      </c>
      <c r="K9285" s="160"/>
      <c r="O9285" s="160" t="s">
        <v>10810</v>
      </c>
      <c r="P9285" s="160" t="s">
        <v>67</v>
      </c>
      <c r="Q9285" s="259" t="s">
        <v>99</v>
      </c>
      <c r="R9285" s="160" t="s">
        <v>272</v>
      </c>
    </row>
    <row r="9286" spans="2:18" ht="69" customHeight="1">
      <c r="B9286" s="79">
        <f t="shared" si="74"/>
        <v>6401</v>
      </c>
      <c r="C9286" s="59" t="s">
        <v>458</v>
      </c>
      <c r="D9286" s="84" t="s">
        <v>22655</v>
      </c>
      <c r="E9286" s="59" t="s">
        <v>22656</v>
      </c>
      <c r="F9286" s="45" t="s">
        <v>22657</v>
      </c>
      <c r="G9286" s="45" t="s">
        <v>22167</v>
      </c>
      <c r="H9286" s="546">
        <v>45518.98</v>
      </c>
      <c r="I9286" s="126">
        <v>45540</v>
      </c>
      <c r="J9286" s="548" t="s">
        <v>22658</v>
      </c>
      <c r="K9286" s="67"/>
      <c r="O9286" s="45" t="s">
        <v>1061</v>
      </c>
      <c r="P9286" s="45" t="s">
        <v>36</v>
      </c>
      <c r="Q9286" s="48" t="s">
        <v>90</v>
      </c>
      <c r="R9286" s="45" t="s">
        <v>272</v>
      </c>
    </row>
    <row r="9287" spans="2:18" ht="69" customHeight="1">
      <c r="B9287" s="79">
        <f t="shared" si="74"/>
        <v>6402</v>
      </c>
      <c r="C9287" s="59" t="s">
        <v>309</v>
      </c>
      <c r="D9287" s="84" t="s">
        <v>18792</v>
      </c>
      <c r="E9287" s="59" t="s">
        <v>22656</v>
      </c>
      <c r="F9287" s="45" t="s">
        <v>22659</v>
      </c>
      <c r="G9287" s="45" t="s">
        <v>22171</v>
      </c>
      <c r="H9287" s="546">
        <v>45518.98</v>
      </c>
      <c r="I9287" s="126">
        <v>45540</v>
      </c>
      <c r="J9287" s="548" t="s">
        <v>22658</v>
      </c>
      <c r="K9287" s="67"/>
      <c r="O9287" s="45" t="s">
        <v>1061</v>
      </c>
      <c r="P9287" s="45" t="s">
        <v>36</v>
      </c>
      <c r="Q9287" s="48" t="s">
        <v>15</v>
      </c>
      <c r="R9287" s="45" t="s">
        <v>272</v>
      </c>
    </row>
    <row r="9288" spans="2:18" ht="69" customHeight="1">
      <c r="B9288" s="79">
        <f t="shared" si="74"/>
        <v>6403</v>
      </c>
      <c r="C9288" s="59" t="s">
        <v>3667</v>
      </c>
      <c r="D9288" s="84" t="s">
        <v>22660</v>
      </c>
      <c r="E9288" s="59" t="s">
        <v>22656</v>
      </c>
      <c r="F9288" s="45" t="s">
        <v>22661</v>
      </c>
      <c r="G9288" s="45" t="s">
        <v>22171</v>
      </c>
      <c r="H9288" s="546">
        <v>58264.29</v>
      </c>
      <c r="I9288" s="126">
        <v>45540</v>
      </c>
      <c r="J9288" s="548" t="s">
        <v>22658</v>
      </c>
      <c r="K9288" s="67"/>
      <c r="O9288" s="45" t="s">
        <v>1061</v>
      </c>
      <c r="P9288" s="45" t="s">
        <v>36</v>
      </c>
      <c r="Q9288" s="48" t="s">
        <v>49</v>
      </c>
      <c r="R9288" s="45" t="s">
        <v>272</v>
      </c>
    </row>
    <row r="9289" spans="2:18" ht="69" customHeight="1">
      <c r="B9289" s="79">
        <f t="shared" si="74"/>
        <v>6404</v>
      </c>
      <c r="C9289" s="59" t="s">
        <v>657</v>
      </c>
      <c r="D9289" s="84" t="s">
        <v>11684</v>
      </c>
      <c r="E9289" s="59" t="s">
        <v>22656</v>
      </c>
      <c r="F9289" s="45" t="s">
        <v>22662</v>
      </c>
      <c r="G9289" s="45" t="s">
        <v>22171</v>
      </c>
      <c r="H9289" s="546">
        <v>32773.67</v>
      </c>
      <c r="I9289" s="126">
        <v>45540</v>
      </c>
      <c r="J9289" s="548" t="s">
        <v>22658</v>
      </c>
      <c r="K9289" s="67"/>
      <c r="O9289" s="45" t="s">
        <v>1061</v>
      </c>
      <c r="P9289" s="45" t="s">
        <v>36</v>
      </c>
      <c r="Q9289" s="48" t="s">
        <v>99</v>
      </c>
      <c r="R9289" s="45" t="s">
        <v>272</v>
      </c>
    </row>
    <row r="9290" spans="2:18" ht="69" customHeight="1">
      <c r="B9290" s="79">
        <f t="shared" si="74"/>
        <v>6405</v>
      </c>
      <c r="C9290" s="59" t="s">
        <v>458</v>
      </c>
      <c r="D9290" s="545" t="s">
        <v>20205</v>
      </c>
      <c r="E9290" s="59" t="s">
        <v>22656</v>
      </c>
      <c r="F9290" s="45" t="s">
        <v>22663</v>
      </c>
      <c r="G9290" s="45" t="s">
        <v>22171</v>
      </c>
      <c r="H9290" s="546">
        <v>25634.720000000001</v>
      </c>
      <c r="I9290" s="126">
        <v>45540</v>
      </c>
      <c r="J9290" s="548" t="s">
        <v>22664</v>
      </c>
      <c r="K9290" s="243"/>
      <c r="O9290" s="45" t="s">
        <v>1061</v>
      </c>
      <c r="P9290" s="45" t="s">
        <v>36</v>
      </c>
      <c r="Q9290" s="48" t="s">
        <v>90</v>
      </c>
      <c r="R9290" s="45" t="s">
        <v>272</v>
      </c>
    </row>
    <row r="9291" spans="2:18" ht="69" customHeight="1">
      <c r="B9291" s="79">
        <f t="shared" si="74"/>
        <v>6406</v>
      </c>
      <c r="C9291" s="59" t="s">
        <v>309</v>
      </c>
      <c r="D9291" s="581" t="s">
        <v>18795</v>
      </c>
      <c r="E9291" s="59" t="s">
        <v>22656</v>
      </c>
      <c r="F9291" s="45" t="s">
        <v>22665</v>
      </c>
      <c r="G9291" s="45" t="s">
        <v>22171</v>
      </c>
      <c r="H9291" s="546">
        <v>25634.720000000001</v>
      </c>
      <c r="I9291" s="126">
        <v>45540</v>
      </c>
      <c r="J9291" s="548" t="s">
        <v>22664</v>
      </c>
      <c r="K9291" s="115"/>
      <c r="M9291" s="98"/>
      <c r="N9291" s="45"/>
      <c r="O9291" s="45" t="s">
        <v>1061</v>
      </c>
      <c r="P9291" s="45" t="s">
        <v>36</v>
      </c>
      <c r="Q9291" s="48" t="s">
        <v>15</v>
      </c>
      <c r="R9291" s="45" t="s">
        <v>272</v>
      </c>
    </row>
    <row r="9292" spans="2:18" ht="69" customHeight="1">
      <c r="B9292" s="79">
        <f t="shared" ref="B9292:B9355" si="75">B9291+1</f>
        <v>6407</v>
      </c>
      <c r="C9292" s="59" t="s">
        <v>3667</v>
      </c>
      <c r="D9292" s="581" t="s">
        <v>22666</v>
      </c>
      <c r="E9292" s="59" t="s">
        <v>22656</v>
      </c>
      <c r="F9292" s="45" t="s">
        <v>22667</v>
      </c>
      <c r="G9292" s="45" t="s">
        <v>22171</v>
      </c>
      <c r="H9292" s="546">
        <v>32812.44</v>
      </c>
      <c r="I9292" s="126">
        <v>45540</v>
      </c>
      <c r="J9292" s="548" t="s">
        <v>22664</v>
      </c>
      <c r="K9292" s="115"/>
      <c r="M9292" s="98"/>
      <c r="N9292" s="45"/>
      <c r="O9292" s="45" t="s">
        <v>1061</v>
      </c>
      <c r="P9292" s="45" t="s">
        <v>36</v>
      </c>
      <c r="Q9292" s="48" t="s">
        <v>49</v>
      </c>
      <c r="R9292" s="45" t="s">
        <v>272</v>
      </c>
    </row>
    <row r="9293" spans="2:18" ht="69" customHeight="1">
      <c r="B9293" s="79">
        <f t="shared" si="75"/>
        <v>6408</v>
      </c>
      <c r="C9293" s="59" t="s">
        <v>657</v>
      </c>
      <c r="D9293" s="581" t="s">
        <v>16767</v>
      </c>
      <c r="E9293" s="59" t="s">
        <v>22656</v>
      </c>
      <c r="F9293" s="45" t="s">
        <v>22668</v>
      </c>
      <c r="G9293" s="45" t="s">
        <v>22171</v>
      </c>
      <c r="H9293" s="546">
        <v>18457</v>
      </c>
      <c r="I9293" s="126">
        <v>45540</v>
      </c>
      <c r="J9293" s="548" t="s">
        <v>22664</v>
      </c>
      <c r="K9293" s="115"/>
      <c r="M9293" s="98"/>
      <c r="N9293" s="45"/>
      <c r="O9293" s="45" t="s">
        <v>1061</v>
      </c>
      <c r="P9293" s="45" t="s">
        <v>36</v>
      </c>
      <c r="Q9293" s="48" t="s">
        <v>99</v>
      </c>
      <c r="R9293" s="45" t="s">
        <v>272</v>
      </c>
    </row>
    <row r="9294" spans="2:18" ht="69" customHeight="1">
      <c r="B9294" s="319">
        <f t="shared" si="75"/>
        <v>6409</v>
      </c>
      <c r="C9294" s="160" t="s">
        <v>13665</v>
      </c>
      <c r="D9294" s="301" t="s">
        <v>4431</v>
      </c>
      <c r="E9294" s="207" t="s">
        <v>266</v>
      </c>
      <c r="F9294" s="160" t="s">
        <v>22669</v>
      </c>
      <c r="G9294" s="160" t="s">
        <v>22201</v>
      </c>
      <c r="H9294" s="300">
        <v>3210</v>
      </c>
      <c r="I9294" s="209">
        <v>45540</v>
      </c>
      <c r="J9294" s="353" t="s">
        <v>22670</v>
      </c>
      <c r="K9294" s="259" t="s">
        <v>22671</v>
      </c>
      <c r="M9294" s="98"/>
      <c r="N9294" s="45"/>
      <c r="O9294" s="160" t="s">
        <v>271</v>
      </c>
      <c r="P9294" s="160" t="s">
        <v>67</v>
      </c>
      <c r="Q9294" s="160" t="s">
        <v>96</v>
      </c>
      <c r="R9294" s="160" t="s">
        <v>272</v>
      </c>
    </row>
    <row r="9295" spans="2:18" ht="69" customHeight="1">
      <c r="B9295" s="319">
        <f t="shared" si="75"/>
        <v>6410</v>
      </c>
      <c r="C9295" s="160" t="s">
        <v>13665</v>
      </c>
      <c r="D9295" s="303" t="s">
        <v>3679</v>
      </c>
      <c r="E9295" s="207" t="s">
        <v>266</v>
      </c>
      <c r="F9295" s="160" t="s">
        <v>22672</v>
      </c>
      <c r="G9295" s="160" t="s">
        <v>22201</v>
      </c>
      <c r="H9295" s="300">
        <v>1800</v>
      </c>
      <c r="I9295" s="209">
        <v>45540</v>
      </c>
      <c r="J9295" s="353" t="s">
        <v>22670</v>
      </c>
      <c r="K9295" s="259" t="s">
        <v>22671</v>
      </c>
      <c r="O9295" s="160" t="s">
        <v>271</v>
      </c>
      <c r="P9295" s="160" t="s">
        <v>67</v>
      </c>
      <c r="Q9295" s="160" t="s">
        <v>96</v>
      </c>
      <c r="R9295" s="160" t="s">
        <v>272</v>
      </c>
    </row>
    <row r="9296" spans="2:18" ht="69" customHeight="1">
      <c r="B9296" s="319">
        <f t="shared" si="75"/>
        <v>6411</v>
      </c>
      <c r="C9296" s="160" t="s">
        <v>13665</v>
      </c>
      <c r="D9296" s="303" t="s">
        <v>5774</v>
      </c>
      <c r="E9296" s="207" t="s">
        <v>266</v>
      </c>
      <c r="F9296" s="160" t="s">
        <v>22673</v>
      </c>
      <c r="G9296" s="160" t="s">
        <v>22201</v>
      </c>
      <c r="H9296" s="300">
        <v>16200</v>
      </c>
      <c r="I9296" s="209">
        <v>45540</v>
      </c>
      <c r="J9296" s="353" t="s">
        <v>22670</v>
      </c>
      <c r="K9296" s="259" t="s">
        <v>22671</v>
      </c>
      <c r="O9296" s="160" t="s">
        <v>271</v>
      </c>
      <c r="P9296" s="160" t="s">
        <v>67</v>
      </c>
      <c r="Q9296" s="160" t="s">
        <v>96</v>
      </c>
      <c r="R9296" s="160" t="s">
        <v>272</v>
      </c>
    </row>
    <row r="9297" spans="1:18" ht="69" customHeight="1">
      <c r="B9297" s="319">
        <f t="shared" si="75"/>
        <v>6412</v>
      </c>
      <c r="C9297" s="207" t="s">
        <v>458</v>
      </c>
      <c r="D9297" s="303" t="s">
        <v>20209</v>
      </c>
      <c r="E9297" s="160" t="s">
        <v>21950</v>
      </c>
      <c r="F9297" s="160" t="s">
        <v>22674</v>
      </c>
      <c r="G9297" s="160" t="s">
        <v>22675</v>
      </c>
      <c r="H9297" s="300">
        <v>39525</v>
      </c>
      <c r="I9297" s="209">
        <v>45540</v>
      </c>
      <c r="J9297" s="353" t="s">
        <v>22676</v>
      </c>
      <c r="K9297" s="336" t="s">
        <v>22677</v>
      </c>
      <c r="O9297" s="160" t="s">
        <v>141</v>
      </c>
      <c r="P9297" s="160" t="s">
        <v>67</v>
      </c>
      <c r="Q9297" s="259" t="s">
        <v>122</v>
      </c>
      <c r="R9297" s="160" t="s">
        <v>265</v>
      </c>
    </row>
    <row r="9298" spans="1:18" ht="69" customHeight="1">
      <c r="B9298" s="319">
        <f t="shared" si="75"/>
        <v>6413</v>
      </c>
      <c r="C9298" s="207" t="s">
        <v>458</v>
      </c>
      <c r="D9298" s="303" t="s">
        <v>20212</v>
      </c>
      <c r="E9298" s="207" t="s">
        <v>266</v>
      </c>
      <c r="F9298" s="160" t="s">
        <v>22678</v>
      </c>
      <c r="G9298" s="160" t="s">
        <v>22675</v>
      </c>
      <c r="H9298" s="354">
        <v>28780</v>
      </c>
      <c r="I9298" s="209">
        <v>45540</v>
      </c>
      <c r="J9298" s="353" t="s">
        <v>22676</v>
      </c>
      <c r="K9298" s="304" t="s">
        <v>22478</v>
      </c>
      <c r="O9298" s="160" t="s">
        <v>141</v>
      </c>
      <c r="P9298" s="160" t="s">
        <v>67</v>
      </c>
      <c r="Q9298" s="160" t="s">
        <v>96</v>
      </c>
      <c r="R9298" s="160" t="s">
        <v>272</v>
      </c>
    </row>
    <row r="9299" spans="1:18" ht="69" customHeight="1">
      <c r="B9299" s="319">
        <f t="shared" si="75"/>
        <v>6414</v>
      </c>
      <c r="C9299" s="207" t="s">
        <v>458</v>
      </c>
      <c r="D9299" s="303" t="s">
        <v>22679</v>
      </c>
      <c r="E9299" s="207" t="s">
        <v>266</v>
      </c>
      <c r="F9299" s="336" t="s">
        <v>22680</v>
      </c>
      <c r="G9299" s="160" t="s">
        <v>22675</v>
      </c>
      <c r="H9299" s="300">
        <v>39250</v>
      </c>
      <c r="I9299" s="209">
        <v>45540</v>
      </c>
      <c r="J9299" s="353" t="s">
        <v>22676</v>
      </c>
      <c r="K9299" s="304" t="s">
        <v>22478</v>
      </c>
      <c r="O9299" s="160" t="s">
        <v>141</v>
      </c>
      <c r="P9299" s="160" t="s">
        <v>67</v>
      </c>
      <c r="Q9299" s="160" t="s">
        <v>96</v>
      </c>
      <c r="R9299" s="160" t="s">
        <v>272</v>
      </c>
    </row>
    <row r="9300" spans="1:18" ht="69" customHeight="1">
      <c r="B9300" s="319">
        <f t="shared" si="75"/>
        <v>6415</v>
      </c>
      <c r="C9300" s="207" t="s">
        <v>458</v>
      </c>
      <c r="D9300" s="303" t="s">
        <v>22681</v>
      </c>
      <c r="E9300" s="207" t="s">
        <v>266</v>
      </c>
      <c r="F9300" s="160" t="s">
        <v>22682</v>
      </c>
      <c r="G9300" s="160" t="s">
        <v>22675</v>
      </c>
      <c r="H9300" s="300">
        <v>28780</v>
      </c>
      <c r="I9300" s="209">
        <v>45540</v>
      </c>
      <c r="J9300" s="353" t="s">
        <v>22676</v>
      </c>
      <c r="K9300" s="304" t="s">
        <v>22478</v>
      </c>
      <c r="O9300" s="160" t="s">
        <v>141</v>
      </c>
      <c r="P9300" s="160" t="s">
        <v>67</v>
      </c>
      <c r="Q9300" s="160" t="s">
        <v>96</v>
      </c>
      <c r="R9300" s="160" t="s">
        <v>272</v>
      </c>
    </row>
    <row r="9301" spans="1:18" ht="69" customHeight="1">
      <c r="B9301" s="319">
        <f t="shared" si="75"/>
        <v>6416</v>
      </c>
      <c r="C9301" s="259" t="s">
        <v>6822</v>
      </c>
      <c r="D9301" s="303" t="s">
        <v>3158</v>
      </c>
      <c r="E9301" s="207" t="s">
        <v>266</v>
      </c>
      <c r="F9301" s="160" t="s">
        <v>22683</v>
      </c>
      <c r="G9301" s="160" t="s">
        <v>22684</v>
      </c>
      <c r="H9301" s="300">
        <v>667.82</v>
      </c>
      <c r="I9301" s="209">
        <v>45540</v>
      </c>
      <c r="J9301" s="353" t="s">
        <v>22685</v>
      </c>
      <c r="K9301" s="160" t="s">
        <v>22686</v>
      </c>
      <c r="O9301" s="160"/>
      <c r="P9301" s="160" t="s">
        <v>67</v>
      </c>
      <c r="Q9301" s="259" t="s">
        <v>84</v>
      </c>
      <c r="R9301" s="160" t="s">
        <v>272</v>
      </c>
    </row>
    <row r="9302" spans="1:18" ht="69" customHeight="1">
      <c r="B9302" s="79">
        <f t="shared" si="75"/>
        <v>6417</v>
      </c>
      <c r="C9302" s="58" t="s">
        <v>309</v>
      </c>
      <c r="D9302" s="545" t="s">
        <v>3869</v>
      </c>
      <c r="E9302" s="58" t="s">
        <v>10765</v>
      </c>
      <c r="F9302" s="58" t="s">
        <v>22687</v>
      </c>
      <c r="G9302" s="58" t="s">
        <v>22688</v>
      </c>
      <c r="H9302" s="546">
        <v>56790.53</v>
      </c>
      <c r="I9302" s="126">
        <v>45000</v>
      </c>
      <c r="J9302" s="242" t="s">
        <v>22689</v>
      </c>
      <c r="K9302" s="67" t="s">
        <v>22690</v>
      </c>
      <c r="O9302" s="45" t="s">
        <v>156</v>
      </c>
      <c r="P9302" s="45" t="s">
        <v>26</v>
      </c>
      <c r="Q9302" s="48" t="s">
        <v>35</v>
      </c>
      <c r="R9302" s="45" t="s">
        <v>272</v>
      </c>
    </row>
    <row r="9303" spans="1:18" s="98" customFormat="1" ht="69" customHeight="1">
      <c r="A9303" s="169"/>
      <c r="B9303" s="319">
        <f t="shared" si="75"/>
        <v>6418</v>
      </c>
      <c r="C9303" s="207" t="s">
        <v>458</v>
      </c>
      <c r="D9303" s="303" t="s">
        <v>22691</v>
      </c>
      <c r="E9303" s="207" t="s">
        <v>266</v>
      </c>
      <c r="F9303" s="160" t="s">
        <v>22692</v>
      </c>
      <c r="G9303" s="160" t="s">
        <v>22675</v>
      </c>
      <c r="H9303" s="300">
        <v>28780</v>
      </c>
      <c r="I9303" s="209">
        <v>45540</v>
      </c>
      <c r="J9303" s="353" t="s">
        <v>22693</v>
      </c>
      <c r="K9303" s="304" t="s">
        <v>22478</v>
      </c>
      <c r="O9303" s="160" t="s">
        <v>141</v>
      </c>
      <c r="P9303" s="160" t="s">
        <v>67</v>
      </c>
      <c r="Q9303" s="259" t="s">
        <v>122</v>
      </c>
      <c r="R9303" s="160" t="s">
        <v>272</v>
      </c>
    </row>
    <row r="9304" spans="1:18" s="98" customFormat="1" ht="69" customHeight="1">
      <c r="A9304" s="169"/>
      <c r="B9304" s="319">
        <f t="shared" si="75"/>
        <v>6419</v>
      </c>
      <c r="C9304" s="207" t="s">
        <v>458</v>
      </c>
      <c r="D9304" s="303" t="s">
        <v>22694</v>
      </c>
      <c r="E9304" s="207" t="s">
        <v>266</v>
      </c>
      <c r="F9304" s="160" t="s">
        <v>22695</v>
      </c>
      <c r="G9304" s="160" t="s">
        <v>22675</v>
      </c>
      <c r="H9304" s="300">
        <v>28780</v>
      </c>
      <c r="I9304" s="209">
        <v>45540</v>
      </c>
      <c r="J9304" s="353" t="s">
        <v>22693</v>
      </c>
      <c r="K9304" s="304" t="s">
        <v>22478</v>
      </c>
      <c r="O9304" s="160" t="s">
        <v>141</v>
      </c>
      <c r="P9304" s="160" t="s">
        <v>67</v>
      </c>
      <c r="Q9304" s="259" t="s">
        <v>122</v>
      </c>
      <c r="R9304" s="160" t="s">
        <v>272</v>
      </c>
    </row>
    <row r="9305" spans="1:18" s="98" customFormat="1" ht="69" customHeight="1">
      <c r="A9305" s="169"/>
      <c r="B9305" s="319">
        <f t="shared" si="75"/>
        <v>6420</v>
      </c>
      <c r="C9305" s="207" t="s">
        <v>458</v>
      </c>
      <c r="D9305" s="303" t="s">
        <v>22696</v>
      </c>
      <c r="E9305" s="207" t="s">
        <v>266</v>
      </c>
      <c r="F9305" s="160" t="s">
        <v>22697</v>
      </c>
      <c r="G9305" s="160" t="s">
        <v>22675</v>
      </c>
      <c r="H9305" s="300">
        <v>28780</v>
      </c>
      <c r="I9305" s="209">
        <v>45540</v>
      </c>
      <c r="J9305" s="353" t="s">
        <v>22698</v>
      </c>
      <c r="K9305" s="304" t="s">
        <v>22478</v>
      </c>
      <c r="O9305" s="160" t="s">
        <v>141</v>
      </c>
      <c r="P9305" s="160" t="s">
        <v>67</v>
      </c>
      <c r="Q9305" s="259" t="s">
        <v>122</v>
      </c>
      <c r="R9305" s="160" t="s">
        <v>272</v>
      </c>
    </row>
    <row r="9306" spans="1:18" s="98" customFormat="1" ht="69" customHeight="1">
      <c r="A9306" s="169"/>
      <c r="B9306" s="319">
        <f t="shared" si="75"/>
        <v>6421</v>
      </c>
      <c r="C9306" s="207" t="s">
        <v>458</v>
      </c>
      <c r="D9306" s="303" t="s">
        <v>22699</v>
      </c>
      <c r="E9306" s="207" t="s">
        <v>266</v>
      </c>
      <c r="F9306" s="160" t="s">
        <v>22700</v>
      </c>
      <c r="G9306" s="160" t="s">
        <v>22675</v>
      </c>
      <c r="H9306" s="300">
        <v>35259</v>
      </c>
      <c r="I9306" s="209">
        <v>45540</v>
      </c>
      <c r="J9306" s="353" t="s">
        <v>22698</v>
      </c>
      <c r="K9306" s="304" t="s">
        <v>22478</v>
      </c>
      <c r="O9306" s="160" t="s">
        <v>141</v>
      </c>
      <c r="P9306" s="160" t="s">
        <v>67</v>
      </c>
      <c r="Q9306" s="259" t="s">
        <v>122</v>
      </c>
      <c r="R9306" s="160" t="s">
        <v>272</v>
      </c>
    </row>
    <row r="9307" spans="1:18" ht="69" customHeight="1">
      <c r="B9307" s="784">
        <f t="shared" si="75"/>
        <v>6422</v>
      </c>
      <c r="C9307" s="86" t="s">
        <v>22701</v>
      </c>
      <c r="D9307" s="785" t="s">
        <v>931</v>
      </c>
      <c r="E9307" s="86" t="s">
        <v>266</v>
      </c>
      <c r="F9307" s="87" t="s">
        <v>22702</v>
      </c>
      <c r="G9307" s="87" t="s">
        <v>22703</v>
      </c>
      <c r="H9307" s="260">
        <v>155.41999999999999</v>
      </c>
      <c r="I9307" s="786">
        <v>45529</v>
      </c>
      <c r="J9307" s="787" t="s">
        <v>22704</v>
      </c>
      <c r="K9307" s="160"/>
      <c r="O9307" s="160"/>
      <c r="P9307" s="160" t="s">
        <v>67</v>
      </c>
      <c r="Q9307" s="160" t="s">
        <v>96</v>
      </c>
      <c r="R9307" s="160" t="s">
        <v>272</v>
      </c>
    </row>
    <row r="9308" spans="1:18" ht="69" customHeight="1">
      <c r="B9308" s="784">
        <f t="shared" si="75"/>
        <v>6423</v>
      </c>
      <c r="C9308" s="86" t="s">
        <v>22701</v>
      </c>
      <c r="D9308" s="785" t="s">
        <v>934</v>
      </c>
      <c r="E9308" s="86" t="s">
        <v>266</v>
      </c>
      <c r="F9308" s="87" t="s">
        <v>22705</v>
      </c>
      <c r="G9308" s="87" t="s">
        <v>22703</v>
      </c>
      <c r="H9308" s="260">
        <v>700</v>
      </c>
      <c r="I9308" s="786">
        <v>45529</v>
      </c>
      <c r="J9308" s="787" t="s">
        <v>22704</v>
      </c>
      <c r="K9308" s="160"/>
      <c r="O9308" s="160"/>
      <c r="P9308" s="160" t="s">
        <v>67</v>
      </c>
      <c r="Q9308" s="160" t="s">
        <v>96</v>
      </c>
      <c r="R9308" s="160" t="s">
        <v>272</v>
      </c>
    </row>
    <row r="9309" spans="1:18" ht="69" customHeight="1">
      <c r="B9309" s="79">
        <f t="shared" si="75"/>
        <v>6424</v>
      </c>
      <c r="C9309" s="59" t="s">
        <v>3667</v>
      </c>
      <c r="D9309" s="545" t="s">
        <v>22706</v>
      </c>
      <c r="E9309" s="58" t="s">
        <v>16011</v>
      </c>
      <c r="F9309" s="210" t="s">
        <v>22707</v>
      </c>
      <c r="G9309" s="58" t="s">
        <v>16634</v>
      </c>
      <c r="H9309" s="546">
        <v>3862.63</v>
      </c>
      <c r="I9309" s="47">
        <v>45540</v>
      </c>
      <c r="J9309" s="547" t="s">
        <v>22708</v>
      </c>
      <c r="K9309" s="67"/>
      <c r="O9309" s="45" t="s">
        <v>150</v>
      </c>
      <c r="P9309" s="58" t="s">
        <v>51</v>
      </c>
      <c r="Q9309" s="48" t="s">
        <v>78</v>
      </c>
      <c r="R9309" s="45" t="s">
        <v>272</v>
      </c>
    </row>
    <row r="9310" spans="1:18" ht="69" customHeight="1">
      <c r="B9310" s="79">
        <f t="shared" si="75"/>
        <v>6425</v>
      </c>
      <c r="C9310" s="178" t="s">
        <v>458</v>
      </c>
      <c r="D9310" s="545" t="s">
        <v>22709</v>
      </c>
      <c r="E9310" s="58" t="s">
        <v>16011</v>
      </c>
      <c r="F9310" s="210" t="s">
        <v>22710</v>
      </c>
      <c r="G9310" s="58" t="s">
        <v>16634</v>
      </c>
      <c r="H9310" s="546">
        <v>3862.63</v>
      </c>
      <c r="I9310" s="47">
        <v>45540</v>
      </c>
      <c r="J9310" s="547" t="s">
        <v>22708</v>
      </c>
      <c r="K9310" s="67"/>
      <c r="O9310" s="45" t="s">
        <v>150</v>
      </c>
      <c r="P9310" s="58" t="s">
        <v>51</v>
      </c>
      <c r="Q9310" s="48" t="s">
        <v>117</v>
      </c>
      <c r="R9310" s="45" t="s">
        <v>272</v>
      </c>
    </row>
    <row r="9311" spans="1:18" ht="69" customHeight="1">
      <c r="B9311" s="319">
        <f t="shared" si="75"/>
        <v>6426</v>
      </c>
      <c r="C9311" s="207" t="s">
        <v>458</v>
      </c>
      <c r="D9311" s="303" t="s">
        <v>22711</v>
      </c>
      <c r="E9311" s="207" t="s">
        <v>266</v>
      </c>
      <c r="F9311" s="160" t="s">
        <v>22712</v>
      </c>
      <c r="G9311" s="160" t="s">
        <v>22675</v>
      </c>
      <c r="H9311" s="300">
        <v>43426</v>
      </c>
      <c r="I9311" s="209">
        <v>45540</v>
      </c>
      <c r="J9311" s="353" t="s">
        <v>22713</v>
      </c>
      <c r="K9311" s="304" t="s">
        <v>22478</v>
      </c>
      <c r="O9311" s="160" t="s">
        <v>141</v>
      </c>
      <c r="P9311" s="160" t="s">
        <v>67</v>
      </c>
      <c r="Q9311" s="259" t="s">
        <v>122</v>
      </c>
      <c r="R9311" s="160" t="s">
        <v>272</v>
      </c>
    </row>
    <row r="9312" spans="1:18" ht="69" customHeight="1">
      <c r="B9312" s="79">
        <f t="shared" si="75"/>
        <v>6427</v>
      </c>
      <c r="C9312" s="178" t="s">
        <v>458</v>
      </c>
      <c r="D9312" s="545" t="s">
        <v>20269</v>
      </c>
      <c r="E9312" s="58" t="s">
        <v>21950</v>
      </c>
      <c r="F9312" s="58" t="s">
        <v>22714</v>
      </c>
      <c r="G9312" s="58" t="s">
        <v>22715</v>
      </c>
      <c r="H9312" s="546">
        <v>58500</v>
      </c>
      <c r="I9312" s="47">
        <v>45540</v>
      </c>
      <c r="J9312" s="547" t="s">
        <v>22716</v>
      </c>
      <c r="K9312" s="67"/>
      <c r="O9312" s="45" t="s">
        <v>141</v>
      </c>
      <c r="P9312" s="58" t="s">
        <v>19</v>
      </c>
      <c r="Q9312" s="48" t="s">
        <v>122</v>
      </c>
      <c r="R9312" s="45" t="s">
        <v>265</v>
      </c>
    </row>
    <row r="9313" spans="2:18" ht="69" customHeight="1">
      <c r="B9313" s="231">
        <f t="shared" si="75"/>
        <v>6428</v>
      </c>
      <c r="C9313" s="191" t="s">
        <v>2182</v>
      </c>
      <c r="D9313" s="251" t="s">
        <v>18801</v>
      </c>
      <c r="E9313" s="191" t="s">
        <v>266</v>
      </c>
      <c r="F9313" s="46" t="s">
        <v>22717</v>
      </c>
      <c r="G9313" s="46" t="s">
        <v>22718</v>
      </c>
      <c r="H9313" s="534">
        <v>1800</v>
      </c>
      <c r="I9313" s="56">
        <v>45540</v>
      </c>
      <c r="J9313" s="544" t="s">
        <v>22719</v>
      </c>
      <c r="K9313" s="46"/>
      <c r="O9313" s="46" t="s">
        <v>22720</v>
      </c>
      <c r="P9313" s="46" t="s">
        <v>65</v>
      </c>
      <c r="Q9313" s="52" t="s">
        <v>31</v>
      </c>
      <c r="R9313" s="46" t="s">
        <v>272</v>
      </c>
    </row>
    <row r="9314" spans="2:18" ht="69" customHeight="1">
      <c r="B9314" s="231">
        <f t="shared" si="75"/>
        <v>6429</v>
      </c>
      <c r="C9314" s="191" t="s">
        <v>11052</v>
      </c>
      <c r="D9314" s="251" t="s">
        <v>18803</v>
      </c>
      <c r="E9314" s="191" t="s">
        <v>266</v>
      </c>
      <c r="F9314" s="46" t="s">
        <v>22721</v>
      </c>
      <c r="G9314" s="46" t="s">
        <v>22718</v>
      </c>
      <c r="H9314" s="534">
        <v>1800</v>
      </c>
      <c r="I9314" s="56">
        <v>45540</v>
      </c>
      <c r="J9314" s="544" t="s">
        <v>22719</v>
      </c>
      <c r="K9314" s="46"/>
      <c r="O9314" s="46" t="s">
        <v>22720</v>
      </c>
      <c r="P9314" s="46" t="s">
        <v>65</v>
      </c>
      <c r="Q9314" s="52" t="s">
        <v>37</v>
      </c>
      <c r="R9314" s="46" t="s">
        <v>272</v>
      </c>
    </row>
    <row r="9315" spans="2:18" ht="69" customHeight="1">
      <c r="B9315" s="231">
        <f t="shared" si="75"/>
        <v>6430</v>
      </c>
      <c r="C9315" s="46" t="s">
        <v>11058</v>
      </c>
      <c r="D9315" s="251" t="s">
        <v>18805</v>
      </c>
      <c r="E9315" s="191" t="s">
        <v>266</v>
      </c>
      <c r="F9315" s="46" t="s">
        <v>22722</v>
      </c>
      <c r="G9315" s="46" t="s">
        <v>22718</v>
      </c>
      <c r="H9315" s="534">
        <v>4560</v>
      </c>
      <c r="I9315" s="56">
        <v>45540</v>
      </c>
      <c r="J9315" s="544" t="s">
        <v>22719</v>
      </c>
      <c r="K9315" s="46"/>
      <c r="O9315" s="46" t="s">
        <v>22720</v>
      </c>
      <c r="P9315" s="46" t="s">
        <v>65</v>
      </c>
      <c r="Q9315" s="52" t="s">
        <v>23</v>
      </c>
      <c r="R9315" s="46" t="s">
        <v>272</v>
      </c>
    </row>
    <row r="9316" spans="2:18" ht="69" customHeight="1">
      <c r="B9316" s="231">
        <f t="shared" si="75"/>
        <v>6431</v>
      </c>
      <c r="C9316" s="51" t="s">
        <v>10961</v>
      </c>
      <c r="D9316" s="251" t="s">
        <v>22723</v>
      </c>
      <c r="E9316" s="191" t="s">
        <v>266</v>
      </c>
      <c r="F9316" s="46" t="s">
        <v>22724</v>
      </c>
      <c r="G9316" s="46" t="s">
        <v>22725</v>
      </c>
      <c r="H9316" s="501">
        <v>585.66999999999996</v>
      </c>
      <c r="I9316" s="56">
        <v>45540</v>
      </c>
      <c r="J9316" s="544" t="s">
        <v>22726</v>
      </c>
      <c r="K9316" s="46"/>
      <c r="L9316" s="99"/>
      <c r="O9316" s="46" t="s">
        <v>22727</v>
      </c>
      <c r="P9316" s="46" t="s">
        <v>65</v>
      </c>
      <c r="Q9316" s="52" t="s">
        <v>96</v>
      </c>
      <c r="R9316" s="46" t="s">
        <v>272</v>
      </c>
    </row>
    <row r="9317" spans="2:18" ht="69" customHeight="1">
      <c r="B9317" s="231">
        <f t="shared" si="75"/>
        <v>6432</v>
      </c>
      <c r="C9317" s="191" t="s">
        <v>11047</v>
      </c>
      <c r="D9317" s="251" t="s">
        <v>21710</v>
      </c>
      <c r="E9317" s="46" t="s">
        <v>22728</v>
      </c>
      <c r="F9317" s="46" t="s">
        <v>22729</v>
      </c>
      <c r="G9317" s="283" t="s">
        <v>22730</v>
      </c>
      <c r="H9317" s="554">
        <v>25702.6</v>
      </c>
      <c r="I9317" s="284">
        <v>45540</v>
      </c>
      <c r="J9317" s="544" t="s">
        <v>22731</v>
      </c>
      <c r="K9317" s="46"/>
      <c r="O9317" s="46" t="s">
        <v>13936</v>
      </c>
      <c r="P9317" s="46" t="s">
        <v>65</v>
      </c>
      <c r="Q9317" s="52" t="s">
        <v>33</v>
      </c>
      <c r="R9317" s="46" t="s">
        <v>272</v>
      </c>
    </row>
    <row r="9318" spans="2:18" ht="69" customHeight="1">
      <c r="B9318" s="79">
        <f t="shared" si="75"/>
        <v>6433</v>
      </c>
      <c r="C9318" s="59" t="s">
        <v>3667</v>
      </c>
      <c r="D9318" s="545" t="s">
        <v>22732</v>
      </c>
      <c r="E9318" s="58" t="s">
        <v>16011</v>
      </c>
      <c r="F9318" s="58" t="s">
        <v>22733</v>
      </c>
      <c r="G9318" s="58" t="s">
        <v>16308</v>
      </c>
      <c r="H9318" s="644">
        <v>29180</v>
      </c>
      <c r="I9318" s="421">
        <v>45540</v>
      </c>
      <c r="J9318" s="547" t="s">
        <v>22734</v>
      </c>
      <c r="K9318" s="67"/>
      <c r="O9318" s="45" t="s">
        <v>150</v>
      </c>
      <c r="P9318" s="58" t="s">
        <v>51</v>
      </c>
      <c r="Q9318" s="48" t="s">
        <v>78</v>
      </c>
      <c r="R9318" s="45" t="s">
        <v>272</v>
      </c>
    </row>
    <row r="9319" spans="2:18" ht="69" customHeight="1">
      <c r="B9319" s="79">
        <f t="shared" si="75"/>
        <v>6434</v>
      </c>
      <c r="C9319" s="178" t="s">
        <v>458</v>
      </c>
      <c r="D9319" s="545" t="s">
        <v>20317</v>
      </c>
      <c r="E9319" s="58" t="s">
        <v>16011</v>
      </c>
      <c r="F9319" s="58" t="s">
        <v>22735</v>
      </c>
      <c r="G9319" s="58" t="s">
        <v>16308</v>
      </c>
      <c r="H9319" s="652">
        <v>29180</v>
      </c>
      <c r="I9319" s="421">
        <v>45540</v>
      </c>
      <c r="J9319" s="547" t="s">
        <v>22734</v>
      </c>
      <c r="K9319" s="67"/>
      <c r="O9319" s="45" t="s">
        <v>150</v>
      </c>
      <c r="P9319" s="58" t="s">
        <v>51</v>
      </c>
      <c r="Q9319" s="48" t="s">
        <v>100</v>
      </c>
      <c r="R9319" s="45" t="s">
        <v>272</v>
      </c>
    </row>
    <row r="9320" spans="2:18" ht="69" customHeight="1">
      <c r="B9320" s="232">
        <f t="shared" si="75"/>
        <v>6435</v>
      </c>
      <c r="C9320" s="178" t="s">
        <v>458</v>
      </c>
      <c r="D9320" s="545" t="s">
        <v>20333</v>
      </c>
      <c r="E9320" s="58" t="s">
        <v>21950</v>
      </c>
      <c r="F9320" s="58" t="s">
        <v>22736</v>
      </c>
      <c r="G9320" s="63" t="s">
        <v>22737</v>
      </c>
      <c r="H9320" s="376">
        <v>80000</v>
      </c>
      <c r="I9320" s="421">
        <v>45540</v>
      </c>
      <c r="J9320" s="547" t="s">
        <v>22738</v>
      </c>
      <c r="K9320" s="67"/>
      <c r="O9320" s="45" t="s">
        <v>141</v>
      </c>
      <c r="P9320" s="45" t="s">
        <v>19</v>
      </c>
      <c r="Q9320" s="48" t="s">
        <v>122</v>
      </c>
      <c r="R9320" s="45" t="s">
        <v>265</v>
      </c>
    </row>
    <row r="9321" spans="2:18" ht="69" customHeight="1">
      <c r="B9321" s="236">
        <f t="shared" si="75"/>
        <v>6436</v>
      </c>
      <c r="C9321" s="550" t="s">
        <v>9094</v>
      </c>
      <c r="D9321" s="647" t="s">
        <v>22739</v>
      </c>
      <c r="E9321" s="74" t="s">
        <v>21476</v>
      </c>
      <c r="F9321" s="74" t="s">
        <v>22740</v>
      </c>
      <c r="G9321" s="74" t="s">
        <v>22741</v>
      </c>
      <c r="H9321" s="450">
        <v>230004.06</v>
      </c>
      <c r="I9321" s="653">
        <v>45540</v>
      </c>
      <c r="J9321" s="654" t="s">
        <v>22742</v>
      </c>
      <c r="K9321" s="241" t="s">
        <v>22203</v>
      </c>
      <c r="O9321" s="45" t="s">
        <v>156</v>
      </c>
      <c r="P9321" s="45" t="s">
        <v>26</v>
      </c>
      <c r="Q9321" s="48" t="s">
        <v>112</v>
      </c>
      <c r="R9321" s="45" t="s">
        <v>272</v>
      </c>
    </row>
    <row r="9322" spans="2:18" ht="69" customHeight="1">
      <c r="B9322" s="79">
        <f t="shared" si="75"/>
        <v>6437</v>
      </c>
      <c r="C9322" s="178" t="s">
        <v>6888</v>
      </c>
      <c r="D9322" s="545" t="s">
        <v>22743</v>
      </c>
      <c r="E9322" s="58" t="s">
        <v>21476</v>
      </c>
      <c r="F9322" s="58" t="s">
        <v>22744</v>
      </c>
      <c r="G9322" s="63" t="s">
        <v>22741</v>
      </c>
      <c r="H9322" s="376">
        <v>348511.47</v>
      </c>
      <c r="I9322" s="421">
        <v>45540</v>
      </c>
      <c r="J9322" s="547" t="s">
        <v>22742</v>
      </c>
      <c r="K9322" s="67" t="s">
        <v>22203</v>
      </c>
      <c r="O9322" s="45" t="s">
        <v>156</v>
      </c>
      <c r="P9322" s="45" t="s">
        <v>26</v>
      </c>
      <c r="Q9322" s="48" t="s">
        <v>84</v>
      </c>
      <c r="R9322" s="45" t="s">
        <v>272</v>
      </c>
    </row>
    <row r="9323" spans="2:18" ht="69" customHeight="1">
      <c r="B9323" s="79">
        <f t="shared" si="75"/>
        <v>6438</v>
      </c>
      <c r="C9323" s="59" t="s">
        <v>3667</v>
      </c>
      <c r="D9323" s="545" t="s">
        <v>22745</v>
      </c>
      <c r="E9323" s="58" t="s">
        <v>18182</v>
      </c>
      <c r="F9323" s="58" t="s">
        <v>22746</v>
      </c>
      <c r="G9323" s="58" t="s">
        <v>22257</v>
      </c>
      <c r="H9323" s="644">
        <v>56571.54</v>
      </c>
      <c r="I9323" s="421">
        <v>45540</v>
      </c>
      <c r="J9323" s="547" t="s">
        <v>22747</v>
      </c>
      <c r="K9323" s="67"/>
      <c r="O9323" s="45" t="s">
        <v>10607</v>
      </c>
      <c r="P9323" s="58" t="s">
        <v>22</v>
      </c>
      <c r="Q9323" s="48" t="s">
        <v>93</v>
      </c>
      <c r="R9323" s="45" t="s">
        <v>272</v>
      </c>
    </row>
    <row r="9324" spans="2:18" ht="69" customHeight="1">
      <c r="B9324" s="79">
        <f t="shared" si="75"/>
        <v>6439</v>
      </c>
      <c r="C9324" s="59" t="s">
        <v>3667</v>
      </c>
      <c r="D9324" s="545" t="s">
        <v>22748</v>
      </c>
      <c r="E9324" s="58" t="s">
        <v>18182</v>
      </c>
      <c r="F9324" s="58" t="s">
        <v>22749</v>
      </c>
      <c r="G9324" s="58" t="s">
        <v>22257</v>
      </c>
      <c r="H9324" s="644">
        <v>56571.54</v>
      </c>
      <c r="I9324" s="421">
        <v>45540</v>
      </c>
      <c r="J9324" s="547" t="s">
        <v>22747</v>
      </c>
      <c r="K9324" s="67"/>
      <c r="O9324" s="45" t="s">
        <v>10607</v>
      </c>
      <c r="P9324" s="58" t="s">
        <v>22</v>
      </c>
      <c r="Q9324" s="48" t="s">
        <v>95</v>
      </c>
      <c r="R9324" s="45" t="s">
        <v>272</v>
      </c>
    </row>
    <row r="9325" spans="2:18" ht="69" customHeight="1">
      <c r="B9325" s="79">
        <f t="shared" si="75"/>
        <v>6440</v>
      </c>
      <c r="C9325" s="178" t="s">
        <v>5658</v>
      </c>
      <c r="D9325" s="545" t="s">
        <v>22750</v>
      </c>
      <c r="E9325" s="58" t="s">
        <v>16737</v>
      </c>
      <c r="F9325" s="58" t="s">
        <v>22751</v>
      </c>
      <c r="G9325" s="45" t="s">
        <v>22752</v>
      </c>
      <c r="H9325" s="546">
        <v>20000</v>
      </c>
      <c r="I9325" s="421">
        <v>45540</v>
      </c>
      <c r="J9325" s="547" t="s">
        <v>22753</v>
      </c>
      <c r="K9325" s="67"/>
      <c r="O9325" s="60" t="s">
        <v>205</v>
      </c>
      <c r="P9325" s="58" t="s">
        <v>61</v>
      </c>
      <c r="Q9325" s="48" t="s">
        <v>66</v>
      </c>
      <c r="R9325" s="45" t="s">
        <v>272</v>
      </c>
    </row>
    <row r="9326" spans="2:18" ht="69" customHeight="1">
      <c r="B9326" s="231">
        <f t="shared" si="75"/>
        <v>6441</v>
      </c>
      <c r="C9326" s="191" t="s">
        <v>10639</v>
      </c>
      <c r="D9326" s="251" t="s">
        <v>22754</v>
      </c>
      <c r="E9326" s="191" t="s">
        <v>266</v>
      </c>
      <c r="F9326" s="46" t="s">
        <v>22755</v>
      </c>
      <c r="G9326" s="191" t="s">
        <v>22756</v>
      </c>
      <c r="H9326" s="534">
        <v>11390</v>
      </c>
      <c r="I9326" s="284">
        <v>45540</v>
      </c>
      <c r="J9326" s="544" t="s">
        <v>22757</v>
      </c>
      <c r="K9326" s="46" t="s">
        <v>22203</v>
      </c>
      <c r="O9326" s="53" t="s">
        <v>19899</v>
      </c>
      <c r="P9326" s="286" t="s">
        <v>71</v>
      </c>
      <c r="Q9326" s="52" t="s">
        <v>95</v>
      </c>
      <c r="R9326" s="46" t="s">
        <v>272</v>
      </c>
    </row>
    <row r="9327" spans="2:18" ht="69" customHeight="1">
      <c r="B9327" s="231">
        <f t="shared" si="75"/>
        <v>6442</v>
      </c>
      <c r="C9327" s="191" t="s">
        <v>10634</v>
      </c>
      <c r="D9327" s="251" t="s">
        <v>22758</v>
      </c>
      <c r="E9327" s="191" t="s">
        <v>266</v>
      </c>
      <c r="F9327" s="46" t="s">
        <v>22759</v>
      </c>
      <c r="G9327" s="543" t="s">
        <v>22756</v>
      </c>
      <c r="H9327" s="662">
        <v>11390</v>
      </c>
      <c r="I9327" s="284">
        <v>45540</v>
      </c>
      <c r="J9327" s="544" t="s">
        <v>22757</v>
      </c>
      <c r="K9327" s="46" t="s">
        <v>22203</v>
      </c>
      <c r="O9327" s="531" t="s">
        <v>19899</v>
      </c>
      <c r="P9327" s="286" t="s">
        <v>71</v>
      </c>
      <c r="Q9327" s="52" t="s">
        <v>93</v>
      </c>
      <c r="R9327" s="46" t="s">
        <v>272</v>
      </c>
    </row>
    <row r="9328" spans="2:18" ht="69" customHeight="1">
      <c r="B9328" s="231">
        <f t="shared" si="75"/>
        <v>6443</v>
      </c>
      <c r="C9328" s="191" t="s">
        <v>11047</v>
      </c>
      <c r="D9328" s="251" t="s">
        <v>18829</v>
      </c>
      <c r="E9328" s="46" t="s">
        <v>22760</v>
      </c>
      <c r="F9328" s="283" t="s">
        <v>22761</v>
      </c>
      <c r="G9328" s="46" t="s">
        <v>22762</v>
      </c>
      <c r="H9328" s="555">
        <v>36200</v>
      </c>
      <c r="I9328" s="284">
        <v>45540</v>
      </c>
      <c r="J9328" s="544" t="s">
        <v>22763</v>
      </c>
      <c r="K9328" s="46"/>
      <c r="O9328" s="53" t="s">
        <v>22764</v>
      </c>
      <c r="P9328" s="286" t="s">
        <v>65</v>
      </c>
      <c r="Q9328" s="52" t="s">
        <v>33</v>
      </c>
      <c r="R9328" s="46" t="s">
        <v>272</v>
      </c>
    </row>
    <row r="9329" spans="1:18" ht="69" customHeight="1">
      <c r="B9329" s="79">
        <f t="shared" si="75"/>
        <v>6444</v>
      </c>
      <c r="C9329" s="58" t="s">
        <v>458</v>
      </c>
      <c r="D9329" s="545" t="s">
        <v>2097</v>
      </c>
      <c r="E9329" s="58" t="s">
        <v>409</v>
      </c>
      <c r="F9329" s="58" t="s">
        <v>22765</v>
      </c>
      <c r="G9329" s="74" t="s">
        <v>738</v>
      </c>
      <c r="H9329" s="644">
        <v>28223.491999999998</v>
      </c>
      <c r="I9329" s="126">
        <v>44848</v>
      </c>
      <c r="J9329" s="242" t="s">
        <v>22766</v>
      </c>
      <c r="K9329" s="67" t="s">
        <v>10308</v>
      </c>
      <c r="O9329" s="61" t="s">
        <v>8228</v>
      </c>
      <c r="P9329" s="45" t="s">
        <v>59</v>
      </c>
      <c r="Q9329" s="48" t="s">
        <v>119</v>
      </c>
      <c r="R9329" s="45" t="s">
        <v>272</v>
      </c>
    </row>
    <row r="9330" spans="1:18" ht="69" customHeight="1">
      <c r="B9330" s="79">
        <f t="shared" si="75"/>
        <v>6445</v>
      </c>
      <c r="C9330" s="58" t="s">
        <v>458</v>
      </c>
      <c r="D9330" s="545" t="s">
        <v>3008</v>
      </c>
      <c r="E9330" s="58" t="s">
        <v>409</v>
      </c>
      <c r="F9330" s="58" t="s">
        <v>22767</v>
      </c>
      <c r="G9330" s="58" t="s">
        <v>738</v>
      </c>
      <c r="H9330" s="546">
        <v>112893.96799999999</v>
      </c>
      <c r="I9330" s="126">
        <v>44848</v>
      </c>
      <c r="J9330" s="242" t="s">
        <v>22766</v>
      </c>
      <c r="K9330" s="67" t="s">
        <v>10308</v>
      </c>
      <c r="O9330" s="45" t="s">
        <v>8228</v>
      </c>
      <c r="P9330" s="45" t="s">
        <v>59</v>
      </c>
      <c r="Q9330" s="48" t="s">
        <v>119</v>
      </c>
      <c r="R9330" s="45" t="s">
        <v>272</v>
      </c>
    </row>
    <row r="9331" spans="1:18" ht="69" customHeight="1">
      <c r="B9331" s="319">
        <f t="shared" si="75"/>
        <v>6446</v>
      </c>
      <c r="C9331" s="160" t="s">
        <v>13665</v>
      </c>
      <c r="D9331" s="303" t="s">
        <v>5905</v>
      </c>
      <c r="E9331" s="207" t="s">
        <v>266</v>
      </c>
      <c r="F9331" s="160" t="s">
        <v>22768</v>
      </c>
      <c r="G9331" s="160" t="s">
        <v>22769</v>
      </c>
      <c r="H9331" s="300">
        <v>3659.34</v>
      </c>
      <c r="I9331" s="209">
        <v>45527</v>
      </c>
      <c r="J9331" s="353" t="s">
        <v>22770</v>
      </c>
      <c r="K9331" s="160" t="s">
        <v>11084</v>
      </c>
      <c r="O9331" s="160" t="s">
        <v>5969</v>
      </c>
      <c r="P9331" s="160" t="s">
        <v>67</v>
      </c>
      <c r="Q9331" s="259" t="s">
        <v>96</v>
      </c>
      <c r="R9331" s="160" t="s">
        <v>272</v>
      </c>
    </row>
    <row r="9332" spans="1:18" s="98" customFormat="1" ht="69" customHeight="1">
      <c r="A9332" s="169"/>
      <c r="B9332" s="231">
        <f t="shared" si="75"/>
        <v>6447</v>
      </c>
      <c r="C9332" s="191" t="s">
        <v>3647</v>
      </c>
      <c r="D9332" s="251" t="s">
        <v>22771</v>
      </c>
      <c r="E9332" s="191" t="s">
        <v>266</v>
      </c>
      <c r="F9332" s="46" t="s">
        <v>22772</v>
      </c>
      <c r="G9332" s="46" t="s">
        <v>22773</v>
      </c>
      <c r="H9332" s="534">
        <v>20004.73</v>
      </c>
      <c r="I9332" s="56">
        <v>45540</v>
      </c>
      <c r="J9332" s="544" t="s">
        <v>22774</v>
      </c>
      <c r="K9332" s="46"/>
      <c r="O9332" s="46" t="s">
        <v>2091</v>
      </c>
      <c r="P9332" s="46" t="s">
        <v>65</v>
      </c>
      <c r="Q9332" s="52" t="s">
        <v>56</v>
      </c>
      <c r="R9332" s="46" t="s">
        <v>272</v>
      </c>
    </row>
    <row r="9333" spans="1:18" ht="69" customHeight="1">
      <c r="B9333" s="239">
        <f t="shared" si="75"/>
        <v>6448</v>
      </c>
      <c r="C9333" s="59" t="s">
        <v>657</v>
      </c>
      <c r="D9333" s="84" t="s">
        <v>4634</v>
      </c>
      <c r="E9333" s="45" t="s">
        <v>409</v>
      </c>
      <c r="F9333" s="45" t="s">
        <v>22775</v>
      </c>
      <c r="G9333" s="45" t="s">
        <v>22776</v>
      </c>
      <c r="H9333" s="198">
        <v>22802.858</v>
      </c>
      <c r="I9333" s="47">
        <v>44848</v>
      </c>
      <c r="J9333" s="73" t="s">
        <v>22777</v>
      </c>
      <c r="K9333" s="45" t="s">
        <v>22778</v>
      </c>
      <c r="O9333" s="45" t="s">
        <v>8228</v>
      </c>
      <c r="P9333" s="45" t="s">
        <v>59</v>
      </c>
      <c r="Q9333" s="48" t="s">
        <v>120</v>
      </c>
      <c r="R9333" s="45" t="s">
        <v>272</v>
      </c>
    </row>
    <row r="9334" spans="1:18" ht="69" customHeight="1">
      <c r="B9334" s="239">
        <f t="shared" si="75"/>
        <v>6449</v>
      </c>
      <c r="C9334" s="59" t="s">
        <v>657</v>
      </c>
      <c r="D9334" s="84" t="s">
        <v>4762</v>
      </c>
      <c r="E9334" s="45" t="s">
        <v>409</v>
      </c>
      <c r="F9334" s="45" t="s">
        <v>22779</v>
      </c>
      <c r="G9334" s="45" t="s">
        <v>22776</v>
      </c>
      <c r="H9334" s="198">
        <v>91211.432000000001</v>
      </c>
      <c r="I9334" s="47">
        <v>44848</v>
      </c>
      <c r="J9334" s="73" t="s">
        <v>22777</v>
      </c>
      <c r="K9334" s="45" t="s">
        <v>22778</v>
      </c>
      <c r="O9334" s="45" t="s">
        <v>8228</v>
      </c>
      <c r="P9334" s="45" t="s">
        <v>59</v>
      </c>
      <c r="Q9334" s="48" t="s">
        <v>120</v>
      </c>
      <c r="R9334" s="45" t="s">
        <v>272</v>
      </c>
    </row>
    <row r="9335" spans="1:18" ht="69" customHeight="1">
      <c r="B9335" s="239">
        <f t="shared" si="75"/>
        <v>6450</v>
      </c>
      <c r="C9335" s="59" t="s">
        <v>657</v>
      </c>
      <c r="D9335" s="84" t="s">
        <v>556</v>
      </c>
      <c r="E9335" s="45" t="s">
        <v>409</v>
      </c>
      <c r="F9335" s="45" t="s">
        <v>22780</v>
      </c>
      <c r="G9335" s="45" t="s">
        <v>22776</v>
      </c>
      <c r="H9335" s="198">
        <v>23855.48</v>
      </c>
      <c r="I9335" s="47">
        <v>44862</v>
      </c>
      <c r="J9335" s="73" t="s">
        <v>22781</v>
      </c>
      <c r="K9335" s="45" t="s">
        <v>22778</v>
      </c>
      <c r="O9335" s="45" t="s">
        <v>8228</v>
      </c>
      <c r="P9335" s="45" t="s">
        <v>59</v>
      </c>
      <c r="Q9335" s="48" t="s">
        <v>120</v>
      </c>
      <c r="R9335" s="45" t="s">
        <v>272</v>
      </c>
    </row>
    <row r="9336" spans="1:18" ht="69" customHeight="1">
      <c r="B9336" s="239">
        <f t="shared" si="75"/>
        <v>6451</v>
      </c>
      <c r="C9336" s="59" t="s">
        <v>657</v>
      </c>
      <c r="D9336" s="84" t="s">
        <v>717</v>
      </c>
      <c r="E9336" s="45" t="s">
        <v>409</v>
      </c>
      <c r="F9336" s="45" t="s">
        <v>22782</v>
      </c>
      <c r="G9336" s="45" t="s">
        <v>22776</v>
      </c>
      <c r="H9336" s="198">
        <v>95421.9</v>
      </c>
      <c r="I9336" s="47">
        <v>44862</v>
      </c>
      <c r="J9336" s="73" t="s">
        <v>22781</v>
      </c>
      <c r="K9336" s="45" t="s">
        <v>22778</v>
      </c>
      <c r="O9336" s="45" t="s">
        <v>8228</v>
      </c>
      <c r="P9336" s="45" t="s">
        <v>59</v>
      </c>
      <c r="Q9336" s="48" t="s">
        <v>120</v>
      </c>
      <c r="R9336" s="45" t="s">
        <v>272</v>
      </c>
    </row>
    <row r="9337" spans="1:18" ht="69" customHeight="1">
      <c r="B9337" s="239">
        <f t="shared" si="75"/>
        <v>6452</v>
      </c>
      <c r="C9337" s="59" t="s">
        <v>458</v>
      </c>
      <c r="D9337" s="581" t="s">
        <v>5707</v>
      </c>
      <c r="E9337" s="59" t="s">
        <v>409</v>
      </c>
      <c r="F9337" s="59" t="s">
        <v>22783</v>
      </c>
      <c r="G9337" s="59" t="s">
        <v>22776</v>
      </c>
      <c r="H9337" s="198">
        <v>18006.05</v>
      </c>
      <c r="I9337" s="47">
        <v>44862</v>
      </c>
      <c r="J9337" s="59" t="s">
        <v>22784</v>
      </c>
      <c r="K9337" s="45" t="s">
        <v>22778</v>
      </c>
      <c r="O9337" s="45" t="s">
        <v>8228</v>
      </c>
      <c r="P9337" s="45" t="s">
        <v>59</v>
      </c>
      <c r="Q9337" s="48" t="s">
        <v>119</v>
      </c>
      <c r="R9337" s="45" t="s">
        <v>272</v>
      </c>
    </row>
    <row r="9338" spans="1:18" ht="69" customHeight="1">
      <c r="B9338" s="239">
        <f t="shared" si="75"/>
        <v>6453</v>
      </c>
      <c r="C9338" s="59" t="s">
        <v>458</v>
      </c>
      <c r="D9338" s="581" t="s">
        <v>6793</v>
      </c>
      <c r="E9338" s="59" t="s">
        <v>409</v>
      </c>
      <c r="F9338" s="59" t="s">
        <v>22785</v>
      </c>
      <c r="G9338" s="59" t="s">
        <v>22776</v>
      </c>
      <c r="H9338" s="198">
        <v>72024.160000000003</v>
      </c>
      <c r="I9338" s="47">
        <v>44862</v>
      </c>
      <c r="J9338" s="59" t="s">
        <v>22784</v>
      </c>
      <c r="K9338" s="45" t="s">
        <v>22778</v>
      </c>
      <c r="O9338" s="45" t="s">
        <v>8228</v>
      </c>
      <c r="P9338" s="45" t="s">
        <v>59</v>
      </c>
      <c r="Q9338" s="48" t="s">
        <v>119</v>
      </c>
      <c r="R9338" s="45" t="s">
        <v>272</v>
      </c>
    </row>
    <row r="9339" spans="1:18" ht="69" customHeight="1">
      <c r="B9339" s="239">
        <f t="shared" si="75"/>
        <v>6454</v>
      </c>
      <c r="C9339" s="59" t="s">
        <v>458</v>
      </c>
      <c r="D9339" s="581" t="s">
        <v>8891</v>
      </c>
      <c r="E9339" s="59" t="s">
        <v>409</v>
      </c>
      <c r="F9339" s="59" t="s">
        <v>22786</v>
      </c>
      <c r="G9339" s="59" t="s">
        <v>22787</v>
      </c>
      <c r="H9339" s="198">
        <v>2348.0100000000002</v>
      </c>
      <c r="I9339" s="47">
        <v>44890</v>
      </c>
      <c r="J9339" s="59" t="s">
        <v>8227</v>
      </c>
      <c r="K9339" s="45" t="s">
        <v>22778</v>
      </c>
      <c r="O9339" s="45" t="s">
        <v>8228</v>
      </c>
      <c r="P9339" s="45" t="s">
        <v>59</v>
      </c>
      <c r="Q9339" s="48" t="s">
        <v>119</v>
      </c>
      <c r="R9339" s="45" t="s">
        <v>272</v>
      </c>
    </row>
    <row r="9340" spans="1:18" ht="69" customHeight="1">
      <c r="B9340" s="239">
        <f t="shared" si="75"/>
        <v>6455</v>
      </c>
      <c r="C9340" s="59" t="s">
        <v>458</v>
      </c>
      <c r="D9340" s="581" t="s">
        <v>3364</v>
      </c>
      <c r="E9340" s="59" t="s">
        <v>409</v>
      </c>
      <c r="F9340" s="59" t="s">
        <v>22788</v>
      </c>
      <c r="G9340" s="59" t="s">
        <v>22787</v>
      </c>
      <c r="H9340" s="198">
        <v>9392.0499999999993</v>
      </c>
      <c r="I9340" s="47">
        <v>44890</v>
      </c>
      <c r="J9340" s="59" t="s">
        <v>8227</v>
      </c>
      <c r="K9340" s="45" t="s">
        <v>22778</v>
      </c>
      <c r="O9340" s="45" t="s">
        <v>8228</v>
      </c>
      <c r="P9340" s="45" t="s">
        <v>59</v>
      </c>
      <c r="Q9340" s="48" t="s">
        <v>119</v>
      </c>
      <c r="R9340" s="45" t="s">
        <v>272</v>
      </c>
    </row>
    <row r="9341" spans="1:18" ht="69" customHeight="1">
      <c r="B9341" s="239">
        <f t="shared" si="75"/>
        <v>6456</v>
      </c>
      <c r="C9341" s="59" t="s">
        <v>309</v>
      </c>
      <c r="D9341" s="581" t="s">
        <v>7841</v>
      </c>
      <c r="E9341" s="59" t="s">
        <v>266</v>
      </c>
      <c r="F9341" s="59" t="s">
        <v>22789</v>
      </c>
      <c r="G9341" s="59" t="s">
        <v>680</v>
      </c>
      <c r="H9341" s="198">
        <v>6206.9</v>
      </c>
      <c r="I9341" s="47">
        <v>44601</v>
      </c>
      <c r="J9341" s="59" t="s">
        <v>22790</v>
      </c>
      <c r="K9341" s="45" t="s">
        <v>22778</v>
      </c>
      <c r="O9341" s="45" t="s">
        <v>684</v>
      </c>
      <c r="P9341" s="45" t="s">
        <v>46</v>
      </c>
      <c r="Q9341" s="48" t="s">
        <v>43</v>
      </c>
      <c r="R9341" s="45" t="s">
        <v>272</v>
      </c>
    </row>
    <row r="9342" spans="1:18" ht="69" customHeight="1">
      <c r="B9342" s="239">
        <f t="shared" si="75"/>
        <v>6457</v>
      </c>
      <c r="C9342" s="59" t="s">
        <v>4277</v>
      </c>
      <c r="D9342" s="84" t="s">
        <v>22791</v>
      </c>
      <c r="E9342" s="45" t="s">
        <v>266</v>
      </c>
      <c r="F9342" s="45" t="s">
        <v>22792</v>
      </c>
      <c r="G9342" s="45" t="s">
        <v>4645</v>
      </c>
      <c r="H9342" s="198">
        <v>7000</v>
      </c>
      <c r="I9342" s="47">
        <v>44904</v>
      </c>
      <c r="J9342" s="73" t="s">
        <v>1155</v>
      </c>
      <c r="K9342" s="45" t="s">
        <v>22778</v>
      </c>
      <c r="O9342" s="45" t="s">
        <v>684</v>
      </c>
      <c r="P9342" s="45" t="s">
        <v>46</v>
      </c>
      <c r="Q9342" s="48" t="s">
        <v>58</v>
      </c>
      <c r="R9342" s="45" t="s">
        <v>272</v>
      </c>
    </row>
    <row r="9343" spans="1:18" ht="69" customHeight="1">
      <c r="B9343" s="239">
        <f t="shared" si="75"/>
        <v>6458</v>
      </c>
      <c r="C9343" s="59" t="s">
        <v>458</v>
      </c>
      <c r="D9343" s="84" t="s">
        <v>3073</v>
      </c>
      <c r="E9343" s="45" t="s">
        <v>266</v>
      </c>
      <c r="F9343" s="45" t="s">
        <v>22793</v>
      </c>
      <c r="G9343" s="45" t="s">
        <v>1154</v>
      </c>
      <c r="H9343" s="198">
        <v>6206.9</v>
      </c>
      <c r="I9343" s="47">
        <v>44904</v>
      </c>
      <c r="J9343" s="73" t="s">
        <v>1155</v>
      </c>
      <c r="K9343" s="45" t="s">
        <v>22778</v>
      </c>
      <c r="O9343" s="45" t="s">
        <v>684</v>
      </c>
      <c r="P9343" s="45" t="s">
        <v>46</v>
      </c>
      <c r="Q9343" s="48" t="s">
        <v>86</v>
      </c>
      <c r="R9343" s="45" t="s">
        <v>272</v>
      </c>
    </row>
    <row r="9344" spans="1:18" ht="69" customHeight="1">
      <c r="B9344" s="239">
        <f t="shared" si="75"/>
        <v>6459</v>
      </c>
      <c r="C9344" s="59" t="s">
        <v>5658</v>
      </c>
      <c r="D9344" s="84" t="s">
        <v>752</v>
      </c>
      <c r="E9344" s="45" t="s">
        <v>266</v>
      </c>
      <c r="F9344" s="45" t="s">
        <v>22794</v>
      </c>
      <c r="G9344" s="45" t="s">
        <v>13565</v>
      </c>
      <c r="H9344" s="198">
        <f>6206.9+6207.9</f>
        <v>12414.8</v>
      </c>
      <c r="I9344" s="47">
        <v>45174</v>
      </c>
      <c r="J9344" s="73"/>
      <c r="K9344" s="45" t="s">
        <v>22795</v>
      </c>
      <c r="O9344" s="45" t="s">
        <v>684</v>
      </c>
      <c r="P9344" s="45" t="s">
        <v>46</v>
      </c>
      <c r="Q9344" s="48" t="s">
        <v>66</v>
      </c>
      <c r="R9344" s="45" t="s">
        <v>272</v>
      </c>
    </row>
    <row r="9345" spans="2:18" ht="69" customHeight="1">
      <c r="B9345" s="239">
        <f t="shared" si="75"/>
        <v>6460</v>
      </c>
      <c r="C9345" s="59" t="s">
        <v>309</v>
      </c>
      <c r="D9345" s="84" t="s">
        <v>22796</v>
      </c>
      <c r="E9345" s="45" t="s">
        <v>266</v>
      </c>
      <c r="F9345" s="45" t="s">
        <v>22797</v>
      </c>
      <c r="G9345" s="45" t="s">
        <v>680</v>
      </c>
      <c r="H9345" s="198">
        <v>6206.9</v>
      </c>
      <c r="I9345" s="47" t="s">
        <v>193</v>
      </c>
      <c r="J9345" s="73" t="s">
        <v>22798</v>
      </c>
      <c r="K9345" s="45" t="s">
        <v>22778</v>
      </c>
      <c r="O9345" s="45" t="s">
        <v>684</v>
      </c>
      <c r="P9345" s="45" t="s">
        <v>46</v>
      </c>
      <c r="Q9345" s="48" t="s">
        <v>33</v>
      </c>
      <c r="R9345" s="45" t="s">
        <v>272</v>
      </c>
    </row>
    <row r="9346" spans="2:18" ht="69" customHeight="1">
      <c r="B9346" s="239">
        <f t="shared" si="75"/>
        <v>6461</v>
      </c>
      <c r="C9346" s="45" t="s">
        <v>16757</v>
      </c>
      <c r="D9346" s="84" t="s">
        <v>22799</v>
      </c>
      <c r="E9346" s="45" t="s">
        <v>266</v>
      </c>
      <c r="F9346" s="45" t="s">
        <v>22800</v>
      </c>
      <c r="G9346" s="45" t="s">
        <v>22801</v>
      </c>
      <c r="H9346" s="198">
        <f>(82797.84+55019.63)/2</f>
        <v>68908.735000000001</v>
      </c>
      <c r="I9346" s="47">
        <v>45523</v>
      </c>
      <c r="J9346" s="73" t="s">
        <v>22802</v>
      </c>
      <c r="K9346" s="45" t="s">
        <v>22803</v>
      </c>
      <c r="O9346" s="58" t="s">
        <v>12553</v>
      </c>
      <c r="P9346" s="58" t="s">
        <v>83</v>
      </c>
      <c r="Q9346" s="58" t="s">
        <v>96</v>
      </c>
      <c r="R9346" s="58" t="s">
        <v>272</v>
      </c>
    </row>
    <row r="9347" spans="2:18" ht="69" customHeight="1">
      <c r="B9347" s="239">
        <f t="shared" si="75"/>
        <v>6462</v>
      </c>
      <c r="C9347" s="45" t="s">
        <v>16757</v>
      </c>
      <c r="D9347" s="84" t="s">
        <v>22799</v>
      </c>
      <c r="E9347" s="45" t="s">
        <v>266</v>
      </c>
      <c r="F9347" s="45" t="s">
        <v>22804</v>
      </c>
      <c r="G9347" s="45" t="s">
        <v>22801</v>
      </c>
      <c r="H9347" s="198">
        <f>(82797.84+55019.63)/2</f>
        <v>68908.735000000001</v>
      </c>
      <c r="I9347" s="47">
        <v>45523</v>
      </c>
      <c r="J9347" s="73" t="s">
        <v>22802</v>
      </c>
      <c r="K9347" s="45" t="s">
        <v>22805</v>
      </c>
      <c r="O9347" s="58" t="s">
        <v>12553</v>
      </c>
      <c r="P9347" s="58" t="s">
        <v>83</v>
      </c>
      <c r="Q9347" s="58" t="s">
        <v>96</v>
      </c>
      <c r="R9347" s="58" t="s">
        <v>272</v>
      </c>
    </row>
    <row r="9348" spans="2:18" ht="69" customHeight="1">
      <c r="B9348" s="239">
        <f t="shared" si="75"/>
        <v>6463</v>
      </c>
      <c r="C9348" s="45" t="s">
        <v>10947</v>
      </c>
      <c r="D9348" s="84" t="s">
        <v>6077</v>
      </c>
      <c r="E9348" s="45" t="s">
        <v>350</v>
      </c>
      <c r="F9348" s="45" t="s">
        <v>22806</v>
      </c>
      <c r="G9348" s="45" t="s">
        <v>352</v>
      </c>
      <c r="H9348" s="198">
        <v>24674</v>
      </c>
      <c r="I9348" s="47">
        <v>44784</v>
      </c>
      <c r="J9348" s="73" t="s">
        <v>22807</v>
      </c>
      <c r="K9348" s="45" t="s">
        <v>735</v>
      </c>
      <c r="O9348" s="45" t="s">
        <v>22808</v>
      </c>
      <c r="P9348" s="45" t="s">
        <v>19</v>
      </c>
      <c r="Q9348" s="48" t="s">
        <v>100</v>
      </c>
      <c r="R9348" s="45" t="s">
        <v>265</v>
      </c>
    </row>
    <row r="9349" spans="2:18" ht="69" customHeight="1">
      <c r="B9349" s="319">
        <f t="shared" si="75"/>
        <v>6464</v>
      </c>
      <c r="C9349" s="207" t="s">
        <v>1593</v>
      </c>
      <c r="D9349" s="518" t="s">
        <v>21728</v>
      </c>
      <c r="E9349" s="207" t="s">
        <v>266</v>
      </c>
      <c r="F9349" s="160" t="s">
        <v>22809</v>
      </c>
      <c r="G9349" s="160" t="s">
        <v>22810</v>
      </c>
      <c r="H9349" s="519">
        <v>120427.34</v>
      </c>
      <c r="I9349" s="209">
        <v>45550</v>
      </c>
      <c r="J9349" s="316" t="s">
        <v>22811</v>
      </c>
      <c r="K9349" s="304" t="s">
        <v>22812</v>
      </c>
      <c r="O9349" s="160" t="s">
        <v>1566</v>
      </c>
      <c r="P9349" s="160" t="s">
        <v>67</v>
      </c>
      <c r="Q9349" s="259" t="s">
        <v>27</v>
      </c>
      <c r="R9349" s="160" t="s">
        <v>272</v>
      </c>
    </row>
    <row r="9350" spans="2:18" ht="69" customHeight="1">
      <c r="B9350" s="319">
        <f t="shared" si="75"/>
        <v>6465</v>
      </c>
      <c r="C9350" s="160" t="s">
        <v>18817</v>
      </c>
      <c r="D9350" s="518" t="s">
        <v>21734</v>
      </c>
      <c r="E9350" s="207" t="s">
        <v>266</v>
      </c>
      <c r="F9350" s="160" t="s">
        <v>22813</v>
      </c>
      <c r="G9350" s="160" t="s">
        <v>22810</v>
      </c>
      <c r="H9350" s="520">
        <v>112423.64</v>
      </c>
      <c r="I9350" s="343">
        <v>45550</v>
      </c>
      <c r="J9350" s="316" t="s">
        <v>22811</v>
      </c>
      <c r="K9350" s="304" t="s">
        <v>22812</v>
      </c>
      <c r="O9350" s="160" t="s">
        <v>1566</v>
      </c>
      <c r="P9350" s="160" t="s">
        <v>67</v>
      </c>
      <c r="Q9350" s="259" t="s">
        <v>25</v>
      </c>
      <c r="R9350" s="160" t="s">
        <v>272</v>
      </c>
    </row>
    <row r="9351" spans="2:18" ht="69" customHeight="1">
      <c r="B9351" s="319">
        <f t="shared" si="75"/>
        <v>6466</v>
      </c>
      <c r="C9351" s="160" t="s">
        <v>3368</v>
      </c>
      <c r="D9351" s="518" t="s">
        <v>21737</v>
      </c>
      <c r="E9351" s="207" t="s">
        <v>266</v>
      </c>
      <c r="F9351" s="160" t="s">
        <v>22814</v>
      </c>
      <c r="G9351" s="160" t="s">
        <v>22810</v>
      </c>
      <c r="H9351" s="521">
        <v>147945.84</v>
      </c>
      <c r="I9351" s="343">
        <v>45550</v>
      </c>
      <c r="J9351" s="316" t="s">
        <v>22811</v>
      </c>
      <c r="K9351" s="304" t="s">
        <v>22812</v>
      </c>
      <c r="O9351" s="160" t="s">
        <v>1566</v>
      </c>
      <c r="P9351" s="160" t="s">
        <v>67</v>
      </c>
      <c r="Q9351" s="259" t="s">
        <v>43</v>
      </c>
      <c r="R9351" s="160" t="s">
        <v>272</v>
      </c>
    </row>
    <row r="9352" spans="2:18" ht="69" customHeight="1">
      <c r="B9352" s="319">
        <f t="shared" si="75"/>
        <v>6467</v>
      </c>
      <c r="C9352" s="207" t="s">
        <v>8080</v>
      </c>
      <c r="D9352" s="518" t="s">
        <v>11691</v>
      </c>
      <c r="E9352" s="207" t="s">
        <v>266</v>
      </c>
      <c r="F9352" s="160" t="s">
        <v>22815</v>
      </c>
      <c r="G9352" s="160" t="s">
        <v>22810</v>
      </c>
      <c r="H9352" s="522">
        <v>173619.05</v>
      </c>
      <c r="I9352" s="209">
        <v>45550</v>
      </c>
      <c r="J9352" s="316" t="s">
        <v>22811</v>
      </c>
      <c r="K9352" s="304" t="s">
        <v>22812</v>
      </c>
      <c r="O9352" s="160" t="s">
        <v>1566</v>
      </c>
      <c r="P9352" s="160" t="s">
        <v>67</v>
      </c>
      <c r="Q9352" s="259" t="s">
        <v>106</v>
      </c>
      <c r="R9352" s="160" t="s">
        <v>272</v>
      </c>
    </row>
    <row r="9353" spans="2:18" ht="69" customHeight="1">
      <c r="B9353" s="319">
        <f t="shared" si="75"/>
        <v>6468</v>
      </c>
      <c r="C9353" s="207" t="s">
        <v>4277</v>
      </c>
      <c r="D9353" s="518" t="s">
        <v>22816</v>
      </c>
      <c r="E9353" s="207" t="s">
        <v>266</v>
      </c>
      <c r="F9353" s="345" t="s">
        <v>22817</v>
      </c>
      <c r="G9353" s="160" t="s">
        <v>22810</v>
      </c>
      <c r="H9353" s="495">
        <v>228633.61</v>
      </c>
      <c r="I9353" s="209">
        <v>45550</v>
      </c>
      <c r="J9353" s="316" t="s">
        <v>22811</v>
      </c>
      <c r="K9353" s="304" t="s">
        <v>22812</v>
      </c>
      <c r="O9353" s="160" t="s">
        <v>1566</v>
      </c>
      <c r="P9353" s="160" t="s">
        <v>67</v>
      </c>
      <c r="Q9353" s="259" t="s">
        <v>56</v>
      </c>
      <c r="R9353" s="160" t="s">
        <v>272</v>
      </c>
    </row>
    <row r="9354" spans="2:18" ht="69" customHeight="1">
      <c r="B9354" s="319">
        <f t="shared" si="75"/>
        <v>6469</v>
      </c>
      <c r="C9354" s="207" t="s">
        <v>4277</v>
      </c>
      <c r="D9354" s="518" t="s">
        <v>22818</v>
      </c>
      <c r="E9354" s="344" t="s">
        <v>266</v>
      </c>
      <c r="F9354" s="160" t="s">
        <v>22819</v>
      </c>
      <c r="G9354" s="523" t="s">
        <v>22820</v>
      </c>
      <c r="H9354" s="521">
        <v>613131.15</v>
      </c>
      <c r="I9354" s="343">
        <v>45550</v>
      </c>
      <c r="J9354" s="316" t="s">
        <v>22811</v>
      </c>
      <c r="K9354" s="304" t="s">
        <v>22812</v>
      </c>
      <c r="O9354" s="160" t="s">
        <v>1566</v>
      </c>
      <c r="P9354" s="160" t="s">
        <v>67</v>
      </c>
      <c r="Q9354" s="259" t="s">
        <v>56</v>
      </c>
      <c r="R9354" s="160" t="s">
        <v>272</v>
      </c>
    </row>
    <row r="9355" spans="2:18" ht="69" customHeight="1">
      <c r="B9355" s="319">
        <f t="shared" si="75"/>
        <v>6470</v>
      </c>
      <c r="C9355" s="207" t="s">
        <v>4411</v>
      </c>
      <c r="D9355" s="518" t="s">
        <v>22821</v>
      </c>
      <c r="E9355" s="207" t="s">
        <v>266</v>
      </c>
      <c r="F9355" s="336" t="s">
        <v>22822</v>
      </c>
      <c r="G9355" s="160" t="s">
        <v>22820</v>
      </c>
      <c r="H9355" s="519">
        <v>217975.09</v>
      </c>
      <c r="I9355" s="209">
        <v>45550</v>
      </c>
      <c r="J9355" s="316" t="s">
        <v>22811</v>
      </c>
      <c r="K9355" s="304" t="s">
        <v>22812</v>
      </c>
      <c r="O9355" s="160" t="s">
        <v>1566</v>
      </c>
      <c r="P9355" s="160" t="s">
        <v>67</v>
      </c>
      <c r="Q9355" s="259" t="s">
        <v>54</v>
      </c>
      <c r="R9355" s="160" t="s">
        <v>272</v>
      </c>
    </row>
    <row r="9356" spans="2:18" ht="69" customHeight="1">
      <c r="B9356" s="319">
        <f t="shared" ref="B9356:B9419" si="76">B9355+1</f>
        <v>6471</v>
      </c>
      <c r="C9356" s="160" t="s">
        <v>3340</v>
      </c>
      <c r="D9356" s="518" t="s">
        <v>3497</v>
      </c>
      <c r="E9356" s="207" t="s">
        <v>266</v>
      </c>
      <c r="F9356" s="160" t="s">
        <v>22823</v>
      </c>
      <c r="G9356" s="524" t="s">
        <v>22824</v>
      </c>
      <c r="H9356" s="521">
        <v>3694.28</v>
      </c>
      <c r="I9356" s="343">
        <v>45550</v>
      </c>
      <c r="J9356" s="316" t="s">
        <v>22825</v>
      </c>
      <c r="K9356" s="160"/>
      <c r="O9356" s="160" t="s">
        <v>13735</v>
      </c>
      <c r="P9356" s="160" t="s">
        <v>67</v>
      </c>
      <c r="Q9356" s="259" t="s">
        <v>96</v>
      </c>
      <c r="R9356" s="160" t="s">
        <v>272</v>
      </c>
    </row>
    <row r="9357" spans="2:18" ht="69" customHeight="1">
      <c r="B9357" s="319">
        <f t="shared" si="76"/>
        <v>6472</v>
      </c>
      <c r="C9357" s="160" t="s">
        <v>18372</v>
      </c>
      <c r="D9357" s="518" t="s">
        <v>433</v>
      </c>
      <c r="E9357" s="207" t="s">
        <v>266</v>
      </c>
      <c r="F9357" s="160" t="s">
        <v>22826</v>
      </c>
      <c r="G9357" s="160" t="s">
        <v>22827</v>
      </c>
      <c r="H9357" s="521">
        <v>402.99</v>
      </c>
      <c r="I9357" s="329">
        <v>45531</v>
      </c>
      <c r="J9357" s="316" t="s">
        <v>22828</v>
      </c>
      <c r="K9357" s="160" t="s">
        <v>22829</v>
      </c>
      <c r="O9357" s="160" t="s">
        <v>20832</v>
      </c>
      <c r="P9357" s="160" t="s">
        <v>67</v>
      </c>
      <c r="Q9357" s="259" t="s">
        <v>96</v>
      </c>
      <c r="R9357" s="160" t="s">
        <v>272</v>
      </c>
    </row>
    <row r="9358" spans="2:18" ht="69" customHeight="1">
      <c r="B9358" s="319">
        <f t="shared" si="76"/>
        <v>6473</v>
      </c>
      <c r="C9358" s="160" t="s">
        <v>18372</v>
      </c>
      <c r="D9358" s="518" t="s">
        <v>436</v>
      </c>
      <c r="E9358" s="207" t="s">
        <v>266</v>
      </c>
      <c r="F9358" s="160" t="s">
        <v>22830</v>
      </c>
      <c r="G9358" s="160" t="s">
        <v>22827</v>
      </c>
      <c r="H9358" s="300">
        <v>402.99</v>
      </c>
      <c r="I9358" s="329">
        <v>45531</v>
      </c>
      <c r="J9358" s="316" t="s">
        <v>22828</v>
      </c>
      <c r="K9358" s="160" t="s">
        <v>22829</v>
      </c>
      <c r="O9358" s="160" t="s">
        <v>20832</v>
      </c>
      <c r="P9358" s="160" t="s">
        <v>67</v>
      </c>
      <c r="Q9358" s="259" t="s">
        <v>96</v>
      </c>
      <c r="R9358" s="160" t="s">
        <v>272</v>
      </c>
    </row>
    <row r="9359" spans="2:18" ht="69" customHeight="1">
      <c r="B9359" s="503">
        <f t="shared" si="76"/>
        <v>6474</v>
      </c>
      <c r="C9359" s="191" t="s">
        <v>9094</v>
      </c>
      <c r="D9359" s="502" t="s">
        <v>20325</v>
      </c>
      <c r="E9359" s="191" t="s">
        <v>266</v>
      </c>
      <c r="F9359" s="46" t="s">
        <v>22831</v>
      </c>
      <c r="G9359" s="46" t="s">
        <v>22832</v>
      </c>
      <c r="H9359" s="534">
        <v>5500</v>
      </c>
      <c r="I9359" s="56">
        <v>45560</v>
      </c>
      <c r="J9359" s="199" t="s">
        <v>22833</v>
      </c>
      <c r="K9359" s="46" t="s">
        <v>5103</v>
      </c>
      <c r="O9359" s="46" t="s">
        <v>22834</v>
      </c>
      <c r="P9359" s="46" t="s">
        <v>65</v>
      </c>
      <c r="Q9359" s="52" t="s">
        <v>112</v>
      </c>
      <c r="R9359" s="46" t="s">
        <v>272</v>
      </c>
    </row>
    <row r="9360" spans="2:18" ht="69" customHeight="1">
      <c r="B9360" s="347">
        <f t="shared" si="76"/>
        <v>6475</v>
      </c>
      <c r="C9360" s="160" t="s">
        <v>13665</v>
      </c>
      <c r="D9360" s="518" t="s">
        <v>5571</v>
      </c>
      <c r="E9360" s="207" t="s">
        <v>266</v>
      </c>
      <c r="F9360" s="160" t="s">
        <v>22835</v>
      </c>
      <c r="G9360" s="160" t="s">
        <v>22836</v>
      </c>
      <c r="H9360" s="300">
        <v>327.33999999999997</v>
      </c>
      <c r="I9360" s="209">
        <v>45540</v>
      </c>
      <c r="J9360" s="316" t="s">
        <v>22837</v>
      </c>
      <c r="K9360" s="160" t="s">
        <v>5969</v>
      </c>
      <c r="O9360" s="160" t="s">
        <v>11084</v>
      </c>
      <c r="P9360" s="160" t="s">
        <v>67</v>
      </c>
      <c r="Q9360" s="259" t="s">
        <v>96</v>
      </c>
      <c r="R9360" s="160" t="s">
        <v>272</v>
      </c>
    </row>
    <row r="9361" spans="1:18" ht="69" customHeight="1">
      <c r="B9361" s="319">
        <f t="shared" si="76"/>
        <v>6476</v>
      </c>
      <c r="C9361" s="160" t="s">
        <v>13665</v>
      </c>
      <c r="D9361" s="518" t="s">
        <v>8542</v>
      </c>
      <c r="E9361" s="207" t="s">
        <v>266</v>
      </c>
      <c r="F9361" s="160" t="s">
        <v>22838</v>
      </c>
      <c r="G9361" s="160" t="s">
        <v>22836</v>
      </c>
      <c r="H9361" s="300">
        <v>327.33999999999997</v>
      </c>
      <c r="I9361" s="209">
        <v>45540</v>
      </c>
      <c r="J9361" s="316" t="s">
        <v>22837</v>
      </c>
      <c r="K9361" s="160" t="s">
        <v>5969</v>
      </c>
      <c r="O9361" s="160" t="s">
        <v>11084</v>
      </c>
      <c r="P9361" s="160" t="s">
        <v>67</v>
      </c>
      <c r="Q9361" s="259" t="s">
        <v>96</v>
      </c>
      <c r="R9361" s="160" t="s">
        <v>272</v>
      </c>
    </row>
    <row r="9362" spans="1:18" ht="69" customHeight="1">
      <c r="B9362" s="319">
        <f t="shared" si="76"/>
        <v>6477</v>
      </c>
      <c r="C9362" s="160" t="s">
        <v>13665</v>
      </c>
      <c r="D9362" s="518" t="s">
        <v>341</v>
      </c>
      <c r="E9362" s="207" t="s">
        <v>266</v>
      </c>
      <c r="F9362" s="160" t="s">
        <v>22839</v>
      </c>
      <c r="G9362" s="160" t="s">
        <v>22836</v>
      </c>
      <c r="H9362" s="300">
        <v>327.33999999999997</v>
      </c>
      <c r="I9362" s="209">
        <v>45540</v>
      </c>
      <c r="J9362" s="316" t="s">
        <v>22837</v>
      </c>
      <c r="K9362" s="160" t="s">
        <v>5969</v>
      </c>
      <c r="O9362" s="160" t="s">
        <v>11084</v>
      </c>
      <c r="P9362" s="160" t="s">
        <v>67</v>
      </c>
      <c r="Q9362" s="259" t="s">
        <v>96</v>
      </c>
      <c r="R9362" s="160" t="s">
        <v>272</v>
      </c>
    </row>
    <row r="9363" spans="1:18" ht="69" customHeight="1">
      <c r="B9363" s="319">
        <f t="shared" si="76"/>
        <v>6478</v>
      </c>
      <c r="C9363" s="207" t="s">
        <v>21598</v>
      </c>
      <c r="D9363" s="518" t="s">
        <v>16369</v>
      </c>
      <c r="E9363" s="207" t="s">
        <v>266</v>
      </c>
      <c r="F9363" s="160" t="s">
        <v>22840</v>
      </c>
      <c r="G9363" s="160" t="s">
        <v>22841</v>
      </c>
      <c r="H9363" s="300">
        <v>1738.85</v>
      </c>
      <c r="I9363" s="209">
        <v>45540</v>
      </c>
      <c r="J9363" s="316" t="s">
        <v>22842</v>
      </c>
      <c r="K9363" s="160" t="s">
        <v>22843</v>
      </c>
      <c r="O9363" s="160" t="s">
        <v>11084</v>
      </c>
      <c r="P9363" s="160" t="s">
        <v>67</v>
      </c>
      <c r="Q9363" s="259" t="s">
        <v>96</v>
      </c>
      <c r="R9363" s="160" t="s">
        <v>272</v>
      </c>
    </row>
    <row r="9364" spans="1:18" ht="69" customHeight="1">
      <c r="B9364" s="231">
        <f t="shared" si="76"/>
        <v>6479</v>
      </c>
      <c r="C9364" s="191" t="s">
        <v>11618</v>
      </c>
      <c r="D9364" s="502" t="s">
        <v>20381</v>
      </c>
      <c r="E9364" s="191" t="s">
        <v>266</v>
      </c>
      <c r="F9364" s="46" t="s">
        <v>22844</v>
      </c>
      <c r="G9364" s="46" t="s">
        <v>22845</v>
      </c>
      <c r="H9364" s="534">
        <v>20604.86</v>
      </c>
      <c r="I9364" s="56">
        <v>45550</v>
      </c>
      <c r="J9364" s="199" t="s">
        <v>22846</v>
      </c>
      <c r="K9364" s="46"/>
      <c r="O9364" s="46" t="s">
        <v>22847</v>
      </c>
      <c r="P9364" s="46" t="s">
        <v>65</v>
      </c>
      <c r="Q9364" s="52" t="s">
        <v>122</v>
      </c>
      <c r="R9364" s="46" t="s">
        <v>272</v>
      </c>
    </row>
    <row r="9365" spans="1:18" s="98" customFormat="1" ht="69" customHeight="1">
      <c r="A9365" s="169"/>
      <c r="B9365" s="231">
        <f t="shared" si="76"/>
        <v>6480</v>
      </c>
      <c r="C9365" s="543" t="s">
        <v>10947</v>
      </c>
      <c r="D9365" s="502" t="s">
        <v>22848</v>
      </c>
      <c r="E9365" s="191" t="s">
        <v>266</v>
      </c>
      <c r="F9365" s="46" t="s">
        <v>22849</v>
      </c>
      <c r="G9365" s="46" t="s">
        <v>22845</v>
      </c>
      <c r="H9365" s="534">
        <v>90000</v>
      </c>
      <c r="I9365" s="56">
        <v>45550</v>
      </c>
      <c r="J9365" s="199" t="s">
        <v>22846</v>
      </c>
      <c r="K9365" s="46"/>
      <c r="O9365" s="46" t="s">
        <v>22850</v>
      </c>
      <c r="P9365" s="46" t="s">
        <v>65</v>
      </c>
      <c r="Q9365" s="52" t="s">
        <v>100</v>
      </c>
      <c r="R9365" s="46" t="s">
        <v>272</v>
      </c>
    </row>
    <row r="9366" spans="1:18" ht="69" customHeight="1">
      <c r="B9366" s="319">
        <f t="shared" si="76"/>
        <v>6481</v>
      </c>
      <c r="C9366" s="207" t="s">
        <v>309</v>
      </c>
      <c r="D9366" s="518" t="s">
        <v>18852</v>
      </c>
      <c r="E9366" s="207" t="s">
        <v>266</v>
      </c>
      <c r="F9366" s="160" t="s">
        <v>22851</v>
      </c>
      <c r="G9366" s="160" t="s">
        <v>22852</v>
      </c>
      <c r="H9366" s="519">
        <v>5367.1</v>
      </c>
      <c r="I9366" s="209">
        <v>45550</v>
      </c>
      <c r="J9366" s="316" t="s">
        <v>22853</v>
      </c>
      <c r="K9366" s="304"/>
      <c r="O9366" s="160" t="s">
        <v>12529</v>
      </c>
      <c r="P9366" s="160" t="s">
        <v>67</v>
      </c>
      <c r="Q9366" s="259" t="s">
        <v>13</v>
      </c>
      <c r="R9366" s="160" t="s">
        <v>272</v>
      </c>
    </row>
    <row r="9367" spans="1:18" ht="69" customHeight="1">
      <c r="B9367" s="231">
        <f t="shared" si="76"/>
        <v>6482</v>
      </c>
      <c r="C9367" s="191" t="s">
        <v>11618</v>
      </c>
      <c r="D9367" s="502" t="s">
        <v>20348</v>
      </c>
      <c r="E9367" s="191" t="s">
        <v>266</v>
      </c>
      <c r="F9367" s="211" t="s">
        <v>22854</v>
      </c>
      <c r="G9367" s="556" t="s">
        <v>22855</v>
      </c>
      <c r="H9367" s="534">
        <v>238</v>
      </c>
      <c r="I9367" s="56">
        <v>45560</v>
      </c>
      <c r="J9367" s="199" t="s">
        <v>22856</v>
      </c>
      <c r="K9367" s="46"/>
      <c r="O9367" s="281" t="s">
        <v>22857</v>
      </c>
      <c r="P9367" s="46" t="s">
        <v>65</v>
      </c>
      <c r="Q9367" s="52" t="s">
        <v>122</v>
      </c>
      <c r="R9367" s="46" t="s">
        <v>272</v>
      </c>
    </row>
    <row r="9368" spans="1:18" ht="69" customHeight="1">
      <c r="B9368" s="231">
        <f t="shared" si="76"/>
        <v>6483</v>
      </c>
      <c r="C9368" s="191" t="s">
        <v>458</v>
      </c>
      <c r="D9368" s="502" t="s">
        <v>22858</v>
      </c>
      <c r="E9368" s="191" t="s">
        <v>266</v>
      </c>
      <c r="F9368" s="46" t="s">
        <v>22859</v>
      </c>
      <c r="G9368" s="46" t="s">
        <v>22860</v>
      </c>
      <c r="H9368" s="534">
        <v>9259.16</v>
      </c>
      <c r="I9368" s="56">
        <v>45560</v>
      </c>
      <c r="J9368" s="199" t="s">
        <v>22861</v>
      </c>
      <c r="K9368" s="46"/>
      <c r="O9368" s="53" t="s">
        <v>13921</v>
      </c>
      <c r="P9368" s="286" t="s">
        <v>65</v>
      </c>
      <c r="Q9368" s="52" t="s">
        <v>122</v>
      </c>
      <c r="R9368" s="46" t="s">
        <v>272</v>
      </c>
    </row>
    <row r="9369" spans="1:18" s="103" customFormat="1" ht="69" customHeight="1">
      <c r="A9369" s="449"/>
      <c r="B9369" s="319">
        <f t="shared" si="76"/>
        <v>6484</v>
      </c>
      <c r="C9369" s="207" t="s">
        <v>309</v>
      </c>
      <c r="D9369" s="311" t="s">
        <v>22862</v>
      </c>
      <c r="E9369" s="344" t="s">
        <v>266</v>
      </c>
      <c r="F9369" s="208" t="s">
        <v>22863</v>
      </c>
      <c r="G9369" s="160" t="s">
        <v>13201</v>
      </c>
      <c r="H9369" s="300">
        <v>26365.919999999998</v>
      </c>
      <c r="I9369" s="209">
        <v>45560</v>
      </c>
      <c r="J9369" s="316" t="s">
        <v>22864</v>
      </c>
      <c r="K9369" s="160"/>
      <c r="O9369" s="290" t="s">
        <v>15366</v>
      </c>
      <c r="P9369" s="160" t="s">
        <v>67</v>
      </c>
      <c r="Q9369" s="259" t="s">
        <v>15</v>
      </c>
      <c r="R9369" s="160" t="s">
        <v>272</v>
      </c>
    </row>
    <row r="9370" spans="1:18" ht="69" customHeight="1">
      <c r="B9370" s="79">
        <f t="shared" si="76"/>
        <v>6485</v>
      </c>
      <c r="C9370" s="178" t="s">
        <v>9094</v>
      </c>
      <c r="D9370" s="498" t="s">
        <v>22865</v>
      </c>
      <c r="E9370" s="74" t="s">
        <v>22420</v>
      </c>
      <c r="F9370" s="210" t="s">
        <v>22866</v>
      </c>
      <c r="G9370" s="58" t="s">
        <v>22867</v>
      </c>
      <c r="H9370" s="546">
        <v>5821.02</v>
      </c>
      <c r="I9370" s="66">
        <v>45560</v>
      </c>
      <c r="J9370" s="242" t="s">
        <v>22868</v>
      </c>
      <c r="K9370" s="67"/>
      <c r="O9370" s="45" t="s">
        <v>150</v>
      </c>
      <c r="P9370" s="45" t="s">
        <v>51</v>
      </c>
      <c r="Q9370" s="48" t="s">
        <v>112</v>
      </c>
      <c r="R9370" s="45" t="s">
        <v>265</v>
      </c>
    </row>
    <row r="9371" spans="1:18" ht="69" customHeight="1">
      <c r="B9371" s="79">
        <f t="shared" si="76"/>
        <v>6486</v>
      </c>
      <c r="C9371" s="178" t="s">
        <v>10947</v>
      </c>
      <c r="D9371" s="498" t="s">
        <v>22869</v>
      </c>
      <c r="E9371" s="74" t="s">
        <v>22420</v>
      </c>
      <c r="F9371" s="210" t="s">
        <v>22870</v>
      </c>
      <c r="G9371" s="58" t="s">
        <v>22867</v>
      </c>
      <c r="H9371" s="546">
        <v>5821.02</v>
      </c>
      <c r="I9371" s="66">
        <v>45560</v>
      </c>
      <c r="J9371" s="242" t="s">
        <v>22868</v>
      </c>
      <c r="K9371" s="67"/>
      <c r="O9371" s="45" t="s">
        <v>150</v>
      </c>
      <c r="P9371" s="45" t="s">
        <v>51</v>
      </c>
      <c r="Q9371" s="48" t="s">
        <v>100</v>
      </c>
      <c r="R9371" s="45" t="s">
        <v>265</v>
      </c>
    </row>
    <row r="9372" spans="1:18" ht="69" customHeight="1">
      <c r="B9372" s="79">
        <f t="shared" si="76"/>
        <v>6487</v>
      </c>
      <c r="C9372" s="178" t="s">
        <v>6693</v>
      </c>
      <c r="D9372" s="498" t="s">
        <v>22871</v>
      </c>
      <c r="E9372" s="74" t="s">
        <v>22420</v>
      </c>
      <c r="F9372" s="210" t="s">
        <v>22872</v>
      </c>
      <c r="G9372" s="58" t="s">
        <v>22867</v>
      </c>
      <c r="H9372" s="546">
        <v>5821.02</v>
      </c>
      <c r="I9372" s="66">
        <v>45560</v>
      </c>
      <c r="J9372" s="242" t="s">
        <v>22868</v>
      </c>
      <c r="K9372" s="67"/>
      <c r="O9372" s="45" t="s">
        <v>150</v>
      </c>
      <c r="P9372" s="45" t="s">
        <v>51</v>
      </c>
      <c r="Q9372" s="48" t="s">
        <v>78</v>
      </c>
      <c r="R9372" s="45" t="s">
        <v>265</v>
      </c>
    </row>
    <row r="9373" spans="1:18" ht="69" customHeight="1">
      <c r="B9373" s="79">
        <f t="shared" si="76"/>
        <v>6488</v>
      </c>
      <c r="C9373" s="178" t="s">
        <v>9545</v>
      </c>
      <c r="D9373" s="498" t="s">
        <v>20431</v>
      </c>
      <c r="E9373" s="74" t="s">
        <v>22420</v>
      </c>
      <c r="F9373" s="210" t="s">
        <v>22873</v>
      </c>
      <c r="G9373" s="58" t="s">
        <v>22867</v>
      </c>
      <c r="H9373" s="546">
        <v>5821.02</v>
      </c>
      <c r="I9373" s="66">
        <v>45560</v>
      </c>
      <c r="J9373" s="242" t="s">
        <v>22868</v>
      </c>
      <c r="K9373" s="67"/>
      <c r="O9373" s="45" t="s">
        <v>150</v>
      </c>
      <c r="P9373" s="45" t="s">
        <v>51</v>
      </c>
      <c r="Q9373" s="48" t="s">
        <v>117</v>
      </c>
      <c r="R9373" s="45" t="s">
        <v>265</v>
      </c>
    </row>
    <row r="9374" spans="1:18" ht="69" customHeight="1">
      <c r="B9374" s="231">
        <f t="shared" si="76"/>
        <v>6489</v>
      </c>
      <c r="C9374" s="191" t="s">
        <v>458</v>
      </c>
      <c r="D9374" s="502" t="s">
        <v>22874</v>
      </c>
      <c r="E9374" s="191" t="s">
        <v>266</v>
      </c>
      <c r="F9374" s="46" t="s">
        <v>22875</v>
      </c>
      <c r="G9374" s="46" t="s">
        <v>22876</v>
      </c>
      <c r="H9374" s="534">
        <v>4648</v>
      </c>
      <c r="I9374" s="56">
        <v>45569</v>
      </c>
      <c r="J9374" s="199" t="s">
        <v>22877</v>
      </c>
      <c r="K9374" s="46"/>
      <c r="O9374" s="46" t="s">
        <v>13921</v>
      </c>
      <c r="P9374" s="46" t="s">
        <v>65</v>
      </c>
      <c r="Q9374" s="52" t="s">
        <v>122</v>
      </c>
      <c r="R9374" s="46" t="s">
        <v>272</v>
      </c>
    </row>
    <row r="9375" spans="1:18" ht="69" customHeight="1">
      <c r="B9375" s="59">
        <f t="shared" si="76"/>
        <v>6490</v>
      </c>
      <c r="C9375" s="59" t="s">
        <v>10947</v>
      </c>
      <c r="D9375" s="489" t="s">
        <v>6077</v>
      </c>
      <c r="E9375" s="59" t="s">
        <v>350</v>
      </c>
      <c r="F9375" s="45" t="s">
        <v>22878</v>
      </c>
      <c r="G9375" s="45" t="s">
        <v>352</v>
      </c>
      <c r="H9375" s="198">
        <v>2217.6</v>
      </c>
      <c r="I9375" s="47">
        <v>44480</v>
      </c>
      <c r="J9375" s="73" t="s">
        <v>22807</v>
      </c>
      <c r="K9375" s="45" t="s">
        <v>735</v>
      </c>
      <c r="M9375" s="98"/>
      <c r="N9375" s="98"/>
      <c r="O9375" s="45" t="s">
        <v>22879</v>
      </c>
      <c r="P9375" s="45" t="s">
        <v>19</v>
      </c>
      <c r="Q9375" s="48" t="s">
        <v>100</v>
      </c>
      <c r="R9375" s="45" t="s">
        <v>265</v>
      </c>
    </row>
    <row r="9376" spans="1:18" ht="69" customHeight="1">
      <c r="B9376" s="231">
        <f t="shared" si="76"/>
        <v>6491</v>
      </c>
      <c r="C9376" s="191" t="s">
        <v>450</v>
      </c>
      <c r="D9376" s="502" t="s">
        <v>22880</v>
      </c>
      <c r="E9376" s="191" t="s">
        <v>266</v>
      </c>
      <c r="F9376" s="191" t="s">
        <v>22881</v>
      </c>
      <c r="G9376" s="283" t="s">
        <v>22882</v>
      </c>
      <c r="H9376" s="663">
        <v>21000</v>
      </c>
      <c r="I9376" s="284">
        <v>45560</v>
      </c>
      <c r="J9376" s="199" t="s">
        <v>22883</v>
      </c>
      <c r="K9376" s="46"/>
      <c r="O9376" s="46" t="s">
        <v>1171</v>
      </c>
      <c r="P9376" s="46" t="s">
        <v>71</v>
      </c>
      <c r="Q9376" s="52" t="s">
        <v>13</v>
      </c>
      <c r="R9376" s="46" t="s">
        <v>272</v>
      </c>
    </row>
    <row r="9377" spans="2:18" ht="69" customHeight="1">
      <c r="B9377" s="253">
        <f t="shared" si="76"/>
        <v>6492</v>
      </c>
      <c r="C9377" s="256" t="s">
        <v>581</v>
      </c>
      <c r="D9377" s="514" t="s">
        <v>22884</v>
      </c>
      <c r="E9377" s="256" t="s">
        <v>266</v>
      </c>
      <c r="F9377" s="256" t="s">
        <v>22885</v>
      </c>
      <c r="G9377" s="378" t="s">
        <v>22886</v>
      </c>
      <c r="H9377" s="529"/>
      <c r="I9377" s="257">
        <v>45560</v>
      </c>
      <c r="J9377" s="258" t="s">
        <v>22883</v>
      </c>
      <c r="K9377" s="118" t="s">
        <v>22887</v>
      </c>
      <c r="L9377" s="405"/>
      <c r="M9377" s="404"/>
      <c r="N9377" s="404"/>
      <c r="O9377" s="46" t="s">
        <v>1171</v>
      </c>
      <c r="P9377" s="160"/>
      <c r="Q9377" s="261" t="s">
        <v>18</v>
      </c>
      <c r="R9377" s="118" t="s">
        <v>272</v>
      </c>
    </row>
    <row r="9378" spans="2:18" ht="69" customHeight="1">
      <c r="B9378" s="231">
        <f t="shared" si="76"/>
        <v>6493</v>
      </c>
      <c r="C9378" s="191" t="s">
        <v>657</v>
      </c>
      <c r="D9378" s="502" t="s">
        <v>11730</v>
      </c>
      <c r="E9378" s="191" t="s">
        <v>266</v>
      </c>
      <c r="F9378" s="191" t="s">
        <v>22888</v>
      </c>
      <c r="G9378" s="283" t="s">
        <v>22889</v>
      </c>
      <c r="H9378" s="515">
        <v>22212.39</v>
      </c>
      <c r="I9378" s="284">
        <v>45560</v>
      </c>
      <c r="J9378" s="199" t="s">
        <v>22883</v>
      </c>
      <c r="K9378" s="46"/>
      <c r="O9378" s="46" t="s">
        <v>1171</v>
      </c>
      <c r="P9378" s="46" t="s">
        <v>71</v>
      </c>
      <c r="Q9378" s="52" t="s">
        <v>110</v>
      </c>
      <c r="R9378" s="46" t="s">
        <v>272</v>
      </c>
    </row>
    <row r="9379" spans="2:18" ht="69" customHeight="1">
      <c r="B9379" s="231">
        <f t="shared" si="76"/>
        <v>6494</v>
      </c>
      <c r="C9379" s="191" t="s">
        <v>9004</v>
      </c>
      <c r="D9379" s="502" t="s">
        <v>11732</v>
      </c>
      <c r="E9379" s="191" t="s">
        <v>266</v>
      </c>
      <c r="F9379" s="191" t="s">
        <v>22890</v>
      </c>
      <c r="G9379" s="283" t="s">
        <v>22889</v>
      </c>
      <c r="H9379" s="559">
        <v>21600</v>
      </c>
      <c r="I9379" s="56">
        <v>45560</v>
      </c>
      <c r="J9379" s="199" t="s">
        <v>22883</v>
      </c>
      <c r="K9379" s="46"/>
      <c r="O9379" s="46" t="s">
        <v>1171</v>
      </c>
      <c r="P9379" s="46" t="s">
        <v>71</v>
      </c>
      <c r="Q9379" s="52" t="s">
        <v>111</v>
      </c>
      <c r="R9379" s="46" t="s">
        <v>272</v>
      </c>
    </row>
    <row r="9380" spans="2:18" ht="69" customHeight="1">
      <c r="B9380" s="231">
        <f t="shared" si="76"/>
        <v>6495</v>
      </c>
      <c r="C9380" s="191" t="s">
        <v>5658</v>
      </c>
      <c r="D9380" s="502" t="s">
        <v>22891</v>
      </c>
      <c r="E9380" s="191" t="s">
        <v>266</v>
      </c>
      <c r="F9380" s="191" t="s">
        <v>22892</v>
      </c>
      <c r="G9380" s="283" t="s">
        <v>22889</v>
      </c>
      <c r="H9380" s="534">
        <v>22211.07</v>
      </c>
      <c r="I9380" s="56">
        <v>45560</v>
      </c>
      <c r="J9380" s="199" t="s">
        <v>22883</v>
      </c>
      <c r="K9380" s="46"/>
      <c r="O9380" s="46" t="s">
        <v>1171</v>
      </c>
      <c r="P9380" s="46" t="s">
        <v>71</v>
      </c>
      <c r="Q9380" s="52" t="s">
        <v>66</v>
      </c>
      <c r="R9380" s="46" t="s">
        <v>272</v>
      </c>
    </row>
    <row r="9381" spans="2:18" ht="69" customHeight="1">
      <c r="B9381" s="231">
        <f t="shared" si="76"/>
        <v>6496</v>
      </c>
      <c r="C9381" s="191" t="s">
        <v>15449</v>
      </c>
      <c r="D9381" s="502" t="s">
        <v>18873</v>
      </c>
      <c r="E9381" s="191" t="s">
        <v>266</v>
      </c>
      <c r="F9381" s="191" t="s">
        <v>22893</v>
      </c>
      <c r="G9381" s="46" t="s">
        <v>22894</v>
      </c>
      <c r="H9381" s="534">
        <v>9993.7800000000007</v>
      </c>
      <c r="I9381" s="56">
        <v>45560</v>
      </c>
      <c r="J9381" s="199" t="s">
        <v>22895</v>
      </c>
      <c r="K9381" s="46"/>
      <c r="O9381" s="46" t="s">
        <v>2091</v>
      </c>
      <c r="P9381" s="46" t="s">
        <v>65</v>
      </c>
      <c r="Q9381" s="52" t="s">
        <v>41</v>
      </c>
      <c r="R9381" s="46" t="s">
        <v>272</v>
      </c>
    </row>
    <row r="9382" spans="2:18" ht="69" customHeight="1">
      <c r="B9382" s="79">
        <f t="shared" si="76"/>
        <v>6497</v>
      </c>
      <c r="C9382" s="178" t="s">
        <v>458</v>
      </c>
      <c r="D9382" s="498" t="s">
        <v>20451</v>
      </c>
      <c r="E9382" s="58" t="s">
        <v>16011</v>
      </c>
      <c r="F9382" s="178" t="s">
        <v>22896</v>
      </c>
      <c r="G9382" s="58" t="s">
        <v>22897</v>
      </c>
      <c r="H9382" s="546">
        <v>3862.63</v>
      </c>
      <c r="I9382" s="126">
        <v>45560</v>
      </c>
      <c r="J9382" s="242" t="s">
        <v>22898</v>
      </c>
      <c r="K9382" s="67"/>
      <c r="O9382" s="45" t="s">
        <v>150</v>
      </c>
      <c r="P9382" s="45" t="s">
        <v>51</v>
      </c>
      <c r="Q9382" s="48" t="s">
        <v>113</v>
      </c>
      <c r="R9382" s="45" t="s">
        <v>272</v>
      </c>
    </row>
    <row r="9383" spans="2:18" ht="69" customHeight="1">
      <c r="B9383" s="79">
        <f t="shared" si="76"/>
        <v>6498</v>
      </c>
      <c r="C9383" s="178" t="s">
        <v>657</v>
      </c>
      <c r="D9383" s="498" t="s">
        <v>16855</v>
      </c>
      <c r="E9383" s="58" t="s">
        <v>16011</v>
      </c>
      <c r="F9383" s="178" t="s">
        <v>22899</v>
      </c>
      <c r="G9383" s="58" t="s">
        <v>22897</v>
      </c>
      <c r="H9383" s="361">
        <v>3767.13</v>
      </c>
      <c r="I9383" s="126">
        <v>45560</v>
      </c>
      <c r="J9383" s="242" t="s">
        <v>22898</v>
      </c>
      <c r="K9383" s="67"/>
      <c r="O9383" s="45" t="s">
        <v>150</v>
      </c>
      <c r="P9383" s="45" t="s">
        <v>51</v>
      </c>
      <c r="Q9383" s="48" t="s">
        <v>111</v>
      </c>
      <c r="R9383" s="45" t="s">
        <v>272</v>
      </c>
    </row>
    <row r="9384" spans="2:18" ht="69" customHeight="1">
      <c r="B9384" s="319">
        <f t="shared" si="76"/>
        <v>6499</v>
      </c>
      <c r="C9384" s="207" t="s">
        <v>458</v>
      </c>
      <c r="D9384" s="518" t="s">
        <v>22900</v>
      </c>
      <c r="E9384" s="207" t="s">
        <v>266</v>
      </c>
      <c r="F9384" s="207" t="s">
        <v>22901</v>
      </c>
      <c r="G9384" s="160" t="s">
        <v>22902</v>
      </c>
      <c r="H9384" s="300">
        <v>3370.5</v>
      </c>
      <c r="I9384" s="209">
        <v>45560</v>
      </c>
      <c r="J9384" s="316" t="s">
        <v>22903</v>
      </c>
      <c r="K9384" s="160"/>
      <c r="O9384" s="160" t="s">
        <v>10810</v>
      </c>
      <c r="P9384" s="160" t="s">
        <v>67</v>
      </c>
      <c r="Q9384" s="259" t="s">
        <v>96</v>
      </c>
      <c r="R9384" s="160" t="s">
        <v>272</v>
      </c>
    </row>
    <row r="9385" spans="2:18" ht="69" customHeight="1">
      <c r="B9385" s="319">
        <f t="shared" si="76"/>
        <v>6500</v>
      </c>
      <c r="C9385" s="207" t="s">
        <v>657</v>
      </c>
      <c r="D9385" s="518" t="s">
        <v>16849</v>
      </c>
      <c r="E9385" s="207" t="s">
        <v>266</v>
      </c>
      <c r="F9385" s="207" t="s">
        <v>22904</v>
      </c>
      <c r="G9385" s="160" t="s">
        <v>22902</v>
      </c>
      <c r="H9385" s="300">
        <v>2426.7600000000002</v>
      </c>
      <c r="I9385" s="209">
        <v>45560</v>
      </c>
      <c r="J9385" s="316" t="s">
        <v>22903</v>
      </c>
      <c r="K9385" s="160"/>
      <c r="O9385" s="160" t="s">
        <v>10810</v>
      </c>
      <c r="P9385" s="160" t="s">
        <v>67</v>
      </c>
      <c r="Q9385" s="259" t="s">
        <v>96</v>
      </c>
      <c r="R9385" s="160" t="s">
        <v>272</v>
      </c>
    </row>
    <row r="9386" spans="2:18" ht="69" customHeight="1">
      <c r="B9386" s="319">
        <f t="shared" si="76"/>
        <v>6501</v>
      </c>
      <c r="C9386" s="207" t="s">
        <v>3667</v>
      </c>
      <c r="D9386" s="518" t="s">
        <v>22905</v>
      </c>
      <c r="E9386" s="207" t="s">
        <v>266</v>
      </c>
      <c r="F9386" s="207" t="s">
        <v>22906</v>
      </c>
      <c r="G9386" s="160" t="s">
        <v>22902</v>
      </c>
      <c r="H9386" s="300">
        <v>4314.24</v>
      </c>
      <c r="I9386" s="209">
        <v>45560</v>
      </c>
      <c r="J9386" s="316" t="s">
        <v>22903</v>
      </c>
      <c r="K9386" s="160"/>
      <c r="O9386" s="160" t="s">
        <v>10810</v>
      </c>
      <c r="P9386" s="160" t="s">
        <v>67</v>
      </c>
      <c r="Q9386" s="259" t="s">
        <v>96</v>
      </c>
      <c r="R9386" s="160" t="s">
        <v>272</v>
      </c>
    </row>
    <row r="9387" spans="2:18" ht="69" customHeight="1">
      <c r="B9387" s="319">
        <f t="shared" si="76"/>
        <v>6502</v>
      </c>
      <c r="C9387" s="493" t="s">
        <v>309</v>
      </c>
      <c r="D9387" s="518" t="s">
        <v>22907</v>
      </c>
      <c r="E9387" s="207" t="s">
        <v>266</v>
      </c>
      <c r="F9387" s="207" t="s">
        <v>22908</v>
      </c>
      <c r="G9387" s="160" t="s">
        <v>22902</v>
      </c>
      <c r="H9387" s="300">
        <v>3370</v>
      </c>
      <c r="I9387" s="209">
        <v>45560</v>
      </c>
      <c r="J9387" s="316" t="s">
        <v>22903</v>
      </c>
      <c r="K9387" s="160"/>
      <c r="O9387" s="160" t="s">
        <v>10810</v>
      </c>
      <c r="P9387" s="160" t="s">
        <v>67</v>
      </c>
      <c r="Q9387" s="259" t="s">
        <v>96</v>
      </c>
      <c r="R9387" s="160" t="s">
        <v>272</v>
      </c>
    </row>
    <row r="9388" spans="2:18" ht="69" customHeight="1">
      <c r="B9388" s="48">
        <f t="shared" si="76"/>
        <v>6503</v>
      </c>
      <c r="C9388" s="59" t="s">
        <v>11618</v>
      </c>
      <c r="D9388" s="489" t="s">
        <v>20433</v>
      </c>
      <c r="E9388" s="649" t="s">
        <v>22398</v>
      </c>
      <c r="F9388" s="45" t="s">
        <v>22909</v>
      </c>
      <c r="G9388" s="45" t="s">
        <v>22910</v>
      </c>
      <c r="H9388" s="198">
        <v>142185.88</v>
      </c>
      <c r="I9388" s="47">
        <v>45560</v>
      </c>
      <c r="J9388" s="73" t="s">
        <v>22911</v>
      </c>
      <c r="K9388" s="58"/>
      <c r="O9388" s="45" t="s">
        <v>21304</v>
      </c>
      <c r="P9388" s="45" t="s">
        <v>77</v>
      </c>
      <c r="Q9388" s="48" t="s">
        <v>122</v>
      </c>
      <c r="R9388" s="45" t="s">
        <v>272</v>
      </c>
    </row>
    <row r="9389" spans="2:18" ht="69" customHeight="1">
      <c r="B9389" s="129">
        <f t="shared" si="76"/>
        <v>6504</v>
      </c>
      <c r="C9389" s="74" t="s">
        <v>11933</v>
      </c>
      <c r="D9389" s="498" t="s">
        <v>20428</v>
      </c>
      <c r="E9389" s="649" t="s">
        <v>22398</v>
      </c>
      <c r="F9389" s="45" t="s">
        <v>22912</v>
      </c>
      <c r="G9389" s="45" t="s">
        <v>22910</v>
      </c>
      <c r="H9389" s="198">
        <v>96368.65</v>
      </c>
      <c r="I9389" s="47">
        <v>45560</v>
      </c>
      <c r="J9389" s="73" t="s">
        <v>22911</v>
      </c>
      <c r="K9389" s="58"/>
      <c r="O9389" s="45" t="s">
        <v>21304</v>
      </c>
      <c r="P9389" s="45" t="s">
        <v>77</v>
      </c>
      <c r="Q9389" s="48" t="s">
        <v>123</v>
      </c>
      <c r="R9389" s="45" t="s">
        <v>272</v>
      </c>
    </row>
    <row r="9390" spans="2:18" ht="69" customHeight="1">
      <c r="B9390" s="236">
        <f t="shared" si="76"/>
        <v>6505</v>
      </c>
      <c r="C9390" s="178" t="s">
        <v>458</v>
      </c>
      <c r="D9390" s="498" t="s">
        <v>22913</v>
      </c>
      <c r="E9390" s="58" t="s">
        <v>16011</v>
      </c>
      <c r="F9390" s="45" t="s">
        <v>22914</v>
      </c>
      <c r="G9390" s="58" t="s">
        <v>16655</v>
      </c>
      <c r="H9390" s="198">
        <v>29180</v>
      </c>
      <c r="I9390" s="47">
        <v>45560</v>
      </c>
      <c r="J9390" s="73" t="s">
        <v>22915</v>
      </c>
      <c r="K9390" s="67"/>
      <c r="O9390" s="45" t="s">
        <v>150</v>
      </c>
      <c r="P9390" s="45" t="s">
        <v>51</v>
      </c>
      <c r="Q9390" s="48" t="s">
        <v>117</v>
      </c>
      <c r="R9390" s="45" t="s">
        <v>272</v>
      </c>
    </row>
    <row r="9391" spans="2:18" ht="69" customHeight="1">
      <c r="B9391" s="79">
        <f t="shared" si="76"/>
        <v>6506</v>
      </c>
      <c r="C9391" s="178" t="s">
        <v>5832</v>
      </c>
      <c r="D9391" s="551" t="s">
        <v>22916</v>
      </c>
      <c r="E9391" s="58" t="s">
        <v>22532</v>
      </c>
      <c r="F9391" s="45" t="s">
        <v>22917</v>
      </c>
      <c r="G9391" s="58" t="s">
        <v>22918</v>
      </c>
      <c r="H9391" s="546">
        <v>11843.74</v>
      </c>
      <c r="I9391" s="47">
        <v>45560</v>
      </c>
      <c r="J9391" s="73" t="s">
        <v>22919</v>
      </c>
      <c r="K9391" s="67"/>
      <c r="O9391" s="45" t="s">
        <v>15440</v>
      </c>
      <c r="P9391" s="58" t="s">
        <v>55</v>
      </c>
      <c r="Q9391" s="48" t="s">
        <v>68</v>
      </c>
      <c r="R9391" s="45" t="s">
        <v>265</v>
      </c>
    </row>
    <row r="9392" spans="2:18" ht="69" customHeight="1">
      <c r="B9392" s="79">
        <f t="shared" si="76"/>
        <v>6507</v>
      </c>
      <c r="C9392" s="178" t="s">
        <v>3906</v>
      </c>
      <c r="D9392" s="498" t="s">
        <v>22920</v>
      </c>
      <c r="E9392" s="58" t="s">
        <v>22532</v>
      </c>
      <c r="F9392" s="45" t="s">
        <v>22921</v>
      </c>
      <c r="G9392" s="58" t="s">
        <v>22918</v>
      </c>
      <c r="H9392" s="546">
        <v>3351.21</v>
      </c>
      <c r="I9392" s="47">
        <v>45560</v>
      </c>
      <c r="J9392" s="73" t="s">
        <v>22919</v>
      </c>
      <c r="K9392" s="67"/>
      <c r="O9392" s="45" t="s">
        <v>15440</v>
      </c>
      <c r="P9392" s="58" t="s">
        <v>55</v>
      </c>
      <c r="Q9392" s="48" t="s">
        <v>70</v>
      </c>
      <c r="R9392" s="45" t="s">
        <v>265</v>
      </c>
    </row>
    <row r="9393" spans="2:18" ht="69" customHeight="1">
      <c r="B9393" s="79">
        <f t="shared" si="76"/>
        <v>6508</v>
      </c>
      <c r="C9393" s="178" t="s">
        <v>5082</v>
      </c>
      <c r="D9393" s="498" t="s">
        <v>22922</v>
      </c>
      <c r="E9393" s="58" t="s">
        <v>22532</v>
      </c>
      <c r="F9393" s="45" t="s">
        <v>22923</v>
      </c>
      <c r="G9393" s="58" t="s">
        <v>22918</v>
      </c>
      <c r="H9393" s="546">
        <v>4713.8900000000003</v>
      </c>
      <c r="I9393" s="47">
        <v>45560</v>
      </c>
      <c r="J9393" s="73" t="s">
        <v>22919</v>
      </c>
      <c r="K9393" s="67"/>
      <c r="O9393" s="45" t="s">
        <v>15440</v>
      </c>
      <c r="P9393" s="58" t="s">
        <v>55</v>
      </c>
      <c r="Q9393" s="48" t="s">
        <v>60</v>
      </c>
      <c r="R9393" s="45" t="s">
        <v>265</v>
      </c>
    </row>
    <row r="9394" spans="2:18" ht="69" customHeight="1">
      <c r="B9394" s="79">
        <f t="shared" si="76"/>
        <v>6509</v>
      </c>
      <c r="C9394" s="178" t="s">
        <v>5189</v>
      </c>
      <c r="D9394" s="498" t="s">
        <v>22924</v>
      </c>
      <c r="E9394" s="58" t="s">
        <v>22532</v>
      </c>
      <c r="F9394" s="45" t="s">
        <v>22925</v>
      </c>
      <c r="G9394" s="58" t="s">
        <v>22918</v>
      </c>
      <c r="H9394" s="546">
        <v>13300.35</v>
      </c>
      <c r="I9394" s="47">
        <v>45560</v>
      </c>
      <c r="J9394" s="73" t="s">
        <v>22919</v>
      </c>
      <c r="K9394" s="67"/>
      <c r="O9394" s="45" t="s">
        <v>15440</v>
      </c>
      <c r="P9394" s="58" t="s">
        <v>55</v>
      </c>
      <c r="Q9394" s="48" t="s">
        <v>62</v>
      </c>
      <c r="R9394" s="45" t="s">
        <v>265</v>
      </c>
    </row>
    <row r="9395" spans="2:18" ht="69" customHeight="1">
      <c r="B9395" s="79">
        <f t="shared" si="76"/>
        <v>6510</v>
      </c>
      <c r="C9395" s="178" t="s">
        <v>10418</v>
      </c>
      <c r="D9395" s="498" t="s">
        <v>22926</v>
      </c>
      <c r="E9395" s="58" t="s">
        <v>22532</v>
      </c>
      <c r="F9395" s="45" t="s">
        <v>22927</v>
      </c>
      <c r="G9395" s="58" t="s">
        <v>22918</v>
      </c>
      <c r="H9395" s="546">
        <v>4634.8599999999997</v>
      </c>
      <c r="I9395" s="47">
        <v>45560</v>
      </c>
      <c r="J9395" s="73" t="s">
        <v>22919</v>
      </c>
      <c r="K9395" s="67"/>
      <c r="O9395" s="45" t="s">
        <v>15440</v>
      </c>
      <c r="P9395" s="58" t="s">
        <v>55</v>
      </c>
      <c r="Q9395" s="48" t="s">
        <v>121</v>
      </c>
      <c r="R9395" s="45" t="s">
        <v>265</v>
      </c>
    </row>
    <row r="9396" spans="2:18" ht="69" customHeight="1">
      <c r="B9396" s="232">
        <f t="shared" si="76"/>
        <v>6511</v>
      </c>
      <c r="C9396" s="178" t="s">
        <v>11047</v>
      </c>
      <c r="D9396" s="498" t="s">
        <v>22928</v>
      </c>
      <c r="E9396" s="58" t="s">
        <v>22532</v>
      </c>
      <c r="F9396" s="45" t="s">
        <v>22929</v>
      </c>
      <c r="G9396" s="58" t="s">
        <v>22918</v>
      </c>
      <c r="H9396" s="546">
        <v>14610.93</v>
      </c>
      <c r="I9396" s="47">
        <v>45560</v>
      </c>
      <c r="J9396" s="73" t="s">
        <v>22919</v>
      </c>
      <c r="K9396" s="67"/>
      <c r="O9396" s="45" t="s">
        <v>15440</v>
      </c>
      <c r="P9396" s="58" t="s">
        <v>55</v>
      </c>
      <c r="Q9396" s="48" t="s">
        <v>33</v>
      </c>
      <c r="R9396" s="45" t="s">
        <v>265</v>
      </c>
    </row>
    <row r="9397" spans="2:18" ht="69" customHeight="1">
      <c r="B9397" s="279">
        <f t="shared" si="76"/>
        <v>6512</v>
      </c>
      <c r="C9397" s="557" t="s">
        <v>3906</v>
      </c>
      <c r="D9397" s="558" t="s">
        <v>22930</v>
      </c>
      <c r="E9397" s="557" t="s">
        <v>266</v>
      </c>
      <c r="F9397" s="266" t="s">
        <v>22931</v>
      </c>
      <c r="G9397" s="266" t="s">
        <v>22932</v>
      </c>
      <c r="H9397" s="559">
        <v>4000</v>
      </c>
      <c r="I9397" s="560">
        <v>45560</v>
      </c>
      <c r="J9397" s="271" t="s">
        <v>22933</v>
      </c>
      <c r="K9397" s="266"/>
      <c r="O9397" s="52" t="s">
        <v>20856</v>
      </c>
      <c r="P9397" s="46" t="s">
        <v>65</v>
      </c>
      <c r="Q9397" s="52" t="s">
        <v>70</v>
      </c>
      <c r="R9397" s="46" t="s">
        <v>272</v>
      </c>
    </row>
    <row r="9398" spans="2:18" ht="69" customHeight="1">
      <c r="B9398" s="231">
        <f t="shared" si="76"/>
        <v>6513</v>
      </c>
      <c r="C9398" s="51" t="s">
        <v>10612</v>
      </c>
      <c r="D9398" s="502" t="s">
        <v>22934</v>
      </c>
      <c r="E9398" s="191" t="s">
        <v>266</v>
      </c>
      <c r="F9398" s="46" t="s">
        <v>22935</v>
      </c>
      <c r="G9398" s="46" t="s">
        <v>22936</v>
      </c>
      <c r="H9398" s="534">
        <v>4000</v>
      </c>
      <c r="I9398" s="56">
        <v>45560</v>
      </c>
      <c r="J9398" s="199" t="s">
        <v>22933</v>
      </c>
      <c r="K9398" s="46"/>
      <c r="O9398" s="52" t="s">
        <v>20856</v>
      </c>
      <c r="P9398" s="46" t="s">
        <v>65</v>
      </c>
      <c r="Q9398" s="52" t="s">
        <v>86</v>
      </c>
      <c r="R9398" s="46" t="s">
        <v>272</v>
      </c>
    </row>
    <row r="9399" spans="2:18" ht="69" customHeight="1">
      <c r="B9399" s="231">
        <f t="shared" si="76"/>
        <v>6514</v>
      </c>
      <c r="C9399" s="191" t="s">
        <v>10947</v>
      </c>
      <c r="D9399" s="502" t="s">
        <v>22937</v>
      </c>
      <c r="E9399" s="46" t="s">
        <v>21310</v>
      </c>
      <c r="F9399" s="46" t="s">
        <v>22938</v>
      </c>
      <c r="G9399" s="46" t="s">
        <v>22939</v>
      </c>
      <c r="H9399" s="561">
        <v>7341</v>
      </c>
      <c r="I9399" s="56">
        <v>45560</v>
      </c>
      <c r="J9399" s="199" t="s">
        <v>22940</v>
      </c>
      <c r="K9399" s="46"/>
      <c r="O9399" s="46" t="s">
        <v>22941</v>
      </c>
      <c r="P9399" s="46" t="s">
        <v>65</v>
      </c>
      <c r="Q9399" s="52" t="s">
        <v>100</v>
      </c>
      <c r="R9399" s="46" t="s">
        <v>272</v>
      </c>
    </row>
    <row r="9400" spans="2:18" ht="69" customHeight="1">
      <c r="B9400" s="231">
        <f t="shared" si="76"/>
        <v>6515</v>
      </c>
      <c r="C9400" s="191" t="s">
        <v>9545</v>
      </c>
      <c r="D9400" s="502" t="s">
        <v>22942</v>
      </c>
      <c r="E9400" s="46" t="s">
        <v>21310</v>
      </c>
      <c r="F9400" s="46" t="s">
        <v>22943</v>
      </c>
      <c r="G9400" s="46" t="s">
        <v>22939</v>
      </c>
      <c r="H9400" s="534">
        <v>11880</v>
      </c>
      <c r="I9400" s="56">
        <v>45560</v>
      </c>
      <c r="J9400" s="199" t="s">
        <v>22940</v>
      </c>
      <c r="K9400" s="46"/>
      <c r="O9400" s="46" t="s">
        <v>22941</v>
      </c>
      <c r="P9400" s="46" t="s">
        <v>65</v>
      </c>
      <c r="Q9400" s="52" t="s">
        <v>117</v>
      </c>
      <c r="R9400" s="46" t="s">
        <v>272</v>
      </c>
    </row>
    <row r="9401" spans="2:18" ht="69" customHeight="1">
      <c r="B9401" s="79">
        <f t="shared" si="76"/>
        <v>6516</v>
      </c>
      <c r="C9401" s="178" t="s">
        <v>458</v>
      </c>
      <c r="D9401" s="498" t="s">
        <v>22944</v>
      </c>
      <c r="E9401" s="58" t="s">
        <v>16011</v>
      </c>
      <c r="F9401" s="58" t="s">
        <v>22945</v>
      </c>
      <c r="G9401" s="58" t="s">
        <v>22946</v>
      </c>
      <c r="H9401" s="546">
        <v>3862.63</v>
      </c>
      <c r="I9401" s="126">
        <v>45570</v>
      </c>
      <c r="J9401" s="65" t="s">
        <v>22947</v>
      </c>
      <c r="K9401" s="67"/>
      <c r="O9401" s="45" t="s">
        <v>150</v>
      </c>
      <c r="P9401" s="45" t="s">
        <v>51</v>
      </c>
      <c r="Q9401" s="48" t="s">
        <v>103</v>
      </c>
      <c r="R9401" s="45" t="s">
        <v>272</v>
      </c>
    </row>
    <row r="9402" spans="2:18" ht="69" customHeight="1">
      <c r="B9402" s="79">
        <f t="shared" si="76"/>
        <v>6517</v>
      </c>
      <c r="C9402" s="59" t="s">
        <v>3667</v>
      </c>
      <c r="D9402" s="498" t="s">
        <v>22948</v>
      </c>
      <c r="E9402" s="58" t="s">
        <v>16011</v>
      </c>
      <c r="F9402" s="58" t="s">
        <v>22949</v>
      </c>
      <c r="G9402" s="58" t="s">
        <v>22946</v>
      </c>
      <c r="H9402" s="546">
        <v>3862.63</v>
      </c>
      <c r="I9402" s="126">
        <v>45570</v>
      </c>
      <c r="J9402" s="65" t="s">
        <v>22947</v>
      </c>
      <c r="K9402" s="67"/>
      <c r="O9402" s="45" t="s">
        <v>150</v>
      </c>
      <c r="P9402" s="45" t="s">
        <v>51</v>
      </c>
      <c r="Q9402" s="48" t="s">
        <v>93</v>
      </c>
      <c r="R9402" s="45" t="s">
        <v>272</v>
      </c>
    </row>
    <row r="9403" spans="2:18" ht="69" customHeight="1">
      <c r="B9403" s="79">
        <f t="shared" si="76"/>
        <v>6518</v>
      </c>
      <c r="C9403" s="178" t="s">
        <v>11047</v>
      </c>
      <c r="D9403" s="551" t="s">
        <v>22950</v>
      </c>
      <c r="E9403" s="178" t="s">
        <v>13338</v>
      </c>
      <c r="F9403" s="58" t="s">
        <v>22951</v>
      </c>
      <c r="G9403" s="58" t="s">
        <v>22952</v>
      </c>
      <c r="H9403" s="552">
        <v>70000</v>
      </c>
      <c r="I9403" s="66">
        <v>45560</v>
      </c>
      <c r="J9403" s="65" t="s">
        <v>22953</v>
      </c>
      <c r="K9403" s="58"/>
      <c r="O9403" s="58" t="s">
        <v>192</v>
      </c>
      <c r="P9403" s="58" t="s">
        <v>57</v>
      </c>
      <c r="Q9403" s="62" t="s">
        <v>33</v>
      </c>
      <c r="R9403" s="58" t="s">
        <v>272</v>
      </c>
    </row>
    <row r="9404" spans="2:18" ht="69" customHeight="1">
      <c r="B9404" s="79">
        <f t="shared" si="76"/>
        <v>6519</v>
      </c>
      <c r="C9404" s="178" t="s">
        <v>6693</v>
      </c>
      <c r="D9404" s="498" t="s">
        <v>22954</v>
      </c>
      <c r="E9404" s="58" t="s">
        <v>22034</v>
      </c>
      <c r="F9404" s="45" t="s">
        <v>22955</v>
      </c>
      <c r="G9404" s="58" t="s">
        <v>22860</v>
      </c>
      <c r="H9404" s="546">
        <v>30358.5</v>
      </c>
      <c r="I9404" s="66">
        <v>45560</v>
      </c>
      <c r="J9404" s="65" t="s">
        <v>22956</v>
      </c>
      <c r="K9404" s="67"/>
      <c r="O9404" s="45" t="s">
        <v>210</v>
      </c>
      <c r="P9404" s="229" t="s">
        <v>81</v>
      </c>
      <c r="Q9404" s="48" t="s">
        <v>78</v>
      </c>
      <c r="R9404" s="45" t="s">
        <v>272</v>
      </c>
    </row>
    <row r="9405" spans="2:18" ht="69" customHeight="1">
      <c r="B9405" s="79">
        <f t="shared" si="76"/>
        <v>6520</v>
      </c>
      <c r="C9405" s="178" t="s">
        <v>11618</v>
      </c>
      <c r="D9405" s="498" t="s">
        <v>20773</v>
      </c>
      <c r="E9405" s="58" t="s">
        <v>16737</v>
      </c>
      <c r="F9405" s="58" t="s">
        <v>22957</v>
      </c>
      <c r="G9405" s="45" t="s">
        <v>22958</v>
      </c>
      <c r="H9405" s="658">
        <v>65600</v>
      </c>
      <c r="I9405" s="66">
        <v>45560</v>
      </c>
      <c r="J9405" s="65" t="s">
        <v>22959</v>
      </c>
      <c r="K9405" s="67"/>
      <c r="O9405" s="45" t="s">
        <v>205</v>
      </c>
      <c r="P9405" s="58" t="s">
        <v>61</v>
      </c>
      <c r="Q9405" s="48" t="s">
        <v>122</v>
      </c>
      <c r="R9405" s="45" t="s">
        <v>272</v>
      </c>
    </row>
    <row r="9406" spans="2:18" ht="69" customHeight="1">
      <c r="B9406" s="231">
        <f t="shared" si="76"/>
        <v>6521</v>
      </c>
      <c r="C9406" s="191" t="s">
        <v>7415</v>
      </c>
      <c r="D9406" s="251" t="s">
        <v>20802</v>
      </c>
      <c r="E9406" s="191" t="s">
        <v>266</v>
      </c>
      <c r="F9406" s="46" t="s">
        <v>22960</v>
      </c>
      <c r="G9406" s="46" t="s">
        <v>22961</v>
      </c>
      <c r="H9406" s="559">
        <v>15000</v>
      </c>
      <c r="I9406" s="56">
        <v>45570</v>
      </c>
      <c r="J9406" s="199" t="s">
        <v>22962</v>
      </c>
      <c r="K9406" s="46"/>
      <c r="O9406" s="52" t="s">
        <v>20856</v>
      </c>
      <c r="P9406" s="46" t="s">
        <v>65</v>
      </c>
      <c r="Q9406" s="52" t="s">
        <v>119</v>
      </c>
      <c r="R9406" s="46" t="s">
        <v>272</v>
      </c>
    </row>
    <row r="9407" spans="2:18" ht="69" customHeight="1">
      <c r="B9407" s="231">
        <f t="shared" si="76"/>
        <v>6522</v>
      </c>
      <c r="C9407" s="191" t="s">
        <v>9094</v>
      </c>
      <c r="D9407" s="502" t="s">
        <v>22963</v>
      </c>
      <c r="E9407" s="191" t="s">
        <v>266</v>
      </c>
      <c r="F9407" s="46" t="s">
        <v>22964</v>
      </c>
      <c r="G9407" s="46" t="s">
        <v>22965</v>
      </c>
      <c r="H9407" s="534">
        <v>6000</v>
      </c>
      <c r="I9407" s="56">
        <v>45570</v>
      </c>
      <c r="J9407" s="199" t="s">
        <v>22966</v>
      </c>
      <c r="K9407" s="46" t="s">
        <v>5103</v>
      </c>
      <c r="O9407" s="52" t="s">
        <v>20856</v>
      </c>
      <c r="P9407" s="46" t="s">
        <v>65</v>
      </c>
      <c r="Q9407" s="52" t="s">
        <v>112</v>
      </c>
      <c r="R9407" s="46" t="s">
        <v>272</v>
      </c>
    </row>
    <row r="9408" spans="2:18" ht="69" customHeight="1">
      <c r="B9408" s="79">
        <f t="shared" si="76"/>
        <v>6523</v>
      </c>
      <c r="C9408" s="58" t="s">
        <v>11618</v>
      </c>
      <c r="D9408" s="174" t="s">
        <v>22967</v>
      </c>
      <c r="E9408" s="178" t="s">
        <v>22968</v>
      </c>
      <c r="F9408" s="58" t="s">
        <v>22969</v>
      </c>
      <c r="G9408" s="58" t="s">
        <v>22970</v>
      </c>
      <c r="H9408" s="552">
        <v>28749.68</v>
      </c>
      <c r="I9408" s="66">
        <v>45570</v>
      </c>
      <c r="J9408" s="65" t="s">
        <v>22971</v>
      </c>
      <c r="K9408" s="58" t="s">
        <v>22972</v>
      </c>
      <c r="O9408" s="58" t="s">
        <v>8228</v>
      </c>
      <c r="P9408" s="58" t="s">
        <v>59</v>
      </c>
      <c r="Q9408" s="62" t="s">
        <v>122</v>
      </c>
      <c r="R9408" s="58" t="s">
        <v>272</v>
      </c>
    </row>
    <row r="9409" spans="2:18" ht="69" customHeight="1">
      <c r="B9409" s="62">
        <f t="shared" si="76"/>
        <v>6524</v>
      </c>
      <c r="C9409" s="58" t="s">
        <v>11618</v>
      </c>
      <c r="D9409" s="551" t="s">
        <v>22973</v>
      </c>
      <c r="E9409" s="178" t="s">
        <v>22151</v>
      </c>
      <c r="F9409" s="58" t="s">
        <v>22974</v>
      </c>
      <c r="G9409" s="58" t="s">
        <v>22975</v>
      </c>
      <c r="H9409" s="552">
        <v>114998.72</v>
      </c>
      <c r="I9409" s="66">
        <v>45570</v>
      </c>
      <c r="J9409" s="65" t="s">
        <v>22971</v>
      </c>
      <c r="K9409" s="58" t="s">
        <v>22972</v>
      </c>
      <c r="O9409" s="58" t="s">
        <v>8228</v>
      </c>
      <c r="P9409" s="58" t="s">
        <v>59</v>
      </c>
      <c r="Q9409" s="62" t="s">
        <v>122</v>
      </c>
      <c r="R9409" s="58" t="s">
        <v>272</v>
      </c>
    </row>
    <row r="9410" spans="2:18" ht="69" customHeight="1">
      <c r="B9410" s="279">
        <f t="shared" si="76"/>
        <v>6525</v>
      </c>
      <c r="C9410" s="191" t="s">
        <v>10639</v>
      </c>
      <c r="D9410" s="502" t="s">
        <v>22976</v>
      </c>
      <c r="E9410" s="191" t="s">
        <v>266</v>
      </c>
      <c r="F9410" s="46" t="s">
        <v>22977</v>
      </c>
      <c r="G9410" s="191" t="s">
        <v>22756</v>
      </c>
      <c r="H9410" s="534">
        <v>11390</v>
      </c>
      <c r="I9410" s="56">
        <v>45580</v>
      </c>
      <c r="J9410" s="199" t="s">
        <v>22978</v>
      </c>
      <c r="K9410" s="46"/>
      <c r="O9410" s="46" t="s">
        <v>19899</v>
      </c>
      <c r="P9410" s="46" t="s">
        <v>71</v>
      </c>
      <c r="Q9410" s="52" t="s">
        <v>95</v>
      </c>
      <c r="R9410" s="46" t="s">
        <v>272</v>
      </c>
    </row>
    <row r="9411" spans="2:18" ht="69" customHeight="1">
      <c r="B9411" s="231">
        <f t="shared" si="76"/>
        <v>6526</v>
      </c>
      <c r="C9411" s="191" t="s">
        <v>10634</v>
      </c>
      <c r="D9411" s="502" t="s">
        <v>22979</v>
      </c>
      <c r="E9411" s="191" t="s">
        <v>266</v>
      </c>
      <c r="F9411" s="46" t="s">
        <v>22980</v>
      </c>
      <c r="G9411" s="543" t="s">
        <v>22756</v>
      </c>
      <c r="H9411" s="662">
        <v>11390</v>
      </c>
      <c r="I9411" s="56">
        <v>45580</v>
      </c>
      <c r="J9411" s="199" t="s">
        <v>22978</v>
      </c>
      <c r="K9411" s="46"/>
      <c r="O9411" s="46" t="s">
        <v>19899</v>
      </c>
      <c r="P9411" s="46" t="s">
        <v>71</v>
      </c>
      <c r="Q9411" s="52" t="s">
        <v>93</v>
      </c>
      <c r="R9411" s="46" t="s">
        <v>272</v>
      </c>
    </row>
    <row r="9412" spans="2:18" ht="69" customHeight="1">
      <c r="B9412" s="231">
        <f t="shared" si="76"/>
        <v>6527</v>
      </c>
      <c r="C9412" s="191" t="s">
        <v>7189</v>
      </c>
      <c r="D9412" s="502" t="s">
        <v>17110</v>
      </c>
      <c r="E9412" s="191" t="s">
        <v>266</v>
      </c>
      <c r="F9412" s="283" t="s">
        <v>22981</v>
      </c>
      <c r="G9412" s="562" t="s">
        <v>22982</v>
      </c>
      <c r="H9412" s="563">
        <v>184</v>
      </c>
      <c r="I9412" s="284">
        <v>45590</v>
      </c>
      <c r="J9412" s="199" t="s">
        <v>22983</v>
      </c>
      <c r="K9412" s="46"/>
      <c r="O9412" s="46" t="s">
        <v>22530</v>
      </c>
      <c r="P9412" s="46" t="s">
        <v>65</v>
      </c>
      <c r="Q9412" s="52" t="s">
        <v>97</v>
      </c>
      <c r="R9412" s="46" t="s">
        <v>272</v>
      </c>
    </row>
    <row r="9413" spans="2:18" ht="69" customHeight="1">
      <c r="B9413" s="231">
        <f t="shared" si="76"/>
        <v>6528</v>
      </c>
      <c r="C9413" s="191" t="s">
        <v>11908</v>
      </c>
      <c r="D9413" s="502" t="s">
        <v>22984</v>
      </c>
      <c r="E9413" s="191" t="s">
        <v>266</v>
      </c>
      <c r="F9413" s="46" t="s">
        <v>22985</v>
      </c>
      <c r="G9413" s="273" t="s">
        <v>22986</v>
      </c>
      <c r="H9413" s="206">
        <v>184</v>
      </c>
      <c r="I9413" s="284">
        <v>45590</v>
      </c>
      <c r="J9413" s="199" t="s">
        <v>22983</v>
      </c>
      <c r="K9413" s="46"/>
      <c r="O9413" s="46" t="s">
        <v>22530</v>
      </c>
      <c r="P9413" s="46" t="s">
        <v>65</v>
      </c>
      <c r="Q9413" s="52" t="s">
        <v>103</v>
      </c>
      <c r="R9413" s="46" t="s">
        <v>272</v>
      </c>
    </row>
    <row r="9414" spans="2:18" ht="69" customHeight="1">
      <c r="B9414" s="231">
        <f t="shared" si="76"/>
        <v>6529</v>
      </c>
      <c r="C9414" s="191" t="s">
        <v>13435</v>
      </c>
      <c r="D9414" s="502" t="s">
        <v>22987</v>
      </c>
      <c r="E9414" s="191" t="s">
        <v>266</v>
      </c>
      <c r="F9414" s="46" t="s">
        <v>22988</v>
      </c>
      <c r="G9414" s="283" t="s">
        <v>22986</v>
      </c>
      <c r="H9414" s="553">
        <v>184</v>
      </c>
      <c r="I9414" s="284">
        <v>45590</v>
      </c>
      <c r="J9414" s="199" t="s">
        <v>22983</v>
      </c>
      <c r="K9414" s="46"/>
      <c r="O9414" s="46" t="s">
        <v>22530</v>
      </c>
      <c r="P9414" s="46" t="s">
        <v>65</v>
      </c>
      <c r="Q9414" s="52" t="s">
        <v>13</v>
      </c>
      <c r="R9414" s="46" t="s">
        <v>272</v>
      </c>
    </row>
    <row r="9415" spans="2:18" ht="69" customHeight="1">
      <c r="B9415" s="231">
        <f t="shared" si="76"/>
        <v>6530</v>
      </c>
      <c r="C9415" s="191" t="s">
        <v>581</v>
      </c>
      <c r="D9415" s="502" t="s">
        <v>21919</v>
      </c>
      <c r="E9415" s="191" t="s">
        <v>266</v>
      </c>
      <c r="F9415" s="46" t="s">
        <v>22989</v>
      </c>
      <c r="G9415" s="283" t="s">
        <v>22986</v>
      </c>
      <c r="H9415" s="534">
        <v>184</v>
      </c>
      <c r="I9415" s="284">
        <v>45590</v>
      </c>
      <c r="J9415" s="199" t="s">
        <v>22983</v>
      </c>
      <c r="K9415" s="46"/>
      <c r="O9415" s="46" t="s">
        <v>22530</v>
      </c>
      <c r="P9415" s="46" t="s">
        <v>65</v>
      </c>
      <c r="Q9415" s="52" t="s">
        <v>18</v>
      </c>
      <c r="R9415" s="46" t="s">
        <v>272</v>
      </c>
    </row>
    <row r="9416" spans="2:18" ht="69" customHeight="1">
      <c r="B9416" s="231">
        <f t="shared" si="76"/>
        <v>6531</v>
      </c>
      <c r="C9416" s="191" t="s">
        <v>8797</v>
      </c>
      <c r="D9416" s="502" t="s">
        <v>11957</v>
      </c>
      <c r="E9416" s="191" t="s">
        <v>266</v>
      </c>
      <c r="F9416" s="46" t="s">
        <v>22990</v>
      </c>
      <c r="G9416" s="283" t="s">
        <v>22986</v>
      </c>
      <c r="H9416" s="553">
        <v>184</v>
      </c>
      <c r="I9416" s="284">
        <v>45590</v>
      </c>
      <c r="J9416" s="199" t="s">
        <v>22983</v>
      </c>
      <c r="K9416" s="46"/>
      <c r="O9416" s="46" t="s">
        <v>22530</v>
      </c>
      <c r="P9416" s="46" t="s">
        <v>65</v>
      </c>
      <c r="Q9416" s="52" t="s">
        <v>110</v>
      </c>
      <c r="R9416" s="46" t="s">
        <v>272</v>
      </c>
    </row>
    <row r="9417" spans="2:18" ht="69" customHeight="1">
      <c r="B9417" s="231">
        <f t="shared" si="76"/>
        <v>6532</v>
      </c>
      <c r="C9417" s="191" t="s">
        <v>11933</v>
      </c>
      <c r="D9417" s="502" t="s">
        <v>22991</v>
      </c>
      <c r="E9417" s="191" t="s">
        <v>266</v>
      </c>
      <c r="F9417" s="46" t="s">
        <v>22992</v>
      </c>
      <c r="G9417" s="283" t="s">
        <v>22986</v>
      </c>
      <c r="H9417" s="553">
        <v>184</v>
      </c>
      <c r="I9417" s="284">
        <v>45590</v>
      </c>
      <c r="J9417" s="199" t="s">
        <v>22983</v>
      </c>
      <c r="K9417" s="46"/>
      <c r="O9417" s="46" t="s">
        <v>22530</v>
      </c>
      <c r="P9417" s="46" t="s">
        <v>65</v>
      </c>
      <c r="Q9417" s="52" t="s">
        <v>123</v>
      </c>
      <c r="R9417" s="46" t="s">
        <v>272</v>
      </c>
    </row>
    <row r="9418" spans="2:18" ht="69" customHeight="1">
      <c r="B9418" s="231">
        <f t="shared" si="76"/>
        <v>6533</v>
      </c>
      <c r="C9418" s="51" t="s">
        <v>10634</v>
      </c>
      <c r="D9418" s="502" t="s">
        <v>22993</v>
      </c>
      <c r="E9418" s="191" t="s">
        <v>266</v>
      </c>
      <c r="F9418" s="46" t="s">
        <v>22994</v>
      </c>
      <c r="G9418" s="283" t="s">
        <v>22986</v>
      </c>
      <c r="H9418" s="553">
        <v>184</v>
      </c>
      <c r="I9418" s="284">
        <v>45590</v>
      </c>
      <c r="J9418" s="199" t="s">
        <v>22983</v>
      </c>
      <c r="K9418" s="46"/>
      <c r="O9418" s="46" t="s">
        <v>22530</v>
      </c>
      <c r="P9418" s="46" t="s">
        <v>65</v>
      </c>
      <c r="Q9418" s="52" t="s">
        <v>93</v>
      </c>
      <c r="R9418" s="46" t="s">
        <v>272</v>
      </c>
    </row>
    <row r="9419" spans="2:18" ht="69" customHeight="1">
      <c r="B9419" s="231">
        <f t="shared" si="76"/>
        <v>6534</v>
      </c>
      <c r="C9419" s="191" t="s">
        <v>10639</v>
      </c>
      <c r="D9419" s="502" t="s">
        <v>22976</v>
      </c>
      <c r="E9419" s="191" t="s">
        <v>266</v>
      </c>
      <c r="F9419" s="46" t="s">
        <v>22995</v>
      </c>
      <c r="G9419" s="283" t="s">
        <v>22986</v>
      </c>
      <c r="H9419" s="553">
        <v>184</v>
      </c>
      <c r="I9419" s="284">
        <v>45590</v>
      </c>
      <c r="J9419" s="199" t="s">
        <v>22983</v>
      </c>
      <c r="K9419" s="46"/>
      <c r="O9419" s="46" t="s">
        <v>22530</v>
      </c>
      <c r="P9419" s="46" t="s">
        <v>65</v>
      </c>
      <c r="Q9419" s="52" t="s">
        <v>95</v>
      </c>
      <c r="R9419" s="46" t="s">
        <v>272</v>
      </c>
    </row>
    <row r="9420" spans="2:18" ht="69" customHeight="1">
      <c r="B9420" s="231">
        <f t="shared" ref="B9420:B9483" si="77">B9419+1</f>
        <v>6535</v>
      </c>
      <c r="C9420" s="191" t="s">
        <v>9215</v>
      </c>
      <c r="D9420" s="502" t="s">
        <v>22996</v>
      </c>
      <c r="E9420" s="191" t="s">
        <v>266</v>
      </c>
      <c r="F9420" s="46" t="s">
        <v>22997</v>
      </c>
      <c r="G9420" s="283" t="s">
        <v>22986</v>
      </c>
      <c r="H9420" s="553">
        <v>184</v>
      </c>
      <c r="I9420" s="284">
        <v>45590</v>
      </c>
      <c r="J9420" s="199" t="s">
        <v>22983</v>
      </c>
      <c r="K9420" s="46"/>
      <c r="O9420" s="46" t="s">
        <v>22530</v>
      </c>
      <c r="P9420" s="46" t="s">
        <v>65</v>
      </c>
      <c r="Q9420" s="52" t="s">
        <v>113</v>
      </c>
      <c r="R9420" s="46" t="s">
        <v>272</v>
      </c>
    </row>
    <row r="9421" spans="2:18" ht="69" customHeight="1">
      <c r="B9421" s="231">
        <f t="shared" si="77"/>
        <v>6536</v>
      </c>
      <c r="C9421" s="191" t="s">
        <v>5658</v>
      </c>
      <c r="D9421" s="502" t="s">
        <v>22998</v>
      </c>
      <c r="E9421" s="191" t="s">
        <v>266</v>
      </c>
      <c r="F9421" s="46" t="s">
        <v>22999</v>
      </c>
      <c r="G9421" s="283" t="s">
        <v>22986</v>
      </c>
      <c r="H9421" s="553">
        <v>184</v>
      </c>
      <c r="I9421" s="284">
        <v>45590</v>
      </c>
      <c r="J9421" s="199" t="s">
        <v>22983</v>
      </c>
      <c r="K9421" s="46"/>
      <c r="O9421" s="46" t="s">
        <v>22530</v>
      </c>
      <c r="P9421" s="46" t="s">
        <v>65</v>
      </c>
      <c r="Q9421" s="52" t="s">
        <v>66</v>
      </c>
      <c r="R9421" s="46" t="s">
        <v>272</v>
      </c>
    </row>
    <row r="9422" spans="2:18" ht="69" customHeight="1">
      <c r="B9422" s="231">
        <f t="shared" si="77"/>
        <v>6537</v>
      </c>
      <c r="C9422" s="191" t="s">
        <v>11618</v>
      </c>
      <c r="D9422" s="502" t="s">
        <v>23000</v>
      </c>
      <c r="E9422" s="191" t="s">
        <v>266</v>
      </c>
      <c r="F9422" s="46" t="s">
        <v>23001</v>
      </c>
      <c r="G9422" s="283" t="s">
        <v>22986</v>
      </c>
      <c r="H9422" s="553">
        <v>184</v>
      </c>
      <c r="I9422" s="284">
        <v>45590</v>
      </c>
      <c r="J9422" s="199" t="s">
        <v>22983</v>
      </c>
      <c r="K9422" s="46"/>
      <c r="O9422" s="46" t="s">
        <v>22530</v>
      </c>
      <c r="P9422" s="46" t="s">
        <v>65</v>
      </c>
      <c r="Q9422" s="52" t="s">
        <v>122</v>
      </c>
      <c r="R9422" s="46" t="s">
        <v>272</v>
      </c>
    </row>
    <row r="9423" spans="2:18" ht="69" customHeight="1">
      <c r="B9423" s="79">
        <f t="shared" si="77"/>
        <v>6538</v>
      </c>
      <c r="C9423" s="59" t="s">
        <v>11618</v>
      </c>
      <c r="D9423" s="498" t="s">
        <v>23002</v>
      </c>
      <c r="E9423" s="58" t="s">
        <v>23003</v>
      </c>
      <c r="F9423" s="58" t="s">
        <v>23004</v>
      </c>
      <c r="G9423" s="58" t="s">
        <v>23005</v>
      </c>
      <c r="H9423" s="546">
        <v>13704.55</v>
      </c>
      <c r="I9423" s="126">
        <v>45570</v>
      </c>
      <c r="J9423" s="73" t="s">
        <v>23006</v>
      </c>
      <c r="K9423" s="67"/>
      <c r="O9423" s="45" t="s">
        <v>14160</v>
      </c>
      <c r="P9423" s="45" t="s">
        <v>26</v>
      </c>
      <c r="Q9423" s="48" t="s">
        <v>122</v>
      </c>
      <c r="R9423" s="45" t="s">
        <v>272</v>
      </c>
    </row>
    <row r="9424" spans="2:18" ht="69" customHeight="1">
      <c r="B9424" s="79">
        <f t="shared" si="77"/>
        <v>6539</v>
      </c>
      <c r="C9424" s="59" t="s">
        <v>11618</v>
      </c>
      <c r="D9424" s="498" t="s">
        <v>23007</v>
      </c>
      <c r="E9424" s="58" t="s">
        <v>23003</v>
      </c>
      <c r="F9424" s="58" t="s">
        <v>23008</v>
      </c>
      <c r="G9424" s="58" t="s">
        <v>23005</v>
      </c>
      <c r="H9424" s="644">
        <v>340801.02</v>
      </c>
      <c r="I9424" s="126">
        <v>45570</v>
      </c>
      <c r="J9424" s="73" t="s">
        <v>23006</v>
      </c>
      <c r="K9424" s="67"/>
      <c r="O9424" s="45" t="s">
        <v>14160</v>
      </c>
      <c r="P9424" s="45" t="s">
        <v>26</v>
      </c>
      <c r="Q9424" s="48" t="s">
        <v>122</v>
      </c>
      <c r="R9424" s="45" t="s">
        <v>272</v>
      </c>
    </row>
    <row r="9425" spans="1:18" ht="69" customHeight="1">
      <c r="B9425" s="319">
        <f t="shared" si="77"/>
        <v>6540</v>
      </c>
      <c r="C9425" s="304" t="s">
        <v>10961</v>
      </c>
      <c r="D9425" s="303" t="s">
        <v>23009</v>
      </c>
      <c r="E9425" s="207" t="s">
        <v>266</v>
      </c>
      <c r="F9425" s="160" t="s">
        <v>23010</v>
      </c>
      <c r="G9425" s="160" t="s">
        <v>23011</v>
      </c>
      <c r="H9425" s="300">
        <v>169.92</v>
      </c>
      <c r="I9425" s="209">
        <v>45580</v>
      </c>
      <c r="J9425" s="316" t="s">
        <v>23012</v>
      </c>
      <c r="K9425" s="160"/>
      <c r="O9425" s="160" t="s">
        <v>17035</v>
      </c>
      <c r="P9425" s="160" t="s">
        <v>67</v>
      </c>
      <c r="Q9425" s="259" t="s">
        <v>96</v>
      </c>
      <c r="R9425" s="160" t="s">
        <v>272</v>
      </c>
    </row>
    <row r="9426" spans="1:18" ht="69" customHeight="1">
      <c r="B9426" s="79">
        <f t="shared" si="77"/>
        <v>6541</v>
      </c>
      <c r="C9426" s="178" t="s">
        <v>458</v>
      </c>
      <c r="D9426" s="498" t="s">
        <v>23013</v>
      </c>
      <c r="E9426" s="58" t="s">
        <v>18182</v>
      </c>
      <c r="F9426" s="58" t="s">
        <v>23014</v>
      </c>
      <c r="G9426" s="58" t="s">
        <v>23015</v>
      </c>
      <c r="H9426" s="546">
        <v>259146.86</v>
      </c>
      <c r="I9426" s="126">
        <v>45570</v>
      </c>
      <c r="J9426" s="73" t="s">
        <v>23016</v>
      </c>
      <c r="K9426" s="67"/>
      <c r="O9426" s="45" t="s">
        <v>23017</v>
      </c>
      <c r="P9426" s="45" t="s">
        <v>22</v>
      </c>
      <c r="Q9426" s="48" t="s">
        <v>117</v>
      </c>
      <c r="R9426" s="45" t="s">
        <v>272</v>
      </c>
    </row>
    <row r="9427" spans="1:18" ht="69" customHeight="1">
      <c r="B9427" s="79">
        <f t="shared" si="77"/>
        <v>6542</v>
      </c>
      <c r="C9427" s="178" t="s">
        <v>657</v>
      </c>
      <c r="D9427" s="498" t="s">
        <v>12000</v>
      </c>
      <c r="E9427" s="58" t="s">
        <v>18182</v>
      </c>
      <c r="F9427" s="58" t="s">
        <v>23018</v>
      </c>
      <c r="G9427" s="58" t="s">
        <v>23015</v>
      </c>
      <c r="H9427" s="546">
        <v>259146.86</v>
      </c>
      <c r="I9427" s="126">
        <v>45570</v>
      </c>
      <c r="J9427" s="73" t="s">
        <v>23016</v>
      </c>
      <c r="K9427" s="67"/>
      <c r="O9427" s="45" t="s">
        <v>23017</v>
      </c>
      <c r="P9427" s="45" t="s">
        <v>22</v>
      </c>
      <c r="Q9427" s="48" t="s">
        <v>111</v>
      </c>
      <c r="R9427" s="45" t="s">
        <v>272</v>
      </c>
    </row>
    <row r="9428" spans="1:18" ht="69" customHeight="1">
      <c r="B9428" s="79">
        <f t="shared" si="77"/>
        <v>6543</v>
      </c>
      <c r="C9428" s="59" t="s">
        <v>3667</v>
      </c>
      <c r="D9428" s="498" t="s">
        <v>23019</v>
      </c>
      <c r="E9428" s="58" t="s">
        <v>18182</v>
      </c>
      <c r="F9428" s="58" t="s">
        <v>23020</v>
      </c>
      <c r="G9428" s="58" t="s">
        <v>23015</v>
      </c>
      <c r="H9428" s="546">
        <v>259146.86</v>
      </c>
      <c r="I9428" s="126">
        <v>45570</v>
      </c>
      <c r="J9428" s="73" t="s">
        <v>23021</v>
      </c>
      <c r="K9428" s="67"/>
      <c r="O9428" s="45" t="s">
        <v>23017</v>
      </c>
      <c r="P9428" s="45" t="s">
        <v>22</v>
      </c>
      <c r="Q9428" s="48" t="s">
        <v>68</v>
      </c>
      <c r="R9428" s="45" t="s">
        <v>272</v>
      </c>
    </row>
    <row r="9429" spans="1:18" ht="69" customHeight="1">
      <c r="B9429" s="79">
        <f t="shared" si="77"/>
        <v>6544</v>
      </c>
      <c r="C9429" s="59" t="s">
        <v>3667</v>
      </c>
      <c r="D9429" s="498" t="s">
        <v>23022</v>
      </c>
      <c r="E9429" s="58" t="s">
        <v>18182</v>
      </c>
      <c r="F9429" s="58" t="s">
        <v>23023</v>
      </c>
      <c r="G9429" s="58" t="s">
        <v>23015</v>
      </c>
      <c r="H9429" s="546">
        <v>259146.86</v>
      </c>
      <c r="I9429" s="126">
        <v>45570</v>
      </c>
      <c r="J9429" s="73" t="s">
        <v>23021</v>
      </c>
      <c r="K9429" s="67"/>
      <c r="O9429" s="45" t="s">
        <v>23017</v>
      </c>
      <c r="P9429" s="45" t="s">
        <v>22</v>
      </c>
      <c r="Q9429" s="48" t="s">
        <v>70</v>
      </c>
      <c r="R9429" s="45" t="s">
        <v>272</v>
      </c>
    </row>
    <row r="9430" spans="1:18" ht="69" customHeight="1">
      <c r="B9430" s="79">
        <f t="shared" si="77"/>
        <v>6545</v>
      </c>
      <c r="C9430" s="178" t="s">
        <v>6888</v>
      </c>
      <c r="D9430" s="498" t="s">
        <v>23024</v>
      </c>
      <c r="E9430" s="58" t="s">
        <v>18182</v>
      </c>
      <c r="F9430" s="58" t="s">
        <v>23025</v>
      </c>
      <c r="G9430" s="58" t="s">
        <v>23015</v>
      </c>
      <c r="H9430" s="546">
        <v>259146.86</v>
      </c>
      <c r="I9430" s="126">
        <v>45580</v>
      </c>
      <c r="J9430" s="73" t="s">
        <v>23021</v>
      </c>
      <c r="K9430" s="67"/>
      <c r="O9430" s="45" t="s">
        <v>23017</v>
      </c>
      <c r="P9430" s="45" t="s">
        <v>22</v>
      </c>
      <c r="Q9430" s="48" t="s">
        <v>84</v>
      </c>
      <c r="R9430" s="45" t="s">
        <v>272</v>
      </c>
    </row>
    <row r="9431" spans="1:18" ht="69" customHeight="1">
      <c r="B9431" s="79">
        <f t="shared" si="77"/>
        <v>6546</v>
      </c>
      <c r="C9431" s="59" t="s">
        <v>3667</v>
      </c>
      <c r="D9431" s="489" t="s">
        <v>23026</v>
      </c>
      <c r="E9431" s="45" t="s">
        <v>18182</v>
      </c>
      <c r="F9431" s="45" t="s">
        <v>23027</v>
      </c>
      <c r="G9431" s="45" t="s">
        <v>23015</v>
      </c>
      <c r="H9431" s="198">
        <v>86615.06</v>
      </c>
      <c r="I9431" s="47">
        <v>45570</v>
      </c>
      <c r="J9431" s="73" t="s">
        <v>23021</v>
      </c>
      <c r="K9431" s="67"/>
      <c r="O9431" s="45" t="s">
        <v>23017</v>
      </c>
      <c r="P9431" s="45" t="s">
        <v>22</v>
      </c>
      <c r="Q9431" s="48" t="s">
        <v>93</v>
      </c>
      <c r="R9431" s="45" t="s">
        <v>272</v>
      </c>
    </row>
    <row r="9432" spans="1:18" ht="69" customHeight="1">
      <c r="B9432" s="79">
        <f t="shared" si="77"/>
        <v>6547</v>
      </c>
      <c r="C9432" s="59" t="s">
        <v>3667</v>
      </c>
      <c r="D9432" s="489" t="s">
        <v>23028</v>
      </c>
      <c r="E9432" s="45" t="s">
        <v>18182</v>
      </c>
      <c r="F9432" s="45" t="s">
        <v>23029</v>
      </c>
      <c r="G9432" s="45" t="s">
        <v>23015</v>
      </c>
      <c r="H9432" s="198">
        <v>33518.82</v>
      </c>
      <c r="I9432" s="47">
        <v>45570</v>
      </c>
      <c r="J9432" s="73" t="s">
        <v>23021</v>
      </c>
      <c r="K9432" s="67"/>
      <c r="O9432" s="45" t="s">
        <v>23017</v>
      </c>
      <c r="P9432" s="45" t="s">
        <v>22</v>
      </c>
      <c r="Q9432" s="48" t="s">
        <v>93</v>
      </c>
      <c r="R9432" s="45" t="s">
        <v>272</v>
      </c>
    </row>
    <row r="9433" spans="1:18" ht="69" customHeight="1">
      <c r="B9433" s="79">
        <f t="shared" si="77"/>
        <v>6548</v>
      </c>
      <c r="C9433" s="59" t="s">
        <v>3667</v>
      </c>
      <c r="D9433" s="489" t="s">
        <v>23030</v>
      </c>
      <c r="E9433" s="45" t="s">
        <v>18182</v>
      </c>
      <c r="F9433" s="45" t="s">
        <v>23031</v>
      </c>
      <c r="G9433" s="45" t="s">
        <v>23015</v>
      </c>
      <c r="H9433" s="198">
        <v>86615.06</v>
      </c>
      <c r="I9433" s="47">
        <v>45570</v>
      </c>
      <c r="J9433" s="73" t="s">
        <v>23021</v>
      </c>
      <c r="K9433" s="67"/>
      <c r="O9433" s="45" t="s">
        <v>23017</v>
      </c>
      <c r="P9433" s="45" t="s">
        <v>22</v>
      </c>
      <c r="Q9433" s="48" t="s">
        <v>95</v>
      </c>
      <c r="R9433" s="45" t="s">
        <v>272</v>
      </c>
    </row>
    <row r="9434" spans="1:18" ht="69" customHeight="1">
      <c r="B9434" s="79">
        <f t="shared" si="77"/>
        <v>6549</v>
      </c>
      <c r="C9434" s="59" t="s">
        <v>3667</v>
      </c>
      <c r="D9434" s="489" t="s">
        <v>23032</v>
      </c>
      <c r="E9434" s="45" t="s">
        <v>18182</v>
      </c>
      <c r="F9434" s="45" t="s">
        <v>23033</v>
      </c>
      <c r="G9434" s="45" t="s">
        <v>23015</v>
      </c>
      <c r="H9434" s="198">
        <v>33518.82</v>
      </c>
      <c r="I9434" s="47">
        <v>45570</v>
      </c>
      <c r="J9434" s="73" t="s">
        <v>23021</v>
      </c>
      <c r="K9434" s="67"/>
      <c r="O9434" s="45" t="s">
        <v>23017</v>
      </c>
      <c r="P9434" s="45" t="s">
        <v>22</v>
      </c>
      <c r="Q9434" s="48" t="s">
        <v>95</v>
      </c>
      <c r="R9434" s="45" t="s">
        <v>272</v>
      </c>
    </row>
    <row r="9435" spans="1:18" ht="69" customHeight="1">
      <c r="B9435" s="79">
        <f t="shared" si="77"/>
        <v>6550</v>
      </c>
      <c r="C9435" s="59" t="s">
        <v>3667</v>
      </c>
      <c r="D9435" s="498" t="s">
        <v>23034</v>
      </c>
      <c r="E9435" s="58" t="s">
        <v>18182</v>
      </c>
      <c r="F9435" s="58" t="s">
        <v>23035</v>
      </c>
      <c r="G9435" s="58" t="s">
        <v>23015</v>
      </c>
      <c r="H9435" s="546">
        <v>259146.86</v>
      </c>
      <c r="I9435" s="126">
        <v>45570</v>
      </c>
      <c r="J9435" s="73" t="s">
        <v>23021</v>
      </c>
      <c r="K9435" s="67"/>
      <c r="O9435" s="45" t="s">
        <v>23017</v>
      </c>
      <c r="P9435" s="45" t="s">
        <v>22</v>
      </c>
      <c r="Q9435" s="48" t="s">
        <v>66</v>
      </c>
      <c r="R9435" s="45" t="s">
        <v>272</v>
      </c>
    </row>
    <row r="9436" spans="1:18" ht="69" customHeight="1">
      <c r="A9436" s="170"/>
      <c r="B9436" s="79">
        <f t="shared" si="77"/>
        <v>6551</v>
      </c>
      <c r="C9436" s="59" t="s">
        <v>3667</v>
      </c>
      <c r="D9436" s="498" t="s">
        <v>23036</v>
      </c>
      <c r="E9436" s="58" t="s">
        <v>18182</v>
      </c>
      <c r="F9436" s="58" t="s">
        <v>23037</v>
      </c>
      <c r="G9436" s="58" t="s">
        <v>23015</v>
      </c>
      <c r="H9436" s="546">
        <v>259146.86</v>
      </c>
      <c r="I9436" s="126">
        <v>45570</v>
      </c>
      <c r="J9436" s="73" t="s">
        <v>23021</v>
      </c>
      <c r="K9436" s="67"/>
      <c r="O9436" s="45" t="s">
        <v>23017</v>
      </c>
      <c r="P9436" s="45" t="s">
        <v>22</v>
      </c>
      <c r="Q9436" s="48" t="s">
        <v>86</v>
      </c>
      <c r="R9436" s="45" t="s">
        <v>272</v>
      </c>
    </row>
    <row r="9437" spans="1:18" ht="69" customHeight="1">
      <c r="B9437" s="79">
        <f t="shared" si="77"/>
        <v>6552</v>
      </c>
      <c r="C9437" s="59" t="s">
        <v>458</v>
      </c>
      <c r="D9437" s="545" t="s">
        <v>23038</v>
      </c>
      <c r="E9437" s="59" t="s">
        <v>22656</v>
      </c>
      <c r="F9437" s="45" t="s">
        <v>23039</v>
      </c>
      <c r="G9437" s="45" t="s">
        <v>23040</v>
      </c>
      <c r="H9437" s="546">
        <v>17217.349999999999</v>
      </c>
      <c r="I9437" s="126">
        <v>45570</v>
      </c>
      <c r="J9437" s="73" t="s">
        <v>23041</v>
      </c>
      <c r="K9437" s="243"/>
      <c r="O9437" s="45" t="s">
        <v>1061</v>
      </c>
      <c r="P9437" s="45" t="s">
        <v>36</v>
      </c>
      <c r="Q9437" s="48" t="s">
        <v>90</v>
      </c>
      <c r="R9437" s="45" t="s">
        <v>272</v>
      </c>
    </row>
    <row r="9438" spans="1:18" ht="69" customHeight="1">
      <c r="B9438" s="79">
        <f t="shared" si="77"/>
        <v>6553</v>
      </c>
      <c r="C9438" s="59" t="s">
        <v>309</v>
      </c>
      <c r="D9438" s="581" t="s">
        <v>21897</v>
      </c>
      <c r="E9438" s="59" t="s">
        <v>22656</v>
      </c>
      <c r="F9438" s="45" t="s">
        <v>23042</v>
      </c>
      <c r="G9438" s="45" t="s">
        <v>23040</v>
      </c>
      <c r="H9438" s="546">
        <v>17217.349999999999</v>
      </c>
      <c r="I9438" s="126">
        <v>45570</v>
      </c>
      <c r="J9438" s="73"/>
      <c r="K9438" s="115"/>
      <c r="M9438" s="98"/>
      <c r="N9438" s="45"/>
      <c r="O9438" s="45" t="s">
        <v>1061</v>
      </c>
      <c r="P9438" s="45" t="s">
        <v>36</v>
      </c>
      <c r="Q9438" s="48" t="s">
        <v>15</v>
      </c>
      <c r="R9438" s="45" t="s">
        <v>272</v>
      </c>
    </row>
    <row r="9439" spans="1:18" ht="69" customHeight="1">
      <c r="B9439" s="79">
        <f t="shared" si="77"/>
        <v>6554</v>
      </c>
      <c r="C9439" s="59" t="s">
        <v>3667</v>
      </c>
      <c r="D9439" s="581" t="s">
        <v>23043</v>
      </c>
      <c r="E9439" s="59" t="s">
        <v>22656</v>
      </c>
      <c r="F9439" s="45" t="s">
        <v>23044</v>
      </c>
      <c r="G9439" s="45" t="s">
        <v>23040</v>
      </c>
      <c r="H9439" s="546">
        <v>22038.2</v>
      </c>
      <c r="I9439" s="126">
        <v>45570</v>
      </c>
      <c r="J9439" s="73" t="s">
        <v>23041</v>
      </c>
      <c r="K9439" s="115"/>
      <c r="M9439" s="98"/>
      <c r="N9439" s="45"/>
      <c r="O9439" s="45" t="s">
        <v>1061</v>
      </c>
      <c r="P9439" s="45" t="s">
        <v>36</v>
      </c>
      <c r="Q9439" s="48" t="s">
        <v>49</v>
      </c>
      <c r="R9439" s="45" t="s">
        <v>272</v>
      </c>
    </row>
    <row r="9440" spans="1:18" ht="69" customHeight="1">
      <c r="B9440" s="79">
        <f t="shared" si="77"/>
        <v>6555</v>
      </c>
      <c r="C9440" s="59" t="s">
        <v>657</v>
      </c>
      <c r="D9440" s="581" t="s">
        <v>12002</v>
      </c>
      <c r="E9440" s="59" t="s">
        <v>22656</v>
      </c>
      <c r="F9440" s="45" t="s">
        <v>23045</v>
      </c>
      <c r="G9440" s="45" t="s">
        <v>23040</v>
      </c>
      <c r="H9440" s="546">
        <v>12396.49</v>
      </c>
      <c r="I9440" s="126">
        <v>45570</v>
      </c>
      <c r="J9440" s="73" t="s">
        <v>23041</v>
      </c>
      <c r="K9440" s="115"/>
      <c r="M9440" s="98"/>
      <c r="N9440" s="45"/>
      <c r="O9440" s="45" t="s">
        <v>1061</v>
      </c>
      <c r="P9440" s="45" t="s">
        <v>36</v>
      </c>
      <c r="Q9440" s="48" t="s">
        <v>99</v>
      </c>
      <c r="R9440" s="45" t="s">
        <v>272</v>
      </c>
    </row>
    <row r="9441" spans="2:18" ht="69" customHeight="1">
      <c r="B9441" s="319">
        <f t="shared" si="77"/>
        <v>6556</v>
      </c>
      <c r="C9441" s="207" t="s">
        <v>10961</v>
      </c>
      <c r="D9441" s="518" t="s">
        <v>23046</v>
      </c>
      <c r="E9441" s="160" t="s">
        <v>23047</v>
      </c>
      <c r="F9441" s="160" t="s">
        <v>23048</v>
      </c>
      <c r="G9441" s="338" t="s">
        <v>23049</v>
      </c>
      <c r="H9441" s="300">
        <v>1390.8</v>
      </c>
      <c r="I9441" s="209">
        <v>45570</v>
      </c>
      <c r="J9441" s="316" t="s">
        <v>23050</v>
      </c>
      <c r="K9441" s="160"/>
      <c r="O9441" s="160" t="s">
        <v>23051</v>
      </c>
      <c r="P9441" s="160" t="s">
        <v>67</v>
      </c>
      <c r="Q9441" s="259" t="s">
        <v>96</v>
      </c>
      <c r="R9441" s="160" t="s">
        <v>272</v>
      </c>
    </row>
    <row r="9442" spans="2:18" ht="69" customHeight="1">
      <c r="B9442" s="232">
        <f t="shared" si="77"/>
        <v>6557</v>
      </c>
      <c r="C9442" s="59" t="s">
        <v>11933</v>
      </c>
      <c r="D9442" s="498" t="s">
        <v>23052</v>
      </c>
      <c r="E9442" s="58" t="s">
        <v>23053</v>
      </c>
      <c r="F9442" s="45" t="s">
        <v>23054</v>
      </c>
      <c r="G9442" s="58" t="s">
        <v>23055</v>
      </c>
      <c r="H9442" s="546">
        <v>13704.55</v>
      </c>
      <c r="I9442" s="126">
        <v>45570</v>
      </c>
      <c r="J9442" s="73" t="s">
        <v>23056</v>
      </c>
      <c r="K9442" s="67"/>
      <c r="O9442" s="45" t="s">
        <v>14160</v>
      </c>
      <c r="P9442" s="45" t="s">
        <v>26</v>
      </c>
      <c r="Q9442" s="48" t="s">
        <v>123</v>
      </c>
      <c r="R9442" s="45" t="s">
        <v>272</v>
      </c>
    </row>
    <row r="9443" spans="2:18" ht="69" customHeight="1">
      <c r="B9443" s="236">
        <f t="shared" si="77"/>
        <v>6558</v>
      </c>
      <c r="C9443" s="638" t="s">
        <v>11933</v>
      </c>
      <c r="D9443" s="656" t="s">
        <v>23057</v>
      </c>
      <c r="E9443" s="74" t="s">
        <v>23053</v>
      </c>
      <c r="F9443" s="61" t="s">
        <v>23058</v>
      </c>
      <c r="G9443" s="74" t="s">
        <v>23059</v>
      </c>
      <c r="H9443" s="644">
        <v>428383.08</v>
      </c>
      <c r="I9443" s="252">
        <v>45570</v>
      </c>
      <c r="J9443" s="417" t="s">
        <v>23056</v>
      </c>
      <c r="K9443" s="241"/>
      <c r="O9443" s="45" t="s">
        <v>14160</v>
      </c>
      <c r="P9443" s="45" t="s">
        <v>26</v>
      </c>
      <c r="Q9443" s="48" t="s">
        <v>123</v>
      </c>
      <c r="R9443" s="45" t="s">
        <v>272</v>
      </c>
    </row>
    <row r="9444" spans="2:18" ht="69" customHeight="1">
      <c r="B9444" s="79">
        <f t="shared" si="77"/>
        <v>6559</v>
      </c>
      <c r="C9444" s="59" t="s">
        <v>9004</v>
      </c>
      <c r="D9444" s="498" t="s">
        <v>12004</v>
      </c>
      <c r="E9444" s="178" t="s">
        <v>23060</v>
      </c>
      <c r="F9444" s="58" t="s">
        <v>23061</v>
      </c>
      <c r="G9444" s="58" t="s">
        <v>23062</v>
      </c>
      <c r="H9444" s="546">
        <v>12000</v>
      </c>
      <c r="I9444" s="126">
        <v>45570</v>
      </c>
      <c r="J9444" s="73" t="s">
        <v>23063</v>
      </c>
      <c r="K9444" s="67"/>
      <c r="O9444" s="62" t="s">
        <v>6918</v>
      </c>
      <c r="P9444" s="58" t="s">
        <v>44</v>
      </c>
      <c r="Q9444" s="48" t="s">
        <v>111</v>
      </c>
      <c r="R9444" s="45" t="s">
        <v>272</v>
      </c>
    </row>
    <row r="9445" spans="2:18" ht="69" customHeight="1">
      <c r="B9445" s="454">
        <f t="shared" si="77"/>
        <v>6560</v>
      </c>
      <c r="C9445" s="993" t="s">
        <v>10205</v>
      </c>
      <c r="D9445" s="994" t="s">
        <v>12006</v>
      </c>
      <c r="E9445" s="995" t="s">
        <v>266</v>
      </c>
      <c r="F9445" s="996" t="s">
        <v>23064</v>
      </c>
      <c r="G9445" s="997" t="s">
        <v>23065</v>
      </c>
      <c r="H9445" s="998">
        <v>15000</v>
      </c>
      <c r="I9445" s="999"/>
      <c r="J9445" s="1000" t="s">
        <v>23066</v>
      </c>
      <c r="K9445" s="1001" t="s">
        <v>16172</v>
      </c>
      <c r="O9445" s="48" t="s">
        <v>20856</v>
      </c>
      <c r="P9445" s="45"/>
      <c r="Q9445" s="45"/>
      <c r="R9445" s="45" t="s">
        <v>272</v>
      </c>
    </row>
    <row r="9446" spans="2:18" ht="69" customHeight="1">
      <c r="B9446" s="231">
        <f t="shared" si="77"/>
        <v>6561</v>
      </c>
      <c r="C9446" s="49" t="s">
        <v>458</v>
      </c>
      <c r="D9446" s="282" t="s">
        <v>21536</v>
      </c>
      <c r="E9446" s="46" t="s">
        <v>266</v>
      </c>
      <c r="F9446" s="87" t="s">
        <v>23067</v>
      </c>
      <c r="G9446" s="46" t="s">
        <v>23068</v>
      </c>
      <c r="H9446" s="206">
        <v>8122</v>
      </c>
      <c r="I9446" s="56">
        <v>45621</v>
      </c>
      <c r="J9446" s="199" t="s">
        <v>23069</v>
      </c>
      <c r="K9446" s="46"/>
      <c r="O9446" s="46" t="s">
        <v>7793</v>
      </c>
      <c r="P9446" s="46" t="s">
        <v>65</v>
      </c>
      <c r="Q9446" s="52" t="s">
        <v>88</v>
      </c>
      <c r="R9446" s="46" t="s">
        <v>272</v>
      </c>
    </row>
    <row r="9447" spans="2:18" ht="69" customHeight="1">
      <c r="B9447" s="231">
        <f t="shared" si="77"/>
        <v>6562</v>
      </c>
      <c r="C9447" s="49" t="s">
        <v>13562</v>
      </c>
      <c r="D9447" s="282" t="s">
        <v>23070</v>
      </c>
      <c r="E9447" s="46" t="s">
        <v>23047</v>
      </c>
      <c r="F9447" s="87" t="s">
        <v>23071</v>
      </c>
      <c r="G9447" s="46" t="s">
        <v>23072</v>
      </c>
      <c r="H9447" s="206">
        <v>21488.38</v>
      </c>
      <c r="I9447" s="56">
        <v>45601</v>
      </c>
      <c r="J9447" s="199" t="s">
        <v>23073</v>
      </c>
      <c r="K9447" s="46"/>
      <c r="O9447" s="46" t="s">
        <v>17250</v>
      </c>
      <c r="P9447" s="46" t="s">
        <v>65</v>
      </c>
      <c r="Q9447" s="52" t="s">
        <v>88</v>
      </c>
      <c r="R9447" s="46" t="s">
        <v>272</v>
      </c>
    </row>
    <row r="9448" spans="2:18" ht="69" customHeight="1">
      <c r="B9448" s="79">
        <f t="shared" si="77"/>
        <v>6563</v>
      </c>
      <c r="C9448" s="59" t="s">
        <v>3667</v>
      </c>
      <c r="D9448" s="498" t="s">
        <v>23074</v>
      </c>
      <c r="E9448" s="58" t="s">
        <v>16011</v>
      </c>
      <c r="F9448" s="45" t="s">
        <v>23075</v>
      </c>
      <c r="G9448" s="58" t="s">
        <v>23076</v>
      </c>
      <c r="H9448" s="546">
        <v>3862.63</v>
      </c>
      <c r="I9448" s="126">
        <v>45580</v>
      </c>
      <c r="J9448" s="65" t="s">
        <v>23077</v>
      </c>
      <c r="K9448" s="67"/>
      <c r="O9448" s="45" t="s">
        <v>150</v>
      </c>
      <c r="P9448" s="45" t="s">
        <v>51</v>
      </c>
      <c r="Q9448" s="48" t="s">
        <v>95</v>
      </c>
      <c r="R9448" s="45" t="s">
        <v>272</v>
      </c>
    </row>
    <row r="9449" spans="2:18" ht="69" customHeight="1">
      <c r="B9449" s="79">
        <f t="shared" si="77"/>
        <v>6564</v>
      </c>
      <c r="C9449" s="178" t="s">
        <v>657</v>
      </c>
      <c r="D9449" s="498" t="s">
        <v>12008</v>
      </c>
      <c r="E9449" s="58" t="s">
        <v>16011</v>
      </c>
      <c r="F9449" s="45" t="s">
        <v>23078</v>
      </c>
      <c r="G9449" s="58" t="s">
        <v>23076</v>
      </c>
      <c r="H9449" s="546">
        <v>3862.63</v>
      </c>
      <c r="I9449" s="126">
        <v>45580</v>
      </c>
      <c r="J9449" s="65" t="s">
        <v>23077</v>
      </c>
      <c r="K9449" s="67"/>
      <c r="O9449" s="45" t="s">
        <v>150</v>
      </c>
      <c r="P9449" s="45" t="s">
        <v>51</v>
      </c>
      <c r="Q9449" s="48" t="s">
        <v>110</v>
      </c>
      <c r="R9449" s="45" t="s">
        <v>272</v>
      </c>
    </row>
    <row r="9450" spans="2:18" ht="69" customHeight="1">
      <c r="B9450" s="79">
        <f t="shared" si="77"/>
        <v>6565</v>
      </c>
      <c r="C9450" s="178" t="s">
        <v>3667</v>
      </c>
      <c r="D9450" s="551" t="s">
        <v>23079</v>
      </c>
      <c r="E9450" s="58" t="s">
        <v>16011</v>
      </c>
      <c r="F9450" s="58" t="s">
        <v>23080</v>
      </c>
      <c r="G9450" s="58" t="s">
        <v>23076</v>
      </c>
      <c r="H9450" s="552">
        <v>2382.5100000000002</v>
      </c>
      <c r="I9450" s="66">
        <v>45580</v>
      </c>
      <c r="J9450" s="65" t="s">
        <v>23081</v>
      </c>
      <c r="K9450" s="58"/>
      <c r="L9450" s="99"/>
      <c r="O9450" s="58" t="s">
        <v>150</v>
      </c>
      <c r="P9450" s="58" t="s">
        <v>51</v>
      </c>
      <c r="Q9450" s="62" t="s">
        <v>78</v>
      </c>
      <c r="R9450" s="58" t="s">
        <v>272</v>
      </c>
    </row>
    <row r="9451" spans="2:18" ht="69" customHeight="1">
      <c r="B9451" s="79">
        <f t="shared" si="77"/>
        <v>6566</v>
      </c>
      <c r="C9451" s="178" t="s">
        <v>3667</v>
      </c>
      <c r="D9451" s="551" t="s">
        <v>23082</v>
      </c>
      <c r="E9451" s="58" t="s">
        <v>16011</v>
      </c>
      <c r="F9451" s="58" t="s">
        <v>23083</v>
      </c>
      <c r="G9451" s="58" t="s">
        <v>23076</v>
      </c>
      <c r="H9451" s="552">
        <v>2382.5100000000002</v>
      </c>
      <c r="I9451" s="66">
        <v>45580</v>
      </c>
      <c r="J9451" s="65" t="s">
        <v>23081</v>
      </c>
      <c r="K9451" s="58"/>
      <c r="L9451" s="99"/>
      <c r="M9451" s="183"/>
      <c r="N9451" s="183"/>
      <c r="O9451" s="58" t="s">
        <v>150</v>
      </c>
      <c r="P9451" s="58" t="s">
        <v>51</v>
      </c>
      <c r="Q9451" s="62" t="s">
        <v>93</v>
      </c>
      <c r="R9451" s="45" t="s">
        <v>272</v>
      </c>
    </row>
    <row r="9452" spans="2:18" ht="69" customHeight="1">
      <c r="B9452" s="79">
        <f t="shared" si="77"/>
        <v>6567</v>
      </c>
      <c r="C9452" s="178" t="s">
        <v>3667</v>
      </c>
      <c r="D9452" s="551" t="s">
        <v>23084</v>
      </c>
      <c r="E9452" s="58" t="s">
        <v>16011</v>
      </c>
      <c r="F9452" s="45" t="s">
        <v>23085</v>
      </c>
      <c r="G9452" s="58" t="s">
        <v>23076</v>
      </c>
      <c r="H9452" s="552">
        <v>2382.5100000000002</v>
      </c>
      <c r="I9452" s="66">
        <v>45580</v>
      </c>
      <c r="J9452" s="65" t="s">
        <v>23081</v>
      </c>
      <c r="K9452" s="58"/>
      <c r="L9452" s="99"/>
      <c r="M9452" s="183"/>
      <c r="N9452" s="183"/>
      <c r="O9452" s="58" t="s">
        <v>150</v>
      </c>
      <c r="P9452" s="58" t="s">
        <v>51</v>
      </c>
      <c r="Q9452" s="62" t="s">
        <v>95</v>
      </c>
      <c r="R9452" s="45" t="s">
        <v>272</v>
      </c>
    </row>
    <row r="9453" spans="2:18" ht="69" customHeight="1">
      <c r="B9453" s="79">
        <f t="shared" si="77"/>
        <v>6568</v>
      </c>
      <c r="C9453" s="178" t="s">
        <v>458</v>
      </c>
      <c r="D9453" s="551" t="s">
        <v>23086</v>
      </c>
      <c r="E9453" s="58" t="s">
        <v>16011</v>
      </c>
      <c r="F9453" s="58" t="s">
        <v>23087</v>
      </c>
      <c r="G9453" s="58" t="s">
        <v>23076</v>
      </c>
      <c r="H9453" s="552">
        <v>2382.5100000000002</v>
      </c>
      <c r="I9453" s="66">
        <v>45580</v>
      </c>
      <c r="J9453" s="65" t="s">
        <v>23081</v>
      </c>
      <c r="K9453" s="58"/>
      <c r="L9453" s="99"/>
      <c r="M9453" s="183"/>
      <c r="N9453" s="183"/>
      <c r="O9453" s="58" t="s">
        <v>150</v>
      </c>
      <c r="P9453" s="58" t="s">
        <v>51</v>
      </c>
      <c r="Q9453" s="62" t="s">
        <v>100</v>
      </c>
      <c r="R9453" s="45" t="s">
        <v>272</v>
      </c>
    </row>
    <row r="9454" spans="2:18" ht="69" customHeight="1">
      <c r="B9454" s="79">
        <f t="shared" si="77"/>
        <v>6569</v>
      </c>
      <c r="C9454" s="178" t="s">
        <v>3667</v>
      </c>
      <c r="D9454" s="498" t="s">
        <v>23088</v>
      </c>
      <c r="E9454" s="58" t="s">
        <v>16011</v>
      </c>
      <c r="F9454" s="58" t="s">
        <v>23089</v>
      </c>
      <c r="G9454" s="58" t="s">
        <v>23090</v>
      </c>
      <c r="H9454" s="657">
        <v>29180</v>
      </c>
      <c r="I9454" s="66">
        <v>45580</v>
      </c>
      <c r="J9454" s="242" t="s">
        <v>23091</v>
      </c>
      <c r="K9454" s="570"/>
      <c r="O9454" s="58" t="s">
        <v>150</v>
      </c>
      <c r="P9454" s="58" t="s">
        <v>51</v>
      </c>
      <c r="Q9454" s="48" t="s">
        <v>93</v>
      </c>
      <c r="R9454" s="45" t="s">
        <v>272</v>
      </c>
    </row>
    <row r="9455" spans="2:18" ht="69" customHeight="1">
      <c r="B9455" s="79">
        <f t="shared" si="77"/>
        <v>6570</v>
      </c>
      <c r="C9455" s="178" t="s">
        <v>3667</v>
      </c>
      <c r="D9455" s="498" t="s">
        <v>23092</v>
      </c>
      <c r="E9455" s="58" t="s">
        <v>16011</v>
      </c>
      <c r="F9455" s="58" t="s">
        <v>23093</v>
      </c>
      <c r="G9455" s="58" t="s">
        <v>23090</v>
      </c>
      <c r="H9455" s="657">
        <v>29180</v>
      </c>
      <c r="I9455" s="66">
        <v>45580</v>
      </c>
      <c r="J9455" s="242" t="s">
        <v>23091</v>
      </c>
      <c r="K9455" s="67"/>
      <c r="O9455" s="58" t="s">
        <v>150</v>
      </c>
      <c r="P9455" s="58" t="s">
        <v>51</v>
      </c>
      <c r="Q9455" s="48" t="s">
        <v>95</v>
      </c>
      <c r="R9455" s="45" t="s">
        <v>272</v>
      </c>
    </row>
    <row r="9456" spans="2:18" ht="69" customHeight="1">
      <c r="B9456" s="79">
        <f t="shared" si="77"/>
        <v>6571</v>
      </c>
      <c r="C9456" s="178" t="s">
        <v>3667</v>
      </c>
      <c r="D9456" s="498" t="s">
        <v>23094</v>
      </c>
      <c r="E9456" s="58" t="s">
        <v>16011</v>
      </c>
      <c r="F9456" s="58" t="s">
        <v>23095</v>
      </c>
      <c r="G9456" s="58" t="s">
        <v>23096</v>
      </c>
      <c r="H9456" s="546">
        <v>12000</v>
      </c>
      <c r="I9456" s="66">
        <v>45580</v>
      </c>
      <c r="J9456" s="242" t="s">
        <v>23091</v>
      </c>
      <c r="K9456" s="67"/>
      <c r="O9456" s="58" t="s">
        <v>150</v>
      </c>
      <c r="P9456" s="58" t="s">
        <v>51</v>
      </c>
      <c r="Q9456" s="48" t="s">
        <v>74</v>
      </c>
      <c r="R9456" s="45" t="s">
        <v>272</v>
      </c>
    </row>
    <row r="9457" spans="1:18" ht="69" customHeight="1">
      <c r="B9457" s="79">
        <f t="shared" si="77"/>
        <v>6572</v>
      </c>
      <c r="C9457" s="178" t="s">
        <v>3667</v>
      </c>
      <c r="D9457" s="498" t="s">
        <v>23097</v>
      </c>
      <c r="E9457" s="58" t="s">
        <v>16011</v>
      </c>
      <c r="F9457" s="58" t="s">
        <v>23098</v>
      </c>
      <c r="G9457" s="58" t="s">
        <v>23096</v>
      </c>
      <c r="H9457" s="546">
        <v>12000</v>
      </c>
      <c r="I9457" s="66">
        <v>45580</v>
      </c>
      <c r="J9457" s="242" t="s">
        <v>23091</v>
      </c>
      <c r="K9457" s="67"/>
      <c r="O9457" s="58" t="s">
        <v>150</v>
      </c>
      <c r="P9457" s="58" t="s">
        <v>51</v>
      </c>
      <c r="Q9457" s="48" t="s">
        <v>76</v>
      </c>
      <c r="R9457" s="45" t="s">
        <v>272</v>
      </c>
    </row>
    <row r="9458" spans="1:18" ht="69" customHeight="1">
      <c r="B9458" s="79">
        <f t="shared" si="77"/>
        <v>6573</v>
      </c>
      <c r="C9458" s="178" t="s">
        <v>3667</v>
      </c>
      <c r="D9458" s="498" t="s">
        <v>23099</v>
      </c>
      <c r="E9458" s="58" t="s">
        <v>16011</v>
      </c>
      <c r="F9458" s="58" t="s">
        <v>23100</v>
      </c>
      <c r="G9458" s="58" t="s">
        <v>23101</v>
      </c>
      <c r="H9458" s="546">
        <v>2000</v>
      </c>
      <c r="I9458" s="66">
        <v>45580</v>
      </c>
      <c r="J9458" s="242" t="s">
        <v>23091</v>
      </c>
      <c r="K9458" s="67"/>
      <c r="O9458" s="58" t="s">
        <v>150</v>
      </c>
      <c r="P9458" s="58" t="s">
        <v>51</v>
      </c>
      <c r="Q9458" s="48" t="s">
        <v>74</v>
      </c>
      <c r="R9458" s="45" t="s">
        <v>272</v>
      </c>
    </row>
    <row r="9459" spans="1:18" ht="69" customHeight="1">
      <c r="B9459" s="79">
        <f t="shared" si="77"/>
        <v>6574</v>
      </c>
      <c r="C9459" s="178" t="s">
        <v>3667</v>
      </c>
      <c r="D9459" s="551" t="s">
        <v>23102</v>
      </c>
      <c r="E9459" s="58" t="s">
        <v>16011</v>
      </c>
      <c r="F9459" s="58" t="s">
        <v>23103</v>
      </c>
      <c r="G9459" s="58" t="s">
        <v>23101</v>
      </c>
      <c r="H9459" s="552">
        <v>2000</v>
      </c>
      <c r="I9459" s="66">
        <v>45580</v>
      </c>
      <c r="J9459" s="65" t="s">
        <v>23091</v>
      </c>
      <c r="K9459" s="58"/>
      <c r="O9459" s="58" t="s">
        <v>150</v>
      </c>
      <c r="P9459" s="58" t="s">
        <v>51</v>
      </c>
      <c r="Q9459" s="48" t="s">
        <v>76</v>
      </c>
      <c r="R9459" s="45" t="s">
        <v>272</v>
      </c>
    </row>
    <row r="9460" spans="1:18" ht="69" customHeight="1">
      <c r="B9460" s="231">
        <f t="shared" si="77"/>
        <v>6575</v>
      </c>
      <c r="C9460" s="191" t="s">
        <v>458</v>
      </c>
      <c r="D9460" s="502" t="s">
        <v>23104</v>
      </c>
      <c r="E9460" s="46" t="s">
        <v>23105</v>
      </c>
      <c r="F9460" s="46" t="s">
        <v>23106</v>
      </c>
      <c r="G9460" s="46" t="s">
        <v>23107</v>
      </c>
      <c r="H9460" s="534">
        <v>22958.12</v>
      </c>
      <c r="I9460" s="56">
        <v>45580</v>
      </c>
      <c r="J9460" s="199" t="s">
        <v>23108</v>
      </c>
      <c r="K9460" s="46"/>
      <c r="O9460" s="46" t="s">
        <v>1171</v>
      </c>
      <c r="P9460" s="46" t="s">
        <v>71</v>
      </c>
      <c r="Q9460" s="52" t="s">
        <v>122</v>
      </c>
      <c r="R9460" s="46" t="s">
        <v>272</v>
      </c>
    </row>
    <row r="9461" spans="1:18" ht="69" customHeight="1">
      <c r="B9461" s="231">
        <f t="shared" si="77"/>
        <v>6576</v>
      </c>
      <c r="C9461" s="191" t="s">
        <v>458</v>
      </c>
      <c r="D9461" s="502" t="s">
        <v>23109</v>
      </c>
      <c r="E9461" s="46" t="s">
        <v>23105</v>
      </c>
      <c r="F9461" s="46" t="s">
        <v>23110</v>
      </c>
      <c r="G9461" s="46" t="s">
        <v>23107</v>
      </c>
      <c r="H9461" s="534">
        <v>11103.89</v>
      </c>
      <c r="I9461" s="56">
        <v>45580</v>
      </c>
      <c r="J9461" s="199" t="s">
        <v>23108</v>
      </c>
      <c r="K9461" s="46"/>
      <c r="O9461" s="46" t="s">
        <v>1171</v>
      </c>
      <c r="P9461" s="46" t="s">
        <v>71</v>
      </c>
      <c r="Q9461" s="52" t="s">
        <v>122</v>
      </c>
      <c r="R9461" s="46" t="s">
        <v>272</v>
      </c>
    </row>
    <row r="9462" spans="1:18" ht="69" customHeight="1">
      <c r="B9462" s="231">
        <f t="shared" si="77"/>
        <v>6577</v>
      </c>
      <c r="C9462" s="191" t="s">
        <v>458</v>
      </c>
      <c r="D9462" s="502" t="s">
        <v>23111</v>
      </c>
      <c r="E9462" s="46" t="s">
        <v>23105</v>
      </c>
      <c r="F9462" s="46" t="s">
        <v>23112</v>
      </c>
      <c r="G9462" s="46" t="s">
        <v>23107</v>
      </c>
      <c r="H9462" s="534">
        <v>22958.12</v>
      </c>
      <c r="I9462" s="56">
        <v>45580</v>
      </c>
      <c r="J9462" s="199" t="s">
        <v>23108</v>
      </c>
      <c r="K9462" s="46"/>
      <c r="O9462" s="46" t="s">
        <v>1171</v>
      </c>
      <c r="P9462" s="46" t="s">
        <v>71</v>
      </c>
      <c r="Q9462" s="52" t="s">
        <v>88</v>
      </c>
      <c r="R9462" s="46" t="s">
        <v>272</v>
      </c>
    </row>
    <row r="9463" spans="1:18" ht="69" customHeight="1">
      <c r="B9463" s="231">
        <f t="shared" si="77"/>
        <v>6578</v>
      </c>
      <c r="C9463" s="191" t="s">
        <v>458</v>
      </c>
      <c r="D9463" s="502" t="s">
        <v>23113</v>
      </c>
      <c r="E9463" s="46" t="s">
        <v>23105</v>
      </c>
      <c r="F9463" s="46" t="s">
        <v>23114</v>
      </c>
      <c r="G9463" s="46" t="s">
        <v>23107</v>
      </c>
      <c r="H9463" s="534">
        <v>11103.89</v>
      </c>
      <c r="I9463" s="56">
        <v>45580</v>
      </c>
      <c r="J9463" s="199" t="s">
        <v>23108</v>
      </c>
      <c r="K9463" s="46"/>
      <c r="O9463" s="46" t="s">
        <v>1171</v>
      </c>
      <c r="P9463" s="46" t="s">
        <v>71</v>
      </c>
      <c r="Q9463" s="52" t="s">
        <v>123</v>
      </c>
      <c r="R9463" s="46" t="s">
        <v>272</v>
      </c>
    </row>
    <row r="9464" spans="1:18" ht="69" customHeight="1">
      <c r="B9464" s="239">
        <f t="shared" si="77"/>
        <v>6579</v>
      </c>
      <c r="C9464" s="59" t="s">
        <v>458</v>
      </c>
      <c r="D9464" s="489" t="s">
        <v>23115</v>
      </c>
      <c r="E9464" s="45" t="s">
        <v>23105</v>
      </c>
      <c r="F9464" s="45" t="s">
        <v>23116</v>
      </c>
      <c r="G9464" s="45" t="s">
        <v>23107</v>
      </c>
      <c r="H9464" s="198">
        <v>22958.12</v>
      </c>
      <c r="I9464" s="47">
        <v>45580</v>
      </c>
      <c r="J9464" s="73" t="s">
        <v>23108</v>
      </c>
      <c r="K9464" s="45"/>
      <c r="O9464" s="46" t="s">
        <v>1171</v>
      </c>
      <c r="P9464" s="46" t="s">
        <v>71</v>
      </c>
      <c r="Q9464" s="52" t="s">
        <v>123</v>
      </c>
      <c r="R9464" s="46" t="s">
        <v>272</v>
      </c>
    </row>
    <row r="9465" spans="1:18" ht="69" customHeight="1">
      <c r="B9465" s="239">
        <f t="shared" si="77"/>
        <v>6580</v>
      </c>
      <c r="C9465" s="59" t="s">
        <v>458</v>
      </c>
      <c r="D9465" s="489" t="s">
        <v>23117</v>
      </c>
      <c r="E9465" s="45" t="s">
        <v>23105</v>
      </c>
      <c r="F9465" s="45" t="s">
        <v>23118</v>
      </c>
      <c r="G9465" s="45" t="s">
        <v>23107</v>
      </c>
      <c r="H9465" s="198">
        <v>22958.12</v>
      </c>
      <c r="I9465" s="47">
        <v>45580</v>
      </c>
      <c r="J9465" s="73" t="s">
        <v>23108</v>
      </c>
      <c r="K9465" s="45" t="s">
        <v>10628</v>
      </c>
      <c r="O9465" s="46" t="s">
        <v>1171</v>
      </c>
      <c r="P9465" s="46" t="s">
        <v>71</v>
      </c>
      <c r="Q9465" s="52" t="s">
        <v>103</v>
      </c>
      <c r="R9465" s="46" t="s">
        <v>272</v>
      </c>
    </row>
    <row r="9466" spans="1:18" s="98" customFormat="1" ht="69" customHeight="1">
      <c r="A9466" s="169"/>
      <c r="B9466" s="239">
        <f t="shared" si="77"/>
        <v>6581</v>
      </c>
      <c r="C9466" s="48"/>
      <c r="D9466" s="489"/>
      <c r="E9466" s="45" t="s">
        <v>23105</v>
      </c>
      <c r="F9466" s="45" t="s">
        <v>23119</v>
      </c>
      <c r="G9466" s="45" t="s">
        <v>23107</v>
      </c>
      <c r="H9466" s="198">
        <v>20000</v>
      </c>
      <c r="I9466" s="47">
        <v>45580</v>
      </c>
      <c r="J9466" s="73" t="s">
        <v>23108</v>
      </c>
      <c r="K9466" s="45" t="s">
        <v>23120</v>
      </c>
      <c r="O9466" s="45" t="s">
        <v>1171</v>
      </c>
      <c r="P9466" s="45" t="s">
        <v>71</v>
      </c>
      <c r="Q9466" s="48" t="s">
        <v>104</v>
      </c>
      <c r="R9466" s="45" t="s">
        <v>272</v>
      </c>
    </row>
    <row r="9467" spans="1:18" ht="69" customHeight="1">
      <c r="B9467" s="231">
        <f t="shared" si="77"/>
        <v>6582</v>
      </c>
      <c r="C9467" s="191" t="s">
        <v>9215</v>
      </c>
      <c r="D9467" s="502" t="s">
        <v>23121</v>
      </c>
      <c r="E9467" s="46" t="s">
        <v>23105</v>
      </c>
      <c r="F9467" s="46" t="s">
        <v>23122</v>
      </c>
      <c r="G9467" s="46" t="s">
        <v>23123</v>
      </c>
      <c r="H9467" s="534">
        <v>21527.72</v>
      </c>
      <c r="I9467" s="56">
        <v>45580</v>
      </c>
      <c r="J9467" s="199" t="s">
        <v>23108</v>
      </c>
      <c r="K9467" s="46"/>
      <c r="O9467" s="46" t="s">
        <v>1171</v>
      </c>
      <c r="P9467" s="46" t="s">
        <v>71</v>
      </c>
      <c r="Q9467" s="52" t="s">
        <v>113</v>
      </c>
      <c r="R9467" s="46" t="s">
        <v>272</v>
      </c>
    </row>
    <row r="9468" spans="1:18" ht="69" customHeight="1">
      <c r="B9468" s="231">
        <f t="shared" si="77"/>
        <v>6583</v>
      </c>
      <c r="C9468" s="191" t="s">
        <v>657</v>
      </c>
      <c r="D9468" s="502" t="s">
        <v>12048</v>
      </c>
      <c r="E9468" s="46" t="s">
        <v>23105</v>
      </c>
      <c r="F9468" s="46" t="s">
        <v>23124</v>
      </c>
      <c r="G9468" s="46" t="s">
        <v>23123</v>
      </c>
      <c r="H9468" s="534">
        <v>22212.39</v>
      </c>
      <c r="I9468" s="56">
        <v>45580</v>
      </c>
      <c r="J9468" s="199" t="s">
        <v>23108</v>
      </c>
      <c r="K9468" s="46"/>
      <c r="O9468" s="46" t="s">
        <v>1171</v>
      </c>
      <c r="P9468" s="46" t="s">
        <v>71</v>
      </c>
      <c r="Q9468" s="52" t="s">
        <v>97</v>
      </c>
      <c r="R9468" s="46" t="s">
        <v>272</v>
      </c>
    </row>
    <row r="9469" spans="1:18" ht="69" customHeight="1">
      <c r="B9469" s="231">
        <f t="shared" si="77"/>
        <v>6584</v>
      </c>
      <c r="C9469" s="49" t="s">
        <v>6693</v>
      </c>
      <c r="D9469" s="282" t="s">
        <v>23125</v>
      </c>
      <c r="E9469" s="46" t="s">
        <v>23047</v>
      </c>
      <c r="F9469" s="87" t="s">
        <v>23126</v>
      </c>
      <c r="G9469" s="46" t="s">
        <v>23127</v>
      </c>
      <c r="H9469" s="206">
        <v>800</v>
      </c>
      <c r="I9469" s="56">
        <v>45641</v>
      </c>
      <c r="J9469" s="199" t="s">
        <v>23128</v>
      </c>
      <c r="K9469" s="46" t="s">
        <v>23129</v>
      </c>
      <c r="O9469" s="46" t="s">
        <v>21664</v>
      </c>
      <c r="P9469" s="46" t="s">
        <v>65</v>
      </c>
      <c r="Q9469" s="52" t="s">
        <v>78</v>
      </c>
      <c r="R9469" s="46" t="s">
        <v>272</v>
      </c>
    </row>
    <row r="9470" spans="1:18" ht="69" customHeight="1">
      <c r="B9470" s="231">
        <f t="shared" si="77"/>
        <v>6585</v>
      </c>
      <c r="C9470" s="49" t="s">
        <v>6693</v>
      </c>
      <c r="D9470" s="282" t="s">
        <v>23130</v>
      </c>
      <c r="E9470" s="46" t="s">
        <v>23047</v>
      </c>
      <c r="F9470" s="87" t="s">
        <v>23131</v>
      </c>
      <c r="G9470" s="46" t="s">
        <v>23132</v>
      </c>
      <c r="H9470" s="206">
        <v>2700</v>
      </c>
      <c r="I9470" s="56">
        <v>45651</v>
      </c>
      <c r="J9470" s="199" t="s">
        <v>23133</v>
      </c>
      <c r="K9470" s="46"/>
      <c r="O9470" s="46" t="s">
        <v>14051</v>
      </c>
      <c r="P9470" s="46" t="s">
        <v>65</v>
      </c>
      <c r="Q9470" s="52" t="s">
        <v>78</v>
      </c>
      <c r="R9470" s="46" t="s">
        <v>272</v>
      </c>
    </row>
    <row r="9471" spans="1:18" ht="69" customHeight="1">
      <c r="B9471" s="231">
        <f t="shared" si="77"/>
        <v>6586</v>
      </c>
      <c r="C9471" s="50" t="s">
        <v>10612</v>
      </c>
      <c r="D9471" s="282" t="s">
        <v>23134</v>
      </c>
      <c r="E9471" s="46" t="s">
        <v>23047</v>
      </c>
      <c r="F9471" s="87" t="s">
        <v>23135</v>
      </c>
      <c r="G9471" s="46" t="s">
        <v>23132</v>
      </c>
      <c r="H9471" s="206">
        <v>5000</v>
      </c>
      <c r="I9471" s="56">
        <v>45621</v>
      </c>
      <c r="J9471" s="199" t="s">
        <v>23136</v>
      </c>
      <c r="K9471" s="46"/>
      <c r="O9471" s="46" t="s">
        <v>23137</v>
      </c>
      <c r="P9471" s="46" t="s">
        <v>65</v>
      </c>
      <c r="Q9471" s="52" t="s">
        <v>86</v>
      </c>
      <c r="R9471" s="46" t="s">
        <v>272</v>
      </c>
    </row>
    <row r="9472" spans="1:18" ht="69" customHeight="1">
      <c r="B9472" s="231">
        <f t="shared" si="77"/>
        <v>6587</v>
      </c>
      <c r="C9472" s="49" t="s">
        <v>9545</v>
      </c>
      <c r="D9472" s="282" t="s">
        <v>23138</v>
      </c>
      <c r="E9472" s="46" t="s">
        <v>23047</v>
      </c>
      <c r="F9472" s="87" t="s">
        <v>23139</v>
      </c>
      <c r="G9472" s="46" t="s">
        <v>23132</v>
      </c>
      <c r="H9472" s="206">
        <v>5000</v>
      </c>
      <c r="I9472" s="56">
        <v>45621</v>
      </c>
      <c r="J9472" s="199" t="s">
        <v>23140</v>
      </c>
      <c r="K9472" s="46"/>
      <c r="O9472" s="46" t="s">
        <v>23137</v>
      </c>
      <c r="P9472" s="46" t="s">
        <v>65</v>
      </c>
      <c r="Q9472" s="52" t="s">
        <v>117</v>
      </c>
      <c r="R9472" s="46" t="s">
        <v>272</v>
      </c>
    </row>
    <row r="9473" spans="2:18" ht="69" customHeight="1">
      <c r="B9473" s="319">
        <f t="shared" si="77"/>
        <v>6588</v>
      </c>
      <c r="C9473" s="207" t="s">
        <v>458</v>
      </c>
      <c r="D9473" s="518" t="s">
        <v>23141</v>
      </c>
      <c r="E9473" s="207" t="s">
        <v>266</v>
      </c>
      <c r="F9473" s="160" t="s">
        <v>23142</v>
      </c>
      <c r="G9473" s="160" t="s">
        <v>22852</v>
      </c>
      <c r="H9473" s="525">
        <v>46477.18</v>
      </c>
      <c r="I9473" s="209">
        <v>45580</v>
      </c>
      <c r="J9473" s="316" t="s">
        <v>23143</v>
      </c>
      <c r="K9473" s="160"/>
      <c r="O9473" s="160" t="s">
        <v>12529</v>
      </c>
      <c r="P9473" s="160" t="s">
        <v>67</v>
      </c>
      <c r="Q9473" s="259" t="s">
        <v>96</v>
      </c>
      <c r="R9473" s="160" t="s">
        <v>272</v>
      </c>
    </row>
    <row r="9474" spans="2:18" ht="69" customHeight="1">
      <c r="B9474" s="319">
        <f t="shared" si="77"/>
        <v>6589</v>
      </c>
      <c r="C9474" s="207" t="s">
        <v>458</v>
      </c>
      <c r="D9474" s="518" t="s">
        <v>23144</v>
      </c>
      <c r="E9474" s="207" t="s">
        <v>266</v>
      </c>
      <c r="F9474" s="160" t="s">
        <v>23145</v>
      </c>
      <c r="G9474" s="338" t="s">
        <v>22852</v>
      </c>
      <c r="H9474" s="526">
        <v>1209.1600000000001</v>
      </c>
      <c r="I9474" s="343">
        <v>45580</v>
      </c>
      <c r="J9474" s="316" t="s">
        <v>23146</v>
      </c>
      <c r="K9474" s="160"/>
      <c r="O9474" s="160" t="s">
        <v>12529</v>
      </c>
      <c r="P9474" s="160" t="s">
        <v>67</v>
      </c>
      <c r="Q9474" s="259" t="s">
        <v>96</v>
      </c>
      <c r="R9474" s="160" t="s">
        <v>272</v>
      </c>
    </row>
    <row r="9475" spans="2:18" ht="69" customHeight="1">
      <c r="B9475" s="79">
        <f t="shared" si="77"/>
        <v>6590</v>
      </c>
      <c r="C9475" s="178" t="s">
        <v>10639</v>
      </c>
      <c r="D9475" s="498" t="s">
        <v>23147</v>
      </c>
      <c r="E9475" s="59" t="s">
        <v>266</v>
      </c>
      <c r="F9475" s="58" t="s">
        <v>23148</v>
      </c>
      <c r="G9475" s="81" t="s">
        <v>23149</v>
      </c>
      <c r="H9475" s="644">
        <v>279.82</v>
      </c>
      <c r="I9475" s="126">
        <v>45580</v>
      </c>
      <c r="J9475" s="242" t="s">
        <v>23150</v>
      </c>
      <c r="K9475" s="67" t="s">
        <v>5969</v>
      </c>
      <c r="O9475" s="45" t="s">
        <v>5969</v>
      </c>
      <c r="P9475" s="58" t="s">
        <v>44</v>
      </c>
      <c r="Q9475" s="48" t="s">
        <v>95</v>
      </c>
      <c r="R9475" s="45" t="s">
        <v>272</v>
      </c>
    </row>
    <row r="9476" spans="2:18" ht="69" customHeight="1">
      <c r="B9476" s="79">
        <f t="shared" si="77"/>
        <v>6591</v>
      </c>
      <c r="C9476" s="178" t="s">
        <v>10634</v>
      </c>
      <c r="D9476" s="498" t="s">
        <v>23151</v>
      </c>
      <c r="E9476" s="59" t="s">
        <v>266</v>
      </c>
      <c r="F9476" s="58" t="s">
        <v>23152</v>
      </c>
      <c r="G9476" s="81" t="s">
        <v>23149</v>
      </c>
      <c r="H9476" s="644">
        <v>279.82</v>
      </c>
      <c r="I9476" s="126">
        <v>45580</v>
      </c>
      <c r="J9476" s="242" t="s">
        <v>23150</v>
      </c>
      <c r="K9476" s="67" t="s">
        <v>5969</v>
      </c>
      <c r="O9476" s="45" t="s">
        <v>5969</v>
      </c>
      <c r="P9476" s="58" t="s">
        <v>44</v>
      </c>
      <c r="Q9476" s="48" t="s">
        <v>93</v>
      </c>
      <c r="R9476" s="45" t="s">
        <v>272</v>
      </c>
    </row>
    <row r="9477" spans="2:18" ht="69" customHeight="1">
      <c r="B9477" s="79">
        <f t="shared" si="77"/>
        <v>6592</v>
      </c>
      <c r="C9477" s="178" t="s">
        <v>11055</v>
      </c>
      <c r="D9477" s="498" t="s">
        <v>18964</v>
      </c>
      <c r="E9477" s="59" t="s">
        <v>266</v>
      </c>
      <c r="F9477" s="58" t="s">
        <v>23153</v>
      </c>
      <c r="G9477" s="81" t="s">
        <v>23149</v>
      </c>
      <c r="H9477" s="644">
        <v>279.82</v>
      </c>
      <c r="I9477" s="126">
        <v>45580</v>
      </c>
      <c r="J9477" s="242" t="s">
        <v>23150</v>
      </c>
      <c r="K9477" s="67" t="s">
        <v>5969</v>
      </c>
      <c r="O9477" s="45" t="s">
        <v>5969</v>
      </c>
      <c r="P9477" s="58" t="s">
        <v>44</v>
      </c>
      <c r="Q9477" s="48" t="s">
        <v>45</v>
      </c>
      <c r="R9477" s="45" t="s">
        <v>272</v>
      </c>
    </row>
    <row r="9478" spans="2:18" ht="69" customHeight="1">
      <c r="B9478" s="79">
        <f t="shared" si="77"/>
        <v>6593</v>
      </c>
      <c r="C9478" s="178" t="s">
        <v>581</v>
      </c>
      <c r="D9478" s="498" t="s">
        <v>18968</v>
      </c>
      <c r="E9478" s="59" t="s">
        <v>266</v>
      </c>
      <c r="F9478" s="58" t="s">
        <v>23154</v>
      </c>
      <c r="G9478" s="81" t="s">
        <v>23149</v>
      </c>
      <c r="H9478" s="644">
        <v>279.82</v>
      </c>
      <c r="I9478" s="126">
        <v>45580</v>
      </c>
      <c r="J9478" s="242" t="s">
        <v>23150</v>
      </c>
      <c r="K9478" s="67" t="s">
        <v>5969</v>
      </c>
      <c r="O9478" s="45" t="s">
        <v>5969</v>
      </c>
      <c r="P9478" s="58" t="s">
        <v>44</v>
      </c>
      <c r="Q9478" s="48" t="s">
        <v>18</v>
      </c>
      <c r="R9478" s="45" t="s">
        <v>272</v>
      </c>
    </row>
    <row r="9479" spans="2:18" ht="69" customHeight="1">
      <c r="B9479" s="79">
        <f t="shared" si="77"/>
        <v>6594</v>
      </c>
      <c r="C9479" s="178" t="s">
        <v>1593</v>
      </c>
      <c r="D9479" s="498" t="s">
        <v>18975</v>
      </c>
      <c r="E9479" s="59" t="s">
        <v>266</v>
      </c>
      <c r="F9479" s="58" t="s">
        <v>23155</v>
      </c>
      <c r="G9479" s="81" t="s">
        <v>23149</v>
      </c>
      <c r="H9479" s="644">
        <v>279.82</v>
      </c>
      <c r="I9479" s="126">
        <v>45580</v>
      </c>
      <c r="J9479" s="242" t="s">
        <v>23150</v>
      </c>
      <c r="K9479" s="67" t="s">
        <v>5969</v>
      </c>
      <c r="O9479" s="45" t="s">
        <v>5969</v>
      </c>
      <c r="P9479" s="58" t="s">
        <v>44</v>
      </c>
      <c r="Q9479" s="48" t="s">
        <v>27</v>
      </c>
      <c r="R9479" s="45" t="s">
        <v>272</v>
      </c>
    </row>
    <row r="9480" spans="2:18" ht="69" customHeight="1">
      <c r="B9480" s="319">
        <f t="shared" si="77"/>
        <v>6595</v>
      </c>
      <c r="C9480" s="207" t="s">
        <v>309</v>
      </c>
      <c r="D9480" s="311" t="s">
        <v>21983</v>
      </c>
      <c r="E9480" s="344" t="s">
        <v>266</v>
      </c>
      <c r="F9480" s="208" t="s">
        <v>23156</v>
      </c>
      <c r="G9480" s="160" t="s">
        <v>13201</v>
      </c>
      <c r="H9480" s="300">
        <v>27840.84</v>
      </c>
      <c r="I9480" s="209">
        <v>45580</v>
      </c>
      <c r="J9480" s="316" t="s">
        <v>23157</v>
      </c>
      <c r="K9480" s="160"/>
      <c r="O9480" s="160" t="s">
        <v>15366</v>
      </c>
      <c r="P9480" s="160" t="s">
        <v>67</v>
      </c>
      <c r="Q9480" s="259" t="s">
        <v>15</v>
      </c>
      <c r="R9480" s="160" t="s">
        <v>272</v>
      </c>
    </row>
    <row r="9481" spans="2:18" ht="69" customHeight="1">
      <c r="B9481" s="231">
        <f t="shared" si="77"/>
        <v>6596</v>
      </c>
      <c r="C9481" s="86" t="s">
        <v>9322</v>
      </c>
      <c r="D9481" s="165" t="s">
        <v>23158</v>
      </c>
      <c r="E9481" s="86" t="s">
        <v>266</v>
      </c>
      <c r="F9481" s="166" t="s">
        <v>23159</v>
      </c>
      <c r="G9481" s="87" t="s">
        <v>23160</v>
      </c>
      <c r="H9481" s="260">
        <v>5000</v>
      </c>
      <c r="I9481" s="189">
        <v>45621</v>
      </c>
      <c r="J9481" s="267" t="s">
        <v>23161</v>
      </c>
      <c r="K9481" s="87"/>
      <c r="L9481" s="103"/>
      <c r="M9481" s="103"/>
      <c r="N9481" s="103"/>
      <c r="O9481" s="531" t="s">
        <v>23137</v>
      </c>
      <c r="P9481" s="46" t="s">
        <v>65</v>
      </c>
      <c r="Q9481" s="52" t="s">
        <v>114</v>
      </c>
      <c r="R9481" s="46" t="s">
        <v>272</v>
      </c>
    </row>
    <row r="9482" spans="2:18" ht="69" customHeight="1">
      <c r="B9482" s="79">
        <f t="shared" si="77"/>
        <v>6597</v>
      </c>
      <c r="C9482" s="178" t="s">
        <v>7189</v>
      </c>
      <c r="D9482" s="611" t="s">
        <v>12108</v>
      </c>
      <c r="E9482" s="59" t="s">
        <v>266</v>
      </c>
      <c r="F9482" s="58" t="s">
        <v>23162</v>
      </c>
      <c r="G9482" s="58" t="s">
        <v>23163</v>
      </c>
      <c r="H9482" s="198">
        <v>219.4</v>
      </c>
      <c r="I9482" s="126">
        <v>45590</v>
      </c>
      <c r="J9482" s="73" t="s">
        <v>23164</v>
      </c>
      <c r="K9482" s="45"/>
      <c r="M9482" s="103"/>
      <c r="N9482" s="103"/>
      <c r="O9482" s="58" t="s">
        <v>15051</v>
      </c>
      <c r="P9482" s="58" t="s">
        <v>44</v>
      </c>
      <c r="Q9482" s="48" t="s">
        <v>97</v>
      </c>
      <c r="R9482" s="45" t="s">
        <v>272</v>
      </c>
    </row>
    <row r="9483" spans="2:18" ht="69" customHeight="1">
      <c r="B9483" s="79">
        <f t="shared" si="77"/>
        <v>6598</v>
      </c>
      <c r="C9483" s="178" t="s">
        <v>10947</v>
      </c>
      <c r="D9483" s="498" t="s">
        <v>23165</v>
      </c>
      <c r="E9483" s="59" t="s">
        <v>266</v>
      </c>
      <c r="F9483" s="58" t="s">
        <v>23166</v>
      </c>
      <c r="G9483" s="58" t="s">
        <v>23163</v>
      </c>
      <c r="H9483" s="546">
        <v>219.4</v>
      </c>
      <c r="I9483" s="126">
        <v>45590</v>
      </c>
      <c r="J9483" s="73" t="s">
        <v>23164</v>
      </c>
      <c r="K9483" s="67"/>
      <c r="O9483" s="58" t="s">
        <v>15051</v>
      </c>
      <c r="P9483" s="58" t="s">
        <v>44</v>
      </c>
      <c r="Q9483" s="48" t="s">
        <v>100</v>
      </c>
      <c r="R9483" s="45" t="s">
        <v>272</v>
      </c>
    </row>
    <row r="9484" spans="2:18" ht="69" customHeight="1">
      <c r="B9484" s="79">
        <f t="shared" ref="B9484:B9547" si="78">B9483+1</f>
        <v>6599</v>
      </c>
      <c r="C9484" s="59" t="s">
        <v>7464</v>
      </c>
      <c r="D9484" s="498" t="s">
        <v>23167</v>
      </c>
      <c r="E9484" s="59" t="s">
        <v>266</v>
      </c>
      <c r="F9484" s="58" t="s">
        <v>23168</v>
      </c>
      <c r="G9484" s="58" t="s">
        <v>23163</v>
      </c>
      <c r="H9484" s="546">
        <v>219.4</v>
      </c>
      <c r="I9484" s="126">
        <v>45590</v>
      </c>
      <c r="J9484" s="73" t="s">
        <v>23164</v>
      </c>
      <c r="K9484" s="67"/>
      <c r="O9484" s="58" t="s">
        <v>15051</v>
      </c>
      <c r="P9484" s="58" t="s">
        <v>44</v>
      </c>
      <c r="Q9484" s="48" t="s">
        <v>101</v>
      </c>
      <c r="R9484" s="45" t="s">
        <v>272</v>
      </c>
    </row>
    <row r="9485" spans="2:18" ht="69" customHeight="1">
      <c r="B9485" s="79">
        <f t="shared" si="78"/>
        <v>6600</v>
      </c>
      <c r="C9485" s="178" t="s">
        <v>7521</v>
      </c>
      <c r="D9485" s="498" t="s">
        <v>16717</v>
      </c>
      <c r="E9485" s="59" t="s">
        <v>266</v>
      </c>
      <c r="F9485" s="58" t="s">
        <v>23169</v>
      </c>
      <c r="G9485" s="58" t="s">
        <v>23163</v>
      </c>
      <c r="H9485" s="546">
        <v>219.4</v>
      </c>
      <c r="I9485" s="126">
        <v>45590</v>
      </c>
      <c r="J9485" s="73" t="s">
        <v>23164</v>
      </c>
      <c r="K9485" s="67"/>
      <c r="O9485" s="58" t="s">
        <v>15051</v>
      </c>
      <c r="P9485" s="58" t="s">
        <v>44</v>
      </c>
      <c r="Q9485" s="48" t="s">
        <v>102</v>
      </c>
      <c r="R9485" s="45" t="s">
        <v>272</v>
      </c>
    </row>
    <row r="9486" spans="2:18" ht="69" customHeight="1">
      <c r="B9486" s="79">
        <f t="shared" si="78"/>
        <v>6601</v>
      </c>
      <c r="C9486" s="178" t="s">
        <v>3647</v>
      </c>
      <c r="D9486" s="498" t="s">
        <v>23170</v>
      </c>
      <c r="E9486" s="59" t="s">
        <v>266</v>
      </c>
      <c r="F9486" s="58" t="s">
        <v>23171</v>
      </c>
      <c r="G9486" s="58" t="s">
        <v>23163</v>
      </c>
      <c r="H9486" s="546">
        <v>219.4</v>
      </c>
      <c r="I9486" s="126">
        <v>45590</v>
      </c>
      <c r="J9486" s="73" t="s">
        <v>23164</v>
      </c>
      <c r="K9486" s="67"/>
      <c r="O9486" s="58" t="s">
        <v>15051</v>
      </c>
      <c r="P9486" s="58" t="s">
        <v>44</v>
      </c>
      <c r="Q9486" s="48" t="s">
        <v>47</v>
      </c>
      <c r="R9486" s="45" t="s">
        <v>272</v>
      </c>
    </row>
    <row r="9487" spans="2:18" ht="69" customHeight="1">
      <c r="B9487" s="79">
        <f t="shared" si="78"/>
        <v>6602</v>
      </c>
      <c r="C9487" s="178" t="s">
        <v>3933</v>
      </c>
      <c r="D9487" s="498" t="s">
        <v>23172</v>
      </c>
      <c r="E9487" s="59" t="s">
        <v>266</v>
      </c>
      <c r="F9487" s="58" t="s">
        <v>23173</v>
      </c>
      <c r="G9487" s="58" t="s">
        <v>23163</v>
      </c>
      <c r="H9487" s="546">
        <v>219.4</v>
      </c>
      <c r="I9487" s="126">
        <v>45590</v>
      </c>
      <c r="J9487" s="73" t="s">
        <v>23164</v>
      </c>
      <c r="K9487" s="67"/>
      <c r="O9487" s="58" t="s">
        <v>15051</v>
      </c>
      <c r="P9487" s="58" t="s">
        <v>44</v>
      </c>
      <c r="Q9487" s="48" t="s">
        <v>52</v>
      </c>
      <c r="R9487" s="45" t="s">
        <v>272</v>
      </c>
    </row>
    <row r="9488" spans="2:18" ht="69" customHeight="1">
      <c r="B9488" s="79">
        <f t="shared" si="78"/>
        <v>6603</v>
      </c>
      <c r="C9488" s="59" t="s">
        <v>11908</v>
      </c>
      <c r="D9488" s="498" t="s">
        <v>23174</v>
      </c>
      <c r="E9488" s="59" t="s">
        <v>266</v>
      </c>
      <c r="F9488" s="58" t="s">
        <v>23175</v>
      </c>
      <c r="G9488" s="58" t="s">
        <v>23163</v>
      </c>
      <c r="H9488" s="546">
        <v>219.4</v>
      </c>
      <c r="I9488" s="126">
        <v>45590</v>
      </c>
      <c r="J9488" s="73" t="s">
        <v>23164</v>
      </c>
      <c r="K9488" s="67"/>
      <c r="O9488" s="58" t="s">
        <v>15051</v>
      </c>
      <c r="P9488" s="58" t="s">
        <v>44</v>
      </c>
      <c r="Q9488" s="48" t="s">
        <v>103</v>
      </c>
      <c r="R9488" s="45" t="s">
        <v>272</v>
      </c>
    </row>
    <row r="9489" spans="2:18" ht="69" customHeight="1">
      <c r="B9489" s="79">
        <f t="shared" si="78"/>
        <v>6604</v>
      </c>
      <c r="C9489" s="178" t="s">
        <v>10937</v>
      </c>
      <c r="D9489" s="498" t="s">
        <v>16719</v>
      </c>
      <c r="E9489" s="59" t="s">
        <v>266</v>
      </c>
      <c r="F9489" s="58" t="s">
        <v>23176</v>
      </c>
      <c r="G9489" s="58" t="s">
        <v>23163</v>
      </c>
      <c r="H9489" s="546">
        <v>219.4</v>
      </c>
      <c r="I9489" s="126">
        <v>45590</v>
      </c>
      <c r="J9489" s="73" t="s">
        <v>23164</v>
      </c>
      <c r="K9489" s="67"/>
      <c r="O9489" s="58" t="s">
        <v>15051</v>
      </c>
      <c r="P9489" s="58" t="s">
        <v>44</v>
      </c>
      <c r="Q9489" s="48" t="s">
        <v>104</v>
      </c>
      <c r="R9489" s="45" t="s">
        <v>272</v>
      </c>
    </row>
    <row r="9490" spans="2:18" ht="69" customHeight="1">
      <c r="B9490" s="79">
        <f t="shared" si="78"/>
        <v>6605</v>
      </c>
      <c r="C9490" s="178" t="s">
        <v>8057</v>
      </c>
      <c r="D9490" s="498" t="s">
        <v>23177</v>
      </c>
      <c r="E9490" s="59" t="s">
        <v>266</v>
      </c>
      <c r="F9490" s="58" t="s">
        <v>23178</v>
      </c>
      <c r="G9490" s="58" t="s">
        <v>23163</v>
      </c>
      <c r="H9490" s="546">
        <v>219.4</v>
      </c>
      <c r="I9490" s="126">
        <v>45590</v>
      </c>
      <c r="J9490" s="73" t="s">
        <v>23164</v>
      </c>
      <c r="K9490" s="67"/>
      <c r="O9490" s="462" t="s">
        <v>15051</v>
      </c>
      <c r="P9490" s="58" t="s">
        <v>44</v>
      </c>
      <c r="Q9490" s="48" t="s">
        <v>105</v>
      </c>
      <c r="R9490" s="45" t="s">
        <v>272</v>
      </c>
    </row>
    <row r="9491" spans="2:18" ht="69" customHeight="1">
      <c r="B9491" s="79">
        <f t="shared" si="78"/>
        <v>6606</v>
      </c>
      <c r="C9491" s="178" t="s">
        <v>11568</v>
      </c>
      <c r="D9491" s="498" t="s">
        <v>23179</v>
      </c>
      <c r="E9491" s="59" t="s">
        <v>266</v>
      </c>
      <c r="F9491" s="58" t="s">
        <v>23180</v>
      </c>
      <c r="G9491" s="58" t="s">
        <v>23163</v>
      </c>
      <c r="H9491" s="546">
        <v>219.4</v>
      </c>
      <c r="I9491" s="126">
        <v>45590</v>
      </c>
      <c r="J9491" s="73" t="s">
        <v>23164</v>
      </c>
      <c r="K9491" s="67"/>
      <c r="O9491" s="462" t="s">
        <v>15051</v>
      </c>
      <c r="P9491" s="58" t="s">
        <v>44</v>
      </c>
      <c r="Q9491" s="48" t="s">
        <v>107</v>
      </c>
      <c r="R9491" s="45" t="s">
        <v>272</v>
      </c>
    </row>
    <row r="9492" spans="2:18" ht="69" customHeight="1">
      <c r="B9492" s="79">
        <f t="shared" si="78"/>
        <v>6607</v>
      </c>
      <c r="C9492" s="178" t="s">
        <v>8529</v>
      </c>
      <c r="D9492" s="498" t="s">
        <v>23181</v>
      </c>
      <c r="E9492" s="59" t="s">
        <v>266</v>
      </c>
      <c r="F9492" s="58" t="s">
        <v>23182</v>
      </c>
      <c r="G9492" s="58" t="s">
        <v>23163</v>
      </c>
      <c r="H9492" s="546">
        <v>219.4</v>
      </c>
      <c r="I9492" s="126">
        <v>45590</v>
      </c>
      <c r="J9492" s="73" t="s">
        <v>23164</v>
      </c>
      <c r="K9492" s="67"/>
      <c r="O9492" s="462" t="s">
        <v>15051</v>
      </c>
      <c r="P9492" s="58" t="s">
        <v>44</v>
      </c>
      <c r="Q9492" s="48" t="s">
        <v>108</v>
      </c>
      <c r="R9492" s="45" t="s">
        <v>272</v>
      </c>
    </row>
    <row r="9493" spans="2:18" ht="69" customHeight="1">
      <c r="B9493" s="79">
        <f t="shared" si="78"/>
        <v>6608</v>
      </c>
      <c r="C9493" s="178" t="s">
        <v>8703</v>
      </c>
      <c r="D9493" s="498" t="s">
        <v>16721</v>
      </c>
      <c r="E9493" s="59" t="s">
        <v>266</v>
      </c>
      <c r="F9493" s="58" t="s">
        <v>23183</v>
      </c>
      <c r="G9493" s="58" t="s">
        <v>23163</v>
      </c>
      <c r="H9493" s="546">
        <v>219.4</v>
      </c>
      <c r="I9493" s="126">
        <v>45590</v>
      </c>
      <c r="J9493" s="73" t="s">
        <v>23164</v>
      </c>
      <c r="K9493" s="67"/>
      <c r="O9493" s="462" t="s">
        <v>15051</v>
      </c>
      <c r="P9493" s="58" t="s">
        <v>44</v>
      </c>
      <c r="Q9493" s="48" t="s">
        <v>109</v>
      </c>
      <c r="R9493" s="45" t="s">
        <v>272</v>
      </c>
    </row>
    <row r="9494" spans="2:18" ht="69" customHeight="1">
      <c r="B9494" s="79">
        <f t="shared" si="78"/>
        <v>6609</v>
      </c>
      <c r="C9494" s="44" t="s">
        <v>450</v>
      </c>
      <c r="D9494" s="498" t="s">
        <v>19028</v>
      </c>
      <c r="E9494" s="59" t="s">
        <v>266</v>
      </c>
      <c r="F9494" s="58" t="s">
        <v>23184</v>
      </c>
      <c r="G9494" s="58" t="s">
        <v>23163</v>
      </c>
      <c r="H9494" s="546">
        <v>219.4</v>
      </c>
      <c r="I9494" s="126">
        <v>45590</v>
      </c>
      <c r="J9494" s="73" t="s">
        <v>23164</v>
      </c>
      <c r="K9494" s="67"/>
      <c r="O9494" s="462" t="s">
        <v>15051</v>
      </c>
      <c r="P9494" s="58" t="s">
        <v>44</v>
      </c>
      <c r="Q9494" s="48" t="s">
        <v>13</v>
      </c>
      <c r="R9494" s="45" t="s">
        <v>272</v>
      </c>
    </row>
    <row r="9495" spans="2:18" ht="69" customHeight="1">
      <c r="B9495" s="79">
        <f t="shared" si="78"/>
        <v>6610</v>
      </c>
      <c r="C9495" s="178" t="s">
        <v>5832</v>
      </c>
      <c r="D9495" s="498" t="s">
        <v>23185</v>
      </c>
      <c r="E9495" s="59" t="s">
        <v>266</v>
      </c>
      <c r="F9495" s="58" t="s">
        <v>23186</v>
      </c>
      <c r="G9495" s="58" t="s">
        <v>23163</v>
      </c>
      <c r="H9495" s="546">
        <v>219.4</v>
      </c>
      <c r="I9495" s="126">
        <v>45590</v>
      </c>
      <c r="J9495" s="73" t="s">
        <v>23164</v>
      </c>
      <c r="K9495" s="67"/>
      <c r="O9495" s="462" t="s">
        <v>15051</v>
      </c>
      <c r="P9495" s="58" t="s">
        <v>44</v>
      </c>
      <c r="Q9495" s="48" t="s">
        <v>68</v>
      </c>
      <c r="R9495" s="45" t="s">
        <v>272</v>
      </c>
    </row>
    <row r="9496" spans="2:18" ht="69" customHeight="1">
      <c r="B9496" s="79">
        <f t="shared" si="78"/>
        <v>6611</v>
      </c>
      <c r="C9496" s="178" t="s">
        <v>3906</v>
      </c>
      <c r="D9496" s="498" t="s">
        <v>23187</v>
      </c>
      <c r="E9496" s="59" t="s">
        <v>266</v>
      </c>
      <c r="F9496" s="58" t="s">
        <v>23188</v>
      </c>
      <c r="G9496" s="58" t="s">
        <v>23163</v>
      </c>
      <c r="H9496" s="546">
        <v>219.4</v>
      </c>
      <c r="I9496" s="126">
        <v>45590</v>
      </c>
      <c r="J9496" s="73" t="s">
        <v>23164</v>
      </c>
      <c r="K9496" s="67"/>
      <c r="O9496" s="462" t="s">
        <v>15051</v>
      </c>
      <c r="P9496" s="58" t="s">
        <v>44</v>
      </c>
      <c r="Q9496" s="48" t="s">
        <v>70</v>
      </c>
      <c r="R9496" s="45" t="s">
        <v>272</v>
      </c>
    </row>
    <row r="9497" spans="2:18" ht="69" customHeight="1">
      <c r="B9497" s="79">
        <f t="shared" si="78"/>
        <v>6612</v>
      </c>
      <c r="C9497" s="178" t="s">
        <v>6062</v>
      </c>
      <c r="D9497" s="498" t="s">
        <v>23189</v>
      </c>
      <c r="E9497" s="59" t="s">
        <v>266</v>
      </c>
      <c r="F9497" s="58" t="s">
        <v>23190</v>
      </c>
      <c r="G9497" s="58" t="s">
        <v>23163</v>
      </c>
      <c r="H9497" s="546">
        <v>219.4</v>
      </c>
      <c r="I9497" s="126">
        <v>45590</v>
      </c>
      <c r="J9497" s="73" t="s">
        <v>23164</v>
      </c>
      <c r="K9497" s="67"/>
      <c r="O9497" s="462" t="s">
        <v>15051</v>
      </c>
      <c r="P9497" s="58" t="s">
        <v>44</v>
      </c>
      <c r="Q9497" s="48" t="s">
        <v>72</v>
      </c>
      <c r="R9497" s="45" t="s">
        <v>272</v>
      </c>
    </row>
    <row r="9498" spans="2:18" ht="69" customHeight="1">
      <c r="B9498" s="79">
        <f t="shared" si="78"/>
        <v>6613</v>
      </c>
      <c r="C9498" s="178" t="s">
        <v>8797</v>
      </c>
      <c r="D9498" s="498" t="s">
        <v>12069</v>
      </c>
      <c r="E9498" s="59" t="s">
        <v>266</v>
      </c>
      <c r="F9498" s="58" t="s">
        <v>23191</v>
      </c>
      <c r="G9498" s="58" t="s">
        <v>23163</v>
      </c>
      <c r="H9498" s="546">
        <v>219.4</v>
      </c>
      <c r="I9498" s="126">
        <v>45590</v>
      </c>
      <c r="J9498" s="73" t="s">
        <v>23164</v>
      </c>
      <c r="K9498" s="67"/>
      <c r="O9498" s="462" t="s">
        <v>15051</v>
      </c>
      <c r="P9498" s="58" t="s">
        <v>44</v>
      </c>
      <c r="Q9498" s="48" t="s">
        <v>110</v>
      </c>
      <c r="R9498" s="45" t="s">
        <v>272</v>
      </c>
    </row>
    <row r="9499" spans="2:18" ht="69" customHeight="1">
      <c r="B9499" s="79">
        <f t="shared" si="78"/>
        <v>6614</v>
      </c>
      <c r="C9499" s="178" t="s">
        <v>769</v>
      </c>
      <c r="D9499" s="498" t="s">
        <v>21986</v>
      </c>
      <c r="E9499" s="59" t="s">
        <v>266</v>
      </c>
      <c r="F9499" s="58" t="s">
        <v>23192</v>
      </c>
      <c r="G9499" s="58" t="s">
        <v>23163</v>
      </c>
      <c r="H9499" s="546">
        <v>219.4</v>
      </c>
      <c r="I9499" s="126">
        <v>45590</v>
      </c>
      <c r="J9499" s="73" t="s">
        <v>23164</v>
      </c>
      <c r="K9499" s="67"/>
      <c r="O9499" s="462" t="s">
        <v>15051</v>
      </c>
      <c r="P9499" s="58" t="s">
        <v>44</v>
      </c>
      <c r="Q9499" s="48" t="s">
        <v>20</v>
      </c>
      <c r="R9499" s="45" t="s">
        <v>272</v>
      </c>
    </row>
    <row r="9500" spans="2:18" ht="69" customHeight="1">
      <c r="B9500" s="79">
        <f t="shared" si="78"/>
        <v>6615</v>
      </c>
      <c r="C9500" s="178" t="s">
        <v>4411</v>
      </c>
      <c r="D9500" s="498" t="s">
        <v>23193</v>
      </c>
      <c r="E9500" s="59" t="s">
        <v>266</v>
      </c>
      <c r="F9500" s="58" t="s">
        <v>23194</v>
      </c>
      <c r="G9500" s="58" t="s">
        <v>23163</v>
      </c>
      <c r="H9500" s="546">
        <v>219.4</v>
      </c>
      <c r="I9500" s="126">
        <v>45590</v>
      </c>
      <c r="J9500" s="73" t="s">
        <v>23164</v>
      </c>
      <c r="K9500" s="67"/>
      <c r="O9500" s="462" t="s">
        <v>15051</v>
      </c>
      <c r="P9500" s="58" t="s">
        <v>44</v>
      </c>
      <c r="Q9500" s="48" t="s">
        <v>54</v>
      </c>
      <c r="R9500" s="45" t="s">
        <v>272</v>
      </c>
    </row>
    <row r="9501" spans="2:18" ht="69" customHeight="1">
      <c r="B9501" s="79">
        <f t="shared" si="78"/>
        <v>6616</v>
      </c>
      <c r="C9501" s="178" t="s">
        <v>4277</v>
      </c>
      <c r="D9501" s="498" t="s">
        <v>23195</v>
      </c>
      <c r="E9501" s="59" t="s">
        <v>266</v>
      </c>
      <c r="F9501" s="58" t="s">
        <v>23196</v>
      </c>
      <c r="G9501" s="58" t="s">
        <v>23163</v>
      </c>
      <c r="H9501" s="546">
        <v>219.4</v>
      </c>
      <c r="I9501" s="126">
        <v>45590</v>
      </c>
      <c r="J9501" s="73" t="s">
        <v>23164</v>
      </c>
      <c r="K9501" s="67"/>
      <c r="O9501" s="462" t="s">
        <v>15051</v>
      </c>
      <c r="P9501" s="58" t="s">
        <v>44</v>
      </c>
      <c r="Q9501" s="48" t="s">
        <v>56</v>
      </c>
      <c r="R9501" s="45" t="s">
        <v>272</v>
      </c>
    </row>
    <row r="9502" spans="2:18" ht="69" customHeight="1">
      <c r="B9502" s="79">
        <f t="shared" si="78"/>
        <v>6617</v>
      </c>
      <c r="C9502" s="178" t="s">
        <v>4728</v>
      </c>
      <c r="D9502" s="498" t="s">
        <v>23197</v>
      </c>
      <c r="E9502" s="59" t="s">
        <v>266</v>
      </c>
      <c r="F9502" s="58" t="s">
        <v>23198</v>
      </c>
      <c r="G9502" s="58" t="s">
        <v>23163</v>
      </c>
      <c r="H9502" s="546">
        <v>219.4</v>
      </c>
      <c r="I9502" s="126">
        <v>45590</v>
      </c>
      <c r="J9502" s="73" t="s">
        <v>23164</v>
      </c>
      <c r="K9502" s="67"/>
      <c r="O9502" s="462" t="s">
        <v>15051</v>
      </c>
      <c r="P9502" s="58" t="s">
        <v>44</v>
      </c>
      <c r="Q9502" s="48" t="s">
        <v>58</v>
      </c>
      <c r="R9502" s="45" t="s">
        <v>272</v>
      </c>
    </row>
    <row r="9503" spans="2:18" ht="69" customHeight="1">
      <c r="B9503" s="79">
        <f t="shared" si="78"/>
        <v>6618</v>
      </c>
      <c r="C9503" s="178" t="s">
        <v>5254</v>
      </c>
      <c r="D9503" s="498" t="s">
        <v>23199</v>
      </c>
      <c r="E9503" s="59" t="s">
        <v>266</v>
      </c>
      <c r="F9503" s="58" t="s">
        <v>23200</v>
      </c>
      <c r="G9503" s="58" t="s">
        <v>23163</v>
      </c>
      <c r="H9503" s="546">
        <v>219.4</v>
      </c>
      <c r="I9503" s="126">
        <v>45590</v>
      </c>
      <c r="J9503" s="73" t="s">
        <v>23164</v>
      </c>
      <c r="K9503" s="67"/>
      <c r="O9503" s="462" t="s">
        <v>15051</v>
      </c>
      <c r="P9503" s="58" t="s">
        <v>44</v>
      </c>
      <c r="Q9503" s="48" t="s">
        <v>60</v>
      </c>
      <c r="R9503" s="45" t="s">
        <v>272</v>
      </c>
    </row>
    <row r="9504" spans="2:18" ht="69" customHeight="1">
      <c r="B9504" s="79">
        <f t="shared" si="78"/>
        <v>6619</v>
      </c>
      <c r="C9504" s="178" t="s">
        <v>5189</v>
      </c>
      <c r="D9504" s="498" t="s">
        <v>23201</v>
      </c>
      <c r="E9504" s="59" t="s">
        <v>266</v>
      </c>
      <c r="F9504" s="58" t="s">
        <v>23202</v>
      </c>
      <c r="G9504" s="58" t="s">
        <v>23163</v>
      </c>
      <c r="H9504" s="546">
        <v>219.4</v>
      </c>
      <c r="I9504" s="126">
        <v>45590</v>
      </c>
      <c r="J9504" s="73" t="s">
        <v>23164</v>
      </c>
      <c r="K9504" s="67"/>
      <c r="O9504" s="462" t="s">
        <v>15051</v>
      </c>
      <c r="P9504" s="58" t="s">
        <v>44</v>
      </c>
      <c r="Q9504" s="48" t="s">
        <v>62</v>
      </c>
      <c r="R9504" s="45" t="s">
        <v>272</v>
      </c>
    </row>
    <row r="9505" spans="2:18" ht="69" customHeight="1">
      <c r="B9505" s="79">
        <f t="shared" si="78"/>
        <v>6620</v>
      </c>
      <c r="C9505" s="178" t="s">
        <v>5558</v>
      </c>
      <c r="D9505" s="498" t="s">
        <v>23203</v>
      </c>
      <c r="E9505" s="59" t="s">
        <v>266</v>
      </c>
      <c r="F9505" s="58" t="s">
        <v>23204</v>
      </c>
      <c r="G9505" s="58" t="s">
        <v>23163</v>
      </c>
      <c r="H9505" s="546">
        <v>219.4</v>
      </c>
      <c r="I9505" s="126">
        <v>45590</v>
      </c>
      <c r="J9505" s="73" t="s">
        <v>23164</v>
      </c>
      <c r="K9505" s="67"/>
      <c r="O9505" s="462" t="s">
        <v>15051</v>
      </c>
      <c r="P9505" s="58" t="s">
        <v>44</v>
      </c>
      <c r="Q9505" s="48" t="s">
        <v>64</v>
      </c>
      <c r="R9505" s="45" t="s">
        <v>272</v>
      </c>
    </row>
    <row r="9506" spans="2:18" ht="69" customHeight="1">
      <c r="B9506" s="79">
        <f t="shared" si="78"/>
        <v>6621</v>
      </c>
      <c r="C9506" s="178" t="s">
        <v>11058</v>
      </c>
      <c r="D9506" s="498" t="s">
        <v>19005</v>
      </c>
      <c r="E9506" s="59" t="s">
        <v>266</v>
      </c>
      <c r="F9506" s="58" t="s">
        <v>23205</v>
      </c>
      <c r="G9506" s="58" t="s">
        <v>23163</v>
      </c>
      <c r="H9506" s="546">
        <v>219.4</v>
      </c>
      <c r="I9506" s="126">
        <v>45590</v>
      </c>
      <c r="J9506" s="73" t="s">
        <v>23164</v>
      </c>
      <c r="K9506" s="67"/>
      <c r="O9506" s="462" t="s">
        <v>15051</v>
      </c>
      <c r="P9506" s="58" t="s">
        <v>44</v>
      </c>
      <c r="Q9506" s="48" t="s">
        <v>23</v>
      </c>
      <c r="R9506" s="45" t="s">
        <v>272</v>
      </c>
    </row>
    <row r="9507" spans="2:18" ht="69" customHeight="1">
      <c r="B9507" s="79">
        <f t="shared" si="78"/>
        <v>6622</v>
      </c>
      <c r="C9507" s="178" t="s">
        <v>1323</v>
      </c>
      <c r="D9507" s="498" t="s">
        <v>21993</v>
      </c>
      <c r="E9507" s="59" t="s">
        <v>266</v>
      </c>
      <c r="F9507" s="58" t="s">
        <v>23206</v>
      </c>
      <c r="G9507" s="58" t="s">
        <v>23163</v>
      </c>
      <c r="H9507" s="546">
        <v>219.4</v>
      </c>
      <c r="I9507" s="126">
        <v>45590</v>
      </c>
      <c r="J9507" s="73" t="s">
        <v>23164</v>
      </c>
      <c r="K9507" s="67"/>
      <c r="O9507" s="462" t="s">
        <v>15051</v>
      </c>
      <c r="P9507" s="58" t="s">
        <v>44</v>
      </c>
      <c r="Q9507" s="48" t="s">
        <v>25</v>
      </c>
      <c r="R9507" s="45" t="s">
        <v>272</v>
      </c>
    </row>
    <row r="9508" spans="2:18" ht="69" customHeight="1">
      <c r="B9508" s="79">
        <f t="shared" si="78"/>
        <v>6623</v>
      </c>
      <c r="C9508" s="178" t="s">
        <v>6888</v>
      </c>
      <c r="D9508" s="498" t="s">
        <v>23207</v>
      </c>
      <c r="E9508" s="59" t="s">
        <v>266</v>
      </c>
      <c r="F9508" s="58" t="s">
        <v>23208</v>
      </c>
      <c r="G9508" s="58" t="s">
        <v>23163</v>
      </c>
      <c r="H9508" s="546">
        <v>219.4</v>
      </c>
      <c r="I9508" s="126">
        <v>45590</v>
      </c>
      <c r="J9508" s="73" t="s">
        <v>23164</v>
      </c>
      <c r="K9508" s="67"/>
      <c r="O9508" s="462" t="s">
        <v>15051</v>
      </c>
      <c r="P9508" s="58" t="s">
        <v>44</v>
      </c>
      <c r="Q9508" s="48" t="s">
        <v>84</v>
      </c>
      <c r="R9508" s="45" t="s">
        <v>272</v>
      </c>
    </row>
    <row r="9509" spans="2:18" ht="69" customHeight="1">
      <c r="B9509" s="79">
        <f t="shared" si="78"/>
        <v>6624</v>
      </c>
      <c r="C9509" s="178" t="s">
        <v>9094</v>
      </c>
      <c r="D9509" s="498" t="s">
        <v>23209</v>
      </c>
      <c r="E9509" s="59" t="s">
        <v>266</v>
      </c>
      <c r="F9509" s="58" t="s">
        <v>23210</v>
      </c>
      <c r="G9509" s="58" t="s">
        <v>23163</v>
      </c>
      <c r="H9509" s="546">
        <v>219.4</v>
      </c>
      <c r="I9509" s="126">
        <v>45590</v>
      </c>
      <c r="J9509" s="73" t="s">
        <v>23164</v>
      </c>
      <c r="K9509" s="67"/>
      <c r="O9509" s="462" t="s">
        <v>15051</v>
      </c>
      <c r="P9509" s="58" t="s">
        <v>44</v>
      </c>
      <c r="Q9509" s="48" t="s">
        <v>112</v>
      </c>
      <c r="R9509" s="45" t="s">
        <v>272</v>
      </c>
    </row>
    <row r="9510" spans="2:18" ht="69" customHeight="1">
      <c r="B9510" s="79">
        <f t="shared" si="78"/>
        <v>6625</v>
      </c>
      <c r="C9510" s="59" t="s">
        <v>9004</v>
      </c>
      <c r="D9510" s="498" t="s">
        <v>12072</v>
      </c>
      <c r="E9510" s="59" t="s">
        <v>266</v>
      </c>
      <c r="F9510" s="58" t="s">
        <v>23211</v>
      </c>
      <c r="G9510" s="58" t="s">
        <v>23163</v>
      </c>
      <c r="H9510" s="546">
        <v>219.4</v>
      </c>
      <c r="I9510" s="126">
        <v>45590</v>
      </c>
      <c r="J9510" s="73" t="s">
        <v>23164</v>
      </c>
      <c r="K9510" s="67"/>
      <c r="O9510" s="462" t="s">
        <v>15051</v>
      </c>
      <c r="P9510" s="58" t="s">
        <v>44</v>
      </c>
      <c r="Q9510" s="48" t="s">
        <v>111</v>
      </c>
      <c r="R9510" s="45" t="s">
        <v>272</v>
      </c>
    </row>
    <row r="9511" spans="2:18" ht="69" customHeight="1">
      <c r="B9511" s="79">
        <f t="shared" si="78"/>
        <v>6626</v>
      </c>
      <c r="C9511" s="178" t="s">
        <v>1853</v>
      </c>
      <c r="D9511" s="498" t="s">
        <v>19007</v>
      </c>
      <c r="E9511" s="59" t="s">
        <v>266</v>
      </c>
      <c r="F9511" s="58" t="s">
        <v>23212</v>
      </c>
      <c r="G9511" s="58" t="s">
        <v>23163</v>
      </c>
      <c r="H9511" s="546">
        <v>219.4</v>
      </c>
      <c r="I9511" s="126">
        <v>45590</v>
      </c>
      <c r="J9511" s="73" t="s">
        <v>23164</v>
      </c>
      <c r="K9511" s="67"/>
      <c r="O9511" s="462" t="s">
        <v>15051</v>
      </c>
      <c r="P9511" s="58" t="s">
        <v>44</v>
      </c>
      <c r="Q9511" s="48" t="s">
        <v>29</v>
      </c>
      <c r="R9511" s="45" t="s">
        <v>272</v>
      </c>
    </row>
    <row r="9512" spans="2:18" ht="69" customHeight="1">
      <c r="B9512" s="79">
        <f t="shared" si="78"/>
        <v>6627</v>
      </c>
      <c r="C9512" s="178" t="s">
        <v>2182</v>
      </c>
      <c r="D9512" s="498" t="s">
        <v>19009</v>
      </c>
      <c r="E9512" s="59" t="s">
        <v>266</v>
      </c>
      <c r="F9512" s="58" t="s">
        <v>23213</v>
      </c>
      <c r="G9512" s="58" t="s">
        <v>23163</v>
      </c>
      <c r="H9512" s="546">
        <v>219.4</v>
      </c>
      <c r="I9512" s="126">
        <v>45590</v>
      </c>
      <c r="J9512" s="73" t="s">
        <v>23164</v>
      </c>
      <c r="K9512" s="67"/>
      <c r="O9512" s="462" t="s">
        <v>15051</v>
      </c>
      <c r="P9512" s="58" t="s">
        <v>44</v>
      </c>
      <c r="Q9512" s="48" t="s">
        <v>31</v>
      </c>
      <c r="R9512" s="45" t="s">
        <v>272</v>
      </c>
    </row>
    <row r="9513" spans="2:18" ht="69" customHeight="1">
      <c r="B9513" s="79">
        <f t="shared" si="78"/>
        <v>6628</v>
      </c>
      <c r="C9513" s="178" t="s">
        <v>11047</v>
      </c>
      <c r="D9513" s="498" t="s">
        <v>19011</v>
      </c>
      <c r="E9513" s="59" t="s">
        <v>266</v>
      </c>
      <c r="F9513" s="58" t="s">
        <v>23214</v>
      </c>
      <c r="G9513" s="58" t="s">
        <v>23163</v>
      </c>
      <c r="H9513" s="546">
        <v>219.4</v>
      </c>
      <c r="I9513" s="126">
        <v>45590</v>
      </c>
      <c r="J9513" s="73" t="s">
        <v>23164</v>
      </c>
      <c r="K9513" s="67"/>
      <c r="O9513" s="462" t="s">
        <v>15051</v>
      </c>
      <c r="P9513" s="58" t="s">
        <v>44</v>
      </c>
      <c r="Q9513" s="48" t="s">
        <v>33</v>
      </c>
      <c r="R9513" s="45" t="s">
        <v>272</v>
      </c>
    </row>
    <row r="9514" spans="2:18" ht="69" customHeight="1">
      <c r="B9514" s="79">
        <f t="shared" si="78"/>
        <v>6629</v>
      </c>
      <c r="C9514" s="178" t="s">
        <v>12631</v>
      </c>
      <c r="D9514" s="498" t="s">
        <v>22018</v>
      </c>
      <c r="E9514" s="59" t="s">
        <v>266</v>
      </c>
      <c r="F9514" s="58" t="s">
        <v>23215</v>
      </c>
      <c r="G9514" s="58" t="s">
        <v>23163</v>
      </c>
      <c r="H9514" s="546">
        <v>219.4</v>
      </c>
      <c r="I9514" s="126">
        <v>45590</v>
      </c>
      <c r="J9514" s="73" t="s">
        <v>23164</v>
      </c>
      <c r="K9514" s="67"/>
      <c r="O9514" s="462" t="s">
        <v>15051</v>
      </c>
      <c r="P9514" s="58" t="s">
        <v>44</v>
      </c>
      <c r="Q9514" s="48" t="s">
        <v>35</v>
      </c>
      <c r="R9514" s="45" t="s">
        <v>272</v>
      </c>
    </row>
    <row r="9515" spans="2:18" ht="69" customHeight="1">
      <c r="B9515" s="79">
        <f t="shared" si="78"/>
        <v>6630</v>
      </c>
      <c r="C9515" s="178" t="s">
        <v>11052</v>
      </c>
      <c r="D9515" s="498" t="s">
        <v>23216</v>
      </c>
      <c r="E9515" s="59" t="s">
        <v>266</v>
      </c>
      <c r="F9515" s="58" t="s">
        <v>23217</v>
      </c>
      <c r="G9515" s="58" t="s">
        <v>23163</v>
      </c>
      <c r="H9515" s="546">
        <v>219.4</v>
      </c>
      <c r="I9515" s="126">
        <v>45590</v>
      </c>
      <c r="J9515" s="73" t="s">
        <v>23164</v>
      </c>
      <c r="K9515" s="67"/>
      <c r="O9515" s="462" t="s">
        <v>15051</v>
      </c>
      <c r="P9515" s="58" t="s">
        <v>44</v>
      </c>
      <c r="Q9515" s="48" t="s">
        <v>37</v>
      </c>
      <c r="R9515" s="45" t="s">
        <v>272</v>
      </c>
    </row>
    <row r="9516" spans="2:18" ht="69" customHeight="1">
      <c r="B9516" s="79">
        <f t="shared" si="78"/>
        <v>6631</v>
      </c>
      <c r="C9516" s="178" t="s">
        <v>10856</v>
      </c>
      <c r="D9516" s="498" t="s">
        <v>23218</v>
      </c>
      <c r="E9516" s="59" t="s">
        <v>266</v>
      </c>
      <c r="F9516" s="58" t="s">
        <v>23219</v>
      </c>
      <c r="G9516" s="58" t="s">
        <v>23163</v>
      </c>
      <c r="H9516" s="546">
        <v>219.4</v>
      </c>
      <c r="I9516" s="126">
        <v>45590</v>
      </c>
      <c r="J9516" s="73" t="s">
        <v>23164</v>
      </c>
      <c r="K9516" s="67"/>
      <c r="O9516" s="462" t="s">
        <v>15051</v>
      </c>
      <c r="P9516" s="58" t="s">
        <v>44</v>
      </c>
      <c r="Q9516" s="48" t="s">
        <v>39</v>
      </c>
      <c r="R9516" s="45" t="s">
        <v>272</v>
      </c>
    </row>
    <row r="9517" spans="2:18" ht="69" customHeight="1">
      <c r="B9517" s="79">
        <f t="shared" si="78"/>
        <v>6632</v>
      </c>
      <c r="C9517" s="178" t="s">
        <v>11042</v>
      </c>
      <c r="D9517" s="498" t="s">
        <v>23220</v>
      </c>
      <c r="E9517" s="59" t="s">
        <v>266</v>
      </c>
      <c r="F9517" s="58" t="s">
        <v>23221</v>
      </c>
      <c r="G9517" s="58" t="s">
        <v>23163</v>
      </c>
      <c r="H9517" s="546">
        <v>219.4</v>
      </c>
      <c r="I9517" s="126">
        <v>45590</v>
      </c>
      <c r="J9517" s="73" t="s">
        <v>23164</v>
      </c>
      <c r="K9517" s="67"/>
      <c r="O9517" s="462" t="s">
        <v>15051</v>
      </c>
      <c r="P9517" s="58" t="s">
        <v>44</v>
      </c>
      <c r="Q9517" s="48" t="s">
        <v>41</v>
      </c>
      <c r="R9517" s="45" t="s">
        <v>272</v>
      </c>
    </row>
    <row r="9518" spans="2:18" ht="69" customHeight="1">
      <c r="B9518" s="79">
        <f t="shared" si="78"/>
        <v>6633</v>
      </c>
      <c r="C9518" s="178" t="s">
        <v>6261</v>
      </c>
      <c r="D9518" s="498" t="s">
        <v>23222</v>
      </c>
      <c r="E9518" s="59" t="s">
        <v>266</v>
      </c>
      <c r="F9518" s="58" t="s">
        <v>23223</v>
      </c>
      <c r="G9518" s="58" t="s">
        <v>23163</v>
      </c>
      <c r="H9518" s="546">
        <v>219.4</v>
      </c>
      <c r="I9518" s="126">
        <v>45590</v>
      </c>
      <c r="J9518" s="73" t="s">
        <v>23164</v>
      </c>
      <c r="K9518" s="67"/>
      <c r="O9518" s="462" t="s">
        <v>15051</v>
      </c>
      <c r="P9518" s="58" t="s">
        <v>44</v>
      </c>
      <c r="Q9518" s="48" t="s">
        <v>74</v>
      </c>
      <c r="R9518" s="45" t="s">
        <v>272</v>
      </c>
    </row>
    <row r="9519" spans="2:18" ht="69" customHeight="1">
      <c r="B9519" s="79">
        <f t="shared" si="78"/>
        <v>6634</v>
      </c>
      <c r="C9519" s="178" t="s">
        <v>6468</v>
      </c>
      <c r="D9519" s="498" t="s">
        <v>23224</v>
      </c>
      <c r="E9519" s="59" t="s">
        <v>266</v>
      </c>
      <c r="F9519" s="58" t="s">
        <v>23225</v>
      </c>
      <c r="G9519" s="58" t="s">
        <v>23163</v>
      </c>
      <c r="H9519" s="546">
        <v>219.4</v>
      </c>
      <c r="I9519" s="126">
        <v>45590</v>
      </c>
      <c r="J9519" s="73" t="s">
        <v>23164</v>
      </c>
      <c r="K9519" s="67"/>
      <c r="O9519" s="462" t="s">
        <v>15051</v>
      </c>
      <c r="P9519" s="58" t="s">
        <v>44</v>
      </c>
      <c r="Q9519" s="48" t="s">
        <v>76</v>
      </c>
      <c r="R9519" s="45" t="s">
        <v>272</v>
      </c>
    </row>
    <row r="9520" spans="2:18" ht="69" customHeight="1">
      <c r="B9520" s="79">
        <f t="shared" si="78"/>
        <v>6635</v>
      </c>
      <c r="C9520" s="655" t="s">
        <v>6693</v>
      </c>
      <c r="D9520" s="498" t="s">
        <v>23226</v>
      </c>
      <c r="E9520" s="59" t="s">
        <v>266</v>
      </c>
      <c r="F9520" s="58" t="s">
        <v>23227</v>
      </c>
      <c r="G9520" s="58" t="s">
        <v>23163</v>
      </c>
      <c r="H9520" s="546">
        <v>219.4</v>
      </c>
      <c r="I9520" s="126">
        <v>45590</v>
      </c>
      <c r="J9520" s="73" t="s">
        <v>23164</v>
      </c>
      <c r="K9520" s="67"/>
      <c r="O9520" s="462" t="s">
        <v>15051</v>
      </c>
      <c r="P9520" s="58" t="s">
        <v>44</v>
      </c>
      <c r="Q9520" s="48" t="s">
        <v>78</v>
      </c>
      <c r="R9520" s="45" t="s">
        <v>272</v>
      </c>
    </row>
    <row r="9521" spans="2:18" ht="69" customHeight="1">
      <c r="B9521" s="79">
        <f t="shared" si="78"/>
        <v>6636</v>
      </c>
      <c r="C9521" s="58" t="s">
        <v>9215</v>
      </c>
      <c r="D9521" s="498" t="s">
        <v>23228</v>
      </c>
      <c r="E9521" s="59" t="s">
        <v>266</v>
      </c>
      <c r="F9521" s="58" t="s">
        <v>23229</v>
      </c>
      <c r="G9521" s="58" t="s">
        <v>23163</v>
      </c>
      <c r="H9521" s="546">
        <v>219.4</v>
      </c>
      <c r="I9521" s="126">
        <v>45590</v>
      </c>
      <c r="J9521" s="73" t="s">
        <v>23164</v>
      </c>
      <c r="K9521" s="67"/>
      <c r="O9521" s="462" t="s">
        <v>15051</v>
      </c>
      <c r="P9521" s="58" t="s">
        <v>44</v>
      </c>
      <c r="Q9521" s="48" t="s">
        <v>113</v>
      </c>
      <c r="R9521" s="45" t="s">
        <v>272</v>
      </c>
    </row>
    <row r="9522" spans="2:18" ht="69" customHeight="1">
      <c r="B9522" s="79">
        <f t="shared" si="78"/>
        <v>6637</v>
      </c>
      <c r="C9522" s="178" t="s">
        <v>5658</v>
      </c>
      <c r="D9522" s="498" t="s">
        <v>23230</v>
      </c>
      <c r="E9522" s="59" t="s">
        <v>266</v>
      </c>
      <c r="F9522" s="58" t="s">
        <v>23231</v>
      </c>
      <c r="G9522" s="58" t="s">
        <v>23163</v>
      </c>
      <c r="H9522" s="546">
        <v>219.4</v>
      </c>
      <c r="I9522" s="126">
        <v>45590</v>
      </c>
      <c r="J9522" s="73" t="s">
        <v>23164</v>
      </c>
      <c r="K9522" s="67"/>
      <c r="O9522" s="462" t="s">
        <v>15051</v>
      </c>
      <c r="P9522" s="58" t="s">
        <v>44</v>
      </c>
      <c r="Q9522" s="48" t="s">
        <v>66</v>
      </c>
      <c r="R9522" s="45" t="s">
        <v>272</v>
      </c>
    </row>
    <row r="9523" spans="2:18" ht="69" customHeight="1">
      <c r="B9523" s="79">
        <f t="shared" si="78"/>
        <v>6638</v>
      </c>
      <c r="C9523" s="178" t="s">
        <v>9322</v>
      </c>
      <c r="D9523" s="498" t="s">
        <v>23232</v>
      </c>
      <c r="E9523" s="59" t="s">
        <v>266</v>
      </c>
      <c r="F9523" s="58" t="s">
        <v>23233</v>
      </c>
      <c r="G9523" s="58" t="s">
        <v>23163</v>
      </c>
      <c r="H9523" s="546">
        <v>219.4</v>
      </c>
      <c r="I9523" s="126">
        <v>45590</v>
      </c>
      <c r="J9523" s="73" t="s">
        <v>23164</v>
      </c>
      <c r="K9523" s="67"/>
      <c r="O9523" s="462" t="s">
        <v>15051</v>
      </c>
      <c r="P9523" s="58" t="s">
        <v>44</v>
      </c>
      <c r="Q9523" s="48" t="s">
        <v>114</v>
      </c>
      <c r="R9523" s="45" t="s">
        <v>272</v>
      </c>
    </row>
    <row r="9524" spans="2:18" ht="69" customHeight="1">
      <c r="B9524" s="79">
        <f t="shared" si="78"/>
        <v>6639</v>
      </c>
      <c r="C9524" s="178" t="s">
        <v>9441</v>
      </c>
      <c r="D9524" s="498" t="s">
        <v>16746</v>
      </c>
      <c r="E9524" s="59" t="s">
        <v>266</v>
      </c>
      <c r="F9524" s="58" t="s">
        <v>23234</v>
      </c>
      <c r="G9524" s="58" t="s">
        <v>23163</v>
      </c>
      <c r="H9524" s="546">
        <v>219.4</v>
      </c>
      <c r="I9524" s="126">
        <v>45590</v>
      </c>
      <c r="J9524" s="73" t="s">
        <v>23164</v>
      </c>
      <c r="K9524" s="67"/>
      <c r="O9524" s="462" t="s">
        <v>15051</v>
      </c>
      <c r="P9524" s="58" t="s">
        <v>44</v>
      </c>
      <c r="Q9524" s="48" t="s">
        <v>116</v>
      </c>
      <c r="R9524" s="45" t="s">
        <v>272</v>
      </c>
    </row>
    <row r="9525" spans="2:18" ht="69" customHeight="1">
      <c r="B9525" s="79">
        <f t="shared" si="78"/>
        <v>6640</v>
      </c>
      <c r="C9525" s="59" t="s">
        <v>9545</v>
      </c>
      <c r="D9525" s="498" t="s">
        <v>20847</v>
      </c>
      <c r="E9525" s="59" t="s">
        <v>266</v>
      </c>
      <c r="F9525" s="58" t="s">
        <v>23235</v>
      </c>
      <c r="G9525" s="58" t="s">
        <v>23163</v>
      </c>
      <c r="H9525" s="546">
        <v>219.4</v>
      </c>
      <c r="I9525" s="126">
        <v>45590</v>
      </c>
      <c r="J9525" s="73" t="s">
        <v>23164</v>
      </c>
      <c r="K9525" s="67"/>
      <c r="O9525" s="462" t="s">
        <v>15051</v>
      </c>
      <c r="P9525" s="58" t="s">
        <v>44</v>
      </c>
      <c r="Q9525" s="48" t="s">
        <v>117</v>
      </c>
      <c r="R9525" s="45" t="s">
        <v>272</v>
      </c>
    </row>
    <row r="9526" spans="2:18" ht="69" customHeight="1">
      <c r="B9526" s="79">
        <f t="shared" si="78"/>
        <v>6641</v>
      </c>
      <c r="C9526" s="178" t="s">
        <v>9596</v>
      </c>
      <c r="D9526" s="498" t="s">
        <v>23236</v>
      </c>
      <c r="E9526" s="59" t="s">
        <v>266</v>
      </c>
      <c r="F9526" s="58" t="s">
        <v>23237</v>
      </c>
      <c r="G9526" s="58" t="s">
        <v>23163</v>
      </c>
      <c r="H9526" s="546">
        <v>219.4</v>
      </c>
      <c r="I9526" s="126">
        <v>45590</v>
      </c>
      <c r="J9526" s="73" t="s">
        <v>23164</v>
      </c>
      <c r="K9526" s="67"/>
      <c r="O9526" s="462" t="s">
        <v>15051</v>
      </c>
      <c r="P9526" s="58" t="s">
        <v>44</v>
      </c>
      <c r="Q9526" s="48" t="s">
        <v>118</v>
      </c>
      <c r="R9526" s="45" t="s">
        <v>272</v>
      </c>
    </row>
    <row r="9527" spans="2:18" ht="69" customHeight="1">
      <c r="B9527" s="79">
        <f t="shared" si="78"/>
        <v>6642</v>
      </c>
      <c r="C9527" s="59" t="s">
        <v>10612</v>
      </c>
      <c r="D9527" s="498" t="s">
        <v>23238</v>
      </c>
      <c r="E9527" s="59" t="s">
        <v>266</v>
      </c>
      <c r="F9527" s="58" t="s">
        <v>23239</v>
      </c>
      <c r="G9527" s="58" t="s">
        <v>23163</v>
      </c>
      <c r="H9527" s="546">
        <v>219.4</v>
      </c>
      <c r="I9527" s="126">
        <v>45590</v>
      </c>
      <c r="J9527" s="73" t="s">
        <v>23164</v>
      </c>
      <c r="K9527" s="67"/>
      <c r="O9527" s="462" t="s">
        <v>15051</v>
      </c>
      <c r="P9527" s="58" t="s">
        <v>44</v>
      </c>
      <c r="Q9527" s="48" t="s">
        <v>86</v>
      </c>
      <c r="R9527" s="45" t="s">
        <v>272</v>
      </c>
    </row>
    <row r="9528" spans="2:18" ht="69" customHeight="1">
      <c r="B9528" s="79">
        <f t="shared" si="78"/>
        <v>6643</v>
      </c>
      <c r="C9528" s="178" t="s">
        <v>7415</v>
      </c>
      <c r="D9528" s="498" t="s">
        <v>23240</v>
      </c>
      <c r="E9528" s="59" t="s">
        <v>266</v>
      </c>
      <c r="F9528" s="58" t="s">
        <v>23241</v>
      </c>
      <c r="G9528" s="58" t="s">
        <v>23163</v>
      </c>
      <c r="H9528" s="546">
        <v>219.4</v>
      </c>
      <c r="I9528" s="126">
        <v>45590</v>
      </c>
      <c r="J9528" s="73" t="s">
        <v>23164</v>
      </c>
      <c r="K9528" s="67"/>
      <c r="O9528" s="462" t="s">
        <v>15051</v>
      </c>
      <c r="P9528" s="58" t="s">
        <v>44</v>
      </c>
      <c r="Q9528" s="48" t="s">
        <v>119</v>
      </c>
      <c r="R9528" s="45" t="s">
        <v>272</v>
      </c>
    </row>
    <row r="9529" spans="2:18" ht="69" customHeight="1">
      <c r="B9529" s="79">
        <f t="shared" si="78"/>
        <v>6644</v>
      </c>
      <c r="C9529" s="178" t="s">
        <v>10205</v>
      </c>
      <c r="D9529" s="498" t="s">
        <v>16753</v>
      </c>
      <c r="E9529" s="59" t="s">
        <v>266</v>
      </c>
      <c r="F9529" s="58" t="s">
        <v>23242</v>
      </c>
      <c r="G9529" s="58" t="s">
        <v>23163</v>
      </c>
      <c r="H9529" s="546">
        <v>219.4</v>
      </c>
      <c r="I9529" s="126">
        <v>45590</v>
      </c>
      <c r="J9529" s="73" t="s">
        <v>23164</v>
      </c>
      <c r="K9529" s="67"/>
      <c r="O9529" s="462" t="s">
        <v>15051</v>
      </c>
      <c r="P9529" s="58" t="s">
        <v>44</v>
      </c>
      <c r="Q9529" s="48" t="s">
        <v>120</v>
      </c>
      <c r="R9529" s="45" t="s">
        <v>272</v>
      </c>
    </row>
    <row r="9530" spans="2:18" ht="69" customHeight="1">
      <c r="B9530" s="79">
        <f t="shared" si="78"/>
        <v>6645</v>
      </c>
      <c r="C9530" s="178" t="s">
        <v>10418</v>
      </c>
      <c r="D9530" s="498" t="s">
        <v>23243</v>
      </c>
      <c r="E9530" s="59" t="s">
        <v>266</v>
      </c>
      <c r="F9530" s="58" t="s">
        <v>23244</v>
      </c>
      <c r="G9530" s="58" t="s">
        <v>23163</v>
      </c>
      <c r="H9530" s="546">
        <v>219.4</v>
      </c>
      <c r="I9530" s="126">
        <v>45590</v>
      </c>
      <c r="J9530" s="73" t="s">
        <v>23164</v>
      </c>
      <c r="K9530" s="67"/>
      <c r="O9530" s="462" t="s">
        <v>15051</v>
      </c>
      <c r="P9530" s="58" t="s">
        <v>44</v>
      </c>
      <c r="Q9530" s="48" t="s">
        <v>121</v>
      </c>
      <c r="R9530" s="45" t="s">
        <v>272</v>
      </c>
    </row>
    <row r="9531" spans="2:18" ht="69" customHeight="1">
      <c r="B9531" s="79">
        <f t="shared" si="78"/>
        <v>6646</v>
      </c>
      <c r="C9531" s="178" t="s">
        <v>3368</v>
      </c>
      <c r="D9531" s="551" t="s">
        <v>23245</v>
      </c>
      <c r="E9531" s="59" t="s">
        <v>266</v>
      </c>
      <c r="F9531" s="58" t="s">
        <v>23246</v>
      </c>
      <c r="G9531" s="58" t="s">
        <v>23163</v>
      </c>
      <c r="H9531" s="546">
        <v>219.4</v>
      </c>
      <c r="I9531" s="126">
        <v>45590</v>
      </c>
      <c r="J9531" s="73" t="s">
        <v>23164</v>
      </c>
      <c r="K9531" s="67"/>
      <c r="O9531" s="462" t="s">
        <v>15051</v>
      </c>
      <c r="P9531" s="58" t="s">
        <v>44</v>
      </c>
      <c r="Q9531" s="48" t="s">
        <v>43</v>
      </c>
      <c r="R9531" s="45" t="s">
        <v>272</v>
      </c>
    </row>
    <row r="9532" spans="2:18" ht="69" customHeight="1">
      <c r="B9532" s="79">
        <f t="shared" si="78"/>
        <v>6647</v>
      </c>
      <c r="C9532" s="58" t="s">
        <v>9215</v>
      </c>
      <c r="D9532" s="498" t="s">
        <v>23247</v>
      </c>
      <c r="E9532" s="58" t="s">
        <v>22420</v>
      </c>
      <c r="F9532" s="58" t="s">
        <v>23248</v>
      </c>
      <c r="G9532" s="58" t="s">
        <v>23249</v>
      </c>
      <c r="H9532" s="198">
        <v>5821.02</v>
      </c>
      <c r="I9532" s="126">
        <v>45580</v>
      </c>
      <c r="J9532" s="125" t="s">
        <v>23250</v>
      </c>
      <c r="K9532" s="67"/>
      <c r="O9532" s="45" t="s">
        <v>17289</v>
      </c>
      <c r="P9532" s="45" t="s">
        <v>51</v>
      </c>
      <c r="Q9532" s="48" t="s">
        <v>113</v>
      </c>
      <c r="R9532" s="45" t="s">
        <v>265</v>
      </c>
    </row>
    <row r="9533" spans="2:18" ht="69" customHeight="1">
      <c r="B9533" s="79">
        <f t="shared" si="78"/>
        <v>6648</v>
      </c>
      <c r="C9533" s="58" t="s">
        <v>9004</v>
      </c>
      <c r="D9533" s="498" t="s">
        <v>11878</v>
      </c>
      <c r="E9533" s="58" t="s">
        <v>22420</v>
      </c>
      <c r="F9533" s="58" t="s">
        <v>23251</v>
      </c>
      <c r="G9533" s="58" t="s">
        <v>23252</v>
      </c>
      <c r="H9533" s="198">
        <v>5821.02</v>
      </c>
      <c r="I9533" s="126">
        <v>45580</v>
      </c>
      <c r="J9533" s="125" t="s">
        <v>23250</v>
      </c>
      <c r="K9533" s="67"/>
      <c r="O9533" s="45" t="s">
        <v>17289</v>
      </c>
      <c r="P9533" s="45" t="s">
        <v>51</v>
      </c>
      <c r="Q9533" s="48" t="s">
        <v>111</v>
      </c>
      <c r="R9533" s="45" t="s">
        <v>265</v>
      </c>
    </row>
    <row r="9534" spans="2:18" ht="69" customHeight="1">
      <c r="B9534" s="79">
        <f t="shared" si="78"/>
        <v>6649</v>
      </c>
      <c r="C9534" s="58" t="s">
        <v>10634</v>
      </c>
      <c r="D9534" s="498" t="s">
        <v>23253</v>
      </c>
      <c r="E9534" s="58" t="s">
        <v>22420</v>
      </c>
      <c r="F9534" s="58" t="s">
        <v>23254</v>
      </c>
      <c r="G9534" s="58" t="s">
        <v>23252</v>
      </c>
      <c r="H9534" s="198">
        <v>5821.02</v>
      </c>
      <c r="I9534" s="126">
        <v>45580</v>
      </c>
      <c r="J9534" s="125" t="s">
        <v>23250</v>
      </c>
      <c r="K9534" s="67"/>
      <c r="M9534" s="45" t="s">
        <v>17289</v>
      </c>
      <c r="N9534" s="45" t="s">
        <v>51</v>
      </c>
      <c r="O9534" s="45" t="s">
        <v>17289</v>
      </c>
      <c r="P9534" s="45" t="s">
        <v>51</v>
      </c>
      <c r="Q9534" s="48" t="s">
        <v>93</v>
      </c>
      <c r="R9534" s="45" t="s">
        <v>265</v>
      </c>
    </row>
    <row r="9535" spans="2:18" ht="69" customHeight="1">
      <c r="B9535" s="79">
        <f t="shared" si="78"/>
        <v>6650</v>
      </c>
      <c r="C9535" s="58" t="s">
        <v>10639</v>
      </c>
      <c r="D9535" s="498" t="s">
        <v>23255</v>
      </c>
      <c r="E9535" s="58" t="s">
        <v>22420</v>
      </c>
      <c r="F9535" s="58" t="s">
        <v>23256</v>
      </c>
      <c r="G9535" s="58" t="s">
        <v>23252</v>
      </c>
      <c r="H9535" s="198">
        <v>5821.02</v>
      </c>
      <c r="I9535" s="126">
        <v>45580</v>
      </c>
      <c r="J9535" s="125" t="s">
        <v>23250</v>
      </c>
      <c r="K9535" s="67"/>
      <c r="O9535" s="45" t="s">
        <v>17289</v>
      </c>
      <c r="P9535" s="45" t="s">
        <v>51</v>
      </c>
      <c r="Q9535" s="48" t="s">
        <v>95</v>
      </c>
      <c r="R9535" s="45" t="s">
        <v>265</v>
      </c>
    </row>
    <row r="9536" spans="2:18" ht="69" customHeight="1">
      <c r="B9536" s="319">
        <f t="shared" si="78"/>
        <v>6651</v>
      </c>
      <c r="C9536" s="207" t="s">
        <v>3667</v>
      </c>
      <c r="D9536" s="518" t="s">
        <v>23257</v>
      </c>
      <c r="E9536" s="207" t="s">
        <v>266</v>
      </c>
      <c r="F9536" s="207" t="s">
        <v>23258</v>
      </c>
      <c r="G9536" s="160" t="s">
        <v>22902</v>
      </c>
      <c r="H9536" s="300">
        <v>7009.92</v>
      </c>
      <c r="I9536" s="209">
        <v>45590</v>
      </c>
      <c r="J9536" s="259" t="s">
        <v>23259</v>
      </c>
      <c r="K9536" s="160"/>
      <c r="O9536" s="160" t="s">
        <v>10810</v>
      </c>
      <c r="P9536" s="160" t="s">
        <v>67</v>
      </c>
      <c r="Q9536" s="259" t="s">
        <v>49</v>
      </c>
      <c r="R9536" s="160" t="s">
        <v>272</v>
      </c>
    </row>
    <row r="9537" spans="2:18" ht="69" customHeight="1">
      <c r="B9537" s="319">
        <f t="shared" si="78"/>
        <v>6652</v>
      </c>
      <c r="C9537" s="207" t="s">
        <v>309</v>
      </c>
      <c r="D9537" s="518" t="s">
        <v>23260</v>
      </c>
      <c r="E9537" s="207" t="s">
        <v>266</v>
      </c>
      <c r="F9537" s="207" t="s">
        <v>23261</v>
      </c>
      <c r="G9537" s="160" t="s">
        <v>22902</v>
      </c>
      <c r="H9537" s="300">
        <v>5476.5</v>
      </c>
      <c r="I9537" s="209">
        <v>45590</v>
      </c>
      <c r="J9537" s="259" t="s">
        <v>23259</v>
      </c>
      <c r="K9537" s="160"/>
      <c r="O9537" s="160" t="s">
        <v>10810</v>
      </c>
      <c r="P9537" s="160" t="s">
        <v>67</v>
      </c>
      <c r="Q9537" s="259" t="s">
        <v>15</v>
      </c>
      <c r="R9537" s="160" t="s">
        <v>272</v>
      </c>
    </row>
    <row r="9538" spans="2:18" ht="69" customHeight="1">
      <c r="B9538" s="319">
        <f t="shared" si="78"/>
        <v>6653</v>
      </c>
      <c r="C9538" s="207" t="s">
        <v>458</v>
      </c>
      <c r="D9538" s="518" t="s">
        <v>23262</v>
      </c>
      <c r="E9538" s="207" t="s">
        <v>266</v>
      </c>
      <c r="F9538" s="207" t="s">
        <v>23263</v>
      </c>
      <c r="G9538" s="160" t="s">
        <v>22902</v>
      </c>
      <c r="H9538" s="300">
        <v>5476.5</v>
      </c>
      <c r="I9538" s="209">
        <v>45590</v>
      </c>
      <c r="J9538" s="259" t="s">
        <v>23259</v>
      </c>
      <c r="K9538" s="160"/>
      <c r="O9538" s="160" t="s">
        <v>10810</v>
      </c>
      <c r="P9538" s="160" t="s">
        <v>67</v>
      </c>
      <c r="Q9538" s="259" t="s">
        <v>90</v>
      </c>
      <c r="R9538" s="160" t="s">
        <v>272</v>
      </c>
    </row>
    <row r="9539" spans="2:18" ht="69" customHeight="1">
      <c r="B9539" s="319">
        <f t="shared" si="78"/>
        <v>6654</v>
      </c>
      <c r="C9539" s="207" t="s">
        <v>657</v>
      </c>
      <c r="D9539" s="518" t="s">
        <v>16763</v>
      </c>
      <c r="E9539" s="207" t="s">
        <v>266</v>
      </c>
      <c r="F9539" s="207" t="s">
        <v>23264</v>
      </c>
      <c r="G9539" s="160" t="s">
        <v>22902</v>
      </c>
      <c r="H9539" s="300">
        <v>3942.08</v>
      </c>
      <c r="I9539" s="209">
        <v>45590</v>
      </c>
      <c r="J9539" s="259" t="s">
        <v>23259</v>
      </c>
      <c r="K9539" s="160"/>
      <c r="O9539" s="160" t="s">
        <v>10810</v>
      </c>
      <c r="P9539" s="160" t="s">
        <v>67</v>
      </c>
      <c r="Q9539" s="259" t="s">
        <v>99</v>
      </c>
      <c r="R9539" s="160" t="s">
        <v>272</v>
      </c>
    </row>
    <row r="9540" spans="2:18" ht="69" customHeight="1">
      <c r="B9540" s="79">
        <f t="shared" si="78"/>
        <v>6655</v>
      </c>
      <c r="C9540" s="59" t="s">
        <v>10205</v>
      </c>
      <c r="D9540" s="489" t="s">
        <v>12157</v>
      </c>
      <c r="E9540" s="59" t="s">
        <v>22151</v>
      </c>
      <c r="F9540" s="45" t="s">
        <v>23265</v>
      </c>
      <c r="G9540" s="45" t="s">
        <v>23266</v>
      </c>
      <c r="H9540" s="552">
        <v>90241.58</v>
      </c>
      <c r="I9540" s="47">
        <v>45580</v>
      </c>
      <c r="J9540" s="48" t="s">
        <v>23267</v>
      </c>
      <c r="K9540" s="45"/>
      <c r="O9540" s="58" t="s">
        <v>8228</v>
      </c>
      <c r="P9540" s="58" t="s">
        <v>57</v>
      </c>
      <c r="Q9540" s="62" t="s">
        <v>120</v>
      </c>
      <c r="R9540" s="58" t="s">
        <v>272</v>
      </c>
    </row>
    <row r="9541" spans="2:18" ht="69" customHeight="1">
      <c r="B9541" s="79">
        <f t="shared" si="78"/>
        <v>6656</v>
      </c>
      <c r="C9541" s="59" t="s">
        <v>10205</v>
      </c>
      <c r="D9541" s="489" t="s">
        <v>12159</v>
      </c>
      <c r="E9541" s="59" t="s">
        <v>22151</v>
      </c>
      <c r="F9541" s="45" t="s">
        <v>23268</v>
      </c>
      <c r="G9541" s="59" t="s">
        <v>23269</v>
      </c>
      <c r="H9541" s="552">
        <v>22560.39</v>
      </c>
      <c r="I9541" s="47">
        <v>45580</v>
      </c>
      <c r="J9541" s="48" t="s">
        <v>23267</v>
      </c>
      <c r="K9541" s="45"/>
      <c r="O9541" s="58" t="s">
        <v>8228</v>
      </c>
      <c r="P9541" s="58" t="s">
        <v>57</v>
      </c>
      <c r="Q9541" s="62" t="s">
        <v>120</v>
      </c>
      <c r="R9541" s="58" t="s">
        <v>272</v>
      </c>
    </row>
    <row r="9542" spans="2:18" ht="69" customHeight="1">
      <c r="B9542" s="79">
        <f t="shared" si="78"/>
        <v>6657</v>
      </c>
      <c r="C9542" s="59" t="s">
        <v>458</v>
      </c>
      <c r="D9542" s="489" t="s">
        <v>23270</v>
      </c>
      <c r="E9542" s="59" t="s">
        <v>22151</v>
      </c>
      <c r="F9542" s="45" t="s">
        <v>23271</v>
      </c>
      <c r="G9542" s="59" t="s">
        <v>23272</v>
      </c>
      <c r="H9542" s="198">
        <v>67118.45</v>
      </c>
      <c r="I9542" s="47">
        <v>45580</v>
      </c>
      <c r="J9542" s="73" t="s">
        <v>23273</v>
      </c>
      <c r="K9542" s="45"/>
      <c r="O9542" s="509" t="s">
        <v>8228</v>
      </c>
      <c r="P9542" s="58" t="s">
        <v>57</v>
      </c>
      <c r="Q9542" s="62" t="s">
        <v>119</v>
      </c>
      <c r="R9542" s="58" t="s">
        <v>272</v>
      </c>
    </row>
    <row r="9543" spans="2:18" ht="69" customHeight="1">
      <c r="B9543" s="79">
        <f t="shared" si="78"/>
        <v>6658</v>
      </c>
      <c r="C9543" s="59" t="s">
        <v>458</v>
      </c>
      <c r="D9543" s="489" t="s">
        <v>23274</v>
      </c>
      <c r="E9543" s="59" t="s">
        <v>22151</v>
      </c>
      <c r="F9543" s="45" t="s">
        <v>23275</v>
      </c>
      <c r="G9543" s="59" t="s">
        <v>23272</v>
      </c>
      <c r="H9543" s="198">
        <v>67118.45</v>
      </c>
      <c r="I9543" s="47">
        <v>45580</v>
      </c>
      <c r="J9543" s="73" t="s">
        <v>23273</v>
      </c>
      <c r="K9543" s="45"/>
      <c r="M9543" s="120"/>
      <c r="N9543" s="120"/>
      <c r="O9543" s="509" t="s">
        <v>8228</v>
      </c>
      <c r="P9543" s="58" t="s">
        <v>57</v>
      </c>
      <c r="Q9543" s="62" t="s">
        <v>119</v>
      </c>
      <c r="R9543" s="58" t="s">
        <v>272</v>
      </c>
    </row>
    <row r="9544" spans="2:18" ht="69" customHeight="1">
      <c r="B9544" s="79">
        <f t="shared" si="78"/>
        <v>6659</v>
      </c>
      <c r="C9544" s="59" t="s">
        <v>458</v>
      </c>
      <c r="D9544" s="498" t="s">
        <v>23276</v>
      </c>
      <c r="E9544" s="59" t="s">
        <v>22151</v>
      </c>
      <c r="F9544" s="58" t="s">
        <v>23277</v>
      </c>
      <c r="G9544" s="59" t="s">
        <v>23269</v>
      </c>
      <c r="H9544" s="546">
        <v>29454.32</v>
      </c>
      <c r="I9544" s="126">
        <v>45580</v>
      </c>
      <c r="J9544" s="242" t="s">
        <v>23278</v>
      </c>
      <c r="K9544" s="67"/>
      <c r="M9544" s="120"/>
      <c r="N9544" s="120"/>
      <c r="O9544" s="509" t="s">
        <v>8228</v>
      </c>
      <c r="P9544" s="58" t="s">
        <v>57</v>
      </c>
      <c r="Q9544" s="62" t="s">
        <v>119</v>
      </c>
      <c r="R9544" s="58" t="s">
        <v>272</v>
      </c>
    </row>
    <row r="9545" spans="2:18" ht="69" customHeight="1">
      <c r="B9545" s="79">
        <f t="shared" si="78"/>
        <v>6660</v>
      </c>
      <c r="C9545" s="59" t="s">
        <v>458</v>
      </c>
      <c r="D9545" s="498" t="s">
        <v>23279</v>
      </c>
      <c r="E9545" s="59" t="s">
        <v>22151</v>
      </c>
      <c r="F9545" s="58" t="s">
        <v>23280</v>
      </c>
      <c r="G9545" s="59" t="s">
        <v>23281</v>
      </c>
      <c r="H9545" s="546">
        <v>117817.3</v>
      </c>
      <c r="I9545" s="126">
        <v>45580</v>
      </c>
      <c r="J9545" s="242" t="s">
        <v>23278</v>
      </c>
      <c r="K9545" s="67"/>
      <c r="M9545" s="120"/>
      <c r="N9545" s="120"/>
      <c r="O9545" s="509" t="s">
        <v>8228</v>
      </c>
      <c r="P9545" s="58" t="s">
        <v>57</v>
      </c>
      <c r="Q9545" s="62" t="s">
        <v>119</v>
      </c>
      <c r="R9545" s="58" t="s">
        <v>272</v>
      </c>
    </row>
    <row r="9546" spans="2:18" ht="69" customHeight="1">
      <c r="B9546" s="79">
        <f t="shared" si="78"/>
        <v>6661</v>
      </c>
      <c r="C9546" s="722" t="s">
        <v>11047</v>
      </c>
      <c r="D9546" s="750" t="s">
        <v>23282</v>
      </c>
      <c r="E9546" s="58" t="s">
        <v>23283</v>
      </c>
      <c r="F9546" s="681" t="s">
        <v>23284</v>
      </c>
      <c r="G9546" s="58" t="s">
        <v>23285</v>
      </c>
      <c r="H9546" s="751">
        <v>68720</v>
      </c>
      <c r="I9546" s="66">
        <v>45590</v>
      </c>
      <c r="J9546" s="65" t="s">
        <v>23286</v>
      </c>
      <c r="K9546" s="58"/>
      <c r="O9546" s="58" t="s">
        <v>192</v>
      </c>
      <c r="P9546" s="58" t="s">
        <v>57</v>
      </c>
      <c r="Q9546" s="62" t="s">
        <v>33</v>
      </c>
      <c r="R9546" s="58" t="s">
        <v>272</v>
      </c>
    </row>
    <row r="9547" spans="2:18" ht="69" customHeight="1">
      <c r="B9547" s="79">
        <f t="shared" si="78"/>
        <v>6662</v>
      </c>
      <c r="C9547" s="59" t="s">
        <v>10205</v>
      </c>
      <c r="D9547" s="489" t="s">
        <v>12150</v>
      </c>
      <c r="E9547" s="59" t="s">
        <v>22151</v>
      </c>
      <c r="F9547" s="45" t="s">
        <v>23287</v>
      </c>
      <c r="G9547" s="45" t="s">
        <v>23266</v>
      </c>
      <c r="H9547" s="552">
        <v>47603.86</v>
      </c>
      <c r="I9547" s="47">
        <v>45580</v>
      </c>
      <c r="J9547" s="73" t="s">
        <v>23288</v>
      </c>
      <c r="K9547" s="45"/>
      <c r="O9547" s="58" t="s">
        <v>8228</v>
      </c>
      <c r="P9547" s="58" t="s">
        <v>57</v>
      </c>
      <c r="Q9547" s="62" t="s">
        <v>120</v>
      </c>
      <c r="R9547" s="58" t="s">
        <v>272</v>
      </c>
    </row>
    <row r="9548" spans="2:18" ht="69" customHeight="1">
      <c r="B9548" s="79">
        <f t="shared" ref="B9548:B9611" si="79">B9547+1</f>
        <v>6663</v>
      </c>
      <c r="C9548" s="59" t="s">
        <v>10205</v>
      </c>
      <c r="D9548" s="489" t="s">
        <v>12153</v>
      </c>
      <c r="E9548" s="59" t="s">
        <v>22151</v>
      </c>
      <c r="F9548" s="45" t="s">
        <v>23289</v>
      </c>
      <c r="G9548" s="59" t="s">
        <v>23290</v>
      </c>
      <c r="H9548" s="552">
        <v>47603.85</v>
      </c>
      <c r="I9548" s="47">
        <v>45580</v>
      </c>
      <c r="J9548" s="73" t="s">
        <v>23288</v>
      </c>
      <c r="K9548" s="45"/>
      <c r="O9548" s="58" t="s">
        <v>8228</v>
      </c>
      <c r="P9548" s="58" t="s">
        <v>57</v>
      </c>
      <c r="Q9548" s="62" t="s">
        <v>120</v>
      </c>
      <c r="R9548" s="58" t="s">
        <v>272</v>
      </c>
    </row>
    <row r="9549" spans="2:18" ht="69" customHeight="1">
      <c r="B9549" s="79">
        <f t="shared" si="79"/>
        <v>6664</v>
      </c>
      <c r="C9549" s="722" t="s">
        <v>2182</v>
      </c>
      <c r="D9549" s="750" t="s">
        <v>23291</v>
      </c>
      <c r="E9549" s="58" t="s">
        <v>23283</v>
      </c>
      <c r="F9549" s="681" t="s">
        <v>23292</v>
      </c>
      <c r="G9549" s="58" t="s">
        <v>23293</v>
      </c>
      <c r="H9549" s="751">
        <v>40006.199999999997</v>
      </c>
      <c r="I9549" s="66">
        <v>45590</v>
      </c>
      <c r="J9549" s="65" t="s">
        <v>23294</v>
      </c>
      <c r="K9549" s="58"/>
      <c r="O9549" s="58" t="s">
        <v>192</v>
      </c>
      <c r="P9549" s="58" t="s">
        <v>57</v>
      </c>
      <c r="Q9549" s="62" t="s">
        <v>31</v>
      </c>
      <c r="R9549" s="58" t="s">
        <v>272</v>
      </c>
    </row>
    <row r="9550" spans="2:18" ht="69" customHeight="1">
      <c r="B9550" s="79">
        <f t="shared" si="79"/>
        <v>6665</v>
      </c>
      <c r="C9550" s="58" t="s">
        <v>3007</v>
      </c>
      <c r="D9550" s="498" t="s">
        <v>23295</v>
      </c>
      <c r="E9550" s="59" t="s">
        <v>22656</v>
      </c>
      <c r="F9550" s="45" t="s">
        <v>23296</v>
      </c>
      <c r="G9550" s="45" t="s">
        <v>23040</v>
      </c>
      <c r="H9550" s="546">
        <v>5930.42</v>
      </c>
      <c r="I9550" s="126">
        <v>45590</v>
      </c>
      <c r="J9550" s="242" t="s">
        <v>23297</v>
      </c>
      <c r="K9550" s="67"/>
      <c r="O9550" s="45" t="s">
        <v>1061</v>
      </c>
      <c r="P9550" s="45" t="s">
        <v>36</v>
      </c>
      <c r="Q9550" s="48" t="s">
        <v>15</v>
      </c>
      <c r="R9550" s="45" t="s">
        <v>272</v>
      </c>
    </row>
    <row r="9551" spans="2:18" ht="69" customHeight="1">
      <c r="B9551" s="79">
        <f t="shared" si="79"/>
        <v>6666</v>
      </c>
      <c r="C9551" s="58" t="s">
        <v>3667</v>
      </c>
      <c r="D9551" s="498" t="s">
        <v>23298</v>
      </c>
      <c r="E9551" s="59" t="s">
        <v>22656</v>
      </c>
      <c r="F9551" s="45" t="s">
        <v>23299</v>
      </c>
      <c r="G9551" s="45" t="s">
        <v>23040</v>
      </c>
      <c r="H9551" s="546">
        <v>7590.94</v>
      </c>
      <c r="I9551" s="126">
        <v>45590</v>
      </c>
      <c r="J9551" s="242" t="s">
        <v>23297</v>
      </c>
      <c r="K9551" s="67"/>
      <c r="O9551" s="45" t="s">
        <v>1061</v>
      </c>
      <c r="P9551" s="45" t="s">
        <v>36</v>
      </c>
      <c r="Q9551" s="48" t="s">
        <v>15</v>
      </c>
      <c r="R9551" s="45" t="s">
        <v>272</v>
      </c>
    </row>
    <row r="9552" spans="2:18" ht="69" customHeight="1">
      <c r="B9552" s="79">
        <f t="shared" si="79"/>
        <v>6667</v>
      </c>
      <c r="C9552" s="58" t="s">
        <v>458</v>
      </c>
      <c r="D9552" s="498" t="s">
        <v>23300</v>
      </c>
      <c r="E9552" s="59" t="s">
        <v>22656</v>
      </c>
      <c r="F9552" s="45" t="s">
        <v>23301</v>
      </c>
      <c r="G9552" s="45" t="s">
        <v>23040</v>
      </c>
      <c r="H9552" s="546">
        <v>5930.42</v>
      </c>
      <c r="I9552" s="126">
        <v>45590</v>
      </c>
      <c r="J9552" s="242" t="s">
        <v>23297</v>
      </c>
      <c r="K9552" s="67"/>
      <c r="O9552" s="45" t="s">
        <v>1061</v>
      </c>
      <c r="P9552" s="45" t="s">
        <v>36</v>
      </c>
      <c r="Q9552" s="48" t="s">
        <v>90</v>
      </c>
      <c r="R9552" s="45" t="s">
        <v>272</v>
      </c>
    </row>
    <row r="9553" spans="2:18" ht="69" customHeight="1">
      <c r="B9553" s="79">
        <f t="shared" si="79"/>
        <v>6668</v>
      </c>
      <c r="C9553" s="58" t="s">
        <v>657</v>
      </c>
      <c r="D9553" s="498" t="s">
        <v>16800</v>
      </c>
      <c r="E9553" s="59" t="s">
        <v>22656</v>
      </c>
      <c r="F9553" s="45" t="s">
        <v>23302</v>
      </c>
      <c r="G9553" s="45" t="s">
        <v>23040</v>
      </c>
      <c r="H9553" s="546">
        <v>4269.8999999999996</v>
      </c>
      <c r="I9553" s="126">
        <v>45590</v>
      </c>
      <c r="J9553" s="242" t="s">
        <v>23297</v>
      </c>
      <c r="K9553" s="67"/>
      <c r="O9553" s="45" t="s">
        <v>1061</v>
      </c>
      <c r="P9553" s="45" t="s">
        <v>36</v>
      </c>
      <c r="Q9553" s="48" t="s">
        <v>99</v>
      </c>
      <c r="R9553" s="45" t="s">
        <v>272</v>
      </c>
    </row>
    <row r="9554" spans="2:18" ht="69" customHeight="1">
      <c r="B9554" s="231">
        <f t="shared" si="79"/>
        <v>6669</v>
      </c>
      <c r="C9554" s="46" t="s">
        <v>13435</v>
      </c>
      <c r="D9554" s="502" t="s">
        <v>23303</v>
      </c>
      <c r="E9554" s="46" t="s">
        <v>266</v>
      </c>
      <c r="F9554" s="46" t="s">
        <v>23304</v>
      </c>
      <c r="G9554" s="46" t="s">
        <v>23305</v>
      </c>
      <c r="H9554" s="534">
        <v>21000</v>
      </c>
      <c r="I9554" s="56">
        <v>45590</v>
      </c>
      <c r="J9554" s="199" t="s">
        <v>23306</v>
      </c>
      <c r="K9554" s="46"/>
      <c r="O9554" s="46" t="s">
        <v>1171</v>
      </c>
      <c r="P9554" s="46" t="s">
        <v>71</v>
      </c>
      <c r="Q9554" s="52" t="s">
        <v>13</v>
      </c>
      <c r="R9554" s="46" t="s">
        <v>272</v>
      </c>
    </row>
    <row r="9555" spans="2:18" ht="69" customHeight="1">
      <c r="B9555" s="319">
        <f t="shared" si="79"/>
        <v>6670</v>
      </c>
      <c r="C9555" s="160" t="s">
        <v>19981</v>
      </c>
      <c r="D9555" s="518" t="s">
        <v>23307</v>
      </c>
      <c r="E9555" s="160" t="s">
        <v>266</v>
      </c>
      <c r="F9555" s="160" t="s">
        <v>23308</v>
      </c>
      <c r="G9555" s="160" t="s">
        <v>23305</v>
      </c>
      <c r="H9555" s="300"/>
      <c r="I9555" s="209">
        <v>45590</v>
      </c>
      <c r="J9555" s="316" t="s">
        <v>23306</v>
      </c>
      <c r="K9555" s="160" t="s">
        <v>23309</v>
      </c>
      <c r="L9555" s="104"/>
      <c r="M9555" s="120"/>
      <c r="N9555" s="120"/>
      <c r="O9555" s="160" t="s">
        <v>1171</v>
      </c>
      <c r="P9555" s="160"/>
      <c r="Q9555" s="259" t="s">
        <v>18</v>
      </c>
      <c r="R9555" s="160" t="s">
        <v>272</v>
      </c>
    </row>
    <row r="9556" spans="2:18" ht="69" customHeight="1">
      <c r="B9556" s="231">
        <f t="shared" si="79"/>
        <v>6671</v>
      </c>
      <c r="C9556" s="46" t="s">
        <v>458</v>
      </c>
      <c r="D9556" s="282" t="s">
        <v>23310</v>
      </c>
      <c r="E9556" s="46" t="s">
        <v>11480</v>
      </c>
      <c r="F9556" s="87" t="s">
        <v>23311</v>
      </c>
      <c r="G9556" s="46" t="s">
        <v>23312</v>
      </c>
      <c r="H9556" s="206">
        <v>252000</v>
      </c>
      <c r="I9556" s="56">
        <v>45590</v>
      </c>
      <c r="J9556" s="199" t="s">
        <v>23313</v>
      </c>
      <c r="K9556" s="46" t="s">
        <v>23314</v>
      </c>
      <c r="O9556" s="46" t="s">
        <v>141</v>
      </c>
      <c r="P9556" s="46" t="s">
        <v>65</v>
      </c>
      <c r="Q9556" s="52" t="s">
        <v>123</v>
      </c>
      <c r="R9556" s="46" t="s">
        <v>272</v>
      </c>
    </row>
    <row r="9557" spans="2:18" ht="69" customHeight="1">
      <c r="B9557" s="79">
        <f t="shared" si="79"/>
        <v>6672</v>
      </c>
      <c r="C9557" s="58" t="s">
        <v>458</v>
      </c>
      <c r="D9557" s="498" t="s">
        <v>23315</v>
      </c>
      <c r="E9557" s="58" t="s">
        <v>11480</v>
      </c>
      <c r="F9557" s="45" t="s">
        <v>23316</v>
      </c>
      <c r="G9557" s="58" t="s">
        <v>23317</v>
      </c>
      <c r="H9557" s="546">
        <v>300000</v>
      </c>
      <c r="I9557" s="126">
        <v>45590</v>
      </c>
      <c r="J9557" s="242" t="s">
        <v>23313</v>
      </c>
      <c r="K9557" s="67"/>
      <c r="O9557" s="45" t="s">
        <v>141</v>
      </c>
      <c r="P9557" s="45" t="s">
        <v>19</v>
      </c>
      <c r="Q9557" s="48" t="s">
        <v>113</v>
      </c>
      <c r="R9557" s="45" t="s">
        <v>272</v>
      </c>
    </row>
    <row r="9558" spans="2:18" ht="69" customHeight="1">
      <c r="B9558" s="79">
        <f t="shared" si="79"/>
        <v>6673</v>
      </c>
      <c r="C9558" s="58" t="s">
        <v>458</v>
      </c>
      <c r="D9558" s="498" t="s">
        <v>23318</v>
      </c>
      <c r="E9558" s="58" t="s">
        <v>11480</v>
      </c>
      <c r="F9558" s="45" t="s">
        <v>23319</v>
      </c>
      <c r="G9558" s="58" t="s">
        <v>23320</v>
      </c>
      <c r="H9558" s="546">
        <v>450000</v>
      </c>
      <c r="I9558" s="126">
        <v>45590</v>
      </c>
      <c r="J9558" s="242" t="s">
        <v>23321</v>
      </c>
      <c r="K9558" s="67"/>
      <c r="O9558" s="45" t="s">
        <v>141</v>
      </c>
      <c r="P9558" s="45" t="s">
        <v>19</v>
      </c>
      <c r="Q9558" s="48" t="s">
        <v>123</v>
      </c>
      <c r="R9558" s="45" t="s">
        <v>272</v>
      </c>
    </row>
    <row r="9559" spans="2:18" ht="69" customHeight="1">
      <c r="B9559" s="232">
        <f t="shared" si="79"/>
        <v>6674</v>
      </c>
      <c r="C9559" s="58" t="s">
        <v>458</v>
      </c>
      <c r="D9559" s="498" t="s">
        <v>23322</v>
      </c>
      <c r="E9559" s="58" t="s">
        <v>11480</v>
      </c>
      <c r="F9559" s="45" t="s">
        <v>23323</v>
      </c>
      <c r="G9559" s="58" t="s">
        <v>23324</v>
      </c>
      <c r="H9559" s="546">
        <v>400000</v>
      </c>
      <c r="I9559" s="126">
        <v>45590</v>
      </c>
      <c r="J9559" s="242" t="s">
        <v>23321</v>
      </c>
      <c r="K9559" s="67"/>
      <c r="O9559" s="45" t="s">
        <v>141</v>
      </c>
      <c r="P9559" s="45" t="s">
        <v>19</v>
      </c>
      <c r="Q9559" s="48" t="s">
        <v>122</v>
      </c>
      <c r="R9559" s="45" t="s">
        <v>272</v>
      </c>
    </row>
    <row r="9560" spans="2:18" ht="69" customHeight="1">
      <c r="B9560" s="236">
        <f t="shared" si="79"/>
        <v>6675</v>
      </c>
      <c r="C9560" s="59" t="s">
        <v>7452</v>
      </c>
      <c r="D9560" s="498" t="s">
        <v>23325</v>
      </c>
      <c r="E9560" s="59" t="s">
        <v>266</v>
      </c>
      <c r="F9560" s="58" t="s">
        <v>23326</v>
      </c>
      <c r="G9560" s="58" t="s">
        <v>23163</v>
      </c>
      <c r="H9560" s="546">
        <v>2246.4</v>
      </c>
      <c r="I9560" s="126">
        <v>45590</v>
      </c>
      <c r="J9560" s="242" t="s">
        <v>23327</v>
      </c>
      <c r="K9560" s="67"/>
      <c r="O9560" s="462" t="s">
        <v>15051</v>
      </c>
      <c r="P9560" s="58" t="s">
        <v>44</v>
      </c>
      <c r="Q9560" s="48" t="s">
        <v>101</v>
      </c>
      <c r="R9560" s="45" t="s">
        <v>272</v>
      </c>
    </row>
    <row r="9561" spans="2:18" ht="69" customHeight="1">
      <c r="B9561" s="79">
        <f t="shared" si="79"/>
        <v>6676</v>
      </c>
      <c r="C9561" s="178" t="s">
        <v>7521</v>
      </c>
      <c r="D9561" s="498" t="s">
        <v>12161</v>
      </c>
      <c r="E9561" s="59" t="s">
        <v>266</v>
      </c>
      <c r="F9561" s="58" t="s">
        <v>23328</v>
      </c>
      <c r="G9561" s="58" t="s">
        <v>23163</v>
      </c>
      <c r="H9561" s="546">
        <v>2246.4</v>
      </c>
      <c r="I9561" s="126">
        <v>45590</v>
      </c>
      <c r="J9561" s="242" t="s">
        <v>23327</v>
      </c>
      <c r="K9561" s="67"/>
      <c r="O9561" s="462" t="s">
        <v>15051</v>
      </c>
      <c r="P9561" s="58" t="s">
        <v>44</v>
      </c>
      <c r="Q9561" s="48" t="s">
        <v>102</v>
      </c>
      <c r="R9561" s="45" t="s">
        <v>272</v>
      </c>
    </row>
    <row r="9562" spans="2:18" ht="69" customHeight="1">
      <c r="B9562" s="79">
        <f t="shared" si="79"/>
        <v>6677</v>
      </c>
      <c r="C9562" s="178" t="s">
        <v>3647</v>
      </c>
      <c r="D9562" s="498" t="s">
        <v>23329</v>
      </c>
      <c r="E9562" s="59" t="s">
        <v>266</v>
      </c>
      <c r="F9562" s="58" t="s">
        <v>23330</v>
      </c>
      <c r="G9562" s="58" t="s">
        <v>23163</v>
      </c>
      <c r="H9562" s="361">
        <v>2407.1999999999998</v>
      </c>
      <c r="I9562" s="126">
        <v>45590</v>
      </c>
      <c r="J9562" s="242" t="s">
        <v>23327</v>
      </c>
      <c r="K9562" s="67"/>
      <c r="O9562" s="462" t="s">
        <v>15051</v>
      </c>
      <c r="P9562" s="58" t="s">
        <v>44</v>
      </c>
      <c r="Q9562" s="48" t="s">
        <v>47</v>
      </c>
      <c r="R9562" s="45" t="s">
        <v>272</v>
      </c>
    </row>
    <row r="9563" spans="2:18" ht="69" customHeight="1">
      <c r="B9563" s="79">
        <f t="shared" si="79"/>
        <v>6678</v>
      </c>
      <c r="C9563" s="178" t="s">
        <v>3933</v>
      </c>
      <c r="D9563" s="498" t="s">
        <v>23331</v>
      </c>
      <c r="E9563" s="59" t="s">
        <v>266</v>
      </c>
      <c r="F9563" s="58" t="s">
        <v>23332</v>
      </c>
      <c r="G9563" s="63" t="s">
        <v>23163</v>
      </c>
      <c r="H9563" s="376">
        <v>2407.1999999999998</v>
      </c>
      <c r="I9563" s="247">
        <v>45590</v>
      </c>
      <c r="J9563" s="242" t="s">
        <v>23327</v>
      </c>
      <c r="K9563" s="67"/>
      <c r="O9563" s="462" t="s">
        <v>15051</v>
      </c>
      <c r="P9563" s="58" t="s">
        <v>44</v>
      </c>
      <c r="Q9563" s="48" t="s">
        <v>52</v>
      </c>
      <c r="R9563" s="45" t="s">
        <v>272</v>
      </c>
    </row>
    <row r="9564" spans="2:18" ht="69" customHeight="1">
      <c r="B9564" s="79">
        <f t="shared" si="79"/>
        <v>6679</v>
      </c>
      <c r="C9564" s="178" t="s">
        <v>8529</v>
      </c>
      <c r="D9564" s="498" t="s">
        <v>23333</v>
      </c>
      <c r="E9564" s="59" t="s">
        <v>266</v>
      </c>
      <c r="F9564" s="58" t="s">
        <v>23334</v>
      </c>
      <c r="G9564" s="58" t="s">
        <v>23163</v>
      </c>
      <c r="H9564" s="644">
        <v>2246.4</v>
      </c>
      <c r="I9564" s="126">
        <v>45590</v>
      </c>
      <c r="J9564" s="242" t="s">
        <v>23327</v>
      </c>
      <c r="K9564" s="67"/>
      <c r="O9564" s="462" t="s">
        <v>15051</v>
      </c>
      <c r="P9564" s="58" t="s">
        <v>44</v>
      </c>
      <c r="Q9564" s="48" t="s">
        <v>108</v>
      </c>
      <c r="R9564" s="45" t="s">
        <v>272</v>
      </c>
    </row>
    <row r="9565" spans="2:18" ht="69" customHeight="1">
      <c r="B9565" s="79">
        <f t="shared" si="79"/>
        <v>6680</v>
      </c>
      <c r="C9565" s="178" t="s">
        <v>8703</v>
      </c>
      <c r="D9565" s="498" t="s">
        <v>16835</v>
      </c>
      <c r="E9565" s="59" t="s">
        <v>266</v>
      </c>
      <c r="F9565" s="58" t="s">
        <v>23335</v>
      </c>
      <c r="G9565" s="58" t="s">
        <v>23163</v>
      </c>
      <c r="H9565" s="546">
        <v>2026.6</v>
      </c>
      <c r="I9565" s="126">
        <v>45590</v>
      </c>
      <c r="J9565" s="242" t="s">
        <v>23327</v>
      </c>
      <c r="K9565" s="67"/>
      <c r="O9565" s="462" t="s">
        <v>15051</v>
      </c>
      <c r="P9565" s="58" t="s">
        <v>44</v>
      </c>
      <c r="Q9565" s="48" t="s">
        <v>109</v>
      </c>
      <c r="R9565" s="45" t="s">
        <v>272</v>
      </c>
    </row>
    <row r="9566" spans="2:18" ht="69" customHeight="1">
      <c r="B9566" s="79">
        <f t="shared" si="79"/>
        <v>6681</v>
      </c>
      <c r="C9566" s="178" t="s">
        <v>775</v>
      </c>
      <c r="D9566" s="498" t="s">
        <v>22064</v>
      </c>
      <c r="E9566" s="59" t="s">
        <v>266</v>
      </c>
      <c r="F9566" s="58" t="s">
        <v>23336</v>
      </c>
      <c r="G9566" s="58" t="s">
        <v>23163</v>
      </c>
      <c r="H9566" s="361">
        <v>2025.6</v>
      </c>
      <c r="I9566" s="126">
        <v>45590</v>
      </c>
      <c r="J9566" s="242" t="s">
        <v>23327</v>
      </c>
      <c r="K9566" s="67"/>
      <c r="O9566" s="462" t="s">
        <v>15051</v>
      </c>
      <c r="P9566" s="58" t="s">
        <v>44</v>
      </c>
      <c r="Q9566" s="48" t="s">
        <v>20</v>
      </c>
      <c r="R9566" s="45" t="s">
        <v>272</v>
      </c>
    </row>
    <row r="9567" spans="2:18" ht="69" customHeight="1">
      <c r="B9567" s="79">
        <f t="shared" si="79"/>
        <v>6682</v>
      </c>
      <c r="C9567" s="178" t="s">
        <v>4411</v>
      </c>
      <c r="D9567" s="498" t="s">
        <v>23337</v>
      </c>
      <c r="E9567" s="59" t="s">
        <v>266</v>
      </c>
      <c r="F9567" s="58" t="s">
        <v>23338</v>
      </c>
      <c r="G9567" s="63" t="s">
        <v>23163</v>
      </c>
      <c r="H9567" s="376">
        <v>2246.4</v>
      </c>
      <c r="I9567" s="247">
        <v>45590</v>
      </c>
      <c r="J9567" s="242" t="s">
        <v>23327</v>
      </c>
      <c r="K9567" s="67"/>
      <c r="O9567" s="462" t="s">
        <v>15051</v>
      </c>
      <c r="P9567" s="58" t="s">
        <v>44</v>
      </c>
      <c r="Q9567" s="48" t="s">
        <v>54</v>
      </c>
      <c r="R9567" s="45" t="s">
        <v>272</v>
      </c>
    </row>
    <row r="9568" spans="2:18" ht="69" customHeight="1">
      <c r="B9568" s="79">
        <f t="shared" si="79"/>
        <v>6683</v>
      </c>
      <c r="C9568" s="178" t="s">
        <v>4277</v>
      </c>
      <c r="D9568" s="498" t="s">
        <v>23339</v>
      </c>
      <c r="E9568" s="59" t="s">
        <v>266</v>
      </c>
      <c r="F9568" s="58" t="s">
        <v>23340</v>
      </c>
      <c r="G9568" s="58" t="s">
        <v>23163</v>
      </c>
      <c r="H9568" s="644">
        <v>2246.4</v>
      </c>
      <c r="I9568" s="126">
        <v>45590</v>
      </c>
      <c r="J9568" s="242" t="s">
        <v>23327</v>
      </c>
      <c r="K9568" s="67"/>
      <c r="O9568" s="462" t="s">
        <v>15051</v>
      </c>
      <c r="P9568" s="58" t="s">
        <v>44</v>
      </c>
      <c r="Q9568" s="48" t="s">
        <v>56</v>
      </c>
      <c r="R9568" s="45" t="s">
        <v>272</v>
      </c>
    </row>
    <row r="9569" spans="2:18" ht="69" customHeight="1">
      <c r="B9569" s="79">
        <f t="shared" si="79"/>
        <v>6684</v>
      </c>
      <c r="C9569" s="178" t="s">
        <v>4728</v>
      </c>
      <c r="D9569" s="498" t="s">
        <v>23341</v>
      </c>
      <c r="E9569" s="59" t="s">
        <v>266</v>
      </c>
      <c r="F9569" s="58" t="s">
        <v>23342</v>
      </c>
      <c r="G9569" s="58" t="s">
        <v>23163</v>
      </c>
      <c r="H9569" s="546">
        <v>2246.4</v>
      </c>
      <c r="I9569" s="126">
        <v>45590</v>
      </c>
      <c r="J9569" s="242" t="s">
        <v>23327</v>
      </c>
      <c r="K9569" s="67"/>
      <c r="O9569" s="462" t="s">
        <v>15051</v>
      </c>
      <c r="P9569" s="58" t="s">
        <v>44</v>
      </c>
      <c r="Q9569" s="48" t="s">
        <v>58</v>
      </c>
      <c r="R9569" s="45" t="s">
        <v>272</v>
      </c>
    </row>
    <row r="9570" spans="2:18" ht="69" customHeight="1">
      <c r="B9570" s="79">
        <f t="shared" si="79"/>
        <v>6685</v>
      </c>
      <c r="C9570" s="178" t="s">
        <v>5082</v>
      </c>
      <c r="D9570" s="498" t="s">
        <v>23343</v>
      </c>
      <c r="E9570" s="59" t="s">
        <v>266</v>
      </c>
      <c r="F9570" s="58" t="s">
        <v>23344</v>
      </c>
      <c r="G9570" s="58" t="s">
        <v>23163</v>
      </c>
      <c r="H9570" s="361">
        <v>2407.1999999999998</v>
      </c>
      <c r="I9570" s="126">
        <v>45590</v>
      </c>
      <c r="J9570" s="242" t="s">
        <v>23327</v>
      </c>
      <c r="K9570" s="67"/>
      <c r="O9570" s="462" t="s">
        <v>15051</v>
      </c>
      <c r="P9570" s="58" t="s">
        <v>44</v>
      </c>
      <c r="Q9570" s="48" t="s">
        <v>60</v>
      </c>
      <c r="R9570" s="45" t="s">
        <v>272</v>
      </c>
    </row>
    <row r="9571" spans="2:18" ht="69" customHeight="1">
      <c r="B9571" s="79">
        <f t="shared" si="79"/>
        <v>6686</v>
      </c>
      <c r="C9571" s="178" t="s">
        <v>5189</v>
      </c>
      <c r="D9571" s="498" t="s">
        <v>23345</v>
      </c>
      <c r="E9571" s="59" t="s">
        <v>266</v>
      </c>
      <c r="F9571" s="58" t="s">
        <v>23346</v>
      </c>
      <c r="G9571" s="63" t="s">
        <v>23163</v>
      </c>
      <c r="H9571" s="376">
        <v>2407.1999999999998</v>
      </c>
      <c r="I9571" s="247">
        <v>45590</v>
      </c>
      <c r="J9571" s="242" t="s">
        <v>23327</v>
      </c>
      <c r="K9571" s="67"/>
      <c r="O9571" s="462" t="s">
        <v>15051</v>
      </c>
      <c r="P9571" s="58" t="s">
        <v>44</v>
      </c>
      <c r="Q9571" s="48" t="s">
        <v>62</v>
      </c>
      <c r="R9571" s="45" t="s">
        <v>272</v>
      </c>
    </row>
    <row r="9572" spans="2:18" ht="69" customHeight="1">
      <c r="B9572" s="79">
        <f t="shared" si="79"/>
        <v>6687</v>
      </c>
      <c r="C9572" s="178" t="s">
        <v>11058</v>
      </c>
      <c r="D9572" s="498" t="s">
        <v>22079</v>
      </c>
      <c r="E9572" s="59" t="s">
        <v>266</v>
      </c>
      <c r="F9572" s="58" t="s">
        <v>23347</v>
      </c>
      <c r="G9572" s="58" t="s">
        <v>23163</v>
      </c>
      <c r="H9572" s="644">
        <v>1952.8</v>
      </c>
      <c r="I9572" s="126">
        <v>45590</v>
      </c>
      <c r="J9572" s="242" t="s">
        <v>23327</v>
      </c>
      <c r="K9572" s="67"/>
      <c r="O9572" s="462" t="s">
        <v>15051</v>
      </c>
      <c r="P9572" s="58" t="s">
        <v>44</v>
      </c>
      <c r="Q9572" s="48" t="s">
        <v>23</v>
      </c>
      <c r="R9572" s="45" t="s">
        <v>272</v>
      </c>
    </row>
    <row r="9573" spans="2:18" ht="69" customHeight="1">
      <c r="B9573" s="79">
        <f t="shared" si="79"/>
        <v>6688</v>
      </c>
      <c r="C9573" s="178" t="s">
        <v>1333</v>
      </c>
      <c r="D9573" s="498" t="s">
        <v>23348</v>
      </c>
      <c r="E9573" s="59" t="s">
        <v>266</v>
      </c>
      <c r="F9573" s="58" t="s">
        <v>23349</v>
      </c>
      <c r="G9573" s="58" t="s">
        <v>23163</v>
      </c>
      <c r="H9573" s="546">
        <v>2006.4</v>
      </c>
      <c r="I9573" s="126">
        <v>45590</v>
      </c>
      <c r="J9573" s="242" t="s">
        <v>23327</v>
      </c>
      <c r="K9573" s="67"/>
      <c r="O9573" s="462" t="s">
        <v>15051</v>
      </c>
      <c r="P9573" s="58" t="s">
        <v>44</v>
      </c>
      <c r="Q9573" s="48" t="s">
        <v>25</v>
      </c>
      <c r="R9573" s="45" t="s">
        <v>272</v>
      </c>
    </row>
    <row r="9574" spans="2:18" ht="69" customHeight="1">
      <c r="B9574" s="79">
        <f t="shared" si="79"/>
        <v>6689</v>
      </c>
      <c r="C9574" s="178" t="s">
        <v>9322</v>
      </c>
      <c r="D9574" s="498" t="s">
        <v>23350</v>
      </c>
      <c r="E9574" s="59" t="s">
        <v>266</v>
      </c>
      <c r="F9574" s="58" t="s">
        <v>23351</v>
      </c>
      <c r="G9574" s="58" t="s">
        <v>23163</v>
      </c>
      <c r="H9574" s="546">
        <v>2246.4</v>
      </c>
      <c r="I9574" s="126">
        <v>45590</v>
      </c>
      <c r="J9574" s="242" t="s">
        <v>23327</v>
      </c>
      <c r="K9574" s="67"/>
      <c r="O9574" s="462" t="s">
        <v>15051</v>
      </c>
      <c r="P9574" s="58" t="s">
        <v>44</v>
      </c>
      <c r="Q9574" s="48" t="s">
        <v>114</v>
      </c>
      <c r="R9574" s="45" t="s">
        <v>272</v>
      </c>
    </row>
    <row r="9575" spans="2:18" ht="69" customHeight="1">
      <c r="B9575" s="79">
        <f t="shared" si="79"/>
        <v>6690</v>
      </c>
      <c r="C9575" s="178" t="s">
        <v>9436</v>
      </c>
      <c r="D9575" s="498" t="s">
        <v>12182</v>
      </c>
      <c r="E9575" s="59" t="s">
        <v>266</v>
      </c>
      <c r="F9575" s="58" t="s">
        <v>23352</v>
      </c>
      <c r="G9575" s="58" t="s">
        <v>23163</v>
      </c>
      <c r="H9575" s="546">
        <v>2246.4</v>
      </c>
      <c r="I9575" s="126">
        <v>45590</v>
      </c>
      <c r="J9575" s="242" t="s">
        <v>23327</v>
      </c>
      <c r="K9575" s="67"/>
      <c r="O9575" s="462" t="s">
        <v>15051</v>
      </c>
      <c r="P9575" s="58" t="s">
        <v>44</v>
      </c>
      <c r="Q9575" s="48" t="s">
        <v>116</v>
      </c>
      <c r="R9575" s="45" t="s">
        <v>272</v>
      </c>
    </row>
    <row r="9576" spans="2:18" ht="69" customHeight="1">
      <c r="B9576" s="79">
        <f t="shared" si="79"/>
        <v>6691</v>
      </c>
      <c r="C9576" s="178" t="s">
        <v>9596</v>
      </c>
      <c r="D9576" s="498" t="s">
        <v>12194</v>
      </c>
      <c r="E9576" s="59" t="s">
        <v>266</v>
      </c>
      <c r="F9576" s="58" t="s">
        <v>23353</v>
      </c>
      <c r="G9576" s="58" t="s">
        <v>23163</v>
      </c>
      <c r="H9576" s="546">
        <v>2407.1999999999998</v>
      </c>
      <c r="I9576" s="126">
        <v>45590</v>
      </c>
      <c r="J9576" s="242" t="s">
        <v>23327</v>
      </c>
      <c r="K9576" s="67"/>
      <c r="O9576" s="462" t="s">
        <v>15051</v>
      </c>
      <c r="P9576" s="58" t="s">
        <v>44</v>
      </c>
      <c r="Q9576" s="48" t="s">
        <v>118</v>
      </c>
      <c r="R9576" s="45" t="s">
        <v>272</v>
      </c>
    </row>
    <row r="9577" spans="2:18" ht="69" customHeight="1">
      <c r="B9577" s="79">
        <f t="shared" si="79"/>
        <v>6692</v>
      </c>
      <c r="C9577" s="178" t="s">
        <v>7415</v>
      </c>
      <c r="D9577" s="551" t="s">
        <v>23354</v>
      </c>
      <c r="E9577" s="59" t="s">
        <v>266</v>
      </c>
      <c r="F9577" s="58" t="s">
        <v>23355</v>
      </c>
      <c r="G9577" s="58" t="s">
        <v>23163</v>
      </c>
      <c r="H9577" s="361">
        <v>2407.1999999999998</v>
      </c>
      <c r="I9577" s="126">
        <v>45590</v>
      </c>
      <c r="J9577" s="242" t="s">
        <v>23327</v>
      </c>
      <c r="K9577" s="67"/>
      <c r="O9577" s="462" t="s">
        <v>15051</v>
      </c>
      <c r="P9577" s="58" t="s">
        <v>44</v>
      </c>
      <c r="Q9577" s="48" t="s">
        <v>119</v>
      </c>
      <c r="R9577" s="45" t="s">
        <v>272</v>
      </c>
    </row>
    <row r="9578" spans="2:18" ht="69" customHeight="1">
      <c r="B9578" s="79">
        <f t="shared" si="79"/>
        <v>6693</v>
      </c>
      <c r="C9578" s="178" t="s">
        <v>10205</v>
      </c>
      <c r="D9578" s="498" t="s">
        <v>12188</v>
      </c>
      <c r="E9578" s="59" t="s">
        <v>266</v>
      </c>
      <c r="F9578" s="58" t="s">
        <v>23356</v>
      </c>
      <c r="G9578" s="58" t="s">
        <v>23163</v>
      </c>
      <c r="H9578" s="546">
        <v>2407.1999999999998</v>
      </c>
      <c r="I9578" s="126">
        <v>45590</v>
      </c>
      <c r="J9578" s="242" t="s">
        <v>23327</v>
      </c>
      <c r="K9578" s="67"/>
      <c r="O9578" s="462" t="s">
        <v>15051</v>
      </c>
      <c r="P9578" s="58" t="s">
        <v>44</v>
      </c>
      <c r="Q9578" s="48" t="s">
        <v>120</v>
      </c>
      <c r="R9578" s="45" t="s">
        <v>272</v>
      </c>
    </row>
    <row r="9579" spans="2:18" ht="69" customHeight="1">
      <c r="B9579" s="79">
        <f t="shared" si="79"/>
        <v>6694</v>
      </c>
      <c r="C9579" s="178" t="s">
        <v>10256</v>
      </c>
      <c r="D9579" s="498" t="s">
        <v>20873</v>
      </c>
      <c r="E9579" s="59" t="s">
        <v>266</v>
      </c>
      <c r="F9579" s="58" t="s">
        <v>23357</v>
      </c>
      <c r="G9579" s="58" t="s">
        <v>23163</v>
      </c>
      <c r="H9579" s="546">
        <v>2407.1999999999998</v>
      </c>
      <c r="I9579" s="126">
        <v>45590</v>
      </c>
      <c r="J9579" s="245" t="s">
        <v>23327</v>
      </c>
      <c r="K9579" s="243"/>
      <c r="O9579" s="462" t="s">
        <v>15051</v>
      </c>
      <c r="P9579" s="58" t="s">
        <v>44</v>
      </c>
      <c r="Q9579" s="48" t="s">
        <v>121</v>
      </c>
      <c r="R9579" s="45" t="s">
        <v>272</v>
      </c>
    </row>
    <row r="9580" spans="2:18" ht="69" customHeight="1">
      <c r="B9580" s="79">
        <f t="shared" si="79"/>
        <v>6695</v>
      </c>
      <c r="C9580" s="178" t="s">
        <v>3368</v>
      </c>
      <c r="D9580" s="575" t="s">
        <v>22023</v>
      </c>
      <c r="E9580" s="59" t="s">
        <v>266</v>
      </c>
      <c r="F9580" s="58" t="s">
        <v>23358</v>
      </c>
      <c r="G9580" s="58" t="s">
        <v>23163</v>
      </c>
      <c r="H9580" s="490">
        <v>1792</v>
      </c>
      <c r="I9580" s="126">
        <v>45590</v>
      </c>
      <c r="J9580" s="125" t="s">
        <v>23327</v>
      </c>
      <c r="K9580" s="115"/>
      <c r="L9580" s="99"/>
      <c r="N9580" s="45"/>
      <c r="O9580" s="462" t="s">
        <v>15051</v>
      </c>
      <c r="P9580" s="58" t="s">
        <v>44</v>
      </c>
      <c r="Q9580" s="48" t="s">
        <v>43</v>
      </c>
      <c r="R9580" s="45" t="s">
        <v>272</v>
      </c>
    </row>
    <row r="9581" spans="2:18" ht="69" customHeight="1">
      <c r="B9581" s="79">
        <f t="shared" si="79"/>
        <v>6696</v>
      </c>
      <c r="C9581" s="58" t="s">
        <v>14264</v>
      </c>
      <c r="D9581" s="498" t="s">
        <v>23359</v>
      </c>
      <c r="E9581" s="178" t="s">
        <v>23060</v>
      </c>
      <c r="F9581" s="58" t="s">
        <v>23360</v>
      </c>
      <c r="G9581" s="58" t="s">
        <v>23361</v>
      </c>
      <c r="H9581" s="546">
        <v>12000</v>
      </c>
      <c r="I9581" s="126">
        <v>45590</v>
      </c>
      <c r="J9581" s="246" t="s">
        <v>23362</v>
      </c>
      <c r="K9581" s="241"/>
      <c r="O9581" s="62" t="s">
        <v>6918</v>
      </c>
      <c r="P9581" s="45" t="s">
        <v>44</v>
      </c>
      <c r="Q9581" s="48" t="s">
        <v>88</v>
      </c>
      <c r="R9581" s="45" t="s">
        <v>272</v>
      </c>
    </row>
    <row r="9582" spans="2:18" ht="69" customHeight="1">
      <c r="B9582" s="231">
        <f t="shared" si="79"/>
        <v>6697</v>
      </c>
      <c r="C9582" s="285" t="s">
        <v>11933</v>
      </c>
      <c r="D9582" s="282" t="s">
        <v>23363</v>
      </c>
      <c r="E9582" s="86" t="s">
        <v>266</v>
      </c>
      <c r="F9582" s="87" t="s">
        <v>23364</v>
      </c>
      <c r="G9582" s="46" t="s">
        <v>23365</v>
      </c>
      <c r="H9582" s="206">
        <v>3300</v>
      </c>
      <c r="I9582" s="56">
        <v>45590</v>
      </c>
      <c r="J9582" s="271" t="s">
        <v>23366</v>
      </c>
      <c r="K9582" s="46"/>
      <c r="O9582" s="46" t="s">
        <v>23367</v>
      </c>
      <c r="P9582" s="46" t="s">
        <v>65</v>
      </c>
      <c r="Q9582" s="52" t="s">
        <v>123</v>
      </c>
      <c r="R9582" s="46" t="s">
        <v>272</v>
      </c>
    </row>
    <row r="9583" spans="2:18" ht="69" customHeight="1">
      <c r="B9583" s="79">
        <f t="shared" si="79"/>
        <v>6698</v>
      </c>
      <c r="C9583" s="178" t="s">
        <v>657</v>
      </c>
      <c r="D9583" s="498" t="s">
        <v>16881</v>
      </c>
      <c r="E9583" s="58" t="s">
        <v>19223</v>
      </c>
      <c r="F9583" s="58" t="s">
        <v>23368</v>
      </c>
      <c r="G9583" s="58" t="s">
        <v>23369</v>
      </c>
      <c r="H9583" s="546">
        <v>400000</v>
      </c>
      <c r="I9583" s="126">
        <v>45590</v>
      </c>
      <c r="J9583" s="242" t="s">
        <v>23370</v>
      </c>
      <c r="K9583" s="67"/>
      <c r="O9583" s="45" t="s">
        <v>141</v>
      </c>
      <c r="P9583" s="45" t="s">
        <v>19</v>
      </c>
      <c r="Q9583" s="48" t="s">
        <v>97</v>
      </c>
      <c r="R9583" s="45" t="s">
        <v>272</v>
      </c>
    </row>
    <row r="9584" spans="2:18" ht="69" customHeight="1">
      <c r="B9584" s="231">
        <f t="shared" si="79"/>
        <v>6699</v>
      </c>
      <c r="C9584" s="49" t="s">
        <v>5658</v>
      </c>
      <c r="D9584" s="282" t="s">
        <v>23371</v>
      </c>
      <c r="E9584" s="46" t="s">
        <v>23047</v>
      </c>
      <c r="F9584" s="87" t="s">
        <v>23372</v>
      </c>
      <c r="G9584" s="46" t="s">
        <v>23132</v>
      </c>
      <c r="H9584" s="206">
        <v>5000</v>
      </c>
      <c r="I9584" s="56">
        <v>45621</v>
      </c>
      <c r="J9584" s="199" t="s">
        <v>23373</v>
      </c>
      <c r="K9584" s="46"/>
      <c r="O9584" s="46" t="s">
        <v>23137</v>
      </c>
      <c r="P9584" s="46" t="s">
        <v>65</v>
      </c>
      <c r="Q9584" s="52" t="s">
        <v>66</v>
      </c>
      <c r="R9584" s="46" t="s">
        <v>272</v>
      </c>
    </row>
    <row r="9585" spans="2:18" ht="69" customHeight="1">
      <c r="B9585" s="238">
        <f t="shared" si="79"/>
        <v>6700</v>
      </c>
      <c r="C9585" s="986" t="s">
        <v>9596</v>
      </c>
      <c r="D9585" s="987" t="s">
        <v>12209</v>
      </c>
      <c r="E9585" s="100" t="s">
        <v>23047</v>
      </c>
      <c r="F9585" s="763" t="s">
        <v>23374</v>
      </c>
      <c r="G9585" s="100" t="s">
        <v>23132</v>
      </c>
      <c r="H9585" s="988"/>
      <c r="I9585" s="96">
        <v>45590</v>
      </c>
      <c r="J9585" s="268" t="s">
        <v>23375</v>
      </c>
      <c r="K9585" s="160" t="s">
        <v>23376</v>
      </c>
      <c r="O9585" s="46" t="s">
        <v>23137</v>
      </c>
      <c r="P9585" s="46"/>
      <c r="Q9585" s="52"/>
      <c r="R9585" s="46" t="s">
        <v>272</v>
      </c>
    </row>
    <row r="9586" spans="2:18" ht="69" customHeight="1">
      <c r="B9586" s="239">
        <f t="shared" si="79"/>
        <v>6701</v>
      </c>
      <c r="C9586" s="59" t="s">
        <v>10634</v>
      </c>
      <c r="D9586" s="489" t="s">
        <v>23377</v>
      </c>
      <c r="E9586" s="45" t="s">
        <v>17212</v>
      </c>
      <c r="F9586" s="569" t="s">
        <v>23378</v>
      </c>
      <c r="G9586" s="45" t="s">
        <v>23379</v>
      </c>
      <c r="H9586" s="198">
        <v>148210</v>
      </c>
      <c r="I9586" s="47">
        <v>45590</v>
      </c>
      <c r="J9586" s="73" t="s">
        <v>23380</v>
      </c>
      <c r="K9586" s="45"/>
      <c r="O9586" s="45" t="s">
        <v>23381</v>
      </c>
      <c r="P9586" s="45" t="s">
        <v>55</v>
      </c>
      <c r="Q9586" s="48" t="s">
        <v>93</v>
      </c>
      <c r="R9586" s="45" t="s">
        <v>272</v>
      </c>
    </row>
    <row r="9587" spans="2:18" ht="69" customHeight="1">
      <c r="B9587" s="239">
        <f t="shared" si="79"/>
        <v>6702</v>
      </c>
      <c r="C9587" s="59" t="s">
        <v>10639</v>
      </c>
      <c r="D9587" s="489" t="s">
        <v>23382</v>
      </c>
      <c r="E9587" s="45" t="s">
        <v>17212</v>
      </c>
      <c r="F9587" s="569" t="s">
        <v>23383</v>
      </c>
      <c r="G9587" s="45" t="s">
        <v>23379</v>
      </c>
      <c r="H9587" s="492">
        <v>178205</v>
      </c>
      <c r="I9587" s="47">
        <v>45590</v>
      </c>
      <c r="J9587" s="73" t="s">
        <v>23380</v>
      </c>
      <c r="K9587" s="45"/>
      <c r="O9587" s="45" t="s">
        <v>23381</v>
      </c>
      <c r="P9587" s="45" t="s">
        <v>55</v>
      </c>
      <c r="Q9587" s="48" t="s">
        <v>95</v>
      </c>
      <c r="R9587" s="45" t="s">
        <v>272</v>
      </c>
    </row>
    <row r="9588" spans="2:18" ht="69" customHeight="1">
      <c r="B9588" s="239">
        <f t="shared" si="79"/>
        <v>6703</v>
      </c>
      <c r="C9588" s="59" t="s">
        <v>1593</v>
      </c>
      <c r="D9588" s="489" t="s">
        <v>22028</v>
      </c>
      <c r="E9588" s="45" t="s">
        <v>17212</v>
      </c>
      <c r="F9588" s="569" t="s">
        <v>23384</v>
      </c>
      <c r="G9588" s="45" t="s">
        <v>23379</v>
      </c>
      <c r="H9588" s="198">
        <v>138395</v>
      </c>
      <c r="I9588" s="47">
        <v>45590</v>
      </c>
      <c r="J9588" s="73" t="s">
        <v>23380</v>
      </c>
      <c r="K9588" s="45"/>
      <c r="O9588" s="45" t="s">
        <v>23381</v>
      </c>
      <c r="P9588" s="45" t="s">
        <v>55</v>
      </c>
      <c r="Q9588" s="48" t="s">
        <v>27</v>
      </c>
      <c r="R9588" s="45" t="s">
        <v>272</v>
      </c>
    </row>
    <row r="9589" spans="2:18" ht="69" customHeight="1">
      <c r="B9589" s="239">
        <f t="shared" si="79"/>
        <v>6704</v>
      </c>
      <c r="C9589" s="59" t="s">
        <v>11568</v>
      </c>
      <c r="D9589" s="489" t="s">
        <v>23385</v>
      </c>
      <c r="E9589" s="45" t="s">
        <v>17212</v>
      </c>
      <c r="F9589" s="569" t="s">
        <v>23386</v>
      </c>
      <c r="G9589" s="45" t="s">
        <v>23379</v>
      </c>
      <c r="H9589" s="198">
        <v>330730</v>
      </c>
      <c r="I9589" s="47">
        <v>45590</v>
      </c>
      <c r="J9589" s="73" t="s">
        <v>23380</v>
      </c>
      <c r="K9589" s="45"/>
      <c r="O9589" s="45" t="s">
        <v>23381</v>
      </c>
      <c r="P9589" s="45" t="s">
        <v>55</v>
      </c>
      <c r="Q9589" s="48" t="s">
        <v>107</v>
      </c>
      <c r="R9589" s="45" t="s">
        <v>272</v>
      </c>
    </row>
    <row r="9590" spans="2:18" ht="69" customHeight="1">
      <c r="B9590" s="319">
        <f t="shared" si="79"/>
        <v>6705</v>
      </c>
      <c r="C9590" s="493" t="s">
        <v>458</v>
      </c>
      <c r="D9590" s="518" t="s">
        <v>23387</v>
      </c>
      <c r="E9590" s="207" t="s">
        <v>266</v>
      </c>
      <c r="F9590" s="160" t="s">
        <v>23388</v>
      </c>
      <c r="G9590" s="338" t="s">
        <v>23389</v>
      </c>
      <c r="H9590" s="300">
        <v>48030.63</v>
      </c>
      <c r="I9590" s="209">
        <v>45590</v>
      </c>
      <c r="J9590" s="316" t="s">
        <v>23390</v>
      </c>
      <c r="K9590" s="160"/>
      <c r="O9590" s="528" t="s">
        <v>12529</v>
      </c>
      <c r="P9590" s="289" t="s">
        <v>67</v>
      </c>
      <c r="Q9590" s="259" t="s">
        <v>96</v>
      </c>
      <c r="R9590" s="160" t="s">
        <v>272</v>
      </c>
    </row>
    <row r="9591" spans="2:18" ht="69" customHeight="1">
      <c r="B9591" s="62">
        <f t="shared" si="79"/>
        <v>6706</v>
      </c>
      <c r="C9591" s="178" t="s">
        <v>458</v>
      </c>
      <c r="D9591" s="498" t="s">
        <v>23391</v>
      </c>
      <c r="E9591" s="58" t="s">
        <v>19223</v>
      </c>
      <c r="F9591" s="58" t="s">
        <v>23392</v>
      </c>
      <c r="G9591" s="58" t="s">
        <v>23369</v>
      </c>
      <c r="H9591" s="546">
        <v>100000</v>
      </c>
      <c r="I9591" s="126">
        <v>45590</v>
      </c>
      <c r="J9591" s="242" t="s">
        <v>23393</v>
      </c>
      <c r="K9591" s="67"/>
      <c r="O9591" s="45" t="s">
        <v>141</v>
      </c>
      <c r="P9591" s="45" t="s">
        <v>19</v>
      </c>
      <c r="Q9591" s="48" t="s">
        <v>123</v>
      </c>
      <c r="R9591" s="45" t="s">
        <v>272</v>
      </c>
    </row>
    <row r="9592" spans="2:18" ht="69" customHeight="1">
      <c r="B9592" s="279">
        <f t="shared" si="79"/>
        <v>6707</v>
      </c>
      <c r="C9592" s="564" t="s">
        <v>9004</v>
      </c>
      <c r="D9592" s="282" t="s">
        <v>12328</v>
      </c>
      <c r="E9592" s="86" t="s">
        <v>266</v>
      </c>
      <c r="F9592" s="87" t="s">
        <v>23394</v>
      </c>
      <c r="G9592" s="46" t="s">
        <v>23395</v>
      </c>
      <c r="H9592" s="206">
        <v>10000</v>
      </c>
      <c r="I9592" s="56">
        <v>45590</v>
      </c>
      <c r="J9592" s="199" t="s">
        <v>23396</v>
      </c>
      <c r="K9592" s="46"/>
      <c r="O9592" s="46" t="s">
        <v>23397</v>
      </c>
      <c r="P9592" s="46" t="s">
        <v>65</v>
      </c>
      <c r="Q9592" s="52" t="s">
        <v>111</v>
      </c>
      <c r="R9592" s="46" t="s">
        <v>272</v>
      </c>
    </row>
    <row r="9593" spans="2:18" ht="69" customHeight="1">
      <c r="B9593" s="79">
        <f t="shared" si="79"/>
        <v>6708</v>
      </c>
      <c r="C9593" s="178" t="s">
        <v>17406</v>
      </c>
      <c r="D9593" s="551" t="s">
        <v>22098</v>
      </c>
      <c r="E9593" s="58" t="s">
        <v>14895</v>
      </c>
      <c r="F9593" s="58" t="s">
        <v>23398</v>
      </c>
      <c r="G9593" s="58" t="s">
        <v>23399</v>
      </c>
      <c r="H9593" s="552">
        <v>36100</v>
      </c>
      <c r="I9593" s="66">
        <v>45590</v>
      </c>
      <c r="J9593" s="65" t="s">
        <v>23400</v>
      </c>
      <c r="K9593" s="58"/>
      <c r="O9593" s="45" t="s">
        <v>192</v>
      </c>
      <c r="P9593" s="45" t="s">
        <v>57</v>
      </c>
      <c r="Q9593" s="48" t="s">
        <v>33</v>
      </c>
      <c r="R9593" s="45" t="s">
        <v>272</v>
      </c>
    </row>
    <row r="9594" spans="2:18" ht="69" customHeight="1">
      <c r="B9594" s="79">
        <f t="shared" si="79"/>
        <v>6709</v>
      </c>
      <c r="C9594" s="178" t="s">
        <v>11933</v>
      </c>
      <c r="D9594" s="551" t="s">
        <v>23401</v>
      </c>
      <c r="E9594" s="58" t="s">
        <v>21310</v>
      </c>
      <c r="F9594" s="45" t="s">
        <v>23402</v>
      </c>
      <c r="G9594" s="58" t="s">
        <v>23403</v>
      </c>
      <c r="H9594" s="552">
        <v>175586.93</v>
      </c>
      <c r="I9594" s="66">
        <v>45590</v>
      </c>
      <c r="J9594" s="65" t="s">
        <v>23404</v>
      </c>
      <c r="K9594" s="45"/>
      <c r="O9594" s="45" t="s">
        <v>22941</v>
      </c>
      <c r="P9594" s="45" t="s">
        <v>77</v>
      </c>
      <c r="Q9594" s="48" t="s">
        <v>123</v>
      </c>
      <c r="R9594" s="45" t="s">
        <v>272</v>
      </c>
    </row>
    <row r="9595" spans="2:18" ht="69" customHeight="1">
      <c r="B9595" s="232">
        <f t="shared" si="79"/>
        <v>6710</v>
      </c>
      <c r="C9595" s="178" t="s">
        <v>11618</v>
      </c>
      <c r="D9595" s="498" t="s">
        <v>23405</v>
      </c>
      <c r="E9595" s="58" t="s">
        <v>21310</v>
      </c>
      <c r="F9595" s="58" t="s">
        <v>23406</v>
      </c>
      <c r="G9595" s="45" t="s">
        <v>23403</v>
      </c>
      <c r="H9595" s="658">
        <v>18096.39</v>
      </c>
      <c r="I9595" s="47">
        <v>45590</v>
      </c>
      <c r="J9595" s="73" t="s">
        <v>23407</v>
      </c>
      <c r="K9595" s="45"/>
      <c r="O9595" s="45" t="s">
        <v>22941</v>
      </c>
      <c r="P9595" s="45" t="s">
        <v>77</v>
      </c>
      <c r="Q9595" s="48" t="s">
        <v>122</v>
      </c>
      <c r="R9595" s="45" t="s">
        <v>272</v>
      </c>
    </row>
    <row r="9596" spans="2:18" ht="69" customHeight="1">
      <c r="B9596" s="508">
        <f t="shared" si="79"/>
        <v>6711</v>
      </c>
      <c r="C9596" s="86" t="s">
        <v>458</v>
      </c>
      <c r="D9596" s="282" t="s">
        <v>23408</v>
      </c>
      <c r="E9596" s="86" t="s">
        <v>266</v>
      </c>
      <c r="F9596" s="87" t="s">
        <v>23409</v>
      </c>
      <c r="G9596" s="46" t="s">
        <v>23410</v>
      </c>
      <c r="H9596" s="504">
        <v>17066</v>
      </c>
      <c r="I9596" s="56">
        <v>45590</v>
      </c>
      <c r="J9596" s="199" t="s">
        <v>23411</v>
      </c>
      <c r="K9596" s="46"/>
      <c r="O9596" s="532" t="s">
        <v>23412</v>
      </c>
      <c r="P9596" s="286" t="s">
        <v>65</v>
      </c>
      <c r="Q9596" s="52" t="s">
        <v>88</v>
      </c>
      <c r="R9596" s="46" t="s">
        <v>272</v>
      </c>
    </row>
    <row r="9597" spans="2:18" ht="69" customHeight="1">
      <c r="B9597" s="1002">
        <f>B9596+1</f>
        <v>6712</v>
      </c>
      <c r="C9597" s="993" t="s">
        <v>11908</v>
      </c>
      <c r="D9597" s="1003" t="s">
        <v>23413</v>
      </c>
      <c r="E9597" s="995" t="s">
        <v>266</v>
      </c>
      <c r="F9597" s="996" t="s">
        <v>23414</v>
      </c>
      <c r="G9597" s="1004" t="s">
        <v>23415</v>
      </c>
      <c r="H9597" s="998">
        <v>48</v>
      </c>
      <c r="I9597" s="1005">
        <v>45590</v>
      </c>
      <c r="J9597" s="1000" t="s">
        <v>23416</v>
      </c>
      <c r="K9597" s="1001" t="s">
        <v>16172</v>
      </c>
      <c r="O9597" s="61" t="s">
        <v>22530</v>
      </c>
      <c r="P9597" s="45"/>
      <c r="Q9597" s="48"/>
      <c r="R9597" s="45" t="s">
        <v>272</v>
      </c>
    </row>
    <row r="9598" spans="2:18" ht="69" customHeight="1">
      <c r="B9598" s="1002">
        <f t="shared" si="79"/>
        <v>6713</v>
      </c>
      <c r="C9598" s="993" t="s">
        <v>9215</v>
      </c>
      <c r="D9598" s="1003" t="s">
        <v>23417</v>
      </c>
      <c r="E9598" s="995" t="s">
        <v>266</v>
      </c>
      <c r="F9598" s="996" t="s">
        <v>23418</v>
      </c>
      <c r="G9598" s="1004" t="s">
        <v>23415</v>
      </c>
      <c r="H9598" s="998">
        <v>104</v>
      </c>
      <c r="I9598" s="1005">
        <v>45590</v>
      </c>
      <c r="J9598" s="1000" t="s">
        <v>23416</v>
      </c>
      <c r="K9598" s="1001" t="s">
        <v>16172</v>
      </c>
      <c r="O9598" s="61" t="s">
        <v>22530</v>
      </c>
      <c r="P9598" s="45"/>
      <c r="Q9598" s="48"/>
      <c r="R9598" s="45" t="s">
        <v>272</v>
      </c>
    </row>
    <row r="9599" spans="2:18" ht="69" customHeight="1">
      <c r="B9599" s="239">
        <f t="shared" si="79"/>
        <v>6714</v>
      </c>
      <c r="C9599" s="59" t="s">
        <v>10205</v>
      </c>
      <c r="D9599" s="489" t="s">
        <v>23419</v>
      </c>
      <c r="E9599" s="59" t="s">
        <v>22151</v>
      </c>
      <c r="F9599" s="45" t="s">
        <v>23420</v>
      </c>
      <c r="G9599" s="45" t="s">
        <v>23421</v>
      </c>
      <c r="H9599" s="552">
        <v>47603.86</v>
      </c>
      <c r="I9599" s="47">
        <v>45621</v>
      </c>
      <c r="J9599" s="73" t="s">
        <v>23422</v>
      </c>
      <c r="K9599" s="45"/>
      <c r="M9599" s="98"/>
      <c r="N9599" s="98"/>
      <c r="O9599" s="45" t="s">
        <v>8228</v>
      </c>
      <c r="P9599" s="45" t="s">
        <v>57</v>
      </c>
      <c r="Q9599" s="48" t="s">
        <v>120</v>
      </c>
      <c r="R9599" s="45" t="s">
        <v>272</v>
      </c>
    </row>
    <row r="9600" spans="2:18" ht="69" customHeight="1">
      <c r="B9600" s="239">
        <f t="shared" si="79"/>
        <v>6715</v>
      </c>
      <c r="C9600" s="59" t="s">
        <v>10205</v>
      </c>
      <c r="D9600" s="489" t="s">
        <v>12339</v>
      </c>
      <c r="E9600" s="59" t="s">
        <v>22151</v>
      </c>
      <c r="F9600" s="45" t="s">
        <v>23423</v>
      </c>
      <c r="G9600" s="45" t="s">
        <v>23421</v>
      </c>
      <c r="H9600" s="552">
        <v>90241.58</v>
      </c>
      <c r="I9600" s="47">
        <v>45621</v>
      </c>
      <c r="J9600" s="73" t="s">
        <v>23422</v>
      </c>
      <c r="K9600" s="45"/>
      <c r="M9600" s="98"/>
      <c r="N9600" s="98"/>
      <c r="O9600" s="45" t="s">
        <v>8228</v>
      </c>
      <c r="P9600" s="45" t="s">
        <v>57</v>
      </c>
      <c r="Q9600" s="48" t="s">
        <v>120</v>
      </c>
      <c r="R9600" s="45" t="s">
        <v>272</v>
      </c>
    </row>
    <row r="9601" spans="1:18" ht="69" customHeight="1">
      <c r="B9601" s="239">
        <f t="shared" si="79"/>
        <v>6716</v>
      </c>
      <c r="C9601" s="59" t="s">
        <v>10205</v>
      </c>
      <c r="D9601" s="489" t="s">
        <v>12380</v>
      </c>
      <c r="E9601" s="59" t="s">
        <v>23424</v>
      </c>
      <c r="F9601" s="45" t="s">
        <v>23425</v>
      </c>
      <c r="G9601" s="59" t="s">
        <v>23426</v>
      </c>
      <c r="H9601" s="552">
        <v>22560.39</v>
      </c>
      <c r="I9601" s="47">
        <v>45621</v>
      </c>
      <c r="J9601" s="73" t="s">
        <v>23422</v>
      </c>
      <c r="K9601" s="45"/>
      <c r="M9601" s="98"/>
      <c r="N9601" s="98"/>
      <c r="O9601" s="45" t="s">
        <v>8228</v>
      </c>
      <c r="P9601" s="45" t="s">
        <v>57</v>
      </c>
      <c r="Q9601" s="48" t="s">
        <v>120</v>
      </c>
      <c r="R9601" s="45" t="s">
        <v>272</v>
      </c>
    </row>
    <row r="9602" spans="1:18" ht="69" customHeight="1">
      <c r="B9602" s="239">
        <f t="shared" si="79"/>
        <v>6717</v>
      </c>
      <c r="C9602" s="59" t="s">
        <v>10205</v>
      </c>
      <c r="D9602" s="489" t="s">
        <v>12387</v>
      </c>
      <c r="E9602" s="59" t="s">
        <v>23424</v>
      </c>
      <c r="F9602" s="45" t="s">
        <v>23427</v>
      </c>
      <c r="G9602" s="59" t="s">
        <v>23428</v>
      </c>
      <c r="H9602" s="552">
        <v>47603.86</v>
      </c>
      <c r="I9602" s="47">
        <v>45621</v>
      </c>
      <c r="J9602" s="73" t="s">
        <v>23422</v>
      </c>
      <c r="K9602" s="45"/>
      <c r="M9602" s="98"/>
      <c r="N9602" s="98"/>
      <c r="O9602" s="45" t="s">
        <v>8228</v>
      </c>
      <c r="P9602" s="45" t="s">
        <v>57</v>
      </c>
      <c r="Q9602" s="48" t="s">
        <v>120</v>
      </c>
      <c r="R9602" s="45" t="s">
        <v>272</v>
      </c>
    </row>
    <row r="9603" spans="1:18" ht="69" customHeight="1">
      <c r="B9603" s="319">
        <f t="shared" si="79"/>
        <v>6718</v>
      </c>
      <c r="C9603" s="207" t="s">
        <v>10961</v>
      </c>
      <c r="D9603" s="518" t="s">
        <v>23429</v>
      </c>
      <c r="E9603" s="207" t="s">
        <v>266</v>
      </c>
      <c r="F9603" s="160" t="s">
        <v>23430</v>
      </c>
      <c r="G9603" s="160" t="s">
        <v>23431</v>
      </c>
      <c r="H9603" s="300">
        <v>1339.72</v>
      </c>
      <c r="I9603" s="209">
        <v>45601</v>
      </c>
      <c r="J9603" s="316" t="s">
        <v>23432</v>
      </c>
      <c r="K9603" s="160" t="s">
        <v>11084</v>
      </c>
      <c r="M9603" s="98"/>
      <c r="N9603" s="98"/>
      <c r="O9603" s="160" t="s">
        <v>23433</v>
      </c>
      <c r="P9603" s="160" t="s">
        <v>67</v>
      </c>
      <c r="Q9603" s="259" t="s">
        <v>96</v>
      </c>
      <c r="R9603" s="160" t="s">
        <v>272</v>
      </c>
    </row>
    <row r="9604" spans="1:18" s="98" customFormat="1" ht="69" customHeight="1">
      <c r="A9604" s="169"/>
      <c r="B9604" s="239">
        <f t="shared" si="79"/>
        <v>6719</v>
      </c>
      <c r="C9604" s="59" t="s">
        <v>9967</v>
      </c>
      <c r="D9604" s="489" t="s">
        <v>23434</v>
      </c>
      <c r="E9604" s="59" t="s">
        <v>23424</v>
      </c>
      <c r="F9604" s="45" t="s">
        <v>23435</v>
      </c>
      <c r="G9604" s="59" t="s">
        <v>23436</v>
      </c>
      <c r="H9604" s="198">
        <v>39665.42</v>
      </c>
      <c r="I9604" s="47">
        <v>45621</v>
      </c>
      <c r="J9604" s="73" t="s">
        <v>23437</v>
      </c>
      <c r="K9604" s="45"/>
      <c r="O9604" s="45" t="s">
        <v>8228</v>
      </c>
      <c r="P9604" s="45" t="s">
        <v>57</v>
      </c>
      <c r="Q9604" s="48" t="s">
        <v>119</v>
      </c>
      <c r="R9604" s="45" t="s">
        <v>272</v>
      </c>
    </row>
    <row r="9605" spans="1:18" s="98" customFormat="1" ht="69" customHeight="1">
      <c r="A9605" s="169"/>
      <c r="B9605" s="239">
        <f t="shared" si="79"/>
        <v>6720</v>
      </c>
      <c r="C9605" s="59" t="s">
        <v>9967</v>
      </c>
      <c r="D9605" s="489" t="s">
        <v>20987</v>
      </c>
      <c r="E9605" s="59" t="s">
        <v>22151</v>
      </c>
      <c r="F9605" s="45" t="s">
        <v>23438</v>
      </c>
      <c r="G9605" s="45" t="s">
        <v>23439</v>
      </c>
      <c r="H9605" s="198">
        <v>158661.64000000001</v>
      </c>
      <c r="I9605" s="47">
        <v>45621</v>
      </c>
      <c r="J9605" s="73" t="s">
        <v>23437</v>
      </c>
      <c r="K9605" s="45"/>
      <c r="O9605" s="45" t="s">
        <v>8228</v>
      </c>
      <c r="P9605" s="45" t="s">
        <v>57</v>
      </c>
      <c r="Q9605" s="48" t="s">
        <v>119</v>
      </c>
      <c r="R9605" s="45" t="s">
        <v>272</v>
      </c>
    </row>
    <row r="9606" spans="1:18" s="98" customFormat="1" ht="69" customHeight="1">
      <c r="A9606" s="169"/>
      <c r="B9606" s="239">
        <f t="shared" si="79"/>
        <v>6721</v>
      </c>
      <c r="C9606" s="549" t="s">
        <v>23440</v>
      </c>
      <c r="D9606" s="489">
        <v>990</v>
      </c>
      <c r="E9606" s="59" t="s">
        <v>409</v>
      </c>
      <c r="F9606" s="45" t="s">
        <v>23441</v>
      </c>
      <c r="G9606" s="45" t="s">
        <v>23442</v>
      </c>
      <c r="H9606" s="198">
        <v>124148.64</v>
      </c>
      <c r="I9606" s="47">
        <v>44855</v>
      </c>
      <c r="J9606" s="73" t="s">
        <v>23443</v>
      </c>
      <c r="K9606" s="45"/>
      <c r="O9606" s="58" t="s">
        <v>197</v>
      </c>
      <c r="P9606" s="58" t="s">
        <v>59</v>
      </c>
      <c r="Q9606" s="62" t="s">
        <v>47</v>
      </c>
      <c r="R9606" s="58" t="s">
        <v>272</v>
      </c>
    </row>
    <row r="9607" spans="1:18" s="98" customFormat="1" ht="69" customHeight="1">
      <c r="A9607" s="169"/>
      <c r="B9607" s="48">
        <f t="shared" si="79"/>
        <v>6722</v>
      </c>
      <c r="C9607" s="59" t="s">
        <v>3647</v>
      </c>
      <c r="D9607" s="489">
        <v>965</v>
      </c>
      <c r="E9607" s="59" t="s">
        <v>409</v>
      </c>
      <c r="F9607" s="45" t="s">
        <v>23444</v>
      </c>
      <c r="G9607" s="59" t="s">
        <v>23442</v>
      </c>
      <c r="H9607" s="198">
        <v>114148.64</v>
      </c>
      <c r="I9607" s="47">
        <v>44855</v>
      </c>
      <c r="J9607" s="73" t="s">
        <v>23443</v>
      </c>
      <c r="K9607" s="45"/>
      <c r="O9607" s="58" t="s">
        <v>197</v>
      </c>
      <c r="P9607" s="58" t="s">
        <v>59</v>
      </c>
      <c r="Q9607" s="62" t="s">
        <v>52</v>
      </c>
      <c r="R9607" s="58" t="s">
        <v>272</v>
      </c>
    </row>
    <row r="9608" spans="1:18" ht="69" customHeight="1">
      <c r="B9608" s="236">
        <f t="shared" si="79"/>
        <v>6723</v>
      </c>
      <c r="C9608" s="638" t="s">
        <v>13562</v>
      </c>
      <c r="D9608" s="498" t="s">
        <v>23445</v>
      </c>
      <c r="E9608" s="58" t="s">
        <v>21476</v>
      </c>
      <c r="F9608" s="58" t="s">
        <v>23446</v>
      </c>
      <c r="G9608" s="63" t="s">
        <v>23447</v>
      </c>
      <c r="H9608" s="376">
        <v>69769.83</v>
      </c>
      <c r="I9608" s="421">
        <v>45601</v>
      </c>
      <c r="J9608" s="547" t="s">
        <v>22742</v>
      </c>
      <c r="K9608" s="67" t="s">
        <v>22203</v>
      </c>
      <c r="O9608" s="45" t="s">
        <v>156</v>
      </c>
      <c r="P9608" s="45" t="s">
        <v>73</v>
      </c>
      <c r="Q9608" s="48" t="s">
        <v>88</v>
      </c>
      <c r="R9608" s="45" t="s">
        <v>272</v>
      </c>
    </row>
    <row r="9609" spans="1:18" ht="69" customHeight="1">
      <c r="B9609" s="239">
        <f t="shared" si="79"/>
        <v>6724</v>
      </c>
      <c r="C9609" s="59" t="s">
        <v>10639</v>
      </c>
      <c r="D9609" s="489" t="s">
        <v>23448</v>
      </c>
      <c r="E9609" s="45" t="s">
        <v>21476</v>
      </c>
      <c r="F9609" s="45" t="s">
        <v>23449</v>
      </c>
      <c r="G9609" s="81" t="s">
        <v>22741</v>
      </c>
      <c r="H9609" s="198">
        <v>241719.3</v>
      </c>
      <c r="I9609" s="488">
        <v>45601</v>
      </c>
      <c r="J9609" s="73" t="s">
        <v>23450</v>
      </c>
      <c r="K9609" s="45" t="s">
        <v>22203</v>
      </c>
      <c r="O9609" s="45" t="s">
        <v>156</v>
      </c>
      <c r="P9609" s="45" t="s">
        <v>19</v>
      </c>
      <c r="Q9609" s="48" t="s">
        <v>95</v>
      </c>
      <c r="R9609" s="45" t="s">
        <v>272</v>
      </c>
    </row>
    <row r="9610" spans="1:18" ht="69" customHeight="1">
      <c r="B9610" s="239">
        <f t="shared" si="79"/>
        <v>6725</v>
      </c>
      <c r="C9610" s="59" t="s">
        <v>10634</v>
      </c>
      <c r="D9610" s="489" t="s">
        <v>23451</v>
      </c>
      <c r="E9610" s="45" t="s">
        <v>21476</v>
      </c>
      <c r="F9610" s="45" t="s">
        <v>23452</v>
      </c>
      <c r="G9610" s="81" t="s">
        <v>22741</v>
      </c>
      <c r="H9610" s="198">
        <v>161613.84</v>
      </c>
      <c r="I9610" s="488">
        <v>45601</v>
      </c>
      <c r="J9610" s="73" t="s">
        <v>23450</v>
      </c>
      <c r="K9610" s="45" t="s">
        <v>22203</v>
      </c>
      <c r="O9610" s="45" t="s">
        <v>156</v>
      </c>
      <c r="P9610" s="45" t="s">
        <v>19</v>
      </c>
      <c r="Q9610" s="48" t="s">
        <v>93</v>
      </c>
      <c r="R9610" s="45" t="s">
        <v>272</v>
      </c>
    </row>
    <row r="9611" spans="1:18" ht="69" customHeight="1">
      <c r="B9611" s="79">
        <f t="shared" si="79"/>
        <v>6726</v>
      </c>
      <c r="C9611" s="59" t="s">
        <v>21763</v>
      </c>
      <c r="D9611" s="498" t="s">
        <v>23453</v>
      </c>
      <c r="E9611" s="58" t="s">
        <v>21476</v>
      </c>
      <c r="F9611" s="58" t="s">
        <v>23454</v>
      </c>
      <c r="G9611" s="63" t="s">
        <v>22741</v>
      </c>
      <c r="H9611" s="546">
        <v>545131.53</v>
      </c>
      <c r="I9611" s="421">
        <v>45601</v>
      </c>
      <c r="J9611" s="242" t="s">
        <v>23450</v>
      </c>
      <c r="K9611" s="67" t="s">
        <v>22203</v>
      </c>
      <c r="O9611" s="45" t="s">
        <v>156</v>
      </c>
      <c r="P9611" s="45" t="s">
        <v>19</v>
      </c>
      <c r="Q9611" s="48" t="s">
        <v>66</v>
      </c>
      <c r="R9611" s="45" t="s">
        <v>272</v>
      </c>
    </row>
    <row r="9612" spans="1:18" ht="69" customHeight="1">
      <c r="B9612" s="79">
        <f t="shared" ref="B9612:B9675" si="80">B9611+1</f>
        <v>6727</v>
      </c>
      <c r="C9612" s="58" t="s">
        <v>3007</v>
      </c>
      <c r="D9612" s="498" t="s">
        <v>19186</v>
      </c>
      <c r="E9612" s="45" t="s">
        <v>15436</v>
      </c>
      <c r="F9612" s="45" t="s">
        <v>23455</v>
      </c>
      <c r="G9612" s="45" t="s">
        <v>23456</v>
      </c>
      <c r="H9612" s="546">
        <v>6307.36</v>
      </c>
      <c r="I9612" s="421">
        <v>45601</v>
      </c>
      <c r="J9612" s="242" t="s">
        <v>23457</v>
      </c>
      <c r="K9612" s="67" t="s">
        <v>23458</v>
      </c>
      <c r="O9612" s="45" t="s">
        <v>15440</v>
      </c>
      <c r="P9612" s="45" t="s">
        <v>55</v>
      </c>
      <c r="Q9612" s="48" t="s">
        <v>29</v>
      </c>
      <c r="R9612" s="45" t="s">
        <v>272</v>
      </c>
    </row>
    <row r="9613" spans="1:18" ht="69" customHeight="1">
      <c r="B9613" s="79">
        <f t="shared" si="80"/>
        <v>6728</v>
      </c>
      <c r="C9613" s="59" t="s">
        <v>23459</v>
      </c>
      <c r="D9613" s="498" t="s">
        <v>23460</v>
      </c>
      <c r="E9613" s="45" t="s">
        <v>15436</v>
      </c>
      <c r="F9613" s="45" t="s">
        <v>23461</v>
      </c>
      <c r="G9613" s="45" t="s">
        <v>23456</v>
      </c>
      <c r="H9613" s="546">
        <v>4730.5200000000004</v>
      </c>
      <c r="I9613" s="421">
        <v>45601</v>
      </c>
      <c r="J9613" s="242" t="s">
        <v>23457</v>
      </c>
      <c r="K9613" s="67" t="s">
        <v>23462</v>
      </c>
      <c r="O9613" s="45" t="s">
        <v>15440</v>
      </c>
      <c r="P9613" s="45" t="s">
        <v>55</v>
      </c>
      <c r="Q9613" s="48" t="s">
        <v>121</v>
      </c>
      <c r="R9613" s="45" t="s">
        <v>272</v>
      </c>
    </row>
    <row r="9614" spans="1:18" ht="69" customHeight="1">
      <c r="B9614" s="79">
        <f t="shared" si="80"/>
        <v>6729</v>
      </c>
      <c r="C9614" s="178" t="s">
        <v>8663</v>
      </c>
      <c r="D9614" s="498" t="s">
        <v>12433</v>
      </c>
      <c r="E9614" s="45" t="s">
        <v>15436</v>
      </c>
      <c r="F9614" s="45" t="s">
        <v>23463</v>
      </c>
      <c r="G9614" s="45" t="s">
        <v>23456</v>
      </c>
      <c r="H9614" s="546">
        <v>3153.68</v>
      </c>
      <c r="I9614" s="421">
        <v>45601</v>
      </c>
      <c r="J9614" s="242" t="s">
        <v>23457</v>
      </c>
      <c r="K9614" s="67" t="s">
        <v>23464</v>
      </c>
      <c r="O9614" s="45" t="s">
        <v>15440</v>
      </c>
      <c r="P9614" s="45" t="s">
        <v>55</v>
      </c>
      <c r="Q9614" s="48" t="s">
        <v>102</v>
      </c>
      <c r="R9614" s="45" t="s">
        <v>272</v>
      </c>
    </row>
    <row r="9615" spans="1:18" ht="69" customHeight="1">
      <c r="B9615" s="79">
        <f t="shared" si="80"/>
        <v>6730</v>
      </c>
      <c r="C9615" s="59" t="s">
        <v>3667</v>
      </c>
      <c r="D9615" s="498" t="s">
        <v>23465</v>
      </c>
      <c r="E9615" s="45" t="s">
        <v>15436</v>
      </c>
      <c r="F9615" s="45" t="s">
        <v>23466</v>
      </c>
      <c r="G9615" s="45" t="s">
        <v>23456</v>
      </c>
      <c r="H9615" s="546">
        <v>3153.68</v>
      </c>
      <c r="I9615" s="421">
        <v>45601</v>
      </c>
      <c r="J9615" s="242" t="s">
        <v>23457</v>
      </c>
      <c r="K9615" s="67" t="s">
        <v>23467</v>
      </c>
      <c r="O9615" s="45" t="s">
        <v>15440</v>
      </c>
      <c r="P9615" s="45" t="s">
        <v>55</v>
      </c>
      <c r="Q9615" s="48" t="s">
        <v>68</v>
      </c>
      <c r="R9615" s="45" t="s">
        <v>272</v>
      </c>
    </row>
    <row r="9616" spans="1:18" ht="69" customHeight="1">
      <c r="B9616" s="231">
        <f t="shared" si="80"/>
        <v>6731</v>
      </c>
      <c r="C9616" s="86" t="s">
        <v>21763</v>
      </c>
      <c r="D9616" s="282" t="s">
        <v>23468</v>
      </c>
      <c r="E9616" s="86" t="s">
        <v>266</v>
      </c>
      <c r="F9616" s="87" t="s">
        <v>23469</v>
      </c>
      <c r="G9616" s="46" t="s">
        <v>23470</v>
      </c>
      <c r="H9616" s="206">
        <v>3000</v>
      </c>
      <c r="I9616" s="517">
        <v>45621</v>
      </c>
      <c r="J9616" s="199" t="s">
        <v>23471</v>
      </c>
      <c r="K9616" s="46"/>
      <c r="O9616" s="52" t="s">
        <v>20856</v>
      </c>
      <c r="P9616" s="46" t="s">
        <v>65</v>
      </c>
      <c r="Q9616" s="52" t="s">
        <v>66</v>
      </c>
      <c r="R9616" s="46" t="s">
        <v>272</v>
      </c>
    </row>
    <row r="9617" spans="2:18" ht="69" customHeight="1">
      <c r="B9617" s="79">
        <f t="shared" si="80"/>
        <v>6732</v>
      </c>
      <c r="C9617" s="178" t="s">
        <v>458</v>
      </c>
      <c r="D9617" s="498" t="s">
        <v>23472</v>
      </c>
      <c r="E9617" s="85" t="s">
        <v>16011</v>
      </c>
      <c r="F9617" s="58" t="s">
        <v>23473</v>
      </c>
      <c r="G9617" s="58" t="s">
        <v>23474</v>
      </c>
      <c r="H9617" s="546">
        <v>29180</v>
      </c>
      <c r="I9617" s="421">
        <v>45611</v>
      </c>
      <c r="J9617" s="65" t="s">
        <v>23475</v>
      </c>
      <c r="K9617" s="67"/>
      <c r="O9617" s="45" t="s">
        <v>150</v>
      </c>
      <c r="P9617" s="45" t="s">
        <v>51</v>
      </c>
      <c r="Q9617" s="48" t="s">
        <v>113</v>
      </c>
      <c r="R9617" s="45" t="s">
        <v>272</v>
      </c>
    </row>
    <row r="9618" spans="2:18" ht="69" customHeight="1">
      <c r="B9618" s="79">
        <f t="shared" si="80"/>
        <v>6733</v>
      </c>
      <c r="C9618" s="178" t="s">
        <v>458</v>
      </c>
      <c r="D9618" s="498" t="s">
        <v>23476</v>
      </c>
      <c r="E9618" s="85" t="s">
        <v>16011</v>
      </c>
      <c r="F9618" s="58" t="s">
        <v>23477</v>
      </c>
      <c r="G9618" s="58" t="s">
        <v>23474</v>
      </c>
      <c r="H9618" s="546">
        <v>29180</v>
      </c>
      <c r="I9618" s="421">
        <v>45611</v>
      </c>
      <c r="J9618" s="65" t="s">
        <v>23475</v>
      </c>
      <c r="K9618" s="67"/>
      <c r="O9618" s="45" t="s">
        <v>150</v>
      </c>
      <c r="P9618" s="45" t="s">
        <v>51</v>
      </c>
      <c r="Q9618" s="48" t="s">
        <v>103</v>
      </c>
      <c r="R9618" s="45" t="s">
        <v>272</v>
      </c>
    </row>
    <row r="9619" spans="2:18" ht="69" customHeight="1">
      <c r="B9619" s="79">
        <f t="shared" si="80"/>
        <v>6734</v>
      </c>
      <c r="C9619" s="178" t="s">
        <v>458</v>
      </c>
      <c r="D9619" s="498" t="s">
        <v>23478</v>
      </c>
      <c r="E9619" s="85" t="s">
        <v>16011</v>
      </c>
      <c r="F9619" s="58" t="s">
        <v>23479</v>
      </c>
      <c r="G9619" s="58" t="s">
        <v>23480</v>
      </c>
      <c r="H9619" s="546">
        <v>2382.5100000000002</v>
      </c>
      <c r="I9619" s="421">
        <v>45611</v>
      </c>
      <c r="J9619" s="242" t="s">
        <v>23481</v>
      </c>
      <c r="K9619" s="67"/>
      <c r="O9619" s="45" t="s">
        <v>150</v>
      </c>
      <c r="P9619" s="45" t="s">
        <v>51</v>
      </c>
      <c r="Q9619" s="48" t="s">
        <v>103</v>
      </c>
      <c r="R9619" s="45" t="s">
        <v>272</v>
      </c>
    </row>
    <row r="9620" spans="2:18" ht="69" customHeight="1">
      <c r="B9620" s="79">
        <f t="shared" si="80"/>
        <v>6735</v>
      </c>
      <c r="C9620" s="178" t="s">
        <v>458</v>
      </c>
      <c r="D9620" s="498" t="s">
        <v>23482</v>
      </c>
      <c r="E9620" s="85" t="s">
        <v>16011</v>
      </c>
      <c r="F9620" s="58" t="s">
        <v>23483</v>
      </c>
      <c r="G9620" s="58" t="s">
        <v>23480</v>
      </c>
      <c r="H9620" s="546">
        <v>2382.5100000000002</v>
      </c>
      <c r="I9620" s="421">
        <v>45611</v>
      </c>
      <c r="J9620" s="242" t="s">
        <v>23481</v>
      </c>
      <c r="K9620" s="67"/>
      <c r="O9620" s="45" t="s">
        <v>150</v>
      </c>
      <c r="P9620" s="45" t="s">
        <v>51</v>
      </c>
      <c r="Q9620" s="48" t="s">
        <v>113</v>
      </c>
      <c r="R9620" s="45" t="s">
        <v>272</v>
      </c>
    </row>
    <row r="9621" spans="2:18" ht="69" customHeight="1">
      <c r="B9621" s="79">
        <f t="shared" si="80"/>
        <v>6736</v>
      </c>
      <c r="C9621" s="178" t="s">
        <v>458</v>
      </c>
      <c r="D9621" s="498" t="s">
        <v>23484</v>
      </c>
      <c r="E9621" s="85" t="s">
        <v>16011</v>
      </c>
      <c r="F9621" s="58" t="s">
        <v>23485</v>
      </c>
      <c r="G9621" s="58" t="s">
        <v>23480</v>
      </c>
      <c r="H9621" s="546">
        <v>2382.5100000000002</v>
      </c>
      <c r="I9621" s="421">
        <v>45611</v>
      </c>
      <c r="J9621" s="242" t="s">
        <v>23481</v>
      </c>
      <c r="K9621" s="67"/>
      <c r="O9621" s="45" t="s">
        <v>150</v>
      </c>
      <c r="P9621" s="45" t="s">
        <v>51</v>
      </c>
      <c r="Q9621" s="48" t="s">
        <v>122</v>
      </c>
      <c r="R9621" s="45" t="s">
        <v>272</v>
      </c>
    </row>
    <row r="9622" spans="2:18" ht="69" customHeight="1">
      <c r="B9622" s="79">
        <f t="shared" si="80"/>
        <v>6737</v>
      </c>
      <c r="C9622" s="178" t="s">
        <v>458</v>
      </c>
      <c r="D9622" s="498" t="s">
        <v>23486</v>
      </c>
      <c r="E9622" s="85" t="s">
        <v>16011</v>
      </c>
      <c r="F9622" s="58" t="s">
        <v>23487</v>
      </c>
      <c r="G9622" s="58" t="s">
        <v>23480</v>
      </c>
      <c r="H9622" s="546">
        <v>2382.4899999999998</v>
      </c>
      <c r="I9622" s="421">
        <v>45611</v>
      </c>
      <c r="J9622" s="242" t="s">
        <v>23481</v>
      </c>
      <c r="K9622" s="67"/>
      <c r="O9622" s="45" t="s">
        <v>150</v>
      </c>
      <c r="P9622" s="45" t="s">
        <v>51</v>
      </c>
      <c r="Q9622" s="48" t="s">
        <v>117</v>
      </c>
      <c r="R9622" s="45" t="s">
        <v>272</v>
      </c>
    </row>
    <row r="9623" spans="2:18" ht="69" customHeight="1">
      <c r="B9623" s="239">
        <f t="shared" si="80"/>
        <v>6738</v>
      </c>
      <c r="C9623" s="59" t="s">
        <v>11055</v>
      </c>
      <c r="D9623" s="489" t="s">
        <v>19183</v>
      </c>
      <c r="E9623" s="45" t="s">
        <v>14895</v>
      </c>
      <c r="F9623" s="45" t="s">
        <v>23488</v>
      </c>
      <c r="G9623" s="45" t="s">
        <v>23489</v>
      </c>
      <c r="H9623" s="198">
        <v>43500</v>
      </c>
      <c r="I9623" s="47">
        <v>45601</v>
      </c>
      <c r="J9623" s="73" t="s">
        <v>23490</v>
      </c>
      <c r="K9623" s="45"/>
      <c r="O9623" s="45" t="s">
        <v>192</v>
      </c>
      <c r="P9623" s="45" t="s">
        <v>57</v>
      </c>
      <c r="Q9623" s="48" t="s">
        <v>45</v>
      </c>
      <c r="R9623" s="45" t="s">
        <v>272</v>
      </c>
    </row>
    <row r="9624" spans="2:18" ht="69" customHeight="1">
      <c r="B9624" s="231">
        <f t="shared" si="80"/>
        <v>6739</v>
      </c>
      <c r="C9624" s="49" t="s">
        <v>11908</v>
      </c>
      <c r="D9624" s="282" t="s">
        <v>23491</v>
      </c>
      <c r="E9624" s="86" t="s">
        <v>266</v>
      </c>
      <c r="F9624" s="87" t="s">
        <v>23492</v>
      </c>
      <c r="G9624" s="46" t="s">
        <v>23493</v>
      </c>
      <c r="H9624" s="206">
        <v>1459</v>
      </c>
      <c r="I9624" s="56">
        <v>45601</v>
      </c>
      <c r="J9624" s="199" t="s">
        <v>23494</v>
      </c>
      <c r="K9624" s="46"/>
      <c r="O9624" s="46" t="s">
        <v>65</v>
      </c>
      <c r="P9624" s="46" t="s">
        <v>65</v>
      </c>
      <c r="Q9624" s="52" t="s">
        <v>103</v>
      </c>
      <c r="R9624" s="46" t="s">
        <v>272</v>
      </c>
    </row>
    <row r="9625" spans="2:18" ht="69" customHeight="1">
      <c r="B9625" s="231">
        <f t="shared" si="80"/>
        <v>6740</v>
      </c>
      <c r="C9625" s="49" t="s">
        <v>11055</v>
      </c>
      <c r="D9625" s="282" t="s">
        <v>23495</v>
      </c>
      <c r="E9625" s="46" t="s">
        <v>14895</v>
      </c>
      <c r="F9625" s="87" t="s">
        <v>23496</v>
      </c>
      <c r="G9625" s="46" t="s">
        <v>23497</v>
      </c>
      <c r="H9625" s="206">
        <v>21150</v>
      </c>
      <c r="I9625" s="56">
        <v>45601</v>
      </c>
      <c r="J9625" s="199" t="s">
        <v>23498</v>
      </c>
      <c r="K9625" s="46"/>
      <c r="O9625" s="46" t="s">
        <v>192</v>
      </c>
      <c r="P9625" s="46" t="s">
        <v>65</v>
      </c>
      <c r="Q9625" s="52" t="s">
        <v>45</v>
      </c>
      <c r="R9625" s="46" t="s">
        <v>272</v>
      </c>
    </row>
    <row r="9626" spans="2:18" ht="69" customHeight="1">
      <c r="B9626" s="231">
        <f t="shared" si="80"/>
        <v>6741</v>
      </c>
      <c r="C9626" s="564" t="s">
        <v>9004</v>
      </c>
      <c r="D9626" s="282" t="s">
        <v>12437</v>
      </c>
      <c r="E9626" s="86" t="s">
        <v>266</v>
      </c>
      <c r="F9626" s="87" t="s">
        <v>23499</v>
      </c>
      <c r="G9626" s="46" t="s">
        <v>23493</v>
      </c>
      <c r="H9626" s="206">
        <v>2070.3000000000002</v>
      </c>
      <c r="I9626" s="56">
        <v>45601</v>
      </c>
      <c r="J9626" s="199" t="s">
        <v>23500</v>
      </c>
      <c r="K9626" s="46"/>
      <c r="O9626" s="46" t="s">
        <v>65</v>
      </c>
      <c r="P9626" s="46" t="s">
        <v>65</v>
      </c>
      <c r="Q9626" s="52" t="s">
        <v>111</v>
      </c>
      <c r="R9626" s="46" t="s">
        <v>272</v>
      </c>
    </row>
    <row r="9627" spans="2:18" ht="69" customHeight="1">
      <c r="B9627" s="231">
        <v>6742</v>
      </c>
      <c r="C9627" s="49" t="s">
        <v>10634</v>
      </c>
      <c r="D9627" s="282" t="s">
        <v>23501</v>
      </c>
      <c r="E9627" s="86" t="s">
        <v>266</v>
      </c>
      <c r="F9627" s="87" t="s">
        <v>23502</v>
      </c>
      <c r="G9627" s="46" t="s">
        <v>23503</v>
      </c>
      <c r="H9627" s="206">
        <v>30507.599999999999</v>
      </c>
      <c r="I9627" s="56">
        <v>45611</v>
      </c>
      <c r="J9627" s="199" t="s">
        <v>23504</v>
      </c>
      <c r="K9627" s="46"/>
      <c r="M9627" s="98"/>
      <c r="N9627" s="98"/>
      <c r="O9627" s="46" t="s">
        <v>17289</v>
      </c>
      <c r="P9627" s="46" t="s">
        <v>65</v>
      </c>
      <c r="Q9627" s="52" t="s">
        <v>93</v>
      </c>
      <c r="R9627" s="46" t="s">
        <v>272</v>
      </c>
    </row>
    <row r="9628" spans="2:18" ht="69" customHeight="1">
      <c r="B9628" s="231">
        <v>6743</v>
      </c>
      <c r="C9628" s="49" t="s">
        <v>10639</v>
      </c>
      <c r="D9628" s="282" t="s">
        <v>23505</v>
      </c>
      <c r="E9628" s="86" t="s">
        <v>266</v>
      </c>
      <c r="F9628" s="87" t="s">
        <v>23506</v>
      </c>
      <c r="G9628" s="46" t="s">
        <v>23503</v>
      </c>
      <c r="H9628" s="206">
        <v>4457.32</v>
      </c>
      <c r="I9628" s="56">
        <v>45611</v>
      </c>
      <c r="J9628" s="199" t="s">
        <v>23504</v>
      </c>
      <c r="K9628" s="46"/>
      <c r="O9628" s="46" t="s">
        <v>17289</v>
      </c>
      <c r="P9628" s="46" t="s">
        <v>65</v>
      </c>
      <c r="Q9628" s="52" t="s">
        <v>95</v>
      </c>
      <c r="R9628" s="46" t="s">
        <v>272</v>
      </c>
    </row>
    <row r="9629" spans="2:18" ht="69" customHeight="1">
      <c r="B9629" s="231">
        <f t="shared" si="80"/>
        <v>6744</v>
      </c>
      <c r="C9629" s="49" t="s">
        <v>10947</v>
      </c>
      <c r="D9629" s="282" t="s">
        <v>23507</v>
      </c>
      <c r="E9629" s="86" t="s">
        <v>266</v>
      </c>
      <c r="F9629" s="87" t="s">
        <v>23508</v>
      </c>
      <c r="G9629" s="46" t="s">
        <v>23509</v>
      </c>
      <c r="H9629" s="206">
        <v>7832.97</v>
      </c>
      <c r="I9629" s="56">
        <v>45611</v>
      </c>
      <c r="J9629" s="199" t="s">
        <v>23504</v>
      </c>
      <c r="K9629" s="46"/>
      <c r="O9629" s="46" t="s">
        <v>17289</v>
      </c>
      <c r="P9629" s="46" t="s">
        <v>65</v>
      </c>
      <c r="Q9629" s="52" t="s">
        <v>100</v>
      </c>
      <c r="R9629" s="46" t="s">
        <v>272</v>
      </c>
    </row>
    <row r="9630" spans="2:18" ht="69" customHeight="1">
      <c r="B9630" s="231">
        <f t="shared" si="80"/>
        <v>6745</v>
      </c>
      <c r="C9630" s="49" t="s">
        <v>9215</v>
      </c>
      <c r="D9630" s="282" t="s">
        <v>23510</v>
      </c>
      <c r="E9630" s="86" t="s">
        <v>266</v>
      </c>
      <c r="F9630" s="87" t="s">
        <v>23511</v>
      </c>
      <c r="G9630" s="46" t="s">
        <v>23509</v>
      </c>
      <c r="H9630" s="206">
        <v>17219.5</v>
      </c>
      <c r="I9630" s="56">
        <v>45611</v>
      </c>
      <c r="J9630" s="199" t="s">
        <v>23504</v>
      </c>
      <c r="K9630" s="46"/>
      <c r="O9630" s="46" t="s">
        <v>17289</v>
      </c>
      <c r="P9630" s="46" t="s">
        <v>65</v>
      </c>
      <c r="Q9630" s="52" t="s">
        <v>113</v>
      </c>
      <c r="R9630" s="46" t="s">
        <v>272</v>
      </c>
    </row>
    <row r="9631" spans="2:18" ht="69" customHeight="1">
      <c r="B9631" s="79">
        <f t="shared" si="80"/>
        <v>6746</v>
      </c>
      <c r="C9631" s="58" t="s">
        <v>309</v>
      </c>
      <c r="D9631" s="498" t="s">
        <v>7160</v>
      </c>
      <c r="E9631" s="59" t="s">
        <v>409</v>
      </c>
      <c r="F9631" s="45" t="s">
        <v>23512</v>
      </c>
      <c r="G9631" s="45" t="s">
        <v>738</v>
      </c>
      <c r="H9631" s="546">
        <v>174171.03</v>
      </c>
      <c r="I9631" s="47">
        <v>44832</v>
      </c>
      <c r="J9631" s="73" t="s">
        <v>23513</v>
      </c>
      <c r="K9631" s="67"/>
      <c r="O9631" s="58" t="s">
        <v>154</v>
      </c>
      <c r="P9631" s="58" t="s">
        <v>59</v>
      </c>
      <c r="Q9631" s="62" t="s">
        <v>20</v>
      </c>
      <c r="R9631" s="58" t="s">
        <v>272</v>
      </c>
    </row>
    <row r="9632" spans="2:18" ht="69" customHeight="1">
      <c r="B9632" s="79">
        <f t="shared" si="80"/>
        <v>6747</v>
      </c>
      <c r="C9632" s="58" t="s">
        <v>23440</v>
      </c>
      <c r="D9632" s="498" t="s">
        <v>7348</v>
      </c>
      <c r="E9632" s="59" t="s">
        <v>409</v>
      </c>
      <c r="F9632" s="45" t="s">
        <v>23514</v>
      </c>
      <c r="G9632" s="45" t="s">
        <v>738</v>
      </c>
      <c r="H9632" s="546">
        <v>69315.22</v>
      </c>
      <c r="I9632" s="47">
        <v>44832</v>
      </c>
      <c r="J9632" s="73" t="s">
        <v>23515</v>
      </c>
      <c r="K9632" s="67"/>
      <c r="O9632" s="58" t="s">
        <v>154</v>
      </c>
      <c r="P9632" s="58" t="s">
        <v>59</v>
      </c>
      <c r="Q9632" s="62" t="s">
        <v>54</v>
      </c>
      <c r="R9632" s="58" t="s">
        <v>272</v>
      </c>
    </row>
    <row r="9633" spans="1:18" ht="69" customHeight="1">
      <c r="B9633" s="79">
        <f t="shared" si="80"/>
        <v>6748</v>
      </c>
      <c r="C9633" s="178" t="s">
        <v>458</v>
      </c>
      <c r="D9633" s="498" t="s">
        <v>23516</v>
      </c>
      <c r="E9633" s="58" t="s">
        <v>22554</v>
      </c>
      <c r="F9633" s="58" t="s">
        <v>23517</v>
      </c>
      <c r="G9633" s="58" t="s">
        <v>23518</v>
      </c>
      <c r="H9633" s="546">
        <v>3862.63</v>
      </c>
      <c r="I9633" s="47">
        <v>45611</v>
      </c>
      <c r="J9633" s="73" t="s">
        <v>23519</v>
      </c>
      <c r="K9633" s="67"/>
      <c r="O9633" s="45" t="s">
        <v>150</v>
      </c>
      <c r="P9633" s="45" t="s">
        <v>51</v>
      </c>
      <c r="Q9633" s="48" t="s">
        <v>88</v>
      </c>
      <c r="R9633" s="45" t="s">
        <v>272</v>
      </c>
    </row>
    <row r="9634" spans="1:18" ht="69" customHeight="1">
      <c r="B9634" s="79">
        <f t="shared" si="80"/>
        <v>6749</v>
      </c>
      <c r="C9634" s="638" t="s">
        <v>13562</v>
      </c>
      <c r="D9634" s="498" t="s">
        <v>23520</v>
      </c>
      <c r="E9634" s="58" t="s">
        <v>23521</v>
      </c>
      <c r="F9634" s="58" t="s">
        <v>23522</v>
      </c>
      <c r="G9634" s="58" t="s">
        <v>23523</v>
      </c>
      <c r="H9634" s="546">
        <v>44611.95</v>
      </c>
      <c r="I9634" s="47">
        <v>45611</v>
      </c>
      <c r="J9634" s="73" t="s">
        <v>23524</v>
      </c>
      <c r="K9634" s="67"/>
      <c r="O9634" s="45" t="s">
        <v>210</v>
      </c>
      <c r="P9634" s="58" t="s">
        <v>81</v>
      </c>
      <c r="Q9634" s="48" t="s">
        <v>88</v>
      </c>
      <c r="R9634" s="45" t="s">
        <v>272</v>
      </c>
    </row>
    <row r="9635" spans="1:18" ht="69" customHeight="1">
      <c r="B9635" s="231">
        <f t="shared" si="80"/>
        <v>6750</v>
      </c>
      <c r="C9635" s="191" t="s">
        <v>657</v>
      </c>
      <c r="D9635" s="502" t="s">
        <v>17285</v>
      </c>
      <c r="E9635" s="46" t="s">
        <v>266</v>
      </c>
      <c r="F9635" s="46" t="s">
        <v>23525</v>
      </c>
      <c r="G9635" s="46" t="s">
        <v>23526</v>
      </c>
      <c r="H9635" s="534">
        <v>22212.39</v>
      </c>
      <c r="I9635" s="56">
        <v>45611</v>
      </c>
      <c r="J9635" s="199" t="s">
        <v>23527</v>
      </c>
      <c r="K9635" s="46"/>
      <c r="O9635" s="46" t="s">
        <v>1171</v>
      </c>
      <c r="P9635" s="46" t="s">
        <v>71</v>
      </c>
      <c r="Q9635" s="52" t="s">
        <v>110</v>
      </c>
      <c r="R9635" s="46" t="s">
        <v>272</v>
      </c>
    </row>
    <row r="9636" spans="1:18" ht="69" customHeight="1">
      <c r="B9636" s="231">
        <f t="shared" si="80"/>
        <v>6751</v>
      </c>
      <c r="C9636" s="191" t="s">
        <v>10634</v>
      </c>
      <c r="D9636" s="502" t="s">
        <v>10962</v>
      </c>
      <c r="E9636" s="46" t="s">
        <v>266</v>
      </c>
      <c r="F9636" s="46" t="s">
        <v>23528</v>
      </c>
      <c r="G9636" s="46" t="s">
        <v>23526</v>
      </c>
      <c r="H9636" s="534">
        <v>19965.240000000002</v>
      </c>
      <c r="I9636" s="56">
        <v>45611</v>
      </c>
      <c r="J9636" s="199" t="s">
        <v>23527</v>
      </c>
      <c r="K9636" s="46"/>
      <c r="O9636" s="46" t="s">
        <v>1171</v>
      </c>
      <c r="P9636" s="46" t="s">
        <v>71</v>
      </c>
      <c r="Q9636" s="52" t="s">
        <v>93</v>
      </c>
      <c r="R9636" s="46" t="s">
        <v>272</v>
      </c>
    </row>
    <row r="9637" spans="1:18" ht="69" customHeight="1">
      <c r="B9637" s="231">
        <f t="shared" si="80"/>
        <v>6752</v>
      </c>
      <c r="C9637" s="191" t="s">
        <v>10639</v>
      </c>
      <c r="D9637" s="502" t="s">
        <v>23529</v>
      </c>
      <c r="E9637" s="46" t="s">
        <v>266</v>
      </c>
      <c r="F9637" s="46" t="s">
        <v>23530</v>
      </c>
      <c r="G9637" s="46" t="s">
        <v>23526</v>
      </c>
      <c r="H9637" s="534">
        <v>19965.240000000002</v>
      </c>
      <c r="I9637" s="56">
        <v>45611</v>
      </c>
      <c r="J9637" s="199" t="s">
        <v>23527</v>
      </c>
      <c r="K9637" s="46"/>
      <c r="O9637" s="46" t="s">
        <v>1171</v>
      </c>
      <c r="P9637" s="46" t="s">
        <v>71</v>
      </c>
      <c r="Q9637" s="52" t="s">
        <v>95</v>
      </c>
      <c r="R9637" s="46" t="s">
        <v>272</v>
      </c>
    </row>
    <row r="9638" spans="1:18" ht="69" customHeight="1">
      <c r="B9638" s="231">
        <f t="shared" si="80"/>
        <v>6753</v>
      </c>
      <c r="C9638" s="191" t="s">
        <v>10634</v>
      </c>
      <c r="D9638" s="502" t="s">
        <v>23531</v>
      </c>
      <c r="E9638" s="46" t="s">
        <v>266</v>
      </c>
      <c r="F9638" s="46" t="s">
        <v>23532</v>
      </c>
      <c r="G9638" s="46" t="s">
        <v>23526</v>
      </c>
      <c r="H9638" s="534">
        <v>19965.240000000002</v>
      </c>
      <c r="I9638" s="56">
        <v>45611</v>
      </c>
      <c r="J9638" s="199" t="s">
        <v>23527</v>
      </c>
      <c r="K9638" s="46"/>
      <c r="O9638" s="46" t="s">
        <v>1171</v>
      </c>
      <c r="P9638" s="46" t="s">
        <v>71</v>
      </c>
      <c r="Q9638" s="52" t="s">
        <v>93</v>
      </c>
      <c r="R9638" s="46" t="s">
        <v>272</v>
      </c>
    </row>
    <row r="9639" spans="1:18" ht="69" customHeight="1">
      <c r="B9639" s="231">
        <f t="shared" si="80"/>
        <v>6754</v>
      </c>
      <c r="C9639" s="191" t="s">
        <v>10639</v>
      </c>
      <c r="D9639" s="502" t="s">
        <v>23533</v>
      </c>
      <c r="E9639" s="46" t="s">
        <v>266</v>
      </c>
      <c r="F9639" s="46" t="s">
        <v>23534</v>
      </c>
      <c r="G9639" s="46" t="s">
        <v>23526</v>
      </c>
      <c r="H9639" s="534">
        <v>19965.240000000002</v>
      </c>
      <c r="I9639" s="56">
        <v>45611</v>
      </c>
      <c r="J9639" s="199" t="s">
        <v>23527</v>
      </c>
      <c r="K9639" s="46"/>
      <c r="O9639" s="46" t="s">
        <v>1171</v>
      </c>
      <c r="P9639" s="46" t="s">
        <v>71</v>
      </c>
      <c r="Q9639" s="52" t="s">
        <v>95</v>
      </c>
      <c r="R9639" s="46" t="s">
        <v>272</v>
      </c>
    </row>
    <row r="9640" spans="1:18" ht="69" customHeight="1">
      <c r="B9640" s="231">
        <f t="shared" si="80"/>
        <v>6755</v>
      </c>
      <c r="C9640" s="191" t="s">
        <v>9004</v>
      </c>
      <c r="D9640" s="502" t="s">
        <v>12323</v>
      </c>
      <c r="E9640" s="46" t="s">
        <v>266</v>
      </c>
      <c r="F9640" s="46" t="s">
        <v>23535</v>
      </c>
      <c r="G9640" s="46" t="s">
        <v>23526</v>
      </c>
      <c r="H9640" s="534">
        <v>21600</v>
      </c>
      <c r="I9640" s="56">
        <v>45611</v>
      </c>
      <c r="J9640" s="199" t="s">
        <v>23527</v>
      </c>
      <c r="K9640" s="46"/>
      <c r="O9640" s="46" t="s">
        <v>1171</v>
      </c>
      <c r="P9640" s="46" t="s">
        <v>71</v>
      </c>
      <c r="Q9640" s="52" t="s">
        <v>111</v>
      </c>
      <c r="R9640" s="46" t="s">
        <v>272</v>
      </c>
    </row>
    <row r="9641" spans="1:18" ht="69" customHeight="1">
      <c r="B9641" s="231">
        <f t="shared" si="80"/>
        <v>6756</v>
      </c>
      <c r="C9641" s="191" t="s">
        <v>5658</v>
      </c>
      <c r="D9641" s="502" t="s">
        <v>23536</v>
      </c>
      <c r="E9641" s="46" t="s">
        <v>266</v>
      </c>
      <c r="F9641" s="46" t="s">
        <v>23537</v>
      </c>
      <c r="G9641" s="46" t="s">
        <v>23526</v>
      </c>
      <c r="H9641" s="534">
        <v>22211.07</v>
      </c>
      <c r="I9641" s="56">
        <v>45611</v>
      </c>
      <c r="J9641" s="199" t="s">
        <v>23527</v>
      </c>
      <c r="K9641" s="46"/>
      <c r="O9641" s="46" t="s">
        <v>1171</v>
      </c>
      <c r="P9641" s="46" t="s">
        <v>71</v>
      </c>
      <c r="Q9641" s="52" t="s">
        <v>66</v>
      </c>
      <c r="R9641" s="46" t="s">
        <v>272</v>
      </c>
    </row>
    <row r="9642" spans="1:18" ht="69" customHeight="1">
      <c r="B9642" s="238">
        <f t="shared" si="80"/>
        <v>6757</v>
      </c>
      <c r="C9642" s="989" t="s">
        <v>10634</v>
      </c>
      <c r="D9642" s="987" t="s">
        <v>23538</v>
      </c>
      <c r="E9642" s="100" t="s">
        <v>23539</v>
      </c>
      <c r="F9642" s="763" t="s">
        <v>23540</v>
      </c>
      <c r="G9642" s="100" t="s">
        <v>23541</v>
      </c>
      <c r="H9642" s="988"/>
      <c r="I9642" s="96"/>
      <c r="J9642" s="268" t="s">
        <v>23542</v>
      </c>
      <c r="K9642" s="160" t="s">
        <v>23376</v>
      </c>
      <c r="O9642" s="46" t="s">
        <v>10607</v>
      </c>
      <c r="P9642" s="46"/>
      <c r="Q9642" s="52"/>
      <c r="R9642" s="46" t="s">
        <v>272</v>
      </c>
    </row>
    <row r="9643" spans="1:18" ht="69" customHeight="1">
      <c r="B9643" s="231">
        <f>B9642+1</f>
        <v>6758</v>
      </c>
      <c r="C9643" s="49" t="s">
        <v>5658</v>
      </c>
      <c r="D9643" s="282" t="s">
        <v>23543</v>
      </c>
      <c r="E9643" s="46" t="s">
        <v>266</v>
      </c>
      <c r="F9643" s="87" t="s">
        <v>23544</v>
      </c>
      <c r="G9643" s="46" t="s">
        <v>23545</v>
      </c>
      <c r="H9643" s="206">
        <v>26904.639999999999</v>
      </c>
      <c r="I9643" s="56">
        <v>45611</v>
      </c>
      <c r="J9643" s="199" t="s">
        <v>23546</v>
      </c>
      <c r="K9643" s="46" t="s">
        <v>23547</v>
      </c>
      <c r="O9643" s="46" t="s">
        <v>15440</v>
      </c>
      <c r="P9643" s="46" t="s">
        <v>65</v>
      </c>
      <c r="Q9643" s="52" t="s">
        <v>66</v>
      </c>
      <c r="R9643" s="46" t="s">
        <v>272</v>
      </c>
    </row>
    <row r="9644" spans="1:18" ht="69" customHeight="1">
      <c r="B9644" s="231">
        <f t="shared" si="80"/>
        <v>6759</v>
      </c>
      <c r="C9644" s="86" t="s">
        <v>9441</v>
      </c>
      <c r="D9644" s="282" t="s">
        <v>12463</v>
      </c>
      <c r="E9644" s="46" t="s">
        <v>266</v>
      </c>
      <c r="F9644" s="87" t="s">
        <v>23548</v>
      </c>
      <c r="G9644" s="516" t="s">
        <v>23549</v>
      </c>
      <c r="H9644" s="260">
        <v>9000</v>
      </c>
      <c r="I9644" s="56">
        <v>45621</v>
      </c>
      <c r="J9644" s="267" t="s">
        <v>23550</v>
      </c>
      <c r="K9644" s="46"/>
      <c r="O9644" s="46" t="s">
        <v>23137</v>
      </c>
      <c r="P9644" s="46" t="s">
        <v>65</v>
      </c>
      <c r="Q9644" s="52" t="s">
        <v>116</v>
      </c>
      <c r="R9644" s="46" t="s">
        <v>272</v>
      </c>
    </row>
    <row r="9645" spans="1:18" s="98" customFormat="1" ht="69" customHeight="1">
      <c r="A9645" s="169"/>
      <c r="B9645" s="239">
        <f t="shared" si="80"/>
        <v>6760</v>
      </c>
      <c r="C9645" s="674" t="s">
        <v>9596</v>
      </c>
      <c r="D9645" s="675" t="s">
        <v>12467</v>
      </c>
      <c r="E9645" s="45" t="s">
        <v>266</v>
      </c>
      <c r="F9645" s="677" t="s">
        <v>23551</v>
      </c>
      <c r="G9645" s="775" t="s">
        <v>23549</v>
      </c>
      <c r="H9645" s="730">
        <v>30000</v>
      </c>
      <c r="I9645" s="47">
        <v>45682</v>
      </c>
      <c r="J9645" s="776" t="s">
        <v>23552</v>
      </c>
      <c r="K9645" s="45"/>
      <c r="O9645" s="45" t="s">
        <v>23137</v>
      </c>
      <c r="P9645" s="45" t="s">
        <v>65</v>
      </c>
      <c r="Q9645" s="48" t="s">
        <v>118</v>
      </c>
      <c r="R9645" s="45" t="s">
        <v>272</v>
      </c>
    </row>
    <row r="9646" spans="1:18" ht="69" customHeight="1">
      <c r="B9646" s="79">
        <f t="shared" si="80"/>
        <v>6761</v>
      </c>
      <c r="C9646" s="178" t="s">
        <v>1333</v>
      </c>
      <c r="D9646" s="498" t="s">
        <v>22067</v>
      </c>
      <c r="E9646" s="58" t="s">
        <v>17212</v>
      </c>
      <c r="F9646" s="45" t="s">
        <v>23553</v>
      </c>
      <c r="G9646" s="58" t="s">
        <v>23554</v>
      </c>
      <c r="H9646" s="552">
        <v>56389.87</v>
      </c>
      <c r="I9646" s="126">
        <v>45611</v>
      </c>
      <c r="J9646" s="73" t="s">
        <v>23555</v>
      </c>
      <c r="K9646" s="67" t="s">
        <v>23556</v>
      </c>
      <c r="O9646" s="45" t="s">
        <v>16399</v>
      </c>
      <c r="P9646" s="45" t="s">
        <v>55</v>
      </c>
      <c r="Q9646" s="48" t="s">
        <v>25</v>
      </c>
      <c r="R9646" s="45" t="s">
        <v>272</v>
      </c>
    </row>
    <row r="9647" spans="1:18" ht="69" customHeight="1">
      <c r="B9647" s="319">
        <f t="shared" si="80"/>
        <v>6762</v>
      </c>
      <c r="C9647" s="207" t="s">
        <v>458</v>
      </c>
      <c r="D9647" s="518" t="s">
        <v>21030</v>
      </c>
      <c r="E9647" s="207" t="s">
        <v>266</v>
      </c>
      <c r="F9647" s="160" t="s">
        <v>23557</v>
      </c>
      <c r="G9647" s="338" t="s">
        <v>23389</v>
      </c>
      <c r="H9647" s="527">
        <v>129</v>
      </c>
      <c r="I9647" s="209">
        <v>45611</v>
      </c>
      <c r="J9647" s="316" t="s">
        <v>23558</v>
      </c>
      <c r="K9647" s="160"/>
      <c r="O9647" s="160" t="s">
        <v>12529</v>
      </c>
      <c r="P9647" s="160" t="s">
        <v>67</v>
      </c>
      <c r="Q9647" s="259" t="s">
        <v>90</v>
      </c>
      <c r="R9647" s="160" t="s">
        <v>272</v>
      </c>
    </row>
    <row r="9648" spans="1:18" s="98" customFormat="1" ht="69" customHeight="1">
      <c r="A9648" s="169"/>
      <c r="B9648" s="231">
        <f t="shared" si="80"/>
        <v>6763</v>
      </c>
      <c r="C9648" s="49" t="s">
        <v>6888</v>
      </c>
      <c r="D9648" s="282" t="s">
        <v>23559</v>
      </c>
      <c r="E9648" s="86" t="s">
        <v>266</v>
      </c>
      <c r="F9648" s="87" t="s">
        <v>23560</v>
      </c>
      <c r="G9648" s="46" t="s">
        <v>23561</v>
      </c>
      <c r="H9648" s="206">
        <v>660</v>
      </c>
      <c r="I9648" s="56">
        <v>45621</v>
      </c>
      <c r="J9648" s="267" t="s">
        <v>23562</v>
      </c>
      <c r="K9648" s="46" t="s">
        <v>23563</v>
      </c>
      <c r="O9648" s="46" t="s">
        <v>23564</v>
      </c>
      <c r="P9648" s="46" t="s">
        <v>65</v>
      </c>
      <c r="Q9648" s="52" t="s">
        <v>84</v>
      </c>
      <c r="R9648" s="46" t="s">
        <v>272</v>
      </c>
    </row>
    <row r="9649" spans="1:18" ht="69" customHeight="1">
      <c r="B9649" s="231">
        <f t="shared" si="80"/>
        <v>6764</v>
      </c>
      <c r="C9649" s="49" t="s">
        <v>5832</v>
      </c>
      <c r="D9649" s="282" t="s">
        <v>23565</v>
      </c>
      <c r="E9649" s="86" t="s">
        <v>266</v>
      </c>
      <c r="F9649" s="87" t="s">
        <v>23566</v>
      </c>
      <c r="G9649" s="87" t="s">
        <v>23567</v>
      </c>
      <c r="H9649" s="206">
        <v>16620</v>
      </c>
      <c r="I9649" s="56">
        <v>45752</v>
      </c>
      <c r="J9649" s="267" t="s">
        <v>23568</v>
      </c>
      <c r="K9649" s="46"/>
      <c r="M9649" s="98"/>
      <c r="N9649" s="98"/>
      <c r="O9649" s="46" t="s">
        <v>16996</v>
      </c>
      <c r="P9649" s="46" t="s">
        <v>65</v>
      </c>
      <c r="Q9649" s="52" t="s">
        <v>68</v>
      </c>
      <c r="R9649" s="46" t="s">
        <v>272</v>
      </c>
    </row>
    <row r="9650" spans="1:18" ht="69" customHeight="1">
      <c r="B9650" s="698">
        <f t="shared" si="80"/>
        <v>6765</v>
      </c>
      <c r="C9650" s="699" t="s">
        <v>458</v>
      </c>
      <c r="D9650" s="700" t="s">
        <v>23569</v>
      </c>
      <c r="E9650" s="701" t="s">
        <v>266</v>
      </c>
      <c r="F9650" s="701" t="s">
        <v>23570</v>
      </c>
      <c r="G9650" s="701" t="s">
        <v>23571</v>
      </c>
      <c r="H9650" s="702"/>
      <c r="I9650" s="703">
        <v>45611</v>
      </c>
      <c r="J9650" s="704" t="s">
        <v>23572</v>
      </c>
      <c r="K9650" s="701" t="s">
        <v>23573</v>
      </c>
      <c r="L9650" s="406"/>
      <c r="M9650" s="406"/>
      <c r="N9650" s="406"/>
      <c r="O9650" s="701" t="s">
        <v>23574</v>
      </c>
      <c r="P9650" s="701"/>
      <c r="Q9650" s="705" t="s">
        <v>122</v>
      </c>
      <c r="R9650" s="701" t="s">
        <v>272</v>
      </c>
    </row>
    <row r="9651" spans="1:18" ht="69" customHeight="1">
      <c r="B9651" s="698">
        <f t="shared" si="80"/>
        <v>6766</v>
      </c>
      <c r="C9651" s="699" t="s">
        <v>657</v>
      </c>
      <c r="D9651" s="700" t="s">
        <v>12468</v>
      </c>
      <c r="E9651" s="701" t="s">
        <v>266</v>
      </c>
      <c r="F9651" s="701" t="s">
        <v>23575</v>
      </c>
      <c r="G9651" s="701" t="s">
        <v>23571</v>
      </c>
      <c r="H9651" s="702"/>
      <c r="I9651" s="703">
        <v>45611</v>
      </c>
      <c r="J9651" s="704" t="s">
        <v>23572</v>
      </c>
      <c r="K9651" s="701" t="s">
        <v>23573</v>
      </c>
      <c r="L9651" s="406"/>
      <c r="M9651" s="406"/>
      <c r="N9651" s="406"/>
      <c r="O9651" s="701" t="s">
        <v>1171</v>
      </c>
      <c r="P9651" s="701"/>
      <c r="Q9651" s="705" t="s">
        <v>97</v>
      </c>
      <c r="R9651" s="701" t="s">
        <v>272</v>
      </c>
    </row>
    <row r="9652" spans="1:18" s="405" customFormat="1" ht="69" customHeight="1">
      <c r="A9652" s="686"/>
      <c r="B9652" s="698">
        <f t="shared" si="80"/>
        <v>6767</v>
      </c>
      <c r="C9652" s="699" t="s">
        <v>458</v>
      </c>
      <c r="D9652" s="700" t="s">
        <v>23576</v>
      </c>
      <c r="E9652" s="701" t="s">
        <v>266</v>
      </c>
      <c r="F9652" s="701" t="s">
        <v>23577</v>
      </c>
      <c r="G9652" s="701" t="s">
        <v>23571</v>
      </c>
      <c r="H9652" s="702" t="s">
        <v>96</v>
      </c>
      <c r="I9652" s="703">
        <v>45611</v>
      </c>
      <c r="J9652" s="704" t="s">
        <v>23572</v>
      </c>
      <c r="K9652" s="701" t="s">
        <v>22384</v>
      </c>
      <c r="O9652" s="701" t="s">
        <v>1171</v>
      </c>
      <c r="P9652" s="701"/>
      <c r="Q9652" s="705" t="s">
        <v>123</v>
      </c>
      <c r="R9652" s="701" t="s">
        <v>272</v>
      </c>
    </row>
    <row r="9653" spans="1:18" ht="69" customHeight="1">
      <c r="B9653" s="698">
        <f t="shared" si="80"/>
        <v>6768</v>
      </c>
      <c r="C9653" s="699" t="s">
        <v>458</v>
      </c>
      <c r="D9653" s="700" t="s">
        <v>21061</v>
      </c>
      <c r="E9653" s="701" t="s">
        <v>266</v>
      </c>
      <c r="F9653" s="701" t="s">
        <v>23577</v>
      </c>
      <c r="G9653" s="701" t="s">
        <v>23578</v>
      </c>
      <c r="H9653" s="702" t="s">
        <v>96</v>
      </c>
      <c r="I9653" s="703">
        <v>45611</v>
      </c>
      <c r="J9653" s="704" t="s">
        <v>23572</v>
      </c>
      <c r="K9653" s="701" t="s">
        <v>22384</v>
      </c>
      <c r="O9653" s="701" t="s">
        <v>1171</v>
      </c>
      <c r="P9653" s="701"/>
      <c r="Q9653" s="705" t="s">
        <v>123</v>
      </c>
      <c r="R9653" s="701" t="s">
        <v>272</v>
      </c>
    </row>
    <row r="9654" spans="1:18" ht="69" customHeight="1">
      <c r="A9654" s="168"/>
      <c r="B9654" s="689">
        <f t="shared" si="80"/>
        <v>6769</v>
      </c>
      <c r="C9654" s="690" t="s">
        <v>458</v>
      </c>
      <c r="D9654" s="691" t="s">
        <v>21070</v>
      </c>
      <c r="E9654" s="692" t="s">
        <v>266</v>
      </c>
      <c r="F9654" s="692" t="s">
        <v>23116</v>
      </c>
      <c r="G9654" s="692" t="s">
        <v>23571</v>
      </c>
      <c r="H9654" s="693">
        <v>22958.12</v>
      </c>
      <c r="I9654" s="694">
        <v>45611</v>
      </c>
      <c r="J9654" s="695" t="s">
        <v>23572</v>
      </c>
      <c r="K9654" s="692" t="s">
        <v>23579</v>
      </c>
      <c r="L9654" s="99"/>
      <c r="M9654" s="696"/>
      <c r="N9654" s="696"/>
      <c r="O9654" s="692" t="s">
        <v>1171</v>
      </c>
      <c r="P9654" s="692" t="s">
        <v>71</v>
      </c>
      <c r="Q9654" s="697" t="s">
        <v>123</v>
      </c>
      <c r="R9654" s="692" t="s">
        <v>272</v>
      </c>
    </row>
    <row r="9655" spans="1:18" s="98" customFormat="1" ht="69" customHeight="1">
      <c r="A9655" s="169"/>
      <c r="B9655" s="668">
        <f t="shared" si="80"/>
        <v>6770</v>
      </c>
      <c r="C9655" s="687" t="s">
        <v>9215</v>
      </c>
      <c r="D9655" s="669" t="s">
        <v>21075</v>
      </c>
      <c r="E9655" s="672" t="s">
        <v>266</v>
      </c>
      <c r="F9655" s="672" t="s">
        <v>23580</v>
      </c>
      <c r="G9655" s="672" t="s">
        <v>23571</v>
      </c>
      <c r="H9655" s="670">
        <v>21527.72</v>
      </c>
      <c r="I9655" s="688">
        <v>45611</v>
      </c>
      <c r="J9655" s="671" t="s">
        <v>23572</v>
      </c>
      <c r="K9655" s="672" t="s">
        <v>23581</v>
      </c>
      <c r="O9655" s="45" t="s">
        <v>1171</v>
      </c>
      <c r="P9655" s="45"/>
      <c r="Q9655" s="48" t="s">
        <v>113</v>
      </c>
      <c r="R9655" s="45" t="s">
        <v>272</v>
      </c>
    </row>
    <row r="9656" spans="1:18" ht="69" customHeight="1">
      <c r="B9656" s="79">
        <f t="shared" si="80"/>
        <v>6771</v>
      </c>
      <c r="C9656" s="178" t="s">
        <v>6261</v>
      </c>
      <c r="D9656" s="551" t="s">
        <v>23582</v>
      </c>
      <c r="E9656" s="58" t="s">
        <v>15436</v>
      </c>
      <c r="F9656" s="58" t="s">
        <v>23583</v>
      </c>
      <c r="G9656" s="58" t="s">
        <v>23584</v>
      </c>
      <c r="H9656" s="552">
        <v>19400.68</v>
      </c>
      <c r="I9656" s="66">
        <v>45611</v>
      </c>
      <c r="J9656" s="65" t="s">
        <v>23585</v>
      </c>
      <c r="K9656" s="58"/>
      <c r="O9656" s="45" t="s">
        <v>15440</v>
      </c>
      <c r="P9656" s="45" t="s">
        <v>55</v>
      </c>
      <c r="Q9656" s="48" t="s">
        <v>74</v>
      </c>
      <c r="R9656" s="45" t="s">
        <v>272</v>
      </c>
    </row>
    <row r="9657" spans="1:18" ht="69" customHeight="1">
      <c r="B9657" s="79">
        <f t="shared" si="80"/>
        <v>6772</v>
      </c>
      <c r="C9657" s="178" t="s">
        <v>6468</v>
      </c>
      <c r="D9657" s="551" t="s">
        <v>23586</v>
      </c>
      <c r="E9657" s="58" t="s">
        <v>15436</v>
      </c>
      <c r="F9657" s="58" t="s">
        <v>23587</v>
      </c>
      <c r="G9657" s="58" t="s">
        <v>23584</v>
      </c>
      <c r="H9657" s="552">
        <v>16814.73</v>
      </c>
      <c r="I9657" s="66">
        <v>45611</v>
      </c>
      <c r="J9657" s="65" t="s">
        <v>23585</v>
      </c>
      <c r="K9657" s="58"/>
      <c r="O9657" s="45" t="s">
        <v>15440</v>
      </c>
      <c r="P9657" s="45" t="s">
        <v>55</v>
      </c>
      <c r="Q9657" s="48" t="s">
        <v>76</v>
      </c>
      <c r="R9657" s="45" t="s">
        <v>272</v>
      </c>
    </row>
    <row r="9658" spans="1:18" ht="69" customHeight="1">
      <c r="B9658" s="79">
        <f t="shared" si="80"/>
        <v>6773</v>
      </c>
      <c r="C9658" s="178" t="s">
        <v>6693</v>
      </c>
      <c r="D9658" s="551" t="s">
        <v>11070</v>
      </c>
      <c r="E9658" s="58" t="s">
        <v>15436</v>
      </c>
      <c r="F9658" s="58" t="s">
        <v>23588</v>
      </c>
      <c r="G9658" s="58" t="s">
        <v>23584</v>
      </c>
      <c r="H9658" s="552">
        <v>14150.67</v>
      </c>
      <c r="I9658" s="66">
        <v>45611</v>
      </c>
      <c r="J9658" s="65" t="s">
        <v>23585</v>
      </c>
      <c r="K9658" s="58"/>
      <c r="O9658" s="45" t="s">
        <v>15440</v>
      </c>
      <c r="P9658" s="45" t="s">
        <v>55</v>
      </c>
      <c r="Q9658" s="48" t="s">
        <v>78</v>
      </c>
      <c r="R9658" s="45" t="s">
        <v>272</v>
      </c>
    </row>
    <row r="9659" spans="1:18" ht="69" customHeight="1">
      <c r="B9659" s="79">
        <f t="shared" si="80"/>
        <v>6774</v>
      </c>
      <c r="C9659" s="178" t="s">
        <v>4277</v>
      </c>
      <c r="D9659" s="551" t="s">
        <v>23589</v>
      </c>
      <c r="E9659" s="58" t="s">
        <v>15436</v>
      </c>
      <c r="F9659" s="58" t="s">
        <v>23590</v>
      </c>
      <c r="G9659" s="58" t="s">
        <v>23584</v>
      </c>
      <c r="H9659" s="552">
        <v>14780.93</v>
      </c>
      <c r="I9659" s="66">
        <v>45611</v>
      </c>
      <c r="J9659" s="65" t="s">
        <v>23585</v>
      </c>
      <c r="K9659" s="58"/>
      <c r="O9659" s="45" t="s">
        <v>15440</v>
      </c>
      <c r="P9659" s="45" t="s">
        <v>55</v>
      </c>
      <c r="Q9659" s="48" t="s">
        <v>56</v>
      </c>
      <c r="R9659" s="45" t="s">
        <v>272</v>
      </c>
    </row>
    <row r="9660" spans="1:18" ht="69" customHeight="1">
      <c r="B9660" s="79">
        <f t="shared" si="80"/>
        <v>6775</v>
      </c>
      <c r="C9660" s="178" t="s">
        <v>4728</v>
      </c>
      <c r="D9660" s="551" t="s">
        <v>23591</v>
      </c>
      <c r="E9660" s="58" t="s">
        <v>15436</v>
      </c>
      <c r="F9660" s="58" t="s">
        <v>23592</v>
      </c>
      <c r="G9660" s="58" t="s">
        <v>23584</v>
      </c>
      <c r="H9660" s="552">
        <v>12830.93</v>
      </c>
      <c r="I9660" s="66">
        <v>45611</v>
      </c>
      <c r="J9660" s="65" t="s">
        <v>23585</v>
      </c>
      <c r="K9660" s="58"/>
      <c r="O9660" s="45" t="s">
        <v>15440</v>
      </c>
      <c r="P9660" s="45" t="s">
        <v>55</v>
      </c>
      <c r="Q9660" s="48" t="s">
        <v>58</v>
      </c>
      <c r="R9660" s="45" t="s">
        <v>272</v>
      </c>
    </row>
    <row r="9661" spans="1:18" ht="69" customHeight="1">
      <c r="B9661" s="79">
        <f t="shared" si="80"/>
        <v>6776</v>
      </c>
      <c r="C9661" s="178" t="s">
        <v>10205</v>
      </c>
      <c r="D9661" s="551" t="s">
        <v>12476</v>
      </c>
      <c r="E9661" s="58" t="s">
        <v>15436</v>
      </c>
      <c r="F9661" s="58" t="s">
        <v>23593</v>
      </c>
      <c r="G9661" s="58" t="s">
        <v>23584</v>
      </c>
      <c r="H9661" s="552">
        <v>10680.67</v>
      </c>
      <c r="I9661" s="66">
        <v>45611</v>
      </c>
      <c r="J9661" s="65" t="s">
        <v>23585</v>
      </c>
      <c r="K9661" s="58"/>
      <c r="O9661" s="45" t="s">
        <v>15440</v>
      </c>
      <c r="P9661" s="45" t="s">
        <v>55</v>
      </c>
      <c r="Q9661" s="45" t="s">
        <v>120</v>
      </c>
      <c r="R9661" s="45" t="s">
        <v>272</v>
      </c>
    </row>
    <row r="9662" spans="1:18" ht="69" customHeight="1">
      <c r="B9662" s="79">
        <f t="shared" si="80"/>
        <v>6777</v>
      </c>
      <c r="C9662" s="178" t="s">
        <v>9094</v>
      </c>
      <c r="D9662" s="551" t="s">
        <v>21042</v>
      </c>
      <c r="E9662" s="58" t="s">
        <v>15436</v>
      </c>
      <c r="F9662" s="58" t="s">
        <v>23594</v>
      </c>
      <c r="G9662" s="58" t="s">
        <v>23584</v>
      </c>
      <c r="H9662" s="552">
        <v>10043.73</v>
      </c>
      <c r="I9662" s="66">
        <v>45611</v>
      </c>
      <c r="J9662" s="65" t="s">
        <v>23585</v>
      </c>
      <c r="K9662" s="58"/>
      <c r="O9662" s="45" t="s">
        <v>15440</v>
      </c>
      <c r="P9662" s="45" t="s">
        <v>55</v>
      </c>
      <c r="Q9662" s="48" t="s">
        <v>112</v>
      </c>
      <c r="R9662" s="45" t="s">
        <v>272</v>
      </c>
    </row>
    <row r="9663" spans="1:18" ht="69" customHeight="1">
      <c r="B9663" s="79">
        <f t="shared" si="80"/>
        <v>6778</v>
      </c>
      <c r="C9663" s="178" t="s">
        <v>3647</v>
      </c>
      <c r="D9663" s="551" t="s">
        <v>23595</v>
      </c>
      <c r="E9663" s="58" t="s">
        <v>15436</v>
      </c>
      <c r="F9663" s="58" t="s">
        <v>23596</v>
      </c>
      <c r="G9663" s="58" t="s">
        <v>23584</v>
      </c>
      <c r="H9663" s="552">
        <v>14458.79</v>
      </c>
      <c r="I9663" s="66">
        <v>45611</v>
      </c>
      <c r="J9663" s="65" t="s">
        <v>23585</v>
      </c>
      <c r="K9663" s="58"/>
      <c r="O9663" s="45" t="s">
        <v>15440</v>
      </c>
      <c r="P9663" s="45" t="s">
        <v>55</v>
      </c>
      <c r="Q9663" s="48" t="s">
        <v>47</v>
      </c>
      <c r="R9663" s="45" t="s">
        <v>272</v>
      </c>
    </row>
    <row r="9664" spans="1:18" ht="69" customHeight="1">
      <c r="B9664" s="79">
        <f t="shared" si="80"/>
        <v>6779</v>
      </c>
      <c r="C9664" s="178" t="s">
        <v>3933</v>
      </c>
      <c r="D9664" s="551" t="s">
        <v>23597</v>
      </c>
      <c r="E9664" s="58" t="s">
        <v>15436</v>
      </c>
      <c r="F9664" s="58" t="s">
        <v>23598</v>
      </c>
      <c r="G9664" s="58" t="s">
        <v>23584</v>
      </c>
      <c r="H9664" s="552">
        <v>14238.1</v>
      </c>
      <c r="I9664" s="66">
        <v>45611</v>
      </c>
      <c r="J9664" s="65" t="s">
        <v>23585</v>
      </c>
      <c r="K9664" s="58"/>
      <c r="O9664" s="45" t="s">
        <v>15440</v>
      </c>
      <c r="P9664" s="45" t="s">
        <v>55</v>
      </c>
      <c r="Q9664" s="48" t="s">
        <v>52</v>
      </c>
      <c r="R9664" s="45" t="s">
        <v>272</v>
      </c>
    </row>
    <row r="9665" spans="2:18" ht="69" customHeight="1">
      <c r="B9665" s="231">
        <f t="shared" si="80"/>
        <v>6780</v>
      </c>
      <c r="C9665" s="49" t="s">
        <v>11933</v>
      </c>
      <c r="D9665" s="282" t="s">
        <v>23599</v>
      </c>
      <c r="E9665" s="86" t="s">
        <v>266</v>
      </c>
      <c r="F9665" s="86" t="s">
        <v>23600</v>
      </c>
      <c r="G9665" s="46" t="s">
        <v>23601</v>
      </c>
      <c r="H9665" s="206">
        <v>19205.88</v>
      </c>
      <c r="I9665" s="56">
        <v>45621</v>
      </c>
      <c r="J9665" s="267" t="s">
        <v>23602</v>
      </c>
      <c r="K9665" s="46"/>
      <c r="O9665" s="46" t="s">
        <v>23603</v>
      </c>
      <c r="P9665" s="46" t="s">
        <v>65</v>
      </c>
      <c r="Q9665" s="52" t="s">
        <v>123</v>
      </c>
      <c r="R9665" s="46" t="s">
        <v>272</v>
      </c>
    </row>
    <row r="9666" spans="2:18" ht="69" customHeight="1">
      <c r="B9666" s="239">
        <f t="shared" si="80"/>
        <v>6781</v>
      </c>
      <c r="C9666" s="59" t="s">
        <v>6888</v>
      </c>
      <c r="D9666" s="489" t="s">
        <v>23604</v>
      </c>
      <c r="E9666" s="59" t="s">
        <v>23605</v>
      </c>
      <c r="F9666" s="45" t="s">
        <v>23606</v>
      </c>
      <c r="G9666" s="59" t="s">
        <v>23607</v>
      </c>
      <c r="H9666" s="198">
        <v>2004.1</v>
      </c>
      <c r="I9666" s="47">
        <v>45611</v>
      </c>
      <c r="J9666" s="73" t="s">
        <v>23608</v>
      </c>
      <c r="K9666" s="45"/>
      <c r="O9666" s="45" t="s">
        <v>15051</v>
      </c>
      <c r="P9666" s="45" t="s">
        <v>44</v>
      </c>
      <c r="Q9666" s="48" t="s">
        <v>84</v>
      </c>
      <c r="R9666" s="45" t="s">
        <v>272</v>
      </c>
    </row>
    <row r="9667" spans="2:18" ht="69" customHeight="1">
      <c r="B9667" s="239">
        <f t="shared" si="80"/>
        <v>6782</v>
      </c>
      <c r="C9667" s="178" t="s">
        <v>11042</v>
      </c>
      <c r="D9667" s="489" t="s">
        <v>19299</v>
      </c>
      <c r="E9667" s="59" t="s">
        <v>23605</v>
      </c>
      <c r="F9667" s="45" t="s">
        <v>23609</v>
      </c>
      <c r="G9667" s="59" t="s">
        <v>23607</v>
      </c>
      <c r="H9667" s="198">
        <v>1816.5</v>
      </c>
      <c r="I9667" s="47">
        <v>45611</v>
      </c>
      <c r="J9667" s="73" t="s">
        <v>23608</v>
      </c>
      <c r="K9667" s="45"/>
      <c r="O9667" s="45" t="s">
        <v>15051</v>
      </c>
      <c r="P9667" s="45" t="s">
        <v>44</v>
      </c>
      <c r="Q9667" s="48" t="s">
        <v>41</v>
      </c>
      <c r="R9667" s="45" t="s">
        <v>272</v>
      </c>
    </row>
    <row r="9668" spans="2:18" ht="69" customHeight="1">
      <c r="B9668" s="239">
        <f t="shared" si="80"/>
        <v>6783</v>
      </c>
      <c r="C9668" s="178" t="s">
        <v>1853</v>
      </c>
      <c r="D9668" s="489" t="s">
        <v>22163</v>
      </c>
      <c r="E9668" s="59" t="s">
        <v>23605</v>
      </c>
      <c r="F9668" s="45" t="s">
        <v>23610</v>
      </c>
      <c r="G9668" s="59" t="s">
        <v>23607</v>
      </c>
      <c r="H9668" s="198">
        <v>2004.1</v>
      </c>
      <c r="I9668" s="47">
        <v>45611</v>
      </c>
      <c r="J9668" s="73" t="s">
        <v>23608</v>
      </c>
      <c r="K9668" s="45"/>
      <c r="O9668" s="45" t="s">
        <v>15051</v>
      </c>
      <c r="P9668" s="45" t="s">
        <v>44</v>
      </c>
      <c r="Q9668" s="48" t="s">
        <v>29</v>
      </c>
      <c r="R9668" s="45" t="s">
        <v>272</v>
      </c>
    </row>
    <row r="9669" spans="2:18" ht="69" customHeight="1">
      <c r="B9669" s="239">
        <f t="shared" si="80"/>
        <v>6784</v>
      </c>
      <c r="C9669" s="59" t="s">
        <v>2182</v>
      </c>
      <c r="D9669" s="489" t="s">
        <v>19318</v>
      </c>
      <c r="E9669" s="59" t="s">
        <v>23605</v>
      </c>
      <c r="F9669" s="45" t="s">
        <v>23611</v>
      </c>
      <c r="G9669" s="59" t="s">
        <v>23607</v>
      </c>
      <c r="H9669" s="198">
        <v>2004.1</v>
      </c>
      <c r="I9669" s="47">
        <v>45611</v>
      </c>
      <c r="J9669" s="73" t="s">
        <v>23608</v>
      </c>
      <c r="K9669" s="45"/>
      <c r="O9669" s="45" t="s">
        <v>15051</v>
      </c>
      <c r="P9669" s="45" t="s">
        <v>44</v>
      </c>
      <c r="Q9669" s="48" t="s">
        <v>31</v>
      </c>
      <c r="R9669" s="45" t="s">
        <v>272</v>
      </c>
    </row>
    <row r="9670" spans="2:18" ht="69" customHeight="1">
      <c r="B9670" s="239">
        <f t="shared" si="80"/>
        <v>6785</v>
      </c>
      <c r="C9670" s="178" t="s">
        <v>17406</v>
      </c>
      <c r="D9670" s="489" t="s">
        <v>19320</v>
      </c>
      <c r="E9670" s="59" t="s">
        <v>23605</v>
      </c>
      <c r="F9670" s="45" t="s">
        <v>23612</v>
      </c>
      <c r="G9670" s="59" t="s">
        <v>23607</v>
      </c>
      <c r="H9670" s="198">
        <v>2004.1</v>
      </c>
      <c r="I9670" s="47">
        <v>45611</v>
      </c>
      <c r="J9670" s="73" t="s">
        <v>23608</v>
      </c>
      <c r="K9670" s="45"/>
      <c r="O9670" s="45" t="s">
        <v>15051</v>
      </c>
      <c r="P9670" s="45" t="s">
        <v>44</v>
      </c>
      <c r="Q9670" s="48" t="s">
        <v>33</v>
      </c>
      <c r="R9670" s="45" t="s">
        <v>272</v>
      </c>
    </row>
    <row r="9671" spans="2:18" ht="69" customHeight="1">
      <c r="B9671" s="239">
        <f t="shared" si="80"/>
        <v>6786</v>
      </c>
      <c r="C9671" s="178" t="s">
        <v>12631</v>
      </c>
      <c r="D9671" s="489" t="s">
        <v>19322</v>
      </c>
      <c r="E9671" s="59" t="s">
        <v>23605</v>
      </c>
      <c r="F9671" s="45" t="s">
        <v>23613</v>
      </c>
      <c r="G9671" s="59" t="s">
        <v>23607</v>
      </c>
      <c r="H9671" s="198">
        <v>1816.5</v>
      </c>
      <c r="I9671" s="47">
        <v>45611</v>
      </c>
      <c r="J9671" s="73" t="s">
        <v>23608</v>
      </c>
      <c r="K9671" s="45"/>
      <c r="O9671" s="45" t="s">
        <v>15051</v>
      </c>
      <c r="P9671" s="45" t="s">
        <v>44</v>
      </c>
      <c r="Q9671" s="48" t="s">
        <v>35</v>
      </c>
      <c r="R9671" s="45" t="s">
        <v>272</v>
      </c>
    </row>
    <row r="9672" spans="2:18" ht="69" customHeight="1">
      <c r="B9672" s="239">
        <f t="shared" si="80"/>
        <v>6787</v>
      </c>
      <c r="C9672" s="178" t="s">
        <v>11052</v>
      </c>
      <c r="D9672" s="489" t="s">
        <v>19324</v>
      </c>
      <c r="E9672" s="59" t="s">
        <v>23605</v>
      </c>
      <c r="F9672" s="45" t="s">
        <v>23614</v>
      </c>
      <c r="G9672" s="59" t="s">
        <v>23607</v>
      </c>
      <c r="H9672" s="198">
        <v>1816.5</v>
      </c>
      <c r="I9672" s="47">
        <v>45611</v>
      </c>
      <c r="J9672" s="73" t="s">
        <v>23608</v>
      </c>
      <c r="K9672" s="45"/>
      <c r="O9672" s="45" t="s">
        <v>15051</v>
      </c>
      <c r="P9672" s="45" t="s">
        <v>44</v>
      </c>
      <c r="Q9672" s="48" t="s">
        <v>37</v>
      </c>
      <c r="R9672" s="45" t="s">
        <v>272</v>
      </c>
    </row>
    <row r="9673" spans="2:18" ht="69" customHeight="1">
      <c r="B9673" s="239">
        <f t="shared" si="80"/>
        <v>6788</v>
      </c>
      <c r="C9673" s="178" t="s">
        <v>10856</v>
      </c>
      <c r="D9673" s="489" t="s">
        <v>19326</v>
      </c>
      <c r="E9673" s="59" t="s">
        <v>23605</v>
      </c>
      <c r="F9673" s="45" t="s">
        <v>23615</v>
      </c>
      <c r="G9673" s="59" t="s">
        <v>23607</v>
      </c>
      <c r="H9673" s="198">
        <v>1816.5</v>
      </c>
      <c r="I9673" s="47">
        <v>45611</v>
      </c>
      <c r="J9673" s="73" t="s">
        <v>23608</v>
      </c>
      <c r="K9673" s="45"/>
      <c r="O9673" s="45" t="s">
        <v>15051</v>
      </c>
      <c r="P9673" s="45" t="s">
        <v>44</v>
      </c>
      <c r="Q9673" s="48" t="s">
        <v>39</v>
      </c>
      <c r="R9673" s="45" t="s">
        <v>272</v>
      </c>
    </row>
    <row r="9674" spans="2:18" ht="69" customHeight="1">
      <c r="B9674" s="239">
        <f t="shared" si="80"/>
        <v>6789</v>
      </c>
      <c r="C9674" s="178" t="s">
        <v>9094</v>
      </c>
      <c r="D9674" s="489" t="s">
        <v>21091</v>
      </c>
      <c r="E9674" s="59" t="s">
        <v>23605</v>
      </c>
      <c r="F9674" s="45" t="s">
        <v>23616</v>
      </c>
      <c r="G9674" s="59" t="s">
        <v>23607</v>
      </c>
      <c r="H9674" s="198">
        <v>2004.1</v>
      </c>
      <c r="I9674" s="47">
        <v>45611</v>
      </c>
      <c r="J9674" s="73" t="s">
        <v>23608</v>
      </c>
      <c r="K9674" s="45"/>
      <c r="O9674" s="45" t="s">
        <v>15051</v>
      </c>
      <c r="P9674" s="45" t="s">
        <v>44</v>
      </c>
      <c r="Q9674" s="48" t="s">
        <v>112</v>
      </c>
      <c r="R9674" s="45" t="s">
        <v>272</v>
      </c>
    </row>
    <row r="9675" spans="2:18" ht="69" customHeight="1">
      <c r="B9675" s="239">
        <f t="shared" si="80"/>
        <v>6790</v>
      </c>
      <c r="C9675" s="178" t="s">
        <v>6261</v>
      </c>
      <c r="D9675" s="489" t="s">
        <v>23617</v>
      </c>
      <c r="E9675" s="59" t="s">
        <v>23605</v>
      </c>
      <c r="F9675" s="45" t="s">
        <v>23618</v>
      </c>
      <c r="G9675" s="59" t="s">
        <v>23607</v>
      </c>
      <c r="H9675" s="198">
        <v>2004.1</v>
      </c>
      <c r="I9675" s="47">
        <v>45611</v>
      </c>
      <c r="J9675" s="73" t="s">
        <v>23608</v>
      </c>
      <c r="K9675" s="45"/>
      <c r="O9675" s="45" t="s">
        <v>15051</v>
      </c>
      <c r="P9675" s="45" t="s">
        <v>44</v>
      </c>
      <c r="Q9675" s="48" t="s">
        <v>74</v>
      </c>
      <c r="R9675" s="45" t="s">
        <v>272</v>
      </c>
    </row>
    <row r="9676" spans="2:18" ht="69" customHeight="1">
      <c r="B9676" s="239">
        <f t="shared" ref="B9676:B9739" si="81">B9675+1</f>
        <v>6791</v>
      </c>
      <c r="C9676" s="178" t="s">
        <v>6468</v>
      </c>
      <c r="D9676" s="489" t="s">
        <v>23619</v>
      </c>
      <c r="E9676" s="59" t="s">
        <v>23605</v>
      </c>
      <c r="F9676" s="45" t="s">
        <v>23620</v>
      </c>
      <c r="G9676" s="59" t="s">
        <v>23607</v>
      </c>
      <c r="H9676" s="198">
        <v>2004.1</v>
      </c>
      <c r="I9676" s="47">
        <v>45611</v>
      </c>
      <c r="J9676" s="73" t="s">
        <v>23608</v>
      </c>
      <c r="K9676" s="45"/>
      <c r="O9676" s="45" t="s">
        <v>15051</v>
      </c>
      <c r="P9676" s="45" t="s">
        <v>44</v>
      </c>
      <c r="Q9676" s="48" t="s">
        <v>76</v>
      </c>
      <c r="R9676" s="45" t="s">
        <v>272</v>
      </c>
    </row>
    <row r="9677" spans="2:18" ht="69" customHeight="1">
      <c r="B9677" s="239">
        <f t="shared" si="81"/>
        <v>6792</v>
      </c>
      <c r="C9677" s="178" t="s">
        <v>6693</v>
      </c>
      <c r="D9677" s="489" t="s">
        <v>23621</v>
      </c>
      <c r="E9677" s="59" t="s">
        <v>23605</v>
      </c>
      <c r="F9677" s="45" t="s">
        <v>23622</v>
      </c>
      <c r="G9677" s="59" t="s">
        <v>23607</v>
      </c>
      <c r="H9677" s="198">
        <v>2004.1</v>
      </c>
      <c r="I9677" s="47">
        <v>45611</v>
      </c>
      <c r="J9677" s="73" t="s">
        <v>23608</v>
      </c>
      <c r="K9677" s="45"/>
      <c r="O9677" s="45" t="s">
        <v>15051</v>
      </c>
      <c r="P9677" s="45" t="s">
        <v>44</v>
      </c>
      <c r="Q9677" s="48" t="s">
        <v>78</v>
      </c>
      <c r="R9677" s="45" t="s">
        <v>272</v>
      </c>
    </row>
    <row r="9678" spans="2:18" ht="69" customHeight="1">
      <c r="B9678" s="239">
        <f t="shared" si="81"/>
        <v>6793</v>
      </c>
      <c r="C9678" s="178" t="s">
        <v>9215</v>
      </c>
      <c r="D9678" s="489" t="s">
        <v>23623</v>
      </c>
      <c r="E9678" s="59" t="s">
        <v>23605</v>
      </c>
      <c r="F9678" s="45" t="s">
        <v>23624</v>
      </c>
      <c r="G9678" s="59" t="s">
        <v>23607</v>
      </c>
      <c r="H9678" s="198">
        <v>2004.1</v>
      </c>
      <c r="I9678" s="47">
        <v>45611</v>
      </c>
      <c r="J9678" s="73" t="s">
        <v>23608</v>
      </c>
      <c r="K9678" s="45" t="s">
        <v>96</v>
      </c>
      <c r="O9678" s="45" t="s">
        <v>15051</v>
      </c>
      <c r="P9678" s="45" t="s">
        <v>44</v>
      </c>
      <c r="Q9678" s="48" t="s">
        <v>113</v>
      </c>
      <c r="R9678" s="45" t="s">
        <v>272</v>
      </c>
    </row>
    <row r="9679" spans="2:18" ht="69" customHeight="1">
      <c r="B9679" s="239">
        <f t="shared" si="81"/>
        <v>6794</v>
      </c>
      <c r="C9679" s="59" t="s">
        <v>5658</v>
      </c>
      <c r="D9679" s="489" t="s">
        <v>23625</v>
      </c>
      <c r="E9679" s="59" t="s">
        <v>23605</v>
      </c>
      <c r="F9679" s="45" t="s">
        <v>23626</v>
      </c>
      <c r="G9679" s="59" t="s">
        <v>23607</v>
      </c>
      <c r="H9679" s="198">
        <v>2433.1999999999998</v>
      </c>
      <c r="I9679" s="47">
        <v>45611</v>
      </c>
      <c r="J9679" s="73" t="s">
        <v>23608</v>
      </c>
      <c r="K9679" s="45"/>
      <c r="O9679" s="45" t="s">
        <v>15051</v>
      </c>
      <c r="P9679" s="45" t="s">
        <v>44</v>
      </c>
      <c r="Q9679" s="48" t="s">
        <v>66</v>
      </c>
      <c r="R9679" s="45" t="s">
        <v>272</v>
      </c>
    </row>
    <row r="9680" spans="2:18" ht="69" customHeight="1">
      <c r="B9680" s="239">
        <f t="shared" si="81"/>
        <v>6795</v>
      </c>
      <c r="C9680" s="59" t="s">
        <v>9545</v>
      </c>
      <c r="D9680" s="489" t="s">
        <v>21110</v>
      </c>
      <c r="E9680" s="59" t="s">
        <v>23605</v>
      </c>
      <c r="F9680" s="45" t="s">
        <v>23627</v>
      </c>
      <c r="G9680" s="59" t="s">
        <v>23607</v>
      </c>
      <c r="H9680" s="198">
        <v>2004.1</v>
      </c>
      <c r="I9680" s="47">
        <v>45611</v>
      </c>
      <c r="J9680" s="73" t="s">
        <v>23608</v>
      </c>
      <c r="K9680" s="45"/>
      <c r="O9680" s="45" t="s">
        <v>15051</v>
      </c>
      <c r="P9680" s="45" t="s">
        <v>44</v>
      </c>
      <c r="Q9680" s="48" t="s">
        <v>117</v>
      </c>
      <c r="R9680" s="45" t="s">
        <v>272</v>
      </c>
    </row>
    <row r="9681" spans="2:18" ht="69" customHeight="1">
      <c r="B9681" s="239">
        <f t="shared" si="81"/>
        <v>6796</v>
      </c>
      <c r="C9681" s="59" t="s">
        <v>10612</v>
      </c>
      <c r="D9681" s="489" t="s">
        <v>23628</v>
      </c>
      <c r="E9681" s="59" t="s">
        <v>23605</v>
      </c>
      <c r="F9681" s="45" t="s">
        <v>23629</v>
      </c>
      <c r="G9681" s="59" t="s">
        <v>23607</v>
      </c>
      <c r="H9681" s="198">
        <v>2004.1</v>
      </c>
      <c r="I9681" s="47">
        <v>45611</v>
      </c>
      <c r="J9681" s="73" t="s">
        <v>23608</v>
      </c>
      <c r="K9681" s="45"/>
      <c r="O9681" s="45" t="s">
        <v>15051</v>
      </c>
      <c r="P9681" s="45" t="s">
        <v>44</v>
      </c>
      <c r="Q9681" s="48" t="s">
        <v>86</v>
      </c>
      <c r="R9681" s="45" t="s">
        <v>272</v>
      </c>
    </row>
    <row r="9682" spans="2:18" ht="69" customHeight="1">
      <c r="B9682" s="239">
        <f t="shared" si="81"/>
        <v>6797</v>
      </c>
      <c r="C9682" s="178" t="s">
        <v>10947</v>
      </c>
      <c r="D9682" s="489" t="s">
        <v>21116</v>
      </c>
      <c r="E9682" s="59" t="s">
        <v>23605</v>
      </c>
      <c r="F9682" s="45" t="s">
        <v>23630</v>
      </c>
      <c r="G9682" s="59" t="s">
        <v>23607</v>
      </c>
      <c r="H9682" s="198">
        <v>2004.1</v>
      </c>
      <c r="I9682" s="47">
        <v>45611</v>
      </c>
      <c r="J9682" s="73" t="s">
        <v>23608</v>
      </c>
      <c r="K9682" s="45"/>
      <c r="O9682" s="45" t="s">
        <v>15051</v>
      </c>
      <c r="P9682" s="45" t="s">
        <v>44</v>
      </c>
      <c r="Q9682" s="48" t="s">
        <v>100</v>
      </c>
      <c r="R9682" s="45" t="s">
        <v>272</v>
      </c>
    </row>
    <row r="9683" spans="2:18" ht="69" customHeight="1">
      <c r="B9683" s="239">
        <f t="shared" si="81"/>
        <v>6798</v>
      </c>
      <c r="C9683" s="178" t="s">
        <v>7189</v>
      </c>
      <c r="D9683" s="489" t="s">
        <v>17310</v>
      </c>
      <c r="E9683" s="59" t="s">
        <v>23605</v>
      </c>
      <c r="F9683" s="45" t="s">
        <v>23631</v>
      </c>
      <c r="G9683" s="59" t="s">
        <v>23607</v>
      </c>
      <c r="H9683" s="198">
        <v>2004.1</v>
      </c>
      <c r="I9683" s="47">
        <v>45611</v>
      </c>
      <c r="J9683" s="73" t="s">
        <v>23608</v>
      </c>
      <c r="K9683" s="45"/>
      <c r="O9683" s="45" t="s">
        <v>15051</v>
      </c>
      <c r="P9683" s="45" t="s">
        <v>44</v>
      </c>
      <c r="Q9683" s="48" t="s">
        <v>97</v>
      </c>
      <c r="R9683" s="45" t="s">
        <v>272</v>
      </c>
    </row>
    <row r="9684" spans="2:18" ht="69" customHeight="1">
      <c r="B9684" s="239">
        <f t="shared" si="81"/>
        <v>6799</v>
      </c>
      <c r="C9684" s="59" t="s">
        <v>11908</v>
      </c>
      <c r="D9684" s="489" t="s">
        <v>21121</v>
      </c>
      <c r="E9684" s="59" t="s">
        <v>23605</v>
      </c>
      <c r="F9684" s="45" t="s">
        <v>23632</v>
      </c>
      <c r="G9684" s="59" t="s">
        <v>23607</v>
      </c>
      <c r="H9684" s="198">
        <v>2004.1</v>
      </c>
      <c r="I9684" s="47">
        <v>45611</v>
      </c>
      <c r="J9684" s="73" t="s">
        <v>23608</v>
      </c>
      <c r="K9684" s="45"/>
      <c r="O9684" s="45" t="s">
        <v>15051</v>
      </c>
      <c r="P9684" s="45" t="s">
        <v>44</v>
      </c>
      <c r="Q9684" s="48" t="s">
        <v>103</v>
      </c>
      <c r="R9684" s="45" t="s">
        <v>272</v>
      </c>
    </row>
    <row r="9685" spans="2:18" ht="69" customHeight="1">
      <c r="B9685" s="239">
        <f t="shared" si="81"/>
        <v>6800</v>
      </c>
      <c r="C9685" s="178" t="s">
        <v>10937</v>
      </c>
      <c r="D9685" s="489" t="s">
        <v>12506</v>
      </c>
      <c r="E9685" s="59" t="s">
        <v>23605</v>
      </c>
      <c r="F9685" s="45" t="s">
        <v>23633</v>
      </c>
      <c r="G9685" s="59" t="s">
        <v>23607</v>
      </c>
      <c r="H9685" s="198">
        <v>2004.1</v>
      </c>
      <c r="I9685" s="47">
        <v>45611</v>
      </c>
      <c r="J9685" s="73" t="s">
        <v>23608</v>
      </c>
      <c r="K9685" s="45"/>
      <c r="O9685" s="45" t="s">
        <v>15051</v>
      </c>
      <c r="P9685" s="45" t="s">
        <v>44</v>
      </c>
      <c r="Q9685" s="48" t="s">
        <v>104</v>
      </c>
      <c r="R9685" s="45" t="s">
        <v>272</v>
      </c>
    </row>
    <row r="9686" spans="2:18" ht="69" customHeight="1">
      <c r="B9686" s="239">
        <f t="shared" si="81"/>
        <v>6801</v>
      </c>
      <c r="C9686" s="178" t="s">
        <v>8057</v>
      </c>
      <c r="D9686" s="489" t="s">
        <v>21133</v>
      </c>
      <c r="E9686" s="59" t="s">
        <v>23605</v>
      </c>
      <c r="F9686" s="45" t="s">
        <v>23634</v>
      </c>
      <c r="G9686" s="59" t="s">
        <v>23607</v>
      </c>
      <c r="H9686" s="198">
        <v>2004.1</v>
      </c>
      <c r="I9686" s="47">
        <v>45611</v>
      </c>
      <c r="J9686" s="73" t="s">
        <v>23608</v>
      </c>
      <c r="K9686" s="45"/>
      <c r="M9686" s="98"/>
      <c r="N9686" s="98"/>
      <c r="O9686" s="45" t="s">
        <v>15051</v>
      </c>
      <c r="P9686" s="45" t="s">
        <v>44</v>
      </c>
      <c r="Q9686" s="48" t="s">
        <v>105</v>
      </c>
      <c r="R9686" s="45" t="s">
        <v>272</v>
      </c>
    </row>
    <row r="9687" spans="2:18" ht="69" customHeight="1">
      <c r="B9687" s="239">
        <f t="shared" si="81"/>
        <v>6802</v>
      </c>
      <c r="C9687" s="59" t="s">
        <v>11568</v>
      </c>
      <c r="D9687" s="489" t="s">
        <v>23635</v>
      </c>
      <c r="E9687" s="59" t="s">
        <v>23605</v>
      </c>
      <c r="F9687" s="45" t="s">
        <v>23636</v>
      </c>
      <c r="G9687" s="59" t="s">
        <v>23607</v>
      </c>
      <c r="H9687" s="198">
        <v>2004.1</v>
      </c>
      <c r="I9687" s="47">
        <v>45611</v>
      </c>
      <c r="J9687" s="73" t="s">
        <v>23608</v>
      </c>
      <c r="K9687" s="45"/>
      <c r="M9687" s="98"/>
      <c r="N9687" s="98"/>
      <c r="O9687" s="45" t="s">
        <v>15051</v>
      </c>
      <c r="P9687" s="45" t="s">
        <v>44</v>
      </c>
      <c r="Q9687" s="48" t="s">
        <v>107</v>
      </c>
      <c r="R9687" s="45" t="s">
        <v>272</v>
      </c>
    </row>
    <row r="9688" spans="2:18" ht="69" customHeight="1">
      <c r="B9688" s="239">
        <f t="shared" si="81"/>
        <v>6803</v>
      </c>
      <c r="C9688" s="237" t="s">
        <v>13435</v>
      </c>
      <c r="D9688" s="489" t="s">
        <v>22207</v>
      </c>
      <c r="E9688" s="59" t="s">
        <v>23605</v>
      </c>
      <c r="F9688" s="45" t="s">
        <v>23637</v>
      </c>
      <c r="G9688" s="59" t="s">
        <v>23607</v>
      </c>
      <c r="H9688" s="198">
        <v>2004.1</v>
      </c>
      <c r="I9688" s="47">
        <v>45611</v>
      </c>
      <c r="J9688" s="73" t="s">
        <v>23608</v>
      </c>
      <c r="K9688" s="45"/>
      <c r="O9688" s="45" t="s">
        <v>15051</v>
      </c>
      <c r="P9688" s="45" t="s">
        <v>44</v>
      </c>
      <c r="Q9688" s="48" t="s">
        <v>13</v>
      </c>
      <c r="R9688" s="45" t="s">
        <v>272</v>
      </c>
    </row>
    <row r="9689" spans="2:18" ht="69" customHeight="1">
      <c r="B9689" s="239">
        <f t="shared" si="81"/>
        <v>6804</v>
      </c>
      <c r="C9689" s="62"/>
      <c r="D9689" s="489" t="s">
        <v>23638</v>
      </c>
      <c r="E9689" s="59" t="s">
        <v>23605</v>
      </c>
      <c r="F9689" s="45" t="s">
        <v>23639</v>
      </c>
      <c r="G9689" s="59" t="s">
        <v>23607</v>
      </c>
      <c r="H9689" s="198">
        <v>2004.1</v>
      </c>
      <c r="I9689" s="47">
        <v>45611</v>
      </c>
      <c r="J9689" s="73" t="s">
        <v>23608</v>
      </c>
      <c r="K9689" s="45"/>
      <c r="O9689" s="45" t="s">
        <v>15051</v>
      </c>
      <c r="P9689" s="45" t="s">
        <v>44</v>
      </c>
      <c r="Q9689" s="48" t="s">
        <v>68</v>
      </c>
      <c r="R9689" s="45" t="s">
        <v>272</v>
      </c>
    </row>
    <row r="9690" spans="2:18" ht="69" customHeight="1">
      <c r="B9690" s="239">
        <f t="shared" si="81"/>
        <v>6805</v>
      </c>
      <c r="C9690" s="61" t="s">
        <v>22640</v>
      </c>
      <c r="D9690" s="489" t="s">
        <v>23640</v>
      </c>
      <c r="E9690" s="59" t="s">
        <v>23605</v>
      </c>
      <c r="F9690" s="45" t="s">
        <v>23641</v>
      </c>
      <c r="G9690" s="59" t="s">
        <v>23607</v>
      </c>
      <c r="H9690" s="198">
        <v>2004.1</v>
      </c>
      <c r="I9690" s="47">
        <v>45611</v>
      </c>
      <c r="J9690" s="73" t="s">
        <v>23608</v>
      </c>
      <c r="K9690" s="45"/>
      <c r="O9690" s="45" t="s">
        <v>15051</v>
      </c>
      <c r="P9690" s="45" t="s">
        <v>44</v>
      </c>
      <c r="Q9690" s="48" t="s">
        <v>70</v>
      </c>
      <c r="R9690" s="45" t="s">
        <v>272</v>
      </c>
    </row>
    <row r="9691" spans="2:18" ht="69" customHeight="1">
      <c r="B9691" s="239">
        <f t="shared" si="81"/>
        <v>6806</v>
      </c>
      <c r="C9691" s="59" t="s">
        <v>6062</v>
      </c>
      <c r="D9691" s="489" t="s">
        <v>23642</v>
      </c>
      <c r="E9691" s="59" t="s">
        <v>23605</v>
      </c>
      <c r="F9691" s="45" t="s">
        <v>23643</v>
      </c>
      <c r="G9691" s="59" t="s">
        <v>23607</v>
      </c>
      <c r="H9691" s="198">
        <v>1816.5</v>
      </c>
      <c r="I9691" s="47">
        <v>45611</v>
      </c>
      <c r="J9691" s="73" t="s">
        <v>23608</v>
      </c>
      <c r="K9691" s="45"/>
      <c r="O9691" s="45" t="s">
        <v>15051</v>
      </c>
      <c r="P9691" s="45" t="s">
        <v>44</v>
      </c>
      <c r="Q9691" s="48" t="s">
        <v>72</v>
      </c>
      <c r="R9691" s="45" t="s">
        <v>272</v>
      </c>
    </row>
    <row r="9692" spans="2:18" ht="69" customHeight="1">
      <c r="B9692" s="239">
        <f t="shared" si="81"/>
        <v>6807</v>
      </c>
      <c r="C9692" s="59" t="s">
        <v>8797</v>
      </c>
      <c r="D9692" s="489" t="s">
        <v>12508</v>
      </c>
      <c r="E9692" s="59" t="s">
        <v>23605</v>
      </c>
      <c r="F9692" s="45" t="s">
        <v>23644</v>
      </c>
      <c r="G9692" s="59" t="s">
        <v>23607</v>
      </c>
      <c r="H9692" s="198">
        <v>2004.1</v>
      </c>
      <c r="I9692" s="47">
        <v>45611</v>
      </c>
      <c r="J9692" s="73" t="s">
        <v>23608</v>
      </c>
      <c r="K9692" s="45"/>
      <c r="O9692" s="45" t="s">
        <v>15051</v>
      </c>
      <c r="P9692" s="45" t="s">
        <v>44</v>
      </c>
      <c r="Q9692" s="48" t="s">
        <v>110</v>
      </c>
      <c r="R9692" s="45" t="s">
        <v>272</v>
      </c>
    </row>
    <row r="9693" spans="2:18" ht="69" customHeight="1">
      <c r="B9693" s="239">
        <f t="shared" si="81"/>
        <v>6808</v>
      </c>
      <c r="C9693" s="59" t="s">
        <v>5558</v>
      </c>
      <c r="D9693" s="489" t="s">
        <v>23645</v>
      </c>
      <c r="E9693" s="59" t="s">
        <v>23605</v>
      </c>
      <c r="F9693" s="45" t="s">
        <v>23646</v>
      </c>
      <c r="G9693" s="59" t="s">
        <v>23607</v>
      </c>
      <c r="H9693" s="198">
        <v>2004.1</v>
      </c>
      <c r="I9693" s="47">
        <v>45611</v>
      </c>
      <c r="J9693" s="73" t="s">
        <v>23608</v>
      </c>
      <c r="K9693" s="45"/>
      <c r="O9693" s="45" t="s">
        <v>15051</v>
      </c>
      <c r="P9693" s="45" t="s">
        <v>44</v>
      </c>
      <c r="Q9693" s="48" t="s">
        <v>64</v>
      </c>
      <c r="R9693" s="45" t="s">
        <v>272</v>
      </c>
    </row>
    <row r="9694" spans="2:18" ht="69" customHeight="1">
      <c r="B9694" s="79">
        <f t="shared" si="81"/>
        <v>6809</v>
      </c>
      <c r="C9694" s="178" t="s">
        <v>9215</v>
      </c>
      <c r="D9694" s="498" t="s">
        <v>23647</v>
      </c>
      <c r="E9694" s="178" t="s">
        <v>23060</v>
      </c>
      <c r="F9694" s="58" t="s">
        <v>23648</v>
      </c>
      <c r="G9694" s="58" t="s">
        <v>23649</v>
      </c>
      <c r="H9694" s="546">
        <v>12000</v>
      </c>
      <c r="I9694" s="126">
        <v>45611</v>
      </c>
      <c r="J9694" s="73" t="s">
        <v>23650</v>
      </c>
      <c r="K9694" s="241"/>
      <c r="O9694" s="62" t="s">
        <v>6918</v>
      </c>
      <c r="P9694" s="45" t="s">
        <v>44</v>
      </c>
      <c r="Q9694" s="48" t="s">
        <v>113</v>
      </c>
      <c r="R9694" s="45" t="s">
        <v>272</v>
      </c>
    </row>
    <row r="9695" spans="2:18" ht="69" customHeight="1">
      <c r="B9695" s="231">
        <f t="shared" si="81"/>
        <v>6810</v>
      </c>
      <c r="C9695" s="191" t="s">
        <v>458</v>
      </c>
      <c r="D9695" s="502" t="s">
        <v>21149</v>
      </c>
      <c r="E9695" s="46" t="s">
        <v>266</v>
      </c>
      <c r="F9695" s="46" t="s">
        <v>23651</v>
      </c>
      <c r="G9695" s="534" t="s">
        <v>23652</v>
      </c>
      <c r="H9695" s="534">
        <v>22958.12</v>
      </c>
      <c r="I9695" s="664">
        <v>45621</v>
      </c>
      <c r="J9695" s="199" t="s">
        <v>23653</v>
      </c>
      <c r="K9695" s="665"/>
      <c r="L9695" s="99"/>
      <c r="N9695" s="45"/>
      <c r="O9695" s="46" t="s">
        <v>1171</v>
      </c>
      <c r="P9695" s="46" t="s">
        <v>71</v>
      </c>
      <c r="Q9695" s="52" t="s">
        <v>122</v>
      </c>
      <c r="R9695" s="46" t="s">
        <v>272</v>
      </c>
    </row>
    <row r="9696" spans="2:18" ht="69" customHeight="1">
      <c r="B9696" s="231">
        <f t="shared" si="81"/>
        <v>6811</v>
      </c>
      <c r="C9696" s="191" t="s">
        <v>657</v>
      </c>
      <c r="D9696" s="502" t="s">
        <v>12440</v>
      </c>
      <c r="E9696" s="46" t="s">
        <v>266</v>
      </c>
      <c r="F9696" s="46" t="s">
        <v>23654</v>
      </c>
      <c r="G9696" s="534" t="s">
        <v>23652</v>
      </c>
      <c r="H9696" s="534">
        <v>22212.39</v>
      </c>
      <c r="I9696" s="664">
        <v>45621</v>
      </c>
      <c r="J9696" s="199" t="s">
        <v>23653</v>
      </c>
      <c r="K9696" s="46"/>
      <c r="O9696" s="46" t="s">
        <v>1171</v>
      </c>
      <c r="P9696" s="46" t="s">
        <v>71</v>
      </c>
      <c r="Q9696" s="52" t="s">
        <v>97</v>
      </c>
      <c r="R9696" s="46" t="s">
        <v>272</v>
      </c>
    </row>
    <row r="9697" spans="1:18" ht="69" customHeight="1">
      <c r="B9697" s="231">
        <f t="shared" si="81"/>
        <v>6812</v>
      </c>
      <c r="C9697" s="191" t="s">
        <v>458</v>
      </c>
      <c r="D9697" s="502" t="s">
        <v>21151</v>
      </c>
      <c r="E9697" s="46" t="s">
        <v>266</v>
      </c>
      <c r="F9697" s="46" t="s">
        <v>23655</v>
      </c>
      <c r="G9697" s="534" t="s">
        <v>23652</v>
      </c>
      <c r="H9697" s="534">
        <v>22958.12</v>
      </c>
      <c r="I9697" s="664">
        <v>45621</v>
      </c>
      <c r="J9697" s="199" t="s">
        <v>23653</v>
      </c>
      <c r="K9697" s="266"/>
      <c r="O9697" s="46" t="s">
        <v>1171</v>
      </c>
      <c r="P9697" s="46" t="s">
        <v>71</v>
      </c>
      <c r="Q9697" s="52" t="s">
        <v>123</v>
      </c>
      <c r="R9697" s="46" t="s">
        <v>272</v>
      </c>
    </row>
    <row r="9698" spans="1:18" ht="69" customHeight="1">
      <c r="B9698" s="231">
        <f t="shared" si="81"/>
        <v>6813</v>
      </c>
      <c r="C9698" s="191" t="s">
        <v>458</v>
      </c>
      <c r="D9698" s="502" t="s">
        <v>21164</v>
      </c>
      <c r="E9698" s="46" t="s">
        <v>266</v>
      </c>
      <c r="F9698" s="46" t="s">
        <v>23656</v>
      </c>
      <c r="G9698" s="534" t="s">
        <v>23657</v>
      </c>
      <c r="H9698" s="534">
        <v>11103.89</v>
      </c>
      <c r="I9698" s="664">
        <v>45621</v>
      </c>
      <c r="J9698" s="199" t="s">
        <v>23653</v>
      </c>
      <c r="K9698" s="46"/>
      <c r="O9698" s="46" t="s">
        <v>1171</v>
      </c>
      <c r="P9698" s="46" t="s">
        <v>71</v>
      </c>
      <c r="Q9698" s="52" t="s">
        <v>123</v>
      </c>
      <c r="R9698" s="46" t="s">
        <v>272</v>
      </c>
    </row>
    <row r="9699" spans="1:18" ht="69" customHeight="1">
      <c r="B9699" s="231">
        <f t="shared" si="81"/>
        <v>6814</v>
      </c>
      <c r="C9699" s="49" t="s">
        <v>581</v>
      </c>
      <c r="D9699" s="282" t="s">
        <v>19356</v>
      </c>
      <c r="E9699" s="46" t="s">
        <v>23658</v>
      </c>
      <c r="F9699" s="46" t="s">
        <v>23659</v>
      </c>
      <c r="G9699" s="283" t="s">
        <v>23660</v>
      </c>
      <c r="H9699" s="206">
        <v>110000</v>
      </c>
      <c r="I9699" s="56">
        <v>45621</v>
      </c>
      <c r="J9699" s="199" t="s">
        <v>23661</v>
      </c>
      <c r="K9699" s="46" t="s">
        <v>22203</v>
      </c>
      <c r="O9699" s="46" t="s">
        <v>156</v>
      </c>
      <c r="P9699" s="46" t="s">
        <v>65</v>
      </c>
      <c r="Q9699" s="52" t="s">
        <v>18</v>
      </c>
      <c r="R9699" s="46" t="s">
        <v>272</v>
      </c>
    </row>
    <row r="9700" spans="1:18" ht="69" customHeight="1">
      <c r="B9700" s="231">
        <f t="shared" si="81"/>
        <v>6815</v>
      </c>
      <c r="C9700" s="191" t="s">
        <v>657</v>
      </c>
      <c r="D9700" s="502" t="s">
        <v>23662</v>
      </c>
      <c r="E9700" s="46" t="s">
        <v>266</v>
      </c>
      <c r="F9700" s="46" t="s">
        <v>23663</v>
      </c>
      <c r="G9700" s="534" t="s">
        <v>23664</v>
      </c>
      <c r="H9700" s="534">
        <v>22212.39</v>
      </c>
      <c r="I9700" s="56">
        <v>45621</v>
      </c>
      <c r="J9700" s="199" t="s">
        <v>23665</v>
      </c>
      <c r="K9700" s="46"/>
      <c r="O9700" s="46" t="s">
        <v>1171</v>
      </c>
      <c r="P9700" s="46" t="s">
        <v>71</v>
      </c>
      <c r="Q9700" s="52" t="s">
        <v>110</v>
      </c>
      <c r="R9700" s="46" t="s">
        <v>272</v>
      </c>
    </row>
    <row r="9701" spans="1:18" ht="69" customHeight="1">
      <c r="B9701" s="231">
        <f t="shared" si="81"/>
        <v>6816</v>
      </c>
      <c r="C9701" s="191" t="s">
        <v>10634</v>
      </c>
      <c r="D9701" s="502" t="s">
        <v>23666</v>
      </c>
      <c r="E9701" s="46" t="s">
        <v>266</v>
      </c>
      <c r="F9701" s="46" t="s">
        <v>23667</v>
      </c>
      <c r="G9701" s="534" t="s">
        <v>23664</v>
      </c>
      <c r="H9701" s="534">
        <v>19965.240000000002</v>
      </c>
      <c r="I9701" s="56">
        <v>45621</v>
      </c>
      <c r="J9701" s="199" t="s">
        <v>23665</v>
      </c>
      <c r="K9701" s="46"/>
      <c r="O9701" s="46" t="s">
        <v>1171</v>
      </c>
      <c r="P9701" s="46" t="s">
        <v>71</v>
      </c>
      <c r="Q9701" s="52" t="s">
        <v>93</v>
      </c>
      <c r="R9701" s="46" t="s">
        <v>272</v>
      </c>
    </row>
    <row r="9702" spans="1:18" ht="69" customHeight="1">
      <c r="B9702" s="231">
        <f t="shared" si="81"/>
        <v>6817</v>
      </c>
      <c r="C9702" s="191" t="s">
        <v>10639</v>
      </c>
      <c r="D9702" s="502" t="s">
        <v>23668</v>
      </c>
      <c r="E9702" s="46" t="s">
        <v>266</v>
      </c>
      <c r="F9702" s="46" t="s">
        <v>23669</v>
      </c>
      <c r="G9702" s="534" t="s">
        <v>23664</v>
      </c>
      <c r="H9702" s="534">
        <v>19965.240000000002</v>
      </c>
      <c r="I9702" s="56">
        <v>45621</v>
      </c>
      <c r="J9702" s="199" t="s">
        <v>23665</v>
      </c>
      <c r="K9702" s="46"/>
      <c r="O9702" s="46" t="s">
        <v>1171</v>
      </c>
      <c r="P9702" s="46" t="s">
        <v>71</v>
      </c>
      <c r="Q9702" s="52" t="s">
        <v>95</v>
      </c>
      <c r="R9702" s="46" t="s">
        <v>272</v>
      </c>
    </row>
    <row r="9703" spans="1:18" ht="69" customHeight="1">
      <c r="B9703" s="231">
        <f t="shared" si="81"/>
        <v>6818</v>
      </c>
      <c r="C9703" s="191" t="s">
        <v>5658</v>
      </c>
      <c r="D9703" s="502" t="s">
        <v>23670</v>
      </c>
      <c r="E9703" s="46" t="s">
        <v>266</v>
      </c>
      <c r="F9703" s="46" t="s">
        <v>23671</v>
      </c>
      <c r="G9703" s="534" t="s">
        <v>23664</v>
      </c>
      <c r="H9703" s="534">
        <v>22211.07</v>
      </c>
      <c r="I9703" s="56">
        <v>45621</v>
      </c>
      <c r="J9703" s="199" t="s">
        <v>23665</v>
      </c>
      <c r="K9703" s="46"/>
      <c r="O9703" s="46" t="s">
        <v>1171</v>
      </c>
      <c r="P9703" s="46" t="s">
        <v>71</v>
      </c>
      <c r="Q9703" s="52" t="s">
        <v>66</v>
      </c>
      <c r="R9703" s="46" t="s">
        <v>272</v>
      </c>
    </row>
    <row r="9704" spans="1:18" s="98" customFormat="1" ht="69" customHeight="1">
      <c r="A9704" s="169"/>
      <c r="B9704" s="231">
        <f t="shared" si="81"/>
        <v>6819</v>
      </c>
      <c r="C9704" s="49" t="s">
        <v>6888</v>
      </c>
      <c r="D9704" s="282" t="s">
        <v>23672</v>
      </c>
      <c r="E9704" s="46" t="s">
        <v>266</v>
      </c>
      <c r="F9704" s="87" t="s">
        <v>23673</v>
      </c>
      <c r="G9704" s="46" t="s">
        <v>23674</v>
      </c>
      <c r="H9704" s="206">
        <v>400</v>
      </c>
      <c r="I9704" s="56">
        <v>45621</v>
      </c>
      <c r="J9704" s="199" t="s">
        <v>23675</v>
      </c>
      <c r="K9704" s="46"/>
      <c r="O9704" s="46" t="s">
        <v>23676</v>
      </c>
      <c r="P9704" s="46" t="s">
        <v>65</v>
      </c>
      <c r="Q9704" s="52" t="s">
        <v>84</v>
      </c>
      <c r="R9704" s="46" t="s">
        <v>272</v>
      </c>
    </row>
    <row r="9705" spans="1:18" ht="69" customHeight="1">
      <c r="B9705" s="238">
        <f t="shared" si="81"/>
        <v>6820</v>
      </c>
      <c r="C9705" s="986" t="s">
        <v>10947</v>
      </c>
      <c r="D9705" s="987" t="s">
        <v>21256</v>
      </c>
      <c r="E9705" s="100" t="s">
        <v>266</v>
      </c>
      <c r="F9705" s="100" t="s">
        <v>23677</v>
      </c>
      <c r="G9705" s="100" t="s">
        <v>23678</v>
      </c>
      <c r="H9705" s="990"/>
      <c r="I9705" s="96"/>
      <c r="J9705" s="268" t="s">
        <v>23679</v>
      </c>
      <c r="K9705" s="160" t="s">
        <v>23376</v>
      </c>
      <c r="O9705" s="52" t="s">
        <v>20856</v>
      </c>
      <c r="P9705" s="46"/>
      <c r="Q9705" s="52"/>
      <c r="R9705" s="46" t="s">
        <v>272</v>
      </c>
    </row>
    <row r="9706" spans="1:18" ht="69" customHeight="1">
      <c r="B9706" s="231">
        <f t="shared" si="81"/>
        <v>6821</v>
      </c>
      <c r="C9706" s="86" t="s">
        <v>7189</v>
      </c>
      <c r="D9706" s="282" t="s">
        <v>12693</v>
      </c>
      <c r="E9706" s="46" t="s">
        <v>266</v>
      </c>
      <c r="F9706" s="46" t="s">
        <v>23680</v>
      </c>
      <c r="G9706" s="46" t="s">
        <v>23681</v>
      </c>
      <c r="H9706" s="206">
        <v>3320</v>
      </c>
      <c r="I9706" s="56">
        <v>45662</v>
      </c>
      <c r="J9706" s="199" t="s">
        <v>23682</v>
      </c>
      <c r="K9706" s="46"/>
      <c r="O9706" s="46" t="s">
        <v>23683</v>
      </c>
      <c r="P9706" s="46" t="s">
        <v>65</v>
      </c>
      <c r="Q9706" s="52" t="s">
        <v>97</v>
      </c>
      <c r="R9706" s="46" t="s">
        <v>272</v>
      </c>
    </row>
    <row r="9707" spans="1:18" ht="69" customHeight="1">
      <c r="B9707" s="231">
        <f t="shared" si="81"/>
        <v>6822</v>
      </c>
      <c r="C9707" s="49" t="s">
        <v>10947</v>
      </c>
      <c r="D9707" s="282" t="s">
        <v>23684</v>
      </c>
      <c r="E9707" s="46" t="s">
        <v>266</v>
      </c>
      <c r="F9707" s="46" t="s">
        <v>23685</v>
      </c>
      <c r="G9707" s="46" t="s">
        <v>23681</v>
      </c>
      <c r="H9707" s="206">
        <v>3380</v>
      </c>
      <c r="I9707" s="56">
        <v>45641</v>
      </c>
      <c r="J9707" s="199" t="s">
        <v>23682</v>
      </c>
      <c r="K9707" s="46"/>
      <c r="O9707" s="46" t="s">
        <v>23683</v>
      </c>
      <c r="P9707" s="46" t="s">
        <v>65</v>
      </c>
      <c r="Q9707" s="52" t="s">
        <v>100</v>
      </c>
      <c r="R9707" s="46" t="s">
        <v>272</v>
      </c>
    </row>
    <row r="9708" spans="1:18" ht="69" customHeight="1">
      <c r="B9708" s="231">
        <f t="shared" si="81"/>
        <v>6823</v>
      </c>
      <c r="C9708" s="49" t="s">
        <v>11908</v>
      </c>
      <c r="D9708" s="282" t="s">
        <v>23686</v>
      </c>
      <c r="E9708" s="46" t="s">
        <v>266</v>
      </c>
      <c r="F9708" s="46" t="s">
        <v>23687</v>
      </c>
      <c r="G9708" s="46" t="s">
        <v>23681</v>
      </c>
      <c r="H9708" s="206">
        <v>2800</v>
      </c>
      <c r="I9708" s="56">
        <v>45641</v>
      </c>
      <c r="J9708" s="199" t="s">
        <v>23682</v>
      </c>
      <c r="K9708" s="46"/>
      <c r="O9708" s="46" t="s">
        <v>23683</v>
      </c>
      <c r="P9708" s="46" t="s">
        <v>65</v>
      </c>
      <c r="Q9708" s="52" t="s">
        <v>103</v>
      </c>
      <c r="R9708" s="46" t="s">
        <v>272</v>
      </c>
    </row>
    <row r="9709" spans="1:18" ht="69" customHeight="1">
      <c r="B9709" s="239">
        <f t="shared" si="81"/>
        <v>6824</v>
      </c>
      <c r="C9709" s="674" t="s">
        <v>10937</v>
      </c>
      <c r="D9709" s="675" t="s">
        <v>12702</v>
      </c>
      <c r="E9709" s="45" t="s">
        <v>266</v>
      </c>
      <c r="F9709" s="45" t="s">
        <v>23688</v>
      </c>
      <c r="G9709" s="45" t="s">
        <v>23681</v>
      </c>
      <c r="H9709" s="679">
        <v>2800</v>
      </c>
      <c r="I9709" s="47">
        <v>45641</v>
      </c>
      <c r="J9709" s="73" t="s">
        <v>23682</v>
      </c>
      <c r="K9709" s="45"/>
      <c r="O9709" s="46" t="s">
        <v>23683</v>
      </c>
      <c r="P9709" s="46" t="s">
        <v>65</v>
      </c>
      <c r="Q9709" s="52" t="s">
        <v>104</v>
      </c>
      <c r="R9709" s="46" t="s">
        <v>272</v>
      </c>
    </row>
    <row r="9710" spans="1:18" ht="69" customHeight="1">
      <c r="B9710" s="231">
        <f t="shared" si="81"/>
        <v>6825</v>
      </c>
      <c r="C9710" s="191" t="s">
        <v>8057</v>
      </c>
      <c r="D9710" s="282" t="s">
        <v>21366</v>
      </c>
      <c r="E9710" s="46" t="s">
        <v>266</v>
      </c>
      <c r="F9710" s="46" t="s">
        <v>23689</v>
      </c>
      <c r="G9710" s="46" t="s">
        <v>23681</v>
      </c>
      <c r="H9710" s="206">
        <v>3760</v>
      </c>
      <c r="I9710" s="56">
        <v>45641</v>
      </c>
      <c r="J9710" s="199" t="s">
        <v>23682</v>
      </c>
      <c r="K9710" s="46"/>
      <c r="O9710" s="46" t="s">
        <v>23683</v>
      </c>
      <c r="P9710" s="46" t="s">
        <v>65</v>
      </c>
      <c r="Q9710" s="52" t="s">
        <v>105</v>
      </c>
      <c r="R9710" s="46" t="s">
        <v>272</v>
      </c>
    </row>
    <row r="9711" spans="1:18" ht="69" customHeight="1">
      <c r="B9711" s="231">
        <f t="shared" si="81"/>
        <v>6826</v>
      </c>
      <c r="C9711" s="49" t="s">
        <v>11568</v>
      </c>
      <c r="D9711" s="282" t="s">
        <v>23690</v>
      </c>
      <c r="E9711" s="46" t="s">
        <v>266</v>
      </c>
      <c r="F9711" s="46" t="s">
        <v>23691</v>
      </c>
      <c r="G9711" s="46" t="s">
        <v>23681</v>
      </c>
      <c r="H9711" s="206">
        <v>2680</v>
      </c>
      <c r="I9711" s="56">
        <v>45641</v>
      </c>
      <c r="J9711" s="199" t="s">
        <v>23682</v>
      </c>
      <c r="K9711" s="46"/>
      <c r="O9711" s="46" t="s">
        <v>23683</v>
      </c>
      <c r="P9711" s="46" t="s">
        <v>65</v>
      </c>
      <c r="Q9711" s="52" t="s">
        <v>107</v>
      </c>
      <c r="R9711" s="46" t="s">
        <v>272</v>
      </c>
    </row>
    <row r="9712" spans="1:18" ht="69" customHeight="1">
      <c r="B9712" s="231">
        <f t="shared" si="81"/>
        <v>6827</v>
      </c>
      <c r="C9712" s="49" t="s">
        <v>9215</v>
      </c>
      <c r="D9712" s="282" t="s">
        <v>21368</v>
      </c>
      <c r="E9712" s="46" t="s">
        <v>266</v>
      </c>
      <c r="F9712" s="46" t="s">
        <v>23692</v>
      </c>
      <c r="G9712" s="46" t="s">
        <v>23681</v>
      </c>
      <c r="H9712" s="206">
        <v>3680</v>
      </c>
      <c r="I9712" s="56">
        <v>45662</v>
      </c>
      <c r="J9712" s="199" t="s">
        <v>23682</v>
      </c>
      <c r="K9712" s="46"/>
      <c r="O9712" s="46" t="s">
        <v>23683</v>
      </c>
      <c r="P9712" s="46" t="s">
        <v>65</v>
      </c>
      <c r="Q9712" s="52" t="s">
        <v>113</v>
      </c>
      <c r="R9712" s="46" t="s">
        <v>272</v>
      </c>
    </row>
    <row r="9713" spans="1:18" ht="69" customHeight="1">
      <c r="B9713" s="231">
        <f t="shared" si="81"/>
        <v>6828</v>
      </c>
      <c r="C9713" s="49" t="s">
        <v>5658</v>
      </c>
      <c r="D9713" s="282" t="s">
        <v>23693</v>
      </c>
      <c r="E9713" s="46" t="s">
        <v>266</v>
      </c>
      <c r="F9713" s="46" t="s">
        <v>23694</v>
      </c>
      <c r="G9713" s="46" t="s">
        <v>23681</v>
      </c>
      <c r="H9713" s="206">
        <v>2280</v>
      </c>
      <c r="I9713" s="56">
        <v>45641</v>
      </c>
      <c r="J9713" s="199" t="s">
        <v>23682</v>
      </c>
      <c r="K9713" s="46"/>
      <c r="O9713" s="46" t="s">
        <v>23683</v>
      </c>
      <c r="P9713" s="46" t="s">
        <v>65</v>
      </c>
      <c r="Q9713" s="52" t="s">
        <v>66</v>
      </c>
      <c r="R9713" s="46" t="s">
        <v>272</v>
      </c>
    </row>
    <row r="9714" spans="1:18" ht="69" customHeight="1">
      <c r="B9714" s="231">
        <f t="shared" si="81"/>
        <v>6829</v>
      </c>
      <c r="C9714" s="49" t="s">
        <v>11618</v>
      </c>
      <c r="D9714" s="282" t="s">
        <v>23695</v>
      </c>
      <c r="E9714" s="46" t="s">
        <v>266</v>
      </c>
      <c r="F9714" s="46" t="s">
        <v>23696</v>
      </c>
      <c r="G9714" s="46" t="s">
        <v>23681</v>
      </c>
      <c r="H9714" s="206">
        <v>3440</v>
      </c>
      <c r="I9714" s="56">
        <v>45662</v>
      </c>
      <c r="J9714" s="199" t="s">
        <v>23682</v>
      </c>
      <c r="K9714" s="46"/>
      <c r="O9714" s="46" t="s">
        <v>23683</v>
      </c>
      <c r="P9714" s="46" t="s">
        <v>65</v>
      </c>
      <c r="Q9714" s="52" t="s">
        <v>122</v>
      </c>
      <c r="R9714" s="46" t="s">
        <v>272</v>
      </c>
    </row>
    <row r="9715" spans="1:18" s="98" customFormat="1" ht="69" customHeight="1">
      <c r="A9715" s="169"/>
      <c r="B9715" s="231">
        <f t="shared" si="81"/>
        <v>6830</v>
      </c>
      <c r="C9715" s="49" t="s">
        <v>2182</v>
      </c>
      <c r="D9715" s="282" t="s">
        <v>19406</v>
      </c>
      <c r="E9715" s="46" t="s">
        <v>266</v>
      </c>
      <c r="F9715" s="46" t="s">
        <v>23697</v>
      </c>
      <c r="G9715" s="46" t="s">
        <v>23681</v>
      </c>
      <c r="H9715" s="206">
        <v>3200</v>
      </c>
      <c r="I9715" s="56">
        <v>45662</v>
      </c>
      <c r="J9715" s="199" t="s">
        <v>23682</v>
      </c>
      <c r="K9715" s="46"/>
      <c r="O9715" s="46" t="s">
        <v>23683</v>
      </c>
      <c r="P9715" s="46" t="s">
        <v>65</v>
      </c>
      <c r="Q9715" s="52" t="s">
        <v>31</v>
      </c>
      <c r="R9715" s="46" t="s">
        <v>272</v>
      </c>
    </row>
    <row r="9716" spans="1:18" s="98" customFormat="1" ht="69" customHeight="1">
      <c r="A9716" s="169"/>
      <c r="B9716" s="231">
        <f t="shared" si="81"/>
        <v>6831</v>
      </c>
      <c r="C9716" s="564" t="s">
        <v>13562</v>
      </c>
      <c r="D9716" s="282" t="s">
        <v>21313</v>
      </c>
      <c r="E9716" s="46" t="s">
        <v>266</v>
      </c>
      <c r="F9716" s="46" t="s">
        <v>23698</v>
      </c>
      <c r="G9716" s="46" t="s">
        <v>23681</v>
      </c>
      <c r="H9716" s="206">
        <v>4000</v>
      </c>
      <c r="I9716" s="56">
        <v>45662</v>
      </c>
      <c r="J9716" s="46" t="s">
        <v>23682</v>
      </c>
      <c r="K9716" s="46"/>
      <c r="O9716" s="46" t="s">
        <v>23683</v>
      </c>
      <c r="P9716" s="46" t="s">
        <v>65</v>
      </c>
      <c r="Q9716" s="52" t="s">
        <v>88</v>
      </c>
      <c r="R9716" s="46" t="s">
        <v>272</v>
      </c>
    </row>
    <row r="9717" spans="1:18" ht="69" customHeight="1">
      <c r="B9717" s="231">
        <f t="shared" si="81"/>
        <v>6832</v>
      </c>
      <c r="C9717" s="49" t="s">
        <v>450</v>
      </c>
      <c r="D9717" s="282" t="s">
        <v>19409</v>
      </c>
      <c r="E9717" s="46" t="s">
        <v>266</v>
      </c>
      <c r="F9717" s="281" t="s">
        <v>23699</v>
      </c>
      <c r="G9717" s="206" t="s">
        <v>23700</v>
      </c>
      <c r="H9717" s="206">
        <v>57000</v>
      </c>
      <c r="I9717" s="56">
        <v>45621</v>
      </c>
      <c r="J9717" s="199" t="s">
        <v>23701</v>
      </c>
      <c r="K9717" s="46" t="s">
        <v>22203</v>
      </c>
      <c r="O9717" s="46" t="s">
        <v>156</v>
      </c>
      <c r="P9717" s="46" t="s">
        <v>65</v>
      </c>
      <c r="Q9717" s="52" t="s">
        <v>13</v>
      </c>
      <c r="R9717" s="46" t="s">
        <v>272</v>
      </c>
    </row>
    <row r="9718" spans="1:18" ht="69" customHeight="1">
      <c r="B9718" s="319">
        <f t="shared" si="81"/>
        <v>6833</v>
      </c>
      <c r="C9718" s="160" t="s">
        <v>3340</v>
      </c>
      <c r="D9718" s="518" t="s">
        <v>665</v>
      </c>
      <c r="E9718" s="160" t="s">
        <v>266</v>
      </c>
      <c r="F9718" s="160" t="s">
        <v>23702</v>
      </c>
      <c r="G9718" s="524" t="s">
        <v>23703</v>
      </c>
      <c r="H9718" s="300">
        <v>2040.83</v>
      </c>
      <c r="I9718" s="209">
        <v>45621</v>
      </c>
      <c r="J9718" s="316" t="s">
        <v>23704</v>
      </c>
      <c r="K9718" s="160"/>
      <c r="O9718" s="160" t="s">
        <v>13735</v>
      </c>
      <c r="P9718" s="160" t="s">
        <v>67</v>
      </c>
      <c r="Q9718" s="259" t="s">
        <v>96</v>
      </c>
      <c r="R9718" s="160" t="s">
        <v>272</v>
      </c>
    </row>
    <row r="9719" spans="1:18" ht="69" customHeight="1">
      <c r="B9719" s="79">
        <f t="shared" si="81"/>
        <v>6834</v>
      </c>
      <c r="C9719" s="178" t="s">
        <v>7189</v>
      </c>
      <c r="D9719" s="551" t="s">
        <v>12709</v>
      </c>
      <c r="E9719" s="58" t="s">
        <v>17409</v>
      </c>
      <c r="F9719" s="45" t="s">
        <v>23705</v>
      </c>
      <c r="G9719" s="58" t="s">
        <v>17411</v>
      </c>
      <c r="H9719" s="552">
        <v>5821.02</v>
      </c>
      <c r="I9719" s="126">
        <v>45621</v>
      </c>
      <c r="J9719" s="65" t="s">
        <v>23706</v>
      </c>
      <c r="K9719" s="58"/>
      <c r="O9719" s="45" t="s">
        <v>23707</v>
      </c>
      <c r="P9719" s="45" t="s">
        <v>51</v>
      </c>
      <c r="Q9719" s="48" t="s">
        <v>97</v>
      </c>
      <c r="R9719" s="45" t="s">
        <v>265</v>
      </c>
    </row>
    <row r="9720" spans="1:18" ht="69" customHeight="1">
      <c r="B9720" s="79">
        <f t="shared" si="81"/>
        <v>6835</v>
      </c>
      <c r="C9720" s="178" t="s">
        <v>8797</v>
      </c>
      <c r="D9720" s="498" t="s">
        <v>12712</v>
      </c>
      <c r="E9720" s="58" t="s">
        <v>17409</v>
      </c>
      <c r="F9720" s="58" t="s">
        <v>23708</v>
      </c>
      <c r="G9720" s="58" t="s">
        <v>17411</v>
      </c>
      <c r="H9720" s="552">
        <v>5821.02</v>
      </c>
      <c r="I9720" s="126">
        <v>45621</v>
      </c>
      <c r="J9720" s="65" t="s">
        <v>23706</v>
      </c>
      <c r="K9720" s="67"/>
      <c r="O9720" s="45" t="s">
        <v>23707</v>
      </c>
      <c r="P9720" s="45" t="s">
        <v>51</v>
      </c>
      <c r="Q9720" s="48" t="s">
        <v>110</v>
      </c>
      <c r="R9720" s="45" t="s">
        <v>265</v>
      </c>
    </row>
    <row r="9721" spans="1:18" ht="69" customHeight="1">
      <c r="B9721" s="79">
        <f t="shared" si="81"/>
        <v>6836</v>
      </c>
      <c r="C9721" s="178" t="s">
        <v>11618</v>
      </c>
      <c r="D9721" s="498" t="s">
        <v>21316</v>
      </c>
      <c r="E9721" s="58" t="s">
        <v>17409</v>
      </c>
      <c r="F9721" s="58" t="s">
        <v>23709</v>
      </c>
      <c r="G9721" s="58" t="s">
        <v>17411</v>
      </c>
      <c r="H9721" s="552">
        <v>5821.02</v>
      </c>
      <c r="I9721" s="126">
        <v>45621</v>
      </c>
      <c r="J9721" s="65" t="s">
        <v>23706</v>
      </c>
      <c r="K9721" s="67"/>
      <c r="O9721" s="45" t="s">
        <v>23707</v>
      </c>
      <c r="P9721" s="45" t="s">
        <v>51</v>
      </c>
      <c r="Q9721" s="48" t="s">
        <v>122</v>
      </c>
      <c r="R9721" s="45" t="s">
        <v>265</v>
      </c>
    </row>
    <row r="9722" spans="1:18" ht="69" customHeight="1">
      <c r="B9722" s="79">
        <f t="shared" si="81"/>
        <v>6837</v>
      </c>
      <c r="C9722" s="59" t="s">
        <v>11908</v>
      </c>
      <c r="D9722" s="498" t="s">
        <v>23710</v>
      </c>
      <c r="E9722" s="58" t="s">
        <v>17409</v>
      </c>
      <c r="F9722" s="58" t="s">
        <v>23711</v>
      </c>
      <c r="G9722" s="58" t="s">
        <v>17411</v>
      </c>
      <c r="H9722" s="552">
        <v>5821.02</v>
      </c>
      <c r="I9722" s="126">
        <v>45621</v>
      </c>
      <c r="J9722" s="65" t="s">
        <v>23706</v>
      </c>
      <c r="K9722" s="67"/>
      <c r="O9722" s="45" t="s">
        <v>23707</v>
      </c>
      <c r="P9722" s="45" t="s">
        <v>51</v>
      </c>
      <c r="Q9722" s="48" t="s">
        <v>103</v>
      </c>
      <c r="R9722" s="45" t="s">
        <v>265</v>
      </c>
    </row>
    <row r="9723" spans="1:18" ht="69" customHeight="1">
      <c r="B9723" s="79">
        <f t="shared" si="81"/>
        <v>6838</v>
      </c>
      <c r="C9723" s="178" t="s">
        <v>13562</v>
      </c>
      <c r="D9723" s="551" t="s">
        <v>23712</v>
      </c>
      <c r="E9723" s="58" t="s">
        <v>17409</v>
      </c>
      <c r="F9723" s="58" t="s">
        <v>23713</v>
      </c>
      <c r="G9723" s="58" t="s">
        <v>17411</v>
      </c>
      <c r="H9723" s="552">
        <v>5821.02</v>
      </c>
      <c r="I9723" s="66">
        <v>45621</v>
      </c>
      <c r="J9723" s="65" t="s">
        <v>23706</v>
      </c>
      <c r="K9723" s="58"/>
      <c r="O9723" s="45" t="s">
        <v>23707</v>
      </c>
      <c r="P9723" s="45" t="s">
        <v>51</v>
      </c>
      <c r="Q9723" s="48" t="s">
        <v>88</v>
      </c>
      <c r="R9723" s="45" t="s">
        <v>265</v>
      </c>
    </row>
    <row r="9724" spans="1:18" ht="69" customHeight="1">
      <c r="B9724" s="319">
        <f t="shared" si="81"/>
        <v>6839</v>
      </c>
      <c r="C9724" s="207" t="s">
        <v>309</v>
      </c>
      <c r="D9724" s="311" t="s">
        <v>19411</v>
      </c>
      <c r="E9724" s="344" t="s">
        <v>266</v>
      </c>
      <c r="F9724" s="208" t="s">
        <v>23714</v>
      </c>
      <c r="G9724" s="160" t="s">
        <v>13201</v>
      </c>
      <c r="H9724" s="300">
        <v>16783.400000000001</v>
      </c>
      <c r="I9724" s="209">
        <v>45621</v>
      </c>
      <c r="J9724" s="316" t="s">
        <v>23715</v>
      </c>
      <c r="K9724" s="160"/>
      <c r="O9724" s="160" t="s">
        <v>15366</v>
      </c>
      <c r="P9724" s="160" t="s">
        <v>67</v>
      </c>
      <c r="Q9724" s="259" t="s">
        <v>15</v>
      </c>
      <c r="R9724" s="160" t="s">
        <v>272</v>
      </c>
    </row>
    <row r="9725" spans="1:18" ht="69" customHeight="1">
      <c r="B9725" s="231">
        <f t="shared" si="81"/>
        <v>6840</v>
      </c>
      <c r="C9725" s="49" t="s">
        <v>581</v>
      </c>
      <c r="D9725" s="282" t="s">
        <v>19413</v>
      </c>
      <c r="E9725" s="377" t="s">
        <v>266</v>
      </c>
      <c r="F9725" s="87" t="s">
        <v>23716</v>
      </c>
      <c r="G9725" s="46" t="s">
        <v>23717</v>
      </c>
      <c r="H9725" s="206">
        <v>1830.62</v>
      </c>
      <c r="I9725" s="56">
        <v>45631</v>
      </c>
      <c r="J9725" s="199" t="s">
        <v>23718</v>
      </c>
      <c r="K9725" s="46"/>
      <c r="O9725" s="46" t="s">
        <v>23719</v>
      </c>
      <c r="P9725" s="46" t="s">
        <v>65</v>
      </c>
      <c r="Q9725" s="52" t="s">
        <v>18</v>
      </c>
      <c r="R9725" s="46" t="s">
        <v>272</v>
      </c>
    </row>
    <row r="9726" spans="1:18" ht="69" customHeight="1">
      <c r="B9726" s="79">
        <f t="shared" si="81"/>
        <v>6841</v>
      </c>
      <c r="C9726" s="178" t="s">
        <v>8080</v>
      </c>
      <c r="D9726" s="200" t="s">
        <v>23720</v>
      </c>
      <c r="E9726" s="58" t="s">
        <v>15436</v>
      </c>
      <c r="F9726" s="58" t="s">
        <v>23721</v>
      </c>
      <c r="G9726" s="58" t="s">
        <v>23722</v>
      </c>
      <c r="H9726" s="552">
        <v>11280.67</v>
      </c>
      <c r="I9726" s="126">
        <v>45621</v>
      </c>
      <c r="J9726" s="65" t="s">
        <v>23723</v>
      </c>
      <c r="K9726" s="58"/>
      <c r="O9726" s="45" t="s">
        <v>16399</v>
      </c>
      <c r="P9726" s="45" t="s">
        <v>55</v>
      </c>
      <c r="Q9726" s="48" t="s">
        <v>106</v>
      </c>
      <c r="R9726" s="45" t="s">
        <v>272</v>
      </c>
    </row>
    <row r="9727" spans="1:18" ht="69" customHeight="1">
      <c r="B9727" s="79">
        <f t="shared" si="81"/>
        <v>6842</v>
      </c>
      <c r="C9727" s="178" t="s">
        <v>5658</v>
      </c>
      <c r="D9727" s="498" t="s">
        <v>23724</v>
      </c>
      <c r="E9727" s="58" t="s">
        <v>15436</v>
      </c>
      <c r="F9727" s="58" t="s">
        <v>23725</v>
      </c>
      <c r="G9727" s="58" t="s">
        <v>23722</v>
      </c>
      <c r="H9727" s="546">
        <v>18485.419999999998</v>
      </c>
      <c r="I9727" s="126">
        <v>45621</v>
      </c>
      <c r="J9727" s="65" t="s">
        <v>23723</v>
      </c>
      <c r="K9727" s="67"/>
      <c r="O9727" s="45" t="s">
        <v>16399</v>
      </c>
      <c r="P9727" s="45" t="s">
        <v>55</v>
      </c>
      <c r="Q9727" s="48" t="s">
        <v>66</v>
      </c>
      <c r="R9727" s="45" t="s">
        <v>272</v>
      </c>
    </row>
    <row r="9728" spans="1:18" ht="69" customHeight="1">
      <c r="B9728" s="79">
        <f t="shared" si="81"/>
        <v>6843</v>
      </c>
      <c r="C9728" s="178" t="s">
        <v>9322</v>
      </c>
      <c r="D9728" s="498" t="s">
        <v>23726</v>
      </c>
      <c r="E9728" s="58" t="s">
        <v>15436</v>
      </c>
      <c r="F9728" s="58" t="s">
        <v>23727</v>
      </c>
      <c r="G9728" s="58" t="s">
        <v>23722</v>
      </c>
      <c r="H9728" s="546">
        <v>13208.79</v>
      </c>
      <c r="I9728" s="126">
        <v>45621</v>
      </c>
      <c r="J9728" s="65" t="s">
        <v>23723</v>
      </c>
      <c r="K9728" s="67"/>
      <c r="O9728" s="45" t="s">
        <v>16399</v>
      </c>
      <c r="P9728" s="45" t="s">
        <v>55</v>
      </c>
      <c r="Q9728" s="48" t="s">
        <v>114</v>
      </c>
      <c r="R9728" s="45" t="s">
        <v>272</v>
      </c>
    </row>
    <row r="9729" spans="2:18" ht="69" customHeight="1">
      <c r="B9729" s="79">
        <f t="shared" si="81"/>
        <v>6844</v>
      </c>
      <c r="C9729" s="178" t="s">
        <v>9441</v>
      </c>
      <c r="D9729" s="498" t="s">
        <v>12764</v>
      </c>
      <c r="E9729" s="58" t="s">
        <v>15436</v>
      </c>
      <c r="F9729" s="58" t="s">
        <v>23728</v>
      </c>
      <c r="G9729" s="58" t="s">
        <v>23722</v>
      </c>
      <c r="H9729" s="546">
        <v>6088.89</v>
      </c>
      <c r="I9729" s="126">
        <v>45621</v>
      </c>
      <c r="J9729" s="65" t="s">
        <v>23723</v>
      </c>
      <c r="K9729" s="67"/>
      <c r="O9729" s="45" t="s">
        <v>16399</v>
      </c>
      <c r="P9729" s="45" t="s">
        <v>55</v>
      </c>
      <c r="Q9729" s="48" t="s">
        <v>116</v>
      </c>
      <c r="R9729" s="45" t="s">
        <v>272</v>
      </c>
    </row>
    <row r="9730" spans="2:18" ht="69" customHeight="1">
      <c r="B9730" s="79">
        <f t="shared" si="81"/>
        <v>6845</v>
      </c>
      <c r="C9730" s="59" t="s">
        <v>9545</v>
      </c>
      <c r="D9730" s="498" t="s">
        <v>21413</v>
      </c>
      <c r="E9730" s="58" t="s">
        <v>15436</v>
      </c>
      <c r="F9730" s="58" t="s">
        <v>23729</v>
      </c>
      <c r="G9730" s="58" t="s">
        <v>23722</v>
      </c>
      <c r="H9730" s="546">
        <v>15376.21</v>
      </c>
      <c r="I9730" s="126">
        <v>45621</v>
      </c>
      <c r="J9730" s="65" t="s">
        <v>23723</v>
      </c>
      <c r="K9730" s="67"/>
      <c r="O9730" s="45" t="s">
        <v>16399</v>
      </c>
      <c r="P9730" s="45" t="s">
        <v>55</v>
      </c>
      <c r="Q9730" s="48" t="s">
        <v>117</v>
      </c>
      <c r="R9730" s="45" t="s">
        <v>272</v>
      </c>
    </row>
    <row r="9731" spans="2:18" ht="69" customHeight="1">
      <c r="B9731" s="79">
        <f t="shared" si="81"/>
        <v>6846</v>
      </c>
      <c r="C9731" s="178" t="s">
        <v>10612</v>
      </c>
      <c r="D9731" s="498" t="s">
        <v>23730</v>
      </c>
      <c r="E9731" s="58" t="s">
        <v>15436</v>
      </c>
      <c r="F9731" s="58" t="s">
        <v>23731</v>
      </c>
      <c r="G9731" s="58" t="s">
        <v>23722</v>
      </c>
      <c r="H9731" s="546">
        <v>17625.349999999999</v>
      </c>
      <c r="I9731" s="126">
        <v>45621</v>
      </c>
      <c r="J9731" s="65" t="s">
        <v>23723</v>
      </c>
      <c r="K9731" s="67"/>
      <c r="O9731" s="45" t="s">
        <v>16399</v>
      </c>
      <c r="P9731" s="45" t="s">
        <v>55</v>
      </c>
      <c r="Q9731" s="48" t="s">
        <v>86</v>
      </c>
      <c r="R9731" s="45" t="s">
        <v>272</v>
      </c>
    </row>
    <row r="9732" spans="2:18" ht="69" customHeight="1">
      <c r="B9732" s="231">
        <f t="shared" si="81"/>
        <v>6847</v>
      </c>
      <c r="C9732" s="49" t="s">
        <v>11618</v>
      </c>
      <c r="D9732" s="282" t="s">
        <v>23732</v>
      </c>
      <c r="E9732" s="46" t="s">
        <v>266</v>
      </c>
      <c r="F9732" s="87" t="s">
        <v>23733</v>
      </c>
      <c r="G9732" s="46" t="s">
        <v>23734</v>
      </c>
      <c r="H9732" s="206">
        <v>951.48</v>
      </c>
      <c r="I9732" s="56">
        <v>45631</v>
      </c>
      <c r="J9732" s="199" t="s">
        <v>23735</v>
      </c>
      <c r="K9732" s="46"/>
      <c r="O9732" s="46" t="s">
        <v>17250</v>
      </c>
      <c r="P9732" s="46" t="s">
        <v>65</v>
      </c>
      <c r="Q9732" s="52" t="s">
        <v>122</v>
      </c>
      <c r="R9732" s="46" t="s">
        <v>272</v>
      </c>
    </row>
    <row r="9733" spans="2:18" ht="69" customHeight="1">
      <c r="B9733" s="231">
        <f t="shared" si="81"/>
        <v>6848</v>
      </c>
      <c r="C9733" s="49" t="s">
        <v>11933</v>
      </c>
      <c r="D9733" s="282" t="s">
        <v>23736</v>
      </c>
      <c r="E9733" s="377" t="s">
        <v>266</v>
      </c>
      <c r="F9733" s="166" t="s">
        <v>23737</v>
      </c>
      <c r="G9733" s="77" t="s">
        <v>23738</v>
      </c>
      <c r="H9733" s="206">
        <v>8824.4500000000007</v>
      </c>
      <c r="I9733" s="56">
        <v>45621</v>
      </c>
      <c r="J9733" s="199" t="s">
        <v>23739</v>
      </c>
      <c r="K9733" s="46"/>
      <c r="O9733" s="46" t="s">
        <v>23740</v>
      </c>
      <c r="P9733" s="46" t="s">
        <v>65</v>
      </c>
      <c r="Q9733" s="52" t="s">
        <v>123</v>
      </c>
      <c r="R9733" s="46" t="s">
        <v>272</v>
      </c>
    </row>
    <row r="9734" spans="2:18" ht="69" customHeight="1">
      <c r="B9734" s="79">
        <f t="shared" si="81"/>
        <v>6849</v>
      </c>
      <c r="C9734" s="178" t="s">
        <v>657</v>
      </c>
      <c r="D9734" s="498" t="s">
        <v>12826</v>
      </c>
      <c r="E9734" s="58" t="s">
        <v>16011</v>
      </c>
      <c r="F9734" s="58" t="s">
        <v>23741</v>
      </c>
      <c r="G9734" s="45" t="s">
        <v>23742</v>
      </c>
      <c r="H9734" s="546">
        <v>12000</v>
      </c>
      <c r="I9734" s="126">
        <v>45621</v>
      </c>
      <c r="J9734" s="242" t="s">
        <v>23743</v>
      </c>
      <c r="K9734" s="67"/>
      <c r="O9734" s="45" t="s">
        <v>150</v>
      </c>
      <c r="P9734" s="45" t="s">
        <v>51</v>
      </c>
      <c r="Q9734" s="48" t="s">
        <v>111</v>
      </c>
      <c r="R9734" s="45" t="s">
        <v>272</v>
      </c>
    </row>
    <row r="9735" spans="2:18" ht="69" customHeight="1">
      <c r="B9735" s="79">
        <f t="shared" si="81"/>
        <v>6850</v>
      </c>
      <c r="C9735" s="178" t="s">
        <v>657</v>
      </c>
      <c r="D9735" s="498" t="s">
        <v>17478</v>
      </c>
      <c r="E9735" s="58" t="s">
        <v>16011</v>
      </c>
      <c r="F9735" s="58" t="s">
        <v>23744</v>
      </c>
      <c r="G9735" s="45" t="s">
        <v>23745</v>
      </c>
      <c r="H9735" s="546">
        <v>2000</v>
      </c>
      <c r="I9735" s="126">
        <v>45621</v>
      </c>
      <c r="J9735" s="242" t="s">
        <v>23743</v>
      </c>
      <c r="K9735" s="67"/>
      <c r="O9735" s="45" t="s">
        <v>150</v>
      </c>
      <c r="P9735" s="45" t="s">
        <v>51</v>
      </c>
      <c r="Q9735" s="48" t="s">
        <v>111</v>
      </c>
      <c r="R9735" s="45" t="s">
        <v>272</v>
      </c>
    </row>
    <row r="9736" spans="2:18" ht="69" customHeight="1">
      <c r="B9736" s="79">
        <f t="shared" si="81"/>
        <v>6851</v>
      </c>
      <c r="C9736" s="178" t="s">
        <v>657</v>
      </c>
      <c r="D9736" s="498" t="s">
        <v>12830</v>
      </c>
      <c r="E9736" s="58" t="s">
        <v>16011</v>
      </c>
      <c r="F9736" s="58" t="s">
        <v>23746</v>
      </c>
      <c r="G9736" s="58" t="s">
        <v>23474</v>
      </c>
      <c r="H9736" s="546">
        <v>29180</v>
      </c>
      <c r="I9736" s="126">
        <v>45631</v>
      </c>
      <c r="J9736" s="242" t="s">
        <v>23743</v>
      </c>
      <c r="K9736" s="67"/>
      <c r="O9736" s="45" t="s">
        <v>150</v>
      </c>
      <c r="P9736" s="45" t="s">
        <v>51</v>
      </c>
      <c r="Q9736" s="48" t="s">
        <v>111</v>
      </c>
      <c r="R9736" s="45" t="s">
        <v>272</v>
      </c>
    </row>
    <row r="9737" spans="2:18" ht="69" customHeight="1">
      <c r="B9737" s="79">
        <f t="shared" si="81"/>
        <v>6852</v>
      </c>
      <c r="C9737" s="178" t="s">
        <v>657</v>
      </c>
      <c r="D9737" s="498" t="s">
        <v>12839</v>
      </c>
      <c r="E9737" s="58" t="s">
        <v>16011</v>
      </c>
      <c r="F9737" s="58" t="s">
        <v>23747</v>
      </c>
      <c r="G9737" s="58" t="s">
        <v>23474</v>
      </c>
      <c r="H9737" s="546">
        <v>29180</v>
      </c>
      <c r="I9737" s="126">
        <v>45631</v>
      </c>
      <c r="J9737" s="242" t="s">
        <v>23743</v>
      </c>
      <c r="K9737" s="67"/>
      <c r="O9737" s="45" t="s">
        <v>150</v>
      </c>
      <c r="P9737" s="45" t="s">
        <v>51</v>
      </c>
      <c r="Q9737" s="48" t="s">
        <v>110</v>
      </c>
      <c r="R9737" s="45" t="s">
        <v>272</v>
      </c>
    </row>
    <row r="9738" spans="2:18" ht="69" customHeight="1">
      <c r="B9738" s="79">
        <f t="shared" si="81"/>
        <v>6853</v>
      </c>
      <c r="C9738" s="178" t="s">
        <v>458</v>
      </c>
      <c r="D9738" s="498" t="s">
        <v>23748</v>
      </c>
      <c r="E9738" s="58" t="s">
        <v>16011</v>
      </c>
      <c r="F9738" s="58" t="s">
        <v>23749</v>
      </c>
      <c r="G9738" s="45" t="s">
        <v>23742</v>
      </c>
      <c r="H9738" s="546">
        <v>12000</v>
      </c>
      <c r="I9738" s="126">
        <v>45621</v>
      </c>
      <c r="J9738" s="242" t="s">
        <v>23743</v>
      </c>
      <c r="K9738" s="67"/>
      <c r="O9738" s="45" t="s">
        <v>150</v>
      </c>
      <c r="P9738" s="45" t="s">
        <v>51</v>
      </c>
      <c r="Q9738" s="48" t="s">
        <v>100</v>
      </c>
      <c r="R9738" s="45" t="s">
        <v>272</v>
      </c>
    </row>
    <row r="9739" spans="2:18" ht="69" customHeight="1">
      <c r="B9739" s="79">
        <f t="shared" si="81"/>
        <v>6854</v>
      </c>
      <c r="C9739" s="178" t="s">
        <v>458</v>
      </c>
      <c r="D9739" s="498" t="s">
        <v>23750</v>
      </c>
      <c r="E9739" s="58" t="s">
        <v>16011</v>
      </c>
      <c r="F9739" s="58" t="s">
        <v>23751</v>
      </c>
      <c r="G9739" s="45" t="s">
        <v>23742</v>
      </c>
      <c r="H9739" s="546">
        <v>12000</v>
      </c>
      <c r="I9739" s="126">
        <v>45621</v>
      </c>
      <c r="J9739" s="242" t="s">
        <v>23743</v>
      </c>
      <c r="K9739" s="67"/>
      <c r="O9739" s="45" t="s">
        <v>150</v>
      </c>
      <c r="P9739" s="45" t="s">
        <v>51</v>
      </c>
      <c r="Q9739" s="48" t="s">
        <v>112</v>
      </c>
      <c r="R9739" s="45" t="s">
        <v>272</v>
      </c>
    </row>
    <row r="9740" spans="2:18" ht="69" customHeight="1">
      <c r="B9740" s="79">
        <f t="shared" ref="B9740:B9799" si="82">B9739+1</f>
        <v>6855</v>
      </c>
      <c r="C9740" s="178" t="s">
        <v>458</v>
      </c>
      <c r="D9740" s="498" t="s">
        <v>23752</v>
      </c>
      <c r="E9740" s="58" t="s">
        <v>16011</v>
      </c>
      <c r="F9740" s="58" t="s">
        <v>23753</v>
      </c>
      <c r="G9740" s="45" t="s">
        <v>23742</v>
      </c>
      <c r="H9740" s="546">
        <v>12000</v>
      </c>
      <c r="I9740" s="126">
        <v>45621</v>
      </c>
      <c r="J9740" s="242" t="s">
        <v>23743</v>
      </c>
      <c r="K9740" s="67"/>
      <c r="O9740" s="45" t="s">
        <v>150</v>
      </c>
      <c r="P9740" s="45" t="s">
        <v>51</v>
      </c>
      <c r="Q9740" s="48" t="s">
        <v>117</v>
      </c>
      <c r="R9740" s="45" t="s">
        <v>272</v>
      </c>
    </row>
    <row r="9741" spans="2:18" ht="69" customHeight="1">
      <c r="B9741" s="79">
        <f t="shared" si="82"/>
        <v>6856</v>
      </c>
      <c r="C9741" s="178" t="s">
        <v>309</v>
      </c>
      <c r="D9741" s="498" t="s">
        <v>23754</v>
      </c>
      <c r="E9741" s="58" t="s">
        <v>16011</v>
      </c>
      <c r="F9741" s="58" t="s">
        <v>23755</v>
      </c>
      <c r="G9741" s="45" t="s">
        <v>23742</v>
      </c>
      <c r="H9741" s="546">
        <v>12000</v>
      </c>
      <c r="I9741" s="126">
        <v>45621</v>
      </c>
      <c r="J9741" s="242" t="s">
        <v>23743</v>
      </c>
      <c r="K9741" s="67"/>
      <c r="O9741" s="45" t="s">
        <v>150</v>
      </c>
      <c r="P9741" s="45" t="s">
        <v>51</v>
      </c>
      <c r="Q9741" s="48" t="s">
        <v>29</v>
      </c>
      <c r="R9741" s="45" t="s">
        <v>272</v>
      </c>
    </row>
    <row r="9742" spans="2:18" ht="69" customHeight="1">
      <c r="B9742" s="79">
        <f t="shared" si="82"/>
        <v>6857</v>
      </c>
      <c r="C9742" s="178" t="s">
        <v>309</v>
      </c>
      <c r="D9742" s="498" t="s">
        <v>23756</v>
      </c>
      <c r="E9742" s="58" t="s">
        <v>16011</v>
      </c>
      <c r="F9742" s="58" t="s">
        <v>23757</v>
      </c>
      <c r="G9742" s="45" t="s">
        <v>23742</v>
      </c>
      <c r="H9742" s="546">
        <v>12000</v>
      </c>
      <c r="I9742" s="126">
        <v>45621</v>
      </c>
      <c r="J9742" s="242" t="s">
        <v>23743</v>
      </c>
      <c r="K9742" s="67"/>
      <c r="O9742" s="45" t="s">
        <v>150</v>
      </c>
      <c r="P9742" s="45" t="s">
        <v>51</v>
      </c>
      <c r="Q9742" s="48" t="s">
        <v>23</v>
      </c>
      <c r="R9742" s="45" t="s">
        <v>272</v>
      </c>
    </row>
    <row r="9743" spans="2:18" ht="69" customHeight="1">
      <c r="B9743" s="79">
        <f t="shared" si="82"/>
        <v>6858</v>
      </c>
      <c r="C9743" s="59" t="s">
        <v>3667</v>
      </c>
      <c r="D9743" s="498" t="s">
        <v>23758</v>
      </c>
      <c r="E9743" s="58" t="s">
        <v>16011</v>
      </c>
      <c r="F9743" s="58" t="s">
        <v>23759</v>
      </c>
      <c r="G9743" s="45" t="s">
        <v>23742</v>
      </c>
      <c r="H9743" s="546">
        <v>12000</v>
      </c>
      <c r="I9743" s="126">
        <v>45621</v>
      </c>
      <c r="J9743" s="242" t="s">
        <v>23743</v>
      </c>
      <c r="K9743" s="67"/>
      <c r="O9743" s="45" t="s">
        <v>150</v>
      </c>
      <c r="P9743" s="45" t="s">
        <v>51</v>
      </c>
      <c r="Q9743" s="48" t="s">
        <v>78</v>
      </c>
      <c r="R9743" s="45" t="s">
        <v>272</v>
      </c>
    </row>
    <row r="9744" spans="2:18" ht="69" customHeight="1">
      <c r="B9744" s="79">
        <f t="shared" si="82"/>
        <v>6859</v>
      </c>
      <c r="C9744" s="178" t="s">
        <v>657</v>
      </c>
      <c r="D9744" s="551" t="s">
        <v>12848</v>
      </c>
      <c r="E9744" s="85" t="s">
        <v>16011</v>
      </c>
      <c r="F9744" s="58" t="s">
        <v>23760</v>
      </c>
      <c r="G9744" s="58" t="s">
        <v>23480</v>
      </c>
      <c r="H9744" s="512">
        <v>2477.9899999999998</v>
      </c>
      <c r="I9744" s="66">
        <v>45621</v>
      </c>
      <c r="J9744" s="65" t="s">
        <v>23761</v>
      </c>
      <c r="K9744" s="58" t="s">
        <v>96</v>
      </c>
      <c r="O9744" s="45" t="s">
        <v>150</v>
      </c>
      <c r="P9744" s="45" t="s">
        <v>51</v>
      </c>
      <c r="Q9744" s="48" t="s">
        <v>111</v>
      </c>
      <c r="R9744" s="45" t="s">
        <v>272</v>
      </c>
    </row>
    <row r="9745" spans="2:18" ht="69" customHeight="1">
      <c r="B9745" s="79">
        <f t="shared" si="82"/>
        <v>6860</v>
      </c>
      <c r="C9745" s="178" t="s">
        <v>657</v>
      </c>
      <c r="D9745" s="551" t="s">
        <v>12852</v>
      </c>
      <c r="E9745" s="85" t="s">
        <v>16011</v>
      </c>
      <c r="F9745" s="58" t="s">
        <v>23762</v>
      </c>
      <c r="G9745" s="58" t="s">
        <v>23480</v>
      </c>
      <c r="H9745" s="512">
        <v>2382.4899999999998</v>
      </c>
      <c r="I9745" s="66">
        <v>45621</v>
      </c>
      <c r="J9745" s="65" t="s">
        <v>23761</v>
      </c>
      <c r="K9745" s="58"/>
      <c r="O9745" s="45" t="s">
        <v>150</v>
      </c>
      <c r="P9745" s="45" t="s">
        <v>51</v>
      </c>
      <c r="Q9745" s="48" t="s">
        <v>110</v>
      </c>
      <c r="R9745" s="45" t="s">
        <v>272</v>
      </c>
    </row>
    <row r="9746" spans="2:18" ht="69" customHeight="1">
      <c r="B9746" s="79">
        <f t="shared" si="82"/>
        <v>6861</v>
      </c>
      <c r="C9746" s="178" t="s">
        <v>458</v>
      </c>
      <c r="D9746" s="551" t="s">
        <v>23763</v>
      </c>
      <c r="E9746" s="85" t="s">
        <v>16011</v>
      </c>
      <c r="F9746" s="58" t="s">
        <v>23764</v>
      </c>
      <c r="G9746" s="58" t="s">
        <v>23480</v>
      </c>
      <c r="H9746" s="512">
        <v>2478.0100000000002</v>
      </c>
      <c r="I9746" s="66">
        <v>45621</v>
      </c>
      <c r="J9746" s="65" t="s">
        <v>23761</v>
      </c>
      <c r="K9746" s="58"/>
      <c r="O9746" s="45" t="s">
        <v>150</v>
      </c>
      <c r="P9746" s="45" t="s">
        <v>51</v>
      </c>
      <c r="Q9746" s="48" t="s">
        <v>107</v>
      </c>
      <c r="R9746" s="45" t="s">
        <v>272</v>
      </c>
    </row>
    <row r="9747" spans="2:18" ht="69" customHeight="1">
      <c r="B9747" s="79">
        <f t="shared" si="82"/>
        <v>6862</v>
      </c>
      <c r="C9747" s="178" t="s">
        <v>458</v>
      </c>
      <c r="D9747" s="551" t="s">
        <v>23765</v>
      </c>
      <c r="E9747" s="85" t="s">
        <v>16011</v>
      </c>
      <c r="F9747" s="58" t="s">
        <v>23766</v>
      </c>
      <c r="G9747" s="58" t="s">
        <v>23480</v>
      </c>
      <c r="H9747" s="512">
        <v>2382.5</v>
      </c>
      <c r="I9747" s="66">
        <v>45621</v>
      </c>
      <c r="J9747" s="65" t="s">
        <v>23761</v>
      </c>
      <c r="K9747" s="58"/>
      <c r="O9747" s="45" t="s">
        <v>150</v>
      </c>
      <c r="P9747" s="45" t="s">
        <v>51</v>
      </c>
      <c r="Q9747" s="48" t="s">
        <v>88</v>
      </c>
      <c r="R9747" s="45" t="s">
        <v>272</v>
      </c>
    </row>
    <row r="9748" spans="2:18" ht="69" customHeight="1">
      <c r="B9748" s="79">
        <f t="shared" si="82"/>
        <v>6863</v>
      </c>
      <c r="C9748" s="178" t="s">
        <v>458</v>
      </c>
      <c r="D9748" s="551" t="s">
        <v>23767</v>
      </c>
      <c r="E9748" s="85" t="s">
        <v>16011</v>
      </c>
      <c r="F9748" s="58" t="s">
        <v>23768</v>
      </c>
      <c r="G9748" s="58" t="s">
        <v>23480</v>
      </c>
      <c r="H9748" s="512">
        <v>3862.63</v>
      </c>
      <c r="I9748" s="66">
        <v>45621</v>
      </c>
      <c r="J9748" s="65" t="s">
        <v>23761</v>
      </c>
      <c r="K9748" s="58"/>
      <c r="O9748" s="45" t="s">
        <v>150</v>
      </c>
      <c r="P9748" s="45" t="s">
        <v>51</v>
      </c>
      <c r="Q9748" s="48" t="s">
        <v>122</v>
      </c>
      <c r="R9748" s="45" t="s">
        <v>272</v>
      </c>
    </row>
    <row r="9749" spans="2:18" ht="69" customHeight="1">
      <c r="B9749" s="231">
        <f t="shared" si="82"/>
        <v>6864</v>
      </c>
      <c r="C9749" s="49" t="s">
        <v>9215</v>
      </c>
      <c r="D9749" s="282" t="s">
        <v>23769</v>
      </c>
      <c r="E9749" s="46" t="s">
        <v>23770</v>
      </c>
      <c r="F9749" s="251" t="s">
        <v>23771</v>
      </c>
      <c r="G9749" s="87" t="s">
        <v>23772</v>
      </c>
      <c r="H9749" s="206">
        <v>8000</v>
      </c>
      <c r="I9749" s="56">
        <v>45621</v>
      </c>
      <c r="J9749" s="199" t="s">
        <v>23773</v>
      </c>
      <c r="K9749" s="46"/>
      <c r="O9749" s="46" t="s">
        <v>21304</v>
      </c>
      <c r="P9749" s="46" t="s">
        <v>65</v>
      </c>
      <c r="Q9749" s="52" t="s">
        <v>113</v>
      </c>
      <c r="R9749" s="46" t="s">
        <v>272</v>
      </c>
    </row>
    <row r="9750" spans="2:18" ht="69" customHeight="1">
      <c r="B9750" s="79">
        <f t="shared" si="82"/>
        <v>6865</v>
      </c>
      <c r="C9750" s="178" t="s">
        <v>11618</v>
      </c>
      <c r="D9750" s="498" t="s">
        <v>23774</v>
      </c>
      <c r="E9750" s="59" t="s">
        <v>266</v>
      </c>
      <c r="F9750" s="58" t="s">
        <v>23775</v>
      </c>
      <c r="G9750" s="81" t="s">
        <v>23776</v>
      </c>
      <c r="H9750" s="546">
        <v>279.82</v>
      </c>
      <c r="I9750" s="126">
        <v>45621</v>
      </c>
      <c r="J9750" s="65" t="s">
        <v>23777</v>
      </c>
      <c r="K9750" s="67"/>
      <c r="O9750" s="45" t="s">
        <v>5969</v>
      </c>
      <c r="P9750" s="58" t="s">
        <v>44</v>
      </c>
      <c r="Q9750" s="48" t="s">
        <v>122</v>
      </c>
      <c r="R9750" s="45" t="s">
        <v>272</v>
      </c>
    </row>
    <row r="9751" spans="2:18" ht="69" customHeight="1">
      <c r="B9751" s="79">
        <f t="shared" si="82"/>
        <v>6866</v>
      </c>
      <c r="C9751" s="59" t="s">
        <v>13562</v>
      </c>
      <c r="D9751" s="498" t="s">
        <v>21532</v>
      </c>
      <c r="E9751" s="59" t="s">
        <v>266</v>
      </c>
      <c r="F9751" s="58" t="s">
        <v>23778</v>
      </c>
      <c r="G9751" s="81" t="s">
        <v>23776</v>
      </c>
      <c r="H9751" s="657">
        <v>279.82</v>
      </c>
      <c r="I9751" s="126">
        <v>45621</v>
      </c>
      <c r="J9751" s="65" t="s">
        <v>23777</v>
      </c>
      <c r="K9751" s="67"/>
      <c r="O9751" s="45" t="s">
        <v>5969</v>
      </c>
      <c r="P9751" s="58" t="s">
        <v>44</v>
      </c>
      <c r="Q9751" s="48" t="s">
        <v>88</v>
      </c>
      <c r="R9751" s="45" t="s">
        <v>272</v>
      </c>
    </row>
    <row r="9752" spans="2:18" ht="69" customHeight="1">
      <c r="B9752" s="319">
        <f t="shared" si="82"/>
        <v>6867</v>
      </c>
      <c r="C9752" s="207" t="s">
        <v>3667</v>
      </c>
      <c r="D9752" s="518" t="s">
        <v>23779</v>
      </c>
      <c r="E9752" s="207" t="s">
        <v>266</v>
      </c>
      <c r="F9752" s="207" t="s">
        <v>23780</v>
      </c>
      <c r="G9752" s="160" t="s">
        <v>22902</v>
      </c>
      <c r="H9752" s="300">
        <v>9267.84</v>
      </c>
      <c r="I9752" s="209">
        <v>45621</v>
      </c>
      <c r="J9752" s="316" t="s">
        <v>23781</v>
      </c>
      <c r="K9752" s="160"/>
      <c r="O9752" s="160" t="s">
        <v>10810</v>
      </c>
      <c r="P9752" s="160" t="s">
        <v>67</v>
      </c>
      <c r="Q9752" s="259" t="s">
        <v>96</v>
      </c>
      <c r="R9752" s="160" t="s">
        <v>272</v>
      </c>
    </row>
    <row r="9753" spans="2:18" ht="69" customHeight="1">
      <c r="B9753" s="319">
        <f t="shared" si="82"/>
        <v>6868</v>
      </c>
      <c r="C9753" s="207" t="s">
        <v>309</v>
      </c>
      <c r="D9753" s="518" t="s">
        <v>23782</v>
      </c>
      <c r="E9753" s="207" t="s">
        <v>266</v>
      </c>
      <c r="F9753" s="207" t="s">
        <v>23783</v>
      </c>
      <c r="G9753" s="160" t="s">
        <v>22902</v>
      </c>
      <c r="H9753" s="300">
        <v>7240.5</v>
      </c>
      <c r="I9753" s="209">
        <v>45621</v>
      </c>
      <c r="J9753" s="316" t="s">
        <v>23781</v>
      </c>
      <c r="K9753" s="160"/>
      <c r="O9753" s="160" t="s">
        <v>10810</v>
      </c>
      <c r="P9753" s="160" t="s">
        <v>67</v>
      </c>
      <c r="Q9753" s="259" t="s">
        <v>96</v>
      </c>
      <c r="R9753" s="160" t="s">
        <v>272</v>
      </c>
    </row>
    <row r="9754" spans="2:18" ht="69" customHeight="1">
      <c r="B9754" s="319">
        <f t="shared" si="82"/>
        <v>6869</v>
      </c>
      <c r="C9754" s="207" t="s">
        <v>458</v>
      </c>
      <c r="D9754" s="518" t="s">
        <v>21534</v>
      </c>
      <c r="E9754" s="207" t="s">
        <v>266</v>
      </c>
      <c r="F9754" s="207" t="s">
        <v>23784</v>
      </c>
      <c r="G9754" s="160" t="s">
        <v>22902</v>
      </c>
      <c r="H9754" s="300">
        <v>7240.5</v>
      </c>
      <c r="I9754" s="209">
        <v>45621</v>
      </c>
      <c r="J9754" s="316" t="s">
        <v>23781</v>
      </c>
      <c r="K9754" s="160"/>
      <c r="O9754" s="160" t="s">
        <v>10810</v>
      </c>
      <c r="P9754" s="160" t="s">
        <v>67</v>
      </c>
      <c r="Q9754" s="259" t="s">
        <v>96</v>
      </c>
      <c r="R9754" s="160" t="s">
        <v>272</v>
      </c>
    </row>
    <row r="9755" spans="2:18" ht="69" customHeight="1">
      <c r="B9755" s="319">
        <f t="shared" si="82"/>
        <v>6870</v>
      </c>
      <c r="C9755" s="207" t="s">
        <v>657</v>
      </c>
      <c r="D9755" s="518" t="s">
        <v>12972</v>
      </c>
      <c r="E9755" s="207" t="s">
        <v>266</v>
      </c>
      <c r="F9755" s="207" t="s">
        <v>23785</v>
      </c>
      <c r="G9755" s="160" t="s">
        <v>22902</v>
      </c>
      <c r="H9755" s="300">
        <v>5213.16</v>
      </c>
      <c r="I9755" s="209">
        <v>45621</v>
      </c>
      <c r="J9755" s="316" t="s">
        <v>23781</v>
      </c>
      <c r="K9755" s="160"/>
      <c r="O9755" s="160" t="s">
        <v>10810</v>
      </c>
      <c r="P9755" s="160" t="s">
        <v>67</v>
      </c>
      <c r="Q9755" s="259" t="s">
        <v>96</v>
      </c>
      <c r="R9755" s="160" t="s">
        <v>272</v>
      </c>
    </row>
    <row r="9756" spans="2:18" ht="69" customHeight="1">
      <c r="B9756" s="79">
        <f t="shared" si="82"/>
        <v>6871</v>
      </c>
      <c r="C9756" s="178" t="s">
        <v>10205</v>
      </c>
      <c r="D9756" s="498" t="s">
        <v>12858</v>
      </c>
      <c r="E9756" s="58" t="s">
        <v>22151</v>
      </c>
      <c r="F9756" s="45" t="s">
        <v>23786</v>
      </c>
      <c r="G9756" s="59" t="s">
        <v>23787</v>
      </c>
      <c r="H9756" s="552">
        <v>22560.39</v>
      </c>
      <c r="I9756" s="126">
        <v>45621</v>
      </c>
      <c r="J9756" s="242" t="s">
        <v>23788</v>
      </c>
      <c r="K9756" s="67"/>
      <c r="O9756" s="45" t="s">
        <v>8228</v>
      </c>
      <c r="P9756" s="45" t="s">
        <v>57</v>
      </c>
      <c r="Q9756" s="48" t="s">
        <v>120</v>
      </c>
      <c r="R9756" s="45" t="s">
        <v>272</v>
      </c>
    </row>
    <row r="9757" spans="2:18" ht="69" customHeight="1">
      <c r="B9757" s="79">
        <f t="shared" si="82"/>
        <v>6872</v>
      </c>
      <c r="C9757" s="178" t="s">
        <v>10205</v>
      </c>
      <c r="D9757" s="498" t="s">
        <v>17518</v>
      </c>
      <c r="E9757" s="58" t="s">
        <v>22151</v>
      </c>
      <c r="F9757" s="45" t="s">
        <v>23789</v>
      </c>
      <c r="G9757" s="45" t="s">
        <v>23790</v>
      </c>
      <c r="H9757" s="552">
        <v>90241.58</v>
      </c>
      <c r="I9757" s="126">
        <v>45621</v>
      </c>
      <c r="J9757" s="242" t="s">
        <v>23788</v>
      </c>
      <c r="K9757" s="67"/>
      <c r="O9757" s="45" t="s">
        <v>8228</v>
      </c>
      <c r="P9757" s="45" t="s">
        <v>57</v>
      </c>
      <c r="Q9757" s="48" t="s">
        <v>120</v>
      </c>
      <c r="R9757" s="45" t="s">
        <v>272</v>
      </c>
    </row>
    <row r="9758" spans="2:18" ht="69" customHeight="1">
      <c r="B9758" s="79">
        <f t="shared" si="82"/>
        <v>6873</v>
      </c>
      <c r="C9758" s="178" t="s">
        <v>10205</v>
      </c>
      <c r="D9758" s="498" t="s">
        <v>12912</v>
      </c>
      <c r="E9758" s="58" t="s">
        <v>22151</v>
      </c>
      <c r="F9758" s="45" t="s">
        <v>23791</v>
      </c>
      <c r="G9758" s="59" t="s">
        <v>23787</v>
      </c>
      <c r="H9758" s="552">
        <v>47603.86</v>
      </c>
      <c r="I9758" s="126">
        <v>45621</v>
      </c>
      <c r="J9758" s="242" t="s">
        <v>23792</v>
      </c>
      <c r="K9758" s="67"/>
      <c r="O9758" s="45" t="s">
        <v>8228</v>
      </c>
      <c r="P9758" s="45" t="s">
        <v>57</v>
      </c>
      <c r="Q9758" s="48" t="s">
        <v>120</v>
      </c>
      <c r="R9758" s="45" t="s">
        <v>272</v>
      </c>
    </row>
    <row r="9759" spans="2:18" ht="69" customHeight="1">
      <c r="B9759" s="79">
        <f t="shared" si="82"/>
        <v>6874</v>
      </c>
      <c r="C9759" s="178" t="s">
        <v>10205</v>
      </c>
      <c r="D9759" s="498" t="s">
        <v>12916</v>
      </c>
      <c r="E9759" s="58" t="s">
        <v>22151</v>
      </c>
      <c r="F9759" s="45" t="s">
        <v>23793</v>
      </c>
      <c r="G9759" s="45" t="s">
        <v>23790</v>
      </c>
      <c r="H9759" s="552">
        <v>47603.86</v>
      </c>
      <c r="I9759" s="126">
        <v>45621</v>
      </c>
      <c r="J9759" s="242" t="s">
        <v>23792</v>
      </c>
      <c r="K9759" s="67"/>
      <c r="O9759" s="45" t="s">
        <v>8228</v>
      </c>
      <c r="P9759" s="45" t="s">
        <v>57</v>
      </c>
      <c r="Q9759" s="48" t="s">
        <v>120</v>
      </c>
      <c r="R9759" s="45" t="s">
        <v>272</v>
      </c>
    </row>
    <row r="9760" spans="2:18" ht="69" customHeight="1">
      <c r="B9760" s="79">
        <f t="shared" si="82"/>
        <v>6875</v>
      </c>
      <c r="C9760" s="178" t="s">
        <v>7415</v>
      </c>
      <c r="D9760" s="498" t="s">
        <v>21538</v>
      </c>
      <c r="E9760" s="58" t="s">
        <v>22151</v>
      </c>
      <c r="F9760" s="45" t="s">
        <v>23794</v>
      </c>
      <c r="G9760" s="59" t="s">
        <v>23795</v>
      </c>
      <c r="H9760" s="546">
        <v>67118.460000000006</v>
      </c>
      <c r="I9760" s="126">
        <v>45621</v>
      </c>
      <c r="J9760" s="242" t="s">
        <v>23796</v>
      </c>
      <c r="K9760" s="67"/>
      <c r="O9760" s="45" t="s">
        <v>8228</v>
      </c>
      <c r="P9760" s="45" t="s">
        <v>57</v>
      </c>
      <c r="Q9760" s="48" t="s">
        <v>119</v>
      </c>
      <c r="R9760" s="45" t="s">
        <v>272</v>
      </c>
    </row>
    <row r="9761" spans="1:18" ht="69" customHeight="1">
      <c r="B9761" s="79">
        <f t="shared" si="82"/>
        <v>6876</v>
      </c>
      <c r="C9761" s="178" t="s">
        <v>7415</v>
      </c>
      <c r="D9761" s="498" t="s">
        <v>21549</v>
      </c>
      <c r="E9761" s="58" t="s">
        <v>22151</v>
      </c>
      <c r="F9761" s="45" t="s">
        <v>23797</v>
      </c>
      <c r="G9761" s="45" t="s">
        <v>23790</v>
      </c>
      <c r="H9761" s="546">
        <v>67118.460000000006</v>
      </c>
      <c r="I9761" s="126">
        <v>45621</v>
      </c>
      <c r="J9761" s="242" t="s">
        <v>23796</v>
      </c>
      <c r="K9761" s="67"/>
      <c r="O9761" s="45" t="s">
        <v>8228</v>
      </c>
      <c r="P9761" s="45" t="s">
        <v>57</v>
      </c>
      <c r="Q9761" s="48" t="s">
        <v>119</v>
      </c>
      <c r="R9761" s="45" t="s">
        <v>272</v>
      </c>
    </row>
    <row r="9762" spans="1:18" ht="69" customHeight="1">
      <c r="B9762" s="79">
        <f t="shared" si="82"/>
        <v>6877</v>
      </c>
      <c r="C9762" s="178" t="s">
        <v>7415</v>
      </c>
      <c r="D9762" s="498" t="s">
        <v>21553</v>
      </c>
      <c r="E9762" s="58" t="s">
        <v>22151</v>
      </c>
      <c r="F9762" s="45" t="s">
        <v>23798</v>
      </c>
      <c r="G9762" s="59" t="s">
        <v>23787</v>
      </c>
      <c r="H9762" s="546">
        <v>29454.33</v>
      </c>
      <c r="I9762" s="126">
        <v>45621</v>
      </c>
      <c r="J9762" s="242" t="s">
        <v>23799</v>
      </c>
      <c r="K9762" s="67"/>
      <c r="O9762" s="45" t="s">
        <v>8228</v>
      </c>
      <c r="P9762" s="45" t="s">
        <v>57</v>
      </c>
      <c r="Q9762" s="48" t="s">
        <v>119</v>
      </c>
      <c r="R9762" s="45" t="s">
        <v>272</v>
      </c>
    </row>
    <row r="9763" spans="1:18" ht="69" customHeight="1">
      <c r="B9763" s="79">
        <f t="shared" si="82"/>
        <v>6878</v>
      </c>
      <c r="C9763" s="178" t="s">
        <v>7415</v>
      </c>
      <c r="D9763" s="498" t="s">
        <v>23800</v>
      </c>
      <c r="E9763" s="58" t="s">
        <v>22151</v>
      </c>
      <c r="F9763" s="45" t="s">
        <v>23801</v>
      </c>
      <c r="G9763" s="45" t="s">
        <v>23790</v>
      </c>
      <c r="H9763" s="546">
        <v>117817.31</v>
      </c>
      <c r="I9763" s="126">
        <v>45621</v>
      </c>
      <c r="J9763" s="242" t="s">
        <v>23799</v>
      </c>
      <c r="K9763" s="67"/>
      <c r="O9763" s="45" t="s">
        <v>8228</v>
      </c>
      <c r="P9763" s="45" t="s">
        <v>57</v>
      </c>
      <c r="Q9763" s="48" t="s">
        <v>119</v>
      </c>
      <c r="R9763" s="45" t="s">
        <v>272</v>
      </c>
    </row>
    <row r="9764" spans="1:18" ht="69" customHeight="1">
      <c r="B9764" s="231">
        <f t="shared" si="82"/>
        <v>6879</v>
      </c>
      <c r="C9764" s="49" t="s">
        <v>13562</v>
      </c>
      <c r="D9764" s="282" t="s">
        <v>23802</v>
      </c>
      <c r="E9764" s="86" t="s">
        <v>266</v>
      </c>
      <c r="F9764" s="87" t="s">
        <v>23803</v>
      </c>
      <c r="G9764" s="46" t="s">
        <v>23804</v>
      </c>
      <c r="H9764" s="565">
        <v>28920.799999999999</v>
      </c>
      <c r="I9764" s="56">
        <v>45631</v>
      </c>
      <c r="J9764" s="199" t="s">
        <v>23805</v>
      </c>
      <c r="K9764" s="46"/>
      <c r="O9764" s="46" t="s">
        <v>210</v>
      </c>
      <c r="P9764" s="46" t="s">
        <v>65</v>
      </c>
      <c r="Q9764" s="52" t="s">
        <v>88</v>
      </c>
      <c r="R9764" s="46" t="s">
        <v>272</v>
      </c>
    </row>
    <row r="9765" spans="1:18" ht="69" customHeight="1">
      <c r="B9765" s="231">
        <f t="shared" si="82"/>
        <v>6880</v>
      </c>
      <c r="C9765" s="49" t="s">
        <v>10947</v>
      </c>
      <c r="D9765" s="282" t="s">
        <v>23806</v>
      </c>
      <c r="E9765" s="86" t="s">
        <v>266</v>
      </c>
      <c r="F9765" s="87" t="s">
        <v>23807</v>
      </c>
      <c r="G9765" s="46" t="s">
        <v>23808</v>
      </c>
      <c r="H9765" s="206">
        <v>5000</v>
      </c>
      <c r="I9765" s="56">
        <v>45651</v>
      </c>
      <c r="J9765" s="199" t="s">
        <v>23809</v>
      </c>
      <c r="K9765" s="46"/>
      <c r="O9765" s="46" t="s">
        <v>23137</v>
      </c>
      <c r="P9765" s="46" t="s">
        <v>65</v>
      </c>
      <c r="Q9765" s="52" t="s">
        <v>100</v>
      </c>
      <c r="R9765" s="46" t="s">
        <v>272</v>
      </c>
    </row>
    <row r="9766" spans="1:18" ht="69" customHeight="1">
      <c r="B9766" s="239">
        <f t="shared" si="82"/>
        <v>6881</v>
      </c>
      <c r="C9766" s="674" t="s">
        <v>11933</v>
      </c>
      <c r="D9766" s="675" t="s">
        <v>21638</v>
      </c>
      <c r="E9766" s="676" t="s">
        <v>266</v>
      </c>
      <c r="F9766" s="677" t="s">
        <v>23810</v>
      </c>
      <c r="G9766" s="678" t="s">
        <v>23738</v>
      </c>
      <c r="H9766" s="679">
        <v>10440</v>
      </c>
      <c r="I9766" s="47">
        <v>45641</v>
      </c>
      <c r="J9766" s="73" t="s">
        <v>23811</v>
      </c>
      <c r="K9766" s="45"/>
      <c r="O9766" s="45" t="s">
        <v>23812</v>
      </c>
      <c r="P9766" s="45" t="s">
        <v>65</v>
      </c>
      <c r="Q9766" s="48" t="s">
        <v>123</v>
      </c>
      <c r="R9766" s="45" t="s">
        <v>272</v>
      </c>
    </row>
    <row r="9767" spans="1:18" s="98" customFormat="1" ht="69" customHeight="1">
      <c r="A9767" s="169"/>
      <c r="B9767" s="239">
        <f t="shared" si="82"/>
        <v>6882</v>
      </c>
      <c r="C9767" s="674" t="s">
        <v>11933</v>
      </c>
      <c r="D9767" s="489" t="s">
        <v>21703</v>
      </c>
      <c r="E9767" s="676" t="s">
        <v>266</v>
      </c>
      <c r="F9767" s="677" t="s">
        <v>23813</v>
      </c>
      <c r="G9767" s="678" t="s">
        <v>23814</v>
      </c>
      <c r="H9767" s="198">
        <v>1000</v>
      </c>
      <c r="I9767" s="47">
        <v>45641</v>
      </c>
      <c r="J9767" s="73" t="s">
        <v>23811</v>
      </c>
      <c r="K9767" s="45"/>
      <c r="O9767" s="45" t="s">
        <v>23815</v>
      </c>
      <c r="P9767" s="45" t="s">
        <v>65</v>
      </c>
      <c r="Q9767" s="48" t="s">
        <v>123</v>
      </c>
      <c r="R9767" s="45" t="s">
        <v>272</v>
      </c>
    </row>
    <row r="9768" spans="1:18" s="98" customFormat="1" ht="69" customHeight="1">
      <c r="A9768" s="169"/>
      <c r="B9768" s="239">
        <f t="shared" si="82"/>
        <v>6883</v>
      </c>
      <c r="C9768" s="59" t="s">
        <v>775</v>
      </c>
      <c r="D9768" s="489" t="s">
        <v>22500</v>
      </c>
      <c r="E9768" s="676" t="s">
        <v>266</v>
      </c>
      <c r="F9768" s="677" t="s">
        <v>23816</v>
      </c>
      <c r="G9768" s="45" t="s">
        <v>23817</v>
      </c>
      <c r="H9768" s="198">
        <v>19800</v>
      </c>
      <c r="I9768" s="47">
        <v>45662</v>
      </c>
      <c r="J9768" s="73" t="s">
        <v>23818</v>
      </c>
      <c r="K9768" s="45"/>
      <c r="O9768" s="45" t="s">
        <v>23819</v>
      </c>
      <c r="P9768" s="45" t="s">
        <v>65</v>
      </c>
      <c r="Q9768" s="48" t="s">
        <v>20</v>
      </c>
      <c r="R9768" s="45" t="s">
        <v>272</v>
      </c>
    </row>
    <row r="9769" spans="1:18" s="98" customFormat="1" ht="69" customHeight="1">
      <c r="A9769" s="169"/>
      <c r="B9769" s="231">
        <f t="shared" si="82"/>
        <v>6884</v>
      </c>
      <c r="C9769" s="191" t="s">
        <v>7189</v>
      </c>
      <c r="D9769" s="502" t="s">
        <v>12987</v>
      </c>
      <c r="E9769" s="86" t="s">
        <v>266</v>
      </c>
      <c r="F9769" s="46" t="s">
        <v>23820</v>
      </c>
      <c r="G9769" s="191" t="s">
        <v>23821</v>
      </c>
      <c r="H9769" s="534">
        <v>1660</v>
      </c>
      <c r="I9769" s="560">
        <v>45662</v>
      </c>
      <c r="J9769" s="199" t="s">
        <v>23822</v>
      </c>
      <c r="K9769" s="46"/>
      <c r="O9769" s="46" t="s">
        <v>23683</v>
      </c>
      <c r="P9769" s="46" t="s">
        <v>65</v>
      </c>
      <c r="Q9769" s="52" t="s">
        <v>97</v>
      </c>
      <c r="R9769" s="46" t="s">
        <v>272</v>
      </c>
    </row>
    <row r="9770" spans="1:18" s="98" customFormat="1" ht="69" customHeight="1">
      <c r="A9770" s="169"/>
      <c r="B9770" s="239">
        <f t="shared" si="82"/>
        <v>6885</v>
      </c>
      <c r="C9770" s="674" t="s">
        <v>10947</v>
      </c>
      <c r="D9770" s="489" t="s">
        <v>23823</v>
      </c>
      <c r="E9770" s="676" t="s">
        <v>266</v>
      </c>
      <c r="F9770" s="45" t="s">
        <v>23824</v>
      </c>
      <c r="G9770" s="59" t="s">
        <v>23821</v>
      </c>
      <c r="H9770" s="198">
        <v>1690</v>
      </c>
      <c r="I9770" s="47">
        <v>45662</v>
      </c>
      <c r="J9770" s="73" t="s">
        <v>23822</v>
      </c>
      <c r="K9770" s="45"/>
      <c r="O9770" s="45" t="s">
        <v>23683</v>
      </c>
      <c r="P9770" s="45" t="s">
        <v>57</v>
      </c>
      <c r="Q9770" s="48" t="s">
        <v>100</v>
      </c>
      <c r="R9770" s="45" t="s">
        <v>272</v>
      </c>
    </row>
    <row r="9771" spans="1:18" s="98" customFormat="1" ht="69" customHeight="1">
      <c r="A9771" s="169"/>
      <c r="B9771" s="239">
        <f t="shared" si="82"/>
        <v>6886</v>
      </c>
      <c r="C9771" s="59" t="s">
        <v>11908</v>
      </c>
      <c r="D9771" s="489" t="s">
        <v>21659</v>
      </c>
      <c r="E9771" s="676" t="s">
        <v>266</v>
      </c>
      <c r="F9771" s="45" t="s">
        <v>23825</v>
      </c>
      <c r="G9771" s="59" t="s">
        <v>23821</v>
      </c>
      <c r="H9771" s="198">
        <v>1400</v>
      </c>
      <c r="I9771" s="47">
        <v>45662</v>
      </c>
      <c r="J9771" s="73" t="s">
        <v>23822</v>
      </c>
      <c r="K9771" s="45"/>
      <c r="O9771" s="45" t="s">
        <v>23683</v>
      </c>
      <c r="P9771" s="45" t="s">
        <v>57</v>
      </c>
      <c r="Q9771" s="48" t="s">
        <v>103</v>
      </c>
      <c r="R9771" s="45" t="s">
        <v>272</v>
      </c>
    </row>
    <row r="9772" spans="1:18" ht="69" customHeight="1">
      <c r="B9772" s="239">
        <f t="shared" si="82"/>
        <v>6887</v>
      </c>
      <c r="C9772" s="674" t="s">
        <v>10937</v>
      </c>
      <c r="D9772" s="489" t="s">
        <v>12991</v>
      </c>
      <c r="E9772" s="676" t="s">
        <v>266</v>
      </c>
      <c r="F9772" s="45" t="s">
        <v>23826</v>
      </c>
      <c r="G9772" s="59" t="s">
        <v>23821</v>
      </c>
      <c r="H9772" s="198">
        <v>1400</v>
      </c>
      <c r="I9772" s="47">
        <v>45662</v>
      </c>
      <c r="J9772" s="73" t="s">
        <v>23822</v>
      </c>
      <c r="K9772" s="45"/>
      <c r="O9772" s="45" t="s">
        <v>23683</v>
      </c>
      <c r="P9772" s="45" t="s">
        <v>57</v>
      </c>
      <c r="Q9772" s="48" t="s">
        <v>104</v>
      </c>
      <c r="R9772" s="45" t="s">
        <v>272</v>
      </c>
    </row>
    <row r="9773" spans="1:18" ht="69" customHeight="1">
      <c r="B9773" s="239">
        <f t="shared" si="82"/>
        <v>6888</v>
      </c>
      <c r="C9773" s="59" t="s">
        <v>8057</v>
      </c>
      <c r="D9773" s="489" t="s">
        <v>21662</v>
      </c>
      <c r="E9773" s="676" t="s">
        <v>266</v>
      </c>
      <c r="F9773" s="45" t="s">
        <v>23827</v>
      </c>
      <c r="G9773" s="59" t="s">
        <v>23821</v>
      </c>
      <c r="H9773" s="198">
        <v>1880</v>
      </c>
      <c r="I9773" s="47">
        <v>45662</v>
      </c>
      <c r="J9773" s="73" t="s">
        <v>23822</v>
      </c>
      <c r="K9773" s="45"/>
      <c r="O9773" s="45" t="s">
        <v>23683</v>
      </c>
      <c r="P9773" s="45" t="s">
        <v>57</v>
      </c>
      <c r="Q9773" s="48" t="s">
        <v>105</v>
      </c>
      <c r="R9773" s="45" t="s">
        <v>272</v>
      </c>
    </row>
    <row r="9774" spans="1:18" s="98" customFormat="1" ht="69" customHeight="1">
      <c r="A9774" s="169"/>
      <c r="B9774" s="231">
        <f t="shared" si="82"/>
        <v>6889</v>
      </c>
      <c r="C9774" s="49" t="s">
        <v>11568</v>
      </c>
      <c r="D9774" s="502" t="s">
        <v>21665</v>
      </c>
      <c r="E9774" s="86" t="s">
        <v>266</v>
      </c>
      <c r="F9774" s="46" t="s">
        <v>23828</v>
      </c>
      <c r="G9774" s="191" t="s">
        <v>23821</v>
      </c>
      <c r="H9774" s="534">
        <v>1340</v>
      </c>
      <c r="I9774" s="56">
        <v>45662</v>
      </c>
      <c r="J9774" s="199" t="s">
        <v>23822</v>
      </c>
      <c r="K9774" s="46"/>
      <c r="O9774" s="46" t="s">
        <v>23683</v>
      </c>
      <c r="P9774" s="46" t="s">
        <v>65</v>
      </c>
      <c r="Q9774" s="52" t="s">
        <v>107</v>
      </c>
      <c r="R9774" s="46" t="s">
        <v>272</v>
      </c>
    </row>
    <row r="9775" spans="1:18" s="98" customFormat="1" ht="69" customHeight="1">
      <c r="A9775" s="169"/>
      <c r="B9775" s="239">
        <f t="shared" si="82"/>
        <v>6890</v>
      </c>
      <c r="C9775" s="674" t="s">
        <v>9215</v>
      </c>
      <c r="D9775" s="489" t="s">
        <v>21667</v>
      </c>
      <c r="E9775" s="676" t="s">
        <v>266</v>
      </c>
      <c r="F9775" s="45" t="s">
        <v>23829</v>
      </c>
      <c r="G9775" s="59" t="s">
        <v>23821</v>
      </c>
      <c r="H9775" s="198">
        <v>1840</v>
      </c>
      <c r="I9775" s="47">
        <v>45296</v>
      </c>
      <c r="J9775" s="73" t="s">
        <v>23822</v>
      </c>
      <c r="K9775" s="45"/>
      <c r="O9775" s="45" t="s">
        <v>23683</v>
      </c>
      <c r="P9775" s="45" t="s">
        <v>65</v>
      </c>
      <c r="Q9775" s="48" t="s">
        <v>113</v>
      </c>
      <c r="R9775" s="45" t="s">
        <v>272</v>
      </c>
    </row>
    <row r="9776" spans="1:18" ht="69" customHeight="1">
      <c r="B9776" s="231">
        <f t="shared" si="82"/>
        <v>6891</v>
      </c>
      <c r="C9776" s="191" t="s">
        <v>5658</v>
      </c>
      <c r="D9776" s="502" t="s">
        <v>23830</v>
      </c>
      <c r="E9776" s="86" t="s">
        <v>266</v>
      </c>
      <c r="F9776" s="46" t="s">
        <v>23831</v>
      </c>
      <c r="G9776" s="191" t="s">
        <v>23821</v>
      </c>
      <c r="H9776" s="534">
        <v>1140</v>
      </c>
      <c r="I9776" s="56">
        <v>45296</v>
      </c>
      <c r="J9776" s="199" t="s">
        <v>23822</v>
      </c>
      <c r="K9776" s="46"/>
      <c r="O9776" s="46" t="s">
        <v>23683</v>
      </c>
      <c r="P9776" s="46" t="s">
        <v>65</v>
      </c>
      <c r="Q9776" s="52" t="s">
        <v>66</v>
      </c>
      <c r="R9776" s="46" t="s">
        <v>272</v>
      </c>
    </row>
    <row r="9777" spans="1:18" s="98" customFormat="1" ht="69" customHeight="1">
      <c r="A9777" s="169"/>
      <c r="B9777" s="239">
        <f t="shared" si="82"/>
        <v>6892</v>
      </c>
      <c r="C9777" s="59" t="s">
        <v>11618</v>
      </c>
      <c r="D9777" s="489" t="s">
        <v>21669</v>
      </c>
      <c r="E9777" s="676" t="s">
        <v>266</v>
      </c>
      <c r="F9777" s="45" t="s">
        <v>23832</v>
      </c>
      <c r="G9777" s="59" t="s">
        <v>23821</v>
      </c>
      <c r="H9777" s="198">
        <v>1720</v>
      </c>
      <c r="I9777" s="47">
        <v>45296</v>
      </c>
      <c r="J9777" s="73" t="s">
        <v>23822</v>
      </c>
      <c r="K9777" s="45"/>
      <c r="O9777" s="45" t="s">
        <v>23683</v>
      </c>
      <c r="P9777" s="45" t="s">
        <v>65</v>
      </c>
      <c r="Q9777" s="48" t="s">
        <v>122</v>
      </c>
      <c r="R9777" s="45" t="s">
        <v>272</v>
      </c>
    </row>
    <row r="9778" spans="1:18" s="98" customFormat="1" ht="69" customHeight="1">
      <c r="A9778" s="169"/>
      <c r="B9778" s="231">
        <f t="shared" si="82"/>
        <v>6893</v>
      </c>
      <c r="C9778" s="49" t="s">
        <v>2182</v>
      </c>
      <c r="D9778" s="502" t="s">
        <v>23833</v>
      </c>
      <c r="E9778" s="86" t="s">
        <v>266</v>
      </c>
      <c r="F9778" s="46" t="s">
        <v>23834</v>
      </c>
      <c r="G9778" s="191" t="s">
        <v>23821</v>
      </c>
      <c r="H9778" s="534">
        <v>1600</v>
      </c>
      <c r="I9778" s="56">
        <v>45296</v>
      </c>
      <c r="J9778" s="199" t="s">
        <v>23822</v>
      </c>
      <c r="K9778" s="46"/>
      <c r="O9778" s="46" t="s">
        <v>23683</v>
      </c>
      <c r="P9778" s="46" t="s">
        <v>65</v>
      </c>
      <c r="Q9778" s="52" t="s">
        <v>31</v>
      </c>
      <c r="R9778" s="46" t="s">
        <v>272</v>
      </c>
    </row>
    <row r="9779" spans="1:18" s="98" customFormat="1" ht="69" customHeight="1">
      <c r="A9779" s="169"/>
      <c r="B9779" s="231">
        <f t="shared" si="82"/>
        <v>6894</v>
      </c>
      <c r="C9779" s="49" t="s">
        <v>13562</v>
      </c>
      <c r="D9779" s="502" t="s">
        <v>21671</v>
      </c>
      <c r="E9779" s="86" t="s">
        <v>266</v>
      </c>
      <c r="F9779" s="46" t="s">
        <v>23835</v>
      </c>
      <c r="G9779" s="191" t="s">
        <v>23821</v>
      </c>
      <c r="H9779" s="534">
        <v>2000</v>
      </c>
      <c r="I9779" s="56">
        <v>45662</v>
      </c>
      <c r="J9779" s="199" t="s">
        <v>23822</v>
      </c>
      <c r="K9779" s="46"/>
      <c r="O9779" s="46" t="s">
        <v>23683</v>
      </c>
      <c r="P9779" s="46" t="s">
        <v>65</v>
      </c>
      <c r="Q9779" s="52" t="s">
        <v>88</v>
      </c>
      <c r="R9779" s="46" t="s">
        <v>272</v>
      </c>
    </row>
    <row r="9780" spans="1:18" ht="69" customHeight="1">
      <c r="B9780" s="79">
        <f t="shared" si="82"/>
        <v>6895</v>
      </c>
      <c r="C9780" s="722" t="s">
        <v>11933</v>
      </c>
      <c r="D9780" s="551" t="s">
        <v>21673</v>
      </c>
      <c r="E9780" s="680" t="s">
        <v>266</v>
      </c>
      <c r="F9780" s="723" t="s">
        <v>23836</v>
      </c>
      <c r="G9780" s="720" t="s">
        <v>23837</v>
      </c>
      <c r="H9780" s="552">
        <v>15517.06</v>
      </c>
      <c r="I9780" s="66">
        <v>45651</v>
      </c>
      <c r="J9780" s="65" t="s">
        <v>23838</v>
      </c>
      <c r="K9780" s="58"/>
      <c r="O9780" s="45" t="s">
        <v>23740</v>
      </c>
      <c r="P9780" s="45" t="s">
        <v>65</v>
      </c>
      <c r="Q9780" s="48" t="s">
        <v>123</v>
      </c>
      <c r="R9780" s="45" t="s">
        <v>272</v>
      </c>
    </row>
    <row r="9781" spans="1:18" ht="69" customHeight="1">
      <c r="B9781" s="79">
        <f t="shared" si="82"/>
        <v>6896</v>
      </c>
      <c r="C9781" s="178" t="s">
        <v>11618</v>
      </c>
      <c r="D9781" s="498" t="s">
        <v>23839</v>
      </c>
      <c r="E9781" s="58" t="s">
        <v>15436</v>
      </c>
      <c r="F9781" s="58" t="s">
        <v>23840</v>
      </c>
      <c r="G9781" s="58" t="s">
        <v>23584</v>
      </c>
      <c r="H9781" s="546">
        <v>12968.1</v>
      </c>
      <c r="I9781" s="126">
        <v>45631</v>
      </c>
      <c r="J9781" s="65" t="s">
        <v>23841</v>
      </c>
      <c r="K9781" s="67"/>
      <c r="O9781" s="45" t="s">
        <v>15440</v>
      </c>
      <c r="P9781" s="45" t="s">
        <v>55</v>
      </c>
      <c r="Q9781" s="48" t="s">
        <v>122</v>
      </c>
      <c r="R9781" s="45" t="s">
        <v>272</v>
      </c>
    </row>
    <row r="9782" spans="1:18" ht="69" customHeight="1">
      <c r="B9782" s="79">
        <f t="shared" si="82"/>
        <v>6897</v>
      </c>
      <c r="C9782" s="178" t="s">
        <v>9596</v>
      </c>
      <c r="D9782" s="498" t="s">
        <v>12995</v>
      </c>
      <c r="E9782" s="58" t="s">
        <v>15436</v>
      </c>
      <c r="F9782" s="58" t="s">
        <v>23842</v>
      </c>
      <c r="G9782" s="58" t="s">
        <v>23584</v>
      </c>
      <c r="H9782" s="546">
        <v>13271.08</v>
      </c>
      <c r="I9782" s="126">
        <v>45631</v>
      </c>
      <c r="J9782" s="65" t="s">
        <v>23841</v>
      </c>
      <c r="K9782" s="67"/>
      <c r="O9782" s="45" t="s">
        <v>15440</v>
      </c>
      <c r="P9782" s="45" t="s">
        <v>55</v>
      </c>
      <c r="Q9782" s="48" t="s">
        <v>118</v>
      </c>
      <c r="R9782" s="45" t="s">
        <v>272</v>
      </c>
    </row>
    <row r="9783" spans="1:18" ht="69" customHeight="1">
      <c r="B9783" s="79">
        <f t="shared" si="82"/>
        <v>6898</v>
      </c>
      <c r="C9783" s="178" t="s">
        <v>6888</v>
      </c>
      <c r="D9783" s="498" t="s">
        <v>23843</v>
      </c>
      <c r="E9783" s="58" t="s">
        <v>15436</v>
      </c>
      <c r="F9783" s="58" t="s">
        <v>23844</v>
      </c>
      <c r="G9783" s="58" t="s">
        <v>23584</v>
      </c>
      <c r="H9783" s="546">
        <v>10413.73</v>
      </c>
      <c r="I9783" s="126">
        <v>45631</v>
      </c>
      <c r="J9783" s="65" t="s">
        <v>23841</v>
      </c>
      <c r="K9783" s="67"/>
      <c r="O9783" s="45" t="s">
        <v>15440</v>
      </c>
      <c r="P9783" s="45" t="s">
        <v>55</v>
      </c>
      <c r="Q9783" s="48" t="s">
        <v>84</v>
      </c>
      <c r="R9783" s="45" t="s">
        <v>272</v>
      </c>
    </row>
    <row r="9784" spans="1:18" ht="69" customHeight="1">
      <c r="B9784" s="79">
        <f t="shared" si="82"/>
        <v>6899</v>
      </c>
      <c r="C9784" s="59" t="s">
        <v>9004</v>
      </c>
      <c r="D9784" s="498" t="s">
        <v>12998</v>
      </c>
      <c r="E9784" s="58" t="s">
        <v>15436</v>
      </c>
      <c r="F9784" s="58" t="s">
        <v>23845</v>
      </c>
      <c r="G9784" s="58" t="s">
        <v>23584</v>
      </c>
      <c r="H9784" s="546">
        <v>15026.08</v>
      </c>
      <c r="I9784" s="126">
        <v>45631</v>
      </c>
      <c r="J9784" s="65" t="s">
        <v>23841</v>
      </c>
      <c r="K9784" s="67"/>
      <c r="O9784" s="45" t="s">
        <v>15440</v>
      </c>
      <c r="P9784" s="45" t="s">
        <v>55</v>
      </c>
      <c r="Q9784" s="48" t="s">
        <v>111</v>
      </c>
      <c r="R9784" s="45" t="s">
        <v>272</v>
      </c>
    </row>
    <row r="9785" spans="1:18" ht="69" customHeight="1">
      <c r="B9785" s="239">
        <f t="shared" si="82"/>
        <v>6900</v>
      </c>
      <c r="C9785" s="59" t="s">
        <v>11618</v>
      </c>
      <c r="D9785" s="675" t="s">
        <v>23846</v>
      </c>
      <c r="E9785" s="45" t="s">
        <v>22151</v>
      </c>
      <c r="F9785" s="45" t="s">
        <v>23847</v>
      </c>
      <c r="G9785" s="59" t="s">
        <v>23848</v>
      </c>
      <c r="H9785" s="679">
        <v>39955.760000000002</v>
      </c>
      <c r="I9785" s="47">
        <v>45672</v>
      </c>
      <c r="J9785" s="73" t="s">
        <v>23849</v>
      </c>
      <c r="K9785" s="45"/>
      <c r="O9785" s="45" t="s">
        <v>8228</v>
      </c>
      <c r="P9785" s="45" t="s">
        <v>65</v>
      </c>
      <c r="Q9785" s="48" t="s">
        <v>122</v>
      </c>
      <c r="R9785" s="45" t="s">
        <v>272</v>
      </c>
    </row>
    <row r="9786" spans="1:18" ht="69" customHeight="1">
      <c r="B9786" s="239">
        <v>6900</v>
      </c>
      <c r="C9786" s="59" t="s">
        <v>11618</v>
      </c>
      <c r="D9786" s="675" t="s">
        <v>23850</v>
      </c>
      <c r="E9786" s="45" t="s">
        <v>22151</v>
      </c>
      <c r="F9786" s="45" t="s">
        <v>23851</v>
      </c>
      <c r="G9786" s="59" t="s">
        <v>23848</v>
      </c>
      <c r="H9786" s="679">
        <v>9988.94</v>
      </c>
      <c r="I9786" s="47">
        <v>45672</v>
      </c>
      <c r="J9786" s="73" t="s">
        <v>23849</v>
      </c>
      <c r="K9786" s="45"/>
      <c r="O9786" s="45" t="s">
        <v>8228</v>
      </c>
      <c r="P9786" s="45" t="s">
        <v>65</v>
      </c>
      <c r="Q9786" s="48" t="s">
        <v>122</v>
      </c>
      <c r="R9786" s="45" t="s">
        <v>272</v>
      </c>
    </row>
    <row r="9787" spans="1:18" ht="69" customHeight="1">
      <c r="B9787" s="239">
        <f>B9785+1</f>
        <v>6901</v>
      </c>
      <c r="C9787" s="59" t="s">
        <v>9215</v>
      </c>
      <c r="D9787" s="489" t="s">
        <v>23852</v>
      </c>
      <c r="E9787" s="45" t="s">
        <v>22151</v>
      </c>
      <c r="F9787" s="45" t="s">
        <v>23853</v>
      </c>
      <c r="G9787" s="59" t="s">
        <v>23854</v>
      </c>
      <c r="H9787" s="198">
        <v>39900</v>
      </c>
      <c r="I9787" s="47">
        <v>45672</v>
      </c>
      <c r="J9787" s="73" t="s">
        <v>23855</v>
      </c>
      <c r="K9787" s="45"/>
      <c r="O9787" s="45" t="s">
        <v>8228</v>
      </c>
      <c r="P9787" s="45" t="s">
        <v>65</v>
      </c>
      <c r="Q9787" s="48" t="s">
        <v>113</v>
      </c>
      <c r="R9787" s="45" t="s">
        <v>272</v>
      </c>
    </row>
    <row r="9788" spans="1:18" ht="69" customHeight="1">
      <c r="B9788" s="239">
        <v>6901</v>
      </c>
      <c r="C9788" s="59" t="s">
        <v>9215</v>
      </c>
      <c r="D9788" s="489" t="s">
        <v>23856</v>
      </c>
      <c r="E9788" s="45" t="s">
        <v>22151</v>
      </c>
      <c r="F9788" s="45" t="s">
        <v>23857</v>
      </c>
      <c r="G9788" s="59" t="s">
        <v>23858</v>
      </c>
      <c r="H9788" s="198">
        <v>9975</v>
      </c>
      <c r="I9788" s="47">
        <v>45672</v>
      </c>
      <c r="J9788" s="73" t="s">
        <v>23855</v>
      </c>
      <c r="K9788" s="45"/>
      <c r="O9788" s="45" t="s">
        <v>8228</v>
      </c>
      <c r="P9788" s="45" t="s">
        <v>65</v>
      </c>
      <c r="Q9788" s="48" t="s">
        <v>113</v>
      </c>
      <c r="R9788" s="45" t="s">
        <v>272</v>
      </c>
    </row>
    <row r="9789" spans="1:18" s="98" customFormat="1" ht="69" customHeight="1">
      <c r="A9789" s="169"/>
      <c r="B9789" s="239">
        <f>B9787+1</f>
        <v>6902</v>
      </c>
      <c r="C9789" s="59" t="s">
        <v>11933</v>
      </c>
      <c r="D9789" s="489" t="s">
        <v>23859</v>
      </c>
      <c r="E9789" s="676" t="s">
        <v>266</v>
      </c>
      <c r="F9789" s="677" t="s">
        <v>23860</v>
      </c>
      <c r="G9789" s="678" t="s">
        <v>23861</v>
      </c>
      <c r="H9789" s="198">
        <v>2900</v>
      </c>
      <c r="I9789" s="47">
        <v>45641</v>
      </c>
      <c r="J9789" s="73" t="s">
        <v>23862</v>
      </c>
      <c r="K9789" s="45"/>
      <c r="O9789" s="45" t="s">
        <v>23812</v>
      </c>
      <c r="P9789" s="45" t="s">
        <v>65</v>
      </c>
      <c r="Q9789" s="48" t="s">
        <v>123</v>
      </c>
      <c r="R9789" s="45" t="s">
        <v>272</v>
      </c>
    </row>
    <row r="9790" spans="1:18" ht="69" customHeight="1">
      <c r="B9790" s="79">
        <f>B9789+1</f>
        <v>6903</v>
      </c>
      <c r="C9790" s="178" t="s">
        <v>458</v>
      </c>
      <c r="D9790" s="498" t="s">
        <v>23863</v>
      </c>
      <c r="E9790" s="680" t="s">
        <v>266</v>
      </c>
      <c r="F9790" s="681" t="s">
        <v>23864</v>
      </c>
      <c r="G9790" s="682" t="s">
        <v>23389</v>
      </c>
      <c r="H9790" s="546">
        <v>6141.17</v>
      </c>
      <c r="I9790" s="126">
        <v>45631</v>
      </c>
      <c r="J9790" s="65" t="s">
        <v>23865</v>
      </c>
      <c r="K9790" s="67"/>
      <c r="O9790" s="681" t="s">
        <v>12529</v>
      </c>
      <c r="P9790" s="681" t="s">
        <v>67</v>
      </c>
      <c r="Q9790" s="683" t="s">
        <v>96</v>
      </c>
      <c r="R9790" s="681" t="s">
        <v>272</v>
      </c>
    </row>
    <row r="9791" spans="1:18" ht="69" customHeight="1">
      <c r="B9791" s="79">
        <f t="shared" si="82"/>
        <v>6904</v>
      </c>
      <c r="C9791" s="178" t="s">
        <v>458</v>
      </c>
      <c r="D9791" s="498" t="s">
        <v>23866</v>
      </c>
      <c r="E9791" s="680" t="s">
        <v>266</v>
      </c>
      <c r="F9791" s="681" t="s">
        <v>23867</v>
      </c>
      <c r="G9791" s="682" t="s">
        <v>23389</v>
      </c>
      <c r="H9791" s="546">
        <v>6799.61</v>
      </c>
      <c r="I9791" s="126">
        <v>45631</v>
      </c>
      <c r="J9791" s="65" t="s">
        <v>23868</v>
      </c>
      <c r="K9791" s="67"/>
      <c r="O9791" s="681" t="s">
        <v>12529</v>
      </c>
      <c r="P9791" s="45" t="s">
        <v>67</v>
      </c>
      <c r="Q9791" s="683" t="s">
        <v>96</v>
      </c>
      <c r="R9791" s="45" t="s">
        <v>272</v>
      </c>
    </row>
    <row r="9792" spans="1:18" ht="69" customHeight="1">
      <c r="B9792" s="79">
        <f t="shared" si="82"/>
        <v>6905</v>
      </c>
      <c r="C9792" s="178" t="s">
        <v>581</v>
      </c>
      <c r="D9792" s="498" t="s">
        <v>23869</v>
      </c>
      <c r="E9792" s="676" t="s">
        <v>17893</v>
      </c>
      <c r="F9792" s="58" t="s">
        <v>23870</v>
      </c>
      <c r="G9792" s="63" t="s">
        <v>23871</v>
      </c>
      <c r="H9792" s="546">
        <v>200000</v>
      </c>
      <c r="I9792" s="126">
        <v>45631</v>
      </c>
      <c r="J9792" s="65" t="s">
        <v>23872</v>
      </c>
      <c r="K9792" s="67" t="s">
        <v>22203</v>
      </c>
      <c r="O9792" s="45" t="s">
        <v>156</v>
      </c>
      <c r="P9792" s="58" t="s">
        <v>65</v>
      </c>
      <c r="Q9792" s="48" t="s">
        <v>18</v>
      </c>
      <c r="R9792" s="45" t="s">
        <v>272</v>
      </c>
    </row>
    <row r="9793" spans="2:18" ht="69" customHeight="1">
      <c r="B9793" s="231">
        <f t="shared" si="82"/>
        <v>6906</v>
      </c>
      <c r="C9793" s="191" t="s">
        <v>11908</v>
      </c>
      <c r="D9793" s="502" t="s">
        <v>23873</v>
      </c>
      <c r="E9793" s="86" t="s">
        <v>20334</v>
      </c>
      <c r="F9793" s="46" t="s">
        <v>23874</v>
      </c>
      <c r="G9793" s="46" t="s">
        <v>23875</v>
      </c>
      <c r="H9793" s="534">
        <v>1459</v>
      </c>
      <c r="I9793" s="56">
        <v>45631</v>
      </c>
      <c r="J9793" s="199" t="s">
        <v>23876</v>
      </c>
      <c r="K9793" s="46"/>
      <c r="O9793" s="46" t="s">
        <v>150</v>
      </c>
      <c r="P9793" s="46" t="s">
        <v>65</v>
      </c>
      <c r="Q9793" s="52" t="s">
        <v>103</v>
      </c>
      <c r="R9793" s="46" t="s">
        <v>272</v>
      </c>
    </row>
    <row r="9794" spans="2:18" ht="69" customHeight="1">
      <c r="B9794" s="231">
        <f t="shared" si="82"/>
        <v>6907</v>
      </c>
      <c r="C9794" s="49" t="s">
        <v>450</v>
      </c>
      <c r="D9794" s="502" t="s">
        <v>23877</v>
      </c>
      <c r="E9794" s="86" t="s">
        <v>17893</v>
      </c>
      <c r="F9794" s="46" t="s">
        <v>23878</v>
      </c>
      <c r="G9794" s="46" t="s">
        <v>23879</v>
      </c>
      <c r="H9794" s="534">
        <v>109500</v>
      </c>
      <c r="I9794" s="56">
        <v>45631</v>
      </c>
      <c r="J9794" s="199" t="s">
        <v>23880</v>
      </c>
      <c r="K9794" s="46"/>
      <c r="O9794" s="46" t="s">
        <v>156</v>
      </c>
      <c r="P9794" s="46" t="s">
        <v>65</v>
      </c>
      <c r="Q9794" s="52" t="s">
        <v>13</v>
      </c>
      <c r="R9794" s="46" t="s">
        <v>272</v>
      </c>
    </row>
    <row r="9795" spans="2:18" ht="69" customHeight="1">
      <c r="B9795" s="231">
        <f t="shared" si="82"/>
        <v>6908</v>
      </c>
      <c r="C9795" s="191" t="s">
        <v>7189</v>
      </c>
      <c r="D9795" s="502" t="s">
        <v>13000</v>
      </c>
      <c r="E9795" s="86" t="s">
        <v>266</v>
      </c>
      <c r="F9795" s="87" t="s">
        <v>23881</v>
      </c>
      <c r="G9795" s="283" t="s">
        <v>23882</v>
      </c>
      <c r="H9795" s="534">
        <v>249</v>
      </c>
      <c r="I9795" s="56">
        <v>45641</v>
      </c>
      <c r="J9795" s="199" t="s">
        <v>23883</v>
      </c>
      <c r="K9795" s="46"/>
      <c r="O9795" s="46" t="s">
        <v>22530</v>
      </c>
      <c r="P9795" s="46" t="s">
        <v>65</v>
      </c>
      <c r="Q9795" s="52" t="s">
        <v>97</v>
      </c>
      <c r="R9795" s="46" t="s">
        <v>272</v>
      </c>
    </row>
    <row r="9796" spans="2:18" ht="69" customHeight="1">
      <c r="B9796" s="231">
        <f t="shared" si="82"/>
        <v>6909</v>
      </c>
      <c r="C9796" s="191" t="s">
        <v>11908</v>
      </c>
      <c r="D9796" s="502" t="s">
        <v>23884</v>
      </c>
      <c r="E9796" s="86" t="s">
        <v>266</v>
      </c>
      <c r="F9796" s="87" t="s">
        <v>23885</v>
      </c>
      <c r="G9796" s="283" t="s">
        <v>23882</v>
      </c>
      <c r="H9796" s="534">
        <v>249</v>
      </c>
      <c r="I9796" s="56">
        <v>45641</v>
      </c>
      <c r="J9796" s="199" t="s">
        <v>23886</v>
      </c>
      <c r="K9796" s="46"/>
      <c r="O9796" s="46" t="s">
        <v>22530</v>
      </c>
      <c r="P9796" s="46" t="s">
        <v>65</v>
      </c>
      <c r="Q9796" s="52" t="s">
        <v>103</v>
      </c>
      <c r="R9796" s="46" t="s">
        <v>272</v>
      </c>
    </row>
    <row r="9797" spans="2:18" ht="69" customHeight="1">
      <c r="B9797" s="239">
        <f t="shared" si="82"/>
        <v>6910</v>
      </c>
      <c r="C9797" s="59" t="s">
        <v>11933</v>
      </c>
      <c r="D9797" s="489" t="s">
        <v>23887</v>
      </c>
      <c r="E9797" s="676" t="s">
        <v>266</v>
      </c>
      <c r="F9797" s="677" t="s">
        <v>23888</v>
      </c>
      <c r="G9797" s="81" t="s">
        <v>23882</v>
      </c>
      <c r="H9797" s="198">
        <v>249</v>
      </c>
      <c r="I9797" s="47">
        <v>45641</v>
      </c>
      <c r="J9797" s="73" t="s">
        <v>23889</v>
      </c>
      <c r="K9797" s="45"/>
      <c r="O9797" s="45" t="s">
        <v>22530</v>
      </c>
      <c r="P9797" s="45" t="s">
        <v>65</v>
      </c>
      <c r="Q9797" s="48" t="s">
        <v>123</v>
      </c>
      <c r="R9797" s="45" t="s">
        <v>272</v>
      </c>
    </row>
    <row r="9798" spans="2:18" ht="69" customHeight="1">
      <c r="B9798" s="239">
        <f t="shared" si="82"/>
        <v>6911</v>
      </c>
      <c r="C9798" s="59" t="s">
        <v>11618</v>
      </c>
      <c r="D9798" s="489" t="s">
        <v>23890</v>
      </c>
      <c r="E9798" s="676" t="s">
        <v>266</v>
      </c>
      <c r="F9798" s="677" t="s">
        <v>23891</v>
      </c>
      <c r="G9798" s="81" t="s">
        <v>23882</v>
      </c>
      <c r="H9798" s="198">
        <v>249</v>
      </c>
      <c r="I9798" s="47">
        <v>45641</v>
      </c>
      <c r="J9798" s="73" t="s">
        <v>23892</v>
      </c>
      <c r="K9798" s="45"/>
      <c r="O9798" s="45" t="s">
        <v>22530</v>
      </c>
      <c r="P9798" s="45" t="s">
        <v>65</v>
      </c>
      <c r="Q9798" s="48" t="s">
        <v>122</v>
      </c>
      <c r="R9798" s="45" t="s">
        <v>272</v>
      </c>
    </row>
    <row r="9799" spans="2:18" ht="69" customHeight="1">
      <c r="B9799" s="79">
        <f t="shared" si="82"/>
        <v>6912</v>
      </c>
      <c r="C9799" s="178" t="s">
        <v>11933</v>
      </c>
      <c r="D9799" s="551" t="s">
        <v>23893</v>
      </c>
      <c r="E9799" s="680" t="s">
        <v>266</v>
      </c>
      <c r="F9799" s="681" t="s">
        <v>23894</v>
      </c>
      <c r="G9799" s="720" t="s">
        <v>23837</v>
      </c>
      <c r="H9799" s="552">
        <v>4197.25</v>
      </c>
      <c r="I9799" s="66">
        <v>45651</v>
      </c>
      <c r="J9799" s="65" t="s">
        <v>23895</v>
      </c>
      <c r="K9799" s="58"/>
      <c r="O9799" s="45" t="s">
        <v>23740</v>
      </c>
      <c r="P9799" s="45" t="s">
        <v>65</v>
      </c>
      <c r="Q9799" s="48" t="s">
        <v>123</v>
      </c>
      <c r="R9799" s="45" t="s">
        <v>272</v>
      </c>
    </row>
    <row r="9800" spans="2:18" ht="69" customHeight="1">
      <c r="B9800" s="872">
        <v>6913</v>
      </c>
      <c r="C9800" s="681" t="s">
        <v>9545</v>
      </c>
      <c r="D9800" s="873" t="s">
        <v>18217</v>
      </c>
      <c r="E9800" s="874" t="s">
        <v>266</v>
      </c>
      <c r="F9800" s="875" t="s">
        <v>23896</v>
      </c>
      <c r="G9800" s="876" t="s">
        <v>17692</v>
      </c>
      <c r="H9800" s="877">
        <v>3721.9</v>
      </c>
      <c r="I9800" s="878">
        <v>45296</v>
      </c>
      <c r="J9800" s="872" t="s">
        <v>17737</v>
      </c>
      <c r="K9800" s="879" t="s">
        <v>23897</v>
      </c>
      <c r="L9800" s="707"/>
      <c r="M9800" s="708"/>
      <c r="N9800" s="708"/>
      <c r="O9800" s="45" t="s">
        <v>15051</v>
      </c>
      <c r="P9800" s="45" t="s">
        <v>44</v>
      </c>
      <c r="Q9800" s="48" t="s">
        <v>117</v>
      </c>
      <c r="R9800" s="709" t="s">
        <v>272</v>
      </c>
    </row>
    <row r="9801" spans="2:18" ht="69" customHeight="1">
      <c r="B9801" s="872">
        <f t="shared" ref="B9801:B9806" si="83">B9800+1</f>
        <v>6914</v>
      </c>
      <c r="C9801" s="788" t="s">
        <v>9215</v>
      </c>
      <c r="D9801" s="873" t="s">
        <v>13246</v>
      </c>
      <c r="E9801" s="874" t="s">
        <v>266</v>
      </c>
      <c r="F9801" s="875" t="s">
        <v>23898</v>
      </c>
      <c r="G9801" s="876" t="s">
        <v>17692</v>
      </c>
      <c r="H9801" s="877">
        <v>3721.9</v>
      </c>
      <c r="I9801" s="878">
        <v>45296</v>
      </c>
      <c r="J9801" s="872" t="s">
        <v>17737</v>
      </c>
      <c r="K9801" s="879" t="s">
        <v>23897</v>
      </c>
      <c r="L9801" s="707"/>
      <c r="M9801" s="708"/>
      <c r="N9801" s="708"/>
      <c r="O9801" s="45" t="s">
        <v>15051</v>
      </c>
      <c r="P9801" s="45" t="s">
        <v>44</v>
      </c>
      <c r="Q9801" s="48" t="s">
        <v>113</v>
      </c>
      <c r="R9801" s="709" t="s">
        <v>272</v>
      </c>
    </row>
    <row r="9802" spans="2:18" ht="69" customHeight="1">
      <c r="B9802" s="872">
        <f t="shared" si="83"/>
        <v>6915</v>
      </c>
      <c r="C9802" s="880" t="s">
        <v>11618</v>
      </c>
      <c r="D9802" s="873" t="s">
        <v>13248</v>
      </c>
      <c r="E9802" s="874" t="s">
        <v>266</v>
      </c>
      <c r="F9802" s="875" t="s">
        <v>23899</v>
      </c>
      <c r="G9802" s="876" t="s">
        <v>17692</v>
      </c>
      <c r="H9802" s="877">
        <v>3721.9</v>
      </c>
      <c r="I9802" s="878">
        <v>45296</v>
      </c>
      <c r="J9802" s="872" t="s">
        <v>17737</v>
      </c>
      <c r="K9802" s="879" t="s">
        <v>23897</v>
      </c>
      <c r="L9802" s="707"/>
      <c r="M9802" s="708"/>
      <c r="N9802" s="708"/>
      <c r="O9802" s="45" t="s">
        <v>15051</v>
      </c>
      <c r="P9802" s="45" t="s">
        <v>44</v>
      </c>
      <c r="Q9802" s="48" t="s">
        <v>122</v>
      </c>
      <c r="R9802" s="709" t="s">
        <v>272</v>
      </c>
    </row>
    <row r="9803" spans="2:18" ht="69" customHeight="1">
      <c r="B9803" s="872">
        <f t="shared" si="83"/>
        <v>6916</v>
      </c>
      <c r="C9803" s="881" t="s">
        <v>9004</v>
      </c>
      <c r="D9803" s="873" t="s">
        <v>3953</v>
      </c>
      <c r="E9803" s="874" t="s">
        <v>266</v>
      </c>
      <c r="F9803" s="875" t="s">
        <v>23900</v>
      </c>
      <c r="G9803" s="876" t="s">
        <v>17692</v>
      </c>
      <c r="H9803" s="877">
        <v>3721.9</v>
      </c>
      <c r="I9803" s="878">
        <v>45296</v>
      </c>
      <c r="J9803" s="872" t="s">
        <v>17737</v>
      </c>
      <c r="K9803" s="879" t="s">
        <v>23897</v>
      </c>
      <c r="L9803" s="707"/>
      <c r="M9803" s="708"/>
      <c r="N9803" s="708"/>
      <c r="O9803" s="45" t="s">
        <v>15051</v>
      </c>
      <c r="P9803" s="45" t="s">
        <v>44</v>
      </c>
      <c r="Q9803" s="48" t="s">
        <v>111</v>
      </c>
      <c r="R9803" s="709" t="s">
        <v>272</v>
      </c>
    </row>
    <row r="9804" spans="2:18" ht="69" customHeight="1">
      <c r="B9804" s="872">
        <v>6917</v>
      </c>
      <c r="C9804" s="882" t="s">
        <v>5658</v>
      </c>
      <c r="D9804" s="873" t="s">
        <v>20505</v>
      </c>
      <c r="E9804" s="874" t="s">
        <v>266</v>
      </c>
      <c r="F9804" s="875" t="s">
        <v>23901</v>
      </c>
      <c r="G9804" s="876" t="s">
        <v>17692</v>
      </c>
      <c r="H9804" s="877">
        <v>4522.7</v>
      </c>
      <c r="I9804" s="878">
        <v>45296</v>
      </c>
      <c r="J9804" s="872" t="s">
        <v>17737</v>
      </c>
      <c r="K9804" s="879" t="s">
        <v>23897</v>
      </c>
      <c r="L9804" s="707"/>
      <c r="M9804" s="708"/>
      <c r="N9804" s="708"/>
      <c r="O9804" s="45" t="s">
        <v>15051</v>
      </c>
      <c r="P9804" s="45" t="s">
        <v>44</v>
      </c>
      <c r="Q9804" s="48" t="s">
        <v>66</v>
      </c>
      <c r="R9804" s="709" t="s">
        <v>272</v>
      </c>
    </row>
    <row r="9805" spans="2:18" ht="69" customHeight="1">
      <c r="B9805" s="872">
        <f t="shared" si="83"/>
        <v>6918</v>
      </c>
      <c r="C9805" s="882" t="s">
        <v>10612</v>
      </c>
      <c r="D9805" s="873" t="s">
        <v>20508</v>
      </c>
      <c r="E9805" s="874" t="s">
        <v>266</v>
      </c>
      <c r="F9805" s="875" t="s">
        <v>23902</v>
      </c>
      <c r="G9805" s="876" t="s">
        <v>17692</v>
      </c>
      <c r="H9805" s="877">
        <v>3721.9</v>
      </c>
      <c r="I9805" s="878">
        <v>45296</v>
      </c>
      <c r="J9805" s="872" t="s">
        <v>17737</v>
      </c>
      <c r="K9805" s="879" t="s">
        <v>23897</v>
      </c>
      <c r="L9805" s="707"/>
      <c r="M9805" s="708"/>
      <c r="N9805" s="708"/>
      <c r="O9805" s="45" t="s">
        <v>15051</v>
      </c>
      <c r="P9805" s="45" t="s">
        <v>44</v>
      </c>
      <c r="Q9805" s="48" t="s">
        <v>86</v>
      </c>
      <c r="R9805" s="709" t="s">
        <v>272</v>
      </c>
    </row>
    <row r="9806" spans="2:18" ht="69" customHeight="1">
      <c r="B9806" s="872">
        <f t="shared" si="83"/>
        <v>6919</v>
      </c>
      <c r="C9806" s="882" t="s">
        <v>10639</v>
      </c>
      <c r="D9806" s="873" t="s">
        <v>23903</v>
      </c>
      <c r="E9806" s="874" t="s">
        <v>266</v>
      </c>
      <c r="F9806" s="875" t="s">
        <v>23904</v>
      </c>
      <c r="G9806" s="876" t="s">
        <v>17692</v>
      </c>
      <c r="H9806" s="877">
        <v>3721.9</v>
      </c>
      <c r="I9806" s="878">
        <v>45296</v>
      </c>
      <c r="J9806" s="872" t="s">
        <v>17737</v>
      </c>
      <c r="K9806" s="879" t="s">
        <v>23897</v>
      </c>
      <c r="L9806" s="707"/>
      <c r="M9806" s="708"/>
      <c r="N9806" s="708"/>
      <c r="O9806" s="45" t="s">
        <v>15051</v>
      </c>
      <c r="P9806" s="45" t="s">
        <v>44</v>
      </c>
      <c r="Q9806" s="48" t="s">
        <v>95</v>
      </c>
      <c r="R9806" s="709" t="s">
        <v>272</v>
      </c>
    </row>
    <row r="9807" spans="2:18" ht="69" customHeight="1">
      <c r="B9807" s="79">
        <f>B9806+1</f>
        <v>6920</v>
      </c>
      <c r="C9807" s="178" t="s">
        <v>13562</v>
      </c>
      <c r="D9807" s="551" t="s">
        <v>21764</v>
      </c>
      <c r="E9807" s="680" t="s">
        <v>266</v>
      </c>
      <c r="F9807" s="681" t="s">
        <v>23905</v>
      </c>
      <c r="G9807" s="721" t="s">
        <v>23906</v>
      </c>
      <c r="H9807" s="552">
        <v>13800</v>
      </c>
      <c r="I9807" s="66">
        <v>45651</v>
      </c>
      <c r="J9807" s="65" t="s">
        <v>23907</v>
      </c>
      <c r="K9807" s="58"/>
      <c r="O9807" s="45" t="s">
        <v>23908</v>
      </c>
      <c r="P9807" s="45" t="s">
        <v>65</v>
      </c>
      <c r="Q9807" s="48" t="s">
        <v>88</v>
      </c>
      <c r="R9807" s="45" t="s">
        <v>272</v>
      </c>
    </row>
    <row r="9808" spans="2:18" ht="69" customHeight="1">
      <c r="B9808" s="79">
        <f t="shared" ref="B9808:B9855" si="84">B9807+1</f>
        <v>6921</v>
      </c>
      <c r="C9808" s="178" t="s">
        <v>581</v>
      </c>
      <c r="D9808" s="498" t="s">
        <v>19688</v>
      </c>
      <c r="E9808" s="58" t="s">
        <v>21476</v>
      </c>
      <c r="F9808" s="58" t="s">
        <v>23909</v>
      </c>
      <c r="G9808" s="58" t="s">
        <v>23910</v>
      </c>
      <c r="H9808" s="546">
        <v>93307.97</v>
      </c>
      <c r="I9808" s="126">
        <v>45641</v>
      </c>
      <c r="J9808" s="242" t="s">
        <v>23911</v>
      </c>
      <c r="K9808" s="67"/>
      <c r="O9808" s="45" t="s">
        <v>156</v>
      </c>
      <c r="P9808" s="45" t="s">
        <v>73</v>
      </c>
      <c r="Q9808" s="48" t="s">
        <v>18</v>
      </c>
      <c r="R9808" s="45" t="s">
        <v>272</v>
      </c>
    </row>
    <row r="9809" spans="1:19" ht="69" customHeight="1">
      <c r="B9809" s="79">
        <f t="shared" si="84"/>
        <v>6922</v>
      </c>
      <c r="C9809" s="674" t="s">
        <v>450</v>
      </c>
      <c r="D9809" s="498" t="s">
        <v>19735</v>
      </c>
      <c r="E9809" s="58" t="s">
        <v>21476</v>
      </c>
      <c r="F9809" s="58" t="s">
        <v>23912</v>
      </c>
      <c r="G9809" s="58" t="s">
        <v>23910</v>
      </c>
      <c r="H9809" s="546">
        <v>1351820.23</v>
      </c>
      <c r="I9809" s="126">
        <v>45641</v>
      </c>
      <c r="J9809" s="242" t="s">
        <v>23911</v>
      </c>
      <c r="K9809" s="67"/>
      <c r="O9809" s="45" t="s">
        <v>156</v>
      </c>
      <c r="P9809" s="45" t="s">
        <v>73</v>
      </c>
      <c r="Q9809" s="48" t="s">
        <v>13</v>
      </c>
      <c r="R9809" s="45" t="s">
        <v>272</v>
      </c>
    </row>
    <row r="9810" spans="1:19" ht="69" customHeight="1">
      <c r="B9810" s="79">
        <f t="shared" si="84"/>
        <v>6923</v>
      </c>
      <c r="C9810" s="178" t="s">
        <v>2182</v>
      </c>
      <c r="D9810" s="551" t="s">
        <v>19742</v>
      </c>
      <c r="E9810" s="178" t="s">
        <v>14895</v>
      </c>
      <c r="F9810" s="58" t="s">
        <v>23913</v>
      </c>
      <c r="G9810" s="58" t="s">
        <v>23914</v>
      </c>
      <c r="H9810" s="552">
        <v>108743.8</v>
      </c>
      <c r="I9810" s="66">
        <v>45651</v>
      </c>
      <c r="J9810" s="65" t="s">
        <v>23915</v>
      </c>
      <c r="K9810" s="58"/>
      <c r="O9810" s="58" t="s">
        <v>192</v>
      </c>
      <c r="P9810" s="58" t="s">
        <v>57</v>
      </c>
      <c r="Q9810" s="62" t="s">
        <v>31</v>
      </c>
      <c r="R9810" s="58" t="s">
        <v>272</v>
      </c>
    </row>
    <row r="9811" spans="1:19" ht="69" customHeight="1">
      <c r="B9811" s="79">
        <f t="shared" si="84"/>
        <v>6924</v>
      </c>
      <c r="C9811" s="178" t="s">
        <v>11058</v>
      </c>
      <c r="D9811" s="551" t="s">
        <v>19397</v>
      </c>
      <c r="E9811" s="178" t="s">
        <v>14895</v>
      </c>
      <c r="F9811" s="58" t="s">
        <v>23916</v>
      </c>
      <c r="G9811" s="63" t="s">
        <v>23917</v>
      </c>
      <c r="H9811" s="552">
        <v>62590</v>
      </c>
      <c r="I9811" s="66">
        <v>45651</v>
      </c>
      <c r="J9811" s="65" t="s">
        <v>23918</v>
      </c>
      <c r="K9811" s="58"/>
      <c r="O9811" s="45" t="s">
        <v>192</v>
      </c>
      <c r="P9811" s="45" t="s">
        <v>57</v>
      </c>
      <c r="Q9811" s="48" t="s">
        <v>23</v>
      </c>
      <c r="R9811" s="45" t="s">
        <v>272</v>
      </c>
    </row>
    <row r="9812" spans="1:19" ht="69" customHeight="1">
      <c r="B9812" s="231">
        <f t="shared" si="84"/>
        <v>6925</v>
      </c>
      <c r="C9812" s="191" t="s">
        <v>1853</v>
      </c>
      <c r="D9812" s="502" t="s">
        <v>19660</v>
      </c>
      <c r="E9812" s="191" t="s">
        <v>14895</v>
      </c>
      <c r="F9812" s="46" t="s">
        <v>23919</v>
      </c>
      <c r="G9812" s="46" t="s">
        <v>23914</v>
      </c>
      <c r="H9812" s="534">
        <v>12567.86</v>
      </c>
      <c r="I9812" s="56">
        <v>45651</v>
      </c>
      <c r="J9812" s="199" t="s">
        <v>23920</v>
      </c>
      <c r="K9812" s="46"/>
      <c r="O9812" s="46" t="s">
        <v>192</v>
      </c>
      <c r="P9812" s="46" t="s">
        <v>65</v>
      </c>
      <c r="Q9812" s="52" t="s">
        <v>29</v>
      </c>
      <c r="R9812" s="46" t="s">
        <v>272</v>
      </c>
    </row>
    <row r="9813" spans="1:19" ht="69" customHeight="1">
      <c r="B9813" s="79">
        <f t="shared" si="84"/>
        <v>6926</v>
      </c>
      <c r="C9813" s="59" t="s">
        <v>10634</v>
      </c>
      <c r="D9813" s="498" t="s">
        <v>23921</v>
      </c>
      <c r="E9813" s="178" t="s">
        <v>23060</v>
      </c>
      <c r="F9813" s="58" t="s">
        <v>23922</v>
      </c>
      <c r="G9813" s="58" t="s">
        <v>23649</v>
      </c>
      <c r="H9813" s="546">
        <v>12000</v>
      </c>
      <c r="I9813" s="126">
        <v>45641</v>
      </c>
      <c r="J9813" s="242" t="s">
        <v>23923</v>
      </c>
      <c r="K9813" s="67"/>
      <c r="O9813" s="62" t="s">
        <v>6918</v>
      </c>
      <c r="P9813" s="45" t="s">
        <v>44</v>
      </c>
      <c r="Q9813" s="48" t="s">
        <v>93</v>
      </c>
      <c r="R9813" s="45" t="s">
        <v>272</v>
      </c>
    </row>
    <row r="9814" spans="1:19" ht="69" customHeight="1">
      <c r="B9814" s="79">
        <f t="shared" si="84"/>
        <v>6927</v>
      </c>
      <c r="C9814" s="59" t="s">
        <v>10639</v>
      </c>
      <c r="D9814" s="498" t="s">
        <v>23924</v>
      </c>
      <c r="E9814" s="178" t="s">
        <v>23060</v>
      </c>
      <c r="F9814" s="58" t="s">
        <v>23925</v>
      </c>
      <c r="G9814" s="58" t="s">
        <v>23649</v>
      </c>
      <c r="H9814" s="546">
        <v>12000</v>
      </c>
      <c r="I9814" s="126">
        <v>45641</v>
      </c>
      <c r="J9814" s="242" t="s">
        <v>23923</v>
      </c>
      <c r="K9814" s="67"/>
      <c r="O9814" s="62" t="s">
        <v>6918</v>
      </c>
      <c r="P9814" s="45" t="s">
        <v>44</v>
      </c>
      <c r="Q9814" s="48" t="s">
        <v>95</v>
      </c>
      <c r="R9814" s="45" t="s">
        <v>272</v>
      </c>
    </row>
    <row r="9815" spans="1:19" s="98" customFormat="1" ht="69" customHeight="1">
      <c r="A9815" s="169"/>
      <c r="B9815" s="239">
        <f t="shared" si="84"/>
        <v>6928</v>
      </c>
      <c r="C9815" s="676" t="s">
        <v>309</v>
      </c>
      <c r="D9815" s="727" t="s">
        <v>19664</v>
      </c>
      <c r="E9815" s="728" t="s">
        <v>266</v>
      </c>
      <c r="F9815" s="729" t="s">
        <v>23926</v>
      </c>
      <c r="G9815" s="677" t="s">
        <v>13201</v>
      </c>
      <c r="H9815" s="730">
        <v>18492.68</v>
      </c>
      <c r="I9815" s="731">
        <v>45651</v>
      </c>
      <c r="J9815" s="73" t="s">
        <v>23927</v>
      </c>
      <c r="K9815" s="677"/>
      <c r="L9815" s="103"/>
      <c r="M9815" s="103"/>
      <c r="N9815" s="103"/>
      <c r="O9815" s="677" t="s">
        <v>15366</v>
      </c>
      <c r="P9815" s="677" t="s">
        <v>67</v>
      </c>
      <c r="Q9815" s="48" t="s">
        <v>15</v>
      </c>
      <c r="R9815" s="45" t="s">
        <v>272</v>
      </c>
    </row>
    <row r="9816" spans="1:19" ht="69" customHeight="1">
      <c r="B9816" s="79">
        <f t="shared" si="84"/>
        <v>6929</v>
      </c>
      <c r="C9816" s="178" t="s">
        <v>458</v>
      </c>
      <c r="D9816" s="498" t="s">
        <v>23928</v>
      </c>
      <c r="E9816" s="680" t="s">
        <v>266</v>
      </c>
      <c r="F9816" s="681" t="s">
        <v>23929</v>
      </c>
      <c r="G9816" s="682" t="s">
        <v>23389</v>
      </c>
      <c r="H9816" s="546">
        <v>481.37</v>
      </c>
      <c r="I9816" s="126">
        <v>45651</v>
      </c>
      <c r="J9816" s="242" t="s">
        <v>23930</v>
      </c>
      <c r="K9816" s="67"/>
      <c r="O9816" s="45" t="s">
        <v>12529</v>
      </c>
      <c r="P9816" s="45" t="s">
        <v>67</v>
      </c>
      <c r="Q9816" s="48" t="s">
        <v>96</v>
      </c>
      <c r="R9816" s="45" t="s">
        <v>272</v>
      </c>
    </row>
    <row r="9817" spans="1:19" ht="69" customHeight="1">
      <c r="B9817" s="231">
        <f t="shared" si="84"/>
        <v>6930</v>
      </c>
      <c r="C9817" s="191" t="s">
        <v>7189</v>
      </c>
      <c r="D9817" s="502" t="s">
        <v>17699</v>
      </c>
      <c r="E9817" s="86" t="s">
        <v>20334</v>
      </c>
      <c r="F9817" s="46" t="s">
        <v>23931</v>
      </c>
      <c r="G9817" s="46" t="s">
        <v>23932</v>
      </c>
      <c r="H9817" s="534">
        <v>1459</v>
      </c>
      <c r="I9817" s="56">
        <v>45651</v>
      </c>
      <c r="J9817" s="199" t="s">
        <v>23933</v>
      </c>
      <c r="K9817" s="46"/>
      <c r="L9817" s="99"/>
      <c r="O9817" s="46" t="s">
        <v>17289</v>
      </c>
      <c r="P9817" s="46" t="s">
        <v>65</v>
      </c>
      <c r="Q9817" s="52" t="s">
        <v>97</v>
      </c>
      <c r="R9817" s="46" t="s">
        <v>272</v>
      </c>
    </row>
    <row r="9818" spans="1:19" ht="69" customHeight="1">
      <c r="B9818" s="231">
        <f t="shared" si="84"/>
        <v>6931</v>
      </c>
      <c r="C9818" s="191" t="s">
        <v>11568</v>
      </c>
      <c r="D9818" s="502" t="s">
        <v>21767</v>
      </c>
      <c r="E9818" s="86" t="s">
        <v>23934</v>
      </c>
      <c r="F9818" s="87" t="s">
        <v>23935</v>
      </c>
      <c r="G9818" s="283" t="s">
        <v>23936</v>
      </c>
      <c r="H9818" s="534">
        <v>957.9</v>
      </c>
      <c r="I9818" s="56">
        <v>45651</v>
      </c>
      <c r="J9818" s="199" t="s">
        <v>23937</v>
      </c>
      <c r="K9818" s="46"/>
      <c r="L9818" s="99"/>
      <c r="O9818" s="46" t="s">
        <v>2091</v>
      </c>
      <c r="P9818" s="46" t="s">
        <v>65</v>
      </c>
      <c r="Q9818" s="52" t="s">
        <v>107</v>
      </c>
      <c r="R9818" s="281" t="s">
        <v>272</v>
      </c>
    </row>
    <row r="9819" spans="1:19" ht="69" customHeight="1">
      <c r="B9819" s="239">
        <f t="shared" si="84"/>
        <v>6932</v>
      </c>
      <c r="C9819" s="674" t="s">
        <v>11933</v>
      </c>
      <c r="D9819" s="489" t="s">
        <v>21749</v>
      </c>
      <c r="E9819" s="676" t="s">
        <v>266</v>
      </c>
      <c r="F9819" s="677" t="s">
        <v>23938</v>
      </c>
      <c r="G9819" s="678" t="s">
        <v>23814</v>
      </c>
      <c r="H9819" s="198">
        <v>1000</v>
      </c>
      <c r="I9819" s="66">
        <v>45641</v>
      </c>
      <c r="J9819" s="73" t="s">
        <v>23939</v>
      </c>
      <c r="K9819" s="58"/>
      <c r="O9819" s="45" t="s">
        <v>23815</v>
      </c>
      <c r="P9819" s="45" t="s">
        <v>65</v>
      </c>
      <c r="Q9819" s="73" t="s">
        <v>123</v>
      </c>
      <c r="R9819" s="45" t="s">
        <v>272</v>
      </c>
    </row>
    <row r="9820" spans="1:19" ht="69" customHeight="1">
      <c r="B9820" s="79">
        <f t="shared" si="84"/>
        <v>6933</v>
      </c>
      <c r="C9820" s="178" t="s">
        <v>458</v>
      </c>
      <c r="D9820" s="726" t="s">
        <v>23940</v>
      </c>
      <c r="E9820" s="680" t="s">
        <v>266</v>
      </c>
      <c r="F9820" s="681" t="s">
        <v>23941</v>
      </c>
      <c r="G9820" s="720" t="s">
        <v>23837</v>
      </c>
      <c r="H9820" s="552">
        <v>20190</v>
      </c>
      <c r="I9820" s="66">
        <v>45651</v>
      </c>
      <c r="J9820" s="66" t="s">
        <v>23942</v>
      </c>
      <c r="K9820" s="63"/>
      <c r="L9820" s="45"/>
      <c r="M9820" s="98"/>
      <c r="N9820" s="98"/>
      <c r="O9820" s="724" t="s">
        <v>23412</v>
      </c>
      <c r="P9820" s="45" t="s">
        <v>65</v>
      </c>
      <c r="Q9820" s="73" t="s">
        <v>123</v>
      </c>
      <c r="R9820" s="45" t="s">
        <v>272</v>
      </c>
      <c r="S9820" s="408"/>
    </row>
    <row r="9821" spans="1:19" ht="69" customHeight="1">
      <c r="A9821" s="169"/>
      <c r="B9821" s="253">
        <f t="shared" si="84"/>
        <v>6934</v>
      </c>
      <c r="C9821" s="118" t="s">
        <v>13435</v>
      </c>
      <c r="D9821" s="514" t="s">
        <v>23943</v>
      </c>
      <c r="E9821" s="118" t="s">
        <v>266</v>
      </c>
      <c r="F9821" s="118" t="s">
        <v>23944</v>
      </c>
      <c r="G9821" s="118" t="s">
        <v>23305</v>
      </c>
      <c r="H9821" s="280"/>
      <c r="I9821" s="262">
        <v>45651</v>
      </c>
      <c r="J9821" s="262" t="s">
        <v>23945</v>
      </c>
      <c r="K9821" s="160" t="s">
        <v>23946</v>
      </c>
      <c r="M9821" s="98"/>
      <c r="N9821" s="98"/>
      <c r="O9821" s="160" t="s">
        <v>1171</v>
      </c>
      <c r="P9821" s="160" t="s">
        <v>67</v>
      </c>
      <c r="Q9821" s="259" t="s">
        <v>13</v>
      </c>
      <c r="R9821" s="160" t="s">
        <v>272</v>
      </c>
    </row>
    <row r="9822" spans="1:19" ht="69" customHeight="1">
      <c r="A9822" s="169"/>
      <c r="B9822" s="239">
        <v>6946</v>
      </c>
      <c r="C9822" s="45" t="s">
        <v>13435</v>
      </c>
      <c r="D9822" s="489" t="s">
        <v>22543</v>
      </c>
      <c r="E9822" s="45" t="s">
        <v>266</v>
      </c>
      <c r="F9822" s="45" t="s">
        <v>23947</v>
      </c>
      <c r="G9822" s="45" t="s">
        <v>23305</v>
      </c>
      <c r="H9822" s="198">
        <v>21000</v>
      </c>
      <c r="I9822" s="47">
        <v>45651</v>
      </c>
      <c r="J9822" s="47" t="s">
        <v>23945</v>
      </c>
      <c r="K9822" s="45"/>
      <c r="M9822" s="98"/>
      <c r="N9822" s="98"/>
      <c r="O9822" s="45" t="s">
        <v>1171</v>
      </c>
      <c r="P9822" s="45" t="s">
        <v>71</v>
      </c>
      <c r="Q9822" s="48" t="s">
        <v>13</v>
      </c>
      <c r="R9822" s="45" t="s">
        <v>272</v>
      </c>
    </row>
    <row r="9823" spans="1:19" ht="69" customHeight="1">
      <c r="B9823" s="79">
        <f t="shared" si="84"/>
        <v>6947</v>
      </c>
      <c r="C9823" s="725" t="s">
        <v>5658</v>
      </c>
      <c r="D9823" s="498" t="s">
        <v>23948</v>
      </c>
      <c r="E9823" s="45" t="s">
        <v>266</v>
      </c>
      <c r="F9823" s="45" t="s">
        <v>23949</v>
      </c>
      <c r="G9823" s="45" t="s">
        <v>23950</v>
      </c>
      <c r="H9823" s="546">
        <v>22211.07</v>
      </c>
      <c r="I9823" s="47">
        <v>45651</v>
      </c>
      <c r="J9823" s="47" t="s">
        <v>23951</v>
      </c>
      <c r="K9823" s="67"/>
      <c r="O9823" s="45" t="s">
        <v>1171</v>
      </c>
      <c r="P9823" s="45" t="s">
        <v>71</v>
      </c>
      <c r="Q9823" s="48" t="s">
        <v>66</v>
      </c>
      <c r="R9823" s="45" t="s">
        <v>272</v>
      </c>
    </row>
    <row r="9824" spans="1:19" ht="69" customHeight="1">
      <c r="B9824" s="79">
        <f t="shared" si="84"/>
        <v>6948</v>
      </c>
      <c r="C9824" s="178" t="s">
        <v>657</v>
      </c>
      <c r="D9824" s="498" t="s">
        <v>13127</v>
      </c>
      <c r="E9824" s="45" t="s">
        <v>266</v>
      </c>
      <c r="F9824" s="45" t="s">
        <v>23952</v>
      </c>
      <c r="G9824" s="45" t="s">
        <v>23950</v>
      </c>
      <c r="H9824" s="546">
        <v>22212.39</v>
      </c>
      <c r="I9824" s="47">
        <v>45651</v>
      </c>
      <c r="J9824" s="47" t="s">
        <v>23951</v>
      </c>
      <c r="K9824" s="67"/>
      <c r="O9824" s="45" t="s">
        <v>1171</v>
      </c>
      <c r="P9824" s="45" t="s">
        <v>71</v>
      </c>
      <c r="Q9824" s="48" t="s">
        <v>20</v>
      </c>
      <c r="R9824" s="45" t="s">
        <v>272</v>
      </c>
    </row>
    <row r="9825" spans="1:18" s="98" customFormat="1" ht="69" customHeight="1">
      <c r="A9825" s="169"/>
      <c r="B9825" s="238">
        <f t="shared" si="84"/>
        <v>6949</v>
      </c>
      <c r="C9825" s="763" t="s">
        <v>11618</v>
      </c>
      <c r="D9825" s="764" t="s">
        <v>23953</v>
      </c>
      <c r="E9825" s="171" t="s">
        <v>266</v>
      </c>
      <c r="F9825" s="100" t="s">
        <v>23954</v>
      </c>
      <c r="G9825" s="100" t="s">
        <v>23955</v>
      </c>
      <c r="H9825" s="542">
        <v>8000</v>
      </c>
      <c r="I9825" s="96">
        <v>45296</v>
      </c>
      <c r="J9825" s="268" t="s">
        <v>23956</v>
      </c>
      <c r="K9825" s="87" t="s">
        <v>23957</v>
      </c>
      <c r="O9825" s="100" t="s">
        <v>22941</v>
      </c>
      <c r="P9825" s="100" t="s">
        <v>67</v>
      </c>
      <c r="Q9825" s="172" t="s">
        <v>122</v>
      </c>
      <c r="R9825" s="100" t="s">
        <v>272</v>
      </c>
    </row>
    <row r="9826" spans="1:18" ht="69" customHeight="1">
      <c r="B9826" s="79">
        <f t="shared" si="84"/>
        <v>6950</v>
      </c>
      <c r="C9826" s="178" t="s">
        <v>11933</v>
      </c>
      <c r="D9826" s="551" t="s">
        <v>23958</v>
      </c>
      <c r="E9826" s="178" t="s">
        <v>266</v>
      </c>
      <c r="F9826" s="729" t="s">
        <v>23959</v>
      </c>
      <c r="G9826" s="58" t="s">
        <v>23960</v>
      </c>
      <c r="H9826" s="552">
        <v>14093.64</v>
      </c>
      <c r="I9826" s="66">
        <v>45651</v>
      </c>
      <c r="J9826" s="65" t="s">
        <v>23961</v>
      </c>
      <c r="K9826" s="58"/>
      <c r="O9826" s="45" t="s">
        <v>22941</v>
      </c>
      <c r="P9826" s="45" t="s">
        <v>77</v>
      </c>
      <c r="Q9826" s="48" t="s">
        <v>123</v>
      </c>
      <c r="R9826" s="45" t="s">
        <v>272</v>
      </c>
    </row>
    <row r="9827" spans="1:18" ht="69" customHeight="1">
      <c r="B9827" s="79">
        <f t="shared" si="84"/>
        <v>6951</v>
      </c>
      <c r="C9827" s="681" t="s">
        <v>11618</v>
      </c>
      <c r="D9827" s="551" t="s">
        <v>21790</v>
      </c>
      <c r="E9827" s="178" t="s">
        <v>266</v>
      </c>
      <c r="F9827" s="723" t="s">
        <v>23962</v>
      </c>
      <c r="G9827" s="58" t="s">
        <v>23960</v>
      </c>
      <c r="H9827" s="552">
        <v>16417.87</v>
      </c>
      <c r="I9827" s="66">
        <v>45651</v>
      </c>
      <c r="J9827" s="65" t="s">
        <v>23963</v>
      </c>
      <c r="K9827" s="58"/>
      <c r="O9827" s="45" t="s">
        <v>22941</v>
      </c>
      <c r="P9827" s="45" t="s">
        <v>77</v>
      </c>
      <c r="Q9827" s="48" t="s">
        <v>122</v>
      </c>
      <c r="R9827" s="45" t="s">
        <v>272</v>
      </c>
    </row>
    <row r="9828" spans="1:18" ht="69" customHeight="1">
      <c r="B9828" s="79">
        <f t="shared" si="84"/>
        <v>6952</v>
      </c>
      <c r="C9828" s="178" t="s">
        <v>5558</v>
      </c>
      <c r="D9828" s="498" t="s">
        <v>23964</v>
      </c>
      <c r="E9828" s="58" t="s">
        <v>15436</v>
      </c>
      <c r="F9828" s="58" t="s">
        <v>23965</v>
      </c>
      <c r="G9828" s="58" t="s">
        <v>23966</v>
      </c>
      <c r="H9828" s="546">
        <v>3698.89</v>
      </c>
      <c r="I9828" s="126">
        <v>45651</v>
      </c>
      <c r="J9828" s="242" t="s">
        <v>23967</v>
      </c>
      <c r="K9828" s="67"/>
      <c r="O9828" s="45" t="s">
        <v>16399</v>
      </c>
      <c r="P9828" s="45" t="s">
        <v>55</v>
      </c>
      <c r="Q9828" s="48" t="s">
        <v>64</v>
      </c>
      <c r="R9828" s="45" t="s">
        <v>272</v>
      </c>
    </row>
    <row r="9829" spans="1:18" ht="69" customHeight="1">
      <c r="B9829" s="79">
        <f t="shared" si="84"/>
        <v>6953</v>
      </c>
      <c r="C9829" s="178" t="s">
        <v>10947</v>
      </c>
      <c r="D9829" s="498" t="s">
        <v>21793</v>
      </c>
      <c r="E9829" s="45" t="s">
        <v>17212</v>
      </c>
      <c r="F9829" s="58" t="s">
        <v>23968</v>
      </c>
      <c r="G9829" s="58" t="s">
        <v>23966</v>
      </c>
      <c r="H9829" s="546">
        <v>8140.68</v>
      </c>
      <c r="I9829" s="126">
        <v>45651</v>
      </c>
      <c r="J9829" s="242" t="s">
        <v>23967</v>
      </c>
      <c r="K9829" s="67"/>
      <c r="O9829" s="45" t="s">
        <v>16399</v>
      </c>
      <c r="P9829" s="45" t="s">
        <v>55</v>
      </c>
      <c r="Q9829" s="48" t="s">
        <v>100</v>
      </c>
      <c r="R9829" s="45" t="s">
        <v>272</v>
      </c>
    </row>
    <row r="9830" spans="1:18" ht="69" customHeight="1">
      <c r="B9830" s="79">
        <f t="shared" si="84"/>
        <v>6954</v>
      </c>
      <c r="C9830" s="178" t="s">
        <v>1333</v>
      </c>
      <c r="D9830" s="498" t="s">
        <v>22547</v>
      </c>
      <c r="E9830" s="58" t="s">
        <v>15436</v>
      </c>
      <c r="F9830" s="58" t="s">
        <v>23969</v>
      </c>
      <c r="G9830" s="58" t="s">
        <v>23966</v>
      </c>
      <c r="H9830" s="546">
        <v>17613.73</v>
      </c>
      <c r="I9830" s="126">
        <v>45651</v>
      </c>
      <c r="J9830" s="242" t="s">
        <v>23967</v>
      </c>
      <c r="K9830" s="67"/>
      <c r="O9830" s="45" t="s">
        <v>16399</v>
      </c>
      <c r="P9830" s="45" t="s">
        <v>55</v>
      </c>
      <c r="Q9830" s="48" t="s">
        <v>25</v>
      </c>
      <c r="R9830" s="45" t="s">
        <v>272</v>
      </c>
    </row>
    <row r="9831" spans="1:18" ht="69" customHeight="1">
      <c r="B9831" s="79">
        <f t="shared" si="84"/>
        <v>6955</v>
      </c>
      <c r="C9831" s="59" t="s">
        <v>13562</v>
      </c>
      <c r="D9831" s="498" t="s">
        <v>23970</v>
      </c>
      <c r="E9831" s="58" t="s">
        <v>15436</v>
      </c>
      <c r="F9831" s="58" t="s">
        <v>23971</v>
      </c>
      <c r="G9831" s="58" t="s">
        <v>23966</v>
      </c>
      <c r="H9831" s="546">
        <v>3949.74</v>
      </c>
      <c r="I9831" s="126">
        <v>45651</v>
      </c>
      <c r="J9831" s="242" t="s">
        <v>23967</v>
      </c>
      <c r="K9831" s="67"/>
      <c r="O9831" s="45" t="s">
        <v>16399</v>
      </c>
      <c r="P9831" s="45" t="s">
        <v>55</v>
      </c>
      <c r="Q9831" s="48" t="s">
        <v>88</v>
      </c>
      <c r="R9831" s="45" t="s">
        <v>272</v>
      </c>
    </row>
    <row r="9832" spans="1:18" ht="69" customHeight="1">
      <c r="B9832" s="79">
        <f t="shared" si="84"/>
        <v>6956</v>
      </c>
      <c r="C9832" s="178" t="s">
        <v>13435</v>
      </c>
      <c r="D9832" s="498" t="s">
        <v>22553</v>
      </c>
      <c r="E9832" s="58" t="s">
        <v>15436</v>
      </c>
      <c r="F9832" s="58" t="s">
        <v>23972</v>
      </c>
      <c r="G9832" s="58" t="s">
        <v>23966</v>
      </c>
      <c r="H9832" s="546">
        <v>14695.93</v>
      </c>
      <c r="I9832" s="126">
        <v>45651</v>
      </c>
      <c r="J9832" s="242" t="s">
        <v>23967</v>
      </c>
      <c r="K9832" s="67"/>
      <c r="O9832" s="45" t="s">
        <v>16399</v>
      </c>
      <c r="P9832" s="45" t="s">
        <v>55</v>
      </c>
      <c r="Q9832" s="48" t="s">
        <v>13</v>
      </c>
      <c r="R9832" s="45" t="s">
        <v>272</v>
      </c>
    </row>
    <row r="9833" spans="1:18" ht="69" customHeight="1">
      <c r="B9833" s="79">
        <f t="shared" si="84"/>
        <v>6957</v>
      </c>
      <c r="C9833" s="178" t="s">
        <v>1593</v>
      </c>
      <c r="D9833" s="498" t="s">
        <v>22563</v>
      </c>
      <c r="E9833" s="58" t="s">
        <v>15436</v>
      </c>
      <c r="F9833" s="58" t="s">
        <v>23973</v>
      </c>
      <c r="G9833" s="58" t="s">
        <v>23966</v>
      </c>
      <c r="H9833" s="546">
        <v>17393.09</v>
      </c>
      <c r="I9833" s="126">
        <v>45651</v>
      </c>
      <c r="J9833" s="242" t="s">
        <v>23967</v>
      </c>
      <c r="K9833" s="67"/>
      <c r="O9833" s="45" t="s">
        <v>16399</v>
      </c>
      <c r="P9833" s="45" t="s">
        <v>55</v>
      </c>
      <c r="Q9833" s="48" t="s">
        <v>27</v>
      </c>
      <c r="R9833" s="45" t="s">
        <v>272</v>
      </c>
    </row>
    <row r="9834" spans="1:18" ht="69" customHeight="1">
      <c r="B9834" s="79">
        <f t="shared" si="84"/>
        <v>6958</v>
      </c>
      <c r="C9834" s="178" t="s">
        <v>8797</v>
      </c>
      <c r="D9834" s="551" t="s">
        <v>17724</v>
      </c>
      <c r="E9834" s="45" t="s">
        <v>266</v>
      </c>
      <c r="F9834" s="58" t="s">
        <v>23974</v>
      </c>
      <c r="G9834" s="72" t="s">
        <v>23975</v>
      </c>
      <c r="H9834" s="552">
        <v>1500</v>
      </c>
      <c r="I9834" s="66">
        <v>45651</v>
      </c>
      <c r="J9834" s="65" t="s">
        <v>23976</v>
      </c>
      <c r="K9834" s="58"/>
      <c r="O9834" s="45" t="s">
        <v>150</v>
      </c>
      <c r="P9834" s="45" t="s">
        <v>65</v>
      </c>
      <c r="Q9834" s="48" t="s">
        <v>110</v>
      </c>
      <c r="R9834" s="45" t="s">
        <v>272</v>
      </c>
    </row>
    <row r="9835" spans="1:18" ht="69" customHeight="1">
      <c r="A9835" s="169"/>
      <c r="B9835" s="239">
        <v>6946</v>
      </c>
      <c r="C9835" s="178" t="s">
        <v>581</v>
      </c>
      <c r="D9835" s="489" t="s">
        <v>22577</v>
      </c>
      <c r="E9835" s="45" t="s">
        <v>266</v>
      </c>
      <c r="F9835" s="45" t="s">
        <v>23977</v>
      </c>
      <c r="G9835" s="45" t="s">
        <v>23305</v>
      </c>
      <c r="H9835" s="198">
        <v>21540</v>
      </c>
      <c r="I9835" s="47">
        <v>45651</v>
      </c>
      <c r="J9835" s="47" t="s">
        <v>23978</v>
      </c>
      <c r="K9835" s="45"/>
      <c r="M9835" s="98"/>
      <c r="N9835" s="98"/>
      <c r="O9835" s="45" t="s">
        <v>1171</v>
      </c>
      <c r="P9835" s="45" t="s">
        <v>71</v>
      </c>
      <c r="Q9835" s="48" t="s">
        <v>18</v>
      </c>
      <c r="R9835" s="45" t="s">
        <v>272</v>
      </c>
    </row>
    <row r="9836" spans="1:18" ht="69" customHeight="1">
      <c r="B9836" s="79">
        <f t="shared" si="84"/>
        <v>6947</v>
      </c>
      <c r="C9836" s="59" t="s">
        <v>3667</v>
      </c>
      <c r="D9836" s="498" t="s">
        <v>23979</v>
      </c>
      <c r="E9836" s="680" t="s">
        <v>266</v>
      </c>
      <c r="F9836" s="680" t="s">
        <v>23980</v>
      </c>
      <c r="G9836" s="681" t="s">
        <v>22902</v>
      </c>
      <c r="H9836" s="546">
        <v>11468.16</v>
      </c>
      <c r="I9836" s="47">
        <v>45651</v>
      </c>
      <c r="J9836" s="242" t="s">
        <v>23981</v>
      </c>
      <c r="K9836" s="67"/>
      <c r="O9836" s="45" t="s">
        <v>21492</v>
      </c>
      <c r="P9836" s="45" t="s">
        <v>67</v>
      </c>
      <c r="Q9836" s="48" t="s">
        <v>96</v>
      </c>
      <c r="R9836" s="45" t="s">
        <v>272</v>
      </c>
    </row>
    <row r="9837" spans="1:18" ht="69" customHeight="1">
      <c r="B9837" s="79">
        <f t="shared" si="84"/>
        <v>6948</v>
      </c>
      <c r="C9837" s="178" t="s">
        <v>309</v>
      </c>
      <c r="D9837" s="498" t="s">
        <v>23982</v>
      </c>
      <c r="E9837" s="680" t="s">
        <v>266</v>
      </c>
      <c r="F9837" s="680" t="s">
        <v>23983</v>
      </c>
      <c r="G9837" s="681" t="s">
        <v>22902</v>
      </c>
      <c r="H9837" s="546">
        <v>8959.5</v>
      </c>
      <c r="I9837" s="47">
        <v>45651</v>
      </c>
      <c r="J9837" s="242" t="s">
        <v>23981</v>
      </c>
      <c r="K9837" s="67"/>
      <c r="O9837" s="45" t="s">
        <v>21492</v>
      </c>
      <c r="P9837" s="45" t="s">
        <v>67</v>
      </c>
      <c r="Q9837" s="48" t="s">
        <v>96</v>
      </c>
      <c r="R9837" s="45" t="s">
        <v>272</v>
      </c>
    </row>
    <row r="9838" spans="1:18" ht="69" customHeight="1">
      <c r="B9838" s="79">
        <f t="shared" si="84"/>
        <v>6949</v>
      </c>
      <c r="C9838" s="178" t="s">
        <v>458</v>
      </c>
      <c r="D9838" s="498" t="s">
        <v>23984</v>
      </c>
      <c r="E9838" s="680" t="s">
        <v>266</v>
      </c>
      <c r="F9838" s="680" t="s">
        <v>23985</v>
      </c>
      <c r="G9838" s="681" t="s">
        <v>22902</v>
      </c>
      <c r="H9838" s="546">
        <v>8959.5</v>
      </c>
      <c r="I9838" s="47">
        <v>45651</v>
      </c>
      <c r="J9838" s="242" t="s">
        <v>23981</v>
      </c>
      <c r="K9838" s="67"/>
      <c r="O9838" s="45" t="s">
        <v>21492</v>
      </c>
      <c r="P9838" s="45" t="s">
        <v>67</v>
      </c>
      <c r="Q9838" s="48" t="s">
        <v>96</v>
      </c>
      <c r="R9838" s="45" t="s">
        <v>272</v>
      </c>
    </row>
    <row r="9839" spans="1:18" ht="69" customHeight="1">
      <c r="B9839" s="79">
        <f t="shared" si="84"/>
        <v>6950</v>
      </c>
      <c r="C9839" s="178" t="s">
        <v>657</v>
      </c>
      <c r="D9839" s="498" t="s">
        <v>23986</v>
      </c>
      <c r="E9839" s="680" t="s">
        <v>266</v>
      </c>
      <c r="F9839" s="680" t="s">
        <v>23987</v>
      </c>
      <c r="G9839" s="681" t="s">
        <v>22902</v>
      </c>
      <c r="H9839" s="546">
        <v>6450.84</v>
      </c>
      <c r="I9839" s="47">
        <v>45651</v>
      </c>
      <c r="J9839" s="242" t="s">
        <v>23981</v>
      </c>
      <c r="K9839" s="67"/>
      <c r="O9839" s="45" t="s">
        <v>21492</v>
      </c>
      <c r="P9839" s="45" t="s">
        <v>67</v>
      </c>
      <c r="Q9839" s="48" t="s">
        <v>96</v>
      </c>
      <c r="R9839" s="45" t="s">
        <v>272</v>
      </c>
    </row>
    <row r="9840" spans="1:18" ht="69" customHeight="1">
      <c r="B9840" s="79">
        <f t="shared" si="84"/>
        <v>6951</v>
      </c>
      <c r="C9840" s="178" t="s">
        <v>10634</v>
      </c>
      <c r="D9840" s="498" t="s">
        <v>23988</v>
      </c>
      <c r="E9840" s="45" t="s">
        <v>266</v>
      </c>
      <c r="F9840" s="45" t="s">
        <v>23989</v>
      </c>
      <c r="G9840" s="45" t="s">
        <v>23990</v>
      </c>
      <c r="H9840" s="546">
        <v>19965.240000000002</v>
      </c>
      <c r="I9840" s="47">
        <v>45651</v>
      </c>
      <c r="J9840" s="242" t="s">
        <v>23991</v>
      </c>
      <c r="K9840" s="67"/>
      <c r="O9840" s="45" t="s">
        <v>1171</v>
      </c>
      <c r="P9840" s="45" t="s">
        <v>71</v>
      </c>
      <c r="Q9840" s="48" t="s">
        <v>93</v>
      </c>
      <c r="R9840" s="45" t="s">
        <v>272</v>
      </c>
    </row>
    <row r="9841" spans="2:18" ht="69" customHeight="1">
      <c r="B9841" s="79">
        <f t="shared" si="84"/>
        <v>6952</v>
      </c>
      <c r="C9841" s="178" t="s">
        <v>10639</v>
      </c>
      <c r="D9841" s="498" t="s">
        <v>23992</v>
      </c>
      <c r="E9841" s="45" t="s">
        <v>266</v>
      </c>
      <c r="F9841" s="45" t="s">
        <v>23993</v>
      </c>
      <c r="G9841" s="45" t="s">
        <v>23994</v>
      </c>
      <c r="H9841" s="736">
        <v>19965.240000000002</v>
      </c>
      <c r="I9841" s="737">
        <v>45651</v>
      </c>
      <c r="J9841" s="242" t="s">
        <v>23991</v>
      </c>
      <c r="K9841" s="67"/>
      <c r="O9841" s="45" t="s">
        <v>1171</v>
      </c>
      <c r="P9841" s="45" t="s">
        <v>71</v>
      </c>
      <c r="Q9841" s="48" t="s">
        <v>95</v>
      </c>
      <c r="R9841" s="45" t="s">
        <v>272</v>
      </c>
    </row>
    <row r="9842" spans="2:18" ht="69" customHeight="1">
      <c r="B9842" s="79">
        <f t="shared" si="84"/>
        <v>6953</v>
      </c>
      <c r="C9842" s="178" t="s">
        <v>657</v>
      </c>
      <c r="D9842" s="498" t="s">
        <v>13327</v>
      </c>
      <c r="E9842" s="58" t="s">
        <v>19223</v>
      </c>
      <c r="F9842" s="58" t="s">
        <v>23995</v>
      </c>
      <c r="G9842" s="63" t="s">
        <v>23369</v>
      </c>
      <c r="H9842" s="546">
        <v>200000</v>
      </c>
      <c r="I9842" s="47">
        <v>45651</v>
      </c>
      <c r="J9842" s="734" t="s">
        <v>23996</v>
      </c>
      <c r="K9842" s="67"/>
      <c r="O9842" s="45" t="s">
        <v>141</v>
      </c>
      <c r="P9842" s="45" t="s">
        <v>19</v>
      </c>
      <c r="Q9842" s="48" t="s">
        <v>97</v>
      </c>
      <c r="R9842" s="45" t="s">
        <v>272</v>
      </c>
    </row>
    <row r="9843" spans="2:18" ht="69" customHeight="1">
      <c r="B9843" s="732">
        <v>6954</v>
      </c>
      <c r="C9843" s="59" t="s">
        <v>11933</v>
      </c>
      <c r="D9843" s="675" t="s">
        <v>22054</v>
      </c>
      <c r="E9843" s="676" t="s">
        <v>266</v>
      </c>
      <c r="F9843" s="677" t="s">
        <v>23997</v>
      </c>
      <c r="G9843" s="95" t="s">
        <v>23837</v>
      </c>
      <c r="H9843" s="733">
        <v>252.6</v>
      </c>
      <c r="I9843" s="126">
        <v>45662</v>
      </c>
      <c r="J9843" s="735" t="s">
        <v>23998</v>
      </c>
      <c r="K9843" s="677"/>
      <c r="O9843" s="45" t="s">
        <v>23740</v>
      </c>
      <c r="P9843" s="45" t="s">
        <v>65</v>
      </c>
      <c r="Q9843" s="48" t="s">
        <v>123</v>
      </c>
      <c r="R9843" s="45" t="s">
        <v>272</v>
      </c>
    </row>
    <row r="9844" spans="2:18" ht="69" customHeight="1">
      <c r="B9844" s="231">
        <f t="shared" si="84"/>
        <v>6955</v>
      </c>
      <c r="C9844" s="191" t="s">
        <v>7189</v>
      </c>
      <c r="D9844" s="502" t="s">
        <v>13337</v>
      </c>
      <c r="E9844" s="86" t="s">
        <v>20334</v>
      </c>
      <c r="F9844" s="46" t="s">
        <v>23999</v>
      </c>
      <c r="G9844" s="283" t="s">
        <v>23932</v>
      </c>
      <c r="H9844" s="515">
        <v>1459</v>
      </c>
      <c r="I9844" s="56">
        <v>45662</v>
      </c>
      <c r="J9844" s="544" t="s">
        <v>24000</v>
      </c>
      <c r="K9844" s="46"/>
      <c r="O9844" s="46" t="s">
        <v>17289</v>
      </c>
      <c r="P9844" s="46" t="s">
        <v>65</v>
      </c>
      <c r="Q9844" s="52" t="s">
        <v>97</v>
      </c>
      <c r="R9844" s="46" t="s">
        <v>272</v>
      </c>
    </row>
    <row r="9845" spans="2:18" ht="69" customHeight="1">
      <c r="B9845" s="231">
        <f t="shared" si="84"/>
        <v>6956</v>
      </c>
      <c r="C9845" s="191" t="s">
        <v>11908</v>
      </c>
      <c r="D9845" s="502" t="s">
        <v>22118</v>
      </c>
      <c r="E9845" s="86" t="s">
        <v>20334</v>
      </c>
      <c r="F9845" s="46" t="s">
        <v>24001</v>
      </c>
      <c r="G9845" s="46" t="s">
        <v>23932</v>
      </c>
      <c r="H9845" s="895">
        <v>1459</v>
      </c>
      <c r="I9845" s="560">
        <v>45662</v>
      </c>
      <c r="J9845" s="199" t="s">
        <v>24000</v>
      </c>
      <c r="K9845" s="46"/>
      <c r="O9845" s="46" t="s">
        <v>17289</v>
      </c>
      <c r="P9845" s="46" t="s">
        <v>65</v>
      </c>
      <c r="Q9845" s="52" t="s">
        <v>103</v>
      </c>
      <c r="R9845" s="46" t="s">
        <v>272</v>
      </c>
    </row>
    <row r="9846" spans="2:18" ht="69" customHeight="1">
      <c r="B9846" s="239">
        <f t="shared" si="84"/>
        <v>6957</v>
      </c>
      <c r="C9846" s="59" t="s">
        <v>11933</v>
      </c>
      <c r="D9846" s="489" t="s">
        <v>22120</v>
      </c>
      <c r="E9846" s="676" t="s">
        <v>266</v>
      </c>
      <c r="F9846" s="677" t="s">
        <v>24002</v>
      </c>
      <c r="G9846" s="677" t="s">
        <v>23837</v>
      </c>
      <c r="H9846" s="741">
        <v>7000</v>
      </c>
      <c r="I9846" s="743">
        <v>45662</v>
      </c>
      <c r="J9846" s="73" t="s">
        <v>24003</v>
      </c>
      <c r="K9846" s="45"/>
      <c r="O9846" s="45" t="s">
        <v>24004</v>
      </c>
      <c r="P9846" s="45" t="s">
        <v>65</v>
      </c>
      <c r="Q9846" s="48" t="s">
        <v>123</v>
      </c>
      <c r="R9846" s="45" t="s">
        <v>272</v>
      </c>
    </row>
    <row r="9847" spans="2:18" ht="69" customHeight="1">
      <c r="B9847" s="239">
        <f t="shared" si="84"/>
        <v>6958</v>
      </c>
      <c r="C9847" s="59" t="s">
        <v>11933</v>
      </c>
      <c r="D9847" s="489" t="s">
        <v>22122</v>
      </c>
      <c r="E9847" s="676" t="s">
        <v>266</v>
      </c>
      <c r="F9847" s="677" t="s">
        <v>24005</v>
      </c>
      <c r="G9847" s="677" t="s">
        <v>23837</v>
      </c>
      <c r="H9847" s="742">
        <v>3021.96</v>
      </c>
      <c r="I9847" s="47">
        <v>45672</v>
      </c>
      <c r="J9847" s="548" t="s">
        <v>24006</v>
      </c>
      <c r="K9847" s="45"/>
      <c r="O9847" s="45" t="s">
        <v>17250</v>
      </c>
      <c r="P9847" s="45" t="s">
        <v>65</v>
      </c>
      <c r="Q9847" s="48" t="s">
        <v>123</v>
      </c>
      <c r="R9847" s="45" t="s">
        <v>272</v>
      </c>
    </row>
    <row r="9848" spans="2:18" ht="69" customHeight="1">
      <c r="B9848" s="239">
        <f t="shared" si="84"/>
        <v>6959</v>
      </c>
      <c r="C9848" s="59" t="s">
        <v>11933</v>
      </c>
      <c r="D9848" s="489" t="s">
        <v>22124</v>
      </c>
      <c r="E9848" s="676" t="s">
        <v>266</v>
      </c>
      <c r="F9848" s="677" t="s">
        <v>24007</v>
      </c>
      <c r="G9848" s="677" t="s">
        <v>23837</v>
      </c>
      <c r="H9848" s="741">
        <v>17126.36</v>
      </c>
      <c r="I9848" s="47">
        <v>45672</v>
      </c>
      <c r="J9848" s="548" t="s">
        <v>24008</v>
      </c>
      <c r="K9848" s="45" t="s">
        <v>96</v>
      </c>
      <c r="O9848" s="45" t="s">
        <v>17250</v>
      </c>
      <c r="P9848" s="45" t="s">
        <v>65</v>
      </c>
      <c r="Q9848" s="48" t="s">
        <v>123</v>
      </c>
      <c r="R9848" s="45" t="s">
        <v>272</v>
      </c>
    </row>
    <row r="9849" spans="2:18" ht="69" customHeight="1">
      <c r="B9849" s="79">
        <f t="shared" si="84"/>
        <v>6960</v>
      </c>
      <c r="C9849" s="725" t="s">
        <v>5658</v>
      </c>
      <c r="D9849" s="498" t="s">
        <v>24009</v>
      </c>
      <c r="E9849" s="58" t="s">
        <v>22420</v>
      </c>
      <c r="F9849" s="58" t="s">
        <v>24010</v>
      </c>
      <c r="G9849" s="58" t="s">
        <v>24011</v>
      </c>
      <c r="H9849" s="546">
        <v>5821.02</v>
      </c>
      <c r="I9849" s="252">
        <v>45662</v>
      </c>
      <c r="J9849" s="73" t="s">
        <v>24012</v>
      </c>
      <c r="K9849" s="67" t="s">
        <v>24013</v>
      </c>
      <c r="O9849" s="45" t="s">
        <v>150</v>
      </c>
      <c r="P9849" s="45" t="s">
        <v>51</v>
      </c>
      <c r="Q9849" s="48" t="s">
        <v>66</v>
      </c>
      <c r="R9849" s="45" t="s">
        <v>272</v>
      </c>
    </row>
    <row r="9850" spans="2:18" ht="69" customHeight="1">
      <c r="B9850" s="239">
        <f t="shared" si="84"/>
        <v>6961</v>
      </c>
      <c r="C9850" s="59" t="s">
        <v>753</v>
      </c>
      <c r="D9850" s="489" t="s">
        <v>20800</v>
      </c>
      <c r="E9850" s="45" t="s">
        <v>20621</v>
      </c>
      <c r="F9850" s="45" t="s">
        <v>24014</v>
      </c>
      <c r="G9850" s="45" t="s">
        <v>24015</v>
      </c>
      <c r="H9850" s="198">
        <v>142228.30100000001</v>
      </c>
      <c r="I9850" s="47">
        <v>45905</v>
      </c>
      <c r="J9850" s="73" t="s">
        <v>24016</v>
      </c>
      <c r="K9850" s="677" t="s">
        <v>24017</v>
      </c>
      <c r="O9850" s="45" t="s">
        <v>1566</v>
      </c>
      <c r="P9850" s="45" t="s">
        <v>28</v>
      </c>
      <c r="Q9850" s="48" t="s">
        <v>20</v>
      </c>
      <c r="R9850" s="45" t="s">
        <v>272</v>
      </c>
    </row>
    <row r="9851" spans="2:18" ht="69" customHeight="1">
      <c r="B9851" s="239">
        <f t="shared" si="84"/>
        <v>6962</v>
      </c>
      <c r="C9851" s="59" t="s">
        <v>1323</v>
      </c>
      <c r="D9851" s="489" t="s">
        <v>20802</v>
      </c>
      <c r="E9851" s="45" t="s">
        <v>20621</v>
      </c>
      <c r="F9851" s="45" t="s">
        <v>24018</v>
      </c>
      <c r="G9851" s="45" t="s">
        <v>24015</v>
      </c>
      <c r="H9851" s="198">
        <v>157261.92800000001</v>
      </c>
      <c r="I9851" s="47">
        <v>45905</v>
      </c>
      <c r="J9851" s="73" t="s">
        <v>24016</v>
      </c>
      <c r="K9851" s="677" t="s">
        <v>24017</v>
      </c>
      <c r="O9851" s="45" t="s">
        <v>1566</v>
      </c>
      <c r="P9851" s="45" t="s">
        <v>28</v>
      </c>
      <c r="Q9851" s="48" t="s">
        <v>25</v>
      </c>
      <c r="R9851" s="45" t="s">
        <v>272</v>
      </c>
    </row>
    <row r="9852" spans="2:18" ht="69" customHeight="1">
      <c r="B9852" s="239">
        <f t="shared" si="84"/>
        <v>6963</v>
      </c>
      <c r="C9852" s="59" t="s">
        <v>1593</v>
      </c>
      <c r="D9852" s="489" t="s">
        <v>22963</v>
      </c>
      <c r="E9852" s="45" t="s">
        <v>20621</v>
      </c>
      <c r="F9852" s="45" t="s">
        <v>24019</v>
      </c>
      <c r="G9852" s="45" t="s">
        <v>24015</v>
      </c>
      <c r="H9852" s="198">
        <v>288651.73</v>
      </c>
      <c r="I9852" s="47">
        <v>45905</v>
      </c>
      <c r="J9852" s="73" t="s">
        <v>24016</v>
      </c>
      <c r="K9852" s="677" t="s">
        <v>24017</v>
      </c>
      <c r="O9852" s="45" t="s">
        <v>1566</v>
      </c>
      <c r="P9852" s="45" t="s">
        <v>28</v>
      </c>
      <c r="Q9852" s="48" t="s">
        <v>27</v>
      </c>
      <c r="R9852" s="45" t="s">
        <v>272</v>
      </c>
    </row>
    <row r="9853" spans="2:18" ht="69" customHeight="1">
      <c r="B9853" s="239">
        <f t="shared" si="84"/>
        <v>6964</v>
      </c>
      <c r="C9853" s="59" t="s">
        <v>7521</v>
      </c>
      <c r="D9853" s="489" t="s">
        <v>14000</v>
      </c>
      <c r="E9853" s="45" t="s">
        <v>20621</v>
      </c>
      <c r="F9853" s="45" t="s">
        <v>24020</v>
      </c>
      <c r="G9853" s="45" t="s">
        <v>24015</v>
      </c>
      <c r="H9853" s="198">
        <v>86847.39</v>
      </c>
      <c r="I9853" s="47">
        <v>45905</v>
      </c>
      <c r="J9853" s="73" t="s">
        <v>24016</v>
      </c>
      <c r="K9853" s="677" t="s">
        <v>24017</v>
      </c>
      <c r="O9853" s="45" t="s">
        <v>1566</v>
      </c>
      <c r="P9853" s="45" t="s">
        <v>28</v>
      </c>
      <c r="Q9853" s="48" t="s">
        <v>102</v>
      </c>
      <c r="R9853" s="45" t="s">
        <v>272</v>
      </c>
    </row>
    <row r="9854" spans="2:18" ht="69" customHeight="1">
      <c r="B9854" s="239">
        <f t="shared" si="84"/>
        <v>6965</v>
      </c>
      <c r="C9854" s="59" t="s">
        <v>9436</v>
      </c>
      <c r="D9854" s="489" t="s">
        <v>14004</v>
      </c>
      <c r="E9854" s="45" t="s">
        <v>20621</v>
      </c>
      <c r="F9854" s="45" t="s">
        <v>24021</v>
      </c>
      <c r="G9854" s="45" t="s">
        <v>24015</v>
      </c>
      <c r="H9854" s="198">
        <v>285121.62</v>
      </c>
      <c r="I9854" s="47">
        <v>45905</v>
      </c>
      <c r="J9854" s="73" t="s">
        <v>24016</v>
      </c>
      <c r="K9854" s="677" t="s">
        <v>24017</v>
      </c>
      <c r="O9854" s="45" t="s">
        <v>1566</v>
      </c>
      <c r="P9854" s="45" t="s">
        <v>28</v>
      </c>
      <c r="Q9854" s="48" t="s">
        <v>116</v>
      </c>
      <c r="R9854" s="45" t="s">
        <v>272</v>
      </c>
    </row>
    <row r="9855" spans="2:18" ht="69" customHeight="1">
      <c r="B9855" s="239">
        <f t="shared" si="84"/>
        <v>6966</v>
      </c>
      <c r="C9855" s="59" t="s">
        <v>9596</v>
      </c>
      <c r="D9855" s="489" t="s">
        <v>14024</v>
      </c>
      <c r="E9855" s="45" t="s">
        <v>20621</v>
      </c>
      <c r="F9855" s="45" t="s">
        <v>24022</v>
      </c>
      <c r="G9855" s="45" t="s">
        <v>24015</v>
      </c>
      <c r="H9855" s="198">
        <v>95040.54</v>
      </c>
      <c r="I9855" s="47">
        <v>45905</v>
      </c>
      <c r="J9855" s="73" t="s">
        <v>24016</v>
      </c>
      <c r="K9855" s="677" t="s">
        <v>24017</v>
      </c>
      <c r="O9855" s="45" t="s">
        <v>1566</v>
      </c>
      <c r="P9855" s="45" t="s">
        <v>28</v>
      </c>
      <c r="Q9855" s="48" t="s">
        <v>118</v>
      </c>
      <c r="R9855" s="45" t="s">
        <v>272</v>
      </c>
    </row>
    <row r="9856" spans="2:18" ht="69" customHeight="1">
      <c r="B9856" s="239">
        <f t="shared" ref="B9856:B9922" si="85">B9855+1</f>
        <v>6967</v>
      </c>
      <c r="C9856" s="59" t="s">
        <v>7464</v>
      </c>
      <c r="D9856" s="489" t="s">
        <v>24023</v>
      </c>
      <c r="E9856" s="45" t="s">
        <v>20621</v>
      </c>
      <c r="F9856" s="45" t="s">
        <v>24024</v>
      </c>
      <c r="G9856" s="45" t="s">
        <v>24015</v>
      </c>
      <c r="H9856" s="198">
        <v>86847.39</v>
      </c>
      <c r="I9856" s="47">
        <v>45905</v>
      </c>
      <c r="J9856" s="73" t="s">
        <v>24016</v>
      </c>
      <c r="K9856" s="677" t="s">
        <v>24017</v>
      </c>
      <c r="O9856" s="45" t="s">
        <v>1566</v>
      </c>
      <c r="P9856" s="45" t="s">
        <v>28</v>
      </c>
      <c r="Q9856" s="48" t="s">
        <v>101</v>
      </c>
      <c r="R9856" s="45" t="s">
        <v>272</v>
      </c>
    </row>
    <row r="9857" spans="2:18" ht="69" customHeight="1">
      <c r="B9857" s="239">
        <f t="shared" si="85"/>
        <v>6968</v>
      </c>
      <c r="C9857" s="549" t="s">
        <v>8057</v>
      </c>
      <c r="D9857" s="489" t="s">
        <v>22891</v>
      </c>
      <c r="E9857" s="45" t="s">
        <v>20621</v>
      </c>
      <c r="F9857" s="45" t="s">
        <v>24025</v>
      </c>
      <c r="G9857" s="45" t="s">
        <v>24015</v>
      </c>
      <c r="H9857" s="198">
        <v>717328.67</v>
      </c>
      <c r="I9857" s="47">
        <v>45905</v>
      </c>
      <c r="J9857" s="73" t="s">
        <v>24016</v>
      </c>
      <c r="K9857" s="677" t="s">
        <v>24017</v>
      </c>
      <c r="O9857" s="45" t="s">
        <v>1566</v>
      </c>
      <c r="P9857" s="45" t="s">
        <v>28</v>
      </c>
      <c r="Q9857" s="48" t="s">
        <v>105</v>
      </c>
      <c r="R9857" s="45" t="s">
        <v>272</v>
      </c>
    </row>
    <row r="9858" spans="2:18" ht="69" customHeight="1">
      <c r="B9858" s="239">
        <f t="shared" si="85"/>
        <v>6969</v>
      </c>
      <c r="C9858" s="84" t="s">
        <v>3368</v>
      </c>
      <c r="D9858" s="489" t="s">
        <v>22967</v>
      </c>
      <c r="E9858" s="45" t="s">
        <v>20621</v>
      </c>
      <c r="F9858" s="45" t="s">
        <v>24026</v>
      </c>
      <c r="G9858" s="45" t="s">
        <v>24015</v>
      </c>
      <c r="H9858" s="730">
        <v>293837.77</v>
      </c>
      <c r="I9858" s="47">
        <v>45905</v>
      </c>
      <c r="J9858" s="73" t="s">
        <v>24016</v>
      </c>
      <c r="K9858" s="677" t="s">
        <v>24017</v>
      </c>
      <c r="O9858" s="45" t="s">
        <v>1566</v>
      </c>
      <c r="P9858" s="45" t="s">
        <v>28</v>
      </c>
      <c r="Q9858" s="48" t="s">
        <v>43</v>
      </c>
      <c r="R9858" s="45" t="s">
        <v>272</v>
      </c>
    </row>
    <row r="9859" spans="2:18" ht="69" customHeight="1">
      <c r="B9859" s="239">
        <f t="shared" si="85"/>
        <v>6970</v>
      </c>
      <c r="C9859" s="638" t="s">
        <v>9322</v>
      </c>
      <c r="D9859" s="489" t="s">
        <v>22905</v>
      </c>
      <c r="E9859" s="45" t="s">
        <v>20621</v>
      </c>
      <c r="F9859" s="45" t="s">
        <v>24027</v>
      </c>
      <c r="G9859" s="45" t="s">
        <v>24015</v>
      </c>
      <c r="H9859" s="198">
        <v>95040.54</v>
      </c>
      <c r="I9859" s="47">
        <v>45905</v>
      </c>
      <c r="J9859" s="73" t="s">
        <v>24016</v>
      </c>
      <c r="K9859" s="677" t="s">
        <v>24017</v>
      </c>
      <c r="O9859" s="45" t="s">
        <v>1566</v>
      </c>
      <c r="P9859" s="45" t="s">
        <v>28</v>
      </c>
      <c r="Q9859" s="48" t="s">
        <v>114</v>
      </c>
      <c r="R9859" s="45" t="s">
        <v>272</v>
      </c>
    </row>
    <row r="9860" spans="2:18" ht="69" customHeight="1">
      <c r="B9860" s="971">
        <f t="shared" si="85"/>
        <v>6971</v>
      </c>
      <c r="C9860" s="971" t="s">
        <v>450</v>
      </c>
      <c r="D9860" s="971" t="s">
        <v>20186</v>
      </c>
      <c r="E9860" s="971" t="s">
        <v>266</v>
      </c>
      <c r="F9860" s="971" t="s">
        <v>24028</v>
      </c>
      <c r="G9860" s="971" t="s">
        <v>24029</v>
      </c>
      <c r="H9860" s="972">
        <v>72399.64</v>
      </c>
      <c r="I9860" s="973">
        <v>45662</v>
      </c>
      <c r="J9860" s="971" t="s">
        <v>24030</v>
      </c>
      <c r="K9860" s="971" t="s">
        <v>24031</v>
      </c>
      <c r="O9860" s="45" t="s">
        <v>24032</v>
      </c>
      <c r="P9860" s="45" t="s">
        <v>87</v>
      </c>
      <c r="Q9860" s="48" t="s">
        <v>13</v>
      </c>
      <c r="R9860" s="45" t="s">
        <v>272</v>
      </c>
    </row>
    <row r="9861" spans="2:18" ht="69" customHeight="1">
      <c r="B9861" s="830">
        <f t="shared" si="85"/>
        <v>6972</v>
      </c>
      <c r="C9861" s="978" t="s">
        <v>450</v>
      </c>
      <c r="D9861" s="832" t="s">
        <v>20282</v>
      </c>
      <c r="E9861" s="831" t="s">
        <v>266</v>
      </c>
      <c r="F9861" s="833" t="s">
        <v>24033</v>
      </c>
      <c r="G9861" s="833" t="s">
        <v>24029</v>
      </c>
      <c r="H9861" s="834">
        <v>90503.03</v>
      </c>
      <c r="I9861" s="835">
        <v>45662</v>
      </c>
      <c r="J9861" s="836" t="s">
        <v>24030</v>
      </c>
      <c r="K9861" s="833" t="s">
        <v>24034</v>
      </c>
      <c r="O9861" s="45" t="s">
        <v>24032</v>
      </c>
      <c r="P9861" s="45" t="s">
        <v>87</v>
      </c>
      <c r="Q9861" s="48" t="s">
        <v>13</v>
      </c>
      <c r="R9861" s="45" t="s">
        <v>272</v>
      </c>
    </row>
    <row r="9862" spans="2:18" ht="69" customHeight="1">
      <c r="B9862" s="968">
        <f t="shared" si="85"/>
        <v>6973</v>
      </c>
      <c r="C9862" s="974" t="s">
        <v>753</v>
      </c>
      <c r="D9862" s="968" t="s">
        <v>22652</v>
      </c>
      <c r="E9862" s="968" t="s">
        <v>266</v>
      </c>
      <c r="F9862" s="974" t="s">
        <v>24035</v>
      </c>
      <c r="G9862" s="974" t="s">
        <v>24029</v>
      </c>
      <c r="H9862" s="975">
        <v>62318.97</v>
      </c>
      <c r="I9862" s="976">
        <v>45662</v>
      </c>
      <c r="J9862" s="968" t="s">
        <v>24030</v>
      </c>
      <c r="K9862" s="974" t="s">
        <v>24036</v>
      </c>
      <c r="O9862" s="45" t="s">
        <v>24032</v>
      </c>
      <c r="P9862" s="45" t="s">
        <v>87</v>
      </c>
      <c r="Q9862" s="48" t="s">
        <v>20</v>
      </c>
      <c r="R9862" s="45" t="s">
        <v>272</v>
      </c>
    </row>
    <row r="9863" spans="2:18" ht="69" customHeight="1">
      <c r="B9863" s="962">
        <f t="shared" si="85"/>
        <v>6974</v>
      </c>
      <c r="C9863" s="963" t="s">
        <v>1593</v>
      </c>
      <c r="D9863" s="969" t="s">
        <v>20209</v>
      </c>
      <c r="E9863" s="963" t="s">
        <v>266</v>
      </c>
      <c r="F9863" s="965" t="s">
        <v>24037</v>
      </c>
      <c r="G9863" s="965" t="s">
        <v>24029</v>
      </c>
      <c r="H9863" s="977">
        <v>112376.28</v>
      </c>
      <c r="I9863" s="967">
        <v>45662</v>
      </c>
      <c r="J9863" s="968" t="s">
        <v>24030</v>
      </c>
      <c r="K9863" s="965" t="s">
        <v>24038</v>
      </c>
      <c r="O9863" s="45" t="s">
        <v>24032</v>
      </c>
      <c r="P9863" s="45" t="s">
        <v>87</v>
      </c>
      <c r="Q9863" s="48" t="s">
        <v>27</v>
      </c>
      <c r="R9863" s="45" t="s">
        <v>272</v>
      </c>
    </row>
    <row r="9864" spans="2:18" ht="69" customHeight="1">
      <c r="B9864" s="830">
        <f t="shared" si="85"/>
        <v>6975</v>
      </c>
      <c r="C9864" s="831" t="s">
        <v>1593</v>
      </c>
      <c r="D9864" s="832" t="s">
        <v>20291</v>
      </c>
      <c r="E9864" s="831" t="s">
        <v>266</v>
      </c>
      <c r="F9864" s="833" t="s">
        <v>24039</v>
      </c>
      <c r="G9864" s="833" t="s">
        <v>24029</v>
      </c>
      <c r="H9864" s="834">
        <v>74065.89</v>
      </c>
      <c r="I9864" s="835">
        <v>45662</v>
      </c>
      <c r="J9864" s="836" t="s">
        <v>24030</v>
      </c>
      <c r="K9864" s="833" t="s">
        <v>24040</v>
      </c>
      <c r="O9864" s="45" t="s">
        <v>24032</v>
      </c>
      <c r="P9864" s="45" t="s">
        <v>87</v>
      </c>
      <c r="Q9864" s="48" t="s">
        <v>27</v>
      </c>
      <c r="R9864" s="45" t="s">
        <v>272</v>
      </c>
    </row>
    <row r="9865" spans="2:18" ht="69" customHeight="1">
      <c r="B9865" s="962">
        <f t="shared" si="85"/>
        <v>6976</v>
      </c>
      <c r="C9865" s="963" t="s">
        <v>1853</v>
      </c>
      <c r="D9865" s="969" t="s">
        <v>20212</v>
      </c>
      <c r="E9865" s="963" t="s">
        <v>266</v>
      </c>
      <c r="F9865" s="965" t="s">
        <v>24041</v>
      </c>
      <c r="G9865" s="965" t="s">
        <v>24029</v>
      </c>
      <c r="H9865" s="970">
        <v>149589.45000000001</v>
      </c>
      <c r="I9865" s="967">
        <v>45662</v>
      </c>
      <c r="J9865" s="968" t="s">
        <v>24030</v>
      </c>
      <c r="K9865" s="965" t="s">
        <v>24042</v>
      </c>
      <c r="O9865" s="45" t="s">
        <v>24032</v>
      </c>
      <c r="P9865" s="45" t="s">
        <v>87</v>
      </c>
      <c r="Q9865" s="48" t="s">
        <v>29</v>
      </c>
      <c r="R9865" s="45" t="s">
        <v>272</v>
      </c>
    </row>
    <row r="9866" spans="2:18" ht="69" customHeight="1">
      <c r="B9866" s="830">
        <f t="shared" si="85"/>
        <v>6977</v>
      </c>
      <c r="C9866" s="831" t="s">
        <v>1853</v>
      </c>
      <c r="D9866" s="832" t="s">
        <v>20327</v>
      </c>
      <c r="E9866" s="831" t="s">
        <v>266</v>
      </c>
      <c r="F9866" s="833" t="s">
        <v>24043</v>
      </c>
      <c r="G9866" s="833" t="s">
        <v>24029</v>
      </c>
      <c r="H9866" s="834">
        <v>204444.66</v>
      </c>
      <c r="I9866" s="835">
        <v>45662</v>
      </c>
      <c r="J9866" s="836" t="s">
        <v>24030</v>
      </c>
      <c r="K9866" s="833" t="s">
        <v>24044</v>
      </c>
      <c r="O9866" s="45" t="s">
        <v>24032</v>
      </c>
      <c r="P9866" s="45" t="s">
        <v>87</v>
      </c>
      <c r="Q9866" s="48" t="s">
        <v>29</v>
      </c>
      <c r="R9866" s="45" t="s">
        <v>272</v>
      </c>
    </row>
    <row r="9867" spans="2:18" ht="69" customHeight="1">
      <c r="B9867" s="830">
        <f t="shared" si="85"/>
        <v>6978</v>
      </c>
      <c r="C9867" s="831" t="s">
        <v>11052</v>
      </c>
      <c r="D9867" s="832" t="s">
        <v>22679</v>
      </c>
      <c r="E9867" s="831" t="s">
        <v>266</v>
      </c>
      <c r="F9867" s="833" t="s">
        <v>24045</v>
      </c>
      <c r="G9867" s="833" t="s">
        <v>24029</v>
      </c>
      <c r="H9867" s="834">
        <v>70732.41</v>
      </c>
      <c r="I9867" s="835">
        <v>45662</v>
      </c>
      <c r="J9867" s="836" t="s">
        <v>24030</v>
      </c>
      <c r="K9867" s="833" t="s">
        <v>24046</v>
      </c>
      <c r="O9867" s="45" t="s">
        <v>24032</v>
      </c>
      <c r="P9867" s="45" t="s">
        <v>87</v>
      </c>
      <c r="Q9867" s="48" t="s">
        <v>37</v>
      </c>
      <c r="R9867" s="45" t="s">
        <v>272</v>
      </c>
    </row>
    <row r="9868" spans="2:18" ht="69" customHeight="1">
      <c r="B9868" s="830">
        <f t="shared" si="85"/>
        <v>6979</v>
      </c>
      <c r="C9868" s="831" t="s">
        <v>11052</v>
      </c>
      <c r="D9868" s="832" t="s">
        <v>20309</v>
      </c>
      <c r="E9868" s="831" t="s">
        <v>266</v>
      </c>
      <c r="F9868" s="833" t="s">
        <v>24047</v>
      </c>
      <c r="G9868" s="833" t="s">
        <v>24029</v>
      </c>
      <c r="H9868" s="834">
        <v>83038.600000000006</v>
      </c>
      <c r="I9868" s="835">
        <v>45662</v>
      </c>
      <c r="J9868" s="836" t="s">
        <v>24030</v>
      </c>
      <c r="K9868" s="833" t="s">
        <v>24048</v>
      </c>
      <c r="O9868" s="45" t="s">
        <v>24032</v>
      </c>
      <c r="P9868" s="45" t="s">
        <v>87</v>
      </c>
      <c r="Q9868" s="48" t="s">
        <v>37</v>
      </c>
      <c r="R9868" s="45" t="s">
        <v>272</v>
      </c>
    </row>
    <row r="9869" spans="2:18" ht="69" customHeight="1">
      <c r="B9869" s="830">
        <f t="shared" si="85"/>
        <v>6980</v>
      </c>
      <c r="C9869" s="831" t="s">
        <v>7464</v>
      </c>
      <c r="D9869" s="832" t="s">
        <v>24049</v>
      </c>
      <c r="E9869" s="831" t="s">
        <v>266</v>
      </c>
      <c r="F9869" s="833" t="s">
        <v>24050</v>
      </c>
      <c r="G9869" s="833" t="s">
        <v>24029</v>
      </c>
      <c r="H9869" s="834">
        <v>74370.210000000006</v>
      </c>
      <c r="I9869" s="835">
        <v>45662</v>
      </c>
      <c r="J9869" s="836" t="s">
        <v>24030</v>
      </c>
      <c r="K9869" s="833" t="s">
        <v>24051</v>
      </c>
      <c r="O9869" s="45" t="s">
        <v>24032</v>
      </c>
      <c r="P9869" s="45" t="s">
        <v>87</v>
      </c>
      <c r="Q9869" s="48" t="s">
        <v>101</v>
      </c>
      <c r="R9869" s="45" t="s">
        <v>272</v>
      </c>
    </row>
    <row r="9870" spans="2:18" ht="69" customHeight="1">
      <c r="B9870" s="830">
        <f>B9869+1</f>
        <v>6981</v>
      </c>
      <c r="C9870" s="831" t="s">
        <v>7464</v>
      </c>
      <c r="D9870" s="832" t="s">
        <v>22337</v>
      </c>
      <c r="E9870" s="831" t="s">
        <v>266</v>
      </c>
      <c r="F9870" s="833" t="s">
        <v>24052</v>
      </c>
      <c r="G9870" s="833" t="s">
        <v>24029</v>
      </c>
      <c r="H9870" s="834">
        <v>104053.08</v>
      </c>
      <c r="I9870" s="835">
        <v>45662</v>
      </c>
      <c r="J9870" s="836" t="s">
        <v>24030</v>
      </c>
      <c r="K9870" s="833" t="s">
        <v>24053</v>
      </c>
      <c r="O9870" s="45" t="s">
        <v>24032</v>
      </c>
      <c r="P9870" s="45" t="s">
        <v>87</v>
      </c>
      <c r="Q9870" s="48" t="s">
        <v>101</v>
      </c>
      <c r="R9870" s="45" t="s">
        <v>272</v>
      </c>
    </row>
    <row r="9871" spans="2:18" ht="69" customHeight="1">
      <c r="B9871" s="830">
        <f>B9870+1</f>
        <v>6982</v>
      </c>
      <c r="C9871" s="831" t="s">
        <v>8529</v>
      </c>
      <c r="D9871" s="832" t="s">
        <v>22255</v>
      </c>
      <c r="E9871" s="831" t="s">
        <v>266</v>
      </c>
      <c r="F9871" s="833" t="s">
        <v>24054</v>
      </c>
      <c r="G9871" s="833" t="s">
        <v>24029</v>
      </c>
      <c r="H9871" s="834">
        <v>61525.07</v>
      </c>
      <c r="I9871" s="835">
        <v>45662</v>
      </c>
      <c r="J9871" s="836" t="s">
        <v>24030</v>
      </c>
      <c r="K9871" s="833" t="s">
        <v>24055</v>
      </c>
      <c r="O9871" s="45" t="s">
        <v>24032</v>
      </c>
      <c r="P9871" s="45" t="s">
        <v>87</v>
      </c>
      <c r="Q9871" s="48" t="s">
        <v>108</v>
      </c>
      <c r="R9871" s="45" t="s">
        <v>272</v>
      </c>
    </row>
    <row r="9872" spans="2:18" ht="69" customHeight="1">
      <c r="B9872" s="830">
        <f>B9871+1</f>
        <v>6983</v>
      </c>
      <c r="C9872" s="831" t="s">
        <v>9094</v>
      </c>
      <c r="D9872" s="832" t="s">
        <v>22259</v>
      </c>
      <c r="E9872" s="831" t="s">
        <v>266</v>
      </c>
      <c r="F9872" s="833" t="s">
        <v>24056</v>
      </c>
      <c r="G9872" s="833" t="s">
        <v>24029</v>
      </c>
      <c r="H9872" s="834">
        <v>91161.11</v>
      </c>
      <c r="I9872" s="835">
        <v>45662</v>
      </c>
      <c r="J9872" s="836" t="s">
        <v>24030</v>
      </c>
      <c r="K9872" s="833" t="s">
        <v>24057</v>
      </c>
      <c r="O9872" s="45" t="s">
        <v>24032</v>
      </c>
      <c r="P9872" s="45" t="s">
        <v>87</v>
      </c>
      <c r="Q9872" s="48" t="s">
        <v>112</v>
      </c>
      <c r="R9872" s="45" t="s">
        <v>272</v>
      </c>
    </row>
    <row r="9873" spans="2:18" ht="69" customHeight="1">
      <c r="B9873" s="830">
        <f>B9872+1</f>
        <v>6984</v>
      </c>
      <c r="C9873" s="831" t="s">
        <v>9094</v>
      </c>
      <c r="D9873" s="832" t="s">
        <v>22298</v>
      </c>
      <c r="E9873" s="831" t="s">
        <v>266</v>
      </c>
      <c r="F9873" s="833" t="s">
        <v>24058</v>
      </c>
      <c r="G9873" s="833" t="s">
        <v>24029</v>
      </c>
      <c r="H9873" s="834">
        <v>165168.14000000001</v>
      </c>
      <c r="I9873" s="835">
        <v>45662</v>
      </c>
      <c r="J9873" s="836" t="s">
        <v>24030</v>
      </c>
      <c r="K9873" s="833" t="s">
        <v>24059</v>
      </c>
      <c r="O9873" s="45" t="s">
        <v>24032</v>
      </c>
      <c r="P9873" s="45" t="s">
        <v>87</v>
      </c>
      <c r="Q9873" s="48" t="s">
        <v>112</v>
      </c>
      <c r="R9873" s="45" t="s">
        <v>272</v>
      </c>
    </row>
    <row r="9874" spans="2:18" ht="69" customHeight="1">
      <c r="B9874" s="830">
        <f>B9873+1</f>
        <v>6985</v>
      </c>
      <c r="C9874" s="831" t="s">
        <v>7415</v>
      </c>
      <c r="D9874" s="832" t="s">
        <v>22289</v>
      </c>
      <c r="E9874" s="831" t="s">
        <v>266</v>
      </c>
      <c r="F9874" s="833" t="s">
        <v>24060</v>
      </c>
      <c r="G9874" s="833" t="s">
        <v>24029</v>
      </c>
      <c r="H9874" s="834">
        <v>89306.44</v>
      </c>
      <c r="I9874" s="835">
        <v>45662</v>
      </c>
      <c r="J9874" s="836" t="s">
        <v>24030</v>
      </c>
      <c r="K9874" s="833" t="s">
        <v>24061</v>
      </c>
      <c r="O9874" s="45" t="s">
        <v>24032</v>
      </c>
      <c r="P9874" s="45" t="s">
        <v>87</v>
      </c>
      <c r="Q9874" s="48" t="s">
        <v>119</v>
      </c>
      <c r="R9874" s="45" t="s">
        <v>272</v>
      </c>
    </row>
    <row r="9875" spans="2:18" ht="69" customHeight="1">
      <c r="B9875" s="830">
        <f>B9874+1</f>
        <v>6986</v>
      </c>
      <c r="C9875" s="831" t="s">
        <v>7415</v>
      </c>
      <c r="D9875" s="832" t="s">
        <v>24062</v>
      </c>
      <c r="E9875" s="831" t="s">
        <v>266</v>
      </c>
      <c r="F9875" s="833" t="s">
        <v>24063</v>
      </c>
      <c r="G9875" s="833" t="s">
        <v>24029</v>
      </c>
      <c r="H9875" s="834">
        <v>165168</v>
      </c>
      <c r="I9875" s="835">
        <v>45662</v>
      </c>
      <c r="J9875" s="836" t="s">
        <v>24030</v>
      </c>
      <c r="K9875" s="833" t="s">
        <v>24061</v>
      </c>
      <c r="O9875" s="45" t="s">
        <v>24032</v>
      </c>
      <c r="P9875" s="45" t="s">
        <v>87</v>
      </c>
      <c r="Q9875" s="48" t="s">
        <v>119</v>
      </c>
      <c r="R9875" s="45" t="s">
        <v>272</v>
      </c>
    </row>
    <row r="9876" spans="2:18" ht="69" customHeight="1">
      <c r="B9876" s="962">
        <f>B9875+1</f>
        <v>6987</v>
      </c>
      <c r="C9876" s="963" t="s">
        <v>10937</v>
      </c>
      <c r="D9876" s="969" t="s">
        <v>13377</v>
      </c>
      <c r="E9876" s="963" t="s">
        <v>266</v>
      </c>
      <c r="F9876" s="965" t="s">
        <v>24064</v>
      </c>
      <c r="G9876" s="965" t="s">
        <v>24029</v>
      </c>
      <c r="H9876" s="970">
        <v>278314.46000000002</v>
      </c>
      <c r="I9876" s="967">
        <v>45662</v>
      </c>
      <c r="J9876" s="968" t="s">
        <v>24030</v>
      </c>
      <c r="K9876" s="965" t="s">
        <v>24065</v>
      </c>
      <c r="O9876" s="45" t="s">
        <v>24032</v>
      </c>
      <c r="P9876" s="45" t="s">
        <v>87</v>
      </c>
      <c r="Q9876" s="48" t="s">
        <v>104</v>
      </c>
      <c r="R9876" s="45" t="s">
        <v>272</v>
      </c>
    </row>
    <row r="9877" spans="2:18" ht="69" customHeight="1">
      <c r="B9877" s="962">
        <v>6988</v>
      </c>
      <c r="C9877" s="963" t="s">
        <v>9436</v>
      </c>
      <c r="D9877" s="969" t="s">
        <v>13400</v>
      </c>
      <c r="E9877" s="963" t="s">
        <v>266</v>
      </c>
      <c r="F9877" s="965" t="s">
        <v>24066</v>
      </c>
      <c r="G9877" s="965" t="s">
        <v>24029</v>
      </c>
      <c r="H9877" s="970">
        <v>116660.89</v>
      </c>
      <c r="I9877" s="967">
        <v>45662</v>
      </c>
      <c r="J9877" s="968" t="s">
        <v>24030</v>
      </c>
      <c r="K9877" s="965" t="s">
        <v>24067</v>
      </c>
      <c r="O9877" s="45" t="s">
        <v>24032</v>
      </c>
      <c r="P9877" s="45" t="s">
        <v>87</v>
      </c>
      <c r="Q9877" s="48" t="s">
        <v>116</v>
      </c>
      <c r="R9877" s="45" t="s">
        <v>272</v>
      </c>
    </row>
    <row r="9878" spans="2:18" ht="69" customHeight="1">
      <c r="B9878" s="962">
        <f t="shared" si="85"/>
        <v>6989</v>
      </c>
      <c r="C9878" s="963" t="s">
        <v>8797</v>
      </c>
      <c r="D9878" s="969" t="s">
        <v>13468</v>
      </c>
      <c r="E9878" s="963" t="s">
        <v>266</v>
      </c>
      <c r="F9878" s="965" t="s">
        <v>24068</v>
      </c>
      <c r="G9878" s="965" t="s">
        <v>24029</v>
      </c>
      <c r="H9878" s="970">
        <v>76084.41</v>
      </c>
      <c r="I9878" s="967">
        <v>45662</v>
      </c>
      <c r="J9878" s="968" t="s">
        <v>24030</v>
      </c>
      <c r="K9878" s="965" t="s">
        <v>24069</v>
      </c>
      <c r="O9878" s="45" t="s">
        <v>24032</v>
      </c>
      <c r="P9878" s="45" t="s">
        <v>87</v>
      </c>
      <c r="Q9878" s="48" t="s">
        <v>110</v>
      </c>
      <c r="R9878" s="45" t="s">
        <v>272</v>
      </c>
    </row>
    <row r="9879" spans="2:18" ht="69" customHeight="1">
      <c r="B9879" s="962">
        <f t="shared" si="85"/>
        <v>6990</v>
      </c>
      <c r="C9879" s="963" t="s">
        <v>8797</v>
      </c>
      <c r="D9879" s="969" t="s">
        <v>13470</v>
      </c>
      <c r="E9879" s="963" t="s">
        <v>266</v>
      </c>
      <c r="F9879" s="965" t="s">
        <v>24070</v>
      </c>
      <c r="G9879" s="965" t="s">
        <v>24029</v>
      </c>
      <c r="H9879" s="970">
        <v>104053.08</v>
      </c>
      <c r="I9879" s="967">
        <v>45662</v>
      </c>
      <c r="J9879" s="968" t="s">
        <v>24030</v>
      </c>
      <c r="K9879" s="965" t="s">
        <v>24071</v>
      </c>
      <c r="O9879" s="45" t="s">
        <v>24032</v>
      </c>
      <c r="P9879" s="45" t="s">
        <v>87</v>
      </c>
      <c r="Q9879" s="48" t="s">
        <v>110</v>
      </c>
      <c r="R9879" s="45" t="s">
        <v>272</v>
      </c>
    </row>
    <row r="9880" spans="2:18" ht="69" customHeight="1">
      <c r="B9880" s="962">
        <f t="shared" si="85"/>
        <v>6991</v>
      </c>
      <c r="C9880" s="963" t="s">
        <v>8797</v>
      </c>
      <c r="D9880" s="964" t="s">
        <v>13464</v>
      </c>
      <c r="E9880" s="963" t="s">
        <v>266</v>
      </c>
      <c r="F9880" s="965" t="s">
        <v>24072</v>
      </c>
      <c r="G9880" s="965" t="s">
        <v>24029</v>
      </c>
      <c r="H9880" s="966">
        <v>163896.51999999999</v>
      </c>
      <c r="I9880" s="967">
        <v>45662</v>
      </c>
      <c r="J9880" s="968" t="s">
        <v>24030</v>
      </c>
      <c r="K9880" s="965" t="s">
        <v>24073</v>
      </c>
      <c r="O9880" s="45" t="s">
        <v>24032</v>
      </c>
      <c r="P9880" s="45" t="s">
        <v>87</v>
      </c>
      <c r="Q9880" s="48" t="s">
        <v>110</v>
      </c>
      <c r="R9880" s="45" t="s">
        <v>272</v>
      </c>
    </row>
    <row r="9881" spans="2:18" ht="69" customHeight="1">
      <c r="B9881" s="239">
        <v>6992</v>
      </c>
      <c r="C9881" s="59" t="s">
        <v>13562</v>
      </c>
      <c r="D9881" s="489" t="s">
        <v>24074</v>
      </c>
      <c r="E9881" s="676" t="s">
        <v>266</v>
      </c>
      <c r="F9881" s="677" t="s">
        <v>24075</v>
      </c>
      <c r="G9881" s="95" t="s">
        <v>23837</v>
      </c>
      <c r="H9881" s="749">
        <v>3021.96</v>
      </c>
      <c r="I9881" s="488">
        <v>45682</v>
      </c>
      <c r="J9881" s="73" t="s">
        <v>24076</v>
      </c>
      <c r="K9881" s="677"/>
      <c r="O9881" s="45" t="s">
        <v>17250</v>
      </c>
      <c r="P9881" s="45" t="s">
        <v>65</v>
      </c>
      <c r="Q9881" s="48" t="s">
        <v>88</v>
      </c>
      <c r="R9881" s="45" t="s">
        <v>272</v>
      </c>
    </row>
    <row r="9882" spans="2:18" ht="69" customHeight="1">
      <c r="B9882" s="239">
        <v>6993</v>
      </c>
      <c r="C9882" s="59" t="s">
        <v>11618</v>
      </c>
      <c r="D9882" s="489" t="s">
        <v>22248</v>
      </c>
      <c r="E9882" s="676" t="s">
        <v>266</v>
      </c>
      <c r="F9882" s="677" t="s">
        <v>24077</v>
      </c>
      <c r="G9882" s="95" t="s">
        <v>23837</v>
      </c>
      <c r="H9882" s="749">
        <v>3021.96</v>
      </c>
      <c r="I9882" s="488">
        <v>45682</v>
      </c>
      <c r="J9882" s="73" t="s">
        <v>24078</v>
      </c>
      <c r="K9882" s="677"/>
      <c r="O9882" s="45" t="s">
        <v>17250</v>
      </c>
      <c r="P9882" s="45" t="s">
        <v>65</v>
      </c>
      <c r="Q9882" s="48" t="s">
        <v>122</v>
      </c>
      <c r="R9882" s="45" t="s">
        <v>272</v>
      </c>
    </row>
    <row r="9883" spans="2:18" ht="69" customHeight="1">
      <c r="B9883" s="503">
        <v>6994</v>
      </c>
      <c r="C9883" s="191" t="s">
        <v>4277</v>
      </c>
      <c r="D9883" s="502" t="s">
        <v>24079</v>
      </c>
      <c r="E9883" s="46" t="s">
        <v>24080</v>
      </c>
      <c r="F9883" s="46" t="s">
        <v>24081</v>
      </c>
      <c r="G9883" s="46" t="s">
        <v>24082</v>
      </c>
      <c r="H9883" s="1078">
        <v>3825</v>
      </c>
      <c r="I9883" s="56">
        <v>45672</v>
      </c>
      <c r="J9883" s="199" t="s">
        <v>24083</v>
      </c>
      <c r="K9883" s="160"/>
      <c r="O9883" s="46" t="s">
        <v>441</v>
      </c>
      <c r="P9883" s="46" t="s">
        <v>65</v>
      </c>
      <c r="Q9883" s="52" t="s">
        <v>56</v>
      </c>
      <c r="R9883" s="46" t="s">
        <v>265</v>
      </c>
    </row>
    <row r="9884" spans="2:18" ht="69" customHeight="1">
      <c r="B9884" s="236">
        <v>6995</v>
      </c>
      <c r="C9884" s="550" t="s">
        <v>458</v>
      </c>
      <c r="D9884" s="656" t="s">
        <v>22172</v>
      </c>
      <c r="E9884" s="74" t="s">
        <v>16011</v>
      </c>
      <c r="F9884" s="74" t="s">
        <v>24084</v>
      </c>
      <c r="G9884" s="74" t="s">
        <v>24085</v>
      </c>
      <c r="H9884" s="644">
        <v>29180</v>
      </c>
      <c r="I9884" s="252">
        <v>45662</v>
      </c>
      <c r="J9884" s="246" t="s">
        <v>24086</v>
      </c>
      <c r="K9884" s="241"/>
      <c r="O9884" s="45" t="s">
        <v>150</v>
      </c>
      <c r="P9884" s="45" t="s">
        <v>51</v>
      </c>
      <c r="Q9884" s="48" t="s">
        <v>88</v>
      </c>
      <c r="R9884" s="45" t="s">
        <v>272</v>
      </c>
    </row>
    <row r="9885" spans="2:18" ht="69" customHeight="1">
      <c r="B9885" s="79">
        <f>B9884+1</f>
        <v>6996</v>
      </c>
      <c r="C9885" s="178" t="s">
        <v>458</v>
      </c>
      <c r="D9885" s="498" t="s">
        <v>24087</v>
      </c>
      <c r="E9885" s="58" t="s">
        <v>16011</v>
      </c>
      <c r="F9885" s="58" t="s">
        <v>24088</v>
      </c>
      <c r="G9885" s="58" t="s">
        <v>24085</v>
      </c>
      <c r="H9885" s="546">
        <v>29180</v>
      </c>
      <c r="I9885" s="126">
        <v>45662</v>
      </c>
      <c r="J9885" s="242" t="s">
        <v>24086</v>
      </c>
      <c r="K9885" s="67"/>
      <c r="O9885" s="45" t="s">
        <v>150</v>
      </c>
      <c r="P9885" s="45" t="s">
        <v>51</v>
      </c>
      <c r="Q9885" s="48" t="s">
        <v>122</v>
      </c>
      <c r="R9885" s="45" t="s">
        <v>272</v>
      </c>
    </row>
    <row r="9886" spans="2:18" ht="69" customHeight="1">
      <c r="B9886" s="79">
        <f>B9885+1</f>
        <v>6997</v>
      </c>
      <c r="C9886" s="178" t="s">
        <v>458</v>
      </c>
      <c r="D9886" s="498" t="s">
        <v>22199</v>
      </c>
      <c r="E9886" s="58" t="s">
        <v>16011</v>
      </c>
      <c r="F9886" s="58" t="s">
        <v>24089</v>
      </c>
      <c r="G9886" s="58" t="s">
        <v>24090</v>
      </c>
      <c r="H9886" s="546">
        <v>2000</v>
      </c>
      <c r="I9886" s="126">
        <v>45662</v>
      </c>
      <c r="J9886" s="242" t="s">
        <v>24086</v>
      </c>
      <c r="K9886" s="67"/>
      <c r="O9886" s="45" t="s">
        <v>150</v>
      </c>
      <c r="P9886" s="45" t="s">
        <v>51</v>
      </c>
      <c r="Q9886" s="48" t="s">
        <v>100</v>
      </c>
      <c r="R9886" s="45" t="s">
        <v>272</v>
      </c>
    </row>
    <row r="9887" spans="2:18" ht="69" customHeight="1">
      <c r="B9887" s="79">
        <f>B9886+1</f>
        <v>6998</v>
      </c>
      <c r="C9887" s="178" t="s">
        <v>458</v>
      </c>
      <c r="D9887" s="498" t="s">
        <v>22204</v>
      </c>
      <c r="E9887" s="58" t="s">
        <v>16011</v>
      </c>
      <c r="F9887" s="58" t="s">
        <v>24091</v>
      </c>
      <c r="G9887" s="58" t="s">
        <v>24090</v>
      </c>
      <c r="H9887" s="546">
        <v>2000</v>
      </c>
      <c r="I9887" s="126">
        <v>45662</v>
      </c>
      <c r="J9887" s="242" t="s">
        <v>24086</v>
      </c>
      <c r="K9887" s="67"/>
      <c r="O9887" s="45" t="s">
        <v>150</v>
      </c>
      <c r="P9887" s="45" t="s">
        <v>51</v>
      </c>
      <c r="Q9887" s="48" t="s">
        <v>112</v>
      </c>
      <c r="R9887" s="45" t="s">
        <v>272</v>
      </c>
    </row>
    <row r="9888" spans="2:18" ht="69" customHeight="1">
      <c r="B9888" s="79">
        <f>B9887+1</f>
        <v>6999</v>
      </c>
      <c r="C9888" s="178" t="s">
        <v>458</v>
      </c>
      <c r="D9888" s="498" t="s">
        <v>22211</v>
      </c>
      <c r="E9888" s="58" t="s">
        <v>16011</v>
      </c>
      <c r="F9888" s="58" t="s">
        <v>24092</v>
      </c>
      <c r="G9888" s="58" t="s">
        <v>24090</v>
      </c>
      <c r="H9888" s="546">
        <v>2000</v>
      </c>
      <c r="I9888" s="126">
        <v>45662</v>
      </c>
      <c r="J9888" s="242" t="s">
        <v>24086</v>
      </c>
      <c r="K9888" s="67"/>
      <c r="O9888" s="45" t="s">
        <v>150</v>
      </c>
      <c r="P9888" s="45" t="s">
        <v>51</v>
      </c>
      <c r="Q9888" s="48" t="s">
        <v>117</v>
      </c>
      <c r="R9888" s="45" t="s">
        <v>272</v>
      </c>
    </row>
    <row r="9889" spans="2:24" ht="69" customHeight="1">
      <c r="B9889" s="79">
        <f>B9888+1</f>
        <v>7000</v>
      </c>
      <c r="C9889" s="58" t="s">
        <v>3007</v>
      </c>
      <c r="D9889" s="498" t="s">
        <v>19872</v>
      </c>
      <c r="E9889" s="58" t="s">
        <v>16011</v>
      </c>
      <c r="F9889" s="58" t="s">
        <v>24093</v>
      </c>
      <c r="G9889" s="58" t="s">
        <v>24090</v>
      </c>
      <c r="H9889" s="546">
        <v>2000</v>
      </c>
      <c r="I9889" s="126">
        <v>45662</v>
      </c>
      <c r="J9889" s="242" t="s">
        <v>24086</v>
      </c>
      <c r="K9889" s="67"/>
      <c r="O9889" s="45" t="s">
        <v>150</v>
      </c>
      <c r="P9889" s="45" t="s">
        <v>51</v>
      </c>
      <c r="Q9889" s="48" t="s">
        <v>29</v>
      </c>
      <c r="R9889" s="45" t="s">
        <v>272</v>
      </c>
    </row>
    <row r="9890" spans="2:24" ht="69" customHeight="1">
      <c r="B9890" s="79">
        <f>B9889+1</f>
        <v>7001</v>
      </c>
      <c r="C9890" s="58" t="s">
        <v>3007</v>
      </c>
      <c r="D9890" s="498" t="s">
        <v>19895</v>
      </c>
      <c r="E9890" s="58" t="s">
        <v>16011</v>
      </c>
      <c r="F9890" s="58" t="s">
        <v>24094</v>
      </c>
      <c r="G9890" s="58" t="s">
        <v>24090</v>
      </c>
      <c r="H9890" s="546">
        <v>2000</v>
      </c>
      <c r="I9890" s="126">
        <v>45662</v>
      </c>
      <c r="J9890" s="242" t="s">
        <v>24086</v>
      </c>
      <c r="K9890" s="67"/>
      <c r="O9890" s="45" t="s">
        <v>150</v>
      </c>
      <c r="P9890" s="45" t="s">
        <v>51</v>
      </c>
      <c r="Q9890" s="48" t="s">
        <v>23</v>
      </c>
      <c r="R9890" s="45" t="s">
        <v>272</v>
      </c>
    </row>
    <row r="9891" spans="2:24" ht="69" customHeight="1">
      <c r="B9891" s="79">
        <f t="shared" si="85"/>
        <v>7002</v>
      </c>
      <c r="C9891" s="59" t="s">
        <v>3667</v>
      </c>
      <c r="D9891" s="498" t="s">
        <v>24095</v>
      </c>
      <c r="E9891" s="58" t="s">
        <v>16011</v>
      </c>
      <c r="F9891" s="58" t="s">
        <v>24096</v>
      </c>
      <c r="G9891" s="58" t="s">
        <v>24090</v>
      </c>
      <c r="H9891" s="546">
        <v>2000</v>
      </c>
      <c r="I9891" s="126">
        <v>45662</v>
      </c>
      <c r="J9891" s="242" t="s">
        <v>24086</v>
      </c>
      <c r="K9891" s="67" t="s">
        <v>24013</v>
      </c>
      <c r="O9891" s="45" t="s">
        <v>150</v>
      </c>
      <c r="P9891" s="45" t="s">
        <v>51</v>
      </c>
      <c r="Q9891" s="48" t="s">
        <v>78</v>
      </c>
      <c r="R9891" s="45" t="s">
        <v>272</v>
      </c>
    </row>
    <row r="9892" spans="2:24" ht="69" customHeight="1">
      <c r="B9892" s="79">
        <f t="shared" si="85"/>
        <v>7003</v>
      </c>
      <c r="C9892" s="178" t="s">
        <v>10634</v>
      </c>
      <c r="D9892" s="498" t="s">
        <v>24097</v>
      </c>
      <c r="E9892" s="58" t="s">
        <v>24098</v>
      </c>
      <c r="F9892" s="58" t="s">
        <v>24099</v>
      </c>
      <c r="G9892" s="58" t="s">
        <v>24100</v>
      </c>
      <c r="H9892" s="546">
        <v>22957.72</v>
      </c>
      <c r="I9892" s="126">
        <v>45662</v>
      </c>
      <c r="J9892" s="242" t="s">
        <v>24101</v>
      </c>
      <c r="K9892" s="67" t="s">
        <v>24013</v>
      </c>
      <c r="O9892" s="45" t="s">
        <v>16399</v>
      </c>
      <c r="P9892" s="45" t="s">
        <v>55</v>
      </c>
      <c r="Q9892" s="48" t="s">
        <v>93</v>
      </c>
      <c r="R9892" s="45" t="s">
        <v>272</v>
      </c>
    </row>
    <row r="9893" spans="2:24" ht="69" customHeight="1">
      <c r="B9893" s="79">
        <f t="shared" si="85"/>
        <v>7004</v>
      </c>
      <c r="C9893" s="178" t="s">
        <v>10639</v>
      </c>
      <c r="D9893" s="498" t="s">
        <v>24102</v>
      </c>
      <c r="E9893" s="58" t="s">
        <v>24098</v>
      </c>
      <c r="F9893" s="58" t="s">
        <v>24103</v>
      </c>
      <c r="G9893" s="58" t="s">
        <v>24100</v>
      </c>
      <c r="H9893" s="546">
        <v>107.58</v>
      </c>
      <c r="I9893" s="126">
        <v>45662</v>
      </c>
      <c r="J9893" s="242" t="s">
        <v>24101</v>
      </c>
      <c r="K9893" s="67" t="s">
        <v>24013</v>
      </c>
      <c r="O9893" s="45" t="s">
        <v>16399</v>
      </c>
      <c r="P9893" s="45" t="s">
        <v>55</v>
      </c>
      <c r="Q9893" s="48" t="s">
        <v>95</v>
      </c>
      <c r="R9893" s="45" t="s">
        <v>272</v>
      </c>
    </row>
    <row r="9894" spans="2:24" ht="69" customHeight="1">
      <c r="B9894" s="79">
        <f t="shared" si="85"/>
        <v>7005</v>
      </c>
      <c r="C9894" s="178" t="s">
        <v>581</v>
      </c>
      <c r="D9894" s="498" t="s">
        <v>19876</v>
      </c>
      <c r="E9894" s="58" t="s">
        <v>24098</v>
      </c>
      <c r="F9894" s="58" t="s">
        <v>24104</v>
      </c>
      <c r="G9894" s="58" t="s">
        <v>24100</v>
      </c>
      <c r="H9894" s="546">
        <v>8591.2099999999991</v>
      </c>
      <c r="I9894" s="126">
        <v>45662</v>
      </c>
      <c r="J9894" s="242" t="s">
        <v>24101</v>
      </c>
      <c r="K9894" s="67"/>
      <c r="O9894" s="45" t="s">
        <v>16399</v>
      </c>
      <c r="P9894" s="45" t="s">
        <v>55</v>
      </c>
      <c r="Q9894" s="48" t="s">
        <v>18</v>
      </c>
      <c r="R9894" s="60" t="s">
        <v>272</v>
      </c>
    </row>
    <row r="9895" spans="2:24" ht="69" customHeight="1">
      <c r="B9895" s="79">
        <f t="shared" si="85"/>
        <v>7006</v>
      </c>
      <c r="C9895" s="681" t="s">
        <v>11618</v>
      </c>
      <c r="D9895" s="498" t="s">
        <v>24105</v>
      </c>
      <c r="E9895" s="676" t="s">
        <v>24106</v>
      </c>
      <c r="F9895" s="58" t="s">
        <v>24107</v>
      </c>
      <c r="G9895" s="58" t="s">
        <v>23649</v>
      </c>
      <c r="H9895" s="546">
        <v>12000</v>
      </c>
      <c r="I9895" s="126">
        <v>45662</v>
      </c>
      <c r="J9895" s="242" t="s">
        <v>24108</v>
      </c>
      <c r="K9895" s="67"/>
      <c r="O9895" s="62" t="s">
        <v>6918</v>
      </c>
      <c r="P9895" s="45" t="s">
        <v>44</v>
      </c>
      <c r="Q9895" s="73" t="s">
        <v>122</v>
      </c>
      <c r="R9895" s="45" t="s">
        <v>272</v>
      </c>
    </row>
    <row r="9896" spans="2:24" ht="69" customHeight="1">
      <c r="B9896" s="239">
        <f t="shared" si="85"/>
        <v>7007</v>
      </c>
      <c r="C9896" s="59" t="s">
        <v>309</v>
      </c>
      <c r="D9896" s="489" t="s">
        <v>22655</v>
      </c>
      <c r="E9896" s="676" t="s">
        <v>24109</v>
      </c>
      <c r="F9896" s="45" t="s">
        <v>24110</v>
      </c>
      <c r="G9896" s="45" t="s">
        <v>24111</v>
      </c>
      <c r="H9896" s="198">
        <v>24445.17</v>
      </c>
      <c r="I9896" s="47">
        <v>45693</v>
      </c>
      <c r="J9896" s="73" t="s">
        <v>24112</v>
      </c>
      <c r="K9896" s="45"/>
      <c r="O9896" s="160" t="s">
        <v>11192</v>
      </c>
      <c r="P9896" s="160" t="s">
        <v>67</v>
      </c>
      <c r="Q9896" s="316" t="s">
        <v>29</v>
      </c>
      <c r="R9896" s="160" t="s">
        <v>272</v>
      </c>
      <c r="S9896" s="91"/>
      <c r="T9896" s="98"/>
      <c r="W9896" s="408"/>
      <c r="X9896" s="408"/>
    </row>
    <row r="9897" spans="2:24" ht="69" customHeight="1">
      <c r="B9897" s="231">
        <f t="shared" si="85"/>
        <v>7008</v>
      </c>
      <c r="C9897" s="1080" t="s">
        <v>5658</v>
      </c>
      <c r="D9897" s="502" t="s">
        <v>12227</v>
      </c>
      <c r="E9897" s="86" t="s">
        <v>585</v>
      </c>
      <c r="F9897" s="46" t="s">
        <v>24113</v>
      </c>
      <c r="G9897" s="46" t="s">
        <v>24114</v>
      </c>
      <c r="H9897" s="534">
        <v>9976</v>
      </c>
      <c r="I9897" s="56">
        <v>45682</v>
      </c>
      <c r="J9897" s="199" t="s">
        <v>24115</v>
      </c>
      <c r="K9897" s="46"/>
      <c r="O9897" s="46" t="s">
        <v>24116</v>
      </c>
      <c r="P9897" s="46" t="s">
        <v>65</v>
      </c>
      <c r="Q9897" s="52" t="s">
        <v>66</v>
      </c>
      <c r="R9897" s="266" t="s">
        <v>272</v>
      </c>
    </row>
    <row r="9898" spans="2:24" ht="69" customHeight="1">
      <c r="B9898" s="231">
        <f t="shared" si="85"/>
        <v>7009</v>
      </c>
      <c r="C9898" s="49" t="s">
        <v>450</v>
      </c>
      <c r="D9898" s="502" t="s">
        <v>20317</v>
      </c>
      <c r="E9898" s="86" t="s">
        <v>585</v>
      </c>
      <c r="F9898" s="46" t="s">
        <v>24117</v>
      </c>
      <c r="G9898" s="46" t="s">
        <v>24118</v>
      </c>
      <c r="H9898" s="534">
        <v>9980</v>
      </c>
      <c r="I9898" s="56">
        <v>45682</v>
      </c>
      <c r="J9898" s="52" t="s">
        <v>24119</v>
      </c>
      <c r="K9898" s="46"/>
      <c r="O9898" s="46" t="s">
        <v>24116</v>
      </c>
      <c r="P9898" s="46" t="s">
        <v>65</v>
      </c>
      <c r="Q9898" s="52" t="s">
        <v>13</v>
      </c>
      <c r="R9898" s="266" t="s">
        <v>272</v>
      </c>
    </row>
    <row r="9899" spans="2:24" ht="69" customHeight="1">
      <c r="B9899" s="79">
        <f t="shared" si="85"/>
        <v>7010</v>
      </c>
      <c r="C9899" s="178" t="s">
        <v>581</v>
      </c>
      <c r="D9899" s="551" t="s">
        <v>20333</v>
      </c>
      <c r="E9899" s="680" t="s">
        <v>585</v>
      </c>
      <c r="F9899" s="58" t="s">
        <v>24120</v>
      </c>
      <c r="G9899" s="58" t="s">
        <v>24118</v>
      </c>
      <c r="H9899" s="552">
        <v>9980</v>
      </c>
      <c r="I9899" s="66">
        <v>45682</v>
      </c>
      <c r="J9899" s="62" t="s">
        <v>24119</v>
      </c>
      <c r="K9899" s="58"/>
      <c r="O9899" s="45" t="s">
        <v>24116</v>
      </c>
      <c r="P9899" s="45" t="s">
        <v>65</v>
      </c>
      <c r="Q9899" s="48" t="s">
        <v>18</v>
      </c>
      <c r="R9899" s="61" t="s">
        <v>272</v>
      </c>
    </row>
    <row r="9900" spans="2:24" ht="69" customHeight="1">
      <c r="B9900" s="79">
        <f t="shared" si="85"/>
        <v>7011</v>
      </c>
      <c r="C9900" s="178" t="s">
        <v>458</v>
      </c>
      <c r="D9900" s="498" t="s">
        <v>24121</v>
      </c>
      <c r="E9900" s="58" t="s">
        <v>19223</v>
      </c>
      <c r="F9900" s="58" t="s">
        <v>24122</v>
      </c>
      <c r="G9900" s="58" t="s">
        <v>23369</v>
      </c>
      <c r="H9900" s="546">
        <v>600000</v>
      </c>
      <c r="I9900" s="126">
        <v>45672</v>
      </c>
      <c r="J9900" s="242" t="s">
        <v>24123</v>
      </c>
      <c r="K9900" s="67" t="s">
        <v>24124</v>
      </c>
      <c r="O9900" s="45" t="s">
        <v>141</v>
      </c>
      <c r="P9900" s="45" t="s">
        <v>19</v>
      </c>
      <c r="Q9900" s="48" t="s">
        <v>123</v>
      </c>
      <c r="R9900" s="45" t="s">
        <v>272</v>
      </c>
    </row>
    <row r="9901" spans="2:24" ht="69" customHeight="1">
      <c r="B9901" s="231">
        <f t="shared" si="85"/>
        <v>7012</v>
      </c>
      <c r="C9901" s="191" t="s">
        <v>5615</v>
      </c>
      <c r="D9901" s="502" t="s">
        <v>24125</v>
      </c>
      <c r="E9901" s="191" t="s">
        <v>921</v>
      </c>
      <c r="F9901" s="211" t="s">
        <v>24126</v>
      </c>
      <c r="G9901" s="46" t="s">
        <v>24127</v>
      </c>
      <c r="H9901" s="534">
        <v>40000</v>
      </c>
      <c r="I9901" s="56">
        <v>45672</v>
      </c>
      <c r="J9901" s="199" t="s">
        <v>24128</v>
      </c>
      <c r="K9901" s="46" t="s">
        <v>24013</v>
      </c>
      <c r="O9901" s="46" t="s">
        <v>156</v>
      </c>
      <c r="P9901" s="46" t="s">
        <v>65</v>
      </c>
      <c r="Q9901" s="52" t="s">
        <v>80</v>
      </c>
      <c r="R9901" s="46" t="s">
        <v>272</v>
      </c>
    </row>
    <row r="9902" spans="2:24" ht="69" customHeight="1">
      <c r="B9902" s="79">
        <f t="shared" si="85"/>
        <v>7013</v>
      </c>
      <c r="C9902" s="178" t="s">
        <v>6871</v>
      </c>
      <c r="D9902" s="498" t="s">
        <v>24129</v>
      </c>
      <c r="E9902" s="178" t="s">
        <v>921</v>
      </c>
      <c r="F9902" s="210" t="s">
        <v>24130</v>
      </c>
      <c r="G9902" s="58" t="s">
        <v>24131</v>
      </c>
      <c r="H9902" s="546">
        <v>40000</v>
      </c>
      <c r="I9902" s="126">
        <v>45672</v>
      </c>
      <c r="J9902" s="242" t="s">
        <v>24128</v>
      </c>
      <c r="K9902" s="67" t="s">
        <v>24013</v>
      </c>
      <c r="O9902" s="45" t="s">
        <v>156</v>
      </c>
      <c r="P9902" s="45" t="s">
        <v>65</v>
      </c>
      <c r="Q9902" s="48" t="s">
        <v>82</v>
      </c>
      <c r="R9902" s="45" t="s">
        <v>272</v>
      </c>
    </row>
    <row r="9903" spans="2:24" ht="69" customHeight="1">
      <c r="B9903" s="231">
        <f t="shared" si="85"/>
        <v>7014</v>
      </c>
      <c r="C9903" s="191" t="s">
        <v>13435</v>
      </c>
      <c r="D9903" s="502" t="s">
        <v>24132</v>
      </c>
      <c r="E9903" s="46" t="s">
        <v>22420</v>
      </c>
      <c r="F9903" s="46" t="s">
        <v>24133</v>
      </c>
      <c r="G9903" s="46" t="s">
        <v>24011</v>
      </c>
      <c r="H9903" s="534">
        <v>1459</v>
      </c>
      <c r="I9903" s="56">
        <v>45672</v>
      </c>
      <c r="J9903" s="199" t="s">
        <v>24134</v>
      </c>
      <c r="K9903" s="46"/>
      <c r="O9903" s="45" t="s">
        <v>24135</v>
      </c>
      <c r="P9903" s="45" t="s">
        <v>65</v>
      </c>
      <c r="Q9903" s="48" t="s">
        <v>13</v>
      </c>
      <c r="R9903" s="45" t="s">
        <v>265</v>
      </c>
    </row>
    <row r="9904" spans="2:24" ht="69" customHeight="1">
      <c r="B9904" s="79">
        <f t="shared" si="85"/>
        <v>7015</v>
      </c>
      <c r="C9904" s="178" t="s">
        <v>581</v>
      </c>
      <c r="D9904" s="498" t="s">
        <v>24136</v>
      </c>
      <c r="E9904" s="58" t="s">
        <v>22420</v>
      </c>
      <c r="F9904" s="45" t="s">
        <v>24137</v>
      </c>
      <c r="G9904" s="58" t="s">
        <v>24011</v>
      </c>
      <c r="H9904" s="546">
        <v>1459</v>
      </c>
      <c r="I9904" s="744">
        <v>45672</v>
      </c>
      <c r="J9904" s="242" t="s">
        <v>24134</v>
      </c>
      <c r="K9904" s="67"/>
      <c r="O9904" s="45" t="s">
        <v>23707</v>
      </c>
      <c r="P9904" s="45" t="s">
        <v>65</v>
      </c>
      <c r="Q9904" s="48" t="s">
        <v>18</v>
      </c>
      <c r="R9904" s="45" t="s">
        <v>265</v>
      </c>
    </row>
    <row r="9905" spans="2:18" ht="69" customHeight="1">
      <c r="B9905" s="79">
        <f t="shared" si="85"/>
        <v>7016</v>
      </c>
      <c r="C9905" s="676" t="s">
        <v>3667</v>
      </c>
      <c r="D9905" s="745" t="s">
        <v>24138</v>
      </c>
      <c r="E9905" s="58" t="s">
        <v>16011</v>
      </c>
      <c r="F9905" s="58" t="s">
        <v>24139</v>
      </c>
      <c r="G9905" s="58" t="s">
        <v>24140</v>
      </c>
      <c r="H9905" s="760">
        <v>7808</v>
      </c>
      <c r="I9905" s="744">
        <v>45672</v>
      </c>
      <c r="J9905" s="734" t="s">
        <v>24141</v>
      </c>
      <c r="K9905" s="67" t="s">
        <v>24013</v>
      </c>
      <c r="O9905" s="45" t="s">
        <v>150</v>
      </c>
      <c r="P9905" s="45" t="s">
        <v>51</v>
      </c>
      <c r="Q9905" s="48" t="s">
        <v>60</v>
      </c>
      <c r="R9905" s="45" t="s">
        <v>272</v>
      </c>
    </row>
    <row r="9906" spans="2:18" ht="69" customHeight="1">
      <c r="B9906" s="79">
        <f t="shared" si="85"/>
        <v>7017</v>
      </c>
      <c r="C9906" s="676" t="s">
        <v>3667</v>
      </c>
      <c r="D9906" s="745" t="s">
        <v>24142</v>
      </c>
      <c r="E9906" s="58" t="s">
        <v>16011</v>
      </c>
      <c r="F9906" s="58" t="s">
        <v>24143</v>
      </c>
      <c r="G9906" s="63" t="s">
        <v>24140</v>
      </c>
      <c r="H9906" s="761">
        <v>7808</v>
      </c>
      <c r="I9906" s="247">
        <v>45672</v>
      </c>
      <c r="J9906" s="734" t="s">
        <v>24141</v>
      </c>
      <c r="K9906" s="67" t="s">
        <v>24013</v>
      </c>
      <c r="O9906" s="45" t="s">
        <v>150</v>
      </c>
      <c r="P9906" s="45" t="s">
        <v>51</v>
      </c>
      <c r="Q9906" s="48" t="s">
        <v>62</v>
      </c>
      <c r="R9906" s="45" t="s">
        <v>272</v>
      </c>
    </row>
    <row r="9907" spans="2:18" ht="69" customHeight="1">
      <c r="B9907" s="79">
        <f t="shared" si="85"/>
        <v>7018</v>
      </c>
      <c r="C9907" s="676" t="s">
        <v>3667</v>
      </c>
      <c r="D9907" s="745" t="s">
        <v>24144</v>
      </c>
      <c r="E9907" s="58" t="s">
        <v>16011</v>
      </c>
      <c r="F9907" s="58" t="s">
        <v>24145</v>
      </c>
      <c r="G9907" s="63" t="s">
        <v>24140</v>
      </c>
      <c r="H9907" s="761">
        <v>7808</v>
      </c>
      <c r="I9907" s="247">
        <v>45672</v>
      </c>
      <c r="J9907" s="734" t="s">
        <v>24141</v>
      </c>
      <c r="K9907" s="67" t="s">
        <v>24013</v>
      </c>
      <c r="O9907" s="45" t="s">
        <v>150</v>
      </c>
      <c r="P9907" s="45" t="s">
        <v>51</v>
      </c>
      <c r="Q9907" s="48" t="s">
        <v>68</v>
      </c>
      <c r="R9907" s="45" t="s">
        <v>272</v>
      </c>
    </row>
    <row r="9908" spans="2:18" ht="69" customHeight="1">
      <c r="B9908" s="79">
        <f t="shared" si="85"/>
        <v>7019</v>
      </c>
      <c r="C9908" s="676" t="s">
        <v>3667</v>
      </c>
      <c r="D9908" s="745" t="s">
        <v>24146</v>
      </c>
      <c r="E9908" s="58" t="s">
        <v>16011</v>
      </c>
      <c r="F9908" s="58" t="s">
        <v>24147</v>
      </c>
      <c r="G9908" s="63" t="s">
        <v>24140</v>
      </c>
      <c r="H9908" s="761">
        <v>7808</v>
      </c>
      <c r="I9908" s="247">
        <v>45672</v>
      </c>
      <c r="J9908" s="734" t="s">
        <v>24141</v>
      </c>
      <c r="K9908" s="67" t="s">
        <v>24013</v>
      </c>
      <c r="O9908" s="45" t="s">
        <v>150</v>
      </c>
      <c r="P9908" s="45" t="s">
        <v>51</v>
      </c>
      <c r="Q9908" s="48" t="s">
        <v>70</v>
      </c>
      <c r="R9908" s="45" t="s">
        <v>272</v>
      </c>
    </row>
    <row r="9909" spans="2:18" ht="69" customHeight="1">
      <c r="B9909" s="79">
        <f t="shared" si="85"/>
        <v>7020</v>
      </c>
      <c r="C9909" s="676" t="s">
        <v>3667</v>
      </c>
      <c r="D9909" s="745" t="s">
        <v>24148</v>
      </c>
      <c r="E9909" s="58" t="s">
        <v>16011</v>
      </c>
      <c r="F9909" s="58" t="s">
        <v>24149</v>
      </c>
      <c r="G9909" s="63" t="s">
        <v>24140</v>
      </c>
      <c r="H9909" s="761">
        <v>7808</v>
      </c>
      <c r="I9909" s="247">
        <v>45672</v>
      </c>
      <c r="J9909" s="734" t="s">
        <v>24141</v>
      </c>
      <c r="K9909" s="67" t="s">
        <v>24013</v>
      </c>
      <c r="O9909" s="45" t="s">
        <v>150</v>
      </c>
      <c r="P9909" s="45" t="s">
        <v>51</v>
      </c>
      <c r="Q9909" s="48" t="s">
        <v>84</v>
      </c>
      <c r="R9909" s="45" t="s">
        <v>272</v>
      </c>
    </row>
    <row r="9910" spans="2:18" ht="69" customHeight="1">
      <c r="B9910" s="79">
        <f t="shared" si="85"/>
        <v>7021</v>
      </c>
      <c r="C9910" s="676" t="s">
        <v>3667</v>
      </c>
      <c r="D9910" s="745" t="s">
        <v>24150</v>
      </c>
      <c r="E9910" s="58" t="s">
        <v>16011</v>
      </c>
      <c r="F9910" s="58" t="s">
        <v>24151</v>
      </c>
      <c r="G9910" s="63" t="s">
        <v>24140</v>
      </c>
      <c r="H9910" s="761">
        <v>7808</v>
      </c>
      <c r="I9910" s="247">
        <v>45672</v>
      </c>
      <c r="J9910" s="734" t="s">
        <v>24141</v>
      </c>
      <c r="K9910" s="67" t="s">
        <v>24013</v>
      </c>
      <c r="O9910" s="45" t="s">
        <v>150</v>
      </c>
      <c r="P9910" s="45" t="s">
        <v>51</v>
      </c>
      <c r="Q9910" s="48" t="s">
        <v>74</v>
      </c>
      <c r="R9910" s="45" t="s">
        <v>272</v>
      </c>
    </row>
    <row r="9911" spans="2:18" ht="69" customHeight="1">
      <c r="B9911" s="79">
        <f t="shared" si="85"/>
        <v>7022</v>
      </c>
      <c r="C9911" s="676" t="s">
        <v>3667</v>
      </c>
      <c r="D9911" s="745" t="s">
        <v>24152</v>
      </c>
      <c r="E9911" s="58" t="s">
        <v>16011</v>
      </c>
      <c r="F9911" s="58" t="s">
        <v>24153</v>
      </c>
      <c r="G9911" s="63" t="s">
        <v>24140</v>
      </c>
      <c r="H9911" s="761">
        <v>7808</v>
      </c>
      <c r="I9911" s="247">
        <v>45672</v>
      </c>
      <c r="J9911" s="734" t="s">
        <v>24141</v>
      </c>
      <c r="K9911" s="67" t="s">
        <v>24013</v>
      </c>
      <c r="O9911" s="45" t="s">
        <v>150</v>
      </c>
      <c r="P9911" s="45" t="s">
        <v>51</v>
      </c>
      <c r="Q9911" s="48" t="s">
        <v>76</v>
      </c>
      <c r="R9911" s="45" t="s">
        <v>272</v>
      </c>
    </row>
    <row r="9912" spans="2:18" ht="69" customHeight="1">
      <c r="B9912" s="79">
        <f t="shared" si="85"/>
        <v>7023</v>
      </c>
      <c r="C9912" s="676" t="s">
        <v>3667</v>
      </c>
      <c r="D9912" s="745" t="s">
        <v>24154</v>
      </c>
      <c r="E9912" s="58" t="s">
        <v>16011</v>
      </c>
      <c r="F9912" s="58" t="s">
        <v>24155</v>
      </c>
      <c r="G9912" s="63" t="s">
        <v>24140</v>
      </c>
      <c r="H9912" s="761">
        <v>7808</v>
      </c>
      <c r="I9912" s="247">
        <v>45672</v>
      </c>
      <c r="J9912" s="734" t="s">
        <v>24141</v>
      </c>
      <c r="K9912" s="67" t="s">
        <v>24013</v>
      </c>
      <c r="O9912" s="45" t="s">
        <v>150</v>
      </c>
      <c r="P9912" s="45" t="s">
        <v>51</v>
      </c>
      <c r="Q9912" s="48" t="s">
        <v>78</v>
      </c>
      <c r="R9912" s="45" t="s">
        <v>272</v>
      </c>
    </row>
    <row r="9913" spans="2:18" ht="69" customHeight="1">
      <c r="B9913" s="79">
        <f t="shared" si="85"/>
        <v>7024</v>
      </c>
      <c r="C9913" s="676" t="s">
        <v>3667</v>
      </c>
      <c r="D9913" s="745" t="s">
        <v>24156</v>
      </c>
      <c r="E9913" s="58" t="s">
        <v>16011</v>
      </c>
      <c r="F9913" s="58" t="s">
        <v>24157</v>
      </c>
      <c r="G9913" s="63" t="s">
        <v>24140</v>
      </c>
      <c r="H9913" s="761">
        <v>7808</v>
      </c>
      <c r="I9913" s="247">
        <v>45672</v>
      </c>
      <c r="J9913" s="734" t="s">
        <v>24141</v>
      </c>
      <c r="K9913" s="67" t="s">
        <v>24013</v>
      </c>
      <c r="O9913" s="45" t="s">
        <v>150</v>
      </c>
      <c r="P9913" s="45" t="s">
        <v>51</v>
      </c>
      <c r="Q9913" s="48" t="s">
        <v>66</v>
      </c>
      <c r="R9913" s="45" t="s">
        <v>272</v>
      </c>
    </row>
    <row r="9914" spans="2:18" ht="69" customHeight="1">
      <c r="B9914" s="79">
        <f t="shared" si="85"/>
        <v>7025</v>
      </c>
      <c r="C9914" s="680" t="s">
        <v>309</v>
      </c>
      <c r="D9914" s="745" t="s">
        <v>20338</v>
      </c>
      <c r="E9914" s="58" t="s">
        <v>16011</v>
      </c>
      <c r="F9914" s="58" t="s">
        <v>24158</v>
      </c>
      <c r="G9914" s="63" t="s">
        <v>24140</v>
      </c>
      <c r="H9914" s="761">
        <v>7808</v>
      </c>
      <c r="I9914" s="247">
        <v>45672</v>
      </c>
      <c r="J9914" s="734" t="s">
        <v>24141</v>
      </c>
      <c r="K9914" s="67"/>
      <c r="O9914" s="45" t="s">
        <v>150</v>
      </c>
      <c r="P9914" s="45" t="s">
        <v>51</v>
      </c>
      <c r="Q9914" s="48" t="s">
        <v>13</v>
      </c>
      <c r="R9914" s="45" t="s">
        <v>272</v>
      </c>
    </row>
    <row r="9915" spans="2:18" ht="69" customHeight="1">
      <c r="B9915" s="79">
        <f t="shared" si="85"/>
        <v>7026</v>
      </c>
      <c r="C9915" s="680" t="s">
        <v>309</v>
      </c>
      <c r="D9915" s="745" t="s">
        <v>20325</v>
      </c>
      <c r="E9915" s="58" t="s">
        <v>16011</v>
      </c>
      <c r="F9915" s="58" t="s">
        <v>24159</v>
      </c>
      <c r="G9915" s="63" t="s">
        <v>24140</v>
      </c>
      <c r="H9915" s="761">
        <v>7808</v>
      </c>
      <c r="I9915" s="247">
        <v>45672</v>
      </c>
      <c r="J9915" s="734" t="s">
        <v>24141</v>
      </c>
      <c r="K9915" s="67"/>
      <c r="O9915" s="45" t="s">
        <v>150</v>
      </c>
      <c r="P9915" s="45" t="s">
        <v>51</v>
      </c>
      <c r="Q9915" s="48" t="s">
        <v>18</v>
      </c>
      <c r="R9915" s="45" t="s">
        <v>272</v>
      </c>
    </row>
    <row r="9916" spans="2:18" ht="69" customHeight="1">
      <c r="B9916" s="79">
        <f t="shared" si="85"/>
        <v>7027</v>
      </c>
      <c r="C9916" s="680" t="s">
        <v>309</v>
      </c>
      <c r="D9916" s="745" t="s">
        <v>20329</v>
      </c>
      <c r="E9916" s="58" t="s">
        <v>16011</v>
      </c>
      <c r="F9916" s="58" t="s">
        <v>24160</v>
      </c>
      <c r="G9916" s="63" t="s">
        <v>24140</v>
      </c>
      <c r="H9916" s="761">
        <v>7808</v>
      </c>
      <c r="I9916" s="247">
        <v>45672</v>
      </c>
      <c r="J9916" s="734" t="s">
        <v>24141</v>
      </c>
      <c r="K9916" s="67"/>
      <c r="O9916" s="45" t="s">
        <v>150</v>
      </c>
      <c r="P9916" s="45" t="s">
        <v>51</v>
      </c>
      <c r="Q9916" s="48" t="s">
        <v>29</v>
      </c>
      <c r="R9916" s="45" t="s">
        <v>272</v>
      </c>
    </row>
    <row r="9917" spans="2:18" ht="69" customHeight="1">
      <c r="B9917" s="79">
        <f t="shared" si="85"/>
        <v>7028</v>
      </c>
      <c r="C9917" s="680" t="s">
        <v>309</v>
      </c>
      <c r="D9917" s="745" t="s">
        <v>20331</v>
      </c>
      <c r="E9917" s="58" t="s">
        <v>16011</v>
      </c>
      <c r="F9917" s="58" t="s">
        <v>24161</v>
      </c>
      <c r="G9917" s="63" t="s">
        <v>24140</v>
      </c>
      <c r="H9917" s="761">
        <v>7808</v>
      </c>
      <c r="I9917" s="247">
        <v>45672</v>
      </c>
      <c r="J9917" s="734" t="s">
        <v>24141</v>
      </c>
      <c r="K9917" s="67"/>
      <c r="O9917" s="45" t="s">
        <v>150</v>
      </c>
      <c r="P9917" s="45" t="s">
        <v>51</v>
      </c>
      <c r="Q9917" s="48" t="s">
        <v>31</v>
      </c>
      <c r="R9917" s="45" t="s">
        <v>272</v>
      </c>
    </row>
    <row r="9918" spans="2:18" ht="69" customHeight="1">
      <c r="B9918" s="79">
        <f t="shared" si="85"/>
        <v>7029</v>
      </c>
      <c r="C9918" s="680" t="s">
        <v>309</v>
      </c>
      <c r="D9918" s="745" t="s">
        <v>24162</v>
      </c>
      <c r="E9918" s="58" t="s">
        <v>16011</v>
      </c>
      <c r="F9918" s="58" t="s">
        <v>24163</v>
      </c>
      <c r="G9918" s="63" t="s">
        <v>24140</v>
      </c>
      <c r="H9918" s="761">
        <v>7808</v>
      </c>
      <c r="I9918" s="247">
        <v>45672</v>
      </c>
      <c r="J9918" s="734" t="s">
        <v>24141</v>
      </c>
      <c r="K9918" s="67"/>
      <c r="O9918" s="45" t="s">
        <v>150</v>
      </c>
      <c r="P9918" s="45" t="s">
        <v>51</v>
      </c>
      <c r="Q9918" s="48" t="s">
        <v>23</v>
      </c>
      <c r="R9918" s="45" t="s">
        <v>272</v>
      </c>
    </row>
    <row r="9919" spans="2:18" ht="69" customHeight="1">
      <c r="B9919" s="79">
        <f t="shared" si="85"/>
        <v>7030</v>
      </c>
      <c r="C9919" s="680" t="s">
        <v>309</v>
      </c>
      <c r="D9919" s="745" t="s">
        <v>20348</v>
      </c>
      <c r="E9919" s="58" t="s">
        <v>16011</v>
      </c>
      <c r="F9919" s="58" t="s">
        <v>24164</v>
      </c>
      <c r="G9919" s="63" t="s">
        <v>24140</v>
      </c>
      <c r="H9919" s="761">
        <v>7808</v>
      </c>
      <c r="I9919" s="247">
        <v>45672</v>
      </c>
      <c r="J9919" s="734" t="s">
        <v>24141</v>
      </c>
      <c r="K9919" s="67"/>
      <c r="O9919" s="45" t="s">
        <v>150</v>
      </c>
      <c r="P9919" s="45" t="s">
        <v>51</v>
      </c>
      <c r="Q9919" s="48" t="s">
        <v>27</v>
      </c>
      <c r="R9919" s="45" t="s">
        <v>272</v>
      </c>
    </row>
    <row r="9920" spans="2:18" ht="69" customHeight="1">
      <c r="B9920" s="79">
        <f t="shared" si="85"/>
        <v>7031</v>
      </c>
      <c r="C9920" s="680" t="s">
        <v>309</v>
      </c>
      <c r="D9920" s="745" t="s">
        <v>24165</v>
      </c>
      <c r="E9920" s="58" t="s">
        <v>16011</v>
      </c>
      <c r="F9920" s="58" t="s">
        <v>24166</v>
      </c>
      <c r="G9920" s="63" t="s">
        <v>24140</v>
      </c>
      <c r="H9920" s="761">
        <v>7808</v>
      </c>
      <c r="I9920" s="247">
        <v>45672</v>
      </c>
      <c r="J9920" s="734" t="s">
        <v>24141</v>
      </c>
      <c r="K9920" s="67"/>
      <c r="O9920" s="45" t="s">
        <v>150</v>
      </c>
      <c r="P9920" s="45" t="s">
        <v>51</v>
      </c>
      <c r="Q9920" s="48" t="s">
        <v>39</v>
      </c>
      <c r="R9920" s="45" t="s">
        <v>272</v>
      </c>
    </row>
    <row r="9921" spans="2:18" ht="69" customHeight="1">
      <c r="B9921" s="79">
        <f t="shared" si="85"/>
        <v>7032</v>
      </c>
      <c r="C9921" s="680" t="s">
        <v>309</v>
      </c>
      <c r="D9921" s="745" t="s">
        <v>24167</v>
      </c>
      <c r="E9921" s="58" t="s">
        <v>16011</v>
      </c>
      <c r="F9921" s="58" t="s">
        <v>24168</v>
      </c>
      <c r="G9921" s="63" t="s">
        <v>24140</v>
      </c>
      <c r="H9921" s="761">
        <v>7808</v>
      </c>
      <c r="I9921" s="247">
        <v>45672</v>
      </c>
      <c r="J9921" s="734" t="s">
        <v>24141</v>
      </c>
      <c r="K9921" s="67"/>
      <c r="O9921" s="45" t="s">
        <v>150</v>
      </c>
      <c r="P9921" s="45" t="s">
        <v>51</v>
      </c>
      <c r="Q9921" s="48" t="s">
        <v>41</v>
      </c>
      <c r="R9921" s="45" t="s">
        <v>272</v>
      </c>
    </row>
    <row r="9922" spans="2:18" ht="69" customHeight="1">
      <c r="B9922" s="79">
        <f t="shared" si="85"/>
        <v>7033</v>
      </c>
      <c r="C9922" s="680" t="s">
        <v>458</v>
      </c>
      <c r="D9922" s="745" t="s">
        <v>24169</v>
      </c>
      <c r="E9922" s="58" t="s">
        <v>16011</v>
      </c>
      <c r="F9922" s="58" t="s">
        <v>24170</v>
      </c>
      <c r="G9922" s="63" t="s">
        <v>24140</v>
      </c>
      <c r="H9922" s="761">
        <v>7808</v>
      </c>
      <c r="I9922" s="247">
        <v>45672</v>
      </c>
      <c r="J9922" s="734" t="s">
        <v>24141</v>
      </c>
      <c r="K9922" s="67"/>
      <c r="O9922" s="45" t="s">
        <v>150</v>
      </c>
      <c r="P9922" s="45" t="s">
        <v>51</v>
      </c>
      <c r="Q9922" s="48" t="s">
        <v>100</v>
      </c>
      <c r="R9922" s="45" t="s">
        <v>272</v>
      </c>
    </row>
    <row r="9923" spans="2:18" ht="69" customHeight="1">
      <c r="B9923" s="79">
        <f t="shared" ref="B9923:B9986" si="86">B9922+1</f>
        <v>7034</v>
      </c>
      <c r="C9923" s="680" t="s">
        <v>458</v>
      </c>
      <c r="D9923" s="745" t="s">
        <v>24171</v>
      </c>
      <c r="E9923" s="58" t="s">
        <v>16011</v>
      </c>
      <c r="F9923" s="58" t="s">
        <v>24172</v>
      </c>
      <c r="G9923" s="63" t="s">
        <v>24140</v>
      </c>
      <c r="H9923" s="761">
        <v>7808</v>
      </c>
      <c r="I9923" s="247">
        <v>45672</v>
      </c>
      <c r="J9923" s="734" t="s">
        <v>24141</v>
      </c>
      <c r="K9923" s="67"/>
      <c r="O9923" s="45" t="s">
        <v>150</v>
      </c>
      <c r="P9923" s="45" t="s">
        <v>51</v>
      </c>
      <c r="Q9923" s="48" t="s">
        <v>107</v>
      </c>
      <c r="R9923" s="45" t="s">
        <v>272</v>
      </c>
    </row>
    <row r="9924" spans="2:18" ht="69" customHeight="1">
      <c r="B9924" s="79">
        <f t="shared" si="86"/>
        <v>7035</v>
      </c>
      <c r="C9924" s="680" t="s">
        <v>458</v>
      </c>
      <c r="D9924" s="745" t="s">
        <v>24173</v>
      </c>
      <c r="E9924" s="58" t="s">
        <v>16011</v>
      </c>
      <c r="F9924" s="58" t="s">
        <v>24174</v>
      </c>
      <c r="G9924" s="63" t="s">
        <v>24140</v>
      </c>
      <c r="H9924" s="762">
        <v>7808</v>
      </c>
      <c r="I9924" s="126">
        <v>45672</v>
      </c>
      <c r="J9924" s="734" t="s">
        <v>24141</v>
      </c>
      <c r="K9924" s="67"/>
      <c r="O9924" s="45" t="s">
        <v>150</v>
      </c>
      <c r="P9924" s="45" t="s">
        <v>51</v>
      </c>
      <c r="Q9924" s="48" t="s">
        <v>112</v>
      </c>
      <c r="R9924" s="45" t="s">
        <v>272</v>
      </c>
    </row>
    <row r="9925" spans="2:18" ht="69" customHeight="1">
      <c r="B9925" s="79">
        <f t="shared" si="86"/>
        <v>7036</v>
      </c>
      <c r="C9925" s="680" t="s">
        <v>657</v>
      </c>
      <c r="D9925" s="745" t="s">
        <v>13474</v>
      </c>
      <c r="E9925" s="58" t="s">
        <v>16011</v>
      </c>
      <c r="F9925" s="58" t="s">
        <v>24175</v>
      </c>
      <c r="G9925" s="63" t="s">
        <v>24140</v>
      </c>
      <c r="H9925" s="761">
        <v>7808</v>
      </c>
      <c r="I9925" s="126">
        <v>45672</v>
      </c>
      <c r="J9925" s="734" t="s">
        <v>24141</v>
      </c>
      <c r="K9925" s="67"/>
      <c r="O9925" s="45" t="s">
        <v>150</v>
      </c>
      <c r="P9925" s="45" t="s">
        <v>51</v>
      </c>
      <c r="Q9925" s="48" t="s">
        <v>97</v>
      </c>
      <c r="R9925" s="45" t="s">
        <v>272</v>
      </c>
    </row>
    <row r="9926" spans="2:18" ht="69" customHeight="1">
      <c r="B9926" s="79">
        <f t="shared" si="86"/>
        <v>7037</v>
      </c>
      <c r="C9926" s="680" t="s">
        <v>657</v>
      </c>
      <c r="D9926" s="745" t="s">
        <v>13480</v>
      </c>
      <c r="E9926" s="58" t="s">
        <v>16011</v>
      </c>
      <c r="F9926" s="58" t="s">
        <v>24176</v>
      </c>
      <c r="G9926" s="63" t="s">
        <v>24140</v>
      </c>
      <c r="H9926" s="761">
        <v>7808</v>
      </c>
      <c r="I9926" s="126">
        <v>45672</v>
      </c>
      <c r="J9926" s="734" t="s">
        <v>24141</v>
      </c>
      <c r="K9926" s="67"/>
      <c r="O9926" s="60" t="s">
        <v>150</v>
      </c>
      <c r="P9926" s="45" t="s">
        <v>51</v>
      </c>
      <c r="Q9926" s="48" t="s">
        <v>104</v>
      </c>
      <c r="R9926" s="45" t="s">
        <v>272</v>
      </c>
    </row>
    <row r="9927" spans="2:18" ht="69" customHeight="1">
      <c r="B9927" s="79">
        <f t="shared" si="86"/>
        <v>7038</v>
      </c>
      <c r="C9927" s="178" t="s">
        <v>581</v>
      </c>
      <c r="D9927" s="498" t="s">
        <v>20377</v>
      </c>
      <c r="E9927" s="758" t="s">
        <v>266</v>
      </c>
      <c r="F9927" s="681" t="s">
        <v>24177</v>
      </c>
      <c r="G9927" s="58" t="s">
        <v>24178</v>
      </c>
      <c r="H9927" s="757">
        <v>123</v>
      </c>
      <c r="I9927" s="252">
        <v>45672</v>
      </c>
      <c r="J9927" s="734" t="s">
        <v>24179</v>
      </c>
      <c r="K9927" s="67" t="s">
        <v>22203</v>
      </c>
      <c r="O9927" s="58" t="s">
        <v>23719</v>
      </c>
      <c r="P9927" s="58" t="s">
        <v>65</v>
      </c>
      <c r="Q9927" s="62" t="s">
        <v>18</v>
      </c>
      <c r="R9927" s="58" t="s">
        <v>272</v>
      </c>
    </row>
    <row r="9928" spans="2:18" ht="69" customHeight="1">
      <c r="B9928" s="79">
        <f t="shared" si="86"/>
        <v>7039</v>
      </c>
      <c r="C9928" s="59" t="s">
        <v>3667</v>
      </c>
      <c r="D9928" s="498" t="s">
        <v>24180</v>
      </c>
      <c r="E9928" s="58" t="s">
        <v>18182</v>
      </c>
      <c r="F9928" s="677" t="s">
        <v>24181</v>
      </c>
      <c r="G9928" s="45" t="s">
        <v>16340</v>
      </c>
      <c r="H9928" s="730">
        <v>46838.79</v>
      </c>
      <c r="I9928" s="731">
        <v>45672</v>
      </c>
      <c r="J9928" s="125" t="s">
        <v>24182</v>
      </c>
      <c r="K9928" s="67" t="s">
        <v>24013</v>
      </c>
      <c r="O9928" s="62" t="s">
        <v>10607</v>
      </c>
      <c r="P9928" s="58" t="s">
        <v>22</v>
      </c>
      <c r="Q9928" s="48" t="s">
        <v>95</v>
      </c>
      <c r="R9928" s="45" t="s">
        <v>272</v>
      </c>
    </row>
    <row r="9929" spans="2:18" ht="69" customHeight="1">
      <c r="B9929" s="79">
        <f t="shared" si="86"/>
        <v>7040</v>
      </c>
      <c r="C9929" s="59" t="s">
        <v>3667</v>
      </c>
      <c r="D9929" s="498" t="s">
        <v>24183</v>
      </c>
      <c r="E9929" s="58" t="s">
        <v>18182</v>
      </c>
      <c r="F9929" s="677" t="s">
        <v>24184</v>
      </c>
      <c r="G9929" s="45" t="s">
        <v>16340</v>
      </c>
      <c r="H9929" s="730">
        <v>46838.79</v>
      </c>
      <c r="I9929" s="731">
        <v>45672</v>
      </c>
      <c r="J9929" s="125" t="s">
        <v>24182</v>
      </c>
      <c r="K9929" s="67" t="s">
        <v>24013</v>
      </c>
      <c r="O9929" s="62" t="s">
        <v>10607</v>
      </c>
      <c r="P9929" s="58" t="s">
        <v>22</v>
      </c>
      <c r="Q9929" s="48" t="s">
        <v>93</v>
      </c>
      <c r="R9929" s="45" t="s">
        <v>272</v>
      </c>
    </row>
    <row r="9930" spans="2:18" ht="69" customHeight="1">
      <c r="B9930" s="79">
        <f t="shared" si="86"/>
        <v>7041</v>
      </c>
      <c r="C9930" s="178" t="s">
        <v>10944</v>
      </c>
      <c r="D9930" s="498" t="s">
        <v>13503</v>
      </c>
      <c r="E9930" s="45" t="s">
        <v>22151</v>
      </c>
      <c r="F9930" s="45" t="s">
        <v>24185</v>
      </c>
      <c r="G9930" s="59" t="s">
        <v>24186</v>
      </c>
      <c r="H9930" s="361">
        <v>9018.56</v>
      </c>
      <c r="I9930" s="731">
        <v>45672</v>
      </c>
      <c r="J9930" s="242" t="s">
        <v>24187</v>
      </c>
      <c r="K9930" s="67"/>
      <c r="O9930" s="45" t="s">
        <v>8228</v>
      </c>
      <c r="P9930" s="58" t="s">
        <v>57</v>
      </c>
      <c r="Q9930" s="48" t="s">
        <v>120</v>
      </c>
      <c r="R9930" s="45" t="s">
        <v>272</v>
      </c>
    </row>
    <row r="9931" spans="2:18" ht="69" customHeight="1">
      <c r="B9931" s="79">
        <f t="shared" si="86"/>
        <v>7042</v>
      </c>
      <c r="C9931" s="178" t="s">
        <v>10944</v>
      </c>
      <c r="D9931" s="498" t="s">
        <v>18405</v>
      </c>
      <c r="E9931" s="45" t="s">
        <v>22151</v>
      </c>
      <c r="F9931" s="45" t="s">
        <v>24188</v>
      </c>
      <c r="G9931" s="649" t="s">
        <v>24186</v>
      </c>
      <c r="H9931" s="376">
        <v>7167.47</v>
      </c>
      <c r="I9931" s="759">
        <v>45672</v>
      </c>
      <c r="J9931" s="242" t="s">
        <v>24187</v>
      </c>
      <c r="K9931" s="67"/>
      <c r="O9931" s="45" t="s">
        <v>8228</v>
      </c>
      <c r="P9931" s="58" t="s">
        <v>57</v>
      </c>
      <c r="Q9931" s="48" t="s">
        <v>120</v>
      </c>
      <c r="R9931" s="45" t="s">
        <v>272</v>
      </c>
    </row>
    <row r="9932" spans="2:18" ht="69" customHeight="1">
      <c r="B9932" s="79">
        <f t="shared" si="86"/>
        <v>7043</v>
      </c>
      <c r="C9932" s="178" t="s">
        <v>10944</v>
      </c>
      <c r="D9932" s="498" t="s">
        <v>13531</v>
      </c>
      <c r="E9932" s="45" t="s">
        <v>22151</v>
      </c>
      <c r="F9932" s="45" t="s">
        <v>24189</v>
      </c>
      <c r="G9932" s="59" t="s">
        <v>24190</v>
      </c>
      <c r="H9932" s="894">
        <v>36074.230000000003</v>
      </c>
      <c r="I9932" s="731">
        <v>45672</v>
      </c>
      <c r="J9932" s="242" t="s">
        <v>24187</v>
      </c>
      <c r="K9932" s="67"/>
      <c r="O9932" s="45" t="s">
        <v>8228</v>
      </c>
      <c r="P9932" s="58" t="s">
        <v>57</v>
      </c>
      <c r="Q9932" s="48" t="s">
        <v>120</v>
      </c>
      <c r="R9932" s="45" t="s">
        <v>272</v>
      </c>
    </row>
    <row r="9933" spans="2:18" ht="69" customHeight="1">
      <c r="B9933" s="79">
        <f t="shared" si="86"/>
        <v>7044</v>
      </c>
      <c r="C9933" s="178" t="s">
        <v>10944</v>
      </c>
      <c r="D9933" s="498" t="s">
        <v>13534</v>
      </c>
      <c r="E9933" s="45" t="s">
        <v>22151</v>
      </c>
      <c r="F9933" s="45" t="s">
        <v>24191</v>
      </c>
      <c r="G9933" s="59" t="s">
        <v>24190</v>
      </c>
      <c r="H9933" s="552">
        <v>7167.47</v>
      </c>
      <c r="I9933" s="731"/>
      <c r="J9933" s="242" t="s">
        <v>24187</v>
      </c>
      <c r="K9933" s="67"/>
      <c r="O9933" s="45" t="s">
        <v>8228</v>
      </c>
      <c r="P9933" s="58" t="s">
        <v>57</v>
      </c>
      <c r="Q9933" s="48" t="s">
        <v>120</v>
      </c>
      <c r="R9933" s="45" t="s">
        <v>272</v>
      </c>
    </row>
    <row r="9934" spans="2:18" ht="69" customHeight="1">
      <c r="B9934" s="239">
        <f t="shared" si="86"/>
        <v>7045</v>
      </c>
      <c r="C9934" s="59" t="s">
        <v>13562</v>
      </c>
      <c r="D9934" s="489" t="s">
        <v>22454</v>
      </c>
      <c r="E9934" s="728" t="s">
        <v>266</v>
      </c>
      <c r="F9934" s="45" t="s">
        <v>24192</v>
      </c>
      <c r="G9934" s="45" t="s">
        <v>24193</v>
      </c>
      <c r="H9934" s="198">
        <v>750</v>
      </c>
      <c r="I9934" s="731">
        <v>45337</v>
      </c>
      <c r="J9934" s="73" t="s">
        <v>24194</v>
      </c>
      <c r="K9934" s="45"/>
      <c r="O9934" s="45" t="s">
        <v>24195</v>
      </c>
      <c r="P9934" s="45" t="s">
        <v>65</v>
      </c>
      <c r="Q9934" s="48" t="s">
        <v>88</v>
      </c>
      <c r="R9934" s="45" t="s">
        <v>272</v>
      </c>
    </row>
    <row r="9935" spans="2:18" ht="69" customHeight="1">
      <c r="B9935" s="231">
        <f t="shared" si="86"/>
        <v>7046</v>
      </c>
      <c r="C9935" s="191" t="s">
        <v>6693</v>
      </c>
      <c r="D9935" s="502" t="s">
        <v>24196</v>
      </c>
      <c r="E9935" s="377" t="s">
        <v>266</v>
      </c>
      <c r="F9935" s="46" t="s">
        <v>24197</v>
      </c>
      <c r="G9935" s="46" t="s">
        <v>24198</v>
      </c>
      <c r="H9935" s="534">
        <v>2640</v>
      </c>
      <c r="I9935" s="56">
        <v>45693</v>
      </c>
      <c r="J9935" s="199" t="s">
        <v>24199</v>
      </c>
      <c r="K9935" s="46"/>
      <c r="O9935" s="46" t="s">
        <v>24200</v>
      </c>
      <c r="P9935" s="46" t="s">
        <v>65</v>
      </c>
      <c r="Q9935" s="52" t="s">
        <v>78</v>
      </c>
      <c r="R9935" s="46" t="s">
        <v>272</v>
      </c>
    </row>
    <row r="9936" spans="2:18" ht="69" customHeight="1">
      <c r="B9936" s="231">
        <f t="shared" si="86"/>
        <v>7047</v>
      </c>
      <c r="C9936" s="191" t="s">
        <v>13435</v>
      </c>
      <c r="D9936" s="502" t="s">
        <v>24201</v>
      </c>
      <c r="E9936" s="377" t="s">
        <v>266</v>
      </c>
      <c r="F9936" s="46" t="s">
        <v>24202</v>
      </c>
      <c r="G9936" s="46" t="s">
        <v>24198</v>
      </c>
      <c r="H9936" s="534">
        <v>3840</v>
      </c>
      <c r="I9936" s="56">
        <v>45693</v>
      </c>
      <c r="J9936" s="199" t="s">
        <v>24199</v>
      </c>
      <c r="K9936" s="46"/>
      <c r="O9936" s="46" t="s">
        <v>24200</v>
      </c>
      <c r="P9936" s="46" t="s">
        <v>65</v>
      </c>
      <c r="Q9936" s="52" t="s">
        <v>13</v>
      </c>
      <c r="R9936" s="46" t="s">
        <v>272</v>
      </c>
    </row>
    <row r="9937" spans="2:18" ht="69" customHeight="1">
      <c r="B9937" s="231">
        <f t="shared" si="86"/>
        <v>7048</v>
      </c>
      <c r="C9937" s="191" t="s">
        <v>6693</v>
      </c>
      <c r="D9937" s="502" t="s">
        <v>24203</v>
      </c>
      <c r="E9937" s="377" t="s">
        <v>266</v>
      </c>
      <c r="F9937" s="46" t="s">
        <v>24204</v>
      </c>
      <c r="G9937" s="46" t="s">
        <v>24205</v>
      </c>
      <c r="H9937" s="534">
        <v>1320</v>
      </c>
      <c r="I9937" s="56">
        <v>45693</v>
      </c>
      <c r="J9937" s="199" t="s">
        <v>24199</v>
      </c>
      <c r="K9937" s="46"/>
      <c r="O9937" s="46" t="s">
        <v>24200</v>
      </c>
      <c r="P9937" s="46" t="s">
        <v>65</v>
      </c>
      <c r="Q9937" s="52" t="s">
        <v>78</v>
      </c>
      <c r="R9937" s="46" t="s">
        <v>272</v>
      </c>
    </row>
    <row r="9938" spans="2:18" ht="69" customHeight="1">
      <c r="B9938" s="231">
        <f t="shared" si="86"/>
        <v>7049</v>
      </c>
      <c r="C9938" s="191" t="s">
        <v>13435</v>
      </c>
      <c r="D9938" s="502" t="s">
        <v>22913</v>
      </c>
      <c r="E9938" s="377" t="s">
        <v>266</v>
      </c>
      <c r="F9938" s="46" t="s">
        <v>24206</v>
      </c>
      <c r="G9938" s="46" t="s">
        <v>24205</v>
      </c>
      <c r="H9938" s="534">
        <v>1920</v>
      </c>
      <c r="I9938" s="56">
        <v>45693</v>
      </c>
      <c r="J9938" s="199" t="s">
        <v>24199</v>
      </c>
      <c r="K9938" s="46"/>
      <c r="O9938" s="46" t="s">
        <v>24200</v>
      </c>
      <c r="P9938" s="46" t="s">
        <v>65</v>
      </c>
      <c r="Q9938" s="52" t="s">
        <v>13</v>
      </c>
      <c r="R9938" s="46" t="s">
        <v>272</v>
      </c>
    </row>
    <row r="9939" spans="2:18" ht="69" customHeight="1">
      <c r="B9939" s="79">
        <f t="shared" si="86"/>
        <v>7050</v>
      </c>
      <c r="C9939" s="178" t="s">
        <v>753</v>
      </c>
      <c r="D9939" s="498" t="s">
        <v>24207</v>
      </c>
      <c r="E9939" s="58" t="s">
        <v>20621</v>
      </c>
      <c r="F9939" s="58" t="s">
        <v>24208</v>
      </c>
      <c r="G9939" s="58" t="s">
        <v>24015</v>
      </c>
      <c r="H9939" s="198">
        <v>445447.23</v>
      </c>
      <c r="I9939" s="731">
        <v>45646</v>
      </c>
      <c r="J9939" s="242" t="s">
        <v>24016</v>
      </c>
      <c r="K9939" s="67" t="s">
        <v>24209</v>
      </c>
      <c r="O9939" s="45" t="s">
        <v>1566</v>
      </c>
      <c r="P9939" s="45" t="s">
        <v>28</v>
      </c>
      <c r="Q9939" s="48" t="s">
        <v>20</v>
      </c>
      <c r="R9939" s="45" t="s">
        <v>272</v>
      </c>
    </row>
    <row r="9940" spans="2:18" ht="69" customHeight="1">
      <c r="B9940" s="79">
        <f t="shared" si="86"/>
        <v>7051</v>
      </c>
      <c r="C9940" s="178" t="s">
        <v>1323</v>
      </c>
      <c r="D9940" s="498" t="s">
        <v>24207</v>
      </c>
      <c r="E9940" s="58" t="s">
        <v>20621</v>
      </c>
      <c r="F9940" s="58" t="s">
        <v>24210</v>
      </c>
      <c r="G9940" s="58" t="s">
        <v>24015</v>
      </c>
      <c r="H9940" s="546">
        <v>281234.43</v>
      </c>
      <c r="I9940" s="731">
        <v>45646</v>
      </c>
      <c r="J9940" s="242" t="s">
        <v>24016</v>
      </c>
      <c r="K9940" s="67" t="s">
        <v>24209</v>
      </c>
      <c r="O9940" s="45" t="s">
        <v>1566</v>
      </c>
      <c r="P9940" s="45" t="s">
        <v>28</v>
      </c>
      <c r="Q9940" s="48" t="s">
        <v>25</v>
      </c>
      <c r="R9940" s="45" t="s">
        <v>272</v>
      </c>
    </row>
    <row r="9941" spans="2:18" ht="69" customHeight="1">
      <c r="B9941" s="79">
        <f t="shared" si="86"/>
        <v>7052</v>
      </c>
      <c r="C9941" s="178" t="s">
        <v>1593</v>
      </c>
      <c r="D9941" s="498" t="s">
        <v>24207</v>
      </c>
      <c r="E9941" s="58" t="s">
        <v>20621</v>
      </c>
      <c r="F9941" s="58" t="s">
        <v>24211</v>
      </c>
      <c r="G9941" s="58" t="s">
        <v>24015</v>
      </c>
      <c r="H9941" s="546">
        <v>886699.33</v>
      </c>
      <c r="I9941" s="731">
        <v>45646</v>
      </c>
      <c r="J9941" s="242" t="s">
        <v>24016</v>
      </c>
      <c r="K9941" s="67" t="s">
        <v>24209</v>
      </c>
      <c r="O9941" s="45" t="s">
        <v>1566</v>
      </c>
      <c r="P9941" s="45" t="s">
        <v>28</v>
      </c>
      <c r="Q9941" s="48" t="s">
        <v>27</v>
      </c>
      <c r="R9941" s="45" t="s">
        <v>272</v>
      </c>
    </row>
    <row r="9942" spans="2:18" ht="69" customHeight="1">
      <c r="B9942" s="79">
        <f t="shared" si="86"/>
        <v>7053</v>
      </c>
      <c r="C9942" s="178" t="s">
        <v>7521</v>
      </c>
      <c r="D9942" s="498" t="s">
        <v>24207</v>
      </c>
      <c r="E9942" s="58" t="s">
        <v>20621</v>
      </c>
      <c r="F9942" s="58" t="s">
        <v>24212</v>
      </c>
      <c r="G9942" s="58" t="s">
        <v>24015</v>
      </c>
      <c r="H9942" s="546">
        <v>645486.73</v>
      </c>
      <c r="I9942" s="731">
        <v>45646</v>
      </c>
      <c r="J9942" s="242" t="s">
        <v>24016</v>
      </c>
      <c r="K9942" s="67" t="s">
        <v>24209</v>
      </c>
      <c r="O9942" s="45" t="s">
        <v>1566</v>
      </c>
      <c r="P9942" s="45" t="s">
        <v>28</v>
      </c>
      <c r="Q9942" s="48" t="s">
        <v>102</v>
      </c>
      <c r="R9942" s="45" t="s">
        <v>272</v>
      </c>
    </row>
    <row r="9943" spans="2:18" ht="69" customHeight="1">
      <c r="B9943" s="79">
        <f t="shared" si="86"/>
        <v>7054</v>
      </c>
      <c r="C9943" s="178" t="s">
        <v>9436</v>
      </c>
      <c r="D9943" s="498" t="s">
        <v>24207</v>
      </c>
      <c r="E9943" s="58" t="s">
        <v>20621</v>
      </c>
      <c r="F9943" s="58" t="s">
        <v>24213</v>
      </c>
      <c r="G9943" s="58" t="s">
        <v>24015</v>
      </c>
      <c r="H9943" s="546">
        <v>1179546.6200000001</v>
      </c>
      <c r="I9943" s="731">
        <v>45646</v>
      </c>
      <c r="J9943" s="242" t="s">
        <v>24016</v>
      </c>
      <c r="K9943" s="67" t="s">
        <v>24209</v>
      </c>
      <c r="O9943" s="45" t="s">
        <v>1566</v>
      </c>
      <c r="P9943" s="45" t="s">
        <v>28</v>
      </c>
      <c r="Q9943" s="48" t="s">
        <v>116</v>
      </c>
      <c r="R9943" s="45" t="s">
        <v>272</v>
      </c>
    </row>
    <row r="9944" spans="2:18" ht="69" customHeight="1">
      <c r="B9944" s="79">
        <f t="shared" si="86"/>
        <v>7055</v>
      </c>
      <c r="C9944" s="178" t="s">
        <v>9596</v>
      </c>
      <c r="D9944" s="498" t="s">
        <v>24207</v>
      </c>
      <c r="E9944" s="58" t="s">
        <v>20621</v>
      </c>
      <c r="F9944" s="58" t="s">
        <v>24214</v>
      </c>
      <c r="G9944" s="58" t="s">
        <v>24015</v>
      </c>
      <c r="H9944" s="546">
        <v>637293.57999999996</v>
      </c>
      <c r="I9944" s="731">
        <v>45646</v>
      </c>
      <c r="J9944" s="242" t="s">
        <v>24016</v>
      </c>
      <c r="K9944" s="67" t="s">
        <v>24209</v>
      </c>
      <c r="O9944" s="45" t="s">
        <v>1566</v>
      </c>
      <c r="P9944" s="45" t="s">
        <v>28</v>
      </c>
      <c r="Q9944" s="48" t="s">
        <v>118</v>
      </c>
      <c r="R9944" s="45" t="s">
        <v>272</v>
      </c>
    </row>
    <row r="9945" spans="2:18" ht="69" customHeight="1">
      <c r="B9945" s="79">
        <f t="shared" si="86"/>
        <v>7056</v>
      </c>
      <c r="C9945" s="178" t="s">
        <v>7464</v>
      </c>
      <c r="D9945" s="498" t="s">
        <v>24207</v>
      </c>
      <c r="E9945" s="58" t="s">
        <v>20621</v>
      </c>
      <c r="F9945" s="58" t="s">
        <v>24215</v>
      </c>
      <c r="G9945" s="58" t="s">
        <v>24015</v>
      </c>
      <c r="H9945" s="546">
        <v>645486.73</v>
      </c>
      <c r="I9945" s="731">
        <v>45646</v>
      </c>
      <c r="J9945" s="242" t="s">
        <v>24016</v>
      </c>
      <c r="K9945" s="67" t="s">
        <v>24209</v>
      </c>
      <c r="O9945" s="45" t="s">
        <v>1566</v>
      </c>
      <c r="P9945" s="45" t="s">
        <v>28</v>
      </c>
      <c r="Q9945" s="48" t="s">
        <v>101</v>
      </c>
      <c r="R9945" s="45" t="s">
        <v>272</v>
      </c>
    </row>
    <row r="9946" spans="2:18" ht="69" customHeight="1">
      <c r="B9946" s="79">
        <f t="shared" si="86"/>
        <v>7057</v>
      </c>
      <c r="C9946" s="178" t="s">
        <v>8057</v>
      </c>
      <c r="D9946" s="498" t="s">
        <v>24207</v>
      </c>
      <c r="E9946" s="58" t="s">
        <v>20621</v>
      </c>
      <c r="F9946" s="58" t="s">
        <v>24216</v>
      </c>
      <c r="G9946" s="58" t="s">
        <v>24015</v>
      </c>
      <c r="H9946" s="546">
        <v>15005.64</v>
      </c>
      <c r="I9946" s="731">
        <v>45646</v>
      </c>
      <c r="J9946" s="242" t="s">
        <v>24016</v>
      </c>
      <c r="K9946" s="67" t="s">
        <v>24209</v>
      </c>
      <c r="O9946" s="45" t="s">
        <v>1566</v>
      </c>
      <c r="P9946" s="45" t="s">
        <v>28</v>
      </c>
      <c r="Q9946" s="48" t="s">
        <v>105</v>
      </c>
      <c r="R9946" s="45" t="s">
        <v>272</v>
      </c>
    </row>
    <row r="9947" spans="2:18" ht="69" customHeight="1">
      <c r="B9947" s="79">
        <f t="shared" si="86"/>
        <v>7058</v>
      </c>
      <c r="C9947" s="58" t="s">
        <v>18826</v>
      </c>
      <c r="D9947" s="498" t="s">
        <v>24207</v>
      </c>
      <c r="E9947" s="58" t="s">
        <v>20621</v>
      </c>
      <c r="F9947" s="58" t="s">
        <v>24217</v>
      </c>
      <c r="G9947" s="58" t="s">
        <v>24015</v>
      </c>
      <c r="H9947" s="546">
        <v>732334.13</v>
      </c>
      <c r="I9947" s="731">
        <v>45646</v>
      </c>
      <c r="J9947" s="242" t="s">
        <v>24016</v>
      </c>
      <c r="K9947" s="67" t="s">
        <v>24209</v>
      </c>
      <c r="O9947" s="45" t="s">
        <v>1566</v>
      </c>
      <c r="P9947" s="45" t="s">
        <v>28</v>
      </c>
      <c r="Q9947" s="48" t="s">
        <v>108</v>
      </c>
      <c r="R9947" s="45" t="s">
        <v>272</v>
      </c>
    </row>
    <row r="9948" spans="2:18" ht="69" customHeight="1">
      <c r="B9948" s="79">
        <f t="shared" si="86"/>
        <v>7059</v>
      </c>
      <c r="C9948" s="655" t="s">
        <v>9322</v>
      </c>
      <c r="D9948" s="659" t="s">
        <v>24207</v>
      </c>
      <c r="E9948" s="237" t="s">
        <v>20621</v>
      </c>
      <c r="F9948" s="237" t="s">
        <v>24218</v>
      </c>
      <c r="G9948" s="237" t="s">
        <v>24015</v>
      </c>
      <c r="H9948" s="736">
        <v>637293.67000000004</v>
      </c>
      <c r="I9948" s="731">
        <v>45646</v>
      </c>
      <c r="J9948" s="245" t="s">
        <v>24016</v>
      </c>
      <c r="K9948" s="243" t="s">
        <v>24209</v>
      </c>
      <c r="O9948" s="45" t="s">
        <v>1566</v>
      </c>
      <c r="P9948" s="45" t="s">
        <v>28</v>
      </c>
      <c r="Q9948" s="48" t="s">
        <v>114</v>
      </c>
      <c r="R9948" s="45" t="s">
        <v>272</v>
      </c>
    </row>
    <row r="9949" spans="2:18" ht="69" customHeight="1">
      <c r="B9949" s="48">
        <f t="shared" si="86"/>
        <v>7060</v>
      </c>
      <c r="C9949" s="59" t="s">
        <v>581</v>
      </c>
      <c r="D9949" s="84" t="s">
        <v>22942</v>
      </c>
      <c r="E9949" s="676" t="s">
        <v>266</v>
      </c>
      <c r="F9949" s="45" t="s">
        <v>24219</v>
      </c>
      <c r="G9949" s="45" t="s">
        <v>24198</v>
      </c>
      <c r="H9949" s="795">
        <v>3200</v>
      </c>
      <c r="I9949" s="731">
        <v>45693</v>
      </c>
      <c r="J9949" s="48" t="s">
        <v>24220</v>
      </c>
      <c r="K9949" s="45"/>
      <c r="O9949" s="45" t="s">
        <v>24221</v>
      </c>
      <c r="P9949" s="45" t="s">
        <v>65</v>
      </c>
      <c r="Q9949" s="48" t="s">
        <v>18</v>
      </c>
      <c r="R9949" s="45" t="s">
        <v>272</v>
      </c>
    </row>
    <row r="9950" spans="2:18" ht="69" customHeight="1">
      <c r="B9950" s="48">
        <f t="shared" si="86"/>
        <v>7061</v>
      </c>
      <c r="C9950" s="59" t="s">
        <v>581</v>
      </c>
      <c r="D9950" s="84" t="s">
        <v>24222</v>
      </c>
      <c r="E9950" s="676" t="s">
        <v>266</v>
      </c>
      <c r="F9950" s="45" t="s">
        <v>24223</v>
      </c>
      <c r="G9950" s="45" t="s">
        <v>24205</v>
      </c>
      <c r="H9950" s="796">
        <v>1600</v>
      </c>
      <c r="I9950" s="731">
        <v>45693</v>
      </c>
      <c r="J9950" s="48" t="s">
        <v>24220</v>
      </c>
      <c r="K9950" s="45"/>
      <c r="O9950" s="45" t="s">
        <v>24221</v>
      </c>
      <c r="P9950" s="45" t="s">
        <v>65</v>
      </c>
      <c r="Q9950" s="48" t="s">
        <v>18</v>
      </c>
      <c r="R9950" s="45" t="s">
        <v>272</v>
      </c>
    </row>
    <row r="9951" spans="2:18" ht="69" customHeight="1">
      <c r="B9951" s="236">
        <f t="shared" si="86"/>
        <v>7062</v>
      </c>
      <c r="C9951" s="44" t="s">
        <v>450</v>
      </c>
      <c r="D9951" s="656" t="s">
        <v>24224</v>
      </c>
      <c r="E9951" s="680" t="s">
        <v>266</v>
      </c>
      <c r="F9951" s="58" t="s">
        <v>24225</v>
      </c>
      <c r="G9951" s="113" t="s">
        <v>24226</v>
      </c>
      <c r="H9951" s="376">
        <v>12000</v>
      </c>
      <c r="I9951" s="765">
        <v>45682</v>
      </c>
      <c r="J9951" s="654" t="s">
        <v>24227</v>
      </c>
      <c r="K9951" s="58"/>
      <c r="O9951" s="62" t="s">
        <v>6918</v>
      </c>
      <c r="P9951" s="45" t="s">
        <v>44</v>
      </c>
      <c r="Q9951" s="48" t="s">
        <v>13</v>
      </c>
      <c r="R9951" s="45" t="s">
        <v>272</v>
      </c>
    </row>
    <row r="9952" spans="2:18" ht="69" customHeight="1">
      <c r="B9952" s="79">
        <f t="shared" si="86"/>
        <v>7063</v>
      </c>
      <c r="C9952" s="178" t="s">
        <v>581</v>
      </c>
      <c r="D9952" s="498" t="s">
        <v>24228</v>
      </c>
      <c r="E9952" s="680" t="s">
        <v>266</v>
      </c>
      <c r="F9952" s="58" t="s">
        <v>24229</v>
      </c>
      <c r="G9952" s="113" t="s">
        <v>24226</v>
      </c>
      <c r="H9952" s="376">
        <v>12000</v>
      </c>
      <c r="I9952" s="767">
        <v>45682</v>
      </c>
      <c r="J9952" s="88" t="s">
        <v>24227</v>
      </c>
      <c r="K9952" s="67"/>
      <c r="O9952" s="62" t="s">
        <v>6918</v>
      </c>
      <c r="P9952" s="45" t="s">
        <v>44</v>
      </c>
      <c r="Q9952" s="48" t="s">
        <v>18</v>
      </c>
      <c r="R9952" s="45" t="s">
        <v>272</v>
      </c>
    </row>
    <row r="9953" spans="1:20" ht="69" customHeight="1">
      <c r="B9953" s="79">
        <f t="shared" si="86"/>
        <v>7064</v>
      </c>
      <c r="C9953" s="178" t="s">
        <v>5658</v>
      </c>
      <c r="D9953" s="498" t="s">
        <v>24230</v>
      </c>
      <c r="E9953" s="680" t="s">
        <v>266</v>
      </c>
      <c r="F9953" s="58" t="s">
        <v>24231</v>
      </c>
      <c r="G9953" s="113" t="s">
        <v>24226</v>
      </c>
      <c r="H9953" s="768">
        <v>12000</v>
      </c>
      <c r="I9953" s="766">
        <v>45682</v>
      </c>
      <c r="J9953" s="62" t="s">
        <v>24227</v>
      </c>
      <c r="K9953" s="769"/>
      <c r="O9953" s="62" t="s">
        <v>6918</v>
      </c>
      <c r="P9953" s="45" t="s">
        <v>44</v>
      </c>
      <c r="Q9953" s="48" t="s">
        <v>66</v>
      </c>
      <c r="R9953" s="45" t="s">
        <v>272</v>
      </c>
    </row>
    <row r="9954" spans="1:20" ht="69" customHeight="1">
      <c r="B9954" s="79">
        <f t="shared" si="86"/>
        <v>7065</v>
      </c>
      <c r="C9954" s="178" t="s">
        <v>11933</v>
      </c>
      <c r="D9954" s="498" t="s">
        <v>22609</v>
      </c>
      <c r="E9954" s="680" t="s">
        <v>266</v>
      </c>
      <c r="F9954" s="45" t="s">
        <v>24232</v>
      </c>
      <c r="G9954" s="81" t="s">
        <v>24233</v>
      </c>
      <c r="H9954" s="376">
        <v>147365.01</v>
      </c>
      <c r="I9954" s="770">
        <v>45682</v>
      </c>
      <c r="J9954" s="62" t="s">
        <v>24234</v>
      </c>
      <c r="K9954" s="769"/>
      <c r="O9954" s="45" t="s">
        <v>22941</v>
      </c>
      <c r="P9954" s="45" t="s">
        <v>77</v>
      </c>
      <c r="Q9954" s="48" t="s">
        <v>123</v>
      </c>
      <c r="R9954" s="45" t="s">
        <v>272</v>
      </c>
    </row>
    <row r="9955" spans="1:20" ht="69" customHeight="1">
      <c r="B9955" s="79">
        <f t="shared" si="86"/>
        <v>7066</v>
      </c>
      <c r="C9955" s="655" t="s">
        <v>11618</v>
      </c>
      <c r="D9955" s="659" t="s">
        <v>24235</v>
      </c>
      <c r="E9955" s="771" t="s">
        <v>266</v>
      </c>
      <c r="F9955" s="237" t="s">
        <v>24236</v>
      </c>
      <c r="G9955" s="83" t="s">
        <v>24233</v>
      </c>
      <c r="H9955" s="772">
        <v>77430.52</v>
      </c>
      <c r="I9955" s="773">
        <v>45682</v>
      </c>
      <c r="J9955" s="235" t="s">
        <v>24237</v>
      </c>
      <c r="K9955" s="774"/>
      <c r="O9955" s="45" t="s">
        <v>21304</v>
      </c>
      <c r="P9955" s="45" t="s">
        <v>77</v>
      </c>
      <c r="Q9955" s="48" t="s">
        <v>122</v>
      </c>
      <c r="R9955" s="45" t="s">
        <v>272</v>
      </c>
    </row>
    <row r="9956" spans="1:20" ht="69" customHeight="1">
      <c r="B9956" s="79">
        <f t="shared" si="86"/>
        <v>7067</v>
      </c>
      <c r="C9956" s="178" t="s">
        <v>11933</v>
      </c>
      <c r="D9956" s="174" t="s">
        <v>24238</v>
      </c>
      <c r="E9956" s="680" t="s">
        <v>266</v>
      </c>
      <c r="F9956" s="45" t="s">
        <v>24239</v>
      </c>
      <c r="G9956" s="58" t="s">
        <v>24233</v>
      </c>
      <c r="H9956" s="376">
        <v>15432.22</v>
      </c>
      <c r="I9956" s="773">
        <v>45682</v>
      </c>
      <c r="J9956" s="62" t="s">
        <v>24240</v>
      </c>
      <c r="K9956" s="58"/>
      <c r="O9956" s="45" t="s">
        <v>21304</v>
      </c>
      <c r="P9956" s="45" t="s">
        <v>77</v>
      </c>
      <c r="Q9956" s="48" t="s">
        <v>123</v>
      </c>
      <c r="R9956" s="45" t="s">
        <v>272</v>
      </c>
    </row>
    <row r="9957" spans="1:20" ht="69" customHeight="1">
      <c r="B9957" s="79">
        <f t="shared" si="86"/>
        <v>7068</v>
      </c>
      <c r="C9957" s="655" t="s">
        <v>11933</v>
      </c>
      <c r="D9957" s="778" t="s">
        <v>24241</v>
      </c>
      <c r="E9957" s="680" t="s">
        <v>266</v>
      </c>
      <c r="F9957" s="45" t="s">
        <v>24242</v>
      </c>
      <c r="G9957" s="237" t="s">
        <v>24233</v>
      </c>
      <c r="H9957" s="824">
        <v>13959.6</v>
      </c>
      <c r="I9957" s="773">
        <v>45682</v>
      </c>
      <c r="J9957" s="654" t="s">
        <v>24243</v>
      </c>
      <c r="K9957" s="74"/>
      <c r="O9957" s="45" t="s">
        <v>21304</v>
      </c>
      <c r="P9957" s="45" t="s">
        <v>77</v>
      </c>
      <c r="Q9957" s="48" t="s">
        <v>123</v>
      </c>
      <c r="R9957" s="45" t="s">
        <v>272</v>
      </c>
    </row>
    <row r="9958" spans="1:20" s="98" customFormat="1" ht="69" customHeight="1">
      <c r="A9958" s="169"/>
      <c r="B9958" s="48">
        <f t="shared" si="86"/>
        <v>7069</v>
      </c>
      <c r="C9958" s="676" t="s">
        <v>309</v>
      </c>
      <c r="D9958" s="790" t="s">
        <v>20541</v>
      </c>
      <c r="E9958" s="728" t="s">
        <v>266</v>
      </c>
      <c r="F9958" s="823" t="s">
        <v>24244</v>
      </c>
      <c r="G9958" s="677" t="s">
        <v>13201</v>
      </c>
      <c r="H9958" s="198">
        <v>19273.88</v>
      </c>
      <c r="I9958" s="731">
        <v>45682</v>
      </c>
      <c r="J9958" s="792" t="s">
        <v>24245</v>
      </c>
      <c r="K9958" s="61"/>
      <c r="O9958" s="45" t="s">
        <v>15366</v>
      </c>
      <c r="P9958" s="677" t="s">
        <v>67</v>
      </c>
      <c r="Q9958" s="48" t="s">
        <v>15</v>
      </c>
      <c r="R9958" s="45" t="s">
        <v>272</v>
      </c>
    </row>
    <row r="9959" spans="1:20" ht="69" customHeight="1">
      <c r="B9959" s="62">
        <v>7070</v>
      </c>
      <c r="C9959" s="178" t="s">
        <v>657</v>
      </c>
      <c r="D9959" s="781" t="s">
        <v>13761</v>
      </c>
      <c r="E9959" s="45" t="s">
        <v>266</v>
      </c>
      <c r="F9959" s="45" t="s">
        <v>24246</v>
      </c>
      <c r="G9959" s="110" t="s">
        <v>23950</v>
      </c>
      <c r="H9959" s="738">
        <v>22212.39</v>
      </c>
      <c r="I9959" s="767">
        <v>45682</v>
      </c>
      <c r="J9959" s="654" t="s">
        <v>24247</v>
      </c>
      <c r="K9959" s="73"/>
      <c r="L9959" s="677"/>
      <c r="M9959" s="103"/>
      <c r="N9959" s="103"/>
      <c r="O9959" s="45" t="s">
        <v>1171</v>
      </c>
      <c r="P9959" s="677" t="s">
        <v>71</v>
      </c>
      <c r="Q9959" s="48" t="s">
        <v>110</v>
      </c>
      <c r="R9959" s="45" t="s">
        <v>272</v>
      </c>
      <c r="T9959" s="98"/>
    </row>
    <row r="9960" spans="1:20" ht="69" customHeight="1">
      <c r="B9960" s="62">
        <f t="shared" si="86"/>
        <v>7071</v>
      </c>
      <c r="C9960" s="178" t="s">
        <v>5658</v>
      </c>
      <c r="D9960" s="498" t="s">
        <v>24248</v>
      </c>
      <c r="E9960" s="45" t="s">
        <v>266</v>
      </c>
      <c r="F9960" s="45" t="s">
        <v>24249</v>
      </c>
      <c r="G9960" s="81" t="s">
        <v>23950</v>
      </c>
      <c r="H9960" s="782">
        <v>22211.07</v>
      </c>
      <c r="I9960" s="780">
        <v>45682</v>
      </c>
      <c r="J9960" s="654" t="s">
        <v>24247</v>
      </c>
      <c r="K9960" s="67"/>
      <c r="O9960" s="45" t="s">
        <v>1171</v>
      </c>
      <c r="P9960" s="45" t="s">
        <v>71</v>
      </c>
      <c r="Q9960" s="48" t="s">
        <v>66</v>
      </c>
      <c r="R9960" s="45" t="s">
        <v>272</v>
      </c>
    </row>
    <row r="9961" spans="1:20" ht="69" customHeight="1">
      <c r="B9961" s="62">
        <f t="shared" si="86"/>
        <v>7072</v>
      </c>
      <c r="C9961" s="178" t="s">
        <v>11933</v>
      </c>
      <c r="D9961" s="498" t="s">
        <v>24250</v>
      </c>
      <c r="E9961" s="58" t="s">
        <v>16737</v>
      </c>
      <c r="F9961" s="58" t="s">
        <v>24251</v>
      </c>
      <c r="G9961" s="81" t="s">
        <v>22958</v>
      </c>
      <c r="H9961" s="777">
        <v>15000</v>
      </c>
      <c r="I9961" s="770">
        <v>45682</v>
      </c>
      <c r="J9961" s="242" t="s">
        <v>24252</v>
      </c>
      <c r="K9961" s="67"/>
      <c r="O9961" s="45" t="s">
        <v>205</v>
      </c>
      <c r="P9961" s="58" t="s">
        <v>61</v>
      </c>
      <c r="Q9961" s="48" t="s">
        <v>123</v>
      </c>
      <c r="R9961" s="45" t="s">
        <v>272</v>
      </c>
    </row>
    <row r="9962" spans="1:20" ht="69" customHeight="1">
      <c r="B9962" s="62">
        <f t="shared" si="86"/>
        <v>7073</v>
      </c>
      <c r="C9962" s="178" t="s">
        <v>11933</v>
      </c>
      <c r="D9962" s="498" t="s">
        <v>24253</v>
      </c>
      <c r="E9962" s="58" t="s">
        <v>16737</v>
      </c>
      <c r="F9962" s="58" t="s">
        <v>24254</v>
      </c>
      <c r="G9962" s="81" t="s">
        <v>22958</v>
      </c>
      <c r="H9962" s="891">
        <v>60000</v>
      </c>
      <c r="I9962" s="767">
        <v>45682</v>
      </c>
      <c r="J9962" s="246" t="s">
        <v>24252</v>
      </c>
      <c r="K9962" s="241"/>
      <c r="O9962" s="45" t="s">
        <v>205</v>
      </c>
      <c r="P9962" s="58" t="s">
        <v>61</v>
      </c>
      <c r="Q9962" s="48" t="s">
        <v>123</v>
      </c>
      <c r="R9962" s="45" t="s">
        <v>272</v>
      </c>
    </row>
    <row r="9963" spans="1:20" ht="69" customHeight="1">
      <c r="B9963" s="62">
        <f t="shared" si="86"/>
        <v>7074</v>
      </c>
      <c r="C9963" s="178" t="s">
        <v>11618</v>
      </c>
      <c r="D9963" s="498" t="s">
        <v>24255</v>
      </c>
      <c r="E9963" s="58" t="s">
        <v>16737</v>
      </c>
      <c r="F9963" s="58" t="s">
        <v>24256</v>
      </c>
      <c r="G9963" s="45" t="s">
        <v>22958</v>
      </c>
      <c r="H9963" s="644">
        <v>16400</v>
      </c>
      <c r="I9963" s="770">
        <v>45682</v>
      </c>
      <c r="J9963" s="242" t="s">
        <v>24252</v>
      </c>
      <c r="K9963" s="67"/>
      <c r="O9963" s="45" t="s">
        <v>205</v>
      </c>
      <c r="P9963" s="58" t="s">
        <v>61</v>
      </c>
      <c r="Q9963" s="48" t="s">
        <v>122</v>
      </c>
      <c r="R9963" s="45" t="s">
        <v>272</v>
      </c>
    </row>
    <row r="9964" spans="1:20" ht="69" customHeight="1">
      <c r="B9964" s="62">
        <f t="shared" si="86"/>
        <v>7075</v>
      </c>
      <c r="C9964" s="59" t="s">
        <v>3667</v>
      </c>
      <c r="D9964" s="498" t="s">
        <v>24257</v>
      </c>
      <c r="E9964" s="680" t="s">
        <v>266</v>
      </c>
      <c r="F9964" s="680" t="s">
        <v>24258</v>
      </c>
      <c r="G9964" s="681" t="s">
        <v>22902</v>
      </c>
      <c r="H9964" s="546">
        <v>9527.0400000000009</v>
      </c>
      <c r="I9964" s="767">
        <v>45682</v>
      </c>
      <c r="J9964" s="242" t="s">
        <v>24259</v>
      </c>
      <c r="K9964" s="67"/>
      <c r="O9964" s="45" t="s">
        <v>10810</v>
      </c>
      <c r="P9964" s="45" t="s">
        <v>67</v>
      </c>
      <c r="Q9964" s="48" t="s">
        <v>96</v>
      </c>
      <c r="R9964" s="45" t="s">
        <v>272</v>
      </c>
    </row>
    <row r="9965" spans="1:20" ht="69" customHeight="1">
      <c r="B9965" s="62">
        <f t="shared" si="86"/>
        <v>7076</v>
      </c>
      <c r="C9965" s="178" t="s">
        <v>309</v>
      </c>
      <c r="D9965" s="498" t="s">
        <v>24260</v>
      </c>
      <c r="E9965" s="680" t="s">
        <v>266</v>
      </c>
      <c r="F9965" s="680" t="s">
        <v>24261</v>
      </c>
      <c r="G9965" s="681" t="s">
        <v>22902</v>
      </c>
      <c r="H9965" s="546">
        <v>7443</v>
      </c>
      <c r="I9965" s="780">
        <v>45682</v>
      </c>
      <c r="J9965" s="242" t="s">
        <v>24259</v>
      </c>
      <c r="K9965" s="67"/>
      <c r="O9965" s="45" t="s">
        <v>10810</v>
      </c>
      <c r="P9965" s="45" t="s">
        <v>67</v>
      </c>
      <c r="Q9965" s="48" t="s">
        <v>96</v>
      </c>
      <c r="R9965" s="45" t="s">
        <v>272</v>
      </c>
    </row>
    <row r="9966" spans="1:20" ht="69" customHeight="1">
      <c r="B9966" s="62">
        <f t="shared" si="86"/>
        <v>7077</v>
      </c>
      <c r="C9966" s="178" t="s">
        <v>458</v>
      </c>
      <c r="D9966" s="498" t="s">
        <v>24262</v>
      </c>
      <c r="E9966" s="680" t="s">
        <v>266</v>
      </c>
      <c r="F9966" s="680" t="s">
        <v>24263</v>
      </c>
      <c r="G9966" s="681" t="s">
        <v>22902</v>
      </c>
      <c r="H9966" s="546">
        <v>7443</v>
      </c>
      <c r="I9966" s="780">
        <v>45682</v>
      </c>
      <c r="J9966" s="242" t="s">
        <v>24259</v>
      </c>
      <c r="K9966" s="67"/>
      <c r="O9966" s="45" t="s">
        <v>10810</v>
      </c>
      <c r="P9966" s="45" t="s">
        <v>67</v>
      </c>
      <c r="Q9966" s="48" t="s">
        <v>96</v>
      </c>
      <c r="R9966" s="45" t="s">
        <v>272</v>
      </c>
    </row>
    <row r="9967" spans="1:20" ht="69" customHeight="1">
      <c r="B9967" s="62">
        <f t="shared" si="86"/>
        <v>7078</v>
      </c>
      <c r="C9967" s="178" t="s">
        <v>657</v>
      </c>
      <c r="D9967" s="498" t="s">
        <v>24264</v>
      </c>
      <c r="E9967" s="680" t="s">
        <v>266</v>
      </c>
      <c r="F9967" s="680" t="s">
        <v>24265</v>
      </c>
      <c r="G9967" s="681" t="s">
        <v>22902</v>
      </c>
      <c r="H9967" s="546">
        <v>5358.96</v>
      </c>
      <c r="I9967" s="780">
        <v>45682</v>
      </c>
      <c r="J9967" s="242" t="s">
        <v>24259</v>
      </c>
      <c r="K9967" s="67"/>
      <c r="O9967" s="45" t="s">
        <v>10810</v>
      </c>
      <c r="P9967" s="45" t="s">
        <v>67</v>
      </c>
      <c r="Q9967" s="48" t="s">
        <v>96</v>
      </c>
      <c r="R9967" s="45" t="s">
        <v>272</v>
      </c>
    </row>
    <row r="9968" spans="1:20" ht="69" customHeight="1">
      <c r="B9968" s="48">
        <f t="shared" si="86"/>
        <v>7079</v>
      </c>
      <c r="C9968" s="45" t="s">
        <v>657</v>
      </c>
      <c r="D9968" s="489" t="s">
        <v>13809</v>
      </c>
      <c r="E9968" s="45" t="s">
        <v>266</v>
      </c>
      <c r="F9968" s="45" t="s">
        <v>24266</v>
      </c>
      <c r="G9968" s="81" t="s">
        <v>24267</v>
      </c>
      <c r="H9968" s="198">
        <v>22212.39</v>
      </c>
      <c r="I9968" s="798">
        <v>45682</v>
      </c>
      <c r="J9968" s="73" t="s">
        <v>24268</v>
      </c>
      <c r="K9968" s="45"/>
      <c r="O9968" s="45" t="s">
        <v>1171</v>
      </c>
      <c r="P9968" s="45" t="s">
        <v>71</v>
      </c>
      <c r="Q9968" s="48" t="s">
        <v>97</v>
      </c>
      <c r="R9968" s="45" t="s">
        <v>272</v>
      </c>
    </row>
    <row r="9969" spans="1:18" ht="69" customHeight="1">
      <c r="B9969" s="48">
        <f t="shared" si="86"/>
        <v>7080</v>
      </c>
      <c r="C9969" s="59" t="s">
        <v>458</v>
      </c>
      <c r="D9969" s="489" t="s">
        <v>22627</v>
      </c>
      <c r="E9969" s="45" t="s">
        <v>266</v>
      </c>
      <c r="F9969" s="45" t="s">
        <v>24269</v>
      </c>
      <c r="G9969" s="81" t="s">
        <v>24267</v>
      </c>
      <c r="H9969" s="198">
        <v>22958.12</v>
      </c>
      <c r="I9969" s="798">
        <v>45682</v>
      </c>
      <c r="J9969" s="73" t="s">
        <v>24268</v>
      </c>
      <c r="K9969" s="45"/>
      <c r="O9969" s="45" t="s">
        <v>1171</v>
      </c>
      <c r="P9969" s="45" t="s">
        <v>71</v>
      </c>
      <c r="Q9969" s="48" t="s">
        <v>103</v>
      </c>
      <c r="R9969" s="45" t="s">
        <v>272</v>
      </c>
    </row>
    <row r="9970" spans="1:18" ht="69" customHeight="1">
      <c r="B9970" s="799">
        <f t="shared" si="86"/>
        <v>7081</v>
      </c>
      <c r="C9970" s="699" t="s">
        <v>10937</v>
      </c>
      <c r="D9970" s="700" t="s">
        <v>13813</v>
      </c>
      <c r="E9970" s="701" t="s">
        <v>266</v>
      </c>
      <c r="F9970" s="701" t="s">
        <v>24270</v>
      </c>
      <c r="G9970" s="224" t="s">
        <v>24267</v>
      </c>
      <c r="H9970" s="702"/>
      <c r="I9970" s="800">
        <v>45682</v>
      </c>
      <c r="J9970" s="704" t="s">
        <v>24268</v>
      </c>
      <c r="K9970" s="701" t="s">
        <v>24271</v>
      </c>
      <c r="O9970" s="45" t="s">
        <v>1171</v>
      </c>
      <c r="P9970" s="45"/>
      <c r="Q9970" s="48" t="s">
        <v>104</v>
      </c>
      <c r="R9970" s="45" t="s">
        <v>272</v>
      </c>
    </row>
    <row r="9971" spans="1:18" ht="69" customHeight="1">
      <c r="B9971" s="239">
        <f t="shared" si="86"/>
        <v>7082</v>
      </c>
      <c r="C9971" s="59" t="s">
        <v>458</v>
      </c>
      <c r="D9971" s="489" t="s">
        <v>22620</v>
      </c>
      <c r="E9971" s="45" t="s">
        <v>266</v>
      </c>
      <c r="F9971" s="45" t="s">
        <v>24272</v>
      </c>
      <c r="G9971" s="81" t="s">
        <v>24267</v>
      </c>
      <c r="H9971" s="198">
        <v>22958.12</v>
      </c>
      <c r="I9971" s="798">
        <v>45682</v>
      </c>
      <c r="J9971" s="73" t="s">
        <v>24268</v>
      </c>
      <c r="K9971" s="45"/>
      <c r="O9971" s="45" t="s">
        <v>1171</v>
      </c>
      <c r="P9971" s="45" t="s">
        <v>71</v>
      </c>
      <c r="Q9971" s="48" t="s">
        <v>123</v>
      </c>
      <c r="R9971" s="45" t="s">
        <v>272</v>
      </c>
    </row>
    <row r="9972" spans="1:18" ht="69" customHeight="1">
      <c r="B9972" s="239">
        <f t="shared" si="86"/>
        <v>7083</v>
      </c>
      <c r="C9972" s="59" t="s">
        <v>458</v>
      </c>
      <c r="D9972" s="489" t="s">
        <v>22633</v>
      </c>
      <c r="E9972" s="45" t="s">
        <v>266</v>
      </c>
      <c r="F9972" s="45" t="s">
        <v>24273</v>
      </c>
      <c r="G9972" s="81" t="s">
        <v>24267</v>
      </c>
      <c r="H9972" s="198">
        <v>11103.89</v>
      </c>
      <c r="I9972" s="798">
        <v>45682</v>
      </c>
      <c r="J9972" s="73" t="s">
        <v>24268</v>
      </c>
      <c r="K9972" s="45"/>
      <c r="O9972" s="45" t="s">
        <v>1171</v>
      </c>
      <c r="P9972" s="45" t="s">
        <v>71</v>
      </c>
      <c r="Q9972" s="48" t="s">
        <v>123</v>
      </c>
      <c r="R9972" s="45" t="s">
        <v>272</v>
      </c>
    </row>
    <row r="9973" spans="1:18" ht="69" customHeight="1">
      <c r="B9973" s="79">
        <f t="shared" si="86"/>
        <v>7084</v>
      </c>
      <c r="C9973" s="788" t="s">
        <v>9215</v>
      </c>
      <c r="D9973" s="498" t="s">
        <v>22637</v>
      </c>
      <c r="E9973" s="45" t="s">
        <v>266</v>
      </c>
      <c r="F9973" s="45" t="s">
        <v>24274</v>
      </c>
      <c r="G9973" s="81" t="s">
        <v>24267</v>
      </c>
      <c r="H9973" s="546">
        <v>21527.72</v>
      </c>
      <c r="I9973" s="780">
        <v>45682</v>
      </c>
      <c r="J9973" s="242" t="s">
        <v>24268</v>
      </c>
      <c r="K9973" s="67"/>
      <c r="O9973" s="45" t="s">
        <v>1171</v>
      </c>
      <c r="P9973" s="45" t="s">
        <v>71</v>
      </c>
      <c r="Q9973" s="48" t="s">
        <v>113</v>
      </c>
      <c r="R9973" s="45" t="s">
        <v>272</v>
      </c>
    </row>
    <row r="9974" spans="1:18" ht="69" customHeight="1">
      <c r="B9974" s="79">
        <f t="shared" si="86"/>
        <v>7085</v>
      </c>
      <c r="C9974" s="178" t="s">
        <v>458</v>
      </c>
      <c r="D9974" s="498" t="s">
        <v>22641</v>
      </c>
      <c r="E9974" s="45" t="s">
        <v>266</v>
      </c>
      <c r="F9974" s="45" t="s">
        <v>24275</v>
      </c>
      <c r="G9974" s="81" t="s">
        <v>24267</v>
      </c>
      <c r="H9974" s="736">
        <v>22958.12</v>
      </c>
      <c r="I9974" s="780">
        <v>45682</v>
      </c>
      <c r="J9974" s="242" t="s">
        <v>24268</v>
      </c>
      <c r="K9974" s="67"/>
      <c r="O9974" s="45" t="s">
        <v>1171</v>
      </c>
      <c r="P9974" s="45" t="s">
        <v>71</v>
      </c>
      <c r="Q9974" s="48" t="s">
        <v>122</v>
      </c>
      <c r="R9974" s="45" t="s">
        <v>272</v>
      </c>
    </row>
    <row r="9975" spans="1:18" ht="69" customHeight="1">
      <c r="B9975" s="231">
        <f t="shared" si="86"/>
        <v>7086</v>
      </c>
      <c r="C9975" s="191" t="s">
        <v>11908</v>
      </c>
      <c r="D9975" s="502" t="s">
        <v>22647</v>
      </c>
      <c r="E9975" s="46" t="s">
        <v>22420</v>
      </c>
      <c r="F9975" s="46" t="s">
        <v>24276</v>
      </c>
      <c r="G9975" s="283" t="s">
        <v>24277</v>
      </c>
      <c r="H9975" s="896">
        <v>1459</v>
      </c>
      <c r="I9975" s="826">
        <v>45682</v>
      </c>
      <c r="J9975" s="199" t="s">
        <v>24278</v>
      </c>
      <c r="K9975" s="46"/>
      <c r="O9975" s="46" t="s">
        <v>23707</v>
      </c>
      <c r="P9975" s="46" t="s">
        <v>65</v>
      </c>
      <c r="Q9975" s="52" t="s">
        <v>103</v>
      </c>
      <c r="R9975" s="46" t="s">
        <v>272</v>
      </c>
    </row>
    <row r="9976" spans="1:18" ht="69" customHeight="1">
      <c r="B9976" s="231">
        <f t="shared" si="86"/>
        <v>7087</v>
      </c>
      <c r="C9976" s="191" t="s">
        <v>7189</v>
      </c>
      <c r="D9976" s="502" t="s">
        <v>13819</v>
      </c>
      <c r="E9976" s="46" t="s">
        <v>22420</v>
      </c>
      <c r="F9976" s="46" t="s">
        <v>24279</v>
      </c>
      <c r="G9976" s="283" t="s">
        <v>24277</v>
      </c>
      <c r="H9976" s="896">
        <v>1459</v>
      </c>
      <c r="I9976" s="826">
        <v>45682</v>
      </c>
      <c r="J9976" s="199" t="s">
        <v>24278</v>
      </c>
      <c r="K9976" s="46"/>
      <c r="O9976" s="46" t="s">
        <v>23707</v>
      </c>
      <c r="P9976" s="46" t="s">
        <v>65</v>
      </c>
      <c r="Q9976" s="52" t="s">
        <v>97</v>
      </c>
      <c r="R9976" s="46" t="s">
        <v>272</v>
      </c>
    </row>
    <row r="9977" spans="1:18" ht="69" customHeight="1">
      <c r="B9977" s="79">
        <f t="shared" si="86"/>
        <v>7088</v>
      </c>
      <c r="C9977" s="680" t="s">
        <v>8797</v>
      </c>
      <c r="D9977" s="551" t="s">
        <v>13815</v>
      </c>
      <c r="E9977" s="58" t="s">
        <v>266</v>
      </c>
      <c r="F9977" s="58" t="s">
        <v>24280</v>
      </c>
      <c r="G9977" s="58" t="s">
        <v>24281</v>
      </c>
      <c r="H9977" s="552">
        <v>10000</v>
      </c>
      <c r="I9977" s="66">
        <v>45713</v>
      </c>
      <c r="J9977" s="65" t="s">
        <v>24282</v>
      </c>
      <c r="K9977" s="58"/>
      <c r="O9977" s="45" t="s">
        <v>23137</v>
      </c>
      <c r="P9977" s="45" t="s">
        <v>65</v>
      </c>
      <c r="Q9977" s="48" t="s">
        <v>110</v>
      </c>
      <c r="R9977" s="45" t="s">
        <v>272</v>
      </c>
    </row>
    <row r="9978" spans="1:18" ht="69" customHeight="1">
      <c r="B9978" s="79">
        <f t="shared" si="86"/>
        <v>7089</v>
      </c>
      <c r="C9978" s="680" t="s">
        <v>8797</v>
      </c>
      <c r="D9978" s="551" t="s">
        <v>13817</v>
      </c>
      <c r="E9978" s="58" t="s">
        <v>266</v>
      </c>
      <c r="F9978" s="58" t="s">
        <v>24283</v>
      </c>
      <c r="G9978" s="58" t="s">
        <v>24284</v>
      </c>
      <c r="H9978" s="552">
        <v>900</v>
      </c>
      <c r="I9978" s="66">
        <v>45693</v>
      </c>
      <c r="J9978" s="65" t="s">
        <v>24285</v>
      </c>
      <c r="K9978" s="58"/>
      <c r="O9978" s="45" t="s">
        <v>23137</v>
      </c>
      <c r="P9978" s="45" t="s">
        <v>65</v>
      </c>
      <c r="Q9978" s="48" t="s">
        <v>110</v>
      </c>
      <c r="R9978" s="45" t="s">
        <v>272</v>
      </c>
    </row>
    <row r="9979" spans="1:18" ht="69" customHeight="1">
      <c r="B9979" s="79">
        <f t="shared" si="86"/>
        <v>7090</v>
      </c>
      <c r="C9979" s="178" t="s">
        <v>309</v>
      </c>
      <c r="D9979" s="498" t="s">
        <v>24286</v>
      </c>
      <c r="E9979" s="680" t="s">
        <v>266</v>
      </c>
      <c r="F9979" s="681" t="s">
        <v>24287</v>
      </c>
      <c r="G9979" s="682" t="s">
        <v>23389</v>
      </c>
      <c r="H9979" s="546">
        <v>1384.45</v>
      </c>
      <c r="I9979" s="126">
        <v>45682</v>
      </c>
      <c r="J9979" s="242" t="s">
        <v>24288</v>
      </c>
      <c r="K9979" s="67" t="s">
        <v>20818</v>
      </c>
      <c r="O9979" s="45" t="s">
        <v>12529</v>
      </c>
      <c r="P9979" s="45" t="s">
        <v>67</v>
      </c>
      <c r="Q9979" s="821" t="s">
        <v>96</v>
      </c>
      <c r="R9979" s="45" t="s">
        <v>272</v>
      </c>
    </row>
    <row r="9980" spans="1:18" s="98" customFormat="1" ht="69" customHeight="1">
      <c r="A9980" s="169"/>
      <c r="B9980" s="239">
        <f t="shared" si="86"/>
        <v>7091</v>
      </c>
      <c r="C9980" s="674" t="s">
        <v>11933</v>
      </c>
      <c r="D9980" s="675" t="s">
        <v>22706</v>
      </c>
      <c r="E9980" s="676" t="s">
        <v>266</v>
      </c>
      <c r="F9980" s="676" t="s">
        <v>23600</v>
      </c>
      <c r="G9980" s="45" t="s">
        <v>24289</v>
      </c>
      <c r="H9980" s="546">
        <v>47897.9</v>
      </c>
      <c r="I9980" s="126">
        <v>45682</v>
      </c>
      <c r="J9980" s="776" t="s">
        <v>24290</v>
      </c>
      <c r="K9980" s="45"/>
      <c r="O9980" s="45" t="s">
        <v>23603</v>
      </c>
      <c r="P9980" s="45" t="s">
        <v>65</v>
      </c>
      <c r="Q9980" s="48" t="s">
        <v>123</v>
      </c>
      <c r="R9980" s="45" t="s">
        <v>272</v>
      </c>
    </row>
    <row r="9981" spans="1:18" ht="69" customHeight="1">
      <c r="B9981" s="79">
        <f t="shared" si="86"/>
        <v>7092</v>
      </c>
      <c r="C9981" s="59" t="s">
        <v>309</v>
      </c>
      <c r="D9981" s="498" t="s">
        <v>20634</v>
      </c>
      <c r="E9981" s="676" t="s">
        <v>266</v>
      </c>
      <c r="F9981" s="45" t="s">
        <v>24291</v>
      </c>
      <c r="G9981" s="45" t="s">
        <v>24292</v>
      </c>
      <c r="H9981" s="546">
        <v>4307.09</v>
      </c>
      <c r="I9981" s="47">
        <v>45316</v>
      </c>
      <c r="J9981" s="776" t="s">
        <v>24293</v>
      </c>
      <c r="K9981" s="67"/>
      <c r="O9981" s="45" t="s">
        <v>11386</v>
      </c>
      <c r="P9981" s="45" t="s">
        <v>65</v>
      </c>
      <c r="Q9981" s="48" t="s">
        <v>15</v>
      </c>
      <c r="R9981" s="45" t="s">
        <v>272</v>
      </c>
    </row>
    <row r="9982" spans="1:18" ht="69" customHeight="1">
      <c r="B9982" s="79">
        <f t="shared" si="86"/>
        <v>7093</v>
      </c>
      <c r="C9982" s="59" t="s">
        <v>458</v>
      </c>
      <c r="D9982" s="498" t="s">
        <v>1352</v>
      </c>
      <c r="E9982" s="676" t="s">
        <v>409</v>
      </c>
      <c r="F9982" s="45" t="s">
        <v>24294</v>
      </c>
      <c r="G9982" s="45" t="s">
        <v>24295</v>
      </c>
      <c r="H9982" s="546">
        <v>137527.99</v>
      </c>
      <c r="I9982" s="47">
        <v>44862</v>
      </c>
      <c r="J9982" s="776" t="s">
        <v>24296</v>
      </c>
      <c r="K9982" s="801"/>
      <c r="M9982" s="98"/>
      <c r="N9982" s="98"/>
      <c r="O9982" s="45" t="s">
        <v>154</v>
      </c>
      <c r="P9982" s="45" t="s">
        <v>59</v>
      </c>
      <c r="Q9982" s="48" t="s">
        <v>101</v>
      </c>
      <c r="R9982" s="45" t="s">
        <v>272</v>
      </c>
    </row>
    <row r="9983" spans="1:18" ht="69" customHeight="1">
      <c r="B9983" s="79">
        <f t="shared" si="86"/>
        <v>7094</v>
      </c>
      <c r="C9983" s="59" t="s">
        <v>657</v>
      </c>
      <c r="D9983" s="498" t="s">
        <v>720</v>
      </c>
      <c r="E9983" s="676" t="s">
        <v>409</v>
      </c>
      <c r="F9983" s="45" t="s">
        <v>24297</v>
      </c>
      <c r="G9983" s="45" t="s">
        <v>24295</v>
      </c>
      <c r="H9983" s="546">
        <v>112585.63</v>
      </c>
      <c r="I9983" s="47">
        <v>44862</v>
      </c>
      <c r="J9983" s="776" t="s">
        <v>24296</v>
      </c>
      <c r="K9983" s="801"/>
      <c r="O9983" s="45" t="s">
        <v>154</v>
      </c>
      <c r="P9983" s="45" t="s">
        <v>59</v>
      </c>
      <c r="Q9983" s="48" t="s">
        <v>102</v>
      </c>
      <c r="R9983" s="45" t="s">
        <v>272</v>
      </c>
    </row>
    <row r="9984" spans="1:18" ht="69" customHeight="1">
      <c r="B9984" s="79">
        <f t="shared" si="86"/>
        <v>7095</v>
      </c>
      <c r="C9984" s="549" t="s">
        <v>11933</v>
      </c>
      <c r="D9984" s="498" t="s">
        <v>22758</v>
      </c>
      <c r="E9984" s="59" t="s">
        <v>266</v>
      </c>
      <c r="F9984" s="58" t="s">
        <v>24298</v>
      </c>
      <c r="G9984" s="81" t="s">
        <v>24299</v>
      </c>
      <c r="H9984" s="546">
        <v>293.14</v>
      </c>
      <c r="I9984" s="126">
        <v>45693</v>
      </c>
      <c r="J9984" s="242" t="s">
        <v>24300</v>
      </c>
      <c r="K9984" s="67"/>
      <c r="O9984" s="45" t="s">
        <v>5969</v>
      </c>
      <c r="P9984" s="45" t="s">
        <v>65</v>
      </c>
      <c r="Q9984" s="48" t="s">
        <v>123</v>
      </c>
      <c r="R9984" s="45" t="s">
        <v>272</v>
      </c>
    </row>
    <row r="9985" spans="2:18" ht="69" customHeight="1">
      <c r="B9985" s="62">
        <f t="shared" si="86"/>
        <v>7096</v>
      </c>
      <c r="C9985" s="174" t="s">
        <v>11933</v>
      </c>
      <c r="D9985" s="551" t="s">
        <v>20620</v>
      </c>
      <c r="E9985" s="178" t="s">
        <v>266</v>
      </c>
      <c r="F9985" s="237" t="s">
        <v>24301</v>
      </c>
      <c r="G9985" s="237" t="s">
        <v>24302</v>
      </c>
      <c r="H9985" s="837">
        <v>3266.82</v>
      </c>
      <c r="I9985" s="66">
        <v>45703</v>
      </c>
      <c r="J9985" s="66" t="s">
        <v>24303</v>
      </c>
      <c r="K9985" s="45"/>
      <c r="O9985" s="45"/>
      <c r="P9985" s="45" t="s">
        <v>65</v>
      </c>
      <c r="Q9985" s="48" t="s">
        <v>123</v>
      </c>
      <c r="R9985" s="45" t="s">
        <v>272</v>
      </c>
    </row>
    <row r="9986" spans="2:18" ht="69" customHeight="1">
      <c r="B9986" s="236">
        <v>7097</v>
      </c>
      <c r="C9986" s="61" t="s">
        <v>13435</v>
      </c>
      <c r="D9986" s="489" t="s">
        <v>20749</v>
      </c>
      <c r="E9986" s="59" t="s">
        <v>266</v>
      </c>
      <c r="F9986" s="58" t="s">
        <v>24304</v>
      </c>
      <c r="G9986" s="81" t="s">
        <v>23305</v>
      </c>
      <c r="H9986" s="794">
        <v>21000</v>
      </c>
      <c r="I9986" s="126">
        <v>45693</v>
      </c>
      <c r="J9986" s="242" t="s">
        <v>24305</v>
      </c>
      <c r="K9986" s="58"/>
      <c r="O9986" s="45" t="s">
        <v>1171</v>
      </c>
      <c r="P9986" s="45" t="s">
        <v>71</v>
      </c>
      <c r="Q9986" s="48" t="s">
        <v>13</v>
      </c>
      <c r="R9986" s="45" t="s">
        <v>272</v>
      </c>
    </row>
    <row r="9987" spans="2:18" ht="69" customHeight="1">
      <c r="B9987" s="79">
        <f t="shared" ref="B9987:B10050" si="87">B9986+1</f>
        <v>7098</v>
      </c>
      <c r="C9987" s="178" t="s">
        <v>581</v>
      </c>
      <c r="D9987" s="489" t="s">
        <v>24306</v>
      </c>
      <c r="E9987" s="59" t="s">
        <v>266</v>
      </c>
      <c r="F9987" s="58" t="s">
        <v>24307</v>
      </c>
      <c r="G9987" s="81" t="s">
        <v>23305</v>
      </c>
      <c r="H9987" s="644">
        <v>21540</v>
      </c>
      <c r="I9987" s="126">
        <v>45693</v>
      </c>
      <c r="J9987" s="242" t="s">
        <v>24305</v>
      </c>
      <c r="K9987" s="67"/>
      <c r="O9987" s="45" t="s">
        <v>1171</v>
      </c>
      <c r="P9987" s="45" t="s">
        <v>71</v>
      </c>
      <c r="Q9987" s="48" t="s">
        <v>18</v>
      </c>
      <c r="R9987" s="45" t="s">
        <v>272</v>
      </c>
    </row>
    <row r="9988" spans="2:18" ht="69" customHeight="1">
      <c r="B9988" s="79">
        <f t="shared" si="87"/>
        <v>7099</v>
      </c>
      <c r="C9988" s="178" t="s">
        <v>581</v>
      </c>
      <c r="D9988" s="498" t="s">
        <v>24308</v>
      </c>
      <c r="E9988" s="59" t="s">
        <v>266</v>
      </c>
      <c r="F9988" s="58" t="s">
        <v>24309</v>
      </c>
      <c r="G9988" s="81" t="s">
        <v>23305</v>
      </c>
      <c r="H9988" s="644">
        <v>21540</v>
      </c>
      <c r="I9988" s="126">
        <v>45693</v>
      </c>
      <c r="J9988" s="242" t="s">
        <v>24305</v>
      </c>
      <c r="K9988" s="67"/>
      <c r="O9988" s="45" t="s">
        <v>1171</v>
      </c>
      <c r="P9988" s="45" t="s">
        <v>71</v>
      </c>
      <c r="Q9988" s="48" t="s">
        <v>18</v>
      </c>
      <c r="R9988" s="45" t="s">
        <v>272</v>
      </c>
    </row>
    <row r="9989" spans="2:18" ht="69" customHeight="1">
      <c r="B9989" s="79">
        <f t="shared" si="87"/>
        <v>7100</v>
      </c>
      <c r="C9989" s="45" t="s">
        <v>13435</v>
      </c>
      <c r="D9989" s="498" t="s">
        <v>20773</v>
      </c>
      <c r="E9989" s="59" t="s">
        <v>266</v>
      </c>
      <c r="F9989" s="58" t="s">
        <v>24310</v>
      </c>
      <c r="G9989" s="81" t="s">
        <v>23305</v>
      </c>
      <c r="H9989" s="546">
        <v>21000</v>
      </c>
      <c r="I9989" s="126">
        <v>45693</v>
      </c>
      <c r="J9989" s="242" t="s">
        <v>24311</v>
      </c>
      <c r="K9989" s="67"/>
      <c r="O9989" s="45" t="s">
        <v>1171</v>
      </c>
      <c r="P9989" s="45" t="s">
        <v>71</v>
      </c>
      <c r="Q9989" s="48" t="s">
        <v>13</v>
      </c>
      <c r="R9989" s="45" t="s">
        <v>272</v>
      </c>
    </row>
    <row r="9990" spans="2:18" ht="69" customHeight="1">
      <c r="B9990" s="79">
        <f t="shared" si="87"/>
        <v>7101</v>
      </c>
      <c r="C9990" s="178" t="s">
        <v>581</v>
      </c>
      <c r="D9990" s="498" t="s">
        <v>20791</v>
      </c>
      <c r="E9990" s="59" t="s">
        <v>266</v>
      </c>
      <c r="F9990" s="58" t="s">
        <v>24312</v>
      </c>
      <c r="G9990" s="81" t="s">
        <v>23305</v>
      </c>
      <c r="H9990" s="736">
        <v>21540</v>
      </c>
      <c r="I9990" s="126">
        <v>45693</v>
      </c>
      <c r="J9990" s="242" t="s">
        <v>24311</v>
      </c>
      <c r="K9990" s="67"/>
      <c r="O9990" s="45" t="s">
        <v>1171</v>
      </c>
      <c r="P9990" s="45" t="s">
        <v>71</v>
      </c>
      <c r="Q9990" s="48" t="s">
        <v>18</v>
      </c>
      <c r="R9990" s="45" t="s">
        <v>272</v>
      </c>
    </row>
    <row r="9991" spans="2:18" ht="69" customHeight="1">
      <c r="B9991" s="79">
        <f t="shared" si="87"/>
        <v>7102</v>
      </c>
      <c r="C9991" s="174" t="s">
        <v>11933</v>
      </c>
      <c r="D9991" s="551" t="s">
        <v>20627</v>
      </c>
      <c r="E9991" s="680" t="s">
        <v>266</v>
      </c>
      <c r="F9991" s="681" t="s">
        <v>24313</v>
      </c>
      <c r="G9991" s="682" t="s">
        <v>23837</v>
      </c>
      <c r="H9991" s="797">
        <v>165.07</v>
      </c>
      <c r="I9991" s="66">
        <v>45693</v>
      </c>
      <c r="J9991" s="65" t="s">
        <v>24314</v>
      </c>
      <c r="K9991" s="58"/>
      <c r="O9991" s="45" t="s">
        <v>22530</v>
      </c>
      <c r="P9991" s="45" t="s">
        <v>65</v>
      </c>
      <c r="Q9991" s="48" t="s">
        <v>123</v>
      </c>
      <c r="R9991" s="45" t="s">
        <v>272</v>
      </c>
    </row>
    <row r="9992" spans="2:18" ht="69" customHeight="1">
      <c r="B9992" s="231">
        <f t="shared" si="87"/>
        <v>7103</v>
      </c>
      <c r="C9992" s="191" t="s">
        <v>7189</v>
      </c>
      <c r="D9992" s="502" t="s">
        <v>13984</v>
      </c>
      <c r="E9992" s="86" t="s">
        <v>266</v>
      </c>
      <c r="F9992" s="87" t="s">
        <v>24315</v>
      </c>
      <c r="G9992" s="46" t="s">
        <v>24316</v>
      </c>
      <c r="H9992" s="559">
        <v>1100</v>
      </c>
      <c r="I9992" s="56">
        <v>45703</v>
      </c>
      <c r="J9992" s="199" t="s">
        <v>24317</v>
      </c>
      <c r="K9992" s="46"/>
      <c r="O9992" s="46" t="s">
        <v>22530</v>
      </c>
      <c r="P9992" s="46" t="s">
        <v>65</v>
      </c>
      <c r="Q9992" s="52" t="s">
        <v>97</v>
      </c>
      <c r="R9992" s="46" t="s">
        <v>272</v>
      </c>
    </row>
    <row r="9993" spans="2:18" ht="69" customHeight="1">
      <c r="B9993" s="79">
        <f t="shared" si="87"/>
        <v>7104</v>
      </c>
      <c r="C9993" s="59" t="s">
        <v>3667</v>
      </c>
      <c r="D9993" s="498" t="s">
        <v>24318</v>
      </c>
      <c r="E9993" s="85" t="s">
        <v>16011</v>
      </c>
      <c r="F9993" s="58" t="s">
        <v>24319</v>
      </c>
      <c r="G9993" s="58" t="s">
        <v>24320</v>
      </c>
      <c r="H9993" s="546">
        <v>2000</v>
      </c>
      <c r="I9993" s="126">
        <v>45693</v>
      </c>
      <c r="J9993" s="242" t="s">
        <v>24321</v>
      </c>
      <c r="K9993" s="67"/>
      <c r="O9993" s="45" t="s">
        <v>150</v>
      </c>
      <c r="P9993" s="45" t="s">
        <v>51</v>
      </c>
      <c r="Q9993" s="48" t="s">
        <v>93</v>
      </c>
      <c r="R9993" s="45" t="s">
        <v>272</v>
      </c>
    </row>
    <row r="9994" spans="2:18" ht="69" customHeight="1">
      <c r="B9994" s="79">
        <f t="shared" si="87"/>
        <v>7105</v>
      </c>
      <c r="C9994" s="59" t="s">
        <v>3667</v>
      </c>
      <c r="D9994" s="498" t="s">
        <v>24322</v>
      </c>
      <c r="E9994" s="85" t="s">
        <v>16011</v>
      </c>
      <c r="F9994" s="58" t="s">
        <v>24323</v>
      </c>
      <c r="G9994" s="58" t="s">
        <v>24320</v>
      </c>
      <c r="H9994" s="546">
        <v>2000</v>
      </c>
      <c r="I9994" s="126">
        <v>45693</v>
      </c>
      <c r="J9994" s="242" t="s">
        <v>24321</v>
      </c>
      <c r="K9994" s="67"/>
      <c r="O9994" s="45" t="s">
        <v>150</v>
      </c>
      <c r="P9994" s="45" t="s">
        <v>51</v>
      </c>
      <c r="Q9994" s="48" t="s">
        <v>95</v>
      </c>
      <c r="R9994" s="45" t="s">
        <v>272</v>
      </c>
    </row>
    <row r="9995" spans="2:18" ht="69" customHeight="1">
      <c r="B9995" s="79">
        <f t="shared" si="87"/>
        <v>7106</v>
      </c>
      <c r="C9995" s="59" t="s">
        <v>3667</v>
      </c>
      <c r="D9995" s="498" t="s">
        <v>24324</v>
      </c>
      <c r="E9995" s="85" t="s">
        <v>16011</v>
      </c>
      <c r="F9995" s="58" t="s">
        <v>24325</v>
      </c>
      <c r="G9995" s="58" t="s">
        <v>24320</v>
      </c>
      <c r="H9995" s="546">
        <v>12000</v>
      </c>
      <c r="I9995" s="126">
        <v>45693</v>
      </c>
      <c r="J9995" s="242" t="s">
        <v>24321</v>
      </c>
      <c r="K9995" s="67"/>
      <c r="O9995" s="45" t="s">
        <v>150</v>
      </c>
      <c r="P9995" s="45" t="s">
        <v>51</v>
      </c>
      <c r="Q9995" s="48" t="s">
        <v>93</v>
      </c>
      <c r="R9995" s="45" t="s">
        <v>272</v>
      </c>
    </row>
    <row r="9996" spans="2:18" ht="69" customHeight="1">
      <c r="B9996" s="79">
        <f t="shared" si="87"/>
        <v>7107</v>
      </c>
      <c r="C9996" s="59" t="s">
        <v>3667</v>
      </c>
      <c r="D9996" s="498" t="s">
        <v>24326</v>
      </c>
      <c r="E9996" s="85" t="s">
        <v>16011</v>
      </c>
      <c r="F9996" s="58" t="s">
        <v>24327</v>
      </c>
      <c r="G9996" s="58" t="s">
        <v>24320</v>
      </c>
      <c r="H9996" s="546">
        <v>12000</v>
      </c>
      <c r="I9996" s="126">
        <v>45693</v>
      </c>
      <c r="J9996" s="242" t="s">
        <v>24321</v>
      </c>
      <c r="K9996" s="67"/>
      <c r="O9996" s="45" t="s">
        <v>150</v>
      </c>
      <c r="P9996" s="45" t="s">
        <v>51</v>
      </c>
      <c r="Q9996" s="48" t="s">
        <v>95</v>
      </c>
      <c r="R9996" s="45" t="s">
        <v>272</v>
      </c>
    </row>
    <row r="9997" spans="2:18" ht="69" customHeight="1">
      <c r="B9997" s="79">
        <f t="shared" si="87"/>
        <v>7108</v>
      </c>
      <c r="C9997" s="178" t="s">
        <v>458</v>
      </c>
      <c r="D9997" s="498" t="s">
        <v>24328</v>
      </c>
      <c r="E9997" s="85" t="s">
        <v>16011</v>
      </c>
      <c r="F9997" s="58" t="s">
        <v>24329</v>
      </c>
      <c r="G9997" s="58" t="s">
        <v>24320</v>
      </c>
      <c r="H9997" s="546">
        <v>2000</v>
      </c>
      <c r="I9997" s="126">
        <v>45693</v>
      </c>
      <c r="J9997" s="242" t="s">
        <v>24321</v>
      </c>
      <c r="K9997" s="67"/>
      <c r="O9997" s="45" t="s">
        <v>150</v>
      </c>
      <c r="P9997" s="45" t="s">
        <v>51</v>
      </c>
      <c r="Q9997" s="48" t="s">
        <v>113</v>
      </c>
      <c r="R9997" s="45" t="s">
        <v>272</v>
      </c>
    </row>
    <row r="9998" spans="2:18" ht="69" customHeight="1">
      <c r="B9998" s="79">
        <f t="shared" si="87"/>
        <v>7109</v>
      </c>
      <c r="C9998" s="178" t="s">
        <v>458</v>
      </c>
      <c r="D9998" s="498" t="s">
        <v>24330</v>
      </c>
      <c r="E9998" s="58" t="s">
        <v>16011</v>
      </c>
      <c r="F9998" s="58" t="s">
        <v>24331</v>
      </c>
      <c r="G9998" s="58" t="s">
        <v>24332</v>
      </c>
      <c r="H9998" s="546">
        <v>2382.5</v>
      </c>
      <c r="I9998" s="126">
        <v>45693</v>
      </c>
      <c r="J9998" s="242" t="s">
        <v>24333</v>
      </c>
      <c r="K9998" s="67"/>
      <c r="O9998" s="45" t="s">
        <v>150</v>
      </c>
      <c r="P9998" s="45" t="s">
        <v>51</v>
      </c>
      <c r="Q9998" s="48" t="s">
        <v>123</v>
      </c>
      <c r="R9998" s="45" t="s">
        <v>272</v>
      </c>
    </row>
    <row r="9999" spans="2:18" ht="69" customHeight="1">
      <c r="B9999" s="79">
        <f t="shared" si="87"/>
        <v>7110</v>
      </c>
      <c r="C9999" s="178" t="s">
        <v>458</v>
      </c>
      <c r="D9999" s="498" t="s">
        <v>24334</v>
      </c>
      <c r="E9999" s="58" t="s">
        <v>16011</v>
      </c>
      <c r="F9999" s="58" t="s">
        <v>24335</v>
      </c>
      <c r="G9999" s="58" t="s">
        <v>24332</v>
      </c>
      <c r="H9999" s="546">
        <v>3862.63</v>
      </c>
      <c r="I9999" s="126">
        <v>45693</v>
      </c>
      <c r="J9999" s="783" t="s">
        <v>24333</v>
      </c>
      <c r="K9999" s="67"/>
      <c r="O9999" s="45" t="s">
        <v>150</v>
      </c>
      <c r="P9999" s="45" t="s">
        <v>51</v>
      </c>
      <c r="Q9999" s="48" t="s">
        <v>123</v>
      </c>
      <c r="R9999" s="45" t="s">
        <v>272</v>
      </c>
    </row>
    <row r="10000" spans="2:18" ht="69" customHeight="1">
      <c r="B10000" s="79">
        <f t="shared" si="87"/>
        <v>7111</v>
      </c>
      <c r="C10000" s="59" t="s">
        <v>13562</v>
      </c>
      <c r="D10000" s="498" t="s">
        <v>24336</v>
      </c>
      <c r="E10000" s="58" t="s">
        <v>16737</v>
      </c>
      <c r="F10000" s="58" t="s">
        <v>24337</v>
      </c>
      <c r="G10000" s="81" t="s">
        <v>24338</v>
      </c>
      <c r="H10000" s="546">
        <v>57384.55</v>
      </c>
      <c r="I10000" s="126">
        <v>45693</v>
      </c>
      <c r="J10000" s="783" t="s">
        <v>24339</v>
      </c>
      <c r="K10000" s="243"/>
      <c r="O10000" s="45" t="s">
        <v>205</v>
      </c>
      <c r="P10000" s="58" t="s">
        <v>61</v>
      </c>
      <c r="Q10000" s="48" t="s">
        <v>88</v>
      </c>
      <c r="R10000" s="45" t="s">
        <v>272</v>
      </c>
    </row>
    <row r="10001" spans="1:18" ht="69" customHeight="1">
      <c r="B10001" s="79">
        <f t="shared" si="87"/>
        <v>7112</v>
      </c>
      <c r="C10001" s="59" t="s">
        <v>7189</v>
      </c>
      <c r="D10001" s="498" t="s">
        <v>13997</v>
      </c>
      <c r="E10001" s="58" t="s">
        <v>20641</v>
      </c>
      <c r="F10001" s="58" t="s">
        <v>24340</v>
      </c>
      <c r="G10001" s="81" t="s">
        <v>24341</v>
      </c>
      <c r="H10001" s="546">
        <v>7500</v>
      </c>
      <c r="I10001" s="126">
        <v>45693</v>
      </c>
      <c r="J10001" s="783" t="s">
        <v>24339</v>
      </c>
      <c r="K10001" s="67"/>
      <c r="O10001" s="60" t="s">
        <v>11301</v>
      </c>
      <c r="P10001" s="58" t="s">
        <v>61</v>
      </c>
      <c r="Q10001" s="48" t="s">
        <v>97</v>
      </c>
      <c r="R10001" s="45" t="s">
        <v>272</v>
      </c>
    </row>
    <row r="10002" spans="1:18" ht="69" customHeight="1">
      <c r="B10002" s="239">
        <f t="shared" si="87"/>
        <v>7113</v>
      </c>
      <c r="C10002" s="59" t="s">
        <v>753</v>
      </c>
      <c r="D10002" s="489" t="s">
        <v>22984</v>
      </c>
      <c r="E10002" s="676" t="s">
        <v>266</v>
      </c>
      <c r="F10002" s="677" t="s">
        <v>24342</v>
      </c>
      <c r="G10002" s="81" t="s">
        <v>24343</v>
      </c>
      <c r="H10002" s="807">
        <v>1000</v>
      </c>
      <c r="I10002" s="759">
        <v>45337</v>
      </c>
      <c r="J10002" s="776" t="s">
        <v>24344</v>
      </c>
      <c r="K10002" s="45"/>
      <c r="O10002" s="45" t="s">
        <v>24345</v>
      </c>
      <c r="P10002" s="58" t="s">
        <v>65</v>
      </c>
      <c r="Q10002" s="48" t="s">
        <v>20</v>
      </c>
      <c r="R10002" s="45" t="s">
        <v>272</v>
      </c>
    </row>
    <row r="10003" spans="1:18" ht="69" customHeight="1">
      <c r="B10003" s="79">
        <f t="shared" si="87"/>
        <v>7114</v>
      </c>
      <c r="C10003" s="676" t="s">
        <v>10961</v>
      </c>
      <c r="D10003" s="498" t="s">
        <v>24346</v>
      </c>
      <c r="E10003" s="680" t="s">
        <v>266</v>
      </c>
      <c r="F10003" s="58" t="s">
        <v>24347</v>
      </c>
      <c r="G10003" s="45" t="s">
        <v>24348</v>
      </c>
      <c r="H10003" s="644">
        <v>137.6</v>
      </c>
      <c r="I10003" s="767">
        <v>45703</v>
      </c>
      <c r="J10003" s="783" t="s">
        <v>24349</v>
      </c>
      <c r="K10003" s="67"/>
      <c r="O10003" s="45" t="s">
        <v>24350</v>
      </c>
      <c r="P10003" s="58" t="s">
        <v>65</v>
      </c>
      <c r="Q10003" s="821" t="s">
        <v>96</v>
      </c>
      <c r="R10003" s="45" t="s">
        <v>272</v>
      </c>
    </row>
    <row r="10004" spans="1:18" ht="69" customHeight="1">
      <c r="B10004" s="79">
        <f t="shared" si="87"/>
        <v>7115</v>
      </c>
      <c r="C10004" s="676" t="s">
        <v>10961</v>
      </c>
      <c r="D10004" s="498" t="s">
        <v>24351</v>
      </c>
      <c r="E10004" s="680" t="s">
        <v>266</v>
      </c>
      <c r="F10004" s="58" t="s">
        <v>24352</v>
      </c>
      <c r="G10004" s="45" t="s">
        <v>24348</v>
      </c>
      <c r="H10004" s="546">
        <v>595.4</v>
      </c>
      <c r="I10004" s="780">
        <v>45703</v>
      </c>
      <c r="J10004" s="783" t="s">
        <v>24349</v>
      </c>
      <c r="K10004" s="67"/>
      <c r="M10004" s="122"/>
      <c r="N10004" s="111"/>
      <c r="O10004" s="45" t="s">
        <v>24350</v>
      </c>
      <c r="P10004" s="58" t="s">
        <v>65</v>
      </c>
      <c r="Q10004" s="821" t="s">
        <v>96</v>
      </c>
      <c r="R10004" s="45" t="s">
        <v>272</v>
      </c>
    </row>
    <row r="10005" spans="1:18" ht="69" customHeight="1">
      <c r="B10005" s="79">
        <f t="shared" si="87"/>
        <v>7116</v>
      </c>
      <c r="C10005" s="676" t="s">
        <v>10961</v>
      </c>
      <c r="D10005" s="498" t="s">
        <v>24353</v>
      </c>
      <c r="E10005" s="680" t="s">
        <v>266</v>
      </c>
      <c r="F10005" s="58" t="s">
        <v>24354</v>
      </c>
      <c r="G10005" s="45" t="s">
        <v>24348</v>
      </c>
      <c r="H10005" s="546">
        <v>184.6</v>
      </c>
      <c r="I10005" s="780">
        <v>45703</v>
      </c>
      <c r="J10005" s="783" t="s">
        <v>24349</v>
      </c>
      <c r="K10005" s="67"/>
      <c r="M10005" s="122"/>
      <c r="N10005" s="111"/>
      <c r="O10005" s="45" t="s">
        <v>24350</v>
      </c>
      <c r="P10005" s="58" t="s">
        <v>65</v>
      </c>
      <c r="Q10005" s="821" t="s">
        <v>96</v>
      </c>
      <c r="R10005" s="45" t="s">
        <v>272</v>
      </c>
    </row>
    <row r="10006" spans="1:18" ht="69" customHeight="1">
      <c r="B10006" s="79">
        <f t="shared" si="87"/>
        <v>7117</v>
      </c>
      <c r="C10006" s="676" t="s">
        <v>10961</v>
      </c>
      <c r="D10006" s="498" t="s">
        <v>24355</v>
      </c>
      <c r="E10006" s="680" t="s">
        <v>266</v>
      </c>
      <c r="F10006" s="58" t="s">
        <v>24356</v>
      </c>
      <c r="G10006" s="45" t="s">
        <v>24348</v>
      </c>
      <c r="H10006" s="546">
        <v>271.18</v>
      </c>
      <c r="I10006" s="780">
        <v>45703</v>
      </c>
      <c r="J10006" s="783" t="s">
        <v>24349</v>
      </c>
      <c r="K10006" s="67"/>
      <c r="M10006" s="122"/>
      <c r="N10006" s="111"/>
      <c r="O10006" s="45" t="s">
        <v>24350</v>
      </c>
      <c r="P10006" s="58" t="s">
        <v>65</v>
      </c>
      <c r="Q10006" s="821" t="s">
        <v>96</v>
      </c>
      <c r="R10006" s="45" t="s">
        <v>272</v>
      </c>
    </row>
    <row r="10007" spans="1:18" ht="69" customHeight="1">
      <c r="B10007" s="79">
        <f t="shared" si="87"/>
        <v>7118</v>
      </c>
      <c r="C10007" s="676" t="s">
        <v>10961</v>
      </c>
      <c r="D10007" s="498" t="s">
        <v>24357</v>
      </c>
      <c r="E10007" s="680" t="s">
        <v>266</v>
      </c>
      <c r="F10007" s="58" t="s">
        <v>24358</v>
      </c>
      <c r="G10007" s="45" t="s">
        <v>24348</v>
      </c>
      <c r="H10007" s="546">
        <v>540.23</v>
      </c>
      <c r="I10007" s="780">
        <v>45703</v>
      </c>
      <c r="J10007" s="783" t="s">
        <v>24349</v>
      </c>
      <c r="K10007" s="67"/>
      <c r="M10007" s="122"/>
      <c r="N10007" s="111"/>
      <c r="O10007" s="45" t="s">
        <v>24350</v>
      </c>
      <c r="P10007" s="58" t="s">
        <v>65</v>
      </c>
      <c r="Q10007" s="821" t="s">
        <v>96</v>
      </c>
      <c r="R10007" s="45" t="s">
        <v>272</v>
      </c>
    </row>
    <row r="10008" spans="1:18" ht="69" customHeight="1">
      <c r="B10008" s="79">
        <f t="shared" si="87"/>
        <v>7119</v>
      </c>
      <c r="C10008" s="676" t="s">
        <v>10961</v>
      </c>
      <c r="D10008" s="498" t="s">
        <v>24359</v>
      </c>
      <c r="E10008" s="680" t="s">
        <v>266</v>
      </c>
      <c r="F10008" s="58" t="s">
        <v>24360</v>
      </c>
      <c r="G10008" s="45" t="s">
        <v>24348</v>
      </c>
      <c r="H10008" s="546">
        <v>369.2</v>
      </c>
      <c r="I10008" s="780">
        <v>45703</v>
      </c>
      <c r="J10008" s="783" t="s">
        <v>24349</v>
      </c>
      <c r="K10008" s="67"/>
      <c r="M10008" s="122"/>
      <c r="N10008" s="111"/>
      <c r="O10008" s="45" t="s">
        <v>24350</v>
      </c>
      <c r="P10008" s="58" t="s">
        <v>65</v>
      </c>
      <c r="Q10008" s="821" t="s">
        <v>96</v>
      </c>
      <c r="R10008" s="45" t="s">
        <v>272</v>
      </c>
    </row>
    <row r="10009" spans="1:18" s="98" customFormat="1" ht="69" customHeight="1">
      <c r="A10009" s="169"/>
      <c r="B10009" s="231">
        <f t="shared" si="87"/>
        <v>7120</v>
      </c>
      <c r="C10009" s="191" t="s">
        <v>11618</v>
      </c>
      <c r="D10009" s="251" t="s">
        <v>23230</v>
      </c>
      <c r="E10009" s="86" t="s">
        <v>266</v>
      </c>
      <c r="F10009" s="46" t="s">
        <v>24361</v>
      </c>
      <c r="G10009" s="46" t="s">
        <v>24362</v>
      </c>
      <c r="H10009" s="662">
        <v>209.46</v>
      </c>
      <c r="I10009" s="826">
        <v>45731</v>
      </c>
      <c r="J10009" s="1085" t="s">
        <v>24363</v>
      </c>
      <c r="K10009" s="46"/>
      <c r="M10009" s="121"/>
      <c r="N10009" s="115"/>
      <c r="O10009" s="46" t="s">
        <v>24364</v>
      </c>
      <c r="P10009" s="46" t="s">
        <v>65</v>
      </c>
      <c r="Q10009" s="52" t="s">
        <v>103</v>
      </c>
      <c r="R10009" s="46" t="s">
        <v>272</v>
      </c>
    </row>
    <row r="10010" spans="1:18" ht="69" customHeight="1">
      <c r="B10010" s="79">
        <f t="shared" si="87"/>
        <v>7121</v>
      </c>
      <c r="C10010" s="178" t="s">
        <v>2447</v>
      </c>
      <c r="D10010" s="498" t="s">
        <v>24365</v>
      </c>
      <c r="E10010" s="680" t="s">
        <v>266</v>
      </c>
      <c r="F10010" s="58" t="s">
        <v>24366</v>
      </c>
      <c r="G10010" s="81" t="s">
        <v>24348</v>
      </c>
      <c r="H10010" s="546">
        <v>275.2</v>
      </c>
      <c r="I10010" s="766">
        <v>45703</v>
      </c>
      <c r="J10010" s="840" t="s">
        <v>24367</v>
      </c>
      <c r="K10010" s="769"/>
      <c r="M10010" s="122"/>
      <c r="N10010" s="111"/>
      <c r="O10010" s="45" t="s">
        <v>24350</v>
      </c>
      <c r="P10010" s="58" t="s">
        <v>65</v>
      </c>
      <c r="Q10010" s="821" t="s">
        <v>96</v>
      </c>
      <c r="R10010" s="45" t="s">
        <v>272</v>
      </c>
    </row>
    <row r="10011" spans="1:18" ht="69" customHeight="1">
      <c r="B10011" s="79">
        <f t="shared" si="87"/>
        <v>7122</v>
      </c>
      <c r="C10011" s="676" t="s">
        <v>10961</v>
      </c>
      <c r="D10011" s="498" t="s">
        <v>24368</v>
      </c>
      <c r="E10011" s="680" t="s">
        <v>266</v>
      </c>
      <c r="F10011" s="58" t="s">
        <v>24369</v>
      </c>
      <c r="G10011" s="45" t="s">
        <v>24348</v>
      </c>
      <c r="H10011" s="644">
        <v>580.25</v>
      </c>
      <c r="I10011" s="767">
        <v>45703</v>
      </c>
      <c r="J10011" s="841" t="s">
        <v>24367</v>
      </c>
      <c r="K10011" s="67"/>
      <c r="M10011" s="122"/>
      <c r="N10011" s="111"/>
      <c r="O10011" s="45" t="s">
        <v>24350</v>
      </c>
      <c r="P10011" s="58" t="s">
        <v>65</v>
      </c>
      <c r="Q10011" s="821" t="s">
        <v>96</v>
      </c>
      <c r="R10011" s="45" t="s">
        <v>272</v>
      </c>
    </row>
    <row r="10012" spans="1:18" ht="69" customHeight="1">
      <c r="B10012" s="231">
        <f t="shared" si="87"/>
        <v>7123</v>
      </c>
      <c r="C10012" s="51" t="s">
        <v>450</v>
      </c>
      <c r="D10012" s="251" t="s">
        <v>22991</v>
      </c>
      <c r="E10012" s="86" t="s">
        <v>266</v>
      </c>
      <c r="F10012" s="46" t="s">
        <v>24370</v>
      </c>
      <c r="G10012" s="283" t="s">
        <v>24371</v>
      </c>
      <c r="H10012" s="534">
        <v>27.75</v>
      </c>
      <c r="I10012" s="826">
        <v>45703</v>
      </c>
      <c r="J10012" s="199" t="s">
        <v>24372</v>
      </c>
      <c r="K10012" s="46"/>
      <c r="M10012" s="122"/>
      <c r="N10012" s="111"/>
      <c r="O10012" s="46" t="s">
        <v>24373</v>
      </c>
      <c r="P10012" s="286" t="s">
        <v>65</v>
      </c>
      <c r="Q10012" s="52" t="s">
        <v>13</v>
      </c>
      <c r="R10012" s="46" t="s">
        <v>272</v>
      </c>
    </row>
    <row r="10013" spans="1:18" ht="69" customHeight="1">
      <c r="B10013" s="79">
        <f t="shared" si="87"/>
        <v>7124</v>
      </c>
      <c r="C10013" s="178" t="s">
        <v>458</v>
      </c>
      <c r="D10013" s="545" t="s">
        <v>24374</v>
      </c>
      <c r="E10013" s="676" t="s">
        <v>266</v>
      </c>
      <c r="F10013" s="45" t="s">
        <v>21096</v>
      </c>
      <c r="G10013" s="45" t="s">
        <v>24292</v>
      </c>
      <c r="H10013" s="546">
        <v>4307.09</v>
      </c>
      <c r="I10013" s="126">
        <v>45682</v>
      </c>
      <c r="J10013" s="242" t="s">
        <v>24375</v>
      </c>
      <c r="K10013" s="67" t="s">
        <v>22203</v>
      </c>
      <c r="M10013" s="122"/>
      <c r="N10013" s="111"/>
      <c r="O10013" s="45" t="s">
        <v>11386</v>
      </c>
      <c r="P10013" s="45" t="s">
        <v>65</v>
      </c>
      <c r="Q10013" s="48" t="s">
        <v>90</v>
      </c>
      <c r="R10013" s="45" t="s">
        <v>272</v>
      </c>
    </row>
    <row r="10014" spans="1:18" ht="69" customHeight="1">
      <c r="B10014" s="803">
        <f t="shared" si="87"/>
        <v>7125</v>
      </c>
      <c r="C10014" s="680" t="s">
        <v>657</v>
      </c>
      <c r="D10014" s="855" t="s">
        <v>20714</v>
      </c>
      <c r="E10014" s="676" t="s">
        <v>409</v>
      </c>
      <c r="F10014" s="677" t="s">
        <v>24376</v>
      </c>
      <c r="G10014" s="677" t="s">
        <v>24295</v>
      </c>
      <c r="H10014" s="856">
        <v>53034.49</v>
      </c>
      <c r="I10014" s="780">
        <v>44862</v>
      </c>
      <c r="J10014" s="783" t="s">
        <v>24296</v>
      </c>
      <c r="K10014" s="677"/>
      <c r="L10014" s="104"/>
      <c r="M10014" s="857"/>
      <c r="N10014" s="858"/>
      <c r="O10014" s="677" t="s">
        <v>154</v>
      </c>
      <c r="P10014" s="677" t="s">
        <v>59</v>
      </c>
      <c r="Q10014" s="804" t="s">
        <v>118</v>
      </c>
      <c r="R10014" s="677" t="s">
        <v>272</v>
      </c>
    </row>
    <row r="10015" spans="1:18" ht="69" customHeight="1">
      <c r="B10015" s="803">
        <f t="shared" si="87"/>
        <v>7126</v>
      </c>
      <c r="C10015" s="680" t="s">
        <v>657</v>
      </c>
      <c r="D10015" s="859" t="s">
        <v>3708</v>
      </c>
      <c r="E10015" s="676" t="s">
        <v>409</v>
      </c>
      <c r="F10015" s="677" t="s">
        <v>24377</v>
      </c>
      <c r="G10015" s="677" t="s">
        <v>24295</v>
      </c>
      <c r="H10015" s="856">
        <v>132586.28</v>
      </c>
      <c r="I10015" s="780">
        <v>44862</v>
      </c>
      <c r="J10015" s="783" t="s">
        <v>24296</v>
      </c>
      <c r="K10015" s="677"/>
      <c r="L10015" s="104"/>
      <c r="M10015" s="120"/>
      <c r="N10015" s="120"/>
      <c r="O10015" s="677" t="s">
        <v>154</v>
      </c>
      <c r="P10015" s="677" t="s">
        <v>59</v>
      </c>
      <c r="Q10015" s="804" t="s">
        <v>118</v>
      </c>
      <c r="R10015" s="677" t="s">
        <v>272</v>
      </c>
    </row>
    <row r="10016" spans="1:18" ht="69" customHeight="1">
      <c r="B10016" s="79">
        <f t="shared" si="87"/>
        <v>7127</v>
      </c>
      <c r="C10016" s="680" t="s">
        <v>657</v>
      </c>
      <c r="D10016" s="745" t="s">
        <v>14063</v>
      </c>
      <c r="E10016" s="676" t="s">
        <v>266</v>
      </c>
      <c r="F10016" s="45" t="s">
        <v>21093</v>
      </c>
      <c r="G10016" s="45" t="s">
        <v>24292</v>
      </c>
      <c r="H10016" s="546">
        <v>4307.09</v>
      </c>
      <c r="I10016" s="126">
        <v>45682</v>
      </c>
      <c r="J10016" s="242" t="s">
        <v>24378</v>
      </c>
      <c r="K10016" s="45" t="s">
        <v>22203</v>
      </c>
      <c r="O10016" s="45" t="s">
        <v>11386</v>
      </c>
      <c r="P10016" s="45" t="s">
        <v>65</v>
      </c>
      <c r="Q10016" s="48" t="s">
        <v>99</v>
      </c>
      <c r="R10016" s="45" t="s">
        <v>272</v>
      </c>
    </row>
    <row r="10017" spans="2:18" ht="69" customHeight="1">
      <c r="B10017" s="732">
        <f t="shared" si="87"/>
        <v>7128</v>
      </c>
      <c r="C10017" s="59" t="s">
        <v>657</v>
      </c>
      <c r="D10017" s="675" t="s">
        <v>14091</v>
      </c>
      <c r="E10017" s="45" t="s">
        <v>266</v>
      </c>
      <c r="F10017" s="45" t="s">
        <v>24379</v>
      </c>
      <c r="G10017" s="81" t="s">
        <v>24267</v>
      </c>
      <c r="H10017" s="198">
        <v>22212.39</v>
      </c>
      <c r="I10017" s="798">
        <v>45672</v>
      </c>
      <c r="J10017" s="73" t="s">
        <v>24380</v>
      </c>
      <c r="K10017" s="802"/>
      <c r="L10017" s="104"/>
      <c r="M10017" s="120"/>
      <c r="N10017" s="120"/>
      <c r="O10017" s="45" t="s">
        <v>1171</v>
      </c>
      <c r="P10017" s="677" t="s">
        <v>71</v>
      </c>
      <c r="Q10017" s="804" t="s">
        <v>97</v>
      </c>
      <c r="R10017" s="45" t="s">
        <v>272</v>
      </c>
    </row>
    <row r="10018" spans="2:18" ht="69" customHeight="1">
      <c r="B10018" s="732">
        <f t="shared" si="87"/>
        <v>7129</v>
      </c>
      <c r="C10018" s="59" t="s">
        <v>458</v>
      </c>
      <c r="D10018" s="675" t="s">
        <v>24381</v>
      </c>
      <c r="E10018" s="45" t="s">
        <v>266</v>
      </c>
      <c r="F10018" s="45" t="s">
        <v>24382</v>
      </c>
      <c r="G10018" s="81" t="s">
        <v>24267</v>
      </c>
      <c r="H10018" s="198">
        <v>22958.12</v>
      </c>
      <c r="I10018" s="798">
        <v>45672</v>
      </c>
      <c r="J10018" s="73" t="s">
        <v>24380</v>
      </c>
      <c r="K10018" s="802"/>
      <c r="L10018" s="104"/>
      <c r="M10018" s="120"/>
      <c r="N10018" s="120"/>
      <c r="O10018" s="45" t="s">
        <v>1171</v>
      </c>
      <c r="P10018" s="677" t="s">
        <v>71</v>
      </c>
      <c r="Q10018" s="804" t="s">
        <v>122</v>
      </c>
      <c r="R10018" s="45" t="s">
        <v>272</v>
      </c>
    </row>
    <row r="10019" spans="2:18" ht="69" customHeight="1">
      <c r="B10019" s="239">
        <f t="shared" si="87"/>
        <v>7130</v>
      </c>
      <c r="C10019" s="59" t="s">
        <v>458</v>
      </c>
      <c r="D10019" s="489" t="s">
        <v>24383</v>
      </c>
      <c r="E10019" s="45" t="s">
        <v>266</v>
      </c>
      <c r="F10019" s="45" t="s">
        <v>24384</v>
      </c>
      <c r="G10019" s="81" t="s">
        <v>24385</v>
      </c>
      <c r="H10019" s="198">
        <v>11103.89</v>
      </c>
      <c r="I10019" s="798">
        <v>45672</v>
      </c>
      <c r="J10019" s="73" t="s">
        <v>24380</v>
      </c>
      <c r="K10019" s="45"/>
      <c r="O10019" s="45" t="s">
        <v>1171</v>
      </c>
      <c r="P10019" s="677" t="s">
        <v>71</v>
      </c>
      <c r="Q10019" s="804" t="s">
        <v>122</v>
      </c>
      <c r="R10019" s="45" t="s">
        <v>272</v>
      </c>
    </row>
    <row r="10020" spans="2:18" ht="69" customHeight="1">
      <c r="B10020" s="239">
        <f t="shared" si="87"/>
        <v>7131</v>
      </c>
      <c r="C10020" s="59" t="s">
        <v>458</v>
      </c>
      <c r="D10020" s="489" t="s">
        <v>24386</v>
      </c>
      <c r="E10020" s="45" t="s">
        <v>266</v>
      </c>
      <c r="F10020" s="45" t="s">
        <v>24387</v>
      </c>
      <c r="G10020" s="81" t="s">
        <v>24267</v>
      </c>
      <c r="H10020" s="198">
        <v>22958.12</v>
      </c>
      <c r="I10020" s="798">
        <v>45672</v>
      </c>
      <c r="J10020" s="73" t="s">
        <v>24380</v>
      </c>
      <c r="K10020" s="45"/>
      <c r="O10020" s="45" t="s">
        <v>1171</v>
      </c>
      <c r="P10020" s="677" t="s">
        <v>71</v>
      </c>
      <c r="Q10020" s="804" t="s">
        <v>122</v>
      </c>
      <c r="R10020" s="45" t="s">
        <v>272</v>
      </c>
    </row>
    <row r="10021" spans="2:18" ht="69" customHeight="1">
      <c r="B10021" s="239">
        <f t="shared" si="87"/>
        <v>7132</v>
      </c>
      <c r="C10021" s="676" t="s">
        <v>10937</v>
      </c>
      <c r="D10021" s="489" t="s">
        <v>17972</v>
      </c>
      <c r="E10021" s="45" t="s">
        <v>266</v>
      </c>
      <c r="F10021" s="45" t="s">
        <v>24388</v>
      </c>
      <c r="G10021" s="81" t="s">
        <v>24267</v>
      </c>
      <c r="H10021" s="198">
        <v>20000</v>
      </c>
      <c r="I10021" s="798">
        <v>45672</v>
      </c>
      <c r="J10021" s="73" t="s">
        <v>24380</v>
      </c>
      <c r="K10021" s="45"/>
      <c r="O10021" s="45" t="s">
        <v>1171</v>
      </c>
      <c r="P10021" s="677" t="s">
        <v>71</v>
      </c>
      <c r="Q10021" s="804" t="s">
        <v>104</v>
      </c>
      <c r="R10021" s="45" t="s">
        <v>272</v>
      </c>
    </row>
    <row r="10022" spans="2:18" ht="69" customHeight="1">
      <c r="B10022" s="239">
        <f t="shared" si="87"/>
        <v>7133</v>
      </c>
      <c r="C10022" s="676" t="s">
        <v>10937</v>
      </c>
      <c r="D10022" s="489" t="s">
        <v>17975</v>
      </c>
      <c r="E10022" s="45" t="s">
        <v>266</v>
      </c>
      <c r="F10022" s="45" t="s">
        <v>24389</v>
      </c>
      <c r="G10022" s="81" t="s">
        <v>24267</v>
      </c>
      <c r="H10022" s="198">
        <v>20000</v>
      </c>
      <c r="I10022" s="798">
        <v>45672</v>
      </c>
      <c r="J10022" s="73" t="s">
        <v>24380</v>
      </c>
      <c r="K10022" s="45"/>
      <c r="O10022" s="45" t="s">
        <v>1171</v>
      </c>
      <c r="P10022" s="677" t="s">
        <v>71</v>
      </c>
      <c r="Q10022" s="804" t="s">
        <v>104</v>
      </c>
      <c r="R10022" s="45" t="s">
        <v>272</v>
      </c>
    </row>
    <row r="10023" spans="2:18" ht="69" customHeight="1">
      <c r="B10023" s="239">
        <f t="shared" si="87"/>
        <v>7134</v>
      </c>
      <c r="C10023" s="59" t="s">
        <v>657</v>
      </c>
      <c r="D10023" s="489" t="s">
        <v>14130</v>
      </c>
      <c r="E10023" s="45" t="s">
        <v>266</v>
      </c>
      <c r="F10023" s="45" t="s">
        <v>24390</v>
      </c>
      <c r="G10023" s="81" t="s">
        <v>24267</v>
      </c>
      <c r="H10023" s="198">
        <v>22212.39</v>
      </c>
      <c r="I10023" s="798">
        <v>45672</v>
      </c>
      <c r="J10023" s="73" t="s">
        <v>24380</v>
      </c>
      <c r="K10023" s="45"/>
      <c r="O10023" s="45" t="s">
        <v>1171</v>
      </c>
      <c r="P10023" s="677" t="s">
        <v>71</v>
      </c>
      <c r="Q10023" s="804" t="s">
        <v>97</v>
      </c>
      <c r="R10023" s="45" t="s">
        <v>272</v>
      </c>
    </row>
    <row r="10024" spans="2:18" ht="69" customHeight="1">
      <c r="B10024" s="239">
        <f t="shared" si="87"/>
        <v>7135</v>
      </c>
      <c r="C10024" s="805" t="s">
        <v>9215</v>
      </c>
      <c r="D10024" s="489" t="s">
        <v>24391</v>
      </c>
      <c r="E10024" s="45" t="s">
        <v>266</v>
      </c>
      <c r="F10024" s="45" t="s">
        <v>24392</v>
      </c>
      <c r="G10024" s="81" t="s">
        <v>24267</v>
      </c>
      <c r="H10024" s="198">
        <v>21527.72</v>
      </c>
      <c r="I10024" s="798">
        <v>45672</v>
      </c>
      <c r="J10024" s="73" t="s">
        <v>24380</v>
      </c>
      <c r="K10024" s="45"/>
      <c r="O10024" s="45" t="s">
        <v>1171</v>
      </c>
      <c r="P10024" s="677" t="s">
        <v>71</v>
      </c>
      <c r="Q10024" s="804" t="s">
        <v>113</v>
      </c>
      <c r="R10024" s="45" t="s">
        <v>272</v>
      </c>
    </row>
    <row r="10025" spans="2:18" ht="69" customHeight="1">
      <c r="B10025" s="239">
        <f t="shared" si="87"/>
        <v>7136</v>
      </c>
      <c r="C10025" s="805" t="s">
        <v>9215</v>
      </c>
      <c r="D10025" s="489" t="s">
        <v>24393</v>
      </c>
      <c r="E10025" s="45" t="s">
        <v>266</v>
      </c>
      <c r="F10025" s="45" t="s">
        <v>24394</v>
      </c>
      <c r="G10025" s="81" t="s">
        <v>24267</v>
      </c>
      <c r="H10025" s="198">
        <v>21527.72</v>
      </c>
      <c r="I10025" s="798">
        <v>45672</v>
      </c>
      <c r="J10025" s="73" t="s">
        <v>24380</v>
      </c>
      <c r="K10025" s="45"/>
      <c r="O10025" s="45" t="s">
        <v>1171</v>
      </c>
      <c r="P10025" s="677" t="s">
        <v>71</v>
      </c>
      <c r="Q10025" s="804" t="s">
        <v>113</v>
      </c>
      <c r="R10025" s="45" t="s">
        <v>272</v>
      </c>
    </row>
    <row r="10026" spans="2:18" ht="69" customHeight="1">
      <c r="B10026" s="239">
        <f t="shared" si="87"/>
        <v>7137</v>
      </c>
      <c r="C10026" s="59" t="s">
        <v>458</v>
      </c>
      <c r="D10026" s="489" t="s">
        <v>22954</v>
      </c>
      <c r="E10026" s="45" t="s">
        <v>266</v>
      </c>
      <c r="F10026" s="45" t="s">
        <v>24395</v>
      </c>
      <c r="G10026" s="81" t="s">
        <v>24267</v>
      </c>
      <c r="H10026" s="198">
        <v>22958.12</v>
      </c>
      <c r="I10026" s="798">
        <v>45672</v>
      </c>
      <c r="J10026" s="73" t="s">
        <v>24380</v>
      </c>
      <c r="K10026" s="45"/>
      <c r="O10026" s="45" t="s">
        <v>1171</v>
      </c>
      <c r="P10026" s="677" t="s">
        <v>71</v>
      </c>
      <c r="Q10026" s="804" t="s">
        <v>123</v>
      </c>
      <c r="R10026" s="45" t="s">
        <v>272</v>
      </c>
    </row>
    <row r="10027" spans="2:18" ht="69" customHeight="1">
      <c r="B10027" s="239">
        <f t="shared" si="87"/>
        <v>7138</v>
      </c>
      <c r="C10027" s="59" t="s">
        <v>458</v>
      </c>
      <c r="D10027" s="489" t="s">
        <v>24396</v>
      </c>
      <c r="E10027" s="45" t="s">
        <v>266</v>
      </c>
      <c r="F10027" s="45" t="s">
        <v>24397</v>
      </c>
      <c r="G10027" s="81" t="s">
        <v>24385</v>
      </c>
      <c r="H10027" s="198">
        <v>11103.89</v>
      </c>
      <c r="I10027" s="798">
        <v>45672</v>
      </c>
      <c r="J10027" s="73" t="s">
        <v>24380</v>
      </c>
      <c r="K10027" s="45"/>
      <c r="O10027" s="45" t="s">
        <v>1171</v>
      </c>
      <c r="P10027" s="677" t="s">
        <v>71</v>
      </c>
      <c r="Q10027" s="804" t="s">
        <v>123</v>
      </c>
      <c r="R10027" s="45" t="s">
        <v>272</v>
      </c>
    </row>
    <row r="10028" spans="2:18" ht="69" customHeight="1">
      <c r="B10028" s="239">
        <f t="shared" si="87"/>
        <v>7139</v>
      </c>
      <c r="C10028" s="59" t="s">
        <v>458</v>
      </c>
      <c r="D10028" s="489" t="s">
        <v>24398</v>
      </c>
      <c r="E10028" s="45" t="s">
        <v>266</v>
      </c>
      <c r="F10028" s="45" t="s">
        <v>24399</v>
      </c>
      <c r="G10028" s="81" t="s">
        <v>24385</v>
      </c>
      <c r="H10028" s="198">
        <v>11103.89</v>
      </c>
      <c r="I10028" s="798">
        <v>45672</v>
      </c>
      <c r="J10028" s="73" t="s">
        <v>24380</v>
      </c>
      <c r="K10028" s="45"/>
      <c r="O10028" s="45" t="s">
        <v>1171</v>
      </c>
      <c r="P10028" s="677" t="s">
        <v>71</v>
      </c>
      <c r="Q10028" s="804" t="s">
        <v>123</v>
      </c>
      <c r="R10028" s="45" t="s">
        <v>272</v>
      </c>
    </row>
    <row r="10029" spans="2:18" ht="69" customHeight="1">
      <c r="B10029" s="239">
        <f t="shared" si="87"/>
        <v>7140</v>
      </c>
      <c r="C10029" s="59" t="s">
        <v>458</v>
      </c>
      <c r="D10029" s="489" t="s">
        <v>22979</v>
      </c>
      <c r="E10029" s="45" t="s">
        <v>266</v>
      </c>
      <c r="F10029" s="45" t="s">
        <v>24400</v>
      </c>
      <c r="G10029" s="81" t="s">
        <v>24267</v>
      </c>
      <c r="H10029" s="198">
        <v>22958.12</v>
      </c>
      <c r="I10029" s="798">
        <v>45672</v>
      </c>
      <c r="J10029" s="73" t="s">
        <v>24380</v>
      </c>
      <c r="K10029" s="45"/>
      <c r="O10029" s="45" t="s">
        <v>1171</v>
      </c>
      <c r="P10029" s="677" t="s">
        <v>71</v>
      </c>
      <c r="Q10029" s="804" t="s">
        <v>123</v>
      </c>
      <c r="R10029" s="45" t="s">
        <v>272</v>
      </c>
    </row>
    <row r="10030" spans="2:18" ht="69" customHeight="1">
      <c r="B10030" s="239">
        <f t="shared" si="87"/>
        <v>7141</v>
      </c>
      <c r="C10030" s="59" t="s">
        <v>458</v>
      </c>
      <c r="D10030" s="489" t="s">
        <v>22934</v>
      </c>
      <c r="E10030" s="45" t="s">
        <v>266</v>
      </c>
      <c r="F10030" s="45" t="s">
        <v>24401</v>
      </c>
      <c r="G10030" s="81" t="s">
        <v>24267</v>
      </c>
      <c r="H10030" s="198">
        <v>22958.12</v>
      </c>
      <c r="I10030" s="798">
        <v>45672</v>
      </c>
      <c r="J10030" s="73" t="s">
        <v>24380</v>
      </c>
      <c r="K10030" s="45"/>
      <c r="O10030" s="45" t="s">
        <v>1171</v>
      </c>
      <c r="P10030" s="677" t="s">
        <v>71</v>
      </c>
      <c r="Q10030" s="804" t="s">
        <v>103</v>
      </c>
      <c r="R10030" s="45" t="s">
        <v>272</v>
      </c>
    </row>
    <row r="10031" spans="2:18" ht="69" customHeight="1">
      <c r="B10031" s="239">
        <f t="shared" si="87"/>
        <v>7142</v>
      </c>
      <c r="C10031" s="59" t="s">
        <v>458</v>
      </c>
      <c r="D10031" s="489" t="s">
        <v>24402</v>
      </c>
      <c r="E10031" s="45" t="s">
        <v>266</v>
      </c>
      <c r="F10031" s="45" t="s">
        <v>24403</v>
      </c>
      <c r="G10031" s="81" t="s">
        <v>24267</v>
      </c>
      <c r="H10031" s="198">
        <v>22958.12</v>
      </c>
      <c r="I10031" s="798">
        <v>45672</v>
      </c>
      <c r="J10031" s="73" t="s">
        <v>24380</v>
      </c>
      <c r="K10031" s="45"/>
      <c r="O10031" s="45" t="s">
        <v>1171</v>
      </c>
      <c r="P10031" s="677" t="s">
        <v>71</v>
      </c>
      <c r="Q10031" s="804" t="s">
        <v>103</v>
      </c>
      <c r="R10031" s="45" t="s">
        <v>272</v>
      </c>
    </row>
    <row r="10032" spans="2:18" ht="69" customHeight="1">
      <c r="B10032" s="79">
        <f t="shared" si="87"/>
        <v>7143</v>
      </c>
      <c r="C10032" s="178" t="s">
        <v>657</v>
      </c>
      <c r="D10032" s="489" t="s">
        <v>17955</v>
      </c>
      <c r="E10032" s="45" t="s">
        <v>266</v>
      </c>
      <c r="F10032" s="45" t="s">
        <v>24404</v>
      </c>
      <c r="G10032" s="81" t="s">
        <v>23950</v>
      </c>
      <c r="H10032" s="198">
        <v>22212.39</v>
      </c>
      <c r="I10032" s="798">
        <v>45703</v>
      </c>
      <c r="J10032" s="73" t="s">
        <v>24405</v>
      </c>
      <c r="K10032" s="45"/>
      <c r="M10032" s="98"/>
      <c r="N10032" s="98"/>
      <c r="O10032" s="45" t="s">
        <v>1171</v>
      </c>
      <c r="P10032" s="45" t="s">
        <v>71</v>
      </c>
      <c r="Q10032" s="804" t="s">
        <v>110</v>
      </c>
      <c r="R10032" s="45" t="s">
        <v>272</v>
      </c>
    </row>
    <row r="10033" spans="1:18" ht="69" customHeight="1">
      <c r="B10033" s="79">
        <f t="shared" si="87"/>
        <v>7144</v>
      </c>
      <c r="C10033" s="178" t="s">
        <v>657</v>
      </c>
      <c r="D10033" s="489" t="s">
        <v>14152</v>
      </c>
      <c r="E10033" s="45" t="s">
        <v>266</v>
      </c>
      <c r="F10033" s="45" t="s">
        <v>24406</v>
      </c>
      <c r="G10033" s="81" t="s">
        <v>24267</v>
      </c>
      <c r="H10033" s="546">
        <v>22212.39</v>
      </c>
      <c r="I10033" s="798">
        <v>45703</v>
      </c>
      <c r="J10033" s="73" t="s">
        <v>24407</v>
      </c>
      <c r="K10033" s="67"/>
      <c r="O10033" s="45" t="s">
        <v>1171</v>
      </c>
      <c r="P10033" s="45" t="s">
        <v>71</v>
      </c>
      <c r="Q10033" s="48" t="s">
        <v>97</v>
      </c>
      <c r="R10033" s="45" t="s">
        <v>272</v>
      </c>
    </row>
    <row r="10034" spans="1:18" ht="69" customHeight="1">
      <c r="B10034" s="79">
        <f t="shared" si="87"/>
        <v>7145</v>
      </c>
      <c r="C10034" s="178" t="s">
        <v>458</v>
      </c>
      <c r="D10034" s="498" t="s">
        <v>24408</v>
      </c>
      <c r="E10034" s="45" t="s">
        <v>266</v>
      </c>
      <c r="F10034" s="45" t="s">
        <v>24409</v>
      </c>
      <c r="G10034" s="81" t="s">
        <v>24267</v>
      </c>
      <c r="H10034" s="546">
        <v>22958.12</v>
      </c>
      <c r="I10034" s="798">
        <v>45703</v>
      </c>
      <c r="J10034" s="73" t="s">
        <v>24407</v>
      </c>
      <c r="K10034" s="67"/>
      <c r="O10034" s="45" t="s">
        <v>1171</v>
      </c>
      <c r="P10034" s="45" t="s">
        <v>71</v>
      </c>
      <c r="Q10034" s="48" t="s">
        <v>103</v>
      </c>
      <c r="R10034" s="45" t="s">
        <v>272</v>
      </c>
    </row>
    <row r="10035" spans="1:18" ht="69" customHeight="1">
      <c r="B10035" s="239">
        <f t="shared" si="87"/>
        <v>7146</v>
      </c>
      <c r="C10035" s="59" t="s">
        <v>458</v>
      </c>
      <c r="D10035" s="489" t="s">
        <v>22993</v>
      </c>
      <c r="E10035" s="45" t="s">
        <v>266</v>
      </c>
      <c r="F10035" s="45" t="s">
        <v>24410</v>
      </c>
      <c r="G10035" s="81" t="s">
        <v>24267</v>
      </c>
      <c r="H10035" s="198">
        <v>22958.12</v>
      </c>
      <c r="I10035" s="798">
        <v>45703</v>
      </c>
      <c r="J10035" s="73" t="s">
        <v>24407</v>
      </c>
      <c r="K10035" s="45"/>
      <c r="O10035" s="45" t="s">
        <v>1171</v>
      </c>
      <c r="P10035" s="45" t="s">
        <v>71</v>
      </c>
      <c r="Q10035" s="48" t="s">
        <v>123</v>
      </c>
      <c r="R10035" s="45" t="s">
        <v>272</v>
      </c>
    </row>
    <row r="10036" spans="1:18" ht="69" customHeight="1">
      <c r="B10036" s="231">
        <f t="shared" si="87"/>
        <v>7147</v>
      </c>
      <c r="C10036" s="825" t="s">
        <v>9215</v>
      </c>
      <c r="D10036" s="502" t="s">
        <v>22976</v>
      </c>
      <c r="E10036" s="46" t="s">
        <v>266</v>
      </c>
      <c r="F10036" s="46" t="s">
        <v>24411</v>
      </c>
      <c r="G10036" s="283" t="s">
        <v>24267</v>
      </c>
      <c r="H10036" s="662">
        <v>21527.72</v>
      </c>
      <c r="I10036" s="826">
        <v>45703</v>
      </c>
      <c r="J10036" s="199" t="s">
        <v>24412</v>
      </c>
      <c r="K10036" s="46" t="s">
        <v>15004</v>
      </c>
      <c r="O10036" s="46" t="s">
        <v>1171</v>
      </c>
      <c r="P10036" s="46" t="s">
        <v>67</v>
      </c>
      <c r="Q10036" s="52" t="s">
        <v>113</v>
      </c>
      <c r="R10036" s="46" t="s">
        <v>272</v>
      </c>
    </row>
    <row r="10037" spans="1:18" ht="69" customHeight="1">
      <c r="B10037" s="79">
        <f t="shared" si="87"/>
        <v>7148</v>
      </c>
      <c r="C10037" s="676" t="s">
        <v>10961</v>
      </c>
      <c r="D10037" s="498" t="s">
        <v>24413</v>
      </c>
      <c r="E10037" s="680" t="s">
        <v>266</v>
      </c>
      <c r="F10037" s="58" t="s">
        <v>24414</v>
      </c>
      <c r="G10037" s="45" t="s">
        <v>24348</v>
      </c>
      <c r="H10037" s="376">
        <v>275.85000000000002</v>
      </c>
      <c r="I10037" s="798">
        <v>45703</v>
      </c>
      <c r="J10037" s="242" t="s">
        <v>24415</v>
      </c>
      <c r="K10037" s="67"/>
      <c r="O10037" s="45" t="s">
        <v>24350</v>
      </c>
      <c r="P10037" s="45" t="s">
        <v>65</v>
      </c>
      <c r="Q10037" s="48" t="s">
        <v>96</v>
      </c>
      <c r="R10037" s="45" t="s">
        <v>272</v>
      </c>
    </row>
    <row r="10038" spans="1:18" ht="69" customHeight="1">
      <c r="B10038" s="79">
        <f t="shared" si="87"/>
        <v>7149</v>
      </c>
      <c r="C10038" s="676" t="s">
        <v>10961</v>
      </c>
      <c r="D10038" s="498" t="s">
        <v>24416</v>
      </c>
      <c r="E10038" s="680" t="s">
        <v>266</v>
      </c>
      <c r="F10038" s="58" t="s">
        <v>24417</v>
      </c>
      <c r="G10038" s="45" t="s">
        <v>24348</v>
      </c>
      <c r="H10038" s="644">
        <v>36.92</v>
      </c>
      <c r="I10038" s="798">
        <v>45703</v>
      </c>
      <c r="J10038" s="242" t="s">
        <v>24418</v>
      </c>
      <c r="K10038" s="67"/>
      <c r="O10038" s="45" t="s">
        <v>24350</v>
      </c>
      <c r="P10038" s="45" t="s">
        <v>65</v>
      </c>
      <c r="Q10038" s="48" t="s">
        <v>96</v>
      </c>
      <c r="R10038" s="45" t="s">
        <v>272</v>
      </c>
    </row>
    <row r="10039" spans="1:18" ht="69" customHeight="1">
      <c r="B10039" s="239">
        <f t="shared" si="87"/>
        <v>7150</v>
      </c>
      <c r="C10039" s="808" t="s">
        <v>11933</v>
      </c>
      <c r="D10039" s="809" t="s">
        <v>22998</v>
      </c>
      <c r="E10039" s="771" t="s">
        <v>266</v>
      </c>
      <c r="F10039" s="60" t="s">
        <v>24419</v>
      </c>
      <c r="G10039" s="60" t="s">
        <v>24420</v>
      </c>
      <c r="H10039" s="791">
        <v>2130</v>
      </c>
      <c r="I10039" s="737">
        <v>45337</v>
      </c>
      <c r="J10039" s="73" t="s">
        <v>24421</v>
      </c>
      <c r="K10039" s="45"/>
      <c r="O10039" s="61" t="s">
        <v>1171</v>
      </c>
      <c r="P10039" s="45" t="s">
        <v>65</v>
      </c>
      <c r="Q10039" s="48" t="s">
        <v>123</v>
      </c>
      <c r="R10039" s="45" t="s">
        <v>272</v>
      </c>
    </row>
    <row r="10040" spans="1:18" ht="69" customHeight="1">
      <c r="A10040" s="168"/>
      <c r="B10040" s="62">
        <f t="shared" si="87"/>
        <v>7151</v>
      </c>
      <c r="C10040" s="174" t="s">
        <v>11933</v>
      </c>
      <c r="D10040" s="174" t="s">
        <v>24422</v>
      </c>
      <c r="E10040" s="174" t="s">
        <v>20334</v>
      </c>
      <c r="F10040" s="58" t="s">
        <v>24423</v>
      </c>
      <c r="G10040" s="237" t="s">
        <v>24424</v>
      </c>
      <c r="H10040" s="931">
        <v>1500</v>
      </c>
      <c r="I10040" s="773">
        <v>45713</v>
      </c>
      <c r="J10040" s="932" t="s">
        <v>24425</v>
      </c>
      <c r="K10040" s="933" t="s">
        <v>24426</v>
      </c>
      <c r="L10040" s="99"/>
      <c r="M10040" s="818"/>
      <c r="N10040" s="818"/>
      <c r="O10040" s="58" t="s">
        <v>17289</v>
      </c>
      <c r="P10040" s="58" t="s">
        <v>65</v>
      </c>
      <c r="Q10040" s="62" t="s">
        <v>123</v>
      </c>
      <c r="R10040" s="58" t="s">
        <v>272</v>
      </c>
    </row>
    <row r="10041" spans="1:18" ht="69" customHeight="1">
      <c r="B10041" s="925">
        <f t="shared" si="87"/>
        <v>7152</v>
      </c>
      <c r="C10041" s="926" t="s">
        <v>309</v>
      </c>
      <c r="D10041" s="927" t="s">
        <v>24427</v>
      </c>
      <c r="E10041" s="926" t="s">
        <v>266</v>
      </c>
      <c r="F10041" s="928" t="s">
        <v>24428</v>
      </c>
      <c r="G10041" s="861" t="s">
        <v>13201</v>
      </c>
      <c r="H10041" s="923">
        <v>19900.72</v>
      </c>
      <c r="I10041" s="929">
        <v>45713</v>
      </c>
      <c r="J10041" s="930" t="s">
        <v>24429</v>
      </c>
      <c r="K10041" s="861"/>
      <c r="O10041" s="45" t="s">
        <v>15366</v>
      </c>
      <c r="P10041" s="45" t="s">
        <v>67</v>
      </c>
      <c r="Q10041" s="48" t="s">
        <v>15</v>
      </c>
      <c r="R10041" s="45" t="s">
        <v>272</v>
      </c>
    </row>
    <row r="10042" spans="1:18" ht="69" customHeight="1">
      <c r="B10042" s="924">
        <f t="shared" si="87"/>
        <v>7153</v>
      </c>
      <c r="C10042" s="174" t="s">
        <v>11933</v>
      </c>
      <c r="D10042" s="498" t="s">
        <v>23019</v>
      </c>
      <c r="E10042" s="174" t="s">
        <v>20334</v>
      </c>
      <c r="F10042" s="58" t="s">
        <v>24430</v>
      </c>
      <c r="G10042" s="45" t="s">
        <v>24431</v>
      </c>
      <c r="H10042" s="552">
        <v>5821.02</v>
      </c>
      <c r="I10042" s="66">
        <v>45713</v>
      </c>
      <c r="J10042" s="819" t="s">
        <v>24432</v>
      </c>
      <c r="K10042" s="67"/>
      <c r="O10042" s="45" t="s">
        <v>24433</v>
      </c>
      <c r="P10042" s="58" t="s">
        <v>51</v>
      </c>
      <c r="Q10042" s="48" t="s">
        <v>123</v>
      </c>
      <c r="R10042" s="45" t="s">
        <v>272</v>
      </c>
    </row>
    <row r="10043" spans="1:18" ht="69" customHeight="1">
      <c r="B10043" s="239">
        <f t="shared" si="87"/>
        <v>7154</v>
      </c>
      <c r="C10043" s="59" t="s">
        <v>11618</v>
      </c>
      <c r="D10043" s="489" t="s">
        <v>23034</v>
      </c>
      <c r="E10043" s="739" t="s">
        <v>266</v>
      </c>
      <c r="F10043" s="45" t="s">
        <v>24434</v>
      </c>
      <c r="G10043" s="45" t="s">
        <v>24435</v>
      </c>
      <c r="H10043" s="198">
        <v>145.5</v>
      </c>
      <c r="I10043" s="130">
        <v>45802</v>
      </c>
      <c r="J10043" s="843" t="s">
        <v>24436</v>
      </c>
      <c r="K10043" s="45"/>
      <c r="O10043" s="45" t="s">
        <v>24364</v>
      </c>
      <c r="P10043" s="45" t="s">
        <v>65</v>
      </c>
      <c r="Q10043" s="48" t="s">
        <v>122</v>
      </c>
      <c r="R10043" s="45" t="s">
        <v>272</v>
      </c>
    </row>
    <row r="10044" spans="1:18" ht="69" customHeight="1">
      <c r="B10044" s="239">
        <f t="shared" si="87"/>
        <v>7155</v>
      </c>
      <c r="C10044" s="48" t="s">
        <v>96</v>
      </c>
      <c r="D10044" s="489" t="s">
        <v>96</v>
      </c>
      <c r="E10044" s="739" t="s">
        <v>266</v>
      </c>
      <c r="F10044" s="45" t="s">
        <v>24437</v>
      </c>
      <c r="G10044" s="45" t="s">
        <v>24438</v>
      </c>
      <c r="H10044" s="198" t="s">
        <v>96</v>
      </c>
      <c r="I10044" s="842" t="s">
        <v>96</v>
      </c>
      <c r="J10044" s="843" t="s">
        <v>24439</v>
      </c>
      <c r="K10044" s="45" t="s">
        <v>24440</v>
      </c>
      <c r="O10044" s="45" t="s">
        <v>24441</v>
      </c>
      <c r="P10044" s="45" t="s">
        <v>67</v>
      </c>
      <c r="Q10044" s="821" t="s">
        <v>96</v>
      </c>
      <c r="R10044" s="45" t="s">
        <v>272</v>
      </c>
    </row>
    <row r="10045" spans="1:18" ht="69" customHeight="1">
      <c r="B10045" s="79">
        <f t="shared" si="87"/>
        <v>7156</v>
      </c>
      <c r="C10045" s="178" t="s">
        <v>657</v>
      </c>
      <c r="D10045" s="498" t="s">
        <v>14214</v>
      </c>
      <c r="E10045" s="178" t="s">
        <v>24442</v>
      </c>
      <c r="F10045" s="58" t="s">
        <v>24443</v>
      </c>
      <c r="G10045" s="58" t="s">
        <v>24444</v>
      </c>
      <c r="H10045" s="546">
        <v>70000</v>
      </c>
      <c r="I10045" s="126">
        <v>45713</v>
      </c>
      <c r="J10045" s="242" t="s">
        <v>24445</v>
      </c>
      <c r="K10045" s="67"/>
      <c r="O10045" s="45" t="s">
        <v>141</v>
      </c>
      <c r="P10045" s="45" t="s">
        <v>19</v>
      </c>
      <c r="Q10045" s="48" t="s">
        <v>110</v>
      </c>
      <c r="R10045" s="45" t="s">
        <v>265</v>
      </c>
    </row>
    <row r="10046" spans="1:18" ht="69" customHeight="1">
      <c r="B10046" s="79">
        <f t="shared" si="87"/>
        <v>7157</v>
      </c>
      <c r="C10046" s="178" t="s">
        <v>458</v>
      </c>
      <c r="D10046" s="498" t="s">
        <v>24446</v>
      </c>
      <c r="E10046" s="178" t="s">
        <v>24442</v>
      </c>
      <c r="F10046" s="58" t="s">
        <v>24447</v>
      </c>
      <c r="G10046" s="58" t="s">
        <v>24444</v>
      </c>
      <c r="H10046" s="546">
        <v>40000</v>
      </c>
      <c r="I10046" s="126">
        <v>45713</v>
      </c>
      <c r="J10046" s="242" t="s">
        <v>24445</v>
      </c>
      <c r="K10046" s="67"/>
      <c r="O10046" s="60" t="s">
        <v>141</v>
      </c>
      <c r="P10046" s="60" t="s">
        <v>19</v>
      </c>
      <c r="Q10046" s="48" t="s">
        <v>123</v>
      </c>
      <c r="R10046" s="45" t="s">
        <v>265</v>
      </c>
    </row>
    <row r="10047" spans="1:18" ht="69" customHeight="1">
      <c r="B10047" s="79">
        <f t="shared" si="87"/>
        <v>7158</v>
      </c>
      <c r="C10047" s="59" t="s">
        <v>3667</v>
      </c>
      <c r="D10047" s="498" t="s">
        <v>24448</v>
      </c>
      <c r="E10047" s="680" t="s">
        <v>266</v>
      </c>
      <c r="F10047" s="680" t="s">
        <v>24449</v>
      </c>
      <c r="G10047" s="681" t="s">
        <v>24450</v>
      </c>
      <c r="H10047" s="546">
        <v>9930.24</v>
      </c>
      <c r="I10047" s="126">
        <v>45713</v>
      </c>
      <c r="J10047" s="242" t="s">
        <v>24451</v>
      </c>
      <c r="K10047" s="67"/>
      <c r="O10047" s="820" t="s">
        <v>10810</v>
      </c>
      <c r="P10047" s="45" t="s">
        <v>67</v>
      </c>
      <c r="Q10047" s="821" t="s">
        <v>96</v>
      </c>
      <c r="R10047" s="45" t="s">
        <v>272</v>
      </c>
    </row>
    <row r="10048" spans="1:18" ht="69" customHeight="1">
      <c r="B10048" s="79">
        <f t="shared" si="87"/>
        <v>7159</v>
      </c>
      <c r="C10048" s="178" t="s">
        <v>309</v>
      </c>
      <c r="D10048" s="498" t="s">
        <v>23113</v>
      </c>
      <c r="E10048" s="680" t="s">
        <v>266</v>
      </c>
      <c r="F10048" s="680" t="s">
        <v>24452</v>
      </c>
      <c r="G10048" s="681" t="s">
        <v>24450</v>
      </c>
      <c r="H10048" s="546">
        <v>7758</v>
      </c>
      <c r="I10048" s="126">
        <v>45713</v>
      </c>
      <c r="J10048" s="242" t="s">
        <v>24451</v>
      </c>
      <c r="K10048" s="67"/>
      <c r="O10048" s="820" t="s">
        <v>10810</v>
      </c>
      <c r="P10048" s="45" t="s">
        <v>67</v>
      </c>
      <c r="Q10048" s="821" t="s">
        <v>96</v>
      </c>
      <c r="R10048" s="45" t="s">
        <v>272</v>
      </c>
    </row>
    <row r="10049" spans="2:18" ht="69" customHeight="1">
      <c r="B10049" s="79">
        <f t="shared" si="87"/>
        <v>7160</v>
      </c>
      <c r="C10049" s="178" t="s">
        <v>458</v>
      </c>
      <c r="D10049" s="498" t="s">
        <v>24453</v>
      </c>
      <c r="E10049" s="680" t="s">
        <v>266</v>
      </c>
      <c r="F10049" s="680" t="s">
        <v>24454</v>
      </c>
      <c r="G10049" s="681" t="s">
        <v>24450</v>
      </c>
      <c r="H10049" s="546">
        <v>7758</v>
      </c>
      <c r="I10049" s="126">
        <v>45713</v>
      </c>
      <c r="J10049" s="242" t="s">
        <v>24451</v>
      </c>
      <c r="K10049" s="67"/>
      <c r="O10049" s="820" t="s">
        <v>10810</v>
      </c>
      <c r="P10049" s="45" t="s">
        <v>67</v>
      </c>
      <c r="Q10049" s="821" t="s">
        <v>96</v>
      </c>
      <c r="R10049" s="45" t="s">
        <v>272</v>
      </c>
    </row>
    <row r="10050" spans="2:18" ht="69" customHeight="1">
      <c r="B10050" s="79">
        <f t="shared" si="87"/>
        <v>7161</v>
      </c>
      <c r="C10050" s="178" t="s">
        <v>657</v>
      </c>
      <c r="D10050" s="498" t="s">
        <v>14247</v>
      </c>
      <c r="E10050" s="680" t="s">
        <v>266</v>
      </c>
      <c r="F10050" s="680" t="s">
        <v>24455</v>
      </c>
      <c r="G10050" s="681" t="s">
        <v>24450</v>
      </c>
      <c r="H10050" s="546">
        <v>5585.76</v>
      </c>
      <c r="I10050" s="126">
        <v>45713</v>
      </c>
      <c r="J10050" s="242" t="s">
        <v>24451</v>
      </c>
      <c r="K10050" s="67"/>
      <c r="O10050" s="822" t="s">
        <v>10810</v>
      </c>
      <c r="P10050" s="45" t="s">
        <v>67</v>
      </c>
      <c r="Q10050" s="821" t="s">
        <v>96</v>
      </c>
      <c r="R10050" s="45" t="s">
        <v>272</v>
      </c>
    </row>
    <row r="10051" spans="2:18" ht="69" customHeight="1">
      <c r="B10051" s="79">
        <f t="shared" ref="B10051:B10115" si="88">B10050+1</f>
        <v>7162</v>
      </c>
      <c r="C10051" s="676" t="s">
        <v>10961</v>
      </c>
      <c r="D10051" s="498" t="s">
        <v>24456</v>
      </c>
      <c r="E10051" s="680" t="s">
        <v>266</v>
      </c>
      <c r="F10051" s="58" t="s">
        <v>24457</v>
      </c>
      <c r="G10051" s="45" t="s">
        <v>24348</v>
      </c>
      <c r="H10051" s="546">
        <v>30.65</v>
      </c>
      <c r="I10051" s="126">
        <v>45713</v>
      </c>
      <c r="J10051" s="242" t="s">
        <v>24458</v>
      </c>
      <c r="K10051" s="67"/>
      <c r="O10051" s="820" t="s">
        <v>24350</v>
      </c>
      <c r="P10051" s="71" t="s">
        <v>65</v>
      </c>
      <c r="Q10051" s="821" t="s">
        <v>96</v>
      </c>
      <c r="R10051" s="45" t="s">
        <v>272</v>
      </c>
    </row>
    <row r="10052" spans="2:18" ht="69" customHeight="1">
      <c r="B10052" s="680">
        <f t="shared" si="88"/>
        <v>7163</v>
      </c>
      <c r="C10052" s="680" t="s">
        <v>5082</v>
      </c>
      <c r="D10052" s="680" t="s">
        <v>24459</v>
      </c>
      <c r="E10052" s="680" t="s">
        <v>266</v>
      </c>
      <c r="F10052" s="680" t="s">
        <v>24460</v>
      </c>
      <c r="G10052" s="680" t="s">
        <v>24461</v>
      </c>
      <c r="H10052" s="838">
        <v>177000</v>
      </c>
      <c r="I10052" s="839">
        <v>45731</v>
      </c>
      <c r="J10052" s="680" t="s">
        <v>24462</v>
      </c>
      <c r="K10052" s="680" t="s">
        <v>24463</v>
      </c>
      <c r="O10052" s="61" t="s">
        <v>144</v>
      </c>
      <c r="P10052" s="45" t="s">
        <v>87</v>
      </c>
      <c r="Q10052" s="48" t="s">
        <v>60</v>
      </c>
      <c r="R10052" s="45" t="s">
        <v>272</v>
      </c>
    </row>
    <row r="10053" spans="2:18" ht="69" customHeight="1">
      <c r="B10053" s="680">
        <f t="shared" si="88"/>
        <v>7164</v>
      </c>
      <c r="C10053" s="680" t="s">
        <v>5189</v>
      </c>
      <c r="D10053" s="680" t="s">
        <v>24464</v>
      </c>
      <c r="E10053" s="680" t="s">
        <v>266</v>
      </c>
      <c r="F10053" s="680" t="s">
        <v>24465</v>
      </c>
      <c r="G10053" s="680" t="s">
        <v>24461</v>
      </c>
      <c r="H10053" s="838">
        <v>135000</v>
      </c>
      <c r="I10053" s="839">
        <v>45731</v>
      </c>
      <c r="J10053" s="680" t="s">
        <v>24462</v>
      </c>
      <c r="K10053" s="680" t="s">
        <v>24466</v>
      </c>
      <c r="O10053" s="61" t="s">
        <v>144</v>
      </c>
      <c r="P10053" s="45" t="s">
        <v>87</v>
      </c>
      <c r="Q10053" s="48" t="s">
        <v>62</v>
      </c>
      <c r="R10053" s="45" t="s">
        <v>272</v>
      </c>
    </row>
    <row r="10054" spans="2:18" ht="69" customHeight="1">
      <c r="B10054" s="680">
        <f t="shared" si="88"/>
        <v>7165</v>
      </c>
      <c r="C10054" s="680" t="s">
        <v>1853</v>
      </c>
      <c r="D10054" s="680" t="s">
        <v>23117</v>
      </c>
      <c r="E10054" s="680" t="s">
        <v>266</v>
      </c>
      <c r="F10054" s="680" t="s">
        <v>24467</v>
      </c>
      <c r="G10054" s="680" t="s">
        <v>24461</v>
      </c>
      <c r="H10054" s="838">
        <v>199609.76</v>
      </c>
      <c r="I10054" s="839">
        <v>45731</v>
      </c>
      <c r="J10054" s="680" t="s">
        <v>24462</v>
      </c>
      <c r="K10054" s="680" t="s">
        <v>24468</v>
      </c>
      <c r="O10054" s="61" t="s">
        <v>144</v>
      </c>
      <c r="P10054" s="45" t="s">
        <v>87</v>
      </c>
      <c r="Q10054" s="48" t="s">
        <v>29</v>
      </c>
      <c r="R10054" s="45" t="s">
        <v>272</v>
      </c>
    </row>
    <row r="10055" spans="2:18" ht="69" customHeight="1">
      <c r="B10055" s="680">
        <f t="shared" si="88"/>
        <v>7166</v>
      </c>
      <c r="C10055" s="680" t="s">
        <v>8797</v>
      </c>
      <c r="D10055" s="680" t="s">
        <v>14266</v>
      </c>
      <c r="E10055" s="680" t="s">
        <v>266</v>
      </c>
      <c r="F10055" s="680" t="s">
        <v>24469</v>
      </c>
      <c r="G10055" s="680" t="s">
        <v>24461</v>
      </c>
      <c r="H10055" s="838">
        <v>88000</v>
      </c>
      <c r="I10055" s="839">
        <v>45731</v>
      </c>
      <c r="J10055" s="680" t="s">
        <v>24462</v>
      </c>
      <c r="K10055" s="680" t="s">
        <v>24470</v>
      </c>
      <c r="O10055" s="61" t="s">
        <v>144</v>
      </c>
      <c r="P10055" s="45" t="s">
        <v>87</v>
      </c>
      <c r="Q10055" s="48" t="s">
        <v>110</v>
      </c>
      <c r="R10055" s="45" t="s">
        <v>272</v>
      </c>
    </row>
    <row r="10056" spans="2:18" ht="69" customHeight="1">
      <c r="B10056" s="261">
        <f>B10055+1</f>
        <v>7167</v>
      </c>
      <c r="C10056" s="309" t="s">
        <v>8797</v>
      </c>
      <c r="D10056" s="309" t="s">
        <v>14268</v>
      </c>
      <c r="E10056" s="309" t="s">
        <v>266</v>
      </c>
      <c r="F10056" s="309" t="s">
        <v>24471</v>
      </c>
      <c r="G10056" s="309" t="s">
        <v>24461</v>
      </c>
      <c r="H10056" s="870">
        <v>125000</v>
      </c>
      <c r="I10056" s="262"/>
      <c r="J10056" s="262" t="s">
        <v>24462</v>
      </c>
      <c r="K10056" s="312" t="s">
        <v>24472</v>
      </c>
      <c r="O10056" s="871" t="s">
        <v>144</v>
      </c>
      <c r="P10056" s="118" t="s">
        <v>67</v>
      </c>
      <c r="Q10056" s="261" t="s">
        <v>110</v>
      </c>
      <c r="R10056" s="118" t="s">
        <v>272</v>
      </c>
    </row>
    <row r="10057" spans="2:18" ht="69" customHeight="1">
      <c r="B10057" s="79">
        <f t="shared" si="88"/>
        <v>7168</v>
      </c>
      <c r="C10057" s="178" t="s">
        <v>458</v>
      </c>
      <c r="D10057" s="551" t="s">
        <v>23092</v>
      </c>
      <c r="E10057" s="680" t="s">
        <v>266</v>
      </c>
      <c r="F10057" s="681" t="s">
        <v>24473</v>
      </c>
      <c r="G10057" s="682" t="s">
        <v>23389</v>
      </c>
      <c r="H10057" s="779">
        <v>1008.4</v>
      </c>
      <c r="I10057" s="66">
        <v>45721</v>
      </c>
      <c r="J10057" s="65" t="s">
        <v>24474</v>
      </c>
      <c r="K10057" s="58"/>
      <c r="O10057" s="45" t="s">
        <v>12529</v>
      </c>
      <c r="P10057" s="45" t="s">
        <v>67</v>
      </c>
      <c r="Q10057" s="821" t="s">
        <v>96</v>
      </c>
      <c r="R10057" s="45" t="s">
        <v>272</v>
      </c>
    </row>
    <row r="10058" spans="2:18" ht="69" customHeight="1">
      <c r="B10058" s="79">
        <f t="shared" si="88"/>
        <v>7169</v>
      </c>
      <c r="C10058" s="59" t="s">
        <v>753</v>
      </c>
      <c r="D10058" s="498" t="s">
        <v>23138</v>
      </c>
      <c r="E10058" s="58" t="s">
        <v>24098</v>
      </c>
      <c r="F10058" s="58" t="s">
        <v>24475</v>
      </c>
      <c r="G10058" s="58" t="s">
        <v>24476</v>
      </c>
      <c r="H10058" s="546">
        <v>12905.67</v>
      </c>
      <c r="I10058" s="66">
        <v>45721</v>
      </c>
      <c r="J10058" s="242" t="s">
        <v>24477</v>
      </c>
      <c r="K10058" s="67"/>
      <c r="O10058" s="45" t="s">
        <v>16399</v>
      </c>
      <c r="P10058" s="45" t="s">
        <v>55</v>
      </c>
      <c r="Q10058" s="48" t="s">
        <v>20</v>
      </c>
      <c r="R10058" s="45" t="s">
        <v>265</v>
      </c>
    </row>
    <row r="10059" spans="2:18" ht="69" customHeight="1">
      <c r="B10059" s="79">
        <f t="shared" si="88"/>
        <v>7170</v>
      </c>
      <c r="C10059" s="680" t="s">
        <v>8797</v>
      </c>
      <c r="D10059" s="498" t="s">
        <v>14273</v>
      </c>
      <c r="E10059" s="58" t="s">
        <v>24098</v>
      </c>
      <c r="F10059" s="58" t="s">
        <v>24478</v>
      </c>
      <c r="G10059" s="58" t="s">
        <v>24476</v>
      </c>
      <c r="H10059" s="546">
        <v>3344.74</v>
      </c>
      <c r="I10059" s="66">
        <v>45721</v>
      </c>
      <c r="J10059" s="242" t="s">
        <v>24477</v>
      </c>
      <c r="K10059" s="67"/>
      <c r="O10059" s="45" t="s">
        <v>16399</v>
      </c>
      <c r="P10059" s="45" t="s">
        <v>55</v>
      </c>
      <c r="Q10059" s="48" t="s">
        <v>110</v>
      </c>
      <c r="R10059" s="45" t="s">
        <v>265</v>
      </c>
    </row>
    <row r="10060" spans="2:18" ht="69" customHeight="1">
      <c r="B10060" s="79">
        <f t="shared" si="88"/>
        <v>7171</v>
      </c>
      <c r="C10060" s="676" t="s">
        <v>10961</v>
      </c>
      <c r="D10060" s="498" t="s">
        <v>24479</v>
      </c>
      <c r="E10060" s="680" t="s">
        <v>266</v>
      </c>
      <c r="F10060" s="58" t="s">
        <v>24480</v>
      </c>
      <c r="G10060" s="60" t="s">
        <v>24348</v>
      </c>
      <c r="H10060" s="736">
        <v>946.06</v>
      </c>
      <c r="I10060" s="744">
        <v>45713</v>
      </c>
      <c r="J10060" s="245" t="s">
        <v>24481</v>
      </c>
      <c r="K10060" s="67"/>
      <c r="O10060" s="820" t="s">
        <v>24350</v>
      </c>
      <c r="P10060" s="71" t="s">
        <v>65</v>
      </c>
      <c r="Q10060" s="821" t="s">
        <v>96</v>
      </c>
      <c r="R10060" s="45" t="s">
        <v>272</v>
      </c>
    </row>
    <row r="10061" spans="2:18" ht="69" customHeight="1">
      <c r="B10061" s="239">
        <f t="shared" si="88"/>
        <v>7172</v>
      </c>
      <c r="C10061" s="59" t="s">
        <v>581</v>
      </c>
      <c r="D10061" s="489" t="s">
        <v>23228</v>
      </c>
      <c r="E10061" s="676" t="s">
        <v>266</v>
      </c>
      <c r="F10061" s="81" t="s">
        <v>24482</v>
      </c>
      <c r="G10061" s="952" t="s">
        <v>24483</v>
      </c>
      <c r="H10061" s="953">
        <v>5400</v>
      </c>
      <c r="I10061" s="47">
        <v>45802</v>
      </c>
      <c r="J10061" s="954" t="s">
        <v>24484</v>
      </c>
      <c r="K10061" s="71"/>
      <c r="O10061" s="45" t="s">
        <v>24485</v>
      </c>
      <c r="P10061" s="45" t="s">
        <v>65</v>
      </c>
      <c r="Q10061" s="48" t="s">
        <v>18</v>
      </c>
      <c r="R10061" s="45" t="s">
        <v>272</v>
      </c>
    </row>
    <row r="10062" spans="2:18" ht="69" customHeight="1">
      <c r="B10062" s="79">
        <f t="shared" si="88"/>
        <v>7173</v>
      </c>
      <c r="C10062" s="178" t="s">
        <v>10944</v>
      </c>
      <c r="D10062" s="197" t="s">
        <v>96</v>
      </c>
      <c r="E10062" s="680" t="s">
        <v>10662</v>
      </c>
      <c r="F10062" s="681" t="s">
        <v>24486</v>
      </c>
      <c r="G10062" s="60" t="s">
        <v>24487</v>
      </c>
      <c r="H10062" s="829">
        <v>500</v>
      </c>
      <c r="I10062" s="744">
        <v>44802</v>
      </c>
      <c r="J10062" s="197" t="s">
        <v>96</v>
      </c>
      <c r="K10062" s="58" t="s">
        <v>24488</v>
      </c>
      <c r="O10062" s="45" t="s">
        <v>141</v>
      </c>
      <c r="P10062" s="45" t="s">
        <v>19</v>
      </c>
      <c r="Q10062" s="48" t="s">
        <v>120</v>
      </c>
      <c r="R10062" s="45" t="s">
        <v>265</v>
      </c>
    </row>
    <row r="10063" spans="2:18" ht="69" customHeight="1">
      <c r="B10063" s="79">
        <f t="shared" si="88"/>
        <v>7174</v>
      </c>
      <c r="C10063" s="178" t="s">
        <v>10944</v>
      </c>
      <c r="D10063" s="551" t="s">
        <v>14451</v>
      </c>
      <c r="E10063" s="681" t="s">
        <v>23424</v>
      </c>
      <c r="F10063" s="681" t="s">
        <v>24489</v>
      </c>
      <c r="G10063" s="827" t="s">
        <v>24490</v>
      </c>
      <c r="H10063" s="828">
        <v>11725.06</v>
      </c>
      <c r="I10063" s="421">
        <v>45721</v>
      </c>
      <c r="J10063" s="65" t="s">
        <v>24491</v>
      </c>
      <c r="K10063" s="58"/>
      <c r="O10063" s="45" t="s">
        <v>24492</v>
      </c>
      <c r="P10063" s="46" t="s">
        <v>59</v>
      </c>
      <c r="Q10063" s="48" t="s">
        <v>120</v>
      </c>
      <c r="R10063" s="45" t="s">
        <v>272</v>
      </c>
    </row>
    <row r="10064" spans="2:18" ht="69" customHeight="1">
      <c r="B10064" s="79">
        <f t="shared" si="88"/>
        <v>7175</v>
      </c>
      <c r="C10064" s="178" t="s">
        <v>10944</v>
      </c>
      <c r="D10064" s="551" t="s">
        <v>14428</v>
      </c>
      <c r="E10064" s="681" t="s">
        <v>16077</v>
      </c>
      <c r="F10064" s="681" t="s">
        <v>24493</v>
      </c>
      <c r="G10064" s="827" t="s">
        <v>24494</v>
      </c>
      <c r="H10064" s="828">
        <v>11725.06</v>
      </c>
      <c r="I10064" s="421">
        <v>45721</v>
      </c>
      <c r="J10064" s="65" t="s">
        <v>24491</v>
      </c>
      <c r="K10064" s="58"/>
      <c r="O10064" s="45" t="s">
        <v>8228</v>
      </c>
      <c r="P10064" s="58" t="s">
        <v>57</v>
      </c>
      <c r="Q10064" s="48" t="s">
        <v>120</v>
      </c>
      <c r="R10064" s="45" t="s">
        <v>272</v>
      </c>
    </row>
    <row r="10065" spans="2:18" ht="69" customHeight="1">
      <c r="B10065" s="79">
        <f t="shared" si="88"/>
        <v>7176</v>
      </c>
      <c r="C10065" s="178" t="s">
        <v>10944</v>
      </c>
      <c r="D10065" s="551" t="s">
        <v>14453</v>
      </c>
      <c r="E10065" s="681" t="s">
        <v>23424</v>
      </c>
      <c r="F10065" s="681" t="s">
        <v>24495</v>
      </c>
      <c r="G10065" s="827" t="s">
        <v>24496</v>
      </c>
      <c r="H10065" s="828">
        <v>13541.84</v>
      </c>
      <c r="I10065" s="421">
        <v>45721</v>
      </c>
      <c r="J10065" s="65" t="s">
        <v>24491</v>
      </c>
      <c r="K10065" s="58"/>
      <c r="O10065" s="45" t="s">
        <v>24492</v>
      </c>
      <c r="P10065" s="58" t="s">
        <v>57</v>
      </c>
      <c r="Q10065" s="48" t="s">
        <v>120</v>
      </c>
      <c r="R10065" s="45" t="s">
        <v>272</v>
      </c>
    </row>
    <row r="10066" spans="2:18" ht="69" customHeight="1">
      <c r="B10066" s="79">
        <f t="shared" si="88"/>
        <v>7177</v>
      </c>
      <c r="C10066" s="178" t="s">
        <v>10944</v>
      </c>
      <c r="D10066" s="551" t="s">
        <v>14455</v>
      </c>
      <c r="E10066" s="681" t="s">
        <v>16077</v>
      </c>
      <c r="F10066" s="681" t="s">
        <v>24497</v>
      </c>
      <c r="G10066" s="827" t="s">
        <v>24498</v>
      </c>
      <c r="H10066" s="828">
        <v>54167.360000000001</v>
      </c>
      <c r="I10066" s="421">
        <v>45721</v>
      </c>
      <c r="J10066" s="65" t="s">
        <v>24491</v>
      </c>
      <c r="K10066" s="58"/>
      <c r="O10066" s="45" t="s">
        <v>8228</v>
      </c>
      <c r="P10066" s="58" t="s">
        <v>57</v>
      </c>
      <c r="Q10066" s="48" t="s">
        <v>120</v>
      </c>
      <c r="R10066" s="45" t="s">
        <v>272</v>
      </c>
    </row>
    <row r="10067" spans="2:18" ht="69" customHeight="1">
      <c r="B10067" s="79">
        <f t="shared" si="88"/>
        <v>7178</v>
      </c>
      <c r="C10067" s="771" t="s">
        <v>8797</v>
      </c>
      <c r="D10067" s="860" t="s">
        <v>14443</v>
      </c>
      <c r="E10067" s="861" t="s">
        <v>24499</v>
      </c>
      <c r="F10067" s="861" t="s">
        <v>24500</v>
      </c>
      <c r="G10067" s="862" t="s">
        <v>24501</v>
      </c>
      <c r="H10067" s="863">
        <v>301880.7</v>
      </c>
      <c r="I10067" s="864">
        <v>45741</v>
      </c>
      <c r="J10067" s="164" t="s">
        <v>24502</v>
      </c>
      <c r="K10067" s="237"/>
      <c r="O10067" s="45" t="s">
        <v>24503</v>
      </c>
      <c r="P10067" s="45" t="s">
        <v>92</v>
      </c>
      <c r="Q10067" s="48" t="s">
        <v>110</v>
      </c>
      <c r="R10067" s="45" t="s">
        <v>272</v>
      </c>
    </row>
    <row r="10068" spans="2:18" ht="69" customHeight="1">
      <c r="B10068" s="48">
        <f t="shared" si="88"/>
        <v>7179</v>
      </c>
      <c r="C10068" s="676" t="s">
        <v>7415</v>
      </c>
      <c r="D10068" s="84" t="s">
        <v>23226</v>
      </c>
      <c r="E10068" s="677" t="s">
        <v>24504</v>
      </c>
      <c r="F10068" s="677" t="s">
        <v>24505</v>
      </c>
      <c r="G10068" s="59" t="s">
        <v>24506</v>
      </c>
      <c r="H10068" s="795">
        <v>3948.96</v>
      </c>
      <c r="I10068" s="47">
        <v>45731</v>
      </c>
      <c r="J10068" s="45" t="s">
        <v>24507</v>
      </c>
      <c r="K10068" s="45"/>
      <c r="O10068" s="901" t="s">
        <v>24508</v>
      </c>
      <c r="P10068" s="71" t="s">
        <v>65</v>
      </c>
      <c r="Q10068" s="48" t="s">
        <v>119</v>
      </c>
      <c r="R10068" s="45" t="s">
        <v>272</v>
      </c>
    </row>
    <row r="10069" spans="2:18" ht="69" customHeight="1">
      <c r="B10069" s="48">
        <v>7180</v>
      </c>
      <c r="C10069" s="676" t="s">
        <v>7415</v>
      </c>
      <c r="D10069" s="84" t="s">
        <v>23238</v>
      </c>
      <c r="E10069" s="677" t="s">
        <v>24509</v>
      </c>
      <c r="F10069" s="677" t="s">
        <v>24510</v>
      </c>
      <c r="G10069" s="827" t="s">
        <v>24511</v>
      </c>
      <c r="H10069" s="795">
        <v>15795.85</v>
      </c>
      <c r="I10069" s="47">
        <v>45731</v>
      </c>
      <c r="J10069" s="45" t="s">
        <v>24507</v>
      </c>
      <c r="K10069" s="45"/>
      <c r="O10069" s="820" t="s">
        <v>8228</v>
      </c>
      <c r="P10069" s="71" t="s">
        <v>65</v>
      </c>
      <c r="Q10069" s="48" t="s">
        <v>119</v>
      </c>
      <c r="R10069" s="45" t="s">
        <v>272</v>
      </c>
    </row>
    <row r="10070" spans="2:18" ht="69" customHeight="1">
      <c r="B10070" s="48">
        <v>7182</v>
      </c>
      <c r="C10070" s="59" t="s">
        <v>10944</v>
      </c>
      <c r="D10070" s="84" t="s">
        <v>14460</v>
      </c>
      <c r="E10070" s="677" t="s">
        <v>24509</v>
      </c>
      <c r="F10070" s="677" t="s">
        <v>24512</v>
      </c>
      <c r="G10070" s="59" t="s">
        <v>24506</v>
      </c>
      <c r="H10070" s="795">
        <v>3948.96</v>
      </c>
      <c r="I10070" s="47">
        <v>45731</v>
      </c>
      <c r="J10070" s="45" t="s">
        <v>24513</v>
      </c>
      <c r="K10070" s="45"/>
      <c r="O10070" s="820" t="s">
        <v>24508</v>
      </c>
      <c r="P10070" s="71" t="s">
        <v>65</v>
      </c>
      <c r="Q10070" s="48" t="s">
        <v>120</v>
      </c>
      <c r="R10070" s="45" t="s">
        <v>272</v>
      </c>
    </row>
    <row r="10071" spans="2:18" ht="69" customHeight="1">
      <c r="B10071" s="48">
        <f t="shared" si="88"/>
        <v>7183</v>
      </c>
      <c r="C10071" s="59" t="s">
        <v>10944</v>
      </c>
      <c r="D10071" s="84" t="s">
        <v>18350</v>
      </c>
      <c r="E10071" s="677" t="s">
        <v>24509</v>
      </c>
      <c r="F10071" s="677" t="s">
        <v>24514</v>
      </c>
      <c r="G10071" s="827" t="s">
        <v>24511</v>
      </c>
      <c r="H10071" s="795">
        <v>15795.85</v>
      </c>
      <c r="I10071" s="47">
        <v>45731</v>
      </c>
      <c r="J10071" s="45" t="s">
        <v>24513</v>
      </c>
      <c r="K10071" s="45"/>
      <c r="O10071" s="820" t="s">
        <v>8228</v>
      </c>
      <c r="P10071" s="71" t="s">
        <v>65</v>
      </c>
      <c r="Q10071" s="48" t="s">
        <v>120</v>
      </c>
      <c r="R10071" s="45" t="s">
        <v>272</v>
      </c>
    </row>
    <row r="10072" spans="2:18" ht="69" customHeight="1">
      <c r="B10072" s="236">
        <f t="shared" si="88"/>
        <v>7184</v>
      </c>
      <c r="C10072" s="178" t="s">
        <v>2447</v>
      </c>
      <c r="D10072" s="498" t="s">
        <v>24515</v>
      </c>
      <c r="E10072" s="680" t="s">
        <v>266</v>
      </c>
      <c r="F10072" s="58" t="s">
        <v>24516</v>
      </c>
      <c r="G10072" s="60" t="s">
        <v>24348</v>
      </c>
      <c r="H10072" s="736">
        <v>14.85</v>
      </c>
      <c r="I10072" s="744">
        <v>45731</v>
      </c>
      <c r="J10072" s="125" t="s">
        <v>24517</v>
      </c>
      <c r="K10072" s="74"/>
      <c r="O10072" s="45" t="s">
        <v>24350</v>
      </c>
      <c r="P10072" s="71" t="s">
        <v>65</v>
      </c>
      <c r="Q10072" s="821" t="s">
        <v>96</v>
      </c>
      <c r="R10072" s="45" t="s">
        <v>272</v>
      </c>
    </row>
    <row r="10073" spans="2:18" ht="69" customHeight="1">
      <c r="B10073" s="79">
        <f t="shared" si="88"/>
        <v>7185</v>
      </c>
      <c r="C10073" s="676" t="s">
        <v>458</v>
      </c>
      <c r="D10073" s="498" t="s">
        <v>24518</v>
      </c>
      <c r="E10073" s="58" t="s">
        <v>16011</v>
      </c>
      <c r="F10073" s="677" t="s">
        <v>24519</v>
      </c>
      <c r="G10073" s="58" t="s">
        <v>24320</v>
      </c>
      <c r="H10073" s="736">
        <v>29180</v>
      </c>
      <c r="I10073" s="744">
        <v>45731</v>
      </c>
      <c r="J10073" s="125" t="s">
        <v>24520</v>
      </c>
      <c r="K10073" s="67"/>
      <c r="O10073" s="820" t="s">
        <v>150</v>
      </c>
      <c r="P10073" s="45" t="s">
        <v>51</v>
      </c>
      <c r="Q10073" s="821" t="s">
        <v>123</v>
      </c>
      <c r="R10073" s="45" t="s">
        <v>272</v>
      </c>
    </row>
    <row r="10074" spans="2:18" ht="69" customHeight="1">
      <c r="B10074" s="79">
        <f t="shared" si="88"/>
        <v>7186</v>
      </c>
      <c r="C10074" s="58" t="s">
        <v>3667</v>
      </c>
      <c r="D10074" s="498" t="s">
        <v>24521</v>
      </c>
      <c r="E10074" s="58" t="s">
        <v>16011</v>
      </c>
      <c r="F10074" s="677" t="s">
        <v>24522</v>
      </c>
      <c r="G10074" s="58" t="s">
        <v>24523</v>
      </c>
      <c r="H10074" s="546">
        <v>2000</v>
      </c>
      <c r="I10074" s="744">
        <v>45731</v>
      </c>
      <c r="J10074" s="125" t="s">
        <v>24520</v>
      </c>
      <c r="K10074" s="67"/>
      <c r="O10074" s="820" t="s">
        <v>150</v>
      </c>
      <c r="P10074" s="45" t="s">
        <v>51</v>
      </c>
      <c r="Q10074" s="821" t="s">
        <v>66</v>
      </c>
      <c r="R10074" s="45" t="s">
        <v>272</v>
      </c>
    </row>
    <row r="10075" spans="2:18" ht="69" customHeight="1">
      <c r="B10075" s="79">
        <f t="shared" si="88"/>
        <v>7187</v>
      </c>
      <c r="C10075" s="58" t="s">
        <v>3667</v>
      </c>
      <c r="D10075" s="498" t="s">
        <v>24524</v>
      </c>
      <c r="E10075" s="58" t="s">
        <v>16011</v>
      </c>
      <c r="F10075" s="677" t="s">
        <v>24525</v>
      </c>
      <c r="G10075" s="58" t="s">
        <v>24526</v>
      </c>
      <c r="H10075" s="546">
        <v>12000</v>
      </c>
      <c r="I10075" s="744">
        <v>45731</v>
      </c>
      <c r="J10075" s="125" t="s">
        <v>24520</v>
      </c>
      <c r="K10075" s="67"/>
      <c r="O10075" s="820" t="s">
        <v>150</v>
      </c>
      <c r="P10075" s="45" t="s">
        <v>51</v>
      </c>
      <c r="Q10075" s="821" t="s">
        <v>66</v>
      </c>
      <c r="R10075" s="45" t="s">
        <v>272</v>
      </c>
    </row>
    <row r="10076" spans="2:18" ht="69" customHeight="1">
      <c r="B10076" s="79">
        <f t="shared" si="88"/>
        <v>7188</v>
      </c>
      <c r="C10076" s="676" t="s">
        <v>309</v>
      </c>
      <c r="D10076" s="498" t="s">
        <v>24527</v>
      </c>
      <c r="E10076" s="58" t="s">
        <v>16011</v>
      </c>
      <c r="F10076" s="677" t="s">
        <v>24528</v>
      </c>
      <c r="G10076" s="58" t="s">
        <v>24523</v>
      </c>
      <c r="H10076" s="546">
        <v>2000</v>
      </c>
      <c r="I10076" s="744">
        <v>45731</v>
      </c>
      <c r="J10076" s="125" t="s">
        <v>24520</v>
      </c>
      <c r="K10076" s="546"/>
      <c r="O10076" s="820" t="s">
        <v>150</v>
      </c>
      <c r="P10076" s="45" t="s">
        <v>51</v>
      </c>
      <c r="Q10076" s="821" t="s">
        <v>13</v>
      </c>
      <c r="R10076" s="45" t="s">
        <v>272</v>
      </c>
    </row>
    <row r="10077" spans="2:18" ht="69" customHeight="1">
      <c r="B10077" s="79">
        <f t="shared" si="88"/>
        <v>7189</v>
      </c>
      <c r="C10077" s="676" t="s">
        <v>309</v>
      </c>
      <c r="D10077" s="498" t="s">
        <v>24529</v>
      </c>
      <c r="E10077" s="58" t="s">
        <v>16011</v>
      </c>
      <c r="F10077" s="677" t="s">
        <v>24530</v>
      </c>
      <c r="G10077" s="58" t="s">
        <v>24523</v>
      </c>
      <c r="H10077" s="546">
        <v>2000</v>
      </c>
      <c r="I10077" s="744">
        <v>45731</v>
      </c>
      <c r="J10077" s="125" t="s">
        <v>24520</v>
      </c>
      <c r="K10077" s="67"/>
      <c r="O10077" s="820" t="s">
        <v>150</v>
      </c>
      <c r="P10077" s="45" t="s">
        <v>51</v>
      </c>
      <c r="Q10077" s="821" t="s">
        <v>18</v>
      </c>
      <c r="R10077" s="45" t="s">
        <v>272</v>
      </c>
    </row>
    <row r="10078" spans="2:18" ht="69" customHeight="1">
      <c r="B10078" s="79">
        <f t="shared" si="88"/>
        <v>7190</v>
      </c>
      <c r="C10078" s="676" t="s">
        <v>309</v>
      </c>
      <c r="D10078" s="498" t="s">
        <v>24531</v>
      </c>
      <c r="E10078" s="58" t="s">
        <v>16011</v>
      </c>
      <c r="F10078" s="677" t="s">
        <v>24532</v>
      </c>
      <c r="G10078" s="58" t="s">
        <v>24526</v>
      </c>
      <c r="H10078" s="546">
        <v>12000</v>
      </c>
      <c r="I10078" s="744">
        <v>45731</v>
      </c>
      <c r="J10078" s="125" t="s">
        <v>24520</v>
      </c>
      <c r="K10078" s="546"/>
      <c r="O10078" s="820" t="s">
        <v>150</v>
      </c>
      <c r="P10078" s="45" t="s">
        <v>51</v>
      </c>
      <c r="Q10078" s="821" t="s">
        <v>13</v>
      </c>
      <c r="R10078" s="45" t="s">
        <v>272</v>
      </c>
    </row>
    <row r="10079" spans="2:18" ht="69" customHeight="1">
      <c r="B10079" s="79">
        <f t="shared" si="88"/>
        <v>7191</v>
      </c>
      <c r="C10079" s="676" t="s">
        <v>309</v>
      </c>
      <c r="D10079" s="498" t="s">
        <v>24533</v>
      </c>
      <c r="E10079" s="58" t="s">
        <v>16011</v>
      </c>
      <c r="F10079" s="677" t="s">
        <v>24534</v>
      </c>
      <c r="G10079" s="58" t="s">
        <v>24526</v>
      </c>
      <c r="H10079" s="546">
        <v>12000</v>
      </c>
      <c r="I10079" s="744">
        <v>45731</v>
      </c>
      <c r="J10079" s="125" t="s">
        <v>24520</v>
      </c>
      <c r="K10079" s="67"/>
      <c r="O10079" s="820" t="s">
        <v>150</v>
      </c>
      <c r="P10079" s="45" t="s">
        <v>51</v>
      </c>
      <c r="Q10079" s="821" t="s">
        <v>18</v>
      </c>
      <c r="R10079" s="45" t="s">
        <v>272</v>
      </c>
    </row>
    <row r="10080" spans="2:18" ht="69" customHeight="1">
      <c r="B10080" s="79">
        <f t="shared" si="88"/>
        <v>7192</v>
      </c>
      <c r="C10080" s="676" t="s">
        <v>458</v>
      </c>
      <c r="D10080" s="498" t="s">
        <v>24535</v>
      </c>
      <c r="E10080" s="58" t="s">
        <v>16011</v>
      </c>
      <c r="F10080" s="677" t="s">
        <v>24536</v>
      </c>
      <c r="G10080" s="58" t="s">
        <v>24523</v>
      </c>
      <c r="H10080" s="546">
        <v>2000</v>
      </c>
      <c r="I10080" s="744">
        <v>45731</v>
      </c>
      <c r="J10080" s="125" t="s">
        <v>24520</v>
      </c>
      <c r="K10080" s="67"/>
      <c r="O10080" s="820" t="s">
        <v>150</v>
      </c>
      <c r="P10080" s="45" t="s">
        <v>51</v>
      </c>
      <c r="Q10080" s="821" t="s">
        <v>88</v>
      </c>
      <c r="R10080" s="45" t="s">
        <v>272</v>
      </c>
    </row>
    <row r="10081" spans="2:18" ht="69" customHeight="1">
      <c r="B10081" s="79">
        <f t="shared" si="88"/>
        <v>7193</v>
      </c>
      <c r="C10081" s="676" t="s">
        <v>458</v>
      </c>
      <c r="D10081" s="498" t="s">
        <v>24537</v>
      </c>
      <c r="E10081" s="58" t="s">
        <v>16011</v>
      </c>
      <c r="F10081" s="677" t="s">
        <v>24538</v>
      </c>
      <c r="G10081" s="58" t="s">
        <v>24526</v>
      </c>
      <c r="H10081" s="546">
        <v>12000</v>
      </c>
      <c r="I10081" s="744">
        <v>45731</v>
      </c>
      <c r="J10081" s="125" t="s">
        <v>24520</v>
      </c>
      <c r="K10081" s="67"/>
      <c r="O10081" s="820" t="s">
        <v>150</v>
      </c>
      <c r="P10081" s="45" t="s">
        <v>51</v>
      </c>
      <c r="Q10081" s="821" t="s">
        <v>88</v>
      </c>
      <c r="R10081" s="45" t="s">
        <v>272</v>
      </c>
    </row>
    <row r="10082" spans="2:18" ht="69" customHeight="1">
      <c r="B10082" s="79">
        <f t="shared" si="88"/>
        <v>7194</v>
      </c>
      <c r="C10082" s="45" t="s">
        <v>16757</v>
      </c>
      <c r="D10082" s="84" t="s">
        <v>96</v>
      </c>
      <c r="E10082" s="45" t="s">
        <v>266</v>
      </c>
      <c r="F10082" s="45" t="s">
        <v>22800</v>
      </c>
      <c r="G10082" s="58" t="s">
        <v>24539</v>
      </c>
      <c r="H10082" s="546">
        <v>68908.735000000001</v>
      </c>
      <c r="I10082" s="744">
        <v>45296</v>
      </c>
      <c r="J10082" s="125" t="s">
        <v>24540</v>
      </c>
      <c r="K10082" s="67" t="s">
        <v>96</v>
      </c>
      <c r="O10082" s="45" t="s">
        <v>12553</v>
      </c>
      <c r="P10082" s="45" t="s">
        <v>83</v>
      </c>
      <c r="Q10082" s="48" t="s">
        <v>47</v>
      </c>
      <c r="R10082" s="45" t="s">
        <v>272</v>
      </c>
    </row>
    <row r="10083" spans="2:18" ht="69" customHeight="1">
      <c r="B10083" s="79">
        <f t="shared" si="88"/>
        <v>7195</v>
      </c>
      <c r="C10083" s="178" t="s">
        <v>3933</v>
      </c>
      <c r="D10083" s="84" t="s">
        <v>96</v>
      </c>
      <c r="E10083" s="45" t="s">
        <v>266</v>
      </c>
      <c r="F10083" s="45" t="s">
        <v>22804</v>
      </c>
      <c r="G10083" s="58" t="s">
        <v>24541</v>
      </c>
      <c r="H10083" s="546">
        <v>68908.735000000001</v>
      </c>
      <c r="I10083" s="744">
        <v>45296</v>
      </c>
      <c r="J10083" s="125" t="s">
        <v>24540</v>
      </c>
      <c r="K10083" s="67" t="s">
        <v>96</v>
      </c>
      <c r="O10083" s="45" t="s">
        <v>12553</v>
      </c>
      <c r="P10083" s="45" t="s">
        <v>83</v>
      </c>
      <c r="Q10083" s="48" t="s">
        <v>52</v>
      </c>
      <c r="R10083" s="45" t="s">
        <v>272</v>
      </c>
    </row>
    <row r="10084" spans="2:18" ht="69" customHeight="1">
      <c r="B10084" s="79">
        <f t="shared" si="88"/>
        <v>7196</v>
      </c>
      <c r="C10084" s="680" t="s">
        <v>5082</v>
      </c>
      <c r="D10084" s="84" t="s">
        <v>96</v>
      </c>
      <c r="E10084" s="45" t="s">
        <v>266</v>
      </c>
      <c r="F10084" s="45" t="s">
        <v>24542</v>
      </c>
      <c r="G10084" s="58" t="s">
        <v>24543</v>
      </c>
      <c r="H10084" s="546">
        <v>69383.675000000003</v>
      </c>
      <c r="I10084" s="744">
        <v>45296</v>
      </c>
      <c r="J10084" s="125" t="s">
        <v>24540</v>
      </c>
      <c r="K10084" s="67" t="s">
        <v>96</v>
      </c>
      <c r="O10084" s="45" t="s">
        <v>12553</v>
      </c>
      <c r="P10084" s="45" t="s">
        <v>83</v>
      </c>
      <c r="Q10084" s="48" t="s">
        <v>60</v>
      </c>
      <c r="R10084" s="45" t="s">
        <v>272</v>
      </c>
    </row>
    <row r="10085" spans="2:18" ht="69" customHeight="1">
      <c r="B10085" s="79">
        <f t="shared" si="88"/>
        <v>7197</v>
      </c>
      <c r="C10085" s="680" t="s">
        <v>5189</v>
      </c>
      <c r="D10085" s="84" t="s">
        <v>96</v>
      </c>
      <c r="E10085" s="45" t="s">
        <v>266</v>
      </c>
      <c r="F10085" s="45" t="s">
        <v>24544</v>
      </c>
      <c r="G10085" s="58" t="s">
        <v>24545</v>
      </c>
      <c r="H10085" s="546">
        <v>69383.675000000003</v>
      </c>
      <c r="I10085" s="744">
        <v>45296</v>
      </c>
      <c r="J10085" s="125" t="s">
        <v>24540</v>
      </c>
      <c r="K10085" s="67" t="s">
        <v>96</v>
      </c>
      <c r="O10085" s="45" t="s">
        <v>12553</v>
      </c>
      <c r="P10085" s="45" t="s">
        <v>83</v>
      </c>
      <c r="Q10085" s="48" t="s">
        <v>62</v>
      </c>
      <c r="R10085" s="45" t="s">
        <v>272</v>
      </c>
    </row>
    <row r="10086" spans="2:18" ht="69" customHeight="1">
      <c r="B10086" s="79">
        <f t="shared" si="88"/>
        <v>7198</v>
      </c>
      <c r="C10086" s="178" t="s">
        <v>5558</v>
      </c>
      <c r="D10086" s="84" t="s">
        <v>96</v>
      </c>
      <c r="E10086" s="45" t="s">
        <v>266</v>
      </c>
      <c r="F10086" s="45" t="s">
        <v>24546</v>
      </c>
      <c r="G10086" s="58" t="s">
        <v>24547</v>
      </c>
      <c r="H10086" s="546">
        <v>125906.63</v>
      </c>
      <c r="I10086" s="744">
        <v>45296</v>
      </c>
      <c r="J10086" s="125" t="s">
        <v>24540</v>
      </c>
      <c r="K10086" s="67" t="s">
        <v>96</v>
      </c>
      <c r="O10086" s="45" t="s">
        <v>12553</v>
      </c>
      <c r="P10086" s="45" t="s">
        <v>83</v>
      </c>
      <c r="Q10086" s="48" t="s">
        <v>64</v>
      </c>
      <c r="R10086" s="45" t="s">
        <v>272</v>
      </c>
    </row>
    <row r="10087" spans="2:18" ht="69" customHeight="1">
      <c r="B10087" s="79">
        <f t="shared" si="88"/>
        <v>7199</v>
      </c>
      <c r="C10087" s="44" t="s">
        <v>22636</v>
      </c>
      <c r="D10087" s="84" t="s">
        <v>96</v>
      </c>
      <c r="E10087" s="45" t="s">
        <v>266</v>
      </c>
      <c r="F10087" s="45" t="s">
        <v>24548</v>
      </c>
      <c r="G10087" s="58" t="s">
        <v>24549</v>
      </c>
      <c r="H10087" s="546">
        <v>53434.605000000003</v>
      </c>
      <c r="I10087" s="744">
        <v>45296</v>
      </c>
      <c r="J10087" s="125" t="s">
        <v>24540</v>
      </c>
      <c r="K10087" s="67" t="s">
        <v>96</v>
      </c>
      <c r="O10087" s="45" t="s">
        <v>12553</v>
      </c>
      <c r="P10087" s="45" t="s">
        <v>83</v>
      </c>
      <c r="Q10087" s="48" t="s">
        <v>68</v>
      </c>
      <c r="R10087" s="45" t="s">
        <v>272</v>
      </c>
    </row>
    <row r="10088" spans="2:18" ht="69" customHeight="1">
      <c r="B10088" s="79">
        <f t="shared" si="88"/>
        <v>7200</v>
      </c>
      <c r="C10088" s="45" t="s">
        <v>22640</v>
      </c>
      <c r="D10088" s="84" t="s">
        <v>96</v>
      </c>
      <c r="E10088" s="45" t="s">
        <v>266</v>
      </c>
      <c r="F10088" s="45" t="s">
        <v>24550</v>
      </c>
      <c r="G10088" s="58" t="s">
        <v>24551</v>
      </c>
      <c r="H10088" s="546">
        <v>53434.605000000003</v>
      </c>
      <c r="I10088" s="744">
        <v>45296</v>
      </c>
      <c r="J10088" s="125" t="s">
        <v>24540</v>
      </c>
      <c r="K10088" s="67" t="s">
        <v>96</v>
      </c>
      <c r="O10088" s="45" t="s">
        <v>12553</v>
      </c>
      <c r="P10088" s="45" t="s">
        <v>83</v>
      </c>
      <c r="Q10088" s="48" t="s">
        <v>70</v>
      </c>
      <c r="R10088" s="45" t="s">
        <v>272</v>
      </c>
    </row>
    <row r="10089" spans="2:18" ht="69" customHeight="1">
      <c r="B10089" s="79">
        <f t="shared" si="88"/>
        <v>7201</v>
      </c>
      <c r="C10089" s="178" t="s">
        <v>6261</v>
      </c>
      <c r="D10089" s="84" t="s">
        <v>96</v>
      </c>
      <c r="E10089" s="45" t="s">
        <v>266</v>
      </c>
      <c r="F10089" s="45" t="s">
        <v>24552</v>
      </c>
      <c r="G10089" s="58" t="s">
        <v>24553</v>
      </c>
      <c r="H10089" s="546">
        <v>53434.605000000003</v>
      </c>
      <c r="I10089" s="744">
        <v>45296</v>
      </c>
      <c r="J10089" s="125" t="s">
        <v>24540</v>
      </c>
      <c r="K10089" s="67" t="s">
        <v>96</v>
      </c>
      <c r="O10089" s="45" t="s">
        <v>12553</v>
      </c>
      <c r="P10089" s="45" t="s">
        <v>83</v>
      </c>
      <c r="Q10089" s="48" t="s">
        <v>74</v>
      </c>
      <c r="R10089" s="45" t="s">
        <v>272</v>
      </c>
    </row>
    <row r="10090" spans="2:18" ht="69" customHeight="1">
      <c r="B10090" s="79">
        <f t="shared" si="88"/>
        <v>7202</v>
      </c>
      <c r="C10090" s="178" t="s">
        <v>6468</v>
      </c>
      <c r="D10090" s="84" t="s">
        <v>96</v>
      </c>
      <c r="E10090" s="45" t="s">
        <v>266</v>
      </c>
      <c r="F10090" s="45" t="s">
        <v>24554</v>
      </c>
      <c r="G10090" s="58" t="s">
        <v>24555</v>
      </c>
      <c r="H10090" s="546">
        <v>53434.605000000003</v>
      </c>
      <c r="I10090" s="744">
        <v>45296</v>
      </c>
      <c r="J10090" s="125" t="s">
        <v>24540</v>
      </c>
      <c r="K10090" s="67" t="s">
        <v>96</v>
      </c>
      <c r="O10090" s="45" t="s">
        <v>12553</v>
      </c>
      <c r="P10090" s="45" t="s">
        <v>83</v>
      </c>
      <c r="Q10090" s="48" t="s">
        <v>76</v>
      </c>
      <c r="R10090" s="45" t="s">
        <v>272</v>
      </c>
    </row>
    <row r="10091" spans="2:18" ht="69" customHeight="1">
      <c r="B10091" s="79">
        <f t="shared" si="88"/>
        <v>7203</v>
      </c>
      <c r="C10091" s="178" t="s">
        <v>10612</v>
      </c>
      <c r="D10091" s="84" t="s">
        <v>96</v>
      </c>
      <c r="E10091" s="45" t="s">
        <v>266</v>
      </c>
      <c r="F10091" s="45" t="s">
        <v>24556</v>
      </c>
      <c r="G10091" s="58" t="s">
        <v>24557</v>
      </c>
      <c r="H10091" s="736">
        <v>89988.19</v>
      </c>
      <c r="I10091" s="126">
        <v>45306</v>
      </c>
      <c r="J10091" s="125" t="s">
        <v>24540</v>
      </c>
      <c r="K10091" s="67" t="s">
        <v>96</v>
      </c>
      <c r="O10091" s="60" t="s">
        <v>12553</v>
      </c>
      <c r="P10091" s="45" t="s">
        <v>83</v>
      </c>
      <c r="Q10091" s="48" t="s">
        <v>86</v>
      </c>
      <c r="R10091" s="45" t="s">
        <v>272</v>
      </c>
    </row>
    <row r="10092" spans="2:18" ht="69" customHeight="1">
      <c r="B10092" s="79">
        <f t="shared" si="88"/>
        <v>7204</v>
      </c>
      <c r="C10092" s="178" t="s">
        <v>458</v>
      </c>
      <c r="D10092" s="498" t="s">
        <v>23341</v>
      </c>
      <c r="E10092" s="680" t="s">
        <v>266</v>
      </c>
      <c r="F10092" s="681" t="s">
        <v>24558</v>
      </c>
      <c r="G10092" s="682" t="s">
        <v>23389</v>
      </c>
      <c r="H10092" s="789">
        <v>4384.17</v>
      </c>
      <c r="I10092" s="247">
        <v>45731</v>
      </c>
      <c r="J10092" s="242" t="s">
        <v>24559</v>
      </c>
      <c r="K10092" s="67"/>
      <c r="O10092" s="820" t="s">
        <v>12529</v>
      </c>
      <c r="P10092" s="71" t="s">
        <v>67</v>
      </c>
      <c r="Q10092" s="48" t="s">
        <v>96</v>
      </c>
      <c r="R10092" s="45" t="s">
        <v>272</v>
      </c>
    </row>
    <row r="10093" spans="2:18" ht="69" customHeight="1">
      <c r="B10093" s="79">
        <f t="shared" si="88"/>
        <v>7205</v>
      </c>
      <c r="C10093" s="58" t="s">
        <v>3007</v>
      </c>
      <c r="D10093" s="745" t="s">
        <v>19186</v>
      </c>
      <c r="E10093" s="58" t="s">
        <v>15436</v>
      </c>
      <c r="F10093" s="58" t="s">
        <v>24560</v>
      </c>
      <c r="G10093" s="58" t="s">
        <v>23456</v>
      </c>
      <c r="H10093" s="644">
        <v>3153.68</v>
      </c>
      <c r="I10093" s="126">
        <v>45601</v>
      </c>
      <c r="J10093" s="242" t="s">
        <v>23457</v>
      </c>
      <c r="K10093" s="67" t="s">
        <v>23458</v>
      </c>
      <c r="M10093" s="99" t="s">
        <v>15440</v>
      </c>
      <c r="N10093" s="99" t="s">
        <v>55</v>
      </c>
      <c r="O10093" s="45" t="s">
        <v>15440</v>
      </c>
      <c r="P10093" s="45" t="s">
        <v>55</v>
      </c>
      <c r="Q10093" s="48" t="s">
        <v>23</v>
      </c>
      <c r="R10093" s="45" t="s">
        <v>272</v>
      </c>
    </row>
    <row r="10094" spans="2:18" ht="69" customHeight="1">
      <c r="B10094" s="79">
        <f t="shared" si="88"/>
        <v>7206</v>
      </c>
      <c r="C10094" s="58" t="s">
        <v>3007</v>
      </c>
      <c r="D10094" s="745" t="s">
        <v>19186</v>
      </c>
      <c r="E10094" s="58" t="s">
        <v>15436</v>
      </c>
      <c r="F10094" s="58" t="s">
        <v>24561</v>
      </c>
      <c r="G10094" s="58" t="s">
        <v>23456</v>
      </c>
      <c r="H10094" s="644">
        <v>1576.84</v>
      </c>
      <c r="I10094" s="126">
        <v>45601</v>
      </c>
      <c r="J10094" s="242" t="s">
        <v>23457</v>
      </c>
      <c r="K10094" s="67" t="s">
        <v>23458</v>
      </c>
      <c r="O10094" s="45" t="s">
        <v>15440</v>
      </c>
      <c r="P10094" s="45" t="s">
        <v>55</v>
      </c>
      <c r="Q10094" s="48" t="s">
        <v>45</v>
      </c>
      <c r="R10094" s="45" t="s">
        <v>272</v>
      </c>
    </row>
    <row r="10095" spans="2:18" ht="69" customHeight="1">
      <c r="B10095" s="79">
        <f t="shared" si="88"/>
        <v>7207</v>
      </c>
      <c r="C10095" s="58" t="s">
        <v>3007</v>
      </c>
      <c r="D10095" s="745" t="s">
        <v>19186</v>
      </c>
      <c r="E10095" s="58" t="s">
        <v>15436</v>
      </c>
      <c r="F10095" s="58" t="s">
        <v>24562</v>
      </c>
      <c r="G10095" s="58" t="s">
        <v>23456</v>
      </c>
      <c r="H10095" s="644">
        <v>7884.2</v>
      </c>
      <c r="I10095" s="126">
        <v>45601</v>
      </c>
      <c r="J10095" s="242" t="s">
        <v>23457</v>
      </c>
      <c r="K10095" s="67" t="s">
        <v>23458</v>
      </c>
      <c r="O10095" s="45" t="s">
        <v>15440</v>
      </c>
      <c r="P10095" s="45" t="s">
        <v>55</v>
      </c>
      <c r="Q10095" s="48" t="s">
        <v>31</v>
      </c>
      <c r="R10095" s="45" t="s">
        <v>272</v>
      </c>
    </row>
    <row r="10096" spans="2:18" ht="69" customHeight="1">
      <c r="B10096" s="79">
        <f t="shared" si="88"/>
        <v>7208</v>
      </c>
      <c r="C10096" s="58" t="s">
        <v>3007</v>
      </c>
      <c r="D10096" s="745" t="s">
        <v>19186</v>
      </c>
      <c r="E10096" s="58" t="s">
        <v>15436</v>
      </c>
      <c r="F10096" s="58" t="s">
        <v>24563</v>
      </c>
      <c r="G10096" s="58" t="s">
        <v>23456</v>
      </c>
      <c r="H10096" s="644">
        <v>1576.84</v>
      </c>
      <c r="I10096" s="126">
        <v>45601</v>
      </c>
      <c r="J10096" s="242" t="s">
        <v>23457</v>
      </c>
      <c r="K10096" s="67" t="s">
        <v>23458</v>
      </c>
      <c r="O10096" s="45" t="s">
        <v>15440</v>
      </c>
      <c r="P10096" s="45" t="s">
        <v>55</v>
      </c>
      <c r="Q10096" s="48" t="s">
        <v>33</v>
      </c>
      <c r="R10096" s="45" t="s">
        <v>272</v>
      </c>
    </row>
    <row r="10097" spans="2:18" ht="69" customHeight="1">
      <c r="B10097" s="79">
        <f t="shared" si="88"/>
        <v>7209</v>
      </c>
      <c r="C10097" s="58" t="s">
        <v>3007</v>
      </c>
      <c r="D10097" s="745" t="s">
        <v>19186</v>
      </c>
      <c r="E10097" s="58" t="s">
        <v>15436</v>
      </c>
      <c r="F10097" s="58" t="s">
        <v>24564</v>
      </c>
      <c r="G10097" s="58" t="s">
        <v>23456</v>
      </c>
      <c r="H10097" s="644">
        <v>1576.84</v>
      </c>
      <c r="I10097" s="126">
        <v>45601</v>
      </c>
      <c r="J10097" s="242" t="s">
        <v>23457</v>
      </c>
      <c r="K10097" s="67" t="s">
        <v>23458</v>
      </c>
      <c r="O10097" s="45" t="s">
        <v>15440</v>
      </c>
      <c r="P10097" s="45" t="s">
        <v>55</v>
      </c>
      <c r="Q10097" s="48" t="s">
        <v>35</v>
      </c>
      <c r="R10097" s="45" t="s">
        <v>272</v>
      </c>
    </row>
    <row r="10098" spans="2:18" ht="69" customHeight="1">
      <c r="B10098" s="79">
        <f t="shared" si="88"/>
        <v>7210</v>
      </c>
      <c r="C10098" s="58" t="s">
        <v>458</v>
      </c>
      <c r="D10098" s="745" t="s">
        <v>23460</v>
      </c>
      <c r="E10098" s="58" t="s">
        <v>15436</v>
      </c>
      <c r="F10098" s="58" t="s">
        <v>24565</v>
      </c>
      <c r="G10098" s="58" t="s">
        <v>23456</v>
      </c>
      <c r="H10098" s="546">
        <v>4730.5200000000004</v>
      </c>
      <c r="I10098" s="126">
        <v>45601</v>
      </c>
      <c r="J10098" s="242" t="s">
        <v>23457</v>
      </c>
      <c r="K10098" s="67" t="s">
        <v>23462</v>
      </c>
      <c r="M10098" s="99" t="s">
        <v>15440</v>
      </c>
      <c r="N10098" s="99" t="s">
        <v>55</v>
      </c>
      <c r="O10098" s="45" t="s">
        <v>15440</v>
      </c>
      <c r="P10098" s="45" t="s">
        <v>55</v>
      </c>
      <c r="Q10098" s="48" t="s">
        <v>101</v>
      </c>
      <c r="R10098" s="45" t="s">
        <v>272</v>
      </c>
    </row>
    <row r="10099" spans="2:18" ht="69" customHeight="1">
      <c r="B10099" s="79">
        <f t="shared" si="88"/>
        <v>7211</v>
      </c>
      <c r="C10099" s="58" t="s">
        <v>458</v>
      </c>
      <c r="D10099" s="745" t="s">
        <v>23460</v>
      </c>
      <c r="E10099" s="58" t="s">
        <v>15436</v>
      </c>
      <c r="F10099" s="58" t="s">
        <v>24566</v>
      </c>
      <c r="G10099" s="58" t="s">
        <v>23456</v>
      </c>
      <c r="H10099" s="546">
        <v>6307.36</v>
      </c>
      <c r="I10099" s="126">
        <v>45601</v>
      </c>
      <c r="J10099" s="242" t="s">
        <v>23457</v>
      </c>
      <c r="K10099" s="67" t="s">
        <v>23462</v>
      </c>
      <c r="O10099" s="45" t="s">
        <v>15440</v>
      </c>
      <c r="P10099" s="45" t="s">
        <v>55</v>
      </c>
      <c r="Q10099" s="48" t="s">
        <v>105</v>
      </c>
      <c r="R10099" s="45" t="s">
        <v>272</v>
      </c>
    </row>
    <row r="10100" spans="2:18" ht="69" customHeight="1">
      <c r="B10100" s="79">
        <f t="shared" si="88"/>
        <v>7212</v>
      </c>
      <c r="C10100" s="58" t="s">
        <v>458</v>
      </c>
      <c r="D10100" s="745" t="s">
        <v>23460</v>
      </c>
      <c r="E10100" s="58" t="s">
        <v>15436</v>
      </c>
      <c r="F10100" s="58" t="s">
        <v>24567</v>
      </c>
      <c r="G10100" s="58" t="s">
        <v>23456</v>
      </c>
      <c r="H10100" s="546">
        <v>6307.36</v>
      </c>
      <c r="I10100" s="126">
        <v>45601</v>
      </c>
      <c r="J10100" s="242" t="s">
        <v>23457</v>
      </c>
      <c r="K10100" s="67" t="s">
        <v>23462</v>
      </c>
      <c r="O10100" s="45" t="s">
        <v>15440</v>
      </c>
      <c r="P10100" s="45" t="s">
        <v>55</v>
      </c>
      <c r="Q10100" s="48" t="s">
        <v>108</v>
      </c>
      <c r="R10100" s="45" t="s">
        <v>272</v>
      </c>
    </row>
    <row r="10101" spans="2:18" ht="69" customHeight="1">
      <c r="B10101" s="79">
        <f t="shared" si="88"/>
        <v>7213</v>
      </c>
      <c r="C10101" s="58" t="s">
        <v>8663</v>
      </c>
      <c r="D10101" s="745" t="s">
        <v>12433</v>
      </c>
      <c r="E10101" s="58" t="s">
        <v>15436</v>
      </c>
      <c r="F10101" s="58" t="s">
        <v>24568</v>
      </c>
      <c r="G10101" s="58" t="s">
        <v>23456</v>
      </c>
      <c r="H10101" s="546">
        <v>1576.84</v>
      </c>
      <c r="I10101" s="126">
        <v>45601</v>
      </c>
      <c r="J10101" s="242" t="s">
        <v>23457</v>
      </c>
      <c r="K10101" s="905" t="s">
        <v>24569</v>
      </c>
      <c r="M10101" s="99" t="s">
        <v>15440</v>
      </c>
      <c r="N10101" s="99" t="s">
        <v>55</v>
      </c>
      <c r="O10101" s="45" t="s">
        <v>15440</v>
      </c>
      <c r="P10101" s="45" t="s">
        <v>55</v>
      </c>
      <c r="Q10101" s="48" t="s">
        <v>109</v>
      </c>
      <c r="R10101" s="45" t="s">
        <v>272</v>
      </c>
    </row>
    <row r="10102" spans="2:18" ht="69" customHeight="1">
      <c r="B10102" s="79">
        <f t="shared" si="88"/>
        <v>7214</v>
      </c>
      <c r="C10102" s="58" t="s">
        <v>3667</v>
      </c>
      <c r="D10102" s="745" t="s">
        <v>23465</v>
      </c>
      <c r="E10102" s="58" t="s">
        <v>15436</v>
      </c>
      <c r="F10102" s="58" t="s">
        <v>24570</v>
      </c>
      <c r="G10102" s="58" t="s">
        <v>23456</v>
      </c>
      <c r="H10102" s="546">
        <v>4730.5200000000004</v>
      </c>
      <c r="I10102" s="126">
        <v>45601</v>
      </c>
      <c r="J10102" s="242" t="s">
        <v>23457</v>
      </c>
      <c r="K10102" s="905" t="s">
        <v>23467</v>
      </c>
      <c r="M10102" s="99" t="s">
        <v>15440</v>
      </c>
      <c r="N10102" s="99" t="s">
        <v>55</v>
      </c>
      <c r="O10102" s="45" t="s">
        <v>15440</v>
      </c>
      <c r="P10102" s="45" t="s">
        <v>55</v>
      </c>
      <c r="Q10102" s="48" t="s">
        <v>70</v>
      </c>
      <c r="R10102" s="45" t="s">
        <v>272</v>
      </c>
    </row>
    <row r="10103" spans="2:18" ht="69" customHeight="1">
      <c r="B10103" s="79">
        <f t="shared" si="88"/>
        <v>7215</v>
      </c>
      <c r="C10103" s="58" t="s">
        <v>3667</v>
      </c>
      <c r="D10103" s="745" t="s">
        <v>23465</v>
      </c>
      <c r="E10103" s="58" t="s">
        <v>15436</v>
      </c>
      <c r="F10103" s="58" t="s">
        <v>24571</v>
      </c>
      <c r="G10103" s="58" t="s">
        <v>23456</v>
      </c>
      <c r="H10103" s="546">
        <v>1576.84</v>
      </c>
      <c r="I10103" s="126">
        <v>45601</v>
      </c>
      <c r="J10103" s="242" t="s">
        <v>23457</v>
      </c>
      <c r="K10103" s="905" t="s">
        <v>23467</v>
      </c>
      <c r="O10103" s="45" t="s">
        <v>15440</v>
      </c>
      <c r="P10103" s="45" t="s">
        <v>55</v>
      </c>
      <c r="Q10103" s="48" t="s">
        <v>54</v>
      </c>
      <c r="R10103" s="45" t="s">
        <v>272</v>
      </c>
    </row>
    <row r="10104" spans="2:18" ht="69" customHeight="1">
      <c r="B10104" s="62">
        <f t="shared" si="88"/>
        <v>7216</v>
      </c>
      <c r="C10104" s="229" t="s">
        <v>458</v>
      </c>
      <c r="D10104" s="498" t="s">
        <v>978</v>
      </c>
      <c r="E10104" s="58" t="s">
        <v>409</v>
      </c>
      <c r="F10104" s="58" t="s">
        <v>7445</v>
      </c>
      <c r="G10104" s="58" t="s">
        <v>738</v>
      </c>
      <c r="H10104" s="546">
        <v>218931.01</v>
      </c>
      <c r="I10104" s="126">
        <v>44788</v>
      </c>
      <c r="J10104" s="242" t="s">
        <v>7446</v>
      </c>
      <c r="K10104" s="67"/>
      <c r="O10104" s="45" t="s">
        <v>154</v>
      </c>
      <c r="P10104" s="45" t="s">
        <v>59</v>
      </c>
      <c r="Q10104" s="48" t="s">
        <v>114</v>
      </c>
      <c r="R10104" s="45" t="s">
        <v>272</v>
      </c>
    </row>
    <row r="10105" spans="2:18" ht="69" customHeight="1">
      <c r="B10105" s="236">
        <f t="shared" si="88"/>
        <v>7217</v>
      </c>
      <c r="C10105" s="58" t="s">
        <v>458</v>
      </c>
      <c r="D10105" s="498" t="s">
        <v>9456</v>
      </c>
      <c r="E10105" s="58" t="s">
        <v>755</v>
      </c>
      <c r="F10105" s="58" t="s">
        <v>24572</v>
      </c>
      <c r="G10105" s="58" t="s">
        <v>24573</v>
      </c>
      <c r="H10105" s="546">
        <v>213637.01</v>
      </c>
      <c r="I10105" s="126">
        <v>44893</v>
      </c>
      <c r="J10105" s="242" t="s">
        <v>8073</v>
      </c>
      <c r="K10105" s="67"/>
      <c r="O10105" s="45" t="s">
        <v>154</v>
      </c>
      <c r="P10105" s="45" t="s">
        <v>59</v>
      </c>
      <c r="Q10105" s="48" t="s">
        <v>105</v>
      </c>
      <c r="R10105" s="45" t="s">
        <v>272</v>
      </c>
    </row>
    <row r="10106" spans="2:18" ht="69" customHeight="1">
      <c r="B10106" s="79">
        <f t="shared" si="88"/>
        <v>7218</v>
      </c>
      <c r="C10106" s="58" t="s">
        <v>458</v>
      </c>
      <c r="D10106" s="498" t="s">
        <v>978</v>
      </c>
      <c r="E10106" s="58" t="s">
        <v>409</v>
      </c>
      <c r="F10106" s="58" t="s">
        <v>7445</v>
      </c>
      <c r="G10106" s="58" t="s">
        <v>738</v>
      </c>
      <c r="H10106" s="546">
        <v>91558.717499999984</v>
      </c>
      <c r="I10106" s="126">
        <v>44788</v>
      </c>
      <c r="J10106" s="242" t="s">
        <v>7446</v>
      </c>
      <c r="K10106" s="67"/>
      <c r="O10106" s="45" t="s">
        <v>154</v>
      </c>
      <c r="P10106" s="45" t="s">
        <v>59</v>
      </c>
      <c r="Q10106" s="48" t="s">
        <v>105</v>
      </c>
      <c r="R10106" s="45" t="s">
        <v>272</v>
      </c>
    </row>
    <row r="10107" spans="2:18" ht="69" customHeight="1">
      <c r="B10107" s="79">
        <f t="shared" si="88"/>
        <v>7219</v>
      </c>
      <c r="C10107" s="58" t="s">
        <v>657</v>
      </c>
      <c r="D10107" s="498" t="s">
        <v>24574</v>
      </c>
      <c r="E10107" s="58" t="s">
        <v>755</v>
      </c>
      <c r="F10107" s="58" t="s">
        <v>24575</v>
      </c>
      <c r="G10107" s="58" t="s">
        <v>24576</v>
      </c>
      <c r="H10107" s="546">
        <v>198536.16</v>
      </c>
      <c r="I10107" s="126">
        <v>44893</v>
      </c>
      <c r="J10107" s="242" t="s">
        <v>8073</v>
      </c>
      <c r="K10107" s="67"/>
      <c r="O10107" s="45" t="s">
        <v>154</v>
      </c>
      <c r="P10107" s="45" t="s">
        <v>59</v>
      </c>
      <c r="Q10107" s="48" t="s">
        <v>106</v>
      </c>
      <c r="R10107" s="45" t="s">
        <v>272</v>
      </c>
    </row>
    <row r="10108" spans="2:18" ht="69" customHeight="1">
      <c r="B10108" s="79">
        <f t="shared" si="88"/>
        <v>7220</v>
      </c>
      <c r="C10108" s="58" t="s">
        <v>657</v>
      </c>
      <c r="D10108" s="498" t="s">
        <v>2968</v>
      </c>
      <c r="E10108" s="58" t="s">
        <v>409</v>
      </c>
      <c r="F10108" s="58" t="s">
        <v>7513</v>
      </c>
      <c r="G10108" s="58" t="s">
        <v>738</v>
      </c>
      <c r="H10108" s="546">
        <v>124085.1</v>
      </c>
      <c r="I10108" s="126">
        <v>44788</v>
      </c>
      <c r="J10108" s="242" t="s">
        <v>7514</v>
      </c>
      <c r="K10108" s="67"/>
      <c r="O10108" s="45" t="s">
        <v>154</v>
      </c>
      <c r="P10108" s="45" t="s">
        <v>59</v>
      </c>
      <c r="Q10108" s="48" t="s">
        <v>106</v>
      </c>
      <c r="R10108" s="45" t="s">
        <v>272</v>
      </c>
    </row>
    <row r="10109" spans="2:18" ht="69" customHeight="1">
      <c r="B10109" s="79">
        <f t="shared" si="88"/>
        <v>7221</v>
      </c>
      <c r="C10109" s="58" t="s">
        <v>657</v>
      </c>
      <c r="D10109" s="498" t="s">
        <v>2968</v>
      </c>
      <c r="E10109" s="58" t="s">
        <v>409</v>
      </c>
      <c r="F10109" s="58" t="s">
        <v>7513</v>
      </c>
      <c r="G10109" s="58" t="s">
        <v>738</v>
      </c>
      <c r="H10109" s="546">
        <v>37325.61</v>
      </c>
      <c r="I10109" s="126">
        <v>44788</v>
      </c>
      <c r="J10109" s="242" t="s">
        <v>7514</v>
      </c>
      <c r="K10109" s="67"/>
      <c r="O10109" s="45" t="s">
        <v>154</v>
      </c>
      <c r="P10109" s="45" t="s">
        <v>59</v>
      </c>
      <c r="Q10109" s="48" t="s">
        <v>109</v>
      </c>
      <c r="R10109" s="45" t="s">
        <v>272</v>
      </c>
    </row>
    <row r="10110" spans="2:18" ht="69" customHeight="1">
      <c r="B10110" s="79">
        <f t="shared" si="88"/>
        <v>7222</v>
      </c>
      <c r="C10110" s="58" t="s">
        <v>657</v>
      </c>
      <c r="D10110" s="498" t="s">
        <v>2502</v>
      </c>
      <c r="E10110" s="58" t="s">
        <v>409</v>
      </c>
      <c r="F10110" s="58" t="s">
        <v>24577</v>
      </c>
      <c r="G10110" s="58" t="s">
        <v>738</v>
      </c>
      <c r="H10110" s="546">
        <v>87093.1</v>
      </c>
      <c r="I10110" s="126">
        <v>44832</v>
      </c>
      <c r="J10110" s="242" t="s">
        <v>24578</v>
      </c>
      <c r="K10110" s="67"/>
      <c r="O10110" s="45" t="s">
        <v>154</v>
      </c>
      <c r="P10110" s="45" t="s">
        <v>59</v>
      </c>
      <c r="Q10110" s="48" t="s">
        <v>109</v>
      </c>
      <c r="R10110" s="45" t="s">
        <v>272</v>
      </c>
    </row>
    <row r="10111" spans="2:18" ht="69" customHeight="1">
      <c r="B10111" s="79">
        <f t="shared" si="88"/>
        <v>7223</v>
      </c>
      <c r="C10111" s="58" t="s">
        <v>309</v>
      </c>
      <c r="D10111" s="498" t="s">
        <v>8239</v>
      </c>
      <c r="E10111" s="58" t="s">
        <v>409</v>
      </c>
      <c r="F10111" s="58" t="s">
        <v>24579</v>
      </c>
      <c r="G10111" s="58" t="s">
        <v>24295</v>
      </c>
      <c r="H10111" s="546">
        <v>124407.88</v>
      </c>
      <c r="I10111" s="126">
        <v>44862</v>
      </c>
      <c r="J10111" s="242" t="s">
        <v>24296</v>
      </c>
      <c r="K10111" s="67"/>
      <c r="O10111" s="45" t="s">
        <v>154</v>
      </c>
      <c r="P10111" s="45" t="s">
        <v>59</v>
      </c>
      <c r="Q10111" s="48" t="s">
        <v>20</v>
      </c>
      <c r="R10111" s="45" t="s">
        <v>272</v>
      </c>
    </row>
    <row r="10112" spans="2:18" ht="69" customHeight="1">
      <c r="B10112" s="79">
        <f t="shared" si="88"/>
        <v>7224</v>
      </c>
      <c r="C10112" s="58" t="s">
        <v>23440</v>
      </c>
      <c r="D10112" s="498" t="s">
        <v>4600</v>
      </c>
      <c r="E10112" s="58" t="s">
        <v>409</v>
      </c>
      <c r="F10112" s="58" t="s">
        <v>4601</v>
      </c>
      <c r="G10112" s="58" t="s">
        <v>738</v>
      </c>
      <c r="H10112" s="546">
        <v>29707</v>
      </c>
      <c r="I10112" s="126">
        <v>44790</v>
      </c>
      <c r="J10112" s="242" t="s">
        <v>4602</v>
      </c>
      <c r="K10112" s="67"/>
      <c r="O10112" s="45" t="s">
        <v>154</v>
      </c>
      <c r="P10112" s="45" t="s">
        <v>59</v>
      </c>
      <c r="Q10112" s="48" t="s">
        <v>54</v>
      </c>
      <c r="R10112" s="45" t="s">
        <v>272</v>
      </c>
    </row>
    <row r="10113" spans="2:18" ht="69" customHeight="1">
      <c r="B10113" s="79">
        <f t="shared" si="88"/>
        <v>7225</v>
      </c>
      <c r="C10113" s="58" t="s">
        <v>657</v>
      </c>
      <c r="D10113" s="498" t="s">
        <v>2968</v>
      </c>
      <c r="E10113" s="58" t="s">
        <v>409</v>
      </c>
      <c r="F10113" s="58" t="s">
        <v>7513</v>
      </c>
      <c r="G10113" s="58" t="s">
        <v>738</v>
      </c>
      <c r="H10113" s="546">
        <v>79551.740000000005</v>
      </c>
      <c r="I10113" s="126">
        <v>44788</v>
      </c>
      <c r="J10113" s="242" t="s">
        <v>7514</v>
      </c>
      <c r="K10113" s="67"/>
      <c r="O10113" s="45" t="s">
        <v>154</v>
      </c>
      <c r="P10113" s="45" t="s">
        <v>59</v>
      </c>
      <c r="Q10113" s="48" t="s">
        <v>118</v>
      </c>
      <c r="R10113" s="45" t="s">
        <v>272</v>
      </c>
    </row>
    <row r="10114" spans="2:18" ht="69" customHeight="1">
      <c r="B10114" s="79">
        <f t="shared" si="88"/>
        <v>7226</v>
      </c>
      <c r="C10114" s="58" t="s">
        <v>657</v>
      </c>
      <c r="D10114" s="498" t="s">
        <v>20706</v>
      </c>
      <c r="E10114" s="58" t="s">
        <v>409</v>
      </c>
      <c r="F10114" s="58" t="s">
        <v>24580</v>
      </c>
      <c r="G10114" s="58" t="s">
        <v>24295</v>
      </c>
      <c r="H10114" s="546">
        <v>62209.36</v>
      </c>
      <c r="I10114" s="126">
        <v>44862</v>
      </c>
      <c r="J10114" s="242" t="s">
        <v>24296</v>
      </c>
      <c r="K10114" s="67"/>
      <c r="O10114" s="45" t="s">
        <v>154</v>
      </c>
      <c r="P10114" s="45" t="s">
        <v>59</v>
      </c>
      <c r="Q10114" s="48" t="s">
        <v>109</v>
      </c>
      <c r="R10114" s="45" t="s">
        <v>272</v>
      </c>
    </row>
    <row r="10115" spans="2:18" ht="69" customHeight="1">
      <c r="B10115" s="79">
        <f t="shared" si="88"/>
        <v>7227</v>
      </c>
      <c r="C10115" s="58" t="s">
        <v>458</v>
      </c>
      <c r="D10115" s="498" t="s">
        <v>4901</v>
      </c>
      <c r="E10115" s="58" t="s">
        <v>755</v>
      </c>
      <c r="F10115" s="58" t="s">
        <v>24581</v>
      </c>
      <c r="G10115" s="58" t="s">
        <v>24582</v>
      </c>
      <c r="H10115" s="546">
        <v>510839.02</v>
      </c>
      <c r="I10115" s="126">
        <v>44890</v>
      </c>
      <c r="J10115" s="242" t="s">
        <v>8073</v>
      </c>
      <c r="K10115" s="67"/>
      <c r="O10115" s="45" t="s">
        <v>154</v>
      </c>
      <c r="P10115" s="45" t="s">
        <v>59</v>
      </c>
      <c r="Q10115" s="48" t="s">
        <v>114</v>
      </c>
      <c r="R10115" s="45" t="s">
        <v>272</v>
      </c>
    </row>
    <row r="10116" spans="2:18" ht="69" customHeight="1">
      <c r="B10116" s="239">
        <f t="shared" ref="B10116:B10178" si="89">B10115+1</f>
        <v>7228</v>
      </c>
      <c r="C10116" s="45" t="s">
        <v>458</v>
      </c>
      <c r="D10116" s="489" t="s">
        <v>24583</v>
      </c>
      <c r="E10116" s="45" t="s">
        <v>17212</v>
      </c>
      <c r="F10116" s="45" t="s">
        <v>24584</v>
      </c>
      <c r="G10116" s="45" t="s">
        <v>24585</v>
      </c>
      <c r="H10116" s="198">
        <v>5250</v>
      </c>
      <c r="I10116" s="47">
        <v>45752</v>
      </c>
      <c r="J10116" s="73" t="s">
        <v>24586</v>
      </c>
      <c r="K10116" s="904" t="s">
        <v>24587</v>
      </c>
      <c r="M10116" s="98" t="s">
        <v>24588</v>
      </c>
      <c r="N10116" s="98" t="s">
        <v>55</v>
      </c>
      <c r="O10116" s="45" t="s">
        <v>16399</v>
      </c>
      <c r="P10116" s="45" t="s">
        <v>55</v>
      </c>
      <c r="Q10116" s="48" t="s">
        <v>100</v>
      </c>
      <c r="R10116" s="45" t="s">
        <v>272</v>
      </c>
    </row>
    <row r="10117" spans="2:18" ht="69" customHeight="1">
      <c r="B10117" s="239">
        <f t="shared" si="89"/>
        <v>7229</v>
      </c>
      <c r="C10117" s="45" t="s">
        <v>458</v>
      </c>
      <c r="D10117" s="489" t="s">
        <v>24583</v>
      </c>
      <c r="E10117" s="45" t="s">
        <v>17212</v>
      </c>
      <c r="F10117" s="45" t="s">
        <v>24589</v>
      </c>
      <c r="G10117" s="45" t="s">
        <v>24585</v>
      </c>
      <c r="H10117" s="198">
        <v>5250</v>
      </c>
      <c r="I10117" s="47">
        <v>45752</v>
      </c>
      <c r="J10117" s="73" t="s">
        <v>24586</v>
      </c>
      <c r="K10117" s="904" t="s">
        <v>24587</v>
      </c>
      <c r="M10117" s="98" t="s">
        <v>24588</v>
      </c>
      <c r="N10117" s="98" t="s">
        <v>55</v>
      </c>
      <c r="O10117" s="45" t="s">
        <v>16399</v>
      </c>
      <c r="P10117" s="45" t="s">
        <v>55</v>
      </c>
      <c r="Q10117" s="48" t="s">
        <v>114</v>
      </c>
      <c r="R10117" s="45" t="s">
        <v>272</v>
      </c>
    </row>
    <row r="10118" spans="2:18" ht="69" customHeight="1">
      <c r="B10118" s="239">
        <f t="shared" si="89"/>
        <v>7230</v>
      </c>
      <c r="C10118" s="45" t="s">
        <v>458</v>
      </c>
      <c r="D10118" s="489" t="s">
        <v>24583</v>
      </c>
      <c r="E10118" s="45" t="s">
        <v>17212</v>
      </c>
      <c r="F10118" s="45" t="s">
        <v>24590</v>
      </c>
      <c r="G10118" s="45" t="s">
        <v>24585</v>
      </c>
      <c r="H10118" s="198">
        <v>5250</v>
      </c>
      <c r="I10118" s="47">
        <v>45752</v>
      </c>
      <c r="J10118" s="73" t="s">
        <v>24586</v>
      </c>
      <c r="K10118" s="904" t="s">
        <v>24587</v>
      </c>
      <c r="M10118" s="98" t="s">
        <v>24588</v>
      </c>
      <c r="N10118" s="98" t="s">
        <v>55</v>
      </c>
      <c r="O10118" s="45" t="s">
        <v>16399</v>
      </c>
      <c r="P10118" s="45" t="s">
        <v>55</v>
      </c>
      <c r="Q10118" s="48" t="s">
        <v>88</v>
      </c>
      <c r="R10118" s="45" t="s">
        <v>272</v>
      </c>
    </row>
    <row r="10119" spans="2:18" ht="69" customHeight="1">
      <c r="B10119" s="239">
        <f t="shared" si="89"/>
        <v>7231</v>
      </c>
      <c r="C10119" s="45" t="s">
        <v>458</v>
      </c>
      <c r="D10119" s="489" t="s">
        <v>24583</v>
      </c>
      <c r="E10119" s="45" t="s">
        <v>17212</v>
      </c>
      <c r="F10119" s="45" t="s">
        <v>24591</v>
      </c>
      <c r="G10119" s="45" t="s">
        <v>24585</v>
      </c>
      <c r="H10119" s="198">
        <v>5250</v>
      </c>
      <c r="I10119" s="47">
        <v>45752</v>
      </c>
      <c r="J10119" s="73" t="s">
        <v>24586</v>
      </c>
      <c r="K10119" s="904" t="s">
        <v>24587</v>
      </c>
      <c r="M10119" s="98" t="s">
        <v>24588</v>
      </c>
      <c r="N10119" s="98" t="s">
        <v>55</v>
      </c>
      <c r="O10119" s="45" t="s">
        <v>16399</v>
      </c>
      <c r="P10119" s="45" t="s">
        <v>55</v>
      </c>
      <c r="Q10119" s="48" t="s">
        <v>122</v>
      </c>
      <c r="R10119" s="45" t="s">
        <v>272</v>
      </c>
    </row>
    <row r="10120" spans="2:18" ht="69" customHeight="1">
      <c r="B10120" s="239">
        <f t="shared" si="89"/>
        <v>7232</v>
      </c>
      <c r="C10120" s="45" t="s">
        <v>458</v>
      </c>
      <c r="D10120" s="489" t="s">
        <v>24592</v>
      </c>
      <c r="E10120" s="45" t="s">
        <v>17212</v>
      </c>
      <c r="F10120" s="569" t="s">
        <v>24593</v>
      </c>
      <c r="G10120" s="45" t="s">
        <v>24594</v>
      </c>
      <c r="H10120" s="198">
        <v>3153.68</v>
      </c>
      <c r="I10120" s="47">
        <v>45752</v>
      </c>
      <c r="J10120" s="73" t="s">
        <v>24586</v>
      </c>
      <c r="K10120" s="902" t="s">
        <v>24595</v>
      </c>
      <c r="M10120" s="98"/>
      <c r="N10120" s="98"/>
      <c r="O10120" s="45" t="s">
        <v>16399</v>
      </c>
      <c r="P10120" s="45" t="s">
        <v>55</v>
      </c>
      <c r="Q10120" s="48" t="s">
        <v>100</v>
      </c>
      <c r="R10120" s="45" t="s">
        <v>272</v>
      </c>
    </row>
    <row r="10121" spans="2:18" ht="69" customHeight="1">
      <c r="B10121" s="239">
        <f t="shared" si="89"/>
        <v>7233</v>
      </c>
      <c r="C10121" s="45" t="s">
        <v>458</v>
      </c>
      <c r="D10121" s="489" t="s">
        <v>24592</v>
      </c>
      <c r="E10121" s="45" t="s">
        <v>17212</v>
      </c>
      <c r="F10121" s="569" t="s">
        <v>24596</v>
      </c>
      <c r="G10121" s="45" t="s">
        <v>24594</v>
      </c>
      <c r="H10121" s="198">
        <v>3153.68</v>
      </c>
      <c r="I10121" s="47">
        <v>45752</v>
      </c>
      <c r="J10121" s="73" t="s">
        <v>24586</v>
      </c>
      <c r="K10121" s="902" t="s">
        <v>24595</v>
      </c>
      <c r="M10121" s="98"/>
      <c r="N10121" s="98"/>
      <c r="O10121" s="45" t="s">
        <v>16399</v>
      </c>
      <c r="P10121" s="45" t="s">
        <v>55</v>
      </c>
      <c r="Q10121" s="48" t="s">
        <v>114</v>
      </c>
      <c r="R10121" s="45" t="s">
        <v>272</v>
      </c>
    </row>
    <row r="10122" spans="2:18" ht="69" customHeight="1">
      <c r="B10122" s="239">
        <f t="shared" si="89"/>
        <v>7234</v>
      </c>
      <c r="C10122" s="45" t="s">
        <v>458</v>
      </c>
      <c r="D10122" s="489" t="s">
        <v>24592</v>
      </c>
      <c r="E10122" s="45" t="s">
        <v>17212</v>
      </c>
      <c r="F10122" s="569" t="s">
        <v>24597</v>
      </c>
      <c r="G10122" s="45" t="s">
        <v>24594</v>
      </c>
      <c r="H10122" s="198">
        <v>4730.5200000000004</v>
      </c>
      <c r="I10122" s="47">
        <v>45752</v>
      </c>
      <c r="J10122" s="73" t="s">
        <v>24586</v>
      </c>
      <c r="K10122" s="902" t="s">
        <v>24595</v>
      </c>
      <c r="M10122" s="98"/>
      <c r="N10122" s="98"/>
      <c r="O10122" s="45" t="s">
        <v>16399</v>
      </c>
      <c r="P10122" s="45" t="s">
        <v>55</v>
      </c>
      <c r="Q10122" s="48" t="s">
        <v>88</v>
      </c>
      <c r="R10122" s="45" t="s">
        <v>272</v>
      </c>
    </row>
    <row r="10123" spans="2:18" ht="69" customHeight="1">
      <c r="B10123" s="239">
        <f t="shared" si="89"/>
        <v>7235</v>
      </c>
      <c r="C10123" s="45" t="s">
        <v>458</v>
      </c>
      <c r="D10123" s="489" t="s">
        <v>24592</v>
      </c>
      <c r="E10123" s="45" t="s">
        <v>17212</v>
      </c>
      <c r="F10123" s="569" t="s">
        <v>24598</v>
      </c>
      <c r="G10123" s="45" t="s">
        <v>24594</v>
      </c>
      <c r="H10123" s="198">
        <v>25790.880000000001</v>
      </c>
      <c r="I10123" s="47">
        <v>45752</v>
      </c>
      <c r="J10123" s="73" t="s">
        <v>24586</v>
      </c>
      <c r="K10123" s="902" t="s">
        <v>24595</v>
      </c>
      <c r="M10123" s="98"/>
      <c r="N10123" s="98"/>
      <c r="O10123" s="45" t="s">
        <v>16399</v>
      </c>
      <c r="P10123" s="45" t="s">
        <v>55</v>
      </c>
      <c r="Q10123" s="48" t="s">
        <v>122</v>
      </c>
      <c r="R10123" s="45" t="s">
        <v>272</v>
      </c>
    </row>
    <row r="10124" spans="2:18" ht="69" customHeight="1">
      <c r="B10124" s="231">
        <f t="shared" si="89"/>
        <v>7236</v>
      </c>
      <c r="C10124" s="191" t="s">
        <v>7189</v>
      </c>
      <c r="D10124" s="502" t="s">
        <v>19100</v>
      </c>
      <c r="E10124" s="46" t="s">
        <v>266</v>
      </c>
      <c r="F10124" s="46" t="s">
        <v>24599</v>
      </c>
      <c r="G10124" s="46" t="s">
        <v>24600</v>
      </c>
      <c r="H10124" s="534">
        <v>37134.720000000001</v>
      </c>
      <c r="I10124" s="56">
        <v>45752</v>
      </c>
      <c r="J10124" s="199" t="s">
        <v>24601</v>
      </c>
      <c r="K10124" s="46"/>
      <c r="O10124" s="1081" t="s">
        <v>24602</v>
      </c>
      <c r="P10124" s="286" t="s">
        <v>65</v>
      </c>
      <c r="Q10124" s="52" t="s">
        <v>97</v>
      </c>
      <c r="R10124" s="46" t="s">
        <v>272</v>
      </c>
    </row>
    <row r="10125" spans="2:18" ht="69" customHeight="1">
      <c r="B10125" s="79">
        <f t="shared" si="89"/>
        <v>7237</v>
      </c>
      <c r="C10125" s="178" t="s">
        <v>657</v>
      </c>
      <c r="D10125" s="498" t="s">
        <v>14580</v>
      </c>
      <c r="E10125" s="45" t="s">
        <v>266</v>
      </c>
      <c r="F10125" s="45" t="s">
        <v>24603</v>
      </c>
      <c r="G10125" s="81" t="s">
        <v>23950</v>
      </c>
      <c r="H10125" s="546">
        <v>22212.39</v>
      </c>
      <c r="I10125" s="126">
        <v>45741</v>
      </c>
      <c r="J10125" s="73" t="s">
        <v>24604</v>
      </c>
      <c r="K10125" s="67"/>
      <c r="O10125" s="61" t="s">
        <v>1171</v>
      </c>
      <c r="P10125" s="45" t="s">
        <v>71</v>
      </c>
      <c r="Q10125" s="48" t="s">
        <v>97</v>
      </c>
      <c r="R10125" s="45" t="s">
        <v>272</v>
      </c>
    </row>
    <row r="10126" spans="2:18" ht="69" customHeight="1">
      <c r="B10126" s="79">
        <f t="shared" si="89"/>
        <v>7238</v>
      </c>
      <c r="C10126" s="178" t="s">
        <v>458</v>
      </c>
      <c r="D10126" s="498" t="s">
        <v>23371</v>
      </c>
      <c r="E10126" s="45" t="s">
        <v>266</v>
      </c>
      <c r="F10126" s="45" t="s">
        <v>24605</v>
      </c>
      <c r="G10126" s="81" t="s">
        <v>23950</v>
      </c>
      <c r="H10126" s="546">
        <v>22192.84</v>
      </c>
      <c r="I10126" s="126">
        <v>45741</v>
      </c>
      <c r="J10126" s="73" t="s">
        <v>24604</v>
      </c>
      <c r="K10126" s="67"/>
      <c r="O10126" s="61" t="s">
        <v>1171</v>
      </c>
      <c r="P10126" s="45" t="s">
        <v>71</v>
      </c>
      <c r="Q10126" s="48" t="s">
        <v>103</v>
      </c>
      <c r="R10126" s="45" t="s">
        <v>272</v>
      </c>
    </row>
    <row r="10127" spans="2:18" ht="69" customHeight="1">
      <c r="B10127" s="231">
        <f t="shared" si="89"/>
        <v>7239</v>
      </c>
      <c r="C10127" s="191" t="s">
        <v>458</v>
      </c>
      <c r="D10127" s="502" t="s">
        <v>23382</v>
      </c>
      <c r="E10127" s="46" t="s">
        <v>266</v>
      </c>
      <c r="F10127" s="46" t="s">
        <v>24606</v>
      </c>
      <c r="G10127" s="283" t="s">
        <v>23950</v>
      </c>
      <c r="H10127" s="534">
        <v>22958.12</v>
      </c>
      <c r="I10127" s="56">
        <v>45741</v>
      </c>
      <c r="J10127" s="199" t="s">
        <v>24604</v>
      </c>
      <c r="K10127" s="46"/>
      <c r="O10127" s="266" t="s">
        <v>1171</v>
      </c>
      <c r="P10127" s="46" t="s">
        <v>71</v>
      </c>
      <c r="Q10127" s="52" t="s">
        <v>123</v>
      </c>
      <c r="R10127" s="46" t="s">
        <v>272</v>
      </c>
    </row>
    <row r="10128" spans="2:18" ht="69" customHeight="1">
      <c r="B10128" s="79">
        <f t="shared" si="89"/>
        <v>7240</v>
      </c>
      <c r="C10128" s="805" t="s">
        <v>9215</v>
      </c>
      <c r="D10128" s="498" t="s">
        <v>24607</v>
      </c>
      <c r="E10128" s="45" t="s">
        <v>266</v>
      </c>
      <c r="F10128" s="45" t="s">
        <v>24608</v>
      </c>
      <c r="G10128" s="81" t="s">
        <v>23950</v>
      </c>
      <c r="H10128" s="546">
        <v>21527.72</v>
      </c>
      <c r="I10128" s="126">
        <v>45741</v>
      </c>
      <c r="J10128" s="73" t="s">
        <v>24604</v>
      </c>
      <c r="K10128" s="67"/>
      <c r="O10128" s="61" t="s">
        <v>1171</v>
      </c>
      <c r="P10128" s="45" t="s">
        <v>71</v>
      </c>
      <c r="Q10128" s="48" t="s">
        <v>113</v>
      </c>
      <c r="R10128" s="45" t="s">
        <v>272</v>
      </c>
    </row>
    <row r="10129" spans="2:18" ht="69" customHeight="1">
      <c r="B10129" s="79">
        <f t="shared" si="89"/>
        <v>7241</v>
      </c>
      <c r="C10129" s="178" t="s">
        <v>657</v>
      </c>
      <c r="D10129" s="498" t="s">
        <v>14582</v>
      </c>
      <c r="E10129" s="59" t="s">
        <v>10954</v>
      </c>
      <c r="F10129" s="45" t="s">
        <v>24609</v>
      </c>
      <c r="G10129" s="58" t="s">
        <v>24610</v>
      </c>
      <c r="H10129" s="361">
        <v>180363.07</v>
      </c>
      <c r="I10129" s="126">
        <v>45741</v>
      </c>
      <c r="J10129" s="242" t="s">
        <v>24611</v>
      </c>
      <c r="K10129" s="67"/>
      <c r="O10129" s="45" t="s">
        <v>13412</v>
      </c>
      <c r="P10129" s="45" t="s">
        <v>19</v>
      </c>
      <c r="Q10129" s="48" t="s">
        <v>97</v>
      </c>
      <c r="R10129" s="45" t="s">
        <v>272</v>
      </c>
    </row>
    <row r="10130" spans="2:18" ht="69" customHeight="1">
      <c r="B10130" s="79">
        <f t="shared" si="89"/>
        <v>7242</v>
      </c>
      <c r="C10130" s="916" t="s">
        <v>11933</v>
      </c>
      <c r="D10130" s="498" t="s">
        <v>24612</v>
      </c>
      <c r="E10130" s="58" t="s">
        <v>15436</v>
      </c>
      <c r="F10130" s="45" t="s">
        <v>24613</v>
      </c>
      <c r="G10130" s="45" t="s">
        <v>24614</v>
      </c>
      <c r="H10130" s="546">
        <v>6604.64</v>
      </c>
      <c r="I10130" s="126">
        <v>45741</v>
      </c>
      <c r="J10130" s="242" t="s">
        <v>24615</v>
      </c>
      <c r="K10130" s="67"/>
      <c r="O10130" s="45" t="s">
        <v>15440</v>
      </c>
      <c r="P10130" s="45" t="s">
        <v>55</v>
      </c>
      <c r="Q10130" s="48" t="s">
        <v>123</v>
      </c>
      <c r="R10130" s="45" t="s">
        <v>265</v>
      </c>
    </row>
    <row r="10131" spans="2:18" ht="69" customHeight="1">
      <c r="B10131" s="62">
        <f t="shared" si="89"/>
        <v>7243</v>
      </c>
      <c r="C10131" s="178" t="s">
        <v>657</v>
      </c>
      <c r="D10131" s="498" t="s">
        <v>14626</v>
      </c>
      <c r="E10131" s="45" t="s">
        <v>266</v>
      </c>
      <c r="F10131" s="45" t="s">
        <v>24616</v>
      </c>
      <c r="G10131" s="81" t="s">
        <v>23950</v>
      </c>
      <c r="H10131" s="546">
        <v>22212.39</v>
      </c>
      <c r="I10131" s="126">
        <v>45741</v>
      </c>
      <c r="J10131" s="242" t="s">
        <v>24617</v>
      </c>
      <c r="K10131" s="67"/>
      <c r="O10131" s="61" t="s">
        <v>1171</v>
      </c>
      <c r="P10131" s="45" t="s">
        <v>71</v>
      </c>
      <c r="Q10131" s="48" t="s">
        <v>110</v>
      </c>
      <c r="R10131" s="45" t="s">
        <v>272</v>
      </c>
    </row>
    <row r="10132" spans="2:18" ht="69" customHeight="1">
      <c r="B10132" s="236">
        <f t="shared" si="89"/>
        <v>7244</v>
      </c>
      <c r="C10132" s="550" t="s">
        <v>2447</v>
      </c>
      <c r="D10132" s="498" t="s">
        <v>24618</v>
      </c>
      <c r="E10132" s="680" t="s">
        <v>266</v>
      </c>
      <c r="F10132" s="58" t="s">
        <v>24619</v>
      </c>
      <c r="G10132" s="60" t="s">
        <v>24620</v>
      </c>
      <c r="H10132" s="736">
        <v>137.6</v>
      </c>
      <c r="I10132" s="126">
        <v>45741</v>
      </c>
      <c r="J10132" s="242" t="s">
        <v>24621</v>
      </c>
      <c r="K10132" s="74"/>
      <c r="O10132" s="45" t="s">
        <v>24350</v>
      </c>
      <c r="P10132" s="71" t="s">
        <v>65</v>
      </c>
      <c r="Q10132" s="821" t="s">
        <v>96</v>
      </c>
      <c r="R10132" s="45" t="s">
        <v>272</v>
      </c>
    </row>
    <row r="10133" spans="2:18" ht="69" customHeight="1">
      <c r="B10133" s="79">
        <f t="shared" si="89"/>
        <v>7245</v>
      </c>
      <c r="C10133" s="178" t="s">
        <v>458</v>
      </c>
      <c r="D10133" s="498" t="s">
        <v>23505</v>
      </c>
      <c r="E10133" s="58" t="s">
        <v>16011</v>
      </c>
      <c r="F10133" s="58" t="s">
        <v>24622</v>
      </c>
      <c r="G10133" s="58" t="s">
        <v>24623</v>
      </c>
      <c r="H10133" s="546">
        <v>12000</v>
      </c>
      <c r="I10133" s="126">
        <v>45741</v>
      </c>
      <c r="J10133" s="245" t="s">
        <v>24624</v>
      </c>
      <c r="K10133" s="243"/>
      <c r="O10133" s="58" t="s">
        <v>150</v>
      </c>
      <c r="P10133" s="58" t="s">
        <v>51</v>
      </c>
      <c r="Q10133" s="48" t="s">
        <v>113</v>
      </c>
      <c r="R10133" s="45" t="s">
        <v>272</v>
      </c>
    </row>
    <row r="10134" spans="2:18" ht="69" customHeight="1">
      <c r="B10134" s="746">
        <f t="shared" si="89"/>
        <v>7246</v>
      </c>
      <c r="C10134" s="866" t="s">
        <v>8797</v>
      </c>
      <c r="D10134" s="869" t="s">
        <v>14680</v>
      </c>
      <c r="E10134" s="866" t="s">
        <v>266</v>
      </c>
      <c r="F10134" s="866" t="s">
        <v>24625</v>
      </c>
      <c r="G10134" s="866" t="s">
        <v>24461</v>
      </c>
      <c r="H10134" s="867">
        <v>125000</v>
      </c>
      <c r="I10134" s="884">
        <v>45752</v>
      </c>
      <c r="J10134" s="883" t="s">
        <v>24626</v>
      </c>
      <c r="K10134" s="883" t="s">
        <v>24627</v>
      </c>
      <c r="O10134" s="61" t="s">
        <v>144</v>
      </c>
      <c r="P10134" s="45" t="s">
        <v>87</v>
      </c>
      <c r="Q10134" s="48" t="s">
        <v>110</v>
      </c>
      <c r="R10134" s="45" t="s">
        <v>272</v>
      </c>
    </row>
    <row r="10135" spans="2:18" ht="69" customHeight="1">
      <c r="B10135" s="681">
        <f t="shared" si="89"/>
        <v>7247</v>
      </c>
      <c r="C10135" s="178" t="s">
        <v>458</v>
      </c>
      <c r="D10135" s="888" t="s">
        <v>24628</v>
      </c>
      <c r="E10135" s="680" t="s">
        <v>266</v>
      </c>
      <c r="F10135" s="681" t="s">
        <v>24629</v>
      </c>
      <c r="G10135" s="682" t="s">
        <v>23389</v>
      </c>
      <c r="H10135" s="868">
        <v>1293.73</v>
      </c>
      <c r="I10135" s="886">
        <v>45752</v>
      </c>
      <c r="J10135" s="885" t="s">
        <v>24630</v>
      </c>
      <c r="K10135" s="885" t="s">
        <v>24631</v>
      </c>
      <c r="O10135" s="61" t="s">
        <v>144</v>
      </c>
      <c r="P10135" s="45" t="s">
        <v>67</v>
      </c>
      <c r="Q10135" s="48" t="s">
        <v>96</v>
      </c>
      <c r="R10135" s="45" t="s">
        <v>272</v>
      </c>
    </row>
    <row r="10136" spans="2:18" ht="69" customHeight="1">
      <c r="B10136" s="79">
        <f t="shared" si="89"/>
        <v>7248</v>
      </c>
      <c r="C10136" s="58" t="s">
        <v>23440</v>
      </c>
      <c r="D10136" s="498" t="s">
        <v>24632</v>
      </c>
      <c r="E10136" s="680" t="s">
        <v>266</v>
      </c>
      <c r="F10136" s="680" t="s">
        <v>24633</v>
      </c>
      <c r="G10136" s="681" t="s">
        <v>24634</v>
      </c>
      <c r="H10136" s="546">
        <v>10984.32</v>
      </c>
      <c r="I10136" s="126">
        <v>45741</v>
      </c>
      <c r="J10136" s="242" t="s">
        <v>24635</v>
      </c>
      <c r="K10136" s="67"/>
      <c r="O10136" s="45" t="s">
        <v>10810</v>
      </c>
      <c r="P10136" s="45" t="s">
        <v>67</v>
      </c>
      <c r="Q10136" s="48" t="s">
        <v>96</v>
      </c>
      <c r="R10136" s="45" t="s">
        <v>272</v>
      </c>
    </row>
    <row r="10137" spans="2:18" ht="69" customHeight="1">
      <c r="B10137" s="79">
        <f t="shared" si="89"/>
        <v>7249</v>
      </c>
      <c r="C10137" s="58" t="s">
        <v>309</v>
      </c>
      <c r="D10137" s="498" t="s">
        <v>24636</v>
      </c>
      <c r="E10137" s="680" t="s">
        <v>266</v>
      </c>
      <c r="F10137" s="680" t="s">
        <v>24637</v>
      </c>
      <c r="G10137" s="681" t="s">
        <v>24634</v>
      </c>
      <c r="H10137" s="546">
        <v>8581.5</v>
      </c>
      <c r="I10137" s="126">
        <v>45741</v>
      </c>
      <c r="J10137" s="242" t="s">
        <v>24635</v>
      </c>
      <c r="K10137" s="67"/>
      <c r="O10137" s="45" t="s">
        <v>10810</v>
      </c>
      <c r="P10137" s="45" t="s">
        <v>67</v>
      </c>
      <c r="Q10137" s="48" t="s">
        <v>96</v>
      </c>
      <c r="R10137" s="45" t="s">
        <v>272</v>
      </c>
    </row>
    <row r="10138" spans="2:18" ht="69" customHeight="1">
      <c r="B10138" s="79">
        <f t="shared" si="89"/>
        <v>7250</v>
      </c>
      <c r="C10138" s="178" t="s">
        <v>458</v>
      </c>
      <c r="D10138" s="498" t="s">
        <v>10962</v>
      </c>
      <c r="E10138" s="680" t="s">
        <v>266</v>
      </c>
      <c r="F10138" s="680" t="s">
        <v>24638</v>
      </c>
      <c r="G10138" s="681" t="s">
        <v>24634</v>
      </c>
      <c r="H10138" s="546">
        <v>8581.5</v>
      </c>
      <c r="I10138" s="126">
        <v>45741</v>
      </c>
      <c r="J10138" s="242" t="s">
        <v>24635</v>
      </c>
      <c r="K10138" s="67"/>
      <c r="O10138" s="45" t="s">
        <v>10810</v>
      </c>
      <c r="P10138" s="45" t="s">
        <v>67</v>
      </c>
      <c r="Q10138" s="48" t="s">
        <v>96</v>
      </c>
      <c r="R10138" s="45" t="s">
        <v>272</v>
      </c>
    </row>
    <row r="10139" spans="2:18" ht="69" customHeight="1">
      <c r="B10139" s="79">
        <f t="shared" si="89"/>
        <v>7251</v>
      </c>
      <c r="C10139" s="178" t="s">
        <v>657</v>
      </c>
      <c r="D10139" s="498" t="s">
        <v>19188</v>
      </c>
      <c r="E10139" s="680" t="s">
        <v>266</v>
      </c>
      <c r="F10139" s="680" t="s">
        <v>24639</v>
      </c>
      <c r="G10139" s="681" t="s">
        <v>24634</v>
      </c>
      <c r="H10139" s="546">
        <v>6178.68</v>
      </c>
      <c r="I10139" s="126">
        <v>45741</v>
      </c>
      <c r="J10139" s="242" t="s">
        <v>24635</v>
      </c>
      <c r="K10139" s="67"/>
      <c r="O10139" s="45" t="s">
        <v>10810</v>
      </c>
      <c r="P10139" s="45" t="s">
        <v>67</v>
      </c>
      <c r="Q10139" s="48" t="s">
        <v>96</v>
      </c>
      <c r="R10139" s="45" t="s">
        <v>272</v>
      </c>
    </row>
    <row r="10140" spans="2:18" ht="69" customHeight="1">
      <c r="B10140" s="231">
        <f t="shared" si="89"/>
        <v>7252</v>
      </c>
      <c r="C10140" s="191" t="s">
        <v>7189</v>
      </c>
      <c r="D10140" s="502" t="s">
        <v>14748</v>
      </c>
      <c r="E10140" s="86" t="s">
        <v>266</v>
      </c>
      <c r="F10140" s="86" t="s">
        <v>24640</v>
      </c>
      <c r="G10140" s="46" t="s">
        <v>24641</v>
      </c>
      <c r="H10140" s="534">
        <v>950</v>
      </c>
      <c r="I10140" s="56">
        <v>45762</v>
      </c>
      <c r="J10140" s="199" t="s">
        <v>24642</v>
      </c>
      <c r="K10140" s="46"/>
      <c r="M10140" s="98"/>
      <c r="N10140" s="98"/>
      <c r="O10140" s="46" t="s">
        <v>24643</v>
      </c>
      <c r="P10140" s="46" t="s">
        <v>65</v>
      </c>
      <c r="Q10140" s="52" t="s">
        <v>97</v>
      </c>
      <c r="R10140" s="46" t="s">
        <v>272</v>
      </c>
    </row>
    <row r="10141" spans="2:18" ht="69" customHeight="1">
      <c r="B10141" s="239">
        <f t="shared" si="89"/>
        <v>7253</v>
      </c>
      <c r="C10141" s="739" t="s">
        <v>309</v>
      </c>
      <c r="D10141" s="489" t="s">
        <v>24644</v>
      </c>
      <c r="E10141" s="739" t="s">
        <v>266</v>
      </c>
      <c r="F10141" s="887" t="s">
        <v>24645</v>
      </c>
      <c r="G10141" s="677" t="s">
        <v>13201</v>
      </c>
      <c r="H10141" s="198">
        <v>22535.14</v>
      </c>
      <c r="I10141" s="47">
        <v>45741</v>
      </c>
      <c r="J10141" s="73" t="s">
        <v>24646</v>
      </c>
      <c r="K10141" s="45"/>
      <c r="O10141" s="45" t="s">
        <v>15366</v>
      </c>
      <c r="P10141" s="45" t="s">
        <v>67</v>
      </c>
      <c r="Q10141" s="48" t="s">
        <v>15</v>
      </c>
      <c r="R10141" s="45" t="s">
        <v>272</v>
      </c>
    </row>
    <row r="10142" spans="2:18" ht="69" customHeight="1">
      <c r="B10142" s="79">
        <f t="shared" si="89"/>
        <v>7254</v>
      </c>
      <c r="C10142" s="178" t="s">
        <v>657</v>
      </c>
      <c r="D10142" s="551" t="s">
        <v>18561</v>
      </c>
      <c r="E10142" s="58" t="s">
        <v>17212</v>
      </c>
      <c r="F10142" s="58" t="s">
        <v>24647</v>
      </c>
      <c r="G10142" s="58" t="s">
        <v>24585</v>
      </c>
      <c r="H10142" s="552">
        <v>2850</v>
      </c>
      <c r="I10142" s="47">
        <v>45752</v>
      </c>
      <c r="J10142" s="65" t="s">
        <v>24586</v>
      </c>
      <c r="K10142" s="903" t="s">
        <v>24648</v>
      </c>
      <c r="L10142" s="99"/>
      <c r="O10142" s="58" t="s">
        <v>16399</v>
      </c>
      <c r="P10142" s="58" t="s">
        <v>55</v>
      </c>
      <c r="Q10142" s="62" t="s">
        <v>120</v>
      </c>
      <c r="R10142" s="58" t="s">
        <v>272</v>
      </c>
    </row>
    <row r="10143" spans="2:18" ht="69" customHeight="1">
      <c r="B10143" s="79">
        <f t="shared" si="89"/>
        <v>7255</v>
      </c>
      <c r="C10143" s="178" t="s">
        <v>657</v>
      </c>
      <c r="D10143" s="551" t="s">
        <v>18561</v>
      </c>
      <c r="E10143" s="58" t="s">
        <v>17212</v>
      </c>
      <c r="F10143" s="58" t="s">
        <v>24649</v>
      </c>
      <c r="G10143" s="58" t="s">
        <v>24585</v>
      </c>
      <c r="H10143" s="552">
        <v>2850</v>
      </c>
      <c r="I10143" s="47">
        <v>45752</v>
      </c>
      <c r="J10143" s="65" t="s">
        <v>24586</v>
      </c>
      <c r="K10143" s="903" t="s">
        <v>24648</v>
      </c>
      <c r="L10143" s="99"/>
      <c r="O10143" s="58" t="s">
        <v>16399</v>
      </c>
      <c r="P10143" s="58" t="s">
        <v>55</v>
      </c>
      <c r="Q10143" s="62" t="s">
        <v>106</v>
      </c>
      <c r="R10143" s="58" t="s">
        <v>272</v>
      </c>
    </row>
    <row r="10144" spans="2:18" ht="69" customHeight="1">
      <c r="B10144" s="79">
        <f t="shared" si="89"/>
        <v>7256</v>
      </c>
      <c r="C10144" s="178" t="s">
        <v>657</v>
      </c>
      <c r="D10144" s="551" t="s">
        <v>18561</v>
      </c>
      <c r="E10144" s="58" t="s">
        <v>17212</v>
      </c>
      <c r="F10144" s="58" t="s">
        <v>24650</v>
      </c>
      <c r="G10144" s="58" t="s">
        <v>24585</v>
      </c>
      <c r="H10144" s="552">
        <v>2850</v>
      </c>
      <c r="I10144" s="47">
        <v>45752</v>
      </c>
      <c r="J10144" s="65" t="s">
        <v>24586</v>
      </c>
      <c r="K10144" s="903" t="s">
        <v>24648</v>
      </c>
      <c r="L10144" s="99"/>
      <c r="O10144" s="58" t="s">
        <v>16399</v>
      </c>
      <c r="P10144" s="58" t="s">
        <v>55</v>
      </c>
      <c r="Q10144" s="62" t="s">
        <v>116</v>
      </c>
      <c r="R10144" s="58" t="s">
        <v>272</v>
      </c>
    </row>
    <row r="10145" spans="1:18" ht="69" customHeight="1">
      <c r="B10145" s="79">
        <f t="shared" si="89"/>
        <v>7257</v>
      </c>
      <c r="C10145" s="178" t="s">
        <v>657</v>
      </c>
      <c r="D10145" s="551" t="s">
        <v>18561</v>
      </c>
      <c r="E10145" s="58" t="s">
        <v>17212</v>
      </c>
      <c r="F10145" s="58" t="s">
        <v>24651</v>
      </c>
      <c r="G10145" s="58" t="s">
        <v>24585</v>
      </c>
      <c r="H10145" s="552">
        <v>2850</v>
      </c>
      <c r="I10145" s="47">
        <v>45752</v>
      </c>
      <c r="J10145" s="65" t="s">
        <v>24586</v>
      </c>
      <c r="K10145" s="903" t="s">
        <v>24648</v>
      </c>
      <c r="L10145" s="99"/>
      <c r="O10145" s="58" t="s">
        <v>16399</v>
      </c>
      <c r="P10145" s="58" t="s">
        <v>55</v>
      </c>
      <c r="Q10145" s="62" t="s">
        <v>110</v>
      </c>
      <c r="R10145" s="58" t="s">
        <v>272</v>
      </c>
    </row>
    <row r="10146" spans="1:18" ht="69" customHeight="1">
      <c r="B10146" s="79">
        <f t="shared" si="89"/>
        <v>7258</v>
      </c>
      <c r="C10146" s="178" t="s">
        <v>657</v>
      </c>
      <c r="D10146" s="551" t="s">
        <v>14673</v>
      </c>
      <c r="E10146" s="58" t="s">
        <v>17212</v>
      </c>
      <c r="F10146" s="210" t="s">
        <v>24652</v>
      </c>
      <c r="G10146" s="58" t="s">
        <v>24594</v>
      </c>
      <c r="H10146" s="552">
        <v>9461.0400000000009</v>
      </c>
      <c r="I10146" s="47">
        <v>45752</v>
      </c>
      <c r="J10146" s="65" t="s">
        <v>24586</v>
      </c>
      <c r="K10146" s="58" t="s">
        <v>24653</v>
      </c>
      <c r="M10146" s="98"/>
      <c r="N10146" s="98"/>
      <c r="O10146" s="45" t="s">
        <v>16399</v>
      </c>
      <c r="P10146" s="45" t="s">
        <v>55</v>
      </c>
      <c r="Q10146" s="48" t="s">
        <v>120</v>
      </c>
      <c r="R10146" s="45" t="s">
        <v>272</v>
      </c>
    </row>
    <row r="10147" spans="1:18" ht="69" customHeight="1">
      <c r="B10147" s="79">
        <f t="shared" si="89"/>
        <v>7259</v>
      </c>
      <c r="C10147" s="178" t="s">
        <v>657</v>
      </c>
      <c r="D10147" s="551" t="s">
        <v>14673</v>
      </c>
      <c r="E10147" s="58" t="s">
        <v>17212</v>
      </c>
      <c r="F10147" s="210" t="s">
        <v>24654</v>
      </c>
      <c r="G10147" s="58" t="s">
        <v>24594</v>
      </c>
      <c r="H10147" s="552">
        <v>6307.36</v>
      </c>
      <c r="I10147" s="47">
        <v>45752</v>
      </c>
      <c r="J10147" s="65" t="s">
        <v>24586</v>
      </c>
      <c r="K10147" s="58" t="s">
        <v>24653</v>
      </c>
      <c r="M10147" s="98"/>
      <c r="N10147" s="98"/>
      <c r="O10147" s="45" t="s">
        <v>16399</v>
      </c>
      <c r="P10147" s="45" t="s">
        <v>55</v>
      </c>
      <c r="Q10147" s="48" t="s">
        <v>106</v>
      </c>
      <c r="R10147" s="45" t="s">
        <v>272</v>
      </c>
    </row>
    <row r="10148" spans="1:18" ht="69" customHeight="1">
      <c r="B10148" s="79">
        <f t="shared" si="89"/>
        <v>7260</v>
      </c>
      <c r="C10148" s="178" t="s">
        <v>657</v>
      </c>
      <c r="D10148" s="551" t="s">
        <v>14673</v>
      </c>
      <c r="E10148" s="58" t="s">
        <v>17212</v>
      </c>
      <c r="F10148" s="210" t="s">
        <v>24655</v>
      </c>
      <c r="G10148" s="58" t="s">
        <v>24594</v>
      </c>
      <c r="H10148" s="552">
        <v>1576.84</v>
      </c>
      <c r="I10148" s="47">
        <v>45752</v>
      </c>
      <c r="J10148" s="65" t="s">
        <v>24586</v>
      </c>
      <c r="K10148" s="58" t="s">
        <v>24653</v>
      </c>
      <c r="M10148" s="98"/>
      <c r="N10148" s="98"/>
      <c r="O10148" s="45" t="s">
        <v>16399</v>
      </c>
      <c r="P10148" s="45" t="s">
        <v>55</v>
      </c>
      <c r="Q10148" s="48" t="s">
        <v>116</v>
      </c>
      <c r="R10148" s="45" t="s">
        <v>272</v>
      </c>
    </row>
    <row r="10149" spans="1:18" ht="69" customHeight="1">
      <c r="B10149" s="79">
        <f t="shared" si="89"/>
        <v>7261</v>
      </c>
      <c r="C10149" s="178" t="s">
        <v>657</v>
      </c>
      <c r="D10149" s="551" t="s">
        <v>14673</v>
      </c>
      <c r="E10149" s="58" t="s">
        <v>17212</v>
      </c>
      <c r="F10149" s="210" t="s">
        <v>24656</v>
      </c>
      <c r="G10149" s="58" t="s">
        <v>24594</v>
      </c>
      <c r="H10149" s="552">
        <v>3153.68</v>
      </c>
      <c r="I10149" s="47">
        <v>45752</v>
      </c>
      <c r="J10149" s="65" t="s">
        <v>24586</v>
      </c>
      <c r="K10149" s="58" t="s">
        <v>24653</v>
      </c>
      <c r="M10149" s="98"/>
      <c r="N10149" s="98"/>
      <c r="O10149" s="45" t="s">
        <v>16399</v>
      </c>
      <c r="P10149" s="45" t="s">
        <v>55</v>
      </c>
      <c r="Q10149" s="48" t="s">
        <v>110</v>
      </c>
      <c r="R10149" s="45" t="s">
        <v>272</v>
      </c>
    </row>
    <row r="10150" spans="1:18" s="98" customFormat="1" ht="69" customHeight="1">
      <c r="A10150" s="169"/>
      <c r="B10150" s="79">
        <f t="shared" si="89"/>
        <v>7262</v>
      </c>
      <c r="C10150" s="58" t="s">
        <v>23440</v>
      </c>
      <c r="D10150" s="551" t="s">
        <v>24657</v>
      </c>
      <c r="E10150" s="58" t="s">
        <v>17212</v>
      </c>
      <c r="F10150" s="58" t="s">
        <v>24658</v>
      </c>
      <c r="G10150" s="58" t="s">
        <v>24585</v>
      </c>
      <c r="H10150" s="552">
        <v>3198.7730000000001</v>
      </c>
      <c r="I10150" s="889">
        <v>45752</v>
      </c>
      <c r="J10150" s="65" t="s">
        <v>24586</v>
      </c>
      <c r="K10150" s="906" t="s">
        <v>24659</v>
      </c>
      <c r="O10150" s="45" t="s">
        <v>16399</v>
      </c>
      <c r="P10150" s="45" t="s">
        <v>55</v>
      </c>
      <c r="Q10150" s="48" t="s">
        <v>58</v>
      </c>
      <c r="R10150" s="45" t="s">
        <v>272</v>
      </c>
    </row>
    <row r="10151" spans="1:18" s="98" customFormat="1" ht="69" customHeight="1">
      <c r="A10151" s="169"/>
      <c r="B10151" s="79">
        <f t="shared" si="89"/>
        <v>7263</v>
      </c>
      <c r="C10151" s="58" t="s">
        <v>23440</v>
      </c>
      <c r="D10151" s="551" t="s">
        <v>24657</v>
      </c>
      <c r="E10151" s="58" t="s">
        <v>17212</v>
      </c>
      <c r="F10151" s="58" t="s">
        <v>24660</v>
      </c>
      <c r="G10151" s="58" t="s">
        <v>24585</v>
      </c>
      <c r="H10151" s="552">
        <v>3198.7730000000001</v>
      </c>
      <c r="I10151" s="889">
        <v>45752</v>
      </c>
      <c r="J10151" s="65" t="s">
        <v>24586</v>
      </c>
      <c r="K10151" s="906" t="s">
        <v>24659</v>
      </c>
      <c r="O10151" s="45" t="s">
        <v>16399</v>
      </c>
      <c r="P10151" s="45" t="s">
        <v>55</v>
      </c>
      <c r="Q10151" s="48" t="s">
        <v>78</v>
      </c>
      <c r="R10151" s="45" t="s">
        <v>272</v>
      </c>
    </row>
    <row r="10152" spans="1:18" s="98" customFormat="1" ht="69" customHeight="1">
      <c r="A10152" s="169"/>
      <c r="B10152" s="79">
        <f t="shared" si="89"/>
        <v>7264</v>
      </c>
      <c r="C10152" s="58" t="s">
        <v>23440</v>
      </c>
      <c r="D10152" s="551" t="s">
        <v>24657</v>
      </c>
      <c r="E10152" s="58" t="s">
        <v>17212</v>
      </c>
      <c r="F10152" s="58" t="s">
        <v>24661</v>
      </c>
      <c r="G10152" s="58" t="s">
        <v>24585</v>
      </c>
      <c r="H10152" s="552">
        <v>3198.7730000000001</v>
      </c>
      <c r="I10152" s="889">
        <v>45752</v>
      </c>
      <c r="J10152" s="65" t="s">
        <v>24586</v>
      </c>
      <c r="K10152" s="906" t="s">
        <v>24659</v>
      </c>
      <c r="O10152" s="45" t="s">
        <v>16399</v>
      </c>
      <c r="P10152" s="45" t="s">
        <v>55</v>
      </c>
      <c r="Q10152" s="48" t="s">
        <v>84</v>
      </c>
      <c r="R10152" s="45" t="s">
        <v>272</v>
      </c>
    </row>
    <row r="10153" spans="1:18" s="98" customFormat="1" ht="69" customHeight="1">
      <c r="A10153" s="169"/>
      <c r="B10153" s="239">
        <f t="shared" si="89"/>
        <v>7265</v>
      </c>
      <c r="C10153" s="45" t="s">
        <v>23440</v>
      </c>
      <c r="D10153" s="489" t="s">
        <v>24662</v>
      </c>
      <c r="E10153" s="45" t="s">
        <v>17212</v>
      </c>
      <c r="F10153" s="569" t="s">
        <v>24663</v>
      </c>
      <c r="G10153" s="45" t="s">
        <v>24594</v>
      </c>
      <c r="H10153" s="198">
        <v>4730.5200000000004</v>
      </c>
      <c r="I10153" s="892">
        <v>45752</v>
      </c>
      <c r="J10153" s="73" t="s">
        <v>24586</v>
      </c>
      <c r="K10153" s="45" t="s">
        <v>24664</v>
      </c>
      <c r="O10153" s="45" t="s">
        <v>16399</v>
      </c>
      <c r="P10153" s="45" t="s">
        <v>55</v>
      </c>
      <c r="Q10153" s="48" t="s">
        <v>58</v>
      </c>
      <c r="R10153" s="45" t="s">
        <v>272</v>
      </c>
    </row>
    <row r="10154" spans="1:18" s="98" customFormat="1" ht="69" customHeight="1">
      <c r="A10154" s="169"/>
      <c r="B10154" s="239">
        <f t="shared" si="89"/>
        <v>7266</v>
      </c>
      <c r="C10154" s="45" t="s">
        <v>23440</v>
      </c>
      <c r="D10154" s="489" t="s">
        <v>24662</v>
      </c>
      <c r="E10154" s="45" t="s">
        <v>17212</v>
      </c>
      <c r="F10154" s="569" t="s">
        <v>24665</v>
      </c>
      <c r="G10154" s="45" t="s">
        <v>24594</v>
      </c>
      <c r="H10154" s="198">
        <v>9461.0400000000009</v>
      </c>
      <c r="I10154" s="892">
        <v>45752</v>
      </c>
      <c r="J10154" s="73" t="s">
        <v>24586</v>
      </c>
      <c r="K10154" s="45" t="s">
        <v>24664</v>
      </c>
      <c r="O10154" s="45" t="s">
        <v>16399</v>
      </c>
      <c r="P10154" s="45" t="s">
        <v>55</v>
      </c>
      <c r="Q10154" s="48" t="s">
        <v>78</v>
      </c>
      <c r="R10154" s="45" t="s">
        <v>272</v>
      </c>
    </row>
    <row r="10155" spans="1:18" s="98" customFormat="1" ht="69" customHeight="1">
      <c r="A10155" s="169"/>
      <c r="B10155" s="239">
        <f t="shared" si="89"/>
        <v>7267</v>
      </c>
      <c r="C10155" s="45" t="s">
        <v>23440</v>
      </c>
      <c r="D10155" s="489" t="s">
        <v>24662</v>
      </c>
      <c r="E10155" s="45" t="s">
        <v>17212</v>
      </c>
      <c r="F10155" s="569" t="s">
        <v>24666</v>
      </c>
      <c r="G10155" s="45" t="s">
        <v>24594</v>
      </c>
      <c r="H10155" s="198">
        <v>1576.84</v>
      </c>
      <c r="I10155" s="892">
        <v>45752</v>
      </c>
      <c r="J10155" s="73" t="s">
        <v>24586</v>
      </c>
      <c r="K10155" s="45" t="s">
        <v>24664</v>
      </c>
      <c r="O10155" s="45" t="s">
        <v>16399</v>
      </c>
      <c r="P10155" s="45" t="s">
        <v>55</v>
      </c>
      <c r="Q10155" s="48" t="s">
        <v>84</v>
      </c>
      <c r="R10155" s="45" t="s">
        <v>272</v>
      </c>
    </row>
    <row r="10156" spans="1:18" s="98" customFormat="1" ht="69" customHeight="1">
      <c r="A10156" s="169"/>
      <c r="B10156" s="239">
        <f t="shared" si="89"/>
        <v>7268</v>
      </c>
      <c r="C10156" s="45" t="s">
        <v>309</v>
      </c>
      <c r="D10156" s="489" t="s">
        <v>24667</v>
      </c>
      <c r="E10156" s="45" t="s">
        <v>17212</v>
      </c>
      <c r="F10156" s="45" t="s">
        <v>24668</v>
      </c>
      <c r="G10156" s="45" t="s">
        <v>24585</v>
      </c>
      <c r="H10156" s="198">
        <v>7760</v>
      </c>
      <c r="I10156" s="892">
        <v>45752</v>
      </c>
      <c r="J10156" s="73" t="s">
        <v>24586</v>
      </c>
      <c r="K10156" s="907" t="s">
        <v>24669</v>
      </c>
      <c r="O10156" s="45" t="s">
        <v>16399</v>
      </c>
      <c r="P10156" s="45" t="s">
        <v>55</v>
      </c>
      <c r="Q10156" s="48" t="s">
        <v>13</v>
      </c>
      <c r="R10156" s="45" t="s">
        <v>272</v>
      </c>
    </row>
    <row r="10157" spans="1:18" s="98" customFormat="1" ht="69" customHeight="1">
      <c r="A10157" s="169"/>
      <c r="B10157" s="239">
        <f t="shared" si="89"/>
        <v>7269</v>
      </c>
      <c r="C10157" s="45" t="s">
        <v>309</v>
      </c>
      <c r="D10157" s="489" t="s">
        <v>24667</v>
      </c>
      <c r="E10157" s="45" t="s">
        <v>17212</v>
      </c>
      <c r="F10157" s="45" t="s">
        <v>24670</v>
      </c>
      <c r="G10157" s="45" t="s">
        <v>24585</v>
      </c>
      <c r="H10157" s="198">
        <v>7760</v>
      </c>
      <c r="I10157" s="892">
        <v>45752</v>
      </c>
      <c r="J10157" s="73" t="s">
        <v>24586</v>
      </c>
      <c r="K10157" s="907" t="s">
        <v>24669</v>
      </c>
      <c r="O10157" s="45" t="s">
        <v>16399</v>
      </c>
      <c r="P10157" s="45" t="s">
        <v>55</v>
      </c>
      <c r="Q10157" s="48" t="s">
        <v>20</v>
      </c>
      <c r="R10157" s="45" t="s">
        <v>272</v>
      </c>
    </row>
    <row r="10158" spans="1:18" s="98" customFormat="1" ht="69" customHeight="1">
      <c r="A10158" s="169"/>
      <c r="B10158" s="239">
        <f t="shared" si="89"/>
        <v>7270</v>
      </c>
      <c r="C10158" s="45" t="s">
        <v>309</v>
      </c>
      <c r="D10158" s="489" t="s">
        <v>24671</v>
      </c>
      <c r="E10158" s="45" t="s">
        <v>17212</v>
      </c>
      <c r="F10158" s="569" t="s">
        <v>24672</v>
      </c>
      <c r="G10158" s="45" t="s">
        <v>24594</v>
      </c>
      <c r="H10158" s="198">
        <v>3153.68</v>
      </c>
      <c r="I10158" s="892">
        <v>45752</v>
      </c>
      <c r="J10158" s="73" t="s">
        <v>24586</v>
      </c>
      <c r="K10158" s="45" t="s">
        <v>24673</v>
      </c>
      <c r="O10158" s="45" t="s">
        <v>16399</v>
      </c>
      <c r="P10158" s="45" t="s">
        <v>55</v>
      </c>
      <c r="Q10158" s="48" t="s">
        <v>13</v>
      </c>
      <c r="R10158" s="45" t="s">
        <v>272</v>
      </c>
    </row>
    <row r="10159" spans="1:18" s="98" customFormat="1" ht="69" customHeight="1">
      <c r="A10159" s="169"/>
      <c r="B10159" s="239">
        <f t="shared" si="89"/>
        <v>7271</v>
      </c>
      <c r="C10159" s="45" t="s">
        <v>309</v>
      </c>
      <c r="D10159" s="489" t="s">
        <v>24671</v>
      </c>
      <c r="E10159" s="45" t="s">
        <v>17212</v>
      </c>
      <c r="F10159" s="569" t="s">
        <v>24674</v>
      </c>
      <c r="G10159" s="45" t="s">
        <v>24594</v>
      </c>
      <c r="H10159" s="198">
        <v>1576.84</v>
      </c>
      <c r="I10159" s="892">
        <v>45752</v>
      </c>
      <c r="J10159" s="73" t="s">
        <v>24586</v>
      </c>
      <c r="K10159" s="45" t="s">
        <v>24673</v>
      </c>
      <c r="O10159" s="45" t="s">
        <v>16399</v>
      </c>
      <c r="P10159" s="45" t="s">
        <v>55</v>
      </c>
      <c r="Q10159" s="48" t="s">
        <v>20</v>
      </c>
      <c r="R10159" s="45" t="s">
        <v>272</v>
      </c>
    </row>
    <row r="10160" spans="1:18" ht="69" customHeight="1">
      <c r="B10160" s="79">
        <f t="shared" si="89"/>
        <v>7272</v>
      </c>
      <c r="C10160" s="178" t="s">
        <v>458</v>
      </c>
      <c r="D10160" s="498" t="s">
        <v>24675</v>
      </c>
      <c r="E10160" s="680" t="s">
        <v>266</v>
      </c>
      <c r="F10160" s="681" t="s">
        <v>24676</v>
      </c>
      <c r="G10160" s="682" t="s">
        <v>23389</v>
      </c>
      <c r="H10160" s="546">
        <v>1452.59</v>
      </c>
      <c r="I10160" s="47">
        <v>45752</v>
      </c>
      <c r="J10160" s="242" t="s">
        <v>24677</v>
      </c>
      <c r="K10160" s="885" t="s">
        <v>24631</v>
      </c>
      <c r="O10160" s="61" t="s">
        <v>144</v>
      </c>
      <c r="P10160" s="45" t="s">
        <v>67</v>
      </c>
      <c r="Q10160" s="48" t="s">
        <v>96</v>
      </c>
      <c r="R10160" s="45" t="s">
        <v>272</v>
      </c>
    </row>
    <row r="10161" spans="2:18" ht="69" customHeight="1">
      <c r="B10161" s="79">
        <f t="shared" si="89"/>
        <v>7273</v>
      </c>
      <c r="C10161" s="59" t="s">
        <v>7189</v>
      </c>
      <c r="D10161" s="498" t="s">
        <v>18584</v>
      </c>
      <c r="E10161" s="680" t="s">
        <v>266</v>
      </c>
      <c r="F10161" s="58" t="s">
        <v>24678</v>
      </c>
      <c r="G10161" s="113" t="s">
        <v>24226</v>
      </c>
      <c r="H10161" s="768">
        <v>12000</v>
      </c>
      <c r="I10161" s="47">
        <v>45752</v>
      </c>
      <c r="J10161" s="62" t="s">
        <v>24679</v>
      </c>
      <c r="K10161" s="769"/>
      <c r="O10161" s="62" t="s">
        <v>6918</v>
      </c>
      <c r="P10161" s="45" t="s">
        <v>44</v>
      </c>
      <c r="Q10161" s="48" t="s">
        <v>97</v>
      </c>
      <c r="R10161" s="45" t="s">
        <v>272</v>
      </c>
    </row>
    <row r="10162" spans="2:18" ht="69" customHeight="1">
      <c r="B10162" s="79">
        <f t="shared" si="89"/>
        <v>7274</v>
      </c>
      <c r="C10162" s="676" t="s">
        <v>10961</v>
      </c>
      <c r="D10162" s="498" t="s">
        <v>24680</v>
      </c>
      <c r="E10162" s="680" t="s">
        <v>266</v>
      </c>
      <c r="F10162" s="58" t="s">
        <v>24681</v>
      </c>
      <c r="G10162" s="60" t="s">
        <v>24682</v>
      </c>
      <c r="H10162" s="546">
        <v>111.82</v>
      </c>
      <c r="I10162" s="47">
        <v>45752</v>
      </c>
      <c r="J10162" s="62" t="s">
        <v>24683</v>
      </c>
      <c r="K10162" s="67"/>
      <c r="O10162" s="45" t="s">
        <v>24350</v>
      </c>
      <c r="P10162" s="71" t="s">
        <v>65</v>
      </c>
      <c r="Q10162" s="821" t="s">
        <v>96</v>
      </c>
      <c r="R10162" s="45" t="s">
        <v>272</v>
      </c>
    </row>
    <row r="10163" spans="2:18" ht="69" customHeight="1">
      <c r="B10163" s="79">
        <f t="shared" si="89"/>
        <v>7275</v>
      </c>
      <c r="C10163" s="676" t="s">
        <v>10961</v>
      </c>
      <c r="D10163" s="498" t="s">
        <v>24684</v>
      </c>
      <c r="E10163" s="680" t="s">
        <v>266</v>
      </c>
      <c r="F10163" s="58" t="s">
        <v>24685</v>
      </c>
      <c r="G10163" s="60" t="s">
        <v>24686</v>
      </c>
      <c r="H10163" s="546">
        <v>223.64</v>
      </c>
      <c r="I10163" s="47">
        <v>45752</v>
      </c>
      <c r="J10163" s="62" t="s">
        <v>24683</v>
      </c>
      <c r="K10163" s="67"/>
      <c r="O10163" s="45" t="s">
        <v>24350</v>
      </c>
      <c r="P10163" s="71" t="s">
        <v>65</v>
      </c>
      <c r="Q10163" s="821" t="s">
        <v>96</v>
      </c>
      <c r="R10163" s="45" t="s">
        <v>272</v>
      </c>
    </row>
    <row r="10164" spans="2:18" ht="69" customHeight="1">
      <c r="B10164" s="79">
        <f t="shared" si="89"/>
        <v>7276</v>
      </c>
      <c r="C10164" s="178" t="s">
        <v>2447</v>
      </c>
      <c r="D10164" s="498" t="s">
        <v>24687</v>
      </c>
      <c r="E10164" s="680" t="s">
        <v>266</v>
      </c>
      <c r="F10164" s="58" t="s">
        <v>24688</v>
      </c>
      <c r="G10164" s="60" t="s">
        <v>24689</v>
      </c>
      <c r="H10164" s="546">
        <v>279.55</v>
      </c>
      <c r="I10164" s="47">
        <v>45752</v>
      </c>
      <c r="J10164" s="62" t="s">
        <v>24690</v>
      </c>
      <c r="K10164" s="67"/>
      <c r="O10164" s="45" t="s">
        <v>24350</v>
      </c>
      <c r="P10164" s="71" t="s">
        <v>65</v>
      </c>
      <c r="Q10164" s="821" t="s">
        <v>96</v>
      </c>
      <c r="R10164" s="45" t="s">
        <v>272</v>
      </c>
    </row>
    <row r="10165" spans="2:18" ht="69" customHeight="1">
      <c r="B10165" s="231">
        <f t="shared" si="89"/>
        <v>7277</v>
      </c>
      <c r="C10165" s="1086" t="s">
        <v>9004</v>
      </c>
      <c r="D10165" s="502" t="s">
        <v>14814</v>
      </c>
      <c r="E10165" s="86" t="s">
        <v>266</v>
      </c>
      <c r="F10165" s="46" t="s">
        <v>24691</v>
      </c>
      <c r="G10165" s="46" t="s">
        <v>24692</v>
      </c>
      <c r="H10165" s="534">
        <v>10000</v>
      </c>
      <c r="I10165" s="56">
        <v>45733</v>
      </c>
      <c r="J10165" s="52" t="s">
        <v>24693</v>
      </c>
      <c r="K10165" s="46"/>
      <c r="O10165" s="46"/>
      <c r="P10165" s="46" t="s">
        <v>65</v>
      </c>
      <c r="Q10165" s="52" t="s">
        <v>111</v>
      </c>
      <c r="R10165" s="46" t="s">
        <v>272</v>
      </c>
    </row>
    <row r="10166" spans="2:18" ht="69" customHeight="1">
      <c r="B10166" s="231">
        <f t="shared" si="89"/>
        <v>7278</v>
      </c>
      <c r="C10166" s="191" t="s">
        <v>7189</v>
      </c>
      <c r="D10166" s="502" t="s">
        <v>14838</v>
      </c>
      <c r="E10166" s="191" t="s">
        <v>382</v>
      </c>
      <c r="F10166" s="46" t="s">
        <v>24694</v>
      </c>
      <c r="G10166" s="46" t="s">
        <v>24431</v>
      </c>
      <c r="H10166" s="534">
        <v>1459</v>
      </c>
      <c r="I10166" s="56">
        <v>45752</v>
      </c>
      <c r="J10166" s="52" t="s">
        <v>24695</v>
      </c>
      <c r="K10166" s="46"/>
      <c r="L10166" s="99"/>
      <c r="M10166" s="70" t="s">
        <v>10019</v>
      </c>
      <c r="N10166" s="97" t="s">
        <v>387</v>
      </c>
      <c r="O10166" s="46" t="s">
        <v>24433</v>
      </c>
      <c r="P10166" s="46" t="s">
        <v>65</v>
      </c>
      <c r="Q10166" s="52" t="s">
        <v>97</v>
      </c>
      <c r="R10166" s="46" t="s">
        <v>265</v>
      </c>
    </row>
    <row r="10167" spans="2:18" ht="69" customHeight="1">
      <c r="B10167" s="231">
        <f t="shared" si="89"/>
        <v>7279</v>
      </c>
      <c r="C10167" s="191" t="s">
        <v>11908</v>
      </c>
      <c r="D10167" s="502" t="s">
        <v>24696</v>
      </c>
      <c r="E10167" s="191" t="s">
        <v>382</v>
      </c>
      <c r="F10167" s="46" t="s">
        <v>24697</v>
      </c>
      <c r="G10167" s="46" t="s">
        <v>24431</v>
      </c>
      <c r="H10167" s="534">
        <v>1459</v>
      </c>
      <c r="I10167" s="56">
        <v>45752</v>
      </c>
      <c r="J10167" s="52" t="s">
        <v>24695</v>
      </c>
      <c r="K10167" s="46"/>
      <c r="O10167" s="46" t="s">
        <v>24433</v>
      </c>
      <c r="P10167" s="46" t="s">
        <v>65</v>
      </c>
      <c r="Q10167" s="52" t="s">
        <v>103</v>
      </c>
      <c r="R10167" s="46" t="s">
        <v>265</v>
      </c>
    </row>
    <row r="10168" spans="2:18" ht="69" customHeight="1">
      <c r="B10168" s="239">
        <f t="shared" si="89"/>
        <v>7280</v>
      </c>
      <c r="C10168" s="676" t="s">
        <v>24698</v>
      </c>
      <c r="D10168" s="675" t="s">
        <v>7841</v>
      </c>
      <c r="E10168" s="676" t="s">
        <v>266</v>
      </c>
      <c r="F10168" s="45" t="s">
        <v>24699</v>
      </c>
      <c r="G10168" s="45" t="s">
        <v>24292</v>
      </c>
      <c r="H10168" s="198">
        <v>3893.7</v>
      </c>
      <c r="I10168" s="47">
        <v>45752</v>
      </c>
      <c r="J10168" s="48" t="s">
        <v>24700</v>
      </c>
      <c r="K10168" s="45"/>
      <c r="O10168" s="45" t="s">
        <v>11386</v>
      </c>
      <c r="P10168" s="45" t="s">
        <v>67</v>
      </c>
      <c r="Q10168" s="48"/>
      <c r="R10168" s="45" t="s">
        <v>272</v>
      </c>
    </row>
    <row r="10169" spans="2:18" ht="69" customHeight="1">
      <c r="B10169" s="79">
        <f t="shared" si="89"/>
        <v>7281</v>
      </c>
      <c r="C10169" s="178" t="s">
        <v>13435</v>
      </c>
      <c r="D10169" s="551" t="s">
        <v>23413</v>
      </c>
      <c r="E10169" s="58" t="s">
        <v>16737</v>
      </c>
      <c r="F10169" s="58" t="s">
        <v>24701</v>
      </c>
      <c r="G10169" s="58" t="s">
        <v>24702</v>
      </c>
      <c r="H10169" s="552">
        <v>30000</v>
      </c>
      <c r="I10169" s="66">
        <v>45762</v>
      </c>
      <c r="J10169" s="65" t="s">
        <v>24703</v>
      </c>
      <c r="K10169" s="58"/>
      <c r="O10169" s="45" t="s">
        <v>205</v>
      </c>
      <c r="P10169" s="45" t="s">
        <v>61</v>
      </c>
      <c r="Q10169" s="48" t="s">
        <v>13</v>
      </c>
      <c r="R10169" s="45" t="s">
        <v>272</v>
      </c>
    </row>
    <row r="10170" spans="2:18" ht="69" customHeight="1">
      <c r="B10170" s="79">
        <f t="shared" si="89"/>
        <v>7282</v>
      </c>
      <c r="C10170" s="676" t="s">
        <v>7415</v>
      </c>
      <c r="D10170" s="498" t="s">
        <v>24704</v>
      </c>
      <c r="E10170" s="681" t="s">
        <v>23424</v>
      </c>
      <c r="F10170" s="677" t="s">
        <v>24705</v>
      </c>
      <c r="G10170" s="59" t="s">
        <v>24706</v>
      </c>
      <c r="H10170" s="361">
        <v>1083.8</v>
      </c>
      <c r="I10170" s="47">
        <v>45752</v>
      </c>
      <c r="J10170" s="242" t="s">
        <v>24707</v>
      </c>
      <c r="K10170" s="67"/>
      <c r="O10170" s="45" t="s">
        <v>8228</v>
      </c>
      <c r="P10170" s="58" t="s">
        <v>57</v>
      </c>
      <c r="Q10170" s="48" t="s">
        <v>119</v>
      </c>
      <c r="R10170" s="45" t="s">
        <v>272</v>
      </c>
    </row>
    <row r="10171" spans="2:18" ht="69" customHeight="1">
      <c r="B10171" s="79">
        <f t="shared" si="89"/>
        <v>7283</v>
      </c>
      <c r="C10171" s="676" t="s">
        <v>7415</v>
      </c>
      <c r="D10171" s="498" t="s">
        <v>24708</v>
      </c>
      <c r="E10171" s="681" t="s">
        <v>16077</v>
      </c>
      <c r="F10171" s="677" t="s">
        <v>24709</v>
      </c>
      <c r="G10171" s="827" t="s">
        <v>24710</v>
      </c>
      <c r="H10171" s="376">
        <v>4335.1899999999996</v>
      </c>
      <c r="I10171" s="488">
        <v>45752</v>
      </c>
      <c r="J10171" s="242" t="s">
        <v>24707</v>
      </c>
      <c r="K10171" s="67"/>
      <c r="O10171" s="45" t="s">
        <v>8228</v>
      </c>
      <c r="P10171" s="58" t="s">
        <v>57</v>
      </c>
      <c r="Q10171" s="48" t="s">
        <v>119</v>
      </c>
      <c r="R10171" s="45" t="s">
        <v>272</v>
      </c>
    </row>
    <row r="10172" spans="2:18" ht="69" customHeight="1">
      <c r="B10172" s="79">
        <f t="shared" si="89"/>
        <v>7284</v>
      </c>
      <c r="C10172" s="59" t="s">
        <v>10944</v>
      </c>
      <c r="D10172" s="498" t="s">
        <v>14840</v>
      </c>
      <c r="E10172" s="681" t="s">
        <v>23424</v>
      </c>
      <c r="F10172" s="677" t="s">
        <v>24711</v>
      </c>
      <c r="G10172" s="59" t="s">
        <v>24706</v>
      </c>
      <c r="H10172" s="361">
        <v>7021.32</v>
      </c>
      <c r="I10172" s="47">
        <v>45752</v>
      </c>
      <c r="J10172" s="242" t="s">
        <v>24712</v>
      </c>
      <c r="K10172" s="67"/>
      <c r="O10172" s="45" t="s">
        <v>8228</v>
      </c>
      <c r="P10172" s="58" t="s">
        <v>57</v>
      </c>
      <c r="Q10172" s="48" t="s">
        <v>120</v>
      </c>
      <c r="R10172" s="45" t="s">
        <v>272</v>
      </c>
    </row>
    <row r="10173" spans="2:18" ht="69" customHeight="1">
      <c r="B10173" s="79">
        <f t="shared" si="89"/>
        <v>7285</v>
      </c>
      <c r="C10173" s="59" t="s">
        <v>10944</v>
      </c>
      <c r="D10173" s="498" t="s">
        <v>14834</v>
      </c>
      <c r="E10173" s="681" t="s">
        <v>16077</v>
      </c>
      <c r="F10173" s="677" t="s">
        <v>24713</v>
      </c>
      <c r="G10173" s="827" t="s">
        <v>24710</v>
      </c>
      <c r="H10173" s="376">
        <v>7021.32</v>
      </c>
      <c r="I10173" s="488">
        <v>45752</v>
      </c>
      <c r="J10173" s="242" t="s">
        <v>24712</v>
      </c>
      <c r="K10173" s="67"/>
      <c r="O10173" s="45" t="s">
        <v>8228</v>
      </c>
      <c r="P10173" s="58" t="s">
        <v>57</v>
      </c>
      <c r="Q10173" s="48" t="s">
        <v>120</v>
      </c>
      <c r="R10173" s="45" t="s">
        <v>272</v>
      </c>
    </row>
    <row r="10174" spans="2:18" ht="69" customHeight="1">
      <c r="B10174" s="79">
        <f t="shared" si="89"/>
        <v>7286</v>
      </c>
      <c r="C10174" s="676" t="s">
        <v>7415</v>
      </c>
      <c r="D10174" s="498" t="s">
        <v>23672</v>
      </c>
      <c r="E10174" s="681" t="s">
        <v>23424</v>
      </c>
      <c r="F10174" s="677" t="s">
        <v>24714</v>
      </c>
      <c r="G10174" s="59" t="s">
        <v>24706</v>
      </c>
      <c r="H10174" s="644">
        <v>11297.436</v>
      </c>
      <c r="I10174" s="47">
        <v>45752</v>
      </c>
      <c r="J10174" s="242" t="s">
        <v>24715</v>
      </c>
      <c r="K10174" s="67"/>
      <c r="O10174" s="45" t="s">
        <v>8228</v>
      </c>
      <c r="P10174" s="58" t="s">
        <v>57</v>
      </c>
      <c r="Q10174" s="48" t="s">
        <v>119</v>
      </c>
      <c r="R10174" s="45" t="s">
        <v>272</v>
      </c>
    </row>
    <row r="10175" spans="2:18" ht="69" customHeight="1">
      <c r="B10175" s="79">
        <f t="shared" si="89"/>
        <v>7287</v>
      </c>
      <c r="C10175" s="676" t="s">
        <v>7415</v>
      </c>
      <c r="D10175" s="498" t="s">
        <v>24716</v>
      </c>
      <c r="E10175" s="681" t="s">
        <v>16077</v>
      </c>
      <c r="F10175" s="677" t="s">
        <v>24717</v>
      </c>
      <c r="G10175" s="827" t="s">
        <v>24710</v>
      </c>
      <c r="H10175" s="546">
        <v>45189.74</v>
      </c>
      <c r="I10175" s="47">
        <v>45752</v>
      </c>
      <c r="J10175" s="242" t="s">
        <v>24715</v>
      </c>
      <c r="K10175" s="67"/>
      <c r="O10175" s="45" t="s">
        <v>8228</v>
      </c>
      <c r="P10175" s="58" t="s">
        <v>57</v>
      </c>
      <c r="Q10175" s="48" t="s">
        <v>119</v>
      </c>
      <c r="R10175" s="45" t="s">
        <v>272</v>
      </c>
    </row>
    <row r="10176" spans="2:18" ht="69" customHeight="1">
      <c r="B10176" s="79">
        <f t="shared" si="89"/>
        <v>7288</v>
      </c>
      <c r="C10176" s="58" t="s">
        <v>23440</v>
      </c>
      <c r="D10176" s="498" t="s">
        <v>9747</v>
      </c>
      <c r="E10176" s="722" t="s">
        <v>382</v>
      </c>
      <c r="F10176" s="677" t="s">
        <v>24718</v>
      </c>
      <c r="G10176" s="45" t="s">
        <v>384</v>
      </c>
      <c r="H10176" s="198">
        <v>27761.33</v>
      </c>
      <c r="I10176" s="126">
        <v>44739</v>
      </c>
      <c r="J10176" s="242" t="s">
        <v>24719</v>
      </c>
      <c r="K10176" s="67" t="s">
        <v>24720</v>
      </c>
      <c r="O10176" s="45" t="s">
        <v>150</v>
      </c>
      <c r="P10176" s="45" t="s">
        <v>51</v>
      </c>
      <c r="Q10176" s="48" t="s">
        <v>86</v>
      </c>
      <c r="R10176" s="45" t="s">
        <v>272</v>
      </c>
    </row>
    <row r="10177" spans="1:18" ht="69" customHeight="1">
      <c r="B10177" s="79">
        <f t="shared" si="89"/>
        <v>7289</v>
      </c>
      <c r="C10177" s="58" t="s">
        <v>23440</v>
      </c>
      <c r="D10177" s="498" t="s">
        <v>3596</v>
      </c>
      <c r="E10177" s="58" t="s">
        <v>382</v>
      </c>
      <c r="F10177" s="58" t="s">
        <v>24721</v>
      </c>
      <c r="G10177" s="58" t="s">
        <v>384</v>
      </c>
      <c r="H10177" s="546">
        <v>39819.519999999997</v>
      </c>
      <c r="I10177" s="126">
        <v>44739</v>
      </c>
      <c r="J10177" s="242" t="s">
        <v>24722</v>
      </c>
      <c r="K10177" s="67" t="s">
        <v>24720</v>
      </c>
      <c r="O10177" s="45" t="s">
        <v>150</v>
      </c>
      <c r="P10177" s="45" t="s">
        <v>51</v>
      </c>
      <c r="Q10177" s="48" t="s">
        <v>86</v>
      </c>
      <c r="R10177" s="45" t="s">
        <v>272</v>
      </c>
    </row>
    <row r="10178" spans="1:18" ht="69" customHeight="1">
      <c r="B10178" s="79">
        <f t="shared" si="89"/>
        <v>7290</v>
      </c>
      <c r="C10178" s="58" t="s">
        <v>309</v>
      </c>
      <c r="D10178" s="498" t="s">
        <v>10285</v>
      </c>
      <c r="E10178" s="58" t="s">
        <v>382</v>
      </c>
      <c r="F10178" s="58" t="s">
        <v>24723</v>
      </c>
      <c r="G10178" s="58" t="s">
        <v>384</v>
      </c>
      <c r="H10178" s="546">
        <v>17597.53</v>
      </c>
      <c r="I10178" s="126">
        <v>44736</v>
      </c>
      <c r="J10178" s="242" t="s">
        <v>24724</v>
      </c>
      <c r="K10178" s="67" t="s">
        <v>24720</v>
      </c>
      <c r="O10178" s="45" t="s">
        <v>150</v>
      </c>
      <c r="P10178" s="45" t="s">
        <v>51</v>
      </c>
      <c r="Q10178" s="48" t="s">
        <v>45</v>
      </c>
      <c r="R10178" s="45" t="s">
        <v>272</v>
      </c>
    </row>
    <row r="10179" spans="1:18" ht="69" customHeight="1">
      <c r="B10179" s="79">
        <f t="shared" ref="B10179:B10242" si="90">B10178+1</f>
        <v>7291</v>
      </c>
      <c r="C10179" s="58" t="s">
        <v>309</v>
      </c>
      <c r="D10179" s="498" t="s">
        <v>5272</v>
      </c>
      <c r="E10179" s="58" t="s">
        <v>382</v>
      </c>
      <c r="F10179" s="58" t="s">
        <v>24725</v>
      </c>
      <c r="G10179" s="58" t="s">
        <v>384</v>
      </c>
      <c r="H10179" s="546">
        <v>36600.67</v>
      </c>
      <c r="I10179" s="126">
        <v>44736</v>
      </c>
      <c r="J10179" s="242" t="s">
        <v>24726</v>
      </c>
      <c r="K10179" s="67" t="s">
        <v>24720</v>
      </c>
      <c r="O10179" s="45" t="s">
        <v>150</v>
      </c>
      <c r="P10179" s="45" t="s">
        <v>51</v>
      </c>
      <c r="Q10179" s="48" t="s">
        <v>45</v>
      </c>
      <c r="R10179" s="45" t="s">
        <v>272</v>
      </c>
    </row>
    <row r="10180" spans="1:18" ht="69" customHeight="1">
      <c r="B10180" s="79">
        <f t="shared" si="90"/>
        <v>7292</v>
      </c>
      <c r="C10180" s="58" t="s">
        <v>309</v>
      </c>
      <c r="D10180" s="498" t="s">
        <v>4158</v>
      </c>
      <c r="E10180" s="58" t="s">
        <v>382</v>
      </c>
      <c r="F10180" s="58" t="s">
        <v>24727</v>
      </c>
      <c r="G10180" s="58" t="s">
        <v>384</v>
      </c>
      <c r="H10180" s="546">
        <v>17597.53</v>
      </c>
      <c r="I10180" s="126">
        <v>44736</v>
      </c>
      <c r="J10180" s="242" t="s">
        <v>24728</v>
      </c>
      <c r="K10180" s="67" t="s">
        <v>24720</v>
      </c>
      <c r="O10180" s="45" t="s">
        <v>150</v>
      </c>
      <c r="P10180" s="45" t="s">
        <v>51</v>
      </c>
      <c r="Q10180" s="48" t="s">
        <v>43</v>
      </c>
      <c r="R10180" s="45" t="s">
        <v>272</v>
      </c>
    </row>
    <row r="10181" spans="1:18" ht="69" customHeight="1">
      <c r="B10181" s="79">
        <f t="shared" si="90"/>
        <v>7293</v>
      </c>
      <c r="C10181" s="58" t="s">
        <v>309</v>
      </c>
      <c r="D10181" s="498" t="s">
        <v>5610</v>
      </c>
      <c r="E10181" s="58" t="s">
        <v>382</v>
      </c>
      <c r="F10181" s="58" t="s">
        <v>24729</v>
      </c>
      <c r="G10181" s="58" t="s">
        <v>384</v>
      </c>
      <c r="H10181" s="546">
        <v>36600.67</v>
      </c>
      <c r="I10181" s="126">
        <v>44736</v>
      </c>
      <c r="J10181" s="242" t="s">
        <v>24730</v>
      </c>
      <c r="K10181" s="67" t="s">
        <v>24720</v>
      </c>
      <c r="O10181" s="45" t="s">
        <v>150</v>
      </c>
      <c r="P10181" s="45" t="s">
        <v>51</v>
      </c>
      <c r="Q10181" s="48" t="s">
        <v>43</v>
      </c>
      <c r="R10181" s="45" t="s">
        <v>272</v>
      </c>
    </row>
    <row r="10182" spans="1:18" ht="69" customHeight="1">
      <c r="B10182" s="239">
        <f t="shared" si="90"/>
        <v>7294</v>
      </c>
      <c r="C10182" s="59" t="s">
        <v>11618</v>
      </c>
      <c r="D10182" s="489" t="s">
        <v>24731</v>
      </c>
      <c r="E10182" s="676" t="s">
        <v>266</v>
      </c>
      <c r="F10182" s="45" t="s">
        <v>24732</v>
      </c>
      <c r="G10182" s="45" t="s">
        <v>24733</v>
      </c>
      <c r="H10182" s="198">
        <v>950</v>
      </c>
      <c r="I10182" s="47">
        <v>45782</v>
      </c>
      <c r="J10182" s="73" t="s">
        <v>24734</v>
      </c>
      <c r="K10182" s="45"/>
      <c r="O10182" s="45" t="s">
        <v>24643</v>
      </c>
      <c r="P10182" s="45" t="s">
        <v>65</v>
      </c>
      <c r="Q10182" s="48" t="s">
        <v>122</v>
      </c>
      <c r="R10182" s="45" t="s">
        <v>272</v>
      </c>
    </row>
    <row r="10183" spans="1:18" ht="69" customHeight="1">
      <c r="B10183" s="239">
        <f t="shared" si="90"/>
        <v>7295</v>
      </c>
      <c r="C10183" s="805" t="s">
        <v>9215</v>
      </c>
      <c r="D10183" s="489" t="s">
        <v>24735</v>
      </c>
      <c r="E10183" s="676" t="s">
        <v>266</v>
      </c>
      <c r="F10183" s="45" t="s">
        <v>24736</v>
      </c>
      <c r="G10183" s="45" t="s">
        <v>24733</v>
      </c>
      <c r="H10183" s="198">
        <v>950</v>
      </c>
      <c r="I10183" s="47">
        <v>45782</v>
      </c>
      <c r="J10183" s="73" t="s">
        <v>24737</v>
      </c>
      <c r="K10183" s="45"/>
      <c r="O10183" s="45" t="s">
        <v>24643</v>
      </c>
      <c r="P10183" s="45" t="s">
        <v>65</v>
      </c>
      <c r="Q10183" s="48" t="s">
        <v>113</v>
      </c>
      <c r="R10183" s="45" t="s">
        <v>272</v>
      </c>
    </row>
    <row r="10184" spans="1:18" ht="69" customHeight="1">
      <c r="B10184" s="239">
        <f t="shared" si="90"/>
        <v>7296</v>
      </c>
      <c r="C10184" s="805" t="s">
        <v>11933</v>
      </c>
      <c r="D10184" s="489" t="s">
        <v>24738</v>
      </c>
      <c r="E10184" s="676" t="s">
        <v>266</v>
      </c>
      <c r="F10184" s="45" t="s">
        <v>24739</v>
      </c>
      <c r="G10184" s="45" t="s">
        <v>24740</v>
      </c>
      <c r="H10184" s="552">
        <v>10000</v>
      </c>
      <c r="I10184" s="47">
        <v>45762</v>
      </c>
      <c r="J10184" s="73" t="s">
        <v>24741</v>
      </c>
      <c r="K10184" s="45"/>
      <c r="O10184" s="45" t="s">
        <v>22941</v>
      </c>
      <c r="P10184" s="45" t="s">
        <v>65</v>
      </c>
      <c r="Q10184" s="48" t="s">
        <v>123</v>
      </c>
      <c r="R10184" s="45" t="s">
        <v>272</v>
      </c>
    </row>
    <row r="10185" spans="1:18" s="98" customFormat="1" ht="69" customHeight="1">
      <c r="A10185" s="169"/>
      <c r="B10185" s="239">
        <f t="shared" si="90"/>
        <v>7297</v>
      </c>
      <c r="C10185" s="805" t="s">
        <v>11933</v>
      </c>
      <c r="D10185" s="489" t="s">
        <v>24742</v>
      </c>
      <c r="E10185" s="676" t="s">
        <v>266</v>
      </c>
      <c r="F10185" s="45" t="s">
        <v>24743</v>
      </c>
      <c r="G10185" s="45" t="s">
        <v>24740</v>
      </c>
      <c r="H10185" s="552">
        <v>3024.58</v>
      </c>
      <c r="I10185" s="47">
        <v>45762</v>
      </c>
      <c r="J10185" s="73" t="s">
        <v>24741</v>
      </c>
      <c r="K10185" s="45"/>
      <c r="O10185" s="45" t="s">
        <v>22941</v>
      </c>
      <c r="P10185" s="45" t="s">
        <v>65</v>
      </c>
      <c r="Q10185" s="48" t="s">
        <v>123</v>
      </c>
      <c r="R10185" s="45" t="s">
        <v>272</v>
      </c>
    </row>
    <row r="10186" spans="1:18" ht="69" customHeight="1">
      <c r="B10186" s="79">
        <f t="shared" si="90"/>
        <v>7298</v>
      </c>
      <c r="C10186" s="58" t="s">
        <v>23440</v>
      </c>
      <c r="D10186" s="498" t="s">
        <v>2490</v>
      </c>
      <c r="E10186" s="58" t="s">
        <v>382</v>
      </c>
      <c r="F10186" s="58" t="s">
        <v>24744</v>
      </c>
      <c r="G10186" s="58" t="s">
        <v>384</v>
      </c>
      <c r="H10186" s="546">
        <v>27761.33</v>
      </c>
      <c r="I10186" s="126">
        <v>44739</v>
      </c>
      <c r="J10186" s="242" t="s">
        <v>24745</v>
      </c>
      <c r="K10186" s="67" t="s">
        <v>24720</v>
      </c>
      <c r="O10186" s="45" t="s">
        <v>150</v>
      </c>
      <c r="P10186" s="45" t="s">
        <v>51</v>
      </c>
      <c r="Q10186" s="48" t="s">
        <v>54</v>
      </c>
      <c r="R10186" s="45" t="s">
        <v>272</v>
      </c>
    </row>
    <row r="10187" spans="1:18" ht="69" customHeight="1">
      <c r="B10187" s="79">
        <f t="shared" si="90"/>
        <v>7299</v>
      </c>
      <c r="C10187" s="58" t="s">
        <v>23440</v>
      </c>
      <c r="D10187" s="498" t="s">
        <v>8559</v>
      </c>
      <c r="E10187" s="58" t="s">
        <v>382</v>
      </c>
      <c r="F10187" s="58" t="s">
        <v>24746</v>
      </c>
      <c r="G10187" s="58" t="s">
        <v>384</v>
      </c>
      <c r="H10187" s="546">
        <v>39819.519999999997</v>
      </c>
      <c r="I10187" s="126">
        <v>44739</v>
      </c>
      <c r="J10187" s="242" t="s">
        <v>24747</v>
      </c>
      <c r="K10187" s="67" t="s">
        <v>24720</v>
      </c>
      <c r="O10187" s="45" t="s">
        <v>150</v>
      </c>
      <c r="P10187" s="45" t="s">
        <v>51</v>
      </c>
      <c r="Q10187" s="48" t="s">
        <v>54</v>
      </c>
      <c r="R10187" s="45" t="s">
        <v>272</v>
      </c>
    </row>
    <row r="10188" spans="1:18" ht="69" customHeight="1">
      <c r="B10188" s="79">
        <f t="shared" si="90"/>
        <v>7300</v>
      </c>
      <c r="C10188" s="58" t="s">
        <v>657</v>
      </c>
      <c r="D10188" s="498" t="s">
        <v>9715</v>
      </c>
      <c r="E10188" s="58" t="s">
        <v>382</v>
      </c>
      <c r="F10188" s="58" t="s">
        <v>24748</v>
      </c>
      <c r="G10188" s="58" t="s">
        <v>384</v>
      </c>
      <c r="H10188" s="546">
        <v>27761.33</v>
      </c>
      <c r="I10188" s="126">
        <v>44736</v>
      </c>
      <c r="J10188" s="242" t="s">
        <v>24749</v>
      </c>
      <c r="K10188" s="67" t="s">
        <v>24720</v>
      </c>
      <c r="O10188" s="45" t="s">
        <v>150</v>
      </c>
      <c r="P10188" s="45" t="s">
        <v>51</v>
      </c>
      <c r="Q10188" s="48" t="s">
        <v>102</v>
      </c>
      <c r="R10188" s="45" t="s">
        <v>272</v>
      </c>
    </row>
    <row r="10189" spans="1:18" ht="69" customHeight="1">
      <c r="B10189" s="79">
        <f t="shared" si="90"/>
        <v>7301</v>
      </c>
      <c r="C10189" s="58" t="s">
        <v>657</v>
      </c>
      <c r="D10189" s="498" t="s">
        <v>2702</v>
      </c>
      <c r="E10189" s="58" t="s">
        <v>382</v>
      </c>
      <c r="F10189" s="58" t="s">
        <v>24748</v>
      </c>
      <c r="G10189" s="58" t="s">
        <v>384</v>
      </c>
      <c r="H10189" s="546">
        <v>39819.519999999997</v>
      </c>
      <c r="I10189" s="126">
        <v>44736</v>
      </c>
      <c r="J10189" s="242" t="s">
        <v>24750</v>
      </c>
      <c r="K10189" s="67" t="s">
        <v>24720</v>
      </c>
      <c r="O10189" s="45" t="s">
        <v>150</v>
      </c>
      <c r="P10189" s="45" t="s">
        <v>51</v>
      </c>
      <c r="Q10189" s="48" t="s">
        <v>102</v>
      </c>
      <c r="R10189" s="45" t="s">
        <v>272</v>
      </c>
    </row>
    <row r="10190" spans="1:18" ht="69" customHeight="1">
      <c r="B10190" s="79">
        <f t="shared" si="90"/>
        <v>7302</v>
      </c>
      <c r="C10190" s="58" t="s">
        <v>458</v>
      </c>
      <c r="D10190" s="498" t="s">
        <v>6839</v>
      </c>
      <c r="E10190" s="58" t="s">
        <v>382</v>
      </c>
      <c r="F10190" s="58" t="s">
        <v>24751</v>
      </c>
      <c r="G10190" s="58" t="s">
        <v>384</v>
      </c>
      <c r="H10190" s="546">
        <v>27761.33</v>
      </c>
      <c r="I10190" s="126">
        <v>44736</v>
      </c>
      <c r="J10190" s="242" t="s">
        <v>24752</v>
      </c>
      <c r="K10190" s="67" t="s">
        <v>24720</v>
      </c>
      <c r="O10190" s="45" t="s">
        <v>150</v>
      </c>
      <c r="P10190" s="45" t="s">
        <v>51</v>
      </c>
      <c r="Q10190" s="48" t="s">
        <v>101</v>
      </c>
      <c r="R10190" s="45" t="s">
        <v>272</v>
      </c>
    </row>
    <row r="10191" spans="1:18" ht="69" customHeight="1">
      <c r="B10191" s="79">
        <f t="shared" si="90"/>
        <v>7303</v>
      </c>
      <c r="C10191" s="58" t="s">
        <v>458</v>
      </c>
      <c r="D10191" s="498" t="s">
        <v>948</v>
      </c>
      <c r="E10191" s="58" t="s">
        <v>382</v>
      </c>
      <c r="F10191" s="58" t="s">
        <v>24753</v>
      </c>
      <c r="G10191" s="58" t="s">
        <v>384</v>
      </c>
      <c r="H10191" s="546">
        <v>39819.519999999997</v>
      </c>
      <c r="I10191" s="126">
        <v>44736</v>
      </c>
      <c r="J10191" s="242" t="s">
        <v>24754</v>
      </c>
      <c r="K10191" s="67" t="s">
        <v>24720</v>
      </c>
      <c r="O10191" s="45" t="s">
        <v>150</v>
      </c>
      <c r="P10191" s="45" t="s">
        <v>51</v>
      </c>
      <c r="Q10191" s="48" t="s">
        <v>101</v>
      </c>
      <c r="R10191" s="45" t="s">
        <v>272</v>
      </c>
    </row>
    <row r="10192" spans="1:18" ht="69" customHeight="1">
      <c r="B10192" s="79">
        <f t="shared" si="90"/>
        <v>7304</v>
      </c>
      <c r="C10192" s="58" t="s">
        <v>23440</v>
      </c>
      <c r="D10192" s="551" t="s">
        <v>24755</v>
      </c>
      <c r="E10192" s="58" t="s">
        <v>16011</v>
      </c>
      <c r="F10192" s="58" t="s">
        <v>24756</v>
      </c>
      <c r="G10192" s="58" t="s">
        <v>24757</v>
      </c>
      <c r="H10192" s="552">
        <v>7808</v>
      </c>
      <c r="I10192" s="66">
        <v>45762</v>
      </c>
      <c r="J10192" s="65" t="s">
        <v>24758</v>
      </c>
      <c r="K10192" s="58"/>
      <c r="O10192" s="45" t="s">
        <v>150</v>
      </c>
      <c r="P10192" s="45" t="s">
        <v>51</v>
      </c>
      <c r="Q10192" s="48" t="s">
        <v>93</v>
      </c>
      <c r="R10192" s="45" t="s">
        <v>272</v>
      </c>
    </row>
    <row r="10193" spans="2:18" ht="69" customHeight="1">
      <c r="B10193" s="79">
        <f t="shared" si="90"/>
        <v>7305</v>
      </c>
      <c r="C10193" s="58" t="s">
        <v>23440</v>
      </c>
      <c r="D10193" s="551" t="s">
        <v>24759</v>
      </c>
      <c r="E10193" s="58" t="s">
        <v>16011</v>
      </c>
      <c r="F10193" s="58" t="s">
        <v>24760</v>
      </c>
      <c r="G10193" s="58" t="s">
        <v>24761</v>
      </c>
      <c r="H10193" s="552">
        <v>7808</v>
      </c>
      <c r="I10193" s="66">
        <v>45762</v>
      </c>
      <c r="J10193" s="65" t="s">
        <v>24758</v>
      </c>
      <c r="K10193" s="58"/>
      <c r="O10193" s="45" t="s">
        <v>150</v>
      </c>
      <c r="P10193" s="45" t="s">
        <v>51</v>
      </c>
      <c r="Q10193" s="48" t="s">
        <v>95</v>
      </c>
      <c r="R10193" s="45" t="s">
        <v>272</v>
      </c>
    </row>
    <row r="10194" spans="2:18" ht="69" customHeight="1">
      <c r="B10194" s="79">
        <f t="shared" si="90"/>
        <v>7306</v>
      </c>
      <c r="C10194" s="178" t="s">
        <v>458</v>
      </c>
      <c r="D10194" s="551" t="s">
        <v>24762</v>
      </c>
      <c r="E10194" s="58" t="s">
        <v>16011</v>
      </c>
      <c r="F10194" s="58" t="s">
        <v>24763</v>
      </c>
      <c r="G10194" s="58" t="s">
        <v>24761</v>
      </c>
      <c r="H10194" s="552">
        <v>7808</v>
      </c>
      <c r="I10194" s="66">
        <v>45762</v>
      </c>
      <c r="J10194" s="65" t="s">
        <v>24758</v>
      </c>
      <c r="K10194" s="58"/>
      <c r="O10194" s="45" t="s">
        <v>150</v>
      </c>
      <c r="P10194" s="45" t="s">
        <v>51</v>
      </c>
      <c r="Q10194" s="48" t="s">
        <v>103</v>
      </c>
      <c r="R10194" s="45" t="s">
        <v>272</v>
      </c>
    </row>
    <row r="10195" spans="2:18" ht="69" customHeight="1">
      <c r="B10195" s="79">
        <f t="shared" si="90"/>
        <v>7307</v>
      </c>
      <c r="C10195" s="178" t="s">
        <v>458</v>
      </c>
      <c r="D10195" s="551" t="s">
        <v>24764</v>
      </c>
      <c r="E10195" s="58" t="s">
        <v>16011</v>
      </c>
      <c r="F10195" s="58" t="s">
        <v>24765</v>
      </c>
      <c r="G10195" s="58" t="s">
        <v>24761</v>
      </c>
      <c r="H10195" s="552">
        <v>7808</v>
      </c>
      <c r="I10195" s="66">
        <v>45762</v>
      </c>
      <c r="J10195" s="65" t="s">
        <v>24758</v>
      </c>
      <c r="K10195" s="58"/>
      <c r="O10195" s="45" t="s">
        <v>150</v>
      </c>
      <c r="P10195" s="45" t="s">
        <v>51</v>
      </c>
      <c r="Q10195" s="48" t="s">
        <v>113</v>
      </c>
      <c r="R10195" s="45" t="s">
        <v>272</v>
      </c>
    </row>
    <row r="10196" spans="2:18" ht="69" customHeight="1">
      <c r="B10196" s="79">
        <f t="shared" si="90"/>
        <v>7308</v>
      </c>
      <c r="C10196" s="178" t="s">
        <v>458</v>
      </c>
      <c r="D10196" s="551" t="s">
        <v>24766</v>
      </c>
      <c r="E10196" s="58" t="s">
        <v>16011</v>
      </c>
      <c r="F10196" s="58" t="s">
        <v>24767</v>
      </c>
      <c r="G10196" s="58" t="s">
        <v>24761</v>
      </c>
      <c r="H10196" s="552">
        <v>7808</v>
      </c>
      <c r="I10196" s="66">
        <v>45762</v>
      </c>
      <c r="J10196" s="65" t="s">
        <v>24758</v>
      </c>
      <c r="K10196" s="58"/>
      <c r="O10196" s="45" t="s">
        <v>150</v>
      </c>
      <c r="P10196" s="45" t="s">
        <v>51</v>
      </c>
      <c r="Q10196" s="48" t="s">
        <v>117</v>
      </c>
      <c r="R10196" s="45" t="s">
        <v>272</v>
      </c>
    </row>
    <row r="10197" spans="2:18" ht="69" customHeight="1">
      <c r="B10197" s="79">
        <f t="shared" si="90"/>
        <v>7309</v>
      </c>
      <c r="C10197" s="178" t="s">
        <v>458</v>
      </c>
      <c r="D10197" s="498" t="s">
        <v>24768</v>
      </c>
      <c r="E10197" s="58" t="s">
        <v>16011</v>
      </c>
      <c r="F10197" s="58" t="s">
        <v>24769</v>
      </c>
      <c r="G10197" s="58" t="s">
        <v>24761</v>
      </c>
      <c r="H10197" s="546">
        <v>7808</v>
      </c>
      <c r="I10197" s="126">
        <v>45762</v>
      </c>
      <c r="J10197" s="242" t="s">
        <v>24758</v>
      </c>
      <c r="K10197" s="67"/>
      <c r="O10197" s="45" t="s">
        <v>150</v>
      </c>
      <c r="P10197" s="45" t="s">
        <v>51</v>
      </c>
      <c r="Q10197" s="48" t="s">
        <v>122</v>
      </c>
      <c r="R10197" s="45" t="s">
        <v>272</v>
      </c>
    </row>
    <row r="10198" spans="2:18" ht="69" customHeight="1">
      <c r="B10198" s="231">
        <f t="shared" si="90"/>
        <v>7310</v>
      </c>
      <c r="C10198" s="191" t="s">
        <v>657</v>
      </c>
      <c r="D10198" s="502" t="s">
        <v>14820</v>
      </c>
      <c r="E10198" s="46" t="s">
        <v>16011</v>
      </c>
      <c r="F10198" s="46" t="s">
        <v>24770</v>
      </c>
      <c r="G10198" s="46" t="s">
        <v>24761</v>
      </c>
      <c r="H10198" s="534">
        <v>7808</v>
      </c>
      <c r="I10198" s="56">
        <v>45762</v>
      </c>
      <c r="J10198" s="199" t="s">
        <v>24758</v>
      </c>
      <c r="K10198" s="46"/>
      <c r="O10198" s="46" t="s">
        <v>150</v>
      </c>
      <c r="P10198" s="46" t="s">
        <v>65</v>
      </c>
      <c r="Q10198" s="52" t="s">
        <v>110</v>
      </c>
      <c r="R10198" s="46" t="s">
        <v>272</v>
      </c>
    </row>
    <row r="10199" spans="2:18" ht="69" customHeight="1">
      <c r="B10199" s="79">
        <f t="shared" si="90"/>
        <v>7311</v>
      </c>
      <c r="C10199" s="178" t="s">
        <v>657</v>
      </c>
      <c r="D10199" s="551" t="s">
        <v>14822</v>
      </c>
      <c r="E10199" s="58" t="s">
        <v>16011</v>
      </c>
      <c r="F10199" s="58" t="s">
        <v>24771</v>
      </c>
      <c r="G10199" s="58" t="s">
        <v>24761</v>
      </c>
      <c r="H10199" s="552">
        <v>7808</v>
      </c>
      <c r="I10199" s="66">
        <v>45762</v>
      </c>
      <c r="J10199" s="65" t="s">
        <v>24758</v>
      </c>
      <c r="K10199" s="58"/>
      <c r="O10199" s="45" t="s">
        <v>150</v>
      </c>
      <c r="P10199" s="45" t="s">
        <v>51</v>
      </c>
      <c r="Q10199" s="48" t="s">
        <v>111</v>
      </c>
      <c r="R10199" s="45" t="s">
        <v>272</v>
      </c>
    </row>
    <row r="10200" spans="2:18" ht="69" customHeight="1">
      <c r="B10200" s="79">
        <f t="shared" si="90"/>
        <v>7312</v>
      </c>
      <c r="C10200" s="178" t="s">
        <v>458</v>
      </c>
      <c r="D10200" s="498" t="s">
        <v>23559</v>
      </c>
      <c r="E10200" s="58" t="s">
        <v>16011</v>
      </c>
      <c r="F10200" s="58" t="s">
        <v>24772</v>
      </c>
      <c r="G10200" s="58" t="s">
        <v>24761</v>
      </c>
      <c r="H10200" s="546">
        <v>7808</v>
      </c>
      <c r="I10200" s="126">
        <v>45762</v>
      </c>
      <c r="J10200" s="242" t="s">
        <v>24758</v>
      </c>
      <c r="K10200" s="67"/>
      <c r="O10200" s="45" t="s">
        <v>150</v>
      </c>
      <c r="P10200" s="45" t="s">
        <v>51</v>
      </c>
      <c r="Q10200" s="48" t="s">
        <v>88</v>
      </c>
      <c r="R10200" s="45" t="s">
        <v>272</v>
      </c>
    </row>
    <row r="10201" spans="2:18" ht="69" customHeight="1">
      <c r="B10201" s="79">
        <f t="shared" si="90"/>
        <v>7313</v>
      </c>
      <c r="C10201" s="178" t="s">
        <v>458</v>
      </c>
      <c r="D10201" s="498" t="s">
        <v>24773</v>
      </c>
      <c r="E10201" s="58" t="s">
        <v>16011</v>
      </c>
      <c r="F10201" s="58" t="s">
        <v>24774</v>
      </c>
      <c r="G10201" s="58" t="s">
        <v>24761</v>
      </c>
      <c r="H10201" s="546">
        <v>7808</v>
      </c>
      <c r="I10201" s="126">
        <v>45762</v>
      </c>
      <c r="J10201" s="242" t="s">
        <v>24758</v>
      </c>
      <c r="K10201" s="67"/>
      <c r="O10201" s="45" t="s">
        <v>150</v>
      </c>
      <c r="P10201" s="45" t="s">
        <v>51</v>
      </c>
      <c r="Q10201" s="48" t="s">
        <v>123</v>
      </c>
      <c r="R10201" s="45" t="s">
        <v>272</v>
      </c>
    </row>
    <row r="10202" spans="2:18" ht="69" customHeight="1">
      <c r="B10202" s="79">
        <f t="shared" si="90"/>
        <v>7314</v>
      </c>
      <c r="C10202" s="178" t="s">
        <v>309</v>
      </c>
      <c r="D10202" s="769">
        <v>607</v>
      </c>
      <c r="E10202" s="58" t="s">
        <v>266</v>
      </c>
      <c r="F10202" s="58" t="s">
        <v>24775</v>
      </c>
      <c r="G10202" s="58" t="s">
        <v>1107</v>
      </c>
      <c r="H10202" s="546">
        <v>7293.34</v>
      </c>
      <c r="I10202" s="126">
        <v>44799</v>
      </c>
      <c r="J10202" s="242" t="s">
        <v>24776</v>
      </c>
      <c r="K10202" s="67" t="s">
        <v>24777</v>
      </c>
      <c r="O10202" s="45" t="s">
        <v>971</v>
      </c>
      <c r="P10202" s="45" t="s">
        <v>38</v>
      </c>
      <c r="Q10202" s="45" t="s">
        <v>29</v>
      </c>
      <c r="R10202" s="45" t="s">
        <v>272</v>
      </c>
    </row>
    <row r="10203" spans="2:18" ht="69" customHeight="1">
      <c r="B10203" s="79">
        <f t="shared" si="90"/>
        <v>7315</v>
      </c>
      <c r="C10203" s="58" t="s">
        <v>5615</v>
      </c>
      <c r="D10203" s="769">
        <v>361</v>
      </c>
      <c r="E10203" s="58" t="s">
        <v>266</v>
      </c>
      <c r="F10203" s="58" t="s">
        <v>6941</v>
      </c>
      <c r="G10203" s="58" t="s">
        <v>1107</v>
      </c>
      <c r="H10203" s="546">
        <v>6500</v>
      </c>
      <c r="I10203" s="125"/>
      <c r="J10203" s="242" t="s">
        <v>6942</v>
      </c>
      <c r="K10203" s="67" t="s">
        <v>24777</v>
      </c>
      <c r="O10203" s="45" t="s">
        <v>971</v>
      </c>
      <c r="P10203" s="45" t="s">
        <v>38</v>
      </c>
      <c r="Q10203" s="45" t="s">
        <v>84</v>
      </c>
      <c r="R10203" s="45" t="s">
        <v>272</v>
      </c>
    </row>
    <row r="10204" spans="2:18" ht="69" customHeight="1">
      <c r="B10204" s="79">
        <f t="shared" si="90"/>
        <v>7316</v>
      </c>
      <c r="C10204" s="58" t="s">
        <v>3906</v>
      </c>
      <c r="D10204" s="769">
        <v>1453</v>
      </c>
      <c r="E10204" s="58" t="s">
        <v>409</v>
      </c>
      <c r="F10204" s="58" t="s">
        <v>24778</v>
      </c>
      <c r="G10204" s="58" t="s">
        <v>1107</v>
      </c>
      <c r="H10204" s="546">
        <v>7293.34</v>
      </c>
      <c r="I10204" s="126">
        <v>44923</v>
      </c>
      <c r="J10204" s="242" t="s">
        <v>2128</v>
      </c>
      <c r="K10204" s="67" t="s">
        <v>24777</v>
      </c>
      <c r="O10204" s="45" t="s">
        <v>971</v>
      </c>
      <c r="P10204" s="45" t="s">
        <v>38</v>
      </c>
      <c r="Q10204" s="45" t="s">
        <v>72</v>
      </c>
      <c r="R10204" s="45" t="s">
        <v>272</v>
      </c>
    </row>
    <row r="10205" spans="2:18" ht="69" customHeight="1">
      <c r="B10205" s="732">
        <f>B10204+1</f>
        <v>7317</v>
      </c>
      <c r="C10205" s="549" t="s">
        <v>13562</v>
      </c>
      <c r="D10205" s="955" t="s">
        <v>24779</v>
      </c>
      <c r="E10205" s="60" t="s">
        <v>266</v>
      </c>
      <c r="F10205" s="60" t="s">
        <v>24780</v>
      </c>
      <c r="G10205" s="956" t="s">
        <v>24781</v>
      </c>
      <c r="H10205" s="730">
        <v>8850</v>
      </c>
      <c r="I10205" s="731">
        <v>45802</v>
      </c>
      <c r="J10205" s="776" t="s">
        <v>24782</v>
      </c>
      <c r="K10205" s="677" t="s">
        <v>24783</v>
      </c>
      <c r="O10205" s="45" t="s">
        <v>24784</v>
      </c>
      <c r="P10205" s="45" t="s">
        <v>65</v>
      </c>
      <c r="Q10205" s="48" t="s">
        <v>88</v>
      </c>
      <c r="R10205" s="45" t="s">
        <v>272</v>
      </c>
    </row>
    <row r="10206" spans="2:18" ht="69" customHeight="1">
      <c r="B10206" s="62">
        <f t="shared" si="90"/>
        <v>7318</v>
      </c>
      <c r="C10206" s="676" t="s">
        <v>10961</v>
      </c>
      <c r="D10206" s="174" t="s">
        <v>24785</v>
      </c>
      <c r="E10206" s="680" t="s">
        <v>266</v>
      </c>
      <c r="F10206" s="58" t="s">
        <v>24786</v>
      </c>
      <c r="G10206" s="58" t="s">
        <v>24348</v>
      </c>
      <c r="H10206" s="911">
        <v>36.5</v>
      </c>
      <c r="I10206" s="66">
        <v>45752</v>
      </c>
      <c r="J10206" s="897" t="s">
        <v>24787</v>
      </c>
      <c r="K10206" s="58"/>
      <c r="O10206" s="45" t="s">
        <v>24350</v>
      </c>
      <c r="P10206" s="71" t="s">
        <v>65</v>
      </c>
      <c r="Q10206" s="821" t="s">
        <v>96</v>
      </c>
      <c r="R10206" s="45" t="s">
        <v>272</v>
      </c>
    </row>
    <row r="10207" spans="2:18" ht="69" customHeight="1">
      <c r="B10207" s="913">
        <f t="shared" si="90"/>
        <v>7319</v>
      </c>
      <c r="C10207" s="914" t="s">
        <v>8080</v>
      </c>
      <c r="D10207" s="915" t="s">
        <v>14837</v>
      </c>
      <c r="E10207" s="817" t="s">
        <v>266</v>
      </c>
      <c r="F10207" s="908" t="s">
        <v>24788</v>
      </c>
      <c r="G10207" s="908" t="s">
        <v>24789</v>
      </c>
      <c r="H10207" s="666">
        <v>12000</v>
      </c>
      <c r="I10207" s="898"/>
      <c r="J10207" s="453" t="s">
        <v>24790</v>
      </c>
      <c r="K10207" s="452" t="s">
        <v>23563</v>
      </c>
      <c r="O10207" s="46" t="s">
        <v>20856</v>
      </c>
      <c r="P10207" s="46" t="s">
        <v>65</v>
      </c>
      <c r="Q10207" s="52" t="s">
        <v>106</v>
      </c>
      <c r="R10207" s="46" t="s">
        <v>272</v>
      </c>
    </row>
    <row r="10208" spans="2:18" ht="69" customHeight="1">
      <c r="B10208" s="79">
        <f t="shared" si="90"/>
        <v>7320</v>
      </c>
      <c r="C10208" s="178" t="s">
        <v>657</v>
      </c>
      <c r="D10208" s="498" t="s">
        <v>4836</v>
      </c>
      <c r="E10208" s="58" t="s">
        <v>266</v>
      </c>
      <c r="F10208" s="210" t="s">
        <v>7518</v>
      </c>
      <c r="G10208" s="58" t="s">
        <v>790</v>
      </c>
      <c r="H10208" s="546">
        <v>6206.9</v>
      </c>
      <c r="I10208" s="126" t="s">
        <v>96</v>
      </c>
      <c r="J10208" s="242" t="s">
        <v>24791</v>
      </c>
      <c r="K10208" s="67"/>
      <c r="M10208" s="99" t="s">
        <v>684</v>
      </c>
      <c r="N10208" s="99" t="s">
        <v>46</v>
      </c>
      <c r="O10208" s="45" t="s">
        <v>684</v>
      </c>
      <c r="P10208" s="45" t="s">
        <v>46</v>
      </c>
      <c r="Q10208" s="58" t="s">
        <v>102</v>
      </c>
      <c r="R10208" s="45" t="s">
        <v>272</v>
      </c>
    </row>
    <row r="10209" spans="2:18" ht="69" customHeight="1">
      <c r="B10209" s="79">
        <f t="shared" si="90"/>
        <v>7321</v>
      </c>
      <c r="C10209" s="58" t="s">
        <v>657</v>
      </c>
      <c r="D10209" s="498" t="s">
        <v>24792</v>
      </c>
      <c r="E10209" s="58" t="s">
        <v>266</v>
      </c>
      <c r="F10209" s="58" t="s">
        <v>8672</v>
      </c>
      <c r="G10209" s="58" t="s">
        <v>680</v>
      </c>
      <c r="H10209" s="546">
        <v>6206.9</v>
      </c>
      <c r="I10209" s="126" t="s">
        <v>96</v>
      </c>
      <c r="J10209" s="242" t="s">
        <v>2065</v>
      </c>
      <c r="K10209" s="67"/>
      <c r="M10209" s="99" t="s">
        <v>684</v>
      </c>
      <c r="N10209" s="99" t="s">
        <v>46</v>
      </c>
      <c r="O10209" s="45" t="s">
        <v>684</v>
      </c>
      <c r="P10209" s="45" t="s">
        <v>46</v>
      </c>
      <c r="Q10209" s="48" t="s">
        <v>109</v>
      </c>
      <c r="R10209" s="45" t="s">
        <v>272</v>
      </c>
    </row>
    <row r="10210" spans="2:18" ht="69" customHeight="1">
      <c r="B10210" s="79">
        <f t="shared" si="90"/>
        <v>7322</v>
      </c>
      <c r="C10210" s="58" t="s">
        <v>309</v>
      </c>
      <c r="D10210" s="498" t="s">
        <v>24793</v>
      </c>
      <c r="E10210" s="58" t="s">
        <v>266</v>
      </c>
      <c r="F10210" s="58" t="s">
        <v>22789</v>
      </c>
      <c r="G10210" s="58" t="s">
        <v>680</v>
      </c>
      <c r="H10210" s="546">
        <v>2281.25</v>
      </c>
      <c r="I10210" s="126" t="s">
        <v>96</v>
      </c>
      <c r="J10210" s="242" t="s">
        <v>24794</v>
      </c>
      <c r="K10210" s="67"/>
      <c r="O10210" s="45" t="s">
        <v>684</v>
      </c>
      <c r="P10210" s="45" t="s">
        <v>46</v>
      </c>
      <c r="Q10210" s="48" t="s">
        <v>43</v>
      </c>
      <c r="R10210" s="45" t="s">
        <v>272</v>
      </c>
    </row>
    <row r="10211" spans="2:18" ht="69" customHeight="1">
      <c r="B10211" s="79">
        <f t="shared" si="90"/>
        <v>7323</v>
      </c>
      <c r="C10211" s="58" t="s">
        <v>309</v>
      </c>
      <c r="D10211" s="498" t="s">
        <v>8087</v>
      </c>
      <c r="E10211" s="58" t="s">
        <v>266</v>
      </c>
      <c r="F10211" s="58" t="s">
        <v>24795</v>
      </c>
      <c r="G10211" s="58" t="s">
        <v>680</v>
      </c>
      <c r="H10211" s="546">
        <v>6206.9</v>
      </c>
      <c r="I10211" s="125" t="s">
        <v>96</v>
      </c>
      <c r="J10211" s="242" t="s">
        <v>24796</v>
      </c>
      <c r="K10211" s="67"/>
      <c r="O10211" s="45" t="s">
        <v>684</v>
      </c>
      <c r="P10211" s="45" t="s">
        <v>46</v>
      </c>
      <c r="Q10211" s="48" t="s">
        <v>35</v>
      </c>
      <c r="R10211" s="45" t="s">
        <v>272</v>
      </c>
    </row>
    <row r="10212" spans="2:18" ht="69" customHeight="1">
      <c r="B10212" s="79">
        <f t="shared" si="90"/>
        <v>7324</v>
      </c>
      <c r="C10212" s="58" t="s">
        <v>309</v>
      </c>
      <c r="D10212" s="498" t="s">
        <v>9442</v>
      </c>
      <c r="E10212" s="58" t="s">
        <v>266</v>
      </c>
      <c r="F10212" s="58" t="s">
        <v>2098</v>
      </c>
      <c r="G10212" s="58" t="s">
        <v>790</v>
      </c>
      <c r="H10212" s="546">
        <v>6206.9</v>
      </c>
      <c r="I10212" s="126" t="s">
        <v>96</v>
      </c>
      <c r="J10212" s="242" t="s">
        <v>2099</v>
      </c>
      <c r="K10212" s="67"/>
      <c r="O10212" s="45" t="s">
        <v>684</v>
      </c>
      <c r="P10212" s="45" t="s">
        <v>46</v>
      </c>
      <c r="Q10212" s="48" t="s">
        <v>31</v>
      </c>
      <c r="R10212" s="45" t="s">
        <v>272</v>
      </c>
    </row>
    <row r="10213" spans="2:18" ht="69" customHeight="1">
      <c r="B10213" s="79">
        <f t="shared" si="90"/>
        <v>7325</v>
      </c>
      <c r="C10213" s="178" t="s">
        <v>458</v>
      </c>
      <c r="D10213" s="498" t="s">
        <v>2744</v>
      </c>
      <c r="E10213" s="58" t="s">
        <v>266</v>
      </c>
      <c r="F10213" s="58" t="s">
        <v>9742</v>
      </c>
      <c r="G10213" s="58" t="s">
        <v>680</v>
      </c>
      <c r="H10213" s="546">
        <v>2281.25</v>
      </c>
      <c r="I10213" s="126" t="s">
        <v>96</v>
      </c>
      <c r="J10213" s="242" t="s">
        <v>24797</v>
      </c>
      <c r="K10213" s="67"/>
      <c r="O10213" s="45" t="s">
        <v>684</v>
      </c>
      <c r="P10213" s="45" t="s">
        <v>46</v>
      </c>
      <c r="Q10213" s="48" t="s">
        <v>119</v>
      </c>
      <c r="R10213" s="45" t="s">
        <v>272</v>
      </c>
    </row>
    <row r="10214" spans="2:18" ht="69" customHeight="1">
      <c r="B10214" s="79">
        <f t="shared" si="90"/>
        <v>7326</v>
      </c>
      <c r="C10214" s="178" t="s">
        <v>458</v>
      </c>
      <c r="D10214" s="498" t="s">
        <v>986</v>
      </c>
      <c r="E10214" s="58" t="s">
        <v>266</v>
      </c>
      <c r="F10214" s="58" t="s">
        <v>24798</v>
      </c>
      <c r="G10214" s="58" t="s">
        <v>680</v>
      </c>
      <c r="H10214" s="546">
        <v>2281.25</v>
      </c>
      <c r="I10214" s="126" t="s">
        <v>96</v>
      </c>
      <c r="J10214" s="242" t="s">
        <v>24799</v>
      </c>
      <c r="K10214" s="67"/>
      <c r="O10214" s="45" t="s">
        <v>684</v>
      </c>
      <c r="P10214" s="45" t="s">
        <v>46</v>
      </c>
      <c r="Q10214" s="48" t="s">
        <v>101</v>
      </c>
      <c r="R10214" s="45" t="s">
        <v>272</v>
      </c>
    </row>
    <row r="10215" spans="2:18" ht="69" customHeight="1">
      <c r="B10215" s="79">
        <f t="shared" si="90"/>
        <v>7327</v>
      </c>
      <c r="C10215" s="178" t="s">
        <v>458</v>
      </c>
      <c r="D10215" s="498" t="s">
        <v>6958</v>
      </c>
      <c r="E10215" s="58" t="s">
        <v>266</v>
      </c>
      <c r="F10215" s="58" t="s">
        <v>24798</v>
      </c>
      <c r="G10215" s="58" t="s">
        <v>680</v>
      </c>
      <c r="H10215" s="546">
        <v>6206.9</v>
      </c>
      <c r="I10215" s="126" t="s">
        <v>96</v>
      </c>
      <c r="J10215" s="242" t="s">
        <v>2065</v>
      </c>
      <c r="K10215" s="67"/>
      <c r="O10215" s="45" t="s">
        <v>684</v>
      </c>
      <c r="P10215" s="45" t="s">
        <v>46</v>
      </c>
      <c r="Q10215" s="48" t="s">
        <v>101</v>
      </c>
      <c r="R10215" s="45" t="s">
        <v>272</v>
      </c>
    </row>
    <row r="10216" spans="2:18" ht="69" customHeight="1">
      <c r="B10216" s="79">
        <f t="shared" si="90"/>
        <v>7328</v>
      </c>
      <c r="C10216" s="805" t="s">
        <v>9215</v>
      </c>
      <c r="D10216" s="498" t="s">
        <v>24800</v>
      </c>
      <c r="E10216" s="58" t="s">
        <v>19988</v>
      </c>
      <c r="F10216" s="58" t="s">
        <v>24801</v>
      </c>
      <c r="G10216" s="58" t="s">
        <v>24802</v>
      </c>
      <c r="H10216" s="546">
        <v>48210</v>
      </c>
      <c r="I10216" s="126">
        <v>45762</v>
      </c>
      <c r="J10216" s="242" t="s">
        <v>24803</v>
      </c>
      <c r="K10216" s="67"/>
      <c r="O10216" s="45" t="s">
        <v>11301</v>
      </c>
      <c r="P10216" s="45" t="s">
        <v>61</v>
      </c>
      <c r="Q10216" s="48" t="s">
        <v>113</v>
      </c>
      <c r="R10216" s="45" t="s">
        <v>272</v>
      </c>
    </row>
    <row r="10217" spans="2:18" ht="69" customHeight="1">
      <c r="B10217" s="239">
        <f t="shared" si="90"/>
        <v>7329</v>
      </c>
      <c r="C10217" s="909" t="s">
        <v>8797</v>
      </c>
      <c r="D10217" s="489" t="s">
        <v>14975</v>
      </c>
      <c r="E10217" s="45" t="s">
        <v>266</v>
      </c>
      <c r="F10217" s="45" t="s">
        <v>24804</v>
      </c>
      <c r="G10217" s="677" t="s">
        <v>24805</v>
      </c>
      <c r="H10217" s="198">
        <v>677.66</v>
      </c>
      <c r="I10217" s="47">
        <v>45762</v>
      </c>
      <c r="J10217" s="73" t="s">
        <v>24806</v>
      </c>
      <c r="K10217" s="237" t="s">
        <v>24807</v>
      </c>
      <c r="O10217" s="45" t="s">
        <v>24808</v>
      </c>
      <c r="P10217" s="45" t="s">
        <v>65</v>
      </c>
      <c r="Q10217" s="48" t="s">
        <v>110</v>
      </c>
      <c r="R10217" s="45" t="s">
        <v>272</v>
      </c>
    </row>
    <row r="10218" spans="2:18" ht="69" customHeight="1">
      <c r="B10218" s="239">
        <f t="shared" si="90"/>
        <v>7330</v>
      </c>
      <c r="C10218" s="805" t="s">
        <v>11933</v>
      </c>
      <c r="D10218" s="489" t="s">
        <v>24809</v>
      </c>
      <c r="E10218" s="45" t="s">
        <v>266</v>
      </c>
      <c r="F10218" s="45" t="s">
        <v>24810</v>
      </c>
      <c r="G10218" s="677" t="s">
        <v>24805</v>
      </c>
      <c r="H10218" s="198">
        <v>677.66</v>
      </c>
      <c r="I10218" s="47">
        <v>45762</v>
      </c>
      <c r="J10218" s="73" t="s">
        <v>24806</v>
      </c>
      <c r="K10218" s="45"/>
      <c r="O10218" s="45" t="s">
        <v>24808</v>
      </c>
      <c r="P10218" s="45" t="s">
        <v>65</v>
      </c>
      <c r="Q10218" s="48" t="s">
        <v>123</v>
      </c>
      <c r="R10218" s="45" t="s">
        <v>272</v>
      </c>
    </row>
    <row r="10219" spans="2:18" ht="69" customHeight="1">
      <c r="B10219" s="239">
        <f t="shared" si="90"/>
        <v>7331</v>
      </c>
      <c r="C10219" s="59" t="s">
        <v>7189</v>
      </c>
      <c r="D10219" s="489" t="s">
        <v>24811</v>
      </c>
      <c r="E10219" s="45" t="s">
        <v>24812</v>
      </c>
      <c r="F10219" s="45" t="s">
        <v>24813</v>
      </c>
      <c r="G10219" s="45" t="s">
        <v>24814</v>
      </c>
      <c r="H10219" s="198">
        <v>3000</v>
      </c>
      <c r="I10219" s="47">
        <v>45772</v>
      </c>
      <c r="J10219" s="73" t="s">
        <v>24815</v>
      </c>
      <c r="K10219" s="45"/>
      <c r="O10219" s="45" t="s">
        <v>11411</v>
      </c>
      <c r="P10219" s="58" t="s">
        <v>44</v>
      </c>
      <c r="Q10219" s="48" t="s">
        <v>97</v>
      </c>
      <c r="R10219" s="45" t="s">
        <v>272</v>
      </c>
    </row>
    <row r="10220" spans="2:18" ht="69" customHeight="1">
      <c r="B10220" s="239">
        <f t="shared" si="90"/>
        <v>7332</v>
      </c>
      <c r="C10220" s="676" t="s">
        <v>10937</v>
      </c>
      <c r="D10220" s="489" t="s">
        <v>18814</v>
      </c>
      <c r="E10220" s="45" t="s">
        <v>24816</v>
      </c>
      <c r="F10220" s="45" t="s">
        <v>24817</v>
      </c>
      <c r="G10220" s="45" t="s">
        <v>24814</v>
      </c>
      <c r="H10220" s="198">
        <v>3000</v>
      </c>
      <c r="I10220" s="47">
        <v>45772</v>
      </c>
      <c r="J10220" s="73" t="s">
        <v>24815</v>
      </c>
      <c r="K10220" s="45"/>
      <c r="O10220" s="45" t="s">
        <v>11411</v>
      </c>
      <c r="P10220" s="58" t="s">
        <v>44</v>
      </c>
      <c r="Q10220" s="48" t="s">
        <v>104</v>
      </c>
      <c r="R10220" s="45" t="s">
        <v>272</v>
      </c>
    </row>
    <row r="10221" spans="2:18" ht="69" customHeight="1">
      <c r="B10221" s="239">
        <f t="shared" si="90"/>
        <v>7333</v>
      </c>
      <c r="C10221" s="59" t="s">
        <v>8080</v>
      </c>
      <c r="D10221" s="489" t="s">
        <v>15007</v>
      </c>
      <c r="E10221" s="45" t="s">
        <v>24816</v>
      </c>
      <c r="F10221" s="45" t="s">
        <v>24818</v>
      </c>
      <c r="G10221" s="45" t="s">
        <v>24814</v>
      </c>
      <c r="H10221" s="198">
        <v>3000</v>
      </c>
      <c r="I10221" s="47">
        <v>45772</v>
      </c>
      <c r="J10221" s="73" t="s">
        <v>24815</v>
      </c>
      <c r="K10221" s="45"/>
      <c r="O10221" s="45" t="s">
        <v>11411</v>
      </c>
      <c r="P10221" s="58" t="s">
        <v>44</v>
      </c>
      <c r="Q10221" s="48" t="s">
        <v>106</v>
      </c>
      <c r="R10221" s="45" t="s">
        <v>272</v>
      </c>
    </row>
    <row r="10222" spans="2:18" ht="69" customHeight="1">
      <c r="B10222" s="239">
        <f t="shared" si="90"/>
        <v>7334</v>
      </c>
      <c r="C10222" s="59" t="s">
        <v>8703</v>
      </c>
      <c r="D10222" s="489" t="s">
        <v>15031</v>
      </c>
      <c r="E10222" s="45" t="s">
        <v>24816</v>
      </c>
      <c r="F10222" s="45" t="s">
        <v>24819</v>
      </c>
      <c r="G10222" s="45" t="s">
        <v>24814</v>
      </c>
      <c r="H10222" s="198">
        <v>5000</v>
      </c>
      <c r="I10222" s="47">
        <v>45772</v>
      </c>
      <c r="J10222" s="73" t="s">
        <v>24815</v>
      </c>
      <c r="K10222" s="45"/>
      <c r="O10222" s="45" t="s">
        <v>11411</v>
      </c>
      <c r="P10222" s="58" t="s">
        <v>44</v>
      </c>
      <c r="Q10222" s="48" t="s">
        <v>109</v>
      </c>
      <c r="R10222" s="45" t="s">
        <v>272</v>
      </c>
    </row>
    <row r="10223" spans="2:18" ht="69" customHeight="1">
      <c r="B10223" s="239">
        <f t="shared" si="90"/>
        <v>7335</v>
      </c>
      <c r="C10223" s="909" t="s">
        <v>8797</v>
      </c>
      <c r="D10223" s="489" t="s">
        <v>15039</v>
      </c>
      <c r="E10223" s="45" t="s">
        <v>24816</v>
      </c>
      <c r="F10223" s="45" t="s">
        <v>24820</v>
      </c>
      <c r="G10223" s="45" t="s">
        <v>24814</v>
      </c>
      <c r="H10223" s="198">
        <v>3000</v>
      </c>
      <c r="I10223" s="47">
        <v>45772</v>
      </c>
      <c r="J10223" s="73" t="s">
        <v>24815</v>
      </c>
      <c r="K10223" s="45"/>
      <c r="O10223" s="45" t="s">
        <v>11411</v>
      </c>
      <c r="P10223" s="58" t="s">
        <v>44</v>
      </c>
      <c r="Q10223" s="48" t="s">
        <v>110</v>
      </c>
      <c r="R10223" s="45" t="s">
        <v>272</v>
      </c>
    </row>
    <row r="10224" spans="2:18" ht="69" customHeight="1">
      <c r="B10224" s="239">
        <f t="shared" si="90"/>
        <v>7336</v>
      </c>
      <c r="C10224" s="921" t="s">
        <v>9004</v>
      </c>
      <c r="D10224" s="489" t="s">
        <v>15035</v>
      </c>
      <c r="E10224" s="45" t="s">
        <v>24816</v>
      </c>
      <c r="F10224" s="45" t="s">
        <v>24821</v>
      </c>
      <c r="G10224" s="45" t="s">
        <v>24814</v>
      </c>
      <c r="H10224" s="198">
        <v>5000</v>
      </c>
      <c r="I10224" s="47">
        <v>45772</v>
      </c>
      <c r="J10224" s="73" t="s">
        <v>24815</v>
      </c>
      <c r="K10224" s="45"/>
      <c r="O10224" s="45" t="s">
        <v>11411</v>
      </c>
      <c r="P10224" s="58" t="s">
        <v>44</v>
      </c>
      <c r="Q10224" s="48" t="s">
        <v>111</v>
      </c>
      <c r="R10224" s="45" t="s">
        <v>272</v>
      </c>
    </row>
    <row r="10225" spans="2:18" ht="69" customHeight="1">
      <c r="B10225" s="239">
        <f t="shared" si="90"/>
        <v>7337</v>
      </c>
      <c r="C10225" s="59" t="s">
        <v>9436</v>
      </c>
      <c r="D10225" s="489" t="s">
        <v>15043</v>
      </c>
      <c r="E10225" s="45" t="s">
        <v>24816</v>
      </c>
      <c r="F10225" s="45" t="s">
        <v>24822</v>
      </c>
      <c r="G10225" s="45" t="s">
        <v>24814</v>
      </c>
      <c r="H10225" s="198">
        <v>1000</v>
      </c>
      <c r="I10225" s="47">
        <v>45772</v>
      </c>
      <c r="J10225" s="73" t="s">
        <v>24815</v>
      </c>
      <c r="K10225" s="45"/>
      <c r="O10225" s="45" t="s">
        <v>11411</v>
      </c>
      <c r="P10225" s="58" t="s">
        <v>44</v>
      </c>
      <c r="Q10225" s="48" t="s">
        <v>116</v>
      </c>
      <c r="R10225" s="45" t="s">
        <v>272</v>
      </c>
    </row>
    <row r="10226" spans="2:18" ht="69" customHeight="1">
      <c r="B10226" s="239">
        <f t="shared" si="90"/>
        <v>7338</v>
      </c>
      <c r="C10226" s="59" t="s">
        <v>9596</v>
      </c>
      <c r="D10226" s="489" t="s">
        <v>15047</v>
      </c>
      <c r="E10226" s="45" t="s">
        <v>24816</v>
      </c>
      <c r="F10226" s="45" t="s">
        <v>24823</v>
      </c>
      <c r="G10226" s="45" t="s">
        <v>24814</v>
      </c>
      <c r="H10226" s="198">
        <v>5000</v>
      </c>
      <c r="I10226" s="47">
        <v>45772</v>
      </c>
      <c r="J10226" s="73" t="s">
        <v>24815</v>
      </c>
      <c r="K10226" s="45"/>
      <c r="O10226" s="45" t="s">
        <v>11411</v>
      </c>
      <c r="P10226" s="58" t="s">
        <v>44</v>
      </c>
      <c r="Q10226" s="48" t="s">
        <v>118</v>
      </c>
      <c r="R10226" s="45" t="s">
        <v>272</v>
      </c>
    </row>
    <row r="10227" spans="2:18" ht="69" customHeight="1">
      <c r="B10227" s="239">
        <f t="shared" si="90"/>
        <v>7339</v>
      </c>
      <c r="C10227" s="59" t="s">
        <v>10944</v>
      </c>
      <c r="D10227" s="489" t="s">
        <v>15052</v>
      </c>
      <c r="E10227" s="45" t="s">
        <v>24816</v>
      </c>
      <c r="F10227" s="45" t="s">
        <v>24824</v>
      </c>
      <c r="G10227" s="45" t="s">
        <v>24814</v>
      </c>
      <c r="H10227" s="198">
        <v>5000</v>
      </c>
      <c r="I10227" s="47">
        <v>45772</v>
      </c>
      <c r="J10227" s="73" t="s">
        <v>24815</v>
      </c>
      <c r="K10227" s="45"/>
      <c r="O10227" s="45" t="s">
        <v>11411</v>
      </c>
      <c r="P10227" s="58" t="s">
        <v>44</v>
      </c>
      <c r="Q10227" s="48" t="s">
        <v>120</v>
      </c>
      <c r="R10227" s="45" t="s">
        <v>272</v>
      </c>
    </row>
    <row r="10228" spans="2:18" ht="69" customHeight="1">
      <c r="B10228" s="239">
        <f t="shared" si="90"/>
        <v>7340</v>
      </c>
      <c r="C10228" s="59" t="s">
        <v>13435</v>
      </c>
      <c r="D10228" s="489" t="s">
        <v>23141</v>
      </c>
      <c r="E10228" s="45" t="s">
        <v>24816</v>
      </c>
      <c r="F10228" s="45" t="s">
        <v>24825</v>
      </c>
      <c r="G10228" s="45" t="s">
        <v>24826</v>
      </c>
      <c r="H10228" s="198">
        <v>5000</v>
      </c>
      <c r="I10228" s="47">
        <v>45772</v>
      </c>
      <c r="J10228" s="73" t="s">
        <v>24827</v>
      </c>
      <c r="K10228" s="60"/>
      <c r="O10228" s="45" t="s">
        <v>11411</v>
      </c>
      <c r="P10228" s="58" t="s">
        <v>44</v>
      </c>
      <c r="Q10228" s="48" t="s">
        <v>13</v>
      </c>
      <c r="R10228" s="45" t="s">
        <v>272</v>
      </c>
    </row>
    <row r="10229" spans="2:18" ht="69" customHeight="1">
      <c r="B10229" s="239">
        <f t="shared" si="90"/>
        <v>7341</v>
      </c>
      <c r="C10229" s="59" t="s">
        <v>581</v>
      </c>
      <c r="D10229" s="489" t="s">
        <v>23144</v>
      </c>
      <c r="E10229" s="45" t="s">
        <v>24816</v>
      </c>
      <c r="F10229" s="45" t="s">
        <v>24828</v>
      </c>
      <c r="G10229" s="45" t="s">
        <v>24826</v>
      </c>
      <c r="H10229" s="198">
        <v>3000</v>
      </c>
      <c r="I10229" s="47">
        <v>45772</v>
      </c>
      <c r="J10229" s="73" t="s">
        <v>24827</v>
      </c>
      <c r="K10229" s="60"/>
      <c r="O10229" s="45" t="s">
        <v>11411</v>
      </c>
      <c r="P10229" s="58" t="s">
        <v>44</v>
      </c>
      <c r="Q10229" s="48" t="s">
        <v>18</v>
      </c>
      <c r="R10229" s="45" t="s">
        <v>272</v>
      </c>
    </row>
    <row r="10230" spans="2:18" ht="69" customHeight="1">
      <c r="B10230" s="239">
        <f t="shared" si="90"/>
        <v>7342</v>
      </c>
      <c r="C10230" s="45" t="s">
        <v>753</v>
      </c>
      <c r="D10230" s="489" t="s">
        <v>23516</v>
      </c>
      <c r="E10230" s="45" t="s">
        <v>24816</v>
      </c>
      <c r="F10230" s="45" t="s">
        <v>24829</v>
      </c>
      <c r="G10230" s="45" t="s">
        <v>24826</v>
      </c>
      <c r="H10230" s="198">
        <v>5000</v>
      </c>
      <c r="I10230" s="47">
        <v>45772</v>
      </c>
      <c r="J10230" s="73" t="s">
        <v>24827</v>
      </c>
      <c r="K10230" s="60"/>
      <c r="O10230" s="45" t="s">
        <v>11411</v>
      </c>
      <c r="P10230" s="58" t="s">
        <v>44</v>
      </c>
      <c r="Q10230" s="48" t="s">
        <v>20</v>
      </c>
      <c r="R10230" s="45" t="s">
        <v>272</v>
      </c>
    </row>
    <row r="10231" spans="2:18" ht="69" customHeight="1">
      <c r="B10231" s="239">
        <f t="shared" si="90"/>
        <v>7343</v>
      </c>
      <c r="C10231" s="45" t="s">
        <v>11058</v>
      </c>
      <c r="D10231" s="489" t="s">
        <v>23507</v>
      </c>
      <c r="E10231" s="45" t="s">
        <v>24816</v>
      </c>
      <c r="F10231" s="45" t="s">
        <v>24830</v>
      </c>
      <c r="G10231" s="45" t="s">
        <v>24826</v>
      </c>
      <c r="H10231" s="198">
        <v>5000</v>
      </c>
      <c r="I10231" s="47">
        <v>45772</v>
      </c>
      <c r="J10231" s="73" t="s">
        <v>24827</v>
      </c>
      <c r="K10231" s="60"/>
      <c r="O10231" s="45" t="s">
        <v>11411</v>
      </c>
      <c r="P10231" s="58" t="s">
        <v>44</v>
      </c>
      <c r="Q10231" s="48" t="s">
        <v>23</v>
      </c>
      <c r="R10231" s="45" t="s">
        <v>272</v>
      </c>
    </row>
    <row r="10232" spans="2:18" ht="69" customHeight="1">
      <c r="B10232" s="239">
        <f t="shared" si="90"/>
        <v>7344</v>
      </c>
      <c r="C10232" s="45" t="s">
        <v>1323</v>
      </c>
      <c r="D10232" s="489" t="s">
        <v>23510</v>
      </c>
      <c r="E10232" s="45" t="s">
        <v>24816</v>
      </c>
      <c r="F10232" s="45" t="s">
        <v>24831</v>
      </c>
      <c r="G10232" s="45" t="s">
        <v>24826</v>
      </c>
      <c r="H10232" s="198">
        <v>5000</v>
      </c>
      <c r="I10232" s="47">
        <v>45772</v>
      </c>
      <c r="J10232" s="73" t="s">
        <v>24827</v>
      </c>
      <c r="K10232" s="60"/>
      <c r="O10232" s="45" t="s">
        <v>11411</v>
      </c>
      <c r="P10232" s="58" t="s">
        <v>44</v>
      </c>
      <c r="Q10232" s="48" t="s">
        <v>25</v>
      </c>
      <c r="R10232" s="45" t="s">
        <v>272</v>
      </c>
    </row>
    <row r="10233" spans="2:18" ht="69" customHeight="1">
      <c r="B10233" s="239">
        <f t="shared" si="90"/>
        <v>7345</v>
      </c>
      <c r="C10233" s="45" t="s">
        <v>1593</v>
      </c>
      <c r="D10233" s="489" t="s">
        <v>23520</v>
      </c>
      <c r="E10233" s="45" t="s">
        <v>24816</v>
      </c>
      <c r="F10233" s="45" t="s">
        <v>24832</v>
      </c>
      <c r="G10233" s="45" t="s">
        <v>24826</v>
      </c>
      <c r="H10233" s="198">
        <v>3000</v>
      </c>
      <c r="I10233" s="47">
        <v>45772</v>
      </c>
      <c r="J10233" s="73" t="s">
        <v>24827</v>
      </c>
      <c r="K10233" s="60"/>
      <c r="O10233" s="45" t="s">
        <v>11411</v>
      </c>
      <c r="P10233" s="58" t="s">
        <v>44</v>
      </c>
      <c r="Q10233" s="48" t="s">
        <v>27</v>
      </c>
      <c r="R10233" s="45" t="s">
        <v>272</v>
      </c>
    </row>
    <row r="10234" spans="2:18" ht="69" customHeight="1">
      <c r="B10234" s="239">
        <f t="shared" si="90"/>
        <v>7346</v>
      </c>
      <c r="C10234" s="45" t="s">
        <v>1853</v>
      </c>
      <c r="D10234" s="489" t="s">
        <v>24833</v>
      </c>
      <c r="E10234" s="45" t="s">
        <v>24816</v>
      </c>
      <c r="F10234" s="45" t="s">
        <v>24834</v>
      </c>
      <c r="G10234" s="45" t="s">
        <v>24826</v>
      </c>
      <c r="H10234" s="198">
        <v>5000</v>
      </c>
      <c r="I10234" s="47">
        <v>45772</v>
      </c>
      <c r="J10234" s="73" t="s">
        <v>24827</v>
      </c>
      <c r="K10234" s="60"/>
      <c r="O10234" s="45" t="s">
        <v>11411</v>
      </c>
      <c r="P10234" s="58" t="s">
        <v>44</v>
      </c>
      <c r="Q10234" s="48" t="s">
        <v>29</v>
      </c>
      <c r="R10234" s="45" t="s">
        <v>272</v>
      </c>
    </row>
    <row r="10235" spans="2:18" ht="69" customHeight="1">
      <c r="B10235" s="239">
        <f t="shared" si="90"/>
        <v>7347</v>
      </c>
      <c r="C10235" s="45" t="s">
        <v>2182</v>
      </c>
      <c r="D10235" s="489" t="s">
        <v>21030</v>
      </c>
      <c r="E10235" s="45" t="s">
        <v>24816</v>
      </c>
      <c r="F10235" s="45" t="s">
        <v>24835</v>
      </c>
      <c r="G10235" s="45" t="s">
        <v>24826</v>
      </c>
      <c r="H10235" s="198">
        <v>5000</v>
      </c>
      <c r="I10235" s="47">
        <v>45772</v>
      </c>
      <c r="J10235" s="73" t="s">
        <v>24827</v>
      </c>
      <c r="K10235" s="60"/>
      <c r="O10235" s="45" t="s">
        <v>11411</v>
      </c>
      <c r="P10235" s="58" t="s">
        <v>44</v>
      </c>
      <c r="Q10235" s="48" t="s">
        <v>31</v>
      </c>
      <c r="R10235" s="45" t="s">
        <v>272</v>
      </c>
    </row>
    <row r="10236" spans="2:18" ht="69" customHeight="1">
      <c r="B10236" s="239">
        <f t="shared" si="90"/>
        <v>7348</v>
      </c>
      <c r="C10236" s="45" t="s">
        <v>17406</v>
      </c>
      <c r="D10236" s="489" t="s">
        <v>21033</v>
      </c>
      <c r="E10236" s="45" t="s">
        <v>24816</v>
      </c>
      <c r="F10236" s="45" t="s">
        <v>24836</v>
      </c>
      <c r="G10236" s="45" t="s">
        <v>24826</v>
      </c>
      <c r="H10236" s="198">
        <v>5000</v>
      </c>
      <c r="I10236" s="47">
        <v>45772</v>
      </c>
      <c r="J10236" s="73" t="s">
        <v>24827</v>
      </c>
      <c r="K10236" s="60"/>
      <c r="O10236" s="45" t="s">
        <v>11411</v>
      </c>
      <c r="P10236" s="58" t="s">
        <v>44</v>
      </c>
      <c r="Q10236" s="48" t="s">
        <v>33</v>
      </c>
      <c r="R10236" s="45" t="s">
        <v>272</v>
      </c>
    </row>
    <row r="10237" spans="2:18" ht="69" customHeight="1">
      <c r="B10237" s="239">
        <f t="shared" si="90"/>
        <v>7349</v>
      </c>
      <c r="C10237" s="45" t="s">
        <v>12631</v>
      </c>
      <c r="D10237" s="489" t="s">
        <v>23569</v>
      </c>
      <c r="E10237" s="45" t="s">
        <v>24816</v>
      </c>
      <c r="F10237" s="45" t="s">
        <v>24837</v>
      </c>
      <c r="G10237" s="45" t="s">
        <v>24826</v>
      </c>
      <c r="H10237" s="198">
        <v>5000</v>
      </c>
      <c r="I10237" s="47">
        <v>45772</v>
      </c>
      <c r="J10237" s="73" t="s">
        <v>24827</v>
      </c>
      <c r="K10237" s="60"/>
      <c r="O10237" s="45" t="s">
        <v>11411</v>
      </c>
      <c r="P10237" s="58" t="s">
        <v>44</v>
      </c>
      <c r="Q10237" s="48" t="s">
        <v>35</v>
      </c>
      <c r="R10237" s="45" t="s">
        <v>272</v>
      </c>
    </row>
    <row r="10238" spans="2:18" ht="69" customHeight="1">
      <c r="B10238" s="239">
        <f t="shared" si="90"/>
        <v>7350</v>
      </c>
      <c r="C10238" s="45" t="s">
        <v>11052</v>
      </c>
      <c r="D10238" s="489" t="s">
        <v>23576</v>
      </c>
      <c r="E10238" s="45" t="s">
        <v>24816</v>
      </c>
      <c r="F10238" s="45" t="s">
        <v>24838</v>
      </c>
      <c r="G10238" s="45" t="s">
        <v>24826</v>
      </c>
      <c r="H10238" s="198">
        <v>5000</v>
      </c>
      <c r="I10238" s="47">
        <v>45772</v>
      </c>
      <c r="J10238" s="73" t="s">
        <v>24827</v>
      </c>
      <c r="K10238" s="60"/>
      <c r="O10238" s="45" t="s">
        <v>11411</v>
      </c>
      <c r="P10238" s="58" t="s">
        <v>44</v>
      </c>
      <c r="Q10238" s="48" t="s">
        <v>37</v>
      </c>
      <c r="R10238" s="45" t="s">
        <v>272</v>
      </c>
    </row>
    <row r="10239" spans="2:18" ht="69" customHeight="1">
      <c r="B10239" s="239">
        <f t="shared" si="90"/>
        <v>7351</v>
      </c>
      <c r="C10239" s="45" t="s">
        <v>10856</v>
      </c>
      <c r="D10239" s="489" t="s">
        <v>21061</v>
      </c>
      <c r="E10239" s="45" t="s">
        <v>24816</v>
      </c>
      <c r="F10239" s="45" t="s">
        <v>24839</v>
      </c>
      <c r="G10239" s="45" t="s">
        <v>24826</v>
      </c>
      <c r="H10239" s="198">
        <v>2000</v>
      </c>
      <c r="I10239" s="47">
        <v>45772</v>
      </c>
      <c r="J10239" s="73" t="s">
        <v>24827</v>
      </c>
      <c r="K10239" s="60"/>
      <c r="O10239" s="45" t="s">
        <v>11411</v>
      </c>
      <c r="P10239" s="58" t="s">
        <v>44</v>
      </c>
      <c r="Q10239" s="48" t="s">
        <v>39</v>
      </c>
      <c r="R10239" s="45" t="s">
        <v>272</v>
      </c>
    </row>
    <row r="10240" spans="2:18" ht="69" customHeight="1">
      <c r="B10240" s="239">
        <f t="shared" si="90"/>
        <v>7352</v>
      </c>
      <c r="C10240" s="45" t="s">
        <v>11042</v>
      </c>
      <c r="D10240" s="489" t="s">
        <v>21070</v>
      </c>
      <c r="E10240" s="45" t="s">
        <v>24816</v>
      </c>
      <c r="F10240" s="45" t="s">
        <v>24840</v>
      </c>
      <c r="G10240" s="45" t="s">
        <v>24826</v>
      </c>
      <c r="H10240" s="198">
        <v>2000</v>
      </c>
      <c r="I10240" s="47">
        <v>45772</v>
      </c>
      <c r="J10240" s="73" t="s">
        <v>24827</v>
      </c>
      <c r="K10240" s="60"/>
      <c r="O10240" s="45" t="s">
        <v>11411</v>
      </c>
      <c r="P10240" s="58" t="s">
        <v>44</v>
      </c>
      <c r="Q10240" s="48" t="s">
        <v>41</v>
      </c>
      <c r="R10240" s="45" t="s">
        <v>272</v>
      </c>
    </row>
    <row r="10241" spans="2:18" ht="69" customHeight="1">
      <c r="B10241" s="239">
        <f t="shared" si="90"/>
        <v>7353</v>
      </c>
      <c r="C10241" s="45" t="s">
        <v>3368</v>
      </c>
      <c r="D10241" s="489" t="s">
        <v>21075</v>
      </c>
      <c r="E10241" s="45" t="s">
        <v>24816</v>
      </c>
      <c r="F10241" s="45" t="s">
        <v>24841</v>
      </c>
      <c r="G10241" s="45" t="s">
        <v>24826</v>
      </c>
      <c r="H10241" s="198">
        <v>3000</v>
      </c>
      <c r="I10241" s="47">
        <v>45772</v>
      </c>
      <c r="J10241" s="73" t="s">
        <v>24827</v>
      </c>
      <c r="K10241" s="60"/>
      <c r="O10241" s="45" t="s">
        <v>11411</v>
      </c>
      <c r="P10241" s="58" t="s">
        <v>44</v>
      </c>
      <c r="Q10241" s="48" t="s">
        <v>43</v>
      </c>
      <c r="R10241" s="45" t="s">
        <v>272</v>
      </c>
    </row>
    <row r="10242" spans="2:18" ht="69" customHeight="1">
      <c r="B10242" s="239">
        <f t="shared" si="90"/>
        <v>7354</v>
      </c>
      <c r="C10242" s="45" t="s">
        <v>11055</v>
      </c>
      <c r="D10242" s="489" t="s">
        <v>21042</v>
      </c>
      <c r="E10242" s="60" t="s">
        <v>24816</v>
      </c>
      <c r="F10242" s="60" t="s">
        <v>24842</v>
      </c>
      <c r="G10242" s="60" t="s">
        <v>24826</v>
      </c>
      <c r="H10242" s="791">
        <v>5000</v>
      </c>
      <c r="I10242" s="47">
        <v>45772</v>
      </c>
      <c r="J10242" s="163" t="s">
        <v>24827</v>
      </c>
      <c r="K10242" s="60"/>
      <c r="O10242" s="45" t="s">
        <v>11411</v>
      </c>
      <c r="P10242" s="58" t="s">
        <v>44</v>
      </c>
      <c r="Q10242" s="48" t="s">
        <v>45</v>
      </c>
      <c r="R10242" s="45" t="s">
        <v>272</v>
      </c>
    </row>
    <row r="10243" spans="2:18" ht="69" customHeight="1">
      <c r="B10243" s="79">
        <f t="shared" ref="B10243:B10307" si="91">B10242+1</f>
        <v>7355</v>
      </c>
      <c r="C10243" s="72" t="s">
        <v>22636</v>
      </c>
      <c r="D10243" s="922" t="s">
        <v>24843</v>
      </c>
      <c r="E10243" s="58" t="s">
        <v>24816</v>
      </c>
      <c r="F10243" s="58" t="s">
        <v>24844</v>
      </c>
      <c r="G10243" s="72" t="s">
        <v>24826</v>
      </c>
      <c r="H10243" s="552">
        <v>6000</v>
      </c>
      <c r="I10243" s="47">
        <v>45772</v>
      </c>
      <c r="J10243" s="62" t="s">
        <v>24845</v>
      </c>
      <c r="K10243" s="58"/>
      <c r="O10243" s="45" t="s">
        <v>11411</v>
      </c>
      <c r="P10243" s="58" t="s">
        <v>44</v>
      </c>
      <c r="Q10243" s="48" t="s">
        <v>13</v>
      </c>
      <c r="R10243" s="45" t="s">
        <v>272</v>
      </c>
    </row>
    <row r="10244" spans="2:18" ht="69" customHeight="1">
      <c r="B10244" s="79">
        <f t="shared" si="91"/>
        <v>7356</v>
      </c>
      <c r="C10244" s="58" t="s">
        <v>24846</v>
      </c>
      <c r="D10244" s="922" t="s">
        <v>24847</v>
      </c>
      <c r="E10244" s="58" t="s">
        <v>24816</v>
      </c>
      <c r="F10244" s="58" t="s">
        <v>24848</v>
      </c>
      <c r="G10244" s="72" t="s">
        <v>24826</v>
      </c>
      <c r="H10244" s="552">
        <v>6000</v>
      </c>
      <c r="I10244" s="66">
        <v>45772</v>
      </c>
      <c r="J10244" s="62" t="s">
        <v>24845</v>
      </c>
      <c r="K10244" s="58"/>
      <c r="O10244" s="45" t="s">
        <v>11411</v>
      </c>
      <c r="P10244" s="58" t="s">
        <v>44</v>
      </c>
      <c r="Q10244" s="48" t="s">
        <v>18</v>
      </c>
      <c r="R10244" s="45" t="s">
        <v>272</v>
      </c>
    </row>
    <row r="10245" spans="2:18" ht="69" customHeight="1">
      <c r="B10245" s="79">
        <f t="shared" si="91"/>
        <v>7357</v>
      </c>
      <c r="C10245" s="178" t="s">
        <v>6062</v>
      </c>
      <c r="D10245" s="922" t="s">
        <v>24849</v>
      </c>
      <c r="E10245" s="58" t="s">
        <v>24816</v>
      </c>
      <c r="F10245" s="58" t="s">
        <v>24850</v>
      </c>
      <c r="G10245" s="72" t="s">
        <v>24826</v>
      </c>
      <c r="H10245" s="552">
        <v>7000</v>
      </c>
      <c r="I10245" s="66">
        <v>45772</v>
      </c>
      <c r="J10245" s="62" t="s">
        <v>24845</v>
      </c>
      <c r="K10245" s="58"/>
      <c r="O10245" s="45" t="s">
        <v>11411</v>
      </c>
      <c r="P10245" s="58" t="s">
        <v>44</v>
      </c>
      <c r="Q10245" s="48" t="s">
        <v>72</v>
      </c>
      <c r="R10245" s="45" t="s">
        <v>272</v>
      </c>
    </row>
    <row r="10246" spans="2:18" ht="69" customHeight="1">
      <c r="B10246" s="79">
        <f t="shared" si="91"/>
        <v>7358</v>
      </c>
      <c r="C10246" s="178" t="s">
        <v>6261</v>
      </c>
      <c r="D10246" s="922" t="s">
        <v>24851</v>
      </c>
      <c r="E10246" s="58" t="s">
        <v>24816</v>
      </c>
      <c r="F10246" s="58" t="s">
        <v>24852</v>
      </c>
      <c r="G10246" s="72" t="s">
        <v>24826</v>
      </c>
      <c r="H10246" s="552">
        <v>3000</v>
      </c>
      <c r="I10246" s="66">
        <v>45772</v>
      </c>
      <c r="J10246" s="62" t="s">
        <v>24845</v>
      </c>
      <c r="K10246" s="58"/>
      <c r="O10246" s="45" t="s">
        <v>11411</v>
      </c>
      <c r="P10246" s="58" t="s">
        <v>44</v>
      </c>
      <c r="Q10246" s="48" t="s">
        <v>74</v>
      </c>
      <c r="R10246" s="45" t="s">
        <v>272</v>
      </c>
    </row>
    <row r="10247" spans="2:18" ht="69" customHeight="1">
      <c r="B10247" s="79">
        <f t="shared" si="91"/>
        <v>7359</v>
      </c>
      <c r="C10247" s="178" t="s">
        <v>6468</v>
      </c>
      <c r="D10247" s="922" t="s">
        <v>24853</v>
      </c>
      <c r="E10247" s="58" t="s">
        <v>24816</v>
      </c>
      <c r="F10247" s="58" t="s">
        <v>24854</v>
      </c>
      <c r="G10247" s="72" t="s">
        <v>24826</v>
      </c>
      <c r="H10247" s="552">
        <v>6000</v>
      </c>
      <c r="I10247" s="66">
        <v>45772</v>
      </c>
      <c r="J10247" s="62" t="s">
        <v>24845</v>
      </c>
      <c r="K10247" s="58"/>
      <c r="O10247" s="45" t="s">
        <v>11411</v>
      </c>
      <c r="P10247" s="58" t="s">
        <v>44</v>
      </c>
      <c r="Q10247" s="48" t="s">
        <v>76</v>
      </c>
      <c r="R10247" s="45" t="s">
        <v>272</v>
      </c>
    </row>
    <row r="10248" spans="2:18" ht="69" customHeight="1">
      <c r="B10248" s="79">
        <f t="shared" si="91"/>
        <v>7360</v>
      </c>
      <c r="C10248" s="178" t="s">
        <v>6693</v>
      </c>
      <c r="D10248" s="922" t="s">
        <v>24855</v>
      </c>
      <c r="E10248" s="58" t="s">
        <v>24816</v>
      </c>
      <c r="F10248" s="58" t="s">
        <v>24856</v>
      </c>
      <c r="G10248" s="72" t="s">
        <v>24826</v>
      </c>
      <c r="H10248" s="552">
        <v>6000</v>
      </c>
      <c r="I10248" s="66">
        <v>45772</v>
      </c>
      <c r="J10248" s="62" t="s">
        <v>24845</v>
      </c>
      <c r="K10248" s="58"/>
      <c r="O10248" s="45" t="s">
        <v>11411</v>
      </c>
      <c r="P10248" s="58" t="s">
        <v>44</v>
      </c>
      <c r="Q10248" s="48" t="s">
        <v>78</v>
      </c>
      <c r="R10248" s="45" t="s">
        <v>272</v>
      </c>
    </row>
    <row r="10249" spans="2:18" ht="69" customHeight="1">
      <c r="B10249" s="79">
        <f t="shared" si="91"/>
        <v>7361</v>
      </c>
      <c r="C10249" s="58" t="s">
        <v>16757</v>
      </c>
      <c r="D10249" s="922" t="s">
        <v>24857</v>
      </c>
      <c r="E10249" s="58" t="s">
        <v>24816</v>
      </c>
      <c r="F10249" s="58" t="s">
        <v>24858</v>
      </c>
      <c r="G10249" s="72" t="s">
        <v>24826</v>
      </c>
      <c r="H10249" s="552">
        <v>6000</v>
      </c>
      <c r="I10249" s="66">
        <v>45772</v>
      </c>
      <c r="J10249" s="62" t="s">
        <v>24845</v>
      </c>
      <c r="K10249" s="58"/>
      <c r="O10249" s="45" t="s">
        <v>11411</v>
      </c>
      <c r="P10249" s="58" t="s">
        <v>44</v>
      </c>
      <c r="Q10249" s="48" t="s">
        <v>47</v>
      </c>
      <c r="R10249" s="45" t="s">
        <v>272</v>
      </c>
    </row>
    <row r="10250" spans="2:18" ht="69" customHeight="1">
      <c r="B10250" s="79">
        <f t="shared" si="91"/>
        <v>7362</v>
      </c>
      <c r="C10250" s="178" t="s">
        <v>3933</v>
      </c>
      <c r="D10250" s="922" t="s">
        <v>24859</v>
      </c>
      <c r="E10250" s="58" t="s">
        <v>24816</v>
      </c>
      <c r="F10250" s="58" t="s">
        <v>24860</v>
      </c>
      <c r="G10250" s="72" t="s">
        <v>24826</v>
      </c>
      <c r="H10250" s="552">
        <v>6000</v>
      </c>
      <c r="I10250" s="66">
        <v>45772</v>
      </c>
      <c r="J10250" s="62" t="s">
        <v>24845</v>
      </c>
      <c r="K10250" s="58"/>
      <c r="O10250" s="45" t="s">
        <v>11411</v>
      </c>
      <c r="P10250" s="58" t="s">
        <v>44</v>
      </c>
      <c r="Q10250" s="48" t="s">
        <v>52</v>
      </c>
      <c r="R10250" s="45" t="s">
        <v>272</v>
      </c>
    </row>
    <row r="10251" spans="2:18" ht="69" customHeight="1">
      <c r="B10251" s="79">
        <f t="shared" si="91"/>
        <v>7363</v>
      </c>
      <c r="C10251" s="178" t="s">
        <v>4277</v>
      </c>
      <c r="D10251" s="922" t="s">
        <v>24861</v>
      </c>
      <c r="E10251" s="58" t="s">
        <v>24816</v>
      </c>
      <c r="F10251" s="58" t="s">
        <v>24862</v>
      </c>
      <c r="G10251" s="72" t="s">
        <v>24826</v>
      </c>
      <c r="H10251" s="552">
        <v>7000</v>
      </c>
      <c r="I10251" s="66">
        <v>45772</v>
      </c>
      <c r="J10251" s="62" t="s">
        <v>24845</v>
      </c>
      <c r="K10251" s="58"/>
      <c r="O10251" s="45" t="s">
        <v>11411</v>
      </c>
      <c r="P10251" s="58" t="s">
        <v>44</v>
      </c>
      <c r="Q10251" s="48" t="s">
        <v>56</v>
      </c>
      <c r="R10251" s="45" t="s">
        <v>272</v>
      </c>
    </row>
    <row r="10252" spans="2:18" ht="69" customHeight="1">
      <c r="B10252" s="79">
        <f t="shared" si="91"/>
        <v>7364</v>
      </c>
      <c r="C10252" s="178" t="s">
        <v>4728</v>
      </c>
      <c r="D10252" s="922" t="s">
        <v>24863</v>
      </c>
      <c r="E10252" s="58" t="s">
        <v>24816</v>
      </c>
      <c r="F10252" s="58" t="s">
        <v>24864</v>
      </c>
      <c r="G10252" s="72" t="s">
        <v>24826</v>
      </c>
      <c r="H10252" s="552">
        <v>7000</v>
      </c>
      <c r="I10252" s="66">
        <v>45772</v>
      </c>
      <c r="J10252" s="62" t="s">
        <v>24845</v>
      </c>
      <c r="K10252" s="58"/>
      <c r="O10252" s="45" t="s">
        <v>11411</v>
      </c>
      <c r="P10252" s="58" t="s">
        <v>44</v>
      </c>
      <c r="Q10252" s="48" t="s">
        <v>58</v>
      </c>
      <c r="R10252" s="45" t="s">
        <v>272</v>
      </c>
    </row>
    <row r="10253" spans="2:18" ht="69" customHeight="1">
      <c r="B10253" s="803">
        <f t="shared" si="91"/>
        <v>7365</v>
      </c>
      <c r="C10253" s="680" t="s">
        <v>5082</v>
      </c>
      <c r="D10253" s="922" t="s">
        <v>24865</v>
      </c>
      <c r="E10253" s="681" t="s">
        <v>24816</v>
      </c>
      <c r="F10253" s="681" t="s">
        <v>24866</v>
      </c>
      <c r="G10253" s="882" t="s">
        <v>24826</v>
      </c>
      <c r="H10253" s="811">
        <v>6000</v>
      </c>
      <c r="I10253" s="66">
        <v>45772</v>
      </c>
      <c r="J10253" s="62" t="s">
        <v>24845</v>
      </c>
      <c r="K10253" s="58"/>
      <c r="O10253" s="45" t="s">
        <v>11411</v>
      </c>
      <c r="P10253" s="58" t="s">
        <v>44</v>
      </c>
      <c r="Q10253" s="48" t="s">
        <v>60</v>
      </c>
      <c r="R10253" s="45" t="s">
        <v>272</v>
      </c>
    </row>
    <row r="10254" spans="2:18" ht="69" customHeight="1">
      <c r="B10254" s="79">
        <f t="shared" si="91"/>
        <v>7366</v>
      </c>
      <c r="C10254" s="680" t="s">
        <v>5189</v>
      </c>
      <c r="D10254" s="922" t="s">
        <v>24867</v>
      </c>
      <c r="E10254" s="58" t="s">
        <v>24816</v>
      </c>
      <c r="F10254" s="58" t="s">
        <v>24868</v>
      </c>
      <c r="G10254" s="72" t="s">
        <v>24826</v>
      </c>
      <c r="H10254" s="552">
        <v>6000</v>
      </c>
      <c r="I10254" s="66">
        <v>45772</v>
      </c>
      <c r="J10254" s="62" t="s">
        <v>24845</v>
      </c>
      <c r="K10254" s="58"/>
      <c r="O10254" s="45" t="s">
        <v>11411</v>
      </c>
      <c r="P10254" s="58" t="s">
        <v>44</v>
      </c>
      <c r="Q10254" s="48" t="s">
        <v>62</v>
      </c>
      <c r="R10254" s="45" t="s">
        <v>272</v>
      </c>
    </row>
    <row r="10255" spans="2:18" ht="69" customHeight="1">
      <c r="B10255" s="79">
        <f t="shared" si="91"/>
        <v>7367</v>
      </c>
      <c r="C10255" s="178" t="s">
        <v>10634</v>
      </c>
      <c r="D10255" s="922" t="s">
        <v>24869</v>
      </c>
      <c r="E10255" s="58" t="s">
        <v>24816</v>
      </c>
      <c r="F10255" s="58" t="s">
        <v>24870</v>
      </c>
      <c r="G10255" s="72" t="s">
        <v>24826</v>
      </c>
      <c r="H10255" s="552">
        <v>7000</v>
      </c>
      <c r="I10255" s="66">
        <v>45772</v>
      </c>
      <c r="J10255" s="62" t="s">
        <v>24845</v>
      </c>
      <c r="K10255" s="58"/>
      <c r="O10255" s="45" t="s">
        <v>11411</v>
      </c>
      <c r="P10255" s="58" t="s">
        <v>44</v>
      </c>
      <c r="Q10255" s="48" t="s">
        <v>93</v>
      </c>
      <c r="R10255" s="45" t="s">
        <v>272</v>
      </c>
    </row>
    <row r="10256" spans="2:18" ht="69" customHeight="1">
      <c r="B10256" s="803">
        <f t="shared" si="91"/>
        <v>7368</v>
      </c>
      <c r="C10256" s="680" t="s">
        <v>10639</v>
      </c>
      <c r="D10256" s="922" t="s">
        <v>24871</v>
      </c>
      <c r="E10256" s="681" t="s">
        <v>24816</v>
      </c>
      <c r="F10256" s="681" t="s">
        <v>24872</v>
      </c>
      <c r="G10256" s="882" t="s">
        <v>24826</v>
      </c>
      <c r="H10256" s="811">
        <v>7000</v>
      </c>
      <c r="I10256" s="66">
        <v>45772</v>
      </c>
      <c r="J10256" s="62" t="s">
        <v>24845</v>
      </c>
      <c r="K10256" s="58"/>
      <c r="O10256" s="45" t="s">
        <v>11411</v>
      </c>
      <c r="P10256" s="58" t="s">
        <v>44</v>
      </c>
      <c r="Q10256" s="48" t="s">
        <v>95</v>
      </c>
      <c r="R10256" s="45" t="s">
        <v>272</v>
      </c>
    </row>
    <row r="10257" spans="1:18" ht="69" customHeight="1">
      <c r="B10257" s="79">
        <f t="shared" si="91"/>
        <v>7369</v>
      </c>
      <c r="C10257" s="178" t="s">
        <v>6888</v>
      </c>
      <c r="D10257" s="922" t="s">
        <v>24873</v>
      </c>
      <c r="E10257" s="58" t="s">
        <v>24816</v>
      </c>
      <c r="F10257" s="58" t="s">
        <v>24874</v>
      </c>
      <c r="G10257" s="72" t="s">
        <v>24826</v>
      </c>
      <c r="H10257" s="552">
        <v>6000</v>
      </c>
      <c r="I10257" s="66">
        <v>45772</v>
      </c>
      <c r="J10257" s="62" t="s">
        <v>24845</v>
      </c>
      <c r="K10257" s="58"/>
      <c r="O10257" s="45" t="s">
        <v>11411</v>
      </c>
      <c r="P10257" s="58" t="s">
        <v>44</v>
      </c>
      <c r="Q10257" s="48" t="s">
        <v>84</v>
      </c>
      <c r="R10257" s="45" t="s">
        <v>272</v>
      </c>
    </row>
    <row r="10258" spans="1:18" ht="69" customHeight="1">
      <c r="B10258" s="79">
        <f t="shared" si="91"/>
        <v>7370</v>
      </c>
      <c r="C10258" s="178" t="s">
        <v>5658</v>
      </c>
      <c r="D10258" s="922" t="s">
        <v>24875</v>
      </c>
      <c r="E10258" s="58" t="s">
        <v>24816</v>
      </c>
      <c r="F10258" s="58" t="s">
        <v>24876</v>
      </c>
      <c r="G10258" s="72" t="s">
        <v>24826</v>
      </c>
      <c r="H10258" s="552">
        <v>6000</v>
      </c>
      <c r="I10258" s="66">
        <v>45772</v>
      </c>
      <c r="J10258" s="62" t="s">
        <v>24845</v>
      </c>
      <c r="K10258" s="58"/>
      <c r="O10258" s="45" t="s">
        <v>11411</v>
      </c>
      <c r="P10258" s="58" t="s">
        <v>44</v>
      </c>
      <c r="Q10258" s="48" t="s">
        <v>66</v>
      </c>
      <c r="R10258" s="45" t="s">
        <v>272</v>
      </c>
    </row>
    <row r="10259" spans="1:18" ht="69" customHeight="1">
      <c r="B10259" s="79">
        <f>B10258+1</f>
        <v>7371</v>
      </c>
      <c r="C10259" s="178" t="s">
        <v>10612</v>
      </c>
      <c r="D10259" s="922" t="s">
        <v>24877</v>
      </c>
      <c r="E10259" s="58" t="s">
        <v>24816</v>
      </c>
      <c r="F10259" s="58" t="s">
        <v>24878</v>
      </c>
      <c r="G10259" s="72" t="s">
        <v>24826</v>
      </c>
      <c r="H10259" s="552">
        <v>6000</v>
      </c>
      <c r="I10259" s="66">
        <v>45772</v>
      </c>
      <c r="J10259" s="62" t="s">
        <v>24845</v>
      </c>
      <c r="K10259" s="58"/>
      <c r="O10259" s="45" t="s">
        <v>11411</v>
      </c>
      <c r="P10259" s="58" t="s">
        <v>44</v>
      </c>
      <c r="Q10259" s="48" t="s">
        <v>86</v>
      </c>
      <c r="R10259" s="45" t="s">
        <v>272</v>
      </c>
    </row>
    <row r="10260" spans="1:18" ht="69" customHeight="1">
      <c r="B10260" s="79">
        <f t="shared" si="91"/>
        <v>7372</v>
      </c>
      <c r="C10260" s="178" t="s">
        <v>5558</v>
      </c>
      <c r="D10260" s="922" t="s">
        <v>24879</v>
      </c>
      <c r="E10260" s="58" t="s">
        <v>24816</v>
      </c>
      <c r="F10260" s="58" t="s">
        <v>24880</v>
      </c>
      <c r="G10260" s="72" t="s">
        <v>24826</v>
      </c>
      <c r="H10260" s="552">
        <v>6000</v>
      </c>
      <c r="I10260" s="919">
        <v>45772</v>
      </c>
      <c r="J10260" s="62" t="s">
        <v>24845</v>
      </c>
      <c r="K10260" s="58"/>
      <c r="O10260" s="45" t="s">
        <v>11411</v>
      </c>
      <c r="P10260" s="58" t="s">
        <v>44</v>
      </c>
      <c r="Q10260" s="48" t="s">
        <v>64</v>
      </c>
      <c r="R10260" s="45" t="s">
        <v>272</v>
      </c>
    </row>
    <row r="10261" spans="1:18" ht="69" customHeight="1">
      <c r="B10261" s="79">
        <f t="shared" si="91"/>
        <v>7373</v>
      </c>
      <c r="C10261" s="655" t="s">
        <v>4411</v>
      </c>
      <c r="D10261" s="922" t="s">
        <v>24881</v>
      </c>
      <c r="E10261" s="58" t="s">
        <v>24816</v>
      </c>
      <c r="F10261" s="58" t="s">
        <v>24882</v>
      </c>
      <c r="G10261" s="72" t="s">
        <v>24826</v>
      </c>
      <c r="H10261" s="552">
        <v>6000</v>
      </c>
      <c r="I10261" s="919">
        <v>45772</v>
      </c>
      <c r="J10261" s="62" t="s">
        <v>24845</v>
      </c>
      <c r="K10261" s="58"/>
      <c r="O10261" s="45" t="s">
        <v>11411</v>
      </c>
      <c r="P10261" s="58" t="s">
        <v>44</v>
      </c>
      <c r="Q10261" s="48" t="s">
        <v>54</v>
      </c>
      <c r="R10261" s="45" t="s">
        <v>272</v>
      </c>
    </row>
    <row r="10262" spans="1:18" ht="69" customHeight="1">
      <c r="B10262" s="174">
        <f t="shared" si="91"/>
        <v>7374</v>
      </c>
      <c r="C10262" s="174" t="s">
        <v>10947</v>
      </c>
      <c r="D10262" s="551" t="s">
        <v>24883</v>
      </c>
      <c r="E10262" s="551" t="s">
        <v>24816</v>
      </c>
      <c r="F10262" s="551" t="s">
        <v>24884</v>
      </c>
      <c r="G10262" s="551" t="s">
        <v>24885</v>
      </c>
      <c r="H10262" s="918">
        <v>3000</v>
      </c>
      <c r="I10262" s="919">
        <v>45772</v>
      </c>
      <c r="J10262" s="551" t="s">
        <v>24886</v>
      </c>
      <c r="K10262" s="551"/>
      <c r="O10262" s="45" t="s">
        <v>11411</v>
      </c>
      <c r="P10262" s="58" t="s">
        <v>44</v>
      </c>
      <c r="Q10262" s="48" t="s">
        <v>100</v>
      </c>
      <c r="R10262" s="45" t="s">
        <v>272</v>
      </c>
    </row>
    <row r="10263" spans="1:18" ht="69" customHeight="1">
      <c r="B10263" s="236">
        <f t="shared" si="91"/>
        <v>7375</v>
      </c>
      <c r="C10263" s="550" t="s">
        <v>7464</v>
      </c>
      <c r="D10263" s="551" t="s">
        <v>23830</v>
      </c>
      <c r="E10263" s="58" t="s">
        <v>24816</v>
      </c>
      <c r="F10263" s="58" t="s">
        <v>24887</v>
      </c>
      <c r="G10263" s="74" t="s">
        <v>24885</v>
      </c>
      <c r="H10263" s="779">
        <v>6000</v>
      </c>
      <c r="I10263" s="919">
        <v>45772</v>
      </c>
      <c r="J10263" s="197" t="s">
        <v>24886</v>
      </c>
      <c r="K10263" s="58"/>
      <c r="O10263" s="45" t="s">
        <v>11411</v>
      </c>
      <c r="P10263" s="58" t="s">
        <v>44</v>
      </c>
      <c r="Q10263" s="48" t="s">
        <v>101</v>
      </c>
      <c r="R10263" s="45" t="s">
        <v>272</v>
      </c>
    </row>
    <row r="10264" spans="1:18" ht="69" customHeight="1">
      <c r="B10264" s="79">
        <f t="shared" si="91"/>
        <v>7376</v>
      </c>
      <c r="C10264" s="178" t="s">
        <v>11908</v>
      </c>
      <c r="D10264" s="551" t="s">
        <v>24888</v>
      </c>
      <c r="E10264" s="58" t="s">
        <v>24816</v>
      </c>
      <c r="F10264" s="58" t="s">
        <v>24889</v>
      </c>
      <c r="G10264" s="74" t="s">
        <v>24885</v>
      </c>
      <c r="H10264" s="779">
        <v>5000</v>
      </c>
      <c r="I10264" s="919">
        <v>45772</v>
      </c>
      <c r="J10264" s="197" t="s">
        <v>24886</v>
      </c>
      <c r="K10264" s="58"/>
      <c r="O10264" s="45" t="s">
        <v>11411</v>
      </c>
      <c r="P10264" s="58" t="s">
        <v>44</v>
      </c>
      <c r="Q10264" s="48" t="s">
        <v>103</v>
      </c>
      <c r="R10264" s="45" t="s">
        <v>272</v>
      </c>
    </row>
    <row r="10265" spans="1:18" ht="69" customHeight="1">
      <c r="B10265" s="79">
        <f t="shared" si="91"/>
        <v>7377</v>
      </c>
      <c r="C10265" s="178" t="s">
        <v>8057</v>
      </c>
      <c r="D10265" s="551" t="s">
        <v>24890</v>
      </c>
      <c r="E10265" s="58" t="s">
        <v>24816</v>
      </c>
      <c r="F10265" s="58" t="s">
        <v>24891</v>
      </c>
      <c r="G10265" s="74" t="s">
        <v>24885</v>
      </c>
      <c r="H10265" s="779">
        <v>5000</v>
      </c>
      <c r="I10265" s="919">
        <v>45772</v>
      </c>
      <c r="J10265" s="197" t="s">
        <v>24886</v>
      </c>
      <c r="K10265" s="58"/>
      <c r="O10265" s="45" t="s">
        <v>11411</v>
      </c>
      <c r="P10265" s="58" t="s">
        <v>44</v>
      </c>
      <c r="Q10265" s="48" t="s">
        <v>105</v>
      </c>
      <c r="R10265" s="45" t="s">
        <v>272</v>
      </c>
    </row>
    <row r="10266" spans="1:18" ht="69" customHeight="1">
      <c r="B10266" s="79">
        <f t="shared" si="91"/>
        <v>7378</v>
      </c>
      <c r="C10266" s="178" t="s">
        <v>11568</v>
      </c>
      <c r="D10266" s="551" t="s">
        <v>23843</v>
      </c>
      <c r="E10266" s="58" t="s">
        <v>24816</v>
      </c>
      <c r="F10266" s="58" t="s">
        <v>24892</v>
      </c>
      <c r="G10266" s="74" t="s">
        <v>24885</v>
      </c>
      <c r="H10266" s="779">
        <v>5000</v>
      </c>
      <c r="I10266" s="919">
        <v>45772</v>
      </c>
      <c r="J10266" s="197" t="s">
        <v>24886</v>
      </c>
      <c r="K10266" s="58"/>
      <c r="O10266" s="45" t="s">
        <v>11411</v>
      </c>
      <c r="P10266" s="58" t="s">
        <v>44</v>
      </c>
      <c r="Q10266" s="48" t="s">
        <v>107</v>
      </c>
      <c r="R10266" s="45" t="s">
        <v>272</v>
      </c>
    </row>
    <row r="10267" spans="1:18" ht="69" customHeight="1">
      <c r="B10267" s="79">
        <f t="shared" si="91"/>
        <v>7379</v>
      </c>
      <c r="C10267" s="58" t="s">
        <v>18826</v>
      </c>
      <c r="D10267" s="551" t="s">
        <v>24893</v>
      </c>
      <c r="E10267" s="58" t="s">
        <v>24816</v>
      </c>
      <c r="F10267" s="58" t="s">
        <v>24894</v>
      </c>
      <c r="G10267" s="74" t="s">
        <v>24885</v>
      </c>
      <c r="H10267" s="779">
        <v>5000</v>
      </c>
      <c r="I10267" s="919">
        <v>45772</v>
      </c>
      <c r="J10267" s="197" t="s">
        <v>24886</v>
      </c>
      <c r="K10267" s="58"/>
      <c r="L10267" s="98" t="s">
        <v>96</v>
      </c>
      <c r="O10267" s="45" t="s">
        <v>11411</v>
      </c>
      <c r="P10267" s="58" t="s">
        <v>44</v>
      </c>
      <c r="Q10267" s="48" t="s">
        <v>108</v>
      </c>
      <c r="R10267" s="45" t="s">
        <v>272</v>
      </c>
    </row>
    <row r="10268" spans="1:18" ht="69" customHeight="1">
      <c r="B10268" s="79">
        <f t="shared" si="91"/>
        <v>7380</v>
      </c>
      <c r="C10268" s="178" t="s">
        <v>9094</v>
      </c>
      <c r="D10268" s="551" t="s">
        <v>24895</v>
      </c>
      <c r="E10268" s="58" t="s">
        <v>24816</v>
      </c>
      <c r="F10268" s="58" t="s">
        <v>24896</v>
      </c>
      <c r="G10268" s="74" t="s">
        <v>24885</v>
      </c>
      <c r="H10268" s="779">
        <v>6000</v>
      </c>
      <c r="I10268" s="919">
        <v>45772</v>
      </c>
      <c r="J10268" s="197" t="s">
        <v>24886</v>
      </c>
      <c r="K10268" s="136"/>
      <c r="O10268" s="45" t="s">
        <v>11411</v>
      </c>
      <c r="P10268" s="58" t="s">
        <v>44</v>
      </c>
      <c r="Q10268" s="48" t="s">
        <v>112</v>
      </c>
      <c r="R10268" s="45" t="s">
        <v>272</v>
      </c>
    </row>
    <row r="10269" spans="1:18" ht="69" customHeight="1">
      <c r="B10269" s="79">
        <f t="shared" si="91"/>
        <v>7381</v>
      </c>
      <c r="C10269" s="788" t="s">
        <v>9215</v>
      </c>
      <c r="D10269" s="750" t="s">
        <v>24897</v>
      </c>
      <c r="E10269" s="58" t="s">
        <v>24816</v>
      </c>
      <c r="F10269" s="58" t="s">
        <v>24898</v>
      </c>
      <c r="G10269" s="74" t="s">
        <v>24885</v>
      </c>
      <c r="H10269" s="779">
        <v>5000</v>
      </c>
      <c r="I10269" s="919">
        <v>45772</v>
      </c>
      <c r="J10269" s="197" t="s">
        <v>24886</v>
      </c>
      <c r="K10269" s="136"/>
      <c r="O10269" s="45" t="s">
        <v>11411</v>
      </c>
      <c r="P10269" s="58" t="s">
        <v>44</v>
      </c>
      <c r="Q10269" s="48" t="s">
        <v>113</v>
      </c>
      <c r="R10269" s="45" t="s">
        <v>272</v>
      </c>
    </row>
    <row r="10270" spans="1:18" ht="69" customHeight="1">
      <c r="B10270" s="79">
        <f t="shared" si="91"/>
        <v>7382</v>
      </c>
      <c r="C10270" s="655" t="s">
        <v>9322</v>
      </c>
      <c r="D10270" s="551" t="s">
        <v>24899</v>
      </c>
      <c r="E10270" s="58" t="s">
        <v>24816</v>
      </c>
      <c r="F10270" s="58" t="s">
        <v>24900</v>
      </c>
      <c r="G10270" s="74" t="s">
        <v>24885</v>
      </c>
      <c r="H10270" s="779">
        <v>5000</v>
      </c>
      <c r="I10270" s="919">
        <v>45772</v>
      </c>
      <c r="J10270" s="197" t="s">
        <v>24886</v>
      </c>
      <c r="K10270" s="136"/>
      <c r="O10270" s="45" t="s">
        <v>11411</v>
      </c>
      <c r="P10270" s="58" t="s">
        <v>44</v>
      </c>
      <c r="Q10270" s="48" t="s">
        <v>114</v>
      </c>
      <c r="R10270" s="45" t="s">
        <v>272</v>
      </c>
    </row>
    <row r="10271" spans="1:18" ht="69" customHeight="1">
      <c r="B10271" s="79">
        <f t="shared" si="91"/>
        <v>7383</v>
      </c>
      <c r="C10271" s="681" t="s">
        <v>9545</v>
      </c>
      <c r="D10271" s="551" t="s">
        <v>24901</v>
      </c>
      <c r="E10271" s="58" t="s">
        <v>24816</v>
      </c>
      <c r="F10271" s="58" t="s">
        <v>24902</v>
      </c>
      <c r="G10271" s="74" t="s">
        <v>24885</v>
      </c>
      <c r="H10271" s="779">
        <v>5000</v>
      </c>
      <c r="I10271" s="919">
        <v>45772</v>
      </c>
      <c r="J10271" s="197" t="s">
        <v>24886</v>
      </c>
      <c r="K10271" s="136"/>
      <c r="O10271" s="45" t="s">
        <v>11411</v>
      </c>
      <c r="P10271" s="58" t="s">
        <v>44</v>
      </c>
      <c r="Q10271" s="48" t="s">
        <v>117</v>
      </c>
      <c r="R10271" s="45" t="s">
        <v>272</v>
      </c>
    </row>
    <row r="10272" spans="1:18" ht="69" customHeight="1">
      <c r="A10272" s="168"/>
      <c r="B10272" s="79">
        <f t="shared" si="91"/>
        <v>7384</v>
      </c>
      <c r="C10272" s="680" t="s">
        <v>7415</v>
      </c>
      <c r="D10272" s="551" t="s">
        <v>24903</v>
      </c>
      <c r="E10272" s="58" t="s">
        <v>24816</v>
      </c>
      <c r="F10272" s="58" t="s">
        <v>24904</v>
      </c>
      <c r="G10272" s="74" t="s">
        <v>24885</v>
      </c>
      <c r="H10272" s="779">
        <v>5000</v>
      </c>
      <c r="I10272" s="919">
        <v>45772</v>
      </c>
      <c r="J10272" s="197" t="s">
        <v>24886</v>
      </c>
      <c r="K10272" s="136"/>
      <c r="O10272" s="45" t="s">
        <v>11411</v>
      </c>
      <c r="P10272" s="58" t="s">
        <v>44</v>
      </c>
      <c r="Q10272" s="48" t="s">
        <v>119</v>
      </c>
      <c r="R10272" s="45" t="s">
        <v>272</v>
      </c>
    </row>
    <row r="10273" spans="2:18" ht="69" customHeight="1">
      <c r="B10273" s="79">
        <f t="shared" si="91"/>
        <v>7385</v>
      </c>
      <c r="C10273" s="178" t="s">
        <v>10418</v>
      </c>
      <c r="D10273" s="551" t="s">
        <v>24905</v>
      </c>
      <c r="E10273" s="58" t="s">
        <v>24816</v>
      </c>
      <c r="F10273" s="58" t="s">
        <v>24906</v>
      </c>
      <c r="G10273" s="74" t="s">
        <v>24885</v>
      </c>
      <c r="H10273" s="779">
        <v>5000</v>
      </c>
      <c r="I10273" s="920">
        <v>45772</v>
      </c>
      <c r="J10273" s="197" t="s">
        <v>24886</v>
      </c>
      <c r="K10273" s="136"/>
      <c r="O10273" s="45" t="s">
        <v>11411</v>
      </c>
      <c r="P10273" s="58" t="s">
        <v>44</v>
      </c>
      <c r="Q10273" s="48" t="s">
        <v>121</v>
      </c>
      <c r="R10273" s="45" t="s">
        <v>272</v>
      </c>
    </row>
    <row r="10274" spans="2:18" ht="69" customHeight="1">
      <c r="B10274" s="79">
        <f t="shared" si="91"/>
        <v>7386</v>
      </c>
      <c r="C10274" s="178" t="s">
        <v>11618</v>
      </c>
      <c r="D10274" s="551" t="s">
        <v>23921</v>
      </c>
      <c r="E10274" s="58" t="s">
        <v>24816</v>
      </c>
      <c r="F10274" s="58" t="s">
        <v>24907</v>
      </c>
      <c r="G10274" s="74" t="s">
        <v>24885</v>
      </c>
      <c r="H10274" s="779">
        <v>3000</v>
      </c>
      <c r="I10274" s="920">
        <v>45772</v>
      </c>
      <c r="J10274" s="197" t="s">
        <v>24886</v>
      </c>
      <c r="K10274" s="136"/>
      <c r="O10274" s="45" t="s">
        <v>11411</v>
      </c>
      <c r="P10274" s="58" t="s">
        <v>44</v>
      </c>
      <c r="Q10274" s="48" t="s">
        <v>122</v>
      </c>
      <c r="R10274" s="45" t="s">
        <v>272</v>
      </c>
    </row>
    <row r="10275" spans="2:18" ht="69" customHeight="1">
      <c r="B10275" s="79">
        <f t="shared" si="91"/>
        <v>7387</v>
      </c>
      <c r="C10275" s="788" t="s">
        <v>11933</v>
      </c>
      <c r="D10275" s="551" t="s">
        <v>24908</v>
      </c>
      <c r="E10275" s="58" t="s">
        <v>24816</v>
      </c>
      <c r="F10275" s="58" t="s">
        <v>24909</v>
      </c>
      <c r="G10275" s="74" t="s">
        <v>24885</v>
      </c>
      <c r="H10275" s="779">
        <v>6000</v>
      </c>
      <c r="I10275" s="920">
        <v>45772</v>
      </c>
      <c r="J10275" s="197" t="s">
        <v>24886</v>
      </c>
      <c r="K10275" s="136"/>
      <c r="O10275" s="45" t="s">
        <v>11411</v>
      </c>
      <c r="P10275" s="58" t="s">
        <v>44</v>
      </c>
      <c r="Q10275" s="48" t="s">
        <v>123</v>
      </c>
      <c r="R10275" s="45" t="s">
        <v>272</v>
      </c>
    </row>
    <row r="10276" spans="2:18" ht="69" customHeight="1">
      <c r="B10276" s="79">
        <f t="shared" si="91"/>
        <v>7388</v>
      </c>
      <c r="C10276" s="178" t="s">
        <v>13562</v>
      </c>
      <c r="D10276" s="551" t="s">
        <v>23924</v>
      </c>
      <c r="E10276" s="58" t="s">
        <v>24816</v>
      </c>
      <c r="F10276" s="58" t="s">
        <v>24910</v>
      </c>
      <c r="G10276" s="74" t="s">
        <v>24885</v>
      </c>
      <c r="H10276" s="779">
        <v>3000</v>
      </c>
      <c r="I10276" s="920">
        <v>45772</v>
      </c>
      <c r="J10276" s="197" t="s">
        <v>24886</v>
      </c>
      <c r="K10276" s="136"/>
      <c r="O10276" s="45" t="s">
        <v>11411</v>
      </c>
      <c r="P10276" s="58" t="s">
        <v>44</v>
      </c>
      <c r="Q10276" s="48" t="s">
        <v>88</v>
      </c>
      <c r="R10276" s="45" t="s">
        <v>272</v>
      </c>
    </row>
    <row r="10277" spans="2:18" ht="69" customHeight="1">
      <c r="B10277" s="239">
        <f t="shared" si="91"/>
        <v>7389</v>
      </c>
      <c r="C10277" s="909" t="s">
        <v>8797</v>
      </c>
      <c r="D10277" s="489" t="s">
        <v>14989</v>
      </c>
      <c r="E10277" s="45" t="s">
        <v>266</v>
      </c>
      <c r="F10277" s="45" t="s">
        <v>24911</v>
      </c>
      <c r="G10277" s="45" t="s">
        <v>24912</v>
      </c>
      <c r="H10277" s="198">
        <v>47500</v>
      </c>
      <c r="I10277" s="47">
        <v>45762</v>
      </c>
      <c r="J10277" s="910" t="s">
        <v>24913</v>
      </c>
      <c r="K10277" s="45"/>
      <c r="O10277" s="45" t="s">
        <v>24914</v>
      </c>
      <c r="P10277" s="45" t="s">
        <v>65</v>
      </c>
      <c r="Q10277" s="48" t="s">
        <v>110</v>
      </c>
      <c r="R10277" s="45" t="s">
        <v>272</v>
      </c>
    </row>
    <row r="10278" spans="2:18" ht="69" customHeight="1">
      <c r="B10278" s="239">
        <f t="shared" si="91"/>
        <v>7390</v>
      </c>
      <c r="C10278" s="909" t="s">
        <v>8797</v>
      </c>
      <c r="D10278" s="489" t="s">
        <v>14991</v>
      </c>
      <c r="E10278" s="45" t="s">
        <v>266</v>
      </c>
      <c r="F10278" s="45" t="s">
        <v>24915</v>
      </c>
      <c r="G10278" s="45" t="s">
        <v>24912</v>
      </c>
      <c r="H10278" s="198">
        <v>47500</v>
      </c>
      <c r="I10278" s="47">
        <v>45762</v>
      </c>
      <c r="J10278" s="910" t="s">
        <v>24913</v>
      </c>
      <c r="K10278" s="45"/>
      <c r="O10278" s="45" t="s">
        <v>24914</v>
      </c>
      <c r="P10278" s="45" t="s">
        <v>65</v>
      </c>
      <c r="Q10278" s="48" t="s">
        <v>110</v>
      </c>
      <c r="R10278" s="45" t="s">
        <v>272</v>
      </c>
    </row>
    <row r="10279" spans="2:18" ht="69" customHeight="1">
      <c r="B10279" s="239">
        <f t="shared" si="91"/>
        <v>7391</v>
      </c>
      <c r="C10279" s="909" t="s">
        <v>8797</v>
      </c>
      <c r="D10279" s="489" t="s">
        <v>14995</v>
      </c>
      <c r="E10279" s="45" t="s">
        <v>266</v>
      </c>
      <c r="F10279" s="45" t="s">
        <v>24916</v>
      </c>
      <c r="G10279" s="45" t="s">
        <v>24912</v>
      </c>
      <c r="H10279" s="198">
        <v>47500</v>
      </c>
      <c r="I10279" s="47">
        <v>45762</v>
      </c>
      <c r="J10279" s="910" t="s">
        <v>24913</v>
      </c>
      <c r="K10279" s="45"/>
      <c r="O10279" s="45" t="s">
        <v>24914</v>
      </c>
      <c r="P10279" s="45" t="s">
        <v>65</v>
      </c>
      <c r="Q10279" s="48" t="s">
        <v>110</v>
      </c>
      <c r="R10279" s="45" t="s">
        <v>272</v>
      </c>
    </row>
    <row r="10280" spans="2:18" ht="69" customHeight="1">
      <c r="B10280" s="239">
        <f t="shared" si="91"/>
        <v>7392</v>
      </c>
      <c r="C10280" s="909" t="s">
        <v>8797</v>
      </c>
      <c r="D10280" s="489" t="s">
        <v>14998</v>
      </c>
      <c r="E10280" s="45" t="s">
        <v>266</v>
      </c>
      <c r="F10280" s="45" t="s">
        <v>24917</v>
      </c>
      <c r="G10280" s="45" t="s">
        <v>24912</v>
      </c>
      <c r="H10280" s="198">
        <v>47500</v>
      </c>
      <c r="I10280" s="47">
        <v>45762</v>
      </c>
      <c r="J10280" s="910" t="s">
        <v>24913</v>
      </c>
      <c r="K10280" s="45"/>
      <c r="O10280" s="45" t="s">
        <v>24914</v>
      </c>
      <c r="P10280" s="45" t="s">
        <v>65</v>
      </c>
      <c r="Q10280" s="48" t="s">
        <v>110</v>
      </c>
      <c r="R10280" s="45" t="s">
        <v>272</v>
      </c>
    </row>
    <row r="10281" spans="2:18" ht="69" customHeight="1">
      <c r="B10281" s="239">
        <f t="shared" si="91"/>
        <v>7393</v>
      </c>
      <c r="C10281" s="909" t="s">
        <v>8797</v>
      </c>
      <c r="D10281" s="489" t="s">
        <v>15000</v>
      </c>
      <c r="E10281" s="45" t="s">
        <v>266</v>
      </c>
      <c r="F10281" s="45" t="s">
        <v>24918</v>
      </c>
      <c r="G10281" s="45" t="s">
        <v>24912</v>
      </c>
      <c r="H10281" s="198">
        <v>47500</v>
      </c>
      <c r="I10281" s="47">
        <v>45762</v>
      </c>
      <c r="J10281" s="910" t="s">
        <v>24913</v>
      </c>
      <c r="K10281" s="45"/>
      <c r="O10281" s="45" t="s">
        <v>24914</v>
      </c>
      <c r="P10281" s="45" t="s">
        <v>65</v>
      </c>
      <c r="Q10281" s="48" t="s">
        <v>110</v>
      </c>
      <c r="R10281" s="45" t="s">
        <v>272</v>
      </c>
    </row>
    <row r="10282" spans="2:18" ht="69" customHeight="1">
      <c r="B10282" s="239">
        <f t="shared" si="91"/>
        <v>7394</v>
      </c>
      <c r="C10282" s="909" t="s">
        <v>8797</v>
      </c>
      <c r="D10282" s="489" t="s">
        <v>15002</v>
      </c>
      <c r="E10282" s="45" t="s">
        <v>266</v>
      </c>
      <c r="F10282" s="45" t="s">
        <v>24919</v>
      </c>
      <c r="G10282" s="45" t="s">
        <v>24912</v>
      </c>
      <c r="H10282" s="198">
        <v>12500</v>
      </c>
      <c r="I10282" s="47">
        <v>45762</v>
      </c>
      <c r="J10282" s="910" t="s">
        <v>24913</v>
      </c>
      <c r="K10282" s="45"/>
      <c r="O10282" s="45" t="s">
        <v>24914</v>
      </c>
      <c r="P10282" s="45" t="s">
        <v>65</v>
      </c>
      <c r="Q10282" s="48" t="s">
        <v>110</v>
      </c>
      <c r="R10282" s="45" t="s">
        <v>272</v>
      </c>
    </row>
    <row r="10283" spans="2:18" ht="69" customHeight="1">
      <c r="B10283" s="79">
        <f t="shared" si="91"/>
        <v>7395</v>
      </c>
      <c r="C10283" s="45" t="s">
        <v>16757</v>
      </c>
      <c r="D10283" s="498" t="s">
        <v>96</v>
      </c>
      <c r="E10283" s="45" t="s">
        <v>266</v>
      </c>
      <c r="F10283" s="58" t="s">
        <v>24920</v>
      </c>
      <c r="G10283" s="58" t="s">
        <v>24921</v>
      </c>
      <c r="H10283" s="546">
        <v>13472.93</v>
      </c>
      <c r="I10283" s="242" t="s">
        <v>96</v>
      </c>
      <c r="J10283" s="242" t="s">
        <v>96</v>
      </c>
      <c r="K10283" s="67" t="s">
        <v>24922</v>
      </c>
      <c r="O10283" s="45" t="s">
        <v>12553</v>
      </c>
      <c r="P10283" s="45" t="s">
        <v>32</v>
      </c>
      <c r="Q10283" s="48" t="s">
        <v>47</v>
      </c>
      <c r="R10283" s="45" t="s">
        <v>272</v>
      </c>
    </row>
    <row r="10284" spans="2:18" ht="69" customHeight="1">
      <c r="B10284" s="79">
        <f t="shared" si="91"/>
        <v>7396</v>
      </c>
      <c r="C10284" s="58" t="s">
        <v>24923</v>
      </c>
      <c r="D10284" s="498" t="s">
        <v>96</v>
      </c>
      <c r="E10284" s="45" t="s">
        <v>266</v>
      </c>
      <c r="F10284" s="58" t="s">
        <v>24924</v>
      </c>
      <c r="G10284" s="58" t="s">
        <v>24921</v>
      </c>
      <c r="H10284" s="546">
        <v>13472.93</v>
      </c>
      <c r="I10284" s="242" t="s">
        <v>96</v>
      </c>
      <c r="J10284" s="242" t="s">
        <v>96</v>
      </c>
      <c r="K10284" s="67" t="s">
        <v>24922</v>
      </c>
      <c r="O10284" s="45" t="s">
        <v>12553</v>
      </c>
      <c r="P10284" s="45" t="s">
        <v>32</v>
      </c>
      <c r="Q10284" s="48" t="s">
        <v>52</v>
      </c>
      <c r="R10284" s="45" t="s">
        <v>272</v>
      </c>
    </row>
    <row r="10285" spans="2:18" ht="69" customHeight="1">
      <c r="B10285" s="79">
        <f t="shared" si="91"/>
        <v>7397</v>
      </c>
      <c r="C10285" s="58" t="s">
        <v>5082</v>
      </c>
      <c r="D10285" s="498" t="s">
        <v>96</v>
      </c>
      <c r="E10285" s="45" t="s">
        <v>266</v>
      </c>
      <c r="F10285" s="58" t="s">
        <v>24925</v>
      </c>
      <c r="G10285" s="58" t="s">
        <v>24921</v>
      </c>
      <c r="H10285" s="546">
        <v>14610.33</v>
      </c>
      <c r="I10285" s="242" t="s">
        <v>96</v>
      </c>
      <c r="J10285" s="242" t="s">
        <v>96</v>
      </c>
      <c r="K10285" s="67" t="s">
        <v>24922</v>
      </c>
      <c r="O10285" s="45" t="s">
        <v>12553</v>
      </c>
      <c r="P10285" s="45" t="s">
        <v>32</v>
      </c>
      <c r="Q10285" s="48" t="s">
        <v>60</v>
      </c>
      <c r="R10285" s="45" t="s">
        <v>272</v>
      </c>
    </row>
    <row r="10286" spans="2:18" ht="69" customHeight="1">
      <c r="B10286" s="79">
        <f t="shared" si="91"/>
        <v>7398</v>
      </c>
      <c r="C10286" s="58" t="s">
        <v>5189</v>
      </c>
      <c r="D10286" s="498" t="s">
        <v>96</v>
      </c>
      <c r="E10286" s="45" t="s">
        <v>266</v>
      </c>
      <c r="F10286" s="58" t="s">
        <v>24926</v>
      </c>
      <c r="G10286" s="58" t="s">
        <v>24921</v>
      </c>
      <c r="H10286" s="546">
        <v>14610.33</v>
      </c>
      <c r="I10286" s="242" t="s">
        <v>96</v>
      </c>
      <c r="J10286" s="242" t="s">
        <v>96</v>
      </c>
      <c r="K10286" s="67" t="s">
        <v>24922</v>
      </c>
      <c r="O10286" s="45" t="s">
        <v>12553</v>
      </c>
      <c r="P10286" s="45" t="s">
        <v>32</v>
      </c>
      <c r="Q10286" s="48" t="s">
        <v>62</v>
      </c>
      <c r="R10286" s="45" t="s">
        <v>272</v>
      </c>
    </row>
    <row r="10287" spans="2:18" ht="69" customHeight="1">
      <c r="B10287" s="79">
        <f t="shared" si="91"/>
        <v>7399</v>
      </c>
      <c r="C10287" s="58" t="s">
        <v>24927</v>
      </c>
      <c r="D10287" s="498" t="s">
        <v>96</v>
      </c>
      <c r="E10287" s="45" t="s">
        <v>266</v>
      </c>
      <c r="F10287" s="58" t="s">
        <v>24928</v>
      </c>
      <c r="G10287" s="58" t="s">
        <v>24921</v>
      </c>
      <c r="H10287" s="546">
        <v>6454.39</v>
      </c>
      <c r="I10287" s="242" t="s">
        <v>96</v>
      </c>
      <c r="J10287" s="242" t="s">
        <v>96</v>
      </c>
      <c r="K10287" s="67" t="s">
        <v>24922</v>
      </c>
      <c r="O10287" s="45" t="s">
        <v>12553</v>
      </c>
      <c r="P10287" s="45" t="s">
        <v>32</v>
      </c>
      <c r="Q10287" s="48" t="s">
        <v>64</v>
      </c>
      <c r="R10287" s="45" t="s">
        <v>272</v>
      </c>
    </row>
    <row r="10288" spans="2:18" ht="69" customHeight="1">
      <c r="B10288" s="79">
        <f t="shared" si="91"/>
        <v>7400</v>
      </c>
      <c r="C10288" s="58" t="s">
        <v>5658</v>
      </c>
      <c r="D10288" s="498" t="s">
        <v>96</v>
      </c>
      <c r="E10288" s="45" t="s">
        <v>266</v>
      </c>
      <c r="F10288" s="58" t="s">
        <v>24929</v>
      </c>
      <c r="G10288" s="58" t="s">
        <v>24921</v>
      </c>
      <c r="H10288" s="546">
        <v>6454.39</v>
      </c>
      <c r="I10288" s="242" t="s">
        <v>96</v>
      </c>
      <c r="J10288" s="242" t="s">
        <v>96</v>
      </c>
      <c r="K10288" s="67" t="s">
        <v>24922</v>
      </c>
      <c r="O10288" s="45" t="s">
        <v>12553</v>
      </c>
      <c r="P10288" s="45" t="s">
        <v>32</v>
      </c>
      <c r="Q10288" s="48" t="s">
        <v>66</v>
      </c>
      <c r="R10288" s="45" t="s">
        <v>272</v>
      </c>
    </row>
    <row r="10289" spans="2:18" ht="69" customHeight="1">
      <c r="B10289" s="79">
        <f t="shared" si="91"/>
        <v>7401</v>
      </c>
      <c r="C10289" s="58" t="s">
        <v>24930</v>
      </c>
      <c r="D10289" s="498" t="s">
        <v>96</v>
      </c>
      <c r="E10289" s="45" t="s">
        <v>266</v>
      </c>
      <c r="F10289" s="58" t="s">
        <v>24931</v>
      </c>
      <c r="G10289" s="58" t="s">
        <v>24921</v>
      </c>
      <c r="H10289" s="546">
        <v>13545.53</v>
      </c>
      <c r="I10289" s="242" t="s">
        <v>96</v>
      </c>
      <c r="J10289" s="242" t="s">
        <v>96</v>
      </c>
      <c r="K10289" s="67" t="s">
        <v>24922</v>
      </c>
      <c r="O10289" s="45" t="s">
        <v>12553</v>
      </c>
      <c r="P10289" s="45" t="s">
        <v>32</v>
      </c>
      <c r="Q10289" s="48" t="s">
        <v>74</v>
      </c>
      <c r="R10289" s="45" t="s">
        <v>272</v>
      </c>
    </row>
    <row r="10290" spans="2:18" ht="69" customHeight="1">
      <c r="B10290" s="79">
        <f t="shared" si="91"/>
        <v>7402</v>
      </c>
      <c r="C10290" s="58" t="s">
        <v>24932</v>
      </c>
      <c r="D10290" s="498" t="s">
        <v>96</v>
      </c>
      <c r="E10290" s="45" t="s">
        <v>266</v>
      </c>
      <c r="F10290" s="58" t="s">
        <v>24933</v>
      </c>
      <c r="G10290" s="58" t="s">
        <v>24921</v>
      </c>
      <c r="H10290" s="546">
        <v>13545.53</v>
      </c>
      <c r="I10290" s="242" t="s">
        <v>96</v>
      </c>
      <c r="J10290" s="242" t="s">
        <v>96</v>
      </c>
      <c r="K10290" s="67" t="s">
        <v>24922</v>
      </c>
      <c r="O10290" s="45" t="s">
        <v>12553</v>
      </c>
      <c r="P10290" s="45" t="s">
        <v>32</v>
      </c>
      <c r="Q10290" s="48" t="s">
        <v>76</v>
      </c>
      <c r="R10290" s="45" t="s">
        <v>272</v>
      </c>
    </row>
    <row r="10291" spans="2:18" ht="69" customHeight="1">
      <c r="B10291" s="79">
        <f t="shared" si="91"/>
        <v>7403</v>
      </c>
      <c r="C10291" s="58" t="s">
        <v>5658</v>
      </c>
      <c r="D10291" s="498" t="s">
        <v>567</v>
      </c>
      <c r="E10291" s="58" t="s">
        <v>266</v>
      </c>
      <c r="F10291" s="58" t="s">
        <v>24934</v>
      </c>
      <c r="G10291" s="58" t="s">
        <v>24935</v>
      </c>
      <c r="H10291" s="546">
        <v>13959.49</v>
      </c>
      <c r="I10291" s="125" t="s">
        <v>96</v>
      </c>
      <c r="J10291" s="242" t="s">
        <v>5702</v>
      </c>
      <c r="K10291" s="67"/>
      <c r="O10291" s="45" t="s">
        <v>2091</v>
      </c>
      <c r="P10291" s="45" t="s">
        <v>53</v>
      </c>
      <c r="Q10291" s="48" t="s">
        <v>86</v>
      </c>
      <c r="R10291" s="45" t="s">
        <v>272</v>
      </c>
    </row>
    <row r="10292" spans="2:18" ht="69" customHeight="1">
      <c r="B10292" s="239">
        <f t="shared" si="91"/>
        <v>7404</v>
      </c>
      <c r="C10292" s="45" t="s">
        <v>7415</v>
      </c>
      <c r="D10292" s="489" t="s">
        <v>23779</v>
      </c>
      <c r="E10292" s="677" t="s">
        <v>24504</v>
      </c>
      <c r="F10292" s="677" t="s">
        <v>24936</v>
      </c>
      <c r="G10292" s="775" t="s">
        <v>24937</v>
      </c>
      <c r="H10292" s="198">
        <v>240</v>
      </c>
      <c r="I10292" s="47">
        <v>45782</v>
      </c>
      <c r="J10292" s="73" t="s">
        <v>24938</v>
      </c>
      <c r="K10292" s="45"/>
      <c r="O10292" s="45" t="s">
        <v>24508</v>
      </c>
      <c r="P10292" s="45" t="s">
        <v>65</v>
      </c>
      <c r="Q10292" s="48" t="s">
        <v>119</v>
      </c>
      <c r="R10292" s="45" t="s">
        <v>272</v>
      </c>
    </row>
    <row r="10293" spans="2:18" ht="69" customHeight="1">
      <c r="B10293" s="239">
        <v>7404</v>
      </c>
      <c r="C10293" s="45" t="s">
        <v>7415</v>
      </c>
      <c r="D10293" s="489" t="s">
        <v>24939</v>
      </c>
      <c r="E10293" s="677" t="s">
        <v>24509</v>
      </c>
      <c r="F10293" s="677" t="s">
        <v>24940</v>
      </c>
      <c r="G10293" s="775" t="s">
        <v>24941</v>
      </c>
      <c r="H10293" s="198">
        <v>2160</v>
      </c>
      <c r="I10293" s="47">
        <v>45782</v>
      </c>
      <c r="J10293" s="73" t="s">
        <v>24938</v>
      </c>
      <c r="K10293" s="45"/>
      <c r="O10293" s="45" t="s">
        <v>8228</v>
      </c>
      <c r="P10293" s="45" t="s">
        <v>65</v>
      </c>
      <c r="Q10293" s="48" t="s">
        <v>119</v>
      </c>
      <c r="R10293" s="45" t="s">
        <v>272</v>
      </c>
    </row>
    <row r="10294" spans="2:18" ht="69" customHeight="1">
      <c r="B10294" s="79">
        <f>B10292+1</f>
        <v>7405</v>
      </c>
      <c r="C10294" s="676" t="s">
        <v>10961</v>
      </c>
      <c r="D10294" s="498" t="s">
        <v>24942</v>
      </c>
      <c r="E10294" s="680" t="s">
        <v>266</v>
      </c>
      <c r="F10294" s="58" t="s">
        <v>24943</v>
      </c>
      <c r="G10294" s="58" t="s">
        <v>24944</v>
      </c>
      <c r="H10294" s="546">
        <v>2576.1999999999998</v>
      </c>
      <c r="I10294" s="126">
        <v>45772</v>
      </c>
      <c r="J10294" s="242" t="s">
        <v>24945</v>
      </c>
      <c r="K10294" s="67"/>
      <c r="O10294" s="45" t="s">
        <v>24350</v>
      </c>
      <c r="P10294" s="45" t="s">
        <v>65</v>
      </c>
      <c r="Q10294" s="48" t="s">
        <v>96</v>
      </c>
      <c r="R10294" s="45" t="s">
        <v>272</v>
      </c>
    </row>
    <row r="10295" spans="2:18" ht="69" customHeight="1">
      <c r="B10295" s="79">
        <f t="shared" si="91"/>
        <v>7406</v>
      </c>
      <c r="C10295" s="676" t="s">
        <v>10961</v>
      </c>
      <c r="D10295" s="498" t="s">
        <v>24946</v>
      </c>
      <c r="E10295" s="680" t="s">
        <v>266</v>
      </c>
      <c r="F10295" s="58" t="s">
        <v>24947</v>
      </c>
      <c r="G10295" s="58" t="s">
        <v>24944</v>
      </c>
      <c r="H10295" s="546">
        <v>257.62</v>
      </c>
      <c r="I10295" s="126">
        <v>45772</v>
      </c>
      <c r="J10295" s="242" t="s">
        <v>24945</v>
      </c>
      <c r="K10295" s="67"/>
      <c r="O10295" s="45" t="s">
        <v>24350</v>
      </c>
      <c r="P10295" s="45" t="s">
        <v>65</v>
      </c>
      <c r="Q10295" s="48" t="s">
        <v>96</v>
      </c>
      <c r="R10295" s="45" t="s">
        <v>272</v>
      </c>
    </row>
    <row r="10296" spans="2:18" ht="69" customHeight="1">
      <c r="B10296" s="79">
        <f t="shared" si="91"/>
        <v>7407</v>
      </c>
      <c r="C10296" s="59" t="s">
        <v>11908</v>
      </c>
      <c r="D10296" s="498" t="s">
        <v>24948</v>
      </c>
      <c r="E10296" s="58" t="s">
        <v>24949</v>
      </c>
      <c r="F10296" s="58" t="s">
        <v>24950</v>
      </c>
      <c r="G10296" s="960" t="s">
        <v>24951</v>
      </c>
      <c r="H10296" s="546">
        <v>335661.24</v>
      </c>
      <c r="I10296" s="126">
        <v>45772</v>
      </c>
      <c r="J10296" s="242" t="s">
        <v>24952</v>
      </c>
      <c r="K10296" s="67"/>
      <c r="O10296" s="45" t="s">
        <v>141</v>
      </c>
      <c r="P10296" s="45" t="s">
        <v>19</v>
      </c>
      <c r="Q10296" s="48" t="s">
        <v>103</v>
      </c>
      <c r="R10296" s="45" t="s">
        <v>272</v>
      </c>
    </row>
    <row r="10297" spans="2:18" ht="69" customHeight="1">
      <c r="B10297" s="231">
        <f t="shared" si="91"/>
        <v>7408</v>
      </c>
      <c r="C10297" s="191" t="s">
        <v>9004</v>
      </c>
      <c r="D10297" s="502" t="s">
        <v>15054</v>
      </c>
      <c r="E10297" s="46" t="s">
        <v>266</v>
      </c>
      <c r="F10297" s="46" t="s">
        <v>24953</v>
      </c>
      <c r="G10297" s="46" t="s">
        <v>24954</v>
      </c>
      <c r="H10297" s="534">
        <v>10000</v>
      </c>
      <c r="I10297" s="56">
        <v>45772</v>
      </c>
      <c r="J10297" s="199" t="s">
        <v>24955</v>
      </c>
      <c r="K10297" s="46" t="s">
        <v>24956</v>
      </c>
      <c r="O10297" s="46" t="s">
        <v>24957</v>
      </c>
      <c r="P10297" s="46" t="s">
        <v>65</v>
      </c>
      <c r="Q10297" s="52" t="s">
        <v>111</v>
      </c>
      <c r="R10297" s="46" t="s">
        <v>272</v>
      </c>
    </row>
    <row r="10298" spans="2:18" ht="69" customHeight="1">
      <c r="B10298" s="79">
        <f t="shared" si="91"/>
        <v>7409</v>
      </c>
      <c r="C10298" s="909" t="s">
        <v>8797</v>
      </c>
      <c r="D10298" s="498" t="s">
        <v>15056</v>
      </c>
      <c r="E10298" s="58" t="s">
        <v>266</v>
      </c>
      <c r="F10298" s="58" t="s">
        <v>24958</v>
      </c>
      <c r="G10298" s="58" t="s">
        <v>24959</v>
      </c>
      <c r="H10298" s="546">
        <v>34.83</v>
      </c>
      <c r="I10298" s="126">
        <v>45762</v>
      </c>
      <c r="J10298" s="242" t="s">
        <v>24960</v>
      </c>
      <c r="K10298" s="67"/>
      <c r="O10298" s="45" t="s">
        <v>5969</v>
      </c>
      <c r="P10298" s="58" t="s">
        <v>44</v>
      </c>
      <c r="Q10298" s="48" t="s">
        <v>110</v>
      </c>
      <c r="R10298" s="45" t="s">
        <v>272</v>
      </c>
    </row>
    <row r="10299" spans="2:18" ht="69" customHeight="1">
      <c r="B10299" s="79">
        <f t="shared" si="91"/>
        <v>7410</v>
      </c>
      <c r="C10299" s="676" t="s">
        <v>8797</v>
      </c>
      <c r="D10299" s="498" t="s">
        <v>3244</v>
      </c>
      <c r="E10299" s="58" t="s">
        <v>266</v>
      </c>
      <c r="F10299" s="58" t="s">
        <v>24961</v>
      </c>
      <c r="G10299" s="58" t="s">
        <v>24959</v>
      </c>
      <c r="H10299" s="546">
        <v>45.6</v>
      </c>
      <c r="I10299" s="126">
        <v>45762</v>
      </c>
      <c r="J10299" s="242" t="s">
        <v>24960</v>
      </c>
      <c r="K10299" s="67"/>
      <c r="O10299" s="45" t="s">
        <v>5969</v>
      </c>
      <c r="P10299" s="58" t="s">
        <v>44</v>
      </c>
      <c r="Q10299" s="48" t="s">
        <v>110</v>
      </c>
      <c r="R10299" s="45" t="s">
        <v>272</v>
      </c>
    </row>
    <row r="10300" spans="2:18" ht="69" customHeight="1">
      <c r="B10300" s="238">
        <f t="shared" si="91"/>
        <v>7411</v>
      </c>
      <c r="C10300" s="1006" t="s">
        <v>11908</v>
      </c>
      <c r="D10300" s="764" t="s">
        <v>24962</v>
      </c>
      <c r="E10300" s="100" t="s">
        <v>266</v>
      </c>
      <c r="F10300" s="100" t="s">
        <v>24963</v>
      </c>
      <c r="G10300" s="100" t="s">
        <v>24964</v>
      </c>
      <c r="H10300" s="991"/>
      <c r="I10300" s="172"/>
      <c r="J10300" s="268" t="s">
        <v>24965</v>
      </c>
      <c r="K10300" s="160" t="s">
        <v>23376</v>
      </c>
      <c r="O10300" s="865" t="s">
        <v>24602</v>
      </c>
      <c r="P10300" s="229"/>
      <c r="Q10300" s="48"/>
      <c r="R10300" s="45" t="s">
        <v>272</v>
      </c>
    </row>
    <row r="10301" spans="2:18" ht="69" customHeight="1">
      <c r="B10301" s="79">
        <f t="shared" si="91"/>
        <v>7412</v>
      </c>
      <c r="C10301" s="58" t="s">
        <v>8797</v>
      </c>
      <c r="D10301" s="498" t="s">
        <v>15099</v>
      </c>
      <c r="E10301" s="45" t="s">
        <v>266</v>
      </c>
      <c r="F10301" s="45" t="s">
        <v>24966</v>
      </c>
      <c r="G10301" s="45" t="s">
        <v>24967</v>
      </c>
      <c r="H10301" s="917">
        <v>58800</v>
      </c>
      <c r="I10301" s="126">
        <v>45772</v>
      </c>
      <c r="J10301" s="65" t="s">
        <v>24968</v>
      </c>
      <c r="K10301" s="58"/>
      <c r="O10301" s="45" t="s">
        <v>24914</v>
      </c>
      <c r="P10301" s="45" t="s">
        <v>65</v>
      </c>
      <c r="Q10301" s="48" t="s">
        <v>110</v>
      </c>
      <c r="R10301" s="45" t="s">
        <v>272</v>
      </c>
    </row>
    <row r="10302" spans="2:18" ht="69" customHeight="1">
      <c r="B10302" s="79">
        <f t="shared" si="91"/>
        <v>7413</v>
      </c>
      <c r="C10302" s="58" t="s">
        <v>8797</v>
      </c>
      <c r="D10302" s="498" t="s">
        <v>15147</v>
      </c>
      <c r="E10302" s="45" t="s">
        <v>266</v>
      </c>
      <c r="F10302" s="45" t="s">
        <v>24969</v>
      </c>
      <c r="G10302" s="45" t="s">
        <v>24967</v>
      </c>
      <c r="H10302" s="917">
        <v>58800</v>
      </c>
      <c r="I10302" s="126">
        <v>45772</v>
      </c>
      <c r="J10302" s="65" t="s">
        <v>24968</v>
      </c>
      <c r="K10302" s="58"/>
      <c r="O10302" s="45" t="s">
        <v>24914</v>
      </c>
      <c r="P10302" s="45" t="s">
        <v>65</v>
      </c>
      <c r="Q10302" s="48" t="s">
        <v>110</v>
      </c>
      <c r="R10302" s="45" t="s">
        <v>272</v>
      </c>
    </row>
    <row r="10303" spans="2:18" ht="69" customHeight="1">
      <c r="B10303" s="79">
        <f t="shared" si="91"/>
        <v>7414</v>
      </c>
      <c r="C10303" s="58" t="s">
        <v>8797</v>
      </c>
      <c r="D10303" s="498" t="s">
        <v>15151</v>
      </c>
      <c r="E10303" s="45" t="s">
        <v>266</v>
      </c>
      <c r="F10303" s="45" t="s">
        <v>24970</v>
      </c>
      <c r="G10303" s="45" t="s">
        <v>24967</v>
      </c>
      <c r="H10303" s="917">
        <v>58800</v>
      </c>
      <c r="I10303" s="126">
        <v>45772</v>
      </c>
      <c r="J10303" s="65" t="s">
        <v>24968</v>
      </c>
      <c r="K10303" s="58"/>
      <c r="O10303" s="45" t="s">
        <v>24914</v>
      </c>
      <c r="P10303" s="45" t="s">
        <v>65</v>
      </c>
      <c r="Q10303" s="48" t="s">
        <v>110</v>
      </c>
      <c r="R10303" s="45" t="s">
        <v>272</v>
      </c>
    </row>
    <row r="10304" spans="2:18" ht="69" customHeight="1">
      <c r="B10304" s="79">
        <f t="shared" si="91"/>
        <v>7415</v>
      </c>
      <c r="C10304" s="58" t="s">
        <v>8797</v>
      </c>
      <c r="D10304" s="498" t="s">
        <v>15153</v>
      </c>
      <c r="E10304" s="45" t="s">
        <v>266</v>
      </c>
      <c r="F10304" s="45" t="s">
        <v>24971</v>
      </c>
      <c r="G10304" s="45" t="s">
        <v>24967</v>
      </c>
      <c r="H10304" s="917">
        <v>58800</v>
      </c>
      <c r="I10304" s="126">
        <v>45772</v>
      </c>
      <c r="J10304" s="65" t="s">
        <v>24968</v>
      </c>
      <c r="K10304" s="58"/>
      <c r="O10304" s="45" t="s">
        <v>24914</v>
      </c>
      <c r="P10304" s="45" t="s">
        <v>65</v>
      </c>
      <c r="Q10304" s="48" t="s">
        <v>110</v>
      </c>
      <c r="R10304" s="45" t="s">
        <v>272</v>
      </c>
    </row>
    <row r="10305" spans="2:18" ht="69" customHeight="1">
      <c r="B10305" s="79">
        <f t="shared" si="91"/>
        <v>7416</v>
      </c>
      <c r="C10305" s="58" t="s">
        <v>8797</v>
      </c>
      <c r="D10305" s="498" t="s">
        <v>15156</v>
      </c>
      <c r="E10305" s="45" t="s">
        <v>266</v>
      </c>
      <c r="F10305" s="45" t="s">
        <v>24972</v>
      </c>
      <c r="G10305" s="45" t="s">
        <v>24967</v>
      </c>
      <c r="H10305" s="644">
        <v>4800</v>
      </c>
      <c r="I10305" s="126">
        <v>45772</v>
      </c>
      <c r="J10305" s="65" t="s">
        <v>24968</v>
      </c>
      <c r="K10305" s="58"/>
      <c r="O10305" s="45" t="s">
        <v>24914</v>
      </c>
      <c r="P10305" s="45" t="s">
        <v>65</v>
      </c>
      <c r="Q10305" s="48" t="s">
        <v>110</v>
      </c>
      <c r="R10305" s="45" t="s">
        <v>272</v>
      </c>
    </row>
    <row r="10306" spans="2:18" ht="69" customHeight="1">
      <c r="B10306" s="239">
        <f t="shared" si="91"/>
        <v>7417</v>
      </c>
      <c r="C10306" s="909" t="s">
        <v>8797</v>
      </c>
      <c r="D10306" s="489" t="s">
        <v>15209</v>
      </c>
      <c r="E10306" s="45" t="s">
        <v>266</v>
      </c>
      <c r="F10306" s="45" t="s">
        <v>24973</v>
      </c>
      <c r="G10306" s="677" t="s">
        <v>24974</v>
      </c>
      <c r="H10306" s="811">
        <v>167.2</v>
      </c>
      <c r="I10306" s="47">
        <v>45772</v>
      </c>
      <c r="J10306" s="48" t="s">
        <v>24975</v>
      </c>
      <c r="K10306" s="237" t="s">
        <v>24807</v>
      </c>
      <c r="O10306" s="45" t="s">
        <v>24808</v>
      </c>
      <c r="P10306" s="45" t="s">
        <v>65</v>
      </c>
      <c r="Q10306" s="48" t="s">
        <v>110</v>
      </c>
      <c r="R10306" s="45" t="s">
        <v>272</v>
      </c>
    </row>
    <row r="10307" spans="2:18" ht="69" customHeight="1">
      <c r="B10307" s="79">
        <f t="shared" si="91"/>
        <v>7418</v>
      </c>
      <c r="C10307" s="805" t="s">
        <v>11933</v>
      </c>
      <c r="D10307" s="498" t="s">
        <v>24976</v>
      </c>
      <c r="E10307" s="58" t="s">
        <v>266</v>
      </c>
      <c r="F10307" s="58" t="s">
        <v>24977</v>
      </c>
      <c r="G10307" s="677" t="s">
        <v>24974</v>
      </c>
      <c r="H10307" s="811">
        <v>167.2</v>
      </c>
      <c r="I10307" s="66">
        <v>45772</v>
      </c>
      <c r="J10307" s="48" t="s">
        <v>24975</v>
      </c>
      <c r="K10307" s="67"/>
      <c r="O10307" s="45" t="s">
        <v>24808</v>
      </c>
      <c r="P10307" s="45" t="s">
        <v>65</v>
      </c>
      <c r="Q10307" s="48" t="s">
        <v>123</v>
      </c>
      <c r="R10307" s="45" t="s">
        <v>272</v>
      </c>
    </row>
    <row r="10308" spans="2:18" ht="69" customHeight="1">
      <c r="B10308" s="239">
        <f t="shared" ref="B10308:B10372" si="92">B10307+1</f>
        <v>7419</v>
      </c>
      <c r="C10308" s="739" t="s">
        <v>309</v>
      </c>
      <c r="D10308" s="489" t="s">
        <v>21151</v>
      </c>
      <c r="E10308" s="739" t="s">
        <v>266</v>
      </c>
      <c r="F10308" s="887" t="s">
        <v>24978</v>
      </c>
      <c r="G10308" s="677" t="s">
        <v>13201</v>
      </c>
      <c r="H10308" s="198">
        <v>24398.47</v>
      </c>
      <c r="I10308" s="47">
        <v>45772</v>
      </c>
      <c r="J10308" s="48" t="s">
        <v>24979</v>
      </c>
      <c r="K10308" s="45"/>
      <c r="O10308" s="45" t="s">
        <v>15366</v>
      </c>
      <c r="P10308" s="45" t="s">
        <v>67</v>
      </c>
      <c r="Q10308" s="48" t="s">
        <v>15</v>
      </c>
      <c r="R10308" s="45" t="s">
        <v>272</v>
      </c>
    </row>
    <row r="10309" spans="2:18" ht="69" customHeight="1">
      <c r="B10309" s="79">
        <v>7420</v>
      </c>
      <c r="C10309" s="59" t="s">
        <v>11908</v>
      </c>
      <c r="D10309" s="498" t="s">
        <v>24980</v>
      </c>
      <c r="E10309" s="680" t="s">
        <v>266</v>
      </c>
      <c r="F10309" s="58" t="s">
        <v>24981</v>
      </c>
      <c r="G10309" s="113" t="s">
        <v>24226</v>
      </c>
      <c r="H10309" s="546">
        <v>12000</v>
      </c>
      <c r="I10309" s="126">
        <v>45772</v>
      </c>
      <c r="J10309" s="242" t="s">
        <v>24982</v>
      </c>
      <c r="K10309" s="67"/>
      <c r="O10309" s="62" t="s">
        <v>6918</v>
      </c>
      <c r="P10309" s="45" t="s">
        <v>44</v>
      </c>
      <c r="Q10309" s="48" t="s">
        <v>103</v>
      </c>
      <c r="R10309" s="45" t="s">
        <v>272</v>
      </c>
    </row>
    <row r="10310" spans="2:18" ht="69" customHeight="1">
      <c r="B10310" s="940">
        <f t="shared" si="92"/>
        <v>7421</v>
      </c>
      <c r="C10310" s="941" t="s">
        <v>2447</v>
      </c>
      <c r="D10310" s="942" t="s">
        <v>24983</v>
      </c>
      <c r="E10310" s="740" t="s">
        <v>266</v>
      </c>
      <c r="F10310" s="740" t="s">
        <v>24984</v>
      </c>
      <c r="G10310" s="740" t="s">
        <v>24985</v>
      </c>
      <c r="H10310" s="943">
        <v>730.5</v>
      </c>
      <c r="I10310" s="944">
        <v>45772</v>
      </c>
      <c r="J10310" s="945" t="s">
        <v>24986</v>
      </c>
      <c r="K10310" s="946" t="s">
        <v>13075</v>
      </c>
      <c r="O10310" s="45" t="s">
        <v>24987</v>
      </c>
      <c r="P10310" s="45" t="s">
        <v>65</v>
      </c>
      <c r="Q10310" s="48" t="s">
        <v>96</v>
      </c>
      <c r="R10310" s="45" t="s">
        <v>272</v>
      </c>
    </row>
    <row r="10311" spans="2:18" ht="69" customHeight="1">
      <c r="B10311" s="79">
        <f t="shared" si="92"/>
        <v>7422</v>
      </c>
      <c r="C10311" s="178" t="s">
        <v>2447</v>
      </c>
      <c r="D10311" s="498" t="s">
        <v>24988</v>
      </c>
      <c r="E10311" s="58" t="s">
        <v>266</v>
      </c>
      <c r="F10311" s="58" t="s">
        <v>24989</v>
      </c>
      <c r="G10311" s="58" t="s">
        <v>24990</v>
      </c>
      <c r="H10311" s="546">
        <v>3758</v>
      </c>
      <c r="I10311" s="126">
        <v>45782</v>
      </c>
      <c r="J10311" s="242" t="s">
        <v>24991</v>
      </c>
      <c r="K10311" s="67"/>
      <c r="O10311" s="45" t="s">
        <v>24987</v>
      </c>
      <c r="P10311" s="45" t="s">
        <v>65</v>
      </c>
      <c r="Q10311" s="48" t="s">
        <v>96</v>
      </c>
      <c r="R10311" s="45" t="s">
        <v>272</v>
      </c>
    </row>
    <row r="10312" spans="2:18" ht="69" customHeight="1">
      <c r="B10312" s="231">
        <f t="shared" si="92"/>
        <v>7423</v>
      </c>
      <c r="C10312" s="46" t="s">
        <v>309</v>
      </c>
      <c r="D10312" s="502" t="s">
        <v>24992</v>
      </c>
      <c r="E10312" s="46" t="s">
        <v>266</v>
      </c>
      <c r="F10312" s="86" t="s">
        <v>24993</v>
      </c>
      <c r="G10312" s="46" t="s">
        <v>20118</v>
      </c>
      <c r="H10312" s="534">
        <v>3200</v>
      </c>
      <c r="I10312" s="56">
        <v>45782</v>
      </c>
      <c r="J10312" s="199" t="s">
        <v>24994</v>
      </c>
      <c r="K10312" s="46"/>
      <c r="O10312" s="46" t="s">
        <v>18883</v>
      </c>
      <c r="P10312" s="46" t="s">
        <v>65</v>
      </c>
      <c r="Q10312" s="52" t="s">
        <v>13</v>
      </c>
      <c r="R10312" s="46" t="s">
        <v>272</v>
      </c>
    </row>
    <row r="10313" spans="2:18" ht="69" customHeight="1">
      <c r="B10313" s="239">
        <f t="shared" si="92"/>
        <v>7424</v>
      </c>
      <c r="C10313" s="45" t="s">
        <v>11908</v>
      </c>
      <c r="D10313" s="489" t="s">
        <v>24995</v>
      </c>
      <c r="E10313" s="676" t="s">
        <v>266</v>
      </c>
      <c r="F10313" s="45" t="s">
        <v>24996</v>
      </c>
      <c r="G10313" s="45" t="s">
        <v>24997</v>
      </c>
      <c r="H10313" s="198">
        <v>950</v>
      </c>
      <c r="I10313" s="47">
        <v>45782</v>
      </c>
      <c r="J10313" s="73" t="s">
        <v>24998</v>
      </c>
      <c r="K10313" s="45"/>
      <c r="O10313" s="45" t="s">
        <v>24999</v>
      </c>
      <c r="P10313" s="45" t="s">
        <v>65</v>
      </c>
      <c r="Q10313" s="48" t="s">
        <v>103</v>
      </c>
      <c r="R10313" s="45" t="s">
        <v>272</v>
      </c>
    </row>
    <row r="10314" spans="2:18" ht="69" customHeight="1">
      <c r="B10314" s="239">
        <f t="shared" si="92"/>
        <v>7425</v>
      </c>
      <c r="C10314" s="45" t="s">
        <v>11908</v>
      </c>
      <c r="D10314" s="489" t="s">
        <v>25000</v>
      </c>
      <c r="E10314" s="45" t="s">
        <v>266</v>
      </c>
      <c r="F10314" s="45" t="s">
        <v>25001</v>
      </c>
      <c r="G10314" s="45" t="s">
        <v>25002</v>
      </c>
      <c r="H10314" s="198">
        <v>25000</v>
      </c>
      <c r="I10314" s="47">
        <v>45782</v>
      </c>
      <c r="J10314" s="73" t="s">
        <v>25003</v>
      </c>
      <c r="K10314" s="45"/>
      <c r="O10314" s="45" t="s">
        <v>24602</v>
      </c>
      <c r="P10314" s="45" t="s">
        <v>65</v>
      </c>
      <c r="Q10314" s="48" t="s">
        <v>103</v>
      </c>
      <c r="R10314" s="45" t="s">
        <v>272</v>
      </c>
    </row>
    <row r="10315" spans="2:18" ht="69" customHeight="1">
      <c r="B10315" s="79">
        <f t="shared" si="92"/>
        <v>7426</v>
      </c>
      <c r="C10315" s="788" t="s">
        <v>11933</v>
      </c>
      <c r="D10315" s="551" t="s">
        <v>25004</v>
      </c>
      <c r="E10315" s="680" t="s">
        <v>266</v>
      </c>
      <c r="F10315" s="45" t="s">
        <v>25005</v>
      </c>
      <c r="G10315" s="58" t="s">
        <v>25006</v>
      </c>
      <c r="H10315" s="552">
        <v>16800</v>
      </c>
      <c r="I10315" s="488">
        <v>45802</v>
      </c>
      <c r="J10315" s="65" t="s">
        <v>25007</v>
      </c>
      <c r="K10315" s="58"/>
      <c r="O10315" s="45" t="s">
        <v>22941</v>
      </c>
      <c r="P10315" s="45" t="s">
        <v>65</v>
      </c>
      <c r="Q10315" s="48" t="s">
        <v>123</v>
      </c>
      <c r="R10315" s="45" t="s">
        <v>272</v>
      </c>
    </row>
    <row r="10316" spans="2:18" ht="69" customHeight="1">
      <c r="B10316" s="79">
        <f t="shared" si="92"/>
        <v>7427</v>
      </c>
      <c r="C10316" s="178" t="s">
        <v>458</v>
      </c>
      <c r="D10316" s="498" t="s">
        <v>25008</v>
      </c>
      <c r="E10316" s="58" t="s">
        <v>11480</v>
      </c>
      <c r="F10316" s="58" t="s">
        <v>25009</v>
      </c>
      <c r="G10316" s="960" t="s">
        <v>24610</v>
      </c>
      <c r="H10316" s="546">
        <v>600000</v>
      </c>
      <c r="I10316" s="47">
        <v>45782</v>
      </c>
      <c r="J10316" s="242" t="s">
        <v>25010</v>
      </c>
      <c r="K10316" s="67"/>
      <c r="O10316" s="45" t="s">
        <v>141</v>
      </c>
      <c r="P10316" s="45" t="s">
        <v>19</v>
      </c>
      <c r="Q10316" s="48" t="s">
        <v>123</v>
      </c>
      <c r="R10316" s="45" t="s">
        <v>272</v>
      </c>
    </row>
    <row r="10317" spans="2:18" ht="69" customHeight="1">
      <c r="B10317" s="79">
        <f t="shared" si="92"/>
        <v>7428</v>
      </c>
      <c r="C10317" s="676" t="s">
        <v>10961</v>
      </c>
      <c r="D10317" s="498" t="s">
        <v>25011</v>
      </c>
      <c r="E10317" s="680" t="s">
        <v>266</v>
      </c>
      <c r="F10317" s="58" t="s">
        <v>25012</v>
      </c>
      <c r="G10317" s="58" t="s">
        <v>24944</v>
      </c>
      <c r="H10317" s="736">
        <v>212.93</v>
      </c>
      <c r="I10317" s="126">
        <v>45782</v>
      </c>
      <c r="J10317" s="242" t="s">
        <v>25013</v>
      </c>
      <c r="K10317" s="67"/>
      <c r="O10317" s="45" t="s">
        <v>24350</v>
      </c>
      <c r="P10317" s="45" t="s">
        <v>65</v>
      </c>
      <c r="Q10317" s="48" t="s">
        <v>96</v>
      </c>
      <c r="R10317" s="45" t="s">
        <v>272</v>
      </c>
    </row>
    <row r="10318" spans="2:18" ht="69" customHeight="1">
      <c r="B10318" s="52">
        <f t="shared" si="92"/>
        <v>7429</v>
      </c>
      <c r="C10318" s="1082" t="s">
        <v>7189</v>
      </c>
      <c r="D10318" s="502" t="s">
        <v>25014</v>
      </c>
      <c r="E10318" s="86" t="s">
        <v>266</v>
      </c>
      <c r="F10318" s="46" t="s">
        <v>25015</v>
      </c>
      <c r="G10318" s="283" t="s">
        <v>25016</v>
      </c>
      <c r="H10318" s="1083">
        <v>1720</v>
      </c>
      <c r="I10318" s="284">
        <v>45802</v>
      </c>
      <c r="J10318" s="199" t="s">
        <v>25017</v>
      </c>
      <c r="K10318" s="46"/>
      <c r="O10318" s="46" t="s">
        <v>24784</v>
      </c>
      <c r="P10318" s="46" t="s">
        <v>65</v>
      </c>
      <c r="Q10318" s="52" t="s">
        <v>97</v>
      </c>
      <c r="R10318" s="46" t="s">
        <v>272</v>
      </c>
    </row>
    <row r="10319" spans="2:18" ht="69" customHeight="1">
      <c r="B10319" s="236">
        <f t="shared" si="92"/>
        <v>7430</v>
      </c>
      <c r="C10319" s="58" t="s">
        <v>11618</v>
      </c>
      <c r="D10319" s="498" t="s">
        <v>25018</v>
      </c>
      <c r="E10319" s="59" t="s">
        <v>23605</v>
      </c>
      <c r="F10319" s="58" t="s">
        <v>25019</v>
      </c>
      <c r="G10319" s="45" t="s">
        <v>25020</v>
      </c>
      <c r="H10319" s="644">
        <v>219.4</v>
      </c>
      <c r="I10319" s="126">
        <v>45782</v>
      </c>
      <c r="J10319" s="65" t="s">
        <v>25021</v>
      </c>
      <c r="K10319" s="67"/>
      <c r="O10319" s="45" t="s">
        <v>15051</v>
      </c>
      <c r="P10319" s="45" t="s">
        <v>44</v>
      </c>
      <c r="Q10319" s="48" t="s">
        <v>122</v>
      </c>
      <c r="R10319" s="45" t="s">
        <v>272</v>
      </c>
    </row>
    <row r="10320" spans="2:18" ht="69" customHeight="1">
      <c r="B10320" s="79">
        <f t="shared" si="92"/>
        <v>7431</v>
      </c>
      <c r="C10320" s="58" t="s">
        <v>11618</v>
      </c>
      <c r="D10320" s="498" t="s">
        <v>25022</v>
      </c>
      <c r="E10320" s="59" t="s">
        <v>23605</v>
      </c>
      <c r="F10320" s="58" t="s">
        <v>25023</v>
      </c>
      <c r="G10320" s="58" t="s">
        <v>25024</v>
      </c>
      <c r="H10320" s="546">
        <v>2004.1</v>
      </c>
      <c r="I10320" s="126">
        <v>45782</v>
      </c>
      <c r="J10320" s="65" t="s">
        <v>25021</v>
      </c>
      <c r="K10320" s="67"/>
      <c r="O10320" s="45" t="s">
        <v>15051</v>
      </c>
      <c r="P10320" s="45" t="s">
        <v>44</v>
      </c>
      <c r="Q10320" s="48" t="s">
        <v>122</v>
      </c>
      <c r="R10320" s="45" t="s">
        <v>272</v>
      </c>
    </row>
    <row r="10321" spans="2:18" ht="69" customHeight="1">
      <c r="B10321" s="79">
        <f t="shared" si="92"/>
        <v>7432</v>
      </c>
      <c r="C10321" s="45" t="s">
        <v>1593</v>
      </c>
      <c r="D10321" s="498" t="s">
        <v>23732</v>
      </c>
      <c r="E10321" s="59" t="s">
        <v>23605</v>
      </c>
      <c r="F10321" s="58" t="s">
        <v>25025</v>
      </c>
      <c r="G10321" s="45" t="s">
        <v>25020</v>
      </c>
      <c r="H10321" s="546">
        <v>219.4</v>
      </c>
      <c r="I10321" s="126">
        <v>45782</v>
      </c>
      <c r="J10321" s="65" t="s">
        <v>25021</v>
      </c>
      <c r="K10321" s="67"/>
      <c r="O10321" s="45" t="s">
        <v>15051</v>
      </c>
      <c r="P10321" s="45" t="s">
        <v>44</v>
      </c>
      <c r="Q10321" s="48" t="s">
        <v>27</v>
      </c>
      <c r="R10321" s="45" t="s">
        <v>272</v>
      </c>
    </row>
    <row r="10322" spans="2:18" ht="69" customHeight="1">
      <c r="B10322" s="79">
        <f t="shared" si="92"/>
        <v>7433</v>
      </c>
      <c r="C10322" s="45" t="s">
        <v>1593</v>
      </c>
      <c r="D10322" s="498" t="s">
        <v>23748</v>
      </c>
      <c r="E10322" s="59" t="s">
        <v>23605</v>
      </c>
      <c r="F10322" s="58" t="s">
        <v>25026</v>
      </c>
      <c r="G10322" s="58" t="s">
        <v>25024</v>
      </c>
      <c r="H10322" s="546">
        <v>2019.2</v>
      </c>
      <c r="I10322" s="126">
        <v>45782</v>
      </c>
      <c r="J10322" s="65" t="s">
        <v>25021</v>
      </c>
      <c r="K10322" s="243"/>
      <c r="O10322" s="45" t="s">
        <v>15051</v>
      </c>
      <c r="P10322" s="45" t="s">
        <v>44</v>
      </c>
      <c r="Q10322" s="48" t="s">
        <v>27</v>
      </c>
      <c r="R10322" s="45" t="s">
        <v>272</v>
      </c>
    </row>
    <row r="10323" spans="2:18" ht="69" customHeight="1">
      <c r="B10323" s="79">
        <f t="shared" si="92"/>
        <v>7434</v>
      </c>
      <c r="C10323" s="680" t="s">
        <v>10639</v>
      </c>
      <c r="D10323" s="498" t="s">
        <v>15947</v>
      </c>
      <c r="E10323" s="59" t="s">
        <v>23605</v>
      </c>
      <c r="F10323" s="58" t="s">
        <v>25027</v>
      </c>
      <c r="G10323" s="45" t="s">
        <v>25020</v>
      </c>
      <c r="H10323" s="546">
        <v>219.4</v>
      </c>
      <c r="I10323" s="126">
        <v>45782</v>
      </c>
      <c r="J10323" s="65" t="s">
        <v>25021</v>
      </c>
      <c r="K10323" s="243"/>
      <c r="M10323" s="71" t="s">
        <v>24032</v>
      </c>
      <c r="N10323" s="81" t="s">
        <v>87</v>
      </c>
      <c r="O10323" s="45" t="s">
        <v>15051</v>
      </c>
      <c r="P10323" s="45" t="s">
        <v>44</v>
      </c>
      <c r="Q10323" s="48" t="s">
        <v>95</v>
      </c>
      <c r="R10323" s="45" t="s">
        <v>272</v>
      </c>
    </row>
    <row r="10324" spans="2:18" ht="69" customHeight="1">
      <c r="B10324" s="79">
        <f t="shared" si="92"/>
        <v>7435</v>
      </c>
      <c r="C10324" s="680" t="s">
        <v>10639</v>
      </c>
      <c r="D10324" s="498" t="s">
        <v>25028</v>
      </c>
      <c r="E10324" s="59" t="s">
        <v>23605</v>
      </c>
      <c r="F10324" s="58" t="s">
        <v>25029</v>
      </c>
      <c r="G10324" s="58" t="s">
        <v>25024</v>
      </c>
      <c r="H10324" s="546">
        <v>2004.1</v>
      </c>
      <c r="I10324" s="126">
        <v>45782</v>
      </c>
      <c r="J10324" s="65" t="s">
        <v>25021</v>
      </c>
      <c r="K10324" s="243"/>
      <c r="O10324" s="45" t="s">
        <v>15051</v>
      </c>
      <c r="P10324" s="45" t="s">
        <v>44</v>
      </c>
      <c r="Q10324" s="48" t="s">
        <v>95</v>
      </c>
      <c r="R10324" s="45" t="s">
        <v>272</v>
      </c>
    </row>
    <row r="10325" spans="2:18" ht="69" customHeight="1">
      <c r="B10325" s="79">
        <f t="shared" si="92"/>
        <v>7436</v>
      </c>
      <c r="C10325" s="178" t="s">
        <v>10634</v>
      </c>
      <c r="D10325" s="498" t="s">
        <v>25030</v>
      </c>
      <c r="E10325" s="59" t="s">
        <v>23605</v>
      </c>
      <c r="F10325" s="58" t="s">
        <v>25031</v>
      </c>
      <c r="G10325" s="45" t="s">
        <v>25020</v>
      </c>
      <c r="H10325" s="546">
        <v>219.4</v>
      </c>
      <c r="I10325" s="126">
        <v>45782</v>
      </c>
      <c r="J10325" s="65" t="s">
        <v>25021</v>
      </c>
      <c r="K10325" s="243"/>
      <c r="O10325" s="45" t="s">
        <v>15051</v>
      </c>
      <c r="P10325" s="45" t="s">
        <v>44</v>
      </c>
      <c r="Q10325" s="48" t="s">
        <v>93</v>
      </c>
      <c r="R10325" s="45" t="s">
        <v>272</v>
      </c>
    </row>
    <row r="10326" spans="2:18" ht="69" customHeight="1">
      <c r="B10326" s="79">
        <f t="shared" si="92"/>
        <v>7437</v>
      </c>
      <c r="C10326" s="178" t="s">
        <v>10634</v>
      </c>
      <c r="D10326" s="498" t="s">
        <v>25032</v>
      </c>
      <c r="E10326" s="59" t="s">
        <v>23605</v>
      </c>
      <c r="F10326" s="58" t="s">
        <v>25033</v>
      </c>
      <c r="G10326" s="58" t="s">
        <v>25024</v>
      </c>
      <c r="H10326" s="546">
        <v>2004.1</v>
      </c>
      <c r="I10326" s="126">
        <v>45782</v>
      </c>
      <c r="J10326" s="65" t="s">
        <v>25021</v>
      </c>
      <c r="K10326" s="243"/>
      <c r="O10326" s="45" t="s">
        <v>15051</v>
      </c>
      <c r="P10326" s="45" t="s">
        <v>44</v>
      </c>
      <c r="Q10326" s="48" t="s">
        <v>93</v>
      </c>
      <c r="R10326" s="45" t="s">
        <v>272</v>
      </c>
    </row>
    <row r="10327" spans="2:18" ht="69" customHeight="1">
      <c r="B10327" s="79">
        <f t="shared" si="92"/>
        <v>7438</v>
      </c>
      <c r="C10327" s="58" t="s">
        <v>11933</v>
      </c>
      <c r="D10327" s="498" t="s">
        <v>25034</v>
      </c>
      <c r="E10327" s="59" t="s">
        <v>23605</v>
      </c>
      <c r="F10327" s="58" t="s">
        <v>25035</v>
      </c>
      <c r="G10327" s="45" t="s">
        <v>25020</v>
      </c>
      <c r="H10327" s="546">
        <v>219.4</v>
      </c>
      <c r="I10327" s="126">
        <v>45782</v>
      </c>
      <c r="J10327" s="65" t="s">
        <v>25021</v>
      </c>
      <c r="K10327" s="243"/>
      <c r="O10327" s="45" t="s">
        <v>15051</v>
      </c>
      <c r="P10327" s="45" t="s">
        <v>44</v>
      </c>
      <c r="Q10327" s="48" t="s">
        <v>123</v>
      </c>
      <c r="R10327" s="45" t="s">
        <v>272</v>
      </c>
    </row>
    <row r="10328" spans="2:18" ht="69" customHeight="1">
      <c r="B10328" s="79">
        <f t="shared" si="92"/>
        <v>7439</v>
      </c>
      <c r="C10328" s="58" t="s">
        <v>11933</v>
      </c>
      <c r="D10328" s="498" t="s">
        <v>25036</v>
      </c>
      <c r="E10328" s="59" t="s">
        <v>23605</v>
      </c>
      <c r="F10328" s="58" t="s">
        <v>25037</v>
      </c>
      <c r="G10328" s="58" t="s">
        <v>25024</v>
      </c>
      <c r="H10328" s="546">
        <v>2004.1</v>
      </c>
      <c r="I10328" s="126">
        <v>45782</v>
      </c>
      <c r="J10328" s="65" t="s">
        <v>25021</v>
      </c>
      <c r="K10328" s="243"/>
      <c r="O10328" s="45" t="s">
        <v>15051</v>
      </c>
      <c r="P10328" s="45" t="s">
        <v>44</v>
      </c>
      <c r="Q10328" s="48" t="s">
        <v>123</v>
      </c>
      <c r="R10328" s="45" t="s">
        <v>272</v>
      </c>
    </row>
    <row r="10329" spans="2:18" ht="69" customHeight="1">
      <c r="B10329" s="79">
        <f t="shared" si="92"/>
        <v>7440</v>
      </c>
      <c r="C10329" s="178" t="s">
        <v>13562</v>
      </c>
      <c r="D10329" s="498" t="s">
        <v>25038</v>
      </c>
      <c r="E10329" s="59" t="s">
        <v>23605</v>
      </c>
      <c r="F10329" s="58" t="s">
        <v>25039</v>
      </c>
      <c r="G10329" s="45" t="s">
        <v>25020</v>
      </c>
      <c r="H10329" s="546">
        <v>219.4</v>
      </c>
      <c r="I10329" s="126">
        <v>45782</v>
      </c>
      <c r="J10329" s="65" t="s">
        <v>25021</v>
      </c>
      <c r="K10329" s="243"/>
      <c r="O10329" s="45" t="s">
        <v>15051</v>
      </c>
      <c r="P10329" s="45" t="s">
        <v>44</v>
      </c>
      <c r="Q10329" s="48" t="s">
        <v>88</v>
      </c>
      <c r="R10329" s="45" t="s">
        <v>272</v>
      </c>
    </row>
    <row r="10330" spans="2:18" ht="69" customHeight="1">
      <c r="B10330" s="79">
        <f t="shared" si="92"/>
        <v>7441</v>
      </c>
      <c r="C10330" s="178" t="s">
        <v>13562</v>
      </c>
      <c r="D10330" s="498" t="s">
        <v>25040</v>
      </c>
      <c r="E10330" s="59" t="s">
        <v>23605</v>
      </c>
      <c r="F10330" s="58" t="s">
        <v>25041</v>
      </c>
      <c r="G10330" s="58" t="s">
        <v>25024</v>
      </c>
      <c r="H10330" s="546">
        <v>2004.1</v>
      </c>
      <c r="I10330" s="126">
        <v>45782</v>
      </c>
      <c r="J10330" s="65" t="s">
        <v>25021</v>
      </c>
      <c r="K10330" s="243"/>
      <c r="O10330" s="45" t="s">
        <v>15051</v>
      </c>
      <c r="P10330" s="45" t="s">
        <v>44</v>
      </c>
      <c r="Q10330" s="48" t="s">
        <v>88</v>
      </c>
      <c r="R10330" s="45" t="s">
        <v>272</v>
      </c>
    </row>
    <row r="10331" spans="2:18" ht="69" customHeight="1">
      <c r="B10331" s="79">
        <f t="shared" si="92"/>
        <v>7442</v>
      </c>
      <c r="C10331" s="59" t="s">
        <v>581</v>
      </c>
      <c r="D10331" s="498" t="s">
        <v>23750</v>
      </c>
      <c r="E10331" s="59" t="s">
        <v>23605</v>
      </c>
      <c r="F10331" s="58" t="s">
        <v>25042</v>
      </c>
      <c r="G10331" s="45" t="s">
        <v>25020</v>
      </c>
      <c r="H10331" s="546">
        <v>219.4</v>
      </c>
      <c r="I10331" s="126">
        <v>45782</v>
      </c>
      <c r="J10331" s="65" t="s">
        <v>25021</v>
      </c>
      <c r="K10331" s="243"/>
      <c r="O10331" s="45" t="s">
        <v>15051</v>
      </c>
      <c r="P10331" s="45" t="s">
        <v>44</v>
      </c>
      <c r="Q10331" s="48" t="s">
        <v>18</v>
      </c>
      <c r="R10331" s="45" t="s">
        <v>272</v>
      </c>
    </row>
    <row r="10332" spans="2:18" ht="69" customHeight="1">
      <c r="B10332" s="79">
        <f t="shared" si="92"/>
        <v>7443</v>
      </c>
      <c r="C10332" s="59" t="s">
        <v>581</v>
      </c>
      <c r="D10332" s="498" t="s">
        <v>23752</v>
      </c>
      <c r="E10332" s="59" t="s">
        <v>23605</v>
      </c>
      <c r="F10332" s="58" t="s">
        <v>25043</v>
      </c>
      <c r="G10332" s="58" t="s">
        <v>25024</v>
      </c>
      <c r="H10332" s="546">
        <v>2004.1</v>
      </c>
      <c r="I10332" s="126">
        <v>45782</v>
      </c>
      <c r="J10332" s="65" t="s">
        <v>25021</v>
      </c>
      <c r="K10332" s="243"/>
      <c r="O10332" s="45" t="s">
        <v>15051</v>
      </c>
      <c r="P10332" s="45" t="s">
        <v>44</v>
      </c>
      <c r="Q10332" s="48" t="s">
        <v>18</v>
      </c>
      <c r="R10332" s="45" t="s">
        <v>272</v>
      </c>
    </row>
    <row r="10333" spans="2:18" ht="69" customHeight="1">
      <c r="B10333" s="79">
        <f t="shared" si="92"/>
        <v>7444</v>
      </c>
      <c r="C10333" s="59" t="s">
        <v>8080</v>
      </c>
      <c r="D10333" s="498" t="s">
        <v>25044</v>
      </c>
      <c r="E10333" s="59" t="s">
        <v>23605</v>
      </c>
      <c r="F10333" s="58" t="s">
        <v>25045</v>
      </c>
      <c r="G10333" s="45" t="s">
        <v>25020</v>
      </c>
      <c r="H10333" s="546">
        <v>219.4</v>
      </c>
      <c r="I10333" s="126">
        <v>45782</v>
      </c>
      <c r="J10333" s="65" t="s">
        <v>25021</v>
      </c>
      <c r="K10333" s="243"/>
      <c r="O10333" s="45" t="s">
        <v>15051</v>
      </c>
      <c r="P10333" s="45" t="s">
        <v>44</v>
      </c>
      <c r="Q10333" s="48" t="s">
        <v>106</v>
      </c>
      <c r="R10333" s="45" t="s">
        <v>272</v>
      </c>
    </row>
    <row r="10334" spans="2:18" ht="69" customHeight="1">
      <c r="B10334" s="79">
        <f t="shared" si="92"/>
        <v>7445</v>
      </c>
      <c r="C10334" s="59" t="s">
        <v>8080</v>
      </c>
      <c r="D10334" s="498" t="s">
        <v>19802</v>
      </c>
      <c r="E10334" s="59" t="s">
        <v>23605</v>
      </c>
      <c r="F10334" s="58" t="s">
        <v>25046</v>
      </c>
      <c r="G10334" s="58" t="s">
        <v>25024</v>
      </c>
      <c r="H10334" s="546">
        <v>2246.4</v>
      </c>
      <c r="I10334" s="126">
        <v>45782</v>
      </c>
      <c r="J10334" s="65" t="s">
        <v>25021</v>
      </c>
      <c r="K10334" s="243"/>
      <c r="O10334" s="45" t="s">
        <v>15051</v>
      </c>
      <c r="P10334" s="45" t="s">
        <v>44</v>
      </c>
      <c r="Q10334" s="48" t="s">
        <v>106</v>
      </c>
      <c r="R10334" s="45" t="s">
        <v>272</v>
      </c>
    </row>
    <row r="10335" spans="2:18" ht="69" customHeight="1">
      <c r="B10335" s="79">
        <f t="shared" si="92"/>
        <v>7446</v>
      </c>
      <c r="C10335" s="45" t="s">
        <v>11055</v>
      </c>
      <c r="D10335" s="498" t="s">
        <v>23712</v>
      </c>
      <c r="E10335" s="59" t="s">
        <v>23605</v>
      </c>
      <c r="F10335" s="58" t="s">
        <v>25047</v>
      </c>
      <c r="G10335" s="45" t="s">
        <v>25020</v>
      </c>
      <c r="H10335" s="546">
        <v>219.4</v>
      </c>
      <c r="I10335" s="126">
        <v>45782</v>
      </c>
      <c r="J10335" s="65" t="s">
        <v>25021</v>
      </c>
      <c r="K10335" s="243"/>
      <c r="O10335" s="45" t="s">
        <v>15051</v>
      </c>
      <c r="P10335" s="45" t="s">
        <v>44</v>
      </c>
      <c r="Q10335" s="48" t="s">
        <v>45</v>
      </c>
      <c r="R10335" s="45" t="s">
        <v>272</v>
      </c>
    </row>
    <row r="10336" spans="2:18" ht="75" customHeight="1">
      <c r="B10336" s="454">
        <f t="shared" si="92"/>
        <v>7447</v>
      </c>
      <c r="C10336" s="898"/>
      <c r="D10336" s="667"/>
      <c r="E10336" s="511" t="s">
        <v>23605</v>
      </c>
      <c r="F10336" s="455" t="s">
        <v>25048</v>
      </c>
      <c r="G10336" s="455" t="s">
        <v>25024</v>
      </c>
      <c r="H10336" s="666"/>
      <c r="I10336" s="456">
        <v>45782</v>
      </c>
      <c r="J10336" s="453" t="s">
        <v>25021</v>
      </c>
      <c r="K10336" s="912" t="s">
        <v>25049</v>
      </c>
      <c r="O10336" s="45" t="s">
        <v>15051</v>
      </c>
      <c r="P10336" s="45" t="s">
        <v>44</v>
      </c>
      <c r="Q10336" s="48"/>
      <c r="R10336" s="45" t="s">
        <v>272</v>
      </c>
    </row>
    <row r="10337" spans="2:18" ht="69" customHeight="1">
      <c r="B10337" s="79">
        <f t="shared" si="92"/>
        <v>7448</v>
      </c>
      <c r="C10337" s="45" t="s">
        <v>458</v>
      </c>
      <c r="D10337" s="489" t="s">
        <v>25050</v>
      </c>
      <c r="E10337" s="680" t="s">
        <v>266</v>
      </c>
      <c r="F10337" s="58" t="s">
        <v>25051</v>
      </c>
      <c r="G10337" s="45" t="s">
        <v>25052</v>
      </c>
      <c r="H10337" s="198">
        <v>22192.84</v>
      </c>
      <c r="I10337" s="47">
        <v>45802</v>
      </c>
      <c r="J10337" s="65" t="s">
        <v>25053</v>
      </c>
      <c r="K10337" s="60"/>
      <c r="O10337" s="45" t="s">
        <v>1171</v>
      </c>
      <c r="P10337" s="45" t="s">
        <v>71</v>
      </c>
      <c r="Q10337" s="48" t="s">
        <v>103</v>
      </c>
      <c r="R10337" s="45" t="s">
        <v>272</v>
      </c>
    </row>
    <row r="10338" spans="2:18" ht="69" customHeight="1">
      <c r="B10338" s="79">
        <f t="shared" si="92"/>
        <v>7449</v>
      </c>
      <c r="C10338" s="178" t="s">
        <v>657</v>
      </c>
      <c r="D10338" s="489" t="s">
        <v>25054</v>
      </c>
      <c r="E10338" s="680" t="s">
        <v>266</v>
      </c>
      <c r="F10338" s="58" t="s">
        <v>25055</v>
      </c>
      <c r="G10338" s="45" t="s">
        <v>25052</v>
      </c>
      <c r="H10338" s="198">
        <v>22212.39</v>
      </c>
      <c r="I10338" s="47">
        <v>45802</v>
      </c>
      <c r="J10338" s="65" t="s">
        <v>25053</v>
      </c>
      <c r="K10338" s="60"/>
      <c r="O10338" s="45" t="s">
        <v>1171</v>
      </c>
      <c r="P10338" s="45" t="s">
        <v>71</v>
      </c>
      <c r="Q10338" s="48" t="s">
        <v>110</v>
      </c>
      <c r="R10338" s="45" t="s">
        <v>272</v>
      </c>
    </row>
    <row r="10339" spans="2:18" ht="69" customHeight="1">
      <c r="B10339" s="79">
        <f t="shared" si="92"/>
        <v>7450</v>
      </c>
      <c r="C10339" s="45" t="s">
        <v>458</v>
      </c>
      <c r="D10339" s="489" t="s">
        <v>25056</v>
      </c>
      <c r="E10339" s="680" t="s">
        <v>266</v>
      </c>
      <c r="F10339" s="58" t="s">
        <v>25057</v>
      </c>
      <c r="G10339" s="45" t="s">
        <v>25052</v>
      </c>
      <c r="H10339" s="198">
        <v>22958.12</v>
      </c>
      <c r="I10339" s="47">
        <v>45802</v>
      </c>
      <c r="J10339" s="65" t="s">
        <v>25053</v>
      </c>
      <c r="K10339" s="60"/>
      <c r="O10339" s="45" t="s">
        <v>1171</v>
      </c>
      <c r="P10339" s="45" t="s">
        <v>71</v>
      </c>
      <c r="Q10339" s="48" t="s">
        <v>123</v>
      </c>
      <c r="R10339" s="45" t="s">
        <v>272</v>
      </c>
    </row>
    <row r="10340" spans="2:18" ht="69" customHeight="1">
      <c r="B10340" s="79">
        <f t="shared" si="92"/>
        <v>7451</v>
      </c>
      <c r="C10340" s="178" t="s">
        <v>2447</v>
      </c>
      <c r="D10340" s="489" t="s">
        <v>25058</v>
      </c>
      <c r="E10340" s="680" t="s">
        <v>266</v>
      </c>
      <c r="F10340" s="45" t="s">
        <v>25059</v>
      </c>
      <c r="G10340" s="45" t="s">
        <v>24990</v>
      </c>
      <c r="H10340" s="198">
        <v>3096</v>
      </c>
      <c r="I10340" s="47">
        <v>45792</v>
      </c>
      <c r="J10340" s="65" t="s">
        <v>25060</v>
      </c>
      <c r="K10340" s="60" t="s">
        <v>18983</v>
      </c>
      <c r="O10340" s="45" t="s">
        <v>24987</v>
      </c>
      <c r="P10340" s="45" t="s">
        <v>65</v>
      </c>
      <c r="Q10340" s="48" t="s">
        <v>96</v>
      </c>
      <c r="R10340" s="45" t="s">
        <v>272</v>
      </c>
    </row>
    <row r="10341" spans="2:18" ht="69" customHeight="1">
      <c r="B10341" s="239">
        <f t="shared" si="92"/>
        <v>7452</v>
      </c>
      <c r="C10341" s="45" t="s">
        <v>7415</v>
      </c>
      <c r="D10341" s="489" t="s">
        <v>24230</v>
      </c>
      <c r="E10341" s="676" t="s">
        <v>266</v>
      </c>
      <c r="F10341" s="45" t="s">
        <v>25061</v>
      </c>
      <c r="G10341" s="45" t="s">
        <v>25062</v>
      </c>
      <c r="H10341" s="198">
        <v>24232.5</v>
      </c>
      <c r="I10341" s="47">
        <v>45813</v>
      </c>
      <c r="J10341" s="73" t="s">
        <v>25063</v>
      </c>
      <c r="K10341" s="60"/>
      <c r="O10341" s="45" t="s">
        <v>23381</v>
      </c>
      <c r="P10341" s="45" t="s">
        <v>65</v>
      </c>
      <c r="Q10341" s="48" t="s">
        <v>119</v>
      </c>
      <c r="R10341" s="45" t="s">
        <v>272</v>
      </c>
    </row>
    <row r="10342" spans="2:18" ht="69" customHeight="1">
      <c r="B10342" s="239">
        <f t="shared" si="92"/>
        <v>7453</v>
      </c>
      <c r="C10342" s="45" t="s">
        <v>7415</v>
      </c>
      <c r="D10342" s="489" t="s">
        <v>24125</v>
      </c>
      <c r="E10342" s="676" t="s">
        <v>266</v>
      </c>
      <c r="F10342" s="45" t="s">
        <v>25064</v>
      </c>
      <c r="G10342" s="45" t="s">
        <v>25065</v>
      </c>
      <c r="H10342" s="198">
        <v>14760</v>
      </c>
      <c r="I10342" s="47">
        <v>45813</v>
      </c>
      <c r="J10342" s="73" t="s">
        <v>25063</v>
      </c>
      <c r="K10342" s="45"/>
      <c r="O10342" s="45" t="s">
        <v>15440</v>
      </c>
      <c r="P10342" s="45" t="s">
        <v>65</v>
      </c>
      <c r="Q10342" s="48" t="s">
        <v>119</v>
      </c>
      <c r="R10342" s="45" t="s">
        <v>272</v>
      </c>
    </row>
    <row r="10343" spans="2:18" ht="69" customHeight="1">
      <c r="B10343" s="79">
        <f t="shared" si="92"/>
        <v>7454</v>
      </c>
      <c r="C10343" s="45" t="s">
        <v>7415</v>
      </c>
      <c r="D10343" s="489" t="s">
        <v>24138</v>
      </c>
      <c r="E10343" s="677" t="s">
        <v>24509</v>
      </c>
      <c r="F10343" s="677" t="s">
        <v>25066</v>
      </c>
      <c r="G10343" s="45" t="s">
        <v>25067</v>
      </c>
      <c r="H10343" s="198">
        <v>15489.22</v>
      </c>
      <c r="I10343" s="47">
        <v>45802</v>
      </c>
      <c r="J10343" s="73" t="s">
        <v>25068</v>
      </c>
      <c r="K10343" s="748"/>
      <c r="O10343" s="45" t="s">
        <v>25069</v>
      </c>
      <c r="P10343" s="45" t="s">
        <v>57</v>
      </c>
      <c r="Q10343" s="48" t="s">
        <v>119</v>
      </c>
      <c r="R10343" s="45" t="s">
        <v>272</v>
      </c>
    </row>
    <row r="10344" spans="2:18" ht="69" customHeight="1">
      <c r="B10344" s="79">
        <f t="shared" si="92"/>
        <v>7455</v>
      </c>
      <c r="C10344" s="45" t="s">
        <v>7415</v>
      </c>
      <c r="D10344" s="489" t="s">
        <v>24142</v>
      </c>
      <c r="E10344" s="677" t="s">
        <v>24504</v>
      </c>
      <c r="F10344" s="677" t="s">
        <v>25070</v>
      </c>
      <c r="G10344" s="45" t="s">
        <v>25071</v>
      </c>
      <c r="H10344" s="198">
        <v>15489.21</v>
      </c>
      <c r="I10344" s="47">
        <v>45802</v>
      </c>
      <c r="J10344" s="73" t="s">
        <v>25068</v>
      </c>
      <c r="K10344" s="60"/>
      <c r="O10344" s="45" t="s">
        <v>24492</v>
      </c>
      <c r="P10344" s="45" t="s">
        <v>57</v>
      </c>
      <c r="Q10344" s="48" t="s">
        <v>119</v>
      </c>
      <c r="R10344" s="45" t="s">
        <v>272</v>
      </c>
    </row>
    <row r="10345" spans="2:18" ht="69" customHeight="1">
      <c r="B10345" s="79">
        <f t="shared" si="92"/>
        <v>7456</v>
      </c>
      <c r="C10345" s="58" t="s">
        <v>7415</v>
      </c>
      <c r="D10345" s="551" t="s">
        <v>24129</v>
      </c>
      <c r="E10345" s="681" t="s">
        <v>22968</v>
      </c>
      <c r="F10345" s="58" t="s">
        <v>25072</v>
      </c>
      <c r="G10345" s="947" t="s">
        <v>25073</v>
      </c>
      <c r="H10345" s="552">
        <v>1197.6099999999999</v>
      </c>
      <c r="I10345" s="66">
        <v>45802</v>
      </c>
      <c r="J10345" s="65" t="s">
        <v>25074</v>
      </c>
      <c r="K10345" s="237"/>
      <c r="L10345" s="99"/>
      <c r="O10345" s="58" t="s">
        <v>24492</v>
      </c>
      <c r="P10345" s="58" t="s">
        <v>57</v>
      </c>
      <c r="Q10345" s="62" t="s">
        <v>119</v>
      </c>
      <c r="R10345" s="58" t="s">
        <v>272</v>
      </c>
    </row>
    <row r="10346" spans="2:18" ht="69" customHeight="1">
      <c r="B10346" s="79">
        <f t="shared" si="92"/>
        <v>7457</v>
      </c>
      <c r="C10346" s="58" t="s">
        <v>7415</v>
      </c>
      <c r="D10346" s="551" t="s">
        <v>24144</v>
      </c>
      <c r="E10346" s="681" t="s">
        <v>22968</v>
      </c>
      <c r="F10346" s="58" t="s">
        <v>25075</v>
      </c>
      <c r="G10346" s="947" t="s">
        <v>25073</v>
      </c>
      <c r="H10346" s="552">
        <v>9649.98</v>
      </c>
      <c r="I10346" s="66">
        <v>45802</v>
      </c>
      <c r="J10346" s="65" t="s">
        <v>25074</v>
      </c>
      <c r="K10346" s="237"/>
      <c r="L10346" s="99"/>
      <c r="O10346" s="58" t="s">
        <v>24492</v>
      </c>
      <c r="P10346" s="58" t="s">
        <v>57</v>
      </c>
      <c r="Q10346" s="62" t="s">
        <v>119</v>
      </c>
      <c r="R10346" s="58" t="s">
        <v>272</v>
      </c>
    </row>
    <row r="10347" spans="2:18" ht="69" customHeight="1">
      <c r="B10347" s="79">
        <f t="shared" si="92"/>
        <v>7458</v>
      </c>
      <c r="C10347" s="58" t="s">
        <v>7415</v>
      </c>
      <c r="D10347" s="551" t="s">
        <v>24146</v>
      </c>
      <c r="E10347" s="681" t="s">
        <v>16077</v>
      </c>
      <c r="F10347" s="58" t="s">
        <v>25076</v>
      </c>
      <c r="G10347" s="947" t="s">
        <v>25077</v>
      </c>
      <c r="H10347" s="658">
        <v>4790.41</v>
      </c>
      <c r="I10347" s="66">
        <v>45802</v>
      </c>
      <c r="J10347" s="65" t="s">
        <v>25074</v>
      </c>
      <c r="K10347" s="237"/>
      <c r="L10347" s="99"/>
      <c r="O10347" s="58" t="s">
        <v>8228</v>
      </c>
      <c r="P10347" s="58" t="s">
        <v>57</v>
      </c>
      <c r="Q10347" s="62" t="s">
        <v>119</v>
      </c>
      <c r="R10347" s="58" t="s">
        <v>272</v>
      </c>
    </row>
    <row r="10348" spans="2:18" ht="69" customHeight="1">
      <c r="B10348" s="79">
        <f t="shared" si="92"/>
        <v>7459</v>
      </c>
      <c r="C10348" s="58" t="s">
        <v>7415</v>
      </c>
      <c r="D10348" s="551" t="s">
        <v>24148</v>
      </c>
      <c r="E10348" s="681" t="s">
        <v>16077</v>
      </c>
      <c r="F10348" s="58" t="s">
        <v>25078</v>
      </c>
      <c r="G10348" s="947" t="s">
        <v>25077</v>
      </c>
      <c r="H10348" s="361">
        <v>9649.98</v>
      </c>
      <c r="I10348" s="66">
        <v>45802</v>
      </c>
      <c r="J10348" s="65" t="s">
        <v>25074</v>
      </c>
      <c r="K10348" s="237"/>
      <c r="L10348" s="99"/>
      <c r="O10348" s="58" t="s">
        <v>8228</v>
      </c>
      <c r="P10348" s="58" t="s">
        <v>57</v>
      </c>
      <c r="Q10348" s="62" t="s">
        <v>119</v>
      </c>
      <c r="R10348" s="58" t="s">
        <v>272</v>
      </c>
    </row>
    <row r="10349" spans="2:18" ht="69" customHeight="1">
      <c r="B10349" s="232">
        <f t="shared" si="92"/>
        <v>7460</v>
      </c>
      <c r="C10349" s="949" t="s">
        <v>9215</v>
      </c>
      <c r="D10349" s="551" t="s">
        <v>24156</v>
      </c>
      <c r="E10349" s="58" t="s">
        <v>266</v>
      </c>
      <c r="F10349" s="58" t="s">
        <v>25079</v>
      </c>
      <c r="G10349" s="63" t="s">
        <v>25080</v>
      </c>
      <c r="H10349" s="552">
        <v>21527.72</v>
      </c>
      <c r="I10349" s="66">
        <v>45802</v>
      </c>
      <c r="J10349" s="65" t="s">
        <v>25081</v>
      </c>
      <c r="K10349" s="58"/>
      <c r="O10349" s="45" t="s">
        <v>1171</v>
      </c>
      <c r="P10349" s="58" t="s">
        <v>71</v>
      </c>
      <c r="Q10349" s="62" t="s">
        <v>113</v>
      </c>
      <c r="R10349" s="45" t="s">
        <v>272</v>
      </c>
    </row>
    <row r="10350" spans="2:18" ht="69" customHeight="1">
      <c r="B10350" s="236">
        <f t="shared" si="92"/>
        <v>7461</v>
      </c>
      <c r="C10350" s="74" t="s">
        <v>7415</v>
      </c>
      <c r="D10350" s="950" t="s">
        <v>24150</v>
      </c>
      <c r="E10350" s="74" t="s">
        <v>15436</v>
      </c>
      <c r="F10350" s="61" t="s">
        <v>25082</v>
      </c>
      <c r="G10350" s="61" t="s">
        <v>25083</v>
      </c>
      <c r="H10350" s="806">
        <v>11288.79</v>
      </c>
      <c r="I10350" s="130">
        <v>45802</v>
      </c>
      <c r="J10350" s="197" t="s">
        <v>25084</v>
      </c>
      <c r="K10350" s="748"/>
      <c r="O10350" s="45" t="s">
        <v>15440</v>
      </c>
      <c r="P10350" s="45" t="s">
        <v>55</v>
      </c>
      <c r="Q10350" s="62" t="s">
        <v>119</v>
      </c>
      <c r="R10350" s="45" t="s">
        <v>272</v>
      </c>
    </row>
    <row r="10351" spans="2:18" ht="69" customHeight="1">
      <c r="B10351" s="79">
        <f t="shared" si="92"/>
        <v>7462</v>
      </c>
      <c r="C10351" s="788" t="s">
        <v>11933</v>
      </c>
      <c r="D10351" s="551" t="s">
        <v>24152</v>
      </c>
      <c r="E10351" s="58" t="s">
        <v>266</v>
      </c>
      <c r="F10351" s="58" t="s">
        <v>25085</v>
      </c>
      <c r="G10351" s="681" t="s">
        <v>25086</v>
      </c>
      <c r="H10351" s="948">
        <v>167.2</v>
      </c>
      <c r="I10351" s="66">
        <v>45802</v>
      </c>
      <c r="J10351" s="65" t="s">
        <v>25087</v>
      </c>
      <c r="K10351" s="237" t="s">
        <v>24807</v>
      </c>
      <c r="O10351" s="45" t="s">
        <v>24808</v>
      </c>
      <c r="P10351" s="45" t="s">
        <v>65</v>
      </c>
      <c r="Q10351" s="48" t="s">
        <v>123</v>
      </c>
      <c r="R10351" s="45" t="s">
        <v>272</v>
      </c>
    </row>
    <row r="10352" spans="2:18" ht="69" customHeight="1">
      <c r="B10352" s="79">
        <f t="shared" si="92"/>
        <v>7463</v>
      </c>
      <c r="C10352" s="771" t="s">
        <v>8797</v>
      </c>
      <c r="D10352" s="551" t="s">
        <v>15459</v>
      </c>
      <c r="E10352" s="58" t="s">
        <v>266</v>
      </c>
      <c r="F10352" s="58" t="s">
        <v>25088</v>
      </c>
      <c r="G10352" s="681" t="s">
        <v>25086</v>
      </c>
      <c r="H10352" s="948">
        <v>167.2</v>
      </c>
      <c r="I10352" s="66">
        <v>45802</v>
      </c>
      <c r="J10352" s="65" t="s">
        <v>25087</v>
      </c>
      <c r="K10352" s="237" t="s">
        <v>24807</v>
      </c>
      <c r="O10352" s="45" t="s">
        <v>24808</v>
      </c>
      <c r="P10352" s="45" t="s">
        <v>65</v>
      </c>
      <c r="Q10352" s="48" t="s">
        <v>110</v>
      </c>
      <c r="R10352" s="45" t="s">
        <v>272</v>
      </c>
    </row>
    <row r="10353" spans="2:18" ht="69" customHeight="1">
      <c r="B10353" s="79">
        <f t="shared" si="92"/>
        <v>7464</v>
      </c>
      <c r="C10353" s="788" t="s">
        <v>11933</v>
      </c>
      <c r="D10353" s="489" t="s">
        <v>24154</v>
      </c>
      <c r="E10353" s="45" t="s">
        <v>266</v>
      </c>
      <c r="F10353" s="45" t="s">
        <v>25089</v>
      </c>
      <c r="G10353" s="681" t="s">
        <v>25090</v>
      </c>
      <c r="H10353" s="948">
        <v>677.66</v>
      </c>
      <c r="I10353" s="66">
        <v>45802</v>
      </c>
      <c r="J10353" s="65" t="s">
        <v>25091</v>
      </c>
      <c r="K10353" s="60" t="s">
        <v>22203</v>
      </c>
      <c r="O10353" s="45" t="s">
        <v>24808</v>
      </c>
      <c r="P10353" s="45" t="s">
        <v>65</v>
      </c>
      <c r="Q10353" s="48" t="s">
        <v>123</v>
      </c>
      <c r="R10353" s="45" t="s">
        <v>272</v>
      </c>
    </row>
    <row r="10354" spans="2:18" ht="69" customHeight="1">
      <c r="B10354" s="79">
        <f t="shared" si="92"/>
        <v>7465</v>
      </c>
      <c r="C10354" s="771" t="s">
        <v>8797</v>
      </c>
      <c r="D10354" s="489" t="s">
        <v>15461</v>
      </c>
      <c r="E10354" s="45" t="s">
        <v>266</v>
      </c>
      <c r="F10354" s="45" t="s">
        <v>25092</v>
      </c>
      <c r="G10354" s="681" t="s">
        <v>25090</v>
      </c>
      <c r="H10354" s="948">
        <v>677.66</v>
      </c>
      <c r="I10354" s="66">
        <v>45802</v>
      </c>
      <c r="J10354" s="65" t="s">
        <v>25091</v>
      </c>
      <c r="K10354" s="60" t="s">
        <v>22203</v>
      </c>
      <c r="O10354" s="45" t="s">
        <v>24808</v>
      </c>
      <c r="P10354" s="45" t="s">
        <v>65</v>
      </c>
      <c r="Q10354" s="48" t="s">
        <v>110</v>
      </c>
      <c r="R10354" s="45" t="s">
        <v>272</v>
      </c>
    </row>
    <row r="10355" spans="2:18" ht="69" customHeight="1">
      <c r="B10355" s="79">
        <f t="shared" si="92"/>
        <v>7466</v>
      </c>
      <c r="C10355" s="178" t="s">
        <v>657</v>
      </c>
      <c r="D10355" s="489" t="s">
        <v>19215</v>
      </c>
      <c r="E10355" s="58" t="s">
        <v>24949</v>
      </c>
      <c r="F10355" s="58" t="s">
        <v>25093</v>
      </c>
      <c r="G10355" s="960" t="s">
        <v>25094</v>
      </c>
      <c r="H10355" s="791">
        <v>500000</v>
      </c>
      <c r="I10355" s="66">
        <v>45802</v>
      </c>
      <c r="J10355" s="73" t="s">
        <v>25095</v>
      </c>
      <c r="K10355" s="60"/>
      <c r="O10355" s="45" t="s">
        <v>141</v>
      </c>
      <c r="P10355" s="45" t="s">
        <v>19</v>
      </c>
      <c r="Q10355" s="48" t="s">
        <v>110</v>
      </c>
      <c r="R10355" s="45" t="s">
        <v>272</v>
      </c>
    </row>
    <row r="10356" spans="2:18" ht="69" customHeight="1">
      <c r="B10356" s="79">
        <f t="shared" si="92"/>
        <v>7467</v>
      </c>
      <c r="C10356" s="178" t="s">
        <v>657</v>
      </c>
      <c r="D10356" s="551" t="s">
        <v>25096</v>
      </c>
      <c r="E10356" s="58" t="s">
        <v>266</v>
      </c>
      <c r="F10356" s="58" t="s">
        <v>25097</v>
      </c>
      <c r="G10356" s="63" t="s">
        <v>23950</v>
      </c>
      <c r="H10356" s="376">
        <v>22212.39</v>
      </c>
      <c r="I10356" s="421">
        <v>45802</v>
      </c>
      <c r="J10356" s="73" t="s">
        <v>25098</v>
      </c>
      <c r="K10356" s="60"/>
      <c r="O10356" s="45" t="s">
        <v>1171</v>
      </c>
      <c r="P10356" s="58" t="s">
        <v>71</v>
      </c>
      <c r="Q10356" s="48" t="s">
        <v>97</v>
      </c>
      <c r="R10356" s="45" t="s">
        <v>272</v>
      </c>
    </row>
    <row r="10357" spans="2:18" ht="69" customHeight="1">
      <c r="B10357" s="79">
        <f t="shared" si="92"/>
        <v>7468</v>
      </c>
      <c r="C10357" s="178" t="s">
        <v>458</v>
      </c>
      <c r="D10357" s="489" t="s">
        <v>25099</v>
      </c>
      <c r="E10357" s="58" t="s">
        <v>266</v>
      </c>
      <c r="F10357" s="58" t="s">
        <v>25100</v>
      </c>
      <c r="G10357" s="63" t="s">
        <v>23950</v>
      </c>
      <c r="H10357" s="376">
        <v>22192.84</v>
      </c>
      <c r="I10357" s="66">
        <v>45802</v>
      </c>
      <c r="J10357" s="73" t="s">
        <v>25098</v>
      </c>
      <c r="K10357" s="60"/>
      <c r="O10357" s="45" t="s">
        <v>1171</v>
      </c>
      <c r="P10357" s="58" t="s">
        <v>71</v>
      </c>
      <c r="Q10357" s="48" t="s">
        <v>103</v>
      </c>
      <c r="R10357" s="45" t="s">
        <v>272</v>
      </c>
    </row>
    <row r="10358" spans="2:18" ht="69" customHeight="1">
      <c r="B10358" s="79">
        <f t="shared" si="92"/>
        <v>7469</v>
      </c>
      <c r="C10358" s="178" t="s">
        <v>657</v>
      </c>
      <c r="D10358" s="489" t="s">
        <v>15471</v>
      </c>
      <c r="E10358" s="58" t="s">
        <v>266</v>
      </c>
      <c r="F10358" s="58" t="s">
        <v>25101</v>
      </c>
      <c r="G10358" s="63" t="s">
        <v>23950</v>
      </c>
      <c r="H10358" s="198">
        <v>22212.39</v>
      </c>
      <c r="I10358" s="66">
        <v>45802</v>
      </c>
      <c r="J10358" s="73" t="s">
        <v>25098</v>
      </c>
      <c r="K10358" s="60"/>
      <c r="O10358" s="45" t="s">
        <v>1171</v>
      </c>
      <c r="P10358" s="58" t="s">
        <v>71</v>
      </c>
      <c r="Q10358" s="48" t="s">
        <v>110</v>
      </c>
      <c r="R10358" s="45" t="s">
        <v>272</v>
      </c>
    </row>
    <row r="10359" spans="2:18" ht="69" customHeight="1">
      <c r="B10359" s="79">
        <f t="shared" si="92"/>
        <v>7470</v>
      </c>
      <c r="C10359" s="178" t="s">
        <v>458</v>
      </c>
      <c r="D10359" s="489" t="s">
        <v>25102</v>
      </c>
      <c r="E10359" s="58" t="s">
        <v>266</v>
      </c>
      <c r="F10359" s="58" t="s">
        <v>25103</v>
      </c>
      <c r="G10359" s="63" t="s">
        <v>23950</v>
      </c>
      <c r="H10359" s="198">
        <v>22958.12</v>
      </c>
      <c r="I10359" s="66">
        <v>45802</v>
      </c>
      <c r="J10359" s="73" t="s">
        <v>25098</v>
      </c>
      <c r="K10359" s="60"/>
      <c r="O10359" s="45" t="s">
        <v>1171</v>
      </c>
      <c r="P10359" s="58" t="s">
        <v>71</v>
      </c>
      <c r="Q10359" s="48" t="s">
        <v>123</v>
      </c>
      <c r="R10359" s="45" t="s">
        <v>272</v>
      </c>
    </row>
    <row r="10360" spans="2:18" ht="69" customHeight="1">
      <c r="B10360" s="79">
        <f t="shared" si="92"/>
        <v>7471</v>
      </c>
      <c r="C10360" s="74" t="s">
        <v>7415</v>
      </c>
      <c r="D10360" s="489" t="s">
        <v>25104</v>
      </c>
      <c r="E10360" s="58" t="s">
        <v>266</v>
      </c>
      <c r="F10360" s="58" t="s">
        <v>25105</v>
      </c>
      <c r="G10360" s="63" t="s">
        <v>25106</v>
      </c>
      <c r="H10360" s="198">
        <v>11523.28</v>
      </c>
      <c r="I10360" s="66">
        <v>45802</v>
      </c>
      <c r="J10360" s="73" t="s">
        <v>25107</v>
      </c>
      <c r="K10360" s="60"/>
      <c r="O10360" s="45" t="s">
        <v>1171</v>
      </c>
      <c r="P10360" s="58" t="s">
        <v>71</v>
      </c>
      <c r="Q10360" s="48" t="s">
        <v>119</v>
      </c>
      <c r="R10360" s="45" t="s">
        <v>272</v>
      </c>
    </row>
    <row r="10361" spans="2:18" ht="69" customHeight="1">
      <c r="B10361" s="239">
        <f t="shared" si="92"/>
        <v>7472</v>
      </c>
      <c r="C10361" s="676" t="s">
        <v>10937</v>
      </c>
      <c r="D10361" s="489" t="s">
        <v>19306</v>
      </c>
      <c r="E10361" s="45" t="s">
        <v>266</v>
      </c>
      <c r="F10361" s="45" t="s">
        <v>25108</v>
      </c>
      <c r="G10361" s="81" t="s">
        <v>25109</v>
      </c>
      <c r="H10361" s="198">
        <v>11000</v>
      </c>
      <c r="I10361" s="47">
        <v>45802</v>
      </c>
      <c r="J10361" s="73" t="s">
        <v>25110</v>
      </c>
      <c r="K10361" s="60" t="s">
        <v>25111</v>
      </c>
      <c r="O10361" s="45" t="s">
        <v>1171</v>
      </c>
      <c r="P10361" s="58" t="s">
        <v>71</v>
      </c>
      <c r="Q10361" s="48" t="s">
        <v>104</v>
      </c>
      <c r="R10361" s="45" t="s">
        <v>272</v>
      </c>
    </row>
    <row r="10362" spans="2:18" ht="69" customHeight="1">
      <c r="B10362" s="958">
        <f t="shared" si="92"/>
        <v>7473</v>
      </c>
      <c r="C10362" s="59" t="s">
        <v>11568</v>
      </c>
      <c r="D10362" s="489" t="s">
        <v>25112</v>
      </c>
      <c r="E10362" s="45" t="s">
        <v>266</v>
      </c>
      <c r="F10362" s="45" t="s">
        <v>25113</v>
      </c>
      <c r="G10362" s="81" t="s">
        <v>23950</v>
      </c>
      <c r="H10362" s="198">
        <v>11000</v>
      </c>
      <c r="I10362" s="47">
        <v>45802</v>
      </c>
      <c r="J10362" s="73" t="s">
        <v>25110</v>
      </c>
      <c r="K10362" s="45"/>
      <c r="O10362" s="45" t="s">
        <v>1171</v>
      </c>
      <c r="P10362" s="58" t="s">
        <v>71</v>
      </c>
      <c r="Q10362" s="48" t="s">
        <v>107</v>
      </c>
      <c r="R10362" s="45" t="s">
        <v>272</v>
      </c>
    </row>
    <row r="10363" spans="2:18" ht="69" customHeight="1">
      <c r="B10363" s="959">
        <f t="shared" si="92"/>
        <v>7474</v>
      </c>
      <c r="C10363" s="61" t="s">
        <v>7415</v>
      </c>
      <c r="D10363" s="950" t="s">
        <v>25114</v>
      </c>
      <c r="E10363" s="61" t="s">
        <v>266</v>
      </c>
      <c r="F10363" s="61" t="s">
        <v>25115</v>
      </c>
      <c r="G10363" s="110" t="s">
        <v>23950</v>
      </c>
      <c r="H10363" s="806">
        <v>11523.28</v>
      </c>
      <c r="I10363" s="130">
        <v>45802</v>
      </c>
      <c r="J10363" s="417" t="s">
        <v>25110</v>
      </c>
      <c r="K10363" s="748"/>
      <c r="O10363" s="45" t="s">
        <v>1171</v>
      </c>
      <c r="P10363" s="58" t="s">
        <v>71</v>
      </c>
      <c r="Q10363" s="48" t="s">
        <v>119</v>
      </c>
      <c r="R10363" s="45" t="s">
        <v>272</v>
      </c>
    </row>
    <row r="10364" spans="2:18" ht="69" customHeight="1">
      <c r="B10364" s="239">
        <f t="shared" si="92"/>
        <v>7475</v>
      </c>
      <c r="C10364" s="951" t="s">
        <v>9215</v>
      </c>
      <c r="D10364" s="489" t="s">
        <v>12749</v>
      </c>
      <c r="E10364" s="45" t="s">
        <v>266</v>
      </c>
      <c r="F10364" s="45" t="s">
        <v>25116</v>
      </c>
      <c r="G10364" s="81" t="s">
        <v>23950</v>
      </c>
      <c r="H10364" s="198">
        <v>21527.72</v>
      </c>
      <c r="I10364" s="47">
        <v>45802</v>
      </c>
      <c r="J10364" s="73" t="s">
        <v>25110</v>
      </c>
      <c r="K10364" s="60"/>
      <c r="O10364" s="45" t="s">
        <v>1171</v>
      </c>
      <c r="P10364" s="58" t="s">
        <v>71</v>
      </c>
      <c r="Q10364" s="48" t="s">
        <v>113</v>
      </c>
      <c r="R10364" s="45" t="s">
        <v>272</v>
      </c>
    </row>
    <row r="10365" spans="2:18" ht="69" customHeight="1">
      <c r="B10365" s="79">
        <f t="shared" si="92"/>
        <v>7476</v>
      </c>
      <c r="C10365" s="178" t="s">
        <v>581</v>
      </c>
      <c r="D10365" s="551" t="s">
        <v>21665</v>
      </c>
      <c r="E10365" s="58" t="s">
        <v>22728</v>
      </c>
      <c r="F10365" s="58" t="s">
        <v>25117</v>
      </c>
      <c r="G10365" s="63" t="s">
        <v>25118</v>
      </c>
      <c r="H10365" s="552">
        <v>14900</v>
      </c>
      <c r="I10365" s="66">
        <v>45813</v>
      </c>
      <c r="J10365" s="63" t="s">
        <v>25119</v>
      </c>
      <c r="K10365" s="552"/>
      <c r="O10365" s="45" t="s">
        <v>13936</v>
      </c>
      <c r="P10365" s="45" t="s">
        <v>57</v>
      </c>
      <c r="Q10365" s="48" t="s">
        <v>18</v>
      </c>
      <c r="R10365" s="45" t="s">
        <v>272</v>
      </c>
    </row>
    <row r="10366" spans="2:18" ht="69" customHeight="1">
      <c r="B10366" s="79">
        <v>7476</v>
      </c>
      <c r="C10366" s="178" t="s">
        <v>13435</v>
      </c>
      <c r="D10366" s="551" t="s">
        <v>25120</v>
      </c>
      <c r="E10366" s="58" t="s">
        <v>22728</v>
      </c>
      <c r="F10366" s="58" t="s">
        <v>25121</v>
      </c>
      <c r="G10366" s="63" t="s">
        <v>25118</v>
      </c>
      <c r="H10366" s="552">
        <v>82625</v>
      </c>
      <c r="I10366" s="66">
        <v>45813</v>
      </c>
      <c r="J10366" s="63" t="s">
        <v>25119</v>
      </c>
      <c r="K10366" s="237"/>
      <c r="O10366" s="45" t="s">
        <v>13936</v>
      </c>
      <c r="P10366" s="45" t="s">
        <v>57</v>
      </c>
      <c r="Q10366" s="48" t="s">
        <v>13</v>
      </c>
      <c r="R10366" s="45" t="s">
        <v>272</v>
      </c>
    </row>
    <row r="10367" spans="2:18" ht="69" customHeight="1">
      <c r="B10367" s="79">
        <f>B10365+1</f>
        <v>7477</v>
      </c>
      <c r="C10367" s="58" t="s">
        <v>7415</v>
      </c>
      <c r="D10367" s="489" t="s">
        <v>25122</v>
      </c>
      <c r="E10367" s="681" t="s">
        <v>22968</v>
      </c>
      <c r="F10367" s="58" t="s">
        <v>25123</v>
      </c>
      <c r="G10367" s="947" t="s">
        <v>25073</v>
      </c>
      <c r="H10367" s="198">
        <v>24158.77</v>
      </c>
      <c r="I10367" s="47">
        <v>45813</v>
      </c>
      <c r="J10367" s="73" t="s">
        <v>25124</v>
      </c>
      <c r="K10367" s="60"/>
      <c r="O10367" s="58" t="s">
        <v>24492</v>
      </c>
      <c r="P10367" s="58" t="s">
        <v>57</v>
      </c>
      <c r="Q10367" s="62" t="s">
        <v>119</v>
      </c>
      <c r="R10367" s="45" t="s">
        <v>272</v>
      </c>
    </row>
    <row r="10368" spans="2:18" ht="69" customHeight="1">
      <c r="B10368" s="79">
        <f t="shared" si="92"/>
        <v>7478</v>
      </c>
      <c r="C10368" s="58" t="s">
        <v>7415</v>
      </c>
      <c r="D10368" s="489" t="s">
        <v>25125</v>
      </c>
      <c r="E10368" s="681" t="s">
        <v>16077</v>
      </c>
      <c r="F10368" s="58" t="s">
        <v>25126</v>
      </c>
      <c r="G10368" s="947" t="s">
        <v>25077</v>
      </c>
      <c r="H10368" s="198">
        <v>24158.77</v>
      </c>
      <c r="I10368" s="47">
        <v>45813</v>
      </c>
      <c r="J10368" s="73" t="s">
        <v>25124</v>
      </c>
      <c r="K10368" s="60"/>
      <c r="O10368" s="58" t="s">
        <v>8228</v>
      </c>
      <c r="P10368" s="58" t="s">
        <v>57</v>
      </c>
      <c r="Q10368" s="62" t="s">
        <v>119</v>
      </c>
      <c r="R10368" s="45" t="s">
        <v>272</v>
      </c>
    </row>
    <row r="10369" spans="2:18" ht="69" customHeight="1">
      <c r="B10369" s="454">
        <f t="shared" si="92"/>
        <v>7479</v>
      </c>
      <c r="C10369" s="455" t="s">
        <v>11908</v>
      </c>
      <c r="D10369" s="667" t="s">
        <v>24257</v>
      </c>
      <c r="E10369" s="455" t="s">
        <v>266</v>
      </c>
      <c r="F10369" s="908" t="s">
        <v>25127</v>
      </c>
      <c r="G10369" s="908" t="s">
        <v>25128</v>
      </c>
      <c r="H10369" s="666">
        <v>2860</v>
      </c>
      <c r="I10369" s="456"/>
      <c r="J10369" s="453" t="s">
        <v>25129</v>
      </c>
      <c r="K10369" s="455" t="s">
        <v>23563</v>
      </c>
      <c r="O10369" s="45" t="s">
        <v>25130</v>
      </c>
      <c r="P10369" s="45" t="s">
        <v>65</v>
      </c>
      <c r="Q10369" s="62" t="s">
        <v>103</v>
      </c>
      <c r="R10369" s="45" t="s">
        <v>272</v>
      </c>
    </row>
    <row r="10370" spans="2:18" ht="69" customHeight="1">
      <c r="B10370" s="454">
        <f t="shared" si="92"/>
        <v>7480</v>
      </c>
      <c r="C10370" s="451" t="s">
        <v>10937</v>
      </c>
      <c r="D10370" s="667" t="s">
        <v>15673</v>
      </c>
      <c r="E10370" s="455" t="s">
        <v>266</v>
      </c>
      <c r="F10370" s="908" t="s">
        <v>25131</v>
      </c>
      <c r="G10370" s="908" t="s">
        <v>25128</v>
      </c>
      <c r="H10370" s="666">
        <v>2519</v>
      </c>
      <c r="I10370" s="456"/>
      <c r="J10370" s="453" t="s">
        <v>25129</v>
      </c>
      <c r="K10370" s="455" t="s">
        <v>23563</v>
      </c>
      <c r="O10370" s="45" t="s">
        <v>25130</v>
      </c>
      <c r="P10370" s="45" t="s">
        <v>65</v>
      </c>
      <c r="Q10370" s="62" t="s">
        <v>104</v>
      </c>
      <c r="R10370" s="45" t="s">
        <v>272</v>
      </c>
    </row>
    <row r="10371" spans="2:18" ht="69" customHeight="1">
      <c r="B10371" s="454">
        <f t="shared" si="92"/>
        <v>7481</v>
      </c>
      <c r="C10371" s="957" t="s">
        <v>9215</v>
      </c>
      <c r="D10371" s="667" t="s">
        <v>25132</v>
      </c>
      <c r="E10371" s="455" t="s">
        <v>266</v>
      </c>
      <c r="F10371" s="908" t="s">
        <v>25133</v>
      </c>
      <c r="G10371" s="908" t="s">
        <v>25128</v>
      </c>
      <c r="H10371" s="666">
        <v>2200</v>
      </c>
      <c r="I10371" s="456"/>
      <c r="J10371" s="453" t="s">
        <v>25129</v>
      </c>
      <c r="K10371" s="455" t="s">
        <v>23563</v>
      </c>
      <c r="O10371" s="45" t="s">
        <v>25130</v>
      </c>
      <c r="P10371" s="45" t="s">
        <v>65</v>
      </c>
      <c r="Q10371" s="62" t="s">
        <v>113</v>
      </c>
      <c r="R10371" s="45" t="s">
        <v>272</v>
      </c>
    </row>
    <row r="10372" spans="2:18" ht="69" customHeight="1">
      <c r="B10372" s="79">
        <f t="shared" si="92"/>
        <v>7482</v>
      </c>
      <c r="C10372" s="58" t="s">
        <v>11908</v>
      </c>
      <c r="D10372" s="551" t="s">
        <v>25134</v>
      </c>
      <c r="E10372" s="58" t="s">
        <v>266</v>
      </c>
      <c r="F10372" s="74" t="s">
        <v>25135</v>
      </c>
      <c r="G10372" s="74" t="s">
        <v>25136</v>
      </c>
      <c r="H10372" s="552">
        <v>1200</v>
      </c>
      <c r="I10372" s="766">
        <v>45833</v>
      </c>
      <c r="J10372" s="65" t="s">
        <v>25137</v>
      </c>
      <c r="K10372" s="58" t="s">
        <v>25138</v>
      </c>
      <c r="O10372" s="58" t="s">
        <v>16399</v>
      </c>
      <c r="P10372" s="45" t="s">
        <v>65</v>
      </c>
      <c r="Q10372" s="62" t="s">
        <v>103</v>
      </c>
      <c r="R10372" s="45" t="s">
        <v>272</v>
      </c>
    </row>
    <row r="10373" spans="2:18" ht="69" customHeight="1">
      <c r="B10373" s="732">
        <f t="shared" ref="B10373:B10436" si="93">B10372+1</f>
        <v>7483</v>
      </c>
      <c r="C10373" s="805" t="s">
        <v>11933</v>
      </c>
      <c r="D10373" s="675" t="s">
        <v>25139</v>
      </c>
      <c r="E10373" s="45" t="s">
        <v>266</v>
      </c>
      <c r="F10373" s="61" t="s">
        <v>25140</v>
      </c>
      <c r="G10373" s="677" t="s">
        <v>25141</v>
      </c>
      <c r="H10373" s="730">
        <v>1200</v>
      </c>
      <c r="I10373" s="731">
        <v>45823</v>
      </c>
      <c r="J10373" s="776" t="s">
        <v>25142</v>
      </c>
      <c r="K10373" s="956"/>
      <c r="O10373" s="45" t="s">
        <v>23137</v>
      </c>
      <c r="P10373" s="58" t="s">
        <v>65</v>
      </c>
      <c r="Q10373" s="62" t="s">
        <v>123</v>
      </c>
      <c r="R10373" s="45" t="s">
        <v>272</v>
      </c>
    </row>
    <row r="10374" spans="2:18" ht="69" customHeight="1">
      <c r="B10374" s="239">
        <f t="shared" si="93"/>
        <v>7484</v>
      </c>
      <c r="C10374" s="676" t="s">
        <v>10937</v>
      </c>
      <c r="D10374" s="489" t="s">
        <v>16054</v>
      </c>
      <c r="E10374" s="74" t="s">
        <v>15436</v>
      </c>
      <c r="F10374" s="61" t="s">
        <v>25143</v>
      </c>
      <c r="G10374" s="61" t="s">
        <v>25136</v>
      </c>
      <c r="H10374" s="198">
        <v>1800</v>
      </c>
      <c r="I10374" s="47">
        <v>45833</v>
      </c>
      <c r="J10374" s="776" t="s">
        <v>25144</v>
      </c>
      <c r="K10374" s="681"/>
      <c r="O10374" s="45" t="s">
        <v>15440</v>
      </c>
      <c r="P10374" s="45" t="s">
        <v>65</v>
      </c>
      <c r="Q10374" s="62" t="s">
        <v>104</v>
      </c>
      <c r="R10374" s="45" t="s">
        <v>272</v>
      </c>
    </row>
    <row r="10375" spans="2:18" ht="69" customHeight="1">
      <c r="B10375" s="79">
        <f t="shared" si="93"/>
        <v>7485</v>
      </c>
      <c r="C10375" s="178" t="s">
        <v>458</v>
      </c>
      <c r="D10375" s="489" t="s">
        <v>25145</v>
      </c>
      <c r="E10375" s="58" t="s">
        <v>16011</v>
      </c>
      <c r="F10375" s="58" t="s">
        <v>25146</v>
      </c>
      <c r="G10375" s="45" t="s">
        <v>25147</v>
      </c>
      <c r="H10375" s="198">
        <v>2000</v>
      </c>
      <c r="I10375" s="47">
        <v>45823</v>
      </c>
      <c r="J10375" s="73" t="s">
        <v>25148</v>
      </c>
      <c r="K10375" s="748"/>
      <c r="O10375" s="45" t="s">
        <v>150</v>
      </c>
      <c r="P10375" s="45" t="s">
        <v>51</v>
      </c>
      <c r="Q10375" s="48" t="s">
        <v>103</v>
      </c>
      <c r="R10375" s="45" t="s">
        <v>272</v>
      </c>
    </row>
    <row r="10376" spans="2:18" ht="69" customHeight="1">
      <c r="B10376" s="79">
        <f t="shared" si="93"/>
        <v>7486</v>
      </c>
      <c r="C10376" s="178" t="s">
        <v>458</v>
      </c>
      <c r="D10376" s="489" t="s">
        <v>25149</v>
      </c>
      <c r="E10376" s="58" t="s">
        <v>16011</v>
      </c>
      <c r="F10376" s="58" t="s">
        <v>25150</v>
      </c>
      <c r="G10376" s="58" t="s">
        <v>25151</v>
      </c>
      <c r="H10376" s="198">
        <v>12000</v>
      </c>
      <c r="I10376" s="47">
        <v>45823</v>
      </c>
      <c r="J10376" s="73" t="s">
        <v>25148</v>
      </c>
      <c r="K10376" s="60"/>
      <c r="O10376" s="45" t="s">
        <v>150</v>
      </c>
      <c r="P10376" s="45" t="s">
        <v>51</v>
      </c>
      <c r="Q10376" s="48" t="s">
        <v>103</v>
      </c>
      <c r="R10376" s="45" t="s">
        <v>272</v>
      </c>
    </row>
    <row r="10377" spans="2:18" ht="69" customHeight="1">
      <c r="B10377" s="79">
        <f t="shared" si="93"/>
        <v>7487</v>
      </c>
      <c r="C10377" s="178" t="s">
        <v>458</v>
      </c>
      <c r="D10377" s="489" t="s">
        <v>25152</v>
      </c>
      <c r="E10377" s="58" t="s">
        <v>16011</v>
      </c>
      <c r="F10377" s="58" t="s">
        <v>25153</v>
      </c>
      <c r="G10377" s="45" t="s">
        <v>25147</v>
      </c>
      <c r="H10377" s="198">
        <v>2000</v>
      </c>
      <c r="I10377" s="47">
        <v>45823</v>
      </c>
      <c r="J10377" s="73" t="s">
        <v>25148</v>
      </c>
      <c r="K10377" s="60"/>
      <c r="O10377" s="45" t="s">
        <v>150</v>
      </c>
      <c r="P10377" s="45" t="s">
        <v>51</v>
      </c>
      <c r="Q10377" s="48" t="s">
        <v>122</v>
      </c>
      <c r="R10377" s="45" t="s">
        <v>272</v>
      </c>
    </row>
    <row r="10378" spans="2:18" ht="69" customHeight="1">
      <c r="B10378" s="79">
        <f t="shared" si="93"/>
        <v>7488</v>
      </c>
      <c r="C10378" s="178" t="s">
        <v>458</v>
      </c>
      <c r="D10378" s="489" t="s">
        <v>25154</v>
      </c>
      <c r="E10378" s="58" t="s">
        <v>16011</v>
      </c>
      <c r="F10378" s="58" t="s">
        <v>25155</v>
      </c>
      <c r="G10378" s="58" t="s">
        <v>25151</v>
      </c>
      <c r="H10378" s="198">
        <v>12000</v>
      </c>
      <c r="I10378" s="47">
        <v>45823</v>
      </c>
      <c r="J10378" s="73" t="s">
        <v>25148</v>
      </c>
      <c r="K10378" s="60"/>
      <c r="O10378" s="45" t="s">
        <v>150</v>
      </c>
      <c r="P10378" s="45" t="s">
        <v>51</v>
      </c>
      <c r="Q10378" s="48" t="s">
        <v>122</v>
      </c>
      <c r="R10378" s="45" t="s">
        <v>272</v>
      </c>
    </row>
    <row r="10379" spans="2:18" ht="69" customHeight="1">
      <c r="B10379" s="79">
        <f t="shared" si="93"/>
        <v>7489</v>
      </c>
      <c r="C10379" s="178" t="s">
        <v>657</v>
      </c>
      <c r="D10379" s="489" t="s">
        <v>15738</v>
      </c>
      <c r="E10379" s="58" t="s">
        <v>16011</v>
      </c>
      <c r="F10379" s="58" t="s">
        <v>25156</v>
      </c>
      <c r="G10379" s="45" t="s">
        <v>25147</v>
      </c>
      <c r="H10379" s="198">
        <v>2000</v>
      </c>
      <c r="I10379" s="47">
        <v>45823</v>
      </c>
      <c r="J10379" s="73" t="s">
        <v>25148</v>
      </c>
      <c r="K10379" s="60"/>
      <c r="O10379" s="45" t="s">
        <v>150</v>
      </c>
      <c r="P10379" s="45" t="s">
        <v>51</v>
      </c>
      <c r="Q10379" s="48" t="s">
        <v>97</v>
      </c>
      <c r="R10379" s="45" t="s">
        <v>272</v>
      </c>
    </row>
    <row r="10380" spans="2:18" ht="69" customHeight="1">
      <c r="B10380" s="79">
        <f t="shared" si="93"/>
        <v>7490</v>
      </c>
      <c r="C10380" s="178" t="s">
        <v>657</v>
      </c>
      <c r="D10380" s="489" t="s">
        <v>15780</v>
      </c>
      <c r="E10380" s="58" t="s">
        <v>16011</v>
      </c>
      <c r="F10380" s="58" t="s">
        <v>25157</v>
      </c>
      <c r="G10380" s="58" t="s">
        <v>25151</v>
      </c>
      <c r="H10380" s="198">
        <v>12000</v>
      </c>
      <c r="I10380" s="47">
        <v>45823</v>
      </c>
      <c r="J10380" s="73" t="s">
        <v>25148</v>
      </c>
      <c r="K10380" s="60"/>
      <c r="O10380" s="45" t="s">
        <v>150</v>
      </c>
      <c r="P10380" s="45" t="s">
        <v>51</v>
      </c>
      <c r="Q10380" s="48" t="s">
        <v>97</v>
      </c>
      <c r="R10380" s="45" t="s">
        <v>272</v>
      </c>
    </row>
    <row r="10381" spans="2:18" ht="69" customHeight="1">
      <c r="B10381" s="79">
        <f t="shared" si="93"/>
        <v>7491</v>
      </c>
      <c r="C10381" s="676" t="s">
        <v>10961</v>
      </c>
      <c r="D10381" s="489" t="s">
        <v>25158</v>
      </c>
      <c r="E10381" s="680" t="s">
        <v>266</v>
      </c>
      <c r="F10381" s="58" t="s">
        <v>25159</v>
      </c>
      <c r="G10381" s="58" t="s">
        <v>25160</v>
      </c>
      <c r="H10381" s="198">
        <v>1064.6500000000001</v>
      </c>
      <c r="I10381" s="47">
        <v>45823</v>
      </c>
      <c r="J10381" s="73" t="s">
        <v>25161</v>
      </c>
      <c r="K10381" s="60"/>
      <c r="O10381" s="45" t="s">
        <v>24350</v>
      </c>
      <c r="P10381" s="45" t="s">
        <v>65</v>
      </c>
      <c r="Q10381" s="48" t="s">
        <v>96</v>
      </c>
      <c r="R10381" s="45" t="s">
        <v>272</v>
      </c>
    </row>
    <row r="10382" spans="2:18" ht="69" customHeight="1">
      <c r="B10382" s="239">
        <f t="shared" si="93"/>
        <v>7492</v>
      </c>
      <c r="C10382" s="676" t="s">
        <v>25162</v>
      </c>
      <c r="D10382" s="489" t="s">
        <v>5884</v>
      </c>
      <c r="E10382" s="676" t="s">
        <v>266</v>
      </c>
      <c r="F10382" s="45" t="s">
        <v>25163</v>
      </c>
      <c r="G10382" s="45" t="s">
        <v>25164</v>
      </c>
      <c r="H10382" s="198">
        <v>1871.9</v>
      </c>
      <c r="I10382" s="47">
        <v>45823</v>
      </c>
      <c r="J10382" s="73" t="s">
        <v>25165</v>
      </c>
      <c r="K10382" s="60" t="s">
        <v>25166</v>
      </c>
      <c r="O10382" s="45" t="s">
        <v>25167</v>
      </c>
      <c r="P10382" s="45" t="s">
        <v>67</v>
      </c>
      <c r="Q10382" s="48" t="s">
        <v>96</v>
      </c>
      <c r="R10382" s="45" t="s">
        <v>272</v>
      </c>
    </row>
    <row r="10383" spans="2:18" ht="69" customHeight="1">
      <c r="B10383" s="239">
        <f t="shared" si="93"/>
        <v>7493</v>
      </c>
      <c r="C10383" s="676" t="s">
        <v>25168</v>
      </c>
      <c r="D10383" s="489" t="s">
        <v>4832</v>
      </c>
      <c r="E10383" s="676" t="s">
        <v>266</v>
      </c>
      <c r="F10383" s="45" t="s">
        <v>25169</v>
      </c>
      <c r="G10383" s="45" t="s">
        <v>25164</v>
      </c>
      <c r="H10383" s="198">
        <v>1871.9</v>
      </c>
      <c r="I10383" s="47">
        <v>45823</v>
      </c>
      <c r="J10383" s="73" t="s">
        <v>25165</v>
      </c>
      <c r="K10383" s="60" t="s">
        <v>25166</v>
      </c>
      <c r="O10383" s="45" t="s">
        <v>25167</v>
      </c>
      <c r="P10383" s="45" t="s">
        <v>67</v>
      </c>
      <c r="Q10383" s="48" t="s">
        <v>96</v>
      </c>
      <c r="R10383" s="45" t="s">
        <v>272</v>
      </c>
    </row>
    <row r="10384" spans="2:18" ht="69" customHeight="1">
      <c r="B10384" s="239">
        <f t="shared" si="93"/>
        <v>7494</v>
      </c>
      <c r="C10384" s="676" t="s">
        <v>25170</v>
      </c>
      <c r="D10384" s="489" t="s">
        <v>3657</v>
      </c>
      <c r="E10384" s="676" t="s">
        <v>266</v>
      </c>
      <c r="F10384" s="45" t="s">
        <v>25171</v>
      </c>
      <c r="G10384" s="45" t="s">
        <v>25164</v>
      </c>
      <c r="H10384" s="198">
        <v>1690.7</v>
      </c>
      <c r="I10384" s="47">
        <v>45823</v>
      </c>
      <c r="J10384" s="73" t="s">
        <v>25165</v>
      </c>
      <c r="K10384" s="60" t="s">
        <v>25166</v>
      </c>
      <c r="O10384" s="45" t="s">
        <v>25167</v>
      </c>
      <c r="P10384" s="45" t="s">
        <v>67</v>
      </c>
      <c r="Q10384" s="48" t="s">
        <v>96</v>
      </c>
      <c r="R10384" s="45" t="s">
        <v>272</v>
      </c>
    </row>
    <row r="10385" spans="2:18" ht="69" customHeight="1">
      <c r="B10385" s="239">
        <f t="shared" si="93"/>
        <v>7495</v>
      </c>
      <c r="C10385" s="676" t="s">
        <v>25172</v>
      </c>
      <c r="D10385" s="489" t="s">
        <v>3672</v>
      </c>
      <c r="E10385" s="676" t="s">
        <v>266</v>
      </c>
      <c r="F10385" s="45" t="s">
        <v>25173</v>
      </c>
      <c r="G10385" s="45" t="s">
        <v>25164</v>
      </c>
      <c r="H10385" s="198">
        <v>1690.7</v>
      </c>
      <c r="I10385" s="47">
        <v>45823</v>
      </c>
      <c r="J10385" s="73" t="s">
        <v>25165</v>
      </c>
      <c r="K10385" s="60" t="s">
        <v>25166</v>
      </c>
      <c r="O10385" s="45" t="s">
        <v>25167</v>
      </c>
      <c r="P10385" s="45" t="s">
        <v>67</v>
      </c>
      <c r="Q10385" s="48" t="s">
        <v>96</v>
      </c>
      <c r="R10385" s="45" t="s">
        <v>272</v>
      </c>
    </row>
    <row r="10386" spans="2:18" ht="69" customHeight="1">
      <c r="B10386" s="239">
        <f t="shared" si="93"/>
        <v>7496</v>
      </c>
      <c r="C10386" s="909" t="s">
        <v>8797</v>
      </c>
      <c r="D10386" s="489" t="s">
        <v>20066</v>
      </c>
      <c r="E10386" s="676" t="s">
        <v>266</v>
      </c>
      <c r="F10386" s="45" t="s">
        <v>25174</v>
      </c>
      <c r="G10386" s="45" t="s">
        <v>25164</v>
      </c>
      <c r="H10386" s="198">
        <v>1690.7</v>
      </c>
      <c r="I10386" s="47">
        <v>45823</v>
      </c>
      <c r="J10386" s="73" t="s">
        <v>25165</v>
      </c>
      <c r="K10386" s="60" t="s">
        <v>25166</v>
      </c>
      <c r="O10386" s="45" t="s">
        <v>25167</v>
      </c>
      <c r="P10386" s="45" t="s">
        <v>67</v>
      </c>
      <c r="Q10386" s="48" t="s">
        <v>96</v>
      </c>
      <c r="R10386" s="45" t="s">
        <v>272</v>
      </c>
    </row>
    <row r="10387" spans="2:18" ht="69" customHeight="1">
      <c r="B10387" s="239">
        <f t="shared" si="93"/>
        <v>7497</v>
      </c>
      <c r="C10387" s="676" t="s">
        <v>25162</v>
      </c>
      <c r="D10387" s="489" t="s">
        <v>300</v>
      </c>
      <c r="E10387" s="59" t="s">
        <v>266</v>
      </c>
      <c r="F10387" s="45" t="s">
        <v>25175</v>
      </c>
      <c r="G10387" s="45" t="s">
        <v>25164</v>
      </c>
      <c r="H10387" s="198">
        <v>1871.9</v>
      </c>
      <c r="I10387" s="47">
        <v>45823</v>
      </c>
      <c r="J10387" s="73" t="s">
        <v>25165</v>
      </c>
      <c r="K10387" s="60" t="s">
        <v>25166</v>
      </c>
      <c r="O10387" s="45" t="s">
        <v>25167</v>
      </c>
      <c r="P10387" s="45" t="s">
        <v>67</v>
      </c>
      <c r="Q10387" s="48" t="s">
        <v>96</v>
      </c>
      <c r="R10387" s="45" t="s">
        <v>272</v>
      </c>
    </row>
    <row r="10388" spans="2:18" ht="69" customHeight="1">
      <c r="B10388" s="239">
        <f t="shared" si="93"/>
        <v>7498</v>
      </c>
      <c r="C10388" s="676" t="s">
        <v>25162</v>
      </c>
      <c r="D10388" s="489" t="s">
        <v>433</v>
      </c>
      <c r="E10388" s="59" t="s">
        <v>266</v>
      </c>
      <c r="F10388" s="45" t="s">
        <v>25176</v>
      </c>
      <c r="G10388" s="45" t="s">
        <v>25164</v>
      </c>
      <c r="H10388" s="198">
        <v>1871.9</v>
      </c>
      <c r="I10388" s="47">
        <v>45823</v>
      </c>
      <c r="J10388" s="73" t="s">
        <v>25165</v>
      </c>
      <c r="K10388" s="60" t="s">
        <v>25166</v>
      </c>
      <c r="O10388" s="45" t="s">
        <v>25167</v>
      </c>
      <c r="P10388" s="45" t="s">
        <v>67</v>
      </c>
      <c r="Q10388" s="48" t="s">
        <v>96</v>
      </c>
      <c r="R10388" s="45" t="s">
        <v>272</v>
      </c>
    </row>
    <row r="10389" spans="2:18" ht="69" customHeight="1">
      <c r="B10389" s="239">
        <f t="shared" si="93"/>
        <v>7499</v>
      </c>
      <c r="C10389" s="676" t="s">
        <v>11933</v>
      </c>
      <c r="D10389" s="489" t="s">
        <v>25177</v>
      </c>
      <c r="E10389" s="59" t="s">
        <v>266</v>
      </c>
      <c r="F10389" s="45" t="s">
        <v>25178</v>
      </c>
      <c r="G10389" s="45" t="s">
        <v>25164</v>
      </c>
      <c r="H10389" s="198">
        <v>1690.7</v>
      </c>
      <c r="I10389" s="47">
        <v>45833</v>
      </c>
      <c r="J10389" s="73" t="s">
        <v>25165</v>
      </c>
      <c r="K10389" s="60" t="s">
        <v>25166</v>
      </c>
      <c r="O10389" s="45" t="s">
        <v>25167</v>
      </c>
      <c r="P10389" s="45" t="s">
        <v>67</v>
      </c>
      <c r="Q10389" s="48" t="s">
        <v>96</v>
      </c>
      <c r="R10389" s="45" t="s">
        <v>272</v>
      </c>
    </row>
    <row r="10390" spans="2:18" ht="69" customHeight="1">
      <c r="B10390" s="79">
        <f t="shared" si="93"/>
        <v>7500</v>
      </c>
      <c r="C10390" s="58" t="s">
        <v>22301</v>
      </c>
      <c r="D10390" s="551" t="s">
        <v>25179</v>
      </c>
      <c r="E10390" s="178" t="s">
        <v>266</v>
      </c>
      <c r="F10390" s="58" t="s">
        <v>25180</v>
      </c>
      <c r="G10390" s="58" t="s">
        <v>25181</v>
      </c>
      <c r="H10390" s="552">
        <v>1000</v>
      </c>
      <c r="I10390" s="47">
        <v>45833</v>
      </c>
      <c r="J10390" s="65" t="s">
        <v>25182</v>
      </c>
      <c r="K10390" s="681" t="s">
        <v>25183</v>
      </c>
      <c r="O10390" s="45" t="s">
        <v>20856</v>
      </c>
      <c r="P10390" s="45" t="s">
        <v>65</v>
      </c>
      <c r="Q10390" s="48" t="s">
        <v>110</v>
      </c>
      <c r="R10390" s="45" t="s">
        <v>272</v>
      </c>
    </row>
    <row r="10391" spans="2:18" ht="69" customHeight="1">
      <c r="B10391" s="239">
        <f t="shared" si="93"/>
        <v>7501</v>
      </c>
      <c r="C10391" s="45" t="s">
        <v>22301</v>
      </c>
      <c r="D10391" s="489" t="s">
        <v>15996</v>
      </c>
      <c r="E10391" s="59" t="s">
        <v>266</v>
      </c>
      <c r="F10391" s="45" t="s">
        <v>25184</v>
      </c>
      <c r="G10391" s="45" t="s">
        <v>25185</v>
      </c>
      <c r="H10391" s="198">
        <v>3000</v>
      </c>
      <c r="I10391" s="47">
        <v>45955</v>
      </c>
      <c r="J10391" s="73" t="s">
        <v>25186</v>
      </c>
      <c r="K10391" s="677" t="s">
        <v>25187</v>
      </c>
      <c r="O10391" s="45" t="s">
        <v>150</v>
      </c>
      <c r="P10391" s="45" t="s">
        <v>65</v>
      </c>
      <c r="Q10391" s="48" t="s">
        <v>110</v>
      </c>
      <c r="R10391" s="45" t="s">
        <v>272</v>
      </c>
    </row>
    <row r="10392" spans="2:18" ht="69" customHeight="1">
      <c r="B10392" s="239">
        <f t="shared" si="93"/>
        <v>7502</v>
      </c>
      <c r="C10392" s="59" t="s">
        <v>13562</v>
      </c>
      <c r="D10392" s="489" t="s">
        <v>25188</v>
      </c>
      <c r="E10392" s="59" t="s">
        <v>266</v>
      </c>
      <c r="F10392" s="45" t="s">
        <v>25189</v>
      </c>
      <c r="G10392" s="45" t="s">
        <v>25190</v>
      </c>
      <c r="H10392" s="198">
        <v>3000</v>
      </c>
      <c r="I10392" s="47">
        <v>45955</v>
      </c>
      <c r="J10392" s="73" t="s">
        <v>25186</v>
      </c>
      <c r="K10392" s="677" t="s">
        <v>25191</v>
      </c>
      <c r="O10392" s="45" t="s">
        <v>150</v>
      </c>
      <c r="P10392" s="45" t="s">
        <v>65</v>
      </c>
      <c r="Q10392" s="48" t="s">
        <v>88</v>
      </c>
      <c r="R10392" s="45" t="s">
        <v>272</v>
      </c>
    </row>
    <row r="10393" spans="2:18" ht="69" customHeight="1">
      <c r="B10393" s="239">
        <f t="shared" si="93"/>
        <v>7503</v>
      </c>
      <c r="C10393" s="676" t="s">
        <v>11933</v>
      </c>
      <c r="D10393" s="489" t="s">
        <v>25192</v>
      </c>
      <c r="E10393" s="59" t="s">
        <v>266</v>
      </c>
      <c r="F10393" s="45" t="s">
        <v>25193</v>
      </c>
      <c r="G10393" s="45" t="s">
        <v>25194</v>
      </c>
      <c r="H10393" s="198">
        <v>3000</v>
      </c>
      <c r="I10393" s="47">
        <v>45955</v>
      </c>
      <c r="J10393" s="73" t="s">
        <v>25186</v>
      </c>
      <c r="K10393" s="677" t="s">
        <v>25195</v>
      </c>
      <c r="O10393" s="45" t="s">
        <v>150</v>
      </c>
      <c r="P10393" s="45" t="s">
        <v>65</v>
      </c>
      <c r="Q10393" s="48" t="s">
        <v>123</v>
      </c>
      <c r="R10393" s="45" t="s">
        <v>272</v>
      </c>
    </row>
    <row r="10394" spans="2:18" ht="69" customHeight="1">
      <c r="B10394" s="231">
        <f t="shared" si="93"/>
        <v>7504</v>
      </c>
      <c r="C10394" s="191" t="s">
        <v>6693</v>
      </c>
      <c r="D10394" s="502" t="s">
        <v>25196</v>
      </c>
      <c r="E10394" s="191" t="s">
        <v>266</v>
      </c>
      <c r="F10394" s="46" t="s">
        <v>25197</v>
      </c>
      <c r="G10394" s="46" t="s">
        <v>25198</v>
      </c>
      <c r="H10394" s="534">
        <v>3000</v>
      </c>
      <c r="I10394" s="56">
        <v>45955</v>
      </c>
      <c r="J10394" s="199" t="s">
        <v>25186</v>
      </c>
      <c r="K10394" s="87" t="s">
        <v>25199</v>
      </c>
      <c r="O10394" s="46" t="s">
        <v>150</v>
      </c>
      <c r="P10394" s="46" t="s">
        <v>65</v>
      </c>
      <c r="Q10394" s="52" t="s">
        <v>78</v>
      </c>
      <c r="R10394" s="46" t="s">
        <v>272</v>
      </c>
    </row>
    <row r="10395" spans="2:18" ht="69" customHeight="1">
      <c r="B10395" s="239">
        <f t="shared" si="93"/>
        <v>7505</v>
      </c>
      <c r="C10395" s="45" t="s">
        <v>11618</v>
      </c>
      <c r="D10395" s="489" t="s">
        <v>25200</v>
      </c>
      <c r="E10395" s="59" t="s">
        <v>266</v>
      </c>
      <c r="F10395" s="45" t="s">
        <v>25201</v>
      </c>
      <c r="G10395" s="45" t="s">
        <v>25190</v>
      </c>
      <c r="H10395" s="198">
        <v>3000</v>
      </c>
      <c r="I10395" s="47">
        <v>45955</v>
      </c>
      <c r="J10395" s="73" t="s">
        <v>25186</v>
      </c>
      <c r="K10395" s="677" t="s">
        <v>25202</v>
      </c>
      <c r="O10395" s="45" t="s">
        <v>150</v>
      </c>
      <c r="P10395" s="45" t="s">
        <v>65</v>
      </c>
      <c r="Q10395" s="48" t="s">
        <v>122</v>
      </c>
      <c r="R10395" s="45" t="s">
        <v>272</v>
      </c>
    </row>
    <row r="10396" spans="2:18" ht="69" customHeight="1">
      <c r="B10396" s="79">
        <f t="shared" si="93"/>
        <v>7506</v>
      </c>
      <c r="C10396" s="788" t="s">
        <v>11933</v>
      </c>
      <c r="D10396" s="551" t="s">
        <v>25203</v>
      </c>
      <c r="E10396" s="58" t="s">
        <v>24808</v>
      </c>
      <c r="F10396" s="58" t="s">
        <v>25204</v>
      </c>
      <c r="G10396" s="58" t="s">
        <v>25205</v>
      </c>
      <c r="H10396" s="948">
        <v>677.66</v>
      </c>
      <c r="I10396" s="66">
        <v>45833</v>
      </c>
      <c r="J10396" s="65" t="s">
        <v>25206</v>
      </c>
      <c r="K10396" s="58" t="s">
        <v>22203</v>
      </c>
      <c r="O10396" s="58" t="s">
        <v>24808</v>
      </c>
      <c r="P10396" s="45" t="s">
        <v>65</v>
      </c>
      <c r="Q10396" s="48" t="s">
        <v>123</v>
      </c>
      <c r="R10396" s="45" t="s">
        <v>272</v>
      </c>
    </row>
    <row r="10397" spans="2:18" ht="69" customHeight="1">
      <c r="B10397" s="79">
        <f t="shared" si="93"/>
        <v>7507</v>
      </c>
      <c r="C10397" s="771" t="s">
        <v>8797</v>
      </c>
      <c r="D10397" s="551" t="s">
        <v>20116</v>
      </c>
      <c r="E10397" s="58" t="s">
        <v>24808</v>
      </c>
      <c r="F10397" s="58" t="s">
        <v>25207</v>
      </c>
      <c r="G10397" s="58" t="s">
        <v>25205</v>
      </c>
      <c r="H10397" s="948">
        <v>677.66</v>
      </c>
      <c r="I10397" s="66">
        <v>45833</v>
      </c>
      <c r="J10397" s="65" t="s">
        <v>25206</v>
      </c>
      <c r="K10397" s="58" t="s">
        <v>22203</v>
      </c>
      <c r="O10397" s="58" t="s">
        <v>24808</v>
      </c>
      <c r="P10397" s="45" t="s">
        <v>65</v>
      </c>
      <c r="Q10397" s="48" t="s">
        <v>110</v>
      </c>
      <c r="R10397" s="45" t="s">
        <v>272</v>
      </c>
    </row>
    <row r="10398" spans="2:18" ht="69" customHeight="1">
      <c r="B10398" s="79">
        <f t="shared" si="93"/>
        <v>7508</v>
      </c>
      <c r="C10398" s="788" t="s">
        <v>11933</v>
      </c>
      <c r="D10398" s="551" t="s">
        <v>25208</v>
      </c>
      <c r="E10398" s="58" t="s">
        <v>24808</v>
      </c>
      <c r="F10398" s="58" t="s">
        <v>25209</v>
      </c>
      <c r="G10398" s="58" t="s">
        <v>25210</v>
      </c>
      <c r="H10398" s="948">
        <v>167.2</v>
      </c>
      <c r="I10398" s="66">
        <v>45833</v>
      </c>
      <c r="J10398" s="62" t="s">
        <v>25211</v>
      </c>
      <c r="K10398" s="58" t="s">
        <v>22203</v>
      </c>
      <c r="O10398" s="58" t="s">
        <v>24808</v>
      </c>
      <c r="P10398" s="45" t="s">
        <v>65</v>
      </c>
      <c r="Q10398" s="48" t="s">
        <v>123</v>
      </c>
      <c r="R10398" s="45" t="s">
        <v>272</v>
      </c>
    </row>
    <row r="10399" spans="2:18" ht="69" customHeight="1">
      <c r="B10399" s="79">
        <f t="shared" si="93"/>
        <v>7509</v>
      </c>
      <c r="C10399" s="771" t="s">
        <v>8797</v>
      </c>
      <c r="D10399" s="551" t="s">
        <v>16002</v>
      </c>
      <c r="E10399" s="58" t="s">
        <v>24808</v>
      </c>
      <c r="F10399" s="58" t="s">
        <v>25212</v>
      </c>
      <c r="G10399" s="58" t="s">
        <v>25210</v>
      </c>
      <c r="H10399" s="948">
        <v>167.2</v>
      </c>
      <c r="I10399" s="66">
        <v>45833</v>
      </c>
      <c r="J10399" s="62" t="s">
        <v>25211</v>
      </c>
      <c r="K10399" s="58" t="s">
        <v>22203</v>
      </c>
      <c r="O10399" s="58" t="s">
        <v>24808</v>
      </c>
      <c r="P10399" s="45" t="s">
        <v>65</v>
      </c>
      <c r="Q10399" s="48" t="s">
        <v>110</v>
      </c>
      <c r="R10399" s="45" t="s">
        <v>272</v>
      </c>
    </row>
    <row r="10400" spans="2:18" ht="69" customHeight="1">
      <c r="B10400" s="79">
        <f t="shared" si="93"/>
        <v>7510</v>
      </c>
      <c r="C10400" s="58" t="s">
        <v>11933</v>
      </c>
      <c r="D10400" s="489" t="s">
        <v>25213</v>
      </c>
      <c r="E10400" s="649" t="s">
        <v>22398</v>
      </c>
      <c r="F10400" s="45" t="s">
        <v>25214</v>
      </c>
      <c r="G10400" s="45" t="s">
        <v>25215</v>
      </c>
      <c r="H10400" s="198">
        <v>71177.08</v>
      </c>
      <c r="I10400" s="66">
        <v>45833</v>
      </c>
      <c r="J10400" s="73" t="s">
        <v>25216</v>
      </c>
      <c r="K10400" s="60"/>
      <c r="O10400" s="45" t="s">
        <v>21304</v>
      </c>
      <c r="P10400" s="45" t="s">
        <v>77</v>
      </c>
      <c r="Q10400" s="48" t="s">
        <v>123</v>
      </c>
      <c r="R10400" s="45" t="s">
        <v>272</v>
      </c>
    </row>
    <row r="10401" spans="2:18" ht="69" customHeight="1">
      <c r="B10401" s="79">
        <f t="shared" si="93"/>
        <v>7511</v>
      </c>
      <c r="C10401" s="178" t="s">
        <v>458</v>
      </c>
      <c r="D10401" s="551" t="s">
        <v>25217</v>
      </c>
      <c r="E10401" s="58" t="s">
        <v>11480</v>
      </c>
      <c r="F10401" s="58" t="s">
        <v>25218</v>
      </c>
      <c r="G10401" s="960" t="s">
        <v>25219</v>
      </c>
      <c r="H10401" s="552">
        <v>159354.69</v>
      </c>
      <c r="I10401" s="766">
        <v>45833</v>
      </c>
      <c r="J10401" s="73" t="s">
        <v>25220</v>
      </c>
      <c r="K10401" s="58"/>
      <c r="O10401" s="45" t="s">
        <v>141</v>
      </c>
      <c r="P10401" s="45" t="s">
        <v>19</v>
      </c>
      <c r="Q10401" s="48" t="s">
        <v>123</v>
      </c>
      <c r="R10401" s="45" t="s">
        <v>272</v>
      </c>
    </row>
    <row r="10402" spans="2:18" ht="69" customHeight="1">
      <c r="B10402" s="239">
        <f t="shared" si="93"/>
        <v>7512</v>
      </c>
      <c r="C10402" s="59" t="s">
        <v>657</v>
      </c>
      <c r="D10402" s="489" t="s">
        <v>16143</v>
      </c>
      <c r="E10402" s="59" t="s">
        <v>266</v>
      </c>
      <c r="F10402" s="45" t="s">
        <v>25221</v>
      </c>
      <c r="G10402" s="45" t="s">
        <v>25222</v>
      </c>
      <c r="H10402" s="198">
        <v>1000</v>
      </c>
      <c r="I10402" s="731">
        <v>45828</v>
      </c>
      <c r="J10402" s="48" t="s">
        <v>25223</v>
      </c>
      <c r="K10402" s="748" t="s">
        <v>25224</v>
      </c>
      <c r="O10402" s="45" t="s">
        <v>15366</v>
      </c>
      <c r="P10402" s="45" t="s">
        <v>67</v>
      </c>
      <c r="Q10402" s="48" t="s">
        <v>97</v>
      </c>
      <c r="R10402" s="45" t="s">
        <v>272</v>
      </c>
    </row>
    <row r="10403" spans="2:18" ht="69" customHeight="1">
      <c r="B10403" s="239">
        <f t="shared" si="93"/>
        <v>7513</v>
      </c>
      <c r="C10403" s="59" t="s">
        <v>657</v>
      </c>
      <c r="D10403" s="489" t="s">
        <v>16143</v>
      </c>
      <c r="E10403" s="59" t="s">
        <v>266</v>
      </c>
      <c r="F10403" s="45" t="s">
        <v>25225</v>
      </c>
      <c r="G10403" s="45" t="s">
        <v>25222</v>
      </c>
      <c r="H10403" s="198">
        <v>1000</v>
      </c>
      <c r="I10403" s="731">
        <v>45828</v>
      </c>
      <c r="J10403" s="48" t="s">
        <v>25223</v>
      </c>
      <c r="K10403" s="60" t="s">
        <v>25224</v>
      </c>
      <c r="O10403" s="45" t="s">
        <v>15366</v>
      </c>
      <c r="P10403" s="45" t="s">
        <v>67</v>
      </c>
      <c r="Q10403" s="48" t="s">
        <v>110</v>
      </c>
      <c r="R10403" s="45" t="s">
        <v>272</v>
      </c>
    </row>
    <row r="10404" spans="2:18" ht="69" customHeight="1">
      <c r="B10404" s="239">
        <f t="shared" si="93"/>
        <v>7514</v>
      </c>
      <c r="C10404" s="59" t="s">
        <v>458</v>
      </c>
      <c r="D10404" s="489" t="s">
        <v>25226</v>
      </c>
      <c r="E10404" s="59" t="s">
        <v>266</v>
      </c>
      <c r="F10404" s="45" t="s">
        <v>25227</v>
      </c>
      <c r="G10404" s="45" t="s">
        <v>25222</v>
      </c>
      <c r="H10404" s="198">
        <v>666.66600000000005</v>
      </c>
      <c r="I10404" s="731">
        <v>45828</v>
      </c>
      <c r="J10404" s="48" t="s">
        <v>25223</v>
      </c>
      <c r="K10404" s="60" t="s">
        <v>25228</v>
      </c>
      <c r="O10404" s="45" t="s">
        <v>15366</v>
      </c>
      <c r="P10404" s="45" t="s">
        <v>67</v>
      </c>
      <c r="Q10404" s="48" t="s">
        <v>123</v>
      </c>
      <c r="R10404" s="45" t="s">
        <v>272</v>
      </c>
    </row>
    <row r="10405" spans="2:18" ht="69" customHeight="1">
      <c r="B10405" s="239">
        <f t="shared" si="93"/>
        <v>7515</v>
      </c>
      <c r="C10405" s="59" t="s">
        <v>458</v>
      </c>
      <c r="D10405" s="489" t="s">
        <v>25226</v>
      </c>
      <c r="E10405" s="59" t="s">
        <v>266</v>
      </c>
      <c r="F10405" s="45" t="s">
        <v>25229</v>
      </c>
      <c r="G10405" s="45" t="s">
        <v>25222</v>
      </c>
      <c r="H10405" s="198">
        <v>666.66600000000005</v>
      </c>
      <c r="I10405" s="731">
        <v>45828</v>
      </c>
      <c r="J10405" s="48" t="s">
        <v>25223</v>
      </c>
      <c r="K10405" s="60" t="s">
        <v>25228</v>
      </c>
      <c r="O10405" s="45" t="s">
        <v>15366</v>
      </c>
      <c r="P10405" s="45" t="s">
        <v>67</v>
      </c>
      <c r="Q10405" s="48" t="s">
        <v>103</v>
      </c>
      <c r="R10405" s="45" t="s">
        <v>272</v>
      </c>
    </row>
    <row r="10406" spans="2:18" ht="69" customHeight="1">
      <c r="B10406" s="239">
        <f t="shared" si="93"/>
        <v>7516</v>
      </c>
      <c r="C10406" s="59" t="s">
        <v>458</v>
      </c>
      <c r="D10406" s="489" t="s">
        <v>25226</v>
      </c>
      <c r="E10406" s="59" t="s">
        <v>266</v>
      </c>
      <c r="F10406" s="45" t="s">
        <v>25230</v>
      </c>
      <c r="G10406" s="45" t="s">
        <v>25222</v>
      </c>
      <c r="H10406" s="198">
        <v>666.66600000000005</v>
      </c>
      <c r="I10406" s="731">
        <v>45828</v>
      </c>
      <c r="J10406" s="48" t="s">
        <v>25223</v>
      </c>
      <c r="K10406" s="60" t="s">
        <v>25228</v>
      </c>
      <c r="O10406" s="45" t="s">
        <v>15366</v>
      </c>
      <c r="P10406" s="45" t="s">
        <v>67</v>
      </c>
      <c r="Q10406" s="48" t="s">
        <v>113</v>
      </c>
      <c r="R10406" s="45" t="s">
        <v>272</v>
      </c>
    </row>
    <row r="10407" spans="2:18" ht="69" customHeight="1">
      <c r="B10407" s="239">
        <f t="shared" si="93"/>
        <v>7517</v>
      </c>
      <c r="C10407" s="59" t="s">
        <v>657</v>
      </c>
      <c r="D10407" s="489" t="s">
        <v>16147</v>
      </c>
      <c r="E10407" s="45" t="s">
        <v>266</v>
      </c>
      <c r="F10407" s="45" t="s">
        <v>25231</v>
      </c>
      <c r="G10407" s="81" t="s">
        <v>23950</v>
      </c>
      <c r="H10407" s="198">
        <v>22212.39</v>
      </c>
      <c r="I10407" s="731">
        <v>45833</v>
      </c>
      <c r="J10407" s="48" t="s">
        <v>25232</v>
      </c>
      <c r="K10407" s="60"/>
      <c r="M10407" s="98"/>
      <c r="N10407" s="98"/>
      <c r="O10407" s="45" t="s">
        <v>1171</v>
      </c>
      <c r="P10407" s="45" t="s">
        <v>71</v>
      </c>
      <c r="Q10407" s="48" t="s">
        <v>97</v>
      </c>
      <c r="R10407" s="45" t="s">
        <v>272</v>
      </c>
    </row>
    <row r="10408" spans="2:18" ht="69" customHeight="1">
      <c r="B10408" s="239">
        <f t="shared" si="93"/>
        <v>7518</v>
      </c>
      <c r="C10408" s="59" t="s">
        <v>657</v>
      </c>
      <c r="D10408" s="489" t="s">
        <v>16162</v>
      </c>
      <c r="E10408" s="45" t="s">
        <v>266</v>
      </c>
      <c r="F10408" s="45" t="s">
        <v>25233</v>
      </c>
      <c r="G10408" s="81" t="s">
        <v>23950</v>
      </c>
      <c r="H10408" s="198">
        <v>5182.8900000000003</v>
      </c>
      <c r="I10408" s="731">
        <v>45833</v>
      </c>
      <c r="J10408" s="48" t="s">
        <v>25232</v>
      </c>
      <c r="K10408" s="60"/>
      <c r="O10408" s="45" t="s">
        <v>1171</v>
      </c>
      <c r="P10408" s="45" t="s">
        <v>71</v>
      </c>
      <c r="Q10408" s="48" t="s">
        <v>97</v>
      </c>
      <c r="R10408" s="45" t="s">
        <v>272</v>
      </c>
    </row>
    <row r="10409" spans="2:18" ht="69" customHeight="1">
      <c r="B10409" s="239">
        <f t="shared" si="93"/>
        <v>7519</v>
      </c>
      <c r="C10409" s="59" t="s">
        <v>458</v>
      </c>
      <c r="D10409" s="489" t="s">
        <v>25234</v>
      </c>
      <c r="E10409" s="45" t="s">
        <v>266</v>
      </c>
      <c r="F10409" s="45" t="s">
        <v>25235</v>
      </c>
      <c r="G10409" s="81" t="s">
        <v>23950</v>
      </c>
      <c r="H10409" s="198">
        <v>22192.84</v>
      </c>
      <c r="I10409" s="731">
        <v>45833</v>
      </c>
      <c r="J10409" s="48" t="s">
        <v>25232</v>
      </c>
      <c r="K10409" s="60"/>
      <c r="O10409" s="45" t="s">
        <v>1171</v>
      </c>
      <c r="P10409" s="45" t="s">
        <v>71</v>
      </c>
      <c r="Q10409" s="48" t="s">
        <v>103</v>
      </c>
      <c r="R10409" s="45" t="s">
        <v>272</v>
      </c>
    </row>
    <row r="10410" spans="2:18" ht="69" customHeight="1">
      <c r="B10410" s="239">
        <f t="shared" si="93"/>
        <v>7520</v>
      </c>
      <c r="C10410" s="59" t="s">
        <v>458</v>
      </c>
      <c r="D10410" s="489" t="s">
        <v>25236</v>
      </c>
      <c r="E10410" s="45" t="s">
        <v>266</v>
      </c>
      <c r="F10410" s="45" t="s">
        <v>25237</v>
      </c>
      <c r="G10410" s="81" t="s">
        <v>23950</v>
      </c>
      <c r="H10410" s="198">
        <v>1479.52</v>
      </c>
      <c r="I10410" s="731">
        <v>45833</v>
      </c>
      <c r="J10410" s="48" t="s">
        <v>25232</v>
      </c>
      <c r="K10410" s="60"/>
      <c r="O10410" s="45" t="s">
        <v>1171</v>
      </c>
      <c r="P10410" s="45" t="s">
        <v>71</v>
      </c>
      <c r="Q10410" s="48" t="s">
        <v>103</v>
      </c>
      <c r="R10410" s="45" t="s">
        <v>272</v>
      </c>
    </row>
    <row r="10411" spans="2:18" ht="69" customHeight="1">
      <c r="B10411" s="239">
        <f t="shared" si="93"/>
        <v>7521</v>
      </c>
      <c r="C10411" s="676" t="s">
        <v>10937</v>
      </c>
      <c r="D10411" s="489" t="s">
        <v>16164</v>
      </c>
      <c r="E10411" s="45" t="s">
        <v>266</v>
      </c>
      <c r="F10411" s="45" t="s">
        <v>25238</v>
      </c>
      <c r="G10411" s="81" t="s">
        <v>23950</v>
      </c>
      <c r="H10411" s="198">
        <v>11000</v>
      </c>
      <c r="I10411" s="731">
        <v>45833</v>
      </c>
      <c r="J10411" s="48" t="s">
        <v>25232</v>
      </c>
      <c r="K10411" s="60"/>
      <c r="O10411" s="45" t="s">
        <v>1171</v>
      </c>
      <c r="P10411" s="45" t="s">
        <v>71</v>
      </c>
      <c r="Q10411" s="48" t="s">
        <v>104</v>
      </c>
      <c r="R10411" s="45" t="s">
        <v>272</v>
      </c>
    </row>
    <row r="10412" spans="2:18" ht="69" customHeight="1">
      <c r="B10412" s="239">
        <f t="shared" si="93"/>
        <v>7522</v>
      </c>
      <c r="C10412" s="676" t="s">
        <v>10937</v>
      </c>
      <c r="D10412" s="489" t="s">
        <v>16177</v>
      </c>
      <c r="E10412" s="45" t="s">
        <v>266</v>
      </c>
      <c r="F10412" s="45" t="s">
        <v>25239</v>
      </c>
      <c r="G10412" s="81" t="s">
        <v>23950</v>
      </c>
      <c r="H10412" s="198">
        <v>2933.33</v>
      </c>
      <c r="I10412" s="731">
        <v>45833</v>
      </c>
      <c r="J10412" s="48" t="s">
        <v>25232</v>
      </c>
      <c r="K10412" s="60"/>
      <c r="O10412" s="45" t="s">
        <v>1171</v>
      </c>
      <c r="P10412" s="45" t="s">
        <v>71</v>
      </c>
      <c r="Q10412" s="48" t="s">
        <v>104</v>
      </c>
      <c r="R10412" s="45" t="s">
        <v>272</v>
      </c>
    </row>
    <row r="10413" spans="2:18" ht="69" customHeight="1">
      <c r="B10413" s="239">
        <f t="shared" si="93"/>
        <v>7523</v>
      </c>
      <c r="C10413" s="59" t="s">
        <v>11568</v>
      </c>
      <c r="D10413" s="489" t="s">
        <v>25240</v>
      </c>
      <c r="E10413" s="45" t="s">
        <v>266</v>
      </c>
      <c r="F10413" s="45" t="s">
        <v>25241</v>
      </c>
      <c r="G10413" s="81" t="s">
        <v>23950</v>
      </c>
      <c r="H10413" s="198">
        <v>11000</v>
      </c>
      <c r="I10413" s="731">
        <v>45833</v>
      </c>
      <c r="J10413" s="48" t="s">
        <v>25232</v>
      </c>
      <c r="K10413" s="60"/>
      <c r="O10413" s="45" t="s">
        <v>1171</v>
      </c>
      <c r="P10413" s="45" t="s">
        <v>71</v>
      </c>
      <c r="Q10413" s="48" t="s">
        <v>107</v>
      </c>
      <c r="R10413" s="45" t="s">
        <v>272</v>
      </c>
    </row>
    <row r="10414" spans="2:18" ht="69" customHeight="1">
      <c r="B10414" s="239">
        <f t="shared" si="93"/>
        <v>7524</v>
      </c>
      <c r="C10414" s="59" t="s">
        <v>11568</v>
      </c>
      <c r="D10414" s="489" t="s">
        <v>25242</v>
      </c>
      <c r="E10414" s="45" t="s">
        <v>266</v>
      </c>
      <c r="F10414" s="45" t="s">
        <v>25243</v>
      </c>
      <c r="G10414" s="81" t="s">
        <v>23950</v>
      </c>
      <c r="H10414" s="198">
        <v>11000</v>
      </c>
      <c r="I10414" s="731">
        <v>45833</v>
      </c>
      <c r="J10414" s="48" t="s">
        <v>25232</v>
      </c>
      <c r="K10414" s="60"/>
      <c r="O10414" s="45" t="s">
        <v>1171</v>
      </c>
      <c r="P10414" s="45" t="s">
        <v>71</v>
      </c>
      <c r="Q10414" s="48" t="s">
        <v>107</v>
      </c>
      <c r="R10414" s="45" t="s">
        <v>272</v>
      </c>
    </row>
    <row r="10415" spans="2:18" ht="69" customHeight="1">
      <c r="B10415" s="239">
        <f t="shared" si="93"/>
        <v>7525</v>
      </c>
      <c r="C10415" s="59" t="s">
        <v>11568</v>
      </c>
      <c r="D10415" s="489" t="s">
        <v>25244</v>
      </c>
      <c r="E10415" s="45" t="s">
        <v>266</v>
      </c>
      <c r="F10415" s="45" t="s">
        <v>25245</v>
      </c>
      <c r="G10415" s="81" t="s">
        <v>23950</v>
      </c>
      <c r="H10415" s="198">
        <v>2933.33</v>
      </c>
      <c r="I10415" s="731">
        <v>45833</v>
      </c>
      <c r="J10415" s="48" t="s">
        <v>25232</v>
      </c>
      <c r="K10415" s="60"/>
      <c r="O10415" s="45" t="s">
        <v>1171</v>
      </c>
      <c r="P10415" s="45" t="s">
        <v>71</v>
      </c>
      <c r="Q10415" s="48" t="s">
        <v>107</v>
      </c>
      <c r="R10415" s="45" t="s">
        <v>272</v>
      </c>
    </row>
    <row r="10416" spans="2:18" ht="69" customHeight="1">
      <c r="B10416" s="239">
        <f t="shared" si="93"/>
        <v>7526</v>
      </c>
      <c r="C10416" s="59" t="s">
        <v>657</v>
      </c>
      <c r="D10416" s="489" t="s">
        <v>16198</v>
      </c>
      <c r="E10416" s="45" t="s">
        <v>266</v>
      </c>
      <c r="F10416" s="45" t="s">
        <v>25246</v>
      </c>
      <c r="G10416" s="81" t="s">
        <v>23950</v>
      </c>
      <c r="H10416" s="198">
        <v>18510.32</v>
      </c>
      <c r="I10416" s="731">
        <v>45833</v>
      </c>
      <c r="J10416" s="48" t="s">
        <v>25232</v>
      </c>
      <c r="K10416" s="60"/>
      <c r="O10416" s="45" t="s">
        <v>1171</v>
      </c>
      <c r="P10416" s="45" t="s">
        <v>71</v>
      </c>
      <c r="Q10416" s="48" t="s">
        <v>110</v>
      </c>
      <c r="R10416" s="45" t="s">
        <v>272</v>
      </c>
    </row>
    <row r="10417" spans="2:18" ht="69" customHeight="1">
      <c r="B10417" s="239">
        <f t="shared" si="93"/>
        <v>7527</v>
      </c>
      <c r="C10417" s="59" t="s">
        <v>657</v>
      </c>
      <c r="D10417" s="489" t="s">
        <v>16203</v>
      </c>
      <c r="E10417" s="45" t="s">
        <v>266</v>
      </c>
      <c r="F10417" s="45" t="s">
        <v>25247</v>
      </c>
      <c r="G10417" s="81" t="s">
        <v>23950</v>
      </c>
      <c r="H10417" s="198">
        <v>22212.39</v>
      </c>
      <c r="I10417" s="731">
        <v>45833</v>
      </c>
      <c r="J10417" s="48" t="s">
        <v>25232</v>
      </c>
      <c r="K10417" s="60"/>
      <c r="O10417" s="45" t="s">
        <v>1171</v>
      </c>
      <c r="P10417" s="45" t="s">
        <v>71</v>
      </c>
      <c r="Q10417" s="48" t="s">
        <v>110</v>
      </c>
      <c r="R10417" s="45" t="s">
        <v>272</v>
      </c>
    </row>
    <row r="10418" spans="2:18" ht="69" customHeight="1">
      <c r="B10418" s="239">
        <f t="shared" si="93"/>
        <v>7528</v>
      </c>
      <c r="C10418" s="59" t="s">
        <v>458</v>
      </c>
      <c r="D10418" s="489" t="s">
        <v>25248</v>
      </c>
      <c r="E10418" s="45" t="s">
        <v>266</v>
      </c>
      <c r="F10418" s="45" t="s">
        <v>25249</v>
      </c>
      <c r="G10418" s="81" t="s">
        <v>23950</v>
      </c>
      <c r="H10418" s="198">
        <v>12244.33</v>
      </c>
      <c r="I10418" s="731">
        <v>45833</v>
      </c>
      <c r="J10418" s="48" t="s">
        <v>25232</v>
      </c>
      <c r="K10418" s="60"/>
      <c r="O10418" s="45" t="s">
        <v>1171</v>
      </c>
      <c r="P10418" s="45" t="s">
        <v>71</v>
      </c>
      <c r="Q10418" s="48" t="s">
        <v>123</v>
      </c>
      <c r="R10418" s="45" t="s">
        <v>272</v>
      </c>
    </row>
    <row r="10419" spans="2:18" ht="69" customHeight="1">
      <c r="B10419" s="239">
        <f t="shared" si="93"/>
        <v>7529</v>
      </c>
      <c r="C10419" s="59" t="s">
        <v>458</v>
      </c>
      <c r="D10419" s="489" t="s">
        <v>25250</v>
      </c>
      <c r="E10419" s="45" t="s">
        <v>266</v>
      </c>
      <c r="F10419" s="45" t="s">
        <v>25251</v>
      </c>
      <c r="G10419" s="81" t="s">
        <v>23950</v>
      </c>
      <c r="H10419" s="198">
        <v>22958.12</v>
      </c>
      <c r="I10419" s="731">
        <v>45833</v>
      </c>
      <c r="J10419" s="48" t="s">
        <v>25232</v>
      </c>
      <c r="K10419" s="60"/>
      <c r="O10419" s="45" t="s">
        <v>1171</v>
      </c>
      <c r="P10419" s="45" t="s">
        <v>71</v>
      </c>
      <c r="Q10419" s="48" t="s">
        <v>123</v>
      </c>
      <c r="R10419" s="45" t="s">
        <v>272</v>
      </c>
    </row>
    <row r="10420" spans="2:18" ht="69" customHeight="1">
      <c r="B10420" s="239">
        <f t="shared" si="93"/>
        <v>7530</v>
      </c>
      <c r="C10420" s="951" t="s">
        <v>9215</v>
      </c>
      <c r="D10420" s="489" t="s">
        <v>25252</v>
      </c>
      <c r="E10420" s="45" t="s">
        <v>266</v>
      </c>
      <c r="F10420" s="45" t="s">
        <v>25253</v>
      </c>
      <c r="G10420" s="81" t="s">
        <v>23950</v>
      </c>
      <c r="H10420" s="198">
        <v>21527.72</v>
      </c>
      <c r="I10420" s="731">
        <v>45833</v>
      </c>
      <c r="J10420" s="48" t="s">
        <v>25232</v>
      </c>
      <c r="K10420" s="60"/>
      <c r="O10420" s="45" t="s">
        <v>1171</v>
      </c>
      <c r="P10420" s="45" t="s">
        <v>71</v>
      </c>
      <c r="Q10420" s="48" t="s">
        <v>113</v>
      </c>
      <c r="R10420" s="45" t="s">
        <v>272</v>
      </c>
    </row>
    <row r="10421" spans="2:18" ht="69" customHeight="1">
      <c r="B10421" s="239">
        <f t="shared" si="93"/>
        <v>7531</v>
      </c>
      <c r="C10421" s="951" t="s">
        <v>9215</v>
      </c>
      <c r="D10421" s="489" t="s">
        <v>25254</v>
      </c>
      <c r="E10421" s="45" t="s">
        <v>266</v>
      </c>
      <c r="F10421" s="45" t="s">
        <v>25255</v>
      </c>
      <c r="G10421" s="81" t="s">
        <v>23950</v>
      </c>
      <c r="H10421" s="198">
        <v>4305.54</v>
      </c>
      <c r="I10421" s="731">
        <v>45833</v>
      </c>
      <c r="J10421" s="48" t="s">
        <v>25232</v>
      </c>
      <c r="K10421" s="45"/>
      <c r="O10421" s="45" t="s">
        <v>1171</v>
      </c>
      <c r="P10421" s="45" t="s">
        <v>71</v>
      </c>
      <c r="Q10421" s="48" t="s">
        <v>113</v>
      </c>
      <c r="R10421" s="45" t="s">
        <v>272</v>
      </c>
    </row>
    <row r="10422" spans="2:18" ht="69" customHeight="1">
      <c r="B10422" s="79">
        <f t="shared" si="93"/>
        <v>7532</v>
      </c>
      <c r="C10422" s="58" t="s">
        <v>11908</v>
      </c>
      <c r="D10422" s="489" t="s">
        <v>25256</v>
      </c>
      <c r="E10422" s="74" t="s">
        <v>15436</v>
      </c>
      <c r="F10422" s="45" t="s">
        <v>25257</v>
      </c>
      <c r="G10422" s="61" t="s">
        <v>25258</v>
      </c>
      <c r="H10422" s="198">
        <v>6918.89</v>
      </c>
      <c r="I10422" s="47">
        <v>45833</v>
      </c>
      <c r="J10422" s="48" t="s">
        <v>25259</v>
      </c>
      <c r="K10422" s="748"/>
      <c r="O10422" s="45" t="s">
        <v>15440</v>
      </c>
      <c r="P10422" s="58" t="s">
        <v>55</v>
      </c>
      <c r="Q10422" s="48" t="s">
        <v>103</v>
      </c>
      <c r="R10422" s="45" t="s">
        <v>272</v>
      </c>
    </row>
    <row r="10423" spans="2:18" ht="69" customHeight="1">
      <c r="B10423" s="239">
        <f t="shared" si="93"/>
        <v>7533</v>
      </c>
      <c r="C10423" s="909" t="s">
        <v>8797</v>
      </c>
      <c r="D10423" s="489" t="s">
        <v>16338</v>
      </c>
      <c r="E10423" s="45" t="s">
        <v>266</v>
      </c>
      <c r="F10423" s="45" t="s">
        <v>25260</v>
      </c>
      <c r="G10423" s="45" t="s">
        <v>25261</v>
      </c>
      <c r="H10423" s="198">
        <v>19066.2</v>
      </c>
      <c r="I10423" s="47">
        <v>45843</v>
      </c>
      <c r="J10423" s="48" t="s">
        <v>25262</v>
      </c>
      <c r="K10423" s="60"/>
      <c r="O10423" s="45" t="s">
        <v>24914</v>
      </c>
      <c r="P10423" s="58" t="s">
        <v>65</v>
      </c>
      <c r="Q10423" s="48" t="s">
        <v>110</v>
      </c>
      <c r="R10423" s="45" t="s">
        <v>272</v>
      </c>
    </row>
    <row r="10424" spans="2:18" ht="69" customHeight="1">
      <c r="B10424" s="239">
        <f t="shared" si="93"/>
        <v>7534</v>
      </c>
      <c r="C10424" s="909" t="s">
        <v>8797</v>
      </c>
      <c r="D10424" s="489" t="s">
        <v>16342</v>
      </c>
      <c r="E10424" s="45" t="s">
        <v>266</v>
      </c>
      <c r="F10424" s="45" t="s">
        <v>25260</v>
      </c>
      <c r="G10424" s="45" t="s">
        <v>25261</v>
      </c>
      <c r="H10424" s="198">
        <v>19066.2</v>
      </c>
      <c r="I10424" s="47">
        <v>45843</v>
      </c>
      <c r="J10424" s="48" t="s">
        <v>25262</v>
      </c>
      <c r="K10424" s="60"/>
      <c r="O10424" s="45" t="s">
        <v>24914</v>
      </c>
      <c r="P10424" s="58" t="s">
        <v>65</v>
      </c>
      <c r="Q10424" s="48" t="s">
        <v>110</v>
      </c>
      <c r="R10424" s="45" t="s">
        <v>272</v>
      </c>
    </row>
    <row r="10425" spans="2:18" ht="69" customHeight="1">
      <c r="B10425" s="239">
        <f t="shared" si="93"/>
        <v>7535</v>
      </c>
      <c r="C10425" s="59" t="s">
        <v>10944</v>
      </c>
      <c r="D10425" s="489" t="s">
        <v>20391</v>
      </c>
      <c r="E10425" s="677" t="s">
        <v>22968</v>
      </c>
      <c r="F10425" s="45" t="s">
        <v>25263</v>
      </c>
      <c r="G10425" s="961" t="s">
        <v>25264</v>
      </c>
      <c r="H10425" s="198">
        <v>9218.25</v>
      </c>
      <c r="I10425" s="47">
        <v>45843</v>
      </c>
      <c r="J10425" s="48" t="s">
        <v>25265</v>
      </c>
      <c r="K10425" s="60" t="s">
        <v>13294</v>
      </c>
      <c r="O10425" s="45" t="s">
        <v>24508</v>
      </c>
      <c r="P10425" s="58" t="s">
        <v>57</v>
      </c>
      <c r="Q10425" s="62" t="s">
        <v>120</v>
      </c>
      <c r="R10425" s="45" t="s">
        <v>272</v>
      </c>
    </row>
    <row r="10426" spans="2:18" ht="69" customHeight="1">
      <c r="B10426" s="239">
        <f t="shared" si="93"/>
        <v>7536</v>
      </c>
      <c r="C10426" s="59" t="s">
        <v>10944</v>
      </c>
      <c r="D10426" s="489" t="s">
        <v>16348</v>
      </c>
      <c r="E10426" s="677" t="s">
        <v>22151</v>
      </c>
      <c r="F10426" s="45" t="s">
        <v>25266</v>
      </c>
      <c r="G10426" s="961" t="s">
        <v>25077</v>
      </c>
      <c r="H10426" s="198">
        <v>9218.25</v>
      </c>
      <c r="I10426" s="47">
        <v>45843</v>
      </c>
      <c r="J10426" s="48" t="s">
        <v>25265</v>
      </c>
      <c r="K10426" s="60" t="s">
        <v>13294</v>
      </c>
      <c r="O10426" s="45" t="s">
        <v>8228</v>
      </c>
      <c r="P10426" s="58" t="s">
        <v>57</v>
      </c>
      <c r="Q10426" s="62" t="s">
        <v>120</v>
      </c>
      <c r="R10426" s="45" t="s">
        <v>272</v>
      </c>
    </row>
    <row r="10427" spans="2:18" ht="69" customHeight="1">
      <c r="B10427" s="239">
        <f t="shared" si="93"/>
        <v>7537</v>
      </c>
      <c r="C10427" s="59" t="s">
        <v>657</v>
      </c>
      <c r="D10427" s="489" t="s">
        <v>16395</v>
      </c>
      <c r="E10427" s="59" t="s">
        <v>266</v>
      </c>
      <c r="F10427" s="45" t="s">
        <v>25267</v>
      </c>
      <c r="G10427" s="45" t="s">
        <v>25222</v>
      </c>
      <c r="H10427" s="198">
        <v>807.72</v>
      </c>
      <c r="I10427" s="731">
        <v>45843</v>
      </c>
      <c r="J10427" s="48" t="s">
        <v>25268</v>
      </c>
      <c r="K10427" s="60" t="s">
        <v>25269</v>
      </c>
      <c r="O10427" s="45" t="s">
        <v>15366</v>
      </c>
      <c r="P10427" s="45" t="s">
        <v>67</v>
      </c>
      <c r="Q10427" s="48" t="s">
        <v>110</v>
      </c>
      <c r="R10427" s="45" t="s">
        <v>272</v>
      </c>
    </row>
    <row r="10428" spans="2:18" ht="69" customHeight="1">
      <c r="B10428" s="239">
        <f t="shared" si="93"/>
        <v>7538</v>
      </c>
      <c r="C10428" s="59" t="s">
        <v>657</v>
      </c>
      <c r="D10428" s="489" t="s">
        <v>16395</v>
      </c>
      <c r="E10428" s="59" t="s">
        <v>266</v>
      </c>
      <c r="F10428" s="45" t="s">
        <v>25270</v>
      </c>
      <c r="G10428" s="45" t="s">
        <v>25222</v>
      </c>
      <c r="H10428" s="198">
        <v>807.73</v>
      </c>
      <c r="I10428" s="731">
        <v>45843</v>
      </c>
      <c r="J10428" s="48" t="s">
        <v>25268</v>
      </c>
      <c r="K10428" s="60" t="s">
        <v>25269</v>
      </c>
      <c r="O10428" s="45" t="s">
        <v>15366</v>
      </c>
      <c r="P10428" s="45" t="s">
        <v>67</v>
      </c>
      <c r="Q10428" s="48" t="s">
        <v>97</v>
      </c>
      <c r="R10428" s="45" t="s">
        <v>272</v>
      </c>
    </row>
    <row r="10429" spans="2:18" ht="69" customHeight="1">
      <c r="B10429" s="239">
        <f t="shared" si="93"/>
        <v>7539</v>
      </c>
      <c r="C10429" s="59" t="s">
        <v>458</v>
      </c>
      <c r="D10429" s="489" t="s">
        <v>25271</v>
      </c>
      <c r="E10429" s="59" t="s">
        <v>266</v>
      </c>
      <c r="F10429" s="45" t="s">
        <v>25272</v>
      </c>
      <c r="G10429" s="45" t="s">
        <v>25222</v>
      </c>
      <c r="H10429" s="198">
        <v>538.48</v>
      </c>
      <c r="I10429" s="731">
        <v>45843</v>
      </c>
      <c r="J10429" s="48" t="s">
        <v>25268</v>
      </c>
      <c r="K10429" s="60" t="s">
        <v>25273</v>
      </c>
      <c r="O10429" s="45" t="s">
        <v>15366</v>
      </c>
      <c r="P10429" s="45" t="s">
        <v>67</v>
      </c>
      <c r="Q10429" s="48" t="s">
        <v>123</v>
      </c>
      <c r="R10429" s="45" t="s">
        <v>272</v>
      </c>
    </row>
    <row r="10430" spans="2:18" ht="69" customHeight="1">
      <c r="B10430" s="239">
        <f t="shared" si="93"/>
        <v>7540</v>
      </c>
      <c r="C10430" s="59" t="s">
        <v>458</v>
      </c>
      <c r="D10430" s="489" t="s">
        <v>25271</v>
      </c>
      <c r="E10430" s="59" t="s">
        <v>266</v>
      </c>
      <c r="F10430" s="45" t="s">
        <v>25274</v>
      </c>
      <c r="G10430" s="45" t="s">
        <v>25222</v>
      </c>
      <c r="H10430" s="198">
        <v>538.48</v>
      </c>
      <c r="I10430" s="731">
        <v>45843</v>
      </c>
      <c r="J10430" s="48" t="s">
        <v>25268</v>
      </c>
      <c r="K10430" s="60" t="s">
        <v>25273</v>
      </c>
      <c r="O10430" s="45" t="s">
        <v>15366</v>
      </c>
      <c r="P10430" s="45" t="s">
        <v>67</v>
      </c>
      <c r="Q10430" s="48" t="s">
        <v>103</v>
      </c>
      <c r="R10430" s="45" t="s">
        <v>272</v>
      </c>
    </row>
    <row r="10431" spans="2:18" ht="69" customHeight="1">
      <c r="B10431" s="239">
        <f t="shared" si="93"/>
        <v>7541</v>
      </c>
      <c r="C10431" s="59" t="s">
        <v>458</v>
      </c>
      <c r="D10431" s="489" t="s">
        <v>25271</v>
      </c>
      <c r="E10431" s="59" t="s">
        <v>266</v>
      </c>
      <c r="F10431" s="45" t="s">
        <v>25275</v>
      </c>
      <c r="G10431" s="45" t="s">
        <v>25222</v>
      </c>
      <c r="H10431" s="198">
        <v>538.49</v>
      </c>
      <c r="I10431" s="731">
        <v>45843</v>
      </c>
      <c r="J10431" s="48" t="s">
        <v>25268</v>
      </c>
      <c r="K10431" s="60" t="s">
        <v>25273</v>
      </c>
      <c r="O10431" s="45" t="s">
        <v>15366</v>
      </c>
      <c r="P10431" s="45" t="s">
        <v>67</v>
      </c>
      <c r="Q10431" s="48" t="s">
        <v>113</v>
      </c>
      <c r="R10431" s="45" t="s">
        <v>272</v>
      </c>
    </row>
    <row r="10432" spans="2:18" ht="69" customHeight="1">
      <c r="B10432" s="979">
        <f t="shared" si="93"/>
        <v>7542</v>
      </c>
      <c r="C10432" s="687" t="s">
        <v>9436</v>
      </c>
      <c r="D10432" s="669" t="s">
        <v>16402</v>
      </c>
      <c r="E10432" s="980" t="s">
        <v>15436</v>
      </c>
      <c r="F10432" s="672" t="s">
        <v>25276</v>
      </c>
      <c r="G10432" s="672" t="s">
        <v>25277</v>
      </c>
      <c r="H10432" s="670"/>
      <c r="I10432" s="688">
        <v>45843</v>
      </c>
      <c r="J10432" s="981" t="s">
        <v>25278</v>
      </c>
      <c r="K10432" s="982" t="s">
        <v>25279</v>
      </c>
      <c r="L10432" s="405"/>
      <c r="M10432" s="404"/>
      <c r="N10432" s="404"/>
      <c r="O10432" s="672" t="s">
        <v>15440</v>
      </c>
      <c r="P10432" s="102"/>
      <c r="Q10432" s="801" t="s">
        <v>116</v>
      </c>
      <c r="R10432" s="672" t="s">
        <v>272</v>
      </c>
    </row>
    <row r="10433" spans="2:18" ht="69" customHeight="1">
      <c r="B10433" s="979">
        <f t="shared" si="93"/>
        <v>7543</v>
      </c>
      <c r="C10433" s="687" t="s">
        <v>9436</v>
      </c>
      <c r="D10433" s="669" t="s">
        <v>16406</v>
      </c>
      <c r="E10433" s="980" t="s">
        <v>15436</v>
      </c>
      <c r="F10433" s="672" t="s">
        <v>25280</v>
      </c>
      <c r="G10433" s="672" t="s">
        <v>25277</v>
      </c>
      <c r="H10433" s="670"/>
      <c r="I10433" s="983">
        <v>45843</v>
      </c>
      <c r="J10433" s="801" t="s">
        <v>25278</v>
      </c>
      <c r="K10433" s="982" t="s">
        <v>25279</v>
      </c>
      <c r="L10433" s="405"/>
      <c r="M10433" s="404"/>
      <c r="N10433" s="404"/>
      <c r="O10433" s="672" t="s">
        <v>15440</v>
      </c>
      <c r="P10433" s="102"/>
      <c r="Q10433" s="801" t="s">
        <v>116</v>
      </c>
      <c r="R10433" s="672" t="s">
        <v>272</v>
      </c>
    </row>
    <row r="10434" spans="2:18" ht="69" customHeight="1">
      <c r="B10434" s="239">
        <f t="shared" si="93"/>
        <v>7544</v>
      </c>
      <c r="C10434" s="676" t="s">
        <v>25162</v>
      </c>
      <c r="D10434" s="489" t="s">
        <v>1678</v>
      </c>
      <c r="E10434" s="59" t="s">
        <v>266</v>
      </c>
      <c r="F10434" s="45" t="s">
        <v>25281</v>
      </c>
      <c r="G10434" s="45" t="s">
        <v>25282</v>
      </c>
      <c r="H10434" s="198">
        <v>252.25</v>
      </c>
      <c r="I10434" s="47">
        <v>45853</v>
      </c>
      <c r="J10434" s="73" t="s">
        <v>25283</v>
      </c>
      <c r="K10434" s="60" t="s">
        <v>18983</v>
      </c>
      <c r="O10434" s="45" t="s">
        <v>25284</v>
      </c>
      <c r="P10434" s="45" t="s">
        <v>67</v>
      </c>
      <c r="Q10434" s="48" t="s">
        <v>96</v>
      </c>
      <c r="R10434" s="45" t="s">
        <v>272</v>
      </c>
    </row>
    <row r="10435" spans="2:18" ht="69" customHeight="1">
      <c r="B10435" s="239">
        <f t="shared" si="93"/>
        <v>7545</v>
      </c>
      <c r="C10435" s="676" t="s">
        <v>25168</v>
      </c>
      <c r="D10435" s="489" t="s">
        <v>7260</v>
      </c>
      <c r="E10435" s="59" t="s">
        <v>266</v>
      </c>
      <c r="F10435" s="45" t="s">
        <v>25285</v>
      </c>
      <c r="G10435" s="45" t="s">
        <v>25282</v>
      </c>
      <c r="H10435" s="198">
        <v>252.25</v>
      </c>
      <c r="I10435" s="47">
        <v>45853</v>
      </c>
      <c r="J10435" s="73" t="s">
        <v>25283</v>
      </c>
      <c r="K10435" s="60" t="s">
        <v>18983</v>
      </c>
      <c r="O10435" s="45" t="s">
        <v>25284</v>
      </c>
      <c r="P10435" s="45" t="s">
        <v>67</v>
      </c>
      <c r="Q10435" s="48" t="s">
        <v>96</v>
      </c>
      <c r="R10435" s="45" t="s">
        <v>272</v>
      </c>
    </row>
    <row r="10436" spans="2:18" ht="69" customHeight="1">
      <c r="B10436" s="239">
        <f t="shared" si="93"/>
        <v>7546</v>
      </c>
      <c r="C10436" s="676" t="s">
        <v>25170</v>
      </c>
      <c r="D10436" s="489" t="s">
        <v>4561</v>
      </c>
      <c r="E10436" s="59" t="s">
        <v>266</v>
      </c>
      <c r="F10436" s="45" t="s">
        <v>25286</v>
      </c>
      <c r="G10436" s="45" t="s">
        <v>25282</v>
      </c>
      <c r="H10436" s="198">
        <v>252.25</v>
      </c>
      <c r="I10436" s="47">
        <v>45853</v>
      </c>
      <c r="J10436" s="73" t="s">
        <v>25283</v>
      </c>
      <c r="K10436" s="60" t="s">
        <v>18983</v>
      </c>
      <c r="O10436" s="45" t="s">
        <v>25284</v>
      </c>
      <c r="P10436" s="45" t="s">
        <v>67</v>
      </c>
      <c r="Q10436" s="48" t="s">
        <v>96</v>
      </c>
      <c r="R10436" s="45" t="s">
        <v>272</v>
      </c>
    </row>
    <row r="10437" spans="2:18" ht="69" customHeight="1">
      <c r="B10437" s="239">
        <f t="shared" ref="B10437:B10500" si="94">B10436+1</f>
        <v>7547</v>
      </c>
      <c r="C10437" s="676" t="s">
        <v>25172</v>
      </c>
      <c r="D10437" s="489" t="s">
        <v>4738</v>
      </c>
      <c r="E10437" s="59" t="s">
        <v>266</v>
      </c>
      <c r="F10437" s="45" t="s">
        <v>25287</v>
      </c>
      <c r="G10437" s="45" t="s">
        <v>25282</v>
      </c>
      <c r="H10437" s="198">
        <v>252.25</v>
      </c>
      <c r="I10437" s="47">
        <v>45853</v>
      </c>
      <c r="J10437" s="73" t="s">
        <v>25283</v>
      </c>
      <c r="K10437" s="60" t="s">
        <v>18983</v>
      </c>
      <c r="O10437" s="45" t="s">
        <v>25284</v>
      </c>
      <c r="P10437" s="45" t="s">
        <v>67</v>
      </c>
      <c r="Q10437" s="48" t="s">
        <v>96</v>
      </c>
      <c r="R10437" s="45" t="s">
        <v>272</v>
      </c>
    </row>
    <row r="10438" spans="2:18" ht="69" customHeight="1">
      <c r="B10438" s="239">
        <f t="shared" si="94"/>
        <v>7548</v>
      </c>
      <c r="C10438" s="909" t="s">
        <v>8797</v>
      </c>
      <c r="D10438" s="489" t="s">
        <v>16413</v>
      </c>
      <c r="E10438" s="59" t="s">
        <v>266</v>
      </c>
      <c r="F10438" s="45" t="s">
        <v>25288</v>
      </c>
      <c r="G10438" s="45" t="s">
        <v>25282</v>
      </c>
      <c r="H10438" s="198">
        <v>252.25</v>
      </c>
      <c r="I10438" s="47">
        <v>45853</v>
      </c>
      <c r="J10438" s="73" t="s">
        <v>25283</v>
      </c>
      <c r="K10438" s="60" t="s">
        <v>18983</v>
      </c>
      <c r="O10438" s="45" t="s">
        <v>25284</v>
      </c>
      <c r="P10438" s="45" t="s">
        <v>67</v>
      </c>
      <c r="Q10438" s="48" t="s">
        <v>96</v>
      </c>
      <c r="R10438" s="45" t="s">
        <v>272</v>
      </c>
    </row>
    <row r="10439" spans="2:18" ht="69" customHeight="1">
      <c r="B10439" s="239">
        <f t="shared" si="94"/>
        <v>7549</v>
      </c>
      <c r="C10439" s="676" t="s">
        <v>25162</v>
      </c>
      <c r="D10439" s="489" t="s">
        <v>2685</v>
      </c>
      <c r="E10439" s="59" t="s">
        <v>266</v>
      </c>
      <c r="F10439" s="45" t="s">
        <v>25289</v>
      </c>
      <c r="G10439" s="45" t="s">
        <v>25282</v>
      </c>
      <c r="H10439" s="198">
        <v>252.25</v>
      </c>
      <c r="I10439" s="47">
        <v>45853</v>
      </c>
      <c r="J10439" s="73" t="s">
        <v>25283</v>
      </c>
      <c r="K10439" s="60" t="s">
        <v>18983</v>
      </c>
      <c r="O10439" s="45" t="s">
        <v>25284</v>
      </c>
      <c r="P10439" s="45" t="s">
        <v>67</v>
      </c>
      <c r="Q10439" s="48" t="s">
        <v>96</v>
      </c>
      <c r="R10439" s="45" t="s">
        <v>272</v>
      </c>
    </row>
    <row r="10440" spans="2:18" ht="69" customHeight="1">
      <c r="B10440" s="239">
        <f t="shared" si="94"/>
        <v>7550</v>
      </c>
      <c r="C10440" s="676" t="s">
        <v>25162</v>
      </c>
      <c r="D10440" s="489" t="s">
        <v>907</v>
      </c>
      <c r="E10440" s="59" t="s">
        <v>266</v>
      </c>
      <c r="F10440" s="45" t="s">
        <v>25290</v>
      </c>
      <c r="G10440" s="45" t="s">
        <v>25282</v>
      </c>
      <c r="H10440" s="198">
        <v>252.25</v>
      </c>
      <c r="I10440" s="47">
        <v>45853</v>
      </c>
      <c r="J10440" s="73" t="s">
        <v>25283</v>
      </c>
      <c r="K10440" s="60" t="s">
        <v>18983</v>
      </c>
      <c r="O10440" s="45" t="s">
        <v>25284</v>
      </c>
      <c r="P10440" s="45" t="s">
        <v>67</v>
      </c>
      <c r="Q10440" s="48" t="s">
        <v>96</v>
      </c>
      <c r="R10440" s="45" t="s">
        <v>272</v>
      </c>
    </row>
    <row r="10441" spans="2:18" ht="69" customHeight="1">
      <c r="B10441" s="803">
        <f t="shared" si="94"/>
        <v>7551</v>
      </c>
      <c r="C10441" s="788" t="s">
        <v>11933</v>
      </c>
      <c r="D10441" s="750" t="s">
        <v>25291</v>
      </c>
      <c r="E10441" s="681" t="s">
        <v>24808</v>
      </c>
      <c r="F10441" s="681" t="s">
        <v>25292</v>
      </c>
      <c r="G10441" s="681" t="s">
        <v>25293</v>
      </c>
      <c r="H10441" s="868">
        <v>677.66</v>
      </c>
      <c r="I10441" s="766">
        <v>45863</v>
      </c>
      <c r="J10441" s="897" t="s">
        <v>25294</v>
      </c>
      <c r="K10441" s="681" t="s">
        <v>22203</v>
      </c>
      <c r="O10441" s="58" t="s">
        <v>24808</v>
      </c>
      <c r="P10441" s="45" t="s">
        <v>65</v>
      </c>
      <c r="Q10441" s="48" t="s">
        <v>123</v>
      </c>
      <c r="R10441" s="45" t="s">
        <v>272</v>
      </c>
    </row>
    <row r="10442" spans="2:18" ht="69" customHeight="1">
      <c r="B10442" s="803">
        <f t="shared" si="94"/>
        <v>7552</v>
      </c>
      <c r="C10442" s="771" t="s">
        <v>8797</v>
      </c>
      <c r="D10442" s="750" t="s">
        <v>16644</v>
      </c>
      <c r="E10442" s="681" t="s">
        <v>24808</v>
      </c>
      <c r="F10442" s="681" t="s">
        <v>25295</v>
      </c>
      <c r="G10442" s="681" t="s">
        <v>25293</v>
      </c>
      <c r="H10442" s="868">
        <v>677.66</v>
      </c>
      <c r="I10442" s="766">
        <v>45863</v>
      </c>
      <c r="J10442" s="897" t="s">
        <v>25294</v>
      </c>
      <c r="K10442" s="681" t="s">
        <v>22203</v>
      </c>
      <c r="O10442" s="58" t="s">
        <v>24808</v>
      </c>
      <c r="P10442" s="45" t="s">
        <v>65</v>
      </c>
      <c r="Q10442" s="48" t="s">
        <v>110</v>
      </c>
      <c r="R10442" s="45" t="s">
        <v>272</v>
      </c>
    </row>
    <row r="10443" spans="2:18" ht="69" customHeight="1">
      <c r="B10443" s="45">
        <f t="shared" si="94"/>
        <v>7553</v>
      </c>
      <c r="C10443" s="45" t="s">
        <v>11933</v>
      </c>
      <c r="D10443" s="84" t="s">
        <v>25296</v>
      </c>
      <c r="E10443" s="45" t="s">
        <v>24808</v>
      </c>
      <c r="F10443" s="45" t="s">
        <v>25297</v>
      </c>
      <c r="G10443" s="45" t="s">
        <v>25298</v>
      </c>
      <c r="H10443" s="730">
        <v>2080</v>
      </c>
      <c r="I10443" s="47">
        <v>45853</v>
      </c>
      <c r="J10443" s="48" t="s">
        <v>25299</v>
      </c>
      <c r="K10443" s="45" t="s">
        <v>22203</v>
      </c>
      <c r="O10443" s="58" t="s">
        <v>24808</v>
      </c>
      <c r="P10443" s="45" t="s">
        <v>65</v>
      </c>
      <c r="Q10443" s="48" t="s">
        <v>123</v>
      </c>
      <c r="R10443" s="45" t="s">
        <v>272</v>
      </c>
    </row>
    <row r="10444" spans="2:18" ht="69" customHeight="1">
      <c r="B10444" s="45">
        <f t="shared" si="94"/>
        <v>7554</v>
      </c>
      <c r="C10444" s="45" t="s">
        <v>8797</v>
      </c>
      <c r="D10444" s="84" t="s">
        <v>16487</v>
      </c>
      <c r="E10444" s="45" t="s">
        <v>24808</v>
      </c>
      <c r="F10444" s="45" t="s">
        <v>25300</v>
      </c>
      <c r="G10444" s="45" t="s">
        <v>25298</v>
      </c>
      <c r="H10444" s="730">
        <v>2080</v>
      </c>
      <c r="I10444" s="47">
        <v>45853</v>
      </c>
      <c r="J10444" s="48" t="s">
        <v>25299</v>
      </c>
      <c r="K10444" s="45" t="s">
        <v>22203</v>
      </c>
      <c r="O10444" s="58" t="s">
        <v>24808</v>
      </c>
      <c r="P10444" s="45" t="s">
        <v>65</v>
      </c>
      <c r="Q10444" s="48" t="s">
        <v>110</v>
      </c>
      <c r="R10444" s="45" t="s">
        <v>272</v>
      </c>
    </row>
    <row r="10445" spans="2:18" ht="69" customHeight="1">
      <c r="B10445" s="45">
        <f t="shared" si="94"/>
        <v>7555</v>
      </c>
      <c r="C10445" s="45" t="s">
        <v>11933</v>
      </c>
      <c r="D10445" s="84" t="s">
        <v>25301</v>
      </c>
      <c r="E10445" s="45" t="s">
        <v>24808</v>
      </c>
      <c r="F10445" s="45" t="s">
        <v>25302</v>
      </c>
      <c r="G10445" s="45" t="s">
        <v>25303</v>
      </c>
      <c r="H10445" s="954">
        <v>167.2</v>
      </c>
      <c r="I10445" s="47">
        <v>45853</v>
      </c>
      <c r="J10445" s="48" t="s">
        <v>25304</v>
      </c>
      <c r="K10445" s="45" t="s">
        <v>22203</v>
      </c>
      <c r="O10445" s="58" t="s">
        <v>24808</v>
      </c>
      <c r="P10445" s="45" t="s">
        <v>65</v>
      </c>
      <c r="Q10445" s="48" t="s">
        <v>123</v>
      </c>
      <c r="R10445" s="45" t="s">
        <v>272</v>
      </c>
    </row>
    <row r="10446" spans="2:18" ht="69" customHeight="1">
      <c r="B10446" s="45">
        <f t="shared" si="94"/>
        <v>7556</v>
      </c>
      <c r="C10446" s="45" t="s">
        <v>8797</v>
      </c>
      <c r="D10446" s="84" t="s">
        <v>25305</v>
      </c>
      <c r="E10446" s="45" t="s">
        <v>24808</v>
      </c>
      <c r="F10446" s="45" t="s">
        <v>25306</v>
      </c>
      <c r="G10446" s="45" t="s">
        <v>25303</v>
      </c>
      <c r="H10446" s="954">
        <v>167.2</v>
      </c>
      <c r="I10446" s="47">
        <v>45853</v>
      </c>
      <c r="J10446" s="48" t="s">
        <v>25304</v>
      </c>
      <c r="K10446" s="45" t="s">
        <v>22203</v>
      </c>
      <c r="O10446" s="58" t="s">
        <v>24808</v>
      </c>
      <c r="P10446" s="45" t="s">
        <v>65</v>
      </c>
      <c r="Q10446" s="48" t="s">
        <v>110</v>
      </c>
      <c r="R10446" s="45" t="s">
        <v>272</v>
      </c>
    </row>
    <row r="10447" spans="2:18" ht="69" customHeight="1">
      <c r="B10447" s="62">
        <f t="shared" si="94"/>
        <v>7557</v>
      </c>
      <c r="C10447" s="131" t="s">
        <v>11933</v>
      </c>
      <c r="D10447" s="174" t="s">
        <v>25307</v>
      </c>
      <c r="E10447" s="131" t="s">
        <v>24808</v>
      </c>
      <c r="F10447" s="131" t="s">
        <v>25308</v>
      </c>
      <c r="G10447" s="131" t="s">
        <v>25309</v>
      </c>
      <c r="H10447" s="811">
        <v>677.66</v>
      </c>
      <c r="I10447" s="66">
        <v>45853</v>
      </c>
      <c r="J10447" s="62" t="s">
        <v>25310</v>
      </c>
      <c r="K10447" s="60" t="s">
        <v>22203</v>
      </c>
      <c r="O10447" s="58" t="s">
        <v>24808</v>
      </c>
      <c r="P10447" s="45" t="s">
        <v>65</v>
      </c>
      <c r="Q10447" s="48" t="s">
        <v>123</v>
      </c>
      <c r="R10447" s="45" t="s">
        <v>272</v>
      </c>
    </row>
    <row r="10448" spans="2:18" ht="69" customHeight="1">
      <c r="B10448" s="58">
        <f t="shared" si="94"/>
        <v>7558</v>
      </c>
      <c r="C10448" s="58" t="s">
        <v>8797</v>
      </c>
      <c r="D10448" s="174" t="s">
        <v>19676</v>
      </c>
      <c r="E10448" s="58" t="s">
        <v>24808</v>
      </c>
      <c r="F10448" s="58" t="s">
        <v>25311</v>
      </c>
      <c r="G10448" s="58" t="s">
        <v>25309</v>
      </c>
      <c r="H10448" s="811">
        <v>677.66</v>
      </c>
      <c r="I10448" s="66">
        <v>45853</v>
      </c>
      <c r="J10448" s="62" t="s">
        <v>25310</v>
      </c>
      <c r="K10448" s="60" t="s">
        <v>22203</v>
      </c>
      <c r="O10448" s="58" t="s">
        <v>24808</v>
      </c>
      <c r="P10448" s="45" t="s">
        <v>65</v>
      </c>
      <c r="Q10448" s="48" t="s">
        <v>110</v>
      </c>
      <c r="R10448" s="45" t="s">
        <v>272</v>
      </c>
    </row>
    <row r="10449" spans="2:18" ht="69" customHeight="1">
      <c r="B10449" s="58">
        <f t="shared" si="94"/>
        <v>7559</v>
      </c>
      <c r="C10449" s="58" t="s">
        <v>11933</v>
      </c>
      <c r="D10449" s="174" t="s">
        <v>24632</v>
      </c>
      <c r="E10449" s="58" t="s">
        <v>24808</v>
      </c>
      <c r="F10449" s="58" t="s">
        <v>25312</v>
      </c>
      <c r="G10449" s="58" t="s">
        <v>25313</v>
      </c>
      <c r="H10449" s="811">
        <v>677.66</v>
      </c>
      <c r="I10449" s="131">
        <v>45853</v>
      </c>
      <c r="J10449" s="58" t="s">
        <v>25310</v>
      </c>
      <c r="K10449" s="60" t="s">
        <v>22203</v>
      </c>
      <c r="O10449" s="58" t="s">
        <v>24808</v>
      </c>
      <c r="P10449" s="45" t="s">
        <v>65</v>
      </c>
      <c r="Q10449" s="48" t="s">
        <v>123</v>
      </c>
      <c r="R10449" s="45" t="s">
        <v>272</v>
      </c>
    </row>
    <row r="10450" spans="2:18" ht="69" customHeight="1">
      <c r="B10450" s="681">
        <f t="shared" si="94"/>
        <v>7560</v>
      </c>
      <c r="C10450" s="681" t="s">
        <v>8797</v>
      </c>
      <c r="D10450" s="888" t="s">
        <v>16485</v>
      </c>
      <c r="E10450" s="681" t="s">
        <v>24808</v>
      </c>
      <c r="F10450" s="681" t="s">
        <v>25314</v>
      </c>
      <c r="G10450" s="681" t="s">
        <v>25313</v>
      </c>
      <c r="H10450" s="811">
        <v>677.66</v>
      </c>
      <c r="I10450" s="766">
        <v>45853</v>
      </c>
      <c r="J10450" s="766" t="s">
        <v>25310</v>
      </c>
      <c r="K10450" s="861" t="s">
        <v>22203</v>
      </c>
      <c r="O10450" s="58" t="s">
        <v>24808</v>
      </c>
      <c r="P10450" s="45" t="s">
        <v>65</v>
      </c>
      <c r="Q10450" s="48" t="s">
        <v>110</v>
      </c>
      <c r="R10450" s="45" t="s">
        <v>272</v>
      </c>
    </row>
    <row r="10451" spans="2:18" ht="69" customHeight="1">
      <c r="B10451" s="239">
        <f t="shared" si="94"/>
        <v>7561</v>
      </c>
      <c r="C10451" s="59" t="s">
        <v>11933</v>
      </c>
      <c r="D10451" s="489" t="s">
        <v>25315</v>
      </c>
      <c r="E10451" s="676" t="s">
        <v>266</v>
      </c>
      <c r="F10451" s="677" t="s">
        <v>25316</v>
      </c>
      <c r="G10451" s="95" t="s">
        <v>25317</v>
      </c>
      <c r="H10451" s="749">
        <v>6210.55</v>
      </c>
      <c r="I10451" s="47">
        <v>45863</v>
      </c>
      <c r="J10451" s="73" t="s">
        <v>25318</v>
      </c>
      <c r="K10451" s="60"/>
      <c r="O10451" s="45" t="s">
        <v>25319</v>
      </c>
      <c r="P10451" s="45" t="s">
        <v>65</v>
      </c>
      <c r="Q10451" s="48" t="s">
        <v>123</v>
      </c>
      <c r="R10451" s="45" t="s">
        <v>272</v>
      </c>
    </row>
    <row r="10452" spans="2:18" ht="69" customHeight="1">
      <c r="B10452" s="79">
        <f t="shared" si="94"/>
        <v>7562</v>
      </c>
      <c r="C10452" s="178" t="s">
        <v>11933</v>
      </c>
      <c r="D10452" s="551" t="s">
        <v>25320</v>
      </c>
      <c r="E10452" s="680" t="s">
        <v>266</v>
      </c>
      <c r="F10452" s="681" t="s">
        <v>25321</v>
      </c>
      <c r="G10452" s="58" t="s">
        <v>25322</v>
      </c>
      <c r="H10452" s="552">
        <v>480</v>
      </c>
      <c r="I10452" s="47">
        <v>45863</v>
      </c>
      <c r="J10452" s="65" t="s">
        <v>25323</v>
      </c>
      <c r="K10452" s="237"/>
      <c r="O10452" s="45" t="s">
        <v>25324</v>
      </c>
      <c r="P10452" s="45" t="s">
        <v>65</v>
      </c>
      <c r="Q10452" s="48" t="s">
        <v>123</v>
      </c>
      <c r="R10452" s="45" t="s">
        <v>272</v>
      </c>
    </row>
    <row r="10453" spans="2:18" ht="69" customHeight="1">
      <c r="B10453" s="79">
        <f t="shared" si="94"/>
        <v>7563</v>
      </c>
      <c r="C10453" s="178" t="s">
        <v>657</v>
      </c>
      <c r="D10453" s="551" t="s">
        <v>20603</v>
      </c>
      <c r="E10453" s="58" t="s">
        <v>11480</v>
      </c>
      <c r="F10453" s="58" t="s">
        <v>25325</v>
      </c>
      <c r="G10453" s="58" t="s">
        <v>25326</v>
      </c>
      <c r="H10453" s="552">
        <v>200000</v>
      </c>
      <c r="I10453" s="66">
        <v>45863</v>
      </c>
      <c r="J10453" s="65" t="s">
        <v>25327</v>
      </c>
      <c r="K10453" s="60"/>
      <c r="O10453" s="45" t="s">
        <v>141</v>
      </c>
      <c r="P10453" s="45" t="s">
        <v>19</v>
      </c>
      <c r="Q10453" s="48" t="s">
        <v>110</v>
      </c>
      <c r="R10453" s="45" t="s">
        <v>272</v>
      </c>
    </row>
    <row r="10454" spans="2:18" ht="69" customHeight="1">
      <c r="B10454" s="231">
        <f t="shared" si="94"/>
        <v>7564</v>
      </c>
      <c r="C10454" s="191" t="s">
        <v>7189</v>
      </c>
      <c r="D10454" s="502" t="s">
        <v>25328</v>
      </c>
      <c r="E10454" s="87" t="s">
        <v>24808</v>
      </c>
      <c r="F10454" s="87" t="s">
        <v>25329</v>
      </c>
      <c r="G10454" s="46" t="s">
        <v>25298</v>
      </c>
      <c r="H10454" s="260">
        <v>2080</v>
      </c>
      <c r="I10454" s="56">
        <v>45863</v>
      </c>
      <c r="J10454" s="189" t="s">
        <v>25330</v>
      </c>
      <c r="K10454" s="1084" t="s">
        <v>22203</v>
      </c>
      <c r="O10454" s="46" t="s">
        <v>24808</v>
      </c>
      <c r="P10454" s="46" t="s">
        <v>65</v>
      </c>
      <c r="Q10454" s="52" t="s">
        <v>97</v>
      </c>
      <c r="R10454" s="46" t="s">
        <v>272</v>
      </c>
    </row>
    <row r="10455" spans="2:18" ht="69" customHeight="1">
      <c r="B10455" s="239">
        <f t="shared" si="94"/>
        <v>7565</v>
      </c>
      <c r="C10455" s="45" t="s">
        <v>7415</v>
      </c>
      <c r="D10455" s="489" t="s">
        <v>25331</v>
      </c>
      <c r="E10455" s="677" t="s">
        <v>22151</v>
      </c>
      <c r="F10455" s="45" t="s">
        <v>25332</v>
      </c>
      <c r="G10455" s="961" t="s">
        <v>25333</v>
      </c>
      <c r="H10455" s="198">
        <v>84938.95</v>
      </c>
      <c r="I10455" s="47">
        <v>45874</v>
      </c>
      <c r="J10455" s="73" t="s">
        <v>25334</v>
      </c>
      <c r="K10455" s="60"/>
      <c r="O10455" s="45" t="s">
        <v>8228</v>
      </c>
      <c r="P10455" s="58" t="s">
        <v>57</v>
      </c>
      <c r="Q10455" s="48" t="s">
        <v>119</v>
      </c>
      <c r="R10455" s="45" t="s">
        <v>272</v>
      </c>
    </row>
    <row r="10456" spans="2:18" ht="69" customHeight="1">
      <c r="B10456" s="239">
        <f t="shared" si="94"/>
        <v>7566</v>
      </c>
      <c r="C10456" s="45" t="s">
        <v>7415</v>
      </c>
      <c r="D10456" s="489" t="s">
        <v>25335</v>
      </c>
      <c r="E10456" s="677" t="s">
        <v>22968</v>
      </c>
      <c r="F10456" s="45" t="s">
        <v>25336</v>
      </c>
      <c r="G10456" s="961" t="s">
        <v>25333</v>
      </c>
      <c r="H10456" s="198">
        <v>84938.94</v>
      </c>
      <c r="I10456" s="47">
        <v>45874</v>
      </c>
      <c r="J10456" s="73" t="s">
        <v>25334</v>
      </c>
      <c r="K10456" s="60"/>
      <c r="O10456" s="45" t="s">
        <v>24508</v>
      </c>
      <c r="P10456" s="58" t="s">
        <v>57</v>
      </c>
      <c r="Q10456" s="48" t="s">
        <v>119</v>
      </c>
      <c r="R10456" s="45" t="s">
        <v>272</v>
      </c>
    </row>
    <row r="10457" spans="2:18" ht="69" customHeight="1">
      <c r="B10457" s="239">
        <f t="shared" si="94"/>
        <v>7567</v>
      </c>
      <c r="C10457" s="45" t="s">
        <v>7415</v>
      </c>
      <c r="D10457" s="489" t="s">
        <v>25337</v>
      </c>
      <c r="E10457" s="677" t="s">
        <v>22151</v>
      </c>
      <c r="F10457" s="45" t="s">
        <v>25338</v>
      </c>
      <c r="G10457" s="961" t="s">
        <v>25339</v>
      </c>
      <c r="H10457" s="198">
        <v>22657.599999999999</v>
      </c>
      <c r="I10457" s="47">
        <v>45874</v>
      </c>
      <c r="J10457" s="73" t="s">
        <v>25334</v>
      </c>
      <c r="K10457" s="60"/>
      <c r="O10457" s="45" t="s">
        <v>8228</v>
      </c>
      <c r="P10457" s="58" t="s">
        <v>57</v>
      </c>
      <c r="Q10457" s="48" t="s">
        <v>119</v>
      </c>
      <c r="R10457" s="45" t="s">
        <v>272</v>
      </c>
    </row>
    <row r="10458" spans="2:18" ht="69" customHeight="1">
      <c r="B10458" s="239">
        <f t="shared" si="94"/>
        <v>7568</v>
      </c>
      <c r="C10458" s="45" t="s">
        <v>7415</v>
      </c>
      <c r="D10458" s="489" t="s">
        <v>25340</v>
      </c>
      <c r="E10458" s="677" t="s">
        <v>22968</v>
      </c>
      <c r="F10458" s="45" t="s">
        <v>25341</v>
      </c>
      <c r="G10458" s="961" t="s">
        <v>25339</v>
      </c>
      <c r="H10458" s="198">
        <v>5664.4</v>
      </c>
      <c r="I10458" s="47">
        <v>45874</v>
      </c>
      <c r="J10458" s="73" t="s">
        <v>25334</v>
      </c>
      <c r="K10458" s="60"/>
      <c r="O10458" s="45" t="s">
        <v>24508</v>
      </c>
      <c r="P10458" s="58" t="s">
        <v>57</v>
      </c>
      <c r="Q10458" s="48" t="s">
        <v>119</v>
      </c>
      <c r="R10458" s="45" t="s">
        <v>272</v>
      </c>
    </row>
    <row r="10459" spans="2:18" ht="69" customHeight="1">
      <c r="B10459" s="79">
        <f t="shared" si="94"/>
        <v>7569</v>
      </c>
      <c r="C10459" s="178" t="s">
        <v>8797</v>
      </c>
      <c r="D10459" s="489" t="s">
        <v>16627</v>
      </c>
      <c r="E10459" s="58" t="s">
        <v>16737</v>
      </c>
      <c r="F10459" s="58" t="s">
        <v>25342</v>
      </c>
      <c r="G10459" s="58" t="s">
        <v>25343</v>
      </c>
      <c r="H10459" s="992">
        <v>13135.19</v>
      </c>
      <c r="I10459" s="47">
        <v>45874</v>
      </c>
      <c r="J10459" s="65" t="s">
        <v>25344</v>
      </c>
      <c r="K10459" s="60"/>
      <c r="O10459" s="45" t="s">
        <v>25345</v>
      </c>
      <c r="P10459" s="58" t="s">
        <v>61</v>
      </c>
      <c r="Q10459" s="48" t="s">
        <v>110</v>
      </c>
      <c r="R10459" s="45" t="s">
        <v>272</v>
      </c>
    </row>
    <row r="10460" spans="2:18" ht="69" customHeight="1">
      <c r="B10460" s="79">
        <f t="shared" si="94"/>
        <v>7570</v>
      </c>
      <c r="C10460" s="178" t="s">
        <v>8797</v>
      </c>
      <c r="D10460" s="489" t="s">
        <v>16631</v>
      </c>
      <c r="E10460" s="58" t="s">
        <v>16737</v>
      </c>
      <c r="F10460" s="58" t="s">
        <v>25346</v>
      </c>
      <c r="G10460" s="58" t="s">
        <v>25343</v>
      </c>
      <c r="H10460" s="198">
        <v>90000</v>
      </c>
      <c r="I10460" s="47">
        <v>45874</v>
      </c>
      <c r="J10460" s="65" t="s">
        <v>25344</v>
      </c>
      <c r="K10460" s="60"/>
      <c r="O10460" s="45" t="s">
        <v>25345</v>
      </c>
      <c r="P10460" s="58" t="s">
        <v>61</v>
      </c>
      <c r="Q10460" s="48" t="s">
        <v>110</v>
      </c>
      <c r="R10460" s="45" t="s">
        <v>272</v>
      </c>
    </row>
    <row r="10461" spans="2:18" ht="69" customHeight="1">
      <c r="B10461" s="79">
        <f t="shared" si="94"/>
        <v>7571</v>
      </c>
      <c r="C10461" s="178" t="s">
        <v>8797</v>
      </c>
      <c r="D10461" s="489" t="s">
        <v>19823</v>
      </c>
      <c r="E10461" s="58" t="s">
        <v>16737</v>
      </c>
      <c r="F10461" s="58" t="s">
        <v>25347</v>
      </c>
      <c r="G10461" s="58" t="s">
        <v>25343</v>
      </c>
      <c r="H10461" s="198">
        <v>18000</v>
      </c>
      <c r="I10461" s="47">
        <v>45874</v>
      </c>
      <c r="J10461" s="65" t="s">
        <v>25344</v>
      </c>
      <c r="K10461" s="60"/>
      <c r="O10461" s="45" t="s">
        <v>25345</v>
      </c>
      <c r="P10461" s="58" t="s">
        <v>61</v>
      </c>
      <c r="Q10461" s="48" t="s">
        <v>110</v>
      </c>
      <c r="R10461" s="45" t="s">
        <v>272</v>
      </c>
    </row>
    <row r="10462" spans="2:18" ht="69" customHeight="1">
      <c r="B10462" s="79">
        <f t="shared" si="94"/>
        <v>7572</v>
      </c>
      <c r="C10462" s="178" t="s">
        <v>11908</v>
      </c>
      <c r="D10462" s="489" t="s">
        <v>25348</v>
      </c>
      <c r="E10462" s="58" t="s">
        <v>24808</v>
      </c>
      <c r="F10462" s="681" t="s">
        <v>25349</v>
      </c>
      <c r="G10462" s="45" t="s">
        <v>25298</v>
      </c>
      <c r="H10462" s="198">
        <v>2080</v>
      </c>
      <c r="I10462" s="66">
        <v>45863</v>
      </c>
      <c r="J10462" s="65" t="s">
        <v>25350</v>
      </c>
      <c r="K10462" s="861" t="s">
        <v>22203</v>
      </c>
      <c r="O10462" s="58" t="s">
        <v>24808</v>
      </c>
      <c r="P10462" s="45" t="s">
        <v>65</v>
      </c>
      <c r="Q10462" s="48" t="s">
        <v>103</v>
      </c>
      <c r="R10462" s="45" t="s">
        <v>272</v>
      </c>
    </row>
    <row r="10463" spans="2:18" ht="69" customHeight="1">
      <c r="B10463" s="239">
        <f t="shared" si="94"/>
        <v>7573</v>
      </c>
      <c r="C10463" s="45" t="s">
        <v>11933</v>
      </c>
      <c r="D10463" s="84" t="s">
        <v>25351</v>
      </c>
      <c r="E10463" s="45" t="s">
        <v>24808</v>
      </c>
      <c r="F10463" s="45" t="s">
        <v>25352</v>
      </c>
      <c r="G10463" s="45" t="s">
        <v>25353</v>
      </c>
      <c r="H10463" s="954">
        <v>167.2</v>
      </c>
      <c r="I10463" s="47">
        <v>45863</v>
      </c>
      <c r="J10463" s="48" t="s">
        <v>25354</v>
      </c>
      <c r="K10463" s="58" t="s">
        <v>22203</v>
      </c>
      <c r="O10463" s="58" t="s">
        <v>24808</v>
      </c>
      <c r="P10463" s="45" t="s">
        <v>65</v>
      </c>
      <c r="Q10463" s="48" t="s">
        <v>123</v>
      </c>
      <c r="R10463" s="45" t="s">
        <v>272</v>
      </c>
    </row>
    <row r="10464" spans="2:18" ht="69" customHeight="1">
      <c r="B10464" s="239">
        <f t="shared" si="94"/>
        <v>7574</v>
      </c>
      <c r="C10464" s="45" t="s">
        <v>8797</v>
      </c>
      <c r="D10464" s="84" t="s">
        <v>16650</v>
      </c>
      <c r="E10464" s="45" t="s">
        <v>24808</v>
      </c>
      <c r="F10464" s="45" t="s">
        <v>25355</v>
      </c>
      <c r="G10464" s="45" t="s">
        <v>25353</v>
      </c>
      <c r="H10464" s="954">
        <v>167.2</v>
      </c>
      <c r="I10464" s="47">
        <v>45863</v>
      </c>
      <c r="J10464" s="48" t="s">
        <v>25354</v>
      </c>
      <c r="K10464" s="58" t="s">
        <v>22203</v>
      </c>
      <c r="O10464" s="58" t="s">
        <v>24808</v>
      </c>
      <c r="P10464" s="45" t="s">
        <v>65</v>
      </c>
      <c r="Q10464" s="48" t="s">
        <v>110</v>
      </c>
      <c r="R10464" s="45" t="s">
        <v>272</v>
      </c>
    </row>
    <row r="10465" spans="2:18" ht="69" customHeight="1">
      <c r="B10465" s="79">
        <f t="shared" si="94"/>
        <v>7575</v>
      </c>
      <c r="C10465" s="59" t="s">
        <v>9004</v>
      </c>
      <c r="D10465" s="489" t="s">
        <v>16648</v>
      </c>
      <c r="E10465" s="45" t="s">
        <v>156</v>
      </c>
      <c r="F10465" s="45" t="s">
        <v>25356</v>
      </c>
      <c r="G10465" s="45" t="s">
        <v>25357</v>
      </c>
      <c r="H10465" s="198">
        <v>74000</v>
      </c>
      <c r="I10465" s="47">
        <v>45874</v>
      </c>
      <c r="J10465" s="48" t="s">
        <v>25358</v>
      </c>
      <c r="K10465" s="58" t="s">
        <v>22203</v>
      </c>
      <c r="O10465" s="45" t="s">
        <v>156</v>
      </c>
      <c r="P10465" s="45" t="s">
        <v>63</v>
      </c>
      <c r="Q10465" s="48" t="s">
        <v>111</v>
      </c>
      <c r="R10465" s="45" t="s">
        <v>272</v>
      </c>
    </row>
    <row r="10466" spans="2:18" ht="69" customHeight="1">
      <c r="B10466" s="231">
        <f t="shared" si="94"/>
        <v>7576</v>
      </c>
      <c r="C10466" s="191" t="s">
        <v>657</v>
      </c>
      <c r="D10466" s="502" t="s">
        <v>16691</v>
      </c>
      <c r="E10466" s="46" t="s">
        <v>266</v>
      </c>
      <c r="F10466" s="46" t="s">
        <v>25359</v>
      </c>
      <c r="G10466" s="46" t="s">
        <v>25360</v>
      </c>
      <c r="H10466" s="534">
        <v>66.37</v>
      </c>
      <c r="I10466" s="56">
        <v>45874</v>
      </c>
      <c r="J10466" s="199" t="s">
        <v>25361</v>
      </c>
      <c r="K10466" s="46" t="s">
        <v>22203</v>
      </c>
      <c r="O10466" s="46" t="s">
        <v>5969</v>
      </c>
      <c r="P10466" s="46" t="s">
        <v>65</v>
      </c>
      <c r="Q10466" s="52" t="s">
        <v>106</v>
      </c>
      <c r="R10466" s="46" t="s">
        <v>272</v>
      </c>
    </row>
    <row r="10467" spans="2:18" ht="69" customHeight="1">
      <c r="B10467" s="79">
        <f t="shared" si="94"/>
        <v>7577</v>
      </c>
      <c r="C10467" s="45" t="s">
        <v>657</v>
      </c>
      <c r="D10467" s="489" t="s">
        <v>16683</v>
      </c>
      <c r="E10467" s="45" t="s">
        <v>266</v>
      </c>
      <c r="F10467" s="45" t="s">
        <v>25362</v>
      </c>
      <c r="G10467" s="81" t="s">
        <v>23950</v>
      </c>
      <c r="H10467" s="198">
        <v>40000</v>
      </c>
      <c r="I10467" s="47">
        <v>45874</v>
      </c>
      <c r="J10467" s="73" t="s">
        <v>25363</v>
      </c>
      <c r="K10467" s="60"/>
      <c r="O10467" s="45" t="s">
        <v>1171</v>
      </c>
      <c r="P10467" s="45" t="s">
        <v>71</v>
      </c>
      <c r="Q10467" s="48" t="s">
        <v>104</v>
      </c>
      <c r="R10467" s="45" t="s">
        <v>272</v>
      </c>
    </row>
    <row r="10468" spans="2:18" ht="69" customHeight="1">
      <c r="B10468" s="79">
        <f t="shared" si="94"/>
        <v>7578</v>
      </c>
      <c r="C10468" s="45" t="s">
        <v>657</v>
      </c>
      <c r="D10468" s="489" t="s">
        <v>16685</v>
      </c>
      <c r="E10468" s="45" t="s">
        <v>266</v>
      </c>
      <c r="F10468" s="45" t="s">
        <v>25364</v>
      </c>
      <c r="G10468" s="81" t="s">
        <v>23950</v>
      </c>
      <c r="H10468" s="198">
        <v>40000</v>
      </c>
      <c r="I10468" s="47">
        <v>45874</v>
      </c>
      <c r="J10468" s="73" t="s">
        <v>25363</v>
      </c>
      <c r="K10468" s="60"/>
      <c r="O10468" s="45" t="s">
        <v>1171</v>
      </c>
      <c r="P10468" s="45" t="s">
        <v>71</v>
      </c>
      <c r="Q10468" s="48" t="s">
        <v>104</v>
      </c>
      <c r="R10468" s="45" t="s">
        <v>272</v>
      </c>
    </row>
    <row r="10469" spans="2:18" ht="69" customHeight="1">
      <c r="B10469" s="79">
        <f t="shared" si="94"/>
        <v>7579</v>
      </c>
      <c r="C10469" s="178" t="s">
        <v>657</v>
      </c>
      <c r="D10469" s="551" t="s">
        <v>16687</v>
      </c>
      <c r="E10469" s="58" t="s">
        <v>266</v>
      </c>
      <c r="F10469" s="58" t="s">
        <v>25365</v>
      </c>
      <c r="G10469" s="58" t="s">
        <v>25222</v>
      </c>
      <c r="H10469" s="552">
        <v>593.05499999999995</v>
      </c>
      <c r="I10469" s="66">
        <v>45874</v>
      </c>
      <c r="J10469" s="62" t="s">
        <v>25366</v>
      </c>
      <c r="K10469" s="237" t="s">
        <v>25367</v>
      </c>
      <c r="O10469" s="45" t="s">
        <v>15366</v>
      </c>
      <c r="P10469" s="45" t="s">
        <v>67</v>
      </c>
      <c r="Q10469" s="48" t="s">
        <v>110</v>
      </c>
      <c r="R10469" s="45" t="s">
        <v>272</v>
      </c>
    </row>
    <row r="10470" spans="2:18" ht="69" customHeight="1">
      <c r="B10470" s="79">
        <f t="shared" si="94"/>
        <v>7580</v>
      </c>
      <c r="C10470" s="178" t="s">
        <v>657</v>
      </c>
      <c r="D10470" s="551" t="s">
        <v>16687</v>
      </c>
      <c r="E10470" s="58" t="s">
        <v>266</v>
      </c>
      <c r="F10470" s="58" t="s">
        <v>25368</v>
      </c>
      <c r="G10470" s="58" t="s">
        <v>25222</v>
      </c>
      <c r="H10470" s="552">
        <v>593.05499999999995</v>
      </c>
      <c r="I10470" s="66">
        <v>45874</v>
      </c>
      <c r="J10470" s="62" t="s">
        <v>25366</v>
      </c>
      <c r="K10470" s="237" t="s">
        <v>25369</v>
      </c>
      <c r="O10470" s="45" t="s">
        <v>15366</v>
      </c>
      <c r="P10470" s="45" t="s">
        <v>67</v>
      </c>
      <c r="Q10470" s="48" t="s">
        <v>97</v>
      </c>
      <c r="R10470" s="45" t="s">
        <v>272</v>
      </c>
    </row>
    <row r="10471" spans="2:18" ht="69" customHeight="1">
      <c r="B10471" s="79">
        <f t="shared" si="94"/>
        <v>7581</v>
      </c>
      <c r="C10471" s="178" t="s">
        <v>458</v>
      </c>
      <c r="D10471" s="551" t="s">
        <v>25370</v>
      </c>
      <c r="E10471" s="58" t="s">
        <v>266</v>
      </c>
      <c r="F10471" s="58" t="s">
        <v>25371</v>
      </c>
      <c r="G10471" s="58" t="s">
        <v>25222</v>
      </c>
      <c r="H10471" s="552">
        <v>395.37</v>
      </c>
      <c r="I10471" s="66">
        <v>45874</v>
      </c>
      <c r="J10471" s="62" t="s">
        <v>25366</v>
      </c>
      <c r="K10471" s="237" t="s">
        <v>25372</v>
      </c>
      <c r="O10471" s="45" t="s">
        <v>15366</v>
      </c>
      <c r="P10471" s="45" t="s">
        <v>67</v>
      </c>
      <c r="Q10471" s="48" t="s">
        <v>123</v>
      </c>
      <c r="R10471" s="45" t="s">
        <v>272</v>
      </c>
    </row>
    <row r="10472" spans="2:18" ht="69" customHeight="1">
      <c r="B10472" s="79">
        <f t="shared" si="94"/>
        <v>7582</v>
      </c>
      <c r="C10472" s="178" t="s">
        <v>458</v>
      </c>
      <c r="D10472" s="551" t="s">
        <v>25370</v>
      </c>
      <c r="E10472" s="58" t="s">
        <v>266</v>
      </c>
      <c r="F10472" s="58" t="s">
        <v>25373</v>
      </c>
      <c r="G10472" s="58" t="s">
        <v>25222</v>
      </c>
      <c r="H10472" s="552">
        <v>395.37</v>
      </c>
      <c r="I10472" s="66">
        <v>45874</v>
      </c>
      <c r="J10472" s="62" t="s">
        <v>25366</v>
      </c>
      <c r="K10472" s="237" t="s">
        <v>25372</v>
      </c>
      <c r="O10472" s="45" t="s">
        <v>15366</v>
      </c>
      <c r="P10472" s="45" t="s">
        <v>67</v>
      </c>
      <c r="Q10472" s="48" t="s">
        <v>103</v>
      </c>
      <c r="R10472" s="45" t="s">
        <v>272</v>
      </c>
    </row>
    <row r="10473" spans="2:18" ht="69" customHeight="1">
      <c r="B10473" s="79">
        <f t="shared" si="94"/>
        <v>7583</v>
      </c>
      <c r="C10473" s="178" t="s">
        <v>458</v>
      </c>
      <c r="D10473" s="551" t="s">
        <v>25370</v>
      </c>
      <c r="E10473" s="58" t="s">
        <v>266</v>
      </c>
      <c r="F10473" s="58" t="s">
        <v>25374</v>
      </c>
      <c r="G10473" s="58" t="s">
        <v>25222</v>
      </c>
      <c r="H10473" s="552">
        <v>395.37</v>
      </c>
      <c r="I10473" s="66">
        <v>45874</v>
      </c>
      <c r="J10473" s="62" t="s">
        <v>25366</v>
      </c>
      <c r="K10473" s="237" t="s">
        <v>25372</v>
      </c>
      <c r="O10473" s="45" t="s">
        <v>15366</v>
      </c>
      <c r="P10473" s="45" t="s">
        <v>67</v>
      </c>
      <c r="Q10473" s="48" t="s">
        <v>113</v>
      </c>
      <c r="R10473" s="45" t="s">
        <v>272</v>
      </c>
    </row>
    <row r="10474" spans="2:18" ht="69" customHeight="1">
      <c r="B10474" s="79">
        <f t="shared" si="94"/>
        <v>7584</v>
      </c>
      <c r="C10474" s="58" t="s">
        <v>11933</v>
      </c>
      <c r="D10474" s="551" t="s">
        <v>25375</v>
      </c>
      <c r="E10474" s="58" t="s">
        <v>266</v>
      </c>
      <c r="F10474" s="58" t="s">
        <v>25376</v>
      </c>
      <c r="G10474" s="58" t="s">
        <v>25377</v>
      </c>
      <c r="H10474" s="552">
        <v>950</v>
      </c>
      <c r="I10474" s="66">
        <v>45894</v>
      </c>
      <c r="J10474" s="62" t="s">
        <v>25378</v>
      </c>
      <c r="K10474" s="237"/>
      <c r="O10474" s="45" t="s">
        <v>25379</v>
      </c>
      <c r="P10474" s="45" t="s">
        <v>65</v>
      </c>
      <c r="Q10474" s="48" t="s">
        <v>123</v>
      </c>
      <c r="R10474" s="45" t="s">
        <v>272</v>
      </c>
    </row>
    <row r="10475" spans="2:18" ht="69" customHeight="1">
      <c r="B10475" s="79">
        <f t="shared" si="94"/>
        <v>7585</v>
      </c>
      <c r="C10475" s="788" t="s">
        <v>11933</v>
      </c>
      <c r="D10475" s="551" t="s">
        <v>25380</v>
      </c>
      <c r="E10475" s="58" t="s">
        <v>24808</v>
      </c>
      <c r="F10475" s="681" t="s">
        <v>25381</v>
      </c>
      <c r="G10475" s="681" t="s">
        <v>25382</v>
      </c>
      <c r="H10475" s="868">
        <v>677.66</v>
      </c>
      <c r="I10475" s="66">
        <v>45894</v>
      </c>
      <c r="J10475" s="62" t="s">
        <v>25383</v>
      </c>
      <c r="K10475" s="237"/>
      <c r="O10475" s="58" t="s">
        <v>24808</v>
      </c>
      <c r="P10475" s="45" t="s">
        <v>65</v>
      </c>
      <c r="Q10475" s="48" t="s">
        <v>123</v>
      </c>
      <c r="R10475" s="45" t="s">
        <v>272</v>
      </c>
    </row>
    <row r="10476" spans="2:18" ht="69" customHeight="1">
      <c r="B10476" s="79">
        <f t="shared" si="94"/>
        <v>7586</v>
      </c>
      <c r="C10476" s="771" t="s">
        <v>8797</v>
      </c>
      <c r="D10476" s="551" t="s">
        <v>16831</v>
      </c>
      <c r="E10476" s="58" t="s">
        <v>24808</v>
      </c>
      <c r="F10476" s="681" t="s">
        <v>25384</v>
      </c>
      <c r="G10476" s="681" t="s">
        <v>25382</v>
      </c>
      <c r="H10476" s="868">
        <v>677.66</v>
      </c>
      <c r="I10476" s="66">
        <v>45894</v>
      </c>
      <c r="J10476" s="62" t="s">
        <v>25383</v>
      </c>
      <c r="K10476" s="237"/>
      <c r="O10476" s="58" t="s">
        <v>24808</v>
      </c>
      <c r="P10476" s="45" t="s">
        <v>65</v>
      </c>
      <c r="Q10476" s="48" t="s">
        <v>110</v>
      </c>
      <c r="R10476" s="45" t="s">
        <v>272</v>
      </c>
    </row>
    <row r="10477" spans="2:18" ht="69" customHeight="1">
      <c r="B10477" s="239">
        <f t="shared" si="94"/>
        <v>7587</v>
      </c>
      <c r="C10477" s="45" t="s">
        <v>3368</v>
      </c>
      <c r="D10477" s="489" t="s">
        <v>20629</v>
      </c>
      <c r="E10477" s="45" t="s">
        <v>21476</v>
      </c>
      <c r="F10477" s="45" t="s">
        <v>25385</v>
      </c>
      <c r="G10477" s="45" t="s">
        <v>25386</v>
      </c>
      <c r="H10477" s="198">
        <v>35695.040000000001</v>
      </c>
      <c r="I10477" s="47">
        <v>45905</v>
      </c>
      <c r="J10477" s="48" t="s">
        <v>25387</v>
      </c>
      <c r="K10477" s="45"/>
      <c r="O10477" s="45" t="s">
        <v>156</v>
      </c>
      <c r="P10477" s="45" t="s">
        <v>19</v>
      </c>
      <c r="Q10477" s="48" t="s">
        <v>43</v>
      </c>
      <c r="R10477" s="45" t="s">
        <v>272</v>
      </c>
    </row>
    <row r="10478" spans="2:18" ht="69" customHeight="1">
      <c r="B10478" s="239">
        <f t="shared" si="94"/>
        <v>7588</v>
      </c>
      <c r="C10478" s="805" t="s">
        <v>11933</v>
      </c>
      <c r="D10478" s="489" t="s">
        <v>24849</v>
      </c>
      <c r="E10478" s="71" t="s">
        <v>25388</v>
      </c>
      <c r="F10478" s="677" t="s">
        <v>25389</v>
      </c>
      <c r="G10478" s="45" t="s">
        <v>25390</v>
      </c>
      <c r="H10478" s="198">
        <v>1693.87</v>
      </c>
      <c r="I10478" s="47">
        <v>45894</v>
      </c>
      <c r="J10478" s="48" t="s">
        <v>25391</v>
      </c>
      <c r="K10478" s="60"/>
      <c r="O10478" s="45" t="s">
        <v>25388</v>
      </c>
      <c r="P10478" s="45" t="s">
        <v>65</v>
      </c>
      <c r="Q10478" s="48" t="s">
        <v>123</v>
      </c>
      <c r="R10478" s="45" t="s">
        <v>272</v>
      </c>
    </row>
    <row r="10479" spans="2:18" ht="69" customHeight="1">
      <c r="B10479" s="239">
        <f t="shared" si="94"/>
        <v>7589</v>
      </c>
      <c r="C10479" s="909" t="s">
        <v>8797</v>
      </c>
      <c r="D10479" s="489" t="s">
        <v>25392</v>
      </c>
      <c r="E10479" s="71" t="s">
        <v>25388</v>
      </c>
      <c r="F10479" s="677" t="s">
        <v>25393</v>
      </c>
      <c r="G10479" s="45" t="s">
        <v>25390</v>
      </c>
      <c r="H10479" s="198">
        <v>1062.25</v>
      </c>
      <c r="I10479" s="47">
        <v>45894</v>
      </c>
      <c r="J10479" s="48" t="s">
        <v>25391</v>
      </c>
      <c r="K10479" s="60"/>
      <c r="O10479" s="45" t="s">
        <v>25388</v>
      </c>
      <c r="P10479" s="45" t="s">
        <v>65</v>
      </c>
      <c r="Q10479" s="48" t="s">
        <v>110</v>
      </c>
      <c r="R10479" s="45" t="s">
        <v>272</v>
      </c>
    </row>
    <row r="10480" spans="2:18" ht="69" customHeight="1">
      <c r="B10480" s="79">
        <f t="shared" si="94"/>
        <v>7590</v>
      </c>
      <c r="C10480" s="805" t="s">
        <v>11933</v>
      </c>
      <c r="D10480" s="489" t="s">
        <v>24851</v>
      </c>
      <c r="E10480" s="680" t="s">
        <v>266</v>
      </c>
      <c r="F10480" s="58" t="s">
        <v>25394</v>
      </c>
      <c r="G10480" s="113" t="s">
        <v>25395</v>
      </c>
      <c r="H10480" s="198">
        <v>12000</v>
      </c>
      <c r="I10480" s="47">
        <v>45894</v>
      </c>
      <c r="J10480" s="48" t="s">
        <v>25396</v>
      </c>
      <c r="K10480" s="60"/>
      <c r="O10480" s="62" t="s">
        <v>6918</v>
      </c>
      <c r="P10480" s="45" t="s">
        <v>44</v>
      </c>
      <c r="Q10480" s="48" t="s">
        <v>123</v>
      </c>
      <c r="R10480" s="45" t="s">
        <v>272</v>
      </c>
    </row>
    <row r="10481" spans="2:18" ht="69" customHeight="1">
      <c r="B10481" s="239">
        <f t="shared" si="94"/>
        <v>7591</v>
      </c>
      <c r="C10481" s="805" t="s">
        <v>11933</v>
      </c>
      <c r="D10481" s="489" t="s">
        <v>24853</v>
      </c>
      <c r="E10481" s="45" t="s">
        <v>24808</v>
      </c>
      <c r="F10481" s="677" t="s">
        <v>25397</v>
      </c>
      <c r="G10481" s="45" t="s">
        <v>25398</v>
      </c>
      <c r="H10481" s="730">
        <v>167.2</v>
      </c>
      <c r="I10481" s="47">
        <v>45894</v>
      </c>
      <c r="J10481" s="48" t="s">
        <v>25399</v>
      </c>
      <c r="K10481" s="45" t="s">
        <v>22203</v>
      </c>
      <c r="O10481" s="58" t="s">
        <v>24808</v>
      </c>
      <c r="P10481" s="45" t="s">
        <v>65</v>
      </c>
      <c r="Q10481" s="48" t="s">
        <v>123</v>
      </c>
      <c r="R10481" s="45" t="s">
        <v>272</v>
      </c>
    </row>
    <row r="10482" spans="2:18" ht="69" customHeight="1">
      <c r="B10482" s="239">
        <f t="shared" si="94"/>
        <v>7592</v>
      </c>
      <c r="C10482" s="909" t="s">
        <v>8797</v>
      </c>
      <c r="D10482" s="489" t="s">
        <v>16942</v>
      </c>
      <c r="E10482" s="45" t="s">
        <v>24808</v>
      </c>
      <c r="F10482" s="677" t="s">
        <v>25400</v>
      </c>
      <c r="G10482" s="45" t="s">
        <v>25398</v>
      </c>
      <c r="H10482" s="730">
        <v>167.2</v>
      </c>
      <c r="I10482" s="47">
        <v>45894</v>
      </c>
      <c r="J10482" s="48" t="s">
        <v>25399</v>
      </c>
      <c r="K10482" s="45" t="s">
        <v>22203</v>
      </c>
      <c r="O10482" s="58" t="s">
        <v>24808</v>
      </c>
      <c r="P10482" s="45" t="s">
        <v>65</v>
      </c>
      <c r="Q10482" s="48" t="s">
        <v>110</v>
      </c>
      <c r="R10482" s="45" t="s">
        <v>272</v>
      </c>
    </row>
    <row r="10483" spans="2:18" ht="69" customHeight="1">
      <c r="B10483" s="231">
        <f t="shared" si="94"/>
        <v>7593</v>
      </c>
      <c r="C10483" s="191" t="s">
        <v>309</v>
      </c>
      <c r="D10483" s="502" t="s">
        <v>25401</v>
      </c>
      <c r="E10483" s="86" t="s">
        <v>266</v>
      </c>
      <c r="F10483" s="87" t="s">
        <v>25402</v>
      </c>
      <c r="G10483" s="46" t="s">
        <v>25403</v>
      </c>
      <c r="H10483" s="534">
        <v>1400</v>
      </c>
      <c r="I10483" s="56">
        <v>45894</v>
      </c>
      <c r="J10483" s="52" t="s">
        <v>25404</v>
      </c>
      <c r="K10483" s="281" t="s">
        <v>18983</v>
      </c>
      <c r="O10483" s="46" t="s">
        <v>13515</v>
      </c>
      <c r="P10483" s="46" t="s">
        <v>67</v>
      </c>
      <c r="Q10483" s="52" t="s">
        <v>15</v>
      </c>
      <c r="R10483" s="46" t="s">
        <v>272</v>
      </c>
    </row>
    <row r="10484" spans="2:18" ht="69" customHeight="1">
      <c r="B10484" s="239">
        <f t="shared" si="94"/>
        <v>7594</v>
      </c>
      <c r="C10484" s="59" t="s">
        <v>458</v>
      </c>
      <c r="D10484" s="489" t="s">
        <v>24863</v>
      </c>
      <c r="E10484" s="59" t="s">
        <v>266</v>
      </c>
      <c r="F10484" s="45" t="s">
        <v>25405</v>
      </c>
      <c r="G10484" s="45" t="s">
        <v>25151</v>
      </c>
      <c r="H10484" s="198">
        <v>12000</v>
      </c>
      <c r="I10484" s="47">
        <v>45894</v>
      </c>
      <c r="J10484" s="73" t="s">
        <v>25406</v>
      </c>
      <c r="K10484" s="60"/>
      <c r="O10484" s="45" t="s">
        <v>150</v>
      </c>
      <c r="P10484" s="45" t="s">
        <v>51</v>
      </c>
      <c r="Q10484" s="48" t="s">
        <v>123</v>
      </c>
      <c r="R10484" s="45" t="s">
        <v>272</v>
      </c>
    </row>
    <row r="10485" spans="2:18" ht="69" customHeight="1">
      <c r="B10485" s="239">
        <f t="shared" si="94"/>
        <v>7595</v>
      </c>
      <c r="C10485" s="59" t="s">
        <v>458</v>
      </c>
      <c r="D10485" s="489" t="s">
        <v>24865</v>
      </c>
      <c r="E10485" s="59" t="s">
        <v>266</v>
      </c>
      <c r="F10485" s="45" t="s">
        <v>25407</v>
      </c>
      <c r="G10485" s="45" t="s">
        <v>25147</v>
      </c>
      <c r="H10485" s="198">
        <v>2000</v>
      </c>
      <c r="I10485" s="47">
        <v>45894</v>
      </c>
      <c r="J10485" s="73" t="s">
        <v>25406</v>
      </c>
      <c r="K10485" s="60"/>
      <c r="O10485" s="45" t="s">
        <v>150</v>
      </c>
      <c r="P10485" s="45" t="s">
        <v>51</v>
      </c>
      <c r="Q10485" s="48" t="s">
        <v>123</v>
      </c>
      <c r="R10485" s="45" t="s">
        <v>272</v>
      </c>
    </row>
    <row r="10486" spans="2:18" ht="69" customHeight="1">
      <c r="B10486" s="79">
        <f t="shared" si="94"/>
        <v>7596</v>
      </c>
      <c r="C10486" s="58" t="s">
        <v>11933</v>
      </c>
      <c r="D10486" s="489" t="s">
        <v>24867</v>
      </c>
      <c r="E10486" s="649" t="s">
        <v>22398</v>
      </c>
      <c r="F10486" s="45" t="s">
        <v>25408</v>
      </c>
      <c r="G10486" s="45" t="s">
        <v>25409</v>
      </c>
      <c r="H10486" s="198">
        <v>56133</v>
      </c>
      <c r="I10486" s="47">
        <v>45894</v>
      </c>
      <c r="J10486" s="73" t="s">
        <v>25410</v>
      </c>
      <c r="K10486" s="60"/>
      <c r="O10486" s="45" t="s">
        <v>21304</v>
      </c>
      <c r="P10486" s="45" t="s">
        <v>77</v>
      </c>
      <c r="Q10486" s="48" t="s">
        <v>123</v>
      </c>
      <c r="R10486" s="45" t="s">
        <v>272</v>
      </c>
    </row>
    <row r="10487" spans="2:18" ht="69" customHeight="1">
      <c r="B10487" s="79">
        <f t="shared" si="94"/>
        <v>7597</v>
      </c>
      <c r="C10487" s="178" t="s">
        <v>657</v>
      </c>
      <c r="D10487" s="489" t="s">
        <v>17216</v>
      </c>
      <c r="E10487" s="58" t="s">
        <v>266</v>
      </c>
      <c r="F10487" s="58" t="s">
        <v>25411</v>
      </c>
      <c r="G10487" s="58" t="s">
        <v>25222</v>
      </c>
      <c r="H10487" s="198">
        <v>1500</v>
      </c>
      <c r="I10487" s="47">
        <v>45905</v>
      </c>
      <c r="J10487" s="73" t="s">
        <v>25412</v>
      </c>
      <c r="K10487" s="237" t="s">
        <v>25413</v>
      </c>
      <c r="O10487" s="45" t="s">
        <v>15366</v>
      </c>
      <c r="P10487" s="45" t="s">
        <v>67</v>
      </c>
      <c r="Q10487" s="48" t="s">
        <v>110</v>
      </c>
      <c r="R10487" s="45" t="s">
        <v>272</v>
      </c>
    </row>
    <row r="10488" spans="2:18" ht="69" customHeight="1">
      <c r="B10488" s="79">
        <f t="shared" si="94"/>
        <v>7598</v>
      </c>
      <c r="C10488" s="178" t="s">
        <v>458</v>
      </c>
      <c r="D10488" s="489" t="s">
        <v>25414</v>
      </c>
      <c r="E10488" s="58" t="s">
        <v>266</v>
      </c>
      <c r="F10488" s="58" t="s">
        <v>25415</v>
      </c>
      <c r="G10488" s="58" t="s">
        <v>25222</v>
      </c>
      <c r="H10488" s="198">
        <v>1500</v>
      </c>
      <c r="I10488" s="47">
        <v>45905</v>
      </c>
      <c r="J10488" s="73" t="s">
        <v>25412</v>
      </c>
      <c r="K10488" s="237" t="s">
        <v>25413</v>
      </c>
      <c r="O10488" s="45" t="s">
        <v>15366</v>
      </c>
      <c r="P10488" s="45" t="s">
        <v>67</v>
      </c>
      <c r="Q10488" s="48" t="s">
        <v>123</v>
      </c>
      <c r="R10488" s="45" t="s">
        <v>272</v>
      </c>
    </row>
    <row r="10489" spans="2:18" ht="69" customHeight="1">
      <c r="B10489" s="239">
        <f t="shared" si="94"/>
        <v>7599</v>
      </c>
      <c r="C10489" s="59" t="s">
        <v>7189</v>
      </c>
      <c r="D10489" s="489" t="s">
        <v>17026</v>
      </c>
      <c r="E10489" s="45" t="s">
        <v>16139</v>
      </c>
      <c r="F10489" s="45" t="s">
        <v>25416</v>
      </c>
      <c r="G10489" s="45" t="s">
        <v>25417</v>
      </c>
      <c r="H10489" s="198">
        <v>780025.33</v>
      </c>
      <c r="I10489" s="47">
        <v>45915</v>
      </c>
      <c r="J10489" s="73" t="s">
        <v>25418</v>
      </c>
      <c r="K10489" s="60" t="s">
        <v>25419</v>
      </c>
      <c r="O10489" s="62" t="s">
        <v>175</v>
      </c>
      <c r="P10489" s="45" t="s">
        <v>57</v>
      </c>
      <c r="Q10489" s="48" t="s">
        <v>97</v>
      </c>
      <c r="R10489" s="45" t="s">
        <v>272</v>
      </c>
    </row>
    <row r="10490" spans="2:18" ht="69" customHeight="1">
      <c r="B10490" s="239">
        <f t="shared" si="94"/>
        <v>7600</v>
      </c>
      <c r="C10490" s="59" t="s">
        <v>458</v>
      </c>
      <c r="D10490" s="489" t="s">
        <v>25420</v>
      </c>
      <c r="E10490" s="676" t="s">
        <v>266</v>
      </c>
      <c r="F10490" s="676" t="s">
        <v>25421</v>
      </c>
      <c r="G10490" s="677" t="s">
        <v>25422</v>
      </c>
      <c r="H10490" s="198">
        <v>1200</v>
      </c>
      <c r="I10490" s="47"/>
      <c r="J10490" s="48" t="s">
        <v>25423</v>
      </c>
      <c r="K10490" s="60"/>
      <c r="O10490" s="45" t="s">
        <v>10810</v>
      </c>
      <c r="P10490" s="45" t="s">
        <v>67</v>
      </c>
      <c r="Q10490" s="48" t="s">
        <v>96</v>
      </c>
      <c r="R10490" s="45" t="s">
        <v>272</v>
      </c>
    </row>
    <row r="10491" spans="2:18" ht="69" customHeight="1">
      <c r="B10491" s="239">
        <f t="shared" si="94"/>
        <v>7601</v>
      </c>
      <c r="C10491" s="59" t="s">
        <v>657</v>
      </c>
      <c r="D10491" s="489" t="s">
        <v>20907</v>
      </c>
      <c r="E10491" s="676" t="s">
        <v>266</v>
      </c>
      <c r="F10491" s="676" t="s">
        <v>25424</v>
      </c>
      <c r="G10491" s="677" t="s">
        <v>25422</v>
      </c>
      <c r="H10491" s="198">
        <v>1200</v>
      </c>
      <c r="I10491" s="47"/>
      <c r="J10491" s="48" t="s">
        <v>25423</v>
      </c>
      <c r="K10491" s="60" t="s">
        <v>25425</v>
      </c>
      <c r="O10491" s="45" t="s">
        <v>10810</v>
      </c>
      <c r="P10491" s="45" t="s">
        <v>67</v>
      </c>
      <c r="Q10491" s="48" t="s">
        <v>96</v>
      </c>
      <c r="R10491" s="45" t="s">
        <v>272</v>
      </c>
    </row>
    <row r="10492" spans="2:18" ht="69" customHeight="1">
      <c r="B10492" s="239">
        <f t="shared" si="94"/>
        <v>7602</v>
      </c>
      <c r="C10492" s="805" t="s">
        <v>11933</v>
      </c>
      <c r="D10492" s="489" t="s">
        <v>25426</v>
      </c>
      <c r="E10492" s="45" t="s">
        <v>24808</v>
      </c>
      <c r="F10492" s="677" t="s">
        <v>25427</v>
      </c>
      <c r="G10492" s="677" t="s">
        <v>25428</v>
      </c>
      <c r="H10492" s="1007">
        <v>677.66</v>
      </c>
      <c r="I10492" s="47">
        <v>45925</v>
      </c>
      <c r="J10492" s="48" t="s">
        <v>25429</v>
      </c>
      <c r="K10492" s="45"/>
      <c r="O10492" s="45" t="s">
        <v>24808</v>
      </c>
      <c r="P10492" s="45" t="s">
        <v>65</v>
      </c>
      <c r="Q10492" s="48" t="s">
        <v>123</v>
      </c>
      <c r="R10492" s="45" t="s">
        <v>272</v>
      </c>
    </row>
    <row r="10493" spans="2:18" ht="69" customHeight="1">
      <c r="B10493" s="239">
        <f t="shared" si="94"/>
        <v>7603</v>
      </c>
      <c r="C10493" s="909" t="s">
        <v>8797</v>
      </c>
      <c r="D10493" s="489" t="s">
        <v>17380</v>
      </c>
      <c r="E10493" s="45" t="s">
        <v>24808</v>
      </c>
      <c r="F10493" s="677" t="s">
        <v>25430</v>
      </c>
      <c r="G10493" s="677" t="s">
        <v>25428</v>
      </c>
      <c r="H10493" s="1007">
        <v>677.66</v>
      </c>
      <c r="I10493" s="47">
        <v>45925</v>
      </c>
      <c r="J10493" s="48" t="s">
        <v>25429</v>
      </c>
      <c r="K10493" s="45"/>
      <c r="O10493" s="45" t="s">
        <v>24808</v>
      </c>
      <c r="P10493" s="45" t="s">
        <v>65</v>
      </c>
      <c r="Q10493" s="48" t="s">
        <v>110</v>
      </c>
      <c r="R10493" s="45" t="s">
        <v>272</v>
      </c>
    </row>
    <row r="10494" spans="2:18" ht="69" customHeight="1">
      <c r="B10494" s="239">
        <f t="shared" si="94"/>
        <v>7604</v>
      </c>
      <c r="C10494" s="909" t="s">
        <v>8797</v>
      </c>
      <c r="D10494" s="489" t="s">
        <v>17383</v>
      </c>
      <c r="E10494" s="71" t="s">
        <v>25388</v>
      </c>
      <c r="F10494" s="677" t="s">
        <v>25431</v>
      </c>
      <c r="G10494" s="45" t="s">
        <v>25390</v>
      </c>
      <c r="H10494" s="730">
        <v>890</v>
      </c>
      <c r="I10494" s="47">
        <v>45925</v>
      </c>
      <c r="J10494" s="48" t="s">
        <v>25432</v>
      </c>
      <c r="K10494" s="60"/>
      <c r="O10494" s="45" t="s">
        <v>25388</v>
      </c>
      <c r="P10494" s="45" t="s">
        <v>65</v>
      </c>
      <c r="Q10494" s="48" t="s">
        <v>110</v>
      </c>
      <c r="R10494" s="45" t="s">
        <v>272</v>
      </c>
    </row>
    <row r="10495" spans="2:18" ht="69" customHeight="1">
      <c r="B10495" s="239">
        <f t="shared" si="94"/>
        <v>7605</v>
      </c>
      <c r="C10495" s="805" t="s">
        <v>11933</v>
      </c>
      <c r="D10495" s="489" t="s">
        <v>25433</v>
      </c>
      <c r="E10495" s="45" t="s">
        <v>24808</v>
      </c>
      <c r="F10495" s="677" t="s">
        <v>25434</v>
      </c>
      <c r="G10495" s="45" t="s">
        <v>25435</v>
      </c>
      <c r="H10495" s="1007">
        <v>167.2</v>
      </c>
      <c r="I10495" s="47">
        <v>45925</v>
      </c>
      <c r="J10495" s="48" t="s">
        <v>25436</v>
      </c>
      <c r="K10495" s="45"/>
      <c r="O10495" s="45" t="s">
        <v>24808</v>
      </c>
      <c r="P10495" s="45" t="s">
        <v>65</v>
      </c>
      <c r="Q10495" s="48" t="s">
        <v>123</v>
      </c>
      <c r="R10495" s="45" t="s">
        <v>272</v>
      </c>
    </row>
    <row r="10496" spans="2:18" ht="69" customHeight="1">
      <c r="B10496" s="239">
        <f t="shared" si="94"/>
        <v>7606</v>
      </c>
      <c r="C10496" s="909" t="s">
        <v>8797</v>
      </c>
      <c r="D10496" s="489" t="s">
        <v>17480</v>
      </c>
      <c r="E10496" s="45" t="s">
        <v>24808</v>
      </c>
      <c r="F10496" s="677" t="s">
        <v>25437</v>
      </c>
      <c r="G10496" s="45" t="s">
        <v>25435</v>
      </c>
      <c r="H10496" s="1007">
        <v>167.2</v>
      </c>
      <c r="I10496" s="47">
        <v>45925</v>
      </c>
      <c r="J10496" s="48" t="s">
        <v>25436</v>
      </c>
      <c r="K10496" s="45"/>
      <c r="O10496" s="45" t="s">
        <v>24808</v>
      </c>
      <c r="P10496" s="45" t="s">
        <v>65</v>
      </c>
      <c r="Q10496" s="48" t="s">
        <v>110</v>
      </c>
      <c r="R10496" s="45" t="s">
        <v>272</v>
      </c>
    </row>
    <row r="10497" spans="2:18" ht="69" customHeight="1">
      <c r="B10497" s="79">
        <f t="shared" si="94"/>
        <v>7607</v>
      </c>
      <c r="C10497" s="676" t="s">
        <v>309</v>
      </c>
      <c r="D10497" s="489" t="s">
        <v>96</v>
      </c>
      <c r="E10497" s="58" t="s">
        <v>25438</v>
      </c>
      <c r="F10497" s="677" t="s">
        <v>25439</v>
      </c>
      <c r="G10497" s="58" t="s">
        <v>25440</v>
      </c>
      <c r="H10497" s="198">
        <v>5520</v>
      </c>
      <c r="I10497" s="489" t="s">
        <v>96</v>
      </c>
      <c r="J10497" s="125" t="s">
        <v>25441</v>
      </c>
      <c r="K10497" s="45" t="s">
        <v>25442</v>
      </c>
      <c r="O10497" s="45" t="s">
        <v>150</v>
      </c>
      <c r="P10497" s="45" t="s">
        <v>51</v>
      </c>
      <c r="Q10497" s="821" t="s">
        <v>13</v>
      </c>
      <c r="R10497" s="45" t="s">
        <v>272</v>
      </c>
    </row>
    <row r="10498" spans="2:18" ht="69" customHeight="1">
      <c r="B10498" s="79">
        <f t="shared" si="94"/>
        <v>7608</v>
      </c>
      <c r="C10498" s="48"/>
      <c r="D10498" s="489" t="s">
        <v>96</v>
      </c>
      <c r="E10498" s="58" t="s">
        <v>25438</v>
      </c>
      <c r="F10498" s="677" t="s">
        <v>25443</v>
      </c>
      <c r="G10498" s="58" t="s">
        <v>25440</v>
      </c>
      <c r="H10498" s="198">
        <v>5520</v>
      </c>
      <c r="I10498" s="489" t="s">
        <v>96</v>
      </c>
      <c r="J10498" s="125" t="s">
        <v>25441</v>
      </c>
      <c r="K10498" s="45" t="s">
        <v>25442</v>
      </c>
      <c r="O10498" s="45" t="s">
        <v>150</v>
      </c>
      <c r="P10498" s="45" t="s">
        <v>51</v>
      </c>
      <c r="Q10498" s="821" t="s">
        <v>18</v>
      </c>
      <c r="R10498" s="45" t="s">
        <v>272</v>
      </c>
    </row>
    <row r="10499" spans="2:18" ht="69" customHeight="1">
      <c r="B10499" s="79">
        <f t="shared" si="94"/>
        <v>7609</v>
      </c>
      <c r="C10499" s="59" t="s">
        <v>309</v>
      </c>
      <c r="D10499" s="489" t="s">
        <v>96</v>
      </c>
      <c r="E10499" s="58" t="s">
        <v>25438</v>
      </c>
      <c r="F10499" s="677" t="s">
        <v>25444</v>
      </c>
      <c r="G10499" s="58" t="s">
        <v>25440</v>
      </c>
      <c r="H10499" s="198">
        <v>5520</v>
      </c>
      <c r="I10499" s="489" t="s">
        <v>96</v>
      </c>
      <c r="J10499" s="125" t="s">
        <v>25441</v>
      </c>
      <c r="K10499" s="45" t="s">
        <v>25442</v>
      </c>
      <c r="O10499" s="45" t="s">
        <v>150</v>
      </c>
      <c r="P10499" s="45" t="s">
        <v>51</v>
      </c>
      <c r="Q10499" s="821" t="s">
        <v>20</v>
      </c>
      <c r="R10499" s="45" t="s">
        <v>272</v>
      </c>
    </row>
    <row r="10500" spans="2:18" ht="69" customHeight="1">
      <c r="B10500" s="79">
        <f t="shared" si="94"/>
        <v>7610</v>
      </c>
      <c r="C10500" s="48"/>
      <c r="D10500" s="489" t="s">
        <v>96</v>
      </c>
      <c r="E10500" s="58" t="s">
        <v>25438</v>
      </c>
      <c r="F10500" s="677" t="s">
        <v>25445</v>
      </c>
      <c r="G10500" s="58" t="s">
        <v>25440</v>
      </c>
      <c r="H10500" s="198">
        <v>5520</v>
      </c>
      <c r="I10500" s="489" t="s">
        <v>96</v>
      </c>
      <c r="J10500" s="125" t="s">
        <v>25441</v>
      </c>
      <c r="K10500" s="45" t="s">
        <v>25442</v>
      </c>
      <c r="O10500" s="45" t="s">
        <v>150</v>
      </c>
      <c r="P10500" s="45" t="s">
        <v>51</v>
      </c>
      <c r="Q10500" s="821" t="s">
        <v>23</v>
      </c>
      <c r="R10500" s="45" t="s">
        <v>272</v>
      </c>
    </row>
    <row r="10501" spans="2:18" ht="69" customHeight="1">
      <c r="B10501" s="79">
        <f t="shared" ref="B10501:B10564" si="95">B10500+1</f>
        <v>7611</v>
      </c>
      <c r="C10501" s="48"/>
      <c r="D10501" s="489" t="s">
        <v>96</v>
      </c>
      <c r="E10501" s="58" t="s">
        <v>25438</v>
      </c>
      <c r="F10501" s="677" t="s">
        <v>25446</v>
      </c>
      <c r="G10501" s="58" t="s">
        <v>25440</v>
      </c>
      <c r="H10501" s="198">
        <v>5520</v>
      </c>
      <c r="I10501" s="489" t="s">
        <v>96</v>
      </c>
      <c r="J10501" s="125" t="s">
        <v>25441</v>
      </c>
      <c r="K10501" s="45" t="s">
        <v>25442</v>
      </c>
      <c r="O10501" s="45" t="s">
        <v>150</v>
      </c>
      <c r="P10501" s="45" t="s">
        <v>51</v>
      </c>
      <c r="Q10501" s="821" t="s">
        <v>25</v>
      </c>
      <c r="R10501" s="45" t="s">
        <v>272</v>
      </c>
    </row>
    <row r="10502" spans="2:18" ht="69" customHeight="1">
      <c r="B10502" s="79">
        <f t="shared" si="95"/>
        <v>7612</v>
      </c>
      <c r="C10502" s="48"/>
      <c r="D10502" s="489" t="s">
        <v>96</v>
      </c>
      <c r="E10502" s="58" t="s">
        <v>25438</v>
      </c>
      <c r="F10502" s="677" t="s">
        <v>25447</v>
      </c>
      <c r="G10502" s="58" t="s">
        <v>25440</v>
      </c>
      <c r="H10502" s="198">
        <v>5520</v>
      </c>
      <c r="I10502" s="489" t="s">
        <v>96</v>
      </c>
      <c r="J10502" s="125" t="s">
        <v>25441</v>
      </c>
      <c r="K10502" s="45" t="s">
        <v>25442</v>
      </c>
      <c r="O10502" s="45" t="s">
        <v>150</v>
      </c>
      <c r="P10502" s="45" t="s">
        <v>51</v>
      </c>
      <c r="Q10502" s="821" t="s">
        <v>27</v>
      </c>
      <c r="R10502" s="45" t="s">
        <v>272</v>
      </c>
    </row>
    <row r="10503" spans="2:18" ht="69" customHeight="1">
      <c r="B10503" s="79">
        <f t="shared" si="95"/>
        <v>7613</v>
      </c>
      <c r="C10503" s="48"/>
      <c r="D10503" s="489" t="s">
        <v>96</v>
      </c>
      <c r="E10503" s="58" t="s">
        <v>25438</v>
      </c>
      <c r="F10503" s="677" t="s">
        <v>25448</v>
      </c>
      <c r="G10503" s="58" t="s">
        <v>25440</v>
      </c>
      <c r="H10503" s="198">
        <v>5520</v>
      </c>
      <c r="I10503" s="489" t="s">
        <v>96</v>
      </c>
      <c r="J10503" s="125" t="s">
        <v>25441</v>
      </c>
      <c r="K10503" s="45" t="s">
        <v>25442</v>
      </c>
      <c r="O10503" s="45" t="s">
        <v>150</v>
      </c>
      <c r="P10503" s="45" t="s">
        <v>51</v>
      </c>
      <c r="Q10503" s="821" t="s">
        <v>29</v>
      </c>
      <c r="R10503" s="45" t="s">
        <v>272</v>
      </c>
    </row>
    <row r="10504" spans="2:18" ht="69" customHeight="1">
      <c r="B10504" s="79">
        <f t="shared" si="95"/>
        <v>7614</v>
      </c>
      <c r="C10504" s="48"/>
      <c r="D10504" s="489" t="s">
        <v>96</v>
      </c>
      <c r="E10504" s="58" t="s">
        <v>25438</v>
      </c>
      <c r="F10504" s="677" t="s">
        <v>25449</v>
      </c>
      <c r="G10504" s="58" t="s">
        <v>25440</v>
      </c>
      <c r="H10504" s="198">
        <v>5520</v>
      </c>
      <c r="I10504" s="489" t="s">
        <v>96</v>
      </c>
      <c r="J10504" s="125" t="s">
        <v>25441</v>
      </c>
      <c r="K10504" s="45" t="s">
        <v>25442</v>
      </c>
      <c r="O10504" s="45" t="s">
        <v>150</v>
      </c>
      <c r="P10504" s="45" t="s">
        <v>51</v>
      </c>
      <c r="Q10504" s="821" t="s">
        <v>31</v>
      </c>
      <c r="R10504" s="45" t="s">
        <v>272</v>
      </c>
    </row>
    <row r="10505" spans="2:18" ht="69" customHeight="1">
      <c r="B10505" s="79">
        <f t="shared" si="95"/>
        <v>7615</v>
      </c>
      <c r="C10505" s="48"/>
      <c r="D10505" s="489" t="s">
        <v>96</v>
      </c>
      <c r="E10505" s="58" t="s">
        <v>25438</v>
      </c>
      <c r="F10505" s="677" t="s">
        <v>25450</v>
      </c>
      <c r="G10505" s="58" t="s">
        <v>25440</v>
      </c>
      <c r="H10505" s="198">
        <v>5520</v>
      </c>
      <c r="I10505" s="489" t="s">
        <v>96</v>
      </c>
      <c r="J10505" s="125" t="s">
        <v>25441</v>
      </c>
      <c r="K10505" s="45" t="s">
        <v>25442</v>
      </c>
      <c r="O10505" s="45" t="s">
        <v>150</v>
      </c>
      <c r="P10505" s="45" t="s">
        <v>51</v>
      </c>
      <c r="Q10505" s="821" t="s">
        <v>33</v>
      </c>
      <c r="R10505" s="45" t="s">
        <v>272</v>
      </c>
    </row>
    <row r="10506" spans="2:18" ht="69" customHeight="1">
      <c r="B10506" s="79">
        <f t="shared" si="95"/>
        <v>7616</v>
      </c>
      <c r="C10506" s="48"/>
      <c r="D10506" s="489" t="s">
        <v>96</v>
      </c>
      <c r="E10506" s="58" t="s">
        <v>25438</v>
      </c>
      <c r="F10506" s="677" t="s">
        <v>25451</v>
      </c>
      <c r="G10506" s="58" t="s">
        <v>25440</v>
      </c>
      <c r="H10506" s="198">
        <v>5520</v>
      </c>
      <c r="I10506" s="489" t="s">
        <v>96</v>
      </c>
      <c r="J10506" s="125" t="s">
        <v>25441</v>
      </c>
      <c r="K10506" s="45" t="s">
        <v>25442</v>
      </c>
      <c r="O10506" s="45" t="s">
        <v>150</v>
      </c>
      <c r="P10506" s="45" t="s">
        <v>51</v>
      </c>
      <c r="Q10506" s="821" t="s">
        <v>35</v>
      </c>
      <c r="R10506" s="45" t="s">
        <v>272</v>
      </c>
    </row>
    <row r="10507" spans="2:18" ht="69" customHeight="1">
      <c r="B10507" s="79">
        <f t="shared" si="95"/>
        <v>7617</v>
      </c>
      <c r="C10507" s="48"/>
      <c r="D10507" s="489" t="s">
        <v>96</v>
      </c>
      <c r="E10507" s="58" t="s">
        <v>25438</v>
      </c>
      <c r="F10507" s="677" t="s">
        <v>25452</v>
      </c>
      <c r="G10507" s="58" t="s">
        <v>25440</v>
      </c>
      <c r="H10507" s="198">
        <v>5520</v>
      </c>
      <c r="I10507" s="489" t="s">
        <v>96</v>
      </c>
      <c r="J10507" s="125" t="s">
        <v>25441</v>
      </c>
      <c r="K10507" s="45" t="s">
        <v>25442</v>
      </c>
      <c r="O10507" s="45" t="s">
        <v>150</v>
      </c>
      <c r="P10507" s="45" t="s">
        <v>51</v>
      </c>
      <c r="Q10507" s="821" t="s">
        <v>37</v>
      </c>
      <c r="R10507" s="45" t="s">
        <v>272</v>
      </c>
    </row>
    <row r="10508" spans="2:18" ht="69" customHeight="1">
      <c r="B10508" s="79">
        <f t="shared" si="95"/>
        <v>7618</v>
      </c>
      <c r="C10508" s="48"/>
      <c r="D10508" s="489" t="s">
        <v>96</v>
      </c>
      <c r="E10508" s="58" t="s">
        <v>25438</v>
      </c>
      <c r="F10508" s="677" t="s">
        <v>25453</v>
      </c>
      <c r="G10508" s="58" t="s">
        <v>25440</v>
      </c>
      <c r="H10508" s="198">
        <v>5520</v>
      </c>
      <c r="I10508" s="489" t="s">
        <v>96</v>
      </c>
      <c r="J10508" s="125" t="s">
        <v>25441</v>
      </c>
      <c r="K10508" s="45" t="s">
        <v>25442</v>
      </c>
      <c r="O10508" s="45" t="s">
        <v>150</v>
      </c>
      <c r="P10508" s="45" t="s">
        <v>51</v>
      </c>
      <c r="Q10508" s="821" t="s">
        <v>39</v>
      </c>
      <c r="R10508" s="45" t="s">
        <v>272</v>
      </c>
    </row>
    <row r="10509" spans="2:18" ht="69" customHeight="1">
      <c r="B10509" s="79">
        <f t="shared" si="95"/>
        <v>7619</v>
      </c>
      <c r="C10509" s="48"/>
      <c r="D10509" s="489" t="s">
        <v>96</v>
      </c>
      <c r="E10509" s="58" t="s">
        <v>25438</v>
      </c>
      <c r="F10509" s="677" t="s">
        <v>25454</v>
      </c>
      <c r="G10509" s="58" t="s">
        <v>25440</v>
      </c>
      <c r="H10509" s="198">
        <v>5520</v>
      </c>
      <c r="I10509" s="489" t="s">
        <v>96</v>
      </c>
      <c r="J10509" s="125" t="s">
        <v>25441</v>
      </c>
      <c r="K10509" s="45" t="s">
        <v>25442</v>
      </c>
      <c r="O10509" s="45" t="s">
        <v>150</v>
      </c>
      <c r="P10509" s="45" t="s">
        <v>51</v>
      </c>
      <c r="Q10509" s="821" t="s">
        <v>41</v>
      </c>
      <c r="R10509" s="45" t="s">
        <v>272</v>
      </c>
    </row>
    <row r="10510" spans="2:18" ht="69" customHeight="1">
      <c r="B10510" s="79">
        <f t="shared" si="95"/>
        <v>7620</v>
      </c>
      <c r="C10510" s="48"/>
      <c r="D10510" s="489" t="s">
        <v>96</v>
      </c>
      <c r="E10510" s="58" t="s">
        <v>25438</v>
      </c>
      <c r="F10510" s="677" t="s">
        <v>25455</v>
      </c>
      <c r="G10510" s="58" t="s">
        <v>25440</v>
      </c>
      <c r="H10510" s="198">
        <v>5520</v>
      </c>
      <c r="I10510" s="489" t="s">
        <v>96</v>
      </c>
      <c r="J10510" s="125" t="s">
        <v>25441</v>
      </c>
      <c r="K10510" s="45" t="s">
        <v>25442</v>
      </c>
      <c r="O10510" s="45" t="s">
        <v>150</v>
      </c>
      <c r="P10510" s="45" t="s">
        <v>51</v>
      </c>
      <c r="Q10510" s="821" t="s">
        <v>43</v>
      </c>
      <c r="R10510" s="45" t="s">
        <v>272</v>
      </c>
    </row>
    <row r="10511" spans="2:18" ht="69" customHeight="1">
      <c r="B10511" s="79">
        <f t="shared" si="95"/>
        <v>7621</v>
      </c>
      <c r="C10511" s="48"/>
      <c r="D10511" s="489" t="s">
        <v>96</v>
      </c>
      <c r="E10511" s="58" t="s">
        <v>25438</v>
      </c>
      <c r="F10511" s="677" t="s">
        <v>25456</v>
      </c>
      <c r="G10511" s="58" t="s">
        <v>25440</v>
      </c>
      <c r="H10511" s="198">
        <v>5520</v>
      </c>
      <c r="I10511" s="489" t="s">
        <v>96</v>
      </c>
      <c r="J10511" s="125" t="s">
        <v>25441</v>
      </c>
      <c r="K10511" s="45" t="s">
        <v>25442</v>
      </c>
      <c r="O10511" s="45" t="s">
        <v>150</v>
      </c>
      <c r="P10511" s="45" t="s">
        <v>51</v>
      </c>
      <c r="Q10511" s="821" t="s">
        <v>45</v>
      </c>
      <c r="R10511" s="45" t="s">
        <v>272</v>
      </c>
    </row>
    <row r="10512" spans="2:18" ht="69" customHeight="1">
      <c r="B10512" s="79">
        <f t="shared" si="95"/>
        <v>7622</v>
      </c>
      <c r="C10512" s="48"/>
      <c r="D10512" s="489" t="s">
        <v>96</v>
      </c>
      <c r="E10512" s="58" t="s">
        <v>25438</v>
      </c>
      <c r="F10512" s="677" t="s">
        <v>25457</v>
      </c>
      <c r="G10512" s="58" t="s">
        <v>25440</v>
      </c>
      <c r="H10512" s="198">
        <v>5520</v>
      </c>
      <c r="I10512" s="489" t="s">
        <v>96</v>
      </c>
      <c r="J10512" s="125" t="s">
        <v>25441</v>
      </c>
      <c r="K10512" s="45" t="s">
        <v>25442</v>
      </c>
      <c r="O10512" s="45" t="s">
        <v>150</v>
      </c>
      <c r="P10512" s="45" t="s">
        <v>51</v>
      </c>
      <c r="Q10512" s="821" t="s">
        <v>47</v>
      </c>
      <c r="R10512" s="45" t="s">
        <v>272</v>
      </c>
    </row>
    <row r="10513" spans="2:18" ht="69" customHeight="1">
      <c r="B10513" s="79">
        <f t="shared" si="95"/>
        <v>7623</v>
      </c>
      <c r="C10513" s="48"/>
      <c r="D10513" s="489" t="s">
        <v>96</v>
      </c>
      <c r="E10513" s="58" t="s">
        <v>25438</v>
      </c>
      <c r="F10513" s="677" t="s">
        <v>25458</v>
      </c>
      <c r="G10513" s="58" t="s">
        <v>25440</v>
      </c>
      <c r="H10513" s="198">
        <v>5520</v>
      </c>
      <c r="I10513" s="489" t="s">
        <v>96</v>
      </c>
      <c r="J10513" s="125" t="s">
        <v>25441</v>
      </c>
      <c r="K10513" s="45" t="s">
        <v>25442</v>
      </c>
      <c r="O10513" s="45" t="s">
        <v>150</v>
      </c>
      <c r="P10513" s="45" t="s">
        <v>51</v>
      </c>
      <c r="Q10513" s="821" t="s">
        <v>52</v>
      </c>
      <c r="R10513" s="45" t="s">
        <v>272</v>
      </c>
    </row>
    <row r="10514" spans="2:18" ht="69" customHeight="1">
      <c r="B10514" s="79">
        <f t="shared" si="95"/>
        <v>7624</v>
      </c>
      <c r="C10514" s="655" t="s">
        <v>4411</v>
      </c>
      <c r="D10514" s="489" t="s">
        <v>96</v>
      </c>
      <c r="E10514" s="58" t="s">
        <v>25438</v>
      </c>
      <c r="F10514" s="677" t="s">
        <v>25459</v>
      </c>
      <c r="G10514" s="58" t="s">
        <v>25440</v>
      </c>
      <c r="H10514" s="198">
        <v>5520</v>
      </c>
      <c r="I10514" s="489" t="s">
        <v>96</v>
      </c>
      <c r="J10514" s="125" t="s">
        <v>25441</v>
      </c>
      <c r="K10514" s="45" t="s">
        <v>25442</v>
      </c>
      <c r="O10514" s="45" t="s">
        <v>150</v>
      </c>
      <c r="P10514" s="45" t="s">
        <v>51</v>
      </c>
      <c r="Q10514" s="821" t="s">
        <v>54</v>
      </c>
      <c r="R10514" s="45" t="s">
        <v>272</v>
      </c>
    </row>
    <row r="10515" spans="2:18" ht="69" customHeight="1">
      <c r="B10515" s="79">
        <f t="shared" si="95"/>
        <v>7625</v>
      </c>
      <c r="C10515" s="178" t="s">
        <v>4277</v>
      </c>
      <c r="D10515" s="489" t="s">
        <v>96</v>
      </c>
      <c r="E10515" s="58" t="s">
        <v>25438</v>
      </c>
      <c r="F10515" s="677" t="s">
        <v>25460</v>
      </c>
      <c r="G10515" s="58" t="s">
        <v>25440</v>
      </c>
      <c r="H10515" s="198">
        <v>5520</v>
      </c>
      <c r="I10515" s="489" t="s">
        <v>96</v>
      </c>
      <c r="J10515" s="125" t="s">
        <v>25441</v>
      </c>
      <c r="K10515" s="45" t="s">
        <v>25442</v>
      </c>
      <c r="O10515" s="45" t="s">
        <v>150</v>
      </c>
      <c r="P10515" s="45" t="s">
        <v>51</v>
      </c>
      <c r="Q10515" s="821" t="s">
        <v>56</v>
      </c>
      <c r="R10515" s="45" t="s">
        <v>272</v>
      </c>
    </row>
    <row r="10516" spans="2:18" ht="69" customHeight="1">
      <c r="B10516" s="79">
        <f t="shared" si="95"/>
        <v>7626</v>
      </c>
      <c r="C10516" s="178" t="s">
        <v>4728</v>
      </c>
      <c r="D10516" s="489" t="s">
        <v>96</v>
      </c>
      <c r="E10516" s="58" t="s">
        <v>25438</v>
      </c>
      <c r="F10516" s="677" t="s">
        <v>25461</v>
      </c>
      <c r="G10516" s="58" t="s">
        <v>25440</v>
      </c>
      <c r="H10516" s="198">
        <v>5520</v>
      </c>
      <c r="I10516" s="489" t="s">
        <v>96</v>
      </c>
      <c r="J10516" s="125" t="s">
        <v>25441</v>
      </c>
      <c r="K10516" s="45" t="s">
        <v>25442</v>
      </c>
      <c r="O10516" s="45" t="s">
        <v>150</v>
      </c>
      <c r="P10516" s="45" t="s">
        <v>51</v>
      </c>
      <c r="Q10516" s="821" t="s">
        <v>58</v>
      </c>
      <c r="R10516" s="45" t="s">
        <v>272</v>
      </c>
    </row>
    <row r="10517" spans="2:18" ht="69" customHeight="1">
      <c r="B10517" s="79">
        <f t="shared" si="95"/>
        <v>7627</v>
      </c>
      <c r="C10517" s="48"/>
      <c r="D10517" s="489" t="s">
        <v>96</v>
      </c>
      <c r="E10517" s="58" t="s">
        <v>25438</v>
      </c>
      <c r="F10517" s="677" t="s">
        <v>25462</v>
      </c>
      <c r="G10517" s="58" t="s">
        <v>25440</v>
      </c>
      <c r="H10517" s="198">
        <v>5520</v>
      </c>
      <c r="I10517" s="489" t="s">
        <v>96</v>
      </c>
      <c r="J10517" s="125" t="s">
        <v>25441</v>
      </c>
      <c r="K10517" s="45" t="s">
        <v>25442</v>
      </c>
      <c r="O10517" s="45" t="s">
        <v>150</v>
      </c>
      <c r="P10517" s="45" t="s">
        <v>51</v>
      </c>
      <c r="Q10517" s="821" t="s">
        <v>60</v>
      </c>
      <c r="R10517" s="45" t="s">
        <v>272</v>
      </c>
    </row>
    <row r="10518" spans="2:18" ht="69" customHeight="1">
      <c r="B10518" s="79">
        <f t="shared" si="95"/>
        <v>7628</v>
      </c>
      <c r="C10518" s="48"/>
      <c r="D10518" s="489" t="s">
        <v>96</v>
      </c>
      <c r="E10518" s="58" t="s">
        <v>25438</v>
      </c>
      <c r="F10518" s="677" t="s">
        <v>25463</v>
      </c>
      <c r="G10518" s="58" t="s">
        <v>25440</v>
      </c>
      <c r="H10518" s="198">
        <v>5520</v>
      </c>
      <c r="I10518" s="489" t="s">
        <v>96</v>
      </c>
      <c r="J10518" s="125" t="s">
        <v>25441</v>
      </c>
      <c r="K10518" s="45" t="s">
        <v>25442</v>
      </c>
      <c r="O10518" s="45" t="s">
        <v>150</v>
      </c>
      <c r="P10518" s="45" t="s">
        <v>51</v>
      </c>
      <c r="Q10518" s="821" t="s">
        <v>62</v>
      </c>
      <c r="R10518" s="45" t="s">
        <v>272</v>
      </c>
    </row>
    <row r="10519" spans="2:18" ht="69" customHeight="1">
      <c r="B10519" s="79">
        <f t="shared" si="95"/>
        <v>7629</v>
      </c>
      <c r="C10519" s="48"/>
      <c r="D10519" s="489" t="s">
        <v>96</v>
      </c>
      <c r="E10519" s="58" t="s">
        <v>25438</v>
      </c>
      <c r="F10519" s="677" t="s">
        <v>25464</v>
      </c>
      <c r="G10519" s="58" t="s">
        <v>25440</v>
      </c>
      <c r="H10519" s="198">
        <v>5520</v>
      </c>
      <c r="I10519" s="489" t="s">
        <v>96</v>
      </c>
      <c r="J10519" s="125" t="s">
        <v>25441</v>
      </c>
      <c r="K10519" s="45" t="s">
        <v>25442</v>
      </c>
      <c r="O10519" s="45" t="s">
        <v>150</v>
      </c>
      <c r="P10519" s="45" t="s">
        <v>51</v>
      </c>
      <c r="Q10519" s="821" t="s">
        <v>64</v>
      </c>
      <c r="R10519" s="45" t="s">
        <v>272</v>
      </c>
    </row>
    <row r="10520" spans="2:18" ht="69" customHeight="1">
      <c r="B10520" s="79">
        <f t="shared" si="95"/>
        <v>7630</v>
      </c>
      <c r="C10520" s="48"/>
      <c r="D10520" s="489" t="s">
        <v>96</v>
      </c>
      <c r="E10520" s="58" t="s">
        <v>25438</v>
      </c>
      <c r="F10520" s="677" t="s">
        <v>25465</v>
      </c>
      <c r="G10520" s="58" t="s">
        <v>25440</v>
      </c>
      <c r="H10520" s="198">
        <v>5520</v>
      </c>
      <c r="I10520" s="489" t="s">
        <v>96</v>
      </c>
      <c r="J10520" s="125" t="s">
        <v>25441</v>
      </c>
      <c r="K10520" s="45" t="s">
        <v>25442</v>
      </c>
      <c r="O10520" s="45" t="s">
        <v>150</v>
      </c>
      <c r="P10520" s="45" t="s">
        <v>51</v>
      </c>
      <c r="Q10520" s="821" t="s">
        <v>66</v>
      </c>
      <c r="R10520" s="45" t="s">
        <v>272</v>
      </c>
    </row>
    <row r="10521" spans="2:18" ht="69" customHeight="1">
      <c r="B10521" s="79">
        <f t="shared" si="95"/>
        <v>7631</v>
      </c>
      <c r="C10521" s="48"/>
      <c r="D10521" s="489" t="s">
        <v>96</v>
      </c>
      <c r="E10521" s="58" t="s">
        <v>25438</v>
      </c>
      <c r="F10521" s="677" t="s">
        <v>25466</v>
      </c>
      <c r="G10521" s="58" t="s">
        <v>25440</v>
      </c>
      <c r="H10521" s="198">
        <v>5520</v>
      </c>
      <c r="I10521" s="489" t="s">
        <v>96</v>
      </c>
      <c r="J10521" s="125" t="s">
        <v>25441</v>
      </c>
      <c r="K10521" s="45" t="s">
        <v>25442</v>
      </c>
      <c r="O10521" s="45" t="s">
        <v>150</v>
      </c>
      <c r="P10521" s="45" t="s">
        <v>51</v>
      </c>
      <c r="Q10521" s="821" t="s">
        <v>68</v>
      </c>
      <c r="R10521" s="45" t="s">
        <v>272</v>
      </c>
    </row>
    <row r="10522" spans="2:18" ht="69" customHeight="1">
      <c r="B10522" s="79">
        <f t="shared" si="95"/>
        <v>7632</v>
      </c>
      <c r="C10522" s="48"/>
      <c r="D10522" s="489" t="s">
        <v>96</v>
      </c>
      <c r="E10522" s="58" t="s">
        <v>25438</v>
      </c>
      <c r="F10522" s="677" t="s">
        <v>25467</v>
      </c>
      <c r="G10522" s="58" t="s">
        <v>25440</v>
      </c>
      <c r="H10522" s="198">
        <v>5520</v>
      </c>
      <c r="I10522" s="489" t="s">
        <v>96</v>
      </c>
      <c r="J10522" s="125" t="s">
        <v>25441</v>
      </c>
      <c r="K10522" s="45" t="s">
        <v>25442</v>
      </c>
      <c r="O10522" s="45" t="s">
        <v>150</v>
      </c>
      <c r="P10522" s="45" t="s">
        <v>51</v>
      </c>
      <c r="Q10522" s="821" t="s">
        <v>70</v>
      </c>
      <c r="R10522" s="45" t="s">
        <v>272</v>
      </c>
    </row>
    <row r="10523" spans="2:18" ht="69" customHeight="1">
      <c r="B10523" s="79">
        <f t="shared" si="95"/>
        <v>7633</v>
      </c>
      <c r="C10523" s="48"/>
      <c r="D10523" s="489" t="s">
        <v>96</v>
      </c>
      <c r="E10523" s="58" t="s">
        <v>25438</v>
      </c>
      <c r="F10523" s="677" t="s">
        <v>25467</v>
      </c>
      <c r="G10523" s="58" t="s">
        <v>25440</v>
      </c>
      <c r="H10523" s="198">
        <v>5520</v>
      </c>
      <c r="I10523" s="489" t="s">
        <v>96</v>
      </c>
      <c r="J10523" s="125" t="s">
        <v>25441</v>
      </c>
      <c r="K10523" s="45" t="s">
        <v>25442</v>
      </c>
      <c r="O10523" s="45" t="s">
        <v>150</v>
      </c>
      <c r="P10523" s="45" t="s">
        <v>51</v>
      </c>
      <c r="Q10523" s="821" t="s">
        <v>72</v>
      </c>
      <c r="R10523" s="45" t="s">
        <v>272</v>
      </c>
    </row>
    <row r="10524" spans="2:18" ht="69" customHeight="1">
      <c r="B10524" s="79">
        <f t="shared" si="95"/>
        <v>7634</v>
      </c>
      <c r="C10524" s="48"/>
      <c r="D10524" s="489" t="s">
        <v>96</v>
      </c>
      <c r="E10524" s="58" t="s">
        <v>25438</v>
      </c>
      <c r="F10524" s="677" t="s">
        <v>25467</v>
      </c>
      <c r="G10524" s="58" t="s">
        <v>25440</v>
      </c>
      <c r="H10524" s="198">
        <v>5520</v>
      </c>
      <c r="I10524" s="489" t="s">
        <v>96</v>
      </c>
      <c r="J10524" s="125" t="s">
        <v>25441</v>
      </c>
      <c r="K10524" s="45" t="s">
        <v>25442</v>
      </c>
      <c r="O10524" s="45" t="s">
        <v>150</v>
      </c>
      <c r="P10524" s="45" t="s">
        <v>51</v>
      </c>
      <c r="Q10524" s="821" t="s">
        <v>74</v>
      </c>
      <c r="R10524" s="45" t="s">
        <v>272</v>
      </c>
    </row>
    <row r="10525" spans="2:18" ht="69" customHeight="1">
      <c r="B10525" s="79">
        <f t="shared" si="95"/>
        <v>7635</v>
      </c>
      <c r="C10525" s="48"/>
      <c r="D10525" s="489" t="s">
        <v>96</v>
      </c>
      <c r="E10525" s="58" t="s">
        <v>25438</v>
      </c>
      <c r="F10525" s="677" t="s">
        <v>25467</v>
      </c>
      <c r="G10525" s="58" t="s">
        <v>25440</v>
      </c>
      <c r="H10525" s="198">
        <v>5520</v>
      </c>
      <c r="I10525" s="489" t="s">
        <v>96</v>
      </c>
      <c r="J10525" s="125" t="s">
        <v>25441</v>
      </c>
      <c r="K10525" s="45" t="s">
        <v>25442</v>
      </c>
      <c r="O10525" s="45" t="s">
        <v>150</v>
      </c>
      <c r="P10525" s="45" t="s">
        <v>51</v>
      </c>
      <c r="Q10525" s="821" t="s">
        <v>76</v>
      </c>
      <c r="R10525" s="45" t="s">
        <v>272</v>
      </c>
    </row>
    <row r="10526" spans="2:18" ht="69" customHeight="1">
      <c r="B10526" s="79">
        <f t="shared" si="95"/>
        <v>7636</v>
      </c>
      <c r="C10526" s="48"/>
      <c r="D10526" s="489" t="s">
        <v>96</v>
      </c>
      <c r="E10526" s="58" t="s">
        <v>25438</v>
      </c>
      <c r="F10526" s="677" t="s">
        <v>25467</v>
      </c>
      <c r="G10526" s="58" t="s">
        <v>25440</v>
      </c>
      <c r="H10526" s="198">
        <v>5520</v>
      </c>
      <c r="I10526" s="489" t="s">
        <v>96</v>
      </c>
      <c r="J10526" s="125" t="s">
        <v>25441</v>
      </c>
      <c r="K10526" s="45" t="s">
        <v>25442</v>
      </c>
      <c r="O10526" s="45" t="s">
        <v>150</v>
      </c>
      <c r="P10526" s="45" t="s">
        <v>51</v>
      </c>
      <c r="Q10526" s="821" t="s">
        <v>78</v>
      </c>
      <c r="R10526" s="45" t="s">
        <v>272</v>
      </c>
    </row>
    <row r="10527" spans="2:18" ht="69" customHeight="1">
      <c r="B10527" s="79">
        <f t="shared" si="95"/>
        <v>7637</v>
      </c>
      <c r="C10527" s="48"/>
      <c r="D10527" s="489" t="s">
        <v>96</v>
      </c>
      <c r="E10527" s="58" t="s">
        <v>25438</v>
      </c>
      <c r="F10527" s="677" t="s">
        <v>25467</v>
      </c>
      <c r="G10527" s="58" t="s">
        <v>25440</v>
      </c>
      <c r="H10527" s="198">
        <v>5520</v>
      </c>
      <c r="I10527" s="489" t="s">
        <v>96</v>
      </c>
      <c r="J10527" s="125" t="s">
        <v>25441</v>
      </c>
      <c r="K10527" s="45" t="s">
        <v>25442</v>
      </c>
      <c r="O10527" s="45" t="s">
        <v>150</v>
      </c>
      <c r="P10527" s="45" t="s">
        <v>51</v>
      </c>
      <c r="Q10527" s="821" t="s">
        <v>84</v>
      </c>
      <c r="R10527" s="45" t="s">
        <v>272</v>
      </c>
    </row>
    <row r="10528" spans="2:18" ht="69" customHeight="1">
      <c r="B10528" s="79">
        <f t="shared" si="95"/>
        <v>7638</v>
      </c>
      <c r="C10528" s="48"/>
      <c r="D10528" s="489" t="s">
        <v>96</v>
      </c>
      <c r="E10528" s="58" t="s">
        <v>25438</v>
      </c>
      <c r="F10528" s="677" t="s">
        <v>25467</v>
      </c>
      <c r="G10528" s="58" t="s">
        <v>25440</v>
      </c>
      <c r="H10528" s="198">
        <v>5520</v>
      </c>
      <c r="I10528" s="489" t="s">
        <v>96</v>
      </c>
      <c r="J10528" s="125" t="s">
        <v>25441</v>
      </c>
      <c r="K10528" s="45" t="s">
        <v>25442</v>
      </c>
      <c r="O10528" s="45" t="s">
        <v>150</v>
      </c>
      <c r="P10528" s="45" t="s">
        <v>51</v>
      </c>
      <c r="Q10528" s="821" t="s">
        <v>86</v>
      </c>
      <c r="R10528" s="45" t="s">
        <v>272</v>
      </c>
    </row>
    <row r="10529" spans="2:18" ht="69" customHeight="1">
      <c r="B10529" s="79">
        <f t="shared" si="95"/>
        <v>7639</v>
      </c>
      <c r="C10529" s="48"/>
      <c r="D10529" s="489" t="s">
        <v>96</v>
      </c>
      <c r="E10529" s="58" t="s">
        <v>25438</v>
      </c>
      <c r="F10529" s="677" t="s">
        <v>25467</v>
      </c>
      <c r="G10529" s="58" t="s">
        <v>25440</v>
      </c>
      <c r="H10529" s="198">
        <v>5520</v>
      </c>
      <c r="I10529" s="489" t="s">
        <v>96</v>
      </c>
      <c r="J10529" s="125" t="s">
        <v>25441</v>
      </c>
      <c r="K10529" s="45" t="s">
        <v>25442</v>
      </c>
      <c r="O10529" s="45" t="s">
        <v>150</v>
      </c>
      <c r="P10529" s="45" t="s">
        <v>51</v>
      </c>
      <c r="Q10529" s="821" t="s">
        <v>88</v>
      </c>
      <c r="R10529" s="45" t="s">
        <v>272</v>
      </c>
    </row>
    <row r="10530" spans="2:18" ht="69" customHeight="1">
      <c r="B10530" s="79">
        <f t="shared" si="95"/>
        <v>7640</v>
      </c>
      <c r="C10530" s="48"/>
      <c r="D10530" s="489" t="s">
        <v>96</v>
      </c>
      <c r="E10530" s="58" t="s">
        <v>25438</v>
      </c>
      <c r="F10530" s="677" t="s">
        <v>25467</v>
      </c>
      <c r="G10530" s="58" t="s">
        <v>25440</v>
      </c>
      <c r="H10530" s="198">
        <v>5520</v>
      </c>
      <c r="I10530" s="489" t="s">
        <v>96</v>
      </c>
      <c r="J10530" s="125" t="s">
        <v>25441</v>
      </c>
      <c r="K10530" s="45" t="s">
        <v>25442</v>
      </c>
      <c r="O10530" s="45" t="s">
        <v>150</v>
      </c>
      <c r="P10530" s="45" t="s">
        <v>51</v>
      </c>
      <c r="Q10530" s="821" t="s">
        <v>93</v>
      </c>
      <c r="R10530" s="45" t="s">
        <v>272</v>
      </c>
    </row>
    <row r="10531" spans="2:18" ht="69" customHeight="1">
      <c r="B10531" s="79">
        <f t="shared" si="95"/>
        <v>7641</v>
      </c>
      <c r="C10531" s="48"/>
      <c r="D10531" s="489" t="s">
        <v>96</v>
      </c>
      <c r="E10531" s="58" t="s">
        <v>25438</v>
      </c>
      <c r="F10531" s="677" t="s">
        <v>25467</v>
      </c>
      <c r="G10531" s="58" t="s">
        <v>25440</v>
      </c>
      <c r="H10531" s="198">
        <v>5520</v>
      </c>
      <c r="I10531" s="489" t="s">
        <v>96</v>
      </c>
      <c r="J10531" s="125" t="s">
        <v>25441</v>
      </c>
      <c r="K10531" s="45" t="s">
        <v>25442</v>
      </c>
      <c r="O10531" s="45" t="s">
        <v>150</v>
      </c>
      <c r="P10531" s="45" t="s">
        <v>51</v>
      </c>
      <c r="Q10531" s="821" t="s">
        <v>95</v>
      </c>
      <c r="R10531" s="45" t="s">
        <v>272</v>
      </c>
    </row>
    <row r="10532" spans="2:18" ht="69" customHeight="1">
      <c r="B10532" s="79">
        <f t="shared" si="95"/>
        <v>7642</v>
      </c>
      <c r="C10532" s="48"/>
      <c r="D10532" s="489" t="s">
        <v>96</v>
      </c>
      <c r="E10532" s="58" t="s">
        <v>25438</v>
      </c>
      <c r="F10532" s="677" t="s">
        <v>25467</v>
      </c>
      <c r="G10532" s="58" t="s">
        <v>25440</v>
      </c>
      <c r="H10532" s="198">
        <v>5520</v>
      </c>
      <c r="I10532" s="489" t="s">
        <v>96</v>
      </c>
      <c r="J10532" s="125" t="s">
        <v>25441</v>
      </c>
      <c r="K10532" s="45" t="s">
        <v>25442</v>
      </c>
      <c r="O10532" s="45" t="s">
        <v>150</v>
      </c>
      <c r="P10532" s="45" t="s">
        <v>51</v>
      </c>
      <c r="Q10532" s="821" t="s">
        <v>97</v>
      </c>
      <c r="R10532" s="45" t="s">
        <v>272</v>
      </c>
    </row>
    <row r="10533" spans="2:18" ht="69" customHeight="1">
      <c r="B10533" s="79">
        <f t="shared" si="95"/>
        <v>7643</v>
      </c>
      <c r="C10533" s="48"/>
      <c r="D10533" s="489" t="s">
        <v>96</v>
      </c>
      <c r="E10533" s="58" t="s">
        <v>25438</v>
      </c>
      <c r="F10533" s="677" t="s">
        <v>25467</v>
      </c>
      <c r="G10533" s="58" t="s">
        <v>25440</v>
      </c>
      <c r="H10533" s="198">
        <v>5520</v>
      </c>
      <c r="I10533" s="489" t="s">
        <v>96</v>
      </c>
      <c r="J10533" s="125" t="s">
        <v>25441</v>
      </c>
      <c r="K10533" s="45" t="s">
        <v>25442</v>
      </c>
      <c r="O10533" s="45" t="s">
        <v>150</v>
      </c>
      <c r="P10533" s="45" t="s">
        <v>51</v>
      </c>
      <c r="Q10533" s="821" t="s">
        <v>100</v>
      </c>
      <c r="R10533" s="45" t="s">
        <v>272</v>
      </c>
    </row>
    <row r="10534" spans="2:18" ht="69" customHeight="1">
      <c r="B10534" s="79">
        <f t="shared" si="95"/>
        <v>7644</v>
      </c>
      <c r="C10534" s="48"/>
      <c r="D10534" s="489" t="s">
        <v>96</v>
      </c>
      <c r="E10534" s="58" t="s">
        <v>25438</v>
      </c>
      <c r="F10534" s="677" t="s">
        <v>25467</v>
      </c>
      <c r="G10534" s="58" t="s">
        <v>25440</v>
      </c>
      <c r="H10534" s="198">
        <v>5520</v>
      </c>
      <c r="I10534" s="489" t="s">
        <v>96</v>
      </c>
      <c r="J10534" s="125" t="s">
        <v>25441</v>
      </c>
      <c r="K10534" s="45" t="s">
        <v>25442</v>
      </c>
      <c r="O10534" s="45" t="s">
        <v>150</v>
      </c>
      <c r="P10534" s="45" t="s">
        <v>51</v>
      </c>
      <c r="Q10534" s="821" t="s">
        <v>101</v>
      </c>
      <c r="R10534" s="45" t="s">
        <v>272</v>
      </c>
    </row>
    <row r="10535" spans="2:18" ht="69" customHeight="1">
      <c r="B10535" s="79">
        <f t="shared" si="95"/>
        <v>7645</v>
      </c>
      <c r="C10535" s="48"/>
      <c r="D10535" s="489" t="s">
        <v>96</v>
      </c>
      <c r="E10535" s="58" t="s">
        <v>25438</v>
      </c>
      <c r="F10535" s="677" t="s">
        <v>25467</v>
      </c>
      <c r="G10535" s="58" t="s">
        <v>25440</v>
      </c>
      <c r="H10535" s="198">
        <v>5520</v>
      </c>
      <c r="I10535" s="489" t="s">
        <v>96</v>
      </c>
      <c r="J10535" s="125" t="s">
        <v>25441</v>
      </c>
      <c r="K10535" s="45" t="s">
        <v>25442</v>
      </c>
      <c r="O10535" s="45" t="s">
        <v>150</v>
      </c>
      <c r="P10535" s="45" t="s">
        <v>51</v>
      </c>
      <c r="Q10535" s="821" t="s">
        <v>102</v>
      </c>
      <c r="R10535" s="45" t="s">
        <v>272</v>
      </c>
    </row>
    <row r="10536" spans="2:18" ht="69" customHeight="1">
      <c r="B10536" s="79">
        <f t="shared" si="95"/>
        <v>7646</v>
      </c>
      <c r="C10536" s="48"/>
      <c r="D10536" s="489" t="s">
        <v>96</v>
      </c>
      <c r="E10536" s="58" t="s">
        <v>25438</v>
      </c>
      <c r="F10536" s="677" t="s">
        <v>25467</v>
      </c>
      <c r="G10536" s="58" t="s">
        <v>25440</v>
      </c>
      <c r="H10536" s="198">
        <v>5520</v>
      </c>
      <c r="I10536" s="489" t="s">
        <v>96</v>
      </c>
      <c r="J10536" s="125" t="s">
        <v>25441</v>
      </c>
      <c r="K10536" s="45" t="s">
        <v>25442</v>
      </c>
      <c r="O10536" s="45" t="s">
        <v>150</v>
      </c>
      <c r="P10536" s="45" t="s">
        <v>51</v>
      </c>
      <c r="Q10536" s="821" t="s">
        <v>103</v>
      </c>
      <c r="R10536" s="45" t="s">
        <v>272</v>
      </c>
    </row>
    <row r="10537" spans="2:18" ht="69" customHeight="1">
      <c r="B10537" s="79">
        <f t="shared" si="95"/>
        <v>7647</v>
      </c>
      <c r="C10537" s="48"/>
      <c r="D10537" s="489" t="s">
        <v>96</v>
      </c>
      <c r="E10537" s="58" t="s">
        <v>25438</v>
      </c>
      <c r="F10537" s="677" t="s">
        <v>25467</v>
      </c>
      <c r="G10537" s="58" t="s">
        <v>25440</v>
      </c>
      <c r="H10537" s="198">
        <v>5520</v>
      </c>
      <c r="I10537" s="489" t="s">
        <v>96</v>
      </c>
      <c r="J10537" s="125" t="s">
        <v>25441</v>
      </c>
      <c r="K10537" s="45" t="s">
        <v>25442</v>
      </c>
      <c r="O10537" s="45" t="s">
        <v>150</v>
      </c>
      <c r="P10537" s="45" t="s">
        <v>51</v>
      </c>
      <c r="Q10537" s="821" t="s">
        <v>104</v>
      </c>
      <c r="R10537" s="45" t="s">
        <v>272</v>
      </c>
    </row>
    <row r="10538" spans="2:18" ht="69" customHeight="1">
      <c r="B10538" s="79">
        <f t="shared" si="95"/>
        <v>7648</v>
      </c>
      <c r="C10538" s="48"/>
      <c r="D10538" s="489" t="s">
        <v>96</v>
      </c>
      <c r="E10538" s="58" t="s">
        <v>25438</v>
      </c>
      <c r="F10538" s="677" t="s">
        <v>25467</v>
      </c>
      <c r="G10538" s="58" t="s">
        <v>25440</v>
      </c>
      <c r="H10538" s="198">
        <v>5520</v>
      </c>
      <c r="I10538" s="489" t="s">
        <v>96</v>
      </c>
      <c r="J10538" s="125" t="s">
        <v>25441</v>
      </c>
      <c r="K10538" s="45" t="s">
        <v>25442</v>
      </c>
      <c r="O10538" s="45" t="s">
        <v>150</v>
      </c>
      <c r="P10538" s="45" t="s">
        <v>51</v>
      </c>
      <c r="Q10538" s="821" t="s">
        <v>105</v>
      </c>
      <c r="R10538" s="45" t="s">
        <v>272</v>
      </c>
    </row>
    <row r="10539" spans="2:18" ht="69" customHeight="1">
      <c r="B10539" s="79">
        <f t="shared" si="95"/>
        <v>7649</v>
      </c>
      <c r="C10539" s="59" t="s">
        <v>657</v>
      </c>
      <c r="D10539" s="489" t="s">
        <v>96</v>
      </c>
      <c r="E10539" s="58" t="s">
        <v>25438</v>
      </c>
      <c r="F10539" s="677" t="s">
        <v>25467</v>
      </c>
      <c r="G10539" s="58" t="s">
        <v>25440</v>
      </c>
      <c r="H10539" s="198">
        <v>5520</v>
      </c>
      <c r="I10539" s="489" t="s">
        <v>96</v>
      </c>
      <c r="J10539" s="125" t="s">
        <v>25441</v>
      </c>
      <c r="K10539" s="45" t="s">
        <v>25442</v>
      </c>
      <c r="O10539" s="45" t="s">
        <v>150</v>
      </c>
      <c r="P10539" s="45" t="s">
        <v>51</v>
      </c>
      <c r="Q10539" s="821" t="s">
        <v>106</v>
      </c>
      <c r="R10539" s="45" t="s">
        <v>272</v>
      </c>
    </row>
    <row r="10540" spans="2:18" ht="69" customHeight="1">
      <c r="B10540" s="79">
        <f t="shared" si="95"/>
        <v>7650</v>
      </c>
      <c r="C10540" s="48"/>
      <c r="D10540" s="489" t="s">
        <v>96</v>
      </c>
      <c r="E10540" s="58" t="s">
        <v>25438</v>
      </c>
      <c r="F10540" s="677" t="s">
        <v>25467</v>
      </c>
      <c r="G10540" s="58" t="s">
        <v>25440</v>
      </c>
      <c r="H10540" s="198">
        <v>5520</v>
      </c>
      <c r="I10540" s="489" t="s">
        <v>96</v>
      </c>
      <c r="J10540" s="125" t="s">
        <v>25441</v>
      </c>
      <c r="K10540" s="45" t="s">
        <v>25442</v>
      </c>
      <c r="O10540" s="45" t="s">
        <v>150</v>
      </c>
      <c r="P10540" s="45" t="s">
        <v>51</v>
      </c>
      <c r="Q10540" s="821" t="s">
        <v>107</v>
      </c>
      <c r="R10540" s="45" t="s">
        <v>272</v>
      </c>
    </row>
    <row r="10541" spans="2:18" ht="69" customHeight="1">
      <c r="B10541" s="79">
        <f t="shared" si="95"/>
        <v>7651</v>
      </c>
      <c r="C10541" s="48"/>
      <c r="D10541" s="489" t="s">
        <v>96</v>
      </c>
      <c r="E10541" s="58" t="s">
        <v>25438</v>
      </c>
      <c r="F10541" s="677" t="s">
        <v>25467</v>
      </c>
      <c r="G10541" s="58" t="s">
        <v>25440</v>
      </c>
      <c r="H10541" s="198">
        <v>5520</v>
      </c>
      <c r="I10541" s="489" t="s">
        <v>96</v>
      </c>
      <c r="J10541" s="125" t="s">
        <v>25441</v>
      </c>
      <c r="K10541" s="45" t="s">
        <v>25442</v>
      </c>
      <c r="O10541" s="45" t="s">
        <v>150</v>
      </c>
      <c r="P10541" s="45" t="s">
        <v>51</v>
      </c>
      <c r="Q10541" s="821" t="s">
        <v>108</v>
      </c>
      <c r="R10541" s="45" t="s">
        <v>272</v>
      </c>
    </row>
    <row r="10542" spans="2:18" ht="69" customHeight="1">
      <c r="B10542" s="79">
        <f t="shared" si="95"/>
        <v>7652</v>
      </c>
      <c r="C10542" s="59" t="s">
        <v>8703</v>
      </c>
      <c r="D10542" s="489" t="s">
        <v>96</v>
      </c>
      <c r="E10542" s="58" t="s">
        <v>25438</v>
      </c>
      <c r="F10542" s="677" t="s">
        <v>25467</v>
      </c>
      <c r="G10542" s="58" t="s">
        <v>25440</v>
      </c>
      <c r="H10542" s="198">
        <v>5520</v>
      </c>
      <c r="I10542" s="489" t="s">
        <v>96</v>
      </c>
      <c r="J10542" s="125" t="s">
        <v>25441</v>
      </c>
      <c r="K10542" s="45" t="s">
        <v>25442</v>
      </c>
      <c r="O10542" s="45" t="s">
        <v>150</v>
      </c>
      <c r="P10542" s="45" t="s">
        <v>51</v>
      </c>
      <c r="Q10542" s="821" t="s">
        <v>109</v>
      </c>
      <c r="R10542" s="45" t="s">
        <v>272</v>
      </c>
    </row>
    <row r="10543" spans="2:18" ht="69" customHeight="1">
      <c r="B10543" s="79">
        <f t="shared" si="95"/>
        <v>7653</v>
      </c>
      <c r="C10543" s="48"/>
      <c r="D10543" s="489" t="s">
        <v>96</v>
      </c>
      <c r="E10543" s="58" t="s">
        <v>25438</v>
      </c>
      <c r="F10543" s="677" t="s">
        <v>25467</v>
      </c>
      <c r="G10543" s="58" t="s">
        <v>25440</v>
      </c>
      <c r="H10543" s="198">
        <v>5520</v>
      </c>
      <c r="I10543" s="489" t="s">
        <v>96</v>
      </c>
      <c r="J10543" s="125" t="s">
        <v>25441</v>
      </c>
      <c r="K10543" s="45" t="s">
        <v>25442</v>
      </c>
      <c r="O10543" s="45" t="s">
        <v>150</v>
      </c>
      <c r="P10543" s="45" t="s">
        <v>51</v>
      </c>
      <c r="Q10543" s="821" t="s">
        <v>110</v>
      </c>
      <c r="R10543" s="45" t="s">
        <v>272</v>
      </c>
    </row>
    <row r="10544" spans="2:18" ht="69" customHeight="1">
      <c r="B10544" s="79">
        <f t="shared" si="95"/>
        <v>7654</v>
      </c>
      <c r="C10544" s="48"/>
      <c r="D10544" s="489" t="s">
        <v>96</v>
      </c>
      <c r="E10544" s="58" t="s">
        <v>25438</v>
      </c>
      <c r="F10544" s="677" t="s">
        <v>25467</v>
      </c>
      <c r="G10544" s="58" t="s">
        <v>25440</v>
      </c>
      <c r="H10544" s="198">
        <v>5520</v>
      </c>
      <c r="I10544" s="489" t="s">
        <v>96</v>
      </c>
      <c r="J10544" s="125" t="s">
        <v>25441</v>
      </c>
      <c r="K10544" s="45" t="s">
        <v>25442</v>
      </c>
      <c r="O10544" s="45" t="s">
        <v>150</v>
      </c>
      <c r="P10544" s="45" t="s">
        <v>51</v>
      </c>
      <c r="Q10544" s="821" t="s">
        <v>111</v>
      </c>
      <c r="R10544" s="45" t="s">
        <v>272</v>
      </c>
    </row>
    <row r="10545" spans="2:18" ht="69" customHeight="1">
      <c r="B10545" s="79">
        <f t="shared" si="95"/>
        <v>7655</v>
      </c>
      <c r="C10545" s="48"/>
      <c r="D10545" s="489" t="s">
        <v>96</v>
      </c>
      <c r="E10545" s="58" t="s">
        <v>25438</v>
      </c>
      <c r="F10545" s="677" t="s">
        <v>25467</v>
      </c>
      <c r="G10545" s="58" t="s">
        <v>25440</v>
      </c>
      <c r="H10545" s="198">
        <v>5520</v>
      </c>
      <c r="I10545" s="489" t="s">
        <v>96</v>
      </c>
      <c r="J10545" s="125" t="s">
        <v>25441</v>
      </c>
      <c r="K10545" s="45" t="s">
        <v>25442</v>
      </c>
      <c r="O10545" s="45" t="s">
        <v>150</v>
      </c>
      <c r="P10545" s="45" t="s">
        <v>51</v>
      </c>
      <c r="Q10545" s="821" t="s">
        <v>112</v>
      </c>
      <c r="R10545" s="45" t="s">
        <v>272</v>
      </c>
    </row>
    <row r="10546" spans="2:18" ht="69" customHeight="1">
      <c r="B10546" s="79">
        <f t="shared" si="95"/>
        <v>7656</v>
      </c>
      <c r="C10546" s="48"/>
      <c r="D10546" s="489" t="s">
        <v>96</v>
      </c>
      <c r="E10546" s="58" t="s">
        <v>25438</v>
      </c>
      <c r="F10546" s="677" t="s">
        <v>25467</v>
      </c>
      <c r="G10546" s="58" t="s">
        <v>25440</v>
      </c>
      <c r="H10546" s="198">
        <v>5520</v>
      </c>
      <c r="I10546" s="489" t="s">
        <v>96</v>
      </c>
      <c r="J10546" s="125" t="s">
        <v>25441</v>
      </c>
      <c r="K10546" s="45" t="s">
        <v>25442</v>
      </c>
      <c r="O10546" s="45" t="s">
        <v>150</v>
      </c>
      <c r="P10546" s="45" t="s">
        <v>51</v>
      </c>
      <c r="Q10546" s="821" t="s">
        <v>113</v>
      </c>
      <c r="R10546" s="45" t="s">
        <v>272</v>
      </c>
    </row>
    <row r="10547" spans="2:18" ht="69" customHeight="1">
      <c r="B10547" s="79">
        <f t="shared" si="95"/>
        <v>7657</v>
      </c>
      <c r="C10547" s="48"/>
      <c r="D10547" s="489" t="s">
        <v>96</v>
      </c>
      <c r="E10547" s="58" t="s">
        <v>25438</v>
      </c>
      <c r="F10547" s="677" t="s">
        <v>25467</v>
      </c>
      <c r="G10547" s="58" t="s">
        <v>25440</v>
      </c>
      <c r="H10547" s="198">
        <v>5520</v>
      </c>
      <c r="I10547" s="489" t="s">
        <v>96</v>
      </c>
      <c r="J10547" s="125" t="s">
        <v>25441</v>
      </c>
      <c r="K10547" s="45" t="s">
        <v>25442</v>
      </c>
      <c r="O10547" s="45" t="s">
        <v>150</v>
      </c>
      <c r="P10547" s="45" t="s">
        <v>51</v>
      </c>
      <c r="Q10547" s="821" t="s">
        <v>114</v>
      </c>
      <c r="R10547" s="45" t="s">
        <v>272</v>
      </c>
    </row>
    <row r="10548" spans="2:18" ht="69" customHeight="1">
      <c r="B10548" s="79">
        <f t="shared" si="95"/>
        <v>7658</v>
      </c>
      <c r="C10548" s="48"/>
      <c r="D10548" s="489" t="s">
        <v>96</v>
      </c>
      <c r="E10548" s="58" t="s">
        <v>25438</v>
      </c>
      <c r="F10548" s="677" t="s">
        <v>25467</v>
      </c>
      <c r="G10548" s="58" t="s">
        <v>25440</v>
      </c>
      <c r="H10548" s="198">
        <v>5520</v>
      </c>
      <c r="I10548" s="489" t="s">
        <v>96</v>
      </c>
      <c r="J10548" s="125" t="s">
        <v>25441</v>
      </c>
      <c r="K10548" s="45" t="s">
        <v>25442</v>
      </c>
      <c r="O10548" s="45" t="s">
        <v>150</v>
      </c>
      <c r="P10548" s="45" t="s">
        <v>51</v>
      </c>
      <c r="Q10548" s="821" t="s">
        <v>116</v>
      </c>
      <c r="R10548" s="45" t="s">
        <v>272</v>
      </c>
    </row>
    <row r="10549" spans="2:18" ht="69" customHeight="1">
      <c r="B10549" s="79">
        <f t="shared" si="95"/>
        <v>7659</v>
      </c>
      <c r="C10549" s="48"/>
      <c r="D10549" s="489" t="s">
        <v>96</v>
      </c>
      <c r="E10549" s="58" t="s">
        <v>25438</v>
      </c>
      <c r="F10549" s="677" t="s">
        <v>25467</v>
      </c>
      <c r="G10549" s="58" t="s">
        <v>25440</v>
      </c>
      <c r="H10549" s="198">
        <v>5520</v>
      </c>
      <c r="I10549" s="489" t="s">
        <v>96</v>
      </c>
      <c r="J10549" s="125" t="s">
        <v>25441</v>
      </c>
      <c r="K10549" s="45" t="s">
        <v>25442</v>
      </c>
      <c r="O10549" s="45" t="s">
        <v>150</v>
      </c>
      <c r="P10549" s="45" t="s">
        <v>51</v>
      </c>
      <c r="Q10549" s="821" t="s">
        <v>117</v>
      </c>
      <c r="R10549" s="45" t="s">
        <v>272</v>
      </c>
    </row>
    <row r="10550" spans="2:18" ht="69" customHeight="1">
      <c r="B10550" s="79">
        <f t="shared" si="95"/>
        <v>7660</v>
      </c>
      <c r="C10550" s="48"/>
      <c r="D10550" s="489" t="s">
        <v>96</v>
      </c>
      <c r="E10550" s="58" t="s">
        <v>25438</v>
      </c>
      <c r="F10550" s="677" t="s">
        <v>25467</v>
      </c>
      <c r="G10550" s="58" t="s">
        <v>25440</v>
      </c>
      <c r="H10550" s="198">
        <v>5520</v>
      </c>
      <c r="I10550" s="489" t="s">
        <v>96</v>
      </c>
      <c r="J10550" s="125" t="s">
        <v>25441</v>
      </c>
      <c r="K10550" s="45" t="s">
        <v>25442</v>
      </c>
      <c r="O10550" s="45" t="s">
        <v>150</v>
      </c>
      <c r="P10550" s="45" t="s">
        <v>51</v>
      </c>
      <c r="Q10550" s="821" t="s">
        <v>118</v>
      </c>
      <c r="R10550" s="45" t="s">
        <v>272</v>
      </c>
    </row>
    <row r="10551" spans="2:18" ht="69" customHeight="1">
      <c r="B10551" s="79">
        <f t="shared" si="95"/>
        <v>7661</v>
      </c>
      <c r="C10551" s="48"/>
      <c r="D10551" s="489" t="s">
        <v>96</v>
      </c>
      <c r="E10551" s="58" t="s">
        <v>25438</v>
      </c>
      <c r="F10551" s="677" t="s">
        <v>25467</v>
      </c>
      <c r="G10551" s="58" t="s">
        <v>25440</v>
      </c>
      <c r="H10551" s="198">
        <v>5520</v>
      </c>
      <c r="I10551" s="489" t="s">
        <v>96</v>
      </c>
      <c r="J10551" s="125" t="s">
        <v>25441</v>
      </c>
      <c r="K10551" s="45" t="s">
        <v>25442</v>
      </c>
      <c r="O10551" s="45" t="s">
        <v>150</v>
      </c>
      <c r="P10551" s="45" t="s">
        <v>51</v>
      </c>
      <c r="Q10551" s="821" t="s">
        <v>119</v>
      </c>
      <c r="R10551" s="45" t="s">
        <v>272</v>
      </c>
    </row>
    <row r="10552" spans="2:18" ht="69" customHeight="1">
      <c r="B10552" s="79">
        <f t="shared" si="95"/>
        <v>7662</v>
      </c>
      <c r="C10552" s="48"/>
      <c r="D10552" s="489" t="s">
        <v>96</v>
      </c>
      <c r="E10552" s="58" t="s">
        <v>25438</v>
      </c>
      <c r="F10552" s="677" t="s">
        <v>25467</v>
      </c>
      <c r="G10552" s="58" t="s">
        <v>25440</v>
      </c>
      <c r="H10552" s="198">
        <v>5520</v>
      </c>
      <c r="I10552" s="489" t="s">
        <v>96</v>
      </c>
      <c r="J10552" s="125" t="s">
        <v>25441</v>
      </c>
      <c r="K10552" s="45" t="s">
        <v>25442</v>
      </c>
      <c r="O10552" s="45" t="s">
        <v>150</v>
      </c>
      <c r="P10552" s="45" t="s">
        <v>51</v>
      </c>
      <c r="Q10552" s="821" t="s">
        <v>120</v>
      </c>
      <c r="R10552" s="45" t="s">
        <v>272</v>
      </c>
    </row>
    <row r="10553" spans="2:18" ht="69" customHeight="1">
      <c r="B10553" s="79">
        <f t="shared" si="95"/>
        <v>7663</v>
      </c>
      <c r="C10553" s="48"/>
      <c r="D10553" s="489" t="s">
        <v>96</v>
      </c>
      <c r="E10553" s="58" t="s">
        <v>25438</v>
      </c>
      <c r="F10553" s="677" t="s">
        <v>25467</v>
      </c>
      <c r="G10553" s="58" t="s">
        <v>25440</v>
      </c>
      <c r="H10553" s="198">
        <v>5520</v>
      </c>
      <c r="I10553" s="489" t="s">
        <v>96</v>
      </c>
      <c r="J10553" s="125" t="s">
        <v>25441</v>
      </c>
      <c r="K10553" s="45" t="s">
        <v>25442</v>
      </c>
      <c r="O10553" s="45" t="s">
        <v>150</v>
      </c>
      <c r="P10553" s="45" t="s">
        <v>51</v>
      </c>
      <c r="Q10553" s="821" t="s">
        <v>121</v>
      </c>
      <c r="R10553" s="45" t="s">
        <v>272</v>
      </c>
    </row>
    <row r="10554" spans="2:18" ht="69" customHeight="1">
      <c r="B10554" s="79">
        <f t="shared" si="95"/>
        <v>7664</v>
      </c>
      <c r="C10554" s="48"/>
      <c r="D10554" s="489" t="s">
        <v>96</v>
      </c>
      <c r="E10554" s="58" t="s">
        <v>25438</v>
      </c>
      <c r="F10554" s="677" t="s">
        <v>25467</v>
      </c>
      <c r="G10554" s="58" t="s">
        <v>25440</v>
      </c>
      <c r="H10554" s="198">
        <v>5520</v>
      </c>
      <c r="I10554" s="489" t="s">
        <v>96</v>
      </c>
      <c r="J10554" s="125" t="s">
        <v>25441</v>
      </c>
      <c r="K10554" s="45" t="s">
        <v>25442</v>
      </c>
      <c r="O10554" s="45" t="s">
        <v>150</v>
      </c>
      <c r="P10554" s="45" t="s">
        <v>51</v>
      </c>
      <c r="Q10554" s="821" t="s">
        <v>122</v>
      </c>
      <c r="R10554" s="45" t="s">
        <v>272</v>
      </c>
    </row>
    <row r="10555" spans="2:18" ht="69" customHeight="1">
      <c r="B10555" s="79">
        <f t="shared" si="95"/>
        <v>7665</v>
      </c>
      <c r="C10555" s="48"/>
      <c r="D10555" s="489" t="s">
        <v>96</v>
      </c>
      <c r="E10555" s="58" t="s">
        <v>25438</v>
      </c>
      <c r="F10555" s="677" t="s">
        <v>25467</v>
      </c>
      <c r="G10555" s="58" t="s">
        <v>25440</v>
      </c>
      <c r="H10555" s="198">
        <v>5520</v>
      </c>
      <c r="I10555" s="489" t="s">
        <v>96</v>
      </c>
      <c r="J10555" s="125" t="s">
        <v>25441</v>
      </c>
      <c r="K10555" s="45" t="s">
        <v>25442</v>
      </c>
      <c r="O10555" s="45" t="s">
        <v>150</v>
      </c>
      <c r="P10555" s="45" t="s">
        <v>51</v>
      </c>
      <c r="Q10555" s="821" t="s">
        <v>123</v>
      </c>
      <c r="R10555" s="45" t="s">
        <v>272</v>
      </c>
    </row>
    <row r="10556" spans="2:18" ht="69" customHeight="1">
      <c r="B10556" s="79">
        <f t="shared" si="95"/>
        <v>7666</v>
      </c>
      <c r="C10556" s="48"/>
      <c r="D10556" s="489" t="s">
        <v>96</v>
      </c>
      <c r="E10556" s="58" t="s">
        <v>25438</v>
      </c>
      <c r="F10556" s="677" t="s">
        <v>25467</v>
      </c>
      <c r="G10556" s="58" t="s">
        <v>25468</v>
      </c>
      <c r="H10556" s="198">
        <v>875</v>
      </c>
      <c r="I10556" s="489" t="s">
        <v>96</v>
      </c>
      <c r="J10556" s="125" t="s">
        <v>25441</v>
      </c>
      <c r="K10556" s="45" t="s">
        <v>25442</v>
      </c>
      <c r="O10556" s="45" t="s">
        <v>150</v>
      </c>
      <c r="P10556" s="45" t="s">
        <v>51</v>
      </c>
      <c r="Q10556" s="821" t="s">
        <v>20</v>
      </c>
      <c r="R10556" s="45" t="s">
        <v>272</v>
      </c>
    </row>
    <row r="10557" spans="2:18" ht="69" customHeight="1">
      <c r="B10557" s="79">
        <f t="shared" si="95"/>
        <v>7667</v>
      </c>
      <c r="C10557" s="48"/>
      <c r="D10557" s="489" t="s">
        <v>96</v>
      </c>
      <c r="E10557" s="58" t="s">
        <v>25438</v>
      </c>
      <c r="F10557" s="677" t="s">
        <v>25467</v>
      </c>
      <c r="G10557" s="58" t="s">
        <v>25468</v>
      </c>
      <c r="H10557" s="198">
        <v>875</v>
      </c>
      <c r="I10557" s="489" t="s">
        <v>96</v>
      </c>
      <c r="J10557" s="125" t="s">
        <v>25441</v>
      </c>
      <c r="K10557" s="45" t="s">
        <v>25442</v>
      </c>
      <c r="O10557" s="45" t="s">
        <v>150</v>
      </c>
      <c r="P10557" s="45" t="s">
        <v>51</v>
      </c>
      <c r="Q10557" s="821" t="s">
        <v>27</v>
      </c>
      <c r="R10557" s="45" t="s">
        <v>272</v>
      </c>
    </row>
    <row r="10558" spans="2:18" ht="69" customHeight="1">
      <c r="B10558" s="79">
        <f t="shared" si="95"/>
        <v>7668</v>
      </c>
      <c r="C10558" s="48"/>
      <c r="D10558" s="489" t="s">
        <v>96</v>
      </c>
      <c r="E10558" s="58" t="s">
        <v>25438</v>
      </c>
      <c r="F10558" s="677" t="s">
        <v>25467</v>
      </c>
      <c r="G10558" s="58" t="s">
        <v>25468</v>
      </c>
      <c r="H10558" s="198">
        <v>875</v>
      </c>
      <c r="I10558" s="489" t="s">
        <v>96</v>
      </c>
      <c r="J10558" s="125" t="s">
        <v>25441</v>
      </c>
      <c r="K10558" s="45" t="s">
        <v>25442</v>
      </c>
      <c r="O10558" s="45" t="s">
        <v>150</v>
      </c>
      <c r="P10558" s="45" t="s">
        <v>51</v>
      </c>
      <c r="Q10558" s="821" t="s">
        <v>25</v>
      </c>
      <c r="R10558" s="45" t="s">
        <v>272</v>
      </c>
    </row>
    <row r="10559" spans="2:18" ht="69" customHeight="1">
      <c r="B10559" s="79">
        <f t="shared" si="95"/>
        <v>7669</v>
      </c>
      <c r="C10559" s="48"/>
      <c r="D10559" s="489" t="s">
        <v>96</v>
      </c>
      <c r="E10559" s="58" t="s">
        <v>25438</v>
      </c>
      <c r="F10559" s="677" t="s">
        <v>25467</v>
      </c>
      <c r="G10559" s="58" t="s">
        <v>25468</v>
      </c>
      <c r="H10559" s="198">
        <v>875</v>
      </c>
      <c r="I10559" s="489" t="s">
        <v>96</v>
      </c>
      <c r="J10559" s="125" t="s">
        <v>25441</v>
      </c>
      <c r="K10559" s="45" t="s">
        <v>25442</v>
      </c>
      <c r="O10559" s="45" t="s">
        <v>150</v>
      </c>
      <c r="P10559" s="45" t="s">
        <v>51</v>
      </c>
      <c r="Q10559" s="821" t="s">
        <v>43</v>
      </c>
      <c r="R10559" s="45" t="s">
        <v>272</v>
      </c>
    </row>
    <row r="10560" spans="2:18" ht="69" customHeight="1">
      <c r="B10560" s="79">
        <f t="shared" si="95"/>
        <v>7670</v>
      </c>
      <c r="C10560" s="655" t="s">
        <v>4411</v>
      </c>
      <c r="D10560" s="489" t="s">
        <v>96</v>
      </c>
      <c r="E10560" s="58" t="s">
        <v>25438</v>
      </c>
      <c r="F10560" s="677" t="s">
        <v>25467</v>
      </c>
      <c r="G10560" s="58" t="s">
        <v>25468</v>
      </c>
      <c r="H10560" s="198">
        <v>875</v>
      </c>
      <c r="I10560" s="489" t="s">
        <v>96</v>
      </c>
      <c r="J10560" s="125" t="s">
        <v>25441</v>
      </c>
      <c r="K10560" s="45" t="s">
        <v>25442</v>
      </c>
      <c r="O10560" s="45" t="s">
        <v>150</v>
      </c>
      <c r="P10560" s="45" t="s">
        <v>51</v>
      </c>
      <c r="Q10560" s="821" t="s">
        <v>54</v>
      </c>
      <c r="R10560" s="45" t="s">
        <v>272</v>
      </c>
    </row>
    <row r="10561" spans="2:18" ht="69" customHeight="1">
      <c r="B10561" s="79">
        <f t="shared" si="95"/>
        <v>7671</v>
      </c>
      <c r="C10561" s="178" t="s">
        <v>4277</v>
      </c>
      <c r="D10561" s="489" t="s">
        <v>96</v>
      </c>
      <c r="E10561" s="58" t="s">
        <v>25438</v>
      </c>
      <c r="F10561" s="677" t="s">
        <v>25467</v>
      </c>
      <c r="G10561" s="58" t="s">
        <v>25468</v>
      </c>
      <c r="H10561" s="198">
        <v>875</v>
      </c>
      <c r="I10561" s="489" t="s">
        <v>96</v>
      </c>
      <c r="J10561" s="125" t="s">
        <v>25441</v>
      </c>
      <c r="K10561" s="45" t="s">
        <v>25442</v>
      </c>
      <c r="O10561" s="45" t="s">
        <v>150</v>
      </c>
      <c r="P10561" s="45" t="s">
        <v>51</v>
      </c>
      <c r="Q10561" s="821" t="s">
        <v>56</v>
      </c>
      <c r="R10561" s="45" t="s">
        <v>272</v>
      </c>
    </row>
    <row r="10562" spans="2:18" ht="69" customHeight="1">
      <c r="B10562" s="79">
        <f t="shared" si="95"/>
        <v>7672</v>
      </c>
      <c r="C10562" s="178" t="s">
        <v>4728</v>
      </c>
      <c r="D10562" s="489" t="s">
        <v>96</v>
      </c>
      <c r="E10562" s="58" t="s">
        <v>25438</v>
      </c>
      <c r="F10562" s="677" t="s">
        <v>25467</v>
      </c>
      <c r="G10562" s="58" t="s">
        <v>25468</v>
      </c>
      <c r="H10562" s="198">
        <v>875</v>
      </c>
      <c r="I10562" s="489" t="s">
        <v>96</v>
      </c>
      <c r="J10562" s="125" t="s">
        <v>25441</v>
      </c>
      <c r="K10562" s="45" t="s">
        <v>25442</v>
      </c>
      <c r="O10562" s="45" t="s">
        <v>150</v>
      </c>
      <c r="P10562" s="45" t="s">
        <v>51</v>
      </c>
      <c r="Q10562" s="821" t="s">
        <v>58</v>
      </c>
      <c r="R10562" s="45" t="s">
        <v>272</v>
      </c>
    </row>
    <row r="10563" spans="2:18" ht="69" customHeight="1">
      <c r="B10563" s="79">
        <f t="shared" si="95"/>
        <v>7673</v>
      </c>
      <c r="C10563" s="48"/>
      <c r="D10563" s="489" t="s">
        <v>96</v>
      </c>
      <c r="E10563" s="58" t="s">
        <v>25438</v>
      </c>
      <c r="F10563" s="677" t="s">
        <v>25467</v>
      </c>
      <c r="G10563" s="58" t="s">
        <v>25468</v>
      </c>
      <c r="H10563" s="198">
        <v>875</v>
      </c>
      <c r="I10563" s="489" t="s">
        <v>96</v>
      </c>
      <c r="J10563" s="125" t="s">
        <v>25441</v>
      </c>
      <c r="K10563" s="45" t="s">
        <v>25442</v>
      </c>
      <c r="O10563" s="45" t="s">
        <v>150</v>
      </c>
      <c r="P10563" s="45" t="s">
        <v>51</v>
      </c>
      <c r="Q10563" s="821" t="s">
        <v>101</v>
      </c>
      <c r="R10563" s="45" t="s">
        <v>272</v>
      </c>
    </row>
    <row r="10564" spans="2:18" ht="69" customHeight="1">
      <c r="B10564" s="79">
        <f t="shared" si="95"/>
        <v>7674</v>
      </c>
      <c r="C10564" s="48"/>
      <c r="D10564" s="489" t="s">
        <v>96</v>
      </c>
      <c r="E10564" s="58" t="s">
        <v>25438</v>
      </c>
      <c r="F10564" s="677" t="s">
        <v>25467</v>
      </c>
      <c r="G10564" s="58" t="s">
        <v>25468</v>
      </c>
      <c r="H10564" s="198">
        <v>875</v>
      </c>
      <c r="I10564" s="489" t="s">
        <v>96</v>
      </c>
      <c r="J10564" s="125" t="s">
        <v>25441</v>
      </c>
      <c r="K10564" s="45" t="s">
        <v>25442</v>
      </c>
      <c r="O10564" s="45" t="s">
        <v>150</v>
      </c>
      <c r="P10564" s="45" t="s">
        <v>51</v>
      </c>
      <c r="Q10564" s="821" t="s">
        <v>102</v>
      </c>
      <c r="R10564" s="45" t="s">
        <v>272</v>
      </c>
    </row>
    <row r="10565" spans="2:18" ht="69" customHeight="1">
      <c r="B10565" s="79">
        <f t="shared" ref="B10565:B10629" si="96">B10564+1</f>
        <v>7675</v>
      </c>
      <c r="C10565" s="48"/>
      <c r="D10565" s="489" t="s">
        <v>96</v>
      </c>
      <c r="E10565" s="58" t="s">
        <v>25438</v>
      </c>
      <c r="F10565" s="677" t="s">
        <v>25467</v>
      </c>
      <c r="G10565" s="58" t="s">
        <v>25468</v>
      </c>
      <c r="H10565" s="198">
        <v>875</v>
      </c>
      <c r="I10565" s="489" t="s">
        <v>96</v>
      </c>
      <c r="J10565" s="125" t="s">
        <v>25441</v>
      </c>
      <c r="K10565" s="45" t="s">
        <v>25442</v>
      </c>
      <c r="O10565" s="45" t="s">
        <v>150</v>
      </c>
      <c r="P10565" s="45" t="s">
        <v>51</v>
      </c>
      <c r="Q10565" s="821" t="s">
        <v>105</v>
      </c>
      <c r="R10565" s="45" t="s">
        <v>272</v>
      </c>
    </row>
    <row r="10566" spans="2:18" ht="69" customHeight="1">
      <c r="B10566" s="79">
        <f t="shared" si="96"/>
        <v>7676</v>
      </c>
      <c r="C10566" s="59" t="s">
        <v>657</v>
      </c>
      <c r="D10566" s="489" t="s">
        <v>96</v>
      </c>
      <c r="E10566" s="58" t="s">
        <v>25438</v>
      </c>
      <c r="F10566" s="677" t="s">
        <v>25467</v>
      </c>
      <c r="G10566" s="58" t="s">
        <v>25468</v>
      </c>
      <c r="H10566" s="198">
        <v>875</v>
      </c>
      <c r="I10566" s="489" t="s">
        <v>96</v>
      </c>
      <c r="J10566" s="125" t="s">
        <v>25441</v>
      </c>
      <c r="K10566" s="45" t="s">
        <v>25442</v>
      </c>
      <c r="O10566" s="45" t="s">
        <v>150</v>
      </c>
      <c r="P10566" s="45" t="s">
        <v>51</v>
      </c>
      <c r="Q10566" s="821" t="s">
        <v>106</v>
      </c>
      <c r="R10566" s="45" t="s">
        <v>272</v>
      </c>
    </row>
    <row r="10567" spans="2:18" ht="69" customHeight="1">
      <c r="B10567" s="79">
        <f t="shared" si="96"/>
        <v>7677</v>
      </c>
      <c r="C10567" s="48"/>
      <c r="D10567" s="489" t="s">
        <v>96</v>
      </c>
      <c r="E10567" s="58" t="s">
        <v>25438</v>
      </c>
      <c r="F10567" s="677" t="s">
        <v>25467</v>
      </c>
      <c r="G10567" s="58" t="s">
        <v>25468</v>
      </c>
      <c r="H10567" s="198">
        <v>875</v>
      </c>
      <c r="I10567" s="489" t="s">
        <v>96</v>
      </c>
      <c r="J10567" s="125" t="s">
        <v>25441</v>
      </c>
      <c r="K10567" s="45" t="s">
        <v>25442</v>
      </c>
      <c r="O10567" s="45" t="s">
        <v>150</v>
      </c>
      <c r="P10567" s="45" t="s">
        <v>51</v>
      </c>
      <c r="Q10567" s="821" t="s">
        <v>108</v>
      </c>
      <c r="R10567" s="45" t="s">
        <v>272</v>
      </c>
    </row>
    <row r="10568" spans="2:18" ht="69" customHeight="1">
      <c r="B10568" s="79">
        <f t="shared" si="96"/>
        <v>7678</v>
      </c>
      <c r="C10568" s="59" t="s">
        <v>8703</v>
      </c>
      <c r="D10568" s="489" t="s">
        <v>96</v>
      </c>
      <c r="E10568" s="58" t="s">
        <v>25438</v>
      </c>
      <c r="F10568" s="677" t="s">
        <v>25467</v>
      </c>
      <c r="G10568" s="58" t="s">
        <v>25468</v>
      </c>
      <c r="H10568" s="198">
        <v>875</v>
      </c>
      <c r="I10568" s="489" t="s">
        <v>96</v>
      </c>
      <c r="J10568" s="125" t="s">
        <v>25441</v>
      </c>
      <c r="K10568" s="45" t="s">
        <v>25442</v>
      </c>
      <c r="O10568" s="45" t="s">
        <v>150</v>
      </c>
      <c r="P10568" s="45" t="s">
        <v>51</v>
      </c>
      <c r="Q10568" s="821" t="s">
        <v>109</v>
      </c>
      <c r="R10568" s="45" t="s">
        <v>272</v>
      </c>
    </row>
    <row r="10569" spans="2:18" ht="69" customHeight="1">
      <c r="B10569" s="79">
        <f t="shared" si="96"/>
        <v>7679</v>
      </c>
      <c r="C10569" s="48"/>
      <c r="D10569" s="489" t="s">
        <v>96</v>
      </c>
      <c r="E10569" s="58" t="s">
        <v>25438</v>
      </c>
      <c r="F10569" s="677" t="s">
        <v>25467</v>
      </c>
      <c r="G10569" s="58" t="s">
        <v>25468</v>
      </c>
      <c r="H10569" s="198">
        <v>875</v>
      </c>
      <c r="I10569" s="489" t="s">
        <v>96</v>
      </c>
      <c r="J10569" s="125" t="s">
        <v>25441</v>
      </c>
      <c r="K10569" s="45" t="s">
        <v>25442</v>
      </c>
      <c r="O10569" s="45" t="s">
        <v>150</v>
      </c>
      <c r="P10569" s="45" t="s">
        <v>51</v>
      </c>
      <c r="Q10569" s="821" t="s">
        <v>114</v>
      </c>
      <c r="R10569" s="45" t="s">
        <v>272</v>
      </c>
    </row>
    <row r="10570" spans="2:18" ht="69" customHeight="1">
      <c r="B10570" s="79">
        <f t="shared" si="96"/>
        <v>7680</v>
      </c>
      <c r="C10570" s="48"/>
      <c r="D10570" s="489" t="s">
        <v>96</v>
      </c>
      <c r="E10570" s="58" t="s">
        <v>25438</v>
      </c>
      <c r="F10570" s="677" t="s">
        <v>25467</v>
      </c>
      <c r="G10570" s="58" t="s">
        <v>25468</v>
      </c>
      <c r="H10570" s="198">
        <v>875</v>
      </c>
      <c r="I10570" s="489" t="s">
        <v>96</v>
      </c>
      <c r="J10570" s="125" t="s">
        <v>25441</v>
      </c>
      <c r="K10570" s="45" t="s">
        <v>25442</v>
      </c>
      <c r="O10570" s="45" t="s">
        <v>150</v>
      </c>
      <c r="P10570" s="45" t="s">
        <v>51</v>
      </c>
      <c r="Q10570" s="821" t="s">
        <v>116</v>
      </c>
      <c r="R10570" s="45" t="s">
        <v>272</v>
      </c>
    </row>
    <row r="10571" spans="2:18" ht="69" customHeight="1">
      <c r="B10571" s="79">
        <f t="shared" si="96"/>
        <v>7681</v>
      </c>
      <c r="C10571" s="48"/>
      <c r="D10571" s="489" t="s">
        <v>96</v>
      </c>
      <c r="E10571" s="58" t="s">
        <v>25438</v>
      </c>
      <c r="F10571" s="677" t="s">
        <v>25467</v>
      </c>
      <c r="G10571" s="58" t="s">
        <v>25468</v>
      </c>
      <c r="H10571" s="198">
        <v>875</v>
      </c>
      <c r="I10571" s="489" t="s">
        <v>96</v>
      </c>
      <c r="J10571" s="125" t="s">
        <v>25441</v>
      </c>
      <c r="K10571" s="45" t="s">
        <v>25442</v>
      </c>
      <c r="O10571" s="45" t="s">
        <v>150</v>
      </c>
      <c r="P10571" s="45" t="s">
        <v>51</v>
      </c>
      <c r="Q10571" s="821" t="s">
        <v>118</v>
      </c>
      <c r="R10571" s="45" t="s">
        <v>272</v>
      </c>
    </row>
    <row r="10572" spans="2:18" ht="69" customHeight="1">
      <c r="B10572" s="79">
        <f t="shared" si="96"/>
        <v>7682</v>
      </c>
      <c r="C10572" s="48"/>
      <c r="D10572" s="489"/>
      <c r="E10572" s="59"/>
      <c r="F10572" s="45"/>
      <c r="G10572" s="45"/>
      <c r="H10572" s="198">
        <v>297</v>
      </c>
      <c r="I10572" s="489" t="s">
        <v>96</v>
      </c>
      <c r="J10572" s="73"/>
      <c r="K10572" s="45" t="s">
        <v>25469</v>
      </c>
      <c r="O10572" s="62" t="s">
        <v>192</v>
      </c>
      <c r="P10572" s="45" t="s">
        <v>75</v>
      </c>
      <c r="Q10572" s="821" t="s">
        <v>25</v>
      </c>
      <c r="R10572" s="45" t="s">
        <v>272</v>
      </c>
    </row>
    <row r="10573" spans="2:18" ht="69" customHeight="1">
      <c r="B10573" s="79">
        <f t="shared" si="96"/>
        <v>7683</v>
      </c>
      <c r="C10573" s="48"/>
      <c r="D10573" s="489"/>
      <c r="E10573" s="59"/>
      <c r="F10573" s="45"/>
      <c r="G10573" s="45"/>
      <c r="H10573" s="198">
        <v>797</v>
      </c>
      <c r="I10573" s="489" t="s">
        <v>96</v>
      </c>
      <c r="J10573" s="73"/>
      <c r="K10573" s="45" t="s">
        <v>25469</v>
      </c>
      <c r="O10573" s="45"/>
      <c r="P10573" s="45" t="s">
        <v>19</v>
      </c>
      <c r="Q10573" s="821" t="s">
        <v>35</v>
      </c>
      <c r="R10573" s="45" t="s">
        <v>272</v>
      </c>
    </row>
    <row r="10574" spans="2:18" ht="69" customHeight="1">
      <c r="B10574" s="79">
        <f t="shared" si="96"/>
        <v>7684</v>
      </c>
      <c r="C10574" s="48"/>
      <c r="D10574" s="489"/>
      <c r="E10574" s="59"/>
      <c r="F10574" s="45"/>
      <c r="G10574" s="45"/>
      <c r="H10574" s="198">
        <v>800</v>
      </c>
      <c r="I10574" s="489" t="s">
        <v>96</v>
      </c>
      <c r="J10574" s="73"/>
      <c r="K10574" s="45" t="s">
        <v>25469</v>
      </c>
      <c r="O10574" s="45"/>
      <c r="P10574" s="45" t="s">
        <v>19</v>
      </c>
      <c r="Q10574" s="821" t="s">
        <v>37</v>
      </c>
      <c r="R10574" s="45" t="s">
        <v>272</v>
      </c>
    </row>
    <row r="10575" spans="2:18" ht="69" customHeight="1">
      <c r="B10575" s="79">
        <f t="shared" si="96"/>
        <v>7685</v>
      </c>
      <c r="C10575" s="48"/>
      <c r="D10575" s="489"/>
      <c r="E10575" s="59"/>
      <c r="F10575" s="45"/>
      <c r="G10575" s="45"/>
      <c r="H10575" s="198">
        <v>2975.3000000000466</v>
      </c>
      <c r="I10575" s="489" t="s">
        <v>96</v>
      </c>
      <c r="J10575" s="73"/>
      <c r="K10575" s="45" t="s">
        <v>25469</v>
      </c>
      <c r="O10575" s="45"/>
      <c r="P10575" s="45" t="s">
        <v>22</v>
      </c>
      <c r="Q10575" s="821" t="s">
        <v>39</v>
      </c>
      <c r="R10575" s="45" t="s">
        <v>272</v>
      </c>
    </row>
    <row r="10576" spans="2:18" ht="69" customHeight="1">
      <c r="B10576" s="79">
        <f t="shared" si="96"/>
        <v>7686</v>
      </c>
      <c r="C10576" s="48"/>
      <c r="D10576" s="489"/>
      <c r="E10576" s="59"/>
      <c r="F10576" s="45"/>
      <c r="G10576" s="45"/>
      <c r="H10576" s="198">
        <v>1300</v>
      </c>
      <c r="I10576" s="489" t="s">
        <v>96</v>
      </c>
      <c r="J10576" s="73"/>
      <c r="K10576" s="45" t="s">
        <v>25469</v>
      </c>
      <c r="O10576" s="45"/>
      <c r="P10576" s="45" t="s">
        <v>22</v>
      </c>
      <c r="Q10576" s="821" t="s">
        <v>41</v>
      </c>
      <c r="R10576" s="45" t="s">
        <v>272</v>
      </c>
    </row>
    <row r="10577" spans="2:18" ht="69" customHeight="1">
      <c r="B10577" s="79">
        <f t="shared" si="96"/>
        <v>7687</v>
      </c>
      <c r="C10577" s="48"/>
      <c r="D10577" s="489"/>
      <c r="E10577" s="59"/>
      <c r="F10577" s="45"/>
      <c r="G10577" s="45"/>
      <c r="H10577" s="198">
        <v>6500</v>
      </c>
      <c r="I10577" s="489" t="s">
        <v>96</v>
      </c>
      <c r="J10577" s="73"/>
      <c r="K10577" s="45" t="s">
        <v>25469</v>
      </c>
      <c r="O10577" s="45"/>
      <c r="P10577" s="45" t="s">
        <v>38</v>
      </c>
      <c r="Q10577" s="821" t="s">
        <v>45</v>
      </c>
      <c r="R10577" s="45" t="s">
        <v>272</v>
      </c>
    </row>
    <row r="10578" spans="2:18" ht="69" customHeight="1">
      <c r="B10578" s="79">
        <f t="shared" si="96"/>
        <v>7688</v>
      </c>
      <c r="C10578" s="48"/>
      <c r="D10578" s="489"/>
      <c r="E10578" s="59"/>
      <c r="F10578" s="45"/>
      <c r="G10578" s="45"/>
      <c r="H10578" s="198">
        <v>1149.7299999999814</v>
      </c>
      <c r="I10578" s="489" t="s">
        <v>96</v>
      </c>
      <c r="J10578" s="73"/>
      <c r="K10578" s="45" t="s">
        <v>25469</v>
      </c>
      <c r="O10578" s="45"/>
      <c r="P10578" s="45" t="s">
        <v>22</v>
      </c>
      <c r="Q10578" s="821" t="s">
        <v>66</v>
      </c>
      <c r="R10578" s="45" t="s">
        <v>272</v>
      </c>
    </row>
    <row r="10579" spans="2:18" ht="69" customHeight="1">
      <c r="B10579" s="79">
        <f t="shared" si="96"/>
        <v>7689</v>
      </c>
      <c r="C10579" s="48"/>
      <c r="D10579" s="489"/>
      <c r="E10579" s="59"/>
      <c r="F10579" s="45"/>
      <c r="G10579" s="45"/>
      <c r="H10579" s="198">
        <v>4755.5750000001863</v>
      </c>
      <c r="I10579" s="489" t="s">
        <v>96</v>
      </c>
      <c r="J10579" s="73"/>
      <c r="K10579" s="45" t="s">
        <v>25469</v>
      </c>
      <c r="O10579" s="45"/>
      <c r="P10579" s="45" t="s">
        <v>22</v>
      </c>
      <c r="Q10579" s="821" t="s">
        <v>68</v>
      </c>
      <c r="R10579" s="45" t="s">
        <v>272</v>
      </c>
    </row>
    <row r="10580" spans="2:18" ht="69" customHeight="1">
      <c r="B10580" s="79">
        <f t="shared" si="96"/>
        <v>7690</v>
      </c>
      <c r="C10580" s="48"/>
      <c r="D10580" s="489"/>
      <c r="E10580" s="59"/>
      <c r="F10580" s="45"/>
      <c r="G10580" s="45"/>
      <c r="H10580" s="198">
        <v>79772.669999999925</v>
      </c>
      <c r="I10580" s="489" t="s">
        <v>96</v>
      </c>
      <c r="J10580" s="73"/>
      <c r="K10580" s="45" t="s">
        <v>25469</v>
      </c>
      <c r="O10580" s="45"/>
      <c r="P10580" s="45" t="s">
        <v>57</v>
      </c>
      <c r="Q10580" s="821" t="s">
        <v>88</v>
      </c>
      <c r="R10580" s="45" t="s">
        <v>272</v>
      </c>
    </row>
    <row r="10581" spans="2:18" ht="69" customHeight="1">
      <c r="B10581" s="79">
        <f t="shared" si="96"/>
        <v>7691</v>
      </c>
      <c r="C10581" s="48"/>
      <c r="D10581" s="489"/>
      <c r="E10581" s="59"/>
      <c r="F10581" s="45"/>
      <c r="G10581" s="45"/>
      <c r="H10581" s="198">
        <v>5211.2100000001956</v>
      </c>
      <c r="I10581" s="489" t="s">
        <v>96</v>
      </c>
      <c r="J10581" s="73"/>
      <c r="K10581" s="45" t="s">
        <v>25469</v>
      </c>
      <c r="O10581" s="45"/>
      <c r="P10581" s="45" t="s">
        <v>59</v>
      </c>
      <c r="Q10581" s="821" t="s">
        <v>88</v>
      </c>
      <c r="R10581" s="45" t="s">
        <v>272</v>
      </c>
    </row>
    <row r="10582" spans="2:18" ht="69" customHeight="1">
      <c r="B10582" s="79">
        <f t="shared" si="96"/>
        <v>7692</v>
      </c>
      <c r="C10582" s="48"/>
      <c r="D10582" s="489"/>
      <c r="E10582" s="59"/>
      <c r="F10582" s="45"/>
      <c r="G10582" s="45"/>
      <c r="H10582" s="198">
        <v>45.000000000014552</v>
      </c>
      <c r="I10582" s="489" t="s">
        <v>96</v>
      </c>
      <c r="J10582" s="73"/>
      <c r="K10582" s="45" t="s">
        <v>25469</v>
      </c>
      <c r="O10582" s="45"/>
      <c r="P10582" s="45" t="s">
        <v>81</v>
      </c>
      <c r="Q10582" s="821" t="s">
        <v>88</v>
      </c>
      <c r="R10582" s="45" t="s">
        <v>272</v>
      </c>
    </row>
    <row r="10583" spans="2:18" ht="69" customHeight="1">
      <c r="B10583" s="79">
        <f t="shared" si="96"/>
        <v>7693</v>
      </c>
      <c r="C10583" s="48"/>
      <c r="D10583" s="489"/>
      <c r="E10583" s="59"/>
      <c r="F10583" s="45"/>
      <c r="G10583" s="45"/>
      <c r="H10583" s="198">
        <v>14393.800000000279</v>
      </c>
      <c r="I10583" s="489" t="s">
        <v>96</v>
      </c>
      <c r="J10583" s="73"/>
      <c r="K10583" s="45" t="s">
        <v>25469</v>
      </c>
      <c r="O10583" s="45"/>
      <c r="P10583" s="45" t="s">
        <v>59</v>
      </c>
      <c r="Q10583" s="821" t="s">
        <v>97</v>
      </c>
      <c r="R10583" s="45" t="s">
        <v>272</v>
      </c>
    </row>
    <row r="10584" spans="2:18" ht="69" customHeight="1">
      <c r="B10584" s="79">
        <f t="shared" si="96"/>
        <v>7694</v>
      </c>
      <c r="C10584" s="48"/>
      <c r="D10584" s="489"/>
      <c r="E10584" s="59"/>
      <c r="F10584" s="45"/>
      <c r="G10584" s="45"/>
      <c r="H10584" s="198">
        <v>3921.2000000000698</v>
      </c>
      <c r="I10584" s="489" t="s">
        <v>96</v>
      </c>
      <c r="J10584" s="73"/>
      <c r="K10584" s="45" t="s">
        <v>25469</v>
      </c>
      <c r="O10584" s="45"/>
      <c r="P10584" s="45" t="s">
        <v>57</v>
      </c>
      <c r="Q10584" s="821" t="s">
        <v>100</v>
      </c>
      <c r="R10584" s="45" t="s">
        <v>272</v>
      </c>
    </row>
    <row r="10585" spans="2:18" ht="69" customHeight="1">
      <c r="B10585" s="79">
        <f t="shared" si="96"/>
        <v>7695</v>
      </c>
      <c r="C10585" s="48"/>
      <c r="D10585" s="489"/>
      <c r="E10585" s="59"/>
      <c r="F10585" s="45"/>
      <c r="G10585" s="45"/>
      <c r="H10585" s="198">
        <v>23768</v>
      </c>
      <c r="I10585" s="489" t="s">
        <v>96</v>
      </c>
      <c r="J10585" s="73"/>
      <c r="K10585" s="45" t="s">
        <v>25469</v>
      </c>
      <c r="O10585" s="45"/>
      <c r="P10585" s="45" t="s">
        <v>61</v>
      </c>
      <c r="Q10585" s="821" t="s">
        <v>100</v>
      </c>
      <c r="R10585" s="45" t="s">
        <v>272</v>
      </c>
    </row>
    <row r="10586" spans="2:18" ht="69" customHeight="1">
      <c r="B10586" s="79">
        <f t="shared" si="96"/>
        <v>7696</v>
      </c>
      <c r="C10586" s="48"/>
      <c r="D10586" s="489"/>
      <c r="E10586" s="59"/>
      <c r="F10586" s="45"/>
      <c r="G10586" s="45"/>
      <c r="H10586" s="198">
        <v>1716.1800000000512</v>
      </c>
      <c r="I10586" s="489" t="s">
        <v>96</v>
      </c>
      <c r="J10586" s="73"/>
      <c r="K10586" s="45" t="s">
        <v>25469</v>
      </c>
      <c r="O10586" s="45"/>
      <c r="P10586" s="45" t="s">
        <v>57</v>
      </c>
      <c r="Q10586" s="821" t="s">
        <v>103</v>
      </c>
      <c r="R10586" s="45" t="s">
        <v>272</v>
      </c>
    </row>
    <row r="10587" spans="2:18" ht="69" customHeight="1">
      <c r="B10587" s="79">
        <f t="shared" si="96"/>
        <v>7697</v>
      </c>
      <c r="C10587" s="48"/>
      <c r="D10587" s="489"/>
      <c r="E10587" s="59"/>
      <c r="F10587" s="45"/>
      <c r="G10587" s="45"/>
      <c r="H10587" s="198">
        <v>18699.979999999981</v>
      </c>
      <c r="I10587" s="489" t="s">
        <v>96</v>
      </c>
      <c r="J10587" s="73"/>
      <c r="K10587" s="45" t="s">
        <v>25469</v>
      </c>
      <c r="O10587" s="45"/>
      <c r="P10587" s="45" t="s">
        <v>59</v>
      </c>
      <c r="Q10587" s="821" t="s">
        <v>103</v>
      </c>
      <c r="R10587" s="45" t="s">
        <v>272</v>
      </c>
    </row>
    <row r="10588" spans="2:18" ht="69" customHeight="1">
      <c r="B10588" s="79">
        <f t="shared" si="96"/>
        <v>7698</v>
      </c>
      <c r="C10588" s="48"/>
      <c r="D10588" s="489"/>
      <c r="E10588" s="59"/>
      <c r="F10588" s="45"/>
      <c r="G10588" s="45"/>
      <c r="H10588" s="198">
        <v>34910.009999999966</v>
      </c>
      <c r="I10588" s="489" t="s">
        <v>96</v>
      </c>
      <c r="J10588" s="73"/>
      <c r="K10588" s="45" t="s">
        <v>25469</v>
      </c>
      <c r="O10588" s="45"/>
      <c r="P10588" s="45" t="s">
        <v>61</v>
      </c>
      <c r="Q10588" s="821" t="s">
        <v>103</v>
      </c>
      <c r="R10588" s="45" t="s">
        <v>272</v>
      </c>
    </row>
    <row r="10589" spans="2:18" ht="69" customHeight="1">
      <c r="B10589" s="79">
        <f t="shared" si="96"/>
        <v>7699</v>
      </c>
      <c r="C10589" s="48"/>
      <c r="D10589" s="489"/>
      <c r="E10589" s="59"/>
      <c r="F10589" s="45"/>
      <c r="G10589" s="45"/>
      <c r="H10589" s="198">
        <v>2078.0600000001723</v>
      </c>
      <c r="I10589" s="489" t="s">
        <v>96</v>
      </c>
      <c r="J10589" s="73"/>
      <c r="K10589" s="45" t="s">
        <v>25469</v>
      </c>
      <c r="O10589" s="45"/>
      <c r="P10589" s="45" t="s">
        <v>57</v>
      </c>
      <c r="Q10589" s="821" t="s">
        <v>104</v>
      </c>
      <c r="R10589" s="45" t="s">
        <v>272</v>
      </c>
    </row>
    <row r="10590" spans="2:18" ht="69" customHeight="1">
      <c r="B10590" s="79">
        <f t="shared" si="96"/>
        <v>7700</v>
      </c>
      <c r="C10590" s="48"/>
      <c r="D10590" s="489"/>
      <c r="E10590" s="59"/>
      <c r="F10590" s="45"/>
      <c r="G10590" s="45"/>
      <c r="H10590" s="198">
        <v>6.650000000372529</v>
      </c>
      <c r="I10590" s="489" t="s">
        <v>96</v>
      </c>
      <c r="J10590" s="73"/>
      <c r="K10590" s="45" t="s">
        <v>25469</v>
      </c>
      <c r="O10590" s="45"/>
      <c r="P10590" s="45" t="s">
        <v>59</v>
      </c>
      <c r="Q10590" s="821" t="s">
        <v>104</v>
      </c>
      <c r="R10590" s="45" t="s">
        <v>272</v>
      </c>
    </row>
    <row r="10591" spans="2:18" ht="69" customHeight="1">
      <c r="B10591" s="79">
        <f t="shared" si="96"/>
        <v>7701</v>
      </c>
      <c r="C10591" s="48"/>
      <c r="D10591" s="489"/>
      <c r="E10591" s="59"/>
      <c r="F10591" s="45"/>
      <c r="G10591" s="45"/>
      <c r="H10591" s="198">
        <v>5700</v>
      </c>
      <c r="I10591" s="489" t="s">
        <v>96</v>
      </c>
      <c r="J10591" s="73"/>
      <c r="K10591" s="45" t="s">
        <v>25469</v>
      </c>
      <c r="O10591" s="45"/>
      <c r="P10591" s="45" t="s">
        <v>19</v>
      </c>
      <c r="Q10591" s="821" t="s">
        <v>105</v>
      </c>
      <c r="R10591" s="45" t="s">
        <v>272</v>
      </c>
    </row>
    <row r="10592" spans="2:18" ht="69" customHeight="1">
      <c r="B10592" s="79">
        <f t="shared" si="96"/>
        <v>7702</v>
      </c>
      <c r="C10592" s="48"/>
      <c r="D10592" s="489"/>
      <c r="E10592" s="59"/>
      <c r="F10592" s="45"/>
      <c r="G10592" s="45"/>
      <c r="H10592" s="198">
        <v>33097.659999999916</v>
      </c>
      <c r="I10592" s="489" t="s">
        <v>96</v>
      </c>
      <c r="J10592" s="73"/>
      <c r="K10592" s="45" t="s">
        <v>25469</v>
      </c>
      <c r="O10592" s="45"/>
      <c r="P10592" s="45" t="s">
        <v>59</v>
      </c>
      <c r="Q10592" s="821" t="s">
        <v>110</v>
      </c>
      <c r="R10592" s="45" t="s">
        <v>272</v>
      </c>
    </row>
    <row r="10593" spans="2:18" ht="69" customHeight="1">
      <c r="B10593" s="79">
        <f t="shared" si="96"/>
        <v>7703</v>
      </c>
      <c r="C10593" s="48"/>
      <c r="D10593" s="489"/>
      <c r="E10593" s="59"/>
      <c r="F10593" s="45"/>
      <c r="G10593" s="45"/>
      <c r="H10593" s="198">
        <v>69.880000000121072</v>
      </c>
      <c r="I10593" s="489" t="s">
        <v>96</v>
      </c>
      <c r="J10593" s="73"/>
      <c r="K10593" s="45" t="s">
        <v>25469</v>
      </c>
      <c r="O10593" s="45"/>
      <c r="P10593" s="45" t="s">
        <v>57</v>
      </c>
      <c r="Q10593" s="821" t="s">
        <v>111</v>
      </c>
      <c r="R10593" s="45" t="s">
        <v>272</v>
      </c>
    </row>
    <row r="10594" spans="2:18" ht="69" customHeight="1">
      <c r="B10594" s="79">
        <f t="shared" si="96"/>
        <v>7704</v>
      </c>
      <c r="C10594" s="48"/>
      <c r="D10594" s="489"/>
      <c r="E10594" s="59"/>
      <c r="F10594" s="45"/>
      <c r="G10594" s="45"/>
      <c r="H10594" s="198">
        <v>654.98999999999069</v>
      </c>
      <c r="I10594" s="489" t="s">
        <v>96</v>
      </c>
      <c r="J10594" s="73"/>
      <c r="K10594" s="45" t="s">
        <v>25469</v>
      </c>
      <c r="O10594" s="45"/>
      <c r="P10594" s="45" t="s">
        <v>59</v>
      </c>
      <c r="Q10594" s="821" t="s">
        <v>111</v>
      </c>
      <c r="R10594" s="45" t="s">
        <v>272</v>
      </c>
    </row>
    <row r="10595" spans="2:18" ht="69" customHeight="1">
      <c r="B10595" s="79">
        <f t="shared" si="96"/>
        <v>7705</v>
      </c>
      <c r="C10595" s="48"/>
      <c r="D10595" s="489"/>
      <c r="E10595" s="59"/>
      <c r="F10595" s="45"/>
      <c r="G10595" s="45"/>
      <c r="H10595" s="198">
        <v>12066.910000000033</v>
      </c>
      <c r="I10595" s="489" t="s">
        <v>96</v>
      </c>
      <c r="J10595" s="73"/>
      <c r="K10595" s="45" t="s">
        <v>25469</v>
      </c>
      <c r="O10595" s="45"/>
      <c r="P10595" s="45" t="s">
        <v>57</v>
      </c>
      <c r="Q10595" s="821" t="s">
        <v>112</v>
      </c>
      <c r="R10595" s="45" t="s">
        <v>272</v>
      </c>
    </row>
    <row r="10596" spans="2:18" ht="69" customHeight="1">
      <c r="B10596" s="79">
        <f t="shared" si="96"/>
        <v>7706</v>
      </c>
      <c r="C10596" s="48"/>
      <c r="D10596" s="489"/>
      <c r="E10596" s="59"/>
      <c r="F10596" s="45"/>
      <c r="G10596" s="45"/>
      <c r="H10596" s="198">
        <v>79345.549999999814</v>
      </c>
      <c r="I10596" s="489" t="s">
        <v>96</v>
      </c>
      <c r="J10596" s="73"/>
      <c r="K10596" s="45" t="s">
        <v>25469</v>
      </c>
      <c r="O10596" s="45"/>
      <c r="P10596" s="45" t="s">
        <v>59</v>
      </c>
      <c r="Q10596" s="821" t="s">
        <v>112</v>
      </c>
      <c r="R10596" s="45" t="s">
        <v>272</v>
      </c>
    </row>
    <row r="10597" spans="2:18" ht="69" customHeight="1">
      <c r="B10597" s="79">
        <f t="shared" si="96"/>
        <v>7707</v>
      </c>
      <c r="C10597" s="48"/>
      <c r="D10597" s="489"/>
      <c r="E10597" s="59"/>
      <c r="F10597" s="45"/>
      <c r="G10597" s="45"/>
      <c r="H10597" s="198">
        <v>14914.850000000093</v>
      </c>
      <c r="I10597" s="489" t="s">
        <v>96</v>
      </c>
      <c r="J10597" s="73"/>
      <c r="K10597" s="45" t="s">
        <v>25469</v>
      </c>
      <c r="O10597" s="45"/>
      <c r="P10597" s="45" t="s">
        <v>73</v>
      </c>
      <c r="Q10597" s="821" t="s">
        <v>112</v>
      </c>
      <c r="R10597" s="45" t="s">
        <v>272</v>
      </c>
    </row>
    <row r="10598" spans="2:18" ht="69" customHeight="1">
      <c r="B10598" s="79">
        <f t="shared" si="96"/>
        <v>7708</v>
      </c>
      <c r="C10598" s="48"/>
      <c r="D10598" s="489"/>
      <c r="E10598" s="59"/>
      <c r="F10598" s="45"/>
      <c r="G10598" s="45"/>
      <c r="H10598" s="198">
        <v>-2839.8100000005215</v>
      </c>
      <c r="I10598" s="489" t="s">
        <v>96</v>
      </c>
      <c r="J10598" s="73"/>
      <c r="K10598" s="45" t="s">
        <v>25469</v>
      </c>
      <c r="O10598" s="45"/>
      <c r="P10598" s="45" t="s">
        <v>19</v>
      </c>
      <c r="Q10598" s="821" t="s">
        <v>113</v>
      </c>
      <c r="R10598" s="45" t="s">
        <v>272</v>
      </c>
    </row>
    <row r="10599" spans="2:18" ht="69" customHeight="1">
      <c r="B10599" s="79">
        <f t="shared" si="96"/>
        <v>7709</v>
      </c>
      <c r="C10599" s="48"/>
      <c r="D10599" s="489"/>
      <c r="E10599" s="59"/>
      <c r="F10599" s="45"/>
      <c r="G10599" s="45"/>
      <c r="H10599" s="198">
        <v>43031.019999999902</v>
      </c>
      <c r="I10599" s="489" t="s">
        <v>96</v>
      </c>
      <c r="J10599" s="73"/>
      <c r="K10599" s="45" t="s">
        <v>25469</v>
      </c>
      <c r="O10599" s="45"/>
      <c r="P10599" s="45" t="s">
        <v>57</v>
      </c>
      <c r="Q10599" s="821" t="s">
        <v>123</v>
      </c>
      <c r="R10599" s="45" t="s">
        <v>272</v>
      </c>
    </row>
    <row r="10600" spans="2:18" ht="69" customHeight="1">
      <c r="B10600" s="79">
        <f t="shared" si="96"/>
        <v>7710</v>
      </c>
      <c r="C10600" s="48"/>
      <c r="D10600" s="489"/>
      <c r="E10600" s="59"/>
      <c r="F10600" s="45"/>
      <c r="G10600" s="45"/>
      <c r="H10600" s="198">
        <v>46870.310000000012</v>
      </c>
      <c r="I10600" s="489" t="s">
        <v>96</v>
      </c>
      <c r="J10600" s="73"/>
      <c r="K10600" s="45" t="s">
        <v>25469</v>
      </c>
      <c r="O10600" s="45"/>
      <c r="P10600" s="45" t="s">
        <v>57</v>
      </c>
      <c r="Q10600" s="821" t="s">
        <v>105</v>
      </c>
      <c r="R10600" s="45" t="s">
        <v>272</v>
      </c>
    </row>
    <row r="10601" spans="2:18" ht="69" customHeight="1">
      <c r="B10601" s="79">
        <f t="shared" si="96"/>
        <v>7711</v>
      </c>
      <c r="C10601" s="48"/>
      <c r="D10601" s="489"/>
      <c r="E10601" s="59"/>
      <c r="F10601" s="45"/>
      <c r="G10601" s="45"/>
      <c r="H10601" s="198">
        <v>28853.729999999981</v>
      </c>
      <c r="I10601" s="489" t="s">
        <v>96</v>
      </c>
      <c r="J10601" s="73"/>
      <c r="K10601" s="45" t="s">
        <v>25469</v>
      </c>
      <c r="O10601" s="45"/>
      <c r="P10601" s="45" t="s">
        <v>57</v>
      </c>
      <c r="Q10601" s="821" t="s">
        <v>33</v>
      </c>
      <c r="R10601" s="45" t="s">
        <v>272</v>
      </c>
    </row>
    <row r="10602" spans="2:18" ht="69" customHeight="1">
      <c r="B10602" s="79">
        <f t="shared" si="96"/>
        <v>7712</v>
      </c>
      <c r="C10602" s="48"/>
      <c r="D10602" s="489"/>
      <c r="E10602" s="59"/>
      <c r="F10602" s="45"/>
      <c r="G10602" s="45"/>
      <c r="H10602" s="198">
        <v>5.5</v>
      </c>
      <c r="I10602" s="489" t="s">
        <v>96</v>
      </c>
      <c r="J10602" s="73"/>
      <c r="K10602" s="45" t="s">
        <v>25469</v>
      </c>
      <c r="O10602" s="45"/>
      <c r="P10602" s="45" t="s">
        <v>59</v>
      </c>
      <c r="Q10602" s="821" t="s">
        <v>70</v>
      </c>
      <c r="R10602" s="45" t="s">
        <v>272</v>
      </c>
    </row>
    <row r="10603" spans="2:18" ht="69" customHeight="1">
      <c r="B10603" s="239">
        <f t="shared" si="96"/>
        <v>7713</v>
      </c>
      <c r="C10603" s="45" t="s">
        <v>11618</v>
      </c>
      <c r="D10603" s="489" t="s">
        <v>25470</v>
      </c>
      <c r="E10603" s="45" t="s">
        <v>15202</v>
      </c>
      <c r="F10603" s="45" t="s">
        <v>25471</v>
      </c>
      <c r="G10603" s="45" t="s">
        <v>25472</v>
      </c>
      <c r="H10603" s="198">
        <v>372038.29</v>
      </c>
      <c r="I10603" s="47">
        <v>45925</v>
      </c>
      <c r="J10603" s="73" t="s">
        <v>25473</v>
      </c>
      <c r="K10603" s="808" t="s">
        <v>25474</v>
      </c>
      <c r="O10603" s="45" t="s">
        <v>175</v>
      </c>
      <c r="P10603" s="45" t="s">
        <v>57</v>
      </c>
      <c r="Q10603" s="821" t="s">
        <v>122</v>
      </c>
      <c r="R10603" s="45" t="s">
        <v>272</v>
      </c>
    </row>
    <row r="10604" spans="2:18" ht="69" customHeight="1">
      <c r="B10604" s="239">
        <f t="shared" si="96"/>
        <v>7714</v>
      </c>
      <c r="C10604" s="59" t="s">
        <v>9215</v>
      </c>
      <c r="D10604" s="489" t="s">
        <v>25475</v>
      </c>
      <c r="E10604" s="45" t="s">
        <v>15202</v>
      </c>
      <c r="F10604" s="45" t="s">
        <v>25476</v>
      </c>
      <c r="G10604" s="45" t="s">
        <v>25472</v>
      </c>
      <c r="H10604" s="198">
        <v>319075.3</v>
      </c>
      <c r="I10604" s="47">
        <v>45925</v>
      </c>
      <c r="J10604" s="73" t="s">
        <v>25473</v>
      </c>
      <c r="K10604" s="808" t="s">
        <v>25477</v>
      </c>
      <c r="O10604" s="45" t="s">
        <v>175</v>
      </c>
      <c r="P10604" s="45" t="s">
        <v>57</v>
      </c>
      <c r="Q10604" s="821" t="s">
        <v>113</v>
      </c>
      <c r="R10604" s="45" t="s">
        <v>272</v>
      </c>
    </row>
    <row r="10605" spans="2:18" ht="69" customHeight="1">
      <c r="B10605" s="239">
        <f t="shared" si="96"/>
        <v>7715</v>
      </c>
      <c r="C10605" s="45" t="s">
        <v>581</v>
      </c>
      <c r="D10605" s="489" t="s">
        <v>23030</v>
      </c>
      <c r="E10605" s="45" t="s">
        <v>15202</v>
      </c>
      <c r="F10605" s="45" t="s">
        <v>25478</v>
      </c>
      <c r="G10605" s="45" t="s">
        <v>25472</v>
      </c>
      <c r="H10605" s="198">
        <v>296467.95</v>
      </c>
      <c r="I10605" s="47">
        <v>45925</v>
      </c>
      <c r="J10605" s="73" t="s">
        <v>25473</v>
      </c>
      <c r="K10605" s="808" t="s">
        <v>25479</v>
      </c>
      <c r="O10605" s="45" t="s">
        <v>175</v>
      </c>
      <c r="P10605" s="45" t="s">
        <v>57</v>
      </c>
      <c r="Q10605" s="821" t="s">
        <v>18</v>
      </c>
      <c r="R10605" s="45" t="s">
        <v>272</v>
      </c>
    </row>
    <row r="10606" spans="2:18" ht="69" customHeight="1">
      <c r="B10606" s="239">
        <f t="shared" si="96"/>
        <v>7716</v>
      </c>
      <c r="C10606" s="59" t="s">
        <v>11568</v>
      </c>
      <c r="D10606" s="489" t="s">
        <v>25480</v>
      </c>
      <c r="E10606" s="45" t="s">
        <v>15202</v>
      </c>
      <c r="F10606" s="45" t="s">
        <v>25481</v>
      </c>
      <c r="G10606" s="45" t="s">
        <v>25472</v>
      </c>
      <c r="H10606" s="198">
        <v>372509.17</v>
      </c>
      <c r="I10606" s="47">
        <v>45925</v>
      </c>
      <c r="J10606" s="73" t="s">
        <v>25473</v>
      </c>
      <c r="K10606" s="808" t="s">
        <v>25474</v>
      </c>
      <c r="O10606" s="45" t="s">
        <v>175</v>
      </c>
      <c r="P10606" s="45" t="s">
        <v>57</v>
      </c>
      <c r="Q10606" s="821" t="s">
        <v>107</v>
      </c>
      <c r="R10606" s="45" t="s">
        <v>272</v>
      </c>
    </row>
    <row r="10607" spans="2:18" ht="69" customHeight="1">
      <c r="B10607" s="239">
        <f t="shared" si="96"/>
        <v>7717</v>
      </c>
      <c r="C10607" s="59" t="s">
        <v>657</v>
      </c>
      <c r="D10607" s="489" t="s">
        <v>17662</v>
      </c>
      <c r="E10607" s="45" t="s">
        <v>266</v>
      </c>
      <c r="F10607" s="45" t="s">
        <v>25482</v>
      </c>
      <c r="G10607" s="81" t="s">
        <v>25483</v>
      </c>
      <c r="H10607" s="198">
        <v>44424.78</v>
      </c>
      <c r="I10607" s="47">
        <v>45935</v>
      </c>
      <c r="J10607" s="73" t="s">
        <v>25484</v>
      </c>
      <c r="K10607" s="60"/>
      <c r="O10607" s="45" t="s">
        <v>1171</v>
      </c>
      <c r="P10607" s="45" t="s">
        <v>71</v>
      </c>
      <c r="Q10607" s="821" t="s">
        <v>97</v>
      </c>
      <c r="R10607" s="45" t="s">
        <v>272</v>
      </c>
    </row>
    <row r="10608" spans="2:18" ht="69" customHeight="1">
      <c r="B10608" s="239">
        <f t="shared" si="96"/>
        <v>7718</v>
      </c>
      <c r="C10608" s="59" t="s">
        <v>458</v>
      </c>
      <c r="D10608" s="489" t="s">
        <v>25485</v>
      </c>
      <c r="E10608" s="45" t="s">
        <v>266</v>
      </c>
      <c r="F10608" s="45" t="s">
        <v>25486</v>
      </c>
      <c r="G10608" s="81" t="s">
        <v>25483</v>
      </c>
      <c r="H10608" s="198">
        <v>44424.78</v>
      </c>
      <c r="I10608" s="47">
        <v>45935</v>
      </c>
      <c r="J10608" s="73" t="s">
        <v>25484</v>
      </c>
      <c r="K10608" s="60"/>
      <c r="O10608" s="45" t="s">
        <v>1171</v>
      </c>
      <c r="P10608" s="45" t="s">
        <v>71</v>
      </c>
      <c r="Q10608" s="821" t="s">
        <v>100</v>
      </c>
      <c r="R10608" s="45" t="s">
        <v>272</v>
      </c>
    </row>
    <row r="10609" spans="2:18" ht="69" customHeight="1">
      <c r="B10609" s="79">
        <f t="shared" si="96"/>
        <v>7719</v>
      </c>
      <c r="C10609" s="48"/>
      <c r="D10609" s="489"/>
      <c r="E10609" s="59"/>
      <c r="F10609" s="45"/>
      <c r="G10609" s="45"/>
      <c r="H10609" s="198">
        <v>36668.560000000056</v>
      </c>
      <c r="I10609" s="489" t="s">
        <v>96</v>
      </c>
      <c r="J10609" s="73"/>
      <c r="K10609" s="45" t="s">
        <v>25469</v>
      </c>
      <c r="O10609" s="45"/>
      <c r="P10609" s="45" t="s">
        <v>57</v>
      </c>
      <c r="Q10609" s="821" t="s">
        <v>120</v>
      </c>
      <c r="R10609" s="45" t="s">
        <v>272</v>
      </c>
    </row>
    <row r="10610" spans="2:18" ht="69" customHeight="1">
      <c r="B10610" s="79">
        <f t="shared" si="96"/>
        <v>7720</v>
      </c>
      <c r="C10610" s="48"/>
      <c r="D10610" s="489"/>
      <c r="E10610" s="59"/>
      <c r="F10610" s="45"/>
      <c r="G10610" s="45"/>
      <c r="H10610" s="198">
        <v>11573.389999999898</v>
      </c>
      <c r="I10610" s="489" t="s">
        <v>96</v>
      </c>
      <c r="J10610" s="73"/>
      <c r="K10610" s="45" t="s">
        <v>25469</v>
      </c>
      <c r="O10610" s="45"/>
      <c r="P10610" s="45" t="s">
        <v>59</v>
      </c>
      <c r="Q10610" s="821" t="s">
        <v>120</v>
      </c>
      <c r="R10610" s="45" t="s">
        <v>272</v>
      </c>
    </row>
    <row r="10611" spans="2:18" ht="69" customHeight="1">
      <c r="B10611" s="79">
        <f t="shared" si="96"/>
        <v>7721</v>
      </c>
      <c r="C10611" s="48"/>
      <c r="D10611" s="489"/>
      <c r="E10611" s="59"/>
      <c r="F10611" s="45"/>
      <c r="G10611" s="45"/>
      <c r="H10611" s="198">
        <v>15000</v>
      </c>
      <c r="I10611" s="489" t="s">
        <v>96</v>
      </c>
      <c r="J10611" s="73"/>
      <c r="K10611" s="45" t="s">
        <v>25469</v>
      </c>
      <c r="O10611" s="45"/>
      <c r="P10611" s="45" t="s">
        <v>61</v>
      </c>
      <c r="Q10611" s="821" t="s">
        <v>117</v>
      </c>
      <c r="R10611" s="45" t="s">
        <v>272</v>
      </c>
    </row>
    <row r="10612" spans="2:18" ht="69" customHeight="1">
      <c r="B10612" s="79">
        <f t="shared" si="96"/>
        <v>7722</v>
      </c>
      <c r="C10612" s="178" t="s">
        <v>657</v>
      </c>
      <c r="D10612" s="489" t="s">
        <v>17713</v>
      </c>
      <c r="E10612" s="45" t="s">
        <v>266</v>
      </c>
      <c r="F10612" s="58" t="s">
        <v>25487</v>
      </c>
      <c r="G10612" s="45" t="s">
        <v>25488</v>
      </c>
      <c r="H10612" s="198">
        <v>23.74</v>
      </c>
      <c r="I10612" s="47">
        <v>45930</v>
      </c>
      <c r="J10612" s="73" t="s">
        <v>25489</v>
      </c>
      <c r="K10612" s="60" t="s">
        <v>22203</v>
      </c>
      <c r="O10612" s="45" t="s">
        <v>5969</v>
      </c>
      <c r="P10612" s="58" t="s">
        <v>44</v>
      </c>
      <c r="Q10612" s="821" t="s">
        <v>110</v>
      </c>
      <c r="R10612" s="45" t="s">
        <v>272</v>
      </c>
    </row>
    <row r="10613" spans="2:18" ht="69" customHeight="1">
      <c r="B10613" s="79">
        <f t="shared" si="96"/>
        <v>7723</v>
      </c>
      <c r="C10613" s="178" t="s">
        <v>458</v>
      </c>
      <c r="D10613" s="489" t="s">
        <v>25490</v>
      </c>
      <c r="E10613" s="58" t="s">
        <v>266</v>
      </c>
      <c r="F10613" s="58" t="s">
        <v>25491</v>
      </c>
      <c r="G10613" s="45" t="s">
        <v>25492</v>
      </c>
      <c r="H10613" s="198">
        <v>4514.58</v>
      </c>
      <c r="I10613" s="47">
        <v>45935</v>
      </c>
      <c r="J10613" s="48" t="s">
        <v>25493</v>
      </c>
      <c r="K10613" s="237" t="s">
        <v>25494</v>
      </c>
      <c r="O10613" s="45" t="s">
        <v>15366</v>
      </c>
      <c r="P10613" s="45" t="s">
        <v>67</v>
      </c>
      <c r="Q10613" s="821" t="s">
        <v>123</v>
      </c>
      <c r="R10613" s="45" t="s">
        <v>272</v>
      </c>
    </row>
    <row r="10614" spans="2:18" ht="69" customHeight="1">
      <c r="B10614" s="79">
        <f t="shared" si="96"/>
        <v>7724</v>
      </c>
      <c r="C10614" s="655" t="s">
        <v>657</v>
      </c>
      <c r="D10614" s="809" t="s">
        <v>17715</v>
      </c>
      <c r="E10614" s="237" t="s">
        <v>266</v>
      </c>
      <c r="F10614" s="237" t="s">
        <v>25495</v>
      </c>
      <c r="G10614" s="60" t="s">
        <v>25492</v>
      </c>
      <c r="H10614" s="791">
        <v>4863.4799999999996</v>
      </c>
      <c r="I10614" s="737">
        <v>45935</v>
      </c>
      <c r="J10614" s="1103" t="s">
        <v>25493</v>
      </c>
      <c r="K10614" s="237" t="s">
        <v>25496</v>
      </c>
      <c r="O10614" s="45" t="s">
        <v>15366</v>
      </c>
      <c r="P10614" s="45" t="s">
        <v>67</v>
      </c>
      <c r="Q10614" s="821" t="s">
        <v>110</v>
      </c>
      <c r="R10614" s="45" t="s">
        <v>272</v>
      </c>
    </row>
    <row r="10615" spans="2:18" ht="69" customHeight="1">
      <c r="B10615" s="48">
        <f t="shared" si="96"/>
        <v>7725</v>
      </c>
      <c r="C10615" s="59" t="s">
        <v>7189</v>
      </c>
      <c r="D10615" s="84" t="s">
        <v>17754</v>
      </c>
      <c r="E10615" s="45" t="s">
        <v>15202</v>
      </c>
      <c r="F10615" s="45" t="s">
        <v>25497</v>
      </c>
      <c r="G10615" s="45" t="s">
        <v>25417</v>
      </c>
      <c r="H10615" s="198">
        <v>714232.51</v>
      </c>
      <c r="I10615" s="47">
        <v>45935</v>
      </c>
      <c r="J10615" s="48" t="s">
        <v>25498</v>
      </c>
      <c r="K10615" s="60" t="s">
        <v>25499</v>
      </c>
      <c r="O10615" s="45" t="s">
        <v>175</v>
      </c>
      <c r="P10615" s="45" t="s">
        <v>57</v>
      </c>
      <c r="Q10615" s="821" t="s">
        <v>97</v>
      </c>
      <c r="R10615" s="45" t="s">
        <v>272</v>
      </c>
    </row>
    <row r="10616" spans="2:18" ht="69" customHeight="1">
      <c r="B10616" s="959">
        <f t="shared" si="96"/>
        <v>7726</v>
      </c>
      <c r="C10616" s="1105" t="s">
        <v>11933</v>
      </c>
      <c r="D10616" s="950" t="s">
        <v>25500</v>
      </c>
      <c r="E10616" s="61" t="s">
        <v>24808</v>
      </c>
      <c r="F10616" s="1054" t="s">
        <v>25501</v>
      </c>
      <c r="G10616" s="61" t="s">
        <v>25502</v>
      </c>
      <c r="H10616" s="1106">
        <v>167.2</v>
      </c>
      <c r="I10616" s="130">
        <v>45955</v>
      </c>
      <c r="J10616" s="129" t="s">
        <v>25503</v>
      </c>
      <c r="K10616" s="61"/>
      <c r="O10616" s="45" t="s">
        <v>24808</v>
      </c>
      <c r="P10616" s="45" t="s">
        <v>65</v>
      </c>
      <c r="Q10616" s="48" t="s">
        <v>123</v>
      </c>
      <c r="R10616" s="45" t="s">
        <v>272</v>
      </c>
    </row>
    <row r="10617" spans="2:18" ht="69" customHeight="1">
      <c r="B10617" s="239">
        <f t="shared" si="96"/>
        <v>7727</v>
      </c>
      <c r="C10617" s="909" t="s">
        <v>8797</v>
      </c>
      <c r="D10617" s="489" t="s">
        <v>17793</v>
      </c>
      <c r="E10617" s="45" t="s">
        <v>24808</v>
      </c>
      <c r="F10617" s="677" t="s">
        <v>25504</v>
      </c>
      <c r="G10617" s="45" t="s">
        <v>25502</v>
      </c>
      <c r="H10617" s="1007">
        <v>167.2</v>
      </c>
      <c r="I10617" s="47">
        <v>45955</v>
      </c>
      <c r="J10617" s="48" t="s">
        <v>25503</v>
      </c>
      <c r="K10617" s="45"/>
      <c r="O10617" s="45" t="s">
        <v>24808</v>
      </c>
      <c r="P10617" s="45" t="s">
        <v>65</v>
      </c>
      <c r="Q10617" s="48" t="s">
        <v>110</v>
      </c>
      <c r="R10617" s="45" t="s">
        <v>272</v>
      </c>
    </row>
    <row r="10618" spans="2:18" ht="69" customHeight="1">
      <c r="B10618" s="239">
        <f t="shared" si="96"/>
        <v>7728</v>
      </c>
      <c r="C10618" s="805" t="s">
        <v>11933</v>
      </c>
      <c r="D10618" s="489" t="s">
        <v>25505</v>
      </c>
      <c r="E10618" s="45" t="s">
        <v>24808</v>
      </c>
      <c r="F10618" s="677" t="s">
        <v>25506</v>
      </c>
      <c r="G10618" s="677" t="s">
        <v>25507</v>
      </c>
      <c r="H10618" s="1007">
        <v>677.66</v>
      </c>
      <c r="I10618" s="47">
        <v>45955</v>
      </c>
      <c r="J10618" s="48" t="s">
        <v>25503</v>
      </c>
      <c r="K10618" s="45"/>
      <c r="O10618" s="45" t="s">
        <v>24808</v>
      </c>
      <c r="P10618" s="45" t="s">
        <v>65</v>
      </c>
      <c r="Q10618" s="48" t="s">
        <v>123</v>
      </c>
      <c r="R10618" s="45" t="s">
        <v>272</v>
      </c>
    </row>
    <row r="10619" spans="2:18" ht="69" customHeight="1">
      <c r="B10619" s="239">
        <f t="shared" si="96"/>
        <v>7729</v>
      </c>
      <c r="C10619" s="909" t="s">
        <v>8797</v>
      </c>
      <c r="D10619" s="489" t="s">
        <v>20563</v>
      </c>
      <c r="E10619" s="45" t="s">
        <v>24808</v>
      </c>
      <c r="F10619" s="677" t="s">
        <v>25508</v>
      </c>
      <c r="G10619" s="677" t="s">
        <v>25507</v>
      </c>
      <c r="H10619" s="1007">
        <v>677.66</v>
      </c>
      <c r="I10619" s="47">
        <v>45955</v>
      </c>
      <c r="J10619" s="48" t="s">
        <v>25503</v>
      </c>
      <c r="K10619" s="45"/>
      <c r="O10619" s="45" t="s">
        <v>24808</v>
      </c>
      <c r="P10619" s="45" t="s">
        <v>65</v>
      </c>
      <c r="Q10619" s="48" t="s">
        <v>110</v>
      </c>
      <c r="R10619" s="45" t="s">
        <v>272</v>
      </c>
    </row>
    <row r="10620" spans="2:18" ht="69" customHeight="1">
      <c r="B10620" s="239">
        <f t="shared" si="96"/>
        <v>7730</v>
      </c>
      <c r="C10620" s="59" t="s">
        <v>11568</v>
      </c>
      <c r="D10620" s="489" t="s">
        <v>25509</v>
      </c>
      <c r="E10620" s="45" t="s">
        <v>266</v>
      </c>
      <c r="F10620" s="45" t="s">
        <v>25510</v>
      </c>
      <c r="G10620" s="45" t="s">
        <v>25511</v>
      </c>
      <c r="H10620" s="198">
        <v>23300</v>
      </c>
      <c r="I10620" s="47">
        <v>45935</v>
      </c>
      <c r="J10620" s="48" t="s">
        <v>25512</v>
      </c>
      <c r="K10620" s="60"/>
      <c r="O10620" s="45" t="s">
        <v>13240</v>
      </c>
      <c r="P10620" s="45" t="s">
        <v>71</v>
      </c>
      <c r="Q10620" s="48" t="s">
        <v>107</v>
      </c>
      <c r="R10620" s="45" t="s">
        <v>272</v>
      </c>
    </row>
    <row r="10621" spans="2:18" ht="69" customHeight="1">
      <c r="B10621" s="239">
        <f t="shared" si="96"/>
        <v>7731</v>
      </c>
      <c r="C10621" s="805" t="s">
        <v>11933</v>
      </c>
      <c r="D10621" s="489" t="s">
        <v>25513</v>
      </c>
      <c r="E10621" s="45" t="s">
        <v>266</v>
      </c>
      <c r="F10621" s="45" t="s">
        <v>25514</v>
      </c>
      <c r="G10621" s="45" t="s">
        <v>25511</v>
      </c>
      <c r="H10621" s="198">
        <v>20193.330000000002</v>
      </c>
      <c r="I10621" s="47">
        <v>45935</v>
      </c>
      <c r="J10621" s="48" t="s">
        <v>25512</v>
      </c>
      <c r="K10621" s="60" t="s">
        <v>25515</v>
      </c>
      <c r="O10621" s="45" t="s">
        <v>13240</v>
      </c>
      <c r="P10621" s="45" t="s">
        <v>71</v>
      </c>
      <c r="Q10621" s="48" t="s">
        <v>123</v>
      </c>
      <c r="R10621" s="45" t="s">
        <v>272</v>
      </c>
    </row>
    <row r="10622" spans="2:18" ht="69" customHeight="1">
      <c r="B10622" s="239">
        <f t="shared" si="96"/>
        <v>7732</v>
      </c>
      <c r="C10622" s="59" t="s">
        <v>9215</v>
      </c>
      <c r="D10622" s="489" t="s">
        <v>25516</v>
      </c>
      <c r="E10622" s="45" t="s">
        <v>266</v>
      </c>
      <c r="F10622" s="45" t="s">
        <v>25517</v>
      </c>
      <c r="G10622" s="45" t="s">
        <v>25511</v>
      </c>
      <c r="H10622" s="198">
        <v>23300</v>
      </c>
      <c r="I10622" s="47">
        <v>45935</v>
      </c>
      <c r="J10622" s="48" t="s">
        <v>25512</v>
      </c>
      <c r="K10622" s="60"/>
      <c r="O10622" s="45" t="s">
        <v>13240</v>
      </c>
      <c r="P10622" s="45" t="s">
        <v>71</v>
      </c>
      <c r="Q10622" s="48" t="s">
        <v>113</v>
      </c>
      <c r="R10622" s="45" t="s">
        <v>272</v>
      </c>
    </row>
    <row r="10623" spans="2:18" ht="69" customHeight="1">
      <c r="B10623" s="239">
        <f t="shared" si="96"/>
        <v>7733</v>
      </c>
      <c r="C10623" s="59" t="s">
        <v>7189</v>
      </c>
      <c r="D10623" s="489" t="s">
        <v>20505</v>
      </c>
      <c r="E10623" s="45" t="s">
        <v>266</v>
      </c>
      <c r="F10623" s="45" t="s">
        <v>25518</v>
      </c>
      <c r="G10623" s="45" t="s">
        <v>25511</v>
      </c>
      <c r="H10623" s="198">
        <v>23300</v>
      </c>
      <c r="I10623" s="47">
        <v>45935</v>
      </c>
      <c r="J10623" s="48" t="s">
        <v>25512</v>
      </c>
      <c r="K10623" s="60" t="s">
        <v>25519</v>
      </c>
      <c r="O10623" s="45" t="s">
        <v>13240</v>
      </c>
      <c r="P10623" s="45" t="s">
        <v>71</v>
      </c>
      <c r="Q10623" s="48" t="s">
        <v>97</v>
      </c>
      <c r="R10623" s="45" t="s">
        <v>272</v>
      </c>
    </row>
    <row r="10624" spans="2:18" ht="69" customHeight="1">
      <c r="B10624" s="239">
        <f t="shared" si="96"/>
        <v>7734</v>
      </c>
      <c r="C10624" s="676" t="s">
        <v>10937</v>
      </c>
      <c r="D10624" s="489" t="s">
        <v>20508</v>
      </c>
      <c r="E10624" s="45" t="s">
        <v>266</v>
      </c>
      <c r="F10624" s="45" t="s">
        <v>25520</v>
      </c>
      <c r="G10624" s="45" t="s">
        <v>25511</v>
      </c>
      <c r="H10624" s="198">
        <v>23300</v>
      </c>
      <c r="I10624" s="47">
        <v>45935</v>
      </c>
      <c r="J10624" s="48" t="s">
        <v>25512</v>
      </c>
      <c r="K10624" s="60"/>
      <c r="O10624" s="45" t="s">
        <v>13240</v>
      </c>
      <c r="P10624" s="45" t="s">
        <v>71</v>
      </c>
      <c r="Q10624" s="48" t="s">
        <v>104</v>
      </c>
      <c r="R10624" s="45" t="s">
        <v>272</v>
      </c>
    </row>
    <row r="10625" spans="2:18" ht="69" customHeight="1">
      <c r="B10625" s="239">
        <f t="shared" si="96"/>
        <v>7735</v>
      </c>
      <c r="C10625" s="909" t="s">
        <v>8797</v>
      </c>
      <c r="D10625" s="489" t="s">
        <v>23903</v>
      </c>
      <c r="E10625" s="45" t="s">
        <v>266</v>
      </c>
      <c r="F10625" s="45" t="s">
        <v>25521</v>
      </c>
      <c r="G10625" s="45" t="s">
        <v>25511</v>
      </c>
      <c r="H10625" s="198">
        <v>23300</v>
      </c>
      <c r="I10625" s="47">
        <v>45935</v>
      </c>
      <c r="J10625" s="48" t="s">
        <v>25512</v>
      </c>
      <c r="K10625" s="60"/>
      <c r="O10625" s="45" t="s">
        <v>13240</v>
      </c>
      <c r="P10625" s="45" t="s">
        <v>71</v>
      </c>
      <c r="Q10625" s="48" t="s">
        <v>110</v>
      </c>
      <c r="R10625" s="45" t="s">
        <v>272</v>
      </c>
    </row>
    <row r="10626" spans="2:18" ht="69" customHeight="1">
      <c r="B10626" s="239">
        <f t="shared" si="96"/>
        <v>7736</v>
      </c>
      <c r="C10626" s="909" t="s">
        <v>8797</v>
      </c>
      <c r="D10626" s="489" t="s">
        <v>17798</v>
      </c>
      <c r="E10626" s="71" t="s">
        <v>25388</v>
      </c>
      <c r="F10626" s="677" t="s">
        <v>25522</v>
      </c>
      <c r="G10626" s="45" t="s">
        <v>25390</v>
      </c>
      <c r="H10626" s="730">
        <v>890</v>
      </c>
      <c r="I10626" s="47">
        <v>45955</v>
      </c>
      <c r="J10626" s="48" t="s">
        <v>25523</v>
      </c>
      <c r="K10626" s="60"/>
      <c r="O10626" s="58" t="s">
        <v>25524</v>
      </c>
      <c r="P10626" s="45" t="s">
        <v>65</v>
      </c>
      <c r="Q10626" s="48" t="s">
        <v>110</v>
      </c>
      <c r="R10626" s="45" t="s">
        <v>272</v>
      </c>
    </row>
    <row r="10627" spans="2:18" ht="69" customHeight="1">
      <c r="B10627" s="239">
        <f t="shared" si="96"/>
        <v>7737</v>
      </c>
      <c r="C10627" s="59" t="s">
        <v>458</v>
      </c>
      <c r="D10627" s="489" t="s">
        <v>25525</v>
      </c>
      <c r="E10627" s="676" t="s">
        <v>266</v>
      </c>
      <c r="F10627" s="676" t="s">
        <v>25526</v>
      </c>
      <c r="G10627" s="677" t="s">
        <v>25422</v>
      </c>
      <c r="H10627" s="198">
        <v>1078.5</v>
      </c>
      <c r="I10627" s="47">
        <v>45955</v>
      </c>
      <c r="J10627" s="48" t="s">
        <v>25527</v>
      </c>
      <c r="K10627" s="60"/>
      <c r="O10627" s="45" t="s">
        <v>10810</v>
      </c>
      <c r="P10627" s="45" t="s">
        <v>67</v>
      </c>
      <c r="Q10627" s="48" t="s">
        <v>96</v>
      </c>
      <c r="R10627" s="45" t="s">
        <v>272</v>
      </c>
    </row>
    <row r="10628" spans="2:18" ht="69" customHeight="1">
      <c r="B10628" s="239">
        <f t="shared" si="96"/>
        <v>7738</v>
      </c>
      <c r="C10628" s="59" t="s">
        <v>657</v>
      </c>
      <c r="D10628" s="489" t="s">
        <v>20582</v>
      </c>
      <c r="E10628" s="676" t="s">
        <v>266</v>
      </c>
      <c r="F10628" s="676" t="s">
        <v>25528</v>
      </c>
      <c r="G10628" s="677" t="s">
        <v>25422</v>
      </c>
      <c r="H10628" s="198">
        <v>1078.5</v>
      </c>
      <c r="I10628" s="47">
        <v>45955</v>
      </c>
      <c r="J10628" s="48" t="s">
        <v>25527</v>
      </c>
      <c r="K10628" s="60"/>
      <c r="O10628" s="45" t="s">
        <v>10810</v>
      </c>
      <c r="P10628" s="45" t="s">
        <v>67</v>
      </c>
      <c r="Q10628" s="48" t="s">
        <v>96</v>
      </c>
      <c r="R10628" s="45" t="s">
        <v>272</v>
      </c>
    </row>
    <row r="10629" spans="2:18" ht="69" customHeight="1">
      <c r="B10629" s="232">
        <f t="shared" si="96"/>
        <v>7739</v>
      </c>
      <c r="C10629" s="680" t="s">
        <v>6693</v>
      </c>
      <c r="D10629" s="551" t="s">
        <v>25529</v>
      </c>
      <c r="E10629" s="680" t="s">
        <v>266</v>
      </c>
      <c r="F10629" s="58" t="s">
        <v>25530</v>
      </c>
      <c r="G10629" s="58" t="s">
        <v>25531</v>
      </c>
      <c r="H10629" s="552">
        <v>14000</v>
      </c>
      <c r="I10629" s="130">
        <v>46037</v>
      </c>
      <c r="J10629" s="65" t="s">
        <v>25532</v>
      </c>
      <c r="K10629" s="237" t="s">
        <v>25533</v>
      </c>
      <c r="O10629" s="58" t="s">
        <v>21304</v>
      </c>
      <c r="P10629" s="58" t="s">
        <v>65</v>
      </c>
      <c r="Q10629" s="62" t="s">
        <v>78</v>
      </c>
      <c r="R10629" s="58" t="s">
        <v>272</v>
      </c>
    </row>
    <row r="10630" spans="2:18" ht="69" customHeight="1">
      <c r="B10630" s="959">
        <f t="shared" ref="B10630:B10633" si="97">B10629+1</f>
        <v>7740</v>
      </c>
      <c r="C10630" s="638" t="s">
        <v>11908</v>
      </c>
      <c r="D10630" s="950" t="s">
        <v>25534</v>
      </c>
      <c r="E10630" s="739" t="s">
        <v>266</v>
      </c>
      <c r="F10630" s="61" t="s">
        <v>25535</v>
      </c>
      <c r="G10630" s="61" t="s">
        <v>25536</v>
      </c>
      <c r="H10630" s="806">
        <v>15000</v>
      </c>
      <c r="I10630" s="130">
        <v>46037</v>
      </c>
      <c r="J10630" s="417" t="s">
        <v>25537</v>
      </c>
      <c r="K10630" s="60" t="s">
        <v>25533</v>
      </c>
      <c r="O10630" s="45" t="s">
        <v>21304</v>
      </c>
      <c r="P10630" s="45" t="s">
        <v>65</v>
      </c>
      <c r="Q10630" s="48" t="s">
        <v>103</v>
      </c>
      <c r="R10630" s="45" t="s">
        <v>272</v>
      </c>
    </row>
    <row r="10631" spans="2:18" ht="69" customHeight="1">
      <c r="B10631" s="454">
        <f t="shared" si="97"/>
        <v>7741</v>
      </c>
      <c r="C10631" s="451" t="s">
        <v>10937</v>
      </c>
      <c r="D10631" s="667" t="s">
        <v>21013</v>
      </c>
      <c r="E10631" s="451" t="s">
        <v>266</v>
      </c>
      <c r="F10631" s="455" t="s">
        <v>25538</v>
      </c>
      <c r="G10631" s="455" t="s">
        <v>25539</v>
      </c>
      <c r="H10631" s="666">
        <v>23624.21</v>
      </c>
      <c r="I10631" s="456"/>
      <c r="J10631" s="453" t="s">
        <v>25540</v>
      </c>
      <c r="K10631" s="912" t="s">
        <v>25533</v>
      </c>
      <c r="O10631" s="45" t="s">
        <v>25541</v>
      </c>
      <c r="P10631" s="45" t="s">
        <v>65</v>
      </c>
      <c r="Q10631" s="48" t="s">
        <v>104</v>
      </c>
      <c r="R10631" s="45" t="s">
        <v>272</v>
      </c>
    </row>
    <row r="10632" spans="2:18" ht="69" customHeight="1">
      <c r="B10632" s="239">
        <f t="shared" si="97"/>
        <v>7742</v>
      </c>
      <c r="C10632" s="676" t="s">
        <v>10937</v>
      </c>
      <c r="D10632" s="489" t="s">
        <v>17825</v>
      </c>
      <c r="E10632" s="676" t="s">
        <v>266</v>
      </c>
      <c r="F10632" s="45" t="s">
        <v>25542</v>
      </c>
      <c r="G10632" s="45" t="s">
        <v>25543</v>
      </c>
      <c r="H10632" s="198">
        <v>29292.400000000001</v>
      </c>
      <c r="I10632" s="47">
        <v>45966</v>
      </c>
      <c r="J10632" s="73" t="s">
        <v>25544</v>
      </c>
      <c r="K10632" s="45" t="s">
        <v>25533</v>
      </c>
      <c r="O10632" s="45" t="s">
        <v>25541</v>
      </c>
      <c r="P10632" s="45" t="s">
        <v>65</v>
      </c>
      <c r="Q10632" s="48" t="s">
        <v>104</v>
      </c>
      <c r="R10632" s="45" t="s">
        <v>272</v>
      </c>
    </row>
    <row r="10633" spans="2:18" ht="69" customHeight="1">
      <c r="B10633" s="239">
        <f t="shared" si="97"/>
        <v>7743</v>
      </c>
      <c r="C10633" s="676" t="s">
        <v>10937</v>
      </c>
      <c r="D10633" s="489" t="s">
        <v>25545</v>
      </c>
      <c r="E10633" s="676" t="s">
        <v>266</v>
      </c>
      <c r="F10633" s="677" t="s">
        <v>25546</v>
      </c>
      <c r="G10633" s="95" t="s">
        <v>23389</v>
      </c>
      <c r="H10633" s="198">
        <v>31.69</v>
      </c>
      <c r="I10633" s="47">
        <v>45966</v>
      </c>
      <c r="J10633" s="242" t="s">
        <v>25547</v>
      </c>
      <c r="K10633" s="1054" t="s">
        <v>24631</v>
      </c>
      <c r="O10633" s="45" t="s">
        <v>12529</v>
      </c>
      <c r="P10633" s="45" t="s">
        <v>67</v>
      </c>
      <c r="Q10633" s="48" t="s">
        <v>96</v>
      </c>
      <c r="R10633" s="45" t="s">
        <v>272</v>
      </c>
    </row>
    <row r="10634" spans="2:18" ht="69" customHeight="1">
      <c r="B10634" s="79">
        <f>B10633+1</f>
        <v>7744</v>
      </c>
      <c r="C10634" s="44" t="s">
        <v>7189</v>
      </c>
      <c r="D10634" s="84" t="s">
        <v>20937</v>
      </c>
      <c r="E10634" s="45" t="s">
        <v>15436</v>
      </c>
      <c r="F10634" s="45" t="s">
        <v>25548</v>
      </c>
      <c r="G10634" s="45" t="s">
        <v>16034</v>
      </c>
      <c r="H10634" s="198">
        <v>9749.86</v>
      </c>
      <c r="I10634" s="47">
        <v>45966</v>
      </c>
      <c r="J10634" s="73" t="s">
        <v>25549</v>
      </c>
      <c r="K10634" s="45" t="s">
        <v>96</v>
      </c>
      <c r="O10634" s="45" t="s">
        <v>15440</v>
      </c>
      <c r="P10634" s="45" t="s">
        <v>55</v>
      </c>
      <c r="Q10634" s="45" t="s">
        <v>97</v>
      </c>
      <c r="R10634" s="45" t="s">
        <v>272</v>
      </c>
    </row>
    <row r="10635" spans="2:18" ht="69" customHeight="1">
      <c r="B10635" s="239">
        <f>B10634+1</f>
        <v>7745</v>
      </c>
      <c r="C10635" s="909" t="s">
        <v>8797</v>
      </c>
      <c r="D10635" s="489" t="s">
        <v>20933</v>
      </c>
      <c r="E10635" s="45" t="s">
        <v>24808</v>
      </c>
      <c r="F10635" s="677" t="s">
        <v>25550</v>
      </c>
      <c r="G10635" s="45" t="s">
        <v>25551</v>
      </c>
      <c r="H10635" s="1007">
        <v>167.2</v>
      </c>
      <c r="I10635" s="47">
        <v>45986</v>
      </c>
      <c r="J10635" s="47" t="s">
        <v>25552</v>
      </c>
      <c r="K10635" s="60"/>
      <c r="O10635" s="45" t="s">
        <v>24808</v>
      </c>
      <c r="P10635" s="45" t="s">
        <v>65</v>
      </c>
      <c r="Q10635" s="48" t="s">
        <v>110</v>
      </c>
      <c r="R10635" s="45" t="s">
        <v>272</v>
      </c>
    </row>
    <row r="10636" spans="2:18" ht="69" customHeight="1">
      <c r="B10636" s="239">
        <f t="shared" ref="B10636:B10696" si="98">B10635+1</f>
        <v>7746</v>
      </c>
      <c r="C10636" s="909" t="s">
        <v>8797</v>
      </c>
      <c r="D10636" s="489" t="s">
        <v>25553</v>
      </c>
      <c r="E10636" s="45" t="s">
        <v>24808</v>
      </c>
      <c r="F10636" s="677" t="s">
        <v>25554</v>
      </c>
      <c r="G10636" s="677" t="s">
        <v>25555</v>
      </c>
      <c r="H10636" s="1007">
        <v>677.66</v>
      </c>
      <c r="I10636" s="47">
        <v>45986</v>
      </c>
      <c r="J10636" s="47" t="s">
        <v>25552</v>
      </c>
      <c r="K10636" s="60"/>
      <c r="O10636" s="45" t="s">
        <v>24808</v>
      </c>
      <c r="P10636" s="45" t="s">
        <v>65</v>
      </c>
      <c r="Q10636" s="48" t="s">
        <v>110</v>
      </c>
      <c r="R10636" s="45" t="s">
        <v>272</v>
      </c>
    </row>
    <row r="10637" spans="2:18" ht="69" customHeight="1">
      <c r="B10637" s="239">
        <f t="shared" si="98"/>
        <v>7747</v>
      </c>
      <c r="C10637" s="909" t="s">
        <v>8797</v>
      </c>
      <c r="D10637" s="489" t="s">
        <v>20935</v>
      </c>
      <c r="E10637" s="71" t="s">
        <v>25388</v>
      </c>
      <c r="F10637" s="677" t="s">
        <v>25556</v>
      </c>
      <c r="G10637" s="45" t="s">
        <v>25390</v>
      </c>
      <c r="H10637" s="730">
        <v>890</v>
      </c>
      <c r="I10637" s="47">
        <v>45986</v>
      </c>
      <c r="J10637" s="48" t="s">
        <v>25557</v>
      </c>
      <c r="K10637" s="60"/>
      <c r="O10637" s="45" t="s">
        <v>25388</v>
      </c>
      <c r="P10637" s="45" t="s">
        <v>65</v>
      </c>
      <c r="Q10637" s="48" t="s">
        <v>110</v>
      </c>
      <c r="R10637" s="45" t="s">
        <v>272</v>
      </c>
    </row>
    <row r="10638" spans="2:18" ht="69" customHeight="1">
      <c r="B10638" s="239">
        <f t="shared" si="98"/>
        <v>7748</v>
      </c>
      <c r="C10638" s="59" t="s">
        <v>11933</v>
      </c>
      <c r="D10638" s="489" t="s">
        <v>25558</v>
      </c>
      <c r="E10638" s="649" t="s">
        <v>22398</v>
      </c>
      <c r="F10638" s="45" t="s">
        <v>25559</v>
      </c>
      <c r="G10638" s="45" t="s">
        <v>25560</v>
      </c>
      <c r="H10638" s="198">
        <v>22943.38</v>
      </c>
      <c r="I10638" s="47">
        <v>45986</v>
      </c>
      <c r="J10638" s="73" t="s">
        <v>25561</v>
      </c>
      <c r="K10638" s="60"/>
      <c r="O10638" s="45" t="s">
        <v>21304</v>
      </c>
      <c r="P10638" s="45" t="s">
        <v>77</v>
      </c>
      <c r="Q10638" s="48" t="s">
        <v>123</v>
      </c>
      <c r="R10638" s="45" t="s">
        <v>272</v>
      </c>
    </row>
    <row r="10639" spans="2:18" ht="69" customHeight="1">
      <c r="B10639" s="239">
        <f t="shared" si="98"/>
        <v>7749</v>
      </c>
      <c r="C10639" s="549" t="s">
        <v>11618</v>
      </c>
      <c r="D10639" s="489" t="s">
        <v>25562</v>
      </c>
      <c r="E10639" s="649" t="s">
        <v>22398</v>
      </c>
      <c r="F10639" s="60" t="s">
        <v>25563</v>
      </c>
      <c r="G10639" s="45" t="s">
        <v>25564</v>
      </c>
      <c r="H10639" s="198">
        <v>45954.239999999998</v>
      </c>
      <c r="I10639" s="47">
        <v>45986</v>
      </c>
      <c r="J10639" s="73" t="s">
        <v>25565</v>
      </c>
      <c r="K10639" s="60"/>
      <c r="O10639" s="45" t="s">
        <v>21304</v>
      </c>
      <c r="P10639" s="45" t="s">
        <v>77</v>
      </c>
      <c r="Q10639" s="48" t="s">
        <v>122</v>
      </c>
      <c r="R10639" s="45" t="s">
        <v>272</v>
      </c>
    </row>
    <row r="10640" spans="2:18" ht="69" customHeight="1">
      <c r="B10640" s="239">
        <f t="shared" si="98"/>
        <v>7750</v>
      </c>
      <c r="C10640" s="59" t="s">
        <v>11568</v>
      </c>
      <c r="D10640" s="489" t="s">
        <v>25566</v>
      </c>
      <c r="E10640" s="45" t="s">
        <v>15202</v>
      </c>
      <c r="F10640" s="45" t="s">
        <v>25567</v>
      </c>
      <c r="G10640" s="45" t="s">
        <v>25568</v>
      </c>
      <c r="H10640" s="198">
        <v>917215.37</v>
      </c>
      <c r="I10640" s="47">
        <v>45966</v>
      </c>
      <c r="J10640" s="48" t="s">
        <v>25569</v>
      </c>
      <c r="K10640" s="808" t="s">
        <v>25570</v>
      </c>
      <c r="O10640" s="45" t="s">
        <v>175</v>
      </c>
      <c r="P10640" s="45" t="s">
        <v>57</v>
      </c>
      <c r="Q10640" s="48" t="s">
        <v>107</v>
      </c>
      <c r="R10640" s="45" t="s">
        <v>272</v>
      </c>
    </row>
    <row r="10641" spans="1:18" ht="69" customHeight="1">
      <c r="B10641" s="239">
        <f t="shared" si="98"/>
        <v>7751</v>
      </c>
      <c r="C10641" s="45" t="s">
        <v>11618</v>
      </c>
      <c r="D10641" s="489" t="s">
        <v>25571</v>
      </c>
      <c r="E10641" s="45" t="s">
        <v>15202</v>
      </c>
      <c r="F10641" s="45" t="s">
        <v>25572</v>
      </c>
      <c r="G10641" s="45" t="s">
        <v>25573</v>
      </c>
      <c r="H10641" s="198">
        <v>673501.97</v>
      </c>
      <c r="I10641" s="47">
        <v>45976</v>
      </c>
      <c r="J10641" s="73" t="s">
        <v>25574</v>
      </c>
      <c r="K10641" s="60" t="s">
        <v>25575</v>
      </c>
      <c r="O10641" s="45" t="s">
        <v>175</v>
      </c>
      <c r="P10641" s="45" t="s">
        <v>57</v>
      </c>
      <c r="Q10641" s="48" t="s">
        <v>122</v>
      </c>
      <c r="R10641" s="45" t="s">
        <v>272</v>
      </c>
    </row>
    <row r="10642" spans="1:18" ht="69" customHeight="1">
      <c r="B10642" s="239">
        <f t="shared" si="98"/>
        <v>7752</v>
      </c>
      <c r="C10642" s="59" t="s">
        <v>9215</v>
      </c>
      <c r="D10642" s="489" t="s">
        <v>25576</v>
      </c>
      <c r="E10642" s="45" t="s">
        <v>15202</v>
      </c>
      <c r="F10642" s="45" t="s">
        <v>25577</v>
      </c>
      <c r="G10642" s="45" t="s">
        <v>25578</v>
      </c>
      <c r="H10642" s="198">
        <v>416331.95</v>
      </c>
      <c r="I10642" s="47">
        <v>45976</v>
      </c>
      <c r="J10642" s="73" t="s">
        <v>25574</v>
      </c>
      <c r="K10642" s="60" t="s">
        <v>25575</v>
      </c>
      <c r="O10642" s="45" t="s">
        <v>175</v>
      </c>
      <c r="P10642" s="45" t="s">
        <v>57</v>
      </c>
      <c r="Q10642" s="48" t="s">
        <v>113</v>
      </c>
      <c r="R10642" s="45" t="s">
        <v>272</v>
      </c>
    </row>
    <row r="10643" spans="1:18" ht="69" customHeight="1">
      <c r="B10643" s="239">
        <f t="shared" si="98"/>
        <v>7753</v>
      </c>
      <c r="C10643" s="59" t="s">
        <v>11568</v>
      </c>
      <c r="D10643" s="675" t="s">
        <v>25579</v>
      </c>
      <c r="E10643" s="45" t="s">
        <v>266</v>
      </c>
      <c r="F10643" s="45" t="s">
        <v>8439</v>
      </c>
      <c r="G10643" s="45" t="s">
        <v>25511</v>
      </c>
      <c r="H10643" s="198">
        <v>23300</v>
      </c>
      <c r="I10643" s="47">
        <v>45966</v>
      </c>
      <c r="J10643" s="73" t="s">
        <v>25580</v>
      </c>
      <c r="K10643" s="60"/>
      <c r="O10643" s="45" t="s">
        <v>13240</v>
      </c>
      <c r="P10643" s="45" t="s">
        <v>71</v>
      </c>
      <c r="Q10643" s="48" t="s">
        <v>107</v>
      </c>
      <c r="R10643" s="45" t="s">
        <v>272</v>
      </c>
    </row>
    <row r="10644" spans="1:18" ht="69" customHeight="1">
      <c r="B10644" s="1049">
        <f>B10643+1</f>
        <v>7754</v>
      </c>
      <c r="C10644" s="1051" t="s">
        <v>21622</v>
      </c>
      <c r="D10644" s="1050" t="s">
        <v>25581</v>
      </c>
      <c r="E10644" s="1051" t="s">
        <v>17212</v>
      </c>
      <c r="F10644" s="1051" t="s">
        <v>25582</v>
      </c>
      <c r="G10644" s="1051" t="s">
        <v>25583</v>
      </c>
      <c r="H10644" s="1055">
        <v>460</v>
      </c>
      <c r="I10644" s="1052"/>
      <c r="J10644" s="1056" t="s">
        <v>25584</v>
      </c>
      <c r="K10644" s="1053"/>
      <c r="O10644" s="45" t="s">
        <v>16399</v>
      </c>
      <c r="P10644" s="45" t="s">
        <v>65</v>
      </c>
      <c r="Q10644" s="48" t="s">
        <v>113</v>
      </c>
      <c r="R10644" s="45" t="s">
        <v>272</v>
      </c>
    </row>
    <row r="10645" spans="1:18" ht="69" customHeight="1">
      <c r="B10645" s="239">
        <f t="shared" si="98"/>
        <v>7755</v>
      </c>
      <c r="C10645" s="44" t="s">
        <v>7189</v>
      </c>
      <c r="D10645" s="675" t="s">
        <v>21106</v>
      </c>
      <c r="E10645" s="45" t="s">
        <v>266</v>
      </c>
      <c r="F10645" s="677" t="s">
        <v>25585</v>
      </c>
      <c r="G10645" s="45" t="s">
        <v>25511</v>
      </c>
      <c r="H10645" s="198">
        <v>20970</v>
      </c>
      <c r="I10645" s="47">
        <v>45966</v>
      </c>
      <c r="J10645" s="73" t="s">
        <v>25580</v>
      </c>
      <c r="K10645" s="60"/>
      <c r="O10645" s="45" t="s">
        <v>13240</v>
      </c>
      <c r="P10645" s="45" t="s">
        <v>71</v>
      </c>
      <c r="Q10645" s="48" t="s">
        <v>97</v>
      </c>
      <c r="R10645" s="45" t="s">
        <v>272</v>
      </c>
    </row>
    <row r="10646" spans="1:18" ht="69" customHeight="1">
      <c r="B10646" s="239">
        <f t="shared" si="98"/>
        <v>7756</v>
      </c>
      <c r="C10646" s="676" t="s">
        <v>10937</v>
      </c>
      <c r="D10646" s="675" t="s">
        <v>21128</v>
      </c>
      <c r="E10646" s="45" t="s">
        <v>266</v>
      </c>
      <c r="F10646" s="677" t="s">
        <v>25586</v>
      </c>
      <c r="G10646" s="45" t="s">
        <v>25511</v>
      </c>
      <c r="H10646" s="198">
        <v>23300</v>
      </c>
      <c r="I10646" s="47">
        <v>45966</v>
      </c>
      <c r="J10646" s="73" t="s">
        <v>25580</v>
      </c>
      <c r="K10646" s="60"/>
      <c r="O10646" s="45" t="s">
        <v>13240</v>
      </c>
      <c r="P10646" s="45" t="s">
        <v>71</v>
      </c>
      <c r="Q10646" s="48" t="s">
        <v>104</v>
      </c>
      <c r="R10646" s="45" t="s">
        <v>272</v>
      </c>
    </row>
    <row r="10647" spans="1:18" ht="69" customHeight="1">
      <c r="B10647" s="239">
        <f t="shared" si="98"/>
        <v>7757</v>
      </c>
      <c r="C10647" s="909" t="s">
        <v>8797</v>
      </c>
      <c r="D10647" s="675" t="s">
        <v>25587</v>
      </c>
      <c r="E10647" s="45" t="s">
        <v>266</v>
      </c>
      <c r="F10647" s="677" t="s">
        <v>25588</v>
      </c>
      <c r="G10647" s="45" t="s">
        <v>25511</v>
      </c>
      <c r="H10647" s="198">
        <v>23300</v>
      </c>
      <c r="I10647" s="47">
        <v>45966</v>
      </c>
      <c r="J10647" s="73" t="s">
        <v>25580</v>
      </c>
      <c r="K10647" s="60"/>
      <c r="O10647" s="45" t="s">
        <v>13240</v>
      </c>
      <c r="P10647" s="45" t="s">
        <v>71</v>
      </c>
      <c r="Q10647" s="48" t="s">
        <v>110</v>
      </c>
      <c r="R10647" s="45" t="s">
        <v>272</v>
      </c>
    </row>
    <row r="10648" spans="1:18" ht="69" customHeight="1">
      <c r="B10648" s="239">
        <f t="shared" si="98"/>
        <v>7758</v>
      </c>
      <c r="C10648" s="45" t="s">
        <v>21622</v>
      </c>
      <c r="D10648" s="675" t="s">
        <v>25589</v>
      </c>
      <c r="E10648" s="45" t="s">
        <v>266</v>
      </c>
      <c r="F10648" s="677" t="s">
        <v>25590</v>
      </c>
      <c r="G10648" s="45" t="s">
        <v>25511</v>
      </c>
      <c r="H10648" s="198">
        <v>23300</v>
      </c>
      <c r="I10648" s="47">
        <v>45966</v>
      </c>
      <c r="J10648" s="73" t="s">
        <v>25580</v>
      </c>
      <c r="K10648" s="60"/>
      <c r="O10648" s="45" t="s">
        <v>13240</v>
      </c>
      <c r="P10648" s="45" t="s">
        <v>71</v>
      </c>
      <c r="Q10648" s="48" t="s">
        <v>113</v>
      </c>
      <c r="R10648" s="45" t="s">
        <v>272</v>
      </c>
    </row>
    <row r="10649" spans="1:18" ht="69" customHeight="1">
      <c r="B10649" s="239">
        <f t="shared" si="98"/>
        <v>7759</v>
      </c>
      <c r="C10649" s="909" t="s">
        <v>8797</v>
      </c>
      <c r="D10649" s="489" t="s">
        <v>21171</v>
      </c>
      <c r="E10649" s="956" t="s">
        <v>24499</v>
      </c>
      <c r="F10649" s="956" t="s">
        <v>25591</v>
      </c>
      <c r="G10649" s="1067" t="s">
        <v>25592</v>
      </c>
      <c r="H10649" s="198">
        <v>33170.15</v>
      </c>
      <c r="I10649" s="47">
        <v>45986</v>
      </c>
      <c r="J10649" s="73" t="s">
        <v>25593</v>
      </c>
      <c r="K10649" s="60"/>
      <c r="O10649" s="45" t="s">
        <v>24503</v>
      </c>
      <c r="P10649" s="45" t="s">
        <v>92</v>
      </c>
      <c r="Q10649" s="48" t="s">
        <v>110</v>
      </c>
      <c r="R10649" s="45" t="s">
        <v>272</v>
      </c>
    </row>
    <row r="10650" spans="1:18" ht="69" customHeight="1">
      <c r="A10650" s="168"/>
      <c r="B10650" s="59">
        <v>8513</v>
      </c>
      <c r="C10650" s="59" t="s">
        <v>458</v>
      </c>
      <c r="D10650" s="581" t="s">
        <v>2100</v>
      </c>
      <c r="E10650" s="59" t="s">
        <v>5708</v>
      </c>
      <c r="F10650" s="569" t="s">
        <v>25594</v>
      </c>
      <c r="G10650" s="45" t="s">
        <v>6933</v>
      </c>
      <c r="H10650" s="198">
        <v>5580</v>
      </c>
      <c r="I10650" s="47">
        <v>44860</v>
      </c>
      <c r="J10650" s="410" t="s">
        <v>25595</v>
      </c>
      <c r="K10650" s="58"/>
      <c r="L10650" s="99"/>
      <c r="M10650" s="58" t="s">
        <v>5713</v>
      </c>
      <c r="N10650" s="58" t="s">
        <v>24</v>
      </c>
      <c r="O10650" s="58" t="s">
        <v>100</v>
      </c>
      <c r="P10650" s="58" t="s">
        <v>24</v>
      </c>
      <c r="Q10650" s="58" t="s">
        <v>100</v>
      </c>
      <c r="R10650" s="45" t="s">
        <v>265</v>
      </c>
    </row>
    <row r="10651" spans="1:18" ht="69" customHeight="1">
      <c r="B10651" s="239">
        <f t="shared" si="98"/>
        <v>8514</v>
      </c>
      <c r="C10651" s="59" t="s">
        <v>11568</v>
      </c>
      <c r="D10651" s="489" t="s">
        <v>25596</v>
      </c>
      <c r="E10651" s="956" t="s">
        <v>24499</v>
      </c>
      <c r="F10651" s="677" t="s">
        <v>25597</v>
      </c>
      <c r="G10651" s="45" t="s">
        <v>25598</v>
      </c>
      <c r="H10651" s="198">
        <v>134784</v>
      </c>
      <c r="I10651" s="47">
        <v>45986</v>
      </c>
      <c r="J10651" s="410" t="s">
        <v>25599</v>
      </c>
      <c r="K10651" s="60"/>
      <c r="O10651" s="45" t="s">
        <v>24503</v>
      </c>
      <c r="P10651" s="58" t="s">
        <v>92</v>
      </c>
      <c r="Q10651" s="48" t="s">
        <v>107</v>
      </c>
      <c r="R10651" s="45" t="s">
        <v>272</v>
      </c>
    </row>
    <row r="10652" spans="1:18" ht="69" customHeight="1">
      <c r="B10652" s="239">
        <f t="shared" si="98"/>
        <v>8515</v>
      </c>
      <c r="C10652" s="45" t="s">
        <v>21622</v>
      </c>
      <c r="D10652" s="489" t="s">
        <v>25600</v>
      </c>
      <c r="E10652" s="956" t="s">
        <v>24499</v>
      </c>
      <c r="F10652" s="677" t="s">
        <v>25601</v>
      </c>
      <c r="G10652" s="45" t="s">
        <v>25602</v>
      </c>
      <c r="H10652" s="198">
        <v>110592</v>
      </c>
      <c r="I10652" s="47">
        <v>45986</v>
      </c>
      <c r="J10652" s="410" t="s">
        <v>25599</v>
      </c>
      <c r="K10652" s="60"/>
      <c r="O10652" s="45" t="s">
        <v>24503</v>
      </c>
      <c r="P10652" s="58" t="s">
        <v>92</v>
      </c>
      <c r="Q10652" s="48" t="s">
        <v>113</v>
      </c>
      <c r="R10652" s="45" t="s">
        <v>272</v>
      </c>
    </row>
    <row r="10653" spans="1:18" ht="69" customHeight="1">
      <c r="B10653" s="239">
        <f t="shared" si="98"/>
        <v>8516</v>
      </c>
      <c r="C10653" s="45" t="s">
        <v>11618</v>
      </c>
      <c r="D10653" s="489" t="s">
        <v>25603</v>
      </c>
      <c r="E10653" s="956" t="s">
        <v>24499</v>
      </c>
      <c r="F10653" s="677" t="s">
        <v>25604</v>
      </c>
      <c r="G10653" s="45" t="s">
        <v>25602</v>
      </c>
      <c r="H10653" s="198">
        <v>136512</v>
      </c>
      <c r="I10653" s="47">
        <v>45986</v>
      </c>
      <c r="J10653" s="410" t="s">
        <v>25599</v>
      </c>
      <c r="K10653" s="60"/>
      <c r="O10653" s="45" t="s">
        <v>24503</v>
      </c>
      <c r="P10653" s="58" t="s">
        <v>92</v>
      </c>
      <c r="Q10653" s="48" t="s">
        <v>122</v>
      </c>
      <c r="R10653" s="45" t="s">
        <v>272</v>
      </c>
    </row>
    <row r="10654" spans="1:18" ht="69" customHeight="1">
      <c r="B10654" s="239">
        <f t="shared" si="98"/>
        <v>8517</v>
      </c>
      <c r="C10654" s="44" t="s">
        <v>7189</v>
      </c>
      <c r="D10654" s="489" t="s">
        <v>21173</v>
      </c>
      <c r="E10654" s="956" t="s">
        <v>24499</v>
      </c>
      <c r="F10654" s="677" t="s">
        <v>25605</v>
      </c>
      <c r="G10654" s="45" t="s">
        <v>25606</v>
      </c>
      <c r="H10654" s="198">
        <v>110592</v>
      </c>
      <c r="I10654" s="47">
        <v>45986</v>
      </c>
      <c r="J10654" s="410" t="s">
        <v>25599</v>
      </c>
      <c r="K10654" s="60"/>
      <c r="O10654" s="45" t="s">
        <v>24503</v>
      </c>
      <c r="P10654" s="58" t="s">
        <v>92</v>
      </c>
      <c r="Q10654" s="48" t="s">
        <v>97</v>
      </c>
      <c r="R10654" s="45" t="s">
        <v>272</v>
      </c>
    </row>
    <row r="10655" spans="1:18" ht="69" customHeight="1">
      <c r="B10655" s="239">
        <f t="shared" si="98"/>
        <v>8518</v>
      </c>
      <c r="C10655" s="59" t="s">
        <v>13435</v>
      </c>
      <c r="D10655" s="489" t="s">
        <v>25607</v>
      </c>
      <c r="E10655" s="956" t="s">
        <v>24499</v>
      </c>
      <c r="F10655" s="677" t="s">
        <v>25608</v>
      </c>
      <c r="G10655" s="45" t="s">
        <v>25606</v>
      </c>
      <c r="H10655" s="198">
        <v>127872</v>
      </c>
      <c r="I10655" s="47">
        <v>45986</v>
      </c>
      <c r="J10655" s="410" t="s">
        <v>25599</v>
      </c>
      <c r="K10655" s="60"/>
      <c r="O10655" s="45" t="s">
        <v>24503</v>
      </c>
      <c r="P10655" s="58" t="s">
        <v>92</v>
      </c>
      <c r="Q10655" s="48" t="s">
        <v>13</v>
      </c>
      <c r="R10655" s="45" t="s">
        <v>272</v>
      </c>
    </row>
    <row r="10656" spans="1:18" ht="69" customHeight="1">
      <c r="B10656" s="239">
        <f t="shared" si="98"/>
        <v>8519</v>
      </c>
      <c r="C10656" s="59" t="s">
        <v>581</v>
      </c>
      <c r="D10656" s="489" t="s">
        <v>25609</v>
      </c>
      <c r="E10656" s="956" t="s">
        <v>24499</v>
      </c>
      <c r="F10656" s="677" t="s">
        <v>25610</v>
      </c>
      <c r="G10656" s="45" t="s">
        <v>25606</v>
      </c>
      <c r="H10656" s="198">
        <v>101952</v>
      </c>
      <c r="I10656" s="47">
        <v>45986</v>
      </c>
      <c r="J10656" s="410" t="s">
        <v>25599</v>
      </c>
      <c r="K10656" s="60"/>
      <c r="O10656" s="45" t="s">
        <v>24503</v>
      </c>
      <c r="P10656" s="58" t="s">
        <v>92</v>
      </c>
      <c r="Q10656" s="48" t="s">
        <v>18</v>
      </c>
      <c r="R10656" s="45" t="s">
        <v>272</v>
      </c>
    </row>
    <row r="10657" spans="1:18" ht="69" customHeight="1">
      <c r="B10657" s="239">
        <f t="shared" si="98"/>
        <v>8520</v>
      </c>
      <c r="C10657" s="45" t="s">
        <v>1853</v>
      </c>
      <c r="D10657" s="489" t="s">
        <v>23329</v>
      </c>
      <c r="E10657" s="55" t="s">
        <v>266</v>
      </c>
      <c r="F10657" s="45" t="s">
        <v>25611</v>
      </c>
      <c r="G10657" s="45" t="s">
        <v>25612</v>
      </c>
      <c r="H10657" s="198">
        <v>38500</v>
      </c>
      <c r="I10657" s="47">
        <v>45996</v>
      </c>
      <c r="J10657" s="73" t="s">
        <v>25613</v>
      </c>
      <c r="K10657" s="198"/>
      <c r="O10657" s="45" t="s">
        <v>25614</v>
      </c>
      <c r="P10657" s="45" t="s">
        <v>65</v>
      </c>
      <c r="Q10657" s="48" t="s">
        <v>29</v>
      </c>
      <c r="R10657" s="45" t="s">
        <v>272</v>
      </c>
    </row>
    <row r="10658" spans="1:18" ht="69" customHeight="1">
      <c r="B10658" s="231">
        <f t="shared" si="98"/>
        <v>8521</v>
      </c>
      <c r="C10658" s="46" t="s">
        <v>17406</v>
      </c>
      <c r="D10658" s="502" t="s">
        <v>23337</v>
      </c>
      <c r="E10658" s="53" t="s">
        <v>266</v>
      </c>
      <c r="F10658" s="46" t="s">
        <v>25615</v>
      </c>
      <c r="G10658" s="46" t="s">
        <v>25616</v>
      </c>
      <c r="H10658" s="534">
        <v>47180</v>
      </c>
      <c r="I10658" s="56">
        <v>45996</v>
      </c>
      <c r="J10658" s="199" t="s">
        <v>25613</v>
      </c>
      <c r="K10658" s="534"/>
      <c r="O10658" s="46" t="s">
        <v>25614</v>
      </c>
      <c r="P10658" s="46" t="s">
        <v>65</v>
      </c>
      <c r="Q10658" s="52" t="s">
        <v>33</v>
      </c>
      <c r="R10658" s="46" t="s">
        <v>272</v>
      </c>
    </row>
    <row r="10659" spans="1:18" ht="69" customHeight="1">
      <c r="B10659" s="239">
        <f t="shared" si="98"/>
        <v>8522</v>
      </c>
      <c r="C10659" s="59" t="s">
        <v>11908</v>
      </c>
      <c r="D10659" s="489" t="s">
        <v>25617</v>
      </c>
      <c r="E10659" s="59" t="s">
        <v>266</v>
      </c>
      <c r="F10659" s="45" t="s">
        <v>25618</v>
      </c>
      <c r="G10659" s="45" t="s">
        <v>25543</v>
      </c>
      <c r="H10659" s="198">
        <v>9812.0400000000009</v>
      </c>
      <c r="I10659" s="47">
        <v>45996</v>
      </c>
      <c r="J10659" s="73" t="s">
        <v>25619</v>
      </c>
      <c r="K10659" s="45" t="s">
        <v>25533</v>
      </c>
      <c r="O10659" s="45" t="s">
        <v>25541</v>
      </c>
      <c r="P10659" s="45" t="s">
        <v>65</v>
      </c>
      <c r="Q10659" s="48" t="s">
        <v>103</v>
      </c>
      <c r="R10659" s="45" t="s">
        <v>272</v>
      </c>
    </row>
    <row r="10660" spans="1:18" ht="69" customHeight="1">
      <c r="B10660" s="239">
        <f t="shared" si="98"/>
        <v>8523</v>
      </c>
      <c r="C10660" s="676" t="s">
        <v>25162</v>
      </c>
      <c r="D10660" s="489" t="s">
        <v>2690</v>
      </c>
      <c r="E10660" s="45" t="s">
        <v>25620</v>
      </c>
      <c r="F10660" s="45" t="s">
        <v>25621</v>
      </c>
      <c r="G10660" s="45" t="s">
        <v>25622</v>
      </c>
      <c r="H10660" s="198">
        <v>23180</v>
      </c>
      <c r="I10660" s="47">
        <v>46006</v>
      </c>
      <c r="J10660" s="81" t="s">
        <v>25623</v>
      </c>
      <c r="K10660" s="748"/>
      <c r="O10660" s="45" t="s">
        <v>25624</v>
      </c>
      <c r="P10660" s="45" t="s">
        <v>67</v>
      </c>
      <c r="Q10660" s="48" t="s">
        <v>96</v>
      </c>
      <c r="R10660" s="45" t="s">
        <v>272</v>
      </c>
    </row>
    <row r="10661" spans="1:18" ht="69" customHeight="1">
      <c r="B10661" s="239">
        <f t="shared" si="98"/>
        <v>8524</v>
      </c>
      <c r="C10661" s="676" t="s">
        <v>25162</v>
      </c>
      <c r="D10661" s="489" t="s">
        <v>3403</v>
      </c>
      <c r="E10661" s="45" t="s">
        <v>25620</v>
      </c>
      <c r="F10661" s="45" t="s">
        <v>25625</v>
      </c>
      <c r="G10661" s="45" t="s">
        <v>25626</v>
      </c>
      <c r="H10661" s="198">
        <v>7808</v>
      </c>
      <c r="I10661" s="47">
        <v>46058</v>
      </c>
      <c r="J10661" s="81" t="s">
        <v>25623</v>
      </c>
      <c r="K10661" s="60"/>
      <c r="O10661" s="45" t="s">
        <v>25624</v>
      </c>
      <c r="P10661" s="45" t="s">
        <v>67</v>
      </c>
      <c r="Q10661" s="48" t="s">
        <v>96</v>
      </c>
      <c r="R10661" s="45" t="s">
        <v>272</v>
      </c>
    </row>
    <row r="10662" spans="1:18" ht="69" customHeight="1">
      <c r="B10662" s="239">
        <f t="shared" si="98"/>
        <v>8525</v>
      </c>
      <c r="C10662" s="676" t="s">
        <v>25162</v>
      </c>
      <c r="D10662" s="489" t="s">
        <v>6910</v>
      </c>
      <c r="E10662" s="45" t="s">
        <v>25620</v>
      </c>
      <c r="F10662" s="45" t="s">
        <v>25627</v>
      </c>
      <c r="G10662" s="45" t="s">
        <v>25628</v>
      </c>
      <c r="H10662" s="198">
        <v>500</v>
      </c>
      <c r="I10662" s="47">
        <v>46058</v>
      </c>
      <c r="J10662" s="81" t="s">
        <v>25623</v>
      </c>
      <c r="K10662" s="60"/>
      <c r="O10662" s="45" t="s">
        <v>25624</v>
      </c>
      <c r="P10662" s="45" t="s">
        <v>67</v>
      </c>
      <c r="Q10662" s="48" t="s">
        <v>96</v>
      </c>
      <c r="R10662" s="45" t="s">
        <v>272</v>
      </c>
    </row>
    <row r="10663" spans="1:18" ht="69" customHeight="1">
      <c r="B10663" s="239">
        <f t="shared" si="98"/>
        <v>8526</v>
      </c>
      <c r="C10663" s="676" t="s">
        <v>25162</v>
      </c>
      <c r="D10663" s="489" t="s">
        <v>3569</v>
      </c>
      <c r="E10663" s="45" t="s">
        <v>25620</v>
      </c>
      <c r="F10663" s="45" t="s">
        <v>25629</v>
      </c>
      <c r="G10663" s="45" t="s">
        <v>25630</v>
      </c>
      <c r="H10663" s="198">
        <v>15163.38</v>
      </c>
      <c r="I10663" s="47">
        <v>46006</v>
      </c>
      <c r="J10663" s="81" t="s">
        <v>25623</v>
      </c>
      <c r="K10663" s="60"/>
      <c r="O10663" s="45" t="s">
        <v>25624</v>
      </c>
      <c r="P10663" s="45" t="s">
        <v>67</v>
      </c>
      <c r="Q10663" s="48" t="s">
        <v>96</v>
      </c>
      <c r="R10663" s="45" t="s">
        <v>272</v>
      </c>
    </row>
    <row r="10664" spans="1:18" ht="69" customHeight="1">
      <c r="B10664" s="239">
        <f t="shared" si="98"/>
        <v>8527</v>
      </c>
      <c r="C10664" s="676" t="s">
        <v>25162</v>
      </c>
      <c r="D10664" s="489" t="s">
        <v>926</v>
      </c>
      <c r="E10664" s="45" t="s">
        <v>25620</v>
      </c>
      <c r="F10664" s="45" t="s">
        <v>25631</v>
      </c>
      <c r="G10664" s="45" t="s">
        <v>25632</v>
      </c>
      <c r="H10664" s="198">
        <v>35804.49</v>
      </c>
      <c r="I10664" s="47">
        <v>46006</v>
      </c>
      <c r="J10664" s="81" t="s">
        <v>25623</v>
      </c>
      <c r="K10664" s="60"/>
      <c r="O10664" s="45" t="s">
        <v>25624</v>
      </c>
      <c r="P10664" s="45" t="s">
        <v>67</v>
      </c>
      <c r="Q10664" s="48" t="s">
        <v>96</v>
      </c>
      <c r="R10664" s="45" t="s">
        <v>272</v>
      </c>
    </row>
    <row r="10665" spans="1:18" ht="69" customHeight="1">
      <c r="B10665" s="239">
        <f t="shared" si="98"/>
        <v>8528</v>
      </c>
      <c r="C10665" s="676" t="s">
        <v>25162</v>
      </c>
      <c r="D10665" s="489" t="s">
        <v>638</v>
      </c>
      <c r="E10665" s="45" t="s">
        <v>25620</v>
      </c>
      <c r="F10665" s="45" t="s">
        <v>25633</v>
      </c>
      <c r="G10665" s="45" t="s">
        <v>25634</v>
      </c>
      <c r="H10665" s="198">
        <v>12000</v>
      </c>
      <c r="I10665" s="47">
        <v>46058</v>
      </c>
      <c r="J10665" s="81" t="s">
        <v>25623</v>
      </c>
      <c r="K10665" s="60"/>
      <c r="O10665" s="45" t="s">
        <v>25624</v>
      </c>
      <c r="P10665" s="45" t="s">
        <v>67</v>
      </c>
      <c r="Q10665" s="48" t="s">
        <v>96</v>
      </c>
      <c r="R10665" s="45" t="s">
        <v>272</v>
      </c>
    </row>
    <row r="10666" spans="1:18" ht="69" customHeight="1">
      <c r="B10666" s="239">
        <f t="shared" si="98"/>
        <v>8529</v>
      </c>
      <c r="C10666" s="676" t="s">
        <v>25162</v>
      </c>
      <c r="D10666" s="489" t="s">
        <v>3397</v>
      </c>
      <c r="E10666" s="45" t="s">
        <v>25620</v>
      </c>
      <c r="F10666" s="45" t="s">
        <v>25635</v>
      </c>
      <c r="G10666" s="45" t="s">
        <v>25622</v>
      </c>
      <c r="H10666" s="198">
        <v>23180</v>
      </c>
      <c r="I10666" s="47">
        <v>46006</v>
      </c>
      <c r="J10666" s="81" t="s">
        <v>25623</v>
      </c>
      <c r="K10666" s="60"/>
      <c r="O10666" s="45" t="s">
        <v>25620</v>
      </c>
      <c r="P10666" s="45" t="s">
        <v>67</v>
      </c>
      <c r="Q10666" s="48" t="s">
        <v>96</v>
      </c>
      <c r="R10666" s="45" t="s">
        <v>272</v>
      </c>
    </row>
    <row r="10667" spans="1:18" ht="69" customHeight="1">
      <c r="B10667" s="1049">
        <f t="shared" si="98"/>
        <v>8530</v>
      </c>
      <c r="C10667" s="1069" t="s">
        <v>25162</v>
      </c>
      <c r="D10667" s="1050" t="s">
        <v>1999</v>
      </c>
      <c r="E10667" s="1051" t="s">
        <v>25620</v>
      </c>
      <c r="F10667" s="1051" t="s">
        <v>25636</v>
      </c>
      <c r="G10667" s="1051" t="s">
        <v>25626</v>
      </c>
      <c r="H10667" s="1055">
        <v>7808</v>
      </c>
      <c r="I10667" s="1052"/>
      <c r="J10667" s="1070" t="s">
        <v>25623</v>
      </c>
      <c r="K10667" s="1053"/>
      <c r="O10667" s="45" t="s">
        <v>25620</v>
      </c>
      <c r="P10667" s="45" t="s">
        <v>67</v>
      </c>
      <c r="Q10667" s="48" t="s">
        <v>96</v>
      </c>
      <c r="R10667" s="45" t="s">
        <v>272</v>
      </c>
    </row>
    <row r="10668" spans="1:18" ht="69" customHeight="1">
      <c r="B10668" s="1049">
        <f t="shared" si="98"/>
        <v>8531</v>
      </c>
      <c r="C10668" s="1069" t="s">
        <v>25162</v>
      </c>
      <c r="D10668" s="1050" t="s">
        <v>2462</v>
      </c>
      <c r="E10668" s="1051" t="s">
        <v>25620</v>
      </c>
      <c r="F10668" s="1051" t="s">
        <v>25636</v>
      </c>
      <c r="G10668" s="1051" t="s">
        <v>25628</v>
      </c>
      <c r="H10668" s="1055">
        <v>500</v>
      </c>
      <c r="I10668" s="1052"/>
      <c r="J10668" s="1070" t="s">
        <v>25623</v>
      </c>
      <c r="K10668" s="1053"/>
      <c r="O10668" s="45" t="s">
        <v>25620</v>
      </c>
      <c r="P10668" s="45" t="s">
        <v>67</v>
      </c>
      <c r="Q10668" s="48" t="s">
        <v>96</v>
      </c>
      <c r="R10668" s="45" t="s">
        <v>272</v>
      </c>
    </row>
    <row r="10669" spans="1:18" ht="69" customHeight="1">
      <c r="B10669" s="239">
        <f t="shared" si="98"/>
        <v>8532</v>
      </c>
      <c r="C10669" s="676" t="s">
        <v>25162</v>
      </c>
      <c r="D10669" s="489" t="s">
        <v>2708</v>
      </c>
      <c r="E10669" s="45" t="s">
        <v>25620</v>
      </c>
      <c r="F10669" s="45" t="s">
        <v>25637</v>
      </c>
      <c r="G10669" s="45" t="s">
        <v>25630</v>
      </c>
      <c r="H10669" s="198">
        <v>15163.38</v>
      </c>
      <c r="I10669" s="47">
        <v>46006</v>
      </c>
      <c r="J10669" s="81" t="s">
        <v>25623</v>
      </c>
      <c r="K10669" s="60"/>
      <c r="O10669" s="45" t="s">
        <v>25620</v>
      </c>
      <c r="P10669" s="45" t="s">
        <v>67</v>
      </c>
      <c r="Q10669" s="48" t="s">
        <v>96</v>
      </c>
      <c r="R10669" s="45" t="s">
        <v>272</v>
      </c>
    </row>
    <row r="10670" spans="1:18" ht="69" customHeight="1">
      <c r="B10670" s="239">
        <f t="shared" si="98"/>
        <v>8533</v>
      </c>
      <c r="C10670" s="676" t="s">
        <v>25162</v>
      </c>
      <c r="D10670" s="489" t="s">
        <v>931</v>
      </c>
      <c r="E10670" s="45" t="s">
        <v>25620</v>
      </c>
      <c r="F10670" s="45" t="s">
        <v>25638</v>
      </c>
      <c r="G10670" s="45" t="s">
        <v>25632</v>
      </c>
      <c r="H10670" s="198">
        <v>35804.49</v>
      </c>
      <c r="I10670" s="47">
        <v>46006</v>
      </c>
      <c r="J10670" s="81" t="s">
        <v>25623</v>
      </c>
      <c r="K10670" s="60"/>
      <c r="O10670" s="45" t="s">
        <v>25620</v>
      </c>
      <c r="P10670" s="45" t="s">
        <v>67</v>
      </c>
      <c r="Q10670" s="48" t="s">
        <v>96</v>
      </c>
      <c r="R10670" s="45" t="s">
        <v>272</v>
      </c>
    </row>
    <row r="10671" spans="1:18" ht="69" customHeight="1">
      <c r="B10671" s="1049">
        <f t="shared" si="98"/>
        <v>8534</v>
      </c>
      <c r="C10671" s="1069" t="s">
        <v>25162</v>
      </c>
      <c r="D10671" s="1050" t="s">
        <v>934</v>
      </c>
      <c r="E10671" s="1051" t="s">
        <v>25620</v>
      </c>
      <c r="F10671" s="1051" t="s">
        <v>25636</v>
      </c>
      <c r="G10671" s="1051" t="s">
        <v>25634</v>
      </c>
      <c r="H10671" s="1055">
        <v>12000</v>
      </c>
      <c r="I10671" s="1052"/>
      <c r="J10671" s="1070" t="s">
        <v>25623</v>
      </c>
      <c r="K10671" s="1053"/>
      <c r="O10671" s="45" t="s">
        <v>25620</v>
      </c>
      <c r="P10671" s="45" t="s">
        <v>67</v>
      </c>
      <c r="Q10671" s="48" t="s">
        <v>96</v>
      </c>
      <c r="R10671" s="45" t="s">
        <v>272</v>
      </c>
    </row>
    <row r="10672" spans="1:18" ht="69" customHeight="1">
      <c r="A10672" s="169"/>
      <c r="B10672" s="239">
        <f t="shared" si="98"/>
        <v>8535</v>
      </c>
      <c r="C10672" s="676" t="s">
        <v>25162</v>
      </c>
      <c r="D10672" s="489" t="s">
        <v>3408</v>
      </c>
      <c r="E10672" s="45" t="s">
        <v>25620</v>
      </c>
      <c r="F10672" s="45" t="s">
        <v>25639</v>
      </c>
      <c r="G10672" s="45" t="s">
        <v>25622</v>
      </c>
      <c r="H10672" s="198">
        <v>23180</v>
      </c>
      <c r="I10672" s="47">
        <v>46006</v>
      </c>
      <c r="J10672" s="81" t="s">
        <v>25623</v>
      </c>
      <c r="K10672" s="60"/>
      <c r="O10672" s="45" t="s">
        <v>25620</v>
      </c>
      <c r="P10672" s="45" t="s">
        <v>67</v>
      </c>
      <c r="Q10672" s="48" t="s">
        <v>96</v>
      </c>
      <c r="R10672" s="45" t="s">
        <v>272</v>
      </c>
    </row>
    <row r="10673" spans="2:18" ht="69" customHeight="1">
      <c r="B10673" s="239">
        <f t="shared" si="98"/>
        <v>8536</v>
      </c>
      <c r="C10673" s="676" t="s">
        <v>25162</v>
      </c>
      <c r="D10673" s="489" t="s">
        <v>4836</v>
      </c>
      <c r="E10673" s="45" t="s">
        <v>25620</v>
      </c>
      <c r="F10673" s="45" t="s">
        <v>25640</v>
      </c>
      <c r="G10673" s="45" t="s">
        <v>25626</v>
      </c>
      <c r="H10673" s="198">
        <v>7808</v>
      </c>
      <c r="I10673" s="47">
        <v>46058</v>
      </c>
      <c r="J10673" s="81" t="s">
        <v>25623</v>
      </c>
      <c r="K10673" s="60"/>
      <c r="O10673" s="45" t="s">
        <v>25620</v>
      </c>
      <c r="P10673" s="45" t="s">
        <v>67</v>
      </c>
      <c r="Q10673" s="48" t="s">
        <v>96</v>
      </c>
      <c r="R10673" s="45" t="s">
        <v>272</v>
      </c>
    </row>
    <row r="10674" spans="2:18" ht="69" customHeight="1">
      <c r="B10674" s="239">
        <f t="shared" si="98"/>
        <v>8537</v>
      </c>
      <c r="C10674" s="676" t="s">
        <v>25162</v>
      </c>
      <c r="D10674" s="489" t="s">
        <v>5245</v>
      </c>
      <c r="E10674" s="45" t="s">
        <v>25620</v>
      </c>
      <c r="F10674" s="45" t="s">
        <v>25641</v>
      </c>
      <c r="G10674" s="45" t="s">
        <v>25628</v>
      </c>
      <c r="H10674" s="198">
        <v>500</v>
      </c>
      <c r="I10674" s="47">
        <v>46058</v>
      </c>
      <c r="J10674" s="81" t="s">
        <v>25623</v>
      </c>
      <c r="K10674" s="60"/>
      <c r="O10674" s="45" t="s">
        <v>25620</v>
      </c>
      <c r="P10674" s="45" t="s">
        <v>67</v>
      </c>
      <c r="Q10674" s="48" t="s">
        <v>96</v>
      </c>
      <c r="R10674" s="45" t="s">
        <v>272</v>
      </c>
    </row>
    <row r="10675" spans="2:18" ht="69" customHeight="1">
      <c r="B10675" s="239">
        <f t="shared" si="98"/>
        <v>8538</v>
      </c>
      <c r="C10675" s="676" t="s">
        <v>25162</v>
      </c>
      <c r="D10675" s="489" t="s">
        <v>4554</v>
      </c>
      <c r="E10675" s="45" t="s">
        <v>25620</v>
      </c>
      <c r="F10675" s="45" t="s">
        <v>25642</v>
      </c>
      <c r="G10675" s="45" t="s">
        <v>25630</v>
      </c>
      <c r="H10675" s="198">
        <v>15163.38</v>
      </c>
      <c r="I10675" s="47">
        <v>46006</v>
      </c>
      <c r="J10675" s="81" t="s">
        <v>25623</v>
      </c>
      <c r="K10675" s="60"/>
      <c r="O10675" s="45" t="s">
        <v>25620</v>
      </c>
      <c r="P10675" s="45" t="s">
        <v>67</v>
      </c>
      <c r="Q10675" s="48" t="s">
        <v>96</v>
      </c>
      <c r="R10675" s="45" t="s">
        <v>272</v>
      </c>
    </row>
    <row r="10676" spans="2:18" ht="69" customHeight="1">
      <c r="B10676" s="239">
        <f t="shared" si="98"/>
        <v>8539</v>
      </c>
      <c r="C10676" s="676" t="s">
        <v>25162</v>
      </c>
      <c r="D10676" s="489" t="s">
        <v>4732</v>
      </c>
      <c r="E10676" s="45" t="s">
        <v>25620</v>
      </c>
      <c r="F10676" s="45" t="s">
        <v>25643</v>
      </c>
      <c r="G10676" s="45" t="s">
        <v>25632</v>
      </c>
      <c r="H10676" s="198">
        <v>35804.49</v>
      </c>
      <c r="I10676" s="47">
        <v>46006</v>
      </c>
      <c r="J10676" s="81" t="s">
        <v>25623</v>
      </c>
      <c r="K10676" s="60"/>
      <c r="O10676" s="45" t="s">
        <v>25620</v>
      </c>
      <c r="P10676" s="45" t="s">
        <v>67</v>
      </c>
      <c r="Q10676" s="48" t="s">
        <v>96</v>
      </c>
      <c r="R10676" s="45" t="s">
        <v>272</v>
      </c>
    </row>
    <row r="10677" spans="2:18" ht="69" customHeight="1">
      <c r="B10677" s="239">
        <f t="shared" si="98"/>
        <v>8540</v>
      </c>
      <c r="C10677" s="676" t="s">
        <v>25162</v>
      </c>
      <c r="D10677" s="489" t="s">
        <v>5976</v>
      </c>
      <c r="E10677" s="45" t="s">
        <v>25620</v>
      </c>
      <c r="F10677" s="45" t="s">
        <v>25644</v>
      </c>
      <c r="G10677" s="45" t="s">
        <v>25634</v>
      </c>
      <c r="H10677" s="198">
        <v>12000</v>
      </c>
      <c r="I10677" s="47">
        <v>46058</v>
      </c>
      <c r="J10677" s="81" t="s">
        <v>25623</v>
      </c>
      <c r="K10677" s="60"/>
      <c r="O10677" s="45" t="s">
        <v>25620</v>
      </c>
      <c r="P10677" s="45" t="s">
        <v>67</v>
      </c>
      <c r="Q10677" s="48" t="s">
        <v>96</v>
      </c>
      <c r="R10677" s="45" t="s">
        <v>272</v>
      </c>
    </row>
    <row r="10678" spans="2:18" ht="69" customHeight="1">
      <c r="B10678" s="239">
        <f t="shared" si="98"/>
        <v>8541</v>
      </c>
      <c r="C10678" s="676" t="s">
        <v>25168</v>
      </c>
      <c r="D10678" s="489" t="s">
        <v>626</v>
      </c>
      <c r="E10678" s="45" t="s">
        <v>25620</v>
      </c>
      <c r="F10678" s="45" t="s">
        <v>25645</v>
      </c>
      <c r="G10678" s="45" t="s">
        <v>25622</v>
      </c>
      <c r="H10678" s="198">
        <v>23180</v>
      </c>
      <c r="I10678" s="47">
        <v>46006</v>
      </c>
      <c r="J10678" s="81" t="s">
        <v>25623</v>
      </c>
      <c r="K10678" s="60"/>
      <c r="O10678" s="45" t="s">
        <v>25620</v>
      </c>
      <c r="P10678" s="45" t="s">
        <v>67</v>
      </c>
      <c r="Q10678" s="48" t="s">
        <v>96</v>
      </c>
      <c r="R10678" s="45" t="s">
        <v>272</v>
      </c>
    </row>
    <row r="10679" spans="2:18" ht="69" customHeight="1">
      <c r="B10679" s="239">
        <f t="shared" si="98"/>
        <v>8542</v>
      </c>
      <c r="C10679" s="676" t="s">
        <v>25168</v>
      </c>
      <c r="D10679" s="489" t="s">
        <v>2904</v>
      </c>
      <c r="E10679" s="45" t="s">
        <v>25620</v>
      </c>
      <c r="F10679" s="45" t="s">
        <v>25646</v>
      </c>
      <c r="G10679" s="45" t="s">
        <v>25626</v>
      </c>
      <c r="H10679" s="198">
        <v>7808</v>
      </c>
      <c r="I10679" s="47">
        <v>46058</v>
      </c>
      <c r="J10679" s="81" t="s">
        <v>25623</v>
      </c>
      <c r="K10679" s="60"/>
      <c r="O10679" s="45" t="s">
        <v>25620</v>
      </c>
      <c r="P10679" s="45" t="s">
        <v>67</v>
      </c>
      <c r="Q10679" s="48" t="s">
        <v>96</v>
      </c>
      <c r="R10679" s="45" t="s">
        <v>272</v>
      </c>
    </row>
    <row r="10680" spans="2:18" ht="69" customHeight="1">
      <c r="B10680" s="239">
        <f t="shared" si="98"/>
        <v>8543</v>
      </c>
      <c r="C10680" s="676" t="s">
        <v>25168</v>
      </c>
      <c r="D10680" s="489" t="s">
        <v>3158</v>
      </c>
      <c r="E10680" s="45" t="s">
        <v>25620</v>
      </c>
      <c r="F10680" s="45" t="s">
        <v>25647</v>
      </c>
      <c r="G10680" s="45" t="s">
        <v>25628</v>
      </c>
      <c r="H10680" s="198">
        <v>500</v>
      </c>
      <c r="I10680" s="47">
        <v>46058</v>
      </c>
      <c r="J10680" s="81" t="s">
        <v>25623</v>
      </c>
      <c r="K10680" s="60"/>
      <c r="O10680" s="45" t="s">
        <v>25620</v>
      </c>
      <c r="P10680" s="45" t="s">
        <v>67</v>
      </c>
      <c r="Q10680" s="48" t="s">
        <v>96</v>
      </c>
      <c r="R10680" s="45" t="s">
        <v>272</v>
      </c>
    </row>
    <row r="10681" spans="2:18" ht="69" customHeight="1">
      <c r="B10681" s="239">
        <f t="shared" si="98"/>
        <v>8544</v>
      </c>
      <c r="C10681" s="676" t="s">
        <v>25168</v>
      </c>
      <c r="D10681" s="489" t="s">
        <v>300</v>
      </c>
      <c r="E10681" s="45" t="s">
        <v>25620</v>
      </c>
      <c r="F10681" s="45" t="s">
        <v>25648</v>
      </c>
      <c r="G10681" s="45" t="s">
        <v>25630</v>
      </c>
      <c r="H10681" s="198">
        <v>15163.38</v>
      </c>
      <c r="I10681" s="47">
        <v>46006</v>
      </c>
      <c r="J10681" s="81" t="s">
        <v>25623</v>
      </c>
      <c r="K10681" s="60"/>
      <c r="O10681" s="45" t="s">
        <v>25620</v>
      </c>
      <c r="P10681" s="45" t="s">
        <v>67</v>
      </c>
      <c r="Q10681" s="48" t="s">
        <v>96</v>
      </c>
      <c r="R10681" s="45" t="s">
        <v>272</v>
      </c>
    </row>
    <row r="10682" spans="2:18" ht="69" customHeight="1">
      <c r="B10682" s="239">
        <f t="shared" si="98"/>
        <v>8545</v>
      </c>
      <c r="C10682" s="676" t="s">
        <v>25168</v>
      </c>
      <c r="D10682" s="489" t="s">
        <v>433</v>
      </c>
      <c r="E10682" s="45" t="s">
        <v>25620</v>
      </c>
      <c r="F10682" s="45" t="s">
        <v>25649</v>
      </c>
      <c r="G10682" s="45" t="s">
        <v>25632</v>
      </c>
      <c r="H10682" s="198">
        <v>35804.49</v>
      </c>
      <c r="I10682" s="47">
        <v>46006</v>
      </c>
      <c r="J10682" s="81" t="s">
        <v>25623</v>
      </c>
      <c r="K10682" s="60"/>
      <c r="O10682" s="45" t="s">
        <v>25620</v>
      </c>
      <c r="P10682" s="45" t="s">
        <v>67</v>
      </c>
      <c r="Q10682" s="48" t="s">
        <v>96</v>
      </c>
      <c r="R10682" s="45" t="s">
        <v>272</v>
      </c>
    </row>
    <row r="10683" spans="2:18" ht="69" customHeight="1">
      <c r="B10683" s="732">
        <f t="shared" si="98"/>
        <v>8546</v>
      </c>
      <c r="C10683" s="676" t="s">
        <v>25168</v>
      </c>
      <c r="D10683" s="675" t="s">
        <v>5884</v>
      </c>
      <c r="E10683" s="677" t="s">
        <v>25620</v>
      </c>
      <c r="F10683" s="677" t="s">
        <v>25650</v>
      </c>
      <c r="G10683" s="677" t="s">
        <v>25634</v>
      </c>
      <c r="H10683" s="730">
        <v>12000</v>
      </c>
      <c r="I10683" s="47">
        <v>46058</v>
      </c>
      <c r="J10683" s="95" t="s">
        <v>25623</v>
      </c>
      <c r="K10683" s="60"/>
      <c r="O10683" s="45" t="s">
        <v>25620</v>
      </c>
      <c r="P10683" s="45" t="s">
        <v>67</v>
      </c>
      <c r="Q10683" s="48" t="s">
        <v>96</v>
      </c>
      <c r="R10683" s="45" t="s">
        <v>272</v>
      </c>
    </row>
    <row r="10684" spans="2:18" ht="69" customHeight="1">
      <c r="B10684" s="239">
        <f t="shared" si="98"/>
        <v>8547</v>
      </c>
      <c r="C10684" s="676" t="s">
        <v>25651</v>
      </c>
      <c r="D10684" s="489" t="s">
        <v>1465</v>
      </c>
      <c r="E10684" s="45" t="s">
        <v>25620</v>
      </c>
      <c r="F10684" s="45" t="s">
        <v>25652</v>
      </c>
      <c r="G10684" s="45" t="s">
        <v>25622</v>
      </c>
      <c r="H10684" s="198">
        <v>23180</v>
      </c>
      <c r="I10684" s="47">
        <v>46006</v>
      </c>
      <c r="J10684" s="81" t="s">
        <v>25623</v>
      </c>
      <c r="K10684" s="60"/>
      <c r="O10684" s="45" t="s">
        <v>25620</v>
      </c>
      <c r="P10684" s="45" t="s">
        <v>67</v>
      </c>
      <c r="Q10684" s="48" t="s">
        <v>96</v>
      </c>
      <c r="R10684" s="45" t="s">
        <v>272</v>
      </c>
    </row>
    <row r="10685" spans="2:18" ht="69" customHeight="1">
      <c r="B10685" s="1049">
        <f t="shared" si="98"/>
        <v>8548</v>
      </c>
      <c r="C10685" s="1069" t="s">
        <v>25651</v>
      </c>
      <c r="D10685" s="1050" t="s">
        <v>9708</v>
      </c>
      <c r="E10685" s="1051" t="s">
        <v>25620</v>
      </c>
      <c r="F10685" s="1051" t="s">
        <v>25653</v>
      </c>
      <c r="G10685" s="1051" t="s">
        <v>25626</v>
      </c>
      <c r="H10685" s="1055">
        <v>7808</v>
      </c>
      <c r="I10685" s="1052"/>
      <c r="J10685" s="1070" t="s">
        <v>25623</v>
      </c>
      <c r="K10685" s="1053"/>
      <c r="O10685" s="45" t="s">
        <v>25620</v>
      </c>
      <c r="P10685" s="45" t="s">
        <v>67</v>
      </c>
      <c r="Q10685" s="48" t="s">
        <v>96</v>
      </c>
      <c r="R10685" s="45" t="s">
        <v>272</v>
      </c>
    </row>
    <row r="10686" spans="2:18" ht="69" customHeight="1">
      <c r="B10686" s="1071">
        <f t="shared" si="98"/>
        <v>8549</v>
      </c>
      <c r="C10686" s="1069" t="s">
        <v>25651</v>
      </c>
      <c r="D10686" s="1072" t="s">
        <v>6910</v>
      </c>
      <c r="E10686" s="1073" t="s">
        <v>25620</v>
      </c>
      <c r="F10686" s="1073" t="s">
        <v>25653</v>
      </c>
      <c r="G10686" s="1073" t="s">
        <v>25628</v>
      </c>
      <c r="H10686" s="1074">
        <v>500</v>
      </c>
      <c r="I10686" s="1052"/>
      <c r="J10686" s="1075" t="s">
        <v>25623</v>
      </c>
      <c r="K10686" s="1053"/>
      <c r="O10686" s="45" t="s">
        <v>25620</v>
      </c>
      <c r="P10686" s="45" t="s">
        <v>67</v>
      </c>
      <c r="Q10686" s="48" t="s">
        <v>96</v>
      </c>
      <c r="R10686" s="45" t="s">
        <v>272</v>
      </c>
    </row>
    <row r="10687" spans="2:18" ht="69" customHeight="1">
      <c r="B10687" s="239">
        <f t="shared" si="98"/>
        <v>8550</v>
      </c>
      <c r="C10687" s="676" t="s">
        <v>25651</v>
      </c>
      <c r="D10687" s="489" t="s">
        <v>1978</v>
      </c>
      <c r="E10687" s="45" t="s">
        <v>25620</v>
      </c>
      <c r="F10687" s="45" t="s">
        <v>25654</v>
      </c>
      <c r="G10687" s="45" t="s">
        <v>25630</v>
      </c>
      <c r="H10687" s="198">
        <v>15163.38</v>
      </c>
      <c r="I10687" s="47">
        <v>46006</v>
      </c>
      <c r="J10687" s="81" t="s">
        <v>25623</v>
      </c>
      <c r="K10687" s="60"/>
      <c r="O10687" s="45" t="s">
        <v>25620</v>
      </c>
      <c r="P10687" s="45" t="s">
        <v>67</v>
      </c>
      <c r="Q10687" s="48" t="s">
        <v>96</v>
      </c>
      <c r="R10687" s="45" t="s">
        <v>272</v>
      </c>
    </row>
    <row r="10688" spans="2:18" ht="69" customHeight="1">
      <c r="B10688" s="239">
        <f t="shared" si="98"/>
        <v>8551</v>
      </c>
      <c r="C10688" s="676" t="s">
        <v>25651</v>
      </c>
      <c r="D10688" s="489" t="s">
        <v>1687</v>
      </c>
      <c r="E10688" s="45" t="s">
        <v>25620</v>
      </c>
      <c r="F10688" s="45" t="s">
        <v>25655</v>
      </c>
      <c r="G10688" s="45" t="s">
        <v>25632</v>
      </c>
      <c r="H10688" s="198">
        <v>35804.49</v>
      </c>
      <c r="I10688" s="47">
        <v>46006</v>
      </c>
      <c r="J10688" s="81" t="s">
        <v>25623</v>
      </c>
      <c r="K10688" s="60"/>
      <c r="O10688" s="45" t="s">
        <v>25620</v>
      </c>
      <c r="P10688" s="45" t="s">
        <v>67</v>
      </c>
      <c r="Q10688" s="48" t="s">
        <v>96</v>
      </c>
      <c r="R10688" s="45" t="s">
        <v>272</v>
      </c>
    </row>
    <row r="10689" spans="2:18" ht="69" customHeight="1">
      <c r="B10689" s="1049">
        <f t="shared" si="98"/>
        <v>8552</v>
      </c>
      <c r="C10689" s="1069" t="s">
        <v>25651</v>
      </c>
      <c r="D10689" s="1050" t="s">
        <v>2911</v>
      </c>
      <c r="E10689" s="1051" t="s">
        <v>25620</v>
      </c>
      <c r="F10689" s="1051" t="s">
        <v>25653</v>
      </c>
      <c r="G10689" s="1051" t="s">
        <v>25634</v>
      </c>
      <c r="H10689" s="1055">
        <v>12000</v>
      </c>
      <c r="I10689" s="1052"/>
      <c r="J10689" s="1070" t="s">
        <v>25623</v>
      </c>
      <c r="K10689" s="1053"/>
      <c r="O10689" s="45" t="s">
        <v>25620</v>
      </c>
      <c r="P10689" s="45" t="s">
        <v>67</v>
      </c>
      <c r="Q10689" s="48" t="s">
        <v>96</v>
      </c>
      <c r="R10689" s="45" t="s">
        <v>272</v>
      </c>
    </row>
    <row r="10690" spans="2:18" ht="69" customHeight="1">
      <c r="B10690" s="239">
        <f t="shared" si="98"/>
        <v>8553</v>
      </c>
      <c r="C10690" s="676" t="s">
        <v>25651</v>
      </c>
      <c r="D10690" s="489" t="s">
        <v>310</v>
      </c>
      <c r="E10690" s="45" t="s">
        <v>25620</v>
      </c>
      <c r="F10690" s="45" t="s">
        <v>25656</v>
      </c>
      <c r="G10690" s="45" t="s">
        <v>25622</v>
      </c>
      <c r="H10690" s="198">
        <v>23180</v>
      </c>
      <c r="I10690" s="47">
        <v>46006</v>
      </c>
      <c r="J10690" s="81" t="s">
        <v>25623</v>
      </c>
      <c r="K10690" s="60"/>
      <c r="O10690" s="45" t="s">
        <v>25620</v>
      </c>
      <c r="P10690" s="45" t="s">
        <v>67</v>
      </c>
      <c r="Q10690" s="48" t="s">
        <v>96</v>
      </c>
      <c r="R10690" s="45" t="s">
        <v>272</v>
      </c>
    </row>
    <row r="10691" spans="2:18" ht="69" customHeight="1">
      <c r="B10691" s="1049">
        <f t="shared" si="98"/>
        <v>8554</v>
      </c>
      <c r="C10691" s="1069" t="s">
        <v>25651</v>
      </c>
      <c r="D10691" s="1050" t="s">
        <v>3584</v>
      </c>
      <c r="E10691" s="1051" t="s">
        <v>25620</v>
      </c>
      <c r="F10691" s="1051" t="s">
        <v>25657</v>
      </c>
      <c r="G10691" s="1051" t="s">
        <v>25626</v>
      </c>
      <c r="H10691" s="1055">
        <v>7808</v>
      </c>
      <c r="I10691" s="1052"/>
      <c r="J10691" s="1070" t="s">
        <v>25623</v>
      </c>
      <c r="K10691" s="1053"/>
      <c r="O10691" s="45" t="s">
        <v>25620</v>
      </c>
      <c r="P10691" s="45" t="s">
        <v>67</v>
      </c>
      <c r="Q10691" s="48" t="s">
        <v>96</v>
      </c>
      <c r="R10691" s="45" t="s">
        <v>272</v>
      </c>
    </row>
    <row r="10692" spans="2:18" ht="69" customHeight="1">
      <c r="B10692" s="1049">
        <f t="shared" si="98"/>
        <v>8555</v>
      </c>
      <c r="C10692" s="1069" t="s">
        <v>25651</v>
      </c>
      <c r="D10692" s="1050" t="s">
        <v>3403</v>
      </c>
      <c r="E10692" s="1051" t="s">
        <v>25620</v>
      </c>
      <c r="F10692" s="1051" t="s">
        <v>25657</v>
      </c>
      <c r="G10692" s="1051" t="s">
        <v>25628</v>
      </c>
      <c r="H10692" s="1055">
        <v>500</v>
      </c>
      <c r="I10692" s="1052"/>
      <c r="J10692" s="1070" t="s">
        <v>25623</v>
      </c>
      <c r="K10692" s="1053"/>
      <c r="O10692" s="45" t="s">
        <v>25620</v>
      </c>
      <c r="P10692" s="45" t="s">
        <v>67</v>
      </c>
      <c r="Q10692" s="48" t="s">
        <v>96</v>
      </c>
      <c r="R10692" s="45" t="s">
        <v>272</v>
      </c>
    </row>
    <row r="10693" spans="2:18" ht="69" customHeight="1">
      <c r="B10693" s="239">
        <f t="shared" si="98"/>
        <v>8556</v>
      </c>
      <c r="C10693" s="676" t="s">
        <v>25651</v>
      </c>
      <c r="D10693" s="489" t="s">
        <v>2690</v>
      </c>
      <c r="E10693" s="45" t="s">
        <v>25620</v>
      </c>
      <c r="F10693" s="45" t="s">
        <v>25658</v>
      </c>
      <c r="G10693" s="45" t="s">
        <v>25630</v>
      </c>
      <c r="H10693" s="198">
        <v>15163.38</v>
      </c>
      <c r="I10693" s="47">
        <v>46006</v>
      </c>
      <c r="J10693" s="81" t="s">
        <v>25623</v>
      </c>
      <c r="K10693" s="60"/>
      <c r="O10693" s="45" t="s">
        <v>25620</v>
      </c>
      <c r="P10693" s="45" t="s">
        <v>67</v>
      </c>
      <c r="Q10693" s="48" t="s">
        <v>96</v>
      </c>
      <c r="R10693" s="45" t="s">
        <v>272</v>
      </c>
    </row>
    <row r="10694" spans="2:18" ht="69" customHeight="1">
      <c r="B10694" s="239">
        <f t="shared" si="98"/>
        <v>8557</v>
      </c>
      <c r="C10694" s="676" t="s">
        <v>25651</v>
      </c>
      <c r="D10694" s="489" t="s">
        <v>2438</v>
      </c>
      <c r="E10694" s="45" t="s">
        <v>25620</v>
      </c>
      <c r="F10694" s="45" t="s">
        <v>25659</v>
      </c>
      <c r="G10694" s="45" t="s">
        <v>25632</v>
      </c>
      <c r="H10694" s="198">
        <v>35804.49</v>
      </c>
      <c r="I10694" s="47">
        <v>46006</v>
      </c>
      <c r="J10694" s="81" t="s">
        <v>25623</v>
      </c>
      <c r="K10694" s="60"/>
      <c r="O10694" s="45" t="s">
        <v>25620</v>
      </c>
      <c r="P10694" s="45" t="s">
        <v>67</v>
      </c>
      <c r="Q10694" s="48" t="s">
        <v>96</v>
      </c>
      <c r="R10694" s="45" t="s">
        <v>272</v>
      </c>
    </row>
    <row r="10695" spans="2:18" ht="69" customHeight="1">
      <c r="B10695" s="1049">
        <f t="shared" si="98"/>
        <v>8558</v>
      </c>
      <c r="C10695" s="1069" t="s">
        <v>25651</v>
      </c>
      <c r="D10695" s="1050" t="s">
        <v>2209</v>
      </c>
      <c r="E10695" s="1051" t="s">
        <v>25620</v>
      </c>
      <c r="F10695" s="1051" t="s">
        <v>25657</v>
      </c>
      <c r="G10695" s="1051" t="s">
        <v>25634</v>
      </c>
      <c r="H10695" s="1055">
        <v>12000</v>
      </c>
      <c r="I10695" s="1052"/>
      <c r="J10695" s="1070" t="s">
        <v>25623</v>
      </c>
      <c r="K10695" s="1053"/>
      <c r="O10695" s="45" t="s">
        <v>25620</v>
      </c>
      <c r="P10695" s="45" t="s">
        <v>67</v>
      </c>
      <c r="Q10695" s="48" t="s">
        <v>96</v>
      </c>
      <c r="R10695" s="45" t="s">
        <v>272</v>
      </c>
    </row>
    <row r="10696" spans="2:18" ht="69" customHeight="1">
      <c r="B10696" s="239">
        <f t="shared" si="98"/>
        <v>8559</v>
      </c>
      <c r="C10696" s="676" t="s">
        <v>10937</v>
      </c>
      <c r="D10696" s="489" t="s">
        <v>25660</v>
      </c>
      <c r="E10696" s="45" t="s">
        <v>266</v>
      </c>
      <c r="F10696" s="677" t="s">
        <v>25661</v>
      </c>
      <c r="G10696" s="45" t="s">
        <v>25511</v>
      </c>
      <c r="H10696" s="198">
        <v>23300</v>
      </c>
      <c r="I10696" s="47">
        <v>45996</v>
      </c>
      <c r="J10696" s="48" t="s">
        <v>25662</v>
      </c>
      <c r="K10696" s="60"/>
      <c r="O10696" s="45" t="s">
        <v>13240</v>
      </c>
      <c r="P10696" s="45" t="s">
        <v>71</v>
      </c>
      <c r="Q10696" s="48" t="s">
        <v>104</v>
      </c>
      <c r="R10696" s="45" t="s">
        <v>272</v>
      </c>
    </row>
    <row r="10697" spans="2:18" ht="69" customHeight="1">
      <c r="B10697" s="239">
        <f t="shared" ref="B10697:B10759" si="99">B10696+1</f>
        <v>8560</v>
      </c>
      <c r="C10697" s="59" t="s">
        <v>11568</v>
      </c>
      <c r="D10697" s="489" t="s">
        <v>25663</v>
      </c>
      <c r="E10697" s="45" t="s">
        <v>266</v>
      </c>
      <c r="F10697" s="45" t="s">
        <v>25664</v>
      </c>
      <c r="G10697" s="45" t="s">
        <v>25511</v>
      </c>
      <c r="H10697" s="198">
        <v>23300</v>
      </c>
      <c r="I10697" s="47">
        <v>45996</v>
      </c>
      <c r="J10697" s="48" t="s">
        <v>25662</v>
      </c>
      <c r="K10697" s="60"/>
      <c r="O10697" s="45" t="s">
        <v>13240</v>
      </c>
      <c r="P10697" s="45" t="s">
        <v>71</v>
      </c>
      <c r="Q10697" s="48" t="s">
        <v>107</v>
      </c>
      <c r="R10697" s="45" t="s">
        <v>272</v>
      </c>
    </row>
    <row r="10698" spans="2:18" ht="69" customHeight="1">
      <c r="B10698" s="239">
        <f t="shared" si="99"/>
        <v>8561</v>
      </c>
      <c r="C10698" s="45" t="s">
        <v>21622</v>
      </c>
      <c r="D10698" s="489" t="s">
        <v>25665</v>
      </c>
      <c r="E10698" s="45" t="s">
        <v>266</v>
      </c>
      <c r="F10698" s="677" t="s">
        <v>25666</v>
      </c>
      <c r="G10698" s="45" t="s">
        <v>25511</v>
      </c>
      <c r="H10698" s="198">
        <v>23300</v>
      </c>
      <c r="I10698" s="47">
        <v>45996</v>
      </c>
      <c r="J10698" s="48" t="s">
        <v>25662</v>
      </c>
      <c r="K10698" s="60"/>
      <c r="O10698" s="45" t="s">
        <v>13240</v>
      </c>
      <c r="P10698" s="45" t="s">
        <v>71</v>
      </c>
      <c r="Q10698" s="48" t="s">
        <v>113</v>
      </c>
      <c r="R10698" s="45" t="s">
        <v>272</v>
      </c>
    </row>
    <row r="10699" spans="2:18" ht="69" customHeight="1">
      <c r="B10699" s="239">
        <f t="shared" si="99"/>
        <v>8562</v>
      </c>
      <c r="C10699" s="909" t="s">
        <v>8797</v>
      </c>
      <c r="D10699" s="489" t="s">
        <v>25667</v>
      </c>
      <c r="E10699" s="45" t="s">
        <v>266</v>
      </c>
      <c r="F10699" s="677" t="s">
        <v>25668</v>
      </c>
      <c r="G10699" s="45" t="s">
        <v>25511</v>
      </c>
      <c r="H10699" s="198">
        <v>23300</v>
      </c>
      <c r="I10699" s="47">
        <v>45996</v>
      </c>
      <c r="J10699" s="48" t="s">
        <v>25662</v>
      </c>
      <c r="K10699" s="60"/>
      <c r="O10699" s="45" t="s">
        <v>13240</v>
      </c>
      <c r="P10699" s="45" t="s">
        <v>71</v>
      </c>
      <c r="Q10699" s="48" t="s">
        <v>110</v>
      </c>
      <c r="R10699" s="45" t="s">
        <v>272</v>
      </c>
    </row>
    <row r="10700" spans="2:18" ht="69" customHeight="1">
      <c r="B10700" s="239">
        <f t="shared" si="99"/>
        <v>8563</v>
      </c>
      <c r="C10700" s="44" t="s">
        <v>7189</v>
      </c>
      <c r="D10700" s="489" t="s">
        <v>21385</v>
      </c>
      <c r="E10700" s="956" t="s">
        <v>24499</v>
      </c>
      <c r="F10700" s="677" t="s">
        <v>25669</v>
      </c>
      <c r="G10700" s="45" t="s">
        <v>25606</v>
      </c>
      <c r="H10700" s="198">
        <v>110592</v>
      </c>
      <c r="I10700" s="47">
        <v>46006</v>
      </c>
      <c r="J10700" s="73" t="s">
        <v>25670</v>
      </c>
      <c r="K10700" s="60" t="s">
        <v>25671</v>
      </c>
      <c r="O10700" s="45" t="s">
        <v>24503</v>
      </c>
      <c r="P10700" s="58" t="s">
        <v>92</v>
      </c>
      <c r="Q10700" s="48" t="s">
        <v>97</v>
      </c>
      <c r="R10700" s="45" t="s">
        <v>272</v>
      </c>
    </row>
    <row r="10701" spans="2:18" ht="69" customHeight="1">
      <c r="B10701" s="239">
        <f t="shared" si="99"/>
        <v>8564</v>
      </c>
      <c r="C10701" s="59" t="s">
        <v>13435</v>
      </c>
      <c r="D10701" s="489" t="s">
        <v>25672</v>
      </c>
      <c r="E10701" s="956" t="s">
        <v>24499</v>
      </c>
      <c r="F10701" s="677" t="s">
        <v>25673</v>
      </c>
      <c r="G10701" s="45" t="s">
        <v>25598</v>
      </c>
      <c r="H10701" s="198">
        <v>127872</v>
      </c>
      <c r="I10701" s="47">
        <v>46006</v>
      </c>
      <c r="J10701" s="73" t="s">
        <v>25670</v>
      </c>
      <c r="K10701" s="60" t="s">
        <v>25671</v>
      </c>
      <c r="O10701" s="45" t="s">
        <v>24503</v>
      </c>
      <c r="P10701" s="58" t="s">
        <v>92</v>
      </c>
      <c r="Q10701" s="48" t="s">
        <v>13</v>
      </c>
      <c r="R10701" s="45" t="s">
        <v>272</v>
      </c>
    </row>
    <row r="10702" spans="2:18" ht="69" customHeight="1">
      <c r="B10702" s="239">
        <f t="shared" si="99"/>
        <v>8565</v>
      </c>
      <c r="C10702" s="59" t="s">
        <v>581</v>
      </c>
      <c r="D10702" s="489" t="s">
        <v>25674</v>
      </c>
      <c r="E10702" s="956" t="s">
        <v>24499</v>
      </c>
      <c r="F10702" s="677" t="s">
        <v>25675</v>
      </c>
      <c r="G10702" s="45" t="s">
        <v>25598</v>
      </c>
      <c r="H10702" s="198">
        <v>101952</v>
      </c>
      <c r="I10702" s="47">
        <v>46006</v>
      </c>
      <c r="J10702" s="73" t="s">
        <v>25670</v>
      </c>
      <c r="K10702" s="60" t="s">
        <v>25671</v>
      </c>
      <c r="O10702" s="45" t="s">
        <v>24503</v>
      </c>
      <c r="P10702" s="58" t="s">
        <v>92</v>
      </c>
      <c r="Q10702" s="48" t="s">
        <v>18</v>
      </c>
      <c r="R10702" s="45" t="s">
        <v>272</v>
      </c>
    </row>
    <row r="10703" spans="2:18" ht="69" customHeight="1">
      <c r="B10703" s="239">
        <f t="shared" si="99"/>
        <v>8566</v>
      </c>
      <c r="C10703" s="45" t="s">
        <v>581</v>
      </c>
      <c r="D10703" s="489" t="s">
        <v>25676</v>
      </c>
      <c r="E10703" s="45" t="s">
        <v>16139</v>
      </c>
      <c r="F10703" s="45" t="s">
        <v>25677</v>
      </c>
      <c r="G10703" s="45" t="s">
        <v>25678</v>
      </c>
      <c r="H10703" s="198">
        <v>917404.28</v>
      </c>
      <c r="I10703" s="47">
        <v>46006</v>
      </c>
      <c r="J10703" s="73" t="s">
        <v>25679</v>
      </c>
      <c r="K10703" s="60" t="s">
        <v>25680</v>
      </c>
      <c r="O10703" s="45" t="s">
        <v>175</v>
      </c>
      <c r="P10703" s="45" t="s">
        <v>57</v>
      </c>
      <c r="Q10703" s="821" t="s">
        <v>18</v>
      </c>
      <c r="R10703" s="45" t="s">
        <v>272</v>
      </c>
    </row>
    <row r="10704" spans="2:18" ht="69" customHeight="1">
      <c r="B10704" s="239">
        <f t="shared" si="99"/>
        <v>8567</v>
      </c>
      <c r="C10704" s="59" t="s">
        <v>11568</v>
      </c>
      <c r="D10704" s="489" t="s">
        <v>25681</v>
      </c>
      <c r="E10704" s="59" t="s">
        <v>15202</v>
      </c>
      <c r="F10704" s="45" t="s">
        <v>25682</v>
      </c>
      <c r="G10704" s="45" t="s">
        <v>25568</v>
      </c>
      <c r="H10704" s="198">
        <v>425666.19</v>
      </c>
      <c r="I10704" s="47">
        <v>46006</v>
      </c>
      <c r="J10704" s="73" t="s">
        <v>25683</v>
      </c>
      <c r="K10704" s="60" t="s">
        <v>25684</v>
      </c>
      <c r="O10704" s="45" t="s">
        <v>175</v>
      </c>
      <c r="P10704" s="45" t="s">
        <v>57</v>
      </c>
      <c r="Q10704" s="821" t="s">
        <v>107</v>
      </c>
      <c r="R10704" s="45" t="s">
        <v>272</v>
      </c>
    </row>
    <row r="10705" spans="2:18" ht="69" customHeight="1">
      <c r="B10705" s="239">
        <f t="shared" si="99"/>
        <v>8568</v>
      </c>
      <c r="C10705" s="45" t="s">
        <v>11618</v>
      </c>
      <c r="D10705" s="489" t="s">
        <v>25685</v>
      </c>
      <c r="E10705" s="45" t="s">
        <v>16139</v>
      </c>
      <c r="F10705" s="45" t="s">
        <v>25686</v>
      </c>
      <c r="G10705" s="45" t="s">
        <v>25573</v>
      </c>
      <c r="H10705" s="198">
        <v>430097.11</v>
      </c>
      <c r="I10705" s="47">
        <v>46006</v>
      </c>
      <c r="J10705" s="73" t="s">
        <v>25687</v>
      </c>
      <c r="K10705" s="60" t="s">
        <v>25688</v>
      </c>
      <c r="O10705" s="45" t="s">
        <v>175</v>
      </c>
      <c r="P10705" s="45" t="s">
        <v>57</v>
      </c>
      <c r="Q10705" s="821" t="s">
        <v>122</v>
      </c>
      <c r="R10705" s="45" t="s">
        <v>272</v>
      </c>
    </row>
    <row r="10706" spans="2:18" ht="69" customHeight="1">
      <c r="B10706" s="239">
        <f t="shared" si="99"/>
        <v>8569</v>
      </c>
      <c r="C10706" s="549" t="s">
        <v>9215</v>
      </c>
      <c r="D10706" s="809" t="s">
        <v>25689</v>
      </c>
      <c r="E10706" s="549" t="s">
        <v>15202</v>
      </c>
      <c r="F10706" s="60" t="s">
        <v>25690</v>
      </c>
      <c r="G10706" s="60" t="s">
        <v>25578</v>
      </c>
      <c r="H10706" s="791">
        <v>600268.07999999996</v>
      </c>
      <c r="I10706" s="737">
        <v>46016</v>
      </c>
      <c r="J10706" s="163" t="s">
        <v>25687</v>
      </c>
      <c r="K10706" s="60" t="s">
        <v>25688</v>
      </c>
      <c r="O10706" s="45" t="s">
        <v>175</v>
      </c>
      <c r="P10706" s="45" t="s">
        <v>57</v>
      </c>
      <c r="Q10706" s="821" t="s">
        <v>113</v>
      </c>
      <c r="R10706" s="45" t="s">
        <v>272</v>
      </c>
    </row>
    <row r="10707" spans="2:18" ht="69" customHeight="1">
      <c r="B10707" s="48">
        <f>B10706+1</f>
        <v>8570</v>
      </c>
      <c r="C10707" s="44" t="s">
        <v>7189</v>
      </c>
      <c r="D10707" s="84" t="s">
        <v>21387</v>
      </c>
      <c r="E10707" s="677" t="s">
        <v>16139</v>
      </c>
      <c r="F10707" s="677" t="s">
        <v>25691</v>
      </c>
      <c r="G10707" s="45" t="s">
        <v>25417</v>
      </c>
      <c r="H10707" s="198">
        <v>131240.04</v>
      </c>
      <c r="I10707" s="47">
        <v>45999</v>
      </c>
      <c r="J10707" s="48" t="s">
        <v>25692</v>
      </c>
      <c r="K10707" s="60" t="s">
        <v>25693</v>
      </c>
      <c r="O10707" s="45" t="s">
        <v>175</v>
      </c>
      <c r="P10707" s="45" t="s">
        <v>57</v>
      </c>
      <c r="Q10707" s="821" t="s">
        <v>97</v>
      </c>
      <c r="R10707" s="45" t="s">
        <v>272</v>
      </c>
    </row>
    <row r="10708" spans="2:18" ht="69" customHeight="1">
      <c r="B10708" s="959">
        <f>B10707+1</f>
        <v>8571</v>
      </c>
      <c r="C10708" s="638" t="s">
        <v>657</v>
      </c>
      <c r="D10708" s="950" t="s">
        <v>21389</v>
      </c>
      <c r="E10708" s="61" t="s">
        <v>15436</v>
      </c>
      <c r="F10708" s="61" t="s">
        <v>25694</v>
      </c>
      <c r="G10708" s="61" t="s">
        <v>16034</v>
      </c>
      <c r="H10708" s="806">
        <v>10384.200000000001</v>
      </c>
      <c r="I10708" s="130">
        <v>46006</v>
      </c>
      <c r="J10708" s="417" t="s">
        <v>25695</v>
      </c>
      <c r="K10708" s="748"/>
      <c r="O10708" s="45" t="s">
        <v>15440</v>
      </c>
      <c r="P10708" s="45" t="s">
        <v>55</v>
      </c>
      <c r="Q10708" s="821" t="s">
        <v>97</v>
      </c>
      <c r="R10708" s="45" t="s">
        <v>272</v>
      </c>
    </row>
    <row r="10709" spans="2:18" ht="69" customHeight="1">
      <c r="B10709" s="239">
        <f t="shared" si="99"/>
        <v>8572</v>
      </c>
      <c r="C10709" s="59" t="s">
        <v>657</v>
      </c>
      <c r="D10709" s="489" t="s">
        <v>21389</v>
      </c>
      <c r="E10709" s="45" t="s">
        <v>15436</v>
      </c>
      <c r="F10709" s="45" t="s">
        <v>25696</v>
      </c>
      <c r="G10709" s="45" t="s">
        <v>16034</v>
      </c>
      <c r="H10709" s="198">
        <v>10634.2</v>
      </c>
      <c r="I10709" s="47">
        <v>46006</v>
      </c>
      <c r="J10709" s="73" t="s">
        <v>25695</v>
      </c>
      <c r="K10709" s="60"/>
      <c r="O10709" s="45" t="s">
        <v>15440</v>
      </c>
      <c r="P10709" s="45" t="s">
        <v>55</v>
      </c>
      <c r="Q10709" s="821" t="s">
        <v>104</v>
      </c>
      <c r="R10709" s="45" t="s">
        <v>272</v>
      </c>
    </row>
    <row r="10710" spans="2:18" ht="69" customHeight="1">
      <c r="B10710" s="239">
        <f t="shared" si="99"/>
        <v>8573</v>
      </c>
      <c r="C10710" s="59" t="s">
        <v>657</v>
      </c>
      <c r="D10710" s="489" t="s">
        <v>21396</v>
      </c>
      <c r="E10710" s="45" t="s">
        <v>15436</v>
      </c>
      <c r="F10710" s="45" t="s">
        <v>25697</v>
      </c>
      <c r="G10710" s="45" t="s">
        <v>16034</v>
      </c>
      <c r="H10710" s="198">
        <v>5400</v>
      </c>
      <c r="I10710" s="47">
        <v>46006</v>
      </c>
      <c r="J10710" s="73" t="s">
        <v>25695</v>
      </c>
      <c r="K10710" s="60"/>
      <c r="O10710" s="45" t="s">
        <v>15440</v>
      </c>
      <c r="P10710" s="45" t="s">
        <v>55</v>
      </c>
      <c r="Q10710" s="821" t="s">
        <v>97</v>
      </c>
      <c r="R10710" s="45" t="s">
        <v>272</v>
      </c>
    </row>
    <row r="10711" spans="2:18" ht="69" customHeight="1">
      <c r="B10711" s="239">
        <f t="shared" si="99"/>
        <v>8574</v>
      </c>
      <c r="C10711" s="59" t="s">
        <v>458</v>
      </c>
      <c r="D10711" s="489" t="s">
        <v>25698</v>
      </c>
      <c r="E10711" s="45" t="s">
        <v>15436</v>
      </c>
      <c r="F10711" s="45" t="s">
        <v>25699</v>
      </c>
      <c r="G10711" s="45" t="s">
        <v>16034</v>
      </c>
      <c r="H10711" s="198">
        <v>10384.200000000001</v>
      </c>
      <c r="I10711" s="47">
        <v>46016</v>
      </c>
      <c r="J10711" s="73" t="s">
        <v>25695</v>
      </c>
      <c r="K10711" s="60"/>
      <c r="O10711" s="45" t="s">
        <v>15440</v>
      </c>
      <c r="P10711" s="45" t="s">
        <v>55</v>
      </c>
      <c r="Q10711" s="821" t="s">
        <v>103</v>
      </c>
      <c r="R10711" s="45" t="s">
        <v>272</v>
      </c>
    </row>
    <row r="10712" spans="2:18" ht="69" customHeight="1">
      <c r="B10712" s="239">
        <f t="shared" si="99"/>
        <v>8575</v>
      </c>
      <c r="C10712" s="59" t="s">
        <v>458</v>
      </c>
      <c r="D10712" s="489" t="s">
        <v>25698</v>
      </c>
      <c r="E10712" s="45" t="s">
        <v>15436</v>
      </c>
      <c r="F10712" s="45" t="s">
        <v>25700</v>
      </c>
      <c r="G10712" s="45" t="s">
        <v>16034</v>
      </c>
      <c r="H10712" s="198">
        <v>11384.2</v>
      </c>
      <c r="I10712" s="47">
        <v>46016</v>
      </c>
      <c r="J10712" s="73" t="s">
        <v>25695</v>
      </c>
      <c r="K10712" s="60"/>
      <c r="O10712" s="45" t="s">
        <v>15440</v>
      </c>
      <c r="P10712" s="45" t="s">
        <v>55</v>
      </c>
      <c r="Q10712" s="821" t="s">
        <v>119</v>
      </c>
      <c r="R10712" s="45" t="s">
        <v>272</v>
      </c>
    </row>
    <row r="10713" spans="2:18" ht="69" customHeight="1">
      <c r="B10713" s="239">
        <f t="shared" si="99"/>
        <v>8576</v>
      </c>
      <c r="C10713" s="59" t="s">
        <v>458</v>
      </c>
      <c r="D10713" s="489" t="s">
        <v>25701</v>
      </c>
      <c r="E10713" s="45" t="s">
        <v>15436</v>
      </c>
      <c r="F10713" s="45" t="s">
        <v>25702</v>
      </c>
      <c r="G10713" s="45" t="s">
        <v>16034</v>
      </c>
      <c r="H10713" s="198">
        <v>250</v>
      </c>
      <c r="I10713" s="47">
        <v>46006</v>
      </c>
      <c r="J10713" s="73" t="s">
        <v>25695</v>
      </c>
      <c r="K10713" s="60"/>
      <c r="O10713" s="45" t="s">
        <v>15440</v>
      </c>
      <c r="P10713" s="45" t="s">
        <v>55</v>
      </c>
      <c r="Q10713" s="821" t="s">
        <v>103</v>
      </c>
      <c r="R10713" s="45" t="s">
        <v>272</v>
      </c>
    </row>
    <row r="10714" spans="2:18" ht="69" customHeight="1">
      <c r="B10714" s="239">
        <f t="shared" si="99"/>
        <v>8577</v>
      </c>
      <c r="C10714" s="59" t="s">
        <v>458</v>
      </c>
      <c r="D10714" s="489" t="s">
        <v>25701</v>
      </c>
      <c r="E10714" s="45" t="s">
        <v>15436</v>
      </c>
      <c r="F10714" s="45" t="s">
        <v>25703</v>
      </c>
      <c r="G10714" s="45" t="s">
        <v>16034</v>
      </c>
      <c r="H10714" s="198">
        <v>10800</v>
      </c>
      <c r="I10714" s="47">
        <v>46006</v>
      </c>
      <c r="J10714" s="73" t="s">
        <v>25695</v>
      </c>
      <c r="K10714" s="60"/>
      <c r="O10714" s="45" t="s">
        <v>15440</v>
      </c>
      <c r="P10714" s="45" t="s">
        <v>55</v>
      </c>
      <c r="Q10714" s="821" t="s">
        <v>107</v>
      </c>
      <c r="R10714" s="45" t="s">
        <v>272</v>
      </c>
    </row>
    <row r="10715" spans="2:18" ht="69" customHeight="1">
      <c r="B10715" s="239">
        <f t="shared" si="99"/>
        <v>8578</v>
      </c>
      <c r="C10715" s="59" t="s">
        <v>458</v>
      </c>
      <c r="D10715" s="489" t="s">
        <v>25701</v>
      </c>
      <c r="E10715" s="45" t="s">
        <v>15436</v>
      </c>
      <c r="F10715" s="45" t="s">
        <v>25704</v>
      </c>
      <c r="G10715" s="45" t="s">
        <v>16034</v>
      </c>
      <c r="H10715" s="198">
        <v>3000</v>
      </c>
      <c r="I10715" s="47">
        <v>46006</v>
      </c>
      <c r="J10715" s="73" t="s">
        <v>25695</v>
      </c>
      <c r="K10715" s="60"/>
      <c r="O10715" s="45" t="s">
        <v>15440</v>
      </c>
      <c r="P10715" s="45" t="s">
        <v>55</v>
      </c>
      <c r="Q10715" s="821" t="s">
        <v>119</v>
      </c>
      <c r="R10715" s="45" t="s">
        <v>272</v>
      </c>
    </row>
    <row r="10716" spans="2:18" ht="69" customHeight="1">
      <c r="B10716" s="239">
        <f t="shared" si="99"/>
        <v>8579</v>
      </c>
      <c r="C10716" s="909" t="s">
        <v>8797</v>
      </c>
      <c r="D10716" s="489" t="s">
        <v>21401</v>
      </c>
      <c r="E10716" s="45" t="s">
        <v>24808</v>
      </c>
      <c r="F10716" s="677" t="s">
        <v>25705</v>
      </c>
      <c r="G10716" s="45" t="s">
        <v>25706</v>
      </c>
      <c r="H10716" s="1007">
        <v>167.2</v>
      </c>
      <c r="I10716" s="47">
        <v>46016</v>
      </c>
      <c r="J10716" s="73" t="s">
        <v>25707</v>
      </c>
      <c r="K10716" s="60"/>
      <c r="O10716" s="45" t="s">
        <v>24808</v>
      </c>
      <c r="P10716" s="45" t="s">
        <v>65</v>
      </c>
      <c r="Q10716" s="48" t="s">
        <v>110</v>
      </c>
      <c r="R10716" s="45" t="s">
        <v>272</v>
      </c>
    </row>
    <row r="10717" spans="2:18" ht="69" customHeight="1">
      <c r="B10717" s="239">
        <f t="shared" si="99"/>
        <v>8580</v>
      </c>
      <c r="C10717" s="909" t="s">
        <v>8797</v>
      </c>
      <c r="D10717" s="489" t="s">
        <v>21409</v>
      </c>
      <c r="E10717" s="45" t="s">
        <v>24808</v>
      </c>
      <c r="F10717" s="677" t="s">
        <v>25708</v>
      </c>
      <c r="G10717" s="677" t="s">
        <v>25709</v>
      </c>
      <c r="H10717" s="1007">
        <v>677.66</v>
      </c>
      <c r="I10717" s="47">
        <v>46016</v>
      </c>
      <c r="J10717" s="73" t="s">
        <v>25707</v>
      </c>
      <c r="K10717" s="60"/>
      <c r="O10717" s="45" t="s">
        <v>24808</v>
      </c>
      <c r="P10717" s="45" t="s">
        <v>65</v>
      </c>
      <c r="Q10717" s="48" t="s">
        <v>110</v>
      </c>
      <c r="R10717" s="45" t="s">
        <v>272</v>
      </c>
    </row>
    <row r="10718" spans="2:18" ht="69" customHeight="1">
      <c r="B10718" s="239">
        <f t="shared" si="99"/>
        <v>8581</v>
      </c>
      <c r="C10718" s="909" t="s">
        <v>8797</v>
      </c>
      <c r="D10718" s="489" t="s">
        <v>21416</v>
      </c>
      <c r="E10718" s="71" t="s">
        <v>25388</v>
      </c>
      <c r="F10718" s="677" t="s">
        <v>25710</v>
      </c>
      <c r="G10718" s="45" t="s">
        <v>25390</v>
      </c>
      <c r="H10718" s="730">
        <v>890</v>
      </c>
      <c r="I10718" s="47">
        <v>46016</v>
      </c>
      <c r="J10718" s="73" t="s">
        <v>25711</v>
      </c>
      <c r="K10718" s="60"/>
      <c r="O10718" s="45" t="s">
        <v>25388</v>
      </c>
      <c r="P10718" s="45" t="s">
        <v>65</v>
      </c>
      <c r="Q10718" s="48" t="s">
        <v>110</v>
      </c>
      <c r="R10718" s="45" t="s">
        <v>272</v>
      </c>
    </row>
    <row r="10719" spans="2:18" ht="69" customHeight="1">
      <c r="B10719" s="79">
        <f t="shared" si="99"/>
        <v>8582</v>
      </c>
      <c r="C10719" s="178" t="s">
        <v>9215</v>
      </c>
      <c r="D10719" s="551" t="s">
        <v>25712</v>
      </c>
      <c r="E10719" s="58" t="s">
        <v>15436</v>
      </c>
      <c r="F10719" s="58" t="s">
        <v>25713</v>
      </c>
      <c r="G10719" s="58" t="s">
        <v>16034</v>
      </c>
      <c r="H10719" s="552">
        <v>12748.79</v>
      </c>
      <c r="I10719" s="66">
        <v>46006</v>
      </c>
      <c r="J10719" s="65" t="s">
        <v>25714</v>
      </c>
      <c r="K10719" s="237"/>
      <c r="O10719" s="45" t="s">
        <v>15440</v>
      </c>
      <c r="P10719" s="45" t="s">
        <v>55</v>
      </c>
      <c r="Q10719" s="821" t="s">
        <v>113</v>
      </c>
      <c r="R10719" s="45" t="s">
        <v>272</v>
      </c>
    </row>
    <row r="10720" spans="2:18" ht="69" customHeight="1">
      <c r="B10720" s="79">
        <f t="shared" si="99"/>
        <v>8583</v>
      </c>
      <c r="C10720" s="680" t="s">
        <v>10937</v>
      </c>
      <c r="D10720" s="551" t="s">
        <v>20859</v>
      </c>
      <c r="E10720" s="58" t="s">
        <v>15436</v>
      </c>
      <c r="F10720" s="58" t="s">
        <v>25715</v>
      </c>
      <c r="G10720" s="58" t="s">
        <v>16034</v>
      </c>
      <c r="H10720" s="552">
        <v>9970.35</v>
      </c>
      <c r="I10720" s="66">
        <v>46006</v>
      </c>
      <c r="J10720" s="65" t="s">
        <v>25714</v>
      </c>
      <c r="K10720" s="237"/>
      <c r="O10720" s="45" t="s">
        <v>15440</v>
      </c>
      <c r="P10720" s="45" t="s">
        <v>55</v>
      </c>
      <c r="Q10720" s="821" t="s">
        <v>104</v>
      </c>
      <c r="R10720" s="45" t="s">
        <v>272</v>
      </c>
    </row>
    <row r="10721" spans="2:18" ht="69" customHeight="1">
      <c r="B10721" s="239">
        <f t="shared" si="99"/>
        <v>8584</v>
      </c>
      <c r="C10721" s="44" t="s">
        <v>7189</v>
      </c>
      <c r="D10721" s="489" t="s">
        <v>25716</v>
      </c>
      <c r="E10721" s="956" t="s">
        <v>24499</v>
      </c>
      <c r="F10721" s="677" t="s">
        <v>25717</v>
      </c>
      <c r="G10721" s="45" t="s">
        <v>25598</v>
      </c>
      <c r="H10721" s="198">
        <v>147456</v>
      </c>
      <c r="I10721" s="47">
        <v>46016</v>
      </c>
      <c r="J10721" s="73" t="s">
        <v>25718</v>
      </c>
      <c r="K10721" s="60" t="s">
        <v>25719</v>
      </c>
      <c r="O10721" s="45" t="s">
        <v>24503</v>
      </c>
      <c r="P10721" s="58" t="s">
        <v>92</v>
      </c>
      <c r="Q10721" s="821" t="s">
        <v>97</v>
      </c>
      <c r="R10721" s="45" t="s">
        <v>272</v>
      </c>
    </row>
    <row r="10722" spans="2:18" ht="69" customHeight="1">
      <c r="B10722" s="239">
        <f t="shared" si="99"/>
        <v>8585</v>
      </c>
      <c r="C10722" s="59" t="s">
        <v>13435</v>
      </c>
      <c r="D10722" s="489" t="s">
        <v>25720</v>
      </c>
      <c r="E10722" s="956" t="s">
        <v>24499</v>
      </c>
      <c r="F10722" s="677" t="s">
        <v>25721</v>
      </c>
      <c r="G10722" s="45" t="s">
        <v>25598</v>
      </c>
      <c r="H10722" s="198">
        <v>170496</v>
      </c>
      <c r="I10722" s="47">
        <v>46016</v>
      </c>
      <c r="J10722" s="73" t="s">
        <v>25718</v>
      </c>
      <c r="K10722" s="60" t="s">
        <v>25719</v>
      </c>
      <c r="O10722" s="45" t="s">
        <v>24503</v>
      </c>
      <c r="P10722" s="58" t="s">
        <v>92</v>
      </c>
      <c r="Q10722" s="821" t="s">
        <v>13</v>
      </c>
      <c r="R10722" s="45" t="s">
        <v>272</v>
      </c>
    </row>
    <row r="10723" spans="2:18" ht="69" customHeight="1">
      <c r="B10723" s="239">
        <f t="shared" si="99"/>
        <v>8586</v>
      </c>
      <c r="C10723" s="59" t="s">
        <v>581</v>
      </c>
      <c r="D10723" s="489" t="s">
        <v>24612</v>
      </c>
      <c r="E10723" s="956" t="s">
        <v>24499</v>
      </c>
      <c r="F10723" s="677" t="s">
        <v>25722</v>
      </c>
      <c r="G10723" s="45" t="s">
        <v>25598</v>
      </c>
      <c r="H10723" s="198">
        <v>135936</v>
      </c>
      <c r="I10723" s="47">
        <v>46016</v>
      </c>
      <c r="J10723" s="73" t="s">
        <v>25718</v>
      </c>
      <c r="K10723" s="60" t="s">
        <v>25719</v>
      </c>
      <c r="O10723" s="45" t="s">
        <v>24503</v>
      </c>
      <c r="P10723" s="58" t="s">
        <v>92</v>
      </c>
      <c r="Q10723" s="821" t="s">
        <v>18</v>
      </c>
      <c r="R10723" s="45" t="s">
        <v>272</v>
      </c>
    </row>
    <row r="10724" spans="2:18" ht="69" customHeight="1">
      <c r="B10724" s="79">
        <f t="shared" si="99"/>
        <v>8587</v>
      </c>
      <c r="C10724" s="655" t="s">
        <v>4411</v>
      </c>
      <c r="D10724" s="489" t="s">
        <v>96</v>
      </c>
      <c r="E10724" s="178" t="s">
        <v>755</v>
      </c>
      <c r="F10724" s="210" t="s">
        <v>25723</v>
      </c>
      <c r="G10724" s="58" t="s">
        <v>2287</v>
      </c>
      <c r="H10724" s="198">
        <v>732334.12</v>
      </c>
      <c r="I10724" s="47">
        <v>45986</v>
      </c>
      <c r="J10724" s="489" t="s">
        <v>96</v>
      </c>
      <c r="K10724" s="60" t="s">
        <v>2288</v>
      </c>
      <c r="O10724" s="45" t="s">
        <v>1566</v>
      </c>
      <c r="P10724" s="58" t="s">
        <v>28</v>
      </c>
      <c r="Q10724" s="821" t="s">
        <v>54</v>
      </c>
      <c r="R10724" s="45" t="s">
        <v>272</v>
      </c>
    </row>
    <row r="10725" spans="2:18" ht="69" customHeight="1">
      <c r="B10725" s="79">
        <f t="shared" si="99"/>
        <v>8588</v>
      </c>
      <c r="C10725" s="178" t="s">
        <v>4277</v>
      </c>
      <c r="D10725" s="489" t="s">
        <v>96</v>
      </c>
      <c r="E10725" s="178" t="s">
        <v>755</v>
      </c>
      <c r="F10725" s="210" t="s">
        <v>25724</v>
      </c>
      <c r="G10725" s="58" t="s">
        <v>2287</v>
      </c>
      <c r="H10725" s="198">
        <v>732334.12</v>
      </c>
      <c r="I10725" s="47">
        <v>45986</v>
      </c>
      <c r="J10725" s="489" t="s">
        <v>96</v>
      </c>
      <c r="K10725" s="60" t="s">
        <v>2288</v>
      </c>
      <c r="O10725" s="45" t="s">
        <v>1566</v>
      </c>
      <c r="P10725" s="58" t="s">
        <v>28</v>
      </c>
      <c r="Q10725" s="821" t="s">
        <v>56</v>
      </c>
      <c r="R10725" s="45" t="s">
        <v>272</v>
      </c>
    </row>
    <row r="10726" spans="2:18" ht="69" customHeight="1">
      <c r="B10726" s="79">
        <f t="shared" si="99"/>
        <v>8589</v>
      </c>
      <c r="C10726" s="178" t="s">
        <v>4728</v>
      </c>
      <c r="D10726" s="489" t="s">
        <v>96</v>
      </c>
      <c r="E10726" s="178" t="s">
        <v>755</v>
      </c>
      <c r="F10726" s="210" t="s">
        <v>25725</v>
      </c>
      <c r="G10726" s="58" t="s">
        <v>2287</v>
      </c>
      <c r="H10726" s="198">
        <f>732334.12</f>
        <v>732334.12</v>
      </c>
      <c r="I10726" s="47">
        <v>45986</v>
      </c>
      <c r="J10726" s="489" t="s">
        <v>96</v>
      </c>
      <c r="K10726" s="60" t="s">
        <v>2288</v>
      </c>
      <c r="O10726" s="45" t="s">
        <v>1566</v>
      </c>
      <c r="P10726" s="58" t="s">
        <v>28</v>
      </c>
      <c r="Q10726" s="821" t="s">
        <v>58</v>
      </c>
      <c r="R10726" s="45" t="s">
        <v>272</v>
      </c>
    </row>
    <row r="10727" spans="2:18" ht="69" customHeight="1">
      <c r="B10727" s="79">
        <f t="shared" si="99"/>
        <v>8590</v>
      </c>
      <c r="C10727" s="59" t="s">
        <v>657</v>
      </c>
      <c r="D10727" s="489" t="s">
        <v>96</v>
      </c>
      <c r="E10727" s="178" t="s">
        <v>755</v>
      </c>
      <c r="F10727" s="210" t="s">
        <v>25726</v>
      </c>
      <c r="G10727" s="58" t="s">
        <v>2287</v>
      </c>
      <c r="H10727" s="198">
        <v>732280.22</v>
      </c>
      <c r="I10727" s="47">
        <v>45986</v>
      </c>
      <c r="J10727" s="489" t="s">
        <v>96</v>
      </c>
      <c r="K10727" s="60" t="s">
        <v>2288</v>
      </c>
      <c r="O10727" s="45" t="s">
        <v>1566</v>
      </c>
      <c r="P10727" s="58" t="s">
        <v>28</v>
      </c>
      <c r="Q10727" s="821" t="s">
        <v>106</v>
      </c>
      <c r="R10727" s="45" t="s">
        <v>272</v>
      </c>
    </row>
    <row r="10728" spans="2:18" ht="69" customHeight="1">
      <c r="B10728" s="79">
        <f t="shared" si="99"/>
        <v>8591</v>
      </c>
      <c r="C10728" s="59" t="s">
        <v>8703</v>
      </c>
      <c r="D10728" s="489" t="s">
        <v>96</v>
      </c>
      <c r="E10728" s="178" t="s">
        <v>755</v>
      </c>
      <c r="F10728" s="210" t="s">
        <v>25727</v>
      </c>
      <c r="G10728" s="58" t="s">
        <v>2287</v>
      </c>
      <c r="H10728" s="198">
        <f>587676-0.46</f>
        <v>587675.54</v>
      </c>
      <c r="I10728" s="47">
        <v>45986</v>
      </c>
      <c r="J10728" s="489" t="s">
        <v>96</v>
      </c>
      <c r="K10728" s="45" t="s">
        <v>2288</v>
      </c>
      <c r="O10728" s="45" t="s">
        <v>1566</v>
      </c>
      <c r="P10728" s="45" t="s">
        <v>28</v>
      </c>
      <c r="Q10728" s="821" t="s">
        <v>109</v>
      </c>
      <c r="R10728" s="45" t="s">
        <v>272</v>
      </c>
    </row>
    <row r="10729" spans="2:18" ht="69" customHeight="1">
      <c r="B10729" s="239">
        <f t="shared" si="99"/>
        <v>8592</v>
      </c>
      <c r="C10729" s="59" t="s">
        <v>13435</v>
      </c>
      <c r="D10729" s="489" t="s">
        <v>23465</v>
      </c>
      <c r="E10729" s="45" t="s">
        <v>22728</v>
      </c>
      <c r="F10729" s="45" t="s">
        <v>25728</v>
      </c>
      <c r="G10729" s="81" t="s">
        <v>25729</v>
      </c>
      <c r="H10729" s="198">
        <v>14190</v>
      </c>
      <c r="I10729" s="47">
        <v>46016</v>
      </c>
      <c r="J10729" s="81" t="s">
        <v>25730</v>
      </c>
      <c r="K10729" s="748"/>
      <c r="O10729" s="45" t="s">
        <v>13936</v>
      </c>
      <c r="P10729" s="45" t="s">
        <v>57</v>
      </c>
      <c r="Q10729" s="821" t="s">
        <v>13</v>
      </c>
      <c r="R10729" s="45" t="s">
        <v>272</v>
      </c>
    </row>
    <row r="10730" spans="2:18" ht="69" customHeight="1">
      <c r="B10730" s="239">
        <f t="shared" si="99"/>
        <v>8593</v>
      </c>
      <c r="C10730" s="59" t="s">
        <v>9215</v>
      </c>
      <c r="D10730" s="489" t="s">
        <v>25731</v>
      </c>
      <c r="E10730" s="45" t="s">
        <v>15436</v>
      </c>
      <c r="F10730" s="45" t="s">
        <v>25732</v>
      </c>
      <c r="G10730" s="45" t="s">
        <v>25733</v>
      </c>
      <c r="H10730" s="198">
        <v>35898.71</v>
      </c>
      <c r="I10730" s="47">
        <v>46016</v>
      </c>
      <c r="J10730" s="81" t="s">
        <v>25734</v>
      </c>
      <c r="K10730" s="60"/>
      <c r="O10730" s="45" t="s">
        <v>15440</v>
      </c>
      <c r="P10730" s="45" t="s">
        <v>55</v>
      </c>
      <c r="Q10730" s="821" t="s">
        <v>113</v>
      </c>
      <c r="R10730" s="45" t="s">
        <v>272</v>
      </c>
    </row>
    <row r="10731" spans="2:18" ht="69" customHeight="1">
      <c r="B10731" s="79">
        <f t="shared" si="99"/>
        <v>8594</v>
      </c>
      <c r="C10731" s="178" t="s">
        <v>9215</v>
      </c>
      <c r="D10731" s="551" t="s">
        <v>25735</v>
      </c>
      <c r="E10731" s="45" t="s">
        <v>15436</v>
      </c>
      <c r="F10731" s="45" t="s">
        <v>25736</v>
      </c>
      <c r="G10731" s="58" t="s">
        <v>25737</v>
      </c>
      <c r="H10731" s="552">
        <f>53848.05-33600</f>
        <v>20248.050000000003</v>
      </c>
      <c r="I10731" s="47">
        <v>46016</v>
      </c>
      <c r="J10731" s="65" t="s">
        <v>25738</v>
      </c>
      <c r="K10731" s="552">
        <v>53848.05</v>
      </c>
      <c r="O10731" s="45" t="s">
        <v>15440</v>
      </c>
      <c r="P10731" s="45" t="s">
        <v>55</v>
      </c>
      <c r="Q10731" s="821" t="s">
        <v>113</v>
      </c>
      <c r="R10731" s="45" t="s">
        <v>272</v>
      </c>
    </row>
    <row r="10732" spans="2:18" ht="69" customHeight="1">
      <c r="B10732" s="79">
        <f t="shared" si="99"/>
        <v>8595</v>
      </c>
      <c r="C10732" s="59" t="s">
        <v>11568</v>
      </c>
      <c r="D10732" s="489" t="s">
        <v>25739</v>
      </c>
      <c r="E10732" s="45" t="s">
        <v>15436</v>
      </c>
      <c r="F10732" s="45" t="s">
        <v>25740</v>
      </c>
      <c r="G10732" s="58" t="s">
        <v>16034</v>
      </c>
      <c r="H10732" s="198">
        <v>1364.48</v>
      </c>
      <c r="I10732" s="47">
        <v>46016</v>
      </c>
      <c r="J10732" s="73" t="s">
        <v>25741</v>
      </c>
      <c r="K10732" s="60"/>
      <c r="O10732" s="45" t="s">
        <v>15440</v>
      </c>
      <c r="P10732" s="45" t="s">
        <v>55</v>
      </c>
      <c r="Q10732" s="821" t="s">
        <v>107</v>
      </c>
      <c r="R10732" s="45" t="s">
        <v>272</v>
      </c>
    </row>
    <row r="10733" spans="2:18" ht="69" customHeight="1">
      <c r="B10733" s="239">
        <f t="shared" si="99"/>
        <v>8596</v>
      </c>
      <c r="C10733" s="45" t="s">
        <v>11618</v>
      </c>
      <c r="D10733" s="489" t="s">
        <v>25742</v>
      </c>
      <c r="E10733" s="45" t="s">
        <v>266</v>
      </c>
      <c r="F10733" s="45" t="s">
        <v>25743</v>
      </c>
      <c r="G10733" s="45" t="s">
        <v>25744</v>
      </c>
      <c r="H10733" s="198">
        <v>4000</v>
      </c>
      <c r="I10733" s="47">
        <v>46016</v>
      </c>
      <c r="J10733" s="48" t="s">
        <v>25745</v>
      </c>
      <c r="K10733" s="60"/>
      <c r="O10733" s="45" t="s">
        <v>24914</v>
      </c>
      <c r="P10733" s="58" t="s">
        <v>67</v>
      </c>
      <c r="Q10733" s="821" t="s">
        <v>122</v>
      </c>
      <c r="R10733" s="45" t="s">
        <v>272</v>
      </c>
    </row>
    <row r="10734" spans="2:18" ht="69" customHeight="1">
      <c r="B10734" s="239">
        <f t="shared" si="99"/>
        <v>8597</v>
      </c>
      <c r="C10734" s="59" t="s">
        <v>11568</v>
      </c>
      <c r="D10734" s="489" t="s">
        <v>25746</v>
      </c>
      <c r="E10734" s="956" t="s">
        <v>24499</v>
      </c>
      <c r="F10734" s="677" t="s">
        <v>25747</v>
      </c>
      <c r="G10734" s="45" t="s">
        <v>25748</v>
      </c>
      <c r="H10734" s="198">
        <v>314496</v>
      </c>
      <c r="I10734" s="47">
        <v>46027</v>
      </c>
      <c r="J10734" s="410" t="s">
        <v>25749</v>
      </c>
      <c r="K10734" s="60"/>
      <c r="O10734" s="45" t="s">
        <v>24503</v>
      </c>
      <c r="P10734" s="58" t="s">
        <v>92</v>
      </c>
      <c r="Q10734" s="821" t="s">
        <v>107</v>
      </c>
      <c r="R10734" s="45" t="s">
        <v>272</v>
      </c>
    </row>
    <row r="10735" spans="2:18" ht="69" customHeight="1">
      <c r="B10735" s="239">
        <f t="shared" si="99"/>
        <v>8598</v>
      </c>
      <c r="C10735" s="45" t="s">
        <v>21622</v>
      </c>
      <c r="D10735" s="489" t="s">
        <v>25750</v>
      </c>
      <c r="E10735" s="956" t="s">
        <v>24499</v>
      </c>
      <c r="F10735" s="677" t="s">
        <v>25751</v>
      </c>
      <c r="G10735" s="45" t="s">
        <v>25748</v>
      </c>
      <c r="H10735" s="198">
        <v>258048</v>
      </c>
      <c r="I10735" s="47">
        <v>46027</v>
      </c>
      <c r="J10735" s="410" t="s">
        <v>25749</v>
      </c>
      <c r="K10735" s="60"/>
      <c r="O10735" s="45" t="s">
        <v>24503</v>
      </c>
      <c r="P10735" s="58" t="s">
        <v>92</v>
      </c>
      <c r="Q10735" s="821" t="s">
        <v>113</v>
      </c>
      <c r="R10735" s="45" t="s">
        <v>272</v>
      </c>
    </row>
    <row r="10736" spans="2:18" ht="69" customHeight="1">
      <c r="B10736" s="239">
        <f t="shared" si="99"/>
        <v>8599</v>
      </c>
      <c r="C10736" s="45" t="s">
        <v>11618</v>
      </c>
      <c r="D10736" s="489" t="s">
        <v>25752</v>
      </c>
      <c r="E10736" s="956" t="s">
        <v>24499</v>
      </c>
      <c r="F10736" s="677" t="s">
        <v>25753</v>
      </c>
      <c r="G10736" s="45" t="s">
        <v>25748</v>
      </c>
      <c r="H10736" s="198">
        <v>318528</v>
      </c>
      <c r="I10736" s="47">
        <v>46027</v>
      </c>
      <c r="J10736" s="410" t="s">
        <v>25749</v>
      </c>
      <c r="K10736" s="60"/>
      <c r="O10736" s="45" t="s">
        <v>24503</v>
      </c>
      <c r="P10736" s="58" t="s">
        <v>92</v>
      </c>
      <c r="Q10736" s="821" t="s">
        <v>122</v>
      </c>
      <c r="R10736" s="45" t="s">
        <v>272</v>
      </c>
    </row>
    <row r="10737" spans="1:18" ht="69" customHeight="1">
      <c r="B10737" s="1095">
        <f>B10736+1</f>
        <v>8600</v>
      </c>
      <c r="C10737" s="1096" t="s">
        <v>9215</v>
      </c>
      <c r="D10737" s="1097" t="s">
        <v>25754</v>
      </c>
      <c r="E10737" s="1098" t="s">
        <v>16139</v>
      </c>
      <c r="F10737" s="833" t="s">
        <v>23580</v>
      </c>
      <c r="G10737" s="133" t="s">
        <v>25755</v>
      </c>
      <c r="H10737" s="1099">
        <v>14000</v>
      </c>
      <c r="I10737" s="218"/>
      <c r="J10737" s="216" t="s">
        <v>25756</v>
      </c>
      <c r="K10737" s="1100" t="s">
        <v>23563</v>
      </c>
      <c r="O10737" s="45" t="s">
        <v>175</v>
      </c>
      <c r="P10737" s="45" t="s">
        <v>65</v>
      </c>
      <c r="Q10737" s="821" t="s">
        <v>113</v>
      </c>
      <c r="R10737" s="45" t="s">
        <v>272</v>
      </c>
    </row>
    <row r="10738" spans="1:18" ht="69" customHeight="1">
      <c r="B10738" s="239">
        <f>B10737+1</f>
        <v>8601</v>
      </c>
      <c r="C10738" s="178" t="s">
        <v>657</v>
      </c>
      <c r="D10738" s="489" t="s">
        <v>25757</v>
      </c>
      <c r="E10738" s="58" t="s">
        <v>11480</v>
      </c>
      <c r="F10738" s="58" t="s">
        <v>25758</v>
      </c>
      <c r="G10738" s="58" t="s">
        <v>25759</v>
      </c>
      <c r="H10738" s="198">
        <v>100000</v>
      </c>
      <c r="I10738" s="47">
        <v>46027</v>
      </c>
      <c r="J10738" s="48" t="s">
        <v>25760</v>
      </c>
      <c r="K10738" s="60"/>
      <c r="O10738" s="45" t="s">
        <v>141</v>
      </c>
      <c r="P10738" s="45" t="s">
        <v>19</v>
      </c>
      <c r="Q10738" s="48" t="s">
        <v>110</v>
      </c>
      <c r="R10738" s="45" t="s">
        <v>272</v>
      </c>
    </row>
    <row r="10739" spans="1:18" ht="69" customHeight="1">
      <c r="B10739" s="1095">
        <f t="shared" ref="B10739:B10800" si="100">B10738+1</f>
        <v>8602</v>
      </c>
      <c r="C10739" s="1096" t="s">
        <v>11908</v>
      </c>
      <c r="D10739" s="1097" t="s">
        <v>25761</v>
      </c>
      <c r="E10739" s="1098" t="s">
        <v>16139</v>
      </c>
      <c r="F10739" s="833" t="s">
        <v>25762</v>
      </c>
      <c r="G10739" s="133" t="s">
        <v>25763</v>
      </c>
      <c r="H10739" s="1099">
        <v>15000</v>
      </c>
      <c r="I10739" s="218"/>
      <c r="J10739" s="216" t="s">
        <v>25756</v>
      </c>
      <c r="K10739" s="1100" t="s">
        <v>23563</v>
      </c>
      <c r="O10739" s="45" t="s">
        <v>175</v>
      </c>
      <c r="P10739" s="45" t="s">
        <v>65</v>
      </c>
      <c r="Q10739" s="48" t="s">
        <v>103</v>
      </c>
      <c r="R10739" s="45" t="s">
        <v>272</v>
      </c>
    </row>
    <row r="10740" spans="1:18" ht="69" customHeight="1">
      <c r="B10740" s="1095">
        <f t="shared" si="100"/>
        <v>8603</v>
      </c>
      <c r="C10740" s="1096" t="s">
        <v>11568</v>
      </c>
      <c r="D10740" s="1097" t="s">
        <v>25764</v>
      </c>
      <c r="E10740" s="1098" t="s">
        <v>16139</v>
      </c>
      <c r="F10740" s="833" t="s">
        <v>8439</v>
      </c>
      <c r="G10740" s="133" t="s">
        <v>25765</v>
      </c>
      <c r="H10740" s="1099">
        <v>3000</v>
      </c>
      <c r="I10740" s="218"/>
      <c r="J10740" s="216" t="s">
        <v>25756</v>
      </c>
      <c r="K10740" s="1100" t="s">
        <v>23563</v>
      </c>
      <c r="O10740" s="45" t="s">
        <v>175</v>
      </c>
      <c r="P10740" s="45" t="s">
        <v>65</v>
      </c>
      <c r="Q10740" s="48" t="s">
        <v>107</v>
      </c>
      <c r="R10740" s="45" t="s">
        <v>272</v>
      </c>
    </row>
    <row r="10741" spans="1:18" ht="69" customHeight="1">
      <c r="B10741" s="239">
        <f t="shared" si="100"/>
        <v>8604</v>
      </c>
      <c r="C10741" s="909" t="s">
        <v>8797</v>
      </c>
      <c r="D10741" s="1101" t="s">
        <v>20939</v>
      </c>
      <c r="E10741" s="60" t="s">
        <v>13240</v>
      </c>
      <c r="F10741" s="956" t="s">
        <v>18067</v>
      </c>
      <c r="G10741" s="60" t="s">
        <v>25511</v>
      </c>
      <c r="H10741" s="1102">
        <v>23300</v>
      </c>
      <c r="I10741" s="47">
        <v>46027</v>
      </c>
      <c r="J10741" s="1103" t="s">
        <v>25766</v>
      </c>
      <c r="K10741" s="60"/>
      <c r="O10741" s="45" t="s">
        <v>13240</v>
      </c>
      <c r="P10741" s="45" t="s">
        <v>71</v>
      </c>
      <c r="Q10741" s="48" t="s">
        <v>110</v>
      </c>
      <c r="R10741" s="45" t="s">
        <v>272</v>
      </c>
    </row>
    <row r="10742" spans="1:18" ht="69" customHeight="1">
      <c r="B10742" s="48">
        <f t="shared" si="100"/>
        <v>8605</v>
      </c>
      <c r="C10742" s="45" t="s">
        <v>21622</v>
      </c>
      <c r="D10742" s="84" t="s">
        <v>25767</v>
      </c>
      <c r="E10742" s="45" t="s">
        <v>13240</v>
      </c>
      <c r="F10742" s="677" t="s">
        <v>25768</v>
      </c>
      <c r="G10742" s="45" t="s">
        <v>25511</v>
      </c>
      <c r="H10742" s="198">
        <v>6990</v>
      </c>
      <c r="I10742" s="47">
        <v>46027</v>
      </c>
      <c r="J10742" s="48" t="s">
        <v>25766</v>
      </c>
      <c r="K10742" s="45"/>
      <c r="O10742" s="45" t="s">
        <v>13240</v>
      </c>
      <c r="P10742" s="45" t="s">
        <v>71</v>
      </c>
      <c r="Q10742" s="48" t="s">
        <v>113</v>
      </c>
      <c r="R10742" s="45" t="s">
        <v>272</v>
      </c>
    </row>
    <row r="10743" spans="1:18" ht="69" customHeight="1">
      <c r="B10743" s="959">
        <f t="shared" si="100"/>
        <v>8606</v>
      </c>
      <c r="C10743" s="638" t="s">
        <v>10937</v>
      </c>
      <c r="D10743" s="950" t="s">
        <v>21505</v>
      </c>
      <c r="E10743" s="61" t="s">
        <v>13240</v>
      </c>
      <c r="F10743" s="61" t="s">
        <v>25769</v>
      </c>
      <c r="G10743" s="61" t="s">
        <v>25511</v>
      </c>
      <c r="H10743" s="806">
        <v>11650</v>
      </c>
      <c r="I10743" s="47">
        <v>46027</v>
      </c>
      <c r="J10743" s="1103" t="s">
        <v>25766</v>
      </c>
      <c r="K10743" s="61"/>
      <c r="O10743" s="45" t="s">
        <v>13240</v>
      </c>
      <c r="P10743" s="45" t="s">
        <v>71</v>
      </c>
      <c r="Q10743" s="48" t="s">
        <v>104</v>
      </c>
      <c r="R10743" s="45" t="s">
        <v>272</v>
      </c>
    </row>
    <row r="10744" spans="1:18" ht="69" customHeight="1">
      <c r="B10744" s="239">
        <f t="shared" si="100"/>
        <v>8607</v>
      </c>
      <c r="C10744" s="59" t="s">
        <v>11568</v>
      </c>
      <c r="D10744" s="489" t="s">
        <v>25770</v>
      </c>
      <c r="E10744" s="45" t="s">
        <v>13240</v>
      </c>
      <c r="F10744" s="45" t="s">
        <v>25771</v>
      </c>
      <c r="G10744" s="45" t="s">
        <v>25511</v>
      </c>
      <c r="H10744" s="198">
        <v>24854</v>
      </c>
      <c r="I10744" s="47">
        <v>46027</v>
      </c>
      <c r="J10744" s="48" t="s">
        <v>25766</v>
      </c>
      <c r="K10744" s="45"/>
      <c r="O10744" s="45" t="s">
        <v>13240</v>
      </c>
      <c r="P10744" s="45" t="s">
        <v>71</v>
      </c>
      <c r="Q10744" s="48" t="s">
        <v>107</v>
      </c>
      <c r="R10744" s="45" t="s">
        <v>272</v>
      </c>
    </row>
    <row r="10745" spans="1:18" ht="69" customHeight="1">
      <c r="A10745" s="169"/>
      <c r="B10745" s="239">
        <f t="shared" si="100"/>
        <v>8608</v>
      </c>
      <c r="C10745" s="909" t="s">
        <v>8797</v>
      </c>
      <c r="D10745" s="489" t="s">
        <v>25772</v>
      </c>
      <c r="E10745" s="45" t="s">
        <v>24808</v>
      </c>
      <c r="F10745" s="677" t="s">
        <v>25773</v>
      </c>
      <c r="G10745" s="45" t="s">
        <v>25774</v>
      </c>
      <c r="H10745" s="1007">
        <v>167.2</v>
      </c>
      <c r="I10745" s="47">
        <v>46047</v>
      </c>
      <c r="J10745" s="73" t="s">
        <v>25775</v>
      </c>
      <c r="K10745" s="60"/>
      <c r="O10745" s="45" t="s">
        <v>24808</v>
      </c>
      <c r="P10745" s="45" t="s">
        <v>65</v>
      </c>
      <c r="Q10745" s="48" t="s">
        <v>110</v>
      </c>
      <c r="R10745" s="45" t="s">
        <v>272</v>
      </c>
    </row>
    <row r="10746" spans="1:18" ht="69" customHeight="1">
      <c r="B10746" s="239">
        <f t="shared" si="100"/>
        <v>8609</v>
      </c>
      <c r="C10746" s="909" t="s">
        <v>8797</v>
      </c>
      <c r="D10746" s="489" t="s">
        <v>25776</v>
      </c>
      <c r="E10746" s="45" t="s">
        <v>24808</v>
      </c>
      <c r="F10746" s="677" t="s">
        <v>25777</v>
      </c>
      <c r="G10746" s="677" t="s">
        <v>25778</v>
      </c>
      <c r="H10746" s="1007">
        <v>677.66</v>
      </c>
      <c r="I10746" s="47">
        <v>46047</v>
      </c>
      <c r="J10746" s="73" t="s">
        <v>25775</v>
      </c>
      <c r="K10746" s="60"/>
      <c r="O10746" s="45" t="s">
        <v>24808</v>
      </c>
      <c r="P10746" s="45" t="s">
        <v>65</v>
      </c>
      <c r="Q10746" s="48" t="s">
        <v>110</v>
      </c>
      <c r="R10746" s="45" t="s">
        <v>272</v>
      </c>
    </row>
    <row r="10747" spans="1:18" ht="69" customHeight="1">
      <c r="B10747" s="239">
        <f t="shared" si="100"/>
        <v>8610</v>
      </c>
      <c r="C10747" s="909" t="s">
        <v>8797</v>
      </c>
      <c r="D10747" s="489" t="s">
        <v>21515</v>
      </c>
      <c r="E10747" s="71" t="s">
        <v>25388</v>
      </c>
      <c r="F10747" s="677" t="s">
        <v>25779</v>
      </c>
      <c r="G10747" s="45" t="s">
        <v>25390</v>
      </c>
      <c r="H10747" s="730">
        <v>890</v>
      </c>
      <c r="I10747" s="47">
        <v>46047</v>
      </c>
      <c r="J10747" s="73" t="s">
        <v>25780</v>
      </c>
      <c r="K10747" s="60"/>
      <c r="O10747" s="45" t="s">
        <v>25388</v>
      </c>
      <c r="P10747" s="45" t="s">
        <v>65</v>
      </c>
      <c r="Q10747" s="48" t="s">
        <v>110</v>
      </c>
      <c r="R10747" s="45" t="s">
        <v>272</v>
      </c>
    </row>
    <row r="10748" spans="1:18" ht="69" customHeight="1">
      <c r="B10748" s="239">
        <f t="shared" si="100"/>
        <v>8611</v>
      </c>
      <c r="C10748" s="45" t="s">
        <v>581</v>
      </c>
      <c r="D10748" s="489" t="s">
        <v>23589</v>
      </c>
      <c r="E10748" s="59" t="s">
        <v>16139</v>
      </c>
      <c r="F10748" s="45" t="s">
        <v>25781</v>
      </c>
      <c r="G10748" s="45" t="s">
        <v>25782</v>
      </c>
      <c r="H10748" s="198">
        <v>211267.52</v>
      </c>
      <c r="I10748" s="47">
        <v>46037</v>
      </c>
      <c r="J10748" s="73" t="s">
        <v>25783</v>
      </c>
      <c r="K10748" s="60" t="s">
        <v>25784</v>
      </c>
      <c r="O10748" s="45" t="s">
        <v>175</v>
      </c>
      <c r="P10748" s="45" t="s">
        <v>57</v>
      </c>
      <c r="Q10748" s="48" t="s">
        <v>18</v>
      </c>
      <c r="R10748" s="45" t="s">
        <v>272</v>
      </c>
    </row>
    <row r="10749" spans="1:18" ht="69" customHeight="1">
      <c r="B10749" s="239">
        <f t="shared" si="100"/>
        <v>8612</v>
      </c>
      <c r="C10749" s="59" t="s">
        <v>11568</v>
      </c>
      <c r="D10749" s="489" t="s">
        <v>25785</v>
      </c>
      <c r="E10749" s="59" t="s">
        <v>16139</v>
      </c>
      <c r="F10749" s="45" t="s">
        <v>25786</v>
      </c>
      <c r="G10749" s="45" t="s">
        <v>25787</v>
      </c>
      <c r="H10749" s="198">
        <v>86609.08</v>
      </c>
      <c r="I10749" s="47">
        <v>46037</v>
      </c>
      <c r="J10749" s="73" t="s">
        <v>25783</v>
      </c>
      <c r="K10749" s="60" t="s">
        <v>25788</v>
      </c>
      <c r="O10749" s="45" t="s">
        <v>175</v>
      </c>
      <c r="P10749" s="45" t="s">
        <v>57</v>
      </c>
      <c r="Q10749" s="48" t="s">
        <v>107</v>
      </c>
      <c r="R10749" s="45" t="s">
        <v>272</v>
      </c>
    </row>
    <row r="10750" spans="1:18" ht="69" customHeight="1">
      <c r="B10750" s="239">
        <f t="shared" si="100"/>
        <v>8613</v>
      </c>
      <c r="C10750" s="59" t="s">
        <v>657</v>
      </c>
      <c r="D10750" s="489" t="s">
        <v>17869</v>
      </c>
      <c r="E10750" s="45" t="s">
        <v>11480</v>
      </c>
      <c r="F10750" s="45" t="s">
        <v>25789</v>
      </c>
      <c r="G10750" s="45" t="s">
        <v>25326</v>
      </c>
      <c r="H10750" s="198">
        <v>102875.61</v>
      </c>
      <c r="I10750" s="47">
        <v>46037</v>
      </c>
      <c r="J10750" s="73" t="s">
        <v>25790</v>
      </c>
      <c r="K10750" s="60"/>
      <c r="O10750" s="45" t="s">
        <v>141</v>
      </c>
      <c r="P10750" s="45" t="s">
        <v>19</v>
      </c>
      <c r="Q10750" s="48" t="s">
        <v>110</v>
      </c>
      <c r="R10750" s="45" t="s">
        <v>272</v>
      </c>
    </row>
    <row r="10751" spans="1:18" ht="69" customHeight="1">
      <c r="B10751" s="239">
        <f t="shared" si="100"/>
        <v>8614</v>
      </c>
      <c r="C10751" s="84" t="s">
        <v>10947</v>
      </c>
      <c r="D10751" s="489" t="s">
        <v>25791</v>
      </c>
      <c r="E10751" s="59" t="s">
        <v>266</v>
      </c>
      <c r="F10751" s="45" t="s">
        <v>25792</v>
      </c>
      <c r="G10751" s="45" t="s">
        <v>25793</v>
      </c>
      <c r="H10751" s="198">
        <v>998.78</v>
      </c>
      <c r="I10751" s="47">
        <v>46037</v>
      </c>
      <c r="J10751" s="73" t="s">
        <v>25794</v>
      </c>
      <c r="K10751" s="60" t="s">
        <v>25795</v>
      </c>
      <c r="O10751" s="45" t="s">
        <v>25541</v>
      </c>
      <c r="P10751" s="45" t="s">
        <v>65</v>
      </c>
      <c r="Q10751" s="48" t="s">
        <v>100</v>
      </c>
      <c r="R10751" s="45" t="s">
        <v>272</v>
      </c>
    </row>
    <row r="10752" spans="1:18" ht="69" customHeight="1">
      <c r="B10752" s="239">
        <f t="shared" si="100"/>
        <v>8615</v>
      </c>
      <c r="C10752" s="44" t="s">
        <v>22636</v>
      </c>
      <c r="D10752" s="489" t="s">
        <v>25796</v>
      </c>
      <c r="E10752" s="59" t="s">
        <v>266</v>
      </c>
      <c r="F10752" s="45" t="s">
        <v>25797</v>
      </c>
      <c r="G10752" s="45" t="s">
        <v>25793</v>
      </c>
      <c r="H10752" s="198">
        <v>998.78</v>
      </c>
      <c r="I10752" s="47">
        <v>46037</v>
      </c>
      <c r="J10752" s="73" t="s">
        <v>25794</v>
      </c>
      <c r="K10752" s="60" t="s">
        <v>25795</v>
      </c>
      <c r="O10752" s="45" t="s">
        <v>25541</v>
      </c>
      <c r="P10752" s="45" t="s">
        <v>65</v>
      </c>
      <c r="Q10752" s="48" t="s">
        <v>68</v>
      </c>
      <c r="R10752" s="45" t="s">
        <v>272</v>
      </c>
    </row>
    <row r="10753" spans="2:18" ht="69" customHeight="1">
      <c r="B10753" s="239">
        <f t="shared" si="100"/>
        <v>8616</v>
      </c>
      <c r="C10753" s="45" t="s">
        <v>22640</v>
      </c>
      <c r="D10753" s="489" t="s">
        <v>25798</v>
      </c>
      <c r="E10753" s="59" t="s">
        <v>266</v>
      </c>
      <c r="F10753" s="45" t="s">
        <v>25799</v>
      </c>
      <c r="G10753" s="45" t="s">
        <v>25793</v>
      </c>
      <c r="H10753" s="198">
        <v>998.78</v>
      </c>
      <c r="I10753" s="47">
        <v>46037</v>
      </c>
      <c r="J10753" s="73" t="s">
        <v>25794</v>
      </c>
      <c r="K10753" s="60" t="s">
        <v>25795</v>
      </c>
      <c r="O10753" s="45" t="s">
        <v>25541</v>
      </c>
      <c r="P10753" s="45" t="s">
        <v>65</v>
      </c>
      <c r="Q10753" s="48" t="s">
        <v>70</v>
      </c>
      <c r="R10753" s="45" t="s">
        <v>272</v>
      </c>
    </row>
    <row r="10754" spans="2:18" ht="69" customHeight="1">
      <c r="B10754" s="239">
        <f t="shared" si="100"/>
        <v>8617</v>
      </c>
      <c r="C10754" s="59" t="s">
        <v>6062</v>
      </c>
      <c r="D10754" s="489" t="s">
        <v>25800</v>
      </c>
      <c r="E10754" s="59" t="s">
        <v>266</v>
      </c>
      <c r="F10754" s="45" t="s">
        <v>25801</v>
      </c>
      <c r="G10754" s="45" t="s">
        <v>25793</v>
      </c>
      <c r="H10754" s="198">
        <v>998.78</v>
      </c>
      <c r="I10754" s="47">
        <v>46037</v>
      </c>
      <c r="J10754" s="73" t="s">
        <v>25794</v>
      </c>
      <c r="K10754" s="60" t="s">
        <v>25795</v>
      </c>
      <c r="O10754" s="45" t="s">
        <v>25541</v>
      </c>
      <c r="P10754" s="45" t="s">
        <v>65</v>
      </c>
      <c r="Q10754" s="48" t="s">
        <v>72</v>
      </c>
      <c r="R10754" s="45" t="s">
        <v>272</v>
      </c>
    </row>
    <row r="10755" spans="2:18" ht="69" customHeight="1">
      <c r="B10755" s="239">
        <f t="shared" si="100"/>
        <v>8618</v>
      </c>
      <c r="C10755" s="59" t="s">
        <v>6888</v>
      </c>
      <c r="D10755" s="489" t="s">
        <v>25802</v>
      </c>
      <c r="E10755" s="59" t="s">
        <v>266</v>
      </c>
      <c r="F10755" s="45" t="s">
        <v>25803</v>
      </c>
      <c r="G10755" s="45" t="s">
        <v>25793</v>
      </c>
      <c r="H10755" s="198">
        <v>998.78</v>
      </c>
      <c r="I10755" s="47">
        <v>46037</v>
      </c>
      <c r="J10755" s="73" t="s">
        <v>25794</v>
      </c>
      <c r="K10755" s="60" t="s">
        <v>25795</v>
      </c>
      <c r="O10755" s="45" t="s">
        <v>25541</v>
      </c>
      <c r="P10755" s="45" t="s">
        <v>65</v>
      </c>
      <c r="Q10755" s="48" t="s">
        <v>84</v>
      </c>
      <c r="R10755" s="45" t="s">
        <v>272</v>
      </c>
    </row>
    <row r="10756" spans="2:18" ht="69" customHeight="1">
      <c r="B10756" s="732">
        <f t="shared" si="100"/>
        <v>8619</v>
      </c>
      <c r="C10756" s="677" t="s">
        <v>24930</v>
      </c>
      <c r="D10756" s="675" t="s">
        <v>25804</v>
      </c>
      <c r="E10756" s="676" t="s">
        <v>266</v>
      </c>
      <c r="F10756" s="677" t="s">
        <v>25805</v>
      </c>
      <c r="G10756" s="677" t="s">
        <v>25793</v>
      </c>
      <c r="H10756" s="730">
        <v>998.78</v>
      </c>
      <c r="I10756" s="731">
        <v>46037</v>
      </c>
      <c r="J10756" s="776" t="s">
        <v>25794</v>
      </c>
      <c r="K10756" s="956" t="s">
        <v>25806</v>
      </c>
      <c r="O10756" s="45" t="s">
        <v>25541</v>
      </c>
      <c r="P10756" s="45" t="s">
        <v>65</v>
      </c>
      <c r="Q10756" s="48" t="s">
        <v>74</v>
      </c>
      <c r="R10756" s="45" t="s">
        <v>272</v>
      </c>
    </row>
    <row r="10757" spans="2:18" ht="69" customHeight="1">
      <c r="B10757" s="239">
        <f t="shared" si="100"/>
        <v>8620</v>
      </c>
      <c r="C10757" s="45" t="s">
        <v>24932</v>
      </c>
      <c r="D10757" s="489" t="s">
        <v>25807</v>
      </c>
      <c r="E10757" s="59" t="s">
        <v>266</v>
      </c>
      <c r="F10757" s="45" t="s">
        <v>25808</v>
      </c>
      <c r="G10757" s="45" t="s">
        <v>25793</v>
      </c>
      <c r="H10757" s="198">
        <v>998.78</v>
      </c>
      <c r="I10757" s="47">
        <v>46037</v>
      </c>
      <c r="J10757" s="73" t="s">
        <v>25794</v>
      </c>
      <c r="K10757" s="60" t="s">
        <v>25795</v>
      </c>
      <c r="O10757" s="45" t="s">
        <v>25541</v>
      </c>
      <c r="P10757" s="45" t="s">
        <v>65</v>
      </c>
      <c r="Q10757" s="48" t="s">
        <v>76</v>
      </c>
      <c r="R10757" s="45" t="s">
        <v>272</v>
      </c>
    </row>
    <row r="10758" spans="2:18" ht="69" customHeight="1">
      <c r="B10758" s="239">
        <f t="shared" si="100"/>
        <v>8621</v>
      </c>
      <c r="C10758" s="676" t="s">
        <v>6693</v>
      </c>
      <c r="D10758" s="489" t="s">
        <v>25809</v>
      </c>
      <c r="E10758" s="59" t="s">
        <v>266</v>
      </c>
      <c r="F10758" s="45" t="s">
        <v>25810</v>
      </c>
      <c r="G10758" s="45" t="s">
        <v>25793</v>
      </c>
      <c r="H10758" s="198">
        <v>998.78</v>
      </c>
      <c r="I10758" s="47">
        <v>46037</v>
      </c>
      <c r="J10758" s="73" t="s">
        <v>25794</v>
      </c>
      <c r="K10758" s="60" t="s">
        <v>25795</v>
      </c>
      <c r="O10758" s="45" t="s">
        <v>25541</v>
      </c>
      <c r="P10758" s="45" t="s">
        <v>65</v>
      </c>
      <c r="Q10758" s="48" t="s">
        <v>78</v>
      </c>
      <c r="R10758" s="45" t="s">
        <v>272</v>
      </c>
    </row>
    <row r="10759" spans="2:18" ht="69" customHeight="1">
      <c r="B10759" s="239">
        <f t="shared" si="100"/>
        <v>8622</v>
      </c>
      <c r="C10759" s="45" t="s">
        <v>5658</v>
      </c>
      <c r="D10759" s="489" t="s">
        <v>25811</v>
      </c>
      <c r="E10759" s="59" t="s">
        <v>266</v>
      </c>
      <c r="F10759" s="45" t="s">
        <v>25812</v>
      </c>
      <c r="G10759" s="45" t="s">
        <v>25793</v>
      </c>
      <c r="H10759" s="198">
        <v>998.78</v>
      </c>
      <c r="I10759" s="47">
        <v>46037</v>
      </c>
      <c r="J10759" s="73" t="s">
        <v>25794</v>
      </c>
      <c r="K10759" s="60" t="s">
        <v>25795</v>
      </c>
      <c r="O10759" s="45" t="s">
        <v>25541</v>
      </c>
      <c r="P10759" s="45" t="s">
        <v>65</v>
      </c>
      <c r="Q10759" s="48" t="s">
        <v>66</v>
      </c>
      <c r="R10759" s="45" t="s">
        <v>272</v>
      </c>
    </row>
    <row r="10760" spans="2:18" ht="69" customHeight="1">
      <c r="B10760" s="239">
        <f t="shared" si="100"/>
        <v>8623</v>
      </c>
      <c r="C10760" s="677" t="s">
        <v>9545</v>
      </c>
      <c r="D10760" s="489" t="s">
        <v>25813</v>
      </c>
      <c r="E10760" s="59" t="s">
        <v>266</v>
      </c>
      <c r="F10760" s="45" t="s">
        <v>25814</v>
      </c>
      <c r="G10760" s="45" t="s">
        <v>25793</v>
      </c>
      <c r="H10760" s="198">
        <v>998.78</v>
      </c>
      <c r="I10760" s="47">
        <v>46037</v>
      </c>
      <c r="J10760" s="73" t="s">
        <v>25794</v>
      </c>
      <c r="K10760" s="60" t="s">
        <v>25795</v>
      </c>
      <c r="O10760" s="45" t="s">
        <v>25541</v>
      </c>
      <c r="P10760" s="45" t="s">
        <v>65</v>
      </c>
      <c r="Q10760" s="48" t="s">
        <v>117</v>
      </c>
      <c r="R10760" s="45" t="s">
        <v>272</v>
      </c>
    </row>
    <row r="10761" spans="2:18" ht="69" customHeight="1">
      <c r="B10761" s="239">
        <f t="shared" si="100"/>
        <v>8624</v>
      </c>
      <c r="C10761" s="59" t="s">
        <v>10612</v>
      </c>
      <c r="D10761" s="489" t="s">
        <v>25815</v>
      </c>
      <c r="E10761" s="59" t="s">
        <v>266</v>
      </c>
      <c r="F10761" s="45" t="s">
        <v>25816</v>
      </c>
      <c r="G10761" s="45" t="s">
        <v>25793</v>
      </c>
      <c r="H10761" s="198">
        <v>998.78</v>
      </c>
      <c r="I10761" s="47">
        <v>46037</v>
      </c>
      <c r="J10761" s="73" t="s">
        <v>25794</v>
      </c>
      <c r="K10761" s="60" t="s">
        <v>25795</v>
      </c>
      <c r="O10761" s="45" t="s">
        <v>25541</v>
      </c>
      <c r="P10761" s="45" t="s">
        <v>65</v>
      </c>
      <c r="Q10761" s="48" t="s">
        <v>86</v>
      </c>
      <c r="R10761" s="45" t="s">
        <v>272</v>
      </c>
    </row>
    <row r="10762" spans="2:18" ht="69" customHeight="1">
      <c r="B10762" s="239">
        <f t="shared" si="100"/>
        <v>8625</v>
      </c>
      <c r="C10762" s="45" t="s">
        <v>24927</v>
      </c>
      <c r="D10762" s="489" t="s">
        <v>25817</v>
      </c>
      <c r="E10762" s="59" t="s">
        <v>266</v>
      </c>
      <c r="F10762" s="45" t="s">
        <v>25818</v>
      </c>
      <c r="G10762" s="45" t="s">
        <v>25793</v>
      </c>
      <c r="H10762" s="198">
        <v>998.78</v>
      </c>
      <c r="I10762" s="47">
        <v>46037</v>
      </c>
      <c r="J10762" s="73" t="s">
        <v>25794</v>
      </c>
      <c r="K10762" s="60" t="s">
        <v>25795</v>
      </c>
      <c r="O10762" s="45" t="s">
        <v>25541</v>
      </c>
      <c r="P10762" s="45" t="s">
        <v>65</v>
      </c>
      <c r="Q10762" s="48" t="s">
        <v>64</v>
      </c>
      <c r="R10762" s="45" t="s">
        <v>272</v>
      </c>
    </row>
    <row r="10763" spans="2:18" ht="69" customHeight="1">
      <c r="B10763" s="239">
        <f t="shared" si="100"/>
        <v>8626</v>
      </c>
      <c r="C10763" s="909" t="s">
        <v>8797</v>
      </c>
      <c r="D10763" s="489" t="s">
        <v>17892</v>
      </c>
      <c r="E10763" s="59" t="s">
        <v>266</v>
      </c>
      <c r="F10763" s="45" t="s">
        <v>25819</v>
      </c>
      <c r="G10763" s="45" t="s">
        <v>25793</v>
      </c>
      <c r="H10763" s="198">
        <v>998.78</v>
      </c>
      <c r="I10763" s="47">
        <v>46037</v>
      </c>
      <c r="J10763" s="73" t="s">
        <v>25794</v>
      </c>
      <c r="K10763" s="60" t="s">
        <v>25795</v>
      </c>
      <c r="O10763" s="45" t="s">
        <v>25541</v>
      </c>
      <c r="P10763" s="45" t="s">
        <v>65</v>
      </c>
      <c r="Q10763" s="48" t="s">
        <v>110</v>
      </c>
      <c r="R10763" s="45" t="s">
        <v>272</v>
      </c>
    </row>
    <row r="10764" spans="2:18" ht="69" customHeight="1">
      <c r="B10764" s="239">
        <f t="shared" si="100"/>
        <v>8627</v>
      </c>
      <c r="C10764" s="44" t="s">
        <v>7189</v>
      </c>
      <c r="D10764" s="489" t="s">
        <v>17885</v>
      </c>
      <c r="E10764" s="59" t="s">
        <v>266</v>
      </c>
      <c r="F10764" s="45" t="s">
        <v>25820</v>
      </c>
      <c r="G10764" s="45" t="s">
        <v>25793</v>
      </c>
      <c r="H10764" s="198">
        <v>998.78</v>
      </c>
      <c r="I10764" s="47">
        <v>46037</v>
      </c>
      <c r="J10764" s="73" t="s">
        <v>25794</v>
      </c>
      <c r="K10764" s="60" t="s">
        <v>25795</v>
      </c>
      <c r="O10764" s="45" t="s">
        <v>25541</v>
      </c>
      <c r="P10764" s="45" t="s">
        <v>65</v>
      </c>
      <c r="Q10764" s="48" t="s">
        <v>97</v>
      </c>
      <c r="R10764" s="45" t="s">
        <v>272</v>
      </c>
    </row>
    <row r="10765" spans="2:18" ht="69" customHeight="1">
      <c r="B10765" s="239">
        <f t="shared" si="100"/>
        <v>8628</v>
      </c>
      <c r="C10765" s="59" t="s">
        <v>11908</v>
      </c>
      <c r="D10765" s="489" t="s">
        <v>25821</v>
      </c>
      <c r="E10765" s="59" t="s">
        <v>266</v>
      </c>
      <c r="F10765" s="45" t="s">
        <v>25822</v>
      </c>
      <c r="G10765" s="45" t="s">
        <v>25793</v>
      </c>
      <c r="H10765" s="198">
        <v>998.78</v>
      </c>
      <c r="I10765" s="47">
        <v>46037</v>
      </c>
      <c r="J10765" s="73" t="s">
        <v>25794</v>
      </c>
      <c r="K10765" s="60" t="s">
        <v>25795</v>
      </c>
      <c r="O10765" s="45" t="s">
        <v>25541</v>
      </c>
      <c r="P10765" s="45" t="s">
        <v>65</v>
      </c>
      <c r="Q10765" s="48" t="s">
        <v>103</v>
      </c>
      <c r="R10765" s="45" t="s">
        <v>272</v>
      </c>
    </row>
    <row r="10766" spans="2:18" ht="69" customHeight="1">
      <c r="B10766" s="239">
        <f t="shared" si="100"/>
        <v>8629</v>
      </c>
      <c r="C10766" s="638" t="s">
        <v>10937</v>
      </c>
      <c r="D10766" s="489" t="s">
        <v>17896</v>
      </c>
      <c r="E10766" s="59" t="s">
        <v>266</v>
      </c>
      <c r="F10766" s="45" t="s">
        <v>25823</v>
      </c>
      <c r="G10766" s="45" t="s">
        <v>25793</v>
      </c>
      <c r="H10766" s="198">
        <v>998.78</v>
      </c>
      <c r="I10766" s="47">
        <v>46037</v>
      </c>
      <c r="J10766" s="73" t="s">
        <v>25794</v>
      </c>
      <c r="K10766" s="60" t="s">
        <v>25795</v>
      </c>
      <c r="O10766" s="45" t="s">
        <v>25541</v>
      </c>
      <c r="P10766" s="45" t="s">
        <v>65</v>
      </c>
      <c r="Q10766" s="48" t="s">
        <v>104</v>
      </c>
      <c r="R10766" s="45" t="s">
        <v>272</v>
      </c>
    </row>
    <row r="10767" spans="2:18" ht="69" customHeight="1">
      <c r="B10767" s="239">
        <f t="shared" si="100"/>
        <v>8630</v>
      </c>
      <c r="C10767" s="59" t="s">
        <v>11568</v>
      </c>
      <c r="D10767" s="489" t="s">
        <v>25824</v>
      </c>
      <c r="E10767" s="59" t="s">
        <v>266</v>
      </c>
      <c r="F10767" s="45" t="s">
        <v>25825</v>
      </c>
      <c r="G10767" s="45" t="s">
        <v>25793</v>
      </c>
      <c r="H10767" s="198">
        <v>998.78</v>
      </c>
      <c r="I10767" s="47">
        <v>46037</v>
      </c>
      <c r="J10767" s="73" t="s">
        <v>25794</v>
      </c>
      <c r="K10767" s="60" t="s">
        <v>25795</v>
      </c>
      <c r="O10767" s="45" t="s">
        <v>25541</v>
      </c>
      <c r="P10767" s="45" t="s">
        <v>65</v>
      </c>
      <c r="Q10767" s="48" t="s">
        <v>107</v>
      </c>
      <c r="R10767" s="45" t="s">
        <v>272</v>
      </c>
    </row>
    <row r="10768" spans="2:18" ht="69" customHeight="1">
      <c r="B10768" s="239">
        <f t="shared" si="100"/>
        <v>8631</v>
      </c>
      <c r="C10768" s="59" t="s">
        <v>13562</v>
      </c>
      <c r="D10768" s="489" t="s">
        <v>25826</v>
      </c>
      <c r="E10768" s="59" t="s">
        <v>266</v>
      </c>
      <c r="F10768" s="45" t="s">
        <v>25827</v>
      </c>
      <c r="G10768" s="45" t="s">
        <v>25793</v>
      </c>
      <c r="H10768" s="198">
        <v>998.78</v>
      </c>
      <c r="I10768" s="47">
        <v>46037</v>
      </c>
      <c r="J10768" s="73" t="s">
        <v>25794</v>
      </c>
      <c r="K10768" s="60" t="s">
        <v>25795</v>
      </c>
      <c r="O10768" s="45" t="s">
        <v>25541</v>
      </c>
      <c r="P10768" s="45" t="s">
        <v>65</v>
      </c>
      <c r="Q10768" s="48" t="s">
        <v>88</v>
      </c>
      <c r="R10768" s="45" t="s">
        <v>272</v>
      </c>
    </row>
    <row r="10769" spans="2:18" ht="69" customHeight="1">
      <c r="B10769" s="239">
        <f t="shared" si="100"/>
        <v>8632</v>
      </c>
      <c r="C10769" s="59" t="s">
        <v>11933</v>
      </c>
      <c r="D10769" s="489" t="s">
        <v>25828</v>
      </c>
      <c r="E10769" s="59" t="s">
        <v>266</v>
      </c>
      <c r="F10769" s="45" t="s">
        <v>25829</v>
      </c>
      <c r="G10769" s="45" t="s">
        <v>25793</v>
      </c>
      <c r="H10769" s="198">
        <v>998.78</v>
      </c>
      <c r="I10769" s="47">
        <v>46037</v>
      </c>
      <c r="J10769" s="73" t="s">
        <v>25794</v>
      </c>
      <c r="K10769" s="60" t="s">
        <v>25795</v>
      </c>
      <c r="O10769" s="45" t="s">
        <v>25541</v>
      </c>
      <c r="P10769" s="45" t="s">
        <v>65</v>
      </c>
      <c r="Q10769" s="48" t="s">
        <v>123</v>
      </c>
      <c r="R10769" s="45" t="s">
        <v>272</v>
      </c>
    </row>
    <row r="10770" spans="2:18" ht="69" customHeight="1">
      <c r="B10770" s="239">
        <f t="shared" si="100"/>
        <v>8633</v>
      </c>
      <c r="C10770" s="59" t="s">
        <v>9094</v>
      </c>
      <c r="D10770" s="489" t="s">
        <v>25830</v>
      </c>
      <c r="E10770" s="59" t="s">
        <v>266</v>
      </c>
      <c r="F10770" s="45" t="s">
        <v>25831</v>
      </c>
      <c r="G10770" s="45" t="s">
        <v>25793</v>
      </c>
      <c r="H10770" s="198">
        <v>998.78</v>
      </c>
      <c r="I10770" s="47">
        <v>46037</v>
      </c>
      <c r="J10770" s="73" t="s">
        <v>25794</v>
      </c>
      <c r="K10770" s="60" t="s">
        <v>25795</v>
      </c>
      <c r="O10770" s="45" t="s">
        <v>25541</v>
      </c>
      <c r="P10770" s="45" t="s">
        <v>65</v>
      </c>
      <c r="Q10770" s="48" t="s">
        <v>112</v>
      </c>
      <c r="R10770" s="45" t="s">
        <v>272</v>
      </c>
    </row>
    <row r="10771" spans="2:18" ht="69" customHeight="1">
      <c r="B10771" s="239">
        <f t="shared" si="100"/>
        <v>8634</v>
      </c>
      <c r="C10771" s="45" t="s">
        <v>21622</v>
      </c>
      <c r="D10771" s="489" t="s">
        <v>25832</v>
      </c>
      <c r="E10771" s="59" t="s">
        <v>266</v>
      </c>
      <c r="F10771" s="45" t="s">
        <v>25833</v>
      </c>
      <c r="G10771" s="45" t="s">
        <v>25793</v>
      </c>
      <c r="H10771" s="198">
        <v>998.78</v>
      </c>
      <c r="I10771" s="47">
        <v>46037</v>
      </c>
      <c r="J10771" s="73" t="s">
        <v>25794</v>
      </c>
      <c r="K10771" s="60" t="s">
        <v>25795</v>
      </c>
      <c r="O10771" s="45" t="s">
        <v>25541</v>
      </c>
      <c r="P10771" s="45" t="s">
        <v>65</v>
      </c>
      <c r="Q10771" s="48" t="s">
        <v>113</v>
      </c>
      <c r="R10771" s="45" t="s">
        <v>272</v>
      </c>
    </row>
    <row r="10772" spans="2:18" ht="69" customHeight="1">
      <c r="B10772" s="239">
        <f t="shared" si="100"/>
        <v>8635</v>
      </c>
      <c r="C10772" s="45" t="s">
        <v>11618</v>
      </c>
      <c r="D10772" s="489" t="s">
        <v>25834</v>
      </c>
      <c r="E10772" s="59" t="s">
        <v>266</v>
      </c>
      <c r="F10772" s="45" t="s">
        <v>25835</v>
      </c>
      <c r="G10772" s="45" t="s">
        <v>25793</v>
      </c>
      <c r="H10772" s="198">
        <v>998.78</v>
      </c>
      <c r="I10772" s="47">
        <v>46037</v>
      </c>
      <c r="J10772" s="73" t="s">
        <v>25794</v>
      </c>
      <c r="K10772" s="60" t="s">
        <v>25795</v>
      </c>
      <c r="O10772" s="45" t="s">
        <v>25541</v>
      </c>
      <c r="P10772" s="45" t="s">
        <v>65</v>
      </c>
      <c r="Q10772" s="48" t="s">
        <v>122</v>
      </c>
      <c r="R10772" s="45" t="s">
        <v>272</v>
      </c>
    </row>
    <row r="10773" spans="2:18" ht="69" customHeight="1">
      <c r="B10773" s="239">
        <f t="shared" si="100"/>
        <v>8636</v>
      </c>
      <c r="C10773" s="45" t="s">
        <v>7415</v>
      </c>
      <c r="D10773" s="489" t="s">
        <v>25836</v>
      </c>
      <c r="E10773" s="59" t="s">
        <v>266</v>
      </c>
      <c r="F10773" s="45" t="s">
        <v>25837</v>
      </c>
      <c r="G10773" s="45" t="s">
        <v>25793</v>
      </c>
      <c r="H10773" s="198">
        <v>998.78</v>
      </c>
      <c r="I10773" s="47">
        <v>46037</v>
      </c>
      <c r="J10773" s="73" t="s">
        <v>25794</v>
      </c>
      <c r="K10773" s="60" t="s">
        <v>25795</v>
      </c>
      <c r="O10773" s="45" t="s">
        <v>25541</v>
      </c>
      <c r="P10773" s="45" t="s">
        <v>65</v>
      </c>
      <c r="Q10773" s="48" t="s">
        <v>119</v>
      </c>
      <c r="R10773" s="45" t="s">
        <v>272</v>
      </c>
    </row>
    <row r="10774" spans="2:18" ht="69" customHeight="1">
      <c r="B10774" s="239">
        <f t="shared" si="100"/>
        <v>8637</v>
      </c>
      <c r="C10774" s="59" t="s">
        <v>10944</v>
      </c>
      <c r="D10774" s="489" t="s">
        <v>17890</v>
      </c>
      <c r="E10774" s="59" t="s">
        <v>266</v>
      </c>
      <c r="F10774" s="45" t="s">
        <v>25838</v>
      </c>
      <c r="G10774" s="45" t="s">
        <v>25793</v>
      </c>
      <c r="H10774" s="198">
        <v>998.78</v>
      </c>
      <c r="I10774" s="47">
        <v>46037</v>
      </c>
      <c r="J10774" s="73" t="s">
        <v>25794</v>
      </c>
      <c r="K10774" s="60" t="s">
        <v>25795</v>
      </c>
      <c r="O10774" s="45" t="s">
        <v>25541</v>
      </c>
      <c r="P10774" s="45" t="s">
        <v>65</v>
      </c>
      <c r="Q10774" s="48" t="s">
        <v>120</v>
      </c>
      <c r="R10774" s="45" t="s">
        <v>272</v>
      </c>
    </row>
    <row r="10775" spans="2:18" ht="69" customHeight="1">
      <c r="B10775" s="239">
        <f t="shared" si="100"/>
        <v>8638</v>
      </c>
      <c r="C10775" s="59" t="s">
        <v>10418</v>
      </c>
      <c r="D10775" s="489" t="s">
        <v>25839</v>
      </c>
      <c r="E10775" s="59" t="s">
        <v>266</v>
      </c>
      <c r="F10775" s="45" t="s">
        <v>25840</v>
      </c>
      <c r="G10775" s="45" t="s">
        <v>25793</v>
      </c>
      <c r="H10775" s="198">
        <v>998.78</v>
      </c>
      <c r="I10775" s="47">
        <v>46037</v>
      </c>
      <c r="J10775" s="73" t="s">
        <v>25794</v>
      </c>
      <c r="K10775" s="60" t="s">
        <v>25795</v>
      </c>
      <c r="O10775" s="45" t="s">
        <v>25541</v>
      </c>
      <c r="P10775" s="45" t="s">
        <v>65</v>
      </c>
      <c r="Q10775" s="48" t="s">
        <v>121</v>
      </c>
      <c r="R10775" s="45" t="s">
        <v>272</v>
      </c>
    </row>
    <row r="10776" spans="2:18" ht="69" customHeight="1">
      <c r="B10776" s="239">
        <f t="shared" si="100"/>
        <v>8639</v>
      </c>
      <c r="C10776" s="59" t="s">
        <v>9004</v>
      </c>
      <c r="D10776" s="489" t="s">
        <v>17910</v>
      </c>
      <c r="E10776" s="59" t="s">
        <v>266</v>
      </c>
      <c r="F10776" s="45" t="s">
        <v>25841</v>
      </c>
      <c r="G10776" s="45" t="s">
        <v>25793</v>
      </c>
      <c r="H10776" s="198">
        <v>998.78</v>
      </c>
      <c r="I10776" s="47">
        <v>46037</v>
      </c>
      <c r="J10776" s="73" t="s">
        <v>25794</v>
      </c>
      <c r="K10776" s="60" t="s">
        <v>25795</v>
      </c>
      <c r="O10776" s="45" t="s">
        <v>25541</v>
      </c>
      <c r="P10776" s="45" t="s">
        <v>65</v>
      </c>
      <c r="Q10776" s="48" t="s">
        <v>111</v>
      </c>
      <c r="R10776" s="45" t="s">
        <v>272</v>
      </c>
    </row>
    <row r="10777" spans="2:18" ht="69" customHeight="1">
      <c r="B10777" s="239">
        <f t="shared" si="100"/>
        <v>8640</v>
      </c>
      <c r="C10777" s="59" t="s">
        <v>13435</v>
      </c>
      <c r="D10777" s="489" t="s">
        <v>23617</v>
      </c>
      <c r="E10777" s="59" t="s">
        <v>266</v>
      </c>
      <c r="F10777" s="45" t="s">
        <v>25842</v>
      </c>
      <c r="G10777" s="45" t="s">
        <v>25793</v>
      </c>
      <c r="H10777" s="198">
        <v>998.78</v>
      </c>
      <c r="I10777" s="47">
        <v>46037</v>
      </c>
      <c r="J10777" s="73" t="s">
        <v>25794</v>
      </c>
      <c r="K10777" s="60" t="s">
        <v>25795</v>
      </c>
      <c r="O10777" s="45" t="s">
        <v>25541</v>
      </c>
      <c r="P10777" s="45" t="s">
        <v>65</v>
      </c>
      <c r="Q10777" s="48" t="s">
        <v>13</v>
      </c>
      <c r="R10777" s="45" t="s">
        <v>272</v>
      </c>
    </row>
    <row r="10778" spans="2:18" ht="69" customHeight="1">
      <c r="B10778" s="239">
        <f t="shared" si="100"/>
        <v>8641</v>
      </c>
      <c r="C10778" s="45" t="s">
        <v>581</v>
      </c>
      <c r="D10778" s="489" t="s">
        <v>23619</v>
      </c>
      <c r="E10778" s="59" t="s">
        <v>266</v>
      </c>
      <c r="F10778" s="45" t="s">
        <v>25843</v>
      </c>
      <c r="G10778" s="45" t="s">
        <v>25793</v>
      </c>
      <c r="H10778" s="198">
        <v>998.78</v>
      </c>
      <c r="I10778" s="47">
        <v>46037</v>
      </c>
      <c r="J10778" s="73" t="s">
        <v>25794</v>
      </c>
      <c r="K10778" s="60" t="s">
        <v>25795</v>
      </c>
      <c r="O10778" s="45" t="s">
        <v>25541</v>
      </c>
      <c r="P10778" s="45" t="s">
        <v>65</v>
      </c>
      <c r="Q10778" s="48" t="s">
        <v>18</v>
      </c>
      <c r="R10778" s="45" t="s">
        <v>272</v>
      </c>
    </row>
    <row r="10779" spans="2:18" ht="69" customHeight="1">
      <c r="B10779" s="239">
        <f t="shared" si="100"/>
        <v>8642</v>
      </c>
      <c r="C10779" s="45" t="s">
        <v>5082</v>
      </c>
      <c r="D10779" s="489" t="s">
        <v>25844</v>
      </c>
      <c r="E10779" s="59" t="s">
        <v>266</v>
      </c>
      <c r="F10779" s="45" t="s">
        <v>25845</v>
      </c>
      <c r="G10779" s="45" t="s">
        <v>25793</v>
      </c>
      <c r="H10779" s="198">
        <v>998.78</v>
      </c>
      <c r="I10779" s="47">
        <v>46037</v>
      </c>
      <c r="J10779" s="73" t="s">
        <v>25794</v>
      </c>
      <c r="K10779" s="60" t="s">
        <v>25795</v>
      </c>
      <c r="O10779" s="45" t="s">
        <v>25541</v>
      </c>
      <c r="P10779" s="45" t="s">
        <v>65</v>
      </c>
      <c r="Q10779" s="48" t="s">
        <v>60</v>
      </c>
      <c r="R10779" s="45" t="s">
        <v>272</v>
      </c>
    </row>
    <row r="10780" spans="2:18" ht="69" customHeight="1">
      <c r="B10780" s="239">
        <f t="shared" si="100"/>
        <v>8643</v>
      </c>
      <c r="C10780" s="45" t="s">
        <v>5189</v>
      </c>
      <c r="D10780" s="489" t="s">
        <v>25846</v>
      </c>
      <c r="E10780" s="59" t="s">
        <v>266</v>
      </c>
      <c r="F10780" s="45" t="s">
        <v>25847</v>
      </c>
      <c r="G10780" s="45" t="s">
        <v>25793</v>
      </c>
      <c r="H10780" s="198">
        <v>998.78</v>
      </c>
      <c r="I10780" s="47">
        <v>46037</v>
      </c>
      <c r="J10780" s="73" t="s">
        <v>25794</v>
      </c>
      <c r="K10780" s="60" t="s">
        <v>25795</v>
      </c>
      <c r="O10780" s="45" t="s">
        <v>25541</v>
      </c>
      <c r="P10780" s="45" t="s">
        <v>65</v>
      </c>
      <c r="Q10780" s="48" t="s">
        <v>62</v>
      </c>
      <c r="R10780" s="45" t="s">
        <v>272</v>
      </c>
    </row>
    <row r="10781" spans="2:18" ht="69" customHeight="1">
      <c r="B10781" s="239">
        <f t="shared" si="100"/>
        <v>8644</v>
      </c>
      <c r="C10781" s="59" t="s">
        <v>3647</v>
      </c>
      <c r="D10781" s="489" t="s">
        <v>25848</v>
      </c>
      <c r="E10781" s="59" t="s">
        <v>266</v>
      </c>
      <c r="F10781" s="45" t="s">
        <v>25849</v>
      </c>
      <c r="G10781" s="45" t="s">
        <v>25793</v>
      </c>
      <c r="H10781" s="198">
        <v>998.78</v>
      </c>
      <c r="I10781" s="47">
        <v>46037</v>
      </c>
      <c r="J10781" s="73" t="s">
        <v>25794</v>
      </c>
      <c r="K10781" s="60" t="s">
        <v>25795</v>
      </c>
      <c r="O10781" s="45" t="s">
        <v>25541</v>
      </c>
      <c r="P10781" s="45" t="s">
        <v>65</v>
      </c>
      <c r="Q10781" s="48" t="s">
        <v>47</v>
      </c>
      <c r="R10781" s="45" t="s">
        <v>272</v>
      </c>
    </row>
    <row r="10782" spans="2:18" ht="69" customHeight="1">
      <c r="B10782" s="239">
        <f t="shared" si="100"/>
        <v>8645</v>
      </c>
      <c r="C10782" s="59" t="s">
        <v>3933</v>
      </c>
      <c r="D10782" s="489" t="s">
        <v>25850</v>
      </c>
      <c r="E10782" s="59" t="s">
        <v>266</v>
      </c>
      <c r="F10782" s="45" t="s">
        <v>25851</v>
      </c>
      <c r="G10782" s="45" t="s">
        <v>25793</v>
      </c>
      <c r="H10782" s="198">
        <v>998.78</v>
      </c>
      <c r="I10782" s="47">
        <v>46037</v>
      </c>
      <c r="J10782" s="73" t="s">
        <v>25794</v>
      </c>
      <c r="K10782" s="60" t="s">
        <v>25795</v>
      </c>
      <c r="O10782" s="45" t="s">
        <v>25541</v>
      </c>
      <c r="P10782" s="45" t="s">
        <v>65</v>
      </c>
      <c r="Q10782" s="48" t="s">
        <v>52</v>
      </c>
      <c r="R10782" s="45" t="s">
        <v>272</v>
      </c>
    </row>
    <row r="10783" spans="2:18" ht="69" customHeight="1">
      <c r="B10783" s="239">
        <f t="shared" si="100"/>
        <v>8646</v>
      </c>
      <c r="C10783" s="45" t="s">
        <v>11058</v>
      </c>
      <c r="D10783" s="489" t="s">
        <v>24583</v>
      </c>
      <c r="E10783" s="59" t="s">
        <v>266</v>
      </c>
      <c r="F10783" s="45" t="s">
        <v>25852</v>
      </c>
      <c r="G10783" s="45" t="s">
        <v>25793</v>
      </c>
      <c r="H10783" s="198">
        <v>998.78</v>
      </c>
      <c r="I10783" s="47">
        <v>46037</v>
      </c>
      <c r="J10783" s="73" t="s">
        <v>25794</v>
      </c>
      <c r="K10783" s="60" t="s">
        <v>25795</v>
      </c>
      <c r="O10783" s="45" t="s">
        <v>25541</v>
      </c>
      <c r="P10783" s="45" t="s">
        <v>65</v>
      </c>
      <c r="Q10783" s="48" t="s">
        <v>23</v>
      </c>
      <c r="R10783" s="45" t="s">
        <v>272</v>
      </c>
    </row>
    <row r="10784" spans="2:18" ht="69" customHeight="1">
      <c r="B10784" s="239">
        <f t="shared" si="100"/>
        <v>8647</v>
      </c>
      <c r="C10784" s="59" t="s">
        <v>10634</v>
      </c>
      <c r="D10784" s="581" t="s">
        <v>25853</v>
      </c>
      <c r="E10784" s="59" t="s">
        <v>266</v>
      </c>
      <c r="F10784" s="45" t="s">
        <v>25854</v>
      </c>
      <c r="G10784" s="45" t="s">
        <v>25793</v>
      </c>
      <c r="H10784" s="198">
        <v>998.78</v>
      </c>
      <c r="I10784" s="47">
        <v>46037</v>
      </c>
      <c r="J10784" s="73" t="s">
        <v>25794</v>
      </c>
      <c r="K10784" s="60" t="s">
        <v>25795</v>
      </c>
      <c r="O10784" s="45" t="s">
        <v>25541</v>
      </c>
      <c r="P10784" s="45" t="s">
        <v>65</v>
      </c>
      <c r="Q10784" s="48" t="s">
        <v>93</v>
      </c>
      <c r="R10784" s="45" t="s">
        <v>272</v>
      </c>
    </row>
    <row r="10785" spans="2:18" ht="69" customHeight="1">
      <c r="B10785" s="239">
        <f t="shared" si="100"/>
        <v>8648</v>
      </c>
      <c r="C10785" s="676" t="s">
        <v>10639</v>
      </c>
      <c r="D10785" s="489" t="s">
        <v>25855</v>
      </c>
      <c r="E10785" s="59" t="s">
        <v>266</v>
      </c>
      <c r="F10785" s="45" t="s">
        <v>25856</v>
      </c>
      <c r="G10785" s="45" t="s">
        <v>25793</v>
      </c>
      <c r="H10785" s="198">
        <v>998.78</v>
      </c>
      <c r="I10785" s="47">
        <v>46037</v>
      </c>
      <c r="J10785" s="73" t="s">
        <v>25794</v>
      </c>
      <c r="K10785" s="60" t="s">
        <v>25795</v>
      </c>
      <c r="O10785" s="45" t="s">
        <v>25541</v>
      </c>
      <c r="P10785" s="45" t="s">
        <v>65</v>
      </c>
      <c r="Q10785" s="48" t="s">
        <v>95</v>
      </c>
      <c r="R10785" s="45" t="s">
        <v>272</v>
      </c>
    </row>
    <row r="10786" spans="2:18" ht="69" customHeight="1">
      <c r="B10786" s="239">
        <f t="shared" si="100"/>
        <v>8649</v>
      </c>
      <c r="C10786" s="45" t="s">
        <v>1853</v>
      </c>
      <c r="D10786" s="489" t="s">
        <v>23591</v>
      </c>
      <c r="E10786" s="59" t="s">
        <v>266</v>
      </c>
      <c r="F10786" s="45" t="s">
        <v>25857</v>
      </c>
      <c r="G10786" s="45" t="s">
        <v>25793</v>
      </c>
      <c r="H10786" s="198">
        <v>998.78</v>
      </c>
      <c r="I10786" s="47">
        <v>46037</v>
      </c>
      <c r="J10786" s="73" t="s">
        <v>25794</v>
      </c>
      <c r="K10786" s="60" t="s">
        <v>25795</v>
      </c>
      <c r="O10786" s="45" t="s">
        <v>25541</v>
      </c>
      <c r="P10786" s="45" t="s">
        <v>65</v>
      </c>
      <c r="Q10786" s="48" t="s">
        <v>29</v>
      </c>
      <c r="R10786" s="45" t="s">
        <v>272</v>
      </c>
    </row>
    <row r="10787" spans="2:18" ht="69" customHeight="1">
      <c r="B10787" s="239">
        <f t="shared" si="100"/>
        <v>8650</v>
      </c>
      <c r="C10787" s="59" t="s">
        <v>2182</v>
      </c>
      <c r="D10787" s="489" t="s">
        <v>23595</v>
      </c>
      <c r="E10787" s="59" t="s">
        <v>266</v>
      </c>
      <c r="F10787" s="45" t="s">
        <v>25858</v>
      </c>
      <c r="G10787" s="45" t="s">
        <v>25793</v>
      </c>
      <c r="H10787" s="198">
        <v>998.78</v>
      </c>
      <c r="I10787" s="47">
        <v>46037</v>
      </c>
      <c r="J10787" s="73" t="s">
        <v>25794</v>
      </c>
      <c r="K10787" s="60" t="s">
        <v>25795</v>
      </c>
      <c r="O10787" s="45" t="s">
        <v>25541</v>
      </c>
      <c r="P10787" s="45" t="s">
        <v>65</v>
      </c>
      <c r="Q10787" s="48" t="s">
        <v>31</v>
      </c>
      <c r="R10787" s="45" t="s">
        <v>272</v>
      </c>
    </row>
    <row r="10788" spans="2:18" ht="69" customHeight="1">
      <c r="B10788" s="239">
        <f t="shared" si="100"/>
        <v>8651</v>
      </c>
      <c r="C10788" s="59" t="s">
        <v>10856</v>
      </c>
      <c r="D10788" s="489" t="s">
        <v>23565</v>
      </c>
      <c r="E10788" s="59" t="s">
        <v>266</v>
      </c>
      <c r="F10788" s="45" t="s">
        <v>25859</v>
      </c>
      <c r="G10788" s="45" t="s">
        <v>25793</v>
      </c>
      <c r="H10788" s="198">
        <v>998.78</v>
      </c>
      <c r="I10788" s="47">
        <v>46037</v>
      </c>
      <c r="J10788" s="73" t="s">
        <v>25794</v>
      </c>
      <c r="K10788" s="60" t="s">
        <v>25795</v>
      </c>
      <c r="O10788" s="45" t="s">
        <v>25541</v>
      </c>
      <c r="P10788" s="45" t="s">
        <v>65</v>
      </c>
      <c r="Q10788" s="48" t="s">
        <v>39</v>
      </c>
      <c r="R10788" s="45" t="s">
        <v>272</v>
      </c>
    </row>
    <row r="10789" spans="2:18" ht="69" customHeight="1">
      <c r="B10789" s="239">
        <f t="shared" si="100"/>
        <v>8652</v>
      </c>
      <c r="C10789" s="45" t="s">
        <v>11042</v>
      </c>
      <c r="D10789" s="489" t="s">
        <v>25860</v>
      </c>
      <c r="E10789" s="59" t="s">
        <v>266</v>
      </c>
      <c r="F10789" s="45" t="s">
        <v>25861</v>
      </c>
      <c r="G10789" s="45" t="s">
        <v>25793</v>
      </c>
      <c r="H10789" s="198">
        <v>998.78</v>
      </c>
      <c r="I10789" s="47">
        <v>46037</v>
      </c>
      <c r="J10789" s="73" t="s">
        <v>25794</v>
      </c>
      <c r="K10789" s="60" t="s">
        <v>25795</v>
      </c>
      <c r="O10789" s="45" t="s">
        <v>25541</v>
      </c>
      <c r="P10789" s="45" t="s">
        <v>65</v>
      </c>
      <c r="Q10789" s="48" t="s">
        <v>41</v>
      </c>
      <c r="R10789" s="45" t="s">
        <v>272</v>
      </c>
    </row>
    <row r="10790" spans="2:18" ht="69" customHeight="1">
      <c r="B10790" s="239">
        <f t="shared" si="100"/>
        <v>8653</v>
      </c>
      <c r="C10790" s="44" t="s">
        <v>11055</v>
      </c>
      <c r="D10790" s="489" t="s">
        <v>23604</v>
      </c>
      <c r="E10790" s="59" t="s">
        <v>266</v>
      </c>
      <c r="F10790" s="45" t="s">
        <v>25862</v>
      </c>
      <c r="G10790" s="45" t="s">
        <v>25793</v>
      </c>
      <c r="H10790" s="198">
        <v>998.78</v>
      </c>
      <c r="I10790" s="47">
        <v>46037</v>
      </c>
      <c r="J10790" s="73" t="s">
        <v>25794</v>
      </c>
      <c r="K10790" s="60" t="s">
        <v>25795</v>
      </c>
      <c r="O10790" s="45" t="s">
        <v>25541</v>
      </c>
      <c r="P10790" s="45" t="s">
        <v>65</v>
      </c>
      <c r="Q10790" s="48" t="s">
        <v>45</v>
      </c>
      <c r="R10790" s="45" t="s">
        <v>272</v>
      </c>
    </row>
    <row r="10791" spans="2:18" ht="69" customHeight="1">
      <c r="B10791" s="454">
        <f t="shared" si="100"/>
        <v>8654</v>
      </c>
      <c r="C10791" s="1094" t="s">
        <v>8797</v>
      </c>
      <c r="D10791" s="667" t="s">
        <v>17923</v>
      </c>
      <c r="E10791" s="1104" t="s">
        <v>22398</v>
      </c>
      <c r="F10791" s="912" t="s">
        <v>25863</v>
      </c>
      <c r="G10791" s="455" t="s">
        <v>25864</v>
      </c>
      <c r="H10791" s="666">
        <v>8000</v>
      </c>
      <c r="I10791" s="456"/>
      <c r="J10791" s="453" t="s">
        <v>25865</v>
      </c>
      <c r="K10791" s="912"/>
      <c r="O10791" s="45" t="s">
        <v>21304</v>
      </c>
      <c r="P10791" s="45" t="s">
        <v>65</v>
      </c>
      <c r="Q10791" s="48" t="s">
        <v>110</v>
      </c>
      <c r="R10791" s="45" t="s">
        <v>272</v>
      </c>
    </row>
    <row r="10792" spans="2:18" ht="69" customHeight="1">
      <c r="B10792" s="239">
        <f t="shared" si="100"/>
        <v>8655</v>
      </c>
      <c r="C10792" s="59" t="s">
        <v>9215</v>
      </c>
      <c r="D10792" s="489" t="s">
        <v>25866</v>
      </c>
      <c r="E10792" s="59" t="s">
        <v>15202</v>
      </c>
      <c r="F10792" s="45" t="s">
        <v>25867</v>
      </c>
      <c r="G10792" s="45" t="s">
        <v>25578</v>
      </c>
      <c r="H10792" s="198">
        <v>150396.78</v>
      </c>
      <c r="I10792" s="47">
        <v>46047</v>
      </c>
      <c r="J10792" s="73" t="s">
        <v>25868</v>
      </c>
      <c r="K10792" s="60" t="s">
        <v>25869</v>
      </c>
      <c r="O10792" s="45" t="s">
        <v>175</v>
      </c>
      <c r="P10792" s="45" t="s">
        <v>57</v>
      </c>
      <c r="Q10792" s="48" t="s">
        <v>113</v>
      </c>
      <c r="R10792" s="45" t="s">
        <v>272</v>
      </c>
    </row>
    <row r="10793" spans="2:18" ht="69" customHeight="1">
      <c r="B10793" s="239">
        <f t="shared" si="100"/>
        <v>8656</v>
      </c>
      <c r="C10793" s="45" t="s">
        <v>11618</v>
      </c>
      <c r="D10793" s="489" t="s">
        <v>25870</v>
      </c>
      <c r="E10793" s="59" t="s">
        <v>15202</v>
      </c>
      <c r="F10793" s="45" t="s">
        <v>25871</v>
      </c>
      <c r="G10793" s="45" t="s">
        <v>25573</v>
      </c>
      <c r="H10793" s="198">
        <v>193135.38</v>
      </c>
      <c r="I10793" s="47">
        <v>46047</v>
      </c>
      <c r="J10793" s="73" t="s">
        <v>25868</v>
      </c>
      <c r="K10793" s="60" t="s">
        <v>25869</v>
      </c>
      <c r="O10793" s="45" t="s">
        <v>175</v>
      </c>
      <c r="P10793" s="45" t="s">
        <v>57</v>
      </c>
      <c r="Q10793" s="48" t="s">
        <v>122</v>
      </c>
      <c r="R10793" s="45" t="s">
        <v>272</v>
      </c>
    </row>
    <row r="10794" spans="2:18" ht="69" customHeight="1">
      <c r="B10794" s="239">
        <f t="shared" si="100"/>
        <v>8657</v>
      </c>
      <c r="C10794" s="59" t="s">
        <v>11568</v>
      </c>
      <c r="D10794" s="489" t="s">
        <v>25872</v>
      </c>
      <c r="E10794" s="59" t="s">
        <v>25873</v>
      </c>
      <c r="F10794" s="45" t="s">
        <v>25874</v>
      </c>
      <c r="G10794" s="45" t="s">
        <v>25875</v>
      </c>
      <c r="H10794" s="198">
        <v>8780</v>
      </c>
      <c r="I10794" s="47">
        <v>46058</v>
      </c>
      <c r="J10794" s="73" t="s">
        <v>25876</v>
      </c>
      <c r="K10794" s="60" t="s">
        <v>25877</v>
      </c>
      <c r="O10794" s="45" t="s">
        <v>25873</v>
      </c>
      <c r="P10794" s="46"/>
      <c r="Q10794" s="48" t="s">
        <v>107</v>
      </c>
      <c r="R10794" s="45" t="s">
        <v>272</v>
      </c>
    </row>
    <row r="10795" spans="2:18" ht="69" customHeight="1">
      <c r="B10795" s="239">
        <f t="shared" si="100"/>
        <v>8658</v>
      </c>
      <c r="C10795" s="909" t="s">
        <v>8797</v>
      </c>
      <c r="D10795" s="489" t="s">
        <v>17984</v>
      </c>
      <c r="E10795" s="59" t="s">
        <v>25878</v>
      </c>
      <c r="F10795" s="45" t="s">
        <v>25879</v>
      </c>
      <c r="G10795" s="45" t="s">
        <v>25880</v>
      </c>
      <c r="H10795" s="198">
        <v>12000</v>
      </c>
      <c r="I10795" s="47">
        <v>46047</v>
      </c>
      <c r="J10795" s="73" t="s">
        <v>25881</v>
      </c>
      <c r="K10795" s="60" t="s">
        <v>25882</v>
      </c>
      <c r="O10795" s="59" t="s">
        <v>25878</v>
      </c>
      <c r="P10795" s="46"/>
      <c r="Q10795" s="48" t="s">
        <v>110</v>
      </c>
      <c r="R10795" s="45" t="s">
        <v>272</v>
      </c>
    </row>
    <row r="10796" spans="2:18" ht="69" customHeight="1">
      <c r="B10796" s="239">
        <f t="shared" si="100"/>
        <v>8659</v>
      </c>
      <c r="C10796" s="45" t="s">
        <v>11618</v>
      </c>
      <c r="D10796" s="489" t="s">
        <v>25883</v>
      </c>
      <c r="E10796" s="45" t="s">
        <v>25319</v>
      </c>
      <c r="F10796" s="45" t="s">
        <v>25884</v>
      </c>
      <c r="G10796" s="45" t="s">
        <v>25885</v>
      </c>
      <c r="H10796" s="198">
        <v>963.3</v>
      </c>
      <c r="I10796" s="47">
        <v>46047</v>
      </c>
      <c r="J10796" s="73" t="s">
        <v>25886</v>
      </c>
      <c r="K10796" s="60"/>
      <c r="O10796" s="45" t="s">
        <v>25319</v>
      </c>
      <c r="P10796" s="45" t="s">
        <v>65</v>
      </c>
      <c r="Q10796" s="48" t="s">
        <v>122</v>
      </c>
      <c r="R10796" s="45" t="s">
        <v>272</v>
      </c>
    </row>
    <row r="10797" spans="2:18" ht="69" customHeight="1">
      <c r="B10797" s="239">
        <f t="shared" si="100"/>
        <v>8660</v>
      </c>
      <c r="C10797" s="909" t="s">
        <v>8797</v>
      </c>
      <c r="D10797" s="489" t="s">
        <v>18017</v>
      </c>
      <c r="E10797" s="60" t="s">
        <v>13240</v>
      </c>
      <c r="F10797" s="956" t="s">
        <v>25887</v>
      </c>
      <c r="G10797" s="60" t="s">
        <v>25511</v>
      </c>
      <c r="H10797" s="1102">
        <v>23300</v>
      </c>
      <c r="I10797" s="47">
        <v>46068</v>
      </c>
      <c r="J10797" s="48" t="s">
        <v>25888</v>
      </c>
      <c r="K10797" s="60"/>
      <c r="O10797" s="45" t="s">
        <v>13240</v>
      </c>
      <c r="P10797" s="45" t="s">
        <v>71</v>
      </c>
      <c r="Q10797" s="898"/>
      <c r="R10797" s="45" t="s">
        <v>272</v>
      </c>
    </row>
    <row r="10798" spans="2:18" ht="69" customHeight="1">
      <c r="B10798" s="239">
        <f t="shared" si="100"/>
        <v>8661</v>
      </c>
      <c r="C10798" s="59" t="s">
        <v>657</v>
      </c>
      <c r="D10798" s="489" t="s">
        <v>18037</v>
      </c>
      <c r="E10798" s="45" t="s">
        <v>15366</v>
      </c>
      <c r="F10798" s="956" t="s">
        <v>25889</v>
      </c>
      <c r="G10798" s="45" t="s">
        <v>25890</v>
      </c>
      <c r="H10798" s="198">
        <v>1500</v>
      </c>
      <c r="I10798" s="47">
        <v>46058</v>
      </c>
      <c r="J10798" s="73" t="s">
        <v>25891</v>
      </c>
      <c r="K10798" s="60" t="s">
        <v>25413</v>
      </c>
      <c r="O10798" s="45" t="s">
        <v>15366</v>
      </c>
      <c r="P10798" s="1051"/>
      <c r="Q10798" s="48" t="s">
        <v>110</v>
      </c>
      <c r="R10798" s="45" t="s">
        <v>272</v>
      </c>
    </row>
    <row r="10799" spans="2:18" ht="69" customHeight="1">
      <c r="B10799" s="239">
        <f t="shared" si="100"/>
        <v>8662</v>
      </c>
      <c r="C10799" s="59" t="s">
        <v>11568</v>
      </c>
      <c r="D10799" s="489" t="s">
        <v>25892</v>
      </c>
      <c r="E10799" s="677" t="s">
        <v>25893</v>
      </c>
      <c r="F10799" s="677" t="s">
        <v>25894</v>
      </c>
      <c r="G10799" s="677" t="s">
        <v>25895</v>
      </c>
      <c r="H10799" s="198">
        <v>5000</v>
      </c>
      <c r="I10799" s="47">
        <v>46058</v>
      </c>
      <c r="J10799" s="73" t="s">
        <v>25896</v>
      </c>
      <c r="K10799" s="60" t="s">
        <v>18983</v>
      </c>
      <c r="O10799" s="45" t="s">
        <v>24914</v>
      </c>
      <c r="P10799" s="45" t="s">
        <v>67</v>
      </c>
      <c r="Q10799" s="48" t="s">
        <v>107</v>
      </c>
      <c r="R10799" s="45" t="s">
        <v>272</v>
      </c>
    </row>
    <row r="10800" spans="2:18" ht="69" customHeight="1">
      <c r="B10800" s="239">
        <f t="shared" si="100"/>
        <v>8663</v>
      </c>
      <c r="C10800" s="48"/>
      <c r="D10800" s="489"/>
      <c r="E10800" s="59"/>
      <c r="F10800" s="45"/>
      <c r="G10800" s="45"/>
      <c r="H10800" s="198"/>
      <c r="I10800" s="47"/>
      <c r="J10800" s="73"/>
      <c r="K10800" s="60"/>
      <c r="O10800" s="45"/>
      <c r="P10800" s="45"/>
      <c r="Q10800" s="48"/>
      <c r="R10800" s="45"/>
    </row>
    <row r="10801" spans="6:7" ht="69" customHeight="1">
      <c r="G10801" s="89" t="s">
        <v>7955</v>
      </c>
    </row>
    <row r="10802" spans="6:7" ht="69" customHeight="1">
      <c r="F10802" s="408"/>
    </row>
    <row r="37656" spans="8:8" ht="69" customHeight="1">
      <c r="H37656" s="546"/>
    </row>
  </sheetData>
  <autoFilter ref="A1:X10801" xr:uid="{46E1252D-F098-4581-88A4-470CFBE7787C}"/>
  <dataValidations count="1">
    <dataValidation type="list" allowBlank="1" showInputMessage="1" showErrorMessage="1" sqref="R2:R6965 R6973:R7303 R7305:R7434 R9130 R9149 R9158:R9160 R9820:S9820 R9162:R9819 R7437:R9118 R9821:R10207 R10216:R10336 R10351:R10799" xr:uid="{AAC49D3D-CEB3-4218-A575-352E32C4AB80}">
      <formula1>"Sim,Não"</formula1>
    </dataValidation>
  </dataValidations>
  <pageMargins left="0.51181102362204722" right="0.51181102362204722" top="0.78740157480314965" bottom="0.78740157480314965" header="0.31496062992125984" footer="0.31496062992125984"/>
  <pageSetup paperSize="9" orientation="portrait" r:id="rId1"/>
  <colBreaks count="1" manualBreakCount="1">
    <brk id="5" max="1048575" man="1"/>
  </colBreaks>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A61E2644-553E-4C8B-84D7-C967B37664FB}">
          <x14:formula1>
            <xm:f>Controle!$M$4:$M$35</xm:f>
          </x14:formula1>
          <xm:sqref>K5571 K6527:K6528 K6453:L6455 N6453:N6455 K6386:K6387 K6306:K6309 K6314:K6325 K6281:K6282 K6203:K6204 K5612 K5836 K5828 K5729:K5731 P5661:P8795 N6288 N8133:N8134 N7033 N1961:N1962 N8153 N7624:N7629 P8797:P9611 R7304 N9534 P9960:P10044 O9626 O9624 P9616:P9645 X9896 R10208:R10215 P9881:P9958 P2:P862 P10046:P10051 P10068:P10133 P864:P5659 P9647:P9859 P10135:P10365 P10056:P10066 P10367:P10648 P10657:P10699 P10703:P10720 P10729:P10732 P10796:P10797 P10737:P10793 P10799</xm:sqref>
        </x14:dataValidation>
        <x14:dataValidation type="list" allowBlank="1" showInputMessage="1" showErrorMessage="1" xr:uid="{3FA498CD-1D54-4DB3-9523-DD1E950A9DE8}">
          <x14:formula1>
            <xm:f>Controle!$C$4:$C$68</xm:f>
          </x14:formula1>
          <xm:sqref>O1961:O1962 Q9062 Q7655:Q9055 Q5880:Q6985 Q6992:Q7648 Q2:Q5878 Q10225:Q10336 Q10341:Q10433 Q9064:Q10223 Q10441:Q10476 Q10478:Q10649 Q10651:Q10799</xm:sqref>
        </x14:dataValidation>
        <x14:dataValidation type="list" allowBlank="1" showInputMessage="1" showErrorMessage="1" xr:uid="{FF7C794D-E721-4923-81DC-5C41DAAE6350}">
          <x14:formula1>
            <xm:f>Controle!$M$4:$M$38</xm:f>
          </x14:formula1>
          <xm:sqref>P9860:P9880 N10323 P10134 P10045 P10052:P10055 P10067 P10721:P10727 P10700:P10702 P10649:P10656 P10734:P10736</xm:sqref>
        </x14:dataValidation>
        <x14:dataValidation type="list" allowBlank="1" showInputMessage="1" showErrorMessage="1" xr:uid="{D7042DAC-7F78-4BA7-92F6-ECCFE519D184}">
          <x14:formula1>
            <xm:f>Controle!$C$4:$C$70</xm:f>
          </x14:formula1>
          <xm:sqref>Q10224</xm:sqref>
        </x14:dataValidation>
        <x14:dataValidation type="list" allowBlank="1" showInputMessage="1" showErrorMessage="1" xr:uid="{40E9974D-C98F-4475-A165-AC73E6A55FAF}">
          <x14:formula1>
            <xm:f>Controle!$C$4:$C$90</xm:f>
          </x14:formula1>
          <xm:sqref>Q10477</xm:sqref>
        </x14:dataValidation>
        <x14:dataValidation type="list" allowBlank="1" showInputMessage="1" showErrorMessage="1" xr:uid="{97B6BB9A-38F7-4C7A-85D5-7CB0CD4F51F5}">
          <x14:formula1>
            <xm:f>Controle!$M$4:$M$70</xm:f>
          </x14:formula1>
          <xm:sqref>P10733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B82FA-0137-4FAE-9783-9C98C4E14C3C}">
  <sheetPr>
    <tabColor rgb="FF00B0F0"/>
  </sheetPr>
  <dimension ref="B2:K2152"/>
  <sheetViews>
    <sheetView showGridLines="0" topLeftCell="A300" workbookViewId="0">
      <selection activeCell="E487" sqref="E487"/>
    </sheetView>
  </sheetViews>
  <sheetFormatPr defaultRowHeight="10.5"/>
  <cols>
    <col min="1" max="1" width="1.6640625" customWidth="1"/>
    <col min="2" max="2" width="11" customWidth="1"/>
    <col min="3" max="3" width="24.5" customWidth="1"/>
    <col min="4" max="4" width="46.1640625" customWidth="1"/>
    <col min="5" max="5" width="16.83203125" customWidth="1"/>
    <col min="6" max="6" width="77.6640625" customWidth="1"/>
    <col min="7" max="7" width="26.1640625" customWidth="1"/>
    <col min="8" max="8" width="17.33203125" customWidth="1"/>
  </cols>
  <sheetData>
    <row r="2" spans="2:8" ht="23.25">
      <c r="B2" s="1044" t="s">
        <v>25897</v>
      </c>
      <c r="C2" s="142"/>
      <c r="D2" s="142"/>
      <c r="E2" s="142"/>
      <c r="F2" s="143"/>
    </row>
    <row r="3" spans="2:8" ht="11.25">
      <c r="B3" s="752" t="s">
        <v>25898</v>
      </c>
      <c r="C3" s="753" t="s">
        <v>3</v>
      </c>
      <c r="D3" s="753" t="s">
        <v>249</v>
      </c>
      <c r="E3" s="754" t="s">
        <v>252</v>
      </c>
      <c r="F3" s="755" t="s">
        <v>25899</v>
      </c>
      <c r="G3" s="230"/>
      <c r="H3" s="230"/>
    </row>
    <row r="4" spans="2:8" ht="11.25">
      <c r="B4" s="148">
        <v>45371</v>
      </c>
      <c r="C4" s="149" t="s">
        <v>13</v>
      </c>
      <c r="D4" s="149" t="s">
        <v>57</v>
      </c>
      <c r="E4" s="149">
        <v>150000</v>
      </c>
      <c r="F4" s="441">
        <v>0</v>
      </c>
    </row>
    <row r="5" spans="2:8" ht="11.25">
      <c r="B5" s="151">
        <v>45383</v>
      </c>
      <c r="C5" s="152" t="s">
        <v>117</v>
      </c>
      <c r="D5" s="152" t="s">
        <v>57</v>
      </c>
      <c r="E5" s="152">
        <v>755406.23</v>
      </c>
      <c r="F5" s="161" t="s">
        <v>25900</v>
      </c>
    </row>
    <row r="6" spans="2:8" ht="11.25">
      <c r="B6" s="151">
        <v>45356</v>
      </c>
      <c r="C6" s="152" t="s">
        <v>25901</v>
      </c>
      <c r="D6" s="152" t="s">
        <v>28</v>
      </c>
      <c r="E6" s="152">
        <v>2906636.06</v>
      </c>
      <c r="F6" s="161" t="s">
        <v>25902</v>
      </c>
    </row>
    <row r="7" spans="2:8" ht="11.25">
      <c r="B7" s="151">
        <v>45356</v>
      </c>
      <c r="C7" s="152" t="s">
        <v>25901</v>
      </c>
      <c r="D7" s="152" t="s">
        <v>75</v>
      </c>
      <c r="E7" s="152">
        <v>297578</v>
      </c>
      <c r="F7" s="161" t="s">
        <v>25903</v>
      </c>
    </row>
    <row r="8" spans="2:8" ht="11.25">
      <c r="B8" s="151">
        <v>45356</v>
      </c>
      <c r="C8" s="152" t="s">
        <v>25901</v>
      </c>
      <c r="D8" s="152" t="s">
        <v>75</v>
      </c>
      <c r="E8" s="152">
        <v>459002</v>
      </c>
      <c r="F8" s="161" t="s">
        <v>25904</v>
      </c>
    </row>
    <row r="9" spans="2:8" ht="11.25">
      <c r="B9" s="151">
        <v>45356</v>
      </c>
      <c r="C9" s="152" t="s">
        <v>25901</v>
      </c>
      <c r="D9" s="152" t="s">
        <v>75</v>
      </c>
      <c r="E9" s="152">
        <v>459600</v>
      </c>
      <c r="F9" s="161" t="s">
        <v>25905</v>
      </c>
    </row>
    <row r="10" spans="2:8" ht="11.25">
      <c r="B10" s="151">
        <v>45356</v>
      </c>
      <c r="C10" s="152" t="s">
        <v>25901</v>
      </c>
      <c r="D10" s="152" t="s">
        <v>75</v>
      </c>
      <c r="E10" s="152">
        <v>1477000.47</v>
      </c>
      <c r="F10" s="161" t="s">
        <v>25906</v>
      </c>
    </row>
    <row r="11" spans="2:8" ht="11.25">
      <c r="B11" s="151">
        <v>45385</v>
      </c>
      <c r="C11" s="152" t="s">
        <v>25907</v>
      </c>
      <c r="D11" s="152" t="s">
        <v>22</v>
      </c>
      <c r="E11" s="6">
        <v>581550.82999999996</v>
      </c>
      <c r="F11" s="161" t="s">
        <v>25908</v>
      </c>
    </row>
    <row r="12" spans="2:8" ht="11.25">
      <c r="B12" s="151">
        <v>45385</v>
      </c>
      <c r="C12" s="152" t="s">
        <v>25909</v>
      </c>
      <c r="D12" s="152" t="s">
        <v>22</v>
      </c>
      <c r="E12" s="6">
        <v>578449.47</v>
      </c>
      <c r="F12" s="161" t="s">
        <v>25908</v>
      </c>
    </row>
    <row r="13" spans="2:8" ht="11.25">
      <c r="B13" s="151">
        <v>45385</v>
      </c>
      <c r="C13" s="162" t="s">
        <v>25910</v>
      </c>
      <c r="D13" s="152" t="s">
        <v>57</v>
      </c>
      <c r="E13" s="152">
        <v>89345.02</v>
      </c>
      <c r="F13" s="161" t="s">
        <v>25911</v>
      </c>
    </row>
    <row r="14" spans="2:8" ht="11.25">
      <c r="B14" s="151">
        <v>45386</v>
      </c>
      <c r="C14" s="152" t="s">
        <v>25912</v>
      </c>
      <c r="D14" s="152" t="s">
        <v>57</v>
      </c>
      <c r="E14" s="152">
        <v>83261.88</v>
      </c>
      <c r="F14" s="161" t="s">
        <v>25913</v>
      </c>
    </row>
    <row r="15" spans="2:8" ht="11.25">
      <c r="B15" s="151">
        <v>45390</v>
      </c>
      <c r="C15" s="152" t="s">
        <v>117</v>
      </c>
      <c r="D15" s="152" t="s">
        <v>61</v>
      </c>
      <c r="E15" s="152">
        <v>0</v>
      </c>
      <c r="F15" s="161" t="s">
        <v>25914</v>
      </c>
    </row>
    <row r="16" spans="2:8" ht="11.25">
      <c r="B16" s="151">
        <v>45391</v>
      </c>
      <c r="C16" s="152" t="s">
        <v>18</v>
      </c>
      <c r="D16" s="152" t="s">
        <v>57</v>
      </c>
      <c r="E16" s="6">
        <v>164771.5</v>
      </c>
      <c r="F16" s="161" t="s">
        <v>25915</v>
      </c>
    </row>
    <row r="17" spans="2:6" ht="11.25">
      <c r="B17" s="151">
        <v>45391</v>
      </c>
      <c r="C17" s="152" t="s">
        <v>66</v>
      </c>
      <c r="D17" s="152" t="s">
        <v>61</v>
      </c>
      <c r="E17" s="6">
        <v>100000</v>
      </c>
      <c r="F17" s="161" t="s">
        <v>25916</v>
      </c>
    </row>
    <row r="18" spans="2:6" ht="11.25">
      <c r="B18" s="151">
        <v>45391</v>
      </c>
      <c r="C18" s="152" t="s">
        <v>148</v>
      </c>
      <c r="D18" s="152" t="s">
        <v>22</v>
      </c>
      <c r="E18" s="152">
        <v>33143043</v>
      </c>
      <c r="F18" s="161" t="s">
        <v>25917</v>
      </c>
    </row>
    <row r="19" spans="2:6" ht="11.25">
      <c r="B19" s="151">
        <v>45391</v>
      </c>
      <c r="C19" s="152" t="s">
        <v>25918</v>
      </c>
      <c r="D19" s="152" t="s">
        <v>22</v>
      </c>
      <c r="E19" s="152">
        <v>0</v>
      </c>
      <c r="F19" s="161" t="s">
        <v>25919</v>
      </c>
    </row>
    <row r="20" spans="2:6" ht="11.25">
      <c r="B20" s="151">
        <v>45394</v>
      </c>
      <c r="C20" s="152" t="s">
        <v>13</v>
      </c>
      <c r="D20" s="152" t="s">
        <v>22</v>
      </c>
      <c r="E20" s="6">
        <v>251404.62</v>
      </c>
      <c r="F20" s="161" t="s">
        <v>25920</v>
      </c>
    </row>
    <row r="21" spans="2:6" ht="11.25">
      <c r="B21" s="151">
        <v>45394</v>
      </c>
      <c r="C21" s="152" t="s">
        <v>25921</v>
      </c>
      <c r="D21" s="152" t="s">
        <v>51</v>
      </c>
      <c r="E21" s="162">
        <v>5821.02</v>
      </c>
      <c r="F21" s="161" t="s">
        <v>25922</v>
      </c>
    </row>
    <row r="22" spans="2:6" ht="11.25">
      <c r="B22" s="151">
        <v>45394</v>
      </c>
      <c r="C22" s="152" t="s">
        <v>148</v>
      </c>
      <c r="D22" s="152" t="s">
        <v>55</v>
      </c>
      <c r="E22" s="152">
        <v>0</v>
      </c>
      <c r="F22" s="161" t="s">
        <v>25923</v>
      </c>
    </row>
    <row r="23" spans="2:6" ht="11.25">
      <c r="B23" s="151">
        <v>45394</v>
      </c>
      <c r="C23" s="152" t="s">
        <v>25924</v>
      </c>
      <c r="D23" s="152" t="s">
        <v>51</v>
      </c>
      <c r="E23" s="162">
        <v>5821.02</v>
      </c>
      <c r="F23" s="161" t="s">
        <v>25922</v>
      </c>
    </row>
    <row r="24" spans="2:6" ht="11.25">
      <c r="B24" s="151">
        <v>45394</v>
      </c>
      <c r="C24" s="152" t="s">
        <v>25925</v>
      </c>
      <c r="D24" s="152" t="s">
        <v>51</v>
      </c>
      <c r="E24" s="162">
        <v>5821.02</v>
      </c>
      <c r="F24" s="161" t="s">
        <v>25922</v>
      </c>
    </row>
    <row r="25" spans="2:6" ht="11.25">
      <c r="B25" s="151">
        <v>45394</v>
      </c>
      <c r="C25" s="152" t="s">
        <v>25926</v>
      </c>
      <c r="D25" s="152" t="s">
        <v>51</v>
      </c>
      <c r="E25" s="162">
        <v>5821.02</v>
      </c>
      <c r="F25" s="161" t="s">
        <v>25922</v>
      </c>
    </row>
    <row r="26" spans="2:6" ht="11.25">
      <c r="B26" s="151">
        <v>45398</v>
      </c>
      <c r="C26" s="152" t="s">
        <v>13</v>
      </c>
      <c r="D26" s="152" t="s">
        <v>61</v>
      </c>
      <c r="E26" s="152">
        <v>30000</v>
      </c>
      <c r="F26" s="161" t="s">
        <v>25927</v>
      </c>
    </row>
    <row r="27" spans="2:6" ht="11.25">
      <c r="B27" s="151">
        <v>45398</v>
      </c>
      <c r="C27" s="152" t="s">
        <v>88</v>
      </c>
      <c r="D27" s="152" t="s">
        <v>61</v>
      </c>
      <c r="E27" s="152">
        <v>21500</v>
      </c>
      <c r="F27" s="161" t="s">
        <v>25928</v>
      </c>
    </row>
    <row r="28" spans="2:6" ht="11.25">
      <c r="B28" s="151">
        <v>45434</v>
      </c>
      <c r="C28" s="152" t="s">
        <v>103</v>
      </c>
      <c r="D28" s="152" t="s">
        <v>57</v>
      </c>
      <c r="E28" s="152">
        <v>94504.9</v>
      </c>
      <c r="F28" s="161">
        <v>0</v>
      </c>
    </row>
    <row r="29" spans="2:6" ht="11.25">
      <c r="B29" s="151">
        <v>45434</v>
      </c>
      <c r="C29" s="152" t="s">
        <v>104</v>
      </c>
      <c r="D29" s="152" t="s">
        <v>57</v>
      </c>
      <c r="E29" s="152">
        <v>55921</v>
      </c>
      <c r="F29" s="161">
        <v>0</v>
      </c>
    </row>
    <row r="30" spans="2:6" ht="11.25">
      <c r="B30" s="151">
        <v>45434</v>
      </c>
      <c r="C30" s="152" t="s">
        <v>107</v>
      </c>
      <c r="D30" s="152" t="s">
        <v>19</v>
      </c>
      <c r="E30" s="152">
        <v>42000</v>
      </c>
      <c r="F30" s="161" t="s">
        <v>25929</v>
      </c>
    </row>
    <row r="31" spans="2:6" ht="11.25">
      <c r="B31" s="151">
        <v>45437</v>
      </c>
      <c r="C31" s="152" t="s">
        <v>13</v>
      </c>
      <c r="D31" s="152" t="s">
        <v>57</v>
      </c>
      <c r="E31" s="152">
        <v>188709</v>
      </c>
      <c r="F31" s="161" t="s">
        <v>25930</v>
      </c>
    </row>
    <row r="32" spans="2:6" ht="11.25">
      <c r="B32" s="151">
        <v>45778</v>
      </c>
      <c r="C32" s="152" t="s">
        <v>84</v>
      </c>
      <c r="D32" s="152" t="s">
        <v>57</v>
      </c>
      <c r="E32" s="6">
        <v>22800</v>
      </c>
      <c r="F32" s="161" t="s">
        <v>25931</v>
      </c>
    </row>
    <row r="33" spans="2:6" ht="11.25">
      <c r="B33" s="151">
        <v>45778</v>
      </c>
      <c r="C33" s="152" t="s">
        <v>86</v>
      </c>
      <c r="D33" s="152" t="s">
        <v>57</v>
      </c>
      <c r="E33" s="152">
        <v>227075.59</v>
      </c>
      <c r="F33" s="161" t="s">
        <v>25932</v>
      </c>
    </row>
    <row r="34" spans="2:6" ht="11.25">
      <c r="B34" s="151">
        <v>45414</v>
      </c>
      <c r="C34" s="152" t="s">
        <v>104</v>
      </c>
      <c r="D34" s="152" t="s">
        <v>19</v>
      </c>
      <c r="E34" s="152">
        <v>154000</v>
      </c>
      <c r="F34" s="161" t="s">
        <v>25933</v>
      </c>
    </row>
    <row r="35" spans="2:6" ht="11.25">
      <c r="B35" s="151">
        <v>45419</v>
      </c>
      <c r="C35" s="152" t="s">
        <v>122</v>
      </c>
      <c r="D35" s="152" t="s">
        <v>19</v>
      </c>
      <c r="E35" s="152">
        <v>15000</v>
      </c>
      <c r="F35" s="161" t="s">
        <v>25934</v>
      </c>
    </row>
    <row r="36" spans="2:6" ht="11.25">
      <c r="B36" s="151">
        <v>45420</v>
      </c>
      <c r="C36" s="152" t="s">
        <v>25907</v>
      </c>
      <c r="D36" s="152" t="s">
        <v>75</v>
      </c>
      <c r="E36" s="152">
        <v>86616.4</v>
      </c>
      <c r="F36" s="161" t="s">
        <v>25935</v>
      </c>
    </row>
    <row r="37" spans="2:6" ht="11.25">
      <c r="B37" s="151">
        <v>45420</v>
      </c>
      <c r="C37" s="152" t="s">
        <v>25909</v>
      </c>
      <c r="D37" s="152" t="s">
        <v>75</v>
      </c>
      <c r="E37" s="152">
        <v>90543.4</v>
      </c>
      <c r="F37" s="161" t="s">
        <v>25935</v>
      </c>
    </row>
    <row r="38" spans="2:6" ht="11.25">
      <c r="B38" s="151">
        <v>45420</v>
      </c>
      <c r="C38" s="152" t="s">
        <v>24013</v>
      </c>
      <c r="D38" s="152" t="s">
        <v>28</v>
      </c>
      <c r="E38" s="152">
        <v>1059739.8500000001</v>
      </c>
      <c r="F38" s="161" t="s">
        <v>25936</v>
      </c>
    </row>
    <row r="39" spans="2:6" ht="11.25">
      <c r="B39" s="151">
        <v>45420</v>
      </c>
      <c r="C39" s="152" t="s">
        <v>64</v>
      </c>
      <c r="D39" s="152" t="s">
        <v>57</v>
      </c>
      <c r="E39" s="152">
        <v>400000</v>
      </c>
      <c r="F39" s="161" t="s">
        <v>25937</v>
      </c>
    </row>
    <row r="40" spans="2:6" ht="11.25">
      <c r="B40" s="151">
        <v>45432</v>
      </c>
      <c r="C40" s="152" t="s">
        <v>25912</v>
      </c>
      <c r="D40" s="152" t="s">
        <v>59</v>
      </c>
      <c r="E40" s="152">
        <v>297803.7</v>
      </c>
      <c r="F40" s="161" t="s">
        <v>25938</v>
      </c>
    </row>
    <row r="41" spans="2:6" ht="11.25">
      <c r="B41" s="151">
        <v>45448</v>
      </c>
      <c r="C41" s="152" t="s">
        <v>88</v>
      </c>
      <c r="D41" s="152" t="s">
        <v>73</v>
      </c>
      <c r="E41" s="152">
        <v>302750</v>
      </c>
      <c r="F41" s="161" t="s">
        <v>25939</v>
      </c>
    </row>
    <row r="42" spans="2:6" ht="11.25">
      <c r="B42" s="151">
        <v>45448</v>
      </c>
      <c r="C42" s="152" t="s">
        <v>25912</v>
      </c>
      <c r="D42" s="152" t="s">
        <v>22</v>
      </c>
      <c r="E42" s="152">
        <v>399552.97</v>
      </c>
      <c r="F42" s="161" t="s">
        <v>25940</v>
      </c>
    </row>
    <row r="43" spans="2:6" ht="11.25">
      <c r="B43" s="151">
        <v>45448</v>
      </c>
      <c r="C43" s="152" t="s">
        <v>95</v>
      </c>
      <c r="D43" s="152" t="s">
        <v>22</v>
      </c>
      <c r="E43" s="152">
        <v>241568.23</v>
      </c>
      <c r="F43" s="161" t="s">
        <v>25941</v>
      </c>
    </row>
    <row r="44" spans="2:6" ht="11.25">
      <c r="B44" s="151">
        <v>45448</v>
      </c>
      <c r="C44" s="152" t="s">
        <v>122</v>
      </c>
      <c r="D44" s="152" t="s">
        <v>77</v>
      </c>
      <c r="E44" s="152">
        <v>1111148.3999999999</v>
      </c>
      <c r="F44" s="161" t="s">
        <v>25942</v>
      </c>
    </row>
    <row r="45" spans="2:6" ht="11.25">
      <c r="B45" s="151">
        <v>45448</v>
      </c>
      <c r="C45" s="152" t="s">
        <v>123</v>
      </c>
      <c r="D45" s="152" t="s">
        <v>77</v>
      </c>
      <c r="E45" s="152">
        <v>1404080.5</v>
      </c>
      <c r="F45" s="161" t="s">
        <v>25942</v>
      </c>
    </row>
    <row r="46" spans="2:6" ht="11.25">
      <c r="B46" s="151">
        <v>45453</v>
      </c>
      <c r="C46" s="152" t="s">
        <v>110</v>
      </c>
      <c r="D46" s="152" t="s">
        <v>57</v>
      </c>
      <c r="E46" s="152">
        <v>21200</v>
      </c>
      <c r="F46" s="161" t="s">
        <v>25943</v>
      </c>
    </row>
    <row r="47" spans="2:6" ht="11.25">
      <c r="B47" s="151">
        <v>45453</v>
      </c>
      <c r="C47" s="152" t="s">
        <v>103</v>
      </c>
      <c r="D47" s="152" t="s">
        <v>59</v>
      </c>
      <c r="E47" s="152">
        <v>79215</v>
      </c>
      <c r="F47" s="161" t="s">
        <v>25944</v>
      </c>
    </row>
    <row r="48" spans="2:6" ht="11.25">
      <c r="B48" s="151">
        <v>45453</v>
      </c>
      <c r="C48" s="162" t="s">
        <v>25910</v>
      </c>
      <c r="D48" s="152" t="s">
        <v>59</v>
      </c>
      <c r="E48" s="152">
        <v>199988.82</v>
      </c>
      <c r="F48" s="161" t="s">
        <v>25944</v>
      </c>
    </row>
    <row r="49" spans="2:8" ht="11.25">
      <c r="B49" s="151">
        <v>45453</v>
      </c>
      <c r="C49" s="152" t="s">
        <v>122</v>
      </c>
      <c r="D49" s="152" t="s">
        <v>59</v>
      </c>
      <c r="E49" s="152">
        <v>34520.639999999999</v>
      </c>
      <c r="F49" s="161" t="s">
        <v>25944</v>
      </c>
    </row>
    <row r="50" spans="2:8" ht="11.25">
      <c r="B50" s="151">
        <v>45453</v>
      </c>
      <c r="C50" s="152" t="s">
        <v>107</v>
      </c>
      <c r="D50" s="152" t="s">
        <v>59</v>
      </c>
      <c r="E50" s="152">
        <v>50168.959999999999</v>
      </c>
      <c r="F50" s="161" t="s">
        <v>25944</v>
      </c>
    </row>
    <row r="51" spans="2:8" ht="11.25">
      <c r="B51" s="151">
        <v>45453</v>
      </c>
      <c r="C51" s="152" t="s">
        <v>104</v>
      </c>
      <c r="D51" s="152" t="s">
        <v>59</v>
      </c>
      <c r="E51" s="152">
        <v>290585.06</v>
      </c>
      <c r="F51" s="161" t="s">
        <v>25944</v>
      </c>
    </row>
    <row r="52" spans="2:8" ht="11.25">
      <c r="B52" s="151">
        <v>45493</v>
      </c>
      <c r="C52" s="152" t="s">
        <v>25945</v>
      </c>
      <c r="D52" s="152" t="s">
        <v>81</v>
      </c>
      <c r="E52" s="152" t="s">
        <v>25946</v>
      </c>
      <c r="F52" s="161" t="s">
        <v>25947</v>
      </c>
    </row>
    <row r="53" spans="2:8" s="230" customFormat="1" ht="11.25">
      <c r="B53" s="437">
        <v>45533</v>
      </c>
      <c r="C53" s="438" t="s">
        <v>13</v>
      </c>
      <c r="D53" s="438" t="s">
        <v>7471</v>
      </c>
      <c r="E53" s="438">
        <v>65000</v>
      </c>
      <c r="F53" s="439" t="s">
        <v>25948</v>
      </c>
      <c r="G53" s="438" t="s">
        <v>65</v>
      </c>
      <c r="H53" s="438" t="s">
        <v>25949</v>
      </c>
    </row>
    <row r="54" spans="2:8" s="230" customFormat="1" ht="11.25">
      <c r="B54" s="188">
        <v>45533</v>
      </c>
      <c r="C54" s="162" t="s">
        <v>13</v>
      </c>
      <c r="D54" s="162" t="s">
        <v>22</v>
      </c>
      <c r="E54" s="162">
        <v>10000</v>
      </c>
      <c r="F54" s="250" t="s">
        <v>25950</v>
      </c>
      <c r="G54" s="162" t="s">
        <v>65</v>
      </c>
      <c r="H54" s="890" t="s">
        <v>25951</v>
      </c>
    </row>
    <row r="55" spans="2:8" s="440" customFormat="1" ht="11.25">
      <c r="B55" s="188">
        <v>45533</v>
      </c>
      <c r="C55" s="162" t="s">
        <v>13</v>
      </c>
      <c r="D55" s="162" t="s">
        <v>22</v>
      </c>
      <c r="E55" s="162">
        <v>10000</v>
      </c>
      <c r="F55" s="250" t="s">
        <v>25952</v>
      </c>
      <c r="G55" s="162" t="s">
        <v>25953</v>
      </c>
      <c r="H55" s="162">
        <v>9980</v>
      </c>
    </row>
    <row r="56" spans="2:8" s="230" customFormat="1" ht="11.25">
      <c r="B56" s="188">
        <v>45533</v>
      </c>
      <c r="C56" s="162" t="s">
        <v>13</v>
      </c>
      <c r="D56" s="162" t="s">
        <v>22</v>
      </c>
      <c r="E56" s="162">
        <v>94815</v>
      </c>
      <c r="F56" s="250" t="s">
        <v>25954</v>
      </c>
      <c r="G56" s="162" t="s">
        <v>65</v>
      </c>
      <c r="H56" s="162" t="s">
        <v>25949</v>
      </c>
    </row>
    <row r="57" spans="2:8" s="440" customFormat="1" ht="11.25">
      <c r="B57" s="188">
        <v>45533</v>
      </c>
      <c r="C57" s="162" t="s">
        <v>18</v>
      </c>
      <c r="D57" s="162" t="s">
        <v>22</v>
      </c>
      <c r="E57" s="162">
        <v>12900</v>
      </c>
      <c r="F57" s="250" t="s">
        <v>25954</v>
      </c>
      <c r="G57" s="162" t="s">
        <v>65</v>
      </c>
      <c r="H57" s="162" t="s">
        <v>25949</v>
      </c>
    </row>
    <row r="58" spans="2:8" s="440" customFormat="1" ht="11.25">
      <c r="B58" s="437">
        <v>45533</v>
      </c>
      <c r="C58" s="438" t="s">
        <v>18</v>
      </c>
      <c r="D58" s="438" t="s">
        <v>22</v>
      </c>
      <c r="E58" s="438">
        <v>20000</v>
      </c>
      <c r="F58" s="439" t="s">
        <v>25955</v>
      </c>
      <c r="G58" s="438" t="s">
        <v>65</v>
      </c>
      <c r="H58" s="438" t="s">
        <v>25949</v>
      </c>
    </row>
    <row r="59" spans="2:8" s="440" customFormat="1" ht="11.25">
      <c r="B59" s="437">
        <v>45533</v>
      </c>
      <c r="C59" s="438" t="s">
        <v>18</v>
      </c>
      <c r="D59" s="438" t="s">
        <v>22</v>
      </c>
      <c r="E59" s="438">
        <v>10000</v>
      </c>
      <c r="F59" s="439" t="s">
        <v>25956</v>
      </c>
      <c r="G59" s="438" t="s">
        <v>65</v>
      </c>
      <c r="H59" s="438" t="s">
        <v>25949</v>
      </c>
    </row>
    <row r="60" spans="2:8" s="440" customFormat="1" ht="11.25">
      <c r="B60" s="188">
        <v>45533</v>
      </c>
      <c r="C60" s="162" t="s">
        <v>18</v>
      </c>
      <c r="D60" s="162" t="s">
        <v>22</v>
      </c>
      <c r="E60" s="162">
        <v>10000</v>
      </c>
      <c r="F60" s="250" t="s">
        <v>25950</v>
      </c>
      <c r="G60" s="162" t="s">
        <v>65</v>
      </c>
      <c r="H60" s="162" t="s">
        <v>25949</v>
      </c>
    </row>
    <row r="61" spans="2:8" s="440" customFormat="1" ht="11.25">
      <c r="B61" s="188">
        <v>45533</v>
      </c>
      <c r="C61" s="162" t="s">
        <v>18</v>
      </c>
      <c r="D61" s="162" t="s">
        <v>22</v>
      </c>
      <c r="E61" s="162">
        <v>10000</v>
      </c>
      <c r="F61" s="250" t="s">
        <v>25952</v>
      </c>
      <c r="G61" s="162" t="s">
        <v>65</v>
      </c>
      <c r="H61" s="162" t="s">
        <v>25949</v>
      </c>
    </row>
    <row r="62" spans="2:8" s="440" customFormat="1" ht="11.25">
      <c r="B62" s="437">
        <v>45533</v>
      </c>
      <c r="C62" s="438" t="s">
        <v>64</v>
      </c>
      <c r="D62" s="438" t="s">
        <v>22</v>
      </c>
      <c r="E62" s="438">
        <v>12900</v>
      </c>
      <c r="F62" s="439" t="s">
        <v>25954</v>
      </c>
      <c r="G62" s="438" t="s">
        <v>65</v>
      </c>
      <c r="H62" s="438" t="s">
        <v>25949</v>
      </c>
    </row>
    <row r="63" spans="2:8" s="440" customFormat="1" ht="11.25">
      <c r="B63" s="437">
        <v>45533</v>
      </c>
      <c r="C63" s="438" t="s">
        <v>64</v>
      </c>
      <c r="D63" s="438" t="s">
        <v>7471</v>
      </c>
      <c r="E63" s="442">
        <v>80000</v>
      </c>
      <c r="F63" s="439" t="s">
        <v>25957</v>
      </c>
      <c r="G63" s="438" t="s">
        <v>65</v>
      </c>
      <c r="H63" s="438" t="s">
        <v>25949</v>
      </c>
    </row>
    <row r="64" spans="2:8" s="440" customFormat="1" ht="11.25">
      <c r="B64" s="437">
        <v>45533</v>
      </c>
      <c r="C64" s="438" t="s">
        <v>27</v>
      </c>
      <c r="D64" s="438" t="s">
        <v>22</v>
      </c>
      <c r="E64" s="438">
        <v>1200</v>
      </c>
      <c r="F64" s="439" t="s">
        <v>25958</v>
      </c>
      <c r="G64" s="438" t="s">
        <v>65</v>
      </c>
      <c r="H64" s="438" t="s">
        <v>25949</v>
      </c>
    </row>
    <row r="65" spans="2:10" s="440" customFormat="1" ht="11.25">
      <c r="B65" s="151">
        <v>45533</v>
      </c>
      <c r="C65" s="152" t="s">
        <v>12569</v>
      </c>
      <c r="D65" s="152" t="s">
        <v>22</v>
      </c>
      <c r="E65" s="152">
        <v>63000</v>
      </c>
      <c r="F65" s="161" t="s">
        <v>25959</v>
      </c>
      <c r="G65" s="152" t="s">
        <v>65</v>
      </c>
      <c r="H65" s="152" t="s">
        <v>25949</v>
      </c>
      <c r="I65" t="s">
        <v>25960</v>
      </c>
    </row>
    <row r="66" spans="2:10" s="440" customFormat="1" ht="11.25">
      <c r="B66" s="437">
        <v>45533</v>
      </c>
      <c r="C66" s="438" t="s">
        <v>12569</v>
      </c>
      <c r="D66" s="438" t="s">
        <v>22</v>
      </c>
      <c r="E66" s="438">
        <v>5000</v>
      </c>
      <c r="F66" s="439" t="s">
        <v>25961</v>
      </c>
      <c r="G66" s="438" t="s">
        <v>65</v>
      </c>
      <c r="H66" s="438" t="s">
        <v>25949</v>
      </c>
    </row>
    <row r="67" spans="2:10" s="440" customFormat="1" ht="11.25">
      <c r="B67" s="437">
        <v>45533</v>
      </c>
      <c r="C67" s="438" t="s">
        <v>12569</v>
      </c>
      <c r="D67" s="438" t="s">
        <v>22</v>
      </c>
      <c r="E67" s="438">
        <v>5000</v>
      </c>
      <c r="F67" s="439" t="s">
        <v>25962</v>
      </c>
      <c r="G67" s="438" t="s">
        <v>65</v>
      </c>
      <c r="H67" s="438" t="s">
        <v>25949</v>
      </c>
    </row>
    <row r="68" spans="2:10" s="440" customFormat="1" ht="11.25">
      <c r="B68" s="437">
        <v>45533</v>
      </c>
      <c r="C68" s="438" t="s">
        <v>12569</v>
      </c>
      <c r="D68" s="438" t="s">
        <v>22</v>
      </c>
      <c r="E68" s="438">
        <v>5000</v>
      </c>
      <c r="F68" s="439" t="s">
        <v>25963</v>
      </c>
      <c r="G68" s="438" t="s">
        <v>65</v>
      </c>
      <c r="H68" s="438" t="s">
        <v>25949</v>
      </c>
    </row>
    <row r="69" spans="2:10" s="440" customFormat="1" ht="11.25">
      <c r="B69" s="437">
        <v>45533</v>
      </c>
      <c r="C69" s="438" t="s">
        <v>12569</v>
      </c>
      <c r="D69" s="438" t="s">
        <v>22</v>
      </c>
      <c r="E69" s="438">
        <v>10000</v>
      </c>
      <c r="F69" s="439" t="s">
        <v>25964</v>
      </c>
      <c r="G69" s="438" t="s">
        <v>65</v>
      </c>
      <c r="H69" s="438" t="s">
        <v>25949</v>
      </c>
    </row>
    <row r="70" spans="2:10" s="440" customFormat="1" ht="11.25">
      <c r="B70" s="437">
        <v>45533</v>
      </c>
      <c r="C70" s="438" t="s">
        <v>12569</v>
      </c>
      <c r="D70" s="438" t="s">
        <v>44</v>
      </c>
      <c r="E70" s="438">
        <v>10410</v>
      </c>
      <c r="F70" s="439" t="s">
        <v>25965</v>
      </c>
      <c r="G70" s="438" t="s">
        <v>65</v>
      </c>
      <c r="H70" s="438" t="s">
        <v>25949</v>
      </c>
    </row>
    <row r="71" spans="2:10" s="440" customFormat="1" ht="11.25">
      <c r="B71" s="437">
        <v>45533</v>
      </c>
      <c r="C71" s="438" t="s">
        <v>25966</v>
      </c>
      <c r="D71" s="438" t="s">
        <v>22</v>
      </c>
      <c r="E71" s="438">
        <v>2000</v>
      </c>
      <c r="F71" s="439" t="s">
        <v>25967</v>
      </c>
      <c r="G71" s="438" t="s">
        <v>65</v>
      </c>
      <c r="H71" s="438" t="s">
        <v>25949</v>
      </c>
    </row>
    <row r="72" spans="2:10" s="440" customFormat="1" ht="11.25">
      <c r="B72" s="437">
        <v>45533</v>
      </c>
      <c r="C72" s="438" t="s">
        <v>25966</v>
      </c>
      <c r="D72" s="438" t="s">
        <v>57</v>
      </c>
      <c r="E72" s="438">
        <v>40000</v>
      </c>
      <c r="F72" s="439" t="s">
        <v>25968</v>
      </c>
      <c r="G72" s="438" t="s">
        <v>65</v>
      </c>
      <c r="H72" s="438" t="s">
        <v>25949</v>
      </c>
    </row>
    <row r="73" spans="2:10" s="440" customFormat="1" ht="11.25">
      <c r="B73" s="188">
        <v>45533</v>
      </c>
      <c r="C73" s="162" t="s">
        <v>25969</v>
      </c>
      <c r="D73" s="162" t="s">
        <v>57</v>
      </c>
      <c r="E73" s="162">
        <v>148750</v>
      </c>
      <c r="F73" s="250" t="s">
        <v>25970</v>
      </c>
      <c r="G73" s="162" t="s">
        <v>25971</v>
      </c>
      <c r="H73" s="162" t="s">
        <v>25949</v>
      </c>
    </row>
    <row r="74" spans="2:10" s="440" customFormat="1" ht="11.25">
      <c r="B74" s="437">
        <v>45533</v>
      </c>
      <c r="C74" s="438" t="s">
        <v>25969</v>
      </c>
      <c r="D74" s="438" t="s">
        <v>22</v>
      </c>
      <c r="E74" s="438">
        <v>5000</v>
      </c>
      <c r="F74" s="439" t="s">
        <v>25961</v>
      </c>
      <c r="G74" s="438" t="s">
        <v>65</v>
      </c>
      <c r="H74" s="438" t="s">
        <v>25949</v>
      </c>
    </row>
    <row r="75" spans="2:10" s="440" customFormat="1" ht="11.25">
      <c r="B75" s="437">
        <v>45533</v>
      </c>
      <c r="C75" s="438" t="s">
        <v>25969</v>
      </c>
      <c r="D75" s="438" t="s">
        <v>22</v>
      </c>
      <c r="E75" s="438">
        <v>15000</v>
      </c>
      <c r="F75" s="439" t="s">
        <v>25972</v>
      </c>
      <c r="G75" s="438" t="s">
        <v>65</v>
      </c>
      <c r="H75" s="438" t="s">
        <v>25949</v>
      </c>
    </row>
    <row r="76" spans="2:10" s="440" customFormat="1" ht="11.25">
      <c r="B76" s="151">
        <v>45533</v>
      </c>
      <c r="C76" s="152" t="s">
        <v>25973</v>
      </c>
      <c r="D76" s="152" t="s">
        <v>57</v>
      </c>
      <c r="E76" s="152">
        <v>174920</v>
      </c>
      <c r="F76" s="161" t="s">
        <v>25970</v>
      </c>
      <c r="G76" s="152" t="s">
        <v>57</v>
      </c>
      <c r="H76" s="152" t="s">
        <v>25949</v>
      </c>
      <c r="I76" t="s">
        <v>25960</v>
      </c>
      <c r="J76"/>
    </row>
    <row r="77" spans="2:10" s="440" customFormat="1" ht="11.25">
      <c r="B77" s="437">
        <v>45533</v>
      </c>
      <c r="C77" s="438" t="s">
        <v>25973</v>
      </c>
      <c r="D77" s="438" t="s">
        <v>22</v>
      </c>
      <c r="E77" s="438">
        <v>36500</v>
      </c>
      <c r="F77" s="439" t="s">
        <v>25974</v>
      </c>
      <c r="G77" s="438" t="s">
        <v>65</v>
      </c>
      <c r="H77" s="438" t="s">
        <v>25949</v>
      </c>
    </row>
    <row r="78" spans="2:10" s="440" customFormat="1" ht="11.25">
      <c r="B78" s="437">
        <v>45533</v>
      </c>
      <c r="C78" s="438" t="s">
        <v>25973</v>
      </c>
      <c r="D78" s="438" t="s">
        <v>55</v>
      </c>
      <c r="E78" s="438">
        <f>12000-3920</f>
        <v>8080</v>
      </c>
      <c r="F78" s="439" t="s">
        <v>25975</v>
      </c>
      <c r="G78" s="438" t="s">
        <v>65</v>
      </c>
      <c r="H78" s="438" t="s">
        <v>25949</v>
      </c>
    </row>
    <row r="79" spans="2:10" s="440" customFormat="1" ht="11.25">
      <c r="B79" s="437">
        <v>45533</v>
      </c>
      <c r="C79" s="438" t="s">
        <v>25973</v>
      </c>
      <c r="D79" s="438" t="s">
        <v>22</v>
      </c>
      <c r="E79" s="438">
        <v>12000</v>
      </c>
      <c r="F79" s="439" t="s">
        <v>25961</v>
      </c>
      <c r="G79" s="438" t="s">
        <v>65</v>
      </c>
      <c r="H79" s="438" t="s">
        <v>25949</v>
      </c>
    </row>
    <row r="80" spans="2:10" s="440" customFormat="1" ht="11.25">
      <c r="B80" s="437">
        <v>45533</v>
      </c>
      <c r="C80" s="438" t="s">
        <v>25973</v>
      </c>
      <c r="D80" s="438" t="s">
        <v>22</v>
      </c>
      <c r="E80" s="438">
        <v>5000</v>
      </c>
      <c r="F80" s="439" t="s">
        <v>25976</v>
      </c>
      <c r="G80" s="438" t="s">
        <v>65</v>
      </c>
      <c r="H80" s="438" t="s">
        <v>25949</v>
      </c>
    </row>
    <row r="81" spans="2:8" s="440" customFormat="1" ht="11.25">
      <c r="B81" s="437">
        <v>45533</v>
      </c>
      <c r="C81" s="438" t="s">
        <v>25973</v>
      </c>
      <c r="D81" s="438" t="s">
        <v>22</v>
      </c>
      <c r="E81" s="438">
        <v>2000</v>
      </c>
      <c r="F81" s="439" t="s">
        <v>25977</v>
      </c>
      <c r="G81" s="438" t="s">
        <v>65</v>
      </c>
      <c r="H81" s="438" t="s">
        <v>25949</v>
      </c>
    </row>
    <row r="82" spans="2:8" ht="11.25">
      <c r="B82" s="437">
        <v>45533</v>
      </c>
      <c r="C82" s="438" t="s">
        <v>25978</v>
      </c>
      <c r="D82" s="438" t="s">
        <v>22</v>
      </c>
      <c r="E82" s="438">
        <v>2000</v>
      </c>
      <c r="F82" s="439" t="s">
        <v>25979</v>
      </c>
      <c r="G82" s="438" t="s">
        <v>65</v>
      </c>
      <c r="H82" s="438" t="s">
        <v>25949</v>
      </c>
    </row>
    <row r="83" spans="2:8" ht="11.25">
      <c r="B83" s="437">
        <v>45533</v>
      </c>
      <c r="C83" s="438" t="s">
        <v>25980</v>
      </c>
      <c r="D83" s="438" t="s">
        <v>55</v>
      </c>
      <c r="E83" s="438">
        <v>10000</v>
      </c>
      <c r="F83" s="439" t="s">
        <v>25967</v>
      </c>
      <c r="G83" s="438" t="s">
        <v>65</v>
      </c>
      <c r="H83" s="438" t="s">
        <v>25949</v>
      </c>
    </row>
    <row r="84" spans="2:8" ht="11.25">
      <c r="B84" s="437">
        <v>45533</v>
      </c>
      <c r="C84" s="438" t="s">
        <v>25980</v>
      </c>
      <c r="D84" s="438" t="s">
        <v>22</v>
      </c>
      <c r="E84" s="438">
        <v>2000</v>
      </c>
      <c r="F84" s="439" t="s">
        <v>25979</v>
      </c>
      <c r="G84" s="438" t="s">
        <v>65</v>
      </c>
      <c r="H84" s="438" t="s">
        <v>25949</v>
      </c>
    </row>
    <row r="85" spans="2:8" s="440" customFormat="1" ht="11.25">
      <c r="B85" s="437">
        <v>45533</v>
      </c>
      <c r="C85" s="438" t="s">
        <v>25981</v>
      </c>
      <c r="D85" s="438" t="s">
        <v>22</v>
      </c>
      <c r="E85" s="438">
        <v>5000</v>
      </c>
      <c r="F85" s="439" t="s">
        <v>25982</v>
      </c>
      <c r="G85" s="438" t="s">
        <v>65</v>
      </c>
      <c r="H85" s="438" t="s">
        <v>25949</v>
      </c>
    </row>
    <row r="86" spans="2:8" s="440" customFormat="1" ht="11.25">
      <c r="B86" s="437">
        <v>45533</v>
      </c>
      <c r="C86" s="438" t="s">
        <v>25981</v>
      </c>
      <c r="D86" s="438" t="s">
        <v>22</v>
      </c>
      <c r="E86" s="438">
        <v>10000</v>
      </c>
      <c r="F86" s="439" t="s">
        <v>25964</v>
      </c>
      <c r="G86" s="438" t="s">
        <v>65</v>
      </c>
      <c r="H86" s="438" t="s">
        <v>25949</v>
      </c>
    </row>
    <row r="87" spans="2:8" s="440" customFormat="1" ht="11.25">
      <c r="B87" s="437">
        <v>45533</v>
      </c>
      <c r="C87" s="438" t="s">
        <v>25983</v>
      </c>
      <c r="D87" s="438" t="s">
        <v>22</v>
      </c>
      <c r="E87" s="438">
        <v>5006</v>
      </c>
      <c r="F87" s="439" t="s">
        <v>25982</v>
      </c>
      <c r="G87" s="438" t="s">
        <v>65</v>
      </c>
      <c r="H87" s="438" t="s">
        <v>25949</v>
      </c>
    </row>
    <row r="88" spans="2:8" s="440" customFormat="1" ht="23.25">
      <c r="B88" s="188">
        <v>45533</v>
      </c>
      <c r="C88" s="162" t="s">
        <v>25983</v>
      </c>
      <c r="D88" s="162" t="s">
        <v>22</v>
      </c>
      <c r="E88" s="162">
        <v>10000</v>
      </c>
      <c r="F88" s="250" t="s">
        <v>25984</v>
      </c>
      <c r="G88" s="890" t="s">
        <v>25985</v>
      </c>
      <c r="H88" s="162" t="s">
        <v>25949</v>
      </c>
    </row>
    <row r="89" spans="2:8" s="440" customFormat="1" ht="11.25">
      <c r="B89" s="437">
        <v>45533</v>
      </c>
      <c r="C89" s="438" t="s">
        <v>25983</v>
      </c>
      <c r="D89" s="438" t="s">
        <v>22</v>
      </c>
      <c r="E89" s="438">
        <v>10000</v>
      </c>
      <c r="F89" s="439" t="s">
        <v>25964</v>
      </c>
      <c r="G89" s="438" t="s">
        <v>65</v>
      </c>
      <c r="H89" s="438" t="s">
        <v>25949</v>
      </c>
    </row>
    <row r="90" spans="2:8" s="440" customFormat="1" ht="11.25">
      <c r="B90" s="437">
        <v>45533</v>
      </c>
      <c r="C90" s="438" t="s">
        <v>25986</v>
      </c>
      <c r="D90" s="438" t="s">
        <v>57</v>
      </c>
      <c r="E90" s="438">
        <v>48000</v>
      </c>
      <c r="F90" s="439" t="s">
        <v>25987</v>
      </c>
      <c r="G90" s="438" t="s">
        <v>65</v>
      </c>
      <c r="H90" s="438" t="s">
        <v>25949</v>
      </c>
    </row>
    <row r="91" spans="2:8" s="440" customFormat="1" ht="11.25">
      <c r="B91" s="437">
        <v>45533</v>
      </c>
      <c r="C91" s="438" t="s">
        <v>25986</v>
      </c>
      <c r="D91" s="438" t="s">
        <v>22</v>
      </c>
      <c r="E91" s="438">
        <v>35000</v>
      </c>
      <c r="F91" s="439" t="s">
        <v>25988</v>
      </c>
      <c r="G91" s="438" t="s">
        <v>65</v>
      </c>
      <c r="H91" s="438" t="s">
        <v>25949</v>
      </c>
    </row>
    <row r="92" spans="2:8" s="440" customFormat="1" ht="11.25">
      <c r="B92" s="437">
        <v>45533</v>
      </c>
      <c r="C92" s="438" t="s">
        <v>25986</v>
      </c>
      <c r="D92" s="438" t="s">
        <v>22</v>
      </c>
      <c r="E92" s="438">
        <v>10000</v>
      </c>
      <c r="F92" s="439" t="s">
        <v>25989</v>
      </c>
      <c r="G92" s="438" t="s">
        <v>65</v>
      </c>
      <c r="H92" s="438" t="s">
        <v>25949</v>
      </c>
    </row>
    <row r="93" spans="2:8" s="440" customFormat="1" ht="11.25">
      <c r="B93" s="437">
        <v>45533</v>
      </c>
      <c r="C93" s="438" t="s">
        <v>100</v>
      </c>
      <c r="D93" s="438" t="s">
        <v>7471</v>
      </c>
      <c r="E93" s="438">
        <v>30000</v>
      </c>
      <c r="F93" s="439" t="s">
        <v>25990</v>
      </c>
      <c r="G93" s="438" t="s">
        <v>65</v>
      </c>
      <c r="H93" s="438" t="s">
        <v>25949</v>
      </c>
    </row>
    <row r="94" spans="2:8" s="440" customFormat="1" ht="11.25">
      <c r="B94" s="437">
        <v>45533</v>
      </c>
      <c r="C94" s="438" t="s">
        <v>100</v>
      </c>
      <c r="D94" s="438" t="s">
        <v>22</v>
      </c>
      <c r="E94" s="438">
        <v>10000</v>
      </c>
      <c r="F94" s="439" t="s">
        <v>25991</v>
      </c>
      <c r="G94" s="438" t="s">
        <v>65</v>
      </c>
      <c r="H94" s="438" t="s">
        <v>25949</v>
      </c>
    </row>
    <row r="95" spans="2:8" s="440" customFormat="1" ht="11.25">
      <c r="B95" s="437">
        <v>45533</v>
      </c>
      <c r="C95" s="438" t="s">
        <v>100</v>
      </c>
      <c r="D95" s="438" t="s">
        <v>22</v>
      </c>
      <c r="E95" s="438">
        <v>5000</v>
      </c>
      <c r="F95" s="439" t="s">
        <v>25992</v>
      </c>
      <c r="G95" s="438" t="s">
        <v>65</v>
      </c>
      <c r="H95" s="438" t="s">
        <v>25949</v>
      </c>
    </row>
    <row r="96" spans="2:8" s="440" customFormat="1" ht="11.25">
      <c r="B96" s="437">
        <v>45533</v>
      </c>
      <c r="C96" s="438" t="s">
        <v>100</v>
      </c>
      <c r="D96" s="438" t="s">
        <v>22</v>
      </c>
      <c r="E96" s="438">
        <v>30000</v>
      </c>
      <c r="F96" s="439" t="s">
        <v>25993</v>
      </c>
      <c r="G96" s="438" t="s">
        <v>65</v>
      </c>
      <c r="H96" s="438" t="s">
        <v>25949</v>
      </c>
    </row>
    <row r="97" spans="2:9" ht="11.25">
      <c r="B97" s="437">
        <v>45533</v>
      </c>
      <c r="C97" s="438" t="s">
        <v>68</v>
      </c>
      <c r="D97" s="438" t="s">
        <v>7471</v>
      </c>
      <c r="E97" s="438">
        <v>40000</v>
      </c>
      <c r="F97" s="439" t="s">
        <v>25994</v>
      </c>
      <c r="G97" s="438" t="s">
        <v>65</v>
      </c>
      <c r="H97" s="438" t="s">
        <v>25949</v>
      </c>
    </row>
    <row r="98" spans="2:9" s="440" customFormat="1" ht="11.25">
      <c r="B98" s="188">
        <v>45533</v>
      </c>
      <c r="C98" s="162" t="s">
        <v>70</v>
      </c>
      <c r="D98" s="162" t="s">
        <v>7471</v>
      </c>
      <c r="E98" s="162">
        <v>63500</v>
      </c>
      <c r="F98" s="250" t="s">
        <v>25995</v>
      </c>
      <c r="G98" s="152" t="s">
        <v>65</v>
      </c>
      <c r="H98" s="152" t="s">
        <v>25949</v>
      </c>
      <c r="I98" t="s">
        <v>25960</v>
      </c>
    </row>
    <row r="99" spans="2:9" s="440" customFormat="1" ht="11.25">
      <c r="B99" s="437">
        <v>45533</v>
      </c>
      <c r="C99" s="438" t="s">
        <v>70</v>
      </c>
      <c r="D99" s="438" t="s">
        <v>7471</v>
      </c>
      <c r="E99" s="438">
        <v>25000</v>
      </c>
      <c r="F99" s="439" t="s">
        <v>25996</v>
      </c>
      <c r="G99" s="438" t="s">
        <v>65</v>
      </c>
      <c r="H99" s="438" t="s">
        <v>25949</v>
      </c>
    </row>
    <row r="100" spans="2:9" s="440" customFormat="1" ht="11.25">
      <c r="B100" s="437">
        <v>45533</v>
      </c>
      <c r="C100" s="438" t="s">
        <v>70</v>
      </c>
      <c r="D100" s="438" t="s">
        <v>22</v>
      </c>
      <c r="E100" s="438">
        <f>10000+14800</f>
        <v>24800</v>
      </c>
      <c r="F100" s="439" t="s">
        <v>25997</v>
      </c>
      <c r="G100" s="438" t="s">
        <v>65</v>
      </c>
      <c r="H100" s="438" t="s">
        <v>25949</v>
      </c>
    </row>
    <row r="101" spans="2:9" ht="11.25">
      <c r="B101" s="437">
        <v>45533</v>
      </c>
      <c r="C101" s="438" t="s">
        <v>72</v>
      </c>
      <c r="D101" s="438" t="s">
        <v>55</v>
      </c>
      <c r="E101" s="438">
        <v>5000</v>
      </c>
      <c r="F101" s="439" t="s">
        <v>25998</v>
      </c>
      <c r="G101" s="438" t="s">
        <v>65</v>
      </c>
      <c r="H101" s="438" t="s">
        <v>25949</v>
      </c>
    </row>
    <row r="102" spans="2:9" s="440" customFormat="1" ht="11.25">
      <c r="B102" s="437">
        <v>45533</v>
      </c>
      <c r="C102" s="438" t="s">
        <v>110</v>
      </c>
      <c r="D102" s="438" t="s">
        <v>22</v>
      </c>
      <c r="E102" s="438">
        <v>10000</v>
      </c>
      <c r="F102" s="439" t="s">
        <v>25997</v>
      </c>
      <c r="G102" s="438" t="s">
        <v>65</v>
      </c>
      <c r="H102" s="438" t="s">
        <v>25949</v>
      </c>
    </row>
    <row r="103" spans="2:9" s="440" customFormat="1" ht="11.25">
      <c r="B103" s="437">
        <v>45533</v>
      </c>
      <c r="C103" s="438" t="s">
        <v>110</v>
      </c>
      <c r="D103" s="438" t="s">
        <v>22</v>
      </c>
      <c r="E103" s="438">
        <v>10000</v>
      </c>
      <c r="F103" s="439" t="s">
        <v>25999</v>
      </c>
      <c r="G103" s="438" t="s">
        <v>65</v>
      </c>
      <c r="H103" s="438" t="s">
        <v>25949</v>
      </c>
    </row>
    <row r="104" spans="2:9" s="440" customFormat="1" ht="11.25">
      <c r="B104" s="437">
        <v>45533</v>
      </c>
      <c r="C104" s="438" t="s">
        <v>110</v>
      </c>
      <c r="D104" s="438" t="s">
        <v>44</v>
      </c>
      <c r="E104" s="438">
        <v>44949.15</v>
      </c>
      <c r="F104" s="439" t="s">
        <v>26000</v>
      </c>
      <c r="G104" s="438" t="s">
        <v>65</v>
      </c>
      <c r="H104" s="438" t="s">
        <v>25949</v>
      </c>
    </row>
    <row r="105" spans="2:9" s="440" customFormat="1" ht="11.25">
      <c r="B105" s="437">
        <v>45533</v>
      </c>
      <c r="C105" s="438" t="s">
        <v>110</v>
      </c>
      <c r="D105" s="438" t="s">
        <v>22</v>
      </c>
      <c r="E105" s="438">
        <v>10000</v>
      </c>
      <c r="F105" s="439" t="s">
        <v>26001</v>
      </c>
      <c r="G105" s="438" t="s">
        <v>65</v>
      </c>
      <c r="H105" s="438" t="s">
        <v>25949</v>
      </c>
    </row>
    <row r="106" spans="2:9" s="440" customFormat="1" ht="11.25">
      <c r="B106" s="437">
        <v>45533</v>
      </c>
      <c r="C106" s="438" t="s">
        <v>110</v>
      </c>
      <c r="D106" s="438" t="s">
        <v>22</v>
      </c>
      <c r="E106" s="438">
        <v>10000</v>
      </c>
      <c r="F106" s="439" t="s">
        <v>26002</v>
      </c>
      <c r="G106" s="438" t="s">
        <v>65</v>
      </c>
      <c r="H106" s="438" t="s">
        <v>25949</v>
      </c>
    </row>
    <row r="107" spans="2:9" ht="11.25">
      <c r="B107" s="437">
        <v>45533</v>
      </c>
      <c r="C107" s="438" t="s">
        <v>84</v>
      </c>
      <c r="D107" s="438" t="s">
        <v>22</v>
      </c>
      <c r="E107" s="438">
        <v>10000</v>
      </c>
      <c r="F107" s="439" t="s">
        <v>25997</v>
      </c>
      <c r="G107" s="438" t="s">
        <v>65</v>
      </c>
      <c r="H107" s="438" t="s">
        <v>25949</v>
      </c>
    </row>
    <row r="108" spans="2:9" ht="11.25">
      <c r="B108" s="437">
        <v>45533</v>
      </c>
      <c r="C108" s="438" t="s">
        <v>111</v>
      </c>
      <c r="D108" s="438" t="s">
        <v>22</v>
      </c>
      <c r="E108" s="438">
        <v>25000</v>
      </c>
      <c r="F108" s="439" t="s">
        <v>26003</v>
      </c>
      <c r="G108" s="438" t="s">
        <v>65</v>
      </c>
      <c r="H108" s="438" t="s">
        <v>25949</v>
      </c>
    </row>
    <row r="109" spans="2:9" ht="11.25">
      <c r="B109" s="437">
        <v>45533</v>
      </c>
      <c r="C109" s="438" t="s">
        <v>111</v>
      </c>
      <c r="D109" s="438" t="s">
        <v>22</v>
      </c>
      <c r="E109" s="438">
        <v>10000</v>
      </c>
      <c r="F109" s="439" t="s">
        <v>25997</v>
      </c>
      <c r="G109" s="438" t="s">
        <v>65</v>
      </c>
      <c r="H109" s="438" t="s">
        <v>25949</v>
      </c>
    </row>
    <row r="110" spans="2:9" s="440" customFormat="1" ht="11.25">
      <c r="B110" s="437">
        <v>45533</v>
      </c>
      <c r="C110" s="438" t="s">
        <v>26004</v>
      </c>
      <c r="D110" s="438" t="s">
        <v>22</v>
      </c>
      <c r="E110" s="438">
        <v>5000</v>
      </c>
      <c r="F110" s="439" t="s">
        <v>26005</v>
      </c>
      <c r="G110" s="438" t="s">
        <v>65</v>
      </c>
      <c r="H110" s="438" t="s">
        <v>25949</v>
      </c>
    </row>
    <row r="111" spans="2:9" s="440" customFormat="1" ht="11.25">
      <c r="B111" s="437">
        <v>45533</v>
      </c>
      <c r="C111" s="438" t="s">
        <v>26004</v>
      </c>
      <c r="D111" s="438" t="s">
        <v>22</v>
      </c>
      <c r="E111" s="438">
        <v>5000</v>
      </c>
      <c r="F111" s="439" t="s">
        <v>26006</v>
      </c>
      <c r="G111" s="438" t="s">
        <v>65</v>
      </c>
      <c r="H111" s="438" t="s">
        <v>25949</v>
      </c>
    </row>
    <row r="112" spans="2:9" s="440" customFormat="1" ht="11.25">
      <c r="B112" s="437">
        <v>45533</v>
      </c>
      <c r="C112" s="438" t="s">
        <v>26004</v>
      </c>
      <c r="D112" s="438" t="s">
        <v>7471</v>
      </c>
      <c r="E112" s="438">
        <v>15000</v>
      </c>
      <c r="F112" s="439" t="s">
        <v>26007</v>
      </c>
      <c r="G112" s="438" t="s">
        <v>65</v>
      </c>
      <c r="H112" s="438" t="s">
        <v>25949</v>
      </c>
    </row>
    <row r="113" spans="2:8" s="440" customFormat="1" ht="11.25">
      <c r="B113" s="437">
        <v>45533</v>
      </c>
      <c r="C113" s="438" t="s">
        <v>26008</v>
      </c>
      <c r="D113" s="438" t="s">
        <v>22</v>
      </c>
      <c r="E113" s="438">
        <v>5000</v>
      </c>
      <c r="F113" s="439" t="s">
        <v>26009</v>
      </c>
      <c r="G113" s="438" t="s">
        <v>65</v>
      </c>
      <c r="H113" s="438" t="s">
        <v>25949</v>
      </c>
    </row>
    <row r="114" spans="2:8" s="440" customFormat="1" ht="11.25">
      <c r="B114" s="437">
        <v>45533</v>
      </c>
      <c r="C114" s="438" t="s">
        <v>26008</v>
      </c>
      <c r="D114" s="438" t="s">
        <v>22</v>
      </c>
      <c r="E114" s="438">
        <v>15000</v>
      </c>
      <c r="F114" s="439" t="s">
        <v>26007</v>
      </c>
      <c r="G114" s="438" t="s">
        <v>65</v>
      </c>
      <c r="H114" s="438" t="s">
        <v>25949</v>
      </c>
    </row>
    <row r="115" spans="2:8" s="440" customFormat="1" ht="11.25">
      <c r="B115" s="437">
        <v>45533</v>
      </c>
      <c r="C115" s="438" t="s">
        <v>26010</v>
      </c>
      <c r="D115" s="438" t="s">
        <v>53</v>
      </c>
      <c r="E115" s="438">
        <v>10000</v>
      </c>
      <c r="F115" s="439" t="s">
        <v>26011</v>
      </c>
      <c r="G115" s="438" t="s">
        <v>65</v>
      </c>
      <c r="H115" s="438" t="s">
        <v>25949</v>
      </c>
    </row>
    <row r="116" spans="2:8" s="440" customFormat="1" ht="11.25">
      <c r="B116" s="437">
        <v>45533</v>
      </c>
      <c r="C116" s="438" t="s">
        <v>26010</v>
      </c>
      <c r="D116" s="438" t="s">
        <v>22</v>
      </c>
      <c r="E116" s="438">
        <v>10000</v>
      </c>
      <c r="F116" s="439" t="s">
        <v>26012</v>
      </c>
      <c r="G116" s="438" t="s">
        <v>65</v>
      </c>
      <c r="H116" s="438" t="s">
        <v>25949</v>
      </c>
    </row>
    <row r="117" spans="2:8" s="440" customFormat="1" ht="11.25">
      <c r="B117" s="437">
        <v>45533</v>
      </c>
      <c r="C117" s="438" t="s">
        <v>26010</v>
      </c>
      <c r="D117" s="438" t="s">
        <v>22</v>
      </c>
      <c r="E117" s="438">
        <v>31000</v>
      </c>
      <c r="F117" s="439" t="s">
        <v>26013</v>
      </c>
      <c r="G117" s="438" t="s">
        <v>65</v>
      </c>
      <c r="H117" s="438" t="s">
        <v>25949</v>
      </c>
    </row>
    <row r="118" spans="2:8" s="440" customFormat="1" ht="11.25">
      <c r="B118" s="437">
        <v>45533</v>
      </c>
      <c r="C118" s="438" t="s">
        <v>26010</v>
      </c>
      <c r="D118" s="438" t="s">
        <v>7471</v>
      </c>
      <c r="E118" s="438">
        <v>15000</v>
      </c>
      <c r="F118" s="439" t="s">
        <v>26007</v>
      </c>
      <c r="G118" s="438" t="s">
        <v>65</v>
      </c>
      <c r="H118" s="438" t="s">
        <v>25949</v>
      </c>
    </row>
    <row r="119" spans="2:8" s="440" customFormat="1" ht="11.25">
      <c r="B119" s="437">
        <v>45533</v>
      </c>
      <c r="C119" s="438" t="s">
        <v>26010</v>
      </c>
      <c r="D119" s="438" t="s">
        <v>22</v>
      </c>
      <c r="E119" s="438">
        <v>5000</v>
      </c>
      <c r="F119" s="439" t="s">
        <v>26014</v>
      </c>
      <c r="G119" s="438" t="s">
        <v>65</v>
      </c>
      <c r="H119" s="438" t="s">
        <v>25949</v>
      </c>
    </row>
    <row r="120" spans="2:8" s="440" customFormat="1" ht="11.25">
      <c r="B120" s="437">
        <v>45533</v>
      </c>
      <c r="C120" s="438" t="s">
        <v>26010</v>
      </c>
      <c r="D120" s="438" t="s">
        <v>22</v>
      </c>
      <c r="E120" s="438">
        <v>10000</v>
      </c>
      <c r="F120" s="439" t="s">
        <v>26015</v>
      </c>
      <c r="G120" s="438" t="s">
        <v>65</v>
      </c>
      <c r="H120" s="438" t="s">
        <v>25949</v>
      </c>
    </row>
    <row r="121" spans="2:8" s="440" customFormat="1" ht="11.25">
      <c r="B121" s="437">
        <v>45533</v>
      </c>
      <c r="C121" s="438" t="s">
        <v>26010</v>
      </c>
      <c r="D121" s="438" t="s">
        <v>22</v>
      </c>
      <c r="E121" s="438">
        <v>3000</v>
      </c>
      <c r="F121" s="439" t="s">
        <v>26016</v>
      </c>
      <c r="G121" s="438" t="s">
        <v>65</v>
      </c>
      <c r="H121" s="438" t="s">
        <v>25949</v>
      </c>
    </row>
    <row r="122" spans="2:8" s="440" customFormat="1" ht="11.25">
      <c r="B122" s="437">
        <v>45533</v>
      </c>
      <c r="C122" s="438" t="s">
        <v>26010</v>
      </c>
      <c r="D122" s="438" t="s">
        <v>22</v>
      </c>
      <c r="E122" s="438">
        <v>20000</v>
      </c>
      <c r="F122" s="439" t="s">
        <v>26017</v>
      </c>
      <c r="G122" s="438" t="s">
        <v>65</v>
      </c>
      <c r="H122" s="438" t="s">
        <v>25949</v>
      </c>
    </row>
    <row r="123" spans="2:8" ht="11.25">
      <c r="B123" s="437">
        <v>45533</v>
      </c>
      <c r="C123" s="438" t="s">
        <v>66</v>
      </c>
      <c r="D123" s="438" t="s">
        <v>22</v>
      </c>
      <c r="E123" s="438">
        <v>10000</v>
      </c>
      <c r="F123" s="439" t="s">
        <v>25997</v>
      </c>
      <c r="G123" s="438" t="s">
        <v>65</v>
      </c>
      <c r="H123" s="438" t="s">
        <v>25949</v>
      </c>
    </row>
    <row r="124" spans="2:8" ht="11.25">
      <c r="B124" s="437">
        <v>45533</v>
      </c>
      <c r="C124" s="438" t="s">
        <v>66</v>
      </c>
      <c r="D124" s="438" t="s">
        <v>22</v>
      </c>
      <c r="E124" s="438">
        <v>5000</v>
      </c>
      <c r="F124" s="439" t="s">
        <v>26018</v>
      </c>
      <c r="G124" s="438" t="s">
        <v>65</v>
      </c>
      <c r="H124" s="438" t="s">
        <v>25949</v>
      </c>
    </row>
    <row r="125" spans="2:8" ht="11.25">
      <c r="B125" s="437">
        <v>45533</v>
      </c>
      <c r="C125" s="438" t="s">
        <v>114</v>
      </c>
      <c r="D125" s="438" t="s">
        <v>22</v>
      </c>
      <c r="E125" s="438">
        <v>5000</v>
      </c>
      <c r="F125" s="439" t="s">
        <v>26018</v>
      </c>
      <c r="G125" s="438" t="s">
        <v>65</v>
      </c>
      <c r="H125" s="438" t="s">
        <v>25949</v>
      </c>
    </row>
    <row r="126" spans="2:8" ht="11.25">
      <c r="B126" s="437">
        <v>45533</v>
      </c>
      <c r="C126" s="438" t="s">
        <v>116</v>
      </c>
      <c r="D126" s="438" t="s">
        <v>22</v>
      </c>
      <c r="E126" s="438">
        <v>5000</v>
      </c>
      <c r="F126" s="439" t="s">
        <v>26018</v>
      </c>
      <c r="G126" s="438" t="s">
        <v>65</v>
      </c>
      <c r="H126" s="438" t="s">
        <v>25949</v>
      </c>
    </row>
    <row r="127" spans="2:8" ht="11.25">
      <c r="B127" s="437">
        <v>45533</v>
      </c>
      <c r="C127" s="438" t="s">
        <v>117</v>
      </c>
      <c r="D127" s="438" t="s">
        <v>22</v>
      </c>
      <c r="E127" s="438">
        <v>5000</v>
      </c>
      <c r="F127" s="439" t="s">
        <v>25997</v>
      </c>
      <c r="G127" s="438" t="s">
        <v>65</v>
      </c>
      <c r="H127" s="438" t="s">
        <v>25949</v>
      </c>
    </row>
    <row r="128" spans="2:8" ht="11.25">
      <c r="B128" s="437">
        <v>45533</v>
      </c>
      <c r="C128" s="438" t="s">
        <v>117</v>
      </c>
      <c r="D128" s="438" t="s">
        <v>22</v>
      </c>
      <c r="E128" s="438">
        <v>5000</v>
      </c>
      <c r="F128" s="439" t="s">
        <v>26018</v>
      </c>
      <c r="G128" s="438" t="s">
        <v>65</v>
      </c>
      <c r="H128" s="438" t="s">
        <v>25949</v>
      </c>
    </row>
    <row r="129" spans="2:9" ht="11.25">
      <c r="B129" s="437">
        <v>45533</v>
      </c>
      <c r="C129" s="438" t="s">
        <v>118</v>
      </c>
      <c r="D129" s="438" t="s">
        <v>22</v>
      </c>
      <c r="E129" s="438">
        <v>5000</v>
      </c>
      <c r="F129" s="439" t="s">
        <v>26018</v>
      </c>
      <c r="G129" s="438" t="s">
        <v>65</v>
      </c>
      <c r="H129" s="438" t="s">
        <v>25949</v>
      </c>
    </row>
    <row r="130" spans="2:9" ht="11.25">
      <c r="B130" s="437">
        <v>45533</v>
      </c>
      <c r="C130" s="438" t="s">
        <v>86</v>
      </c>
      <c r="D130" s="438" t="s">
        <v>22</v>
      </c>
      <c r="E130" s="438">
        <v>5000</v>
      </c>
      <c r="F130" s="439" t="s">
        <v>25997</v>
      </c>
      <c r="G130" s="438" t="s">
        <v>65</v>
      </c>
      <c r="H130" s="438" t="s">
        <v>25949</v>
      </c>
    </row>
    <row r="131" spans="2:9" ht="11.25">
      <c r="B131" s="437">
        <v>45533</v>
      </c>
      <c r="C131" s="438" t="s">
        <v>86</v>
      </c>
      <c r="D131" s="438" t="s">
        <v>22</v>
      </c>
      <c r="E131" s="438">
        <v>5000</v>
      </c>
      <c r="F131" s="439" t="s">
        <v>26019</v>
      </c>
      <c r="G131" s="438" t="s">
        <v>65</v>
      </c>
      <c r="H131" s="438" t="s">
        <v>25949</v>
      </c>
    </row>
    <row r="132" spans="2:9" s="230" customFormat="1" ht="11.25">
      <c r="B132" s="188">
        <v>45533</v>
      </c>
      <c r="C132" s="162" t="s">
        <v>119</v>
      </c>
      <c r="D132" s="162" t="s">
        <v>7471</v>
      </c>
      <c r="E132" s="162">
        <v>1126034.1499999999</v>
      </c>
      <c r="F132" s="250" t="s">
        <v>26020</v>
      </c>
      <c r="G132" s="162" t="s">
        <v>7471</v>
      </c>
      <c r="H132" s="162" t="s">
        <v>25949</v>
      </c>
      <c r="I132" s="230" t="s">
        <v>25960</v>
      </c>
    </row>
    <row r="133" spans="2:9" ht="11.25">
      <c r="B133" s="188">
        <v>45533</v>
      </c>
      <c r="C133" s="162" t="s">
        <v>119</v>
      </c>
      <c r="D133" s="162" t="s">
        <v>26021</v>
      </c>
      <c r="E133" s="162">
        <v>15000</v>
      </c>
      <c r="F133" s="250" t="s">
        <v>26022</v>
      </c>
      <c r="G133" s="162" t="s">
        <v>65</v>
      </c>
      <c r="H133" s="162" t="s">
        <v>25949</v>
      </c>
      <c r="I133" t="s">
        <v>26023</v>
      </c>
    </row>
    <row r="134" spans="2:9" ht="11.25">
      <c r="B134" s="188">
        <v>45533</v>
      </c>
      <c r="C134" s="162" t="s">
        <v>120</v>
      </c>
      <c r="D134" s="162" t="s">
        <v>7471</v>
      </c>
      <c r="E134" s="162">
        <v>832038.75</v>
      </c>
      <c r="F134" s="250" t="s">
        <v>26024</v>
      </c>
      <c r="G134" s="162" t="s">
        <v>7471</v>
      </c>
      <c r="H134" s="162" t="s">
        <v>25949</v>
      </c>
      <c r="I134" s="230" t="s">
        <v>25960</v>
      </c>
    </row>
    <row r="135" spans="2:9" ht="11.25">
      <c r="B135" s="188">
        <v>45533</v>
      </c>
      <c r="C135" s="162" t="s">
        <v>120</v>
      </c>
      <c r="D135" s="162" t="s">
        <v>26021</v>
      </c>
      <c r="E135" s="162">
        <v>15000</v>
      </c>
      <c r="F135" s="250" t="s">
        <v>26022</v>
      </c>
      <c r="G135" s="162" t="s">
        <v>65</v>
      </c>
      <c r="H135" s="162" t="s">
        <v>25949</v>
      </c>
      <c r="I135" t="s">
        <v>26023</v>
      </c>
    </row>
    <row r="136" spans="2:9" ht="11.25">
      <c r="B136" s="437">
        <v>45533</v>
      </c>
      <c r="C136" s="438" t="s">
        <v>121</v>
      </c>
      <c r="D136" s="438" t="s">
        <v>55</v>
      </c>
      <c r="E136" s="438">
        <v>10000</v>
      </c>
      <c r="F136" s="439" t="s">
        <v>26025</v>
      </c>
      <c r="G136" s="438" t="s">
        <v>65</v>
      </c>
      <c r="H136" s="438" t="s">
        <v>25949</v>
      </c>
    </row>
    <row r="137" spans="2:9" ht="11.25">
      <c r="B137" s="437">
        <v>45533</v>
      </c>
      <c r="C137" s="438" t="s">
        <v>121</v>
      </c>
      <c r="D137" s="438" t="s">
        <v>22</v>
      </c>
      <c r="E137" s="438">
        <v>15000</v>
      </c>
      <c r="F137" s="439" t="s">
        <v>26026</v>
      </c>
      <c r="G137" s="438" t="s">
        <v>65</v>
      </c>
      <c r="H137" s="438" t="s">
        <v>25949</v>
      </c>
    </row>
    <row r="138" spans="2:9" ht="11.25">
      <c r="B138" s="437">
        <v>45533</v>
      </c>
      <c r="C138" s="438" t="s">
        <v>103</v>
      </c>
      <c r="D138" s="438" t="s">
        <v>55</v>
      </c>
      <c r="E138" s="438">
        <v>10000</v>
      </c>
      <c r="F138" s="439" t="s">
        <v>26022</v>
      </c>
      <c r="G138" s="438" t="s">
        <v>65</v>
      </c>
      <c r="H138" s="438" t="s">
        <v>25949</v>
      </c>
    </row>
    <row r="139" spans="2:9" ht="11.25">
      <c r="B139" s="437">
        <v>45533</v>
      </c>
      <c r="C139" s="438" t="s">
        <v>103</v>
      </c>
      <c r="D139" s="438" t="s">
        <v>26027</v>
      </c>
      <c r="E139" s="438">
        <v>1500</v>
      </c>
      <c r="F139" s="439" t="s">
        <v>26028</v>
      </c>
      <c r="G139" s="438" t="s">
        <v>65</v>
      </c>
      <c r="H139" s="438" t="s">
        <v>25949</v>
      </c>
    </row>
    <row r="140" spans="2:9" ht="11.25">
      <c r="B140" s="437">
        <v>45533</v>
      </c>
      <c r="C140" s="438" t="s">
        <v>103</v>
      </c>
      <c r="D140" s="438" t="s">
        <v>26027</v>
      </c>
      <c r="E140" s="438">
        <v>1500</v>
      </c>
      <c r="F140" s="439" t="s">
        <v>26029</v>
      </c>
      <c r="G140" s="438" t="s">
        <v>65</v>
      </c>
      <c r="H140" s="438" t="s">
        <v>25949</v>
      </c>
    </row>
    <row r="141" spans="2:9" ht="11.25">
      <c r="B141" s="437">
        <v>45533</v>
      </c>
      <c r="C141" s="438" t="s">
        <v>103</v>
      </c>
      <c r="D141" s="438" t="s">
        <v>26027</v>
      </c>
      <c r="E141" s="438">
        <v>6000</v>
      </c>
      <c r="F141" s="439" t="s">
        <v>26030</v>
      </c>
      <c r="G141" s="438" t="s">
        <v>65</v>
      </c>
      <c r="H141" s="438" t="s">
        <v>25949</v>
      </c>
    </row>
    <row r="142" spans="2:9" ht="11.25">
      <c r="B142" s="437">
        <v>45533</v>
      </c>
      <c r="C142" s="438" t="s">
        <v>103</v>
      </c>
      <c r="D142" s="438" t="s">
        <v>71</v>
      </c>
      <c r="E142" s="438">
        <v>44000</v>
      </c>
      <c r="F142" s="439" t="s">
        <v>26031</v>
      </c>
      <c r="G142" s="438" t="s">
        <v>65</v>
      </c>
      <c r="H142" s="438" t="s">
        <v>25949</v>
      </c>
    </row>
    <row r="143" spans="2:9" ht="11.25">
      <c r="B143" s="437">
        <v>45533</v>
      </c>
      <c r="C143" s="438" t="s">
        <v>103</v>
      </c>
      <c r="D143" s="438" t="s">
        <v>26027</v>
      </c>
      <c r="E143" s="438">
        <v>500</v>
      </c>
      <c r="F143" s="439" t="s">
        <v>26032</v>
      </c>
      <c r="G143" s="438" t="s">
        <v>65</v>
      </c>
      <c r="H143" s="438" t="s">
        <v>25949</v>
      </c>
    </row>
    <row r="144" spans="2:9" ht="11.25">
      <c r="B144" s="437">
        <v>45533</v>
      </c>
      <c r="C144" s="438" t="s">
        <v>104</v>
      </c>
      <c r="D144" s="438" t="s">
        <v>22</v>
      </c>
      <c r="E144" s="438">
        <v>20000</v>
      </c>
      <c r="F144" s="439" t="s">
        <v>26033</v>
      </c>
      <c r="G144" s="438" t="s">
        <v>65</v>
      </c>
      <c r="H144" s="438" t="s">
        <v>25949</v>
      </c>
    </row>
    <row r="145" spans="2:8" ht="11.25">
      <c r="B145" s="437">
        <v>45533</v>
      </c>
      <c r="C145" s="438" t="s">
        <v>104</v>
      </c>
      <c r="D145" s="438" t="s">
        <v>55</v>
      </c>
      <c r="E145" s="438">
        <v>10000</v>
      </c>
      <c r="F145" s="439" t="s">
        <v>26022</v>
      </c>
      <c r="G145" s="438" t="s">
        <v>65</v>
      </c>
      <c r="H145" s="438" t="s">
        <v>25949</v>
      </c>
    </row>
    <row r="146" spans="2:8" ht="11.25">
      <c r="B146" s="437">
        <v>45533</v>
      </c>
      <c r="C146" s="438" t="s">
        <v>104</v>
      </c>
      <c r="D146" s="438" t="s">
        <v>26027</v>
      </c>
      <c r="E146" s="438">
        <v>1500</v>
      </c>
      <c r="F146" s="439" t="s">
        <v>26028</v>
      </c>
      <c r="G146" s="438" t="s">
        <v>65</v>
      </c>
      <c r="H146" s="438" t="s">
        <v>25949</v>
      </c>
    </row>
    <row r="147" spans="2:8" ht="11.25">
      <c r="B147" s="437">
        <v>45533</v>
      </c>
      <c r="C147" s="438" t="s">
        <v>104</v>
      </c>
      <c r="D147" s="438" t="s">
        <v>26027</v>
      </c>
      <c r="E147" s="438">
        <v>1500</v>
      </c>
      <c r="F147" s="439" t="s">
        <v>26029</v>
      </c>
      <c r="G147" s="438" t="s">
        <v>65</v>
      </c>
      <c r="H147" s="438" t="s">
        <v>25949</v>
      </c>
    </row>
    <row r="148" spans="2:8" ht="11.25">
      <c r="B148" s="437">
        <v>45533</v>
      </c>
      <c r="C148" s="438" t="s">
        <v>104</v>
      </c>
      <c r="D148" s="438" t="s">
        <v>71</v>
      </c>
      <c r="E148" s="438">
        <v>120000</v>
      </c>
      <c r="F148" s="439" t="s">
        <v>26034</v>
      </c>
      <c r="G148" s="438" t="s">
        <v>65</v>
      </c>
      <c r="H148" s="438" t="s">
        <v>25949</v>
      </c>
    </row>
    <row r="149" spans="2:8" ht="11.25">
      <c r="B149" s="437">
        <v>45533</v>
      </c>
      <c r="C149" s="438" t="s">
        <v>104</v>
      </c>
      <c r="D149" s="438" t="s">
        <v>26027</v>
      </c>
      <c r="E149" s="438">
        <v>500</v>
      </c>
      <c r="F149" s="439" t="s">
        <v>26032</v>
      </c>
      <c r="G149" s="438" t="s">
        <v>65</v>
      </c>
      <c r="H149" s="438" t="s">
        <v>25949</v>
      </c>
    </row>
    <row r="150" spans="2:8" ht="11.25">
      <c r="B150" s="437">
        <v>45533</v>
      </c>
      <c r="C150" s="438" t="s">
        <v>107</v>
      </c>
      <c r="D150" s="438" t="s">
        <v>55</v>
      </c>
      <c r="E150" s="438">
        <v>10000</v>
      </c>
      <c r="F150" s="439" t="s">
        <v>26022</v>
      </c>
      <c r="G150" s="438" t="s">
        <v>65</v>
      </c>
      <c r="H150" s="438" t="s">
        <v>25949</v>
      </c>
    </row>
    <row r="151" spans="2:8" ht="11.25">
      <c r="B151" s="437">
        <v>45533</v>
      </c>
      <c r="C151" s="438" t="s">
        <v>107</v>
      </c>
      <c r="D151" s="438" t="s">
        <v>26027</v>
      </c>
      <c r="E151" s="438">
        <v>1500</v>
      </c>
      <c r="F151" s="439" t="s">
        <v>26028</v>
      </c>
      <c r="G151" s="438" t="s">
        <v>65</v>
      </c>
      <c r="H151" s="438" t="s">
        <v>25949</v>
      </c>
    </row>
    <row r="152" spans="2:8" ht="11.25">
      <c r="B152" s="437">
        <v>45533</v>
      </c>
      <c r="C152" s="438" t="s">
        <v>107</v>
      </c>
      <c r="D152" s="438" t="s">
        <v>26027</v>
      </c>
      <c r="E152" s="438">
        <v>1500</v>
      </c>
      <c r="F152" s="439" t="s">
        <v>26029</v>
      </c>
      <c r="G152" s="438" t="s">
        <v>65</v>
      </c>
      <c r="H152" s="438" t="s">
        <v>25949</v>
      </c>
    </row>
    <row r="153" spans="2:8" ht="11.25">
      <c r="B153" s="437">
        <v>45533</v>
      </c>
      <c r="C153" s="438" t="s">
        <v>107</v>
      </c>
      <c r="D153" s="438" t="s">
        <v>7471</v>
      </c>
      <c r="E153" s="438">
        <v>20000</v>
      </c>
      <c r="F153" s="439" t="s">
        <v>26035</v>
      </c>
      <c r="G153" s="438" t="s">
        <v>65</v>
      </c>
      <c r="H153" s="438" t="s">
        <v>25949</v>
      </c>
    </row>
    <row r="154" spans="2:8" ht="11.25">
      <c r="B154" s="437">
        <v>45533</v>
      </c>
      <c r="C154" s="438" t="s">
        <v>107</v>
      </c>
      <c r="D154" s="438" t="s">
        <v>26027</v>
      </c>
      <c r="E154" s="438">
        <v>500</v>
      </c>
      <c r="F154" s="439" t="s">
        <v>26032</v>
      </c>
      <c r="G154" s="438" t="s">
        <v>65</v>
      </c>
      <c r="H154" s="438" t="s">
        <v>25949</v>
      </c>
    </row>
    <row r="155" spans="2:8" ht="11.25">
      <c r="B155" s="437">
        <v>45533</v>
      </c>
      <c r="C155" s="438" t="s">
        <v>25910</v>
      </c>
      <c r="D155" s="438" t="s">
        <v>7471</v>
      </c>
      <c r="E155" s="438">
        <v>400000</v>
      </c>
      <c r="F155" s="439" t="s">
        <v>26036</v>
      </c>
      <c r="G155" s="438" t="s">
        <v>65</v>
      </c>
      <c r="H155" s="438" t="s">
        <v>25949</v>
      </c>
    </row>
    <row r="156" spans="2:8" s="440" customFormat="1" ht="11.25">
      <c r="B156" s="437">
        <v>45533</v>
      </c>
      <c r="C156" s="438" t="s">
        <v>25910</v>
      </c>
      <c r="D156" s="438" t="s">
        <v>26027</v>
      </c>
      <c r="E156" s="438">
        <v>1500</v>
      </c>
      <c r="F156" s="439" t="s">
        <v>26028</v>
      </c>
      <c r="G156" s="438" t="s">
        <v>65</v>
      </c>
      <c r="H156" s="438" t="s">
        <v>25949</v>
      </c>
    </row>
    <row r="157" spans="2:8" s="440" customFormat="1" ht="11.25">
      <c r="B157" s="437">
        <v>45533</v>
      </c>
      <c r="C157" s="438" t="s">
        <v>25910</v>
      </c>
      <c r="D157" s="438" t="s">
        <v>26027</v>
      </c>
      <c r="E157" s="438">
        <v>1500</v>
      </c>
      <c r="F157" s="439" t="s">
        <v>26029</v>
      </c>
      <c r="G157" s="438" t="s">
        <v>65</v>
      </c>
      <c r="H157" s="438" t="s">
        <v>25949</v>
      </c>
    </row>
    <row r="158" spans="2:8" s="440" customFormat="1" ht="11.25">
      <c r="B158" s="437">
        <v>45533</v>
      </c>
      <c r="C158" s="438" t="s">
        <v>25910</v>
      </c>
      <c r="D158" s="438" t="s">
        <v>71</v>
      </c>
      <c r="E158" s="438">
        <v>44000</v>
      </c>
      <c r="F158" s="439" t="s">
        <v>26037</v>
      </c>
      <c r="G158" s="438" t="s">
        <v>65</v>
      </c>
      <c r="H158" s="438" t="s">
        <v>25949</v>
      </c>
    </row>
    <row r="159" spans="2:8" s="440" customFormat="1" ht="11.25">
      <c r="B159" s="437">
        <v>45533</v>
      </c>
      <c r="C159" s="438" t="s">
        <v>25910</v>
      </c>
      <c r="D159" s="438" t="s">
        <v>26027</v>
      </c>
      <c r="E159" s="438">
        <v>500</v>
      </c>
      <c r="F159" s="439" t="s">
        <v>26032</v>
      </c>
      <c r="G159" s="438" t="s">
        <v>65</v>
      </c>
      <c r="H159" s="438" t="s">
        <v>25949</v>
      </c>
    </row>
    <row r="160" spans="2:8" s="440" customFormat="1" ht="11.25">
      <c r="B160" s="437">
        <v>45533</v>
      </c>
      <c r="C160" s="438" t="s">
        <v>25910</v>
      </c>
      <c r="D160" s="438" t="s">
        <v>22</v>
      </c>
      <c r="E160" s="438">
        <v>5000</v>
      </c>
      <c r="F160" s="439" t="s">
        <v>26038</v>
      </c>
      <c r="G160" s="438" t="s">
        <v>65</v>
      </c>
      <c r="H160" s="438" t="s">
        <v>25949</v>
      </c>
    </row>
    <row r="161" spans="2:10" s="440" customFormat="1" ht="11.25">
      <c r="B161" s="437">
        <v>45533</v>
      </c>
      <c r="C161" s="438" t="s">
        <v>97</v>
      </c>
      <c r="D161" s="438" t="s">
        <v>22</v>
      </c>
      <c r="E161" s="438">
        <v>10000</v>
      </c>
      <c r="F161" s="439" t="s">
        <v>26039</v>
      </c>
      <c r="G161" s="438" t="s">
        <v>65</v>
      </c>
      <c r="H161" s="438" t="s">
        <v>25949</v>
      </c>
    </row>
    <row r="162" spans="2:10" s="440" customFormat="1" ht="11.25">
      <c r="B162" s="437">
        <v>45533</v>
      </c>
      <c r="C162" s="438" t="s">
        <v>97</v>
      </c>
      <c r="D162" s="438" t="s">
        <v>26027</v>
      </c>
      <c r="E162" s="438">
        <v>1500</v>
      </c>
      <c r="F162" s="439" t="s">
        <v>26028</v>
      </c>
      <c r="G162" s="438" t="s">
        <v>65</v>
      </c>
      <c r="H162" s="438" t="s">
        <v>25949</v>
      </c>
    </row>
    <row r="163" spans="2:10" s="440" customFormat="1" ht="11.25">
      <c r="B163" s="437">
        <v>45533</v>
      </c>
      <c r="C163" s="438" t="s">
        <v>97</v>
      </c>
      <c r="D163" s="438" t="s">
        <v>26027</v>
      </c>
      <c r="E163" s="438">
        <v>1500</v>
      </c>
      <c r="F163" s="439" t="s">
        <v>26029</v>
      </c>
      <c r="G163" s="438" t="s">
        <v>65</v>
      </c>
      <c r="H163" s="438" t="s">
        <v>25949</v>
      </c>
    </row>
    <row r="164" spans="2:10" s="440" customFormat="1" ht="11.25">
      <c r="B164" s="437">
        <v>45533</v>
      </c>
      <c r="C164" s="438" t="s">
        <v>97</v>
      </c>
      <c r="D164" s="438" t="s">
        <v>57</v>
      </c>
      <c r="E164" s="438">
        <v>52006</v>
      </c>
      <c r="F164" s="439" t="s">
        <v>26040</v>
      </c>
      <c r="G164" s="438" t="s">
        <v>65</v>
      </c>
      <c r="H164" s="438" t="s">
        <v>25949</v>
      </c>
    </row>
    <row r="165" spans="2:10" s="440" customFormat="1" ht="11.25">
      <c r="B165" s="437">
        <v>45533</v>
      </c>
      <c r="C165" s="438" t="s">
        <v>97</v>
      </c>
      <c r="D165" s="438" t="s">
        <v>55</v>
      </c>
      <c r="E165" s="438">
        <v>10000</v>
      </c>
      <c r="F165" s="439" t="s">
        <v>26022</v>
      </c>
      <c r="G165" s="438" t="s">
        <v>65</v>
      </c>
      <c r="H165" s="438" t="s">
        <v>25949</v>
      </c>
    </row>
    <row r="166" spans="2:10" s="440" customFormat="1" ht="11.25">
      <c r="B166" s="437">
        <v>45533</v>
      </c>
      <c r="C166" s="438" t="s">
        <v>97</v>
      </c>
      <c r="D166" s="438" t="s">
        <v>71</v>
      </c>
      <c r="E166" s="438">
        <v>66000</v>
      </c>
      <c r="F166" s="439" t="s">
        <v>26041</v>
      </c>
      <c r="G166" s="438" t="s">
        <v>65</v>
      </c>
      <c r="H166" s="438" t="s">
        <v>25949</v>
      </c>
    </row>
    <row r="167" spans="2:10" s="440" customFormat="1" ht="11.25">
      <c r="B167" s="437">
        <v>45533</v>
      </c>
      <c r="C167" s="438" t="s">
        <v>97</v>
      </c>
      <c r="D167" s="438" t="s">
        <v>26027</v>
      </c>
      <c r="E167" s="438">
        <v>500</v>
      </c>
      <c r="F167" s="439" t="s">
        <v>26032</v>
      </c>
      <c r="G167" s="438" t="s">
        <v>65</v>
      </c>
      <c r="H167" s="438" t="s">
        <v>25949</v>
      </c>
    </row>
    <row r="168" spans="2:10" s="440" customFormat="1" ht="11.25">
      <c r="B168" s="437">
        <v>45533</v>
      </c>
      <c r="C168" s="438" t="s">
        <v>112</v>
      </c>
      <c r="D168" s="438" t="s">
        <v>22</v>
      </c>
      <c r="E168" s="438">
        <v>5500</v>
      </c>
      <c r="F168" s="439" t="s">
        <v>26042</v>
      </c>
      <c r="G168" s="438" t="s">
        <v>65</v>
      </c>
      <c r="H168" s="438" t="s">
        <v>25949</v>
      </c>
    </row>
    <row r="169" spans="2:10" s="440" customFormat="1" ht="11.25">
      <c r="B169" s="437">
        <v>45533</v>
      </c>
      <c r="C169" s="438" t="s">
        <v>112</v>
      </c>
      <c r="D169" s="438" t="s">
        <v>55</v>
      </c>
      <c r="E169" s="438">
        <v>5000</v>
      </c>
      <c r="F169" s="439" t="s">
        <v>26043</v>
      </c>
      <c r="G169" s="438" t="s">
        <v>65</v>
      </c>
      <c r="H169" s="438" t="s">
        <v>25949</v>
      </c>
    </row>
    <row r="170" spans="2:10" s="440" customFormat="1" ht="11.25">
      <c r="B170" s="437">
        <v>45533</v>
      </c>
      <c r="C170" s="438" t="s">
        <v>112</v>
      </c>
      <c r="D170" s="438" t="s">
        <v>26027</v>
      </c>
      <c r="E170" s="438">
        <v>1500</v>
      </c>
      <c r="F170" s="439" t="s">
        <v>26028</v>
      </c>
      <c r="G170" s="438" t="s">
        <v>65</v>
      </c>
      <c r="H170" s="438" t="s">
        <v>25949</v>
      </c>
    </row>
    <row r="171" spans="2:10" s="440" customFormat="1" ht="11.25">
      <c r="B171" s="437">
        <v>45533</v>
      </c>
      <c r="C171" s="438" t="s">
        <v>112</v>
      </c>
      <c r="D171" s="438" t="s">
        <v>26027</v>
      </c>
      <c r="E171" s="438">
        <v>1500</v>
      </c>
      <c r="F171" s="439" t="s">
        <v>26029</v>
      </c>
      <c r="G171" s="438" t="s">
        <v>65</v>
      </c>
      <c r="H171" s="438" t="s">
        <v>25949</v>
      </c>
    </row>
    <row r="172" spans="2:10" s="440" customFormat="1" ht="11.25">
      <c r="B172" s="437">
        <v>45533</v>
      </c>
      <c r="C172" s="438" t="s">
        <v>112</v>
      </c>
      <c r="D172" s="438" t="s">
        <v>71</v>
      </c>
      <c r="E172" s="438">
        <v>68858</v>
      </c>
      <c r="F172" s="439" t="s">
        <v>26034</v>
      </c>
      <c r="G172" s="438" t="s">
        <v>65</v>
      </c>
      <c r="H172" s="438" t="s">
        <v>25949</v>
      </c>
    </row>
    <row r="173" spans="2:10" s="440" customFormat="1" ht="11.25">
      <c r="B173" s="437">
        <v>45533</v>
      </c>
      <c r="C173" s="438" t="s">
        <v>112</v>
      </c>
      <c r="D173" s="438" t="s">
        <v>26027</v>
      </c>
      <c r="E173" s="438">
        <v>500</v>
      </c>
      <c r="F173" s="439" t="s">
        <v>26044</v>
      </c>
      <c r="G173" s="438" t="s">
        <v>65</v>
      </c>
      <c r="H173" s="438" t="s">
        <v>25949</v>
      </c>
    </row>
    <row r="174" spans="2:10" ht="11.25">
      <c r="B174" s="437">
        <v>45533</v>
      </c>
      <c r="C174" s="438" t="s">
        <v>112</v>
      </c>
      <c r="D174" s="438" t="s">
        <v>22</v>
      </c>
      <c r="E174" s="438">
        <v>20000</v>
      </c>
      <c r="F174" s="439" t="s">
        <v>26045</v>
      </c>
      <c r="G174" s="438" t="s">
        <v>65</v>
      </c>
      <c r="H174" s="438" t="s">
        <v>25949</v>
      </c>
      <c r="J174" s="249">
        <f>J167+J156</f>
        <v>0</v>
      </c>
    </row>
    <row r="175" spans="2:10" s="440" customFormat="1" ht="11.25">
      <c r="B175" s="437">
        <v>45533</v>
      </c>
      <c r="C175" s="438" t="s">
        <v>122</v>
      </c>
      <c r="D175" s="438" t="s">
        <v>22</v>
      </c>
      <c r="E175" s="438">
        <v>20000</v>
      </c>
      <c r="F175" s="439" t="s">
        <v>26046</v>
      </c>
      <c r="G175" s="438" t="s">
        <v>65</v>
      </c>
      <c r="H175" s="438" t="s">
        <v>25949</v>
      </c>
    </row>
    <row r="176" spans="2:10" s="440" customFormat="1" ht="11.25">
      <c r="B176" s="188">
        <v>45533</v>
      </c>
      <c r="C176" s="162" t="s">
        <v>122</v>
      </c>
      <c r="D176" s="152" t="s">
        <v>59</v>
      </c>
      <c r="E176" s="162">
        <v>143748.4</v>
      </c>
      <c r="F176" s="250" t="s">
        <v>26047</v>
      </c>
      <c r="G176" s="162" t="s">
        <v>65</v>
      </c>
      <c r="H176" s="162" t="s">
        <v>26048</v>
      </c>
    </row>
    <row r="177" spans="2:8" s="440" customFormat="1" ht="11.25">
      <c r="B177" s="437">
        <v>45533</v>
      </c>
      <c r="C177" s="438" t="s">
        <v>122</v>
      </c>
      <c r="D177" s="438" t="s">
        <v>7471</v>
      </c>
      <c r="E177" s="438">
        <v>30000</v>
      </c>
      <c r="F177" s="439" t="s">
        <v>26049</v>
      </c>
      <c r="G177" s="438" t="s">
        <v>65</v>
      </c>
      <c r="H177" s="438" t="s">
        <v>25949</v>
      </c>
    </row>
    <row r="178" spans="2:8" s="440" customFormat="1" ht="11.25">
      <c r="B178" s="437">
        <v>45533</v>
      </c>
      <c r="C178" s="438" t="s">
        <v>122</v>
      </c>
      <c r="D178" s="438" t="s">
        <v>22</v>
      </c>
      <c r="E178" s="438">
        <v>15000</v>
      </c>
      <c r="F178" s="439" t="s">
        <v>26038</v>
      </c>
      <c r="G178" s="438" t="s">
        <v>65</v>
      </c>
      <c r="H178" s="438" t="s">
        <v>25949</v>
      </c>
    </row>
    <row r="179" spans="2:8" s="440" customFormat="1" ht="11.25">
      <c r="B179" s="437">
        <v>45533</v>
      </c>
      <c r="C179" s="438" t="s">
        <v>122</v>
      </c>
      <c r="D179" s="438" t="s">
        <v>71</v>
      </c>
      <c r="E179" s="438">
        <v>68874.36</v>
      </c>
      <c r="F179" s="439" t="s">
        <v>26034</v>
      </c>
      <c r="G179" s="438" t="s">
        <v>65</v>
      </c>
      <c r="H179" s="438" t="s">
        <v>25949</v>
      </c>
    </row>
    <row r="180" spans="2:8" s="440" customFormat="1" ht="11.25">
      <c r="B180" s="437">
        <v>45533</v>
      </c>
      <c r="C180" s="438" t="s">
        <v>122</v>
      </c>
      <c r="D180" s="438" t="s">
        <v>71</v>
      </c>
      <c r="E180" s="438">
        <v>66000</v>
      </c>
      <c r="F180" s="439" t="s">
        <v>26041</v>
      </c>
      <c r="G180" s="438" t="s">
        <v>65</v>
      </c>
      <c r="H180" s="438" t="s">
        <v>25949</v>
      </c>
    </row>
    <row r="181" spans="2:8" s="440" customFormat="1" ht="11.25">
      <c r="B181" s="437">
        <v>45533</v>
      </c>
      <c r="C181" s="438" t="s">
        <v>122</v>
      </c>
      <c r="D181" s="438" t="s">
        <v>22</v>
      </c>
      <c r="E181" s="438">
        <v>9000</v>
      </c>
      <c r="F181" s="439" t="s">
        <v>26050</v>
      </c>
      <c r="G181" s="438" t="s">
        <v>65</v>
      </c>
      <c r="H181" s="438" t="s">
        <v>25949</v>
      </c>
    </row>
    <row r="182" spans="2:8" s="440" customFormat="1" ht="11.25">
      <c r="B182" s="437">
        <v>45533</v>
      </c>
      <c r="C182" s="438" t="s">
        <v>122</v>
      </c>
      <c r="D182" s="438" t="s">
        <v>22</v>
      </c>
      <c r="E182" s="438">
        <v>15000</v>
      </c>
      <c r="F182" s="439" t="s">
        <v>26051</v>
      </c>
      <c r="G182" s="438" t="s">
        <v>65</v>
      </c>
      <c r="H182" s="438" t="s">
        <v>25949</v>
      </c>
    </row>
    <row r="183" spans="2:8" s="440" customFormat="1" ht="11.25">
      <c r="B183" s="437">
        <v>45533</v>
      </c>
      <c r="C183" s="438" t="s">
        <v>122</v>
      </c>
      <c r="D183" s="438" t="s">
        <v>22</v>
      </c>
      <c r="E183" s="438">
        <v>30000</v>
      </c>
      <c r="F183" s="439" t="s">
        <v>26052</v>
      </c>
      <c r="G183" s="438" t="s">
        <v>65</v>
      </c>
      <c r="H183" s="438" t="s">
        <v>25949</v>
      </c>
    </row>
    <row r="184" spans="2:8" s="440" customFormat="1" ht="11.25">
      <c r="B184" s="437">
        <v>45533</v>
      </c>
      <c r="C184" s="438" t="s">
        <v>123</v>
      </c>
      <c r="D184" s="438" t="s">
        <v>22</v>
      </c>
      <c r="E184" s="438">
        <v>15000</v>
      </c>
      <c r="F184" s="439" t="s">
        <v>26053</v>
      </c>
      <c r="G184" s="438" t="s">
        <v>65</v>
      </c>
      <c r="H184" s="438" t="s">
        <v>25949</v>
      </c>
    </row>
    <row r="185" spans="2:8" s="440" customFormat="1" ht="11.25">
      <c r="B185" s="437">
        <v>45533</v>
      </c>
      <c r="C185" s="438" t="s">
        <v>123</v>
      </c>
      <c r="D185" s="438" t="s">
        <v>22</v>
      </c>
      <c r="E185" s="438">
        <v>50000</v>
      </c>
      <c r="F185" s="439" t="s">
        <v>26054</v>
      </c>
      <c r="G185" s="438" t="s">
        <v>65</v>
      </c>
      <c r="H185" s="438" t="s">
        <v>25949</v>
      </c>
    </row>
    <row r="186" spans="2:8" s="440" customFormat="1" ht="11.25">
      <c r="B186" s="437">
        <v>45533</v>
      </c>
      <c r="C186" s="438" t="s">
        <v>123</v>
      </c>
      <c r="D186" s="438" t="s">
        <v>71</v>
      </c>
      <c r="E186" s="438">
        <v>22958.12</v>
      </c>
      <c r="F186" s="439" t="s">
        <v>26055</v>
      </c>
      <c r="G186" s="438" t="s">
        <v>65</v>
      </c>
      <c r="H186" s="438" t="s">
        <v>25949</v>
      </c>
    </row>
    <row r="187" spans="2:8" s="440" customFormat="1" ht="11.25">
      <c r="B187" s="437">
        <v>45533</v>
      </c>
      <c r="C187" s="438" t="s">
        <v>123</v>
      </c>
      <c r="D187" s="438" t="s">
        <v>22</v>
      </c>
      <c r="E187" s="438">
        <v>3000</v>
      </c>
      <c r="F187" s="439" t="s">
        <v>26056</v>
      </c>
      <c r="G187" s="438" t="s">
        <v>65</v>
      </c>
      <c r="H187" s="438" t="s">
        <v>25949</v>
      </c>
    </row>
    <row r="188" spans="2:8" s="440" customFormat="1" ht="11.25">
      <c r="B188" s="437">
        <v>45533</v>
      </c>
      <c r="C188" s="438" t="s">
        <v>123</v>
      </c>
      <c r="D188" s="438" t="s">
        <v>71</v>
      </c>
      <c r="E188" s="438">
        <v>66000</v>
      </c>
      <c r="F188" s="439" t="s">
        <v>26057</v>
      </c>
      <c r="G188" s="438" t="s">
        <v>65</v>
      </c>
      <c r="H188" s="438" t="s">
        <v>25949</v>
      </c>
    </row>
    <row r="189" spans="2:8" s="440" customFormat="1" ht="11.25">
      <c r="B189" s="437">
        <v>45533</v>
      </c>
      <c r="C189" s="438" t="s">
        <v>123</v>
      </c>
      <c r="D189" s="438" t="s">
        <v>22</v>
      </c>
      <c r="E189" s="438">
        <v>13000</v>
      </c>
      <c r="F189" s="439" t="s">
        <v>26058</v>
      </c>
      <c r="G189" s="438" t="s">
        <v>65</v>
      </c>
      <c r="H189" s="438" t="s">
        <v>25949</v>
      </c>
    </row>
    <row r="190" spans="2:8" s="440" customFormat="1" ht="11.25">
      <c r="B190" s="437">
        <v>45533</v>
      </c>
      <c r="C190" s="438" t="s">
        <v>123</v>
      </c>
      <c r="D190" s="438" t="s">
        <v>22</v>
      </c>
      <c r="E190" s="438">
        <v>15000</v>
      </c>
      <c r="F190" s="439" t="s">
        <v>26059</v>
      </c>
      <c r="G190" s="438" t="s">
        <v>65</v>
      </c>
      <c r="H190" s="438" t="s">
        <v>25949</v>
      </c>
    </row>
    <row r="191" spans="2:8" s="440" customFormat="1" ht="11.25">
      <c r="B191" s="437">
        <v>45533</v>
      </c>
      <c r="C191" s="438" t="s">
        <v>123</v>
      </c>
      <c r="D191" s="438" t="s">
        <v>22</v>
      </c>
      <c r="E191" s="438">
        <v>10000</v>
      </c>
      <c r="F191" s="439" t="s">
        <v>26060</v>
      </c>
      <c r="G191" s="438" t="s">
        <v>65</v>
      </c>
      <c r="H191" s="438" t="s">
        <v>25949</v>
      </c>
    </row>
    <row r="192" spans="2:8" s="440" customFormat="1" ht="11.25">
      <c r="B192" s="437">
        <v>45533</v>
      </c>
      <c r="C192" s="438" t="s">
        <v>123</v>
      </c>
      <c r="D192" s="438" t="s">
        <v>7471</v>
      </c>
      <c r="E192" s="438">
        <v>12000</v>
      </c>
      <c r="F192" s="439" t="s">
        <v>26061</v>
      </c>
      <c r="G192" s="438" t="s">
        <v>65</v>
      </c>
      <c r="H192" s="438" t="s">
        <v>25949</v>
      </c>
    </row>
    <row r="193" spans="2:8" ht="11.25">
      <c r="B193" s="437">
        <v>45533</v>
      </c>
      <c r="C193" s="438" t="s">
        <v>88</v>
      </c>
      <c r="D193" s="438" t="s">
        <v>22</v>
      </c>
      <c r="E193" s="438">
        <v>55698</v>
      </c>
      <c r="F193" s="439" t="s">
        <v>26062</v>
      </c>
      <c r="G193" s="438" t="s">
        <v>65</v>
      </c>
      <c r="H193" s="438" t="s">
        <v>25949</v>
      </c>
    </row>
    <row r="194" spans="2:8" s="440" customFormat="1" ht="11.25">
      <c r="B194" s="437">
        <v>45533</v>
      </c>
      <c r="C194" s="438" t="s">
        <v>88</v>
      </c>
      <c r="D194" s="438" t="s">
        <v>26027</v>
      </c>
      <c r="E194" s="438">
        <v>1500</v>
      </c>
      <c r="F194" s="439" t="s">
        <v>26063</v>
      </c>
      <c r="G194" s="438" t="s">
        <v>65</v>
      </c>
      <c r="H194" s="438" t="s">
        <v>25949</v>
      </c>
    </row>
    <row r="195" spans="2:8" s="440" customFormat="1" ht="11.25">
      <c r="B195" s="437">
        <v>45533</v>
      </c>
      <c r="C195" s="438" t="s">
        <v>88</v>
      </c>
      <c r="D195" s="438" t="s">
        <v>26027</v>
      </c>
      <c r="E195" s="438">
        <v>1500</v>
      </c>
      <c r="F195" s="439" t="s">
        <v>26064</v>
      </c>
      <c r="G195" s="438" t="s">
        <v>65</v>
      </c>
      <c r="H195" s="438" t="s">
        <v>25949</v>
      </c>
    </row>
    <row r="196" spans="2:8" s="440" customFormat="1" ht="11.25">
      <c r="B196" s="437">
        <v>45533</v>
      </c>
      <c r="C196" s="438" t="s">
        <v>88</v>
      </c>
      <c r="D196" s="438" t="s">
        <v>22</v>
      </c>
      <c r="E196" s="438">
        <v>15000</v>
      </c>
      <c r="F196" s="439" t="s">
        <v>26065</v>
      </c>
      <c r="G196" s="438" t="s">
        <v>65</v>
      </c>
      <c r="H196" s="438" t="s">
        <v>25949</v>
      </c>
    </row>
    <row r="197" spans="2:8" s="440" customFormat="1" ht="11.25">
      <c r="B197" s="437">
        <v>45533</v>
      </c>
      <c r="C197" s="438" t="s">
        <v>88</v>
      </c>
      <c r="D197" s="438" t="s">
        <v>22</v>
      </c>
      <c r="E197" s="438">
        <v>5000</v>
      </c>
      <c r="F197" s="439" t="s">
        <v>26066</v>
      </c>
      <c r="G197" s="438" t="s">
        <v>65</v>
      </c>
      <c r="H197" s="438" t="s">
        <v>25949</v>
      </c>
    </row>
    <row r="198" spans="2:8" s="440" customFormat="1" ht="11.25">
      <c r="B198" s="437">
        <v>45533</v>
      </c>
      <c r="C198" s="438" t="s">
        <v>88</v>
      </c>
      <c r="D198" s="438" t="s">
        <v>71</v>
      </c>
      <c r="E198" s="438">
        <v>22958.12</v>
      </c>
      <c r="F198" s="439" t="s">
        <v>26055</v>
      </c>
      <c r="G198" s="438" t="s">
        <v>65</v>
      </c>
      <c r="H198" s="438" t="s">
        <v>25949</v>
      </c>
    </row>
    <row r="199" spans="2:8" s="440" customFormat="1" ht="11.25">
      <c r="B199" s="437">
        <v>45533</v>
      </c>
      <c r="C199" s="438" t="s">
        <v>88</v>
      </c>
      <c r="D199" s="438" t="s">
        <v>71</v>
      </c>
      <c r="E199" s="438">
        <v>44000</v>
      </c>
      <c r="F199" s="439" t="s">
        <v>26057</v>
      </c>
      <c r="G199" s="438" t="s">
        <v>65</v>
      </c>
      <c r="H199" s="438" t="s">
        <v>25949</v>
      </c>
    </row>
    <row r="200" spans="2:8" s="440" customFormat="1" ht="11.25">
      <c r="B200" s="437">
        <v>45533</v>
      </c>
      <c r="C200" s="438" t="s">
        <v>88</v>
      </c>
      <c r="D200" s="438" t="s">
        <v>22</v>
      </c>
      <c r="E200" s="438">
        <v>15000</v>
      </c>
      <c r="F200" s="439" t="s">
        <v>26059</v>
      </c>
      <c r="G200" s="438" t="s">
        <v>65</v>
      </c>
      <c r="H200" s="438" t="s">
        <v>25949</v>
      </c>
    </row>
    <row r="201" spans="2:8" s="440" customFormat="1" ht="11.25">
      <c r="B201" s="437">
        <v>45533</v>
      </c>
      <c r="C201" s="438" t="s">
        <v>88</v>
      </c>
      <c r="D201" s="438" t="s">
        <v>22</v>
      </c>
      <c r="E201" s="438">
        <v>20000</v>
      </c>
      <c r="F201" s="439" t="s">
        <v>26054</v>
      </c>
      <c r="G201" s="438" t="s">
        <v>65</v>
      </c>
      <c r="H201" s="438" t="s">
        <v>25949</v>
      </c>
    </row>
    <row r="202" spans="2:8" s="440" customFormat="1" ht="11.25">
      <c r="B202" s="437">
        <v>45533</v>
      </c>
      <c r="C202" s="438" t="s">
        <v>93</v>
      </c>
      <c r="D202" s="438" t="s">
        <v>71</v>
      </c>
      <c r="E202" s="438">
        <v>34500</v>
      </c>
      <c r="F202" s="439" t="s">
        <v>26067</v>
      </c>
      <c r="G202" s="438" t="s">
        <v>65</v>
      </c>
      <c r="H202" s="438" t="s">
        <v>25949</v>
      </c>
    </row>
    <row r="203" spans="2:8" s="440" customFormat="1" ht="11.25">
      <c r="B203" s="437">
        <v>45533</v>
      </c>
      <c r="C203" s="438" t="s">
        <v>95</v>
      </c>
      <c r="D203" s="438" t="s">
        <v>71</v>
      </c>
      <c r="E203" s="438">
        <v>34500</v>
      </c>
      <c r="F203" s="439" t="s">
        <v>26067</v>
      </c>
      <c r="G203" s="438" t="s">
        <v>65</v>
      </c>
      <c r="H203" s="438" t="s">
        <v>25949</v>
      </c>
    </row>
    <row r="204" spans="2:8" s="440" customFormat="1" ht="11.25">
      <c r="B204" s="437">
        <v>45533</v>
      </c>
      <c r="C204" s="438" t="s">
        <v>47</v>
      </c>
      <c r="D204" s="438" t="s">
        <v>55</v>
      </c>
      <c r="E204" s="438">
        <v>5000</v>
      </c>
      <c r="F204" s="439" t="s">
        <v>26068</v>
      </c>
      <c r="G204" s="438" t="s">
        <v>65</v>
      </c>
      <c r="H204" s="438" t="s">
        <v>25949</v>
      </c>
    </row>
    <row r="205" spans="2:8" s="440" customFormat="1" ht="11.25">
      <c r="B205" s="437">
        <v>45533</v>
      </c>
      <c r="C205" s="438" t="s">
        <v>52</v>
      </c>
      <c r="D205" s="438" t="s">
        <v>55</v>
      </c>
      <c r="E205" s="438">
        <v>5000</v>
      </c>
      <c r="F205" s="439" t="s">
        <v>26068</v>
      </c>
      <c r="G205" s="438" t="s">
        <v>65</v>
      </c>
      <c r="H205" s="438" t="s">
        <v>25949</v>
      </c>
    </row>
    <row r="206" spans="2:8" s="440" customFormat="1" ht="11.25">
      <c r="B206" s="437">
        <v>45533</v>
      </c>
      <c r="C206" s="438" t="s">
        <v>60</v>
      </c>
      <c r="D206" s="438" t="s">
        <v>55</v>
      </c>
      <c r="E206" s="438">
        <v>5000</v>
      </c>
      <c r="F206" s="439" t="s">
        <v>26068</v>
      </c>
      <c r="G206" s="438" t="s">
        <v>65</v>
      </c>
      <c r="H206" s="438" t="s">
        <v>25949</v>
      </c>
    </row>
    <row r="207" spans="2:8" s="440" customFormat="1" ht="11.25">
      <c r="B207" s="437">
        <v>45533</v>
      </c>
      <c r="C207" s="438" t="s">
        <v>62</v>
      </c>
      <c r="D207" s="438" t="s">
        <v>55</v>
      </c>
      <c r="E207" s="438">
        <v>5000</v>
      </c>
      <c r="F207" s="439" t="s">
        <v>26068</v>
      </c>
      <c r="G207" s="438" t="s">
        <v>65</v>
      </c>
      <c r="H207" s="438" t="s">
        <v>25949</v>
      </c>
    </row>
    <row r="208" spans="2:8" ht="11.25">
      <c r="B208" s="437">
        <v>45533</v>
      </c>
      <c r="C208" s="438" t="s">
        <v>18</v>
      </c>
      <c r="D208" s="438" t="s">
        <v>22</v>
      </c>
      <c r="E208" s="438">
        <v>1000554.99</v>
      </c>
      <c r="F208" s="439" t="s">
        <v>26069</v>
      </c>
      <c r="G208" s="438" t="s">
        <v>65</v>
      </c>
      <c r="H208" s="438" t="s">
        <v>25949</v>
      </c>
    </row>
    <row r="209" spans="2:9" ht="11.25">
      <c r="B209" s="188">
        <v>45533</v>
      </c>
      <c r="C209" s="162" t="s">
        <v>13</v>
      </c>
      <c r="D209" s="162" t="s">
        <v>19</v>
      </c>
      <c r="E209" s="162">
        <v>1070080.3999999999</v>
      </c>
      <c r="F209" s="250" t="s">
        <v>26070</v>
      </c>
      <c r="G209" s="162" t="s">
        <v>25953</v>
      </c>
      <c r="H209" s="162">
        <v>9980</v>
      </c>
    </row>
    <row r="210" spans="2:9" s="230" customFormat="1" ht="11.25">
      <c r="B210" s="188">
        <v>45533</v>
      </c>
      <c r="C210" s="162" t="s">
        <v>18</v>
      </c>
      <c r="D210" s="162" t="s">
        <v>19</v>
      </c>
      <c r="E210" s="162">
        <v>0</v>
      </c>
      <c r="F210" s="250" t="s">
        <v>26070</v>
      </c>
      <c r="G210" s="162" t="s">
        <v>65</v>
      </c>
      <c r="H210" s="162" t="s">
        <v>25949</v>
      </c>
    </row>
    <row r="211" spans="2:9" s="230" customFormat="1" ht="11.25">
      <c r="B211" s="188">
        <v>45533</v>
      </c>
      <c r="C211" s="890" t="s">
        <v>100</v>
      </c>
      <c r="D211" s="162" t="s">
        <v>19</v>
      </c>
      <c r="E211" s="162">
        <v>288432</v>
      </c>
      <c r="F211" s="250" t="s">
        <v>26070</v>
      </c>
      <c r="G211" s="162" t="s">
        <v>26070</v>
      </c>
      <c r="H211" s="162" t="s">
        <v>25949</v>
      </c>
    </row>
    <row r="212" spans="2:9" ht="11.25">
      <c r="B212" s="437">
        <v>45533</v>
      </c>
      <c r="C212" s="438" t="s">
        <v>111</v>
      </c>
      <c r="D212" s="438" t="s">
        <v>19</v>
      </c>
      <c r="E212" s="438">
        <v>210000</v>
      </c>
      <c r="F212" s="439" t="s">
        <v>26070</v>
      </c>
      <c r="G212" s="438" t="s">
        <v>65</v>
      </c>
      <c r="H212" s="438" t="s">
        <v>25949</v>
      </c>
    </row>
    <row r="213" spans="2:9" s="440" customFormat="1" ht="11.25">
      <c r="B213" s="437">
        <v>45533</v>
      </c>
      <c r="C213" s="438" t="s">
        <v>25910</v>
      </c>
      <c r="D213" s="438" t="s">
        <v>19</v>
      </c>
      <c r="E213" s="438">
        <v>537275</v>
      </c>
      <c r="F213" s="439" t="s">
        <v>26070</v>
      </c>
      <c r="G213" s="438" t="s">
        <v>65</v>
      </c>
      <c r="H213" s="438" t="s">
        <v>25949</v>
      </c>
    </row>
    <row r="214" spans="2:9" s="230" customFormat="1" ht="11.25">
      <c r="B214" s="188">
        <v>45533</v>
      </c>
      <c r="C214" s="162" t="s">
        <v>117</v>
      </c>
      <c r="D214" s="162" t="s">
        <v>19</v>
      </c>
      <c r="E214" s="162">
        <v>0</v>
      </c>
      <c r="F214" s="250" t="s">
        <v>26070</v>
      </c>
      <c r="G214" s="162" t="s">
        <v>65</v>
      </c>
      <c r="H214" s="162" t="s">
        <v>25949</v>
      </c>
    </row>
    <row r="215" spans="2:9" s="440" customFormat="1" ht="11.25">
      <c r="B215" s="188">
        <v>45533</v>
      </c>
      <c r="C215" s="162" t="s">
        <v>123</v>
      </c>
      <c r="D215" s="162" t="s">
        <v>19</v>
      </c>
      <c r="E215" s="162">
        <v>1240216.5</v>
      </c>
      <c r="F215" s="250" t="s">
        <v>26070</v>
      </c>
      <c r="G215" s="162" t="s">
        <v>26071</v>
      </c>
      <c r="H215" s="162" t="s">
        <v>25949</v>
      </c>
    </row>
    <row r="216" spans="2:9" ht="11.25">
      <c r="B216" s="437">
        <v>45533</v>
      </c>
      <c r="C216" s="438" t="s">
        <v>122</v>
      </c>
      <c r="D216" s="438" t="s">
        <v>19</v>
      </c>
      <c r="E216" s="438">
        <v>150000</v>
      </c>
      <c r="F216" s="439" t="s">
        <v>26070</v>
      </c>
      <c r="G216" s="438" t="s">
        <v>65</v>
      </c>
      <c r="H216" s="438" t="s">
        <v>25949</v>
      </c>
    </row>
    <row r="217" spans="2:9" s="440" customFormat="1" ht="11.25">
      <c r="B217" s="437">
        <v>45533</v>
      </c>
      <c r="C217" s="438" t="s">
        <v>93</v>
      </c>
      <c r="D217" s="438" t="s">
        <v>19</v>
      </c>
      <c r="E217" s="438">
        <v>150000</v>
      </c>
      <c r="F217" s="439" t="s">
        <v>26070</v>
      </c>
      <c r="G217" s="438" t="s">
        <v>65</v>
      </c>
      <c r="H217" s="438" t="s">
        <v>25949</v>
      </c>
    </row>
    <row r="218" spans="2:9" s="440" customFormat="1" ht="11.25">
      <c r="B218" s="188">
        <v>45533</v>
      </c>
      <c r="C218" s="162" t="s">
        <v>95</v>
      </c>
      <c r="D218" s="162" t="s">
        <v>19</v>
      </c>
      <c r="E218" s="162">
        <v>64000</v>
      </c>
      <c r="F218" s="250" t="s">
        <v>26070</v>
      </c>
      <c r="G218" s="162" t="s">
        <v>26070</v>
      </c>
      <c r="H218" s="162" t="s">
        <v>25949</v>
      </c>
      <c r="I218" t="s">
        <v>25960</v>
      </c>
    </row>
    <row r="219" spans="2:9" s="440" customFormat="1" ht="11.25">
      <c r="B219" s="188">
        <v>45533</v>
      </c>
      <c r="C219" s="162" t="s">
        <v>26072</v>
      </c>
      <c r="D219" s="162" t="s">
        <v>19</v>
      </c>
      <c r="E219" s="162">
        <v>356825.59999999998</v>
      </c>
      <c r="F219" s="250" t="s">
        <v>26070</v>
      </c>
      <c r="G219" s="162" t="s">
        <v>26070</v>
      </c>
      <c r="H219" s="162" t="s">
        <v>25949</v>
      </c>
      <c r="I219" t="s">
        <v>25960</v>
      </c>
    </row>
    <row r="220" spans="2:9" s="230" customFormat="1" ht="11.25">
      <c r="B220" s="188">
        <v>45533</v>
      </c>
      <c r="C220" s="162" t="s">
        <v>110</v>
      </c>
      <c r="D220" s="162" t="s">
        <v>19</v>
      </c>
      <c r="E220" s="162">
        <v>715000</v>
      </c>
      <c r="F220" s="250" t="s">
        <v>26070</v>
      </c>
      <c r="G220" s="162" t="s">
        <v>65</v>
      </c>
      <c r="H220" s="162" t="s">
        <v>25949</v>
      </c>
    </row>
    <row r="221" spans="2:9" s="440" customFormat="1" ht="11.25">
      <c r="B221" s="437">
        <v>45533</v>
      </c>
      <c r="C221" s="438" t="s">
        <v>88</v>
      </c>
      <c r="D221" s="438" t="s">
        <v>19</v>
      </c>
      <c r="E221" s="438">
        <v>100000</v>
      </c>
      <c r="F221" s="439" t="s">
        <v>26070</v>
      </c>
      <c r="G221" s="438" t="s">
        <v>65</v>
      </c>
      <c r="H221" s="438" t="s">
        <v>25949</v>
      </c>
    </row>
    <row r="222" spans="2:9" s="440" customFormat="1" ht="11.25">
      <c r="B222" s="437">
        <v>45533</v>
      </c>
      <c r="C222" s="438" t="s">
        <v>26073</v>
      </c>
      <c r="D222" s="438" t="s">
        <v>19</v>
      </c>
      <c r="E222" s="438">
        <v>191860</v>
      </c>
      <c r="F222" s="439" t="s">
        <v>26070</v>
      </c>
      <c r="G222" s="438" t="s">
        <v>65</v>
      </c>
      <c r="H222" s="438" t="s">
        <v>25949</v>
      </c>
    </row>
    <row r="223" spans="2:9" s="440" customFormat="1" ht="11.25">
      <c r="B223" s="437">
        <v>45533</v>
      </c>
      <c r="C223" s="438" t="s">
        <v>97</v>
      </c>
      <c r="D223" s="438" t="s">
        <v>19</v>
      </c>
      <c r="E223" s="438">
        <v>100000</v>
      </c>
      <c r="F223" s="439" t="s">
        <v>26070</v>
      </c>
      <c r="G223" s="438" t="s">
        <v>65</v>
      </c>
      <c r="H223" s="438" t="s">
        <v>25949</v>
      </c>
    </row>
    <row r="224" spans="2:9" s="440" customFormat="1" ht="11.25">
      <c r="B224" s="188">
        <v>45533</v>
      </c>
      <c r="C224" s="162" t="s">
        <v>47</v>
      </c>
      <c r="D224" s="162" t="s">
        <v>83</v>
      </c>
      <c r="E224" s="162">
        <v>68908.735000000001</v>
      </c>
      <c r="F224" s="250" t="s">
        <v>26074</v>
      </c>
      <c r="G224" s="162" t="s">
        <v>65</v>
      </c>
      <c r="H224" s="162" t="s">
        <v>25949</v>
      </c>
    </row>
    <row r="225" spans="2:8" s="440" customFormat="1" ht="11.25">
      <c r="B225" s="188">
        <v>45533</v>
      </c>
      <c r="C225" s="162" t="s">
        <v>52</v>
      </c>
      <c r="D225" s="162" t="s">
        <v>83</v>
      </c>
      <c r="E225" s="162">
        <v>68908.735000000001</v>
      </c>
      <c r="F225" s="250" t="s">
        <v>26074</v>
      </c>
      <c r="G225" s="162" t="s">
        <v>65</v>
      </c>
      <c r="H225" s="162" t="s">
        <v>25949</v>
      </c>
    </row>
    <row r="226" spans="2:8" s="440" customFormat="1" ht="11.25">
      <c r="B226" s="188">
        <v>45533</v>
      </c>
      <c r="C226" s="162" t="s">
        <v>60</v>
      </c>
      <c r="D226" s="162" t="s">
        <v>83</v>
      </c>
      <c r="E226" s="162">
        <v>69383.679999999993</v>
      </c>
      <c r="F226" s="250" t="s">
        <v>26074</v>
      </c>
      <c r="G226" s="162" t="s">
        <v>8</v>
      </c>
      <c r="H226" s="162" t="s">
        <v>25949</v>
      </c>
    </row>
    <row r="227" spans="2:8" s="230" customFormat="1" ht="11.25">
      <c r="B227" s="188">
        <v>45533</v>
      </c>
      <c r="C227" s="162" t="s">
        <v>62</v>
      </c>
      <c r="D227" s="162" t="s">
        <v>83</v>
      </c>
      <c r="E227" s="162">
        <v>69383.679999999993</v>
      </c>
      <c r="F227" s="250" t="s">
        <v>26074</v>
      </c>
      <c r="G227" s="162" t="s">
        <v>8</v>
      </c>
      <c r="H227" s="162" t="s">
        <v>25949</v>
      </c>
    </row>
    <row r="228" spans="2:8" s="440" customFormat="1" ht="11.25">
      <c r="B228" s="188">
        <v>45533</v>
      </c>
      <c r="C228" s="162" t="s">
        <v>64</v>
      </c>
      <c r="D228" s="162" t="s">
        <v>83</v>
      </c>
      <c r="E228" s="162">
        <v>125906.63</v>
      </c>
      <c r="F228" s="250" t="s">
        <v>26074</v>
      </c>
      <c r="G228" s="162" t="s">
        <v>65</v>
      </c>
      <c r="H228" s="162" t="s">
        <v>25949</v>
      </c>
    </row>
    <row r="229" spans="2:8" s="440" customFormat="1" ht="11.25">
      <c r="B229" s="188">
        <v>45533</v>
      </c>
      <c r="C229" s="162" t="s">
        <v>68</v>
      </c>
      <c r="D229" s="162" t="s">
        <v>83</v>
      </c>
      <c r="E229" s="162">
        <v>53434.61</v>
      </c>
      <c r="F229" s="250" t="s">
        <v>26074</v>
      </c>
      <c r="G229" s="162" t="s">
        <v>65</v>
      </c>
      <c r="H229" s="162" t="s">
        <v>25949</v>
      </c>
    </row>
    <row r="230" spans="2:8" s="440" customFormat="1" ht="11.25">
      <c r="B230" s="188">
        <v>45533</v>
      </c>
      <c r="C230" s="162" t="s">
        <v>70</v>
      </c>
      <c r="D230" s="162" t="s">
        <v>83</v>
      </c>
      <c r="E230" s="162">
        <v>53434.61</v>
      </c>
      <c r="F230" s="250" t="s">
        <v>26074</v>
      </c>
      <c r="G230" s="162" t="s">
        <v>65</v>
      </c>
      <c r="H230" s="162" t="s">
        <v>25949</v>
      </c>
    </row>
    <row r="231" spans="2:8" s="440" customFormat="1" ht="11.25">
      <c r="B231" s="188">
        <v>45533</v>
      </c>
      <c r="C231" s="162" t="s">
        <v>74</v>
      </c>
      <c r="D231" s="162" t="s">
        <v>83</v>
      </c>
      <c r="E231" s="162">
        <v>53434.61</v>
      </c>
      <c r="F231" s="250" t="s">
        <v>26074</v>
      </c>
      <c r="G231" s="162" t="s">
        <v>65</v>
      </c>
      <c r="H231" s="162" t="s">
        <v>25949</v>
      </c>
    </row>
    <row r="232" spans="2:8" s="440" customFormat="1" ht="11.25">
      <c r="B232" s="188">
        <v>45533</v>
      </c>
      <c r="C232" s="162" t="s">
        <v>76</v>
      </c>
      <c r="D232" s="162" t="s">
        <v>83</v>
      </c>
      <c r="E232" s="162">
        <v>53434.61</v>
      </c>
      <c r="F232" s="250" t="s">
        <v>26074</v>
      </c>
      <c r="G232" s="162" t="s">
        <v>65</v>
      </c>
      <c r="H232" s="162" t="s">
        <v>25949</v>
      </c>
    </row>
    <row r="233" spans="2:8" s="440" customFormat="1" ht="11.25">
      <c r="B233" s="188">
        <v>45533</v>
      </c>
      <c r="C233" s="162" t="s">
        <v>86</v>
      </c>
      <c r="D233" s="162" t="s">
        <v>83</v>
      </c>
      <c r="E233" s="162">
        <v>89988.19</v>
      </c>
      <c r="F233" s="250" t="s">
        <v>26074</v>
      </c>
      <c r="G233" s="162" t="s">
        <v>65</v>
      </c>
      <c r="H233" s="162" t="s">
        <v>25949</v>
      </c>
    </row>
    <row r="234" spans="2:8" s="440" customFormat="1" ht="11.25">
      <c r="B234" s="1024">
        <v>45533</v>
      </c>
      <c r="C234" s="1025" t="s">
        <v>15</v>
      </c>
      <c r="D234" s="1025" t="s">
        <v>85</v>
      </c>
      <c r="E234" s="1025">
        <v>493677.09014400002</v>
      </c>
      <c r="F234" s="1026" t="s">
        <v>26075</v>
      </c>
      <c r="G234" s="1025" t="s">
        <v>65</v>
      </c>
      <c r="H234" s="1025" t="s">
        <v>25949</v>
      </c>
    </row>
    <row r="235" spans="2:8" s="440" customFormat="1" ht="11.25">
      <c r="B235" s="1024">
        <v>45533</v>
      </c>
      <c r="C235" s="1025" t="s">
        <v>90</v>
      </c>
      <c r="D235" s="1025" t="s">
        <v>85</v>
      </c>
      <c r="E235" s="1025">
        <v>431663.01599400002</v>
      </c>
      <c r="F235" s="1026" t="s">
        <v>26075</v>
      </c>
      <c r="G235" s="1025" t="s">
        <v>65</v>
      </c>
      <c r="H235" s="1025" t="s">
        <v>25949</v>
      </c>
    </row>
    <row r="236" spans="2:8" s="440" customFormat="1" ht="11.25">
      <c r="B236" s="1024">
        <v>45533</v>
      </c>
      <c r="C236" s="1025" t="s">
        <v>99</v>
      </c>
      <c r="D236" s="1025" t="s">
        <v>85</v>
      </c>
      <c r="E236" s="1025">
        <v>409891.85794200003</v>
      </c>
      <c r="F236" s="1026" t="s">
        <v>26075</v>
      </c>
      <c r="G236" s="1025" t="s">
        <v>65</v>
      </c>
      <c r="H236" s="1025" t="s">
        <v>25949</v>
      </c>
    </row>
    <row r="237" spans="2:8" s="440" customFormat="1" ht="11.25">
      <c r="B237" s="1024">
        <v>45533</v>
      </c>
      <c r="C237" s="1025" t="s">
        <v>49</v>
      </c>
      <c r="D237" s="1025" t="s">
        <v>85</v>
      </c>
      <c r="E237" s="1025">
        <v>962043.76027199998</v>
      </c>
      <c r="F237" s="1026" t="s">
        <v>26075</v>
      </c>
      <c r="G237" s="1025" t="s">
        <v>65</v>
      </c>
      <c r="H237" s="1025" t="s">
        <v>25949</v>
      </c>
    </row>
    <row r="238" spans="2:8" s="440" customFormat="1" ht="11.25">
      <c r="B238" s="188">
        <v>45533</v>
      </c>
      <c r="C238" s="162" t="s">
        <v>13</v>
      </c>
      <c r="D238" s="162" t="s">
        <v>87</v>
      </c>
      <c r="E238" s="162">
        <v>69572.55</v>
      </c>
      <c r="F238" s="250" t="s">
        <v>26076</v>
      </c>
      <c r="G238" s="162" t="s">
        <v>26077</v>
      </c>
      <c r="H238" s="162" t="s">
        <v>25949</v>
      </c>
    </row>
    <row r="239" spans="2:8" s="440" customFormat="1" ht="11.25">
      <c r="B239" s="188">
        <v>45533</v>
      </c>
      <c r="C239" s="162" t="s">
        <v>20</v>
      </c>
      <c r="D239" s="162" t="s">
        <v>87</v>
      </c>
      <c r="E239" s="162">
        <v>26615.22</v>
      </c>
      <c r="F239" s="250" t="s">
        <v>26076</v>
      </c>
      <c r="G239" s="162" t="s">
        <v>8</v>
      </c>
      <c r="H239" s="162" t="s">
        <v>25949</v>
      </c>
    </row>
    <row r="240" spans="2:8" s="440" customFormat="1" ht="11.25">
      <c r="B240" s="188">
        <v>45533</v>
      </c>
      <c r="C240" s="162" t="s">
        <v>27</v>
      </c>
      <c r="D240" s="162" t="s">
        <v>87</v>
      </c>
      <c r="E240" s="162">
        <v>79625.820000000007</v>
      </c>
      <c r="F240" s="250" t="s">
        <v>26076</v>
      </c>
      <c r="G240" s="162" t="s">
        <v>65</v>
      </c>
      <c r="H240" s="162" t="s">
        <v>25949</v>
      </c>
    </row>
    <row r="241" spans="2:11" s="440" customFormat="1" ht="11.25">
      <c r="B241" s="188">
        <v>45533</v>
      </c>
      <c r="C241" s="162" t="s">
        <v>29</v>
      </c>
      <c r="D241" s="162" t="s">
        <v>87</v>
      </c>
      <c r="E241" s="162">
        <v>151201.06</v>
      </c>
      <c r="F241" s="250" t="s">
        <v>26076</v>
      </c>
      <c r="G241" s="162" t="s">
        <v>65</v>
      </c>
      <c r="H241" s="162" t="s">
        <v>25949</v>
      </c>
    </row>
    <row r="242" spans="2:11" s="440" customFormat="1" ht="11.25">
      <c r="B242" s="188">
        <v>45533</v>
      </c>
      <c r="C242" s="162" t="s">
        <v>37</v>
      </c>
      <c r="D242" s="162" t="s">
        <v>87</v>
      </c>
      <c r="E242" s="162">
        <v>65672.59</v>
      </c>
      <c r="F242" s="250" t="s">
        <v>26076</v>
      </c>
      <c r="G242" s="162" t="s">
        <v>65</v>
      </c>
      <c r="H242" s="162" t="s">
        <v>25949</v>
      </c>
    </row>
    <row r="243" spans="2:11" s="440" customFormat="1" ht="11.25">
      <c r="B243" s="188">
        <v>45533</v>
      </c>
      <c r="C243" s="162" t="s">
        <v>101</v>
      </c>
      <c r="D243" s="162" t="s">
        <v>87</v>
      </c>
      <c r="E243" s="162">
        <v>76201.100000000006</v>
      </c>
      <c r="F243" s="250" t="s">
        <v>26076</v>
      </c>
      <c r="G243" s="162" t="s">
        <v>65</v>
      </c>
      <c r="H243" s="162" t="s">
        <v>25949</v>
      </c>
    </row>
    <row r="244" spans="2:11" s="440" customFormat="1" ht="11.25">
      <c r="B244" s="188">
        <v>45533</v>
      </c>
      <c r="C244" s="162" t="s">
        <v>104</v>
      </c>
      <c r="D244" s="162" t="s">
        <v>87</v>
      </c>
      <c r="E244" s="162">
        <f>331862.67-213000</f>
        <v>118862.66999999998</v>
      </c>
      <c r="F244" s="250" t="s">
        <v>26076</v>
      </c>
      <c r="G244" s="162" t="s">
        <v>65</v>
      </c>
      <c r="H244" s="162" t="s">
        <v>25949</v>
      </c>
    </row>
    <row r="245" spans="2:11" s="440" customFormat="1" ht="11.25">
      <c r="B245" s="188">
        <v>45533</v>
      </c>
      <c r="C245" s="162" t="s">
        <v>108</v>
      </c>
      <c r="D245" s="162" t="s">
        <v>87</v>
      </c>
      <c r="E245" s="162">
        <v>26276.16</v>
      </c>
      <c r="F245" s="250" t="s">
        <v>26076</v>
      </c>
      <c r="G245" s="162" t="s">
        <v>65</v>
      </c>
      <c r="H245" s="162" t="s">
        <v>25949</v>
      </c>
    </row>
    <row r="246" spans="2:11" s="440" customFormat="1" ht="11.25">
      <c r="B246" s="188">
        <v>45533</v>
      </c>
      <c r="C246" s="162" t="s">
        <v>110</v>
      </c>
      <c r="D246" s="162" t="s">
        <v>87</v>
      </c>
      <c r="E246" s="162">
        <v>146930.21</v>
      </c>
      <c r="F246" s="250" t="s">
        <v>26076</v>
      </c>
      <c r="G246" s="162" t="s">
        <v>65</v>
      </c>
      <c r="H246" s="162" t="s">
        <v>25949</v>
      </c>
    </row>
    <row r="247" spans="2:11" s="440" customFormat="1" ht="11.25">
      <c r="B247" s="188">
        <v>45533</v>
      </c>
      <c r="C247" s="162" t="s">
        <v>112</v>
      </c>
      <c r="D247" s="162" t="s">
        <v>87</v>
      </c>
      <c r="E247" s="162">
        <v>109473.22</v>
      </c>
      <c r="F247" s="250" t="s">
        <v>26076</v>
      </c>
      <c r="G247" s="162" t="s">
        <v>65</v>
      </c>
      <c r="H247" s="162" t="s">
        <v>25949</v>
      </c>
    </row>
    <row r="248" spans="2:11" s="440" customFormat="1" ht="11.25">
      <c r="B248" s="188">
        <v>45533</v>
      </c>
      <c r="C248" s="162" t="s">
        <v>116</v>
      </c>
      <c r="D248" s="162" t="s">
        <v>87</v>
      </c>
      <c r="E248" s="162">
        <v>49823.59</v>
      </c>
      <c r="F248" s="250" t="s">
        <v>26076</v>
      </c>
      <c r="G248" s="162" t="s">
        <v>65</v>
      </c>
      <c r="H248" s="162" t="s">
        <v>25949</v>
      </c>
    </row>
    <row r="249" spans="2:11" s="440" customFormat="1" ht="11.25">
      <c r="B249" s="188">
        <v>45533</v>
      </c>
      <c r="C249" s="162" t="s">
        <v>119</v>
      </c>
      <c r="D249" s="162" t="s">
        <v>26021</v>
      </c>
      <c r="E249" s="162">
        <v>15000</v>
      </c>
      <c r="F249" s="250" t="s">
        <v>26022</v>
      </c>
      <c r="G249" s="162" t="s">
        <v>65</v>
      </c>
      <c r="H249" s="162" t="s">
        <v>25949</v>
      </c>
      <c r="I249" t="s">
        <v>26023</v>
      </c>
      <c r="J249"/>
      <c r="K249"/>
    </row>
    <row r="250" spans="2:11" s="440" customFormat="1" ht="11.25">
      <c r="B250" s="188">
        <v>45533</v>
      </c>
      <c r="C250" s="162" t="s">
        <v>35</v>
      </c>
      <c r="D250" s="162" t="s">
        <v>87</v>
      </c>
      <c r="E250" s="162">
        <v>199609.76</v>
      </c>
      <c r="F250" s="250" t="s">
        <v>26078</v>
      </c>
      <c r="G250" s="162" t="s">
        <v>65</v>
      </c>
      <c r="H250" s="162" t="s">
        <v>25949</v>
      </c>
    </row>
    <row r="251" spans="2:11" s="440" customFormat="1" ht="11.25">
      <c r="B251" s="188">
        <v>45533</v>
      </c>
      <c r="C251" s="162" t="s">
        <v>60</v>
      </c>
      <c r="D251" s="162" t="s">
        <v>87</v>
      </c>
      <c r="E251" s="162">
        <v>177000</v>
      </c>
      <c r="F251" s="250" t="s">
        <v>26078</v>
      </c>
      <c r="G251" s="162" t="s">
        <v>8</v>
      </c>
      <c r="H251" s="162" t="s">
        <v>25949</v>
      </c>
    </row>
    <row r="252" spans="2:11" s="230" customFormat="1" ht="11.25">
      <c r="B252" s="188">
        <v>45533</v>
      </c>
      <c r="C252" s="162" t="s">
        <v>62</v>
      </c>
      <c r="D252" s="162" t="s">
        <v>87</v>
      </c>
      <c r="E252" s="162">
        <v>135000</v>
      </c>
      <c r="F252" s="250" t="s">
        <v>26078</v>
      </c>
      <c r="G252" s="162" t="s">
        <v>8</v>
      </c>
      <c r="H252" s="162" t="s">
        <v>25949</v>
      </c>
    </row>
    <row r="253" spans="2:11" s="440" customFormat="1" ht="11.25">
      <c r="B253" s="188">
        <v>45533</v>
      </c>
      <c r="C253" s="162" t="s">
        <v>104</v>
      </c>
      <c r="D253" s="162" t="s">
        <v>87</v>
      </c>
      <c r="E253" s="162">
        <v>213000</v>
      </c>
      <c r="F253" s="250" t="s">
        <v>26078</v>
      </c>
      <c r="G253" s="162" t="s">
        <v>65</v>
      </c>
      <c r="H253" s="162" t="s">
        <v>25949</v>
      </c>
    </row>
    <row r="254" spans="2:11" s="440" customFormat="1" ht="11.25">
      <c r="B254" s="188">
        <v>45533</v>
      </c>
      <c r="C254" s="162" t="s">
        <v>15</v>
      </c>
      <c r="D254" s="162" t="s">
        <v>55</v>
      </c>
      <c r="E254" s="162">
        <f>70000+56389.87</f>
        <v>126389.87</v>
      </c>
      <c r="F254" s="250" t="s">
        <v>26079</v>
      </c>
      <c r="G254" s="162" t="s">
        <v>65</v>
      </c>
      <c r="H254" s="162" t="s">
        <v>25949</v>
      </c>
    </row>
    <row r="255" spans="2:11" s="440" customFormat="1" ht="11.25">
      <c r="B255" s="188">
        <v>45533</v>
      </c>
      <c r="C255" s="162" t="s">
        <v>90</v>
      </c>
      <c r="D255" s="162" t="s">
        <v>55</v>
      </c>
      <c r="E255" s="162">
        <f>70000+89889.62</f>
        <v>159889.62</v>
      </c>
      <c r="F255" s="250" t="s">
        <v>26080</v>
      </c>
      <c r="G255" s="162" t="s">
        <v>65</v>
      </c>
      <c r="H255" s="162" t="s">
        <v>25949</v>
      </c>
    </row>
    <row r="256" spans="2:11" s="440" customFormat="1" ht="11.25">
      <c r="B256" s="188">
        <v>45533</v>
      </c>
      <c r="C256" s="162" t="s">
        <v>99</v>
      </c>
      <c r="D256" s="162" t="s">
        <v>55</v>
      </c>
      <c r="E256" s="162">
        <v>70000</v>
      </c>
      <c r="F256" s="250" t="s">
        <v>26081</v>
      </c>
      <c r="G256" s="162" t="s">
        <v>65</v>
      </c>
      <c r="H256" s="162" t="s">
        <v>25949</v>
      </c>
    </row>
    <row r="257" spans="2:8" s="440" customFormat="1" ht="11.25">
      <c r="B257" s="188">
        <v>45533</v>
      </c>
      <c r="C257" s="162" t="s">
        <v>49</v>
      </c>
      <c r="D257" s="162" t="s">
        <v>55</v>
      </c>
      <c r="E257" s="162">
        <v>70000</v>
      </c>
      <c r="F257" s="250" t="s">
        <v>26081</v>
      </c>
      <c r="G257" s="162" t="s">
        <v>65</v>
      </c>
      <c r="H257" s="162" t="s">
        <v>25949</v>
      </c>
    </row>
    <row r="258" spans="2:8" ht="11.25">
      <c r="B258" s="188">
        <v>45456</v>
      </c>
      <c r="C258" s="152" t="s">
        <v>25912</v>
      </c>
      <c r="D258" s="162" t="s">
        <v>46</v>
      </c>
      <c r="E258" s="162">
        <v>6206.9</v>
      </c>
      <c r="F258" s="250" t="s">
        <v>46</v>
      </c>
    </row>
    <row r="259" spans="2:8">
      <c r="B259" s="188">
        <v>45456</v>
      </c>
      <c r="C259" s="152" t="s">
        <v>95</v>
      </c>
      <c r="D259" s="162" t="s">
        <v>46</v>
      </c>
      <c r="E259" s="162">
        <v>6206.9</v>
      </c>
      <c r="F259" s="250" t="s">
        <v>46</v>
      </c>
    </row>
    <row r="260" spans="2:8" s="230" customFormat="1" ht="11.25">
      <c r="B260" s="188">
        <v>45481</v>
      </c>
      <c r="C260" s="162" t="s">
        <v>122</v>
      </c>
      <c r="D260" s="162" t="s">
        <v>81</v>
      </c>
      <c r="E260" s="162">
        <v>39532.36</v>
      </c>
      <c r="F260" s="250" t="s">
        <v>26082</v>
      </c>
    </row>
    <row r="261" spans="2:8" s="230" customFormat="1" ht="11.25">
      <c r="B261" s="188">
        <v>45481</v>
      </c>
      <c r="C261" s="162" t="s">
        <v>88</v>
      </c>
      <c r="D261" s="162" t="s">
        <v>81</v>
      </c>
      <c r="E261" s="162">
        <v>100312.77</v>
      </c>
      <c r="F261" s="250" t="s">
        <v>26082</v>
      </c>
    </row>
    <row r="262" spans="2:8" s="230" customFormat="1" ht="11.25">
      <c r="B262" s="188">
        <v>45481</v>
      </c>
      <c r="C262" s="162" t="s">
        <v>26010</v>
      </c>
      <c r="D262" s="162" t="s">
        <v>81</v>
      </c>
      <c r="E262" s="162">
        <v>110845.13</v>
      </c>
      <c r="F262" s="250" t="s">
        <v>26082</v>
      </c>
    </row>
    <row r="263" spans="2:8" s="230" customFormat="1" ht="11.25">
      <c r="B263" s="188">
        <v>45503</v>
      </c>
      <c r="C263" s="162" t="s">
        <v>93</v>
      </c>
      <c r="D263" s="162" t="s">
        <v>38</v>
      </c>
      <c r="E263" s="162">
        <v>18000</v>
      </c>
      <c r="F263" s="250" t="s">
        <v>26083</v>
      </c>
    </row>
    <row r="264" spans="2:8" s="230" customFormat="1" ht="11.25">
      <c r="B264" s="188">
        <v>45503</v>
      </c>
      <c r="C264" s="162" t="s">
        <v>95</v>
      </c>
      <c r="D264" s="162" t="s">
        <v>38</v>
      </c>
      <c r="E264" s="162">
        <v>8000</v>
      </c>
      <c r="F264" s="250" t="s">
        <v>26083</v>
      </c>
    </row>
    <row r="265" spans="2:8" s="230" customFormat="1" ht="11.25">
      <c r="B265" s="188">
        <v>45504</v>
      </c>
      <c r="C265" s="162" t="s">
        <v>122</v>
      </c>
      <c r="D265" s="162" t="s">
        <v>9363</v>
      </c>
      <c r="E265" s="162">
        <v>18000</v>
      </c>
      <c r="F265" s="250" t="s">
        <v>26084</v>
      </c>
    </row>
    <row r="266" spans="2:8" s="230" customFormat="1" ht="11.25">
      <c r="B266" s="188">
        <v>45504</v>
      </c>
      <c r="C266" s="162" t="s">
        <v>122</v>
      </c>
      <c r="D266" s="162" t="s">
        <v>26085</v>
      </c>
      <c r="E266" s="162">
        <v>18000</v>
      </c>
      <c r="F266" s="250" t="s">
        <v>26084</v>
      </c>
    </row>
    <row r="267" spans="2:8" s="230" customFormat="1" ht="11.25">
      <c r="B267" s="151">
        <v>45530</v>
      </c>
      <c r="C267" s="152" t="s">
        <v>97</v>
      </c>
      <c r="D267" s="152" t="s">
        <v>19</v>
      </c>
      <c r="E267" s="152">
        <v>1124846</v>
      </c>
      <c r="F267" s="161" t="s">
        <v>26070</v>
      </c>
    </row>
    <row r="268" spans="2:8" s="230" customFormat="1" ht="11.25">
      <c r="B268" s="151">
        <v>45530</v>
      </c>
      <c r="C268" s="152" t="s">
        <v>66</v>
      </c>
      <c r="D268" s="152" t="s">
        <v>19</v>
      </c>
      <c r="E268" s="152">
        <v>1124846</v>
      </c>
      <c r="F268" s="161" t="s">
        <v>26070</v>
      </c>
    </row>
    <row r="269" spans="2:8" ht="11.25">
      <c r="B269" s="151">
        <v>45530</v>
      </c>
      <c r="C269" s="152" t="s">
        <v>66</v>
      </c>
      <c r="D269" s="152" t="s">
        <v>22</v>
      </c>
      <c r="E269" s="152">
        <v>259146.86</v>
      </c>
      <c r="F269" s="161" t="s">
        <v>22</v>
      </c>
    </row>
    <row r="270" spans="2:8" ht="11.25">
      <c r="B270" s="151">
        <v>45530</v>
      </c>
      <c r="C270" s="152" t="s">
        <v>68</v>
      </c>
      <c r="D270" s="152" t="s">
        <v>22</v>
      </c>
      <c r="E270" s="152">
        <v>259146.86</v>
      </c>
      <c r="F270" s="161" t="s">
        <v>22</v>
      </c>
    </row>
    <row r="271" spans="2:8" ht="11.25">
      <c r="B271" s="151">
        <v>45530</v>
      </c>
      <c r="C271" s="152" t="s">
        <v>70</v>
      </c>
      <c r="D271" s="152" t="s">
        <v>22</v>
      </c>
      <c r="E271" s="152">
        <v>259146.86</v>
      </c>
      <c r="F271" s="161" t="s">
        <v>22</v>
      </c>
    </row>
    <row r="272" spans="2:8" ht="11.25">
      <c r="B272" s="151">
        <v>45530</v>
      </c>
      <c r="C272" s="152" t="s">
        <v>84</v>
      </c>
      <c r="D272" s="152" t="s">
        <v>22</v>
      </c>
      <c r="E272" s="152">
        <v>259146.86</v>
      </c>
      <c r="F272" s="161" t="s">
        <v>22</v>
      </c>
    </row>
    <row r="273" spans="2:8" ht="11.25">
      <c r="B273" s="151">
        <v>45530</v>
      </c>
      <c r="C273" s="152" t="s">
        <v>86</v>
      </c>
      <c r="D273" s="152" t="s">
        <v>22</v>
      </c>
      <c r="E273" s="152">
        <v>259146.86</v>
      </c>
      <c r="F273" s="161" t="s">
        <v>22</v>
      </c>
    </row>
    <row r="274" spans="2:8" ht="11.25">
      <c r="B274" s="151">
        <v>45530</v>
      </c>
      <c r="C274" s="152" t="s">
        <v>93</v>
      </c>
      <c r="D274" s="152" t="s">
        <v>22</v>
      </c>
      <c r="E274" s="152">
        <v>67038</v>
      </c>
      <c r="F274" s="161" t="s">
        <v>22</v>
      </c>
    </row>
    <row r="275" spans="2:8" ht="11.25">
      <c r="B275" s="151">
        <v>45530</v>
      </c>
      <c r="C275" s="152" t="s">
        <v>95</v>
      </c>
      <c r="D275" s="152" t="s">
        <v>22</v>
      </c>
      <c r="E275" s="152">
        <v>173230.13</v>
      </c>
      <c r="F275" s="161" t="s">
        <v>22</v>
      </c>
    </row>
    <row r="276" spans="2:8" ht="11.25">
      <c r="B276" s="151">
        <v>45530</v>
      </c>
      <c r="C276" s="152" t="s">
        <v>111</v>
      </c>
      <c r="D276" s="152" t="s">
        <v>22</v>
      </c>
      <c r="E276" s="152">
        <v>259146.86</v>
      </c>
      <c r="F276" s="161" t="s">
        <v>22</v>
      </c>
    </row>
    <row r="277" spans="2:8">
      <c r="B277" s="151">
        <v>45530</v>
      </c>
      <c r="C277" s="152" t="s">
        <v>117</v>
      </c>
      <c r="D277" s="152" t="s">
        <v>22</v>
      </c>
      <c r="E277" s="152">
        <v>259146.86</v>
      </c>
      <c r="F277" s="161" t="s">
        <v>22</v>
      </c>
    </row>
    <row r="278" spans="2:8">
      <c r="B278" s="151">
        <v>45530</v>
      </c>
      <c r="C278" s="152" t="s">
        <v>119</v>
      </c>
      <c r="D278" s="152" t="s">
        <v>59</v>
      </c>
      <c r="E278" s="152">
        <v>18275</v>
      </c>
      <c r="F278" s="161" t="s">
        <v>26086</v>
      </c>
    </row>
    <row r="279" spans="2:8" ht="11.25">
      <c r="B279" s="151">
        <v>45530</v>
      </c>
      <c r="C279" s="152" t="s">
        <v>120</v>
      </c>
      <c r="D279" s="152" t="s">
        <v>59</v>
      </c>
      <c r="E279" s="152">
        <v>14075</v>
      </c>
      <c r="F279" s="161" t="s">
        <v>26086</v>
      </c>
      <c r="G279" t="s">
        <v>59</v>
      </c>
      <c r="H279" t="s">
        <v>8</v>
      </c>
    </row>
    <row r="280" spans="2:8" ht="11.25">
      <c r="B280" s="151">
        <v>45622</v>
      </c>
      <c r="C280" s="152" t="s">
        <v>111</v>
      </c>
      <c r="D280" s="152" t="s">
        <v>63</v>
      </c>
      <c r="E280" s="152">
        <v>74000</v>
      </c>
      <c r="F280" s="161" t="s">
        <v>26087</v>
      </c>
    </row>
    <row r="281" spans="2:8" ht="11.25">
      <c r="B281" s="151"/>
      <c r="C281" s="152"/>
      <c r="D281" s="152"/>
      <c r="E281" s="152">
        <v>0</v>
      </c>
      <c r="F281" s="153">
        <v>0</v>
      </c>
    </row>
    <row r="282" spans="2:8" ht="11.25">
      <c r="B282" s="151"/>
      <c r="C282" s="152"/>
      <c r="D282" s="152"/>
      <c r="E282" s="152">
        <v>0</v>
      </c>
      <c r="F282" s="153">
        <v>0</v>
      </c>
    </row>
    <row r="283" spans="2:8" ht="11.25">
      <c r="B283" s="151"/>
      <c r="C283" s="152"/>
      <c r="D283" s="152"/>
      <c r="E283" s="152">
        <v>0</v>
      </c>
      <c r="F283" s="153">
        <v>0</v>
      </c>
    </row>
    <row r="284" spans="2:8" ht="11.25">
      <c r="B284" s="151"/>
      <c r="C284" s="152"/>
      <c r="D284" s="152"/>
      <c r="E284" s="152">
        <v>0</v>
      </c>
      <c r="F284" s="153">
        <v>0</v>
      </c>
    </row>
    <row r="285" spans="2:8" ht="11.25">
      <c r="B285" s="151"/>
      <c r="C285" s="152"/>
      <c r="D285" s="152"/>
      <c r="E285" s="152">
        <v>0</v>
      </c>
      <c r="F285" s="153">
        <v>0</v>
      </c>
    </row>
    <row r="286" spans="2:8" ht="11.25">
      <c r="B286" s="151"/>
      <c r="C286" s="152"/>
      <c r="D286" s="152"/>
      <c r="E286" s="152">
        <v>0</v>
      </c>
      <c r="F286" s="153">
        <v>0</v>
      </c>
    </row>
    <row r="287" spans="2:8" ht="11.25">
      <c r="B287" s="151"/>
      <c r="C287" s="152"/>
      <c r="D287" s="152"/>
      <c r="E287" s="152">
        <v>0</v>
      </c>
      <c r="F287" s="153">
        <v>0</v>
      </c>
    </row>
    <row r="288" spans="2:8" ht="11.25">
      <c r="B288" s="151"/>
      <c r="C288" s="152"/>
      <c r="D288" s="152"/>
      <c r="E288" s="152">
        <v>0</v>
      </c>
      <c r="F288" s="153">
        <v>0</v>
      </c>
    </row>
    <row r="289" spans="2:6" ht="11.25">
      <c r="B289" s="151"/>
      <c r="C289" s="152"/>
      <c r="D289" s="152"/>
      <c r="E289" s="152">
        <v>0</v>
      </c>
      <c r="F289" s="153">
        <v>0</v>
      </c>
    </row>
    <row r="290" spans="2:6" ht="11.25">
      <c r="B290" s="1045"/>
      <c r="C290" s="1046"/>
      <c r="D290" s="154"/>
      <c r="E290" s="154">
        <v>0</v>
      </c>
      <c r="F290" s="155">
        <v>0</v>
      </c>
    </row>
    <row r="291" spans="2:6" ht="11.25">
      <c r="B291" s="156" t="s">
        <v>9264</v>
      </c>
      <c r="C291" s="156" t="s">
        <v>9264</v>
      </c>
      <c r="D291" s="156" t="s">
        <v>9264</v>
      </c>
      <c r="E291" s="156" t="s">
        <v>9264</v>
      </c>
      <c r="F291" s="156" t="s">
        <v>9264</v>
      </c>
    </row>
    <row r="292" spans="2:6" ht="11.25"/>
    <row r="293" spans="2:6" ht="11.25"/>
    <row r="294" spans="2:6" ht="11.25"/>
    <row r="295" spans="2:6" ht="23.25">
      <c r="B295" s="1044" t="s">
        <v>26088</v>
      </c>
      <c r="C295" s="142"/>
      <c r="D295" s="142"/>
      <c r="E295" s="142"/>
      <c r="F295" s="143"/>
    </row>
    <row r="296" spans="2:6" ht="11.25">
      <c r="B296" s="752" t="s">
        <v>25898</v>
      </c>
      <c r="C296" s="753" t="s">
        <v>3</v>
      </c>
      <c r="D296" s="753" t="s">
        <v>249</v>
      </c>
      <c r="E296" s="754" t="s">
        <v>252</v>
      </c>
      <c r="F296" s="755" t="s">
        <v>25899</v>
      </c>
    </row>
    <row r="297" spans="2:6" ht="11.25">
      <c r="B297" s="1024">
        <v>45901</v>
      </c>
      <c r="C297" s="1025" t="s">
        <v>18</v>
      </c>
      <c r="D297" s="1025" t="s">
        <v>57</v>
      </c>
      <c r="E297" s="1025">
        <v>1482339.75</v>
      </c>
      <c r="F297" s="1026" t="s">
        <v>26089</v>
      </c>
    </row>
    <row r="298" spans="2:6" ht="11.25">
      <c r="B298" s="1024">
        <v>45901</v>
      </c>
      <c r="C298" s="1025" t="s">
        <v>97</v>
      </c>
      <c r="D298" s="1025" t="s">
        <v>57</v>
      </c>
      <c r="E298" s="1025">
        <v>1710976.72</v>
      </c>
      <c r="F298" s="1026" t="s">
        <v>26089</v>
      </c>
    </row>
    <row r="299" spans="2:6" ht="11.25">
      <c r="B299" s="1024">
        <v>45901</v>
      </c>
      <c r="C299" s="1025" t="s">
        <v>107</v>
      </c>
      <c r="D299" s="1025" t="s">
        <v>57</v>
      </c>
      <c r="E299" s="1025">
        <v>1862545.85</v>
      </c>
      <c r="F299" s="1026" t="s">
        <v>26089</v>
      </c>
    </row>
    <row r="300" spans="2:6" ht="11.25">
      <c r="B300" s="1024">
        <v>45901</v>
      </c>
      <c r="C300" s="1025" t="s">
        <v>113</v>
      </c>
      <c r="D300" s="1025" t="s">
        <v>57</v>
      </c>
      <c r="E300" s="1025">
        <v>1595376.52</v>
      </c>
      <c r="F300" s="1026" t="s">
        <v>26089</v>
      </c>
    </row>
    <row r="301" spans="2:6" ht="11.25">
      <c r="B301" s="1024">
        <v>45901</v>
      </c>
      <c r="C301" s="1025" t="s">
        <v>122</v>
      </c>
      <c r="D301" s="1025" t="s">
        <v>57</v>
      </c>
      <c r="E301" s="1025">
        <v>1860191.44</v>
      </c>
      <c r="F301" s="1026" t="s">
        <v>26089</v>
      </c>
    </row>
    <row r="302" spans="2:6" ht="11.25">
      <c r="B302" s="1024"/>
      <c r="C302" s="1025"/>
      <c r="D302" s="1025"/>
      <c r="E302" s="1025"/>
      <c r="F302" s="1026"/>
    </row>
    <row r="303" spans="2:6" s="1027" customFormat="1" ht="11.25">
      <c r="B303" s="1024">
        <v>45901</v>
      </c>
      <c r="C303" s="1025" t="s">
        <v>13</v>
      </c>
      <c r="D303" s="1025" t="s">
        <v>92</v>
      </c>
      <c r="E303" s="1025">
        <v>426240</v>
      </c>
      <c r="F303" s="1026" t="s">
        <v>26089</v>
      </c>
    </row>
    <row r="304" spans="2:6" s="1027" customFormat="1" ht="11.25">
      <c r="B304" s="1024">
        <v>45901</v>
      </c>
      <c r="C304" s="1025" t="s">
        <v>18</v>
      </c>
      <c r="D304" s="1025" t="s">
        <v>92</v>
      </c>
      <c r="E304" s="1025">
        <v>339840</v>
      </c>
      <c r="F304" s="1026" t="s">
        <v>26089</v>
      </c>
    </row>
    <row r="305" spans="2:6" s="1027" customFormat="1" ht="11.25">
      <c r="B305" s="1024">
        <v>45901</v>
      </c>
      <c r="C305" s="1025" t="s">
        <v>97</v>
      </c>
      <c r="D305" s="1025" t="s">
        <v>92</v>
      </c>
      <c r="E305" s="1025">
        <v>368640</v>
      </c>
      <c r="F305" s="1026" t="s">
        <v>26089</v>
      </c>
    </row>
    <row r="306" spans="2:6" s="1027" customFormat="1" ht="11.25">
      <c r="B306" s="1024">
        <v>45901</v>
      </c>
      <c r="C306" s="1025" t="s">
        <v>107</v>
      </c>
      <c r="D306" s="1025" t="s">
        <v>92</v>
      </c>
      <c r="E306" s="1025">
        <v>449280</v>
      </c>
      <c r="F306" s="1026" t="s">
        <v>26089</v>
      </c>
    </row>
    <row r="307" spans="2:6" s="1027" customFormat="1" ht="11.25">
      <c r="B307" s="1024">
        <v>45901</v>
      </c>
      <c r="C307" s="1025" t="s">
        <v>113</v>
      </c>
      <c r="D307" s="1025" t="s">
        <v>92</v>
      </c>
      <c r="E307" s="1025">
        <v>368640</v>
      </c>
      <c r="F307" s="1026" t="s">
        <v>26089</v>
      </c>
    </row>
    <row r="308" spans="2:6" s="1027" customFormat="1" ht="11.25">
      <c r="B308" s="1024">
        <v>45901</v>
      </c>
      <c r="C308" s="1025" t="s">
        <v>122</v>
      </c>
      <c r="D308" s="1025" t="s">
        <v>92</v>
      </c>
      <c r="E308" s="1025">
        <v>455040</v>
      </c>
      <c r="F308" s="1026" t="s">
        <v>26089</v>
      </c>
    </row>
    <row r="309" spans="2:6" s="1027" customFormat="1" ht="11.25">
      <c r="B309" s="1024"/>
      <c r="C309" s="1025"/>
      <c r="D309" s="1025"/>
      <c r="E309" s="1025"/>
      <c r="F309" s="1026"/>
    </row>
    <row r="310" spans="2:6" s="1027" customFormat="1" ht="11.25">
      <c r="B310" s="1024">
        <v>45901</v>
      </c>
      <c r="C310" s="1025" t="s">
        <v>26090</v>
      </c>
      <c r="D310" s="1025" t="s">
        <v>71</v>
      </c>
      <c r="E310" s="1025">
        <v>176596.46000000089</v>
      </c>
      <c r="F310" s="1026" t="s">
        <v>26091</v>
      </c>
    </row>
    <row r="311" spans="2:6" s="1027" customFormat="1" ht="11.25">
      <c r="B311" s="1024"/>
      <c r="C311" s="1025"/>
      <c r="D311" s="1025"/>
      <c r="E311" s="1025"/>
      <c r="F311" s="1026"/>
    </row>
    <row r="312" spans="2:6" s="1027" customFormat="1" ht="11.25">
      <c r="B312" s="437">
        <v>45909</v>
      </c>
      <c r="C312" s="438" t="s">
        <v>97</v>
      </c>
      <c r="D312" s="442" t="s">
        <v>55</v>
      </c>
      <c r="E312" s="438">
        <v>15784</v>
      </c>
      <c r="F312" s="439" t="s">
        <v>26092</v>
      </c>
    </row>
    <row r="313" spans="2:6" s="1027" customFormat="1" ht="11.25">
      <c r="B313" s="437">
        <v>45909</v>
      </c>
      <c r="C313" s="438" t="s">
        <v>103</v>
      </c>
      <c r="D313" s="442" t="s">
        <v>55</v>
      </c>
      <c r="E313" s="438">
        <v>10634</v>
      </c>
      <c r="F313" s="439" t="s">
        <v>26092</v>
      </c>
    </row>
    <row r="314" spans="2:6" s="1027" customFormat="1" ht="11.25">
      <c r="B314" s="437">
        <v>45909</v>
      </c>
      <c r="C314" s="438" t="s">
        <v>104</v>
      </c>
      <c r="D314" s="442" t="s">
        <v>55</v>
      </c>
      <c r="E314" s="438">
        <v>10634</v>
      </c>
      <c r="F314" s="439" t="s">
        <v>26092</v>
      </c>
    </row>
    <row r="315" spans="2:6" s="1027" customFormat="1" ht="11.25">
      <c r="B315" s="437">
        <v>45909</v>
      </c>
      <c r="C315" s="438" t="s">
        <v>107</v>
      </c>
      <c r="D315" s="442" t="s">
        <v>55</v>
      </c>
      <c r="E315" s="438">
        <v>10800</v>
      </c>
      <c r="F315" s="439" t="s">
        <v>26092</v>
      </c>
    </row>
    <row r="316" spans="2:6" s="1027" customFormat="1" ht="11.25">
      <c r="B316" s="437">
        <v>45909</v>
      </c>
      <c r="C316" s="438" t="s">
        <v>113</v>
      </c>
      <c r="D316" s="442" t="s">
        <v>55</v>
      </c>
      <c r="E316" s="438">
        <v>56147</v>
      </c>
      <c r="F316" s="439" t="s">
        <v>26092</v>
      </c>
    </row>
    <row r="317" spans="2:6" s="1027" customFormat="1" ht="11.25">
      <c r="B317" s="437">
        <v>45909</v>
      </c>
      <c r="C317" s="438" t="s">
        <v>119</v>
      </c>
      <c r="D317" s="442" t="s">
        <v>55</v>
      </c>
      <c r="E317" s="438">
        <v>14384</v>
      </c>
      <c r="F317" s="439" t="s">
        <v>26092</v>
      </c>
    </row>
    <row r="318" spans="2:6" s="1027" customFormat="1" ht="11.25">
      <c r="B318" s="1024"/>
      <c r="C318" s="1025"/>
      <c r="D318" s="1025"/>
      <c r="E318" s="1025"/>
      <c r="F318" s="1026"/>
    </row>
    <row r="319" spans="2:6" s="1027" customFormat="1" ht="11.25">
      <c r="B319" s="437">
        <v>45909</v>
      </c>
      <c r="C319" s="438" t="s">
        <v>14</v>
      </c>
      <c r="D319" s="442" t="s">
        <v>94</v>
      </c>
      <c r="E319" s="438">
        <v>508470.12</v>
      </c>
      <c r="F319" s="439" t="s">
        <v>26093</v>
      </c>
    </row>
    <row r="320" spans="2:6" s="1027" customFormat="1" ht="11.25">
      <c r="B320" s="437">
        <v>45909</v>
      </c>
      <c r="C320" s="438" t="s">
        <v>49</v>
      </c>
      <c r="D320" s="442" t="s">
        <v>94</v>
      </c>
      <c r="E320" s="438">
        <v>644062</v>
      </c>
      <c r="F320" s="439" t="s">
        <v>26093</v>
      </c>
    </row>
    <row r="321" spans="2:6" s="1027" customFormat="1" ht="11.25">
      <c r="B321" s="437">
        <v>45909</v>
      </c>
      <c r="C321" s="438" t="s">
        <v>90</v>
      </c>
      <c r="D321" s="442" t="s">
        <v>94</v>
      </c>
      <c r="E321" s="438">
        <v>508470</v>
      </c>
      <c r="F321" s="439" t="s">
        <v>26093</v>
      </c>
    </row>
    <row r="322" spans="2:6" s="1027" customFormat="1" ht="11.25">
      <c r="B322" s="437">
        <v>45909</v>
      </c>
      <c r="C322" s="438" t="s">
        <v>99</v>
      </c>
      <c r="D322" s="442" t="s">
        <v>94</v>
      </c>
      <c r="E322" s="438">
        <v>338980</v>
      </c>
      <c r="F322" s="439" t="s">
        <v>26093</v>
      </c>
    </row>
    <row r="323" spans="2:6" s="1027" customFormat="1" ht="11.25">
      <c r="B323" s="1024"/>
      <c r="C323" s="1025"/>
      <c r="D323" s="1025"/>
      <c r="E323" s="1025"/>
      <c r="F323" s="1026"/>
    </row>
    <row r="324" spans="2:6" ht="11.25">
      <c r="B324" s="437">
        <v>45909</v>
      </c>
      <c r="C324" s="438" t="s">
        <v>97</v>
      </c>
      <c r="D324" s="442" t="s">
        <v>65</v>
      </c>
      <c r="E324" s="438">
        <v>13000</v>
      </c>
      <c r="F324" s="439" t="s">
        <v>26094</v>
      </c>
    </row>
    <row r="325" spans="2:6" ht="11.25">
      <c r="B325" s="437">
        <v>45909</v>
      </c>
      <c r="C325" s="438" t="s">
        <v>97</v>
      </c>
      <c r="D325" s="442" t="s">
        <v>65</v>
      </c>
      <c r="E325" s="438">
        <v>46600</v>
      </c>
      <c r="F325" s="1047" t="s">
        <v>26095</v>
      </c>
    </row>
    <row r="326" spans="2:6" ht="11.25">
      <c r="B326" s="437">
        <v>45909</v>
      </c>
      <c r="C326" s="438" t="s">
        <v>97</v>
      </c>
      <c r="D326" s="442" t="s">
        <v>65</v>
      </c>
      <c r="E326" s="438">
        <v>1000</v>
      </c>
      <c r="F326" s="439" t="s">
        <v>26096</v>
      </c>
    </row>
    <row r="327" spans="2:6" ht="11.25">
      <c r="B327" s="437">
        <v>45909</v>
      </c>
      <c r="C327" s="438" t="s">
        <v>97</v>
      </c>
      <c r="D327" s="442" t="s">
        <v>65</v>
      </c>
      <c r="E327" s="438">
        <v>8000</v>
      </c>
      <c r="F327" s="439" t="s">
        <v>26097</v>
      </c>
    </row>
    <row r="328" spans="2:6" ht="11.25">
      <c r="B328" s="437">
        <v>45909</v>
      </c>
      <c r="C328" s="438" t="s">
        <v>97</v>
      </c>
      <c r="D328" s="442" t="s">
        <v>65</v>
      </c>
      <c r="E328" s="442">
        <v>5000</v>
      </c>
      <c r="F328" s="439" t="s">
        <v>26098</v>
      </c>
    </row>
    <row r="329" spans="2:6" ht="11.25">
      <c r="B329" s="437">
        <v>45909</v>
      </c>
      <c r="C329" s="438" t="s">
        <v>100</v>
      </c>
      <c r="D329" s="442" t="s">
        <v>65</v>
      </c>
      <c r="E329" s="438">
        <v>13000</v>
      </c>
      <c r="F329" s="439" t="s">
        <v>26094</v>
      </c>
    </row>
    <row r="330" spans="2:6" ht="11.25">
      <c r="B330" s="437">
        <v>45909</v>
      </c>
      <c r="C330" s="438" t="s">
        <v>100</v>
      </c>
      <c r="D330" s="442" t="s">
        <v>65</v>
      </c>
      <c r="E330" s="438">
        <v>8000</v>
      </c>
      <c r="F330" s="439" t="s">
        <v>26097</v>
      </c>
    </row>
    <row r="331" spans="2:6" ht="11.25">
      <c r="B331" s="437">
        <v>45909</v>
      </c>
      <c r="C331" s="438" t="s">
        <v>101</v>
      </c>
      <c r="D331" s="442" t="s">
        <v>65</v>
      </c>
      <c r="E331" s="438">
        <v>13000</v>
      </c>
      <c r="F331" s="439" t="s">
        <v>26094</v>
      </c>
    </row>
    <row r="332" spans="2:6" ht="11.25">
      <c r="B332" s="437">
        <v>45909</v>
      </c>
      <c r="C332" s="438" t="s">
        <v>102</v>
      </c>
      <c r="D332" s="442" t="s">
        <v>65</v>
      </c>
      <c r="E332" s="438">
        <v>13000</v>
      </c>
      <c r="F332" s="439" t="s">
        <v>26094</v>
      </c>
    </row>
    <row r="333" spans="2:6" ht="11.25">
      <c r="B333" s="437">
        <v>45909</v>
      </c>
      <c r="C333" s="438" t="s">
        <v>47</v>
      </c>
      <c r="D333" s="442" t="s">
        <v>65</v>
      </c>
      <c r="E333" s="438">
        <v>13000</v>
      </c>
      <c r="F333" s="439" t="s">
        <v>26094</v>
      </c>
    </row>
    <row r="334" spans="2:6" ht="11.25">
      <c r="B334" s="437">
        <v>45909</v>
      </c>
      <c r="C334" s="438" t="s">
        <v>47</v>
      </c>
      <c r="D334" s="442" t="s">
        <v>65</v>
      </c>
      <c r="E334" s="438">
        <v>8000</v>
      </c>
      <c r="F334" s="439" t="s">
        <v>26097</v>
      </c>
    </row>
    <row r="335" spans="2:6" ht="11.25">
      <c r="B335" s="437">
        <v>45909</v>
      </c>
      <c r="C335" s="438" t="s">
        <v>52</v>
      </c>
      <c r="D335" s="442" t="s">
        <v>65</v>
      </c>
      <c r="E335" s="438">
        <v>13000</v>
      </c>
      <c r="F335" s="439" t="s">
        <v>26094</v>
      </c>
    </row>
    <row r="336" spans="2:6" ht="11.25">
      <c r="B336" s="437">
        <v>45909</v>
      </c>
      <c r="C336" s="438" t="s">
        <v>52</v>
      </c>
      <c r="D336" s="442" t="s">
        <v>65</v>
      </c>
      <c r="E336" s="438">
        <v>8000</v>
      </c>
      <c r="F336" s="439" t="s">
        <v>26097</v>
      </c>
    </row>
    <row r="337" spans="2:6" ht="11.25">
      <c r="B337" s="437">
        <v>45909</v>
      </c>
      <c r="C337" s="438" t="s">
        <v>103</v>
      </c>
      <c r="D337" s="442" t="s">
        <v>65</v>
      </c>
      <c r="E337" s="438">
        <v>5000</v>
      </c>
      <c r="F337" s="439" t="s">
        <v>26099</v>
      </c>
    </row>
    <row r="338" spans="2:6" ht="11.25">
      <c r="B338" s="437">
        <v>45909</v>
      </c>
      <c r="C338" s="438" t="s">
        <v>103</v>
      </c>
      <c r="D338" s="442" t="s">
        <v>65</v>
      </c>
      <c r="E338" s="438">
        <v>9812.0400000000009</v>
      </c>
      <c r="F338" s="439" t="s">
        <v>26100</v>
      </c>
    </row>
    <row r="339" spans="2:6" ht="11.25">
      <c r="B339" s="437">
        <v>45909</v>
      </c>
      <c r="C339" s="438" t="s">
        <v>103</v>
      </c>
      <c r="D339" s="442" t="s">
        <v>65</v>
      </c>
      <c r="E339" s="438">
        <v>13000</v>
      </c>
      <c r="F339" s="439" t="s">
        <v>26094</v>
      </c>
    </row>
    <row r="340" spans="2:6" ht="11.25">
      <c r="B340" s="437">
        <v>45909</v>
      </c>
      <c r="C340" s="438" t="s">
        <v>103</v>
      </c>
      <c r="D340" s="442" t="s">
        <v>65</v>
      </c>
      <c r="E340" s="438">
        <v>5000</v>
      </c>
      <c r="F340" s="439" t="s">
        <v>26101</v>
      </c>
    </row>
    <row r="341" spans="2:6" ht="11.25">
      <c r="B341" s="437">
        <v>45909</v>
      </c>
      <c r="C341" s="438" t="s">
        <v>103</v>
      </c>
      <c r="D341" s="442" t="s">
        <v>65</v>
      </c>
      <c r="E341" s="438">
        <v>1000</v>
      </c>
      <c r="F341" s="439" t="s">
        <v>26102</v>
      </c>
    </row>
    <row r="342" spans="2:6" ht="11.25">
      <c r="B342" s="437">
        <v>45909</v>
      </c>
      <c r="C342" s="438" t="s">
        <v>103</v>
      </c>
      <c r="D342" s="442" t="s">
        <v>65</v>
      </c>
      <c r="E342" s="438">
        <v>1000</v>
      </c>
      <c r="F342" s="439" t="s">
        <v>26103</v>
      </c>
    </row>
    <row r="343" spans="2:6" ht="11.25">
      <c r="B343" s="437">
        <v>45909</v>
      </c>
      <c r="C343" s="438" t="s">
        <v>103</v>
      </c>
      <c r="D343" s="442" t="s">
        <v>65</v>
      </c>
      <c r="E343" s="438">
        <v>3000</v>
      </c>
      <c r="F343" s="439" t="s">
        <v>26104</v>
      </c>
    </row>
    <row r="344" spans="2:6" ht="11.25">
      <c r="B344" s="437">
        <v>45909</v>
      </c>
      <c r="C344" s="438" t="s">
        <v>103</v>
      </c>
      <c r="D344" s="442" t="s">
        <v>65</v>
      </c>
      <c r="E344" s="438">
        <v>1000</v>
      </c>
      <c r="F344" s="439" t="s">
        <v>26105</v>
      </c>
    </row>
    <row r="345" spans="2:6" ht="11.25">
      <c r="B345" s="437">
        <v>45909</v>
      </c>
      <c r="C345" s="438" t="s">
        <v>103</v>
      </c>
      <c r="D345" s="442" t="s">
        <v>65</v>
      </c>
      <c r="E345" s="438">
        <v>7000</v>
      </c>
      <c r="F345" s="439" t="s">
        <v>26106</v>
      </c>
    </row>
    <row r="346" spans="2:6" ht="11.25">
      <c r="B346" s="437">
        <v>45909</v>
      </c>
      <c r="C346" s="438" t="s">
        <v>103</v>
      </c>
      <c r="D346" s="442" t="s">
        <v>65</v>
      </c>
      <c r="E346" s="438">
        <v>5000</v>
      </c>
      <c r="F346" s="439" t="s">
        <v>26107</v>
      </c>
    </row>
    <row r="347" spans="2:6" ht="11.25">
      <c r="B347" s="437">
        <v>45909</v>
      </c>
      <c r="C347" s="438" t="s">
        <v>103</v>
      </c>
      <c r="D347" s="442" t="s">
        <v>65</v>
      </c>
      <c r="E347" s="438">
        <v>1000</v>
      </c>
      <c r="F347" s="439" t="s">
        <v>26108</v>
      </c>
    </row>
    <row r="348" spans="2:6" ht="11.25">
      <c r="B348" s="437">
        <v>45909</v>
      </c>
      <c r="C348" s="438" t="s">
        <v>103</v>
      </c>
      <c r="D348" s="442" t="s">
        <v>65</v>
      </c>
      <c r="E348" s="438">
        <v>20000</v>
      </c>
      <c r="F348" s="439" t="s">
        <v>26109</v>
      </c>
    </row>
    <row r="349" spans="2:6" ht="11.25">
      <c r="B349" s="437">
        <v>45909</v>
      </c>
      <c r="C349" s="438" t="s">
        <v>103</v>
      </c>
      <c r="D349" s="442" t="s">
        <v>65</v>
      </c>
      <c r="E349" s="438">
        <v>2000</v>
      </c>
      <c r="F349" s="439" t="s">
        <v>26110</v>
      </c>
    </row>
    <row r="350" spans="2:6" ht="11.25">
      <c r="B350" s="437">
        <v>45909</v>
      </c>
      <c r="C350" s="438" t="s">
        <v>103</v>
      </c>
      <c r="D350" s="442" t="s">
        <v>65</v>
      </c>
      <c r="E350" s="438">
        <v>5000</v>
      </c>
      <c r="F350" s="439" t="s">
        <v>26111</v>
      </c>
    </row>
    <row r="351" spans="2:6" ht="11.25">
      <c r="B351" s="437">
        <v>45909</v>
      </c>
      <c r="C351" s="438" t="s">
        <v>103</v>
      </c>
      <c r="D351" s="442" t="s">
        <v>65</v>
      </c>
      <c r="E351" s="438">
        <v>10000</v>
      </c>
      <c r="F351" s="439" t="s">
        <v>26112</v>
      </c>
    </row>
    <row r="352" spans="2:6" ht="11.25">
      <c r="B352" s="437">
        <v>45909</v>
      </c>
      <c r="C352" s="438" t="s">
        <v>103</v>
      </c>
      <c r="D352" s="442" t="s">
        <v>65</v>
      </c>
      <c r="E352" s="438">
        <v>500</v>
      </c>
      <c r="F352" s="439" t="s">
        <v>26113</v>
      </c>
    </row>
    <row r="353" spans="2:6" ht="11.25">
      <c r="B353" s="437">
        <v>45909</v>
      </c>
      <c r="C353" s="438" t="s">
        <v>103</v>
      </c>
      <c r="D353" s="442" t="s">
        <v>65</v>
      </c>
      <c r="E353" s="438">
        <v>8000</v>
      </c>
      <c r="F353" s="439" t="s">
        <v>26097</v>
      </c>
    </row>
    <row r="354" spans="2:6" ht="11.25">
      <c r="B354" s="437">
        <v>45909</v>
      </c>
      <c r="C354" s="438" t="s">
        <v>104</v>
      </c>
      <c r="D354" s="442" t="s">
        <v>65</v>
      </c>
      <c r="E354" s="438">
        <v>40000</v>
      </c>
      <c r="F354" s="439" t="s">
        <v>26114</v>
      </c>
    </row>
    <row r="355" spans="2:6" ht="11.25">
      <c r="B355" s="437">
        <v>45909</v>
      </c>
      <c r="C355" s="438" t="s">
        <v>104</v>
      </c>
      <c r="D355" s="442" t="s">
        <v>65</v>
      </c>
      <c r="E355" s="438">
        <v>43786.080000000002</v>
      </c>
      <c r="F355" s="439" t="s">
        <v>26100</v>
      </c>
    </row>
    <row r="356" spans="2:6" ht="11.25">
      <c r="B356" s="437">
        <v>45909</v>
      </c>
      <c r="C356" s="438" t="s">
        <v>104</v>
      </c>
      <c r="D356" s="442" t="s">
        <v>65</v>
      </c>
      <c r="E356" s="438">
        <v>13000</v>
      </c>
      <c r="F356" s="439" t="s">
        <v>26094</v>
      </c>
    </row>
    <row r="357" spans="2:6" ht="11.25">
      <c r="B357" s="437">
        <v>45909</v>
      </c>
      <c r="C357" s="438" t="s">
        <v>104</v>
      </c>
      <c r="D357" s="442" t="s">
        <v>65</v>
      </c>
      <c r="E357" s="438">
        <v>5000</v>
      </c>
      <c r="F357" s="1047" t="s">
        <v>26115</v>
      </c>
    </row>
    <row r="358" spans="2:6" ht="11.25">
      <c r="B358" s="437">
        <v>45909</v>
      </c>
      <c r="C358" s="438" t="s">
        <v>104</v>
      </c>
      <c r="D358" s="442" t="s">
        <v>65</v>
      </c>
      <c r="E358" s="438">
        <v>69900</v>
      </c>
      <c r="F358" s="439" t="s">
        <v>26095</v>
      </c>
    </row>
    <row r="359" spans="2:6" ht="11.25">
      <c r="B359" s="437">
        <v>45909</v>
      </c>
      <c r="C359" s="438" t="s">
        <v>105</v>
      </c>
      <c r="D359" s="442" t="s">
        <v>65</v>
      </c>
      <c r="E359" s="438">
        <v>13000</v>
      </c>
      <c r="F359" s="439" t="s">
        <v>26094</v>
      </c>
    </row>
    <row r="360" spans="2:6" ht="11.25">
      <c r="B360" s="437">
        <v>45909</v>
      </c>
      <c r="C360" s="438" t="s">
        <v>106</v>
      </c>
      <c r="D360" s="442" t="s">
        <v>65</v>
      </c>
      <c r="E360" s="438">
        <v>13000</v>
      </c>
      <c r="F360" s="439" t="s">
        <v>26094</v>
      </c>
    </row>
    <row r="361" spans="2:6" ht="11.25">
      <c r="B361" s="437">
        <v>45909</v>
      </c>
      <c r="C361" s="438" t="s">
        <v>107</v>
      </c>
      <c r="D361" s="442" t="s">
        <v>65</v>
      </c>
      <c r="E361" s="438">
        <v>3000</v>
      </c>
      <c r="F361" s="439" t="s">
        <v>26116</v>
      </c>
    </row>
    <row r="362" spans="2:6" ht="11.25">
      <c r="B362" s="437">
        <v>45909</v>
      </c>
      <c r="C362" s="438" t="s">
        <v>107</v>
      </c>
      <c r="D362" s="442" t="s">
        <v>65</v>
      </c>
      <c r="E362" s="438">
        <v>5000</v>
      </c>
      <c r="F362" s="439" t="s">
        <v>26117</v>
      </c>
    </row>
    <row r="363" spans="2:6" ht="11.25">
      <c r="B363" s="437">
        <v>45909</v>
      </c>
      <c r="C363" s="438" t="s">
        <v>107</v>
      </c>
      <c r="D363" s="442" t="s">
        <v>65</v>
      </c>
      <c r="E363" s="438">
        <v>13000</v>
      </c>
      <c r="F363" s="439" t="s">
        <v>26094</v>
      </c>
    </row>
    <row r="364" spans="2:6" ht="11.25">
      <c r="B364" s="437">
        <v>45909</v>
      </c>
      <c r="C364" s="438" t="s">
        <v>107</v>
      </c>
      <c r="D364" s="442" t="s">
        <v>65</v>
      </c>
      <c r="E364" s="438">
        <v>5000</v>
      </c>
      <c r="F364" s="439" t="s">
        <v>26118</v>
      </c>
    </row>
    <row r="365" spans="2:6" ht="11.25">
      <c r="B365" s="437">
        <v>45909</v>
      </c>
      <c r="C365" s="438" t="s">
        <v>107</v>
      </c>
      <c r="D365" s="442" t="s">
        <v>65</v>
      </c>
      <c r="E365" s="438">
        <v>4000</v>
      </c>
      <c r="F365" s="439" t="s">
        <v>26119</v>
      </c>
    </row>
    <row r="366" spans="2:6" ht="11.25">
      <c r="B366" s="437">
        <v>45909</v>
      </c>
      <c r="C366" s="438" t="s">
        <v>107</v>
      </c>
      <c r="D366" s="442" t="s">
        <v>65</v>
      </c>
      <c r="E366" s="438">
        <v>3000</v>
      </c>
      <c r="F366" s="439" t="s">
        <v>26120</v>
      </c>
    </row>
    <row r="367" spans="2:6" ht="11.25">
      <c r="B367" s="437">
        <v>45909</v>
      </c>
      <c r="C367" s="438" t="s">
        <v>107</v>
      </c>
      <c r="D367" s="442" t="s">
        <v>65</v>
      </c>
      <c r="E367" s="438">
        <v>93200</v>
      </c>
      <c r="F367" s="1047" t="s">
        <v>26095</v>
      </c>
    </row>
    <row r="368" spans="2:6" ht="11.25">
      <c r="B368" s="437">
        <v>45909</v>
      </c>
      <c r="C368" s="438" t="s">
        <v>107</v>
      </c>
      <c r="D368" s="442" t="s">
        <v>65</v>
      </c>
      <c r="E368" s="438">
        <v>3000</v>
      </c>
      <c r="F368" s="439" t="s">
        <v>26121</v>
      </c>
    </row>
    <row r="369" spans="2:6" ht="11.25">
      <c r="B369" s="437">
        <v>45909</v>
      </c>
      <c r="C369" s="438" t="s">
        <v>104</v>
      </c>
      <c r="D369" s="442" t="s">
        <v>65</v>
      </c>
      <c r="E369" s="438">
        <v>8000</v>
      </c>
      <c r="F369" s="439" t="s">
        <v>26097</v>
      </c>
    </row>
    <row r="370" spans="2:6" ht="11.25">
      <c r="B370" s="437">
        <v>45909</v>
      </c>
      <c r="C370" s="438" t="s">
        <v>107</v>
      </c>
      <c r="D370" s="442" t="s">
        <v>65</v>
      </c>
      <c r="E370" s="438">
        <v>8000</v>
      </c>
      <c r="F370" s="439" t="s">
        <v>26097</v>
      </c>
    </row>
    <row r="371" spans="2:6" ht="11.25">
      <c r="B371" s="437">
        <v>45909</v>
      </c>
      <c r="C371" s="438" t="s">
        <v>108</v>
      </c>
      <c r="D371" s="442" t="s">
        <v>65</v>
      </c>
      <c r="E371" s="438">
        <v>13000</v>
      </c>
      <c r="F371" s="439" t="s">
        <v>26094</v>
      </c>
    </row>
    <row r="372" spans="2:6" ht="11.25">
      <c r="B372" s="437">
        <v>45909</v>
      </c>
      <c r="C372" s="438" t="s">
        <v>109</v>
      </c>
      <c r="D372" s="442" t="s">
        <v>65</v>
      </c>
      <c r="E372" s="438">
        <v>13000</v>
      </c>
      <c r="F372" s="439" t="s">
        <v>26094</v>
      </c>
    </row>
    <row r="373" spans="2:6" ht="11.25">
      <c r="B373" s="437">
        <v>45909</v>
      </c>
      <c r="C373" s="438" t="s">
        <v>13</v>
      </c>
      <c r="D373" s="442" t="s">
        <v>65</v>
      </c>
      <c r="E373" s="438">
        <v>3000</v>
      </c>
      <c r="F373" s="439" t="s">
        <v>26122</v>
      </c>
    </row>
    <row r="374" spans="2:6" ht="11.25">
      <c r="B374" s="437">
        <v>45909</v>
      </c>
      <c r="C374" s="438" t="s">
        <v>13</v>
      </c>
      <c r="D374" s="442" t="s">
        <v>65</v>
      </c>
      <c r="E374" s="438">
        <v>13000</v>
      </c>
      <c r="F374" s="439" t="s">
        <v>26094</v>
      </c>
    </row>
    <row r="375" spans="2:6" ht="11.25">
      <c r="B375" s="437">
        <v>45909</v>
      </c>
      <c r="C375" s="438" t="s">
        <v>13</v>
      </c>
      <c r="D375" s="442" t="s">
        <v>65</v>
      </c>
      <c r="E375" s="438">
        <v>25000</v>
      </c>
      <c r="F375" s="439" t="s">
        <v>26123</v>
      </c>
    </row>
    <row r="376" spans="2:6" ht="11.25">
      <c r="B376" s="437">
        <v>45909</v>
      </c>
      <c r="C376" s="438" t="s">
        <v>13</v>
      </c>
      <c r="D376" s="442" t="s">
        <v>65</v>
      </c>
      <c r="E376" s="438">
        <v>10000</v>
      </c>
      <c r="F376" s="439" t="s">
        <v>26124</v>
      </c>
    </row>
    <row r="377" spans="2:6" ht="11.25">
      <c r="B377" s="437">
        <v>45909</v>
      </c>
      <c r="C377" s="438" t="s">
        <v>13</v>
      </c>
      <c r="D377" s="442" t="s">
        <v>65</v>
      </c>
      <c r="E377" s="438">
        <v>8000</v>
      </c>
      <c r="F377" s="439" t="s">
        <v>26097</v>
      </c>
    </row>
    <row r="378" spans="2:6" ht="11.25">
      <c r="B378" s="437">
        <v>45909</v>
      </c>
      <c r="C378" s="438" t="s">
        <v>18</v>
      </c>
      <c r="D378" s="442" t="s">
        <v>65</v>
      </c>
      <c r="E378" s="438">
        <v>13000</v>
      </c>
      <c r="F378" s="439" t="s">
        <v>26094</v>
      </c>
    </row>
    <row r="379" spans="2:6" ht="11.25">
      <c r="B379" s="437">
        <v>45909</v>
      </c>
      <c r="C379" s="438" t="s">
        <v>18</v>
      </c>
      <c r="D379" s="442" t="s">
        <v>65</v>
      </c>
      <c r="E379" s="438">
        <v>25000</v>
      </c>
      <c r="F379" s="439" t="s">
        <v>26123</v>
      </c>
    </row>
    <row r="380" spans="2:6" ht="11.25">
      <c r="B380" s="437">
        <v>45909</v>
      </c>
      <c r="C380" s="438" t="s">
        <v>18</v>
      </c>
      <c r="D380" s="442" t="s">
        <v>65</v>
      </c>
      <c r="E380" s="438">
        <v>8000</v>
      </c>
      <c r="F380" s="439" t="s">
        <v>26097</v>
      </c>
    </row>
    <row r="381" spans="2:6" ht="11.25">
      <c r="B381" s="437">
        <v>45909</v>
      </c>
      <c r="C381" s="438" t="s">
        <v>68</v>
      </c>
      <c r="D381" s="442" t="s">
        <v>65</v>
      </c>
      <c r="E381" s="438">
        <v>13000</v>
      </c>
      <c r="F381" s="439" t="s">
        <v>26094</v>
      </c>
    </row>
    <row r="382" spans="2:6" ht="11.25">
      <c r="B382" s="437">
        <v>45909</v>
      </c>
      <c r="C382" s="438" t="s">
        <v>68</v>
      </c>
      <c r="D382" s="442" t="s">
        <v>65</v>
      </c>
      <c r="E382" s="438">
        <v>8000</v>
      </c>
      <c r="F382" s="439" t="s">
        <v>26097</v>
      </c>
    </row>
    <row r="383" spans="2:6" ht="11.25">
      <c r="B383" s="437">
        <v>45909</v>
      </c>
      <c r="C383" s="438" t="s">
        <v>70</v>
      </c>
      <c r="D383" s="442" t="s">
        <v>65</v>
      </c>
      <c r="E383" s="438">
        <v>13000</v>
      </c>
      <c r="F383" s="439" t="s">
        <v>26094</v>
      </c>
    </row>
    <row r="384" spans="2:6" ht="11.25">
      <c r="B384" s="437">
        <v>45909</v>
      </c>
      <c r="C384" s="438" t="s">
        <v>70</v>
      </c>
      <c r="D384" s="442" t="s">
        <v>65</v>
      </c>
      <c r="E384" s="438">
        <v>8000</v>
      </c>
      <c r="F384" s="439" t="s">
        <v>26097</v>
      </c>
    </row>
    <row r="385" spans="2:6" ht="11.25">
      <c r="B385" s="437">
        <v>45909</v>
      </c>
      <c r="C385" s="438" t="s">
        <v>72</v>
      </c>
      <c r="D385" s="442" t="s">
        <v>65</v>
      </c>
      <c r="E385" s="438">
        <v>13000</v>
      </c>
      <c r="F385" s="439" t="s">
        <v>26094</v>
      </c>
    </row>
    <row r="386" spans="2:6" ht="11.25">
      <c r="B386" s="437">
        <v>45909</v>
      </c>
      <c r="C386" s="438" t="s">
        <v>72</v>
      </c>
      <c r="D386" s="442" t="s">
        <v>65</v>
      </c>
      <c r="E386" s="438">
        <v>8000</v>
      </c>
      <c r="F386" s="439" t="s">
        <v>26097</v>
      </c>
    </row>
    <row r="387" spans="2:6" ht="11.25">
      <c r="B387" s="437">
        <v>45909</v>
      </c>
      <c r="C387" s="438" t="s">
        <v>110</v>
      </c>
      <c r="D387" s="442" t="s">
        <v>65</v>
      </c>
      <c r="E387" s="438">
        <v>13000</v>
      </c>
      <c r="F387" s="439" t="s">
        <v>26094</v>
      </c>
    </row>
    <row r="388" spans="2:6" ht="11.25">
      <c r="B388" s="437">
        <v>45909</v>
      </c>
      <c r="C388" s="438" t="s">
        <v>110</v>
      </c>
      <c r="D388" s="442" t="s">
        <v>65</v>
      </c>
      <c r="E388" s="438">
        <v>15000</v>
      </c>
      <c r="F388" s="439" t="s">
        <v>26125</v>
      </c>
    </row>
    <row r="389" spans="2:6" ht="11.25">
      <c r="B389" s="437">
        <v>45909</v>
      </c>
      <c r="C389" s="438" t="s">
        <v>110</v>
      </c>
      <c r="D389" s="442" t="s">
        <v>65</v>
      </c>
      <c r="E389" s="438">
        <v>3000</v>
      </c>
      <c r="F389" s="439" t="s">
        <v>26126</v>
      </c>
    </row>
    <row r="390" spans="2:6" ht="11.25">
      <c r="B390" s="437">
        <v>45909</v>
      </c>
      <c r="C390" s="438" t="s">
        <v>110</v>
      </c>
      <c r="D390" s="442" t="s">
        <v>65</v>
      </c>
      <c r="E390" s="438">
        <v>20000</v>
      </c>
      <c r="F390" s="439" t="s">
        <v>26127</v>
      </c>
    </row>
    <row r="391" spans="2:6" ht="11.25">
      <c r="B391" s="437">
        <v>45909</v>
      </c>
      <c r="C391" s="438" t="s">
        <v>110</v>
      </c>
      <c r="D391" s="442" t="s">
        <v>65</v>
      </c>
      <c r="E391" s="438">
        <v>5000</v>
      </c>
      <c r="F391" s="439" t="s">
        <v>25999</v>
      </c>
    </row>
    <row r="392" spans="2:6" ht="11.25">
      <c r="B392" s="437">
        <v>45909</v>
      </c>
      <c r="C392" s="438" t="s">
        <v>110</v>
      </c>
      <c r="D392" s="442" t="s">
        <v>65</v>
      </c>
      <c r="E392" s="438">
        <v>15000</v>
      </c>
      <c r="F392" s="439" t="s">
        <v>26128</v>
      </c>
    </row>
    <row r="393" spans="2:6" ht="11.25">
      <c r="B393" s="437">
        <v>45909</v>
      </c>
      <c r="C393" s="438" t="s">
        <v>110</v>
      </c>
      <c r="D393" s="442" t="s">
        <v>65</v>
      </c>
      <c r="E393" s="438">
        <v>7000</v>
      </c>
      <c r="F393" s="439" t="s">
        <v>26129</v>
      </c>
    </row>
    <row r="394" spans="2:6" ht="11.25">
      <c r="B394" s="437">
        <v>45909</v>
      </c>
      <c r="C394" s="438" t="s">
        <v>110</v>
      </c>
      <c r="D394" s="442" t="s">
        <v>65</v>
      </c>
      <c r="E394" s="438">
        <v>12000</v>
      </c>
      <c r="F394" s="439" t="s">
        <v>26130</v>
      </c>
    </row>
    <row r="395" spans="2:6" ht="11.25">
      <c r="B395" s="437">
        <v>45909</v>
      </c>
      <c r="C395" s="438" t="s">
        <v>110</v>
      </c>
      <c r="D395" s="442" t="s">
        <v>65</v>
      </c>
      <c r="E395" s="438">
        <v>1000</v>
      </c>
      <c r="F395" s="439" t="s">
        <v>26131</v>
      </c>
    </row>
    <row r="396" spans="2:6" ht="11.25">
      <c r="B396" s="437">
        <v>45909</v>
      </c>
      <c r="C396" s="438" t="s">
        <v>110</v>
      </c>
      <c r="D396" s="442" t="s">
        <v>65</v>
      </c>
      <c r="E396" s="438">
        <v>116500</v>
      </c>
      <c r="F396" s="439" t="s">
        <v>26095</v>
      </c>
    </row>
    <row r="397" spans="2:6" ht="11.25">
      <c r="B397" s="437">
        <v>45909</v>
      </c>
      <c r="C397" s="438" t="s">
        <v>110</v>
      </c>
      <c r="D397" s="442" t="s">
        <v>65</v>
      </c>
      <c r="E397" s="438">
        <v>8000</v>
      </c>
      <c r="F397" s="1047" t="s">
        <v>26097</v>
      </c>
    </row>
    <row r="398" spans="2:6" ht="11.25">
      <c r="B398" s="437">
        <v>45909</v>
      </c>
      <c r="C398" s="438" t="s">
        <v>12567</v>
      </c>
      <c r="D398" s="442" t="s">
        <v>65</v>
      </c>
      <c r="E398" s="438">
        <v>13000</v>
      </c>
      <c r="F398" s="439" t="s">
        <v>26094</v>
      </c>
    </row>
    <row r="399" spans="2:6" ht="11.25">
      <c r="B399" s="437">
        <v>45909</v>
      </c>
      <c r="C399" s="438" t="s">
        <v>26132</v>
      </c>
      <c r="D399" s="442" t="s">
        <v>65</v>
      </c>
      <c r="E399" s="438">
        <v>13000</v>
      </c>
      <c r="F399" s="439" t="s">
        <v>26094</v>
      </c>
    </row>
    <row r="400" spans="2:6" ht="11.25">
      <c r="B400" s="437">
        <v>45909</v>
      </c>
      <c r="C400" s="438" t="s">
        <v>56</v>
      </c>
      <c r="D400" s="442" t="s">
        <v>65</v>
      </c>
      <c r="E400" s="438">
        <v>13000</v>
      </c>
      <c r="F400" s="439" t="s">
        <v>26094</v>
      </c>
    </row>
    <row r="401" spans="2:6" ht="11.25">
      <c r="B401" s="437">
        <v>45909</v>
      </c>
      <c r="C401" s="438" t="s">
        <v>58</v>
      </c>
      <c r="D401" s="442" t="s">
        <v>65</v>
      </c>
      <c r="E401" s="438">
        <v>13000</v>
      </c>
      <c r="F401" s="439" t="s">
        <v>26094</v>
      </c>
    </row>
    <row r="402" spans="2:6" ht="11.25">
      <c r="B402" s="437">
        <v>45909</v>
      </c>
      <c r="C402" s="438" t="s">
        <v>60</v>
      </c>
      <c r="D402" s="442" t="s">
        <v>65</v>
      </c>
      <c r="E402" s="438">
        <v>13000</v>
      </c>
      <c r="F402" s="439" t="s">
        <v>26094</v>
      </c>
    </row>
    <row r="403" spans="2:6" ht="11.25">
      <c r="B403" s="437">
        <v>45909</v>
      </c>
      <c r="C403" s="438" t="s">
        <v>60</v>
      </c>
      <c r="D403" s="442" t="s">
        <v>65</v>
      </c>
      <c r="E403" s="438">
        <v>10000</v>
      </c>
      <c r="F403" s="439" t="s">
        <v>26133</v>
      </c>
    </row>
    <row r="404" spans="2:6" ht="11.25">
      <c r="B404" s="437">
        <v>45909</v>
      </c>
      <c r="C404" s="438" t="s">
        <v>60</v>
      </c>
      <c r="D404" s="442" t="s">
        <v>65</v>
      </c>
      <c r="E404" s="438">
        <v>2500</v>
      </c>
      <c r="F404" s="439" t="s">
        <v>26134</v>
      </c>
    </row>
    <row r="405" spans="2:6" ht="11.25">
      <c r="B405" s="437">
        <v>45909</v>
      </c>
      <c r="C405" s="438" t="s">
        <v>60</v>
      </c>
      <c r="D405" s="442" t="s">
        <v>65</v>
      </c>
      <c r="E405" s="438">
        <v>8000</v>
      </c>
      <c r="F405" s="439" t="s">
        <v>26097</v>
      </c>
    </row>
    <row r="406" spans="2:6" ht="11.25">
      <c r="B406" s="437">
        <v>45909</v>
      </c>
      <c r="C406" s="438" t="s">
        <v>62</v>
      </c>
      <c r="D406" s="442" t="s">
        <v>65</v>
      </c>
      <c r="E406" s="438">
        <v>13000</v>
      </c>
      <c r="F406" s="439" t="s">
        <v>26094</v>
      </c>
    </row>
    <row r="407" spans="2:6" ht="11.25">
      <c r="B407" s="437">
        <v>45909</v>
      </c>
      <c r="C407" s="438" t="s">
        <v>62</v>
      </c>
      <c r="D407" s="442" t="s">
        <v>65</v>
      </c>
      <c r="E407" s="438">
        <v>10000</v>
      </c>
      <c r="F407" s="439" t="s">
        <v>26133</v>
      </c>
    </row>
    <row r="408" spans="2:6" ht="11.25">
      <c r="B408" s="437">
        <v>45909</v>
      </c>
      <c r="C408" s="438" t="s">
        <v>62</v>
      </c>
      <c r="D408" s="442" t="s">
        <v>65</v>
      </c>
      <c r="E408" s="438">
        <v>2500</v>
      </c>
      <c r="F408" s="439" t="s">
        <v>26134</v>
      </c>
    </row>
    <row r="409" spans="2:6" ht="11.25">
      <c r="B409" s="437">
        <v>45909</v>
      </c>
      <c r="C409" s="438" t="s">
        <v>62</v>
      </c>
      <c r="D409" s="442" t="s">
        <v>65</v>
      </c>
      <c r="E409" s="438">
        <v>8000</v>
      </c>
      <c r="F409" s="439" t="s">
        <v>26097</v>
      </c>
    </row>
    <row r="410" spans="2:6" ht="11.25">
      <c r="B410" s="437">
        <v>45909</v>
      </c>
      <c r="C410" s="438" t="s">
        <v>64</v>
      </c>
      <c r="D410" s="442" t="s">
        <v>65</v>
      </c>
      <c r="E410" s="438">
        <v>13000</v>
      </c>
      <c r="F410" s="439" t="s">
        <v>26094</v>
      </c>
    </row>
    <row r="411" spans="2:6" ht="11.25">
      <c r="B411" s="437">
        <v>45909</v>
      </c>
      <c r="C411" s="438" t="s">
        <v>64</v>
      </c>
      <c r="D411" s="442" t="s">
        <v>65</v>
      </c>
      <c r="E411" s="438">
        <v>8000</v>
      </c>
      <c r="F411" s="439" t="s">
        <v>26097</v>
      </c>
    </row>
    <row r="412" spans="2:6" ht="11.25">
      <c r="B412" s="437">
        <v>45909</v>
      </c>
      <c r="C412" s="438" t="s">
        <v>12569</v>
      </c>
      <c r="D412" s="442" t="s">
        <v>65</v>
      </c>
      <c r="E412" s="438">
        <v>13000</v>
      </c>
      <c r="F412" s="439" t="s">
        <v>26094</v>
      </c>
    </row>
    <row r="413" spans="2:6" ht="11.25">
      <c r="B413" s="437">
        <v>45909</v>
      </c>
      <c r="C413" s="438" t="s">
        <v>12569</v>
      </c>
      <c r="D413" s="442" t="s">
        <v>65</v>
      </c>
      <c r="E413" s="438">
        <v>5000</v>
      </c>
      <c r="F413" s="439" t="s">
        <v>26135</v>
      </c>
    </row>
    <row r="414" spans="2:6" ht="11.25">
      <c r="B414" s="437">
        <v>45909</v>
      </c>
      <c r="C414" s="438" t="s">
        <v>12569</v>
      </c>
      <c r="D414" s="442" t="s">
        <v>65</v>
      </c>
      <c r="E414" s="438">
        <v>8000</v>
      </c>
      <c r="F414" s="439" t="s">
        <v>26097</v>
      </c>
    </row>
    <row r="415" spans="2:6" ht="11.25">
      <c r="B415" s="437">
        <v>45909</v>
      </c>
      <c r="C415" s="438" t="s">
        <v>12585</v>
      </c>
      <c r="D415" s="442" t="s">
        <v>65</v>
      </c>
      <c r="E415" s="438">
        <v>13000</v>
      </c>
      <c r="F415" s="439" t="s">
        <v>26094</v>
      </c>
    </row>
    <row r="416" spans="2:6" ht="11.25">
      <c r="B416" s="437">
        <v>45909</v>
      </c>
      <c r="C416" s="438" t="s">
        <v>12585</v>
      </c>
      <c r="D416" s="442" t="s">
        <v>65</v>
      </c>
      <c r="E416" s="438">
        <v>3000</v>
      </c>
      <c r="F416" s="439" t="s">
        <v>26126</v>
      </c>
    </row>
    <row r="417" spans="2:6" ht="11.25">
      <c r="B417" s="437">
        <v>45909</v>
      </c>
      <c r="C417" s="438" t="s">
        <v>12585</v>
      </c>
      <c r="D417" s="442" t="s">
        <v>65</v>
      </c>
      <c r="E417" s="438">
        <v>3000</v>
      </c>
      <c r="F417" s="439" t="s">
        <v>26136</v>
      </c>
    </row>
    <row r="418" spans="2:6" ht="11.25">
      <c r="B418" s="437">
        <v>45909</v>
      </c>
      <c r="C418" s="438" t="s">
        <v>12585</v>
      </c>
      <c r="D418" s="442" t="s">
        <v>65</v>
      </c>
      <c r="E418" s="438">
        <v>5000</v>
      </c>
      <c r="F418" s="439" t="s">
        <v>26137</v>
      </c>
    </row>
    <row r="419" spans="2:6" ht="11.25">
      <c r="B419" s="437">
        <v>45909</v>
      </c>
      <c r="C419" s="438" t="s">
        <v>12585</v>
      </c>
      <c r="D419" s="442" t="s">
        <v>65</v>
      </c>
      <c r="E419" s="438">
        <v>8000</v>
      </c>
      <c r="F419" s="439" t="s">
        <v>26097</v>
      </c>
    </row>
    <row r="420" spans="2:6" ht="11.25">
      <c r="B420" s="437">
        <v>45909</v>
      </c>
      <c r="C420" s="438" t="s">
        <v>12572</v>
      </c>
      <c r="D420" s="442" t="s">
        <v>65</v>
      </c>
      <c r="E420" s="438">
        <v>13000</v>
      </c>
      <c r="F420" s="439" t="s">
        <v>26094</v>
      </c>
    </row>
    <row r="421" spans="2:6" ht="11.25">
      <c r="B421" s="437">
        <v>45909</v>
      </c>
      <c r="C421" s="438" t="s">
        <v>123</v>
      </c>
      <c r="D421" s="442" t="s">
        <v>65</v>
      </c>
      <c r="E421" s="438">
        <v>13000</v>
      </c>
      <c r="F421" s="439" t="s">
        <v>26094</v>
      </c>
    </row>
    <row r="422" spans="2:6" ht="11.25">
      <c r="B422" s="437">
        <v>45909</v>
      </c>
      <c r="C422" s="438" t="s">
        <v>123</v>
      </c>
      <c r="D422" s="442" t="s">
        <v>65</v>
      </c>
      <c r="E422" s="438">
        <v>3000</v>
      </c>
      <c r="F422" s="439" t="s">
        <v>26126</v>
      </c>
    </row>
    <row r="423" spans="2:6" ht="11.25">
      <c r="B423" s="437">
        <v>45909</v>
      </c>
      <c r="C423" s="438" t="s">
        <v>123</v>
      </c>
      <c r="D423" s="442" t="s">
        <v>65</v>
      </c>
      <c r="E423" s="438">
        <v>8000</v>
      </c>
      <c r="F423" s="439" t="s">
        <v>26097</v>
      </c>
    </row>
    <row r="424" spans="2:6" ht="11.25">
      <c r="B424" s="437">
        <v>45909</v>
      </c>
      <c r="C424" s="438" t="s">
        <v>84</v>
      </c>
      <c r="D424" s="442" t="s">
        <v>65</v>
      </c>
      <c r="E424" s="438">
        <v>13000</v>
      </c>
      <c r="F424" s="439" t="s">
        <v>26094</v>
      </c>
    </row>
    <row r="425" spans="2:6" ht="11.25">
      <c r="B425" s="437">
        <v>45909</v>
      </c>
      <c r="C425" s="438" t="s">
        <v>84</v>
      </c>
      <c r="D425" s="442" t="s">
        <v>65</v>
      </c>
      <c r="E425" s="438">
        <v>8000</v>
      </c>
      <c r="F425" s="439" t="s">
        <v>26097</v>
      </c>
    </row>
    <row r="426" spans="2:6" ht="11.25">
      <c r="B426" s="437">
        <v>45909</v>
      </c>
      <c r="C426" s="438" t="s">
        <v>93</v>
      </c>
      <c r="D426" s="442" t="s">
        <v>65</v>
      </c>
      <c r="E426" s="438">
        <v>13000</v>
      </c>
      <c r="F426" s="439" t="s">
        <v>26094</v>
      </c>
    </row>
    <row r="427" spans="2:6" ht="11.25">
      <c r="B427" s="437">
        <v>45909</v>
      </c>
      <c r="C427" s="438" t="s">
        <v>93</v>
      </c>
      <c r="D427" s="442" t="s">
        <v>65</v>
      </c>
      <c r="E427" s="438">
        <v>8000</v>
      </c>
      <c r="F427" s="439" t="s">
        <v>26097</v>
      </c>
    </row>
    <row r="428" spans="2:6" ht="11.25">
      <c r="B428" s="437">
        <v>45909</v>
      </c>
      <c r="C428" s="438" t="s">
        <v>95</v>
      </c>
      <c r="D428" s="442" t="s">
        <v>65</v>
      </c>
      <c r="E428" s="438">
        <v>13000</v>
      </c>
      <c r="F428" s="439" t="s">
        <v>26094</v>
      </c>
    </row>
    <row r="429" spans="2:6" ht="11.25">
      <c r="B429" s="437">
        <v>45909</v>
      </c>
      <c r="C429" s="438" t="s">
        <v>95</v>
      </c>
      <c r="D429" s="442" t="s">
        <v>65</v>
      </c>
      <c r="E429" s="438">
        <v>8000</v>
      </c>
      <c r="F429" s="439" t="s">
        <v>26097</v>
      </c>
    </row>
    <row r="430" spans="2:6" ht="11.25">
      <c r="B430" s="437">
        <v>45909</v>
      </c>
      <c r="C430" s="438" t="s">
        <v>27</v>
      </c>
      <c r="D430" s="442" t="s">
        <v>65</v>
      </c>
      <c r="E430" s="438">
        <v>13000</v>
      </c>
      <c r="F430" s="439" t="s">
        <v>26094</v>
      </c>
    </row>
    <row r="431" spans="2:6" ht="11.25">
      <c r="B431" s="437">
        <v>45909</v>
      </c>
      <c r="C431" s="438" t="s">
        <v>27</v>
      </c>
      <c r="D431" s="442" t="s">
        <v>65</v>
      </c>
      <c r="E431" s="438">
        <v>2000</v>
      </c>
      <c r="F431" s="439" t="s">
        <v>26138</v>
      </c>
    </row>
    <row r="432" spans="2:6" ht="11.25">
      <c r="B432" s="437">
        <v>45909</v>
      </c>
      <c r="C432" s="438" t="s">
        <v>112</v>
      </c>
      <c r="D432" s="442" t="s">
        <v>65</v>
      </c>
      <c r="E432" s="438">
        <v>5000</v>
      </c>
      <c r="F432" s="439" t="s">
        <v>26139</v>
      </c>
    </row>
    <row r="433" spans="2:6" ht="11.25">
      <c r="B433" s="437">
        <v>45909</v>
      </c>
      <c r="C433" s="438" t="s">
        <v>112</v>
      </c>
      <c r="D433" s="442" t="s">
        <v>65</v>
      </c>
      <c r="E433" s="438">
        <v>13000</v>
      </c>
      <c r="F433" s="439" t="s">
        <v>26094</v>
      </c>
    </row>
    <row r="434" spans="2:6" ht="11.25">
      <c r="B434" s="437">
        <v>45909</v>
      </c>
      <c r="C434" s="438" t="s">
        <v>112</v>
      </c>
      <c r="D434" s="442" t="s">
        <v>65</v>
      </c>
      <c r="E434" s="438">
        <v>5000</v>
      </c>
      <c r="F434" s="439" t="s">
        <v>26140</v>
      </c>
    </row>
    <row r="435" spans="2:6" ht="11.25">
      <c r="B435" s="437">
        <v>45909</v>
      </c>
      <c r="C435" s="438" t="s">
        <v>112</v>
      </c>
      <c r="D435" s="442" t="s">
        <v>65</v>
      </c>
      <c r="E435" s="438">
        <v>15000</v>
      </c>
      <c r="F435" s="439" t="s">
        <v>26141</v>
      </c>
    </row>
    <row r="436" spans="2:6" ht="11.25">
      <c r="B436" s="437">
        <v>45909</v>
      </c>
      <c r="C436" s="438" t="s">
        <v>112</v>
      </c>
      <c r="D436" s="442" t="s">
        <v>65</v>
      </c>
      <c r="E436" s="438">
        <v>10000</v>
      </c>
      <c r="F436" s="439" t="s">
        <v>26142</v>
      </c>
    </row>
    <row r="437" spans="2:6" ht="11.25">
      <c r="B437" s="437">
        <v>45909</v>
      </c>
      <c r="C437" s="438" t="s">
        <v>112</v>
      </c>
      <c r="D437" s="442" t="s">
        <v>65</v>
      </c>
      <c r="E437" s="438">
        <v>8000</v>
      </c>
      <c r="F437" s="439" t="s">
        <v>26097</v>
      </c>
    </row>
    <row r="438" spans="2:6" ht="11.25">
      <c r="B438" s="437">
        <v>45909</v>
      </c>
      <c r="C438" s="438" t="s">
        <v>111</v>
      </c>
      <c r="D438" s="442" t="s">
        <v>65</v>
      </c>
      <c r="E438" s="438">
        <v>2000</v>
      </c>
      <c r="F438" s="439" t="s">
        <v>26143</v>
      </c>
    </row>
    <row r="439" spans="2:6" ht="11.25">
      <c r="B439" s="437">
        <v>45909</v>
      </c>
      <c r="C439" s="438" t="s">
        <v>111</v>
      </c>
      <c r="D439" s="442" t="s">
        <v>65</v>
      </c>
      <c r="E439" s="438">
        <v>13000</v>
      </c>
      <c r="F439" s="439" t="s">
        <v>26094</v>
      </c>
    </row>
    <row r="440" spans="2:6" ht="11.25">
      <c r="B440" s="437">
        <v>45909</v>
      </c>
      <c r="C440" s="438" t="s">
        <v>111</v>
      </c>
      <c r="D440" s="442" t="s">
        <v>65</v>
      </c>
      <c r="E440" s="438">
        <v>10000</v>
      </c>
      <c r="F440" s="439" t="s">
        <v>26144</v>
      </c>
    </row>
    <row r="441" spans="2:6" ht="11.25">
      <c r="B441" s="437">
        <v>45909</v>
      </c>
      <c r="C441" s="438" t="s">
        <v>111</v>
      </c>
      <c r="D441" s="442" t="s">
        <v>65</v>
      </c>
      <c r="E441" s="438">
        <v>8000</v>
      </c>
      <c r="F441" s="439" t="s">
        <v>26097</v>
      </c>
    </row>
    <row r="442" spans="2:6" ht="11.25">
      <c r="B442" s="437">
        <v>45909</v>
      </c>
      <c r="C442" s="438" t="s">
        <v>29</v>
      </c>
      <c r="D442" s="442" t="s">
        <v>65</v>
      </c>
      <c r="E442" s="438">
        <v>13000</v>
      </c>
      <c r="F442" s="439" t="s">
        <v>26094</v>
      </c>
    </row>
    <row r="443" spans="2:6" ht="11.25">
      <c r="B443" s="437">
        <v>45909</v>
      </c>
      <c r="C443" s="438" t="s">
        <v>29</v>
      </c>
      <c r="D443" s="442" t="s">
        <v>65</v>
      </c>
      <c r="E443" s="438">
        <v>25000</v>
      </c>
      <c r="F443" s="439" t="s">
        <v>26123</v>
      </c>
    </row>
    <row r="444" spans="2:6" ht="11.25">
      <c r="B444" s="437">
        <v>45909</v>
      </c>
      <c r="C444" s="438" t="s">
        <v>29</v>
      </c>
      <c r="D444" s="442" t="s">
        <v>65</v>
      </c>
      <c r="E444" s="438">
        <v>50000</v>
      </c>
      <c r="F444" s="439" t="s">
        <v>26145</v>
      </c>
    </row>
    <row r="445" spans="2:6" ht="11.25">
      <c r="B445" s="437">
        <v>45909</v>
      </c>
      <c r="C445" s="438" t="s">
        <v>29</v>
      </c>
      <c r="D445" s="442" t="s">
        <v>65</v>
      </c>
      <c r="E445" s="438">
        <v>15000</v>
      </c>
      <c r="F445" s="439" t="s">
        <v>26146</v>
      </c>
    </row>
    <row r="446" spans="2:6" ht="11.25">
      <c r="B446" s="437">
        <v>45909</v>
      </c>
      <c r="C446" s="438" t="s">
        <v>29</v>
      </c>
      <c r="D446" s="442" t="s">
        <v>65</v>
      </c>
      <c r="E446" s="438">
        <v>8000</v>
      </c>
      <c r="F446" s="439" t="s">
        <v>26097</v>
      </c>
    </row>
    <row r="447" spans="2:6" ht="11.25">
      <c r="B447" s="437">
        <v>45909</v>
      </c>
      <c r="C447" s="438" t="s">
        <v>31</v>
      </c>
      <c r="D447" s="442" t="s">
        <v>65</v>
      </c>
      <c r="E447" s="438">
        <v>2500</v>
      </c>
      <c r="F447" s="439" t="s">
        <v>26147</v>
      </c>
    </row>
    <row r="448" spans="2:6" ht="11.25">
      <c r="B448" s="437">
        <v>45909</v>
      </c>
      <c r="C448" s="438" t="s">
        <v>31</v>
      </c>
      <c r="D448" s="442" t="s">
        <v>65</v>
      </c>
      <c r="E448" s="438">
        <v>13000</v>
      </c>
      <c r="F448" s="439" t="s">
        <v>26094</v>
      </c>
    </row>
    <row r="449" spans="2:6" ht="11.25">
      <c r="B449" s="437">
        <v>45909</v>
      </c>
      <c r="C449" s="438" t="s">
        <v>31</v>
      </c>
      <c r="D449" s="442" t="s">
        <v>65</v>
      </c>
      <c r="E449" s="438">
        <v>10000</v>
      </c>
      <c r="F449" s="439" t="s">
        <v>26123</v>
      </c>
    </row>
    <row r="450" spans="2:6" ht="11.25">
      <c r="B450" s="437">
        <v>45909</v>
      </c>
      <c r="C450" s="438" t="s">
        <v>31</v>
      </c>
      <c r="D450" s="442" t="s">
        <v>65</v>
      </c>
      <c r="E450" s="438">
        <v>5000</v>
      </c>
      <c r="F450" s="439" t="s">
        <v>26148</v>
      </c>
    </row>
    <row r="451" spans="2:6" ht="11.25">
      <c r="B451" s="437">
        <v>45909</v>
      </c>
      <c r="C451" s="438" t="s">
        <v>31</v>
      </c>
      <c r="D451" s="442" t="s">
        <v>65</v>
      </c>
      <c r="E451" s="438">
        <v>1000</v>
      </c>
      <c r="F451" s="439" t="s">
        <v>26149</v>
      </c>
    </row>
    <row r="452" spans="2:6" ht="11.25">
      <c r="B452" s="437">
        <v>45909</v>
      </c>
      <c r="C452" s="438" t="s">
        <v>31</v>
      </c>
      <c r="D452" s="442" t="s">
        <v>65</v>
      </c>
      <c r="E452" s="438">
        <v>8000</v>
      </c>
      <c r="F452" s="439" t="s">
        <v>26097</v>
      </c>
    </row>
    <row r="453" spans="2:6" ht="11.25">
      <c r="B453" s="437">
        <v>45909</v>
      </c>
      <c r="C453" s="438" t="s">
        <v>33</v>
      </c>
      <c r="D453" s="442" t="s">
        <v>65</v>
      </c>
      <c r="E453" s="438">
        <v>13000</v>
      </c>
      <c r="F453" s="439" t="s">
        <v>26094</v>
      </c>
    </row>
    <row r="454" spans="2:6" ht="11.25">
      <c r="B454" s="437">
        <v>45909</v>
      </c>
      <c r="C454" s="438" t="s">
        <v>33</v>
      </c>
      <c r="D454" s="442" t="s">
        <v>65</v>
      </c>
      <c r="E454" s="438">
        <v>10000</v>
      </c>
      <c r="F454" s="439" t="s">
        <v>26123</v>
      </c>
    </row>
    <row r="455" spans="2:6" ht="11.25">
      <c r="B455" s="437">
        <v>45909</v>
      </c>
      <c r="C455" s="438" t="s">
        <v>33</v>
      </c>
      <c r="D455" s="442" t="s">
        <v>65</v>
      </c>
      <c r="E455" s="438">
        <v>50000</v>
      </c>
      <c r="F455" s="439" t="s">
        <v>26150</v>
      </c>
    </row>
    <row r="456" spans="2:6" ht="11.25">
      <c r="B456" s="437">
        <v>45909</v>
      </c>
      <c r="C456" s="438" t="s">
        <v>35</v>
      </c>
      <c r="D456" s="442" t="s">
        <v>65</v>
      </c>
      <c r="E456" s="438">
        <v>13000</v>
      </c>
      <c r="F456" s="439" t="s">
        <v>26094</v>
      </c>
    </row>
    <row r="457" spans="2:6" ht="11.25">
      <c r="B457" s="437">
        <v>45909</v>
      </c>
      <c r="C457" s="438" t="s">
        <v>35</v>
      </c>
      <c r="D457" s="442" t="s">
        <v>65</v>
      </c>
      <c r="E457" s="438">
        <v>10000</v>
      </c>
      <c r="F457" s="439" t="s">
        <v>26123</v>
      </c>
    </row>
    <row r="458" spans="2:6" ht="11.25">
      <c r="B458" s="437">
        <v>45909</v>
      </c>
      <c r="C458" s="438" t="s">
        <v>35</v>
      </c>
      <c r="D458" s="442" t="s">
        <v>65</v>
      </c>
      <c r="E458" s="438">
        <v>2000</v>
      </c>
      <c r="F458" s="439" t="s">
        <v>26151</v>
      </c>
    </row>
    <row r="459" spans="2:6" ht="11.25">
      <c r="B459" s="437">
        <v>45909</v>
      </c>
      <c r="C459" s="438" t="s">
        <v>35</v>
      </c>
      <c r="D459" s="442" t="s">
        <v>65</v>
      </c>
      <c r="E459" s="438">
        <v>1000</v>
      </c>
      <c r="F459" s="439" t="s">
        <v>26152</v>
      </c>
    </row>
    <row r="460" spans="2:6" ht="11.25">
      <c r="B460" s="437">
        <v>45909</v>
      </c>
      <c r="C460" s="438" t="s">
        <v>37</v>
      </c>
      <c r="D460" s="442" t="s">
        <v>65</v>
      </c>
      <c r="E460" s="438">
        <v>13000</v>
      </c>
      <c r="F460" s="439" t="s">
        <v>26094</v>
      </c>
    </row>
    <row r="461" spans="2:6" ht="11.25">
      <c r="B461" s="437">
        <v>45909</v>
      </c>
      <c r="C461" s="438" t="s">
        <v>37</v>
      </c>
      <c r="D461" s="442" t="s">
        <v>65</v>
      </c>
      <c r="E461" s="438">
        <v>1000</v>
      </c>
      <c r="F461" s="439" t="s">
        <v>26153</v>
      </c>
    </row>
    <row r="462" spans="2:6" ht="11.25">
      <c r="B462" s="437">
        <v>45909</v>
      </c>
      <c r="C462" s="438" t="s">
        <v>39</v>
      </c>
      <c r="D462" s="442" t="s">
        <v>65</v>
      </c>
      <c r="E462" s="438">
        <v>13000</v>
      </c>
      <c r="F462" s="439" t="s">
        <v>26094</v>
      </c>
    </row>
    <row r="463" spans="2:6" ht="11.25">
      <c r="B463" s="437">
        <v>45909</v>
      </c>
      <c r="C463" s="438" t="s">
        <v>39</v>
      </c>
      <c r="D463" s="442" t="s">
        <v>65</v>
      </c>
      <c r="E463" s="438">
        <v>1000</v>
      </c>
      <c r="F463" s="439" t="s">
        <v>26154</v>
      </c>
    </row>
    <row r="464" spans="2:6" ht="11.25">
      <c r="B464" s="437">
        <v>45909</v>
      </c>
      <c r="C464" s="438" t="s">
        <v>39</v>
      </c>
      <c r="D464" s="442" t="s">
        <v>65</v>
      </c>
      <c r="E464" s="438">
        <v>8000</v>
      </c>
      <c r="F464" s="439" t="s">
        <v>26097</v>
      </c>
    </row>
    <row r="465" spans="2:6" ht="11.25">
      <c r="B465" s="437">
        <v>45909</v>
      </c>
      <c r="C465" s="438" t="s">
        <v>41</v>
      </c>
      <c r="D465" s="442" t="s">
        <v>65</v>
      </c>
      <c r="E465" s="438">
        <v>13000</v>
      </c>
      <c r="F465" s="439" t="s">
        <v>26094</v>
      </c>
    </row>
    <row r="466" spans="2:6" ht="11.25">
      <c r="B466" s="437">
        <v>45909</v>
      </c>
      <c r="C466" s="438" t="s">
        <v>41</v>
      </c>
      <c r="D466" s="442" t="s">
        <v>65</v>
      </c>
      <c r="E466" s="438">
        <v>1000</v>
      </c>
      <c r="F466" s="439" t="s">
        <v>26154</v>
      </c>
    </row>
    <row r="467" spans="2:6" ht="11.25">
      <c r="B467" s="437">
        <v>45909</v>
      </c>
      <c r="C467" s="438" t="s">
        <v>41</v>
      </c>
      <c r="D467" s="442" t="s">
        <v>65</v>
      </c>
      <c r="E467" s="438">
        <v>8000</v>
      </c>
      <c r="F467" s="439" t="s">
        <v>26097</v>
      </c>
    </row>
    <row r="468" spans="2:6" ht="11.25">
      <c r="B468" s="437">
        <v>45909</v>
      </c>
      <c r="C468" s="438" t="s">
        <v>74</v>
      </c>
      <c r="D468" s="442" t="s">
        <v>65</v>
      </c>
      <c r="E468" s="438">
        <v>13000</v>
      </c>
      <c r="F468" s="439" t="s">
        <v>26094</v>
      </c>
    </row>
    <row r="469" spans="2:6" ht="11.25">
      <c r="B469" s="437">
        <v>45909</v>
      </c>
      <c r="C469" s="438" t="s">
        <v>74</v>
      </c>
      <c r="D469" s="442" t="s">
        <v>65</v>
      </c>
      <c r="E469" s="438">
        <v>15000</v>
      </c>
      <c r="F469" s="439" t="s">
        <v>26144</v>
      </c>
    </row>
    <row r="470" spans="2:6" ht="11.25">
      <c r="B470" s="437">
        <v>45909</v>
      </c>
      <c r="C470" s="438" t="s">
        <v>74</v>
      </c>
      <c r="D470" s="442" t="s">
        <v>65</v>
      </c>
      <c r="E470" s="438">
        <v>3000</v>
      </c>
      <c r="F470" s="439" t="s">
        <v>26155</v>
      </c>
    </row>
    <row r="471" spans="2:6" ht="11.25">
      <c r="B471" s="437">
        <v>45909</v>
      </c>
      <c r="C471" s="438" t="s">
        <v>74</v>
      </c>
      <c r="D471" s="442" t="s">
        <v>65</v>
      </c>
      <c r="E471" s="438">
        <v>2000</v>
      </c>
      <c r="F471" s="439" t="s">
        <v>26156</v>
      </c>
    </row>
    <row r="472" spans="2:6" ht="11.25">
      <c r="B472" s="437">
        <v>45909</v>
      </c>
      <c r="C472" s="438" t="s">
        <v>74</v>
      </c>
      <c r="D472" s="442" t="s">
        <v>65</v>
      </c>
      <c r="E472" s="438">
        <v>2000</v>
      </c>
      <c r="F472" s="439" t="s">
        <v>26157</v>
      </c>
    </row>
    <row r="473" spans="2:6" ht="11.25">
      <c r="B473" s="437">
        <v>45909</v>
      </c>
      <c r="C473" s="438" t="s">
        <v>26004</v>
      </c>
      <c r="D473" s="442" t="s">
        <v>65</v>
      </c>
      <c r="E473" s="438">
        <v>8000</v>
      </c>
      <c r="F473" s="439" t="s">
        <v>26097</v>
      </c>
    </row>
    <row r="474" spans="2:6" ht="11.25">
      <c r="B474" s="437">
        <v>45909</v>
      </c>
      <c r="C474" s="438" t="s">
        <v>76</v>
      </c>
      <c r="D474" s="442" t="s">
        <v>65</v>
      </c>
      <c r="E474" s="438">
        <v>2000</v>
      </c>
      <c r="F474" s="439" t="s">
        <v>26158</v>
      </c>
    </row>
    <row r="475" spans="2:6" ht="11.25">
      <c r="B475" s="437">
        <v>45909</v>
      </c>
      <c r="C475" s="438" t="s">
        <v>76</v>
      </c>
      <c r="D475" s="442" t="s">
        <v>65</v>
      </c>
      <c r="E475" s="438">
        <v>13000</v>
      </c>
      <c r="F475" s="439" t="s">
        <v>26094</v>
      </c>
    </row>
    <row r="476" spans="2:6" ht="11.25">
      <c r="B476" s="437">
        <v>45909</v>
      </c>
      <c r="C476" s="438" t="s">
        <v>76</v>
      </c>
      <c r="D476" s="442" t="s">
        <v>65</v>
      </c>
      <c r="E476" s="438">
        <v>10000</v>
      </c>
      <c r="F476" s="439" t="s">
        <v>26144</v>
      </c>
    </row>
    <row r="477" spans="2:6" ht="11.25">
      <c r="B477" s="437">
        <v>45909</v>
      </c>
      <c r="C477" s="438" t="s">
        <v>76</v>
      </c>
      <c r="D477" s="442" t="s">
        <v>65</v>
      </c>
      <c r="E477" s="438">
        <v>5000</v>
      </c>
      <c r="F477" s="439" t="s">
        <v>26156</v>
      </c>
    </row>
    <row r="478" spans="2:6" ht="11.25">
      <c r="B478" s="437">
        <v>45909</v>
      </c>
      <c r="C478" s="438" t="s">
        <v>76</v>
      </c>
      <c r="D478" s="442" t="s">
        <v>65</v>
      </c>
      <c r="E478" s="438">
        <v>2000</v>
      </c>
      <c r="F478" s="439" t="s">
        <v>26159</v>
      </c>
    </row>
    <row r="479" spans="2:6" ht="11.25">
      <c r="B479" s="437">
        <v>45909</v>
      </c>
      <c r="C479" s="438" t="s">
        <v>26008</v>
      </c>
      <c r="D479" s="442" t="s">
        <v>65</v>
      </c>
      <c r="E479" s="438">
        <v>8000</v>
      </c>
      <c r="F479" s="439" t="s">
        <v>26097</v>
      </c>
    </row>
    <row r="480" spans="2:6" ht="11.25">
      <c r="B480" s="437">
        <v>45909</v>
      </c>
      <c r="C480" s="438" t="s">
        <v>78</v>
      </c>
      <c r="D480" s="442" t="s">
        <v>65</v>
      </c>
      <c r="E480" s="438">
        <v>2000</v>
      </c>
      <c r="F480" s="439" t="s">
        <v>26158</v>
      </c>
    </row>
    <row r="481" spans="2:6" ht="11.25">
      <c r="B481" s="437">
        <v>45909</v>
      </c>
      <c r="C481" s="438" t="s">
        <v>78</v>
      </c>
      <c r="D481" s="442" t="s">
        <v>65</v>
      </c>
      <c r="E481" s="438">
        <v>13000</v>
      </c>
      <c r="F481" s="439" t="s">
        <v>26094</v>
      </c>
    </row>
    <row r="482" spans="2:6" ht="11.25">
      <c r="B482" s="437">
        <v>45909</v>
      </c>
      <c r="C482" s="438" t="s">
        <v>78</v>
      </c>
      <c r="D482" s="442" t="s">
        <v>65</v>
      </c>
      <c r="E482" s="438">
        <v>3000</v>
      </c>
      <c r="F482" s="439" t="s">
        <v>26126</v>
      </c>
    </row>
    <row r="483" spans="2:6" ht="11.25">
      <c r="B483" s="437">
        <v>45909</v>
      </c>
      <c r="C483" s="438" t="s">
        <v>78</v>
      </c>
      <c r="D483" s="442" t="s">
        <v>65</v>
      </c>
      <c r="E483" s="438">
        <v>10000</v>
      </c>
      <c r="F483" s="439" t="s">
        <v>26144</v>
      </c>
    </row>
    <row r="484" spans="2:6" ht="11.25">
      <c r="B484" s="437">
        <v>45909</v>
      </c>
      <c r="C484" s="438" t="s">
        <v>78</v>
      </c>
      <c r="D484" s="442" t="s">
        <v>65</v>
      </c>
      <c r="E484" s="438">
        <v>3000</v>
      </c>
      <c r="F484" s="439" t="s">
        <v>26014</v>
      </c>
    </row>
    <row r="485" spans="2:6" ht="11.25">
      <c r="B485" s="437">
        <v>45909</v>
      </c>
      <c r="C485" s="438" t="s">
        <v>78</v>
      </c>
      <c r="D485" s="442" t="s">
        <v>65</v>
      </c>
      <c r="E485" s="438">
        <v>20000</v>
      </c>
      <c r="F485" s="439" t="s">
        <v>26012</v>
      </c>
    </row>
    <row r="486" spans="2:6" ht="11.25">
      <c r="B486" s="437">
        <v>45909</v>
      </c>
      <c r="C486" s="438" t="s">
        <v>26010</v>
      </c>
      <c r="D486" s="442" t="s">
        <v>65</v>
      </c>
      <c r="E486" s="438">
        <v>8000</v>
      </c>
      <c r="F486" s="439" t="s">
        <v>26097</v>
      </c>
    </row>
    <row r="487" spans="2:6" ht="11.25">
      <c r="B487" s="437">
        <v>45909</v>
      </c>
      <c r="C487" s="438" t="s">
        <v>113</v>
      </c>
      <c r="D487" s="442" t="s">
        <v>65</v>
      </c>
      <c r="E487" s="438">
        <v>1500</v>
      </c>
      <c r="F487" s="439" t="s">
        <v>26160</v>
      </c>
    </row>
    <row r="488" spans="2:6" ht="11.25">
      <c r="B488" s="437">
        <v>45909</v>
      </c>
      <c r="C488" s="438" t="s">
        <v>113</v>
      </c>
      <c r="D488" s="442" t="s">
        <v>65</v>
      </c>
      <c r="E488" s="438">
        <v>500</v>
      </c>
      <c r="F488" s="439" t="s">
        <v>26161</v>
      </c>
    </row>
    <row r="489" spans="2:6" ht="11.25">
      <c r="B489" s="437">
        <v>45909</v>
      </c>
      <c r="C489" s="438" t="s">
        <v>113</v>
      </c>
      <c r="D489" s="442" t="s">
        <v>65</v>
      </c>
      <c r="E489" s="438">
        <v>48753.95</v>
      </c>
      <c r="F489" s="439" t="s">
        <v>26100</v>
      </c>
    </row>
    <row r="490" spans="2:6" ht="11.25">
      <c r="B490" s="437">
        <v>45909</v>
      </c>
      <c r="C490" s="438" t="s">
        <v>113</v>
      </c>
      <c r="D490" s="442" t="s">
        <v>65</v>
      </c>
      <c r="E490" s="438">
        <v>13000</v>
      </c>
      <c r="F490" s="439" t="s">
        <v>26094</v>
      </c>
    </row>
    <row r="491" spans="2:6" ht="11.25">
      <c r="B491" s="437">
        <v>45909</v>
      </c>
      <c r="C491" s="438" t="s">
        <v>113</v>
      </c>
      <c r="D491" s="442" t="s">
        <v>65</v>
      </c>
      <c r="E491" s="438">
        <v>5000</v>
      </c>
      <c r="F491" s="439" t="s">
        <v>26162</v>
      </c>
    </row>
    <row r="492" spans="2:6" ht="11.25">
      <c r="B492" s="437">
        <v>45909</v>
      </c>
      <c r="C492" s="438" t="s">
        <v>113</v>
      </c>
      <c r="D492" s="442" t="s">
        <v>65</v>
      </c>
      <c r="E492" s="438">
        <v>10000</v>
      </c>
      <c r="F492" s="439" t="s">
        <v>26163</v>
      </c>
    </row>
    <row r="493" spans="2:6" ht="11.25">
      <c r="B493" s="437">
        <v>45909</v>
      </c>
      <c r="C493" s="438" t="s">
        <v>113</v>
      </c>
      <c r="D493" s="442" t="s">
        <v>65</v>
      </c>
      <c r="E493" s="438">
        <v>5000</v>
      </c>
      <c r="F493" s="439" t="s">
        <v>26164</v>
      </c>
    </row>
    <row r="494" spans="2:6" ht="11.25">
      <c r="B494" s="437">
        <v>45909</v>
      </c>
      <c r="C494" s="438" t="s">
        <v>113</v>
      </c>
      <c r="D494" s="442" t="s">
        <v>65</v>
      </c>
      <c r="E494" s="438">
        <v>2000</v>
      </c>
      <c r="F494" s="439" t="s">
        <v>26165</v>
      </c>
    </row>
    <row r="495" spans="2:6" ht="11.25">
      <c r="B495" s="437">
        <v>45909</v>
      </c>
      <c r="C495" s="438" t="s">
        <v>113</v>
      </c>
      <c r="D495" s="442" t="s">
        <v>65</v>
      </c>
      <c r="E495" s="438">
        <v>500</v>
      </c>
      <c r="F495" s="439" t="s">
        <v>26166</v>
      </c>
    </row>
    <row r="496" spans="2:6" ht="11.25">
      <c r="B496" s="437">
        <v>45909</v>
      </c>
      <c r="C496" s="438" t="s">
        <v>113</v>
      </c>
      <c r="D496" s="442" t="s">
        <v>65</v>
      </c>
      <c r="E496" s="438">
        <v>200</v>
      </c>
      <c r="F496" s="439" t="s">
        <v>26167</v>
      </c>
    </row>
    <row r="497" spans="2:6" ht="11.25">
      <c r="B497" s="437">
        <v>45909</v>
      </c>
      <c r="C497" s="438" t="s">
        <v>113</v>
      </c>
      <c r="D497" s="442" t="s">
        <v>65</v>
      </c>
      <c r="E497" s="438">
        <v>500</v>
      </c>
      <c r="F497" s="439" t="s">
        <v>26168</v>
      </c>
    </row>
    <row r="498" spans="2:6" ht="11.25">
      <c r="B498" s="437">
        <v>45909</v>
      </c>
      <c r="C498" s="438" t="s">
        <v>113</v>
      </c>
      <c r="D498" s="442" t="s">
        <v>65</v>
      </c>
      <c r="E498" s="438">
        <v>2000</v>
      </c>
      <c r="F498" s="439" t="s">
        <v>26169</v>
      </c>
    </row>
    <row r="499" spans="2:6" ht="11.25">
      <c r="B499" s="437">
        <v>45909</v>
      </c>
      <c r="C499" s="438" t="s">
        <v>113</v>
      </c>
      <c r="D499" s="442" t="s">
        <v>65</v>
      </c>
      <c r="E499" s="438">
        <v>5000</v>
      </c>
      <c r="F499" s="439" t="s">
        <v>26170</v>
      </c>
    </row>
    <row r="500" spans="2:6" ht="11.25">
      <c r="B500" s="437">
        <v>45909</v>
      </c>
      <c r="C500" s="438" t="s">
        <v>113</v>
      </c>
      <c r="D500" s="442" t="s">
        <v>65</v>
      </c>
      <c r="E500" s="438">
        <v>2000</v>
      </c>
      <c r="F500" s="439" t="s">
        <v>26171</v>
      </c>
    </row>
    <row r="501" spans="2:6" ht="11.25">
      <c r="B501" s="437">
        <v>45909</v>
      </c>
      <c r="C501" s="438" t="s">
        <v>113</v>
      </c>
      <c r="D501" s="442" t="s">
        <v>65</v>
      </c>
      <c r="E501" s="438">
        <v>5000</v>
      </c>
      <c r="F501" s="439" t="s">
        <v>26172</v>
      </c>
    </row>
    <row r="502" spans="2:6" ht="11.25">
      <c r="B502" s="437">
        <v>45909</v>
      </c>
      <c r="C502" s="438" t="s">
        <v>113</v>
      </c>
      <c r="D502" s="442" t="s">
        <v>65</v>
      </c>
      <c r="E502" s="438">
        <v>116500</v>
      </c>
      <c r="F502" s="439" t="s">
        <v>26095</v>
      </c>
    </row>
    <row r="503" spans="2:6" ht="11.25">
      <c r="B503" s="437">
        <v>45909</v>
      </c>
      <c r="C503" s="438" t="s">
        <v>113</v>
      </c>
      <c r="D503" s="442" t="s">
        <v>65</v>
      </c>
      <c r="E503" s="438">
        <v>500</v>
      </c>
      <c r="F503" s="439" t="s">
        <v>26173</v>
      </c>
    </row>
    <row r="504" spans="2:6" ht="11.25">
      <c r="B504" s="437">
        <v>45909</v>
      </c>
      <c r="C504" s="438" t="s">
        <v>113</v>
      </c>
      <c r="D504" s="442" t="s">
        <v>65</v>
      </c>
      <c r="E504" s="438">
        <v>8000</v>
      </c>
      <c r="F504" s="1047" t="s">
        <v>26097</v>
      </c>
    </row>
    <row r="505" spans="2:6" ht="11.25">
      <c r="B505" s="437">
        <v>45909</v>
      </c>
      <c r="C505" s="438" t="s">
        <v>66</v>
      </c>
      <c r="D505" s="442" t="s">
        <v>65</v>
      </c>
      <c r="E505" s="438">
        <v>5000</v>
      </c>
      <c r="F505" s="439" t="s">
        <v>26174</v>
      </c>
    </row>
    <row r="506" spans="2:6" ht="11.25">
      <c r="B506" s="437">
        <v>45909</v>
      </c>
      <c r="C506" s="438" t="s">
        <v>66</v>
      </c>
      <c r="D506" s="442" t="s">
        <v>65</v>
      </c>
      <c r="E506" s="438">
        <v>13000</v>
      </c>
      <c r="F506" s="439" t="s">
        <v>26094</v>
      </c>
    </row>
    <row r="507" spans="2:6" ht="11.25">
      <c r="B507" s="437">
        <v>45909</v>
      </c>
      <c r="C507" s="438" t="s">
        <v>66</v>
      </c>
      <c r="D507" s="442" t="s">
        <v>65</v>
      </c>
      <c r="E507" s="438">
        <v>8000</v>
      </c>
      <c r="F507" s="439" t="s">
        <v>26097</v>
      </c>
    </row>
    <row r="508" spans="2:6" ht="11.25">
      <c r="B508" s="437">
        <v>45909</v>
      </c>
      <c r="C508" s="438" t="s">
        <v>114</v>
      </c>
      <c r="D508" s="442" t="s">
        <v>65</v>
      </c>
      <c r="E508" s="438">
        <v>13000</v>
      </c>
      <c r="F508" s="439" t="s">
        <v>26094</v>
      </c>
    </row>
    <row r="509" spans="2:6" ht="11.25">
      <c r="B509" s="437">
        <v>45909</v>
      </c>
      <c r="C509" s="438" t="s">
        <v>116</v>
      </c>
      <c r="D509" s="442" t="s">
        <v>65</v>
      </c>
      <c r="E509" s="438">
        <v>13000</v>
      </c>
      <c r="F509" s="439" t="s">
        <v>26094</v>
      </c>
    </row>
    <row r="510" spans="2:6" ht="11.25">
      <c r="B510" s="437">
        <v>45909</v>
      </c>
      <c r="C510" s="438" t="s">
        <v>117</v>
      </c>
      <c r="D510" s="442" t="s">
        <v>65</v>
      </c>
      <c r="E510" s="438">
        <v>13000</v>
      </c>
      <c r="F510" s="439" t="s">
        <v>26094</v>
      </c>
    </row>
    <row r="511" spans="2:6" ht="11.25">
      <c r="B511" s="437">
        <v>45909</v>
      </c>
      <c r="C511" s="438" t="s">
        <v>117</v>
      </c>
      <c r="D511" s="442" t="s">
        <v>65</v>
      </c>
      <c r="E511" s="438">
        <v>15000</v>
      </c>
      <c r="F511" s="439" t="s">
        <v>26175</v>
      </c>
    </row>
    <row r="512" spans="2:6" ht="11.25">
      <c r="B512" s="437">
        <v>45909</v>
      </c>
      <c r="C512" s="438" t="s">
        <v>117</v>
      </c>
      <c r="D512" s="442" t="s">
        <v>65</v>
      </c>
      <c r="E512" s="438">
        <v>3000</v>
      </c>
      <c r="F512" s="439" t="s">
        <v>26176</v>
      </c>
    </row>
    <row r="513" spans="2:6" ht="11.25">
      <c r="B513" s="437">
        <v>45909</v>
      </c>
      <c r="C513" s="438" t="s">
        <v>117</v>
      </c>
      <c r="D513" s="442" t="s">
        <v>65</v>
      </c>
      <c r="E513" s="438">
        <v>8000</v>
      </c>
      <c r="F513" s="439" t="s">
        <v>26097</v>
      </c>
    </row>
    <row r="514" spans="2:6" ht="11.25">
      <c r="B514" s="437">
        <v>45909</v>
      </c>
      <c r="C514" s="438" t="s">
        <v>118</v>
      </c>
      <c r="D514" s="442" t="s">
        <v>65</v>
      </c>
      <c r="E514" s="438">
        <v>13000</v>
      </c>
      <c r="F514" s="439" t="s">
        <v>26094</v>
      </c>
    </row>
    <row r="515" spans="2:6" ht="11.25">
      <c r="B515" s="437">
        <v>45909</v>
      </c>
      <c r="C515" s="438" t="s">
        <v>86</v>
      </c>
      <c r="D515" s="442" t="s">
        <v>65</v>
      </c>
      <c r="E515" s="442">
        <v>13000</v>
      </c>
      <c r="F515" s="439" t="s">
        <v>26094</v>
      </c>
    </row>
    <row r="516" spans="2:6" ht="11.25">
      <c r="B516" s="437">
        <v>45909</v>
      </c>
      <c r="C516" s="438" t="s">
        <v>86</v>
      </c>
      <c r="D516" s="442" t="s">
        <v>65</v>
      </c>
      <c r="E516" s="438">
        <v>8000</v>
      </c>
      <c r="F516" s="439" t="s">
        <v>26097</v>
      </c>
    </row>
    <row r="517" spans="2:6" ht="11.25">
      <c r="B517" s="437">
        <v>45909</v>
      </c>
      <c r="C517" s="438" t="s">
        <v>122</v>
      </c>
      <c r="D517" s="442" t="s">
        <v>65</v>
      </c>
      <c r="E517" s="438">
        <v>13000</v>
      </c>
      <c r="F517" s="439" t="s">
        <v>26094</v>
      </c>
    </row>
    <row r="518" spans="2:6" ht="11.25">
      <c r="B518" s="437">
        <v>45909</v>
      </c>
      <c r="C518" s="438" t="s">
        <v>122</v>
      </c>
      <c r="D518" s="442" t="s">
        <v>65</v>
      </c>
      <c r="E518" s="438">
        <v>3000</v>
      </c>
      <c r="F518" s="439" t="s">
        <v>26126</v>
      </c>
    </row>
    <row r="519" spans="2:6" ht="11.25">
      <c r="B519" s="437">
        <v>45909</v>
      </c>
      <c r="C519" s="438" t="s">
        <v>122</v>
      </c>
      <c r="D519" s="442" t="s">
        <v>65</v>
      </c>
      <c r="E519" s="438">
        <v>1000</v>
      </c>
      <c r="F519" s="439" t="s">
        <v>26177</v>
      </c>
    </row>
    <row r="520" spans="2:6" ht="11.25">
      <c r="B520" s="437">
        <v>45909</v>
      </c>
      <c r="C520" s="438" t="s">
        <v>17236</v>
      </c>
      <c r="D520" s="442" t="s">
        <v>65</v>
      </c>
      <c r="E520" s="438">
        <v>8000</v>
      </c>
      <c r="F520" s="439" t="s">
        <v>26097</v>
      </c>
    </row>
    <row r="521" spans="2:6" ht="11.25">
      <c r="B521" s="437">
        <v>45909</v>
      </c>
      <c r="C521" s="438" t="s">
        <v>119</v>
      </c>
      <c r="D521" s="442" t="s">
        <v>65</v>
      </c>
      <c r="E521" s="438">
        <v>13000</v>
      </c>
      <c r="F521" s="439" t="s">
        <v>26094</v>
      </c>
    </row>
    <row r="522" spans="2:6" ht="11.25">
      <c r="B522" s="437">
        <v>45909</v>
      </c>
      <c r="C522" s="438" t="s">
        <v>119</v>
      </c>
      <c r="D522" s="442" t="s">
        <v>65</v>
      </c>
      <c r="E522" s="438">
        <v>2000</v>
      </c>
      <c r="F522" s="439" t="s">
        <v>26178</v>
      </c>
    </row>
    <row r="523" spans="2:6" ht="11.25">
      <c r="B523" s="437">
        <v>45909</v>
      </c>
      <c r="C523" s="438" t="s">
        <v>119</v>
      </c>
      <c r="D523" s="442" t="s">
        <v>65</v>
      </c>
      <c r="E523" s="438">
        <v>2000</v>
      </c>
      <c r="F523" s="439" t="s">
        <v>26179</v>
      </c>
    </row>
    <row r="524" spans="2:6" ht="11.25">
      <c r="B524" s="437">
        <v>45909</v>
      </c>
      <c r="C524" s="438" t="s">
        <v>119</v>
      </c>
      <c r="D524" s="442" t="s">
        <v>65</v>
      </c>
      <c r="E524" s="438">
        <v>8000</v>
      </c>
      <c r="F524" s="439" t="s">
        <v>26097</v>
      </c>
    </row>
    <row r="525" spans="2:6" ht="11.25">
      <c r="B525" s="437">
        <v>45909</v>
      </c>
      <c r="C525" s="438" t="s">
        <v>120</v>
      </c>
      <c r="D525" s="442" t="s">
        <v>65</v>
      </c>
      <c r="E525" s="438">
        <v>5000</v>
      </c>
      <c r="F525" s="439" t="s">
        <v>26180</v>
      </c>
    </row>
    <row r="526" spans="2:6" ht="11.25">
      <c r="B526" s="437">
        <v>45909</v>
      </c>
      <c r="C526" s="438" t="s">
        <v>120</v>
      </c>
      <c r="D526" s="442" t="s">
        <v>65</v>
      </c>
      <c r="E526" s="438">
        <v>13000</v>
      </c>
      <c r="F526" s="439" t="s">
        <v>26094</v>
      </c>
    </row>
    <row r="527" spans="2:6" ht="11.25">
      <c r="B527" s="437">
        <v>45909</v>
      </c>
      <c r="C527" s="438" t="s">
        <v>120</v>
      </c>
      <c r="D527" s="442" t="s">
        <v>65</v>
      </c>
      <c r="E527" s="438">
        <v>1000</v>
      </c>
      <c r="F527" s="439" t="s">
        <v>26181</v>
      </c>
    </row>
    <row r="528" spans="2:6" ht="11.25">
      <c r="B528" s="437">
        <v>45909</v>
      </c>
      <c r="C528" s="438" t="s">
        <v>120</v>
      </c>
      <c r="D528" s="442" t="s">
        <v>65</v>
      </c>
      <c r="E528" s="438">
        <v>3000</v>
      </c>
      <c r="F528" s="439" t="s">
        <v>26182</v>
      </c>
    </row>
    <row r="529" spans="2:6" ht="11.25">
      <c r="B529" s="437">
        <v>45909</v>
      </c>
      <c r="C529" s="438" t="s">
        <v>120</v>
      </c>
      <c r="D529" s="442" t="s">
        <v>65</v>
      </c>
      <c r="E529" s="438">
        <v>8000</v>
      </c>
      <c r="F529" s="439" t="s">
        <v>26097</v>
      </c>
    </row>
    <row r="530" spans="2:6" ht="11.25">
      <c r="B530" s="437">
        <v>45909</v>
      </c>
      <c r="C530" s="438" t="s">
        <v>121</v>
      </c>
      <c r="D530" s="442" t="s">
        <v>65</v>
      </c>
      <c r="E530" s="438">
        <v>1000</v>
      </c>
      <c r="F530" s="439" t="s">
        <v>26183</v>
      </c>
    </row>
    <row r="531" spans="2:6" ht="11.25">
      <c r="B531" s="437">
        <v>45909</v>
      </c>
      <c r="C531" s="438" t="s">
        <v>121</v>
      </c>
      <c r="D531" s="442" t="s">
        <v>65</v>
      </c>
      <c r="E531" s="438">
        <v>13000</v>
      </c>
      <c r="F531" s="439" t="s">
        <v>26094</v>
      </c>
    </row>
    <row r="532" spans="2:6" ht="11.25">
      <c r="B532" s="437">
        <v>45909</v>
      </c>
      <c r="C532" s="438" t="s">
        <v>121</v>
      </c>
      <c r="D532" s="442" t="s">
        <v>65</v>
      </c>
      <c r="E532" s="438">
        <v>2000</v>
      </c>
      <c r="F532" s="439" t="s">
        <v>26184</v>
      </c>
    </row>
    <row r="533" spans="2:6" ht="11.25">
      <c r="B533" s="437">
        <v>45909</v>
      </c>
      <c r="C533" s="438" t="s">
        <v>121</v>
      </c>
      <c r="D533" s="442" t="s">
        <v>65</v>
      </c>
      <c r="E533" s="438">
        <v>2000</v>
      </c>
      <c r="F533" s="439" t="s">
        <v>26178</v>
      </c>
    </row>
    <row r="534" spans="2:6" ht="11.25">
      <c r="B534" s="437">
        <v>45909</v>
      </c>
      <c r="C534" s="438" t="s">
        <v>121</v>
      </c>
      <c r="D534" s="442" t="s">
        <v>65</v>
      </c>
      <c r="E534" s="438">
        <v>500</v>
      </c>
      <c r="F534" s="439" t="s">
        <v>26185</v>
      </c>
    </row>
    <row r="535" spans="2:6" ht="11.25">
      <c r="B535" s="437">
        <v>45909</v>
      </c>
      <c r="C535" s="438" t="s">
        <v>121</v>
      </c>
      <c r="D535" s="442" t="s">
        <v>65</v>
      </c>
      <c r="E535" s="438">
        <v>8000</v>
      </c>
      <c r="F535" s="439" t="s">
        <v>26097</v>
      </c>
    </row>
    <row r="536" spans="2:6" ht="11.25">
      <c r="B536" s="437">
        <v>45909</v>
      </c>
      <c r="C536" s="438" t="s">
        <v>26186</v>
      </c>
      <c r="D536" s="442" t="s">
        <v>65</v>
      </c>
      <c r="E536" s="438">
        <v>13000</v>
      </c>
      <c r="F536" s="439" t="s">
        <v>26094</v>
      </c>
    </row>
    <row r="537" spans="2:6" ht="11.25">
      <c r="B537" s="437">
        <v>45909</v>
      </c>
      <c r="C537" s="438" t="s">
        <v>26187</v>
      </c>
      <c r="D537" s="442" t="s">
        <v>65</v>
      </c>
      <c r="E537" s="438">
        <v>13000</v>
      </c>
      <c r="F537" s="439" t="s">
        <v>26094</v>
      </c>
    </row>
    <row r="538" spans="2:6" ht="11.25">
      <c r="B538" s="437">
        <v>45909</v>
      </c>
      <c r="C538" s="438" t="s">
        <v>26187</v>
      </c>
      <c r="D538" s="442" t="s">
        <v>65</v>
      </c>
      <c r="E538" s="438">
        <v>5000</v>
      </c>
      <c r="F538" s="439" t="s">
        <v>26188</v>
      </c>
    </row>
    <row r="539" spans="2:6" ht="11.25">
      <c r="B539" s="437">
        <v>45909</v>
      </c>
      <c r="C539" s="438" t="s">
        <v>26187</v>
      </c>
      <c r="D539" s="442" t="s">
        <v>65</v>
      </c>
      <c r="E539" s="438">
        <v>2000</v>
      </c>
      <c r="F539" s="439" t="s">
        <v>26189</v>
      </c>
    </row>
    <row r="540" spans="2:6" ht="11.25">
      <c r="B540" s="437">
        <v>45909</v>
      </c>
      <c r="C540" s="438" t="s">
        <v>26187</v>
      </c>
      <c r="D540" s="442" t="s">
        <v>65</v>
      </c>
      <c r="E540" s="438">
        <v>8000</v>
      </c>
      <c r="F540" s="439" t="s">
        <v>26097</v>
      </c>
    </row>
    <row r="541" spans="2:6" ht="11.25">
      <c r="B541" s="437">
        <v>45909</v>
      </c>
      <c r="C541" s="438"/>
      <c r="D541" s="442"/>
      <c r="E541" s="438"/>
      <c r="F541" s="439"/>
    </row>
    <row r="542" spans="2:6" ht="11.25">
      <c r="B542" s="437">
        <v>45909</v>
      </c>
      <c r="C542" s="438"/>
      <c r="D542" s="442"/>
      <c r="E542" s="438"/>
      <c r="F542" s="439"/>
    </row>
    <row r="543" spans="2:6" ht="11.25">
      <c r="B543" s="437">
        <v>45909</v>
      </c>
      <c r="C543" s="438"/>
      <c r="D543" s="442"/>
      <c r="E543" s="438"/>
      <c r="F543" s="439"/>
    </row>
    <row r="544" spans="2:6" ht="11.25">
      <c r="B544" s="437"/>
      <c r="C544" s="438"/>
      <c r="D544" s="438"/>
      <c r="E544" s="438"/>
      <c r="F544" s="439"/>
    </row>
    <row r="1476" spans="10:10">
      <c r="J1476" s="249" t="e">
        <f>'Alterações_Detalhes por Usina'!F261+63500</f>
        <v>#VALUE!</v>
      </c>
    </row>
    <row r="1562" spans="10:10">
      <c r="J1562" s="249" t="e">
        <f>79215+'Alterações_Detalhes por Usina'!#REF!</f>
        <v>#REF!</v>
      </c>
    </row>
    <row r="1563" spans="10:10" ht="11.25"/>
    <row r="1564" spans="10:10" ht="11.25"/>
    <row r="2105" spans="10:10">
      <c r="J2105" s="249" t="e">
        <f>'Alterações_Detalhes por Usina'!C192+500000</f>
        <v>#VALUE!</v>
      </c>
    </row>
    <row r="2150" spans="10:10">
      <c r="J2150">
        <f>12000+194+500000</f>
        <v>512194</v>
      </c>
    </row>
    <row r="2151" spans="10:10" ht="11.25"/>
    <row r="2152" spans="10:10" ht="11.25"/>
  </sheetData>
  <autoFilter ref="B3:F291" xr:uid="{AB7B82FA-0137-4FAE-9783-9C98C4E14C3C}"/>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051F-7776-4E38-95EB-7919006389C7}">
  <sheetPr>
    <tabColor rgb="FF00B0F0"/>
  </sheetPr>
  <dimension ref="B2:J249"/>
  <sheetViews>
    <sheetView topLeftCell="E1" workbookViewId="0">
      <selection activeCell="E199" sqref="E199"/>
    </sheetView>
  </sheetViews>
  <sheetFormatPr defaultRowHeight="11.25"/>
  <cols>
    <col min="1" max="1" width="4.5" customWidth="1"/>
    <col min="2" max="2" width="26.1640625" customWidth="1"/>
    <col min="3" max="3" width="64.83203125" customWidth="1"/>
    <col min="4" max="6" width="20.83203125" customWidth="1"/>
    <col min="7" max="7" width="77.83203125" customWidth="1"/>
    <col min="8" max="8" width="20.83203125" customWidth="1"/>
    <col min="9" max="9" width="23.83203125" customWidth="1"/>
    <col min="10" max="10" width="37.33203125" bestFit="1" customWidth="1"/>
    <col min="16382" max="16382" width="9.33203125" bestFit="1" customWidth="1"/>
  </cols>
  <sheetData>
    <row r="2" spans="2:9">
      <c r="B2" s="463" t="s">
        <v>26190</v>
      </c>
      <c r="C2" s="464" t="s">
        <v>26191</v>
      </c>
      <c r="D2" s="464" t="s">
        <v>26192</v>
      </c>
      <c r="E2" s="464" t="s">
        <v>26193</v>
      </c>
      <c r="F2" s="464" t="s">
        <v>26194</v>
      </c>
      <c r="G2" s="1110" t="s">
        <v>26195</v>
      </c>
      <c r="H2" s="1110"/>
      <c r="I2" s="1111"/>
    </row>
    <row r="3" spans="2:9">
      <c r="B3" s="465" t="s">
        <v>66</v>
      </c>
      <c r="C3" s="466" t="s">
        <v>19</v>
      </c>
      <c r="D3" s="467" t="s">
        <v>26196</v>
      </c>
      <c r="E3" s="468">
        <v>1818400</v>
      </c>
      <c r="F3" s="468">
        <v>1818400</v>
      </c>
      <c r="G3" s="467" t="s">
        <v>26070</v>
      </c>
      <c r="H3" s="467" t="s">
        <v>26197</v>
      </c>
      <c r="I3" s="469" t="s">
        <v>6077</v>
      </c>
    </row>
    <row r="4" spans="2:9">
      <c r="B4" s="465" t="s">
        <v>104</v>
      </c>
      <c r="C4" s="466" t="s">
        <v>59</v>
      </c>
      <c r="D4" s="468">
        <v>153773.66</v>
      </c>
      <c r="E4" s="468">
        <v>290585.06</v>
      </c>
      <c r="F4" s="468">
        <v>136811.4</v>
      </c>
      <c r="G4" s="467" t="s">
        <v>26198</v>
      </c>
      <c r="H4" s="467" t="s">
        <v>26197</v>
      </c>
      <c r="I4" s="469" t="s">
        <v>6077</v>
      </c>
    </row>
    <row r="5" spans="2:9">
      <c r="B5" s="465" t="s">
        <v>97</v>
      </c>
      <c r="C5" s="466" t="s">
        <v>59</v>
      </c>
      <c r="D5" s="468">
        <v>136811.4</v>
      </c>
      <c r="E5" s="467" t="s">
        <v>26196</v>
      </c>
      <c r="F5" s="468">
        <v>-136811.4</v>
      </c>
      <c r="G5" s="467" t="s">
        <v>6077</v>
      </c>
      <c r="H5" s="467" t="s">
        <v>26197</v>
      </c>
      <c r="I5" s="469" t="s">
        <v>6077</v>
      </c>
    </row>
    <row r="6" spans="2:9">
      <c r="B6" s="465" t="s">
        <v>110</v>
      </c>
      <c r="C6" s="466" t="s">
        <v>57</v>
      </c>
      <c r="D6" s="467" t="s">
        <v>26196</v>
      </c>
      <c r="E6" s="468">
        <v>21200</v>
      </c>
      <c r="F6" s="468">
        <v>21200</v>
      </c>
      <c r="G6" s="467" t="s">
        <v>26199</v>
      </c>
      <c r="H6" s="467" t="s">
        <v>26197</v>
      </c>
      <c r="I6" s="469" t="s">
        <v>6077</v>
      </c>
    </row>
    <row r="7" spans="2:9">
      <c r="B7" s="465" t="s">
        <v>25912</v>
      </c>
      <c r="C7" s="466" t="s">
        <v>46</v>
      </c>
      <c r="D7" s="467" t="s">
        <v>26196</v>
      </c>
      <c r="E7" s="468">
        <v>6206.9</v>
      </c>
      <c r="F7" s="468">
        <v>6206.9</v>
      </c>
      <c r="G7" s="467" t="s">
        <v>46</v>
      </c>
      <c r="H7" s="467" t="s">
        <v>26197</v>
      </c>
      <c r="I7" s="469" t="s">
        <v>6077</v>
      </c>
    </row>
    <row r="8" spans="2:9">
      <c r="B8" s="465" t="s">
        <v>95</v>
      </c>
      <c r="C8" s="466" t="s">
        <v>46</v>
      </c>
      <c r="D8" s="467" t="s">
        <v>26196</v>
      </c>
      <c r="E8" s="468">
        <v>6206.9</v>
      </c>
      <c r="F8" s="468">
        <v>6206.9</v>
      </c>
      <c r="G8" s="467" t="s">
        <v>46</v>
      </c>
      <c r="H8" s="467" t="s">
        <v>26197</v>
      </c>
      <c r="I8" s="469" t="s">
        <v>6077</v>
      </c>
    </row>
    <row r="9" spans="2:9">
      <c r="B9" s="465" t="s">
        <v>122</v>
      </c>
      <c r="C9" s="466" t="s">
        <v>81</v>
      </c>
      <c r="D9" s="467" t="s">
        <v>26196</v>
      </c>
      <c r="E9" s="468">
        <v>39532.36</v>
      </c>
      <c r="F9" s="468">
        <v>39532.36</v>
      </c>
      <c r="G9" s="467" t="s">
        <v>26082</v>
      </c>
      <c r="H9" s="467" t="s">
        <v>26197</v>
      </c>
      <c r="I9" s="469" t="s">
        <v>6077</v>
      </c>
    </row>
    <row r="10" spans="2:9">
      <c r="B10" s="465" t="s">
        <v>88</v>
      </c>
      <c r="C10" s="466" t="s">
        <v>81</v>
      </c>
      <c r="D10" s="467" t="s">
        <v>26196</v>
      </c>
      <c r="E10" s="468">
        <v>100312.77</v>
      </c>
      <c r="F10" s="468">
        <v>100312.77</v>
      </c>
      <c r="G10" s="467" t="s">
        <v>26082</v>
      </c>
      <c r="H10" s="467" t="s">
        <v>26197</v>
      </c>
      <c r="I10" s="469" t="s">
        <v>6077</v>
      </c>
    </row>
    <row r="11" spans="2:9">
      <c r="B11" s="465" t="s">
        <v>26010</v>
      </c>
      <c r="C11" s="466" t="s">
        <v>81</v>
      </c>
      <c r="D11" s="467" t="s">
        <v>26196</v>
      </c>
      <c r="E11" s="468">
        <v>110845.13</v>
      </c>
      <c r="F11" s="468">
        <v>110845.13</v>
      </c>
      <c r="G11" s="467" t="s">
        <v>26082</v>
      </c>
      <c r="H11" s="467" t="s">
        <v>26197</v>
      </c>
      <c r="I11" s="469" t="s">
        <v>6077</v>
      </c>
    </row>
    <row r="12" spans="2:9">
      <c r="B12" s="465" t="s">
        <v>93</v>
      </c>
      <c r="C12" s="466" t="s">
        <v>38</v>
      </c>
      <c r="D12" s="467" t="s">
        <v>26196</v>
      </c>
      <c r="E12" s="468">
        <v>18000</v>
      </c>
      <c r="F12" s="468">
        <v>18000</v>
      </c>
      <c r="G12" s="467" t="s">
        <v>26083</v>
      </c>
      <c r="H12" s="467" t="s">
        <v>26197</v>
      </c>
      <c r="I12" s="469" t="s">
        <v>6077</v>
      </c>
    </row>
    <row r="13" spans="2:9">
      <c r="B13" s="465" t="s">
        <v>95</v>
      </c>
      <c r="C13" s="466" t="s">
        <v>38</v>
      </c>
      <c r="D13" s="467" t="s">
        <v>26196</v>
      </c>
      <c r="E13" s="468">
        <v>8000</v>
      </c>
      <c r="F13" s="468">
        <v>8000</v>
      </c>
      <c r="G13" s="467" t="s">
        <v>26083</v>
      </c>
      <c r="H13" s="467" t="s">
        <v>26197</v>
      </c>
      <c r="I13" s="469" t="s">
        <v>6077</v>
      </c>
    </row>
    <row r="14" spans="2:9">
      <c r="B14" s="465" t="s">
        <v>122</v>
      </c>
      <c r="C14" s="466" t="s">
        <v>9363</v>
      </c>
      <c r="D14" s="467" t="s">
        <v>26196</v>
      </c>
      <c r="E14" s="468">
        <v>18000</v>
      </c>
      <c r="F14" s="468">
        <v>18000</v>
      </c>
      <c r="G14" s="467" t="s">
        <v>26084</v>
      </c>
      <c r="H14" s="467" t="s">
        <v>26197</v>
      </c>
      <c r="I14" s="469" t="s">
        <v>6077</v>
      </c>
    </row>
    <row r="15" spans="2:9">
      <c r="B15" s="465" t="s">
        <v>122</v>
      </c>
      <c r="C15" s="466" t="s">
        <v>26085</v>
      </c>
      <c r="D15" s="467" t="s">
        <v>26196</v>
      </c>
      <c r="E15" s="468">
        <v>18000</v>
      </c>
      <c r="F15" s="468">
        <v>18000</v>
      </c>
      <c r="G15" s="467" t="s">
        <v>26084</v>
      </c>
      <c r="H15" s="467" t="s">
        <v>26197</v>
      </c>
      <c r="I15" s="469" t="s">
        <v>6077</v>
      </c>
    </row>
    <row r="16" spans="2:9">
      <c r="B16" s="465" t="s">
        <v>97</v>
      </c>
      <c r="C16" s="466" t="s">
        <v>19</v>
      </c>
      <c r="D16" s="468">
        <v>500000</v>
      </c>
      <c r="E16" s="468">
        <v>1124846</v>
      </c>
      <c r="F16" s="468">
        <v>624846</v>
      </c>
      <c r="G16" s="467" t="s">
        <v>26070</v>
      </c>
      <c r="H16" s="467" t="s">
        <v>26197</v>
      </c>
      <c r="I16" s="469" t="s">
        <v>6077</v>
      </c>
    </row>
    <row r="17" spans="2:9">
      <c r="B17" s="465" t="s">
        <v>66</v>
      </c>
      <c r="C17" s="466" t="s">
        <v>22</v>
      </c>
      <c r="D17" s="467" t="s">
        <v>26196</v>
      </c>
      <c r="E17" s="468">
        <v>259146.86</v>
      </c>
      <c r="F17" s="468">
        <v>259146.86</v>
      </c>
      <c r="G17" s="467" t="s">
        <v>26200</v>
      </c>
      <c r="H17" s="467" t="s">
        <v>26197</v>
      </c>
      <c r="I17" s="469" t="s">
        <v>6077</v>
      </c>
    </row>
    <row r="18" spans="2:9">
      <c r="B18" s="465" t="s">
        <v>68</v>
      </c>
      <c r="C18" s="466" t="s">
        <v>22</v>
      </c>
      <c r="D18" s="467" t="s">
        <v>26196</v>
      </c>
      <c r="E18" s="468">
        <v>259146.86</v>
      </c>
      <c r="F18" s="468">
        <v>259146.86</v>
      </c>
      <c r="G18" s="467" t="s">
        <v>26200</v>
      </c>
      <c r="H18" s="467" t="s">
        <v>26197</v>
      </c>
      <c r="I18" s="469" t="s">
        <v>6077</v>
      </c>
    </row>
    <row r="19" spans="2:9">
      <c r="B19" s="465" t="s">
        <v>70</v>
      </c>
      <c r="C19" s="466" t="s">
        <v>22</v>
      </c>
      <c r="D19" s="467" t="s">
        <v>26196</v>
      </c>
      <c r="E19" s="468">
        <v>259146.86</v>
      </c>
      <c r="F19" s="468">
        <v>259146.86</v>
      </c>
      <c r="G19" s="467" t="s">
        <v>26200</v>
      </c>
      <c r="H19" s="467" t="s">
        <v>26197</v>
      </c>
      <c r="I19" s="469" t="s">
        <v>6077</v>
      </c>
    </row>
    <row r="20" spans="2:9">
      <c r="B20" s="465" t="s">
        <v>84</v>
      </c>
      <c r="C20" s="466" t="s">
        <v>22</v>
      </c>
      <c r="D20" s="467" t="s">
        <v>26196</v>
      </c>
      <c r="E20" s="468">
        <v>259146.86</v>
      </c>
      <c r="F20" s="468">
        <v>259146.86</v>
      </c>
      <c r="G20" s="467" t="s">
        <v>26200</v>
      </c>
      <c r="H20" s="467" t="s">
        <v>26197</v>
      </c>
      <c r="I20" s="469" t="s">
        <v>6077</v>
      </c>
    </row>
    <row r="21" spans="2:9">
      <c r="B21" s="465" t="s">
        <v>86</v>
      </c>
      <c r="C21" s="466" t="s">
        <v>22</v>
      </c>
      <c r="D21" s="467" t="s">
        <v>26196</v>
      </c>
      <c r="E21" s="468">
        <v>259146.86</v>
      </c>
      <c r="F21" s="468">
        <v>259146.86</v>
      </c>
      <c r="G21" s="467" t="s">
        <v>26200</v>
      </c>
      <c r="H21" s="467" t="s">
        <v>26197</v>
      </c>
      <c r="I21" s="469" t="s">
        <v>6077</v>
      </c>
    </row>
    <row r="22" spans="2:9">
      <c r="B22" s="465" t="s">
        <v>93</v>
      </c>
      <c r="C22" s="466" t="s">
        <v>22</v>
      </c>
      <c r="D22" s="467" t="s">
        <v>26196</v>
      </c>
      <c r="E22" s="468">
        <v>67038</v>
      </c>
      <c r="F22" s="468">
        <v>67038</v>
      </c>
      <c r="G22" s="467" t="s">
        <v>26200</v>
      </c>
      <c r="H22" s="467" t="s">
        <v>26197</v>
      </c>
      <c r="I22" s="469" t="s">
        <v>6077</v>
      </c>
    </row>
    <row r="23" spans="2:9">
      <c r="B23" s="465" t="s">
        <v>95</v>
      </c>
      <c r="C23" s="466" t="s">
        <v>22</v>
      </c>
      <c r="D23" s="467" t="s">
        <v>26196</v>
      </c>
      <c r="E23" s="468">
        <v>173230.13</v>
      </c>
      <c r="F23" s="468">
        <v>173230.13</v>
      </c>
      <c r="G23" s="467" t="s">
        <v>26200</v>
      </c>
      <c r="H23" s="467" t="s">
        <v>26197</v>
      </c>
      <c r="I23" s="469" t="s">
        <v>6077</v>
      </c>
    </row>
    <row r="24" spans="2:9">
      <c r="B24" s="465" t="s">
        <v>111</v>
      </c>
      <c r="C24" s="466" t="s">
        <v>22</v>
      </c>
      <c r="D24" s="467" t="s">
        <v>26196</v>
      </c>
      <c r="E24" s="468">
        <v>259146.86</v>
      </c>
      <c r="F24" s="468">
        <v>259146.86</v>
      </c>
      <c r="G24" s="467" t="s">
        <v>26200</v>
      </c>
      <c r="H24" s="467" t="s">
        <v>26197</v>
      </c>
      <c r="I24" s="469" t="s">
        <v>6077</v>
      </c>
    </row>
    <row r="25" spans="2:9">
      <c r="B25" s="465" t="s">
        <v>117</v>
      </c>
      <c r="C25" s="466" t="s">
        <v>22</v>
      </c>
      <c r="D25" s="467" t="s">
        <v>26196</v>
      </c>
      <c r="E25" s="468">
        <v>259146.86</v>
      </c>
      <c r="F25" s="468">
        <v>259146.86</v>
      </c>
      <c r="G25" s="467" t="s">
        <v>26200</v>
      </c>
      <c r="H25" s="467" t="s">
        <v>26197</v>
      </c>
      <c r="I25" s="469" t="s">
        <v>6077</v>
      </c>
    </row>
    <row r="26" spans="2:9">
      <c r="B26" s="465" t="s">
        <v>119</v>
      </c>
      <c r="C26" s="466" t="s">
        <v>59</v>
      </c>
      <c r="D26" s="468">
        <v>18275</v>
      </c>
      <c r="E26" s="468">
        <v>18275</v>
      </c>
      <c r="F26" s="467" t="s">
        <v>26201</v>
      </c>
      <c r="G26" s="467" t="s">
        <v>26086</v>
      </c>
      <c r="H26" s="467" t="s">
        <v>26197</v>
      </c>
      <c r="I26" s="469" t="s">
        <v>6077</v>
      </c>
    </row>
    <row r="27" spans="2:9">
      <c r="B27" s="465" t="s">
        <v>120</v>
      </c>
      <c r="C27" s="466" t="s">
        <v>59</v>
      </c>
      <c r="D27" s="468">
        <v>14075</v>
      </c>
      <c r="E27" s="468">
        <v>14075</v>
      </c>
      <c r="F27" s="467" t="s">
        <v>26201</v>
      </c>
      <c r="G27" s="467" t="s">
        <v>26086</v>
      </c>
      <c r="H27" s="467" t="s">
        <v>26197</v>
      </c>
      <c r="I27" s="469" t="s">
        <v>6077</v>
      </c>
    </row>
    <row r="28" spans="2:9">
      <c r="B28" s="465" t="s">
        <v>25973</v>
      </c>
      <c r="C28" s="466" t="s">
        <v>57</v>
      </c>
      <c r="D28" s="468">
        <v>160000</v>
      </c>
      <c r="E28" s="468">
        <v>174920</v>
      </c>
      <c r="F28" s="468">
        <v>14920</v>
      </c>
      <c r="G28" s="467" t="s">
        <v>25970</v>
      </c>
      <c r="H28" s="467" t="s">
        <v>26197</v>
      </c>
      <c r="I28" s="469" t="s">
        <v>6077</v>
      </c>
    </row>
    <row r="29" spans="2:9">
      <c r="B29" s="465" t="s">
        <v>13</v>
      </c>
      <c r="C29" s="466" t="s">
        <v>7471</v>
      </c>
      <c r="D29" s="467" t="s">
        <v>26196</v>
      </c>
      <c r="E29" s="468">
        <v>65000</v>
      </c>
      <c r="F29" s="468">
        <v>65000</v>
      </c>
      <c r="G29" s="467" t="s">
        <v>25948</v>
      </c>
      <c r="H29" s="467" t="s">
        <v>167</v>
      </c>
      <c r="I29" s="469" t="s">
        <v>26202</v>
      </c>
    </row>
    <row r="30" spans="2:9">
      <c r="B30" s="465" t="s">
        <v>13</v>
      </c>
      <c r="C30" s="466" t="s">
        <v>22</v>
      </c>
      <c r="D30" s="467" t="s">
        <v>26196</v>
      </c>
      <c r="E30" s="468">
        <v>10000</v>
      </c>
      <c r="F30" s="468">
        <v>10000</v>
      </c>
      <c r="G30" s="467" t="s">
        <v>25950</v>
      </c>
      <c r="H30" s="467" t="s">
        <v>167</v>
      </c>
      <c r="I30" s="469" t="s">
        <v>26202</v>
      </c>
    </row>
    <row r="31" spans="2:9">
      <c r="B31" s="465" t="s">
        <v>13</v>
      </c>
      <c r="C31" s="466" t="s">
        <v>22</v>
      </c>
      <c r="D31" s="467" t="s">
        <v>26196</v>
      </c>
      <c r="E31" s="468">
        <v>10000</v>
      </c>
      <c r="F31" s="468">
        <v>10000</v>
      </c>
      <c r="G31" s="467" t="s">
        <v>25952</v>
      </c>
      <c r="H31" s="467" t="s">
        <v>167</v>
      </c>
      <c r="I31" s="469" t="s">
        <v>26202</v>
      </c>
    </row>
    <row r="32" spans="2:9">
      <c r="B32" s="465" t="s">
        <v>13</v>
      </c>
      <c r="C32" s="466" t="s">
        <v>22</v>
      </c>
      <c r="D32" s="468">
        <v>20000</v>
      </c>
      <c r="E32" s="468">
        <v>94815</v>
      </c>
      <c r="F32" s="468">
        <v>74815</v>
      </c>
      <c r="G32" s="467" t="s">
        <v>25954</v>
      </c>
      <c r="H32" s="467" t="s">
        <v>167</v>
      </c>
      <c r="I32" s="469" t="s">
        <v>26202</v>
      </c>
    </row>
    <row r="33" spans="2:9">
      <c r="B33" s="465" t="s">
        <v>18</v>
      </c>
      <c r="C33" s="466" t="s">
        <v>22</v>
      </c>
      <c r="D33" s="468">
        <v>76000</v>
      </c>
      <c r="E33" s="468">
        <v>12900</v>
      </c>
      <c r="F33" s="468">
        <v>-63100</v>
      </c>
      <c r="G33" s="467" t="s">
        <v>25954</v>
      </c>
      <c r="H33" s="467" t="s">
        <v>167</v>
      </c>
      <c r="I33" s="469" t="s">
        <v>26202</v>
      </c>
    </row>
    <row r="34" spans="2:9">
      <c r="B34" s="465" t="s">
        <v>18</v>
      </c>
      <c r="C34" s="466" t="s">
        <v>22</v>
      </c>
      <c r="D34" s="468">
        <v>34000</v>
      </c>
      <c r="E34" s="468">
        <v>20000</v>
      </c>
      <c r="F34" s="468">
        <v>-14000</v>
      </c>
      <c r="G34" s="467" t="s">
        <v>25955</v>
      </c>
      <c r="H34" s="467" t="s">
        <v>167</v>
      </c>
      <c r="I34" s="469" t="s">
        <v>26202</v>
      </c>
    </row>
    <row r="35" spans="2:9">
      <c r="B35" s="465" t="s">
        <v>18</v>
      </c>
      <c r="C35" s="466" t="s">
        <v>22</v>
      </c>
      <c r="D35" s="467" t="s">
        <v>26196</v>
      </c>
      <c r="E35" s="468">
        <v>10000</v>
      </c>
      <c r="F35" s="468">
        <v>10000</v>
      </c>
      <c r="G35" s="467" t="s">
        <v>25956</v>
      </c>
      <c r="H35" s="467" t="s">
        <v>167</v>
      </c>
      <c r="I35" s="469" t="s">
        <v>26202</v>
      </c>
    </row>
    <row r="36" spans="2:9">
      <c r="B36" s="465" t="s">
        <v>18</v>
      </c>
      <c r="C36" s="466" t="s">
        <v>22</v>
      </c>
      <c r="D36" s="467" t="s">
        <v>26196</v>
      </c>
      <c r="E36" s="468">
        <v>10000</v>
      </c>
      <c r="F36" s="468">
        <v>10000</v>
      </c>
      <c r="G36" s="467" t="s">
        <v>25950</v>
      </c>
      <c r="H36" s="467" t="s">
        <v>167</v>
      </c>
      <c r="I36" s="469" t="s">
        <v>26202</v>
      </c>
    </row>
    <row r="37" spans="2:9">
      <c r="B37" s="465" t="s">
        <v>18</v>
      </c>
      <c r="C37" s="466" t="s">
        <v>22</v>
      </c>
      <c r="D37" s="467" t="s">
        <v>26196</v>
      </c>
      <c r="E37" s="468">
        <v>10000</v>
      </c>
      <c r="F37" s="468">
        <v>10000</v>
      </c>
      <c r="G37" s="467" t="s">
        <v>25952</v>
      </c>
      <c r="H37" s="467" t="s">
        <v>167</v>
      </c>
      <c r="I37" s="469" t="s">
        <v>26202</v>
      </c>
    </row>
    <row r="38" spans="2:9">
      <c r="B38" s="465" t="s">
        <v>64</v>
      </c>
      <c r="C38" s="466" t="s">
        <v>22</v>
      </c>
      <c r="D38" s="468">
        <v>13000</v>
      </c>
      <c r="E38" s="468">
        <v>12900</v>
      </c>
      <c r="F38" s="468">
        <v>-100</v>
      </c>
      <c r="G38" s="467" t="s">
        <v>25954</v>
      </c>
      <c r="H38" s="467" t="s">
        <v>167</v>
      </c>
      <c r="I38" s="469" t="s">
        <v>26202</v>
      </c>
    </row>
    <row r="39" spans="2:9">
      <c r="B39" s="465" t="s">
        <v>64</v>
      </c>
      <c r="C39" s="466" t="s">
        <v>7471</v>
      </c>
      <c r="D39" s="467" t="s">
        <v>26196</v>
      </c>
      <c r="E39" s="468">
        <v>80000</v>
      </c>
      <c r="F39" s="468">
        <v>80000</v>
      </c>
      <c r="G39" s="467" t="s">
        <v>25957</v>
      </c>
      <c r="H39" s="467" t="s">
        <v>167</v>
      </c>
      <c r="I39" s="469" t="s">
        <v>26202</v>
      </c>
    </row>
    <row r="40" spans="2:9">
      <c r="B40" s="465" t="s">
        <v>27</v>
      </c>
      <c r="C40" s="466" t="s">
        <v>22</v>
      </c>
      <c r="D40" s="467" t="s">
        <v>26196</v>
      </c>
      <c r="E40" s="468">
        <v>1200</v>
      </c>
      <c r="F40" s="468">
        <v>1200</v>
      </c>
      <c r="G40" s="467" t="s">
        <v>25958</v>
      </c>
      <c r="H40" s="467" t="s">
        <v>167</v>
      </c>
      <c r="I40" s="469" t="s">
        <v>26202</v>
      </c>
    </row>
    <row r="41" spans="2:9">
      <c r="B41" s="465" t="s">
        <v>12569</v>
      </c>
      <c r="C41" s="466" t="s">
        <v>22</v>
      </c>
      <c r="D41" s="468">
        <v>75000</v>
      </c>
      <c r="E41" s="468">
        <v>63000</v>
      </c>
      <c r="F41" s="468">
        <v>-12000</v>
      </c>
      <c r="G41" s="467" t="s">
        <v>25959</v>
      </c>
      <c r="H41" s="467" t="s">
        <v>26197</v>
      </c>
      <c r="I41" s="469"/>
    </row>
    <row r="42" spans="2:9">
      <c r="B42" s="465" t="s">
        <v>12569</v>
      </c>
      <c r="C42" s="466" t="s">
        <v>22</v>
      </c>
      <c r="D42" s="467" t="s">
        <v>26196</v>
      </c>
      <c r="E42" s="468">
        <v>5000</v>
      </c>
      <c r="F42" s="468">
        <v>5000</v>
      </c>
      <c r="G42" s="467" t="s">
        <v>25961</v>
      </c>
      <c r="H42" s="467" t="s">
        <v>167</v>
      </c>
      <c r="I42" s="469" t="s">
        <v>26202</v>
      </c>
    </row>
    <row r="43" spans="2:9">
      <c r="B43" s="465" t="s">
        <v>12569</v>
      </c>
      <c r="C43" s="466" t="s">
        <v>22</v>
      </c>
      <c r="D43" s="467" t="s">
        <v>26196</v>
      </c>
      <c r="E43" s="468">
        <v>5000</v>
      </c>
      <c r="F43" s="468">
        <v>5000</v>
      </c>
      <c r="G43" s="467" t="s">
        <v>25962</v>
      </c>
      <c r="H43" s="467" t="s">
        <v>167</v>
      </c>
      <c r="I43" s="469" t="s">
        <v>26202</v>
      </c>
    </row>
    <row r="44" spans="2:9">
      <c r="B44" s="465" t="s">
        <v>12569</v>
      </c>
      <c r="C44" s="466" t="s">
        <v>22</v>
      </c>
      <c r="D44" s="467" t="s">
        <v>26196</v>
      </c>
      <c r="E44" s="468">
        <v>5000</v>
      </c>
      <c r="F44" s="468">
        <v>5000</v>
      </c>
      <c r="G44" s="467" t="s">
        <v>25963</v>
      </c>
      <c r="H44" s="467" t="s">
        <v>167</v>
      </c>
      <c r="I44" s="469" t="s">
        <v>26202</v>
      </c>
    </row>
    <row r="45" spans="2:9">
      <c r="B45" s="465" t="s">
        <v>12569</v>
      </c>
      <c r="C45" s="466" t="s">
        <v>22</v>
      </c>
      <c r="D45" s="467" t="s">
        <v>26196</v>
      </c>
      <c r="E45" s="468">
        <v>10000</v>
      </c>
      <c r="F45" s="468">
        <v>10000</v>
      </c>
      <c r="G45" s="467" t="s">
        <v>25964</v>
      </c>
      <c r="H45" s="467" t="s">
        <v>167</v>
      </c>
      <c r="I45" s="469" t="s">
        <v>26202</v>
      </c>
    </row>
    <row r="46" spans="2:9">
      <c r="B46" s="465" t="s">
        <v>12569</v>
      </c>
      <c r="C46" s="466" t="s">
        <v>44</v>
      </c>
      <c r="D46" s="467" t="s">
        <v>26196</v>
      </c>
      <c r="E46" s="468">
        <v>10000</v>
      </c>
      <c r="F46" s="468">
        <v>10000</v>
      </c>
      <c r="G46" s="467" t="s">
        <v>25965</v>
      </c>
      <c r="H46" s="467" t="s">
        <v>167</v>
      </c>
      <c r="I46" s="469" t="s">
        <v>26202</v>
      </c>
    </row>
    <row r="47" spans="2:9">
      <c r="B47" s="465" t="s">
        <v>25966</v>
      </c>
      <c r="C47" s="466" t="s">
        <v>22</v>
      </c>
      <c r="D47" s="468">
        <v>2000</v>
      </c>
      <c r="E47" s="468">
        <v>2000</v>
      </c>
      <c r="F47" s="467" t="s">
        <v>26201</v>
      </c>
      <c r="G47" s="467" t="s">
        <v>25967</v>
      </c>
      <c r="H47" s="467" t="s">
        <v>167</v>
      </c>
      <c r="I47" s="469" t="s">
        <v>26202</v>
      </c>
    </row>
    <row r="48" spans="2:9">
      <c r="B48" s="465" t="s">
        <v>25966</v>
      </c>
      <c r="C48" s="466" t="s">
        <v>57</v>
      </c>
      <c r="D48" s="467" t="s">
        <v>26196</v>
      </c>
      <c r="E48" s="468">
        <v>40000</v>
      </c>
      <c r="F48" s="468">
        <v>40000</v>
      </c>
      <c r="G48" s="467" t="s">
        <v>25968</v>
      </c>
      <c r="H48" s="467" t="s">
        <v>167</v>
      </c>
      <c r="I48" s="469" t="s">
        <v>26202</v>
      </c>
    </row>
    <row r="49" spans="2:9" ht="16.5" customHeight="1">
      <c r="B49" s="465" t="s">
        <v>25969</v>
      </c>
      <c r="C49" s="466" t="s">
        <v>57</v>
      </c>
      <c r="D49" s="468">
        <v>151000</v>
      </c>
      <c r="E49" s="468">
        <v>148750</v>
      </c>
      <c r="F49" s="467" t="s">
        <v>26201</v>
      </c>
      <c r="G49" s="467" t="s">
        <v>25970</v>
      </c>
      <c r="H49" s="467" t="s">
        <v>167</v>
      </c>
      <c r="I49" s="756" t="s">
        <v>26203</v>
      </c>
    </row>
    <row r="50" spans="2:9">
      <c r="B50" s="465" t="s">
        <v>25969</v>
      </c>
      <c r="C50" s="466" t="s">
        <v>22</v>
      </c>
      <c r="D50" s="467" t="s">
        <v>26196</v>
      </c>
      <c r="E50" s="468">
        <v>5000</v>
      </c>
      <c r="F50" s="468">
        <v>5000</v>
      </c>
      <c r="G50" s="467" t="s">
        <v>25961</v>
      </c>
      <c r="H50" s="467" t="s">
        <v>167</v>
      </c>
      <c r="I50" s="469" t="s">
        <v>26202</v>
      </c>
    </row>
    <row r="51" spans="2:9">
      <c r="B51" s="465" t="s">
        <v>25969</v>
      </c>
      <c r="C51" s="466" t="s">
        <v>22</v>
      </c>
      <c r="D51" s="467" t="s">
        <v>26196</v>
      </c>
      <c r="E51" s="468">
        <v>15000</v>
      </c>
      <c r="F51" s="468">
        <v>15000</v>
      </c>
      <c r="G51" s="467" t="s">
        <v>25972</v>
      </c>
      <c r="H51" s="467" t="s">
        <v>167</v>
      </c>
      <c r="I51" s="469" t="s">
        <v>26202</v>
      </c>
    </row>
    <row r="52" spans="2:9">
      <c r="B52" s="465" t="s">
        <v>25973</v>
      </c>
      <c r="C52" s="466" t="s">
        <v>22</v>
      </c>
      <c r="D52" s="468">
        <v>35000</v>
      </c>
      <c r="E52" s="468">
        <v>36500</v>
      </c>
      <c r="F52" s="468">
        <v>1500</v>
      </c>
      <c r="G52" s="467" t="s">
        <v>25974</v>
      </c>
      <c r="H52" s="467" t="s">
        <v>167</v>
      </c>
      <c r="I52" s="469" t="s">
        <v>26202</v>
      </c>
    </row>
    <row r="53" spans="2:9">
      <c r="B53" s="465" t="s">
        <v>25973</v>
      </c>
      <c r="C53" s="466" t="s">
        <v>55</v>
      </c>
      <c r="D53" s="467" t="s">
        <v>26196</v>
      </c>
      <c r="E53" s="468">
        <v>12000</v>
      </c>
      <c r="F53" s="468">
        <v>12000</v>
      </c>
      <c r="G53" s="467" t="s">
        <v>25975</v>
      </c>
      <c r="H53" s="467" t="s">
        <v>167</v>
      </c>
      <c r="I53" s="469" t="s">
        <v>26202</v>
      </c>
    </row>
    <row r="54" spans="2:9">
      <c r="B54" s="465" t="s">
        <v>25973</v>
      </c>
      <c r="C54" s="466" t="s">
        <v>22</v>
      </c>
      <c r="D54" s="467" t="s">
        <v>26196</v>
      </c>
      <c r="E54" s="468">
        <v>12000</v>
      </c>
      <c r="F54" s="468">
        <v>12000</v>
      </c>
      <c r="G54" s="467" t="s">
        <v>25961</v>
      </c>
      <c r="H54" s="467" t="s">
        <v>167</v>
      </c>
      <c r="I54" s="469" t="s">
        <v>26202</v>
      </c>
    </row>
    <row r="55" spans="2:9">
      <c r="B55" s="465" t="s">
        <v>25973</v>
      </c>
      <c r="C55" s="466" t="s">
        <v>22</v>
      </c>
      <c r="D55" s="467" t="s">
        <v>26196</v>
      </c>
      <c r="E55" s="468">
        <v>5000</v>
      </c>
      <c r="F55" s="468">
        <v>5000</v>
      </c>
      <c r="G55" s="467" t="s">
        <v>25976</v>
      </c>
      <c r="H55" s="467" t="s">
        <v>167</v>
      </c>
      <c r="I55" s="469" t="s">
        <v>26202</v>
      </c>
    </row>
    <row r="56" spans="2:9">
      <c r="B56" s="465" t="s">
        <v>25973</v>
      </c>
      <c r="C56" s="466" t="s">
        <v>22</v>
      </c>
      <c r="D56" s="467" t="s">
        <v>26196</v>
      </c>
      <c r="E56" s="468">
        <v>2000</v>
      </c>
      <c r="F56" s="468">
        <v>2000</v>
      </c>
      <c r="G56" s="467" t="s">
        <v>25977</v>
      </c>
      <c r="H56" s="467" t="s">
        <v>167</v>
      </c>
      <c r="I56" s="469" t="s">
        <v>26202</v>
      </c>
    </row>
    <row r="57" spans="2:9">
      <c r="B57" s="465" t="s">
        <v>25978</v>
      </c>
      <c r="C57" s="466" t="s">
        <v>22</v>
      </c>
      <c r="D57" s="468">
        <v>2000</v>
      </c>
      <c r="E57" s="468">
        <v>2000</v>
      </c>
      <c r="F57" s="467" t="s">
        <v>26201</v>
      </c>
      <c r="G57" s="467" t="s">
        <v>25979</v>
      </c>
      <c r="H57" s="467" t="s">
        <v>167</v>
      </c>
      <c r="I57" s="469" t="s">
        <v>26202</v>
      </c>
    </row>
    <row r="58" spans="2:9">
      <c r="B58" s="465" t="s">
        <v>25980</v>
      </c>
      <c r="C58" s="466" t="s">
        <v>55</v>
      </c>
      <c r="D58" s="468">
        <v>10000</v>
      </c>
      <c r="E58" s="468">
        <v>10000</v>
      </c>
      <c r="F58" s="467" t="s">
        <v>26201</v>
      </c>
      <c r="G58" s="467" t="s">
        <v>25967</v>
      </c>
      <c r="H58" s="467" t="s">
        <v>167</v>
      </c>
      <c r="I58" s="469" t="s">
        <v>26202</v>
      </c>
    </row>
    <row r="59" spans="2:9">
      <c r="B59" s="465" t="s">
        <v>25980</v>
      </c>
      <c r="C59" s="466" t="s">
        <v>22</v>
      </c>
      <c r="D59" s="468">
        <v>2000</v>
      </c>
      <c r="E59" s="468">
        <v>2000</v>
      </c>
      <c r="F59" s="467" t="s">
        <v>26201</v>
      </c>
      <c r="G59" s="467" t="s">
        <v>25979</v>
      </c>
      <c r="H59" s="467" t="s">
        <v>167</v>
      </c>
      <c r="I59" s="469" t="s">
        <v>26202</v>
      </c>
    </row>
    <row r="60" spans="2:9">
      <c r="B60" s="465" t="s">
        <v>25981</v>
      </c>
      <c r="C60" s="466" t="s">
        <v>22</v>
      </c>
      <c r="D60" s="468">
        <v>5000</v>
      </c>
      <c r="E60" s="468">
        <v>5000</v>
      </c>
      <c r="F60" s="467" t="s">
        <v>26201</v>
      </c>
      <c r="G60" s="467" t="s">
        <v>25982</v>
      </c>
      <c r="H60" s="467" t="s">
        <v>167</v>
      </c>
      <c r="I60" s="469" t="s">
        <v>26202</v>
      </c>
    </row>
    <row r="61" spans="2:9">
      <c r="B61" s="465" t="s">
        <v>25981</v>
      </c>
      <c r="C61" s="466" t="s">
        <v>22</v>
      </c>
      <c r="D61" s="467" t="s">
        <v>26196</v>
      </c>
      <c r="E61" s="468">
        <v>10000</v>
      </c>
      <c r="F61" s="468">
        <v>10000</v>
      </c>
      <c r="G61" s="467" t="s">
        <v>25964</v>
      </c>
      <c r="H61" s="467" t="s">
        <v>167</v>
      </c>
      <c r="I61" s="469" t="s">
        <v>26202</v>
      </c>
    </row>
    <row r="62" spans="2:9">
      <c r="B62" s="465" t="s">
        <v>25983</v>
      </c>
      <c r="C62" s="466" t="s">
        <v>22</v>
      </c>
      <c r="D62" s="468">
        <v>5000</v>
      </c>
      <c r="E62" s="468">
        <v>5000</v>
      </c>
      <c r="F62" s="467" t="s">
        <v>26201</v>
      </c>
      <c r="G62" s="467" t="s">
        <v>25982</v>
      </c>
      <c r="H62" s="467" t="s">
        <v>167</v>
      </c>
      <c r="I62" s="469" t="s">
        <v>26202</v>
      </c>
    </row>
    <row r="63" spans="2:9">
      <c r="B63" s="465" t="s">
        <v>25983</v>
      </c>
      <c r="C63" s="466" t="s">
        <v>22</v>
      </c>
      <c r="D63" s="467" t="s">
        <v>26196</v>
      </c>
      <c r="E63" s="468">
        <v>10000</v>
      </c>
      <c r="F63" s="468">
        <v>10000</v>
      </c>
      <c r="G63" s="467" t="s">
        <v>25984</v>
      </c>
      <c r="H63" s="467" t="s">
        <v>167</v>
      </c>
      <c r="I63" s="469" t="s">
        <v>26202</v>
      </c>
    </row>
    <row r="64" spans="2:9">
      <c r="B64" s="465" t="s">
        <v>25983</v>
      </c>
      <c r="C64" s="466" t="s">
        <v>22</v>
      </c>
      <c r="D64" s="467" t="s">
        <v>26196</v>
      </c>
      <c r="E64" s="468">
        <v>10000</v>
      </c>
      <c r="F64" s="468">
        <v>10000</v>
      </c>
      <c r="G64" s="467" t="s">
        <v>25964</v>
      </c>
      <c r="H64" s="467" t="s">
        <v>167</v>
      </c>
      <c r="I64" s="469" t="s">
        <v>26202</v>
      </c>
    </row>
    <row r="65" spans="2:9">
      <c r="B65" s="465" t="s">
        <v>25986</v>
      </c>
      <c r="C65" s="466" t="s">
        <v>57</v>
      </c>
      <c r="D65" s="468">
        <v>48000</v>
      </c>
      <c r="E65" s="468">
        <v>48000</v>
      </c>
      <c r="F65" s="467" t="s">
        <v>26201</v>
      </c>
      <c r="G65" s="467" t="s">
        <v>25987</v>
      </c>
      <c r="H65" s="467" t="s">
        <v>167</v>
      </c>
      <c r="I65" s="469" t="s">
        <v>26202</v>
      </c>
    </row>
    <row r="66" spans="2:9">
      <c r="B66" s="465" t="s">
        <v>25986</v>
      </c>
      <c r="C66" s="466" t="s">
        <v>22</v>
      </c>
      <c r="D66" s="467" t="s">
        <v>26196</v>
      </c>
      <c r="E66" s="468">
        <v>35000</v>
      </c>
      <c r="F66" s="468">
        <v>35000</v>
      </c>
      <c r="G66" s="467" t="s">
        <v>25988</v>
      </c>
      <c r="H66" s="467" t="s">
        <v>167</v>
      </c>
      <c r="I66" s="469" t="s">
        <v>26202</v>
      </c>
    </row>
    <row r="67" spans="2:9">
      <c r="B67" s="465" t="s">
        <v>25986</v>
      </c>
      <c r="C67" s="466" t="s">
        <v>22</v>
      </c>
      <c r="D67" s="467" t="s">
        <v>26196</v>
      </c>
      <c r="E67" s="468">
        <v>10000</v>
      </c>
      <c r="F67" s="468">
        <v>10000</v>
      </c>
      <c r="G67" s="467" t="s">
        <v>25989</v>
      </c>
      <c r="H67" s="467" t="s">
        <v>167</v>
      </c>
      <c r="I67" s="469" t="s">
        <v>26202</v>
      </c>
    </row>
    <row r="68" spans="2:9">
      <c r="B68" s="465" t="s">
        <v>100</v>
      </c>
      <c r="C68" s="466" t="s">
        <v>7471</v>
      </c>
      <c r="D68" s="468">
        <v>30000</v>
      </c>
      <c r="E68" s="468">
        <v>30000</v>
      </c>
      <c r="F68" s="467" t="s">
        <v>26201</v>
      </c>
      <c r="G68" s="467" t="s">
        <v>25990</v>
      </c>
      <c r="H68" s="467" t="s">
        <v>167</v>
      </c>
      <c r="I68" s="469" t="s">
        <v>26202</v>
      </c>
    </row>
    <row r="69" spans="2:9">
      <c r="B69" s="465" t="s">
        <v>100</v>
      </c>
      <c r="C69" s="466" t="s">
        <v>22</v>
      </c>
      <c r="D69" s="468">
        <v>10000</v>
      </c>
      <c r="E69" s="468">
        <v>10000</v>
      </c>
      <c r="F69" s="467" t="s">
        <v>26201</v>
      </c>
      <c r="G69" s="467" t="s">
        <v>25991</v>
      </c>
      <c r="H69" s="467" t="s">
        <v>167</v>
      </c>
      <c r="I69" s="469" t="s">
        <v>26202</v>
      </c>
    </row>
    <row r="70" spans="2:9">
      <c r="B70" s="465" t="s">
        <v>100</v>
      </c>
      <c r="C70" s="466" t="s">
        <v>22</v>
      </c>
      <c r="D70" s="468">
        <v>5000</v>
      </c>
      <c r="E70" s="468">
        <v>5000</v>
      </c>
      <c r="F70" s="467" t="s">
        <v>26201</v>
      </c>
      <c r="G70" s="467" t="s">
        <v>25992</v>
      </c>
      <c r="H70" s="467" t="s">
        <v>167</v>
      </c>
      <c r="I70" s="469" t="s">
        <v>26202</v>
      </c>
    </row>
    <row r="71" spans="2:9">
      <c r="B71" s="465" t="s">
        <v>100</v>
      </c>
      <c r="C71" s="466" t="s">
        <v>22</v>
      </c>
      <c r="D71" s="467" t="s">
        <v>26196</v>
      </c>
      <c r="E71" s="468">
        <v>30000</v>
      </c>
      <c r="F71" s="468">
        <v>30000</v>
      </c>
      <c r="G71" s="467" t="s">
        <v>25993</v>
      </c>
      <c r="H71" s="467" t="s">
        <v>167</v>
      </c>
      <c r="I71" s="469" t="s">
        <v>26202</v>
      </c>
    </row>
    <row r="72" spans="2:9">
      <c r="B72" s="465" t="s">
        <v>68</v>
      </c>
      <c r="C72" s="466" t="s">
        <v>7471</v>
      </c>
      <c r="D72" s="468">
        <v>40000</v>
      </c>
      <c r="E72" s="468">
        <v>40000</v>
      </c>
      <c r="F72" s="467" t="s">
        <v>26201</v>
      </c>
      <c r="G72" s="467" t="s">
        <v>25994</v>
      </c>
      <c r="H72" s="467" t="s">
        <v>167</v>
      </c>
      <c r="I72" s="469" t="s">
        <v>26202</v>
      </c>
    </row>
    <row r="73" spans="2:9">
      <c r="B73" s="465" t="s">
        <v>70</v>
      </c>
      <c r="C73" s="466" t="s">
        <v>7471</v>
      </c>
      <c r="D73" s="468">
        <v>63500</v>
      </c>
      <c r="E73" s="468">
        <v>63500</v>
      </c>
      <c r="F73" s="467" t="s">
        <v>26201</v>
      </c>
      <c r="G73" s="467" t="s">
        <v>26204</v>
      </c>
      <c r="H73" s="467" t="s">
        <v>167</v>
      </c>
      <c r="I73" s="507" t="s">
        <v>25971</v>
      </c>
    </row>
    <row r="74" spans="2:9">
      <c r="B74" s="465" t="s">
        <v>70</v>
      </c>
      <c r="C74" s="466" t="s">
        <v>7471</v>
      </c>
      <c r="D74" s="468">
        <v>25000</v>
      </c>
      <c r="E74" s="468">
        <v>25000</v>
      </c>
      <c r="F74" s="467" t="s">
        <v>26201</v>
      </c>
      <c r="G74" s="467" t="s">
        <v>25996</v>
      </c>
      <c r="H74" s="467" t="s">
        <v>167</v>
      </c>
      <c r="I74" s="469" t="s">
        <v>26202</v>
      </c>
    </row>
    <row r="75" spans="2:9">
      <c r="B75" s="465" t="s">
        <v>70</v>
      </c>
      <c r="C75" s="466" t="s">
        <v>22</v>
      </c>
      <c r="D75" s="468">
        <v>10000</v>
      </c>
      <c r="E75" s="468">
        <v>10000</v>
      </c>
      <c r="F75" s="467" t="s">
        <v>26201</v>
      </c>
      <c r="G75" s="467" t="s">
        <v>25997</v>
      </c>
      <c r="H75" s="467" t="s">
        <v>167</v>
      </c>
      <c r="I75" s="469" t="s">
        <v>26202</v>
      </c>
    </row>
    <row r="76" spans="2:9">
      <c r="B76" s="465" t="s">
        <v>72</v>
      </c>
      <c r="C76" s="466" t="s">
        <v>55</v>
      </c>
      <c r="D76" s="468">
        <v>5000</v>
      </c>
      <c r="E76" s="468">
        <v>5000</v>
      </c>
      <c r="F76" s="467" t="s">
        <v>26201</v>
      </c>
      <c r="G76" s="467" t="s">
        <v>25998</v>
      </c>
      <c r="H76" s="467" t="s">
        <v>167</v>
      </c>
      <c r="I76" s="469" t="s">
        <v>26202</v>
      </c>
    </row>
    <row r="77" spans="2:9">
      <c r="B77" s="465" t="s">
        <v>110</v>
      </c>
      <c r="C77" s="466" t="s">
        <v>22</v>
      </c>
      <c r="D77" s="468">
        <v>60000</v>
      </c>
      <c r="E77" s="468">
        <v>10000</v>
      </c>
      <c r="F77" s="468">
        <v>-50000</v>
      </c>
      <c r="G77" s="467" t="s">
        <v>25997</v>
      </c>
      <c r="H77" s="467" t="s">
        <v>167</v>
      </c>
      <c r="I77" s="469" t="s">
        <v>26202</v>
      </c>
    </row>
    <row r="78" spans="2:9">
      <c r="B78" s="465" t="s">
        <v>110</v>
      </c>
      <c r="C78" s="466" t="s">
        <v>22</v>
      </c>
      <c r="D78" s="467" t="s">
        <v>26196</v>
      </c>
      <c r="E78" s="468">
        <v>10000</v>
      </c>
      <c r="F78" s="468">
        <v>10000</v>
      </c>
      <c r="G78" s="467" t="s">
        <v>25999</v>
      </c>
      <c r="H78" s="467" t="s">
        <v>167</v>
      </c>
      <c r="I78" s="469" t="s">
        <v>26202</v>
      </c>
    </row>
    <row r="79" spans="2:9">
      <c r="B79" s="465" t="s">
        <v>110</v>
      </c>
      <c r="C79" s="466" t="s">
        <v>44</v>
      </c>
      <c r="D79" s="467" t="s">
        <v>26196</v>
      </c>
      <c r="E79" s="468">
        <v>400000</v>
      </c>
      <c r="F79" s="468">
        <v>400000</v>
      </c>
      <c r="G79" s="467" t="s">
        <v>26205</v>
      </c>
      <c r="H79" s="467" t="s">
        <v>167</v>
      </c>
      <c r="I79" s="469" t="s">
        <v>26202</v>
      </c>
    </row>
    <row r="80" spans="2:9">
      <c r="B80" s="465" t="s">
        <v>110</v>
      </c>
      <c r="C80" s="466" t="s">
        <v>22</v>
      </c>
      <c r="D80" s="467" t="s">
        <v>26196</v>
      </c>
      <c r="E80" s="468">
        <v>10000</v>
      </c>
      <c r="F80" s="468">
        <v>10000</v>
      </c>
      <c r="G80" s="467" t="s">
        <v>26001</v>
      </c>
      <c r="H80" s="467" t="s">
        <v>167</v>
      </c>
      <c r="I80" s="469" t="s">
        <v>26202</v>
      </c>
    </row>
    <row r="81" spans="2:9">
      <c r="B81" s="465" t="s">
        <v>110</v>
      </c>
      <c r="C81" s="466" t="s">
        <v>22</v>
      </c>
      <c r="D81" s="467" t="s">
        <v>26196</v>
      </c>
      <c r="E81" s="468">
        <v>10000</v>
      </c>
      <c r="F81" s="468">
        <v>10000</v>
      </c>
      <c r="G81" s="467" t="s">
        <v>26002</v>
      </c>
      <c r="H81" s="467" t="s">
        <v>167</v>
      </c>
      <c r="I81" s="469" t="s">
        <v>26202</v>
      </c>
    </row>
    <row r="82" spans="2:9">
      <c r="B82" s="465" t="s">
        <v>84</v>
      </c>
      <c r="C82" s="466" t="s">
        <v>22</v>
      </c>
      <c r="D82" s="468">
        <v>10000</v>
      </c>
      <c r="E82" s="468">
        <v>10000</v>
      </c>
      <c r="F82" s="467" t="s">
        <v>26201</v>
      </c>
      <c r="G82" s="467" t="s">
        <v>25997</v>
      </c>
      <c r="H82" s="467" t="s">
        <v>167</v>
      </c>
      <c r="I82" s="469" t="s">
        <v>26202</v>
      </c>
    </row>
    <row r="83" spans="2:9">
      <c r="B83" s="465" t="s">
        <v>111</v>
      </c>
      <c r="C83" s="466" t="s">
        <v>22</v>
      </c>
      <c r="D83" s="468">
        <v>25000</v>
      </c>
      <c r="E83" s="468">
        <v>25000</v>
      </c>
      <c r="F83" s="467" t="s">
        <v>26201</v>
      </c>
      <c r="G83" s="467" t="s">
        <v>26003</v>
      </c>
      <c r="H83" s="467" t="s">
        <v>167</v>
      </c>
      <c r="I83" s="469" t="s">
        <v>26202</v>
      </c>
    </row>
    <row r="84" spans="2:9">
      <c r="B84" s="465" t="s">
        <v>111</v>
      </c>
      <c r="C84" s="466" t="s">
        <v>22</v>
      </c>
      <c r="D84" s="468">
        <v>10000</v>
      </c>
      <c r="E84" s="468">
        <v>10000</v>
      </c>
      <c r="F84" s="467" t="s">
        <v>26201</v>
      </c>
      <c r="G84" s="467" t="s">
        <v>25997</v>
      </c>
      <c r="H84" s="467" t="s">
        <v>167</v>
      </c>
      <c r="I84" s="469" t="s">
        <v>26202</v>
      </c>
    </row>
    <row r="85" spans="2:9">
      <c r="B85" s="465" t="s">
        <v>26004</v>
      </c>
      <c r="C85" s="466" t="s">
        <v>22</v>
      </c>
      <c r="D85" s="468">
        <v>5000</v>
      </c>
      <c r="E85" s="468">
        <v>5000</v>
      </c>
      <c r="F85" s="467" t="s">
        <v>26201</v>
      </c>
      <c r="G85" s="467" t="s">
        <v>26005</v>
      </c>
      <c r="H85" s="467" t="s">
        <v>167</v>
      </c>
      <c r="I85" s="469" t="s">
        <v>26202</v>
      </c>
    </row>
    <row r="86" spans="2:9">
      <c r="B86" s="465" t="s">
        <v>26004</v>
      </c>
      <c r="C86" s="466" t="s">
        <v>22</v>
      </c>
      <c r="D86" s="468">
        <v>5000</v>
      </c>
      <c r="E86" s="468">
        <v>5000</v>
      </c>
      <c r="F86" s="467" t="s">
        <v>26201</v>
      </c>
      <c r="G86" s="467" t="s">
        <v>26006</v>
      </c>
      <c r="H86" s="467" t="s">
        <v>167</v>
      </c>
      <c r="I86" s="469" t="s">
        <v>26202</v>
      </c>
    </row>
    <row r="87" spans="2:9">
      <c r="B87" s="465" t="s">
        <v>26004</v>
      </c>
      <c r="C87" s="466" t="s">
        <v>7471</v>
      </c>
      <c r="D87" s="467" t="s">
        <v>26196</v>
      </c>
      <c r="E87" s="468">
        <v>15000</v>
      </c>
      <c r="F87" s="468">
        <v>15000</v>
      </c>
      <c r="G87" s="467" t="s">
        <v>26007</v>
      </c>
      <c r="H87" s="467" t="s">
        <v>167</v>
      </c>
      <c r="I87" s="469" t="s">
        <v>26202</v>
      </c>
    </row>
    <row r="88" spans="2:9">
      <c r="B88" s="465" t="s">
        <v>26008</v>
      </c>
      <c r="C88" s="466" t="s">
        <v>22</v>
      </c>
      <c r="D88" s="468">
        <v>5000</v>
      </c>
      <c r="E88" s="468">
        <v>5000</v>
      </c>
      <c r="F88" s="467" t="s">
        <v>26201</v>
      </c>
      <c r="G88" s="467" t="s">
        <v>26009</v>
      </c>
      <c r="H88" s="467" t="s">
        <v>167</v>
      </c>
      <c r="I88" s="469" t="s">
        <v>26202</v>
      </c>
    </row>
    <row r="89" spans="2:9">
      <c r="B89" s="465" t="s">
        <v>26008</v>
      </c>
      <c r="C89" s="466" t="s">
        <v>22</v>
      </c>
      <c r="D89" s="467" t="s">
        <v>26196</v>
      </c>
      <c r="E89" s="468">
        <v>15000</v>
      </c>
      <c r="F89" s="468">
        <v>15000</v>
      </c>
      <c r="G89" s="467" t="s">
        <v>26007</v>
      </c>
      <c r="H89" s="467" t="s">
        <v>167</v>
      </c>
      <c r="I89" s="469" t="s">
        <v>26202</v>
      </c>
    </row>
    <row r="90" spans="2:9">
      <c r="B90" s="465" t="s">
        <v>26010</v>
      </c>
      <c r="C90" s="466" t="s">
        <v>53</v>
      </c>
      <c r="D90" s="468">
        <v>5000</v>
      </c>
      <c r="E90" s="468">
        <v>10000</v>
      </c>
      <c r="F90" s="468">
        <v>5000</v>
      </c>
      <c r="G90" s="467" t="s">
        <v>26011</v>
      </c>
      <c r="H90" s="467" t="s">
        <v>167</v>
      </c>
      <c r="I90" s="469" t="s">
        <v>26202</v>
      </c>
    </row>
    <row r="91" spans="2:9">
      <c r="B91" s="465" t="s">
        <v>26010</v>
      </c>
      <c r="C91" s="466" t="s">
        <v>22</v>
      </c>
      <c r="D91" s="468">
        <v>60000</v>
      </c>
      <c r="E91" s="468">
        <v>10000</v>
      </c>
      <c r="F91" s="468">
        <v>-50000</v>
      </c>
      <c r="G91" s="467" t="s">
        <v>26012</v>
      </c>
      <c r="H91" s="467" t="s">
        <v>167</v>
      </c>
      <c r="I91" s="469" t="s">
        <v>26202</v>
      </c>
    </row>
    <row r="92" spans="2:9">
      <c r="B92" s="465" t="s">
        <v>26010</v>
      </c>
      <c r="C92" s="466" t="s">
        <v>22</v>
      </c>
      <c r="D92" s="468">
        <v>60000</v>
      </c>
      <c r="E92" s="468">
        <v>31000</v>
      </c>
      <c r="F92" s="468">
        <v>-29000</v>
      </c>
      <c r="G92" s="467" t="s">
        <v>26013</v>
      </c>
      <c r="H92" s="467" t="s">
        <v>167</v>
      </c>
      <c r="I92" s="469" t="s">
        <v>26202</v>
      </c>
    </row>
    <row r="93" spans="2:9">
      <c r="B93" s="465" t="s">
        <v>26010</v>
      </c>
      <c r="C93" s="466" t="s">
        <v>7471</v>
      </c>
      <c r="D93" s="467" t="s">
        <v>26196</v>
      </c>
      <c r="E93" s="468">
        <v>15000</v>
      </c>
      <c r="F93" s="468">
        <v>15000</v>
      </c>
      <c r="G93" s="467" t="s">
        <v>26007</v>
      </c>
      <c r="H93" s="467" t="s">
        <v>167</v>
      </c>
      <c r="I93" s="469" t="s">
        <v>26202</v>
      </c>
    </row>
    <row r="94" spans="2:9">
      <c r="B94" s="465" t="s">
        <v>26010</v>
      </c>
      <c r="C94" s="466" t="s">
        <v>22</v>
      </c>
      <c r="D94" s="467" t="s">
        <v>26196</v>
      </c>
      <c r="E94" s="468">
        <v>5000</v>
      </c>
      <c r="F94" s="468">
        <v>5000</v>
      </c>
      <c r="G94" s="467" t="s">
        <v>26014</v>
      </c>
      <c r="H94" s="467" t="s">
        <v>167</v>
      </c>
      <c r="I94" s="469" t="s">
        <v>26202</v>
      </c>
    </row>
    <row r="95" spans="2:9">
      <c r="B95" s="465" t="s">
        <v>26010</v>
      </c>
      <c r="C95" s="466" t="s">
        <v>22</v>
      </c>
      <c r="D95" s="467" t="s">
        <v>26196</v>
      </c>
      <c r="E95" s="468">
        <v>10000</v>
      </c>
      <c r="F95" s="468">
        <v>10000</v>
      </c>
      <c r="G95" s="467" t="s">
        <v>26015</v>
      </c>
      <c r="H95" s="467" t="s">
        <v>167</v>
      </c>
      <c r="I95" s="469" t="s">
        <v>26202</v>
      </c>
    </row>
    <row r="96" spans="2:9">
      <c r="B96" s="465" t="s">
        <v>26010</v>
      </c>
      <c r="C96" s="466" t="s">
        <v>22</v>
      </c>
      <c r="D96" s="467" t="s">
        <v>26196</v>
      </c>
      <c r="E96" s="468">
        <v>3000</v>
      </c>
      <c r="F96" s="468">
        <v>3000</v>
      </c>
      <c r="G96" s="467" t="s">
        <v>26016</v>
      </c>
      <c r="H96" s="467" t="s">
        <v>167</v>
      </c>
      <c r="I96" s="469" t="s">
        <v>26202</v>
      </c>
    </row>
    <row r="97" spans="2:9">
      <c r="B97" s="465" t="s">
        <v>26010</v>
      </c>
      <c r="C97" s="466" t="s">
        <v>22</v>
      </c>
      <c r="D97" s="467" t="s">
        <v>26196</v>
      </c>
      <c r="E97" s="468">
        <v>20000</v>
      </c>
      <c r="F97" s="468">
        <v>20000</v>
      </c>
      <c r="G97" s="467" t="s">
        <v>26017</v>
      </c>
      <c r="H97" s="467" t="s">
        <v>167</v>
      </c>
      <c r="I97" s="469" t="s">
        <v>26202</v>
      </c>
    </row>
    <row r="98" spans="2:9">
      <c r="B98" s="465" t="s">
        <v>66</v>
      </c>
      <c r="C98" s="466" t="s">
        <v>22</v>
      </c>
      <c r="D98" s="468">
        <v>10000</v>
      </c>
      <c r="E98" s="468">
        <v>10000</v>
      </c>
      <c r="F98" s="467" t="s">
        <v>26201</v>
      </c>
      <c r="G98" s="467" t="s">
        <v>25997</v>
      </c>
      <c r="H98" s="467" t="s">
        <v>167</v>
      </c>
      <c r="I98" s="469" t="s">
        <v>26202</v>
      </c>
    </row>
    <row r="99" spans="2:9">
      <c r="B99" s="465" t="s">
        <v>66</v>
      </c>
      <c r="C99" s="466" t="s">
        <v>22</v>
      </c>
      <c r="D99" s="467" t="s">
        <v>26196</v>
      </c>
      <c r="E99" s="468">
        <v>5000</v>
      </c>
      <c r="F99" s="468">
        <v>5000</v>
      </c>
      <c r="G99" s="467" t="s">
        <v>26018</v>
      </c>
      <c r="H99" s="467" t="s">
        <v>167</v>
      </c>
      <c r="I99" s="469" t="s">
        <v>26202</v>
      </c>
    </row>
    <row r="100" spans="2:9">
      <c r="B100" s="465" t="s">
        <v>114</v>
      </c>
      <c r="C100" s="466" t="s">
        <v>22</v>
      </c>
      <c r="D100" s="467" t="s">
        <v>26196</v>
      </c>
      <c r="E100" s="468">
        <v>5000</v>
      </c>
      <c r="F100" s="468">
        <v>5000</v>
      </c>
      <c r="G100" s="467" t="s">
        <v>26018</v>
      </c>
      <c r="H100" s="467" t="s">
        <v>167</v>
      </c>
      <c r="I100" s="469" t="s">
        <v>26202</v>
      </c>
    </row>
    <row r="101" spans="2:9">
      <c r="B101" s="465" t="s">
        <v>116</v>
      </c>
      <c r="C101" s="466" t="s">
        <v>22</v>
      </c>
      <c r="D101" s="467" t="s">
        <v>26196</v>
      </c>
      <c r="E101" s="468">
        <v>5000</v>
      </c>
      <c r="F101" s="468">
        <v>5000</v>
      </c>
      <c r="G101" s="467" t="s">
        <v>26018</v>
      </c>
      <c r="H101" s="467" t="s">
        <v>167</v>
      </c>
      <c r="I101" s="469" t="s">
        <v>26202</v>
      </c>
    </row>
    <row r="102" spans="2:9">
      <c r="B102" s="465" t="s">
        <v>117</v>
      </c>
      <c r="C102" s="466" t="s">
        <v>22</v>
      </c>
      <c r="D102" s="467" t="s">
        <v>26196</v>
      </c>
      <c r="E102" s="468">
        <v>5000</v>
      </c>
      <c r="F102" s="468">
        <v>5000</v>
      </c>
      <c r="G102" s="467" t="s">
        <v>25997</v>
      </c>
      <c r="H102" s="467" t="s">
        <v>167</v>
      </c>
      <c r="I102" s="469" t="s">
        <v>26202</v>
      </c>
    </row>
    <row r="103" spans="2:9">
      <c r="B103" s="465" t="s">
        <v>117</v>
      </c>
      <c r="C103" s="466" t="s">
        <v>22</v>
      </c>
      <c r="D103" s="467" t="s">
        <v>26196</v>
      </c>
      <c r="E103" s="468">
        <v>5000</v>
      </c>
      <c r="F103" s="468">
        <v>5000</v>
      </c>
      <c r="G103" s="467" t="s">
        <v>26018</v>
      </c>
      <c r="H103" s="467" t="s">
        <v>167</v>
      </c>
      <c r="I103" s="469" t="s">
        <v>26202</v>
      </c>
    </row>
    <row r="104" spans="2:9">
      <c r="B104" s="465" t="s">
        <v>118</v>
      </c>
      <c r="C104" s="466" t="s">
        <v>22</v>
      </c>
      <c r="D104" s="467" t="s">
        <v>26196</v>
      </c>
      <c r="E104" s="468">
        <v>5000</v>
      </c>
      <c r="F104" s="468">
        <v>5000</v>
      </c>
      <c r="G104" s="467" t="s">
        <v>26018</v>
      </c>
      <c r="H104" s="467" t="s">
        <v>167</v>
      </c>
      <c r="I104" s="469" t="s">
        <v>26202</v>
      </c>
    </row>
    <row r="105" spans="2:9">
      <c r="B105" s="465" t="s">
        <v>86</v>
      </c>
      <c r="C105" s="466" t="s">
        <v>22</v>
      </c>
      <c r="D105" s="468">
        <v>10000</v>
      </c>
      <c r="E105" s="468">
        <v>5000</v>
      </c>
      <c r="F105" s="468">
        <v>-5000</v>
      </c>
      <c r="G105" s="467" t="s">
        <v>25997</v>
      </c>
      <c r="H105" s="467" t="s">
        <v>167</v>
      </c>
      <c r="I105" s="469" t="s">
        <v>26202</v>
      </c>
    </row>
    <row r="106" spans="2:9">
      <c r="B106" s="465" t="s">
        <v>86</v>
      </c>
      <c r="C106" s="466" t="s">
        <v>22</v>
      </c>
      <c r="D106" s="467" t="s">
        <v>26196</v>
      </c>
      <c r="E106" s="468">
        <v>5000</v>
      </c>
      <c r="F106" s="468">
        <v>5000</v>
      </c>
      <c r="G106" s="467" t="s">
        <v>26019</v>
      </c>
      <c r="H106" s="467" t="s">
        <v>167</v>
      </c>
      <c r="I106" s="469" t="s">
        <v>26202</v>
      </c>
    </row>
    <row r="107" spans="2:9">
      <c r="B107" s="465" t="s">
        <v>119</v>
      </c>
      <c r="C107" s="466" t="s">
        <v>7471</v>
      </c>
      <c r="D107" s="468">
        <v>400000</v>
      </c>
      <c r="E107" s="468">
        <v>1126034.1499999999</v>
      </c>
      <c r="F107" s="468">
        <v>726034.15</v>
      </c>
      <c r="G107" s="467" t="s">
        <v>26020</v>
      </c>
      <c r="H107" s="467" t="s">
        <v>7471</v>
      </c>
      <c r="I107" s="507" t="s">
        <v>25971</v>
      </c>
    </row>
    <row r="108" spans="2:9">
      <c r="B108" s="465" t="s">
        <v>119</v>
      </c>
      <c r="C108" s="466" t="s">
        <v>55</v>
      </c>
      <c r="D108" s="467" t="s">
        <v>26196</v>
      </c>
      <c r="E108" s="468">
        <v>15000</v>
      </c>
      <c r="F108" s="468">
        <v>15000</v>
      </c>
      <c r="G108" s="467" t="s">
        <v>26022</v>
      </c>
      <c r="H108" s="467" t="s">
        <v>167</v>
      </c>
      <c r="I108" s="507" t="s">
        <v>26206</v>
      </c>
    </row>
    <row r="109" spans="2:9">
      <c r="B109" s="465" t="s">
        <v>120</v>
      </c>
      <c r="C109" s="466" t="s">
        <v>7471</v>
      </c>
      <c r="D109" s="468">
        <v>400000</v>
      </c>
      <c r="E109" s="468">
        <v>832038.75</v>
      </c>
      <c r="F109" s="468">
        <v>432038.75</v>
      </c>
      <c r="G109" s="467" t="s">
        <v>26024</v>
      </c>
      <c r="H109" s="467" t="s">
        <v>7471</v>
      </c>
      <c r="I109" s="507" t="s">
        <v>25971</v>
      </c>
    </row>
    <row r="110" spans="2:9">
      <c r="B110" s="465" t="s">
        <v>120</v>
      </c>
      <c r="C110" s="466" t="s">
        <v>55</v>
      </c>
      <c r="D110" s="467" t="s">
        <v>26196</v>
      </c>
      <c r="E110" s="468">
        <v>15000</v>
      </c>
      <c r="F110" s="468">
        <v>15000</v>
      </c>
      <c r="G110" s="467" t="s">
        <v>26022</v>
      </c>
      <c r="H110" s="467" t="s">
        <v>167</v>
      </c>
      <c r="I110" s="507" t="s">
        <v>26206</v>
      </c>
    </row>
    <row r="111" spans="2:9">
      <c r="B111" s="465" t="s">
        <v>121</v>
      </c>
      <c r="C111" s="466" t="s">
        <v>55</v>
      </c>
      <c r="D111" s="468">
        <v>10000</v>
      </c>
      <c r="E111" s="468">
        <v>10000</v>
      </c>
      <c r="F111" s="467" t="s">
        <v>26201</v>
      </c>
      <c r="G111" s="467" t="s">
        <v>26025</v>
      </c>
      <c r="H111" s="467" t="s">
        <v>167</v>
      </c>
      <c r="I111" s="469" t="s">
        <v>26202</v>
      </c>
    </row>
    <row r="112" spans="2:9">
      <c r="B112" s="465" t="s">
        <v>121</v>
      </c>
      <c r="C112" s="466" t="s">
        <v>22</v>
      </c>
      <c r="D112" s="467" t="s">
        <v>26196</v>
      </c>
      <c r="E112" s="468">
        <v>15000</v>
      </c>
      <c r="F112" s="468">
        <v>15000</v>
      </c>
      <c r="G112" s="467" t="s">
        <v>26026</v>
      </c>
      <c r="H112" s="467" t="s">
        <v>167</v>
      </c>
      <c r="I112" s="469" t="s">
        <v>26202</v>
      </c>
    </row>
    <row r="113" spans="2:9">
      <c r="B113" s="465" t="s">
        <v>103</v>
      </c>
      <c r="C113" s="466" t="s">
        <v>55</v>
      </c>
      <c r="D113" s="468">
        <v>79215</v>
      </c>
      <c r="E113" s="468">
        <v>10000</v>
      </c>
      <c r="F113" s="468">
        <v>-69215</v>
      </c>
      <c r="G113" s="467" t="s">
        <v>26022</v>
      </c>
      <c r="H113" s="467" t="s">
        <v>167</v>
      </c>
      <c r="I113" s="469" t="s">
        <v>26202</v>
      </c>
    </row>
    <row r="114" spans="2:9">
      <c r="B114" s="465" t="s">
        <v>103</v>
      </c>
      <c r="C114" s="466" t="s">
        <v>26027</v>
      </c>
      <c r="D114" s="467" t="s">
        <v>26196</v>
      </c>
      <c r="E114" s="468">
        <v>1500</v>
      </c>
      <c r="F114" s="468">
        <v>1500</v>
      </c>
      <c r="G114" s="467" t="s">
        <v>26028</v>
      </c>
      <c r="H114" s="467" t="s">
        <v>167</v>
      </c>
      <c r="I114" s="469" t="s">
        <v>26202</v>
      </c>
    </row>
    <row r="115" spans="2:9">
      <c r="B115" s="465" t="s">
        <v>103</v>
      </c>
      <c r="C115" s="466" t="s">
        <v>26027</v>
      </c>
      <c r="D115" s="467" t="s">
        <v>26196</v>
      </c>
      <c r="E115" s="468">
        <v>1500</v>
      </c>
      <c r="F115" s="468">
        <v>1500</v>
      </c>
      <c r="G115" s="467" t="s">
        <v>26029</v>
      </c>
      <c r="H115" s="467" t="s">
        <v>167</v>
      </c>
      <c r="I115" s="469" t="s">
        <v>26202</v>
      </c>
    </row>
    <row r="116" spans="2:9">
      <c r="B116" s="465" t="s">
        <v>103</v>
      </c>
      <c r="C116" s="466" t="s">
        <v>26027</v>
      </c>
      <c r="D116" s="467" t="s">
        <v>26196</v>
      </c>
      <c r="E116" s="468">
        <v>6000</v>
      </c>
      <c r="F116" s="468">
        <v>6000</v>
      </c>
      <c r="G116" s="467" t="s">
        <v>26030</v>
      </c>
      <c r="H116" s="467" t="s">
        <v>167</v>
      </c>
      <c r="I116" s="469" t="s">
        <v>26202</v>
      </c>
    </row>
    <row r="117" spans="2:9">
      <c r="B117" s="465" t="s">
        <v>103</v>
      </c>
      <c r="C117" s="466" t="s">
        <v>71</v>
      </c>
      <c r="D117" s="467" t="s">
        <v>26196</v>
      </c>
      <c r="E117" s="468">
        <v>44000</v>
      </c>
      <c r="F117" s="468">
        <v>44000</v>
      </c>
      <c r="G117" s="467" t="s">
        <v>26031</v>
      </c>
      <c r="H117" s="467" t="s">
        <v>167</v>
      </c>
      <c r="I117" s="469" t="s">
        <v>26202</v>
      </c>
    </row>
    <row r="118" spans="2:9">
      <c r="B118" s="465" t="s">
        <v>103</v>
      </c>
      <c r="C118" s="466" t="s">
        <v>26027</v>
      </c>
      <c r="D118" s="467" t="s">
        <v>26196</v>
      </c>
      <c r="E118" s="468">
        <v>500</v>
      </c>
      <c r="F118" s="468">
        <v>500</v>
      </c>
      <c r="G118" s="467" t="s">
        <v>26032</v>
      </c>
      <c r="H118" s="467" t="s">
        <v>167</v>
      </c>
      <c r="I118" s="469" t="s">
        <v>26202</v>
      </c>
    </row>
    <row r="119" spans="2:9">
      <c r="B119" s="465" t="s">
        <v>104</v>
      </c>
      <c r="C119" s="466" t="s">
        <v>22</v>
      </c>
      <c r="D119" s="467" t="s">
        <v>26196</v>
      </c>
      <c r="E119" s="468">
        <v>20000</v>
      </c>
      <c r="F119" s="468">
        <v>20000</v>
      </c>
      <c r="G119" s="467" t="s">
        <v>26033</v>
      </c>
      <c r="H119" s="467" t="s">
        <v>167</v>
      </c>
      <c r="I119" s="469" t="s">
        <v>26202</v>
      </c>
    </row>
    <row r="120" spans="2:9">
      <c r="B120" s="465" t="s">
        <v>104</v>
      </c>
      <c r="C120" s="466" t="s">
        <v>55</v>
      </c>
      <c r="D120" s="467" t="s">
        <v>26196</v>
      </c>
      <c r="E120" s="468">
        <v>10000</v>
      </c>
      <c r="F120" s="468">
        <v>10000</v>
      </c>
      <c r="G120" s="467" t="s">
        <v>26022</v>
      </c>
      <c r="H120" s="467" t="s">
        <v>167</v>
      </c>
      <c r="I120" s="469" t="s">
        <v>26202</v>
      </c>
    </row>
    <row r="121" spans="2:9">
      <c r="B121" s="465" t="s">
        <v>104</v>
      </c>
      <c r="C121" s="466" t="s">
        <v>26027</v>
      </c>
      <c r="D121" s="467" t="s">
        <v>26196</v>
      </c>
      <c r="E121" s="468">
        <v>1500</v>
      </c>
      <c r="F121" s="468">
        <v>1500</v>
      </c>
      <c r="G121" s="467" t="s">
        <v>26028</v>
      </c>
      <c r="H121" s="467" t="s">
        <v>167</v>
      </c>
      <c r="I121" s="469" t="s">
        <v>26202</v>
      </c>
    </row>
    <row r="122" spans="2:9">
      <c r="B122" s="465" t="s">
        <v>104</v>
      </c>
      <c r="C122" s="466" t="s">
        <v>26027</v>
      </c>
      <c r="D122" s="467" t="s">
        <v>26196</v>
      </c>
      <c r="E122" s="468">
        <v>1500</v>
      </c>
      <c r="F122" s="468">
        <v>1500</v>
      </c>
      <c r="G122" s="467" t="s">
        <v>26029</v>
      </c>
      <c r="H122" s="467" t="s">
        <v>167</v>
      </c>
      <c r="I122" s="469" t="s">
        <v>26202</v>
      </c>
    </row>
    <row r="123" spans="2:9">
      <c r="B123" s="465" t="s">
        <v>104</v>
      </c>
      <c r="C123" s="466" t="s">
        <v>71</v>
      </c>
      <c r="D123" s="467" t="s">
        <v>26196</v>
      </c>
      <c r="E123" s="468">
        <v>120000</v>
      </c>
      <c r="F123" s="468">
        <v>120000</v>
      </c>
      <c r="G123" s="467" t="s">
        <v>26034</v>
      </c>
      <c r="H123" s="467" t="s">
        <v>167</v>
      </c>
      <c r="I123" s="469" t="s">
        <v>26202</v>
      </c>
    </row>
    <row r="124" spans="2:9">
      <c r="B124" s="465" t="s">
        <v>104</v>
      </c>
      <c r="C124" s="466" t="s">
        <v>26027</v>
      </c>
      <c r="D124" s="467" t="s">
        <v>26196</v>
      </c>
      <c r="E124" s="468">
        <v>500</v>
      </c>
      <c r="F124" s="468">
        <v>500</v>
      </c>
      <c r="G124" s="467" t="s">
        <v>26032</v>
      </c>
      <c r="H124" s="467" t="s">
        <v>167</v>
      </c>
      <c r="I124" s="469" t="s">
        <v>26202</v>
      </c>
    </row>
    <row r="125" spans="2:9">
      <c r="B125" s="465" t="s">
        <v>107</v>
      </c>
      <c r="C125" s="466" t="s">
        <v>55</v>
      </c>
      <c r="D125" s="468">
        <v>50168.959999999999</v>
      </c>
      <c r="E125" s="468">
        <v>10000</v>
      </c>
      <c r="F125" s="468">
        <v>-40168.959999999999</v>
      </c>
      <c r="G125" s="467" t="s">
        <v>26022</v>
      </c>
      <c r="H125" s="467" t="s">
        <v>167</v>
      </c>
      <c r="I125" s="469" t="s">
        <v>26202</v>
      </c>
    </row>
    <row r="126" spans="2:9">
      <c r="B126" s="465" t="s">
        <v>107</v>
      </c>
      <c r="C126" s="466" t="s">
        <v>26027</v>
      </c>
      <c r="D126" s="467" t="s">
        <v>26196</v>
      </c>
      <c r="E126" s="468">
        <v>1500</v>
      </c>
      <c r="F126" s="468">
        <v>1500</v>
      </c>
      <c r="G126" s="467" t="s">
        <v>26028</v>
      </c>
      <c r="H126" s="467" t="s">
        <v>167</v>
      </c>
      <c r="I126" s="469" t="s">
        <v>26202</v>
      </c>
    </row>
    <row r="127" spans="2:9">
      <c r="B127" s="465" t="s">
        <v>107</v>
      </c>
      <c r="C127" s="466" t="s">
        <v>26027</v>
      </c>
      <c r="D127" s="467" t="s">
        <v>26196</v>
      </c>
      <c r="E127" s="468">
        <v>1500</v>
      </c>
      <c r="F127" s="468">
        <v>1500</v>
      </c>
      <c r="G127" s="467" t="s">
        <v>26029</v>
      </c>
      <c r="H127" s="467" t="s">
        <v>167</v>
      </c>
      <c r="I127" s="469" t="s">
        <v>26202</v>
      </c>
    </row>
    <row r="128" spans="2:9">
      <c r="B128" s="465" t="s">
        <v>107</v>
      </c>
      <c r="C128" s="466" t="s">
        <v>7471</v>
      </c>
      <c r="D128" s="467" t="s">
        <v>26196</v>
      </c>
      <c r="E128" s="468">
        <v>20000</v>
      </c>
      <c r="F128" s="468">
        <v>20000</v>
      </c>
      <c r="G128" s="467" t="s">
        <v>26035</v>
      </c>
      <c r="H128" s="467" t="s">
        <v>167</v>
      </c>
      <c r="I128" s="469" t="s">
        <v>26202</v>
      </c>
    </row>
    <row r="129" spans="2:9">
      <c r="B129" s="465" t="s">
        <v>107</v>
      </c>
      <c r="C129" s="466" t="s">
        <v>26027</v>
      </c>
      <c r="D129" s="467" t="s">
        <v>26196</v>
      </c>
      <c r="E129" s="468">
        <v>500</v>
      </c>
      <c r="F129" s="468">
        <v>500</v>
      </c>
      <c r="G129" s="467" t="s">
        <v>26032</v>
      </c>
      <c r="H129" s="467" t="s">
        <v>167</v>
      </c>
      <c r="I129" s="469" t="s">
        <v>26202</v>
      </c>
    </row>
    <row r="130" spans="2:9">
      <c r="B130" s="465" t="s">
        <v>25910</v>
      </c>
      <c r="C130" s="466" t="s">
        <v>7471</v>
      </c>
      <c r="D130" s="468">
        <v>200000</v>
      </c>
      <c r="E130" s="468">
        <v>400000</v>
      </c>
      <c r="F130" s="468">
        <v>200000</v>
      </c>
      <c r="G130" s="467" t="s">
        <v>26036</v>
      </c>
      <c r="H130" s="467" t="s">
        <v>167</v>
      </c>
      <c r="I130" s="469" t="s">
        <v>26202</v>
      </c>
    </row>
    <row r="131" spans="2:9">
      <c r="B131" s="465" t="s">
        <v>25910</v>
      </c>
      <c r="C131" s="466" t="s">
        <v>26027</v>
      </c>
      <c r="D131" s="468">
        <v>199988.82</v>
      </c>
      <c r="E131" s="468">
        <v>1500</v>
      </c>
      <c r="F131" s="468">
        <v>-198488.82</v>
      </c>
      <c r="G131" s="467" t="s">
        <v>26028</v>
      </c>
      <c r="H131" s="467" t="s">
        <v>167</v>
      </c>
      <c r="I131" s="469" t="s">
        <v>26202</v>
      </c>
    </row>
    <row r="132" spans="2:9">
      <c r="B132" s="465" t="s">
        <v>25910</v>
      </c>
      <c r="C132" s="466" t="s">
        <v>26027</v>
      </c>
      <c r="D132" s="467" t="s">
        <v>26196</v>
      </c>
      <c r="E132" s="468">
        <v>1500</v>
      </c>
      <c r="F132" s="468">
        <v>1500</v>
      </c>
      <c r="G132" s="467" t="s">
        <v>26029</v>
      </c>
      <c r="H132" s="467" t="s">
        <v>167</v>
      </c>
      <c r="I132" s="469" t="s">
        <v>26202</v>
      </c>
    </row>
    <row r="133" spans="2:9">
      <c r="B133" s="465" t="s">
        <v>25910</v>
      </c>
      <c r="C133" s="466" t="s">
        <v>71</v>
      </c>
      <c r="D133" s="467" t="s">
        <v>26196</v>
      </c>
      <c r="E133" s="468">
        <v>44000</v>
      </c>
      <c r="F133" s="468">
        <v>44000</v>
      </c>
      <c r="G133" s="467" t="s">
        <v>26037</v>
      </c>
      <c r="H133" s="467" t="s">
        <v>167</v>
      </c>
      <c r="I133" s="469" t="s">
        <v>26202</v>
      </c>
    </row>
    <row r="134" spans="2:9">
      <c r="B134" s="465" t="s">
        <v>25910</v>
      </c>
      <c r="C134" s="466" t="s">
        <v>26027</v>
      </c>
      <c r="D134" s="467" t="s">
        <v>26196</v>
      </c>
      <c r="E134" s="468">
        <v>500</v>
      </c>
      <c r="F134" s="468">
        <v>500</v>
      </c>
      <c r="G134" s="467" t="s">
        <v>26032</v>
      </c>
      <c r="H134" s="467" t="s">
        <v>167</v>
      </c>
      <c r="I134" s="469" t="s">
        <v>26202</v>
      </c>
    </row>
    <row r="135" spans="2:9">
      <c r="B135" s="465" t="s">
        <v>25910</v>
      </c>
      <c r="C135" s="466" t="s">
        <v>22</v>
      </c>
      <c r="D135" s="467" t="s">
        <v>26196</v>
      </c>
      <c r="E135" s="468">
        <v>5000</v>
      </c>
      <c r="F135" s="468">
        <v>5000</v>
      </c>
      <c r="G135" s="467" t="s">
        <v>26038</v>
      </c>
      <c r="H135" s="467" t="s">
        <v>167</v>
      </c>
      <c r="I135" s="469" t="s">
        <v>26202</v>
      </c>
    </row>
    <row r="136" spans="2:9">
      <c r="B136" s="465" t="s">
        <v>97</v>
      </c>
      <c r="C136" s="466" t="s">
        <v>22</v>
      </c>
      <c r="D136" s="467" t="s">
        <v>26196</v>
      </c>
      <c r="E136" s="468">
        <v>10000</v>
      </c>
      <c r="F136" s="468">
        <v>10000</v>
      </c>
      <c r="G136" s="467" t="s">
        <v>26039</v>
      </c>
      <c r="H136" s="467" t="s">
        <v>167</v>
      </c>
      <c r="I136" s="469" t="s">
        <v>26202</v>
      </c>
    </row>
    <row r="137" spans="2:9">
      <c r="B137" s="465" t="s">
        <v>97</v>
      </c>
      <c r="C137" s="466" t="s">
        <v>26027</v>
      </c>
      <c r="D137" s="467" t="s">
        <v>26196</v>
      </c>
      <c r="E137" s="468">
        <v>1500</v>
      </c>
      <c r="F137" s="468">
        <v>1500</v>
      </c>
      <c r="G137" s="467" t="s">
        <v>26028</v>
      </c>
      <c r="H137" s="467" t="s">
        <v>167</v>
      </c>
      <c r="I137" s="469" t="s">
        <v>26202</v>
      </c>
    </row>
    <row r="138" spans="2:9">
      <c r="B138" s="465" t="s">
        <v>97</v>
      </c>
      <c r="C138" s="466" t="s">
        <v>26027</v>
      </c>
      <c r="D138" s="467" t="s">
        <v>26196</v>
      </c>
      <c r="E138" s="468">
        <v>1500</v>
      </c>
      <c r="F138" s="468">
        <v>1500</v>
      </c>
      <c r="G138" s="467" t="s">
        <v>26029</v>
      </c>
      <c r="H138" s="467" t="s">
        <v>167</v>
      </c>
      <c r="I138" s="469" t="s">
        <v>26202</v>
      </c>
    </row>
    <row r="139" spans="2:9">
      <c r="B139" s="465" t="s">
        <v>97</v>
      </c>
      <c r="C139" s="466" t="s">
        <v>57</v>
      </c>
      <c r="D139" s="467" t="s">
        <v>26196</v>
      </c>
      <c r="E139" s="468">
        <v>52006</v>
      </c>
      <c r="F139" s="468">
        <v>52006</v>
      </c>
      <c r="G139" s="467" t="s">
        <v>26040</v>
      </c>
      <c r="H139" s="467" t="s">
        <v>167</v>
      </c>
      <c r="I139" s="469" t="s">
        <v>26202</v>
      </c>
    </row>
    <row r="140" spans="2:9">
      <c r="B140" s="465" t="s">
        <v>97</v>
      </c>
      <c r="C140" s="466" t="s">
        <v>55</v>
      </c>
      <c r="D140" s="467" t="s">
        <v>26196</v>
      </c>
      <c r="E140" s="468">
        <v>10000</v>
      </c>
      <c r="F140" s="468">
        <v>10000</v>
      </c>
      <c r="G140" s="467" t="s">
        <v>26022</v>
      </c>
      <c r="H140" s="467" t="s">
        <v>167</v>
      </c>
      <c r="I140" s="469" t="s">
        <v>26202</v>
      </c>
    </row>
    <row r="141" spans="2:9">
      <c r="B141" s="465" t="s">
        <v>97</v>
      </c>
      <c r="C141" s="466" t="s">
        <v>71</v>
      </c>
      <c r="D141" s="467" t="s">
        <v>26196</v>
      </c>
      <c r="E141" s="468">
        <v>66000</v>
      </c>
      <c r="F141" s="468">
        <v>66000</v>
      </c>
      <c r="G141" s="467" t="s">
        <v>26041</v>
      </c>
      <c r="H141" s="467" t="s">
        <v>167</v>
      </c>
      <c r="I141" s="469" t="s">
        <v>26202</v>
      </c>
    </row>
    <row r="142" spans="2:9">
      <c r="B142" s="465" t="s">
        <v>97</v>
      </c>
      <c r="C142" s="466" t="s">
        <v>26027</v>
      </c>
      <c r="D142" s="467" t="s">
        <v>26196</v>
      </c>
      <c r="E142" s="468">
        <v>500</v>
      </c>
      <c r="F142" s="468">
        <v>500</v>
      </c>
      <c r="G142" s="467" t="s">
        <v>26032</v>
      </c>
      <c r="H142" s="467" t="s">
        <v>167</v>
      </c>
      <c r="I142" s="469" t="s">
        <v>26202</v>
      </c>
    </row>
    <row r="143" spans="2:9">
      <c r="B143" s="465" t="s">
        <v>112</v>
      </c>
      <c r="C143" s="466" t="s">
        <v>22</v>
      </c>
      <c r="D143" s="467" t="s">
        <v>26196</v>
      </c>
      <c r="E143" s="468">
        <v>5500</v>
      </c>
      <c r="F143" s="468">
        <v>5500</v>
      </c>
      <c r="G143" s="467" t="s">
        <v>26042</v>
      </c>
      <c r="H143" s="467" t="s">
        <v>167</v>
      </c>
      <c r="I143" s="469" t="s">
        <v>26202</v>
      </c>
    </row>
    <row r="144" spans="2:9">
      <c r="B144" s="465" t="s">
        <v>112</v>
      </c>
      <c r="C144" s="466" t="s">
        <v>55</v>
      </c>
      <c r="D144" s="467" t="s">
        <v>26196</v>
      </c>
      <c r="E144" s="468">
        <v>5000</v>
      </c>
      <c r="F144" s="468">
        <v>5000</v>
      </c>
      <c r="G144" s="467" t="s">
        <v>26043</v>
      </c>
      <c r="H144" s="467" t="s">
        <v>167</v>
      </c>
      <c r="I144" s="469" t="s">
        <v>26202</v>
      </c>
    </row>
    <row r="145" spans="2:9">
      <c r="B145" s="465" t="s">
        <v>112</v>
      </c>
      <c r="C145" s="466" t="s">
        <v>26027</v>
      </c>
      <c r="D145" s="467" t="s">
        <v>26196</v>
      </c>
      <c r="E145" s="468">
        <v>1500</v>
      </c>
      <c r="F145" s="468">
        <v>1500</v>
      </c>
      <c r="G145" s="467" t="s">
        <v>26028</v>
      </c>
      <c r="H145" s="467" t="s">
        <v>167</v>
      </c>
      <c r="I145" s="469" t="s">
        <v>26202</v>
      </c>
    </row>
    <row r="146" spans="2:9">
      <c r="B146" s="465" t="s">
        <v>112</v>
      </c>
      <c r="C146" s="466" t="s">
        <v>26027</v>
      </c>
      <c r="D146" s="467" t="s">
        <v>26196</v>
      </c>
      <c r="E146" s="468">
        <v>1500</v>
      </c>
      <c r="F146" s="468">
        <v>1500</v>
      </c>
      <c r="G146" s="467" t="s">
        <v>26029</v>
      </c>
      <c r="H146" s="467" t="s">
        <v>167</v>
      </c>
      <c r="I146" s="469" t="s">
        <v>26202</v>
      </c>
    </row>
    <row r="147" spans="2:9">
      <c r="B147" s="465" t="s">
        <v>112</v>
      </c>
      <c r="C147" s="466" t="s">
        <v>71</v>
      </c>
      <c r="D147" s="467" t="s">
        <v>26196</v>
      </c>
      <c r="E147" s="468">
        <v>68858</v>
      </c>
      <c r="F147" s="468">
        <v>68858</v>
      </c>
      <c r="G147" s="467" t="s">
        <v>26034</v>
      </c>
      <c r="H147" s="467" t="s">
        <v>167</v>
      </c>
      <c r="I147" s="469" t="s">
        <v>26202</v>
      </c>
    </row>
    <row r="148" spans="2:9">
      <c r="B148" s="465" t="s">
        <v>112</v>
      </c>
      <c r="C148" s="466" t="s">
        <v>26027</v>
      </c>
      <c r="D148" s="467" t="s">
        <v>26196</v>
      </c>
      <c r="E148" s="468">
        <v>500</v>
      </c>
      <c r="F148" s="468">
        <v>500</v>
      </c>
      <c r="G148" s="467" t="s">
        <v>26044</v>
      </c>
      <c r="H148" s="467" t="s">
        <v>167</v>
      </c>
      <c r="I148" s="469" t="s">
        <v>26202</v>
      </c>
    </row>
    <row r="149" spans="2:9">
      <c r="B149" s="465" t="s">
        <v>112</v>
      </c>
      <c r="C149" s="466" t="s">
        <v>22</v>
      </c>
      <c r="D149" s="468">
        <v>20000</v>
      </c>
      <c r="E149" s="468">
        <v>20000</v>
      </c>
      <c r="F149" s="467" t="s">
        <v>26201</v>
      </c>
      <c r="G149" s="467" t="s">
        <v>26045</v>
      </c>
      <c r="H149" s="467" t="s">
        <v>167</v>
      </c>
      <c r="I149" s="469" t="s">
        <v>26202</v>
      </c>
    </row>
    <row r="150" spans="2:9">
      <c r="B150" s="465" t="s">
        <v>122</v>
      </c>
      <c r="C150" s="466" t="s">
        <v>22</v>
      </c>
      <c r="D150" s="468">
        <v>20000</v>
      </c>
      <c r="E150" s="468">
        <v>20000</v>
      </c>
      <c r="F150" s="467" t="s">
        <v>26201</v>
      </c>
      <c r="G150" s="467" t="s">
        <v>26046</v>
      </c>
      <c r="H150" s="467" t="s">
        <v>167</v>
      </c>
      <c r="I150" s="469" t="s">
        <v>26202</v>
      </c>
    </row>
    <row r="151" spans="2:9">
      <c r="B151" s="465" t="s">
        <v>122</v>
      </c>
      <c r="C151" s="466" t="s">
        <v>59</v>
      </c>
      <c r="D151" s="468">
        <v>143748.4</v>
      </c>
      <c r="E151" s="468">
        <v>143748.4</v>
      </c>
      <c r="F151" s="467" t="s">
        <v>26201</v>
      </c>
      <c r="G151" s="467" t="s">
        <v>26047</v>
      </c>
      <c r="H151" s="467" t="s">
        <v>167</v>
      </c>
      <c r="I151" s="507" t="s">
        <v>25971</v>
      </c>
    </row>
    <row r="152" spans="2:9">
      <c r="B152" s="465" t="s">
        <v>122</v>
      </c>
      <c r="C152" s="466" t="s">
        <v>7471</v>
      </c>
      <c r="D152" s="468">
        <v>34520.639999999999</v>
      </c>
      <c r="E152" s="468">
        <v>30000</v>
      </c>
      <c r="F152" s="468">
        <v>-4520.6400000000003</v>
      </c>
      <c r="G152" s="467" t="s">
        <v>26049</v>
      </c>
      <c r="H152" s="467" t="s">
        <v>167</v>
      </c>
      <c r="I152" s="469" t="s">
        <v>26202</v>
      </c>
    </row>
    <row r="153" spans="2:9">
      <c r="B153" s="465" t="s">
        <v>122</v>
      </c>
      <c r="C153" s="466" t="s">
        <v>22</v>
      </c>
      <c r="D153" s="467" t="s">
        <v>26196</v>
      </c>
      <c r="E153" s="468">
        <v>15000</v>
      </c>
      <c r="F153" s="468">
        <v>15000</v>
      </c>
      <c r="G153" s="467" t="s">
        <v>26038</v>
      </c>
      <c r="H153" s="467" t="s">
        <v>167</v>
      </c>
      <c r="I153" s="469" t="s">
        <v>26202</v>
      </c>
    </row>
    <row r="154" spans="2:9">
      <c r="B154" s="465" t="s">
        <v>122</v>
      </c>
      <c r="C154" s="466" t="s">
        <v>71</v>
      </c>
      <c r="D154" s="467" t="s">
        <v>26196</v>
      </c>
      <c r="E154" s="468">
        <v>68874.36</v>
      </c>
      <c r="F154" s="468">
        <v>68874.36</v>
      </c>
      <c r="G154" s="467" t="s">
        <v>26034</v>
      </c>
      <c r="H154" s="467" t="s">
        <v>167</v>
      </c>
      <c r="I154" s="469" t="s">
        <v>26202</v>
      </c>
    </row>
    <row r="155" spans="2:9">
      <c r="B155" s="465" t="s">
        <v>122</v>
      </c>
      <c r="C155" s="466" t="s">
        <v>71</v>
      </c>
      <c r="D155" s="467" t="s">
        <v>26196</v>
      </c>
      <c r="E155" s="468">
        <v>66000</v>
      </c>
      <c r="F155" s="468">
        <v>66000</v>
      </c>
      <c r="G155" s="467" t="s">
        <v>26041</v>
      </c>
      <c r="H155" s="467" t="s">
        <v>167</v>
      </c>
      <c r="I155" s="469" t="s">
        <v>26202</v>
      </c>
    </row>
    <row r="156" spans="2:9">
      <c r="B156" s="465" t="s">
        <v>122</v>
      </c>
      <c r="C156" s="466" t="s">
        <v>22</v>
      </c>
      <c r="D156" s="467" t="s">
        <v>26196</v>
      </c>
      <c r="E156" s="468">
        <v>9000</v>
      </c>
      <c r="F156" s="468">
        <v>9000</v>
      </c>
      <c r="G156" s="467" t="s">
        <v>26050</v>
      </c>
      <c r="H156" s="467" t="s">
        <v>167</v>
      </c>
      <c r="I156" s="469" t="s">
        <v>26202</v>
      </c>
    </row>
    <row r="157" spans="2:9">
      <c r="B157" s="465" t="s">
        <v>122</v>
      </c>
      <c r="C157" s="466" t="s">
        <v>22</v>
      </c>
      <c r="D157" s="467" t="s">
        <v>26196</v>
      </c>
      <c r="E157" s="468">
        <v>15000</v>
      </c>
      <c r="F157" s="468">
        <v>15000</v>
      </c>
      <c r="G157" s="467" t="s">
        <v>26051</v>
      </c>
      <c r="H157" s="467" t="s">
        <v>167</v>
      </c>
      <c r="I157" s="469" t="s">
        <v>26202</v>
      </c>
    </row>
    <row r="158" spans="2:9">
      <c r="B158" s="465" t="s">
        <v>122</v>
      </c>
      <c r="C158" s="466" t="s">
        <v>22</v>
      </c>
      <c r="D158" s="467" t="s">
        <v>26196</v>
      </c>
      <c r="E158" s="468">
        <v>30000</v>
      </c>
      <c r="F158" s="468">
        <v>30000</v>
      </c>
      <c r="G158" s="467" t="s">
        <v>26052</v>
      </c>
      <c r="H158" s="467" t="s">
        <v>167</v>
      </c>
      <c r="I158" s="469" t="s">
        <v>26202</v>
      </c>
    </row>
    <row r="159" spans="2:9">
      <c r="B159" s="465" t="s">
        <v>123</v>
      </c>
      <c r="C159" s="466" t="s">
        <v>22</v>
      </c>
      <c r="D159" s="467" t="s">
        <v>26196</v>
      </c>
      <c r="E159" s="468">
        <v>15000</v>
      </c>
      <c r="F159" s="468">
        <v>15000</v>
      </c>
      <c r="G159" s="467" t="s">
        <v>26053</v>
      </c>
      <c r="H159" s="467" t="s">
        <v>167</v>
      </c>
      <c r="I159" s="469" t="s">
        <v>26202</v>
      </c>
    </row>
    <row r="160" spans="2:9">
      <c r="B160" s="465" t="s">
        <v>123</v>
      </c>
      <c r="C160" s="466" t="s">
        <v>22</v>
      </c>
      <c r="D160" s="467" t="s">
        <v>26196</v>
      </c>
      <c r="E160" s="468">
        <v>50000</v>
      </c>
      <c r="F160" s="468">
        <v>50000</v>
      </c>
      <c r="G160" s="467" t="s">
        <v>26054</v>
      </c>
      <c r="H160" s="467" t="s">
        <v>167</v>
      </c>
      <c r="I160" s="469" t="s">
        <v>26202</v>
      </c>
    </row>
    <row r="161" spans="2:9">
      <c r="B161" s="465" t="s">
        <v>123</v>
      </c>
      <c r="C161" s="466" t="s">
        <v>71</v>
      </c>
      <c r="D161" s="467" t="s">
        <v>26196</v>
      </c>
      <c r="E161" s="468">
        <v>22958.12</v>
      </c>
      <c r="F161" s="468">
        <v>22958.12</v>
      </c>
      <c r="G161" s="467" t="s">
        <v>26055</v>
      </c>
      <c r="H161" s="467" t="s">
        <v>167</v>
      </c>
      <c r="I161" s="469" t="s">
        <v>26202</v>
      </c>
    </row>
    <row r="162" spans="2:9">
      <c r="B162" s="465" t="s">
        <v>123</v>
      </c>
      <c r="C162" s="466" t="s">
        <v>22</v>
      </c>
      <c r="D162" s="467" t="s">
        <v>26196</v>
      </c>
      <c r="E162" s="468">
        <v>3000</v>
      </c>
      <c r="F162" s="468">
        <v>3000</v>
      </c>
      <c r="G162" s="467" t="s">
        <v>26056</v>
      </c>
      <c r="H162" s="467" t="s">
        <v>167</v>
      </c>
      <c r="I162" s="469" t="s">
        <v>26202</v>
      </c>
    </row>
    <row r="163" spans="2:9">
      <c r="B163" s="465" t="s">
        <v>123</v>
      </c>
      <c r="C163" s="466" t="s">
        <v>71</v>
      </c>
      <c r="D163" s="467" t="s">
        <v>26196</v>
      </c>
      <c r="E163" s="468">
        <v>66000</v>
      </c>
      <c r="F163" s="468">
        <v>66000</v>
      </c>
      <c r="G163" s="467" t="s">
        <v>26057</v>
      </c>
      <c r="H163" s="467" t="s">
        <v>167</v>
      </c>
      <c r="I163" s="469" t="s">
        <v>26202</v>
      </c>
    </row>
    <row r="164" spans="2:9">
      <c r="B164" s="465" t="s">
        <v>123</v>
      </c>
      <c r="C164" s="466" t="s">
        <v>22</v>
      </c>
      <c r="D164" s="467" t="s">
        <v>26196</v>
      </c>
      <c r="E164" s="468">
        <v>13000</v>
      </c>
      <c r="F164" s="468">
        <v>13000</v>
      </c>
      <c r="G164" s="467" t="s">
        <v>26058</v>
      </c>
      <c r="H164" s="467" t="s">
        <v>167</v>
      </c>
      <c r="I164" s="469" t="s">
        <v>26202</v>
      </c>
    </row>
    <row r="165" spans="2:9">
      <c r="B165" s="465" t="s">
        <v>123</v>
      </c>
      <c r="C165" s="466" t="s">
        <v>22</v>
      </c>
      <c r="D165" s="467" t="s">
        <v>26196</v>
      </c>
      <c r="E165" s="468">
        <v>15000</v>
      </c>
      <c r="F165" s="468">
        <v>15000</v>
      </c>
      <c r="G165" s="467" t="s">
        <v>26059</v>
      </c>
      <c r="H165" s="467" t="s">
        <v>167</v>
      </c>
      <c r="I165" s="469" t="s">
        <v>26202</v>
      </c>
    </row>
    <row r="166" spans="2:9">
      <c r="B166" s="465" t="s">
        <v>123</v>
      </c>
      <c r="C166" s="466" t="s">
        <v>22</v>
      </c>
      <c r="D166" s="467" t="s">
        <v>26196</v>
      </c>
      <c r="E166" s="468">
        <v>10000</v>
      </c>
      <c r="F166" s="468">
        <v>10000</v>
      </c>
      <c r="G166" s="467" t="s">
        <v>26060</v>
      </c>
      <c r="H166" s="467" t="s">
        <v>167</v>
      </c>
      <c r="I166" s="469" t="s">
        <v>26202</v>
      </c>
    </row>
    <row r="167" spans="2:9">
      <c r="B167" s="465" t="s">
        <v>123</v>
      </c>
      <c r="C167" s="466" t="s">
        <v>7471</v>
      </c>
      <c r="D167" s="468">
        <v>12000</v>
      </c>
      <c r="E167" s="468">
        <v>12000</v>
      </c>
      <c r="F167" s="467" t="s">
        <v>26201</v>
      </c>
      <c r="G167" s="467" t="s">
        <v>26061</v>
      </c>
      <c r="H167" s="467" t="s">
        <v>167</v>
      </c>
      <c r="I167" s="469" t="s">
        <v>26202</v>
      </c>
    </row>
    <row r="168" spans="2:9">
      <c r="B168" s="465" t="s">
        <v>88</v>
      </c>
      <c r="C168" s="466" t="s">
        <v>22</v>
      </c>
      <c r="D168" s="468">
        <v>30000</v>
      </c>
      <c r="E168" s="468">
        <v>55698</v>
      </c>
      <c r="F168" s="468">
        <v>25698</v>
      </c>
      <c r="G168" s="467" t="s">
        <v>26062</v>
      </c>
      <c r="H168" s="467" t="s">
        <v>167</v>
      </c>
      <c r="I168" s="469" t="s">
        <v>26202</v>
      </c>
    </row>
    <row r="169" spans="2:9">
      <c r="B169" s="465" t="s">
        <v>88</v>
      </c>
      <c r="C169" s="466" t="s">
        <v>26027</v>
      </c>
      <c r="D169" s="467" t="s">
        <v>26196</v>
      </c>
      <c r="E169" s="468">
        <v>1500</v>
      </c>
      <c r="F169" s="468">
        <v>1500</v>
      </c>
      <c r="G169" s="467" t="s">
        <v>26063</v>
      </c>
      <c r="H169" s="467" t="s">
        <v>167</v>
      </c>
      <c r="I169" s="469" t="s">
        <v>26202</v>
      </c>
    </row>
    <row r="170" spans="2:9">
      <c r="B170" s="465" t="s">
        <v>88</v>
      </c>
      <c r="C170" s="466" t="s">
        <v>26027</v>
      </c>
      <c r="D170" s="467" t="s">
        <v>26196</v>
      </c>
      <c r="E170" s="468">
        <v>1500</v>
      </c>
      <c r="F170" s="468">
        <v>1500</v>
      </c>
      <c r="G170" s="467" t="s">
        <v>26064</v>
      </c>
      <c r="H170" s="467" t="s">
        <v>167</v>
      </c>
      <c r="I170" s="469" t="s">
        <v>26202</v>
      </c>
    </row>
    <row r="171" spans="2:9">
      <c r="B171" s="465" t="s">
        <v>88</v>
      </c>
      <c r="C171" s="466" t="s">
        <v>22</v>
      </c>
      <c r="D171" s="467" t="s">
        <v>26196</v>
      </c>
      <c r="E171" s="468">
        <v>15000</v>
      </c>
      <c r="F171" s="468">
        <v>15000</v>
      </c>
      <c r="G171" s="467" t="s">
        <v>26065</v>
      </c>
      <c r="H171" s="467" t="s">
        <v>167</v>
      </c>
      <c r="I171" s="469" t="s">
        <v>26202</v>
      </c>
    </row>
    <row r="172" spans="2:9">
      <c r="B172" s="465" t="s">
        <v>88</v>
      </c>
      <c r="C172" s="466" t="s">
        <v>22</v>
      </c>
      <c r="D172" s="467" t="s">
        <v>26196</v>
      </c>
      <c r="E172" s="468">
        <v>5000</v>
      </c>
      <c r="F172" s="468">
        <v>5000</v>
      </c>
      <c r="G172" s="467" t="s">
        <v>26066</v>
      </c>
      <c r="H172" s="467" t="s">
        <v>167</v>
      </c>
      <c r="I172" s="469" t="s">
        <v>26202</v>
      </c>
    </row>
    <row r="173" spans="2:9">
      <c r="B173" s="465" t="s">
        <v>88</v>
      </c>
      <c r="C173" s="466" t="s">
        <v>71</v>
      </c>
      <c r="D173" s="467" t="s">
        <v>26196</v>
      </c>
      <c r="E173" s="468">
        <v>22958.12</v>
      </c>
      <c r="F173" s="468">
        <v>22958.12</v>
      </c>
      <c r="G173" s="467" t="s">
        <v>26055</v>
      </c>
      <c r="H173" s="467" t="s">
        <v>167</v>
      </c>
      <c r="I173" s="469" t="s">
        <v>26202</v>
      </c>
    </row>
    <row r="174" spans="2:9">
      <c r="B174" s="465" t="s">
        <v>88</v>
      </c>
      <c r="C174" s="466" t="s">
        <v>71</v>
      </c>
      <c r="D174" s="467" t="s">
        <v>26196</v>
      </c>
      <c r="E174" s="468">
        <v>44000</v>
      </c>
      <c r="F174" s="468">
        <v>44000</v>
      </c>
      <c r="G174" s="467" t="s">
        <v>26057</v>
      </c>
      <c r="H174" s="467" t="s">
        <v>167</v>
      </c>
      <c r="I174" s="469" t="s">
        <v>26202</v>
      </c>
    </row>
    <row r="175" spans="2:9">
      <c r="B175" s="465" t="s">
        <v>88</v>
      </c>
      <c r="C175" s="466" t="s">
        <v>22</v>
      </c>
      <c r="D175" s="467" t="s">
        <v>26196</v>
      </c>
      <c r="E175" s="468">
        <v>15000</v>
      </c>
      <c r="F175" s="468">
        <v>15000</v>
      </c>
      <c r="G175" s="467" t="s">
        <v>26059</v>
      </c>
      <c r="H175" s="467" t="s">
        <v>167</v>
      </c>
      <c r="I175" s="469" t="s">
        <v>26202</v>
      </c>
    </row>
    <row r="176" spans="2:9">
      <c r="B176" s="465" t="s">
        <v>88</v>
      </c>
      <c r="C176" s="466" t="s">
        <v>22</v>
      </c>
      <c r="D176" s="467" t="s">
        <v>26196</v>
      </c>
      <c r="E176" s="468">
        <v>20000</v>
      </c>
      <c r="F176" s="468">
        <v>20000</v>
      </c>
      <c r="G176" s="467" t="s">
        <v>26054</v>
      </c>
      <c r="H176" s="467" t="s">
        <v>167</v>
      </c>
      <c r="I176" s="469" t="s">
        <v>26202</v>
      </c>
    </row>
    <row r="177" spans="2:9">
      <c r="B177" s="465" t="s">
        <v>93</v>
      </c>
      <c r="C177" s="466" t="s">
        <v>71</v>
      </c>
      <c r="D177" s="467" t="s">
        <v>26196</v>
      </c>
      <c r="E177" s="468">
        <v>34500</v>
      </c>
      <c r="F177" s="468">
        <v>34500</v>
      </c>
      <c r="G177" s="467" t="s">
        <v>26067</v>
      </c>
      <c r="H177" s="467" t="s">
        <v>167</v>
      </c>
      <c r="I177" s="469" t="s">
        <v>26202</v>
      </c>
    </row>
    <row r="178" spans="2:9">
      <c r="B178" s="465" t="s">
        <v>95</v>
      </c>
      <c r="C178" s="466" t="s">
        <v>71</v>
      </c>
      <c r="D178" s="467" t="s">
        <v>26196</v>
      </c>
      <c r="E178" s="468">
        <v>34500</v>
      </c>
      <c r="F178" s="468">
        <v>34500</v>
      </c>
      <c r="G178" s="467" t="s">
        <v>26067</v>
      </c>
      <c r="H178" s="467" t="s">
        <v>167</v>
      </c>
      <c r="I178" s="469" t="s">
        <v>26202</v>
      </c>
    </row>
    <row r="179" spans="2:9">
      <c r="B179" s="465" t="s">
        <v>47</v>
      </c>
      <c r="C179" s="466" t="s">
        <v>55</v>
      </c>
      <c r="D179" s="467" t="s">
        <v>26196</v>
      </c>
      <c r="E179" s="468">
        <v>5000</v>
      </c>
      <c r="F179" s="468">
        <v>5000</v>
      </c>
      <c r="G179" s="467" t="s">
        <v>26068</v>
      </c>
      <c r="H179" s="467" t="s">
        <v>167</v>
      </c>
      <c r="I179" s="469" t="s">
        <v>26202</v>
      </c>
    </row>
    <row r="180" spans="2:9">
      <c r="B180" s="465" t="s">
        <v>52</v>
      </c>
      <c r="C180" s="466" t="s">
        <v>55</v>
      </c>
      <c r="D180" s="467" t="s">
        <v>26196</v>
      </c>
      <c r="E180" s="468">
        <v>5000</v>
      </c>
      <c r="F180" s="468">
        <v>5000</v>
      </c>
      <c r="G180" s="467" t="s">
        <v>26068</v>
      </c>
      <c r="H180" s="467" t="s">
        <v>167</v>
      </c>
      <c r="I180" s="469" t="s">
        <v>26202</v>
      </c>
    </row>
    <row r="181" spans="2:9">
      <c r="B181" s="465" t="s">
        <v>60</v>
      </c>
      <c r="C181" s="466" t="s">
        <v>55</v>
      </c>
      <c r="D181" s="467" t="s">
        <v>26196</v>
      </c>
      <c r="E181" s="468">
        <v>5000</v>
      </c>
      <c r="F181" s="468">
        <v>5000</v>
      </c>
      <c r="G181" s="467" t="s">
        <v>26068</v>
      </c>
      <c r="H181" s="467" t="s">
        <v>167</v>
      </c>
      <c r="I181" s="469" t="s">
        <v>26202</v>
      </c>
    </row>
    <row r="182" spans="2:9">
      <c r="B182" s="465" t="s">
        <v>62</v>
      </c>
      <c r="C182" s="466" t="s">
        <v>55</v>
      </c>
      <c r="D182" s="467" t="s">
        <v>26196</v>
      </c>
      <c r="E182" s="468">
        <v>5000</v>
      </c>
      <c r="F182" s="468">
        <v>5000</v>
      </c>
      <c r="G182" s="467" t="s">
        <v>26068</v>
      </c>
      <c r="H182" s="467" t="s">
        <v>167</v>
      </c>
      <c r="I182" s="469" t="s">
        <v>26202</v>
      </c>
    </row>
    <row r="183" spans="2:9">
      <c r="B183" s="465" t="s">
        <v>18</v>
      </c>
      <c r="C183" s="466" t="s">
        <v>22</v>
      </c>
      <c r="D183" s="468">
        <v>1000554.99</v>
      </c>
      <c r="E183" s="468">
        <v>1000554.99</v>
      </c>
      <c r="F183" s="467" t="s">
        <v>26201</v>
      </c>
      <c r="G183" s="467" t="s">
        <v>26069</v>
      </c>
      <c r="H183" s="467" t="s">
        <v>167</v>
      </c>
      <c r="I183" s="469" t="s">
        <v>26202</v>
      </c>
    </row>
    <row r="184" spans="2:9">
      <c r="B184" s="465" t="s">
        <v>13</v>
      </c>
      <c r="C184" s="466" t="s">
        <v>19</v>
      </c>
      <c r="D184" s="468">
        <v>500000</v>
      </c>
      <c r="E184" s="468">
        <v>1070080.3999999999</v>
      </c>
      <c r="F184" s="468">
        <f>E184-D184</f>
        <v>570080.39999999991</v>
      </c>
      <c r="G184" s="467" t="s">
        <v>26070</v>
      </c>
      <c r="H184" s="467" t="s">
        <v>167</v>
      </c>
      <c r="I184" s="469" t="s">
        <v>26202</v>
      </c>
    </row>
    <row r="185" spans="2:9">
      <c r="B185" s="465" t="s">
        <v>18</v>
      </c>
      <c r="C185" s="466" t="s">
        <v>19</v>
      </c>
      <c r="D185" s="468">
        <v>500000</v>
      </c>
      <c r="E185" s="468">
        <v>0</v>
      </c>
      <c r="F185" s="468">
        <v>-500000</v>
      </c>
      <c r="G185" s="467" t="s">
        <v>26070</v>
      </c>
      <c r="H185" s="467" t="s">
        <v>167</v>
      </c>
      <c r="I185" s="469" t="s">
        <v>26202</v>
      </c>
    </row>
    <row r="186" spans="2:9">
      <c r="B186" s="465" t="s">
        <v>100</v>
      </c>
      <c r="C186" s="466" t="s">
        <v>19</v>
      </c>
      <c r="D186" s="468">
        <v>500000</v>
      </c>
      <c r="E186" s="468">
        <v>288432</v>
      </c>
      <c r="F186" s="468">
        <v>-211568</v>
      </c>
      <c r="G186" s="467" t="s">
        <v>26070</v>
      </c>
      <c r="H186" s="467" t="s">
        <v>26070</v>
      </c>
      <c r="I186" s="469" t="s">
        <v>26202</v>
      </c>
    </row>
    <row r="187" spans="2:9">
      <c r="B187" s="465" t="s">
        <v>111</v>
      </c>
      <c r="C187" s="466" t="s">
        <v>19</v>
      </c>
      <c r="D187" s="468">
        <v>600000</v>
      </c>
      <c r="E187" s="468">
        <v>210000</v>
      </c>
      <c r="F187" s="468">
        <v>-390000</v>
      </c>
      <c r="G187" s="467" t="s">
        <v>26070</v>
      </c>
      <c r="H187" s="467" t="s">
        <v>167</v>
      </c>
      <c r="I187" s="469" t="s">
        <v>26202</v>
      </c>
    </row>
    <row r="188" spans="2:9">
      <c r="B188" s="465" t="s">
        <v>25910</v>
      </c>
      <c r="C188" s="466" t="s">
        <v>19</v>
      </c>
      <c r="D188" s="468">
        <v>300000</v>
      </c>
      <c r="E188" s="468">
        <v>537275</v>
      </c>
      <c r="F188" s="468">
        <v>237275</v>
      </c>
      <c r="G188" s="467" t="s">
        <v>26070</v>
      </c>
      <c r="H188" s="467" t="s">
        <v>167</v>
      </c>
      <c r="I188" s="469" t="s">
        <v>26202</v>
      </c>
    </row>
    <row r="189" spans="2:9">
      <c r="B189" s="465" t="s">
        <v>117</v>
      </c>
      <c r="C189" s="466" t="s">
        <v>19</v>
      </c>
      <c r="D189" s="468">
        <v>200000</v>
      </c>
      <c r="E189" s="467" t="s">
        <v>26196</v>
      </c>
      <c r="F189" s="468">
        <v>-200000</v>
      </c>
      <c r="G189" s="467" t="s">
        <v>26070</v>
      </c>
      <c r="H189" s="467" t="s">
        <v>167</v>
      </c>
      <c r="I189" s="469" t="s">
        <v>26202</v>
      </c>
    </row>
    <row r="190" spans="2:9">
      <c r="B190" s="465" t="s">
        <v>123</v>
      </c>
      <c r="C190" s="466" t="s">
        <v>19</v>
      </c>
      <c r="D190" s="468">
        <v>500000</v>
      </c>
      <c r="E190" s="468">
        <v>1240216.5</v>
      </c>
      <c r="F190" s="468">
        <f>D190-E190</f>
        <v>-740216.5</v>
      </c>
      <c r="G190" s="467" t="s">
        <v>26070</v>
      </c>
      <c r="H190" s="467" t="s">
        <v>167</v>
      </c>
      <c r="I190" s="469" t="s">
        <v>26202</v>
      </c>
    </row>
    <row r="191" spans="2:9">
      <c r="B191" s="465" t="s">
        <v>122</v>
      </c>
      <c r="C191" s="466" t="s">
        <v>19</v>
      </c>
      <c r="D191" s="468">
        <v>2500000</v>
      </c>
      <c r="E191" s="468">
        <v>150000</v>
      </c>
      <c r="F191" s="468">
        <v>-2350000</v>
      </c>
      <c r="G191" s="467" t="s">
        <v>26070</v>
      </c>
      <c r="H191" s="467" t="s">
        <v>167</v>
      </c>
      <c r="I191" s="469" t="s">
        <v>26202</v>
      </c>
    </row>
    <row r="192" spans="2:9">
      <c r="B192" s="465" t="s">
        <v>93</v>
      </c>
      <c r="C192" s="466" t="s">
        <v>19</v>
      </c>
      <c r="D192" s="468">
        <v>200000</v>
      </c>
      <c r="E192" s="468">
        <v>150000</v>
      </c>
      <c r="F192" s="468">
        <v>-50000</v>
      </c>
      <c r="G192" s="467" t="s">
        <v>26070</v>
      </c>
      <c r="H192" s="467" t="s">
        <v>167</v>
      </c>
      <c r="I192" s="469" t="s">
        <v>26202</v>
      </c>
    </row>
    <row r="193" spans="2:10">
      <c r="B193" s="465" t="s">
        <v>95</v>
      </c>
      <c r="C193" s="466" t="s">
        <v>19</v>
      </c>
      <c r="D193" s="468">
        <v>200000</v>
      </c>
      <c r="E193" s="468">
        <v>64000</v>
      </c>
      <c r="F193" s="468">
        <f>E193-D193</f>
        <v>-136000</v>
      </c>
      <c r="G193" s="467" t="s">
        <v>26070</v>
      </c>
      <c r="H193" s="467" t="s">
        <v>167</v>
      </c>
      <c r="I193" s="507" t="s">
        <v>25971</v>
      </c>
    </row>
    <row r="194" spans="2:10">
      <c r="B194" s="465" t="s">
        <v>26072</v>
      </c>
      <c r="C194" s="466" t="s">
        <v>19</v>
      </c>
      <c r="D194" s="468">
        <v>500000</v>
      </c>
      <c r="E194" s="468">
        <v>356825.59999999998</v>
      </c>
      <c r="F194" s="468">
        <f>E194-D194</f>
        <v>-143174.40000000002</v>
      </c>
      <c r="G194" s="467" t="s">
        <v>26070</v>
      </c>
      <c r="H194" s="467" t="s">
        <v>26070</v>
      </c>
      <c r="I194" s="507" t="s">
        <v>25971</v>
      </c>
    </row>
    <row r="195" spans="2:10">
      <c r="B195" s="465" t="s">
        <v>110</v>
      </c>
      <c r="C195" s="466" t="s">
        <v>19</v>
      </c>
      <c r="D195" s="468">
        <v>800000</v>
      </c>
      <c r="E195" s="468">
        <v>900000</v>
      </c>
      <c r="F195" s="468">
        <f>E195-D195</f>
        <v>100000</v>
      </c>
      <c r="G195" s="467" t="s">
        <v>26070</v>
      </c>
      <c r="H195" s="467" t="s">
        <v>167</v>
      </c>
      <c r="I195" s="507" t="s">
        <v>25971</v>
      </c>
      <c r="J195" t="s">
        <v>26207</v>
      </c>
    </row>
    <row r="196" spans="2:10">
      <c r="B196" s="465" t="s">
        <v>88</v>
      </c>
      <c r="C196" s="466" t="s">
        <v>19</v>
      </c>
      <c r="D196" s="467" t="s">
        <v>26196</v>
      </c>
      <c r="E196" s="468">
        <v>100000</v>
      </c>
      <c r="F196" s="468">
        <v>100000</v>
      </c>
      <c r="G196" s="467" t="s">
        <v>26070</v>
      </c>
      <c r="H196" s="467" t="s">
        <v>167</v>
      </c>
      <c r="I196" s="469" t="s">
        <v>26202</v>
      </c>
    </row>
    <row r="197" spans="2:10">
      <c r="B197" s="465" t="s">
        <v>26073</v>
      </c>
      <c r="C197" s="466" t="s">
        <v>19</v>
      </c>
      <c r="D197" s="468">
        <v>2235706.81</v>
      </c>
      <c r="E197" s="468">
        <v>191860</v>
      </c>
      <c r="F197" s="468">
        <v>-2043846.81</v>
      </c>
      <c r="G197" s="467" t="s">
        <v>26070</v>
      </c>
      <c r="H197" s="467" t="s">
        <v>167</v>
      </c>
      <c r="I197" s="469" t="s">
        <v>26202</v>
      </c>
    </row>
    <row r="198" spans="2:10">
      <c r="B198" s="465" t="s">
        <v>97</v>
      </c>
      <c r="C198" s="466" t="s">
        <v>19</v>
      </c>
      <c r="D198" s="467" t="s">
        <v>26196</v>
      </c>
      <c r="E198" s="468">
        <v>100000</v>
      </c>
      <c r="F198" s="468">
        <v>100000</v>
      </c>
      <c r="G198" s="467" t="s">
        <v>26070</v>
      </c>
      <c r="H198" s="467" t="s">
        <v>167</v>
      </c>
      <c r="I198" s="469" t="s">
        <v>26202</v>
      </c>
    </row>
    <row r="199" spans="2:10">
      <c r="B199" s="465" t="s">
        <v>47</v>
      </c>
      <c r="C199" s="466" t="s">
        <v>83</v>
      </c>
      <c r="D199" s="467" t="s">
        <v>26196</v>
      </c>
      <c r="E199" s="468">
        <v>68908.740000000005</v>
      </c>
      <c r="F199" s="468">
        <v>68908.740000000005</v>
      </c>
      <c r="G199" s="467" t="s">
        <v>26074</v>
      </c>
      <c r="H199" s="467" t="s">
        <v>167</v>
      </c>
      <c r="I199" s="469" t="s">
        <v>26202</v>
      </c>
    </row>
    <row r="200" spans="2:10">
      <c r="B200" s="465" t="s">
        <v>52</v>
      </c>
      <c r="C200" s="466" t="s">
        <v>83</v>
      </c>
      <c r="D200" s="467" t="s">
        <v>26196</v>
      </c>
      <c r="E200" s="468">
        <v>68908.740000000005</v>
      </c>
      <c r="F200" s="468">
        <v>68908.740000000005</v>
      </c>
      <c r="G200" s="467" t="s">
        <v>26074</v>
      </c>
      <c r="H200" s="467" t="s">
        <v>167</v>
      </c>
      <c r="I200" s="469" t="s">
        <v>26202</v>
      </c>
    </row>
    <row r="201" spans="2:10">
      <c r="B201" s="465" t="s">
        <v>60</v>
      </c>
      <c r="C201" s="466" t="s">
        <v>83</v>
      </c>
      <c r="D201" s="467" t="s">
        <v>26196</v>
      </c>
      <c r="E201" s="468">
        <v>69383.679999999993</v>
      </c>
      <c r="F201" s="468">
        <v>69383.679999999993</v>
      </c>
      <c r="G201" s="467" t="s">
        <v>26074</v>
      </c>
      <c r="H201" s="467" t="s">
        <v>167</v>
      </c>
      <c r="I201" s="469" t="s">
        <v>26202</v>
      </c>
    </row>
    <row r="202" spans="2:10">
      <c r="B202" s="465" t="s">
        <v>62</v>
      </c>
      <c r="C202" s="466" t="s">
        <v>83</v>
      </c>
      <c r="D202" s="467" t="s">
        <v>26196</v>
      </c>
      <c r="E202" s="468">
        <v>69383.679999999993</v>
      </c>
      <c r="F202" s="468">
        <v>69383.679999999993</v>
      </c>
      <c r="G202" s="467" t="s">
        <v>26074</v>
      </c>
      <c r="H202" s="467" t="s">
        <v>167</v>
      </c>
      <c r="I202" s="469" t="s">
        <v>26202</v>
      </c>
    </row>
    <row r="203" spans="2:10">
      <c r="B203" s="465" t="s">
        <v>64</v>
      </c>
      <c r="C203" s="466" t="s">
        <v>83</v>
      </c>
      <c r="D203" s="467" t="s">
        <v>26196</v>
      </c>
      <c r="E203" s="468">
        <v>125906.63</v>
      </c>
      <c r="F203" s="468">
        <v>125906.63</v>
      </c>
      <c r="G203" s="467" t="s">
        <v>26074</v>
      </c>
      <c r="H203" s="467" t="s">
        <v>167</v>
      </c>
      <c r="I203" s="469" t="s">
        <v>26202</v>
      </c>
    </row>
    <row r="204" spans="2:10">
      <c r="B204" s="465" t="s">
        <v>68</v>
      </c>
      <c r="C204" s="466" t="s">
        <v>83</v>
      </c>
      <c r="D204" s="467" t="s">
        <v>26196</v>
      </c>
      <c r="E204" s="468">
        <v>53434.61</v>
      </c>
      <c r="F204" s="468">
        <v>53434.61</v>
      </c>
      <c r="G204" s="467" t="s">
        <v>26074</v>
      </c>
      <c r="H204" s="467" t="s">
        <v>167</v>
      </c>
      <c r="I204" s="469" t="s">
        <v>26202</v>
      </c>
    </row>
    <row r="205" spans="2:10">
      <c r="B205" s="465" t="s">
        <v>70</v>
      </c>
      <c r="C205" s="466" t="s">
        <v>83</v>
      </c>
      <c r="D205" s="467" t="s">
        <v>26196</v>
      </c>
      <c r="E205" s="468">
        <v>53434.61</v>
      </c>
      <c r="F205" s="468">
        <v>53434.61</v>
      </c>
      <c r="G205" s="467" t="s">
        <v>26074</v>
      </c>
      <c r="H205" s="467" t="s">
        <v>167</v>
      </c>
      <c r="I205" s="469" t="s">
        <v>26202</v>
      </c>
    </row>
    <row r="206" spans="2:10">
      <c r="B206" s="465" t="s">
        <v>74</v>
      </c>
      <c r="C206" s="466" t="s">
        <v>83</v>
      </c>
      <c r="D206" s="467" t="s">
        <v>26196</v>
      </c>
      <c r="E206" s="468">
        <v>53434.61</v>
      </c>
      <c r="F206" s="468">
        <v>53434.61</v>
      </c>
      <c r="G206" s="467" t="s">
        <v>26074</v>
      </c>
      <c r="H206" s="467" t="s">
        <v>167</v>
      </c>
      <c r="I206" s="469" t="s">
        <v>26202</v>
      </c>
    </row>
    <row r="207" spans="2:10">
      <c r="B207" s="465" t="s">
        <v>76</v>
      </c>
      <c r="C207" s="466" t="s">
        <v>83</v>
      </c>
      <c r="D207" s="467" t="s">
        <v>26196</v>
      </c>
      <c r="E207" s="468">
        <v>53434.61</v>
      </c>
      <c r="F207" s="468">
        <v>53434.61</v>
      </c>
      <c r="G207" s="467" t="s">
        <v>26074</v>
      </c>
      <c r="H207" s="467" t="s">
        <v>167</v>
      </c>
      <c r="I207" s="469" t="s">
        <v>26202</v>
      </c>
    </row>
    <row r="208" spans="2:10">
      <c r="B208" s="465" t="s">
        <v>86</v>
      </c>
      <c r="C208" s="466" t="s">
        <v>83</v>
      </c>
      <c r="D208" s="467" t="s">
        <v>26196</v>
      </c>
      <c r="E208" s="468">
        <v>89988.19</v>
      </c>
      <c r="F208" s="468">
        <v>89988.19</v>
      </c>
      <c r="G208" s="467" t="s">
        <v>26074</v>
      </c>
      <c r="H208" s="467" t="s">
        <v>167</v>
      </c>
      <c r="I208" s="469" t="s">
        <v>26202</v>
      </c>
    </row>
    <row r="209" spans="2:9">
      <c r="B209" s="465" t="s">
        <v>15</v>
      </c>
      <c r="C209" s="466" t="s">
        <v>85</v>
      </c>
      <c r="D209" s="467" t="s">
        <v>26196</v>
      </c>
      <c r="E209" s="468">
        <v>493677.09</v>
      </c>
      <c r="F209" s="468">
        <v>493677.09</v>
      </c>
      <c r="G209" s="467" t="s">
        <v>26075</v>
      </c>
      <c r="H209" s="467" t="s">
        <v>167</v>
      </c>
      <c r="I209" s="469" t="s">
        <v>26202</v>
      </c>
    </row>
    <row r="210" spans="2:9">
      <c r="B210" s="465" t="s">
        <v>90</v>
      </c>
      <c r="C210" s="466" t="s">
        <v>85</v>
      </c>
      <c r="D210" s="467" t="s">
        <v>26196</v>
      </c>
      <c r="E210" s="468">
        <v>431663.02</v>
      </c>
      <c r="F210" s="468">
        <v>431663.02</v>
      </c>
      <c r="G210" s="467" t="s">
        <v>26075</v>
      </c>
      <c r="H210" s="467" t="s">
        <v>167</v>
      </c>
      <c r="I210" s="469" t="s">
        <v>26202</v>
      </c>
    </row>
    <row r="211" spans="2:9">
      <c r="B211" s="465" t="s">
        <v>99</v>
      </c>
      <c r="C211" s="466" t="s">
        <v>85</v>
      </c>
      <c r="D211" s="467" t="s">
        <v>26196</v>
      </c>
      <c r="E211" s="468">
        <v>409891.86</v>
      </c>
      <c r="F211" s="468">
        <v>409891.86</v>
      </c>
      <c r="G211" s="467" t="s">
        <v>26075</v>
      </c>
      <c r="H211" s="467" t="s">
        <v>167</v>
      </c>
      <c r="I211" s="469" t="s">
        <v>26202</v>
      </c>
    </row>
    <row r="212" spans="2:9">
      <c r="B212" s="465" t="s">
        <v>49</v>
      </c>
      <c r="C212" s="466" t="s">
        <v>85</v>
      </c>
      <c r="D212" s="467" t="s">
        <v>26196</v>
      </c>
      <c r="E212" s="468">
        <v>962043.76</v>
      </c>
      <c r="F212" s="468">
        <v>962043.76</v>
      </c>
      <c r="G212" s="467" t="s">
        <v>26075</v>
      </c>
      <c r="H212" s="467" t="s">
        <v>167</v>
      </c>
      <c r="I212" s="469" t="s">
        <v>26202</v>
      </c>
    </row>
    <row r="213" spans="2:9">
      <c r="B213" s="465" t="s">
        <v>13</v>
      </c>
      <c r="C213" s="466" t="s">
        <v>87</v>
      </c>
      <c r="D213" s="467" t="s">
        <v>26196</v>
      </c>
      <c r="E213" s="468">
        <v>69572.55</v>
      </c>
      <c r="F213" s="468">
        <v>69572.55</v>
      </c>
      <c r="G213" s="467" t="s">
        <v>26076</v>
      </c>
      <c r="H213" s="467" t="s">
        <v>167</v>
      </c>
      <c r="I213" s="469" t="s">
        <v>26202</v>
      </c>
    </row>
    <row r="214" spans="2:9">
      <c r="B214" s="465" t="s">
        <v>20</v>
      </c>
      <c r="C214" s="466" t="s">
        <v>87</v>
      </c>
      <c r="D214" s="467" t="s">
        <v>26196</v>
      </c>
      <c r="E214" s="468">
        <v>26615.22</v>
      </c>
      <c r="F214" s="468">
        <v>26615.22</v>
      </c>
      <c r="G214" s="467" t="s">
        <v>26076</v>
      </c>
      <c r="H214" s="467" t="s">
        <v>167</v>
      </c>
      <c r="I214" s="469" t="s">
        <v>26202</v>
      </c>
    </row>
    <row r="215" spans="2:9">
      <c r="B215" s="465" t="s">
        <v>27</v>
      </c>
      <c r="C215" s="466" t="s">
        <v>87</v>
      </c>
      <c r="D215" s="467" t="s">
        <v>26196</v>
      </c>
      <c r="E215" s="468">
        <v>79625.820000000007</v>
      </c>
      <c r="F215" s="468">
        <v>79625.820000000007</v>
      </c>
      <c r="G215" s="467" t="s">
        <v>26076</v>
      </c>
      <c r="H215" s="467" t="s">
        <v>167</v>
      </c>
      <c r="I215" s="469" t="s">
        <v>26202</v>
      </c>
    </row>
    <row r="216" spans="2:9">
      <c r="B216" s="465" t="s">
        <v>29</v>
      </c>
      <c r="C216" s="466" t="s">
        <v>87</v>
      </c>
      <c r="D216" s="467" t="s">
        <v>26196</v>
      </c>
      <c r="E216" s="468">
        <v>151201.06</v>
      </c>
      <c r="F216" s="468">
        <v>151201.06</v>
      </c>
      <c r="G216" s="467" t="s">
        <v>26076</v>
      </c>
      <c r="H216" s="467" t="s">
        <v>167</v>
      </c>
      <c r="I216" s="469" t="s">
        <v>26202</v>
      </c>
    </row>
    <row r="217" spans="2:9">
      <c r="B217" s="465" t="s">
        <v>37</v>
      </c>
      <c r="C217" s="466" t="s">
        <v>87</v>
      </c>
      <c r="D217" s="467" t="s">
        <v>26196</v>
      </c>
      <c r="E217" s="468">
        <v>65672.59</v>
      </c>
      <c r="F217" s="468">
        <v>65672.59</v>
      </c>
      <c r="G217" s="467" t="s">
        <v>26076</v>
      </c>
      <c r="H217" s="467" t="s">
        <v>167</v>
      </c>
      <c r="I217" s="469" t="s">
        <v>26202</v>
      </c>
    </row>
    <row r="218" spans="2:9">
      <c r="B218" s="465" t="s">
        <v>101</v>
      </c>
      <c r="C218" s="466" t="s">
        <v>87</v>
      </c>
      <c r="D218" s="467" t="s">
        <v>26196</v>
      </c>
      <c r="E218" s="468">
        <v>76201.100000000006</v>
      </c>
      <c r="F218" s="468">
        <v>76201.100000000006</v>
      </c>
      <c r="G218" s="467" t="s">
        <v>26076</v>
      </c>
      <c r="H218" s="467" t="s">
        <v>167</v>
      </c>
      <c r="I218" s="469" t="s">
        <v>26202</v>
      </c>
    </row>
    <row r="219" spans="2:9">
      <c r="B219" s="465" t="s">
        <v>104</v>
      </c>
      <c r="C219" s="466" t="s">
        <v>87</v>
      </c>
      <c r="D219" s="467" t="s">
        <v>26196</v>
      </c>
      <c r="E219" s="468">
        <v>118862.67</v>
      </c>
      <c r="F219" s="468">
        <v>118862.67</v>
      </c>
      <c r="G219" s="467" t="s">
        <v>26076</v>
      </c>
      <c r="H219" s="467" t="s">
        <v>167</v>
      </c>
      <c r="I219" s="469" t="s">
        <v>26202</v>
      </c>
    </row>
    <row r="220" spans="2:9">
      <c r="B220" s="465" t="s">
        <v>108</v>
      </c>
      <c r="C220" s="466" t="s">
        <v>87</v>
      </c>
      <c r="D220" s="467" t="s">
        <v>26196</v>
      </c>
      <c r="E220" s="468">
        <v>26276.16</v>
      </c>
      <c r="F220" s="468">
        <v>26276.16</v>
      </c>
      <c r="G220" s="467" t="s">
        <v>26076</v>
      </c>
      <c r="H220" s="467" t="s">
        <v>167</v>
      </c>
      <c r="I220" s="469" t="s">
        <v>26202</v>
      </c>
    </row>
    <row r="221" spans="2:9">
      <c r="B221" s="465" t="s">
        <v>110</v>
      </c>
      <c r="C221" s="466" t="s">
        <v>87</v>
      </c>
      <c r="D221" s="467" t="s">
        <v>26196</v>
      </c>
      <c r="E221" s="468">
        <v>146930.21</v>
      </c>
      <c r="F221" s="468">
        <v>146930.21</v>
      </c>
      <c r="G221" s="467" t="s">
        <v>26076</v>
      </c>
      <c r="H221" s="467" t="s">
        <v>167</v>
      </c>
      <c r="I221" s="469" t="s">
        <v>26202</v>
      </c>
    </row>
    <row r="222" spans="2:9">
      <c r="B222" s="465" t="s">
        <v>112</v>
      </c>
      <c r="C222" s="466" t="s">
        <v>87</v>
      </c>
      <c r="D222" s="467" t="s">
        <v>26196</v>
      </c>
      <c r="E222" s="468">
        <v>109473.22</v>
      </c>
      <c r="F222" s="468">
        <v>109473.22</v>
      </c>
      <c r="G222" s="467" t="s">
        <v>26076</v>
      </c>
      <c r="H222" s="467" t="s">
        <v>167</v>
      </c>
      <c r="I222" s="469" t="s">
        <v>26202</v>
      </c>
    </row>
    <row r="223" spans="2:9">
      <c r="B223" s="465" t="s">
        <v>116</v>
      </c>
      <c r="C223" s="466" t="s">
        <v>87</v>
      </c>
      <c r="D223" s="467" t="s">
        <v>26196</v>
      </c>
      <c r="E223" s="468">
        <v>49823.59</v>
      </c>
      <c r="F223" s="468">
        <v>49823.59</v>
      </c>
      <c r="G223" s="467" t="s">
        <v>26076</v>
      </c>
      <c r="H223" s="467" t="s">
        <v>167</v>
      </c>
      <c r="I223" s="469" t="s">
        <v>26202</v>
      </c>
    </row>
    <row r="224" spans="2:9">
      <c r="B224" s="465" t="s">
        <v>119</v>
      </c>
      <c r="C224" s="466" t="s">
        <v>87</v>
      </c>
      <c r="D224" s="467" t="s">
        <v>26196</v>
      </c>
      <c r="E224" s="468">
        <v>108681.13</v>
      </c>
      <c r="F224" s="468">
        <v>108681.13</v>
      </c>
      <c r="G224" s="467" t="s">
        <v>26076</v>
      </c>
      <c r="H224" s="467" t="s">
        <v>167</v>
      </c>
      <c r="I224" s="469" t="s">
        <v>26202</v>
      </c>
    </row>
    <row r="225" spans="2:9">
      <c r="B225" s="465" t="s">
        <v>35</v>
      </c>
      <c r="C225" s="466" t="s">
        <v>87</v>
      </c>
      <c r="D225" s="467" t="s">
        <v>26196</v>
      </c>
      <c r="E225" s="468">
        <v>199609.76</v>
      </c>
      <c r="F225" s="468">
        <v>199609.76</v>
      </c>
      <c r="G225" s="467" t="s">
        <v>26078</v>
      </c>
      <c r="H225" s="467" t="s">
        <v>167</v>
      </c>
      <c r="I225" s="469" t="s">
        <v>26202</v>
      </c>
    </row>
    <row r="226" spans="2:9">
      <c r="B226" s="465" t="s">
        <v>60</v>
      </c>
      <c r="C226" s="466" t="s">
        <v>87</v>
      </c>
      <c r="D226" s="467" t="s">
        <v>26196</v>
      </c>
      <c r="E226" s="468">
        <v>177000</v>
      </c>
      <c r="F226" s="468">
        <v>177000</v>
      </c>
      <c r="G226" s="467" t="s">
        <v>26078</v>
      </c>
      <c r="H226" s="467" t="s">
        <v>167</v>
      </c>
      <c r="I226" s="469" t="s">
        <v>26202</v>
      </c>
    </row>
    <row r="227" spans="2:9">
      <c r="B227" s="465" t="s">
        <v>62</v>
      </c>
      <c r="C227" s="466" t="s">
        <v>87</v>
      </c>
      <c r="D227" s="467" t="s">
        <v>26196</v>
      </c>
      <c r="E227" s="468">
        <v>135000</v>
      </c>
      <c r="F227" s="468">
        <v>135000</v>
      </c>
      <c r="G227" s="467" t="s">
        <v>26078</v>
      </c>
      <c r="H227" s="467" t="s">
        <v>167</v>
      </c>
      <c r="I227" s="469" t="s">
        <v>26202</v>
      </c>
    </row>
    <row r="228" spans="2:9">
      <c r="B228" s="465" t="s">
        <v>104</v>
      </c>
      <c r="C228" s="466" t="s">
        <v>87</v>
      </c>
      <c r="D228" s="467" t="s">
        <v>26196</v>
      </c>
      <c r="E228" s="468">
        <v>213000</v>
      </c>
      <c r="F228" s="468">
        <v>213000</v>
      </c>
      <c r="G228" s="467" t="s">
        <v>26078</v>
      </c>
      <c r="H228" s="467" t="s">
        <v>167</v>
      </c>
      <c r="I228" s="469" t="s">
        <v>26202</v>
      </c>
    </row>
    <row r="229" spans="2:9">
      <c r="B229" s="465" t="s">
        <v>15</v>
      </c>
      <c r="C229" s="466" t="s">
        <v>55</v>
      </c>
      <c r="D229" s="467" t="s">
        <v>26196</v>
      </c>
      <c r="E229" s="468">
        <v>126389.87</v>
      </c>
      <c r="F229" s="468">
        <v>126389.87</v>
      </c>
      <c r="G229" s="467" t="s">
        <v>26079</v>
      </c>
      <c r="H229" s="467" t="s">
        <v>167</v>
      </c>
      <c r="I229" s="469" t="s">
        <v>26202</v>
      </c>
    </row>
    <row r="230" spans="2:9">
      <c r="B230" s="465" t="s">
        <v>90</v>
      </c>
      <c r="C230" s="466" t="s">
        <v>55</v>
      </c>
      <c r="D230" s="467" t="s">
        <v>26196</v>
      </c>
      <c r="E230" s="468">
        <v>159889.62</v>
      </c>
      <c r="F230" s="468">
        <v>159889.62</v>
      </c>
      <c r="G230" s="467" t="s">
        <v>26080</v>
      </c>
      <c r="H230" s="467" t="s">
        <v>167</v>
      </c>
      <c r="I230" s="469" t="s">
        <v>26202</v>
      </c>
    </row>
    <row r="231" spans="2:9">
      <c r="B231" s="465" t="s">
        <v>99</v>
      </c>
      <c r="C231" s="466" t="s">
        <v>55</v>
      </c>
      <c r="D231" s="467" t="s">
        <v>26196</v>
      </c>
      <c r="E231" s="468">
        <v>70000</v>
      </c>
      <c r="F231" s="468">
        <v>70000</v>
      </c>
      <c r="G231" s="467" t="s">
        <v>26081</v>
      </c>
      <c r="H231" s="467" t="s">
        <v>167</v>
      </c>
      <c r="I231" s="469" t="s">
        <v>26202</v>
      </c>
    </row>
    <row r="232" spans="2:9">
      <c r="B232" s="465" t="s">
        <v>49</v>
      </c>
      <c r="C232" s="466" t="s">
        <v>55</v>
      </c>
      <c r="D232" s="467" t="s">
        <v>26196</v>
      </c>
      <c r="E232" s="468">
        <v>70000</v>
      </c>
      <c r="F232" s="468">
        <v>70000</v>
      </c>
      <c r="G232" s="467" t="s">
        <v>26081</v>
      </c>
      <c r="H232" s="467" t="s">
        <v>167</v>
      </c>
      <c r="I232" s="469" t="s">
        <v>26202</v>
      </c>
    </row>
    <row r="233" spans="2:9">
      <c r="B233" s="465" t="s">
        <v>13</v>
      </c>
      <c r="C233" s="466" t="s">
        <v>26208</v>
      </c>
      <c r="D233" s="468">
        <v>15000</v>
      </c>
      <c r="E233" s="467" t="s">
        <v>26196</v>
      </c>
      <c r="F233" s="468">
        <v>-15000</v>
      </c>
      <c r="G233" s="467" t="s">
        <v>6077</v>
      </c>
      <c r="H233" s="467" t="s">
        <v>167</v>
      </c>
      <c r="I233" s="469" t="s">
        <v>26202</v>
      </c>
    </row>
    <row r="234" spans="2:9">
      <c r="B234" s="465" t="s">
        <v>13</v>
      </c>
      <c r="C234" s="466" t="s">
        <v>26209</v>
      </c>
      <c r="D234" s="468">
        <v>3750</v>
      </c>
      <c r="E234" s="467" t="s">
        <v>26196</v>
      </c>
      <c r="F234" s="468">
        <v>-3750</v>
      </c>
      <c r="G234" s="467" t="s">
        <v>6077</v>
      </c>
      <c r="H234" s="467" t="s">
        <v>167</v>
      </c>
      <c r="I234" s="469" t="s">
        <v>26202</v>
      </c>
    </row>
    <row r="235" spans="2:9">
      <c r="B235" s="465" t="s">
        <v>18</v>
      </c>
      <c r="C235" s="466" t="s">
        <v>26209</v>
      </c>
      <c r="D235" s="468">
        <v>3750</v>
      </c>
      <c r="E235" s="467" t="s">
        <v>26196</v>
      </c>
      <c r="F235" s="468">
        <v>-3750</v>
      </c>
      <c r="G235" s="467" t="s">
        <v>6077</v>
      </c>
      <c r="H235" s="467" t="s">
        <v>167</v>
      </c>
      <c r="I235" s="469" t="s">
        <v>26202</v>
      </c>
    </row>
    <row r="236" spans="2:9">
      <c r="B236" s="465" t="s">
        <v>64</v>
      </c>
      <c r="C236" s="466" t="s">
        <v>26209</v>
      </c>
      <c r="D236" s="468">
        <v>4350</v>
      </c>
      <c r="E236" s="467" t="s">
        <v>26196</v>
      </c>
      <c r="F236" s="468">
        <v>-4350</v>
      </c>
      <c r="G236" s="467" t="s">
        <v>6077</v>
      </c>
      <c r="H236" s="467" t="s">
        <v>167</v>
      </c>
      <c r="I236" s="469" t="s">
        <v>26202</v>
      </c>
    </row>
    <row r="237" spans="2:9">
      <c r="B237" s="465" t="s">
        <v>110</v>
      </c>
      <c r="C237" s="466" t="s">
        <v>26210</v>
      </c>
      <c r="D237" s="468">
        <v>5000</v>
      </c>
      <c r="E237" s="467" t="s">
        <v>26196</v>
      </c>
      <c r="F237" s="468">
        <v>-5000</v>
      </c>
      <c r="G237" s="467" t="s">
        <v>6077</v>
      </c>
      <c r="H237" s="467" t="s">
        <v>167</v>
      </c>
      <c r="I237" s="469" t="s">
        <v>26202</v>
      </c>
    </row>
    <row r="238" spans="2:9">
      <c r="B238" s="470" t="s">
        <v>26008</v>
      </c>
      <c r="C238" s="471" t="s">
        <v>26211</v>
      </c>
      <c r="D238" s="473">
        <v>5000</v>
      </c>
      <c r="E238" s="472" t="s">
        <v>26196</v>
      </c>
      <c r="F238" s="473">
        <v>-5000</v>
      </c>
      <c r="G238" s="474" t="s">
        <v>6077</v>
      </c>
      <c r="H238" s="472" t="s">
        <v>167</v>
      </c>
      <c r="I238" s="475" t="s">
        <v>26202</v>
      </c>
    </row>
    <row r="239" spans="2:9">
      <c r="B239" s="476"/>
      <c r="C239" s="476"/>
      <c r="D239" s="476"/>
      <c r="E239" s="476"/>
      <c r="F239" s="476"/>
      <c r="G239" s="476"/>
      <c r="H239" s="476"/>
      <c r="I239" s="476"/>
    </row>
    <row r="240" spans="2:9">
      <c r="B240" s="476"/>
      <c r="C240" s="477" t="s">
        <v>159</v>
      </c>
      <c r="D240" s="478">
        <f>SUM(D3:D238)</f>
        <v>14087188.680000002</v>
      </c>
      <c r="E240" s="478">
        <f>SUM(E3:E238)</f>
        <v>22981503.059999995</v>
      </c>
      <c r="F240" s="479">
        <f>E240-D240</f>
        <v>8894314.3799999934</v>
      </c>
      <c r="G240" s="476"/>
      <c r="H240" s="476"/>
      <c r="I240" s="476"/>
    </row>
    <row r="241" spans="2:9">
      <c r="B241" s="476"/>
      <c r="C241" s="476"/>
      <c r="D241" s="476"/>
      <c r="E241" s="487"/>
      <c r="F241" s="476"/>
      <c r="G241" s="476"/>
      <c r="H241" s="476"/>
      <c r="I241" s="476"/>
    </row>
    <row r="242" spans="2:9">
      <c r="B242" s="476"/>
      <c r="C242" s="480" t="s">
        <v>26212</v>
      </c>
      <c r="D242" s="481" t="s">
        <v>6077</v>
      </c>
      <c r="E242" s="476"/>
      <c r="F242" s="476"/>
      <c r="G242" s="476"/>
      <c r="H242" s="476"/>
      <c r="I242" s="476"/>
    </row>
    <row r="243" spans="2:9">
      <c r="B243" s="476"/>
      <c r="C243" s="465" t="s">
        <v>26200</v>
      </c>
      <c r="D243" s="482">
        <v>2054296.15</v>
      </c>
      <c r="E243" s="476"/>
      <c r="F243" s="476"/>
      <c r="G243" s="476"/>
      <c r="H243" s="476"/>
      <c r="I243" s="476"/>
    </row>
    <row r="244" spans="2:9">
      <c r="B244" s="476"/>
      <c r="C244" s="465" t="s">
        <v>26074</v>
      </c>
      <c r="D244" s="483">
        <v>706218.09</v>
      </c>
      <c r="E244" s="476"/>
      <c r="F244" s="476"/>
      <c r="G244" s="476"/>
      <c r="H244" s="476"/>
      <c r="I244" s="476"/>
    </row>
    <row r="245" spans="2:9">
      <c r="B245" s="476"/>
      <c r="C245" s="465" t="s">
        <v>26075</v>
      </c>
      <c r="D245" s="483">
        <v>2297275.7200000002</v>
      </c>
      <c r="E245" s="476"/>
      <c r="F245" s="476"/>
      <c r="G245" s="476"/>
      <c r="H245" s="476"/>
      <c r="I245" s="476"/>
    </row>
    <row r="246" spans="2:9">
      <c r="B246" s="476"/>
      <c r="C246" s="465" t="s">
        <v>26078</v>
      </c>
      <c r="D246" s="483">
        <v>724609.77</v>
      </c>
      <c r="E246" s="476"/>
      <c r="F246" s="476"/>
      <c r="G246" s="476"/>
      <c r="H246" s="476"/>
      <c r="I246" s="476"/>
    </row>
    <row r="247" spans="2:9" ht="23.25">
      <c r="B247" s="476"/>
      <c r="C247" s="484" t="s">
        <v>26076</v>
      </c>
      <c r="D247" s="483">
        <v>1028935.32</v>
      </c>
      <c r="E247" s="476"/>
      <c r="F247" s="476"/>
      <c r="G247" s="476"/>
      <c r="H247" s="476"/>
      <c r="I247" s="476"/>
    </row>
    <row r="248" spans="2:9">
      <c r="B248" s="476"/>
      <c r="C248" s="485" t="s">
        <v>159</v>
      </c>
      <c r="D248" s="486">
        <v>6811335.0499999998</v>
      </c>
      <c r="E248" s="476"/>
      <c r="F248" s="476"/>
      <c r="G248" s="476"/>
      <c r="H248" s="476"/>
      <c r="I248" s="476"/>
    </row>
    <row r="249" spans="2:9">
      <c r="B249" s="230"/>
      <c r="C249" s="230"/>
      <c r="D249" s="230"/>
      <c r="E249" s="230"/>
      <c r="F249" s="230"/>
      <c r="G249" s="230"/>
      <c r="H249" s="230"/>
      <c r="I249" s="230"/>
    </row>
  </sheetData>
  <mergeCells count="1">
    <mergeCell ref="G2:I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04957-EA1A-4187-A72E-346711E7FF8A}">
  <dimension ref="B2:J2094"/>
  <sheetViews>
    <sheetView showGridLines="0" workbookViewId="0"/>
  </sheetViews>
  <sheetFormatPr defaultRowHeight="11.25"/>
  <cols>
    <col min="1" max="1" width="1.6640625" customWidth="1"/>
    <col min="2" max="2" width="11" customWidth="1"/>
    <col min="3" max="3" width="24.5" customWidth="1"/>
    <col min="4" max="4" width="49" customWidth="1"/>
    <col min="5" max="5" width="15" customWidth="1"/>
    <col min="6" max="6" width="113.1640625" customWidth="1"/>
    <col min="7" max="7" width="26.1640625" customWidth="1"/>
    <col min="8" max="8" width="17.33203125" customWidth="1"/>
  </cols>
  <sheetData>
    <row r="2" spans="2:6">
      <c r="B2" s="141" t="s">
        <v>26213</v>
      </c>
      <c r="C2" s="142"/>
      <c r="D2" s="142"/>
      <c r="E2" s="142"/>
      <c r="F2" s="143"/>
    </row>
    <row r="3" spans="2:6">
      <c r="B3" s="144" t="s">
        <v>25898</v>
      </c>
      <c r="C3" s="145" t="s">
        <v>3</v>
      </c>
      <c r="D3" s="145" t="s">
        <v>249</v>
      </c>
      <c r="E3" s="146" t="s">
        <v>252</v>
      </c>
      <c r="F3" s="147" t="s">
        <v>25899</v>
      </c>
    </row>
    <row r="4" spans="2:6">
      <c r="B4" s="148">
        <v>45371</v>
      </c>
      <c r="C4" s="149" t="s">
        <v>13</v>
      </c>
      <c r="D4" s="149" t="s">
        <v>57</v>
      </c>
      <c r="E4" s="149">
        <v>150000</v>
      </c>
      <c r="F4" s="441">
        <v>0</v>
      </c>
    </row>
    <row r="5" spans="2:6">
      <c r="B5" s="151">
        <v>45383</v>
      </c>
      <c r="C5" s="152" t="s">
        <v>117</v>
      </c>
      <c r="D5" s="152" t="s">
        <v>57</v>
      </c>
      <c r="E5" s="152">
        <v>755406.23</v>
      </c>
      <c r="F5" s="161" t="s">
        <v>25900</v>
      </c>
    </row>
    <row r="6" spans="2:6">
      <c r="B6" s="151">
        <v>45356</v>
      </c>
      <c r="C6" s="152" t="s">
        <v>25901</v>
      </c>
      <c r="D6" s="152" t="s">
        <v>28</v>
      </c>
      <c r="E6" s="152">
        <v>2906636.06</v>
      </c>
      <c r="F6" s="161" t="s">
        <v>25902</v>
      </c>
    </row>
    <row r="7" spans="2:6">
      <c r="B7" s="151">
        <v>45356</v>
      </c>
      <c r="C7" s="152" t="s">
        <v>25901</v>
      </c>
      <c r="D7" s="152" t="s">
        <v>75</v>
      </c>
      <c r="E7" s="152">
        <v>297578</v>
      </c>
      <c r="F7" s="161" t="s">
        <v>25903</v>
      </c>
    </row>
    <row r="8" spans="2:6">
      <c r="B8" s="151">
        <v>45356</v>
      </c>
      <c r="C8" s="152" t="s">
        <v>25901</v>
      </c>
      <c r="D8" s="152" t="s">
        <v>75</v>
      </c>
      <c r="E8" s="152">
        <v>459002</v>
      </c>
      <c r="F8" s="161" t="s">
        <v>25904</v>
      </c>
    </row>
    <row r="9" spans="2:6">
      <c r="B9" s="151">
        <v>45356</v>
      </c>
      <c r="C9" s="152" t="s">
        <v>25901</v>
      </c>
      <c r="D9" s="152" t="s">
        <v>75</v>
      </c>
      <c r="E9" s="152">
        <v>459600</v>
      </c>
      <c r="F9" s="161" t="s">
        <v>25905</v>
      </c>
    </row>
    <row r="10" spans="2:6">
      <c r="B10" s="151">
        <v>45356</v>
      </c>
      <c r="C10" s="152" t="s">
        <v>25901</v>
      </c>
      <c r="D10" s="152" t="s">
        <v>75</v>
      </c>
      <c r="E10" s="152">
        <v>1477000.47</v>
      </c>
      <c r="F10" s="161" t="s">
        <v>25906</v>
      </c>
    </row>
    <row r="11" spans="2:6">
      <c r="B11" s="151">
        <v>45385</v>
      </c>
      <c r="C11" s="152" t="s">
        <v>25907</v>
      </c>
      <c r="D11" s="152" t="s">
        <v>22</v>
      </c>
      <c r="E11" s="6">
        <v>581550.82999999996</v>
      </c>
      <c r="F11" s="161" t="s">
        <v>25908</v>
      </c>
    </row>
    <row r="12" spans="2:6">
      <c r="B12" s="151">
        <v>45385</v>
      </c>
      <c r="C12" s="152" t="s">
        <v>25909</v>
      </c>
      <c r="D12" s="152" t="s">
        <v>22</v>
      </c>
      <c r="E12" s="6">
        <v>578449.47</v>
      </c>
      <c r="F12" s="161" t="s">
        <v>25908</v>
      </c>
    </row>
    <row r="13" spans="2:6">
      <c r="B13" s="151">
        <v>45385</v>
      </c>
      <c r="C13" s="162" t="s">
        <v>25910</v>
      </c>
      <c r="D13" s="152" t="s">
        <v>57</v>
      </c>
      <c r="E13" s="152">
        <v>89345.02</v>
      </c>
      <c r="F13" s="161" t="s">
        <v>25911</v>
      </c>
    </row>
    <row r="14" spans="2:6">
      <c r="B14" s="151">
        <v>45386</v>
      </c>
      <c r="C14" s="152" t="s">
        <v>25912</v>
      </c>
      <c r="D14" s="152" t="s">
        <v>57</v>
      </c>
      <c r="E14" s="152">
        <v>83261.88</v>
      </c>
      <c r="F14" s="161" t="s">
        <v>25913</v>
      </c>
    </row>
    <row r="15" spans="2:6">
      <c r="B15" s="151">
        <v>45390</v>
      </c>
      <c r="C15" s="152" t="s">
        <v>117</v>
      </c>
      <c r="D15" s="152" t="s">
        <v>61</v>
      </c>
      <c r="E15" s="152">
        <v>0</v>
      </c>
      <c r="F15" s="161" t="s">
        <v>25914</v>
      </c>
    </row>
    <row r="16" spans="2:6">
      <c r="B16" s="151">
        <v>45391</v>
      </c>
      <c r="C16" s="152" t="s">
        <v>18</v>
      </c>
      <c r="D16" s="152" t="s">
        <v>57</v>
      </c>
      <c r="E16" s="6">
        <v>164771.5</v>
      </c>
      <c r="F16" s="161" t="s">
        <v>25915</v>
      </c>
    </row>
    <row r="17" spans="2:6">
      <c r="B17" s="151">
        <v>45391</v>
      </c>
      <c r="C17" s="152" t="s">
        <v>66</v>
      </c>
      <c r="D17" s="152" t="s">
        <v>61</v>
      </c>
      <c r="E17" s="6">
        <v>100000</v>
      </c>
      <c r="F17" s="161" t="s">
        <v>25916</v>
      </c>
    </row>
    <row r="18" spans="2:6">
      <c r="B18" s="151">
        <v>45391</v>
      </c>
      <c r="C18" s="152" t="s">
        <v>148</v>
      </c>
      <c r="D18" s="152" t="s">
        <v>22</v>
      </c>
      <c r="E18" s="152">
        <v>33143043</v>
      </c>
      <c r="F18" s="161" t="s">
        <v>25917</v>
      </c>
    </row>
    <row r="19" spans="2:6">
      <c r="B19" s="151">
        <v>45391</v>
      </c>
      <c r="C19" s="152" t="s">
        <v>25918</v>
      </c>
      <c r="D19" s="152" t="s">
        <v>22</v>
      </c>
      <c r="E19" s="152">
        <v>0</v>
      </c>
      <c r="F19" s="161" t="s">
        <v>25919</v>
      </c>
    </row>
    <row r="20" spans="2:6">
      <c r="B20" s="151">
        <v>45394</v>
      </c>
      <c r="C20" s="152" t="s">
        <v>13</v>
      </c>
      <c r="D20" s="152" t="s">
        <v>22</v>
      </c>
      <c r="E20" s="6">
        <v>251404.62</v>
      </c>
      <c r="F20" s="161" t="s">
        <v>25920</v>
      </c>
    </row>
    <row r="21" spans="2:6">
      <c r="B21" s="151">
        <v>45394</v>
      </c>
      <c r="C21" s="152" t="s">
        <v>25921</v>
      </c>
      <c r="D21" s="152" t="s">
        <v>51</v>
      </c>
      <c r="E21" s="162">
        <v>5821.02</v>
      </c>
      <c r="F21" s="161" t="s">
        <v>25922</v>
      </c>
    </row>
    <row r="22" spans="2:6">
      <c r="B22" s="151">
        <v>45394</v>
      </c>
      <c r="C22" s="152" t="s">
        <v>148</v>
      </c>
      <c r="D22" s="152" t="s">
        <v>55</v>
      </c>
      <c r="E22" s="152">
        <v>0</v>
      </c>
      <c r="F22" s="161" t="s">
        <v>25923</v>
      </c>
    </row>
    <row r="23" spans="2:6">
      <c r="B23" s="151">
        <v>45394</v>
      </c>
      <c r="C23" s="152" t="s">
        <v>25924</v>
      </c>
      <c r="D23" s="152" t="s">
        <v>51</v>
      </c>
      <c r="E23" s="162">
        <v>5821.02</v>
      </c>
      <c r="F23" s="161" t="s">
        <v>25922</v>
      </c>
    </row>
    <row r="24" spans="2:6">
      <c r="B24" s="151">
        <v>45394</v>
      </c>
      <c r="C24" s="152" t="s">
        <v>25925</v>
      </c>
      <c r="D24" s="152" t="s">
        <v>51</v>
      </c>
      <c r="E24" s="162">
        <v>5821.02</v>
      </c>
      <c r="F24" s="161" t="s">
        <v>25922</v>
      </c>
    </row>
    <row r="25" spans="2:6">
      <c r="B25" s="151">
        <v>45394</v>
      </c>
      <c r="C25" s="152" t="s">
        <v>25926</v>
      </c>
      <c r="D25" s="152" t="s">
        <v>51</v>
      </c>
      <c r="E25" s="162">
        <v>5821.02</v>
      </c>
      <c r="F25" s="161" t="s">
        <v>25922</v>
      </c>
    </row>
    <row r="26" spans="2:6">
      <c r="B26" s="151">
        <v>45398</v>
      </c>
      <c r="C26" s="152" t="s">
        <v>13</v>
      </c>
      <c r="D26" s="152" t="s">
        <v>61</v>
      </c>
      <c r="E26" s="152">
        <v>30000</v>
      </c>
      <c r="F26" s="161" t="s">
        <v>25927</v>
      </c>
    </row>
    <row r="27" spans="2:6">
      <c r="B27" s="151">
        <v>45398</v>
      </c>
      <c r="C27" s="152" t="s">
        <v>88</v>
      </c>
      <c r="D27" s="152" t="s">
        <v>61</v>
      </c>
      <c r="E27" s="152">
        <v>21500</v>
      </c>
      <c r="F27" s="161" t="s">
        <v>25928</v>
      </c>
    </row>
    <row r="28" spans="2:6">
      <c r="B28" s="151">
        <v>45434</v>
      </c>
      <c r="C28" s="152" t="s">
        <v>103</v>
      </c>
      <c r="D28" s="152" t="s">
        <v>57</v>
      </c>
      <c r="E28" s="152">
        <v>94504.9</v>
      </c>
      <c r="F28" s="161">
        <v>0</v>
      </c>
    </row>
    <row r="29" spans="2:6">
      <c r="B29" s="151">
        <v>45434</v>
      </c>
      <c r="C29" s="152" t="s">
        <v>104</v>
      </c>
      <c r="D29" s="152" t="s">
        <v>57</v>
      </c>
      <c r="E29" s="152">
        <v>55921</v>
      </c>
      <c r="F29" s="161">
        <v>0</v>
      </c>
    </row>
    <row r="30" spans="2:6">
      <c r="B30" s="151">
        <v>45434</v>
      </c>
      <c r="C30" s="152" t="s">
        <v>107</v>
      </c>
      <c r="D30" s="152" t="s">
        <v>19</v>
      </c>
      <c r="E30" s="152">
        <v>42000</v>
      </c>
      <c r="F30" s="161" t="s">
        <v>25929</v>
      </c>
    </row>
    <row r="31" spans="2:6">
      <c r="B31" s="151">
        <v>45437</v>
      </c>
      <c r="C31" s="152" t="s">
        <v>13</v>
      </c>
      <c r="D31" s="152" t="s">
        <v>57</v>
      </c>
      <c r="E31" s="152">
        <v>188709</v>
      </c>
      <c r="F31" s="161" t="s">
        <v>25930</v>
      </c>
    </row>
    <row r="32" spans="2:6">
      <c r="B32" s="151">
        <v>45778</v>
      </c>
      <c r="C32" s="152" t="s">
        <v>84</v>
      </c>
      <c r="D32" s="152" t="s">
        <v>57</v>
      </c>
      <c r="E32" s="6">
        <v>22800</v>
      </c>
      <c r="F32" s="161" t="s">
        <v>25931</v>
      </c>
    </row>
    <row r="33" spans="2:6">
      <c r="B33" s="151">
        <v>45778</v>
      </c>
      <c r="C33" s="152" t="s">
        <v>86</v>
      </c>
      <c r="D33" s="152" t="s">
        <v>57</v>
      </c>
      <c r="E33" s="152">
        <v>227075.59</v>
      </c>
      <c r="F33" s="161" t="s">
        <v>25932</v>
      </c>
    </row>
    <row r="34" spans="2:6">
      <c r="B34" s="151">
        <v>45414</v>
      </c>
      <c r="C34" s="152" t="s">
        <v>104</v>
      </c>
      <c r="D34" s="152" t="s">
        <v>19</v>
      </c>
      <c r="E34" s="152">
        <v>154000</v>
      </c>
      <c r="F34" s="161" t="s">
        <v>25933</v>
      </c>
    </row>
    <row r="35" spans="2:6">
      <c r="B35" s="151">
        <v>45419</v>
      </c>
      <c r="C35" s="152" t="s">
        <v>122</v>
      </c>
      <c r="D35" s="152" t="s">
        <v>19</v>
      </c>
      <c r="E35" s="152">
        <v>15000</v>
      </c>
      <c r="F35" s="161" t="s">
        <v>25934</v>
      </c>
    </row>
    <row r="36" spans="2:6">
      <c r="B36" s="151">
        <v>45420</v>
      </c>
      <c r="C36" s="152" t="s">
        <v>25907</v>
      </c>
      <c r="D36" s="152" t="s">
        <v>75</v>
      </c>
      <c r="E36" s="152">
        <v>86616.4</v>
      </c>
      <c r="F36" s="161" t="s">
        <v>25935</v>
      </c>
    </row>
    <row r="37" spans="2:6">
      <c r="B37" s="151">
        <v>45420</v>
      </c>
      <c r="C37" s="152" t="s">
        <v>25909</v>
      </c>
      <c r="D37" s="152" t="s">
        <v>75</v>
      </c>
      <c r="E37" s="152">
        <v>90543.4</v>
      </c>
      <c r="F37" s="161" t="s">
        <v>25935</v>
      </c>
    </row>
    <row r="38" spans="2:6">
      <c r="B38" s="151">
        <v>45420</v>
      </c>
      <c r="C38" s="152" t="s">
        <v>24013</v>
      </c>
      <c r="D38" s="152" t="s">
        <v>28</v>
      </c>
      <c r="E38" s="152">
        <v>1059739.8500000001</v>
      </c>
      <c r="F38" s="161" t="s">
        <v>25936</v>
      </c>
    </row>
    <row r="39" spans="2:6">
      <c r="B39" s="151">
        <v>45420</v>
      </c>
      <c r="C39" s="152" t="s">
        <v>64</v>
      </c>
      <c r="D39" s="152" t="s">
        <v>57</v>
      </c>
      <c r="E39" s="152">
        <v>400000</v>
      </c>
      <c r="F39" s="161" t="s">
        <v>25937</v>
      </c>
    </row>
    <row r="40" spans="2:6">
      <c r="B40" s="151">
        <v>45432</v>
      </c>
      <c r="C40" s="152" t="s">
        <v>25912</v>
      </c>
      <c r="D40" s="152" t="s">
        <v>59</v>
      </c>
      <c r="E40" s="152">
        <v>297803.7</v>
      </c>
      <c r="F40" s="161" t="s">
        <v>25938</v>
      </c>
    </row>
    <row r="41" spans="2:6">
      <c r="B41" s="151">
        <v>45448</v>
      </c>
      <c r="C41" s="152" t="s">
        <v>88</v>
      </c>
      <c r="D41" s="152" t="s">
        <v>73</v>
      </c>
      <c r="E41" s="152">
        <v>302750</v>
      </c>
      <c r="F41" s="161" t="s">
        <v>25939</v>
      </c>
    </row>
    <row r="42" spans="2:6">
      <c r="B42" s="151">
        <v>45448</v>
      </c>
      <c r="C42" s="152" t="s">
        <v>25912</v>
      </c>
      <c r="D42" s="152" t="s">
        <v>22</v>
      </c>
      <c r="E42" s="152">
        <v>399552.97</v>
      </c>
      <c r="F42" s="161" t="s">
        <v>25940</v>
      </c>
    </row>
    <row r="43" spans="2:6">
      <c r="B43" s="151">
        <v>45448</v>
      </c>
      <c r="C43" s="152" t="s">
        <v>95</v>
      </c>
      <c r="D43" s="152" t="s">
        <v>22</v>
      </c>
      <c r="E43" s="152">
        <v>241568.23</v>
      </c>
      <c r="F43" s="161" t="s">
        <v>25941</v>
      </c>
    </row>
    <row r="44" spans="2:6">
      <c r="B44" s="151">
        <v>45448</v>
      </c>
      <c r="C44" s="152" t="s">
        <v>122</v>
      </c>
      <c r="D44" s="152" t="s">
        <v>77</v>
      </c>
      <c r="E44" s="152">
        <v>1111148.3999999999</v>
      </c>
      <c r="F44" s="161" t="s">
        <v>25942</v>
      </c>
    </row>
    <row r="45" spans="2:6">
      <c r="B45" s="151">
        <v>45448</v>
      </c>
      <c r="C45" s="152" t="s">
        <v>123</v>
      </c>
      <c r="D45" s="152" t="s">
        <v>77</v>
      </c>
      <c r="E45" s="152">
        <v>1404080.5</v>
      </c>
      <c r="F45" s="161" t="s">
        <v>25942</v>
      </c>
    </row>
    <row r="46" spans="2:6">
      <c r="B46" s="151">
        <v>45453</v>
      </c>
      <c r="C46" s="152" t="s">
        <v>110</v>
      </c>
      <c r="D46" s="152" t="s">
        <v>57</v>
      </c>
      <c r="E46" s="152">
        <v>21200</v>
      </c>
      <c r="F46" s="161" t="s">
        <v>25943</v>
      </c>
    </row>
    <row r="47" spans="2:6">
      <c r="B47" s="151">
        <v>45453</v>
      </c>
      <c r="C47" s="152" t="s">
        <v>103</v>
      </c>
      <c r="D47" s="152" t="s">
        <v>59</v>
      </c>
      <c r="E47" s="152">
        <v>79215</v>
      </c>
      <c r="F47" s="161" t="s">
        <v>25944</v>
      </c>
    </row>
    <row r="48" spans="2:6">
      <c r="B48" s="151">
        <v>45453</v>
      </c>
      <c r="C48" s="162" t="s">
        <v>25910</v>
      </c>
      <c r="D48" s="152" t="s">
        <v>59</v>
      </c>
      <c r="E48" s="152">
        <v>199988.82</v>
      </c>
      <c r="F48" s="161" t="s">
        <v>25944</v>
      </c>
    </row>
    <row r="49" spans="2:8">
      <c r="B49" s="151">
        <v>45453</v>
      </c>
      <c r="C49" s="152" t="s">
        <v>122</v>
      </c>
      <c r="D49" s="152" t="s">
        <v>59</v>
      </c>
      <c r="E49" s="152">
        <v>34520.639999999999</v>
      </c>
      <c r="F49" s="161" t="s">
        <v>25944</v>
      </c>
    </row>
    <row r="50" spans="2:8">
      <c r="B50" s="151">
        <v>45453</v>
      </c>
      <c r="C50" s="152" t="s">
        <v>107</v>
      </c>
      <c r="D50" s="152" t="s">
        <v>59</v>
      </c>
      <c r="E50" s="152">
        <v>50168.959999999999</v>
      </c>
      <c r="F50" s="161" t="s">
        <v>25944</v>
      </c>
    </row>
    <row r="51" spans="2:8">
      <c r="B51" s="151">
        <v>45453</v>
      </c>
      <c r="C51" s="152" t="s">
        <v>104</v>
      </c>
      <c r="D51" s="152" t="s">
        <v>59</v>
      </c>
      <c r="E51" s="152">
        <v>290585.06</v>
      </c>
      <c r="F51" s="161" t="s">
        <v>25944</v>
      </c>
    </row>
    <row r="52" spans="2:8">
      <c r="B52" s="151">
        <v>45493</v>
      </c>
      <c r="C52" s="152" t="s">
        <v>25945</v>
      </c>
      <c r="D52" s="152" t="s">
        <v>81</v>
      </c>
      <c r="E52" s="152" t="s">
        <v>25946</v>
      </c>
      <c r="F52" s="161" t="s">
        <v>25947</v>
      </c>
    </row>
    <row r="53" spans="2:8" s="440" customFormat="1">
      <c r="B53" s="437">
        <v>45533</v>
      </c>
      <c r="C53" s="438" t="s">
        <v>13</v>
      </c>
      <c r="D53" s="438" t="s">
        <v>7471</v>
      </c>
      <c r="E53" s="438">
        <v>65000</v>
      </c>
      <c r="F53" s="439" t="s">
        <v>25948</v>
      </c>
      <c r="G53" s="438" t="s">
        <v>65</v>
      </c>
      <c r="H53" s="438" t="s">
        <v>25949</v>
      </c>
    </row>
    <row r="54" spans="2:8" s="440" customFormat="1">
      <c r="B54" s="437">
        <v>45533</v>
      </c>
      <c r="C54" s="438" t="s">
        <v>13</v>
      </c>
      <c r="D54" s="438" t="s">
        <v>22</v>
      </c>
      <c r="E54" s="438">
        <v>10000</v>
      </c>
      <c r="F54" s="439" t="s">
        <v>25950</v>
      </c>
      <c r="G54" s="438" t="s">
        <v>65</v>
      </c>
      <c r="H54" s="438" t="s">
        <v>25949</v>
      </c>
    </row>
    <row r="55" spans="2:8" s="440" customFormat="1">
      <c r="B55" s="437">
        <v>45533</v>
      </c>
      <c r="C55" s="438" t="s">
        <v>13</v>
      </c>
      <c r="D55" s="438" t="s">
        <v>22</v>
      </c>
      <c r="E55" s="438">
        <v>10000</v>
      </c>
      <c r="F55" s="439" t="s">
        <v>25952</v>
      </c>
      <c r="G55" s="438" t="s">
        <v>65</v>
      </c>
      <c r="H55" s="438" t="s">
        <v>25949</v>
      </c>
    </row>
    <row r="56" spans="2:8" s="440" customFormat="1">
      <c r="B56" s="437">
        <v>45533</v>
      </c>
      <c r="C56" s="438" t="s">
        <v>13</v>
      </c>
      <c r="D56" s="438" t="s">
        <v>22</v>
      </c>
      <c r="E56" s="438">
        <v>94815</v>
      </c>
      <c r="F56" s="439" t="s">
        <v>25954</v>
      </c>
      <c r="G56" s="438" t="s">
        <v>65</v>
      </c>
      <c r="H56" s="438" t="s">
        <v>25949</v>
      </c>
    </row>
    <row r="57" spans="2:8" s="440" customFormat="1">
      <c r="B57" s="437">
        <v>45533</v>
      </c>
      <c r="C57" s="438" t="s">
        <v>18</v>
      </c>
      <c r="D57" s="438" t="s">
        <v>22</v>
      </c>
      <c r="E57" s="438">
        <v>12900</v>
      </c>
      <c r="F57" s="439" t="s">
        <v>25954</v>
      </c>
      <c r="G57" s="438" t="s">
        <v>65</v>
      </c>
      <c r="H57" s="438" t="s">
        <v>25949</v>
      </c>
    </row>
    <row r="58" spans="2:8" s="440" customFormat="1">
      <c r="B58" s="437">
        <v>45533</v>
      </c>
      <c r="C58" s="438" t="s">
        <v>18</v>
      </c>
      <c r="D58" s="438" t="s">
        <v>22</v>
      </c>
      <c r="E58" s="438">
        <v>20000</v>
      </c>
      <c r="F58" s="439" t="s">
        <v>25955</v>
      </c>
      <c r="G58" s="438" t="s">
        <v>65</v>
      </c>
      <c r="H58" s="438" t="s">
        <v>25949</v>
      </c>
    </row>
    <row r="59" spans="2:8" s="440" customFormat="1">
      <c r="B59" s="437">
        <v>45533</v>
      </c>
      <c r="C59" s="438" t="s">
        <v>18</v>
      </c>
      <c r="D59" s="438" t="s">
        <v>22</v>
      </c>
      <c r="E59" s="438">
        <v>10000</v>
      </c>
      <c r="F59" s="439" t="s">
        <v>25956</v>
      </c>
      <c r="G59" s="438" t="s">
        <v>65</v>
      </c>
      <c r="H59" s="438" t="s">
        <v>25949</v>
      </c>
    </row>
    <row r="60" spans="2:8" s="440" customFormat="1">
      <c r="B60" s="437">
        <v>45533</v>
      </c>
      <c r="C60" s="438" t="s">
        <v>18</v>
      </c>
      <c r="D60" s="438" t="s">
        <v>22</v>
      </c>
      <c r="E60" s="438">
        <v>10000</v>
      </c>
      <c r="F60" s="439" t="s">
        <v>25950</v>
      </c>
      <c r="G60" s="438" t="s">
        <v>65</v>
      </c>
      <c r="H60" s="438" t="s">
        <v>25949</v>
      </c>
    </row>
    <row r="61" spans="2:8" s="440" customFormat="1">
      <c r="B61" s="437">
        <v>45533</v>
      </c>
      <c r="C61" s="438" t="s">
        <v>18</v>
      </c>
      <c r="D61" s="438" t="s">
        <v>22</v>
      </c>
      <c r="E61" s="438">
        <v>10000</v>
      </c>
      <c r="F61" s="439" t="s">
        <v>25952</v>
      </c>
      <c r="G61" s="438" t="s">
        <v>65</v>
      </c>
      <c r="H61" s="438" t="s">
        <v>25949</v>
      </c>
    </row>
    <row r="62" spans="2:8" s="440" customFormat="1">
      <c r="B62" s="437">
        <v>45533</v>
      </c>
      <c r="C62" s="438" t="s">
        <v>64</v>
      </c>
      <c r="D62" s="438" t="s">
        <v>22</v>
      </c>
      <c r="E62" s="438">
        <v>12900</v>
      </c>
      <c r="F62" s="439" t="s">
        <v>25954</v>
      </c>
      <c r="G62" s="438" t="s">
        <v>65</v>
      </c>
      <c r="H62" s="438" t="s">
        <v>25949</v>
      </c>
    </row>
    <row r="63" spans="2:8" s="440" customFormat="1">
      <c r="B63" s="437">
        <v>45533</v>
      </c>
      <c r="C63" s="438" t="s">
        <v>64</v>
      </c>
      <c r="D63" s="438" t="s">
        <v>7471</v>
      </c>
      <c r="E63" s="442">
        <v>80000</v>
      </c>
      <c r="F63" s="439" t="s">
        <v>25957</v>
      </c>
      <c r="G63" s="438" t="s">
        <v>65</v>
      </c>
      <c r="H63" s="438" t="s">
        <v>25949</v>
      </c>
    </row>
    <row r="64" spans="2:8" s="440" customFormat="1">
      <c r="B64" s="437">
        <v>45533</v>
      </c>
      <c r="C64" s="438" t="s">
        <v>27</v>
      </c>
      <c r="D64" s="438" t="s">
        <v>22</v>
      </c>
      <c r="E64" s="438">
        <v>1200</v>
      </c>
      <c r="F64" s="439" t="s">
        <v>25958</v>
      </c>
      <c r="G64" s="438" t="s">
        <v>65</v>
      </c>
      <c r="H64" s="438" t="s">
        <v>25949</v>
      </c>
    </row>
    <row r="65" spans="2:10" s="440" customFormat="1">
      <c r="B65" s="437">
        <v>45533</v>
      </c>
      <c r="C65" s="438" t="s">
        <v>12569</v>
      </c>
      <c r="D65" s="438" t="s">
        <v>22</v>
      </c>
      <c r="E65" s="438">
        <v>63000</v>
      </c>
      <c r="F65" s="439" t="s">
        <v>25959</v>
      </c>
      <c r="G65" s="438" t="s">
        <v>65</v>
      </c>
      <c r="H65" s="438" t="s">
        <v>25949</v>
      </c>
    </row>
    <row r="66" spans="2:10" s="440" customFormat="1">
      <c r="B66" s="437">
        <v>45533</v>
      </c>
      <c r="C66" s="438" t="s">
        <v>12569</v>
      </c>
      <c r="D66" s="438" t="s">
        <v>22</v>
      </c>
      <c r="E66" s="438">
        <v>5000</v>
      </c>
      <c r="F66" s="439" t="s">
        <v>25961</v>
      </c>
      <c r="G66" s="438" t="s">
        <v>65</v>
      </c>
      <c r="H66" s="438" t="s">
        <v>25949</v>
      </c>
    </row>
    <row r="67" spans="2:10" s="440" customFormat="1">
      <c r="B67" s="437">
        <v>45533</v>
      </c>
      <c r="C67" s="438" t="s">
        <v>12569</v>
      </c>
      <c r="D67" s="438" t="s">
        <v>22</v>
      </c>
      <c r="E67" s="438">
        <v>5000</v>
      </c>
      <c r="F67" s="439" t="s">
        <v>25962</v>
      </c>
      <c r="G67" s="438" t="s">
        <v>65</v>
      </c>
      <c r="H67" s="438" t="s">
        <v>25949</v>
      </c>
    </row>
    <row r="68" spans="2:10" s="440" customFormat="1">
      <c r="B68" s="437">
        <v>45533</v>
      </c>
      <c r="C68" s="438" t="s">
        <v>12569</v>
      </c>
      <c r="D68" s="438" t="s">
        <v>22</v>
      </c>
      <c r="E68" s="438">
        <v>5000</v>
      </c>
      <c r="F68" s="439" t="s">
        <v>25963</v>
      </c>
      <c r="G68" s="438" t="s">
        <v>65</v>
      </c>
      <c r="H68" s="438" t="s">
        <v>25949</v>
      </c>
    </row>
    <row r="69" spans="2:10" s="440" customFormat="1">
      <c r="B69" s="437">
        <v>45533</v>
      </c>
      <c r="C69" s="438" t="s">
        <v>12569</v>
      </c>
      <c r="D69" s="438" t="s">
        <v>22</v>
      </c>
      <c r="E69" s="438">
        <v>10000</v>
      </c>
      <c r="F69" s="439" t="s">
        <v>25964</v>
      </c>
      <c r="G69" s="438" t="s">
        <v>65</v>
      </c>
      <c r="H69" s="438" t="s">
        <v>25949</v>
      </c>
    </row>
    <row r="70" spans="2:10" s="440" customFormat="1">
      <c r="B70" s="437">
        <v>45533</v>
      </c>
      <c r="C70" s="438" t="s">
        <v>12569</v>
      </c>
      <c r="D70" s="438" t="s">
        <v>44</v>
      </c>
      <c r="E70" s="438">
        <v>10000</v>
      </c>
      <c r="F70" s="439" t="s">
        <v>25965</v>
      </c>
      <c r="G70" s="438" t="s">
        <v>65</v>
      </c>
      <c r="H70" s="438" t="s">
        <v>25949</v>
      </c>
    </row>
    <row r="71" spans="2:10" s="440" customFormat="1">
      <c r="B71" s="437">
        <v>45533</v>
      </c>
      <c r="C71" s="438" t="s">
        <v>25966</v>
      </c>
      <c r="D71" s="438" t="s">
        <v>22</v>
      </c>
      <c r="E71" s="438">
        <v>2000</v>
      </c>
      <c r="F71" s="439" t="s">
        <v>25967</v>
      </c>
      <c r="G71" s="438" t="s">
        <v>65</v>
      </c>
      <c r="H71" s="438" t="s">
        <v>25949</v>
      </c>
    </row>
    <row r="72" spans="2:10" s="440" customFormat="1">
      <c r="B72" s="437">
        <v>45533</v>
      </c>
      <c r="C72" s="438" t="s">
        <v>25966</v>
      </c>
      <c r="D72" s="438" t="s">
        <v>57</v>
      </c>
      <c r="E72" s="438">
        <v>40000</v>
      </c>
      <c r="F72" s="439" t="s">
        <v>25968</v>
      </c>
      <c r="G72" s="438" t="s">
        <v>65</v>
      </c>
      <c r="H72" s="438" t="s">
        <v>25949</v>
      </c>
    </row>
    <row r="73" spans="2:10" s="440" customFormat="1">
      <c r="B73" s="437">
        <v>45533</v>
      </c>
      <c r="C73" s="438" t="s">
        <v>25969</v>
      </c>
      <c r="D73" s="438" t="s">
        <v>57</v>
      </c>
      <c r="E73" s="438">
        <v>151000</v>
      </c>
      <c r="F73" s="439" t="s">
        <v>25970</v>
      </c>
      <c r="G73" s="438" t="s">
        <v>65</v>
      </c>
      <c r="H73" s="438" t="s">
        <v>25949</v>
      </c>
    </row>
    <row r="74" spans="2:10" s="440" customFormat="1">
      <c r="B74" s="437">
        <v>45533</v>
      </c>
      <c r="C74" s="438" t="s">
        <v>25969</v>
      </c>
      <c r="D74" s="438" t="s">
        <v>22</v>
      </c>
      <c r="E74" s="438">
        <v>5000</v>
      </c>
      <c r="F74" s="439" t="s">
        <v>25961</v>
      </c>
      <c r="G74" s="438" t="s">
        <v>65</v>
      </c>
      <c r="H74" s="438" t="s">
        <v>25949</v>
      </c>
    </row>
    <row r="75" spans="2:10" s="440" customFormat="1">
      <c r="B75" s="437">
        <v>45533</v>
      </c>
      <c r="C75" s="438" t="s">
        <v>25969</v>
      </c>
      <c r="D75" s="438" t="s">
        <v>22</v>
      </c>
      <c r="E75" s="438">
        <v>15000</v>
      </c>
      <c r="F75" s="439" t="s">
        <v>25972</v>
      </c>
      <c r="G75" s="438" t="s">
        <v>65</v>
      </c>
      <c r="H75" s="438" t="s">
        <v>25949</v>
      </c>
    </row>
    <row r="76" spans="2:10" s="440" customFormat="1">
      <c r="B76" s="151">
        <v>45533</v>
      </c>
      <c r="C76" s="152" t="s">
        <v>25973</v>
      </c>
      <c r="D76" s="152" t="s">
        <v>57</v>
      </c>
      <c r="E76" s="152">
        <v>174920</v>
      </c>
      <c r="F76" s="161" t="s">
        <v>25970</v>
      </c>
      <c r="G76" s="152" t="s">
        <v>57</v>
      </c>
      <c r="H76" s="152" t="s">
        <v>25949</v>
      </c>
      <c r="I76" t="s">
        <v>25960</v>
      </c>
      <c r="J76"/>
    </row>
    <row r="77" spans="2:10" s="440" customFormat="1">
      <c r="B77" s="437">
        <v>45533</v>
      </c>
      <c r="C77" s="438" t="s">
        <v>25973</v>
      </c>
      <c r="D77" s="438" t="s">
        <v>22</v>
      </c>
      <c r="E77" s="438">
        <v>36500</v>
      </c>
      <c r="F77" s="439" t="s">
        <v>25974</v>
      </c>
      <c r="G77" s="438" t="s">
        <v>65</v>
      </c>
      <c r="H77" s="438" t="s">
        <v>25949</v>
      </c>
    </row>
    <row r="78" spans="2:10" s="440" customFormat="1">
      <c r="B78" s="437">
        <v>45533</v>
      </c>
      <c r="C78" s="438" t="s">
        <v>25973</v>
      </c>
      <c r="D78" s="438" t="s">
        <v>55</v>
      </c>
      <c r="E78" s="438">
        <v>12000</v>
      </c>
      <c r="F78" s="439" t="s">
        <v>25975</v>
      </c>
      <c r="G78" s="438" t="s">
        <v>65</v>
      </c>
      <c r="H78" s="438" t="s">
        <v>25949</v>
      </c>
    </row>
    <row r="79" spans="2:10" s="440" customFormat="1">
      <c r="B79" s="437">
        <v>45533</v>
      </c>
      <c r="C79" s="438" t="s">
        <v>25973</v>
      </c>
      <c r="D79" s="438" t="s">
        <v>22</v>
      </c>
      <c r="E79" s="438">
        <v>12000</v>
      </c>
      <c r="F79" s="439" t="s">
        <v>25961</v>
      </c>
      <c r="G79" s="438" t="s">
        <v>65</v>
      </c>
      <c r="H79" s="438" t="s">
        <v>25949</v>
      </c>
    </row>
    <row r="80" spans="2:10" s="440" customFormat="1">
      <c r="B80" s="437">
        <v>45533</v>
      </c>
      <c r="C80" s="438" t="s">
        <v>25973</v>
      </c>
      <c r="D80" s="438" t="s">
        <v>22</v>
      </c>
      <c r="E80" s="438">
        <v>5000</v>
      </c>
      <c r="F80" s="439" t="s">
        <v>25976</v>
      </c>
      <c r="G80" s="438" t="s">
        <v>65</v>
      </c>
      <c r="H80" s="438" t="s">
        <v>25949</v>
      </c>
    </row>
    <row r="81" spans="2:8" s="440" customFormat="1">
      <c r="B81" s="437">
        <v>45533</v>
      </c>
      <c r="C81" s="438" t="s">
        <v>25973</v>
      </c>
      <c r="D81" s="438" t="s">
        <v>22</v>
      </c>
      <c r="E81" s="438">
        <v>2000</v>
      </c>
      <c r="F81" s="439" t="s">
        <v>25977</v>
      </c>
      <c r="G81" s="438" t="s">
        <v>65</v>
      </c>
      <c r="H81" s="438" t="s">
        <v>25949</v>
      </c>
    </row>
    <row r="82" spans="2:8">
      <c r="B82" s="437">
        <v>45533</v>
      </c>
      <c r="C82" s="438" t="s">
        <v>25978</v>
      </c>
      <c r="D82" s="438" t="s">
        <v>22</v>
      </c>
      <c r="E82" s="438">
        <v>2000</v>
      </c>
      <c r="F82" s="439" t="s">
        <v>25979</v>
      </c>
      <c r="G82" s="438" t="s">
        <v>65</v>
      </c>
      <c r="H82" s="438" t="s">
        <v>25949</v>
      </c>
    </row>
    <row r="83" spans="2:8">
      <c r="B83" s="437">
        <v>45533</v>
      </c>
      <c r="C83" s="438" t="s">
        <v>25980</v>
      </c>
      <c r="D83" s="438" t="s">
        <v>55</v>
      </c>
      <c r="E83" s="438">
        <v>10000</v>
      </c>
      <c r="F83" s="439" t="s">
        <v>25967</v>
      </c>
      <c r="G83" s="438" t="s">
        <v>65</v>
      </c>
      <c r="H83" s="438" t="s">
        <v>25949</v>
      </c>
    </row>
    <row r="84" spans="2:8">
      <c r="B84" s="437">
        <v>45533</v>
      </c>
      <c r="C84" s="438" t="s">
        <v>25980</v>
      </c>
      <c r="D84" s="438" t="s">
        <v>22</v>
      </c>
      <c r="E84" s="438">
        <v>2000</v>
      </c>
      <c r="F84" s="439" t="s">
        <v>25979</v>
      </c>
      <c r="G84" s="438" t="s">
        <v>65</v>
      </c>
      <c r="H84" s="438" t="s">
        <v>25949</v>
      </c>
    </row>
    <row r="85" spans="2:8" s="440" customFormat="1">
      <c r="B85" s="437">
        <v>45533</v>
      </c>
      <c r="C85" s="438" t="s">
        <v>25981</v>
      </c>
      <c r="D85" s="438" t="s">
        <v>22</v>
      </c>
      <c r="E85" s="438">
        <v>5000</v>
      </c>
      <c r="F85" s="439" t="s">
        <v>25982</v>
      </c>
      <c r="G85" s="438" t="s">
        <v>65</v>
      </c>
      <c r="H85" s="438" t="s">
        <v>25949</v>
      </c>
    </row>
    <row r="86" spans="2:8" s="440" customFormat="1">
      <c r="B86" s="437">
        <v>45533</v>
      </c>
      <c r="C86" s="438" t="s">
        <v>25981</v>
      </c>
      <c r="D86" s="438" t="s">
        <v>22</v>
      </c>
      <c r="E86" s="438">
        <v>10000</v>
      </c>
      <c r="F86" s="439" t="s">
        <v>25964</v>
      </c>
      <c r="G86" s="438" t="s">
        <v>65</v>
      </c>
      <c r="H86" s="438" t="s">
        <v>25949</v>
      </c>
    </row>
    <row r="87" spans="2:8" s="440" customFormat="1">
      <c r="B87" s="437">
        <v>45533</v>
      </c>
      <c r="C87" s="438" t="s">
        <v>25983</v>
      </c>
      <c r="D87" s="438" t="s">
        <v>22</v>
      </c>
      <c r="E87" s="438">
        <v>5000</v>
      </c>
      <c r="F87" s="439" t="s">
        <v>25982</v>
      </c>
      <c r="G87" s="438" t="s">
        <v>65</v>
      </c>
      <c r="H87" s="438" t="s">
        <v>25949</v>
      </c>
    </row>
    <row r="88" spans="2:8" s="440" customFormat="1">
      <c r="B88" s="437">
        <v>45533</v>
      </c>
      <c r="C88" s="438" t="s">
        <v>25983</v>
      </c>
      <c r="D88" s="438" t="s">
        <v>22</v>
      </c>
      <c r="E88" s="438">
        <v>10000</v>
      </c>
      <c r="F88" s="439" t="s">
        <v>25984</v>
      </c>
      <c r="G88" s="438" t="s">
        <v>65</v>
      </c>
      <c r="H88" s="438" t="s">
        <v>25949</v>
      </c>
    </row>
    <row r="89" spans="2:8" s="440" customFormat="1">
      <c r="B89" s="437">
        <v>45533</v>
      </c>
      <c r="C89" s="438" t="s">
        <v>25983</v>
      </c>
      <c r="D89" s="438" t="s">
        <v>22</v>
      </c>
      <c r="E89" s="438">
        <v>10000</v>
      </c>
      <c r="F89" s="439" t="s">
        <v>25964</v>
      </c>
      <c r="G89" s="438" t="s">
        <v>65</v>
      </c>
      <c r="H89" s="438" t="s">
        <v>25949</v>
      </c>
    </row>
    <row r="90" spans="2:8" s="440" customFormat="1">
      <c r="B90" s="437">
        <v>45533</v>
      </c>
      <c r="C90" s="438" t="s">
        <v>25986</v>
      </c>
      <c r="D90" s="438" t="s">
        <v>57</v>
      </c>
      <c r="E90" s="438">
        <v>48000</v>
      </c>
      <c r="F90" s="439" t="s">
        <v>25987</v>
      </c>
      <c r="G90" s="438" t="s">
        <v>65</v>
      </c>
      <c r="H90" s="438" t="s">
        <v>25949</v>
      </c>
    </row>
    <row r="91" spans="2:8" s="440" customFormat="1">
      <c r="B91" s="437">
        <v>45533</v>
      </c>
      <c r="C91" s="438" t="s">
        <v>25986</v>
      </c>
      <c r="D91" s="438" t="s">
        <v>22</v>
      </c>
      <c r="E91" s="438">
        <v>35000</v>
      </c>
      <c r="F91" s="439" t="s">
        <v>25988</v>
      </c>
      <c r="G91" s="438" t="s">
        <v>65</v>
      </c>
      <c r="H91" s="438" t="s">
        <v>25949</v>
      </c>
    </row>
    <row r="92" spans="2:8" s="440" customFormat="1">
      <c r="B92" s="437">
        <v>45533</v>
      </c>
      <c r="C92" s="438" t="s">
        <v>25986</v>
      </c>
      <c r="D92" s="438" t="s">
        <v>22</v>
      </c>
      <c r="E92" s="438">
        <v>10000</v>
      </c>
      <c r="F92" s="439" t="s">
        <v>25989</v>
      </c>
      <c r="G92" s="438" t="s">
        <v>65</v>
      </c>
      <c r="H92" s="438" t="s">
        <v>25949</v>
      </c>
    </row>
    <row r="93" spans="2:8" s="440" customFormat="1">
      <c r="B93" s="437">
        <v>45533</v>
      </c>
      <c r="C93" s="438" t="s">
        <v>100</v>
      </c>
      <c r="D93" s="438" t="s">
        <v>7471</v>
      </c>
      <c r="E93" s="438">
        <v>30000</v>
      </c>
      <c r="F93" s="439" t="s">
        <v>25990</v>
      </c>
      <c r="G93" s="438" t="s">
        <v>65</v>
      </c>
      <c r="H93" s="438" t="s">
        <v>25949</v>
      </c>
    </row>
    <row r="94" spans="2:8" s="440" customFormat="1">
      <c r="B94" s="437">
        <v>45533</v>
      </c>
      <c r="C94" s="438" t="s">
        <v>100</v>
      </c>
      <c r="D94" s="438" t="s">
        <v>22</v>
      </c>
      <c r="E94" s="438">
        <v>10000</v>
      </c>
      <c r="F94" s="439" t="s">
        <v>25991</v>
      </c>
      <c r="G94" s="438" t="s">
        <v>65</v>
      </c>
      <c r="H94" s="438" t="s">
        <v>25949</v>
      </c>
    </row>
    <row r="95" spans="2:8" s="440" customFormat="1">
      <c r="B95" s="437">
        <v>45533</v>
      </c>
      <c r="C95" s="438" t="s">
        <v>100</v>
      </c>
      <c r="D95" s="438" t="s">
        <v>22</v>
      </c>
      <c r="E95" s="438">
        <v>5000</v>
      </c>
      <c r="F95" s="439" t="s">
        <v>25992</v>
      </c>
      <c r="G95" s="438" t="s">
        <v>65</v>
      </c>
      <c r="H95" s="438" t="s">
        <v>25949</v>
      </c>
    </row>
    <row r="96" spans="2:8" s="440" customFormat="1">
      <c r="B96" s="437">
        <v>45533</v>
      </c>
      <c r="C96" s="438" t="s">
        <v>100</v>
      </c>
      <c r="D96" s="438" t="s">
        <v>22</v>
      </c>
      <c r="E96" s="438">
        <v>30000</v>
      </c>
      <c r="F96" s="439" t="s">
        <v>25993</v>
      </c>
      <c r="G96" s="438" t="s">
        <v>65</v>
      </c>
      <c r="H96" s="438" t="s">
        <v>25949</v>
      </c>
    </row>
    <row r="97" spans="2:8">
      <c r="B97" s="437">
        <v>45533</v>
      </c>
      <c r="C97" s="438" t="s">
        <v>68</v>
      </c>
      <c r="D97" s="438" t="s">
        <v>7471</v>
      </c>
      <c r="E97" s="438">
        <v>40000</v>
      </c>
      <c r="F97" s="439" t="s">
        <v>25994</v>
      </c>
      <c r="G97" s="438" t="s">
        <v>65</v>
      </c>
      <c r="H97" s="438" t="s">
        <v>25949</v>
      </c>
    </row>
    <row r="98" spans="2:8" s="440" customFormat="1">
      <c r="B98" s="437">
        <v>45533</v>
      </c>
      <c r="C98" s="438" t="s">
        <v>70</v>
      </c>
      <c r="D98" s="438" t="s">
        <v>7471</v>
      </c>
      <c r="E98" s="438">
        <v>63500</v>
      </c>
      <c r="F98" s="439" t="s">
        <v>26204</v>
      </c>
      <c r="G98" s="438" t="s">
        <v>65</v>
      </c>
      <c r="H98" s="438" t="s">
        <v>25949</v>
      </c>
    </row>
    <row r="99" spans="2:8" s="440" customFormat="1">
      <c r="B99" s="437">
        <v>45533</v>
      </c>
      <c r="C99" s="438" t="s">
        <v>70</v>
      </c>
      <c r="D99" s="438" t="s">
        <v>7471</v>
      </c>
      <c r="E99" s="438">
        <v>25000</v>
      </c>
      <c r="F99" s="439" t="s">
        <v>25996</v>
      </c>
      <c r="G99" s="438" t="s">
        <v>65</v>
      </c>
      <c r="H99" s="438" t="s">
        <v>25949</v>
      </c>
    </row>
    <row r="100" spans="2:8" s="440" customFormat="1">
      <c r="B100" s="437">
        <v>45533</v>
      </c>
      <c r="C100" s="438" t="s">
        <v>70</v>
      </c>
      <c r="D100" s="438" t="s">
        <v>22</v>
      </c>
      <c r="E100" s="438">
        <v>10000</v>
      </c>
      <c r="F100" s="439" t="s">
        <v>25997</v>
      </c>
      <c r="G100" s="438" t="s">
        <v>65</v>
      </c>
      <c r="H100" s="438" t="s">
        <v>25949</v>
      </c>
    </row>
    <row r="101" spans="2:8">
      <c r="B101" s="437">
        <v>45533</v>
      </c>
      <c r="C101" s="438" t="s">
        <v>72</v>
      </c>
      <c r="D101" s="438" t="s">
        <v>55</v>
      </c>
      <c r="E101" s="438">
        <v>5000</v>
      </c>
      <c r="F101" s="439" t="s">
        <v>25998</v>
      </c>
      <c r="G101" s="438" t="s">
        <v>65</v>
      </c>
      <c r="H101" s="438" t="s">
        <v>25949</v>
      </c>
    </row>
    <row r="102" spans="2:8" s="440" customFormat="1">
      <c r="B102" s="437">
        <v>45533</v>
      </c>
      <c r="C102" s="438" t="s">
        <v>110</v>
      </c>
      <c r="D102" s="438" t="s">
        <v>22</v>
      </c>
      <c r="E102" s="438">
        <v>10000</v>
      </c>
      <c r="F102" s="439" t="s">
        <v>25997</v>
      </c>
      <c r="G102" s="438" t="s">
        <v>65</v>
      </c>
      <c r="H102" s="438" t="s">
        <v>25949</v>
      </c>
    </row>
    <row r="103" spans="2:8" s="440" customFormat="1">
      <c r="B103" s="437">
        <v>45533</v>
      </c>
      <c r="C103" s="438" t="s">
        <v>110</v>
      </c>
      <c r="D103" s="438" t="s">
        <v>22</v>
      </c>
      <c r="E103" s="438">
        <v>10000</v>
      </c>
      <c r="F103" s="439" t="s">
        <v>25999</v>
      </c>
      <c r="G103" s="438" t="s">
        <v>65</v>
      </c>
      <c r="H103" s="438" t="s">
        <v>25949</v>
      </c>
    </row>
    <row r="104" spans="2:8" s="440" customFormat="1">
      <c r="B104" s="437">
        <v>45533</v>
      </c>
      <c r="C104" s="438" t="s">
        <v>110</v>
      </c>
      <c r="D104" s="438" t="s">
        <v>44</v>
      </c>
      <c r="E104" s="438">
        <v>400000</v>
      </c>
      <c r="F104" s="439" t="s">
        <v>26205</v>
      </c>
      <c r="G104" s="438" t="s">
        <v>65</v>
      </c>
      <c r="H104" s="438" t="s">
        <v>25949</v>
      </c>
    </row>
    <row r="105" spans="2:8" s="440" customFormat="1">
      <c r="B105" s="437">
        <v>45533</v>
      </c>
      <c r="C105" s="438" t="s">
        <v>110</v>
      </c>
      <c r="D105" s="438" t="s">
        <v>22</v>
      </c>
      <c r="E105" s="438">
        <v>10000</v>
      </c>
      <c r="F105" s="439" t="s">
        <v>26001</v>
      </c>
      <c r="G105" s="438" t="s">
        <v>65</v>
      </c>
      <c r="H105" s="438" t="s">
        <v>25949</v>
      </c>
    </row>
    <row r="106" spans="2:8" s="440" customFormat="1">
      <c r="B106" s="437">
        <v>45533</v>
      </c>
      <c r="C106" s="438" t="s">
        <v>110</v>
      </c>
      <c r="D106" s="438" t="s">
        <v>22</v>
      </c>
      <c r="E106" s="438">
        <v>10000</v>
      </c>
      <c r="F106" s="439" t="s">
        <v>26002</v>
      </c>
      <c r="G106" s="438" t="s">
        <v>65</v>
      </c>
      <c r="H106" s="438" t="s">
        <v>25949</v>
      </c>
    </row>
    <row r="107" spans="2:8">
      <c r="B107" s="437">
        <v>45533</v>
      </c>
      <c r="C107" s="438" t="s">
        <v>84</v>
      </c>
      <c r="D107" s="438" t="s">
        <v>22</v>
      </c>
      <c r="E107" s="438">
        <v>10000</v>
      </c>
      <c r="F107" s="439" t="s">
        <v>25997</v>
      </c>
      <c r="G107" s="438" t="s">
        <v>65</v>
      </c>
      <c r="H107" s="438" t="s">
        <v>25949</v>
      </c>
    </row>
    <row r="108" spans="2:8">
      <c r="B108" s="437">
        <v>45533</v>
      </c>
      <c r="C108" s="438" t="s">
        <v>111</v>
      </c>
      <c r="D108" s="438" t="s">
        <v>22</v>
      </c>
      <c r="E108" s="438">
        <v>25000</v>
      </c>
      <c r="F108" s="439" t="s">
        <v>26003</v>
      </c>
      <c r="G108" s="438" t="s">
        <v>65</v>
      </c>
      <c r="H108" s="438" t="s">
        <v>25949</v>
      </c>
    </row>
    <row r="109" spans="2:8">
      <c r="B109" s="437">
        <v>45533</v>
      </c>
      <c r="C109" s="438" t="s">
        <v>111</v>
      </c>
      <c r="D109" s="438" t="s">
        <v>22</v>
      </c>
      <c r="E109" s="438">
        <v>10000</v>
      </c>
      <c r="F109" s="439" t="s">
        <v>25997</v>
      </c>
      <c r="G109" s="438" t="s">
        <v>65</v>
      </c>
      <c r="H109" s="438" t="s">
        <v>25949</v>
      </c>
    </row>
    <row r="110" spans="2:8" s="440" customFormat="1">
      <c r="B110" s="437">
        <v>45533</v>
      </c>
      <c r="C110" s="438" t="s">
        <v>26004</v>
      </c>
      <c r="D110" s="438" t="s">
        <v>22</v>
      </c>
      <c r="E110" s="438">
        <v>5000</v>
      </c>
      <c r="F110" s="439" t="s">
        <v>26005</v>
      </c>
      <c r="G110" s="438" t="s">
        <v>65</v>
      </c>
      <c r="H110" s="438" t="s">
        <v>25949</v>
      </c>
    </row>
    <row r="111" spans="2:8" s="440" customFormat="1">
      <c r="B111" s="437">
        <v>45533</v>
      </c>
      <c r="C111" s="438" t="s">
        <v>26004</v>
      </c>
      <c r="D111" s="438" t="s">
        <v>22</v>
      </c>
      <c r="E111" s="438">
        <v>5000</v>
      </c>
      <c r="F111" s="439" t="s">
        <v>26006</v>
      </c>
      <c r="G111" s="438" t="s">
        <v>65</v>
      </c>
      <c r="H111" s="438" t="s">
        <v>25949</v>
      </c>
    </row>
    <row r="112" spans="2:8" s="440" customFormat="1">
      <c r="B112" s="437">
        <v>45533</v>
      </c>
      <c r="C112" s="438" t="s">
        <v>26004</v>
      </c>
      <c r="D112" s="438" t="s">
        <v>7471</v>
      </c>
      <c r="E112" s="438">
        <v>15000</v>
      </c>
      <c r="F112" s="439" t="s">
        <v>26007</v>
      </c>
      <c r="G112" s="438" t="s">
        <v>65</v>
      </c>
      <c r="H112" s="438" t="s">
        <v>25949</v>
      </c>
    </row>
    <row r="113" spans="2:8" s="440" customFormat="1">
      <c r="B113" s="437">
        <v>45533</v>
      </c>
      <c r="C113" s="438" t="s">
        <v>26008</v>
      </c>
      <c r="D113" s="438" t="s">
        <v>22</v>
      </c>
      <c r="E113" s="438">
        <v>5000</v>
      </c>
      <c r="F113" s="439" t="s">
        <v>26009</v>
      </c>
      <c r="G113" s="438" t="s">
        <v>65</v>
      </c>
      <c r="H113" s="438" t="s">
        <v>25949</v>
      </c>
    </row>
    <row r="114" spans="2:8" s="440" customFormat="1">
      <c r="B114" s="437">
        <v>45533</v>
      </c>
      <c r="C114" s="438" t="s">
        <v>26008</v>
      </c>
      <c r="D114" s="438" t="s">
        <v>22</v>
      </c>
      <c r="E114" s="438">
        <v>15000</v>
      </c>
      <c r="F114" s="439" t="s">
        <v>26007</v>
      </c>
      <c r="G114" s="438" t="s">
        <v>65</v>
      </c>
      <c r="H114" s="438" t="s">
        <v>25949</v>
      </c>
    </row>
    <row r="115" spans="2:8" s="440" customFormat="1">
      <c r="B115" s="437">
        <v>45533</v>
      </c>
      <c r="C115" s="438" t="s">
        <v>26010</v>
      </c>
      <c r="D115" s="438" t="s">
        <v>53</v>
      </c>
      <c r="E115" s="438">
        <v>10000</v>
      </c>
      <c r="F115" s="439" t="s">
        <v>26011</v>
      </c>
      <c r="G115" s="438" t="s">
        <v>65</v>
      </c>
      <c r="H115" s="438" t="s">
        <v>25949</v>
      </c>
    </row>
    <row r="116" spans="2:8" s="440" customFormat="1">
      <c r="B116" s="437">
        <v>45533</v>
      </c>
      <c r="C116" s="438" t="s">
        <v>26010</v>
      </c>
      <c r="D116" s="438" t="s">
        <v>22</v>
      </c>
      <c r="E116" s="438">
        <v>10000</v>
      </c>
      <c r="F116" s="439" t="s">
        <v>26012</v>
      </c>
      <c r="G116" s="438" t="s">
        <v>65</v>
      </c>
      <c r="H116" s="438" t="s">
        <v>25949</v>
      </c>
    </row>
    <row r="117" spans="2:8" s="440" customFormat="1">
      <c r="B117" s="437">
        <v>45533</v>
      </c>
      <c r="C117" s="438" t="s">
        <v>26010</v>
      </c>
      <c r="D117" s="438" t="s">
        <v>22</v>
      </c>
      <c r="E117" s="438">
        <v>31000</v>
      </c>
      <c r="F117" s="439" t="s">
        <v>26013</v>
      </c>
      <c r="G117" s="438" t="s">
        <v>65</v>
      </c>
      <c r="H117" s="438" t="s">
        <v>25949</v>
      </c>
    </row>
    <row r="118" spans="2:8" s="440" customFormat="1">
      <c r="B118" s="437">
        <v>45533</v>
      </c>
      <c r="C118" s="438" t="s">
        <v>26010</v>
      </c>
      <c r="D118" s="438" t="s">
        <v>7471</v>
      </c>
      <c r="E118" s="438">
        <v>15000</v>
      </c>
      <c r="F118" s="439" t="s">
        <v>26007</v>
      </c>
      <c r="G118" s="438" t="s">
        <v>65</v>
      </c>
      <c r="H118" s="438" t="s">
        <v>25949</v>
      </c>
    </row>
    <row r="119" spans="2:8" s="440" customFormat="1">
      <c r="B119" s="437">
        <v>45533</v>
      </c>
      <c r="C119" s="438" t="s">
        <v>26010</v>
      </c>
      <c r="D119" s="438" t="s">
        <v>22</v>
      </c>
      <c r="E119" s="438">
        <v>5000</v>
      </c>
      <c r="F119" s="439" t="s">
        <v>26014</v>
      </c>
      <c r="G119" s="438" t="s">
        <v>65</v>
      </c>
      <c r="H119" s="438" t="s">
        <v>25949</v>
      </c>
    </row>
    <row r="120" spans="2:8" s="440" customFormat="1">
      <c r="B120" s="437">
        <v>45533</v>
      </c>
      <c r="C120" s="438" t="s">
        <v>26010</v>
      </c>
      <c r="D120" s="438" t="s">
        <v>22</v>
      </c>
      <c r="E120" s="438">
        <v>10000</v>
      </c>
      <c r="F120" s="439" t="s">
        <v>26015</v>
      </c>
      <c r="G120" s="438" t="s">
        <v>65</v>
      </c>
      <c r="H120" s="438" t="s">
        <v>25949</v>
      </c>
    </row>
    <row r="121" spans="2:8" s="440" customFormat="1">
      <c r="B121" s="437">
        <v>45533</v>
      </c>
      <c r="C121" s="438" t="s">
        <v>26010</v>
      </c>
      <c r="D121" s="438" t="s">
        <v>22</v>
      </c>
      <c r="E121" s="438">
        <v>3000</v>
      </c>
      <c r="F121" s="439" t="s">
        <v>26016</v>
      </c>
      <c r="G121" s="438" t="s">
        <v>65</v>
      </c>
      <c r="H121" s="438" t="s">
        <v>25949</v>
      </c>
    </row>
    <row r="122" spans="2:8" s="440" customFormat="1">
      <c r="B122" s="437">
        <v>45533</v>
      </c>
      <c r="C122" s="438" t="s">
        <v>26010</v>
      </c>
      <c r="D122" s="438" t="s">
        <v>22</v>
      </c>
      <c r="E122" s="438">
        <v>20000</v>
      </c>
      <c r="F122" s="439" t="s">
        <v>26017</v>
      </c>
      <c r="G122" s="438" t="s">
        <v>65</v>
      </c>
      <c r="H122" s="438" t="s">
        <v>25949</v>
      </c>
    </row>
    <row r="123" spans="2:8">
      <c r="B123" s="437">
        <v>45533</v>
      </c>
      <c r="C123" s="438" t="s">
        <v>66</v>
      </c>
      <c r="D123" s="438" t="s">
        <v>22</v>
      </c>
      <c r="E123" s="438">
        <v>10000</v>
      </c>
      <c r="F123" s="439" t="s">
        <v>25997</v>
      </c>
      <c r="G123" s="438" t="s">
        <v>65</v>
      </c>
      <c r="H123" s="438" t="s">
        <v>25949</v>
      </c>
    </row>
    <row r="124" spans="2:8">
      <c r="B124" s="437">
        <v>45533</v>
      </c>
      <c r="C124" s="438" t="s">
        <v>66</v>
      </c>
      <c r="D124" s="438" t="s">
        <v>22</v>
      </c>
      <c r="E124" s="438">
        <v>5000</v>
      </c>
      <c r="F124" s="439" t="s">
        <v>26018</v>
      </c>
      <c r="G124" s="438" t="s">
        <v>65</v>
      </c>
      <c r="H124" s="438" t="s">
        <v>25949</v>
      </c>
    </row>
    <row r="125" spans="2:8">
      <c r="B125" s="437">
        <v>45533</v>
      </c>
      <c r="C125" s="438" t="s">
        <v>114</v>
      </c>
      <c r="D125" s="438" t="s">
        <v>22</v>
      </c>
      <c r="E125" s="438">
        <v>5000</v>
      </c>
      <c r="F125" s="439" t="s">
        <v>26018</v>
      </c>
      <c r="G125" s="438" t="s">
        <v>65</v>
      </c>
      <c r="H125" s="438" t="s">
        <v>25949</v>
      </c>
    </row>
    <row r="126" spans="2:8">
      <c r="B126" s="437">
        <v>45533</v>
      </c>
      <c r="C126" s="438" t="s">
        <v>116</v>
      </c>
      <c r="D126" s="438" t="s">
        <v>22</v>
      </c>
      <c r="E126" s="438">
        <v>5000</v>
      </c>
      <c r="F126" s="439" t="s">
        <v>26018</v>
      </c>
      <c r="G126" s="438" t="s">
        <v>65</v>
      </c>
      <c r="H126" s="438" t="s">
        <v>25949</v>
      </c>
    </row>
    <row r="127" spans="2:8">
      <c r="B127" s="437">
        <v>45533</v>
      </c>
      <c r="C127" s="438" t="s">
        <v>117</v>
      </c>
      <c r="D127" s="438" t="s">
        <v>22</v>
      </c>
      <c r="E127" s="438">
        <v>5000</v>
      </c>
      <c r="F127" s="439" t="s">
        <v>25997</v>
      </c>
      <c r="G127" s="438" t="s">
        <v>65</v>
      </c>
      <c r="H127" s="438" t="s">
        <v>25949</v>
      </c>
    </row>
    <row r="128" spans="2:8">
      <c r="B128" s="437">
        <v>45533</v>
      </c>
      <c r="C128" s="438" t="s">
        <v>117</v>
      </c>
      <c r="D128" s="438" t="s">
        <v>22</v>
      </c>
      <c r="E128" s="438">
        <v>5000</v>
      </c>
      <c r="F128" s="439" t="s">
        <v>26018</v>
      </c>
      <c r="G128" s="438" t="s">
        <v>65</v>
      </c>
      <c r="H128" s="438" t="s">
        <v>25949</v>
      </c>
    </row>
    <row r="129" spans="2:8">
      <c r="B129" s="437">
        <v>45533</v>
      </c>
      <c r="C129" s="438" t="s">
        <v>118</v>
      </c>
      <c r="D129" s="438" t="s">
        <v>22</v>
      </c>
      <c r="E129" s="438">
        <v>5000</v>
      </c>
      <c r="F129" s="439" t="s">
        <v>26018</v>
      </c>
      <c r="G129" s="438" t="s">
        <v>65</v>
      </c>
      <c r="H129" s="438" t="s">
        <v>25949</v>
      </c>
    </row>
    <row r="130" spans="2:8">
      <c r="B130" s="437">
        <v>45533</v>
      </c>
      <c r="C130" s="438" t="s">
        <v>86</v>
      </c>
      <c r="D130" s="438" t="s">
        <v>22</v>
      </c>
      <c r="E130" s="438">
        <v>5000</v>
      </c>
      <c r="F130" s="439" t="s">
        <v>25997</v>
      </c>
      <c r="G130" s="438" t="s">
        <v>65</v>
      </c>
      <c r="H130" s="438" t="s">
        <v>25949</v>
      </c>
    </row>
    <row r="131" spans="2:8">
      <c r="B131" s="437">
        <v>45533</v>
      </c>
      <c r="C131" s="438" t="s">
        <v>86</v>
      </c>
      <c r="D131" s="438" t="s">
        <v>22</v>
      </c>
      <c r="E131" s="438">
        <v>5000</v>
      </c>
      <c r="F131" s="439" t="s">
        <v>26019</v>
      </c>
      <c r="G131" s="438" t="s">
        <v>65</v>
      </c>
      <c r="H131" s="438" t="s">
        <v>25949</v>
      </c>
    </row>
    <row r="132" spans="2:8">
      <c r="B132" s="437">
        <v>45533</v>
      </c>
      <c r="C132" s="438" t="s">
        <v>119</v>
      </c>
      <c r="D132" s="438" t="s">
        <v>7471</v>
      </c>
      <c r="E132" s="438">
        <v>1126034.1499999999</v>
      </c>
      <c r="F132" s="439" t="s">
        <v>26020</v>
      </c>
      <c r="G132" s="438" t="s">
        <v>65</v>
      </c>
      <c r="H132" s="438" t="s">
        <v>25949</v>
      </c>
    </row>
    <row r="133" spans="2:8">
      <c r="B133" s="437">
        <v>45533</v>
      </c>
      <c r="C133" s="438" t="s">
        <v>119</v>
      </c>
      <c r="D133" s="438" t="s">
        <v>55</v>
      </c>
      <c r="E133" s="438">
        <v>10000</v>
      </c>
      <c r="F133" s="439" t="s">
        <v>26022</v>
      </c>
      <c r="G133" s="438" t="s">
        <v>65</v>
      </c>
      <c r="H133" s="438" t="s">
        <v>25949</v>
      </c>
    </row>
    <row r="134" spans="2:8">
      <c r="B134" s="437">
        <v>45533</v>
      </c>
      <c r="C134" s="438" t="s">
        <v>120</v>
      </c>
      <c r="D134" s="438" t="s">
        <v>7471</v>
      </c>
      <c r="E134" s="438">
        <v>832038.75</v>
      </c>
      <c r="F134" s="439" t="s">
        <v>26024</v>
      </c>
      <c r="G134" s="438" t="s">
        <v>65</v>
      </c>
      <c r="H134" s="438" t="s">
        <v>25949</v>
      </c>
    </row>
    <row r="135" spans="2:8">
      <c r="B135" s="437">
        <v>45533</v>
      </c>
      <c r="C135" s="438" t="s">
        <v>120</v>
      </c>
      <c r="D135" s="438" t="s">
        <v>55</v>
      </c>
      <c r="E135" s="438">
        <v>10000</v>
      </c>
      <c r="F135" s="439" t="s">
        <v>26022</v>
      </c>
      <c r="G135" s="438" t="s">
        <v>65</v>
      </c>
      <c r="H135" s="438" t="s">
        <v>25949</v>
      </c>
    </row>
    <row r="136" spans="2:8">
      <c r="B136" s="437">
        <v>45533</v>
      </c>
      <c r="C136" s="438" t="s">
        <v>121</v>
      </c>
      <c r="D136" s="438" t="s">
        <v>55</v>
      </c>
      <c r="E136" s="438">
        <v>10000</v>
      </c>
      <c r="F136" s="439" t="s">
        <v>26025</v>
      </c>
      <c r="G136" s="438" t="s">
        <v>65</v>
      </c>
      <c r="H136" s="438" t="s">
        <v>25949</v>
      </c>
    </row>
    <row r="137" spans="2:8">
      <c r="B137" s="437">
        <v>45533</v>
      </c>
      <c r="C137" s="438" t="s">
        <v>121</v>
      </c>
      <c r="D137" s="438" t="s">
        <v>22</v>
      </c>
      <c r="E137" s="438">
        <v>15000</v>
      </c>
      <c r="F137" s="439" t="s">
        <v>26026</v>
      </c>
      <c r="G137" s="438" t="s">
        <v>65</v>
      </c>
      <c r="H137" s="438" t="s">
        <v>25949</v>
      </c>
    </row>
    <row r="138" spans="2:8">
      <c r="B138" s="437">
        <v>45533</v>
      </c>
      <c r="C138" s="438" t="s">
        <v>103</v>
      </c>
      <c r="D138" s="438" t="s">
        <v>55</v>
      </c>
      <c r="E138" s="438">
        <v>10000</v>
      </c>
      <c r="F138" s="439" t="s">
        <v>26022</v>
      </c>
      <c r="G138" s="438" t="s">
        <v>65</v>
      </c>
      <c r="H138" s="438" t="s">
        <v>25949</v>
      </c>
    </row>
    <row r="139" spans="2:8">
      <c r="B139" s="437">
        <v>45533</v>
      </c>
      <c r="C139" s="438" t="s">
        <v>103</v>
      </c>
      <c r="D139" s="438" t="s">
        <v>26027</v>
      </c>
      <c r="E139" s="438">
        <v>1500</v>
      </c>
      <c r="F139" s="439" t="s">
        <v>26028</v>
      </c>
      <c r="G139" s="438" t="s">
        <v>65</v>
      </c>
      <c r="H139" s="438" t="s">
        <v>25949</v>
      </c>
    </row>
    <row r="140" spans="2:8">
      <c r="B140" s="437">
        <v>45533</v>
      </c>
      <c r="C140" s="438" t="s">
        <v>103</v>
      </c>
      <c r="D140" s="438" t="s">
        <v>26027</v>
      </c>
      <c r="E140" s="438">
        <v>1500</v>
      </c>
      <c r="F140" s="439" t="s">
        <v>26029</v>
      </c>
      <c r="G140" s="438" t="s">
        <v>65</v>
      </c>
      <c r="H140" s="438" t="s">
        <v>25949</v>
      </c>
    </row>
    <row r="141" spans="2:8">
      <c r="B141" s="437">
        <v>45533</v>
      </c>
      <c r="C141" s="438" t="s">
        <v>103</v>
      </c>
      <c r="D141" s="438" t="s">
        <v>26027</v>
      </c>
      <c r="E141" s="438">
        <v>6000</v>
      </c>
      <c r="F141" s="439" t="s">
        <v>26030</v>
      </c>
      <c r="G141" s="438" t="s">
        <v>65</v>
      </c>
      <c r="H141" s="438" t="s">
        <v>25949</v>
      </c>
    </row>
    <row r="142" spans="2:8">
      <c r="B142" s="437">
        <v>45533</v>
      </c>
      <c r="C142" s="438" t="s">
        <v>103</v>
      </c>
      <c r="D142" s="438" t="s">
        <v>71</v>
      </c>
      <c r="E142" s="438">
        <v>44000</v>
      </c>
      <c r="F142" s="439" t="s">
        <v>26031</v>
      </c>
      <c r="G142" s="438" t="s">
        <v>65</v>
      </c>
      <c r="H142" s="438" t="s">
        <v>25949</v>
      </c>
    </row>
    <row r="143" spans="2:8">
      <c r="B143" s="437">
        <v>45533</v>
      </c>
      <c r="C143" s="438" t="s">
        <v>103</v>
      </c>
      <c r="D143" s="438" t="s">
        <v>26027</v>
      </c>
      <c r="E143" s="438">
        <v>500</v>
      </c>
      <c r="F143" s="439" t="s">
        <v>26032</v>
      </c>
      <c r="G143" s="438" t="s">
        <v>65</v>
      </c>
      <c r="H143" s="438" t="s">
        <v>25949</v>
      </c>
    </row>
    <row r="144" spans="2:8">
      <c r="B144" s="437">
        <v>45533</v>
      </c>
      <c r="C144" s="438" t="s">
        <v>104</v>
      </c>
      <c r="D144" s="438" t="s">
        <v>22</v>
      </c>
      <c r="E144" s="438">
        <v>20000</v>
      </c>
      <c r="F144" s="439" t="s">
        <v>26033</v>
      </c>
      <c r="G144" s="438" t="s">
        <v>65</v>
      </c>
      <c r="H144" s="438" t="s">
        <v>25949</v>
      </c>
    </row>
    <row r="145" spans="2:8">
      <c r="B145" s="437">
        <v>45533</v>
      </c>
      <c r="C145" s="438" t="s">
        <v>104</v>
      </c>
      <c r="D145" s="438" t="s">
        <v>55</v>
      </c>
      <c r="E145" s="438">
        <v>10000</v>
      </c>
      <c r="F145" s="439" t="s">
        <v>26022</v>
      </c>
      <c r="G145" s="438" t="s">
        <v>65</v>
      </c>
      <c r="H145" s="438" t="s">
        <v>25949</v>
      </c>
    </row>
    <row r="146" spans="2:8">
      <c r="B146" s="437">
        <v>45533</v>
      </c>
      <c r="C146" s="438" t="s">
        <v>104</v>
      </c>
      <c r="D146" s="438" t="s">
        <v>26027</v>
      </c>
      <c r="E146" s="438">
        <v>1500</v>
      </c>
      <c r="F146" s="439" t="s">
        <v>26028</v>
      </c>
      <c r="G146" s="438" t="s">
        <v>65</v>
      </c>
      <c r="H146" s="438" t="s">
        <v>25949</v>
      </c>
    </row>
    <row r="147" spans="2:8">
      <c r="B147" s="437">
        <v>45533</v>
      </c>
      <c r="C147" s="438" t="s">
        <v>104</v>
      </c>
      <c r="D147" s="438" t="s">
        <v>26027</v>
      </c>
      <c r="E147" s="438">
        <v>1500</v>
      </c>
      <c r="F147" s="439" t="s">
        <v>26029</v>
      </c>
      <c r="G147" s="438" t="s">
        <v>65</v>
      </c>
      <c r="H147" s="438" t="s">
        <v>25949</v>
      </c>
    </row>
    <row r="148" spans="2:8">
      <c r="B148" s="437">
        <v>45533</v>
      </c>
      <c r="C148" s="438" t="s">
        <v>104</v>
      </c>
      <c r="D148" s="438" t="s">
        <v>71</v>
      </c>
      <c r="E148" s="438">
        <v>120000</v>
      </c>
      <c r="F148" s="439" t="s">
        <v>26034</v>
      </c>
      <c r="G148" s="438" t="s">
        <v>65</v>
      </c>
      <c r="H148" s="438" t="s">
        <v>25949</v>
      </c>
    </row>
    <row r="149" spans="2:8">
      <c r="B149" s="437">
        <v>45533</v>
      </c>
      <c r="C149" s="438" t="s">
        <v>104</v>
      </c>
      <c r="D149" s="438" t="s">
        <v>26027</v>
      </c>
      <c r="E149" s="438">
        <v>500</v>
      </c>
      <c r="F149" s="439" t="s">
        <v>26032</v>
      </c>
      <c r="G149" s="438" t="s">
        <v>65</v>
      </c>
      <c r="H149" s="438" t="s">
        <v>25949</v>
      </c>
    </row>
    <row r="150" spans="2:8">
      <c r="B150" s="437">
        <v>45533</v>
      </c>
      <c r="C150" s="438" t="s">
        <v>107</v>
      </c>
      <c r="D150" s="438" t="s">
        <v>55</v>
      </c>
      <c r="E150" s="438">
        <v>10000</v>
      </c>
      <c r="F150" s="439" t="s">
        <v>26022</v>
      </c>
      <c r="G150" s="438" t="s">
        <v>65</v>
      </c>
      <c r="H150" s="438" t="s">
        <v>25949</v>
      </c>
    </row>
    <row r="151" spans="2:8">
      <c r="B151" s="437">
        <v>45533</v>
      </c>
      <c r="C151" s="438" t="s">
        <v>107</v>
      </c>
      <c r="D151" s="438" t="s">
        <v>26027</v>
      </c>
      <c r="E151" s="438">
        <v>1500</v>
      </c>
      <c r="F151" s="439" t="s">
        <v>26028</v>
      </c>
      <c r="G151" s="438" t="s">
        <v>65</v>
      </c>
      <c r="H151" s="438" t="s">
        <v>25949</v>
      </c>
    </row>
    <row r="152" spans="2:8">
      <c r="B152" s="437">
        <v>45533</v>
      </c>
      <c r="C152" s="438" t="s">
        <v>107</v>
      </c>
      <c r="D152" s="438" t="s">
        <v>26027</v>
      </c>
      <c r="E152" s="438">
        <v>1500</v>
      </c>
      <c r="F152" s="439" t="s">
        <v>26029</v>
      </c>
      <c r="G152" s="438" t="s">
        <v>65</v>
      </c>
      <c r="H152" s="438" t="s">
        <v>25949</v>
      </c>
    </row>
    <row r="153" spans="2:8">
      <c r="B153" s="437">
        <v>45533</v>
      </c>
      <c r="C153" s="438" t="s">
        <v>107</v>
      </c>
      <c r="D153" s="438" t="s">
        <v>7471</v>
      </c>
      <c r="E153" s="438">
        <v>20000</v>
      </c>
      <c r="F153" s="439" t="s">
        <v>26035</v>
      </c>
      <c r="G153" s="438" t="s">
        <v>65</v>
      </c>
      <c r="H153" s="438" t="s">
        <v>25949</v>
      </c>
    </row>
    <row r="154" spans="2:8">
      <c r="B154" s="437">
        <v>45533</v>
      </c>
      <c r="C154" s="438" t="s">
        <v>107</v>
      </c>
      <c r="D154" s="438" t="s">
        <v>26027</v>
      </c>
      <c r="E154" s="438">
        <v>500</v>
      </c>
      <c r="F154" s="439" t="s">
        <v>26032</v>
      </c>
      <c r="G154" s="438" t="s">
        <v>65</v>
      </c>
      <c r="H154" s="438" t="s">
        <v>25949</v>
      </c>
    </row>
    <row r="155" spans="2:8">
      <c r="B155" s="437">
        <v>45533</v>
      </c>
      <c r="C155" s="438" t="s">
        <v>25910</v>
      </c>
      <c r="D155" s="438" t="s">
        <v>7471</v>
      </c>
      <c r="E155" s="438">
        <v>400000</v>
      </c>
      <c r="F155" s="439" t="s">
        <v>26036</v>
      </c>
      <c r="G155" s="438" t="s">
        <v>65</v>
      </c>
      <c r="H155" s="438" t="s">
        <v>25949</v>
      </c>
    </row>
    <row r="156" spans="2:8" s="440" customFormat="1">
      <c r="B156" s="437">
        <v>45533</v>
      </c>
      <c r="C156" s="438" t="s">
        <v>25910</v>
      </c>
      <c r="D156" s="438" t="s">
        <v>26027</v>
      </c>
      <c r="E156" s="438">
        <v>1500</v>
      </c>
      <c r="F156" s="439" t="s">
        <v>26028</v>
      </c>
      <c r="G156" s="438" t="s">
        <v>65</v>
      </c>
      <c r="H156" s="438" t="s">
        <v>25949</v>
      </c>
    </row>
    <row r="157" spans="2:8" s="440" customFormat="1">
      <c r="B157" s="437">
        <v>45533</v>
      </c>
      <c r="C157" s="438" t="s">
        <v>25910</v>
      </c>
      <c r="D157" s="438" t="s">
        <v>26027</v>
      </c>
      <c r="E157" s="438">
        <v>1500</v>
      </c>
      <c r="F157" s="439" t="s">
        <v>26029</v>
      </c>
      <c r="G157" s="438" t="s">
        <v>65</v>
      </c>
      <c r="H157" s="438" t="s">
        <v>25949</v>
      </c>
    </row>
    <row r="158" spans="2:8" s="440" customFormat="1">
      <c r="B158" s="437">
        <v>45533</v>
      </c>
      <c r="C158" s="438" t="s">
        <v>25910</v>
      </c>
      <c r="D158" s="438" t="s">
        <v>71</v>
      </c>
      <c r="E158" s="438">
        <v>44000</v>
      </c>
      <c r="F158" s="439" t="s">
        <v>26037</v>
      </c>
      <c r="G158" s="438" t="s">
        <v>65</v>
      </c>
      <c r="H158" s="438" t="s">
        <v>25949</v>
      </c>
    </row>
    <row r="159" spans="2:8" s="440" customFormat="1">
      <c r="B159" s="437">
        <v>45533</v>
      </c>
      <c r="C159" s="438" t="s">
        <v>25910</v>
      </c>
      <c r="D159" s="438" t="s">
        <v>26027</v>
      </c>
      <c r="E159" s="438">
        <v>500</v>
      </c>
      <c r="F159" s="439" t="s">
        <v>26032</v>
      </c>
      <c r="G159" s="438" t="s">
        <v>65</v>
      </c>
      <c r="H159" s="438" t="s">
        <v>25949</v>
      </c>
    </row>
    <row r="160" spans="2:8" s="440" customFormat="1">
      <c r="B160" s="437">
        <v>45533</v>
      </c>
      <c r="C160" s="438" t="s">
        <v>25910</v>
      </c>
      <c r="D160" s="438" t="s">
        <v>22</v>
      </c>
      <c r="E160" s="438">
        <v>5000</v>
      </c>
      <c r="F160" s="439" t="s">
        <v>26038</v>
      </c>
      <c r="G160" s="438" t="s">
        <v>65</v>
      </c>
      <c r="H160" s="438" t="s">
        <v>25949</v>
      </c>
    </row>
    <row r="161" spans="2:10" s="440" customFormat="1">
      <c r="B161" s="437">
        <v>45533</v>
      </c>
      <c r="C161" s="438" t="s">
        <v>97</v>
      </c>
      <c r="D161" s="438" t="s">
        <v>22</v>
      </c>
      <c r="E161" s="438">
        <v>10000</v>
      </c>
      <c r="F161" s="439" t="s">
        <v>26039</v>
      </c>
      <c r="G161" s="438" t="s">
        <v>65</v>
      </c>
      <c r="H161" s="438" t="s">
        <v>25949</v>
      </c>
    </row>
    <row r="162" spans="2:10" s="440" customFormat="1">
      <c r="B162" s="437">
        <v>45533</v>
      </c>
      <c r="C162" s="438" t="s">
        <v>97</v>
      </c>
      <c r="D162" s="438" t="s">
        <v>26027</v>
      </c>
      <c r="E162" s="438">
        <v>1500</v>
      </c>
      <c r="F162" s="439" t="s">
        <v>26028</v>
      </c>
      <c r="G162" s="438" t="s">
        <v>65</v>
      </c>
      <c r="H162" s="438" t="s">
        <v>25949</v>
      </c>
    </row>
    <row r="163" spans="2:10" s="440" customFormat="1">
      <c r="B163" s="437">
        <v>45533</v>
      </c>
      <c r="C163" s="438" t="s">
        <v>97</v>
      </c>
      <c r="D163" s="438" t="s">
        <v>26027</v>
      </c>
      <c r="E163" s="438">
        <v>1500</v>
      </c>
      <c r="F163" s="439" t="s">
        <v>26029</v>
      </c>
      <c r="G163" s="438" t="s">
        <v>65</v>
      </c>
      <c r="H163" s="438" t="s">
        <v>25949</v>
      </c>
    </row>
    <row r="164" spans="2:10" s="440" customFormat="1">
      <c r="B164" s="437">
        <v>45533</v>
      </c>
      <c r="C164" s="438" t="s">
        <v>97</v>
      </c>
      <c r="D164" s="438" t="s">
        <v>57</v>
      </c>
      <c r="E164" s="438">
        <v>52006</v>
      </c>
      <c r="F164" s="439" t="s">
        <v>26040</v>
      </c>
      <c r="G164" s="438" t="s">
        <v>65</v>
      </c>
      <c r="H164" s="438" t="s">
        <v>25949</v>
      </c>
    </row>
    <row r="165" spans="2:10" s="440" customFormat="1">
      <c r="B165" s="437">
        <v>45533</v>
      </c>
      <c r="C165" s="438" t="s">
        <v>97</v>
      </c>
      <c r="D165" s="438" t="s">
        <v>55</v>
      </c>
      <c r="E165" s="438">
        <v>10000</v>
      </c>
      <c r="F165" s="439" t="s">
        <v>26022</v>
      </c>
      <c r="G165" s="438" t="s">
        <v>65</v>
      </c>
      <c r="H165" s="438" t="s">
        <v>25949</v>
      </c>
    </row>
    <row r="166" spans="2:10" s="440" customFormat="1">
      <c r="B166" s="437">
        <v>45533</v>
      </c>
      <c r="C166" s="438" t="s">
        <v>97</v>
      </c>
      <c r="D166" s="438" t="s">
        <v>71</v>
      </c>
      <c r="E166" s="438">
        <v>66000</v>
      </c>
      <c r="F166" s="439" t="s">
        <v>26041</v>
      </c>
      <c r="G166" s="438" t="s">
        <v>65</v>
      </c>
      <c r="H166" s="438" t="s">
        <v>25949</v>
      </c>
    </row>
    <row r="167" spans="2:10" s="440" customFormat="1">
      <c r="B167" s="437">
        <v>45533</v>
      </c>
      <c r="C167" s="438" t="s">
        <v>97</v>
      </c>
      <c r="D167" s="438" t="s">
        <v>26027</v>
      </c>
      <c r="E167" s="438">
        <v>500</v>
      </c>
      <c r="F167" s="439" t="s">
        <v>26032</v>
      </c>
      <c r="G167" s="438" t="s">
        <v>65</v>
      </c>
      <c r="H167" s="438" t="s">
        <v>25949</v>
      </c>
    </row>
    <row r="168" spans="2:10" s="440" customFormat="1">
      <c r="B168" s="437">
        <v>45533</v>
      </c>
      <c r="C168" s="438" t="s">
        <v>112</v>
      </c>
      <c r="D168" s="438" t="s">
        <v>22</v>
      </c>
      <c r="E168" s="438">
        <v>5500</v>
      </c>
      <c r="F168" s="439" t="s">
        <v>26042</v>
      </c>
      <c r="G168" s="438" t="s">
        <v>65</v>
      </c>
      <c r="H168" s="438" t="s">
        <v>25949</v>
      </c>
    </row>
    <row r="169" spans="2:10" s="440" customFormat="1">
      <c r="B169" s="437">
        <v>45533</v>
      </c>
      <c r="C169" s="438" t="s">
        <v>112</v>
      </c>
      <c r="D169" s="438" t="s">
        <v>55</v>
      </c>
      <c r="E169" s="438">
        <v>5000</v>
      </c>
      <c r="F169" s="439" t="s">
        <v>26043</v>
      </c>
      <c r="G169" s="438" t="s">
        <v>65</v>
      </c>
      <c r="H169" s="438" t="s">
        <v>25949</v>
      </c>
    </row>
    <row r="170" spans="2:10" s="440" customFormat="1">
      <c r="B170" s="437">
        <v>45533</v>
      </c>
      <c r="C170" s="438" t="s">
        <v>112</v>
      </c>
      <c r="D170" s="438" t="s">
        <v>26027</v>
      </c>
      <c r="E170" s="438">
        <v>1500</v>
      </c>
      <c r="F170" s="439" t="s">
        <v>26028</v>
      </c>
      <c r="G170" s="438" t="s">
        <v>65</v>
      </c>
      <c r="H170" s="438" t="s">
        <v>25949</v>
      </c>
    </row>
    <row r="171" spans="2:10" s="440" customFormat="1">
      <c r="B171" s="437">
        <v>45533</v>
      </c>
      <c r="C171" s="438" t="s">
        <v>112</v>
      </c>
      <c r="D171" s="438" t="s">
        <v>26027</v>
      </c>
      <c r="E171" s="438">
        <v>1500</v>
      </c>
      <c r="F171" s="439" t="s">
        <v>26029</v>
      </c>
      <c r="G171" s="438" t="s">
        <v>65</v>
      </c>
      <c r="H171" s="438" t="s">
        <v>25949</v>
      </c>
    </row>
    <row r="172" spans="2:10" s="440" customFormat="1">
      <c r="B172" s="437">
        <v>45533</v>
      </c>
      <c r="C172" s="438" t="s">
        <v>112</v>
      </c>
      <c r="D172" s="438" t="s">
        <v>71</v>
      </c>
      <c r="E172" s="438">
        <v>68858</v>
      </c>
      <c r="F172" s="439" t="s">
        <v>26034</v>
      </c>
      <c r="G172" s="438" t="s">
        <v>65</v>
      </c>
      <c r="H172" s="438" t="s">
        <v>25949</v>
      </c>
    </row>
    <row r="173" spans="2:10" s="440" customFormat="1">
      <c r="B173" s="437">
        <v>45533</v>
      </c>
      <c r="C173" s="438" t="s">
        <v>112</v>
      </c>
      <c r="D173" s="438" t="s">
        <v>26027</v>
      </c>
      <c r="E173" s="438">
        <v>500</v>
      </c>
      <c r="F173" s="439" t="s">
        <v>26044</v>
      </c>
      <c r="G173" s="438" t="s">
        <v>65</v>
      </c>
      <c r="H173" s="438" t="s">
        <v>25949</v>
      </c>
    </row>
    <row r="174" spans="2:10">
      <c r="B174" s="437">
        <v>45533</v>
      </c>
      <c r="C174" s="438" t="s">
        <v>112</v>
      </c>
      <c r="D174" s="438" t="s">
        <v>22</v>
      </c>
      <c r="E174" s="438">
        <v>20000</v>
      </c>
      <c r="F174" s="439" t="s">
        <v>26045</v>
      </c>
      <c r="G174" s="438" t="s">
        <v>65</v>
      </c>
      <c r="H174" s="438" t="s">
        <v>25949</v>
      </c>
      <c r="J174" s="249">
        <f>J167+J156</f>
        <v>0</v>
      </c>
    </row>
    <row r="175" spans="2:10" s="440" customFormat="1">
      <c r="B175" s="437">
        <v>45533</v>
      </c>
      <c r="C175" s="438" t="s">
        <v>122</v>
      </c>
      <c r="D175" s="438" t="s">
        <v>22</v>
      </c>
      <c r="E175" s="438">
        <v>20000</v>
      </c>
      <c r="F175" s="439" t="s">
        <v>26046</v>
      </c>
      <c r="G175" s="438" t="s">
        <v>65</v>
      </c>
      <c r="H175" s="438" t="s">
        <v>25949</v>
      </c>
    </row>
    <row r="176" spans="2:10" s="440" customFormat="1">
      <c r="B176" s="437">
        <v>45533</v>
      </c>
      <c r="C176" s="438" t="s">
        <v>122</v>
      </c>
      <c r="D176" s="438" t="s">
        <v>7471</v>
      </c>
      <c r="E176" s="438">
        <v>143748.4</v>
      </c>
      <c r="F176" s="439" t="s">
        <v>26047</v>
      </c>
      <c r="G176" s="438" t="s">
        <v>65</v>
      </c>
      <c r="H176" s="438" t="s">
        <v>25949</v>
      </c>
    </row>
    <row r="177" spans="2:8" s="440" customFormat="1">
      <c r="B177" s="437">
        <v>45533</v>
      </c>
      <c r="C177" s="438" t="s">
        <v>122</v>
      </c>
      <c r="D177" s="438" t="s">
        <v>7471</v>
      </c>
      <c r="E177" s="438">
        <v>30000</v>
      </c>
      <c r="F177" s="439" t="s">
        <v>26049</v>
      </c>
      <c r="G177" s="438" t="s">
        <v>65</v>
      </c>
      <c r="H177" s="438" t="s">
        <v>25949</v>
      </c>
    </row>
    <row r="178" spans="2:8" s="440" customFormat="1">
      <c r="B178" s="437">
        <v>45533</v>
      </c>
      <c r="C178" s="438" t="s">
        <v>122</v>
      </c>
      <c r="D178" s="438" t="s">
        <v>22</v>
      </c>
      <c r="E178" s="438">
        <v>15000</v>
      </c>
      <c r="F178" s="439" t="s">
        <v>26038</v>
      </c>
      <c r="G178" s="438" t="s">
        <v>65</v>
      </c>
      <c r="H178" s="438" t="s">
        <v>25949</v>
      </c>
    </row>
    <row r="179" spans="2:8" s="440" customFormat="1">
      <c r="B179" s="437">
        <v>45533</v>
      </c>
      <c r="C179" s="438" t="s">
        <v>122</v>
      </c>
      <c r="D179" s="438" t="s">
        <v>71</v>
      </c>
      <c r="E179" s="438">
        <v>68874.36</v>
      </c>
      <c r="F179" s="439" t="s">
        <v>26034</v>
      </c>
      <c r="G179" s="438" t="s">
        <v>65</v>
      </c>
      <c r="H179" s="438" t="s">
        <v>25949</v>
      </c>
    </row>
    <row r="180" spans="2:8" s="440" customFormat="1">
      <c r="B180" s="437">
        <v>45533</v>
      </c>
      <c r="C180" s="438" t="s">
        <v>122</v>
      </c>
      <c r="D180" s="438" t="s">
        <v>71</v>
      </c>
      <c r="E180" s="438">
        <v>66000</v>
      </c>
      <c r="F180" s="439" t="s">
        <v>26041</v>
      </c>
      <c r="G180" s="438" t="s">
        <v>65</v>
      </c>
      <c r="H180" s="438" t="s">
        <v>25949</v>
      </c>
    </row>
    <row r="181" spans="2:8" s="440" customFormat="1">
      <c r="B181" s="437">
        <v>45533</v>
      </c>
      <c r="C181" s="438" t="s">
        <v>122</v>
      </c>
      <c r="D181" s="438" t="s">
        <v>22</v>
      </c>
      <c r="E181" s="438">
        <v>9000</v>
      </c>
      <c r="F181" s="439" t="s">
        <v>26050</v>
      </c>
      <c r="G181" s="438" t="s">
        <v>65</v>
      </c>
      <c r="H181" s="438" t="s">
        <v>25949</v>
      </c>
    </row>
    <row r="182" spans="2:8" s="440" customFormat="1">
      <c r="B182" s="437">
        <v>45533</v>
      </c>
      <c r="C182" s="438" t="s">
        <v>122</v>
      </c>
      <c r="D182" s="438" t="s">
        <v>22</v>
      </c>
      <c r="E182" s="438">
        <v>15000</v>
      </c>
      <c r="F182" s="439" t="s">
        <v>26051</v>
      </c>
      <c r="G182" s="438" t="s">
        <v>65</v>
      </c>
      <c r="H182" s="438" t="s">
        <v>25949</v>
      </c>
    </row>
    <row r="183" spans="2:8" s="440" customFormat="1">
      <c r="B183" s="437">
        <v>45533</v>
      </c>
      <c r="C183" s="438" t="s">
        <v>122</v>
      </c>
      <c r="D183" s="438" t="s">
        <v>22</v>
      </c>
      <c r="E183" s="438">
        <v>30000</v>
      </c>
      <c r="F183" s="439" t="s">
        <v>26052</v>
      </c>
      <c r="G183" s="438" t="s">
        <v>65</v>
      </c>
      <c r="H183" s="438" t="s">
        <v>25949</v>
      </c>
    </row>
    <row r="184" spans="2:8" s="440" customFormat="1">
      <c r="B184" s="437">
        <v>45533</v>
      </c>
      <c r="C184" s="438" t="s">
        <v>123</v>
      </c>
      <c r="D184" s="438" t="s">
        <v>22</v>
      </c>
      <c r="E184" s="438">
        <v>15000</v>
      </c>
      <c r="F184" s="439" t="s">
        <v>26053</v>
      </c>
      <c r="G184" s="438" t="s">
        <v>65</v>
      </c>
      <c r="H184" s="438" t="s">
        <v>25949</v>
      </c>
    </row>
    <row r="185" spans="2:8" s="440" customFormat="1">
      <c r="B185" s="437">
        <v>45533</v>
      </c>
      <c r="C185" s="438" t="s">
        <v>123</v>
      </c>
      <c r="D185" s="438" t="s">
        <v>22</v>
      </c>
      <c r="E185" s="438">
        <v>50000</v>
      </c>
      <c r="F185" s="439" t="s">
        <v>26054</v>
      </c>
      <c r="G185" s="438" t="s">
        <v>65</v>
      </c>
      <c r="H185" s="438" t="s">
        <v>25949</v>
      </c>
    </row>
    <row r="186" spans="2:8" s="440" customFormat="1">
      <c r="B186" s="437">
        <v>45533</v>
      </c>
      <c r="C186" s="438" t="s">
        <v>123</v>
      </c>
      <c r="D186" s="438" t="s">
        <v>71</v>
      </c>
      <c r="E186" s="438">
        <v>22958.12</v>
      </c>
      <c r="F186" s="439" t="s">
        <v>26055</v>
      </c>
      <c r="G186" s="438" t="s">
        <v>65</v>
      </c>
      <c r="H186" s="438" t="s">
        <v>25949</v>
      </c>
    </row>
    <row r="187" spans="2:8" s="440" customFormat="1">
      <c r="B187" s="437">
        <v>45533</v>
      </c>
      <c r="C187" s="438" t="s">
        <v>123</v>
      </c>
      <c r="D187" s="438" t="s">
        <v>22</v>
      </c>
      <c r="E187" s="438">
        <v>3000</v>
      </c>
      <c r="F187" s="439" t="s">
        <v>26056</v>
      </c>
      <c r="G187" s="438" t="s">
        <v>65</v>
      </c>
      <c r="H187" s="438" t="s">
        <v>25949</v>
      </c>
    </row>
    <row r="188" spans="2:8" s="440" customFormat="1">
      <c r="B188" s="437">
        <v>45533</v>
      </c>
      <c r="C188" s="438" t="s">
        <v>123</v>
      </c>
      <c r="D188" s="438" t="s">
        <v>71</v>
      </c>
      <c r="E188" s="438">
        <v>66000</v>
      </c>
      <c r="F188" s="439" t="s">
        <v>26057</v>
      </c>
      <c r="G188" s="438" t="s">
        <v>65</v>
      </c>
      <c r="H188" s="438" t="s">
        <v>25949</v>
      </c>
    </row>
    <row r="189" spans="2:8" s="440" customFormat="1">
      <c r="B189" s="437">
        <v>45533</v>
      </c>
      <c r="C189" s="438" t="s">
        <v>123</v>
      </c>
      <c r="D189" s="438" t="s">
        <v>22</v>
      </c>
      <c r="E189" s="438">
        <v>13000</v>
      </c>
      <c r="F189" s="439" t="s">
        <v>26058</v>
      </c>
      <c r="G189" s="438" t="s">
        <v>65</v>
      </c>
      <c r="H189" s="438" t="s">
        <v>25949</v>
      </c>
    </row>
    <row r="190" spans="2:8" s="440" customFormat="1">
      <c r="B190" s="437">
        <v>45533</v>
      </c>
      <c r="C190" s="438" t="s">
        <v>123</v>
      </c>
      <c r="D190" s="438" t="s">
        <v>22</v>
      </c>
      <c r="E190" s="438">
        <v>15000</v>
      </c>
      <c r="F190" s="439" t="s">
        <v>26059</v>
      </c>
      <c r="G190" s="438" t="s">
        <v>65</v>
      </c>
      <c r="H190" s="438" t="s">
        <v>25949</v>
      </c>
    </row>
    <row r="191" spans="2:8" s="440" customFormat="1">
      <c r="B191" s="437">
        <v>45533</v>
      </c>
      <c r="C191" s="438" t="s">
        <v>123</v>
      </c>
      <c r="D191" s="438" t="s">
        <v>22</v>
      </c>
      <c r="E191" s="438">
        <v>10000</v>
      </c>
      <c r="F191" s="439" t="s">
        <v>26060</v>
      </c>
      <c r="G191" s="438" t="s">
        <v>65</v>
      </c>
      <c r="H191" s="438" t="s">
        <v>25949</v>
      </c>
    </row>
    <row r="192" spans="2:8" s="440" customFormat="1">
      <c r="B192" s="437">
        <v>45533</v>
      </c>
      <c r="C192" s="438" t="s">
        <v>123</v>
      </c>
      <c r="D192" s="438" t="s">
        <v>7471</v>
      </c>
      <c r="E192" s="438">
        <v>12000</v>
      </c>
      <c r="F192" s="439" t="s">
        <v>26061</v>
      </c>
      <c r="G192" s="438" t="s">
        <v>65</v>
      </c>
      <c r="H192" s="438" t="s">
        <v>25949</v>
      </c>
    </row>
    <row r="193" spans="2:8">
      <c r="B193" s="437">
        <v>45533</v>
      </c>
      <c r="C193" s="438" t="s">
        <v>88</v>
      </c>
      <c r="D193" s="438" t="s">
        <v>22</v>
      </c>
      <c r="E193" s="438">
        <v>55698</v>
      </c>
      <c r="F193" s="439" t="s">
        <v>26062</v>
      </c>
      <c r="G193" s="438" t="s">
        <v>65</v>
      </c>
      <c r="H193" s="438" t="s">
        <v>25949</v>
      </c>
    </row>
    <row r="194" spans="2:8" s="440" customFormat="1">
      <c r="B194" s="437">
        <v>45533</v>
      </c>
      <c r="C194" s="438" t="s">
        <v>88</v>
      </c>
      <c r="D194" s="438" t="s">
        <v>26027</v>
      </c>
      <c r="E194" s="438">
        <v>1500</v>
      </c>
      <c r="F194" s="439" t="s">
        <v>26063</v>
      </c>
      <c r="G194" s="438" t="s">
        <v>65</v>
      </c>
      <c r="H194" s="438" t="s">
        <v>25949</v>
      </c>
    </row>
    <row r="195" spans="2:8" s="440" customFormat="1">
      <c r="B195" s="437">
        <v>45533</v>
      </c>
      <c r="C195" s="438" t="s">
        <v>88</v>
      </c>
      <c r="D195" s="438" t="s">
        <v>26027</v>
      </c>
      <c r="E195" s="438">
        <v>1500</v>
      </c>
      <c r="F195" s="439" t="s">
        <v>26064</v>
      </c>
      <c r="G195" s="438" t="s">
        <v>65</v>
      </c>
      <c r="H195" s="438" t="s">
        <v>25949</v>
      </c>
    </row>
    <row r="196" spans="2:8" s="440" customFormat="1">
      <c r="B196" s="437">
        <v>45533</v>
      </c>
      <c r="C196" s="438" t="s">
        <v>88</v>
      </c>
      <c r="D196" s="438" t="s">
        <v>22</v>
      </c>
      <c r="E196" s="438">
        <v>15000</v>
      </c>
      <c r="F196" s="439" t="s">
        <v>26065</v>
      </c>
      <c r="G196" s="438" t="s">
        <v>65</v>
      </c>
      <c r="H196" s="438" t="s">
        <v>25949</v>
      </c>
    </row>
    <row r="197" spans="2:8" s="440" customFormat="1">
      <c r="B197" s="437">
        <v>45533</v>
      </c>
      <c r="C197" s="438" t="s">
        <v>88</v>
      </c>
      <c r="D197" s="438" t="s">
        <v>22</v>
      </c>
      <c r="E197" s="438">
        <v>5000</v>
      </c>
      <c r="F197" s="439" t="s">
        <v>26066</v>
      </c>
      <c r="G197" s="438" t="s">
        <v>65</v>
      </c>
      <c r="H197" s="438" t="s">
        <v>25949</v>
      </c>
    </row>
    <row r="198" spans="2:8" s="440" customFormat="1">
      <c r="B198" s="437">
        <v>45533</v>
      </c>
      <c r="C198" s="438" t="s">
        <v>88</v>
      </c>
      <c r="D198" s="438" t="s">
        <v>71</v>
      </c>
      <c r="E198" s="438">
        <v>22958.12</v>
      </c>
      <c r="F198" s="439" t="s">
        <v>26055</v>
      </c>
      <c r="G198" s="438" t="s">
        <v>65</v>
      </c>
      <c r="H198" s="438" t="s">
        <v>25949</v>
      </c>
    </row>
    <row r="199" spans="2:8" s="440" customFormat="1">
      <c r="B199" s="437">
        <v>45533</v>
      </c>
      <c r="C199" s="438" t="s">
        <v>88</v>
      </c>
      <c r="D199" s="438" t="s">
        <v>71</v>
      </c>
      <c r="E199" s="438">
        <v>44000</v>
      </c>
      <c r="F199" s="439" t="s">
        <v>26057</v>
      </c>
      <c r="G199" s="438" t="s">
        <v>65</v>
      </c>
      <c r="H199" s="438" t="s">
        <v>25949</v>
      </c>
    </row>
    <row r="200" spans="2:8" s="440" customFormat="1">
      <c r="B200" s="437">
        <v>45533</v>
      </c>
      <c r="C200" s="438" t="s">
        <v>88</v>
      </c>
      <c r="D200" s="438" t="s">
        <v>22</v>
      </c>
      <c r="E200" s="438">
        <v>15000</v>
      </c>
      <c r="F200" s="439" t="s">
        <v>26059</v>
      </c>
      <c r="G200" s="438" t="s">
        <v>65</v>
      </c>
      <c r="H200" s="438" t="s">
        <v>25949</v>
      </c>
    </row>
    <row r="201" spans="2:8" s="440" customFormat="1">
      <c r="B201" s="437">
        <v>45533</v>
      </c>
      <c r="C201" s="438" t="s">
        <v>88</v>
      </c>
      <c r="D201" s="438" t="s">
        <v>22</v>
      </c>
      <c r="E201" s="438">
        <v>20000</v>
      </c>
      <c r="F201" s="439" t="s">
        <v>26054</v>
      </c>
      <c r="G201" s="438" t="s">
        <v>65</v>
      </c>
      <c r="H201" s="438" t="s">
        <v>25949</v>
      </c>
    </row>
    <row r="202" spans="2:8" s="440" customFormat="1">
      <c r="B202" s="437">
        <v>45533</v>
      </c>
      <c r="C202" s="438" t="s">
        <v>93</v>
      </c>
      <c r="D202" s="438" t="s">
        <v>71</v>
      </c>
      <c r="E202" s="438">
        <v>34500</v>
      </c>
      <c r="F202" s="439" t="s">
        <v>26067</v>
      </c>
      <c r="G202" s="438" t="s">
        <v>65</v>
      </c>
      <c r="H202" s="438" t="s">
        <v>25949</v>
      </c>
    </row>
    <row r="203" spans="2:8" s="440" customFormat="1">
      <c r="B203" s="437">
        <v>45533</v>
      </c>
      <c r="C203" s="438" t="s">
        <v>95</v>
      </c>
      <c r="D203" s="438" t="s">
        <v>71</v>
      </c>
      <c r="E203" s="438">
        <v>34500</v>
      </c>
      <c r="F203" s="439" t="s">
        <v>26067</v>
      </c>
      <c r="G203" s="438" t="s">
        <v>65</v>
      </c>
      <c r="H203" s="438" t="s">
        <v>25949</v>
      </c>
    </row>
    <row r="204" spans="2:8" s="440" customFormat="1">
      <c r="B204" s="437">
        <v>45533</v>
      </c>
      <c r="C204" s="438" t="s">
        <v>47</v>
      </c>
      <c r="D204" s="438" t="s">
        <v>55</v>
      </c>
      <c r="E204" s="438">
        <v>5000</v>
      </c>
      <c r="F204" s="439" t="s">
        <v>26068</v>
      </c>
      <c r="G204" s="438" t="s">
        <v>65</v>
      </c>
      <c r="H204" s="438" t="s">
        <v>25949</v>
      </c>
    </row>
    <row r="205" spans="2:8" s="440" customFormat="1">
      <c r="B205" s="437">
        <v>45533</v>
      </c>
      <c r="C205" s="438" t="s">
        <v>52</v>
      </c>
      <c r="D205" s="438" t="s">
        <v>55</v>
      </c>
      <c r="E205" s="438">
        <v>5000</v>
      </c>
      <c r="F205" s="439" t="s">
        <v>26068</v>
      </c>
      <c r="G205" s="438" t="s">
        <v>65</v>
      </c>
      <c r="H205" s="438" t="s">
        <v>25949</v>
      </c>
    </row>
    <row r="206" spans="2:8" s="440" customFormat="1">
      <c r="B206" s="437">
        <v>45533</v>
      </c>
      <c r="C206" s="438" t="s">
        <v>60</v>
      </c>
      <c r="D206" s="438" t="s">
        <v>55</v>
      </c>
      <c r="E206" s="438">
        <v>5000</v>
      </c>
      <c r="F206" s="439" t="s">
        <v>26068</v>
      </c>
      <c r="G206" s="438" t="s">
        <v>65</v>
      </c>
      <c r="H206" s="438" t="s">
        <v>25949</v>
      </c>
    </row>
    <row r="207" spans="2:8" s="440" customFormat="1">
      <c r="B207" s="437">
        <v>45533</v>
      </c>
      <c r="C207" s="438" t="s">
        <v>62</v>
      </c>
      <c r="D207" s="438" t="s">
        <v>55</v>
      </c>
      <c r="E207" s="438">
        <v>5000</v>
      </c>
      <c r="F207" s="439" t="s">
        <v>26068</v>
      </c>
      <c r="G207" s="438" t="s">
        <v>65</v>
      </c>
      <c r="H207" s="438" t="s">
        <v>25949</v>
      </c>
    </row>
    <row r="208" spans="2:8">
      <c r="B208" s="437">
        <v>45533</v>
      </c>
      <c r="C208" s="438" t="s">
        <v>18</v>
      </c>
      <c r="D208" s="438" t="s">
        <v>22</v>
      </c>
      <c r="E208" s="438">
        <v>1000554.99</v>
      </c>
      <c r="F208" s="439" t="s">
        <v>26069</v>
      </c>
      <c r="G208" s="438" t="s">
        <v>65</v>
      </c>
      <c r="H208" s="438" t="s">
        <v>25949</v>
      </c>
    </row>
    <row r="209" spans="2:8">
      <c r="B209" s="437">
        <v>45533</v>
      </c>
      <c r="C209" s="438" t="s">
        <v>13</v>
      </c>
      <c r="D209" s="438" t="s">
        <v>19</v>
      </c>
      <c r="E209" s="438">
        <v>600000</v>
      </c>
      <c r="F209" s="439" t="s">
        <v>26070</v>
      </c>
      <c r="G209" s="438" t="s">
        <v>65</v>
      </c>
      <c r="H209" s="438" t="s">
        <v>25949</v>
      </c>
    </row>
    <row r="210" spans="2:8" s="440" customFormat="1">
      <c r="B210" s="437">
        <v>45533</v>
      </c>
      <c r="C210" s="438" t="s">
        <v>18</v>
      </c>
      <c r="D210" s="438" t="s">
        <v>19</v>
      </c>
      <c r="E210" s="438">
        <v>200000</v>
      </c>
      <c r="F210" s="439" t="s">
        <v>26070</v>
      </c>
      <c r="G210" s="438" t="s">
        <v>65</v>
      </c>
      <c r="H210" s="438" t="s">
        <v>25949</v>
      </c>
    </row>
    <row r="211" spans="2:8" s="440" customFormat="1">
      <c r="B211" s="437">
        <v>45533</v>
      </c>
      <c r="C211" s="442" t="s">
        <v>100</v>
      </c>
      <c r="D211" s="438" t="s">
        <v>19</v>
      </c>
      <c r="E211" s="438">
        <v>288432</v>
      </c>
      <c r="F211" s="439" t="s">
        <v>26070</v>
      </c>
      <c r="G211" s="438" t="s">
        <v>65</v>
      </c>
      <c r="H211" s="438" t="s">
        <v>25949</v>
      </c>
    </row>
    <row r="212" spans="2:8">
      <c r="B212" s="437">
        <v>45533</v>
      </c>
      <c r="C212" s="438" t="s">
        <v>111</v>
      </c>
      <c r="D212" s="438" t="s">
        <v>19</v>
      </c>
      <c r="E212" s="438">
        <v>210000</v>
      </c>
      <c r="F212" s="439" t="s">
        <v>26070</v>
      </c>
      <c r="G212" s="438" t="s">
        <v>65</v>
      </c>
      <c r="H212" s="438" t="s">
        <v>25949</v>
      </c>
    </row>
    <row r="213" spans="2:8" s="440" customFormat="1">
      <c r="B213" s="437">
        <v>45533</v>
      </c>
      <c r="C213" s="438" t="s">
        <v>25910</v>
      </c>
      <c r="D213" s="438" t="s">
        <v>19</v>
      </c>
      <c r="E213" s="438">
        <v>537275</v>
      </c>
      <c r="F213" s="439" t="s">
        <v>26070</v>
      </c>
      <c r="G213" s="438" t="s">
        <v>65</v>
      </c>
      <c r="H213" s="438" t="s">
        <v>25949</v>
      </c>
    </row>
    <row r="214" spans="2:8">
      <c r="B214" s="437">
        <v>45533</v>
      </c>
      <c r="C214" s="438" t="s">
        <v>117</v>
      </c>
      <c r="D214" s="438" t="s">
        <v>19</v>
      </c>
      <c r="E214" s="438">
        <v>0</v>
      </c>
      <c r="F214" s="439" t="s">
        <v>26070</v>
      </c>
      <c r="G214" s="438" t="s">
        <v>65</v>
      </c>
      <c r="H214" s="438" t="s">
        <v>25949</v>
      </c>
    </row>
    <row r="215" spans="2:8" s="440" customFormat="1">
      <c r="B215" s="437">
        <v>45533</v>
      </c>
      <c r="C215" s="438" t="s">
        <v>123</v>
      </c>
      <c r="D215" s="438" t="s">
        <v>19</v>
      </c>
      <c r="E215" s="438">
        <v>1294260</v>
      </c>
      <c r="F215" s="439" t="s">
        <v>26070</v>
      </c>
      <c r="G215" s="438" t="s">
        <v>65</v>
      </c>
      <c r="H215" s="438" t="s">
        <v>25949</v>
      </c>
    </row>
    <row r="216" spans="2:8">
      <c r="B216" s="437">
        <v>45533</v>
      </c>
      <c r="C216" s="438" t="s">
        <v>122</v>
      </c>
      <c r="D216" s="438" t="s">
        <v>19</v>
      </c>
      <c r="E216" s="438">
        <v>150000</v>
      </c>
      <c r="F216" s="439" t="s">
        <v>26070</v>
      </c>
      <c r="G216" s="438" t="s">
        <v>65</v>
      </c>
      <c r="H216" s="438" t="s">
        <v>25949</v>
      </c>
    </row>
    <row r="217" spans="2:8" s="440" customFormat="1">
      <c r="B217" s="437">
        <v>45533</v>
      </c>
      <c r="C217" s="438" t="s">
        <v>93</v>
      </c>
      <c r="D217" s="438" t="s">
        <v>19</v>
      </c>
      <c r="E217" s="438">
        <v>150000</v>
      </c>
      <c r="F217" s="439" t="s">
        <v>26070</v>
      </c>
      <c r="G217" s="438" t="s">
        <v>65</v>
      </c>
      <c r="H217" s="438" t="s">
        <v>25949</v>
      </c>
    </row>
    <row r="218" spans="2:8" s="440" customFormat="1">
      <c r="B218" s="437">
        <v>45533</v>
      </c>
      <c r="C218" s="438" t="s">
        <v>95</v>
      </c>
      <c r="D218" s="438" t="s">
        <v>19</v>
      </c>
      <c r="E218" s="438">
        <v>150000</v>
      </c>
      <c r="F218" s="439" t="s">
        <v>26070</v>
      </c>
      <c r="G218" s="438" t="s">
        <v>65</v>
      </c>
      <c r="H218" s="438" t="s">
        <v>25949</v>
      </c>
    </row>
    <row r="219" spans="2:8" s="440" customFormat="1">
      <c r="B219" s="437">
        <v>45533</v>
      </c>
      <c r="C219" s="438" t="s">
        <v>26072</v>
      </c>
      <c r="D219" s="438" t="s">
        <v>19</v>
      </c>
      <c r="E219" s="438">
        <v>210000</v>
      </c>
      <c r="F219" s="439" t="s">
        <v>26070</v>
      </c>
      <c r="G219" s="438" t="s">
        <v>65</v>
      </c>
      <c r="H219" s="438" t="s">
        <v>25949</v>
      </c>
    </row>
    <row r="220" spans="2:8">
      <c r="B220" s="437">
        <v>45533</v>
      </c>
      <c r="C220" s="438" t="s">
        <v>110</v>
      </c>
      <c r="D220" s="438" t="s">
        <v>19</v>
      </c>
      <c r="E220" s="438">
        <v>715000</v>
      </c>
      <c r="F220" s="439" t="s">
        <v>26070</v>
      </c>
      <c r="G220" s="438" t="s">
        <v>65</v>
      </c>
      <c r="H220" s="438" t="s">
        <v>25949</v>
      </c>
    </row>
    <row r="221" spans="2:8" s="440" customFormat="1">
      <c r="B221" s="437">
        <v>45533</v>
      </c>
      <c r="C221" s="438" t="s">
        <v>88</v>
      </c>
      <c r="D221" s="438" t="s">
        <v>19</v>
      </c>
      <c r="E221" s="438">
        <v>100000</v>
      </c>
      <c r="F221" s="439" t="s">
        <v>26070</v>
      </c>
      <c r="G221" s="438" t="s">
        <v>65</v>
      </c>
      <c r="H221" s="438" t="s">
        <v>25949</v>
      </c>
    </row>
    <row r="222" spans="2:8" s="440" customFormat="1">
      <c r="B222" s="437">
        <v>45533</v>
      </c>
      <c r="C222" s="438" t="s">
        <v>26073</v>
      </c>
      <c r="D222" s="438" t="s">
        <v>19</v>
      </c>
      <c r="E222" s="438">
        <v>191860</v>
      </c>
      <c r="F222" s="439" t="s">
        <v>26070</v>
      </c>
      <c r="G222" s="438" t="s">
        <v>65</v>
      </c>
      <c r="H222" s="438" t="s">
        <v>25949</v>
      </c>
    </row>
    <row r="223" spans="2:8" s="440" customFormat="1">
      <c r="B223" s="437">
        <v>45533</v>
      </c>
      <c r="C223" s="438" t="s">
        <v>97</v>
      </c>
      <c r="D223" s="438" t="s">
        <v>19</v>
      </c>
      <c r="E223" s="438">
        <v>100000</v>
      </c>
      <c r="F223" s="439" t="s">
        <v>26070</v>
      </c>
      <c r="G223" s="438" t="s">
        <v>65</v>
      </c>
      <c r="H223" s="438" t="s">
        <v>25949</v>
      </c>
    </row>
    <row r="224" spans="2:8" s="440" customFormat="1">
      <c r="B224" s="437">
        <v>45533</v>
      </c>
      <c r="C224" s="438" t="s">
        <v>47</v>
      </c>
      <c r="D224" s="438" t="s">
        <v>83</v>
      </c>
      <c r="E224" s="438">
        <v>68908.735000000001</v>
      </c>
      <c r="F224" s="439" t="s">
        <v>26074</v>
      </c>
      <c r="G224" s="438" t="s">
        <v>65</v>
      </c>
      <c r="H224" s="438" t="s">
        <v>25949</v>
      </c>
    </row>
    <row r="225" spans="2:8" s="440" customFormat="1">
      <c r="B225" s="437">
        <v>45533</v>
      </c>
      <c r="C225" s="438" t="s">
        <v>52</v>
      </c>
      <c r="D225" s="438" t="s">
        <v>83</v>
      </c>
      <c r="E225" s="438">
        <v>68908.735000000001</v>
      </c>
      <c r="F225" s="439" t="s">
        <v>26074</v>
      </c>
      <c r="G225" s="438" t="s">
        <v>65</v>
      </c>
      <c r="H225" s="438" t="s">
        <v>25949</v>
      </c>
    </row>
    <row r="226" spans="2:8" s="440" customFormat="1">
      <c r="B226" s="437">
        <v>45533</v>
      </c>
      <c r="C226" s="438" t="s">
        <v>60</v>
      </c>
      <c r="D226" s="438" t="s">
        <v>83</v>
      </c>
      <c r="E226" s="438">
        <v>69383.679999999993</v>
      </c>
      <c r="F226" s="439" t="s">
        <v>26074</v>
      </c>
      <c r="G226" s="438" t="s">
        <v>65</v>
      </c>
      <c r="H226" s="438" t="s">
        <v>25949</v>
      </c>
    </row>
    <row r="227" spans="2:8" s="440" customFormat="1">
      <c r="B227" s="437">
        <v>45533</v>
      </c>
      <c r="C227" s="438" t="s">
        <v>62</v>
      </c>
      <c r="D227" s="438" t="s">
        <v>83</v>
      </c>
      <c r="E227" s="438">
        <v>69383.679999999993</v>
      </c>
      <c r="F227" s="439" t="s">
        <v>26074</v>
      </c>
      <c r="G227" s="438" t="s">
        <v>65</v>
      </c>
      <c r="H227" s="438" t="s">
        <v>25949</v>
      </c>
    </row>
    <row r="228" spans="2:8" s="440" customFormat="1">
      <c r="B228" s="437">
        <v>45533</v>
      </c>
      <c r="C228" s="438" t="s">
        <v>64</v>
      </c>
      <c r="D228" s="438" t="s">
        <v>83</v>
      </c>
      <c r="E228" s="438">
        <v>125906.63</v>
      </c>
      <c r="F228" s="439" t="s">
        <v>26074</v>
      </c>
      <c r="G228" s="438" t="s">
        <v>65</v>
      </c>
      <c r="H228" s="438" t="s">
        <v>25949</v>
      </c>
    </row>
    <row r="229" spans="2:8" s="440" customFormat="1">
      <c r="B229" s="437">
        <v>45533</v>
      </c>
      <c r="C229" s="438" t="s">
        <v>68</v>
      </c>
      <c r="D229" s="438" t="s">
        <v>83</v>
      </c>
      <c r="E229" s="438">
        <v>53434.61</v>
      </c>
      <c r="F229" s="439" t="s">
        <v>26074</v>
      </c>
      <c r="G229" s="438" t="s">
        <v>65</v>
      </c>
      <c r="H229" s="438" t="s">
        <v>25949</v>
      </c>
    </row>
    <row r="230" spans="2:8" s="440" customFormat="1">
      <c r="B230" s="437">
        <v>45533</v>
      </c>
      <c r="C230" s="438" t="s">
        <v>70</v>
      </c>
      <c r="D230" s="438" t="s">
        <v>83</v>
      </c>
      <c r="E230" s="438">
        <v>53434.61</v>
      </c>
      <c r="F230" s="439" t="s">
        <v>26074</v>
      </c>
      <c r="G230" s="438" t="s">
        <v>65</v>
      </c>
      <c r="H230" s="438" t="s">
        <v>25949</v>
      </c>
    </row>
    <row r="231" spans="2:8" s="440" customFormat="1">
      <c r="B231" s="437">
        <v>45533</v>
      </c>
      <c r="C231" s="438" t="s">
        <v>74</v>
      </c>
      <c r="D231" s="438" t="s">
        <v>83</v>
      </c>
      <c r="E231" s="438">
        <v>53434.61</v>
      </c>
      <c r="F231" s="439" t="s">
        <v>26074</v>
      </c>
      <c r="G231" s="438" t="s">
        <v>65</v>
      </c>
      <c r="H231" s="438" t="s">
        <v>25949</v>
      </c>
    </row>
    <row r="232" spans="2:8" s="440" customFormat="1">
      <c r="B232" s="437">
        <v>45533</v>
      </c>
      <c r="C232" s="438" t="s">
        <v>76</v>
      </c>
      <c r="D232" s="438" t="s">
        <v>83</v>
      </c>
      <c r="E232" s="438">
        <v>53434.61</v>
      </c>
      <c r="F232" s="439" t="s">
        <v>26074</v>
      </c>
      <c r="G232" s="438" t="s">
        <v>65</v>
      </c>
      <c r="H232" s="438" t="s">
        <v>25949</v>
      </c>
    </row>
    <row r="233" spans="2:8" s="440" customFormat="1">
      <c r="B233" s="437">
        <v>45533</v>
      </c>
      <c r="C233" s="438" t="s">
        <v>86</v>
      </c>
      <c r="D233" s="438" t="s">
        <v>83</v>
      </c>
      <c r="E233" s="438">
        <v>89988.19</v>
      </c>
      <c r="F233" s="439" t="s">
        <v>26074</v>
      </c>
      <c r="G233" s="438" t="s">
        <v>65</v>
      </c>
      <c r="H233" s="438" t="s">
        <v>25949</v>
      </c>
    </row>
    <row r="234" spans="2:8" s="440" customFormat="1">
      <c r="B234" s="437">
        <v>45533</v>
      </c>
      <c r="C234" s="438" t="s">
        <v>15</v>
      </c>
      <c r="D234" s="438" t="s">
        <v>85</v>
      </c>
      <c r="E234" s="438">
        <v>493677.09014400002</v>
      </c>
      <c r="F234" s="439" t="s">
        <v>26075</v>
      </c>
      <c r="G234" s="438" t="s">
        <v>65</v>
      </c>
      <c r="H234" s="438" t="s">
        <v>25949</v>
      </c>
    </row>
    <row r="235" spans="2:8" s="440" customFormat="1">
      <c r="B235" s="437">
        <v>45533</v>
      </c>
      <c r="C235" s="438" t="s">
        <v>90</v>
      </c>
      <c r="D235" s="438" t="s">
        <v>85</v>
      </c>
      <c r="E235" s="438">
        <v>431663.01599400002</v>
      </c>
      <c r="F235" s="439" t="s">
        <v>26075</v>
      </c>
      <c r="G235" s="438" t="s">
        <v>65</v>
      </c>
      <c r="H235" s="438" t="s">
        <v>25949</v>
      </c>
    </row>
    <row r="236" spans="2:8" s="440" customFormat="1">
      <c r="B236" s="437">
        <v>45533</v>
      </c>
      <c r="C236" s="438" t="s">
        <v>99</v>
      </c>
      <c r="D236" s="438" t="s">
        <v>85</v>
      </c>
      <c r="E236" s="438">
        <v>409891.85794200003</v>
      </c>
      <c r="F236" s="439" t="s">
        <v>26075</v>
      </c>
      <c r="G236" s="438" t="s">
        <v>65</v>
      </c>
      <c r="H236" s="438" t="s">
        <v>25949</v>
      </c>
    </row>
    <row r="237" spans="2:8" s="440" customFormat="1">
      <c r="B237" s="437">
        <v>45533</v>
      </c>
      <c r="C237" s="438" t="s">
        <v>49</v>
      </c>
      <c r="D237" s="438" t="s">
        <v>85</v>
      </c>
      <c r="E237" s="438">
        <v>962043.76027199998</v>
      </c>
      <c r="F237" s="439" t="s">
        <v>26075</v>
      </c>
      <c r="G237" s="438" t="s">
        <v>65</v>
      </c>
      <c r="H237" s="438" t="s">
        <v>25949</v>
      </c>
    </row>
    <row r="238" spans="2:8" s="440" customFormat="1">
      <c r="B238" s="437">
        <v>45533</v>
      </c>
      <c r="C238" s="438" t="s">
        <v>13</v>
      </c>
      <c r="D238" s="438" t="s">
        <v>87</v>
      </c>
      <c r="E238" s="438">
        <v>69572.55</v>
      </c>
      <c r="F238" s="439" t="s">
        <v>26076</v>
      </c>
      <c r="G238" s="438" t="s">
        <v>65</v>
      </c>
      <c r="H238" s="438" t="s">
        <v>25949</v>
      </c>
    </row>
    <row r="239" spans="2:8" s="440" customFormat="1">
      <c r="B239" s="437">
        <v>45533</v>
      </c>
      <c r="C239" s="438" t="s">
        <v>20</v>
      </c>
      <c r="D239" s="438" t="s">
        <v>87</v>
      </c>
      <c r="E239" s="438">
        <v>26615.22</v>
      </c>
      <c r="F239" s="439" t="s">
        <v>26076</v>
      </c>
      <c r="G239" s="438" t="s">
        <v>65</v>
      </c>
      <c r="H239" s="438" t="s">
        <v>25949</v>
      </c>
    </row>
    <row r="240" spans="2:8" s="440" customFormat="1">
      <c r="B240" s="437">
        <v>45533</v>
      </c>
      <c r="C240" s="438" t="s">
        <v>27</v>
      </c>
      <c r="D240" s="438" t="s">
        <v>87</v>
      </c>
      <c r="E240" s="438">
        <v>79625.820000000007</v>
      </c>
      <c r="F240" s="439" t="s">
        <v>26076</v>
      </c>
      <c r="G240" s="438" t="s">
        <v>65</v>
      </c>
      <c r="H240" s="438" t="s">
        <v>25949</v>
      </c>
    </row>
    <row r="241" spans="2:8" s="440" customFormat="1">
      <c r="B241" s="437">
        <v>45533</v>
      </c>
      <c r="C241" s="438" t="s">
        <v>29</v>
      </c>
      <c r="D241" s="438" t="s">
        <v>87</v>
      </c>
      <c r="E241" s="438">
        <v>151201.06</v>
      </c>
      <c r="F241" s="439" t="s">
        <v>26076</v>
      </c>
      <c r="G241" s="438" t="s">
        <v>65</v>
      </c>
      <c r="H241" s="438" t="s">
        <v>25949</v>
      </c>
    </row>
    <row r="242" spans="2:8" s="440" customFormat="1">
      <c r="B242" s="437">
        <v>45533</v>
      </c>
      <c r="C242" s="438" t="s">
        <v>37</v>
      </c>
      <c r="D242" s="438" t="s">
        <v>87</v>
      </c>
      <c r="E242" s="438">
        <v>65672.59</v>
      </c>
      <c r="F242" s="439" t="s">
        <v>26076</v>
      </c>
      <c r="G242" s="438" t="s">
        <v>65</v>
      </c>
      <c r="H242" s="438" t="s">
        <v>25949</v>
      </c>
    </row>
    <row r="243" spans="2:8" s="440" customFormat="1">
      <c r="B243" s="437">
        <v>45533</v>
      </c>
      <c r="C243" s="438" t="s">
        <v>101</v>
      </c>
      <c r="D243" s="438" t="s">
        <v>87</v>
      </c>
      <c r="E243" s="438">
        <v>76201.100000000006</v>
      </c>
      <c r="F243" s="439" t="s">
        <v>26076</v>
      </c>
      <c r="G243" s="438" t="s">
        <v>65</v>
      </c>
      <c r="H243" s="438" t="s">
        <v>25949</v>
      </c>
    </row>
    <row r="244" spans="2:8" s="440" customFormat="1">
      <c r="B244" s="437">
        <v>45533</v>
      </c>
      <c r="C244" s="438" t="s">
        <v>104</v>
      </c>
      <c r="D244" s="438" t="s">
        <v>87</v>
      </c>
      <c r="E244" s="438">
        <f>331862.67-213000</f>
        <v>118862.66999999998</v>
      </c>
      <c r="F244" s="439" t="s">
        <v>26076</v>
      </c>
      <c r="G244" s="438" t="s">
        <v>65</v>
      </c>
      <c r="H244" s="438" t="s">
        <v>25949</v>
      </c>
    </row>
    <row r="245" spans="2:8" s="440" customFormat="1">
      <c r="B245" s="437">
        <v>45533</v>
      </c>
      <c r="C245" s="438" t="s">
        <v>108</v>
      </c>
      <c r="D245" s="438" t="s">
        <v>87</v>
      </c>
      <c r="E245" s="438">
        <v>26276.16</v>
      </c>
      <c r="F245" s="439" t="s">
        <v>26076</v>
      </c>
      <c r="G245" s="438" t="s">
        <v>65</v>
      </c>
      <c r="H245" s="438" t="s">
        <v>25949</v>
      </c>
    </row>
    <row r="246" spans="2:8" s="440" customFormat="1">
      <c r="B246" s="437">
        <v>45533</v>
      </c>
      <c r="C246" s="438" t="s">
        <v>110</v>
      </c>
      <c r="D246" s="438" t="s">
        <v>87</v>
      </c>
      <c r="E246" s="438">
        <v>146930.21</v>
      </c>
      <c r="F246" s="439" t="s">
        <v>26076</v>
      </c>
      <c r="G246" s="438" t="s">
        <v>65</v>
      </c>
      <c r="H246" s="438" t="s">
        <v>25949</v>
      </c>
    </row>
    <row r="247" spans="2:8" s="440" customFormat="1">
      <c r="B247" s="437">
        <v>45533</v>
      </c>
      <c r="C247" s="438" t="s">
        <v>112</v>
      </c>
      <c r="D247" s="438" t="s">
        <v>87</v>
      </c>
      <c r="E247" s="438">
        <v>109473.22</v>
      </c>
      <c r="F247" s="439" t="s">
        <v>26076</v>
      </c>
      <c r="G247" s="438" t="s">
        <v>65</v>
      </c>
      <c r="H247" s="438" t="s">
        <v>25949</v>
      </c>
    </row>
    <row r="248" spans="2:8" s="440" customFormat="1">
      <c r="B248" s="437">
        <v>45533</v>
      </c>
      <c r="C248" s="438" t="s">
        <v>116</v>
      </c>
      <c r="D248" s="438" t="s">
        <v>87</v>
      </c>
      <c r="E248" s="438">
        <v>49823.59</v>
      </c>
      <c r="F248" s="439" t="s">
        <v>26076</v>
      </c>
      <c r="G248" s="438" t="s">
        <v>65</v>
      </c>
      <c r="H248" s="438" t="s">
        <v>25949</v>
      </c>
    </row>
    <row r="249" spans="2:8" s="440" customFormat="1">
      <c r="B249" s="437">
        <v>45533</v>
      </c>
      <c r="C249" s="438" t="s">
        <v>119</v>
      </c>
      <c r="D249" s="438" t="s">
        <v>87</v>
      </c>
      <c r="E249" s="438">
        <v>108681.13</v>
      </c>
      <c r="F249" s="439" t="s">
        <v>26076</v>
      </c>
      <c r="G249" s="438" t="s">
        <v>65</v>
      </c>
      <c r="H249" s="438" t="s">
        <v>25949</v>
      </c>
    </row>
    <row r="250" spans="2:8" s="440" customFormat="1">
      <c r="B250" s="437">
        <v>45533</v>
      </c>
      <c r="C250" s="438" t="s">
        <v>35</v>
      </c>
      <c r="D250" s="438" t="s">
        <v>87</v>
      </c>
      <c r="E250" s="438">
        <v>177000</v>
      </c>
      <c r="F250" s="439" t="s">
        <v>26078</v>
      </c>
      <c r="G250" s="438" t="s">
        <v>65</v>
      </c>
      <c r="H250" s="438" t="s">
        <v>25949</v>
      </c>
    </row>
    <row r="251" spans="2:8" s="440" customFormat="1">
      <c r="B251" s="437">
        <v>45533</v>
      </c>
      <c r="C251" s="438" t="s">
        <v>60</v>
      </c>
      <c r="D251" s="438" t="s">
        <v>87</v>
      </c>
      <c r="E251" s="438">
        <v>135000</v>
      </c>
      <c r="F251" s="439" t="s">
        <v>26078</v>
      </c>
      <c r="G251" s="438" t="s">
        <v>65</v>
      </c>
      <c r="H251" s="438" t="s">
        <v>25949</v>
      </c>
    </row>
    <row r="252" spans="2:8" s="440" customFormat="1">
      <c r="B252" s="437">
        <v>45533</v>
      </c>
      <c r="C252" s="438" t="s">
        <v>62</v>
      </c>
      <c r="D252" s="438" t="s">
        <v>87</v>
      </c>
      <c r="E252" s="438">
        <v>199609.77</v>
      </c>
      <c r="F252" s="439" t="s">
        <v>26078</v>
      </c>
      <c r="G252" s="438" t="s">
        <v>65</v>
      </c>
      <c r="H252" s="438" t="s">
        <v>25949</v>
      </c>
    </row>
    <row r="253" spans="2:8" s="440" customFormat="1">
      <c r="B253" s="437">
        <v>45533</v>
      </c>
      <c r="C253" s="438" t="s">
        <v>104</v>
      </c>
      <c r="D253" s="438" t="s">
        <v>87</v>
      </c>
      <c r="E253" s="438">
        <v>213000</v>
      </c>
      <c r="F253" s="439" t="s">
        <v>26078</v>
      </c>
      <c r="G253" s="438" t="s">
        <v>65</v>
      </c>
      <c r="H253" s="438" t="s">
        <v>25949</v>
      </c>
    </row>
    <row r="254" spans="2:8" s="440" customFormat="1">
      <c r="B254" s="437">
        <v>45533</v>
      </c>
      <c r="C254" s="438" t="s">
        <v>15</v>
      </c>
      <c r="D254" s="438" t="s">
        <v>55</v>
      </c>
      <c r="E254" s="438">
        <f>70000+56389.87</f>
        <v>126389.87</v>
      </c>
      <c r="F254" s="439" t="s">
        <v>26079</v>
      </c>
      <c r="G254" s="438" t="s">
        <v>65</v>
      </c>
      <c r="H254" s="438" t="s">
        <v>25949</v>
      </c>
    </row>
    <row r="255" spans="2:8" s="440" customFormat="1">
      <c r="B255" s="437">
        <v>45533</v>
      </c>
      <c r="C255" s="438" t="s">
        <v>90</v>
      </c>
      <c r="D255" s="438" t="s">
        <v>55</v>
      </c>
      <c r="E255" s="438">
        <f>70000+89889.62</f>
        <v>159889.62</v>
      </c>
      <c r="F255" s="439" t="s">
        <v>26080</v>
      </c>
      <c r="G255" s="438" t="s">
        <v>65</v>
      </c>
      <c r="H255" s="438" t="s">
        <v>25949</v>
      </c>
    </row>
    <row r="256" spans="2:8" s="440" customFormat="1">
      <c r="B256" s="437">
        <v>45533</v>
      </c>
      <c r="C256" s="438" t="s">
        <v>99</v>
      </c>
      <c r="D256" s="438" t="s">
        <v>55</v>
      </c>
      <c r="E256" s="438">
        <v>70000</v>
      </c>
      <c r="F256" s="439" t="s">
        <v>26081</v>
      </c>
      <c r="G256" s="438" t="s">
        <v>65</v>
      </c>
      <c r="H256" s="438" t="s">
        <v>25949</v>
      </c>
    </row>
    <row r="257" spans="2:8" s="440" customFormat="1">
      <c r="B257" s="437">
        <v>45533</v>
      </c>
      <c r="C257" s="438" t="s">
        <v>49</v>
      </c>
      <c r="D257" s="438" t="s">
        <v>55</v>
      </c>
      <c r="E257" s="438">
        <v>70000</v>
      </c>
      <c r="F257" s="439" t="s">
        <v>26081</v>
      </c>
      <c r="G257" s="438" t="s">
        <v>65</v>
      </c>
      <c r="H257" s="438" t="s">
        <v>25949</v>
      </c>
    </row>
    <row r="258" spans="2:8">
      <c r="B258" s="188">
        <v>45456</v>
      </c>
      <c r="C258" s="152" t="s">
        <v>25912</v>
      </c>
      <c r="D258" s="162" t="s">
        <v>46</v>
      </c>
      <c r="E258" s="162">
        <v>6206.9</v>
      </c>
      <c r="F258" s="250" t="s">
        <v>46</v>
      </c>
    </row>
    <row r="259" spans="2:8">
      <c r="B259" s="188">
        <v>45456</v>
      </c>
      <c r="C259" s="152" t="s">
        <v>95</v>
      </c>
      <c r="D259" s="162" t="s">
        <v>46</v>
      </c>
      <c r="E259" s="162">
        <v>6206.9</v>
      </c>
      <c r="F259" s="250" t="s">
        <v>46</v>
      </c>
    </row>
    <row r="260" spans="2:8" s="230" customFormat="1">
      <c r="B260" s="188">
        <v>45481</v>
      </c>
      <c r="C260" s="162" t="s">
        <v>122</v>
      </c>
      <c r="D260" s="162" t="s">
        <v>81</v>
      </c>
      <c r="E260" s="162">
        <v>39532.36</v>
      </c>
      <c r="F260" s="250" t="s">
        <v>26082</v>
      </c>
    </row>
    <row r="261" spans="2:8" s="230" customFormat="1">
      <c r="B261" s="188">
        <v>45481</v>
      </c>
      <c r="C261" s="162" t="s">
        <v>88</v>
      </c>
      <c r="D261" s="162" t="s">
        <v>81</v>
      </c>
      <c r="E261" s="162">
        <v>100312.77</v>
      </c>
      <c r="F261" s="250" t="s">
        <v>26082</v>
      </c>
    </row>
    <row r="262" spans="2:8" s="230" customFormat="1">
      <c r="B262" s="188">
        <v>45481</v>
      </c>
      <c r="C262" s="162" t="s">
        <v>26010</v>
      </c>
      <c r="D262" s="162" t="s">
        <v>81</v>
      </c>
      <c r="E262" s="162">
        <v>110845.13</v>
      </c>
      <c r="F262" s="250" t="s">
        <v>26082</v>
      </c>
    </row>
    <row r="263" spans="2:8" s="230" customFormat="1">
      <c r="B263" s="188">
        <v>45503</v>
      </c>
      <c r="C263" s="162" t="s">
        <v>93</v>
      </c>
      <c r="D263" s="162" t="s">
        <v>38</v>
      </c>
      <c r="E263" s="162">
        <v>18000</v>
      </c>
      <c r="F263" s="250" t="s">
        <v>26083</v>
      </c>
    </row>
    <row r="264" spans="2:8" s="230" customFormat="1">
      <c r="B264" s="188">
        <v>45503</v>
      </c>
      <c r="C264" s="162" t="s">
        <v>95</v>
      </c>
      <c r="D264" s="162" t="s">
        <v>38</v>
      </c>
      <c r="E264" s="162">
        <v>8000</v>
      </c>
      <c r="F264" s="250" t="s">
        <v>26083</v>
      </c>
    </row>
    <row r="265" spans="2:8" s="230" customFormat="1">
      <c r="B265" s="188">
        <v>45504</v>
      </c>
      <c r="C265" s="162" t="s">
        <v>122</v>
      </c>
      <c r="D265" s="162" t="s">
        <v>9363</v>
      </c>
      <c r="E265" s="162">
        <v>18000</v>
      </c>
      <c r="F265" s="250" t="s">
        <v>26084</v>
      </c>
    </row>
    <row r="266" spans="2:8" s="230" customFormat="1">
      <c r="B266" s="188">
        <v>45504</v>
      </c>
      <c r="C266" s="162" t="s">
        <v>122</v>
      </c>
      <c r="D266" s="162" t="s">
        <v>26085</v>
      </c>
      <c r="E266" s="162">
        <v>18000</v>
      </c>
      <c r="F266" s="250" t="s">
        <v>26084</v>
      </c>
    </row>
    <row r="267" spans="2:8" s="230" customFormat="1">
      <c r="B267" s="151">
        <v>45530</v>
      </c>
      <c r="C267" s="152" t="s">
        <v>97</v>
      </c>
      <c r="D267" s="152" t="s">
        <v>19</v>
      </c>
      <c r="E267" s="152">
        <v>1124846</v>
      </c>
      <c r="F267" s="161" t="s">
        <v>26070</v>
      </c>
    </row>
    <row r="268" spans="2:8" s="230" customFormat="1">
      <c r="B268" s="151">
        <v>45530</v>
      </c>
      <c r="C268" s="152" t="s">
        <v>66</v>
      </c>
      <c r="D268" s="152" t="s">
        <v>19</v>
      </c>
      <c r="E268" s="152">
        <v>1124846</v>
      </c>
      <c r="F268" s="161" t="s">
        <v>26070</v>
      </c>
    </row>
    <row r="269" spans="2:8">
      <c r="B269" s="151">
        <v>45530</v>
      </c>
      <c r="C269" s="152" t="s">
        <v>66</v>
      </c>
      <c r="D269" s="152" t="s">
        <v>22</v>
      </c>
      <c r="E269" s="152">
        <v>259146.86</v>
      </c>
      <c r="F269" s="161" t="s">
        <v>22</v>
      </c>
    </row>
    <row r="270" spans="2:8">
      <c r="B270" s="151">
        <v>45530</v>
      </c>
      <c r="C270" s="152" t="s">
        <v>68</v>
      </c>
      <c r="D270" s="152" t="s">
        <v>22</v>
      </c>
      <c r="E270" s="152">
        <v>259146.86</v>
      </c>
      <c r="F270" s="161" t="s">
        <v>22</v>
      </c>
    </row>
    <row r="271" spans="2:8">
      <c r="B271" s="151">
        <v>45530</v>
      </c>
      <c r="C271" s="152" t="s">
        <v>70</v>
      </c>
      <c r="D271" s="152" t="s">
        <v>22</v>
      </c>
      <c r="E271" s="152">
        <v>259146.86</v>
      </c>
      <c r="F271" s="161" t="s">
        <v>22</v>
      </c>
    </row>
    <row r="272" spans="2:8">
      <c r="B272" s="151">
        <v>45530</v>
      </c>
      <c r="C272" s="152" t="s">
        <v>84</v>
      </c>
      <c r="D272" s="152" t="s">
        <v>22</v>
      </c>
      <c r="E272" s="152">
        <v>259146.86</v>
      </c>
      <c r="F272" s="161" t="s">
        <v>22</v>
      </c>
    </row>
    <row r="273" spans="2:8">
      <c r="B273" s="151">
        <v>45530</v>
      </c>
      <c r="C273" s="152" t="s">
        <v>86</v>
      </c>
      <c r="D273" s="152" t="s">
        <v>22</v>
      </c>
      <c r="E273" s="152">
        <v>259146.86</v>
      </c>
      <c r="F273" s="161" t="s">
        <v>22</v>
      </c>
    </row>
    <row r="274" spans="2:8">
      <c r="B274" s="151">
        <v>45530</v>
      </c>
      <c r="C274" s="152" t="s">
        <v>93</v>
      </c>
      <c r="D274" s="152" t="s">
        <v>22</v>
      </c>
      <c r="E274" s="152">
        <v>67038</v>
      </c>
      <c r="F274" s="161" t="s">
        <v>22</v>
      </c>
    </row>
    <row r="275" spans="2:8">
      <c r="B275" s="151">
        <v>45530</v>
      </c>
      <c r="C275" s="152" t="s">
        <v>95</v>
      </c>
      <c r="D275" s="152" t="s">
        <v>22</v>
      </c>
      <c r="E275" s="152">
        <v>173230.13</v>
      </c>
      <c r="F275" s="161" t="s">
        <v>22</v>
      </c>
    </row>
    <row r="276" spans="2:8">
      <c r="B276" s="151">
        <v>45530</v>
      </c>
      <c r="C276" s="152" t="s">
        <v>111</v>
      </c>
      <c r="D276" s="152" t="s">
        <v>22</v>
      </c>
      <c r="E276" s="152">
        <v>259146.86</v>
      </c>
      <c r="F276" s="161" t="s">
        <v>22</v>
      </c>
    </row>
    <row r="277" spans="2:8">
      <c r="B277" s="151">
        <v>45530</v>
      </c>
      <c r="C277" s="152" t="s">
        <v>117</v>
      </c>
      <c r="D277" s="152" t="s">
        <v>22</v>
      </c>
      <c r="E277" s="152">
        <v>259146.86</v>
      </c>
      <c r="F277" s="161" t="s">
        <v>22</v>
      </c>
    </row>
    <row r="278" spans="2:8">
      <c r="B278" s="151">
        <v>45530</v>
      </c>
      <c r="C278" s="152" t="s">
        <v>119</v>
      </c>
      <c r="D278" s="152" t="s">
        <v>59</v>
      </c>
      <c r="E278" s="152">
        <v>18275</v>
      </c>
      <c r="F278" s="161" t="s">
        <v>26086</v>
      </c>
    </row>
    <row r="279" spans="2:8">
      <c r="B279" s="151">
        <v>45530</v>
      </c>
      <c r="C279" s="152" t="s">
        <v>120</v>
      </c>
      <c r="D279" s="152" t="s">
        <v>59</v>
      </c>
      <c r="E279" s="152">
        <v>14075</v>
      </c>
      <c r="F279" s="161" t="s">
        <v>26086</v>
      </c>
      <c r="G279" t="s">
        <v>59</v>
      </c>
      <c r="H279" t="s">
        <v>8</v>
      </c>
    </row>
    <row r="280" spans="2:8">
      <c r="B280" s="151"/>
      <c r="C280" s="152"/>
      <c r="D280" s="152"/>
      <c r="E280" s="152">
        <v>0</v>
      </c>
      <c r="F280" s="153">
        <v>0</v>
      </c>
    </row>
    <row r="281" spans="2:8">
      <c r="B281" s="151"/>
      <c r="C281" s="152"/>
      <c r="D281" s="152"/>
      <c r="E281" s="152">
        <v>0</v>
      </c>
      <c r="F281" s="153">
        <v>0</v>
      </c>
    </row>
    <row r="282" spans="2:8">
      <c r="B282" s="151"/>
      <c r="C282" s="152"/>
      <c r="D282" s="152"/>
      <c r="E282" s="152">
        <v>0</v>
      </c>
      <c r="F282" s="153">
        <v>0</v>
      </c>
    </row>
    <row r="283" spans="2:8">
      <c r="B283" s="151"/>
      <c r="C283" s="152"/>
      <c r="D283" s="152"/>
      <c r="E283" s="152">
        <v>0</v>
      </c>
      <c r="F283" s="153">
        <v>0</v>
      </c>
    </row>
    <row r="284" spans="2:8">
      <c r="B284" s="151"/>
      <c r="C284" s="152"/>
      <c r="D284" s="152"/>
      <c r="E284" s="152">
        <v>0</v>
      </c>
      <c r="F284" s="153">
        <v>0</v>
      </c>
    </row>
    <row r="285" spans="2:8">
      <c r="B285" s="151"/>
      <c r="C285" s="152"/>
      <c r="D285" s="152"/>
      <c r="E285" s="152">
        <v>0</v>
      </c>
      <c r="F285" s="153">
        <v>0</v>
      </c>
    </row>
    <row r="286" spans="2:8">
      <c r="B286" s="151"/>
      <c r="C286" s="152"/>
      <c r="D286" s="152"/>
      <c r="E286" s="152">
        <v>0</v>
      </c>
      <c r="F286" s="153">
        <v>0</v>
      </c>
    </row>
    <row r="287" spans="2:8">
      <c r="B287" s="151"/>
      <c r="C287" s="152"/>
      <c r="D287" s="152"/>
      <c r="E287" s="152">
        <v>0</v>
      </c>
      <c r="F287" s="153">
        <v>0</v>
      </c>
    </row>
    <row r="288" spans="2:8">
      <c r="B288" s="151"/>
      <c r="C288" s="152"/>
      <c r="D288" s="152"/>
      <c r="E288" s="152">
        <v>0</v>
      </c>
      <c r="F288" s="153">
        <v>0</v>
      </c>
    </row>
    <row r="289" spans="2:6">
      <c r="B289" s="151"/>
      <c r="C289" s="152"/>
      <c r="D289" s="152"/>
      <c r="E289" s="152">
        <v>0</v>
      </c>
      <c r="F289" s="153">
        <v>0</v>
      </c>
    </row>
    <row r="290" spans="2:6">
      <c r="B290" s="151"/>
      <c r="C290" s="154"/>
      <c r="D290" s="154"/>
      <c r="E290" s="154">
        <v>0</v>
      </c>
      <c r="F290" s="155">
        <v>0</v>
      </c>
    </row>
    <row r="291" spans="2:6">
      <c r="B291" s="156" t="s">
        <v>9264</v>
      </c>
      <c r="C291" s="156" t="s">
        <v>9264</v>
      </c>
      <c r="D291" s="156" t="s">
        <v>9264</v>
      </c>
      <c r="E291" s="156" t="s">
        <v>9264</v>
      </c>
      <c r="F291" s="156" t="s">
        <v>9264</v>
      </c>
    </row>
    <row r="1420" spans="10:10">
      <c r="J1420" s="249" t="e">
        <f>'Alterações (2)'!F261+63500</f>
        <v>#VALUE!</v>
      </c>
    </row>
    <row r="1506" spans="10:10">
      <c r="J1506" s="249" t="e">
        <f>79215+'Alterações (2)'!#REF!</f>
        <v>#REF!</v>
      </c>
    </row>
    <row r="2049" spans="10:10">
      <c r="J2049" s="249" t="e">
        <f>'Alterações (2)'!C192+500000</f>
        <v>#VALUE!</v>
      </c>
    </row>
    <row r="2094" spans="10:10">
      <c r="J2094">
        <f>12000+194+500000</f>
        <v>512194</v>
      </c>
    </row>
  </sheetData>
  <autoFilter ref="B3:F291" xr:uid="{AB7B82FA-0137-4FAE-9783-9C98C4E14C3C}"/>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0353E-BF98-496D-A658-C1AFA049A74F}">
  <sheetPr>
    <tabColor theme="3"/>
  </sheetPr>
  <dimension ref="A1:T166"/>
  <sheetViews>
    <sheetView zoomScaleNormal="100" workbookViewId="0">
      <pane xSplit="1" ySplit="1" topLeftCell="I124" activePane="bottomRight" state="frozen"/>
      <selection pane="bottomRight" activeCell="I124" sqref="I124"/>
      <selection pane="bottomLeft" activeCell="A2" sqref="A2"/>
      <selection pane="topRight" activeCell="B1" sqref="B1"/>
    </sheetView>
  </sheetViews>
  <sheetFormatPr defaultColWidth="9.1640625" defaultRowHeight="10.5"/>
  <cols>
    <col min="1" max="1" width="9.1640625" style="2" bestFit="1" customWidth="1"/>
    <col min="2" max="2" width="55.1640625" style="2" bestFit="1" customWidth="1"/>
    <col min="3" max="3" width="16.6640625" style="2" bestFit="1" customWidth="1"/>
    <col min="4" max="6" width="12.5" style="2" bestFit="1" customWidth="1"/>
    <col min="7" max="11" width="11.5" style="2" bestFit="1" customWidth="1"/>
    <col min="12" max="14" width="10.33203125" style="2" bestFit="1" customWidth="1"/>
    <col min="15" max="15" width="6.33203125" style="2" bestFit="1" customWidth="1"/>
    <col min="16" max="16" width="7.33203125" style="2" bestFit="1" customWidth="1"/>
    <col min="17" max="17" width="10.33203125" style="2" bestFit="1" customWidth="1"/>
    <col min="18" max="18" width="7.33203125" style="2" bestFit="1" customWidth="1"/>
    <col min="19" max="19" width="12.5" style="2" bestFit="1" customWidth="1"/>
    <col min="20" max="20" width="11" style="23" bestFit="1" customWidth="1"/>
    <col min="21" max="16384" width="9.1640625" style="2"/>
  </cols>
  <sheetData>
    <row r="1" spans="1:20">
      <c r="A1" s="4" t="s">
        <v>26214</v>
      </c>
      <c r="B1" s="4" t="s">
        <v>12</v>
      </c>
      <c r="C1" s="4" t="s">
        <v>26215</v>
      </c>
      <c r="D1" s="4" t="s">
        <v>136</v>
      </c>
      <c r="E1" s="4" t="s">
        <v>26216</v>
      </c>
      <c r="F1" s="4" t="s">
        <v>137</v>
      </c>
      <c r="G1" s="4" t="s">
        <v>26217</v>
      </c>
      <c r="H1" s="4" t="s">
        <v>26218</v>
      </c>
      <c r="I1" s="4" t="s">
        <v>26219</v>
      </c>
      <c r="J1" s="4" t="s">
        <v>26220</v>
      </c>
      <c r="K1" s="4" t="s">
        <v>26221</v>
      </c>
      <c r="L1" s="4" t="s">
        <v>26222</v>
      </c>
      <c r="M1" s="4" t="s">
        <v>26223</v>
      </c>
      <c r="N1" s="4" t="s">
        <v>26224</v>
      </c>
      <c r="O1" s="4" t="s">
        <v>26225</v>
      </c>
      <c r="P1" s="4" t="s">
        <v>26226</v>
      </c>
      <c r="Q1" s="4" t="s">
        <v>26227</v>
      </c>
      <c r="R1" s="4" t="s">
        <v>26228</v>
      </c>
      <c r="S1" s="4" t="s">
        <v>158</v>
      </c>
      <c r="T1" s="23" t="s">
        <v>26229</v>
      </c>
    </row>
    <row r="2" spans="1:20">
      <c r="A2" s="5" t="s">
        <v>15</v>
      </c>
      <c r="B2" s="3" t="str">
        <f>'Controle Projetos_Ciclo2'!F2</f>
        <v>Conexão AT - Obras</v>
      </c>
      <c r="C2" s="5">
        <f>SUMIFS('Controle Projetos_Ciclo2'!$O:$O,'Controle Projetos_Ciclo2'!$D:$D,$A2,'Controle Projetos_Ciclo2'!$F:$F,$B2)</f>
        <v>4141410.2</v>
      </c>
      <c r="D2" s="5">
        <f>SUMIFS('Controle Projetos_Ciclo2'!$R:$R,'Controle Projetos_Ciclo2'!$D:$D,$A2,'Controle Projetos_Ciclo2'!$F:$F,$B2)</f>
        <v>4141410.2</v>
      </c>
      <c r="E2" s="6">
        <f t="shared" ref="E2:E65" si="0">IF(B2="Construção - Serviços de Construção - Substituição",-(C2-D2),IF((C2-D2)&lt;0,-(C2-D2),0))</f>
        <v>0</v>
      </c>
      <c r="F2" s="4">
        <f t="shared" ref="F2:F33" si="1">C2-D2+E2</f>
        <v>0</v>
      </c>
      <c r="G2" s="6" t="s">
        <v>26230</v>
      </c>
      <c r="H2" s="6" t="s">
        <v>193</v>
      </c>
      <c r="I2" s="6" t="s">
        <v>26230</v>
      </c>
      <c r="J2" s="6" t="s">
        <v>193</v>
      </c>
      <c r="K2" s="6" t="s">
        <v>26230</v>
      </c>
      <c r="L2" s="6" t="s">
        <v>26230</v>
      </c>
      <c r="M2" s="6" t="s">
        <v>26230</v>
      </c>
      <c r="N2" s="6" t="s">
        <v>26230</v>
      </c>
      <c r="O2" s="6" t="s">
        <v>26230</v>
      </c>
      <c r="P2" s="6" t="s">
        <v>26230</v>
      </c>
      <c r="Q2" s="6" t="s">
        <v>26230</v>
      </c>
      <c r="R2" s="6" t="s">
        <v>26230</v>
      </c>
      <c r="S2" s="2">
        <f t="shared" ref="S2:S33" si="2">SUM(G2:R2)</f>
        <v>0</v>
      </c>
      <c r="T2" s="23">
        <f t="shared" ref="T2:T33" si="3">IF(SUM(G2:R2)=0,0,ROUND(S2-F2,0))</f>
        <v>0</v>
      </c>
    </row>
    <row r="3" spans="1:20">
      <c r="A3" s="2" t="str">
        <f t="shared" ref="A3:A33" si="4">A2</f>
        <v>Mori II</v>
      </c>
      <c r="B3" s="3" t="str">
        <f>'Controle Projetos_Ciclo2'!F3</f>
        <v>Conexão MT - Obras</v>
      </c>
      <c r="C3" s="5">
        <f>SUMIFS('Controle Projetos_Ciclo2'!$O:$O,'Controle Projetos_Ciclo2'!$D:$D,$A3,'Controle Projetos_Ciclo2'!$F:$F,$B3)</f>
        <v>32011443.659999996</v>
      </c>
      <c r="D3" s="5">
        <f>SUMIFS('Controle Projetos_Ciclo2'!$R:$R,'Controle Projetos_Ciclo2'!$D:$D,$A3,'Controle Projetos_Ciclo2'!$F:$F,$B3)</f>
        <v>32011443.659999996</v>
      </c>
      <c r="E3" s="6">
        <f t="shared" si="0"/>
        <v>0</v>
      </c>
      <c r="F3" s="4">
        <f t="shared" si="1"/>
        <v>0</v>
      </c>
      <c r="G3" s="6">
        <v>0</v>
      </c>
      <c r="H3" s="6" t="s">
        <v>193</v>
      </c>
      <c r="I3" s="6" t="s">
        <v>26230</v>
      </c>
      <c r="J3" s="6" t="s">
        <v>193</v>
      </c>
      <c r="K3" s="6" t="s">
        <v>26230</v>
      </c>
      <c r="L3" s="6" t="s">
        <v>26230</v>
      </c>
      <c r="M3" s="6" t="s">
        <v>26230</v>
      </c>
      <c r="N3" s="6" t="s">
        <v>26230</v>
      </c>
      <c r="O3" s="6" t="s">
        <v>26230</v>
      </c>
      <c r="P3" s="6" t="s">
        <v>26230</v>
      </c>
      <c r="Q3" s="6" t="s">
        <v>26230</v>
      </c>
      <c r="R3" s="6" t="s">
        <v>26230</v>
      </c>
      <c r="S3" s="2">
        <f t="shared" si="2"/>
        <v>0</v>
      </c>
      <c r="T3" s="23">
        <f t="shared" si="3"/>
        <v>0</v>
      </c>
    </row>
    <row r="4" spans="1:20">
      <c r="A4" s="2" t="str">
        <f t="shared" si="4"/>
        <v>Mori II</v>
      </c>
      <c r="B4" s="3" t="str">
        <f>'Controle Projetos_Ciclo2'!F4</f>
        <v>Construção - Serviços de Construção</v>
      </c>
      <c r="C4" s="5">
        <f>SUMIFS('Controle Projetos_Ciclo2'!$O:$O,'Controle Projetos_Ciclo2'!$D:$D,$A4,'Controle Projetos_Ciclo2'!$F:$F,$B4)</f>
        <v>20166134.18</v>
      </c>
      <c r="D4" s="5">
        <f>SUMIFS('Controle Projetos_Ciclo2'!$R:$R,'Controle Projetos_Ciclo2'!$D:$D,$A4,'Controle Projetos_Ciclo2'!$F:$F,$B4)</f>
        <v>19756210.579999998</v>
      </c>
      <c r="E4" s="6">
        <v>-111378.32</v>
      </c>
      <c r="F4" s="4">
        <f t="shared" si="1"/>
        <v>298545.28000000148</v>
      </c>
      <c r="G4" s="6">
        <v>200000</v>
      </c>
      <c r="H4" s="6">
        <v>98545</v>
      </c>
      <c r="I4" s="6" t="s">
        <v>26230</v>
      </c>
      <c r="J4" s="6" t="s">
        <v>193</v>
      </c>
      <c r="K4" s="6" t="s">
        <v>26230</v>
      </c>
      <c r="L4" s="6" t="s">
        <v>26230</v>
      </c>
      <c r="M4" s="6" t="s">
        <v>26230</v>
      </c>
      <c r="N4" s="6" t="s">
        <v>26230</v>
      </c>
      <c r="O4" s="6" t="s">
        <v>26230</v>
      </c>
      <c r="P4" s="6" t="s">
        <v>26230</v>
      </c>
      <c r="Q4" s="6" t="s">
        <v>26230</v>
      </c>
      <c r="R4" s="6" t="s">
        <v>26230</v>
      </c>
      <c r="S4" s="2">
        <f t="shared" si="2"/>
        <v>298545</v>
      </c>
      <c r="T4" s="23">
        <f t="shared" si="3"/>
        <v>0</v>
      </c>
    </row>
    <row r="5" spans="1:20">
      <c r="A5" s="2" t="str">
        <f t="shared" si="4"/>
        <v>Mori II</v>
      </c>
      <c r="B5" s="3" t="str">
        <f>'Controle Projetos_Ciclo2'!F5</f>
        <v>Construção - Serviços de Construção - Substituição</v>
      </c>
      <c r="C5" s="5">
        <f>SUMIFS('Controle Projetos_Ciclo2'!$O:$O,'Controle Projetos_Ciclo2'!$D:$D,$A5,'Controle Projetos_Ciclo2'!$F:$F,$B5)</f>
        <v>22466903.140000001</v>
      </c>
      <c r="D5" s="5">
        <f>SUMIFS('Controle Projetos_Ciclo2'!$R:$R,'Controle Projetos_Ciclo2'!$D:$D,$A5,'Controle Projetos_Ciclo2'!$F:$F,$B5)</f>
        <v>15901078.850000001</v>
      </c>
      <c r="E5" s="6">
        <f t="shared" si="0"/>
        <v>-6565824.2899999991</v>
      </c>
      <c r="F5" s="4">
        <f t="shared" si="1"/>
        <v>0</v>
      </c>
      <c r="G5" s="6" t="s">
        <v>26230</v>
      </c>
      <c r="H5" s="6" t="s">
        <v>193</v>
      </c>
      <c r="I5" s="6" t="s">
        <v>26230</v>
      </c>
      <c r="J5" s="6" t="s">
        <v>193</v>
      </c>
      <c r="K5" s="6" t="s">
        <v>26230</v>
      </c>
      <c r="L5" s="6" t="s">
        <v>26230</v>
      </c>
      <c r="M5" s="6" t="s">
        <v>26230</v>
      </c>
      <c r="N5" s="6" t="s">
        <v>26230</v>
      </c>
      <c r="O5" s="6" t="s">
        <v>26230</v>
      </c>
      <c r="P5" s="6" t="s">
        <v>26230</v>
      </c>
      <c r="Q5" s="6" t="s">
        <v>26230</v>
      </c>
      <c r="R5" s="6" t="s">
        <v>26230</v>
      </c>
      <c r="S5" s="2">
        <f t="shared" si="2"/>
        <v>0</v>
      </c>
      <c r="T5" s="23">
        <f t="shared" si="3"/>
        <v>0</v>
      </c>
    </row>
    <row r="6" spans="1:20">
      <c r="A6" s="2" t="str">
        <f t="shared" si="4"/>
        <v>Mori II</v>
      </c>
      <c r="B6" s="3" t="str">
        <f>'Controle Projetos_Ciclo2'!F6</f>
        <v>Construção - RDA Interno</v>
      </c>
      <c r="C6" s="5">
        <f>SUMIFS('Controle Projetos_Ciclo2'!$O:$O,'Controle Projetos_Ciclo2'!$D:$D,$A6,'Controle Projetos_Ciclo2'!$F:$F,$B6)</f>
        <v>4148512.5500000003</v>
      </c>
      <c r="D6" s="5">
        <f>SUMIFS('Controle Projetos_Ciclo2'!$R:$R,'Controle Projetos_Ciclo2'!$D:$D,$A6,'Controle Projetos_Ciclo2'!$F:$F,$B6)</f>
        <v>4148512.5500000003</v>
      </c>
      <c r="E6" s="6">
        <f t="shared" si="0"/>
        <v>0</v>
      </c>
      <c r="F6" s="4">
        <f t="shared" si="1"/>
        <v>0</v>
      </c>
      <c r="G6" s="6">
        <v>0</v>
      </c>
      <c r="H6" s="6">
        <v>0</v>
      </c>
      <c r="I6" s="6">
        <v>0</v>
      </c>
      <c r="J6" s="6" t="s">
        <v>193</v>
      </c>
      <c r="K6" s="6" t="s">
        <v>26230</v>
      </c>
      <c r="L6" s="6" t="s">
        <v>26230</v>
      </c>
      <c r="M6" s="6" t="s">
        <v>26230</v>
      </c>
      <c r="N6" s="6" t="s">
        <v>26230</v>
      </c>
      <c r="O6" s="6" t="s">
        <v>26230</v>
      </c>
      <c r="P6" s="6" t="s">
        <v>26230</v>
      </c>
      <c r="Q6" s="6" t="s">
        <v>26230</v>
      </c>
      <c r="R6" s="6" t="s">
        <v>26230</v>
      </c>
      <c r="S6" s="2">
        <f t="shared" si="2"/>
        <v>0</v>
      </c>
      <c r="T6" s="23">
        <f t="shared" si="3"/>
        <v>0</v>
      </c>
    </row>
    <row r="7" spans="1:20">
      <c r="A7" s="2" t="str">
        <f t="shared" si="4"/>
        <v>Mori II</v>
      </c>
      <c r="B7" s="3" t="str">
        <f>'Controle Projetos_Ciclo2'!F7</f>
        <v>Full EPC - Contrato</v>
      </c>
      <c r="C7" s="5">
        <f>SUMIFS('Controle Projetos_Ciclo2'!$O:$O,'Controle Projetos_Ciclo2'!$D:$D,$A7,'Controle Projetos_Ciclo2'!$F:$F,$B7)</f>
        <v>38153703.688999996</v>
      </c>
      <c r="D7" s="5">
        <f>SUMIFS('Controle Projetos_Ciclo2'!$R:$R,'Controle Projetos_Ciclo2'!$D:$D,$A7,'Controle Projetos_Ciclo2'!$F:$F,$B7)</f>
        <v>38153703.688999996</v>
      </c>
      <c r="E7" s="6">
        <f t="shared" si="0"/>
        <v>0</v>
      </c>
      <c r="F7" s="27">
        <f t="shared" si="1"/>
        <v>0</v>
      </c>
      <c r="G7" s="6">
        <v>125731</v>
      </c>
      <c r="H7" s="6">
        <v>0</v>
      </c>
      <c r="I7" s="6">
        <v>0</v>
      </c>
      <c r="J7" s="6" t="s">
        <v>193</v>
      </c>
      <c r="K7" s="6" t="s">
        <v>26230</v>
      </c>
      <c r="L7" s="6" t="s">
        <v>26230</v>
      </c>
      <c r="M7" s="6" t="s">
        <v>26230</v>
      </c>
      <c r="N7" s="6" t="s">
        <v>26230</v>
      </c>
      <c r="O7" s="6" t="s">
        <v>26230</v>
      </c>
      <c r="P7" s="6" t="s">
        <v>26230</v>
      </c>
      <c r="Q7" s="6" t="s">
        <v>26230</v>
      </c>
      <c r="R7" s="6" t="s">
        <v>26230</v>
      </c>
      <c r="S7" s="2">
        <f t="shared" si="2"/>
        <v>125731</v>
      </c>
      <c r="T7" s="23">
        <f t="shared" si="3"/>
        <v>125731</v>
      </c>
    </row>
    <row r="8" spans="1:20">
      <c r="A8" s="2" t="str">
        <f t="shared" si="4"/>
        <v>Mori II</v>
      </c>
      <c r="B8" s="3" t="str">
        <f>'Controle Projetos_Ciclo2'!F8</f>
        <v>Equipamentos Curva A - Outros (Transformadores)</v>
      </c>
      <c r="C8" s="5">
        <f>SUMIFS('Controle Projetos_Ciclo2'!$O:$O,'Controle Projetos_Ciclo2'!$D:$D,$A8,'Controle Projetos_Ciclo2'!$F:$F,$B8)</f>
        <v>0</v>
      </c>
      <c r="D8" s="5">
        <f>SUMIFS('Controle Projetos_Ciclo2'!$R:$R,'Controle Projetos_Ciclo2'!$D:$D,$A8,'Controle Projetos_Ciclo2'!$F:$F,$B8)</f>
        <v>0</v>
      </c>
      <c r="E8" s="6">
        <f t="shared" si="0"/>
        <v>0</v>
      </c>
      <c r="F8" s="4">
        <f t="shared" si="1"/>
        <v>0</v>
      </c>
      <c r="G8" s="6" t="s">
        <v>26230</v>
      </c>
      <c r="H8" s="6" t="s">
        <v>26230</v>
      </c>
      <c r="I8" s="6" t="s">
        <v>26230</v>
      </c>
      <c r="J8" s="6" t="s">
        <v>26230</v>
      </c>
      <c r="K8" s="6" t="s">
        <v>26230</v>
      </c>
      <c r="L8" s="6" t="s">
        <v>26230</v>
      </c>
      <c r="M8" s="6" t="s">
        <v>26230</v>
      </c>
      <c r="N8" s="6" t="s">
        <v>26230</v>
      </c>
      <c r="O8" s="6" t="s">
        <v>26230</v>
      </c>
      <c r="P8" s="6" t="s">
        <v>26230</v>
      </c>
      <c r="Q8" s="6" t="s">
        <v>26230</v>
      </c>
      <c r="R8" s="6" t="s">
        <v>26230</v>
      </c>
      <c r="S8" s="2">
        <f t="shared" si="2"/>
        <v>0</v>
      </c>
      <c r="T8" s="23">
        <f t="shared" si="3"/>
        <v>0</v>
      </c>
    </row>
    <row r="9" spans="1:20">
      <c r="A9" s="2" t="str">
        <f t="shared" si="4"/>
        <v>Mori II</v>
      </c>
      <c r="B9" s="3" t="str">
        <f>'Controle Projetos_Ciclo2'!F9</f>
        <v>Equipamentos Curva A - Outros (Cabine + Skid)</v>
      </c>
      <c r="C9" s="5">
        <f>SUMIFS('Controle Projetos_Ciclo2'!$O:$O,'Controle Projetos_Ciclo2'!$D:$D,$A9,'Controle Projetos_Ciclo2'!$F:$F,$B9)</f>
        <v>0</v>
      </c>
      <c r="D9" s="5">
        <f>SUMIFS('Controle Projetos_Ciclo2'!$R:$R,'Controle Projetos_Ciclo2'!$D:$D,$A9,'Controle Projetos_Ciclo2'!$F:$F,$B9)</f>
        <v>0</v>
      </c>
      <c r="E9" s="6">
        <f t="shared" si="0"/>
        <v>0</v>
      </c>
      <c r="F9" s="4">
        <f t="shared" si="1"/>
        <v>0</v>
      </c>
      <c r="G9" s="6" t="s">
        <v>26230</v>
      </c>
      <c r="H9" s="6" t="s">
        <v>26230</v>
      </c>
      <c r="I9" s="6" t="s">
        <v>26230</v>
      </c>
      <c r="J9" s="6" t="s">
        <v>26230</v>
      </c>
      <c r="K9" s="6" t="s">
        <v>26230</v>
      </c>
      <c r="L9" s="6" t="s">
        <v>26230</v>
      </c>
      <c r="M9" s="6" t="s">
        <v>26230</v>
      </c>
      <c r="N9" s="6" t="s">
        <v>26230</v>
      </c>
      <c r="O9" s="6" t="s">
        <v>26230</v>
      </c>
      <c r="P9" s="6" t="s">
        <v>26230</v>
      </c>
      <c r="Q9" s="6" t="s">
        <v>26230</v>
      </c>
      <c r="R9" s="6" t="s">
        <v>26230</v>
      </c>
      <c r="S9" s="2">
        <f t="shared" si="2"/>
        <v>0</v>
      </c>
      <c r="T9" s="23">
        <f t="shared" si="3"/>
        <v>0</v>
      </c>
    </row>
    <row r="10" spans="1:20">
      <c r="A10" s="2" t="str">
        <f t="shared" si="4"/>
        <v>Mori II</v>
      </c>
      <c r="B10" s="3" t="str">
        <f>'Controle Projetos_Ciclo2'!F10</f>
        <v>Equipamentos Curva A - Outros (Cabine + Skid + Transformador)</v>
      </c>
      <c r="C10" s="5">
        <f>SUMIFS('Controle Projetos_Ciclo2'!$O:$O,'Controle Projetos_Ciclo2'!$D:$D,$A10,'Controle Projetos_Ciclo2'!$F:$F,$B10)</f>
        <v>11178681.966884026</v>
      </c>
      <c r="D10" s="5">
        <f>SUMIFS('Controle Projetos_Ciclo2'!$R:$R,'Controle Projetos_Ciclo2'!$D:$D,$A10,'Controle Projetos_Ciclo2'!$F:$F,$B10)</f>
        <v>11178681.966884026</v>
      </c>
      <c r="E10" s="6">
        <f t="shared" si="0"/>
        <v>0</v>
      </c>
      <c r="F10" s="4">
        <f t="shared" si="1"/>
        <v>0</v>
      </c>
      <c r="G10" s="6" t="s">
        <v>26230</v>
      </c>
      <c r="H10" s="6" t="s">
        <v>26230</v>
      </c>
      <c r="I10" s="6" t="s">
        <v>26230</v>
      </c>
      <c r="J10" s="6" t="s">
        <v>26230</v>
      </c>
      <c r="K10" s="6" t="s">
        <v>26230</v>
      </c>
      <c r="L10" s="6" t="s">
        <v>26230</v>
      </c>
      <c r="M10" s="6" t="s">
        <v>26230</v>
      </c>
      <c r="N10" s="6" t="s">
        <v>26230</v>
      </c>
      <c r="O10" s="6" t="s">
        <v>26230</v>
      </c>
      <c r="P10" s="6" t="s">
        <v>26230</v>
      </c>
      <c r="Q10" s="6" t="s">
        <v>26230</v>
      </c>
      <c r="R10" s="6" t="s">
        <v>26230</v>
      </c>
      <c r="S10" s="2">
        <f t="shared" si="2"/>
        <v>0</v>
      </c>
      <c r="T10" s="23">
        <f t="shared" si="3"/>
        <v>0</v>
      </c>
    </row>
    <row r="11" spans="1:20">
      <c r="A11" s="2" t="str">
        <f t="shared" si="4"/>
        <v>Mori II</v>
      </c>
      <c r="B11" s="3" t="str">
        <f>'Controle Projetos_Ciclo2'!F11</f>
        <v>Desenvolvimento de projeto - Projetos - (Eng° Proprietario)</v>
      </c>
      <c r="C11" s="5">
        <f>SUMIFS('Controle Projetos_Ciclo2'!$O:$O,'Controle Projetos_Ciclo2'!$D:$D,$A11,'Controle Projetos_Ciclo2'!$F:$F,$B11)</f>
        <v>2702421.57</v>
      </c>
      <c r="D11" s="5">
        <f>SUMIFS('Controle Projetos_Ciclo2'!$R:$R,'Controle Projetos_Ciclo2'!$D:$D,$A11,'Controle Projetos_Ciclo2'!$F:$F,$B11)</f>
        <v>2702421.57</v>
      </c>
      <c r="E11" s="6">
        <f t="shared" si="0"/>
        <v>0</v>
      </c>
      <c r="F11" s="4">
        <f t="shared" si="1"/>
        <v>0</v>
      </c>
      <c r="G11" s="6">
        <v>0</v>
      </c>
      <c r="H11" s="6">
        <v>0</v>
      </c>
      <c r="I11" s="6" t="s">
        <v>26230</v>
      </c>
      <c r="J11" s="6" t="s">
        <v>193</v>
      </c>
      <c r="K11" s="6" t="s">
        <v>26230</v>
      </c>
      <c r="L11" s="6" t="s">
        <v>26230</v>
      </c>
      <c r="M11" s="6" t="s">
        <v>26230</v>
      </c>
      <c r="N11" s="6" t="s">
        <v>26230</v>
      </c>
      <c r="O11" s="6" t="s">
        <v>26230</v>
      </c>
      <c r="P11" s="6" t="s">
        <v>26230</v>
      </c>
      <c r="Q11" s="6" t="s">
        <v>26230</v>
      </c>
      <c r="R11" s="6" t="s">
        <v>26230</v>
      </c>
      <c r="S11" s="2">
        <f t="shared" si="2"/>
        <v>0</v>
      </c>
      <c r="T11" s="23">
        <f t="shared" si="3"/>
        <v>0</v>
      </c>
    </row>
    <row r="12" spans="1:20">
      <c r="A12" s="2" t="str">
        <f t="shared" si="4"/>
        <v>Mori II</v>
      </c>
      <c r="B12" s="3" t="str">
        <f>'Controle Projetos_Ciclo2'!F12</f>
        <v>Desenvolvimento de projeto - Projetos - Executivos</v>
      </c>
      <c r="C12" s="5">
        <f>SUMIFS('Controle Projetos_Ciclo2'!$O:$O,'Controle Projetos_Ciclo2'!$D:$D,$A12,'Controle Projetos_Ciclo2'!$F:$F,$B12)</f>
        <v>361966.9</v>
      </c>
      <c r="D12" s="5">
        <f>SUMIFS('Controle Projetos_Ciclo2'!$R:$R,'Controle Projetos_Ciclo2'!$D:$D,$A12,'Controle Projetos_Ciclo2'!$F:$F,$B12)</f>
        <v>361966.9</v>
      </c>
      <c r="E12" s="6">
        <f t="shared" si="0"/>
        <v>0</v>
      </c>
      <c r="F12" s="4">
        <f t="shared" si="1"/>
        <v>0</v>
      </c>
      <c r="G12" s="6">
        <v>0</v>
      </c>
      <c r="H12" s="6">
        <v>0</v>
      </c>
      <c r="I12" s="6" t="s">
        <v>26230</v>
      </c>
      <c r="J12" s="6" t="s">
        <v>193</v>
      </c>
      <c r="K12" s="6" t="s">
        <v>26230</v>
      </c>
      <c r="L12" s="6" t="s">
        <v>26230</v>
      </c>
      <c r="M12" s="6" t="s">
        <v>26230</v>
      </c>
      <c r="N12" s="6" t="s">
        <v>26230</v>
      </c>
      <c r="O12" s="6" t="s">
        <v>26230</v>
      </c>
      <c r="P12" s="6" t="s">
        <v>26230</v>
      </c>
      <c r="Q12" s="6" t="s">
        <v>26230</v>
      </c>
      <c r="R12" s="6" t="s">
        <v>26230</v>
      </c>
      <c r="S12" s="2">
        <f t="shared" si="2"/>
        <v>0</v>
      </c>
      <c r="T12" s="23">
        <f t="shared" si="3"/>
        <v>0</v>
      </c>
    </row>
    <row r="13" spans="1:20">
      <c r="A13" s="2" t="str">
        <f t="shared" si="4"/>
        <v>Mori II</v>
      </c>
      <c r="B13" s="3" t="str">
        <f>'Controle Projetos_Ciclo2'!F13</f>
        <v>Desenvolvimento de projeto - Projetos Básica</v>
      </c>
      <c r="C13" s="5">
        <f>SUMIFS('Controle Projetos_Ciclo2'!$O:$O,'Controle Projetos_Ciclo2'!$D:$D,$A13,'Controle Projetos_Ciclo2'!$F:$F,$B13)</f>
        <v>98684.12</v>
      </c>
      <c r="D13" s="5">
        <f>SUMIFS('Controle Projetos_Ciclo2'!$R:$R,'Controle Projetos_Ciclo2'!$D:$D,$A13,'Controle Projetos_Ciclo2'!$F:$F,$B13)</f>
        <v>98684.12</v>
      </c>
      <c r="E13" s="6">
        <f t="shared" si="0"/>
        <v>0</v>
      </c>
      <c r="F13" s="4">
        <f t="shared" si="1"/>
        <v>0</v>
      </c>
      <c r="G13" s="6">
        <v>0</v>
      </c>
      <c r="H13" s="6" t="s">
        <v>193</v>
      </c>
      <c r="I13" s="6" t="s">
        <v>26230</v>
      </c>
      <c r="J13" s="6" t="s">
        <v>193</v>
      </c>
      <c r="K13" s="6" t="s">
        <v>26230</v>
      </c>
      <c r="L13" s="6" t="s">
        <v>26230</v>
      </c>
      <c r="M13" s="6" t="s">
        <v>26230</v>
      </c>
      <c r="N13" s="6" t="s">
        <v>26230</v>
      </c>
      <c r="O13" s="6" t="s">
        <v>26230</v>
      </c>
      <c r="P13" s="6" t="s">
        <v>26230</v>
      </c>
      <c r="Q13" s="6" t="s">
        <v>26230</v>
      </c>
      <c r="R13" s="6" t="s">
        <v>26230</v>
      </c>
      <c r="S13" s="2">
        <f t="shared" si="2"/>
        <v>0</v>
      </c>
      <c r="T13" s="23">
        <f t="shared" si="3"/>
        <v>0</v>
      </c>
    </row>
    <row r="14" spans="1:20">
      <c r="A14" s="2" t="str">
        <f t="shared" si="4"/>
        <v>Mori II</v>
      </c>
      <c r="B14" s="3" t="str">
        <f>'Controle Projetos_Ciclo2'!F14</f>
        <v>Desenvolvimento de projeto - Projetos Detalhada</v>
      </c>
      <c r="C14" s="5">
        <f>SUMIFS('Controle Projetos_Ciclo2'!$O:$O,'Controle Projetos_Ciclo2'!$D:$D,$A14,'Controle Projetos_Ciclo2'!$F:$F,$B14)</f>
        <v>264268.62</v>
      </c>
      <c r="D14" s="5">
        <f>SUMIFS('Controle Projetos_Ciclo2'!$R:$R,'Controle Projetos_Ciclo2'!$D:$D,$A14,'Controle Projetos_Ciclo2'!$F:$F,$B14)</f>
        <v>264268.62</v>
      </c>
      <c r="E14" s="6">
        <f t="shared" si="0"/>
        <v>0</v>
      </c>
      <c r="F14" s="4">
        <f t="shared" si="1"/>
        <v>0</v>
      </c>
      <c r="G14" s="6" t="s">
        <v>26230</v>
      </c>
      <c r="H14" s="6" t="s">
        <v>193</v>
      </c>
      <c r="I14" s="6" t="s">
        <v>26230</v>
      </c>
      <c r="J14" s="6" t="s">
        <v>193</v>
      </c>
      <c r="K14" s="6" t="s">
        <v>26230</v>
      </c>
      <c r="L14" s="6" t="s">
        <v>26230</v>
      </c>
      <c r="M14" s="6" t="s">
        <v>26230</v>
      </c>
      <c r="N14" s="6" t="s">
        <v>26230</v>
      </c>
      <c r="O14" s="6" t="s">
        <v>26230</v>
      </c>
      <c r="P14" s="6" t="s">
        <v>26230</v>
      </c>
      <c r="Q14" s="6" t="s">
        <v>26230</v>
      </c>
      <c r="R14" s="6" t="s">
        <v>26230</v>
      </c>
      <c r="S14" s="2">
        <f t="shared" si="2"/>
        <v>0</v>
      </c>
      <c r="T14" s="23">
        <f t="shared" si="3"/>
        <v>0</v>
      </c>
    </row>
    <row r="15" spans="1:20">
      <c r="A15" s="2" t="str">
        <f t="shared" si="4"/>
        <v>Mori II</v>
      </c>
      <c r="B15" s="3" t="str">
        <f>'Controle Projetos_Ciclo2'!F15</f>
        <v>Desenvolvimento de projeto - Ambiental / Outros</v>
      </c>
      <c r="C15" s="5">
        <f>SUMIFS('Controle Projetos_Ciclo2'!$O:$O,'Controle Projetos_Ciclo2'!$D:$D,$A15,'Controle Projetos_Ciclo2'!$F:$F,$B15)</f>
        <v>2298772.1500000004</v>
      </c>
      <c r="D15" s="5">
        <f>SUMIFS('Controle Projetos_Ciclo2'!$R:$R,'Controle Projetos_Ciclo2'!$D:$D,$A15,'Controle Projetos_Ciclo2'!$F:$F,$B15)</f>
        <v>2298772.1500000004</v>
      </c>
      <c r="E15" s="6">
        <f t="shared" si="0"/>
        <v>0</v>
      </c>
      <c r="F15" s="4">
        <f t="shared" si="1"/>
        <v>0</v>
      </c>
      <c r="G15" s="6" t="s">
        <v>26230</v>
      </c>
      <c r="H15" s="6" t="s">
        <v>26230</v>
      </c>
      <c r="I15" s="6" t="s">
        <v>26230</v>
      </c>
      <c r="J15" s="6" t="s">
        <v>26230</v>
      </c>
      <c r="K15" s="6" t="s">
        <v>26230</v>
      </c>
      <c r="L15" s="6" t="s">
        <v>26230</v>
      </c>
      <c r="M15" s="6" t="s">
        <v>26230</v>
      </c>
      <c r="N15" s="6" t="s">
        <v>26230</v>
      </c>
      <c r="O15" s="6" t="s">
        <v>26230</v>
      </c>
      <c r="P15" s="6" t="s">
        <v>26230</v>
      </c>
      <c r="Q15" s="6" t="s">
        <v>26230</v>
      </c>
      <c r="R15" s="6" t="s">
        <v>26230</v>
      </c>
      <c r="S15" s="2">
        <f t="shared" si="2"/>
        <v>0</v>
      </c>
      <c r="T15" s="23">
        <f t="shared" si="3"/>
        <v>0</v>
      </c>
    </row>
    <row r="16" spans="1:20">
      <c r="A16" s="2" t="str">
        <f t="shared" si="4"/>
        <v>Mori II</v>
      </c>
      <c r="B16" s="3" t="str">
        <f>'Controle Projetos_Ciclo2'!F16</f>
        <v>Desenvolvimento de projeto - Coordenograma</v>
      </c>
      <c r="C16" s="5">
        <f>SUMIFS('Controle Projetos_Ciclo2'!$O:$O,'Controle Projetos_Ciclo2'!$D:$D,$A16,'Controle Projetos_Ciclo2'!$F:$F,$B16)</f>
        <v>136181.09999999998</v>
      </c>
      <c r="D16" s="5">
        <f>SUMIFS('Controle Projetos_Ciclo2'!$R:$R,'Controle Projetos_Ciclo2'!$D:$D,$A16,'Controle Projetos_Ciclo2'!$F:$F,$B16)</f>
        <v>136181.09999999998</v>
      </c>
      <c r="E16" s="6">
        <f t="shared" si="0"/>
        <v>0</v>
      </c>
      <c r="F16" s="4">
        <f t="shared" si="1"/>
        <v>0</v>
      </c>
      <c r="G16" s="6">
        <v>0</v>
      </c>
      <c r="H16" s="6">
        <v>0</v>
      </c>
      <c r="I16" s="6" t="s">
        <v>26230</v>
      </c>
      <c r="J16" s="6" t="s">
        <v>193</v>
      </c>
      <c r="K16" s="6" t="s">
        <v>26230</v>
      </c>
      <c r="L16" s="6" t="s">
        <v>26230</v>
      </c>
      <c r="M16" s="6" t="s">
        <v>26230</v>
      </c>
      <c r="N16" s="6" t="s">
        <v>26230</v>
      </c>
      <c r="O16" s="6" t="s">
        <v>26230</v>
      </c>
      <c r="P16" s="6" t="s">
        <v>26230</v>
      </c>
      <c r="Q16" s="6" t="s">
        <v>26230</v>
      </c>
      <c r="R16" s="6" t="s">
        <v>26230</v>
      </c>
      <c r="S16" s="2">
        <f t="shared" si="2"/>
        <v>0</v>
      </c>
      <c r="T16" s="23">
        <f t="shared" si="3"/>
        <v>0</v>
      </c>
    </row>
    <row r="17" spans="1:20">
      <c r="A17" s="2" t="str">
        <f t="shared" si="4"/>
        <v>Mori II</v>
      </c>
      <c r="B17" s="3" t="str">
        <f>'Controle Projetos_Ciclo2'!F17</f>
        <v>Sistemas de Monitoramento - Supervisório</v>
      </c>
      <c r="C17" s="5">
        <f>SUMIFS('Controle Projetos_Ciclo2'!$O:$O,'Controle Projetos_Ciclo2'!$D:$D,$A17,'Controle Projetos_Ciclo2'!$F:$F,$B17)</f>
        <v>1913771.36</v>
      </c>
      <c r="D17" s="5">
        <f>SUMIFS('Controle Projetos_Ciclo2'!$R:$R,'Controle Projetos_Ciclo2'!$D:$D,$A17,'Controle Projetos_Ciclo2'!$F:$F,$B17)</f>
        <v>1913771.36</v>
      </c>
      <c r="E17" s="6">
        <f t="shared" si="0"/>
        <v>0</v>
      </c>
      <c r="F17" s="4">
        <f t="shared" si="1"/>
        <v>0</v>
      </c>
      <c r="G17" s="6">
        <v>0</v>
      </c>
      <c r="H17" s="6">
        <v>0</v>
      </c>
      <c r="I17" s="6">
        <v>0</v>
      </c>
      <c r="J17" s="6">
        <v>0</v>
      </c>
      <c r="K17" s="6">
        <v>0</v>
      </c>
      <c r="L17" s="6" t="s">
        <v>26230</v>
      </c>
      <c r="M17" s="6" t="s">
        <v>26230</v>
      </c>
      <c r="N17" s="6" t="s">
        <v>26230</v>
      </c>
      <c r="O17" s="6" t="s">
        <v>26230</v>
      </c>
      <c r="P17" s="6" t="s">
        <v>26230</v>
      </c>
      <c r="Q17" s="6" t="s">
        <v>26230</v>
      </c>
      <c r="R17" s="6" t="s">
        <v>26230</v>
      </c>
      <c r="S17" s="2">
        <f t="shared" si="2"/>
        <v>0</v>
      </c>
      <c r="T17" s="23">
        <f t="shared" si="3"/>
        <v>0</v>
      </c>
    </row>
    <row r="18" spans="1:20">
      <c r="A18" s="2" t="str">
        <f t="shared" si="4"/>
        <v>Mori II</v>
      </c>
      <c r="B18" s="3" t="str">
        <f>'Controle Projetos_Ciclo2'!F18</f>
        <v>Sistemas de Monitoramento - Estações Solarimétricas</v>
      </c>
      <c r="C18" s="5">
        <f>SUMIFS('Controle Projetos_Ciclo2'!$O:$O,'Controle Projetos_Ciclo2'!$D:$D,$A18,'Controle Projetos_Ciclo2'!$F:$F,$B18)</f>
        <v>531041.21</v>
      </c>
      <c r="D18" s="5">
        <f>SUMIFS('Controle Projetos_Ciclo2'!$R:$R,'Controle Projetos_Ciclo2'!$D:$D,$A18,'Controle Projetos_Ciclo2'!$F:$F,$B18)</f>
        <v>531041.21</v>
      </c>
      <c r="E18" s="6">
        <f t="shared" si="0"/>
        <v>0</v>
      </c>
      <c r="F18" s="4">
        <f t="shared" si="1"/>
        <v>0</v>
      </c>
      <c r="G18" s="6">
        <v>0</v>
      </c>
      <c r="H18" s="6">
        <v>0</v>
      </c>
      <c r="I18" s="6" t="s">
        <v>26230</v>
      </c>
      <c r="J18" s="6" t="s">
        <v>193</v>
      </c>
      <c r="K18" s="6" t="s">
        <v>26230</v>
      </c>
      <c r="L18" s="6" t="s">
        <v>26230</v>
      </c>
      <c r="M18" s="6" t="s">
        <v>26230</v>
      </c>
      <c r="N18" s="6" t="s">
        <v>26230</v>
      </c>
      <c r="O18" s="6" t="s">
        <v>26230</v>
      </c>
      <c r="P18" s="6" t="s">
        <v>26230</v>
      </c>
      <c r="Q18" s="6" t="s">
        <v>26230</v>
      </c>
      <c r="R18" s="6" t="s">
        <v>26230</v>
      </c>
      <c r="S18" s="2">
        <f t="shared" si="2"/>
        <v>0</v>
      </c>
      <c r="T18" s="23">
        <f t="shared" si="3"/>
        <v>0</v>
      </c>
    </row>
    <row r="19" spans="1:20">
      <c r="A19" s="2" t="str">
        <f t="shared" si="4"/>
        <v>Mori II</v>
      </c>
      <c r="B19" s="3" t="str">
        <f>'Controle Projetos_Ciclo2'!F19</f>
        <v>Sistemas de Monitoramento - CFTV</v>
      </c>
      <c r="C19" s="5">
        <f>SUMIFS('Controle Projetos_Ciclo2'!$O:$O,'Controle Projetos_Ciclo2'!$D:$D,$A19,'Controle Projetos_Ciclo2'!$F:$F,$B19)</f>
        <v>3819988.9799999995</v>
      </c>
      <c r="D19" s="5">
        <f>SUMIFS('Controle Projetos_Ciclo2'!$R:$R,'Controle Projetos_Ciclo2'!$D:$D,$A19,'Controle Projetos_Ciclo2'!$F:$F,$B19)</f>
        <v>3819988.9799999995</v>
      </c>
      <c r="E19" s="6">
        <f t="shared" si="0"/>
        <v>0</v>
      </c>
      <c r="F19" s="4">
        <f t="shared" si="1"/>
        <v>0</v>
      </c>
      <c r="G19" s="6">
        <v>0</v>
      </c>
      <c r="H19" s="6">
        <v>0</v>
      </c>
      <c r="I19" s="6">
        <v>0</v>
      </c>
      <c r="J19" s="6" t="s">
        <v>193</v>
      </c>
      <c r="K19" s="6" t="s">
        <v>26230</v>
      </c>
      <c r="L19" s="6" t="s">
        <v>26230</v>
      </c>
      <c r="M19" s="6" t="s">
        <v>26230</v>
      </c>
      <c r="N19" s="6" t="s">
        <v>26230</v>
      </c>
      <c r="O19" s="6" t="s">
        <v>26230</v>
      </c>
      <c r="P19" s="6" t="s">
        <v>26230</v>
      </c>
      <c r="Q19" s="6" t="s">
        <v>26230</v>
      </c>
      <c r="R19" s="6" t="s">
        <v>26230</v>
      </c>
      <c r="S19" s="2">
        <f t="shared" si="2"/>
        <v>0</v>
      </c>
      <c r="T19" s="23">
        <f t="shared" si="3"/>
        <v>0</v>
      </c>
    </row>
    <row r="20" spans="1:20">
      <c r="A20" s="2" t="str">
        <f t="shared" si="4"/>
        <v>Mori II</v>
      </c>
      <c r="B20" s="3" t="str">
        <f>'Controle Projetos_Ciclo2'!F20</f>
        <v>Serviços Auxiliares - Drenagem</v>
      </c>
      <c r="C20" s="5">
        <f>SUMIFS('Controle Projetos_Ciclo2'!$O:$O,'Controle Projetos_Ciclo2'!$D:$D,$A20,'Controle Projetos_Ciclo2'!$F:$F,$B20)</f>
        <v>10579738.489999998</v>
      </c>
      <c r="D20" s="5">
        <f>SUMIFS('Controle Projetos_Ciclo2'!$R:$R,'Controle Projetos_Ciclo2'!$D:$D,$A20,'Controle Projetos_Ciclo2'!$F:$F,$B20)</f>
        <v>10522538.489999998</v>
      </c>
      <c r="E20" s="6">
        <f t="shared" si="0"/>
        <v>0</v>
      </c>
      <c r="F20" s="4">
        <f t="shared" si="1"/>
        <v>57200</v>
      </c>
      <c r="G20" s="6">
        <v>300000</v>
      </c>
      <c r="H20" s="6">
        <v>300000</v>
      </c>
      <c r="I20" s="6">
        <v>300000</v>
      </c>
      <c r="J20" s="6">
        <v>285872</v>
      </c>
      <c r="K20" s="6" t="s">
        <v>26230</v>
      </c>
      <c r="L20" s="6" t="s">
        <v>26230</v>
      </c>
      <c r="M20" s="6" t="s">
        <v>26230</v>
      </c>
      <c r="N20" s="6" t="s">
        <v>26230</v>
      </c>
      <c r="O20" s="6" t="s">
        <v>26230</v>
      </c>
      <c r="P20" s="6" t="s">
        <v>26230</v>
      </c>
      <c r="Q20" s="6" t="s">
        <v>26230</v>
      </c>
      <c r="R20" s="6" t="s">
        <v>26230</v>
      </c>
      <c r="S20" s="2">
        <f t="shared" si="2"/>
        <v>1185872</v>
      </c>
      <c r="T20" s="23">
        <f>IF(SUM(G20:R20)=0,0,ROUND(S20-F20,0))</f>
        <v>1128672</v>
      </c>
    </row>
    <row r="21" spans="1:20">
      <c r="A21" s="2" t="str">
        <f t="shared" si="4"/>
        <v>Mori II</v>
      </c>
      <c r="B21" s="3" t="str">
        <f>'Controle Projetos_Ciclo2'!F21</f>
        <v>Serviços Auxiliares - Terraplanagem</v>
      </c>
      <c r="C21" s="5">
        <f>SUMIFS('Controle Projetos_Ciclo2'!$O:$O,'Controle Projetos_Ciclo2'!$D:$D,$A21,'Controle Projetos_Ciclo2'!$F:$F,$B21)</f>
        <v>4170372.2030000002</v>
      </c>
      <c r="D21" s="5">
        <f>SUMIFS('Controle Projetos_Ciclo2'!$R:$R,'Controle Projetos_Ciclo2'!$D:$D,$A21,'Controle Projetos_Ciclo2'!$F:$F,$B21)</f>
        <v>4170372.2030000002</v>
      </c>
      <c r="E21" s="6">
        <f t="shared" si="0"/>
        <v>0</v>
      </c>
      <c r="F21" s="4">
        <f t="shared" si="1"/>
        <v>0</v>
      </c>
      <c r="G21" s="6">
        <v>0</v>
      </c>
      <c r="H21" s="6">
        <v>0</v>
      </c>
      <c r="I21" s="6" t="s">
        <v>26230</v>
      </c>
      <c r="J21" s="6" t="s">
        <v>193</v>
      </c>
      <c r="K21" s="6" t="s">
        <v>26230</v>
      </c>
      <c r="L21" s="6" t="s">
        <v>26230</v>
      </c>
      <c r="M21" s="6" t="s">
        <v>26230</v>
      </c>
      <c r="N21" s="6" t="s">
        <v>26230</v>
      </c>
      <c r="O21" s="6" t="s">
        <v>26230</v>
      </c>
      <c r="P21" s="6" t="s">
        <v>26230</v>
      </c>
      <c r="Q21" s="6" t="s">
        <v>26230</v>
      </c>
      <c r="R21" s="6" t="s">
        <v>26230</v>
      </c>
      <c r="S21" s="2">
        <f t="shared" si="2"/>
        <v>0</v>
      </c>
      <c r="T21" s="23">
        <f t="shared" si="3"/>
        <v>0</v>
      </c>
    </row>
    <row r="22" spans="1:20">
      <c r="A22" s="2" t="str">
        <f t="shared" si="4"/>
        <v>Mori II</v>
      </c>
      <c r="B22" s="3" t="str">
        <f>'Controle Projetos_Ciclo2'!F22</f>
        <v>Serviços Auxiliares - Supressão Vegetal</v>
      </c>
      <c r="C22" s="5">
        <f>SUMIFS('Controle Projetos_Ciclo2'!$O:$O,'Controle Projetos_Ciclo2'!$D:$D,$A22,'Controle Projetos_Ciclo2'!$F:$F,$B22)</f>
        <v>157165.45000000001</v>
      </c>
      <c r="D22" s="5">
        <f>SUMIFS('Controle Projetos_Ciclo2'!$R:$R,'Controle Projetos_Ciclo2'!$D:$D,$A22,'Controle Projetos_Ciclo2'!$F:$F,$B22)</f>
        <v>157165.45000000001</v>
      </c>
      <c r="E22" s="6">
        <f t="shared" si="0"/>
        <v>0</v>
      </c>
      <c r="F22" s="4">
        <f t="shared" si="1"/>
        <v>0</v>
      </c>
      <c r="G22" s="6">
        <v>0</v>
      </c>
      <c r="H22" s="6" t="s">
        <v>26230</v>
      </c>
      <c r="I22" s="6" t="s">
        <v>26230</v>
      </c>
      <c r="J22" s="6" t="s">
        <v>26230</v>
      </c>
      <c r="K22" s="6" t="s">
        <v>26230</v>
      </c>
      <c r="L22" s="6" t="s">
        <v>26230</v>
      </c>
      <c r="M22" s="6" t="s">
        <v>26230</v>
      </c>
      <c r="N22" s="6" t="s">
        <v>26230</v>
      </c>
      <c r="O22" s="6" t="s">
        <v>26230</v>
      </c>
      <c r="P22" s="6" t="s">
        <v>26230</v>
      </c>
      <c r="Q22" s="6" t="s">
        <v>26230</v>
      </c>
      <c r="R22" s="6" t="s">
        <v>26230</v>
      </c>
      <c r="S22" s="2">
        <f t="shared" si="2"/>
        <v>0</v>
      </c>
      <c r="T22" s="23">
        <f t="shared" si="3"/>
        <v>0</v>
      </c>
    </row>
    <row r="23" spans="1:20">
      <c r="A23" s="2" t="str">
        <f t="shared" si="4"/>
        <v>Mori II</v>
      </c>
      <c r="B23" s="3" t="str">
        <f>'Controle Projetos_Ciclo2'!F23</f>
        <v>RDR-Rede de Distribuição Rural</v>
      </c>
      <c r="C23" s="5">
        <f>SUMIFS('Controle Projetos_Ciclo2'!$O:$O,'Controle Projetos_Ciclo2'!$D:$D,$A23,'Controle Projetos_Ciclo2'!$F:$F,$B23)</f>
        <v>235753</v>
      </c>
      <c r="D23" s="5">
        <f>SUMIFS('Controle Projetos_Ciclo2'!$R:$R,'Controle Projetos_Ciclo2'!$D:$D,$A23,'Controle Projetos_Ciclo2'!$F:$F,$B23)</f>
        <v>235753</v>
      </c>
      <c r="E23" s="6">
        <f t="shared" si="0"/>
        <v>0</v>
      </c>
      <c r="F23" s="4">
        <f t="shared" si="1"/>
        <v>0</v>
      </c>
      <c r="G23" s="6">
        <v>0</v>
      </c>
      <c r="H23" s="6">
        <v>0</v>
      </c>
      <c r="I23" s="6">
        <v>0</v>
      </c>
      <c r="J23" s="6">
        <v>0</v>
      </c>
      <c r="K23" s="6">
        <v>0</v>
      </c>
      <c r="L23" s="6">
        <v>0</v>
      </c>
      <c r="M23" s="6">
        <v>0</v>
      </c>
      <c r="N23" s="6">
        <v>0</v>
      </c>
      <c r="O23" s="6">
        <v>0</v>
      </c>
      <c r="P23" s="6">
        <v>0</v>
      </c>
      <c r="Q23" s="6">
        <v>0</v>
      </c>
      <c r="R23" s="6">
        <v>0</v>
      </c>
      <c r="S23" s="2">
        <f t="shared" si="2"/>
        <v>0</v>
      </c>
      <c r="T23" s="23">
        <f t="shared" si="3"/>
        <v>0</v>
      </c>
    </row>
    <row r="24" spans="1:20">
      <c r="A24" s="2" t="str">
        <f t="shared" si="4"/>
        <v>Mori II</v>
      </c>
      <c r="B24" s="3" t="str">
        <f>'Controle Projetos_Ciclo2'!F24</f>
        <v>Escopo COMERC</v>
      </c>
      <c r="C24" s="5">
        <f>SUMIFS('Controle Projetos_Ciclo2'!$O:$O,'Controle Projetos_Ciclo2'!$D:$D,$A24,'Controle Projetos_Ciclo2'!$F:$F,$B24)</f>
        <v>3829563.05</v>
      </c>
      <c r="D24" s="5">
        <f>SUMIFS('Controle Projetos_Ciclo2'!$R:$R,'Controle Projetos_Ciclo2'!$D:$D,$A24,'Controle Projetos_Ciclo2'!$F:$F,$B24)</f>
        <v>3402733.2900000005</v>
      </c>
      <c r="E24" s="6">
        <f t="shared" si="0"/>
        <v>0</v>
      </c>
      <c r="F24" s="4">
        <f t="shared" si="1"/>
        <v>426829.75999999931</v>
      </c>
      <c r="G24" s="6">
        <v>100000</v>
      </c>
      <c r="H24" s="6">
        <v>100000</v>
      </c>
      <c r="I24" s="6">
        <v>100000</v>
      </c>
      <c r="J24" s="6">
        <v>64500</v>
      </c>
      <c r="K24" s="6">
        <v>0</v>
      </c>
      <c r="L24" s="6">
        <v>0</v>
      </c>
      <c r="M24" s="6">
        <v>0</v>
      </c>
      <c r="N24" s="6">
        <v>0</v>
      </c>
      <c r="O24" s="6">
        <v>0</v>
      </c>
      <c r="P24" s="6">
        <v>0</v>
      </c>
      <c r="Q24" s="6">
        <v>0</v>
      </c>
      <c r="R24" s="6">
        <v>0</v>
      </c>
      <c r="S24" s="2">
        <f t="shared" si="2"/>
        <v>364500</v>
      </c>
      <c r="T24" s="23">
        <f t="shared" si="3"/>
        <v>-62330</v>
      </c>
    </row>
    <row r="25" spans="1:20">
      <c r="A25" s="2" t="str">
        <f t="shared" si="4"/>
        <v>Mori II</v>
      </c>
      <c r="B25" s="3" t="str">
        <f>'Controle Projetos_Ciclo2'!F25</f>
        <v>Escopo COMERC - Segurança</v>
      </c>
      <c r="C25" s="5">
        <f>SUMIFS('Controle Projetos_Ciclo2'!$O:$O,'Controle Projetos_Ciclo2'!$D:$D,$A25,'Controle Projetos_Ciclo2'!$F:$F,$B25)</f>
        <v>2729110.72</v>
      </c>
      <c r="D25" s="5">
        <f>SUMIFS('Controle Projetos_Ciclo2'!$R:$R,'Controle Projetos_Ciclo2'!$D:$D,$A25,'Controle Projetos_Ciclo2'!$F:$F,$B25)</f>
        <v>2729110.72</v>
      </c>
      <c r="E25" s="6">
        <f t="shared" si="0"/>
        <v>0</v>
      </c>
      <c r="F25" s="4">
        <f t="shared" si="1"/>
        <v>0</v>
      </c>
      <c r="G25" s="6">
        <v>0</v>
      </c>
      <c r="H25" s="6">
        <v>0</v>
      </c>
      <c r="I25" s="6">
        <v>0</v>
      </c>
      <c r="J25" s="6">
        <v>0</v>
      </c>
      <c r="K25" s="6">
        <v>0</v>
      </c>
      <c r="L25" s="6">
        <v>0</v>
      </c>
      <c r="M25" s="6">
        <v>0</v>
      </c>
      <c r="N25" s="6">
        <v>0</v>
      </c>
      <c r="O25" s="6">
        <v>0</v>
      </c>
      <c r="P25" s="6">
        <v>0</v>
      </c>
      <c r="Q25" s="6">
        <v>0</v>
      </c>
      <c r="R25" s="6">
        <v>0</v>
      </c>
      <c r="S25" s="2">
        <f t="shared" si="2"/>
        <v>0</v>
      </c>
      <c r="T25" s="23">
        <f t="shared" si="3"/>
        <v>0</v>
      </c>
    </row>
    <row r="26" spans="1:20">
      <c r="A26" s="2" t="str">
        <f t="shared" si="4"/>
        <v>Mori II</v>
      </c>
      <c r="B26" s="3" t="str">
        <f>'Controle Projetos_Ciclo2'!F26</f>
        <v>Conexão MT - Obras Transferencia</v>
      </c>
      <c r="C26" s="5">
        <f>SUMIFS('Controle Projetos_Ciclo2'!$O:$O,'Controle Projetos_Ciclo2'!$D:$D,$A26,'Controle Projetos_Ciclo2'!$F:$F,$B26)</f>
        <v>8413037.120000001</v>
      </c>
      <c r="D26" s="5">
        <f>SUMIFS('Controle Projetos_Ciclo2'!$R:$R,'Controle Projetos_Ciclo2'!$D:$D,$A26,'Controle Projetos_Ciclo2'!$F:$F,$B26)</f>
        <v>8413037.120000001</v>
      </c>
      <c r="E26" s="6">
        <f t="shared" si="0"/>
        <v>0</v>
      </c>
      <c r="F26" s="4">
        <f t="shared" si="1"/>
        <v>0</v>
      </c>
      <c r="G26" s="6">
        <v>0</v>
      </c>
      <c r="H26" s="6">
        <v>0</v>
      </c>
      <c r="I26" s="6">
        <v>0</v>
      </c>
      <c r="J26" s="6">
        <v>0</v>
      </c>
      <c r="K26" s="6">
        <v>0</v>
      </c>
      <c r="L26" s="6">
        <v>0</v>
      </c>
      <c r="M26" s="6">
        <v>0</v>
      </c>
      <c r="N26" s="6">
        <v>0</v>
      </c>
      <c r="O26" s="6">
        <v>0</v>
      </c>
      <c r="P26" s="6">
        <v>0</v>
      </c>
      <c r="Q26" s="6">
        <v>0</v>
      </c>
      <c r="R26" s="6">
        <v>0</v>
      </c>
      <c r="S26" s="2">
        <f t="shared" si="2"/>
        <v>0</v>
      </c>
      <c r="T26" s="23">
        <f t="shared" si="3"/>
        <v>0</v>
      </c>
    </row>
    <row r="27" spans="1:20">
      <c r="A27" s="2" t="str">
        <f t="shared" si="4"/>
        <v>Mori II</v>
      </c>
      <c r="B27" s="3" t="str">
        <f>'Controle Projetos_Ciclo2'!F27</f>
        <v>Bases de Contaniers</v>
      </c>
      <c r="C27" s="5">
        <f>SUMIFS('Controle Projetos_Ciclo2'!$O:$O,'Controle Projetos_Ciclo2'!$D:$D,$A27,'Controle Projetos_Ciclo2'!$F:$F,$B27)</f>
        <v>1605694.79</v>
      </c>
      <c r="D27" s="5">
        <f>SUMIFS('Controle Projetos_Ciclo2'!$R:$R,'Controle Projetos_Ciclo2'!$D:$D,$A27,'Controle Projetos_Ciclo2'!$F:$F,$B27)</f>
        <v>1605694.79</v>
      </c>
      <c r="E27" s="6">
        <f t="shared" si="0"/>
        <v>0</v>
      </c>
      <c r="F27" s="4">
        <f t="shared" si="1"/>
        <v>0</v>
      </c>
      <c r="G27" s="6">
        <v>0</v>
      </c>
      <c r="H27" s="6">
        <v>0</v>
      </c>
      <c r="I27" s="6">
        <v>0</v>
      </c>
      <c r="J27" s="6">
        <v>0</v>
      </c>
      <c r="K27" s="6">
        <v>0</v>
      </c>
      <c r="L27" s="6">
        <v>0</v>
      </c>
      <c r="M27" s="6">
        <v>0</v>
      </c>
      <c r="N27" s="6">
        <v>0</v>
      </c>
      <c r="O27" s="6">
        <v>0</v>
      </c>
      <c r="P27" s="6">
        <v>0</v>
      </c>
      <c r="Q27" s="6">
        <v>0</v>
      </c>
      <c r="R27" s="6">
        <v>0</v>
      </c>
      <c r="S27" s="2">
        <f t="shared" si="2"/>
        <v>0</v>
      </c>
      <c r="T27" s="23">
        <f t="shared" si="3"/>
        <v>0</v>
      </c>
    </row>
    <row r="28" spans="1:20">
      <c r="A28" s="2" t="str">
        <f t="shared" si="4"/>
        <v>Mori II</v>
      </c>
      <c r="B28" s="3" t="str">
        <f>'Controle Projetos_Ciclo2'!F28</f>
        <v>Construção - Serviços de Construção - Ase Engenharia</v>
      </c>
      <c r="C28" s="5">
        <f>SUMIFS('Controle Projetos_Ciclo2'!$O:$O,'Controle Projetos_Ciclo2'!$D:$D,$A28,'Controle Projetos_Ciclo2'!$F:$F,$B28)</f>
        <v>0</v>
      </c>
      <c r="D28" s="5">
        <f>SUMIFS('Controle Projetos_Ciclo2'!$R:$R,'Controle Projetos_Ciclo2'!$D:$D,$A28,'Controle Projetos_Ciclo2'!$F:$F,$B28)</f>
        <v>0</v>
      </c>
      <c r="E28" s="6">
        <f t="shared" si="0"/>
        <v>0</v>
      </c>
      <c r="F28" s="4">
        <f t="shared" si="1"/>
        <v>0</v>
      </c>
      <c r="G28" s="6">
        <v>0</v>
      </c>
      <c r="H28" s="6">
        <v>0</v>
      </c>
      <c r="I28" s="6">
        <v>0</v>
      </c>
      <c r="J28" s="6">
        <v>0</v>
      </c>
      <c r="K28" s="6">
        <v>0</v>
      </c>
      <c r="L28" s="6">
        <v>0</v>
      </c>
      <c r="M28" s="6">
        <v>0</v>
      </c>
      <c r="N28" s="6">
        <v>0</v>
      </c>
      <c r="O28" s="6">
        <v>0</v>
      </c>
      <c r="P28" s="6">
        <v>0</v>
      </c>
      <c r="Q28" s="6">
        <v>0</v>
      </c>
      <c r="R28" s="6">
        <v>0</v>
      </c>
      <c r="S28" s="2">
        <f t="shared" si="2"/>
        <v>0</v>
      </c>
      <c r="T28" s="23">
        <f t="shared" si="3"/>
        <v>0</v>
      </c>
    </row>
    <row r="29" spans="1:20">
      <c r="A29" s="2" t="str">
        <f t="shared" si="4"/>
        <v>Mori II</v>
      </c>
      <c r="B29" s="3" t="str">
        <f>'Controle Projetos_Ciclo2'!F29</f>
        <v>Full EPC - Contrato Sobressalentes</v>
      </c>
      <c r="C29" s="5">
        <f>SUMIFS('Controle Projetos_Ciclo2'!$O:$O,'Controle Projetos_Ciclo2'!$D:$D,$A29,'Controle Projetos_Ciclo2'!$F:$F,$B29)</f>
        <v>641893.79999999993</v>
      </c>
      <c r="D29" s="5">
        <f>SUMIFS('Controle Projetos_Ciclo2'!$R:$R,'Controle Projetos_Ciclo2'!$D:$D,$A29,'Controle Projetos_Ciclo2'!$F:$F,$B29)</f>
        <v>641893.79999999993</v>
      </c>
      <c r="E29" s="6">
        <f t="shared" si="0"/>
        <v>0</v>
      </c>
      <c r="F29" s="4">
        <f t="shared" si="1"/>
        <v>0</v>
      </c>
      <c r="G29" s="6">
        <v>0</v>
      </c>
      <c r="H29" s="6">
        <v>0</v>
      </c>
      <c r="I29" s="6">
        <v>0</v>
      </c>
      <c r="J29" s="6">
        <v>0</v>
      </c>
      <c r="K29" s="6">
        <v>0</v>
      </c>
      <c r="L29" s="6">
        <v>0</v>
      </c>
      <c r="M29" s="6">
        <v>0</v>
      </c>
      <c r="N29" s="6">
        <v>0</v>
      </c>
      <c r="O29" s="6">
        <v>0</v>
      </c>
      <c r="P29" s="6">
        <v>0</v>
      </c>
      <c r="Q29" s="6">
        <v>0</v>
      </c>
      <c r="R29" s="6">
        <v>0</v>
      </c>
      <c r="S29" s="2">
        <f t="shared" si="2"/>
        <v>0</v>
      </c>
      <c r="T29" s="23">
        <f t="shared" si="3"/>
        <v>0</v>
      </c>
    </row>
    <row r="30" spans="1:20">
      <c r="A30" s="2" t="str">
        <f t="shared" si="4"/>
        <v>Mori II</v>
      </c>
      <c r="B30" s="3" t="str">
        <f>'Controle Projetos_Ciclo2'!F30</f>
        <v>Construção - Serviços de Construção - NOVA MORADA</v>
      </c>
      <c r="C30" s="5">
        <f>SUMIFS('Controle Projetos_Ciclo2'!$O:$O,'Controle Projetos_Ciclo2'!$D:$D,$A30,'Controle Projetos_Ciclo2'!$F:$F,$B30)</f>
        <v>0</v>
      </c>
      <c r="D30" s="5">
        <f>SUMIFS('Controle Projetos_Ciclo2'!$R:$R,'Controle Projetos_Ciclo2'!$D:$D,$A30,'Controle Projetos_Ciclo2'!$F:$F,$B30)</f>
        <v>0</v>
      </c>
      <c r="E30" s="6">
        <f t="shared" si="0"/>
        <v>0</v>
      </c>
      <c r="F30" s="4">
        <f t="shared" si="1"/>
        <v>0</v>
      </c>
      <c r="G30" s="6">
        <v>0</v>
      </c>
      <c r="H30" s="6">
        <v>0</v>
      </c>
      <c r="I30" s="6">
        <v>0</v>
      </c>
      <c r="J30" s="6">
        <v>0</v>
      </c>
      <c r="K30" s="6">
        <v>0</v>
      </c>
      <c r="L30" s="6">
        <v>0</v>
      </c>
      <c r="M30" s="6">
        <v>0</v>
      </c>
      <c r="N30" s="6">
        <v>0</v>
      </c>
      <c r="O30" s="6">
        <v>0</v>
      </c>
      <c r="P30" s="6">
        <v>0</v>
      </c>
      <c r="Q30" s="6">
        <v>0</v>
      </c>
      <c r="R30" s="6">
        <v>0</v>
      </c>
      <c r="S30" s="2">
        <f t="shared" si="2"/>
        <v>0</v>
      </c>
      <c r="T30" s="23">
        <f t="shared" si="3"/>
        <v>0</v>
      </c>
    </row>
    <row r="31" spans="1:20">
      <c r="A31" s="2" t="str">
        <f t="shared" si="4"/>
        <v>Mori II</v>
      </c>
      <c r="B31" s="3" t="str">
        <f>'Controle Projetos_Ciclo2'!F31</f>
        <v>Equipamentos Curva A -  Contrato Sobressalentes - SETTA</v>
      </c>
      <c r="C31" s="5">
        <f>SUMIFS('Controle Projetos_Ciclo2'!$O:$O,'Controle Projetos_Ciclo2'!$D:$D,$A31,'Controle Projetos_Ciclo2'!$F:$F,$B31)</f>
        <v>0</v>
      </c>
      <c r="D31" s="5">
        <f>SUMIFS('Controle Projetos_Ciclo2'!$R:$R,'Controle Projetos_Ciclo2'!$D:$D,$A31,'Controle Projetos_Ciclo2'!$F:$F,$B31)</f>
        <v>0</v>
      </c>
      <c r="E31" s="6">
        <f t="shared" si="0"/>
        <v>0</v>
      </c>
      <c r="F31" s="4">
        <f t="shared" si="1"/>
        <v>0</v>
      </c>
      <c r="G31" s="6">
        <v>0</v>
      </c>
      <c r="H31" s="6">
        <v>0</v>
      </c>
      <c r="I31" s="6">
        <v>0</v>
      </c>
      <c r="J31" s="6">
        <v>0</v>
      </c>
      <c r="K31" s="6">
        <v>0</v>
      </c>
      <c r="L31" s="6">
        <v>0</v>
      </c>
      <c r="M31" s="6">
        <v>0</v>
      </c>
      <c r="N31" s="6">
        <v>0</v>
      </c>
      <c r="O31" s="6">
        <v>0</v>
      </c>
      <c r="P31" s="6">
        <v>0</v>
      </c>
      <c r="Q31" s="6">
        <v>0</v>
      </c>
      <c r="R31" s="6">
        <v>0</v>
      </c>
      <c r="S31" s="2">
        <f t="shared" si="2"/>
        <v>0</v>
      </c>
      <c r="T31" s="23">
        <f t="shared" si="3"/>
        <v>0</v>
      </c>
    </row>
    <row r="32" spans="1:20">
      <c r="A32" s="2" t="str">
        <f t="shared" si="4"/>
        <v>Mori II</v>
      </c>
      <c r="B32" s="3" t="str">
        <f>'Controle Projetos_Ciclo2'!F32</f>
        <v>Equipamentos Curva A -  Contrato Sobressalentes - Arctech</v>
      </c>
      <c r="C32" s="5">
        <f>SUMIFS('Controle Projetos_Ciclo2'!$O:$O,'Controle Projetos_Ciclo2'!$D:$D,$A32,'Controle Projetos_Ciclo2'!$F:$F,$B32)</f>
        <v>0</v>
      </c>
      <c r="D32" s="5">
        <f>SUMIFS('Controle Projetos_Ciclo2'!$R:$R,'Controle Projetos_Ciclo2'!$D:$D,$A32,'Controle Projetos_Ciclo2'!$F:$F,$B32)</f>
        <v>0</v>
      </c>
      <c r="E32" s="6">
        <f t="shared" si="0"/>
        <v>0</v>
      </c>
      <c r="F32" s="4">
        <f t="shared" si="1"/>
        <v>0</v>
      </c>
      <c r="G32" s="6">
        <v>0</v>
      </c>
      <c r="H32" s="6">
        <v>493677</v>
      </c>
      <c r="I32" s="6">
        <v>0</v>
      </c>
      <c r="J32" s="6">
        <v>0</v>
      </c>
      <c r="K32" s="6">
        <v>0</v>
      </c>
      <c r="L32" s="6">
        <v>0</v>
      </c>
      <c r="M32" s="6">
        <v>0</v>
      </c>
      <c r="N32" s="6">
        <v>0</v>
      </c>
      <c r="O32" s="6">
        <v>0</v>
      </c>
      <c r="P32" s="6">
        <v>0</v>
      </c>
      <c r="Q32" s="6">
        <v>0</v>
      </c>
      <c r="R32" s="6">
        <v>0</v>
      </c>
      <c r="S32" s="2">
        <f t="shared" si="2"/>
        <v>493677</v>
      </c>
      <c r="T32" s="23">
        <f t="shared" si="3"/>
        <v>493677</v>
      </c>
    </row>
    <row r="33" spans="1:20" ht="11.1" thickBot="1">
      <c r="A33" s="2" t="str">
        <f t="shared" si="4"/>
        <v>Mori II</v>
      </c>
      <c r="B33" s="3" t="str">
        <f>'Controle Projetos_Ciclo2'!F35</f>
        <v>Cercamento das bacias de contenção ciclo 2</v>
      </c>
      <c r="C33" s="17">
        <f>SUMIFS('Controle Projetos_Ciclo2'!$O:$O,'Controle Projetos_Ciclo2'!$D:$D,$A33,'Controle Projetos_Ciclo2'!$F:$F,$B33)</f>
        <v>0</v>
      </c>
      <c r="D33" s="17">
        <f>SUMIFS('Controle Projetos_Ciclo2'!$R:$R,'Controle Projetos_Ciclo2'!$D:$D,$A33,'Controle Projetos_Ciclo2'!$F:$F,$B33)</f>
        <v>0</v>
      </c>
      <c r="E33" s="7">
        <f t="shared" si="0"/>
        <v>0</v>
      </c>
      <c r="F33" s="4">
        <f t="shared" si="1"/>
        <v>0</v>
      </c>
      <c r="G33" s="7">
        <v>0</v>
      </c>
      <c r="H33" s="7">
        <v>0</v>
      </c>
      <c r="I33" s="6">
        <v>0</v>
      </c>
      <c r="J33" s="7">
        <v>0</v>
      </c>
      <c r="K33" s="7">
        <v>0</v>
      </c>
      <c r="L33" s="7">
        <v>0</v>
      </c>
      <c r="M33" s="7">
        <v>0</v>
      </c>
      <c r="N33" s="7">
        <v>0</v>
      </c>
      <c r="O33" s="7">
        <v>0</v>
      </c>
      <c r="P33" s="7">
        <v>0</v>
      </c>
      <c r="Q33" s="7">
        <v>0</v>
      </c>
      <c r="R33" s="7">
        <v>0</v>
      </c>
      <c r="S33" s="2">
        <f t="shared" si="2"/>
        <v>0</v>
      </c>
      <c r="T33" s="23">
        <f t="shared" si="3"/>
        <v>0</v>
      </c>
    </row>
    <row r="34" spans="1:20" s="4" customFormat="1" ht="11.1" thickBot="1">
      <c r="A34" s="8" t="s">
        <v>158</v>
      </c>
      <c r="B34" s="9"/>
      <c r="C34" s="9">
        <f t="shared" ref="C34" si="5">SUM(C2:C33)</f>
        <v>176756214.01888409</v>
      </c>
      <c r="D34" s="9">
        <f t="shared" ref="D34:E34" si="6">SUM(D2:D33)</f>
        <v>169296436.36888403</v>
      </c>
      <c r="E34" s="9">
        <f t="shared" si="6"/>
        <v>-6677202.6099999994</v>
      </c>
      <c r="F34" s="9">
        <f t="shared" ref="F34" si="7">SUM(F2:F33)</f>
        <v>782575.04000000074</v>
      </c>
      <c r="G34" s="9">
        <f t="shared" ref="G34:S34" si="8">SUM(G2:G33)</f>
        <v>725731</v>
      </c>
      <c r="H34" s="9">
        <f t="shared" si="8"/>
        <v>992222</v>
      </c>
      <c r="I34" s="9">
        <f t="shared" si="8"/>
        <v>400000</v>
      </c>
      <c r="J34" s="9">
        <f t="shared" si="8"/>
        <v>350372</v>
      </c>
      <c r="K34" s="9">
        <f t="shared" si="8"/>
        <v>0</v>
      </c>
      <c r="L34" s="9">
        <f t="shared" si="8"/>
        <v>0</v>
      </c>
      <c r="M34" s="9">
        <f t="shared" si="8"/>
        <v>0</v>
      </c>
      <c r="N34" s="9">
        <f t="shared" si="8"/>
        <v>0</v>
      </c>
      <c r="O34" s="9">
        <f t="shared" si="8"/>
        <v>0</v>
      </c>
      <c r="P34" s="9">
        <f t="shared" si="8"/>
        <v>0</v>
      </c>
      <c r="Q34" s="9">
        <f t="shared" si="8"/>
        <v>0</v>
      </c>
      <c r="R34" s="9">
        <f t="shared" si="8"/>
        <v>0</v>
      </c>
      <c r="S34" s="11">
        <f t="shared" si="8"/>
        <v>2468325</v>
      </c>
      <c r="T34" s="24">
        <f t="shared" ref="T34:T65" si="9">IF(SUM(G34:R34)=0,0,ROUND(S34-F34,0))</f>
        <v>1685750</v>
      </c>
    </row>
    <row r="35" spans="1:20">
      <c r="A35" s="5" t="s">
        <v>90</v>
      </c>
      <c r="B35" s="3" t="str">
        <f>'Controle Projetos_Ciclo2'!F37</f>
        <v>Conexão AT - Obras</v>
      </c>
      <c r="C35" s="5">
        <f>SUMIFS('Controle Projetos_Ciclo2'!$O:$O,'Controle Projetos_Ciclo2'!$D:$D,$A35,'Controle Projetos_Ciclo2'!$F:$F,$B35)</f>
        <v>4974879.82</v>
      </c>
      <c r="D35" s="5">
        <f>SUMIFS('Controle Projetos_Ciclo2'!$R:$R,'Controle Projetos_Ciclo2'!$D:$D,$A35,'Controle Projetos_Ciclo2'!$F:$F,$B35)</f>
        <v>4974879.82</v>
      </c>
      <c r="E35" s="6">
        <f t="shared" si="0"/>
        <v>0</v>
      </c>
      <c r="F35" s="4">
        <f t="shared" ref="F35:F66" si="10">C35-D35+E35</f>
        <v>0</v>
      </c>
      <c r="G35" s="6" t="s">
        <v>26230</v>
      </c>
      <c r="H35" s="6" t="s">
        <v>193</v>
      </c>
      <c r="I35" s="6" t="s">
        <v>26230</v>
      </c>
      <c r="J35" s="6" t="s">
        <v>193</v>
      </c>
      <c r="K35" s="6" t="s">
        <v>26230</v>
      </c>
      <c r="L35" s="6" t="s">
        <v>193</v>
      </c>
      <c r="M35" s="6" t="s">
        <v>26230</v>
      </c>
      <c r="N35" s="6" t="s">
        <v>26230</v>
      </c>
      <c r="O35" s="6" t="s">
        <v>26230</v>
      </c>
      <c r="P35" s="6" t="s">
        <v>26230</v>
      </c>
      <c r="Q35" s="6" t="s">
        <v>26230</v>
      </c>
      <c r="R35" s="6" t="s">
        <v>26230</v>
      </c>
      <c r="S35" s="2">
        <f t="shared" ref="S35:S66" si="11">SUM(G35:R35)</f>
        <v>0</v>
      </c>
      <c r="T35" s="23">
        <f t="shared" si="9"/>
        <v>0</v>
      </c>
    </row>
    <row r="36" spans="1:20">
      <c r="A36" s="2" t="str">
        <f t="shared" ref="A36:A66" si="12">A35</f>
        <v>NewCo IV</v>
      </c>
      <c r="B36" s="3" t="str">
        <f>'Controle Projetos_Ciclo2'!F38</f>
        <v>Conexão MT - Obras</v>
      </c>
      <c r="C36" s="5">
        <f>SUMIFS('Controle Projetos_Ciclo2'!$O:$O,'Controle Projetos_Ciclo2'!$D:$D,$A36,'Controle Projetos_Ciclo2'!$F:$F,$B36)</f>
        <v>34397383.079999998</v>
      </c>
      <c r="D36" s="5">
        <f>SUMIFS('Controle Projetos_Ciclo2'!$R:$R,'Controle Projetos_Ciclo2'!$D:$D,$A36,'Controle Projetos_Ciclo2'!$F:$F,$B36)</f>
        <v>34397383.079999998</v>
      </c>
      <c r="E36" s="6">
        <f t="shared" si="0"/>
        <v>0</v>
      </c>
      <c r="F36" s="4">
        <f t="shared" si="10"/>
        <v>0</v>
      </c>
      <c r="G36" s="6">
        <v>0</v>
      </c>
      <c r="H36" s="6">
        <v>0</v>
      </c>
      <c r="I36" s="6">
        <v>0</v>
      </c>
      <c r="J36" s="6">
        <v>0</v>
      </c>
      <c r="K36" s="6" t="s">
        <v>26230</v>
      </c>
      <c r="L36" s="6" t="s">
        <v>26230</v>
      </c>
      <c r="M36" s="6" t="s">
        <v>26230</v>
      </c>
      <c r="N36" s="6" t="s">
        <v>26230</v>
      </c>
      <c r="O36" s="6" t="s">
        <v>26230</v>
      </c>
      <c r="P36" s="6" t="s">
        <v>26230</v>
      </c>
      <c r="Q36" s="6" t="s">
        <v>26230</v>
      </c>
      <c r="R36" s="6" t="s">
        <v>26230</v>
      </c>
      <c r="S36" s="2">
        <f t="shared" si="11"/>
        <v>0</v>
      </c>
      <c r="T36" s="23">
        <f t="shared" si="9"/>
        <v>0</v>
      </c>
    </row>
    <row r="37" spans="1:20">
      <c r="A37" s="2" t="str">
        <f t="shared" si="12"/>
        <v>NewCo IV</v>
      </c>
      <c r="B37" s="3" t="str">
        <f>'Controle Projetos_Ciclo2'!F39</f>
        <v>Construção - Serviços de Construção</v>
      </c>
      <c r="C37" s="5">
        <f>SUMIFS('Controle Projetos_Ciclo2'!$O:$O,'Controle Projetos_Ciclo2'!$D:$D,$A37,'Controle Projetos_Ciclo2'!$F:$F,$B37)</f>
        <v>40570075.600000001</v>
      </c>
      <c r="D37" s="5">
        <f>SUMIFS('Controle Projetos_Ciclo2'!$R:$R,'Controle Projetos_Ciclo2'!$D:$D,$A37,'Controle Projetos_Ciclo2'!$F:$F,$B37)</f>
        <v>39481330.960000008</v>
      </c>
      <c r="E37" s="6">
        <f>-(1125745-37000+1)</f>
        <v>-1088746</v>
      </c>
      <c r="F37" s="4">
        <f t="shared" si="10"/>
        <v>-1.3600000068545341</v>
      </c>
      <c r="G37" s="6">
        <v>0</v>
      </c>
      <c r="H37" s="6">
        <v>0</v>
      </c>
      <c r="I37" s="6">
        <v>0</v>
      </c>
      <c r="J37" s="6" t="s">
        <v>193</v>
      </c>
      <c r="K37" s="6" t="s">
        <v>26230</v>
      </c>
      <c r="L37" s="6" t="s">
        <v>26230</v>
      </c>
      <c r="M37" s="6" t="s">
        <v>26230</v>
      </c>
      <c r="N37" s="6" t="s">
        <v>26230</v>
      </c>
      <c r="O37" s="6" t="s">
        <v>26230</v>
      </c>
      <c r="P37" s="6" t="s">
        <v>26230</v>
      </c>
      <c r="Q37" s="6" t="s">
        <v>26230</v>
      </c>
      <c r="R37" s="6" t="s">
        <v>26230</v>
      </c>
      <c r="S37" s="2">
        <f t="shared" si="11"/>
        <v>0</v>
      </c>
      <c r="T37" s="23">
        <f t="shared" si="9"/>
        <v>0</v>
      </c>
    </row>
    <row r="38" spans="1:20">
      <c r="A38" s="2" t="str">
        <f t="shared" si="12"/>
        <v>NewCo IV</v>
      </c>
      <c r="B38" s="3" t="str">
        <f>'Controle Projetos_Ciclo2'!F40</f>
        <v>Construção - Serviços de Construção - Substituição</v>
      </c>
      <c r="C38" s="5">
        <f>SUMIFS('Controle Projetos_Ciclo2'!$O:$O,'Controle Projetos_Ciclo2'!$D:$D,$A38,'Controle Projetos_Ciclo2'!$F:$F,$B38)</f>
        <v>5481404.4400000004</v>
      </c>
      <c r="D38" s="5">
        <f>SUMIFS('Controle Projetos_Ciclo2'!$R:$R,'Controle Projetos_Ciclo2'!$D:$D,$A38,'Controle Projetos_Ciclo2'!$F:$F,$B38)</f>
        <v>2463095.54</v>
      </c>
      <c r="E38" s="6">
        <f t="shared" si="0"/>
        <v>-3018308.9000000004</v>
      </c>
      <c r="F38" s="4">
        <f t="shared" si="10"/>
        <v>0</v>
      </c>
      <c r="G38" s="6" t="s">
        <v>26230</v>
      </c>
      <c r="H38" s="6" t="s">
        <v>26230</v>
      </c>
      <c r="I38" s="6" t="s">
        <v>26230</v>
      </c>
      <c r="J38" s="6" t="s">
        <v>26230</v>
      </c>
      <c r="K38" s="6" t="s">
        <v>26230</v>
      </c>
      <c r="L38" s="6" t="s">
        <v>26230</v>
      </c>
      <c r="M38" s="6" t="s">
        <v>26230</v>
      </c>
      <c r="N38" s="6" t="s">
        <v>26230</v>
      </c>
      <c r="O38" s="6" t="s">
        <v>26230</v>
      </c>
      <c r="P38" s="6" t="s">
        <v>26230</v>
      </c>
      <c r="Q38" s="6" t="s">
        <v>26230</v>
      </c>
      <c r="R38" s="6" t="s">
        <v>26230</v>
      </c>
      <c r="S38" s="2">
        <f t="shared" si="11"/>
        <v>0</v>
      </c>
      <c r="T38" s="23">
        <f t="shared" si="9"/>
        <v>0</v>
      </c>
    </row>
    <row r="39" spans="1:20">
      <c r="A39" s="2" t="str">
        <f t="shared" si="12"/>
        <v>NewCo IV</v>
      </c>
      <c r="B39" s="3" t="str">
        <f>'Controle Projetos_Ciclo2'!F41</f>
        <v>Construção - RDA Interno</v>
      </c>
      <c r="C39" s="5">
        <f>SUMIFS('Controle Projetos_Ciclo2'!$O:$O,'Controle Projetos_Ciclo2'!$D:$D,$A39,'Controle Projetos_Ciclo2'!$F:$F,$B39)</f>
        <v>5463626.0599999996</v>
      </c>
      <c r="D39" s="5">
        <f>SUMIFS('Controle Projetos_Ciclo2'!$R:$R,'Controle Projetos_Ciclo2'!$D:$D,$A39,'Controle Projetos_Ciclo2'!$F:$F,$B39)</f>
        <v>5463626.0599999996</v>
      </c>
      <c r="E39" s="6">
        <f t="shared" si="0"/>
        <v>0</v>
      </c>
      <c r="F39" s="4">
        <f t="shared" si="10"/>
        <v>0</v>
      </c>
      <c r="G39" s="6">
        <v>0</v>
      </c>
      <c r="H39" s="6">
        <v>0</v>
      </c>
      <c r="I39" s="6">
        <v>0</v>
      </c>
      <c r="J39" s="6" t="s">
        <v>193</v>
      </c>
      <c r="K39" s="6" t="s">
        <v>26230</v>
      </c>
      <c r="L39" s="6" t="s">
        <v>26230</v>
      </c>
      <c r="M39" s="6" t="s">
        <v>26230</v>
      </c>
      <c r="N39" s="6" t="s">
        <v>26230</v>
      </c>
      <c r="O39" s="6" t="s">
        <v>26230</v>
      </c>
      <c r="P39" s="6" t="s">
        <v>26230</v>
      </c>
      <c r="Q39" s="6" t="s">
        <v>26230</v>
      </c>
      <c r="R39" s="6" t="s">
        <v>26230</v>
      </c>
      <c r="S39" s="2">
        <f t="shared" si="11"/>
        <v>0</v>
      </c>
      <c r="T39" s="23">
        <f t="shared" si="9"/>
        <v>0</v>
      </c>
    </row>
    <row r="40" spans="1:20">
      <c r="A40" s="2" t="str">
        <f t="shared" si="12"/>
        <v>NewCo IV</v>
      </c>
      <c r="B40" s="3" t="str">
        <f>'Controle Projetos_Ciclo2'!F42</f>
        <v>Full EPC - Contrato</v>
      </c>
      <c r="C40" s="5">
        <f>SUMIFS('Controle Projetos_Ciclo2'!$O:$O,'Controle Projetos_Ciclo2'!$D:$D,$A40,'Controle Projetos_Ciclo2'!$F:$F,$B40)</f>
        <v>58586729.870000005</v>
      </c>
      <c r="D40" s="5">
        <f>SUMIFS('Controle Projetos_Ciclo2'!$R:$R,'Controle Projetos_Ciclo2'!$D:$D,$A40,'Controle Projetos_Ciclo2'!$F:$F,$B40)</f>
        <v>58586729.869999997</v>
      </c>
      <c r="E40" s="6">
        <f t="shared" si="0"/>
        <v>0</v>
      </c>
      <c r="F40" s="27">
        <f t="shared" si="10"/>
        <v>7.4505805969238281E-9</v>
      </c>
      <c r="G40" s="6">
        <v>0</v>
      </c>
      <c r="H40" s="6">
        <v>0</v>
      </c>
      <c r="I40" s="6">
        <v>0</v>
      </c>
      <c r="J40" s="6" t="s">
        <v>193</v>
      </c>
      <c r="K40" s="6" t="s">
        <v>26230</v>
      </c>
      <c r="L40" s="6" t="s">
        <v>26230</v>
      </c>
      <c r="M40" s="6" t="s">
        <v>26230</v>
      </c>
      <c r="N40" s="6" t="s">
        <v>26230</v>
      </c>
      <c r="O40" s="6" t="s">
        <v>26230</v>
      </c>
      <c r="P40" s="6" t="s">
        <v>26230</v>
      </c>
      <c r="Q40" s="6" t="s">
        <v>26230</v>
      </c>
      <c r="R40" s="6" t="s">
        <v>26230</v>
      </c>
      <c r="S40" s="2">
        <f t="shared" si="11"/>
        <v>0</v>
      </c>
      <c r="T40" s="23">
        <f t="shared" si="9"/>
        <v>0</v>
      </c>
    </row>
    <row r="41" spans="1:20">
      <c r="A41" s="2" t="str">
        <f t="shared" si="12"/>
        <v>NewCo IV</v>
      </c>
      <c r="B41" s="3" t="str">
        <f>'Controle Projetos_Ciclo2'!F43</f>
        <v>Equipamentos Curva A - Outros (Transformadores)</v>
      </c>
      <c r="C41" s="5">
        <f>SUMIFS('Controle Projetos_Ciclo2'!$O:$O,'Controle Projetos_Ciclo2'!$D:$D,$A41,'Controle Projetos_Ciclo2'!$F:$F,$B41)</f>
        <v>0</v>
      </c>
      <c r="D41" s="5">
        <f>SUMIFS('Controle Projetos_Ciclo2'!$R:$R,'Controle Projetos_Ciclo2'!$D:$D,$A41,'Controle Projetos_Ciclo2'!$F:$F,$B41)</f>
        <v>0</v>
      </c>
      <c r="E41" s="6">
        <f t="shared" si="0"/>
        <v>0</v>
      </c>
      <c r="F41" s="4">
        <f t="shared" si="10"/>
        <v>0</v>
      </c>
      <c r="G41" s="6" t="s">
        <v>26230</v>
      </c>
      <c r="H41" s="6" t="s">
        <v>26230</v>
      </c>
      <c r="I41" s="6" t="s">
        <v>26230</v>
      </c>
      <c r="J41" s="6" t="s">
        <v>26230</v>
      </c>
      <c r="K41" s="6" t="s">
        <v>26230</v>
      </c>
      <c r="L41" s="6" t="s">
        <v>26230</v>
      </c>
      <c r="M41" s="6" t="s">
        <v>26230</v>
      </c>
      <c r="N41" s="6" t="s">
        <v>26230</v>
      </c>
      <c r="O41" s="6" t="s">
        <v>26230</v>
      </c>
      <c r="P41" s="6" t="s">
        <v>26230</v>
      </c>
      <c r="Q41" s="6" t="s">
        <v>26230</v>
      </c>
      <c r="R41" s="6" t="s">
        <v>26230</v>
      </c>
      <c r="S41" s="2">
        <f t="shared" si="11"/>
        <v>0</v>
      </c>
      <c r="T41" s="23">
        <f t="shared" si="9"/>
        <v>0</v>
      </c>
    </row>
    <row r="42" spans="1:20">
      <c r="A42" s="2" t="str">
        <f t="shared" si="12"/>
        <v>NewCo IV</v>
      </c>
      <c r="B42" s="3" t="str">
        <f>'Controle Projetos_Ciclo2'!F44</f>
        <v>Equipamentos Curva A - Outros (Cabine + Skid)</v>
      </c>
      <c r="C42" s="5">
        <f>SUMIFS('Controle Projetos_Ciclo2'!$O:$O,'Controle Projetos_Ciclo2'!$D:$D,$A42,'Controle Projetos_Ciclo2'!$F:$F,$B42)</f>
        <v>0</v>
      </c>
      <c r="D42" s="5">
        <f>SUMIFS('Controle Projetos_Ciclo2'!$R:$R,'Controle Projetos_Ciclo2'!$D:$D,$A42,'Controle Projetos_Ciclo2'!$F:$F,$B42)</f>
        <v>0</v>
      </c>
      <c r="E42" s="6">
        <f t="shared" si="0"/>
        <v>0</v>
      </c>
      <c r="F42" s="4">
        <f t="shared" si="10"/>
        <v>0</v>
      </c>
      <c r="G42" s="6" t="s">
        <v>26230</v>
      </c>
      <c r="H42" s="6" t="s">
        <v>26230</v>
      </c>
      <c r="I42" s="6" t="s">
        <v>26230</v>
      </c>
      <c r="J42" s="6" t="s">
        <v>26230</v>
      </c>
      <c r="K42" s="6" t="s">
        <v>26230</v>
      </c>
      <c r="L42" s="6" t="s">
        <v>26230</v>
      </c>
      <c r="M42" s="6" t="s">
        <v>26230</v>
      </c>
      <c r="N42" s="6" t="s">
        <v>26230</v>
      </c>
      <c r="O42" s="6" t="s">
        <v>26230</v>
      </c>
      <c r="P42" s="6" t="s">
        <v>26230</v>
      </c>
      <c r="Q42" s="6" t="s">
        <v>26230</v>
      </c>
      <c r="R42" s="6" t="s">
        <v>26230</v>
      </c>
      <c r="S42" s="2">
        <f t="shared" si="11"/>
        <v>0</v>
      </c>
      <c r="T42" s="23">
        <f t="shared" si="9"/>
        <v>0</v>
      </c>
    </row>
    <row r="43" spans="1:20">
      <c r="A43" s="2" t="str">
        <f t="shared" si="12"/>
        <v>NewCo IV</v>
      </c>
      <c r="B43" s="3" t="str">
        <f>'Controle Projetos_Ciclo2'!F45</f>
        <v>Equipamentos Curva A - Outros (Cabine + Skid + Transformador)</v>
      </c>
      <c r="C43" s="5">
        <f>SUMIFS('Controle Projetos_Ciclo2'!$O:$O,'Controle Projetos_Ciclo2'!$D:$D,$A43,'Controle Projetos_Ciclo2'!$F:$F,$B43)</f>
        <v>14901685.896131942</v>
      </c>
      <c r="D43" s="5">
        <f>SUMIFS('Controle Projetos_Ciclo2'!$R:$R,'Controle Projetos_Ciclo2'!$D:$D,$A43,'Controle Projetos_Ciclo2'!$F:$F,$B43)</f>
        <v>14901685.896131942</v>
      </c>
      <c r="E43" s="6">
        <f t="shared" si="0"/>
        <v>0</v>
      </c>
      <c r="F43" s="4">
        <f t="shared" si="10"/>
        <v>0</v>
      </c>
      <c r="G43" s="6">
        <v>0</v>
      </c>
      <c r="H43" s="6">
        <v>0</v>
      </c>
      <c r="I43" s="6" t="s">
        <v>26230</v>
      </c>
      <c r="J43" s="6" t="s">
        <v>193</v>
      </c>
      <c r="K43" s="6" t="s">
        <v>26230</v>
      </c>
      <c r="L43" s="6" t="s">
        <v>26230</v>
      </c>
      <c r="M43" s="6" t="s">
        <v>26230</v>
      </c>
      <c r="N43" s="6" t="s">
        <v>26230</v>
      </c>
      <c r="O43" s="6" t="s">
        <v>26230</v>
      </c>
      <c r="P43" s="6" t="s">
        <v>26230</v>
      </c>
      <c r="Q43" s="6" t="s">
        <v>26230</v>
      </c>
      <c r="R43" s="6" t="s">
        <v>26230</v>
      </c>
      <c r="S43" s="2">
        <f t="shared" si="11"/>
        <v>0</v>
      </c>
      <c r="T43" s="23">
        <f t="shared" si="9"/>
        <v>0</v>
      </c>
    </row>
    <row r="44" spans="1:20">
      <c r="A44" s="2" t="str">
        <f t="shared" si="12"/>
        <v>NewCo IV</v>
      </c>
      <c r="B44" s="3" t="str">
        <f>'Controle Projetos_Ciclo2'!F46</f>
        <v>Desenvolvimento de projeto - Projetos - (Eng° Proprietario)</v>
      </c>
      <c r="C44" s="5">
        <f>SUMIFS('Controle Projetos_Ciclo2'!$O:$O,'Controle Projetos_Ciclo2'!$D:$D,$A44,'Controle Projetos_Ciclo2'!$F:$F,$B44)</f>
        <v>2564887.2199999997</v>
      </c>
      <c r="D44" s="5">
        <f>SUMIFS('Controle Projetos_Ciclo2'!$R:$R,'Controle Projetos_Ciclo2'!$D:$D,$A44,'Controle Projetos_Ciclo2'!$F:$F,$B44)</f>
        <v>2564887.2199999997</v>
      </c>
      <c r="E44" s="6">
        <f t="shared" si="0"/>
        <v>0</v>
      </c>
      <c r="F44" s="4">
        <f t="shared" si="10"/>
        <v>0</v>
      </c>
      <c r="G44" s="6">
        <v>0</v>
      </c>
      <c r="H44" s="6">
        <v>0</v>
      </c>
      <c r="I44" s="6" t="s">
        <v>26230</v>
      </c>
      <c r="J44" s="6" t="s">
        <v>193</v>
      </c>
      <c r="K44" s="6" t="s">
        <v>26230</v>
      </c>
      <c r="L44" s="6" t="s">
        <v>26230</v>
      </c>
      <c r="M44" s="6" t="s">
        <v>26230</v>
      </c>
      <c r="N44" s="6" t="s">
        <v>26230</v>
      </c>
      <c r="O44" s="6" t="s">
        <v>26230</v>
      </c>
      <c r="P44" s="6" t="s">
        <v>26230</v>
      </c>
      <c r="Q44" s="6" t="s">
        <v>26230</v>
      </c>
      <c r="R44" s="6" t="s">
        <v>26230</v>
      </c>
      <c r="S44" s="2">
        <f t="shared" si="11"/>
        <v>0</v>
      </c>
      <c r="T44" s="23">
        <f t="shared" si="9"/>
        <v>0</v>
      </c>
    </row>
    <row r="45" spans="1:20">
      <c r="A45" s="2" t="str">
        <f t="shared" si="12"/>
        <v>NewCo IV</v>
      </c>
      <c r="B45" s="3" t="str">
        <f>'Controle Projetos_Ciclo2'!F47</f>
        <v>Desenvolvimento de projeto - Projetos - Executivos</v>
      </c>
      <c r="C45" s="5">
        <f>SUMIFS('Controle Projetos_Ciclo2'!$O:$O,'Controle Projetos_Ciclo2'!$D:$D,$A45,'Controle Projetos_Ciclo2'!$F:$F,$B45)</f>
        <v>190773.46000000002</v>
      </c>
      <c r="D45" s="5">
        <f>SUMIFS('Controle Projetos_Ciclo2'!$R:$R,'Controle Projetos_Ciclo2'!$D:$D,$A45,'Controle Projetos_Ciclo2'!$F:$F,$B45)</f>
        <v>190773.46000000002</v>
      </c>
      <c r="E45" s="6">
        <f t="shared" si="0"/>
        <v>0</v>
      </c>
      <c r="F45" s="4">
        <f t="shared" si="10"/>
        <v>0</v>
      </c>
      <c r="G45" s="6">
        <v>0</v>
      </c>
      <c r="H45" s="6" t="s">
        <v>193</v>
      </c>
      <c r="I45" s="6" t="s">
        <v>26230</v>
      </c>
      <c r="J45" s="6" t="s">
        <v>193</v>
      </c>
      <c r="K45" s="6" t="s">
        <v>26230</v>
      </c>
      <c r="L45" s="6" t="s">
        <v>26230</v>
      </c>
      <c r="M45" s="6" t="s">
        <v>26230</v>
      </c>
      <c r="N45" s="6" t="s">
        <v>26230</v>
      </c>
      <c r="O45" s="6" t="s">
        <v>26230</v>
      </c>
      <c r="P45" s="6" t="s">
        <v>26230</v>
      </c>
      <c r="Q45" s="6" t="s">
        <v>26230</v>
      </c>
      <c r="R45" s="6" t="s">
        <v>26230</v>
      </c>
      <c r="S45" s="2">
        <f t="shared" si="11"/>
        <v>0</v>
      </c>
      <c r="T45" s="23">
        <f t="shared" si="9"/>
        <v>0</v>
      </c>
    </row>
    <row r="46" spans="1:20">
      <c r="A46" s="2" t="str">
        <f t="shared" si="12"/>
        <v>NewCo IV</v>
      </c>
      <c r="B46" s="3" t="str">
        <f>'Controle Projetos_Ciclo2'!F48</f>
        <v>Desenvolvimento de projeto - Projetos Básica</v>
      </c>
      <c r="C46" s="5">
        <f>SUMIFS('Controle Projetos_Ciclo2'!$O:$O,'Controle Projetos_Ciclo2'!$D:$D,$A46,'Controle Projetos_Ciclo2'!$F:$F,$B46)</f>
        <v>38585.51</v>
      </c>
      <c r="D46" s="5">
        <f>SUMIFS('Controle Projetos_Ciclo2'!$R:$R,'Controle Projetos_Ciclo2'!$D:$D,$A46,'Controle Projetos_Ciclo2'!$F:$F,$B46)</f>
        <v>38585.51</v>
      </c>
      <c r="E46" s="6">
        <f t="shared" si="0"/>
        <v>0</v>
      </c>
      <c r="F46" s="4">
        <f t="shared" si="10"/>
        <v>0</v>
      </c>
      <c r="G46" s="6" t="s">
        <v>26230</v>
      </c>
      <c r="H46" s="6" t="s">
        <v>193</v>
      </c>
      <c r="I46" s="6" t="s">
        <v>26230</v>
      </c>
      <c r="J46" s="6" t="s">
        <v>193</v>
      </c>
      <c r="K46" s="6" t="s">
        <v>26230</v>
      </c>
      <c r="L46" s="6" t="s">
        <v>26230</v>
      </c>
      <c r="M46" s="6" t="s">
        <v>26230</v>
      </c>
      <c r="N46" s="6" t="s">
        <v>26230</v>
      </c>
      <c r="O46" s="6" t="s">
        <v>26230</v>
      </c>
      <c r="P46" s="6" t="s">
        <v>26230</v>
      </c>
      <c r="Q46" s="6" t="s">
        <v>26230</v>
      </c>
      <c r="R46" s="6" t="s">
        <v>26230</v>
      </c>
      <c r="S46" s="2">
        <f t="shared" si="11"/>
        <v>0</v>
      </c>
      <c r="T46" s="23">
        <f t="shared" si="9"/>
        <v>0</v>
      </c>
    </row>
    <row r="47" spans="1:20">
      <c r="A47" s="2" t="str">
        <f t="shared" si="12"/>
        <v>NewCo IV</v>
      </c>
      <c r="B47" s="3" t="str">
        <f>'Controle Projetos_Ciclo2'!F49</f>
        <v>Desenvolvimento de projeto - Projetos Detalhada</v>
      </c>
      <c r="C47" s="5">
        <f>SUMIFS('Controle Projetos_Ciclo2'!$O:$O,'Controle Projetos_Ciclo2'!$D:$D,$A47,'Controle Projetos_Ciclo2'!$F:$F,$B47)</f>
        <v>800948.06</v>
      </c>
      <c r="D47" s="5">
        <f>SUMIFS('Controle Projetos_Ciclo2'!$R:$R,'Controle Projetos_Ciclo2'!$D:$D,$A47,'Controle Projetos_Ciclo2'!$F:$F,$B47)</f>
        <v>800948.06</v>
      </c>
      <c r="E47" s="6">
        <f t="shared" si="0"/>
        <v>0</v>
      </c>
      <c r="F47" s="4">
        <f t="shared" si="10"/>
        <v>0</v>
      </c>
      <c r="G47" s="6">
        <v>0</v>
      </c>
      <c r="H47" s="6" t="s">
        <v>193</v>
      </c>
      <c r="I47" s="6" t="s">
        <v>26230</v>
      </c>
      <c r="J47" s="6" t="s">
        <v>193</v>
      </c>
      <c r="K47" s="6" t="s">
        <v>26230</v>
      </c>
      <c r="L47" s="6" t="s">
        <v>26230</v>
      </c>
      <c r="M47" s="6" t="s">
        <v>26230</v>
      </c>
      <c r="N47" s="6" t="s">
        <v>26230</v>
      </c>
      <c r="O47" s="6" t="s">
        <v>26230</v>
      </c>
      <c r="P47" s="6" t="s">
        <v>26230</v>
      </c>
      <c r="Q47" s="6" t="s">
        <v>26230</v>
      </c>
      <c r="R47" s="6" t="s">
        <v>26230</v>
      </c>
      <c r="S47" s="2">
        <f t="shared" si="11"/>
        <v>0</v>
      </c>
      <c r="T47" s="23">
        <f t="shared" si="9"/>
        <v>0</v>
      </c>
    </row>
    <row r="48" spans="1:20">
      <c r="A48" s="2" t="str">
        <f t="shared" si="12"/>
        <v>NewCo IV</v>
      </c>
      <c r="B48" s="3" t="str">
        <f>'Controle Projetos_Ciclo2'!F50</f>
        <v>Desenvolvimento de projeto - Ambiental / Outros</v>
      </c>
      <c r="C48" s="5">
        <f>SUMIFS('Controle Projetos_Ciclo2'!$O:$O,'Controle Projetos_Ciclo2'!$D:$D,$A48,'Controle Projetos_Ciclo2'!$F:$F,$B48)</f>
        <v>1655855.6600000001</v>
      </c>
      <c r="D48" s="5">
        <f>SUMIFS('Controle Projetos_Ciclo2'!$R:$R,'Controle Projetos_Ciclo2'!$D:$D,$A48,'Controle Projetos_Ciclo2'!$F:$F,$B48)</f>
        <v>1655855.6600000001</v>
      </c>
      <c r="E48" s="6">
        <f t="shared" si="0"/>
        <v>0</v>
      </c>
      <c r="F48" s="4">
        <f t="shared" si="10"/>
        <v>0</v>
      </c>
      <c r="G48" s="6" t="s">
        <v>26230</v>
      </c>
      <c r="H48" s="6" t="s">
        <v>26230</v>
      </c>
      <c r="I48" s="6" t="s">
        <v>26230</v>
      </c>
      <c r="J48" s="6" t="s">
        <v>26230</v>
      </c>
      <c r="K48" s="6" t="s">
        <v>26230</v>
      </c>
      <c r="L48" s="6" t="s">
        <v>26230</v>
      </c>
      <c r="M48" s="6" t="s">
        <v>26230</v>
      </c>
      <c r="N48" s="6" t="s">
        <v>26230</v>
      </c>
      <c r="O48" s="6" t="s">
        <v>26230</v>
      </c>
      <c r="P48" s="6" t="s">
        <v>26230</v>
      </c>
      <c r="Q48" s="6" t="s">
        <v>26230</v>
      </c>
      <c r="R48" s="6" t="s">
        <v>26230</v>
      </c>
      <c r="S48" s="2">
        <f t="shared" si="11"/>
        <v>0</v>
      </c>
      <c r="T48" s="23">
        <f t="shared" si="9"/>
        <v>0</v>
      </c>
    </row>
    <row r="49" spans="1:20">
      <c r="A49" s="2" t="str">
        <f t="shared" si="12"/>
        <v>NewCo IV</v>
      </c>
      <c r="B49" s="3" t="str">
        <f>'Controle Projetos_Ciclo2'!F51</f>
        <v>Desenvolvimento de projeto - Coordenograma</v>
      </c>
      <c r="C49" s="5">
        <f>SUMIFS('Controle Projetos_Ciclo2'!$O:$O,'Controle Projetos_Ciclo2'!$D:$D,$A49,'Controle Projetos_Ciclo2'!$F:$F,$B49)</f>
        <v>119841.64999999995</v>
      </c>
      <c r="D49" s="5">
        <f>SUMIFS('Controle Projetos_Ciclo2'!$R:$R,'Controle Projetos_Ciclo2'!$D:$D,$A49,'Controle Projetos_Ciclo2'!$F:$F,$B49)</f>
        <v>119841.64999999995</v>
      </c>
      <c r="E49" s="6">
        <f t="shared" si="0"/>
        <v>0</v>
      </c>
      <c r="F49" s="4">
        <f t="shared" si="10"/>
        <v>0</v>
      </c>
      <c r="G49" s="6">
        <v>0</v>
      </c>
      <c r="H49" s="6">
        <v>0</v>
      </c>
      <c r="I49" s="6" t="s">
        <v>26230</v>
      </c>
      <c r="J49" s="6" t="s">
        <v>193</v>
      </c>
      <c r="K49" s="6" t="s">
        <v>26230</v>
      </c>
      <c r="L49" s="6" t="s">
        <v>26230</v>
      </c>
      <c r="M49" s="6" t="s">
        <v>26230</v>
      </c>
      <c r="N49" s="6" t="s">
        <v>26230</v>
      </c>
      <c r="O49" s="6" t="s">
        <v>26230</v>
      </c>
      <c r="P49" s="6" t="s">
        <v>26230</v>
      </c>
      <c r="Q49" s="6" t="s">
        <v>26230</v>
      </c>
      <c r="R49" s="6" t="s">
        <v>26230</v>
      </c>
      <c r="S49" s="2">
        <f t="shared" si="11"/>
        <v>0</v>
      </c>
      <c r="T49" s="23">
        <f t="shared" si="9"/>
        <v>0</v>
      </c>
    </row>
    <row r="50" spans="1:20">
      <c r="A50" s="2" t="str">
        <f t="shared" si="12"/>
        <v>NewCo IV</v>
      </c>
      <c r="B50" s="3" t="str">
        <f>'Controle Projetos_Ciclo2'!F52</f>
        <v>Sistemas de Monitoramento - Supervisório</v>
      </c>
      <c r="C50" s="5">
        <f>SUMIFS('Controle Projetos_Ciclo2'!$O:$O,'Controle Projetos_Ciclo2'!$D:$D,$A50,'Controle Projetos_Ciclo2'!$F:$F,$B50)</f>
        <v>2042324.95</v>
      </c>
      <c r="D50" s="5">
        <f>SUMIFS('Controle Projetos_Ciclo2'!$R:$R,'Controle Projetos_Ciclo2'!$D:$D,$A50,'Controle Projetos_Ciclo2'!$F:$F,$B50)</f>
        <v>2042324.95</v>
      </c>
      <c r="E50" s="6">
        <f t="shared" si="0"/>
        <v>0</v>
      </c>
      <c r="F50" s="4">
        <f t="shared" si="10"/>
        <v>0</v>
      </c>
      <c r="G50" s="6">
        <v>0</v>
      </c>
      <c r="H50" s="6">
        <v>0</v>
      </c>
      <c r="I50" s="6">
        <v>0</v>
      </c>
      <c r="J50" s="6">
        <v>0</v>
      </c>
      <c r="K50" s="6">
        <v>0</v>
      </c>
      <c r="L50" s="6" t="s">
        <v>26230</v>
      </c>
      <c r="M50" s="6" t="s">
        <v>26230</v>
      </c>
      <c r="N50" s="6" t="s">
        <v>26230</v>
      </c>
      <c r="O50" s="6" t="s">
        <v>26230</v>
      </c>
      <c r="P50" s="6" t="s">
        <v>26230</v>
      </c>
      <c r="Q50" s="6" t="s">
        <v>26230</v>
      </c>
      <c r="R50" s="6" t="s">
        <v>26230</v>
      </c>
      <c r="S50" s="2">
        <f t="shared" si="11"/>
        <v>0</v>
      </c>
      <c r="T50" s="23">
        <f t="shared" si="9"/>
        <v>0</v>
      </c>
    </row>
    <row r="51" spans="1:20">
      <c r="A51" s="2" t="str">
        <f t="shared" si="12"/>
        <v>NewCo IV</v>
      </c>
      <c r="B51" s="3" t="str">
        <f>'Controle Projetos_Ciclo2'!F53</f>
        <v>Sistemas de Monitoramento - Estações Solarimétricas</v>
      </c>
      <c r="C51" s="5">
        <f>SUMIFS('Controle Projetos_Ciclo2'!$O:$O,'Controle Projetos_Ciclo2'!$D:$D,$A51,'Controle Projetos_Ciclo2'!$F:$F,$B51)</f>
        <v>531041.67599999998</v>
      </c>
      <c r="D51" s="5">
        <f>SUMIFS('Controle Projetos_Ciclo2'!$R:$R,'Controle Projetos_Ciclo2'!$D:$D,$A51,'Controle Projetos_Ciclo2'!$F:$F,$B51)</f>
        <v>531041.67599999998</v>
      </c>
      <c r="E51" s="6">
        <f t="shared" si="0"/>
        <v>0</v>
      </c>
      <c r="F51" s="4">
        <f t="shared" si="10"/>
        <v>0</v>
      </c>
      <c r="G51" s="6" t="s">
        <v>26230</v>
      </c>
      <c r="H51" s="6" t="s">
        <v>193</v>
      </c>
      <c r="I51" s="6" t="s">
        <v>26230</v>
      </c>
      <c r="J51" s="6" t="s">
        <v>193</v>
      </c>
      <c r="K51" s="6" t="s">
        <v>26230</v>
      </c>
      <c r="L51" s="6" t="s">
        <v>26230</v>
      </c>
      <c r="M51" s="6" t="s">
        <v>26230</v>
      </c>
      <c r="N51" s="6" t="s">
        <v>26230</v>
      </c>
      <c r="O51" s="6" t="s">
        <v>26230</v>
      </c>
      <c r="P51" s="6" t="s">
        <v>26230</v>
      </c>
      <c r="Q51" s="6" t="s">
        <v>26230</v>
      </c>
      <c r="R51" s="6" t="s">
        <v>26230</v>
      </c>
      <c r="S51" s="2">
        <f t="shared" si="11"/>
        <v>0</v>
      </c>
      <c r="T51" s="23">
        <f t="shared" si="9"/>
        <v>0</v>
      </c>
    </row>
    <row r="52" spans="1:20">
      <c r="A52" s="2" t="str">
        <f t="shared" si="12"/>
        <v>NewCo IV</v>
      </c>
      <c r="B52" s="3" t="str">
        <f>'Controle Projetos_Ciclo2'!F54</f>
        <v>Sistemas de Monitoramento - CFTV</v>
      </c>
      <c r="C52" s="5">
        <f>SUMIFS('Controle Projetos_Ciclo2'!$O:$O,'Controle Projetos_Ciclo2'!$D:$D,$A52,'Controle Projetos_Ciclo2'!$F:$F,$B52)</f>
        <v>4637230.9499999993</v>
      </c>
      <c r="D52" s="5">
        <f>SUMIFS('Controle Projetos_Ciclo2'!$R:$R,'Controle Projetos_Ciclo2'!$D:$D,$A52,'Controle Projetos_Ciclo2'!$F:$F,$B52)</f>
        <v>4637230.9499999993</v>
      </c>
      <c r="E52" s="6">
        <f t="shared" si="0"/>
        <v>0</v>
      </c>
      <c r="F52" s="4">
        <f t="shared" si="10"/>
        <v>0</v>
      </c>
      <c r="G52" s="6">
        <v>14113</v>
      </c>
      <c r="H52" s="6">
        <v>0</v>
      </c>
      <c r="I52" s="6">
        <v>0</v>
      </c>
      <c r="J52" s="6">
        <v>0</v>
      </c>
      <c r="K52" s="6">
        <v>0</v>
      </c>
      <c r="L52" s="6" t="s">
        <v>26230</v>
      </c>
      <c r="M52" s="6" t="s">
        <v>26230</v>
      </c>
      <c r="N52" s="6" t="s">
        <v>26230</v>
      </c>
      <c r="O52" s="6" t="s">
        <v>26230</v>
      </c>
      <c r="P52" s="6" t="s">
        <v>26230</v>
      </c>
      <c r="Q52" s="6" t="s">
        <v>26230</v>
      </c>
      <c r="R52" s="6" t="s">
        <v>26230</v>
      </c>
      <c r="S52" s="2">
        <f t="shared" si="11"/>
        <v>14113</v>
      </c>
      <c r="T52" s="23">
        <f t="shared" si="9"/>
        <v>14113</v>
      </c>
    </row>
    <row r="53" spans="1:20">
      <c r="A53" s="2" t="str">
        <f t="shared" si="12"/>
        <v>NewCo IV</v>
      </c>
      <c r="B53" s="3" t="str">
        <f>'Controle Projetos_Ciclo2'!F55</f>
        <v>Serviços Auxiliares - Drenagem</v>
      </c>
      <c r="C53" s="5">
        <f>SUMIFS('Controle Projetos_Ciclo2'!$O:$O,'Controle Projetos_Ciclo2'!$D:$D,$A53,'Controle Projetos_Ciclo2'!$F:$F,$B53)</f>
        <v>14420506.086000001</v>
      </c>
      <c r="D53" s="5">
        <f>SUMIFS('Controle Projetos_Ciclo2'!$R:$R,'Controle Projetos_Ciclo2'!$D:$D,$A53,'Controle Projetos_Ciclo2'!$F:$F,$B53)</f>
        <v>14047476.195999999</v>
      </c>
      <c r="E53" s="6">
        <f t="shared" si="0"/>
        <v>0</v>
      </c>
      <c r="F53" s="4">
        <f t="shared" si="10"/>
        <v>373029.89000000246</v>
      </c>
      <c r="G53" s="6">
        <v>1000000</v>
      </c>
      <c r="H53" s="6">
        <v>1000000</v>
      </c>
      <c r="I53" s="6">
        <v>1000000</v>
      </c>
      <c r="J53" s="6">
        <v>1000000</v>
      </c>
      <c r="K53" s="6">
        <v>266252</v>
      </c>
      <c r="L53" s="6" t="s">
        <v>26230</v>
      </c>
      <c r="M53" s="6" t="s">
        <v>26230</v>
      </c>
      <c r="N53" s="6" t="s">
        <v>26230</v>
      </c>
      <c r="O53" s="6" t="s">
        <v>26230</v>
      </c>
      <c r="P53" s="6" t="s">
        <v>26230</v>
      </c>
      <c r="Q53" s="6" t="s">
        <v>26230</v>
      </c>
      <c r="R53" s="6" t="s">
        <v>26230</v>
      </c>
      <c r="S53" s="2">
        <f t="shared" si="11"/>
        <v>4266252</v>
      </c>
      <c r="T53" s="23">
        <f t="shared" si="9"/>
        <v>3893222</v>
      </c>
    </row>
    <row r="54" spans="1:20">
      <c r="A54" s="2" t="str">
        <f t="shared" si="12"/>
        <v>NewCo IV</v>
      </c>
      <c r="B54" s="3" t="str">
        <f>'Controle Projetos_Ciclo2'!F56</f>
        <v>Serviços Auxiliares - Terraplanagem</v>
      </c>
      <c r="C54" s="5">
        <f>SUMIFS('Controle Projetos_Ciclo2'!$O:$O,'Controle Projetos_Ciclo2'!$D:$D,$A54,'Controle Projetos_Ciclo2'!$F:$F,$B54)</f>
        <v>19581359.270500001</v>
      </c>
      <c r="D54" s="5">
        <f>SUMIFS('Controle Projetos_Ciclo2'!$R:$R,'Controle Projetos_Ciclo2'!$D:$D,$A54,'Controle Projetos_Ciclo2'!$F:$F,$B54)</f>
        <v>19581359.270500001</v>
      </c>
      <c r="E54" s="6">
        <f t="shared" si="0"/>
        <v>0</v>
      </c>
      <c r="F54" s="4">
        <f t="shared" si="10"/>
        <v>0</v>
      </c>
      <c r="G54" s="6">
        <v>0</v>
      </c>
      <c r="H54" s="6">
        <v>0</v>
      </c>
      <c r="I54" s="6">
        <v>0</v>
      </c>
      <c r="J54" s="6">
        <v>0</v>
      </c>
      <c r="K54" s="6" t="s">
        <v>26230</v>
      </c>
      <c r="L54" s="6" t="s">
        <v>26230</v>
      </c>
      <c r="M54" s="6" t="s">
        <v>26230</v>
      </c>
      <c r="N54" s="6" t="s">
        <v>26230</v>
      </c>
      <c r="O54" s="6" t="s">
        <v>26230</v>
      </c>
      <c r="P54" s="6" t="s">
        <v>26230</v>
      </c>
      <c r="Q54" s="6" t="s">
        <v>26230</v>
      </c>
      <c r="R54" s="6" t="s">
        <v>26230</v>
      </c>
      <c r="S54" s="2">
        <f t="shared" si="11"/>
        <v>0</v>
      </c>
      <c r="T54" s="23">
        <f t="shared" si="9"/>
        <v>0</v>
      </c>
    </row>
    <row r="55" spans="1:20">
      <c r="A55" s="2" t="str">
        <f t="shared" si="12"/>
        <v>NewCo IV</v>
      </c>
      <c r="B55" s="3" t="str">
        <f>'Controle Projetos_Ciclo2'!F57</f>
        <v>Serviços Auxiliares - Supressão Vegetal</v>
      </c>
      <c r="C55" s="5">
        <f>SUMIFS('Controle Projetos_Ciclo2'!$O:$O,'Controle Projetos_Ciclo2'!$D:$D,$A55,'Controle Projetos_Ciclo2'!$F:$F,$B55)</f>
        <v>1756939.8</v>
      </c>
      <c r="D55" s="5">
        <f>SUMIFS('Controle Projetos_Ciclo2'!$R:$R,'Controle Projetos_Ciclo2'!$D:$D,$A55,'Controle Projetos_Ciclo2'!$F:$F,$B55)</f>
        <v>1708029.8</v>
      </c>
      <c r="E55" s="6">
        <f t="shared" si="0"/>
        <v>0</v>
      </c>
      <c r="F55" s="4">
        <f t="shared" si="10"/>
        <v>48910</v>
      </c>
      <c r="G55" s="6">
        <v>48910</v>
      </c>
      <c r="H55" s="6">
        <v>0</v>
      </c>
      <c r="I55" s="6" t="s">
        <v>26230</v>
      </c>
      <c r="J55" s="6" t="s">
        <v>26230</v>
      </c>
      <c r="K55" s="6" t="s">
        <v>26230</v>
      </c>
      <c r="L55" s="6" t="s">
        <v>26230</v>
      </c>
      <c r="M55" s="6" t="s">
        <v>26230</v>
      </c>
      <c r="N55" s="6" t="s">
        <v>26230</v>
      </c>
      <c r="O55" s="6" t="s">
        <v>26230</v>
      </c>
      <c r="P55" s="6" t="s">
        <v>26230</v>
      </c>
      <c r="Q55" s="6" t="s">
        <v>26230</v>
      </c>
      <c r="R55" s="6" t="s">
        <v>26230</v>
      </c>
      <c r="S55" s="2">
        <f t="shared" si="11"/>
        <v>48910</v>
      </c>
      <c r="T55" s="23">
        <f t="shared" si="9"/>
        <v>0</v>
      </c>
    </row>
    <row r="56" spans="1:20">
      <c r="A56" s="2" t="str">
        <f t="shared" si="12"/>
        <v>NewCo IV</v>
      </c>
      <c r="B56" s="3" t="str">
        <f>'Controle Projetos_Ciclo2'!F58</f>
        <v>RDR-Rede de Distribuição Rural</v>
      </c>
      <c r="C56" s="5">
        <f>SUMIFS('Controle Projetos_Ciclo2'!$O:$O,'Controle Projetos_Ciclo2'!$D:$D,$A56,'Controle Projetos_Ciclo2'!$F:$F,$B56)</f>
        <v>474358</v>
      </c>
      <c r="D56" s="5">
        <f>SUMIFS('Controle Projetos_Ciclo2'!$R:$R,'Controle Projetos_Ciclo2'!$D:$D,$A56,'Controle Projetos_Ciclo2'!$F:$F,$B56)</f>
        <v>474358</v>
      </c>
      <c r="E56" s="6">
        <f t="shared" si="0"/>
        <v>0</v>
      </c>
      <c r="F56" s="4">
        <f t="shared" si="10"/>
        <v>0</v>
      </c>
      <c r="G56" s="6" t="s">
        <v>26230</v>
      </c>
      <c r="H56" s="6" t="s">
        <v>26230</v>
      </c>
      <c r="I56" s="6" t="s">
        <v>26230</v>
      </c>
      <c r="J56" s="6" t="s">
        <v>26230</v>
      </c>
      <c r="K56" s="6" t="s">
        <v>26230</v>
      </c>
      <c r="L56" s="6" t="s">
        <v>26230</v>
      </c>
      <c r="M56" s="6" t="s">
        <v>26230</v>
      </c>
      <c r="N56" s="6" t="s">
        <v>26230</v>
      </c>
      <c r="O56" s="6" t="s">
        <v>26230</v>
      </c>
      <c r="P56" s="6" t="s">
        <v>26230</v>
      </c>
      <c r="Q56" s="6" t="s">
        <v>26230</v>
      </c>
      <c r="R56" s="6" t="s">
        <v>26230</v>
      </c>
      <c r="S56" s="2">
        <f t="shared" si="11"/>
        <v>0</v>
      </c>
      <c r="T56" s="23">
        <f t="shared" si="9"/>
        <v>0</v>
      </c>
    </row>
    <row r="57" spans="1:20">
      <c r="A57" s="2" t="str">
        <f t="shared" si="12"/>
        <v>NewCo IV</v>
      </c>
      <c r="B57" s="3" t="str">
        <f>'Controle Projetos_Ciclo2'!F59</f>
        <v>Escopo COMERC</v>
      </c>
      <c r="C57" s="5">
        <f>SUMIFS('Controle Projetos_Ciclo2'!$O:$O,'Controle Projetos_Ciclo2'!$D:$D,$A57,'Controle Projetos_Ciclo2'!$F:$F,$B57)</f>
        <v>3543846.4199999995</v>
      </c>
      <c r="D57" s="5">
        <f>SUMIFS('Controle Projetos_Ciclo2'!$R:$R,'Controle Projetos_Ciclo2'!$D:$D,$A57,'Controle Projetos_Ciclo2'!$F:$F,$B57)</f>
        <v>2854103.57</v>
      </c>
      <c r="E57" s="6">
        <f t="shared" si="0"/>
        <v>0</v>
      </c>
      <c r="F57" s="4">
        <f t="shared" si="10"/>
        <v>689742.84999999963</v>
      </c>
      <c r="G57" s="6">
        <v>200000</v>
      </c>
      <c r="H57" s="6">
        <v>200000</v>
      </c>
      <c r="I57" s="6">
        <v>200000</v>
      </c>
      <c r="J57" s="6">
        <v>156686</v>
      </c>
      <c r="K57" s="6">
        <v>0</v>
      </c>
      <c r="L57" s="6">
        <v>0</v>
      </c>
      <c r="M57" s="6" t="s">
        <v>26230</v>
      </c>
      <c r="N57" s="6" t="s">
        <v>26230</v>
      </c>
      <c r="O57" s="6" t="s">
        <v>26230</v>
      </c>
      <c r="P57" s="6" t="s">
        <v>26230</v>
      </c>
      <c r="Q57" s="6" t="s">
        <v>26230</v>
      </c>
      <c r="R57" s="6" t="s">
        <v>26230</v>
      </c>
      <c r="S57" s="2">
        <f t="shared" si="11"/>
        <v>756686</v>
      </c>
      <c r="T57" s="23">
        <f t="shared" si="9"/>
        <v>66943</v>
      </c>
    </row>
    <row r="58" spans="1:20">
      <c r="A58" s="2" t="str">
        <f t="shared" si="12"/>
        <v>NewCo IV</v>
      </c>
      <c r="B58" s="3" t="str">
        <f>'Controle Projetos_Ciclo2'!F60</f>
        <v>Escopo COMERC - Segurança</v>
      </c>
      <c r="C58" s="5">
        <f>SUMIFS('Controle Projetos_Ciclo2'!$O:$O,'Controle Projetos_Ciclo2'!$D:$D,$A58,'Controle Projetos_Ciclo2'!$F:$F,$B58)</f>
        <v>3129617.9599999995</v>
      </c>
      <c r="D58" s="5">
        <f>SUMIFS('Controle Projetos_Ciclo2'!$R:$R,'Controle Projetos_Ciclo2'!$D:$D,$A58,'Controle Projetos_Ciclo2'!$F:$F,$B58)</f>
        <v>3041319.7299999995</v>
      </c>
      <c r="E58" s="6">
        <f t="shared" si="0"/>
        <v>0</v>
      </c>
      <c r="F58" s="4">
        <f t="shared" si="10"/>
        <v>88298.229999999981</v>
      </c>
      <c r="G58" s="6" t="s">
        <v>26230</v>
      </c>
      <c r="H58" s="6" t="s">
        <v>26230</v>
      </c>
      <c r="I58" s="6" t="s">
        <v>26230</v>
      </c>
      <c r="J58" s="6" t="s">
        <v>26230</v>
      </c>
      <c r="K58" s="6" t="s">
        <v>26230</v>
      </c>
      <c r="L58" s="6" t="s">
        <v>26230</v>
      </c>
      <c r="M58" s="6" t="s">
        <v>26230</v>
      </c>
      <c r="N58" s="6" t="s">
        <v>26230</v>
      </c>
      <c r="O58" s="6" t="s">
        <v>26230</v>
      </c>
      <c r="P58" s="6" t="s">
        <v>26230</v>
      </c>
      <c r="Q58" s="6" t="s">
        <v>26230</v>
      </c>
      <c r="R58" s="6" t="s">
        <v>26230</v>
      </c>
      <c r="S58" s="2">
        <f t="shared" si="11"/>
        <v>0</v>
      </c>
      <c r="T58" s="23">
        <f t="shared" si="9"/>
        <v>0</v>
      </c>
    </row>
    <row r="59" spans="1:20">
      <c r="A59" s="2" t="str">
        <f t="shared" si="12"/>
        <v>NewCo IV</v>
      </c>
      <c r="B59" s="3" t="str">
        <f>'Controle Projetos_Ciclo2'!F61</f>
        <v>Conexão MT - Obras Transferencia</v>
      </c>
      <c r="C59" s="5">
        <f>SUMIFS('Controle Projetos_Ciclo2'!$O:$O,'Controle Projetos_Ciclo2'!$D:$D,$A59,'Controle Projetos_Ciclo2'!$F:$F,$B59)</f>
        <v>5860894</v>
      </c>
      <c r="D59" s="5">
        <f>SUMIFS('Controle Projetos_Ciclo2'!$R:$R,'Controle Projetos_Ciclo2'!$D:$D,$A59,'Controle Projetos_Ciclo2'!$F:$F,$B59)</f>
        <v>5860894</v>
      </c>
      <c r="E59" s="6">
        <f t="shared" si="0"/>
        <v>0</v>
      </c>
      <c r="F59" s="4">
        <f t="shared" si="10"/>
        <v>0</v>
      </c>
      <c r="G59" s="6">
        <v>0</v>
      </c>
      <c r="H59" s="6">
        <v>0</v>
      </c>
      <c r="I59" s="6" t="s">
        <v>26230</v>
      </c>
      <c r="J59" s="6" t="s">
        <v>26230</v>
      </c>
      <c r="K59" s="6" t="s">
        <v>26230</v>
      </c>
      <c r="L59" s="6" t="s">
        <v>26230</v>
      </c>
      <c r="M59" s="6" t="s">
        <v>26230</v>
      </c>
      <c r="N59" s="6" t="s">
        <v>26230</v>
      </c>
      <c r="O59" s="6" t="s">
        <v>26230</v>
      </c>
      <c r="P59" s="6" t="s">
        <v>26230</v>
      </c>
      <c r="Q59" s="6" t="s">
        <v>26230</v>
      </c>
      <c r="R59" s="6" t="s">
        <v>26230</v>
      </c>
      <c r="S59" s="2">
        <f t="shared" si="11"/>
        <v>0</v>
      </c>
      <c r="T59" s="23">
        <f t="shared" si="9"/>
        <v>0</v>
      </c>
    </row>
    <row r="60" spans="1:20">
      <c r="A60" s="2" t="str">
        <f t="shared" si="12"/>
        <v>NewCo IV</v>
      </c>
      <c r="B60" s="3" t="str">
        <f>'Controle Projetos_Ciclo2'!F62</f>
        <v>Bases de Contaniers</v>
      </c>
      <c r="C60" s="5">
        <f>SUMIFS('Controle Projetos_Ciclo2'!$O:$O,'Controle Projetos_Ciclo2'!$D:$D,$A60,'Controle Projetos_Ciclo2'!$F:$F,$B60)</f>
        <v>459300.76</v>
      </c>
      <c r="D60" s="5">
        <f>SUMIFS('Controle Projetos_Ciclo2'!$R:$R,'Controle Projetos_Ciclo2'!$D:$D,$A60,'Controle Projetos_Ciclo2'!$F:$F,$B60)</f>
        <v>459300.76</v>
      </c>
      <c r="E60" s="6">
        <f t="shared" si="0"/>
        <v>0</v>
      </c>
      <c r="F60" s="4">
        <f t="shared" si="10"/>
        <v>0</v>
      </c>
      <c r="G60" s="6">
        <v>0</v>
      </c>
      <c r="H60" s="6">
        <v>0</v>
      </c>
      <c r="I60" s="6" t="s">
        <v>26230</v>
      </c>
      <c r="J60" s="6" t="s">
        <v>26230</v>
      </c>
      <c r="K60" s="6" t="s">
        <v>26230</v>
      </c>
      <c r="L60" s="6" t="s">
        <v>26230</v>
      </c>
      <c r="M60" s="6" t="s">
        <v>26230</v>
      </c>
      <c r="N60" s="6" t="s">
        <v>26230</v>
      </c>
      <c r="O60" s="6" t="s">
        <v>26230</v>
      </c>
      <c r="P60" s="6" t="s">
        <v>26230</v>
      </c>
      <c r="Q60" s="6" t="s">
        <v>26230</v>
      </c>
      <c r="R60" s="6" t="s">
        <v>26230</v>
      </c>
      <c r="S60" s="2">
        <f t="shared" si="11"/>
        <v>0</v>
      </c>
      <c r="T60" s="23">
        <f t="shared" si="9"/>
        <v>0</v>
      </c>
    </row>
    <row r="61" spans="1:20">
      <c r="A61" s="2" t="str">
        <f t="shared" si="12"/>
        <v>NewCo IV</v>
      </c>
      <c r="B61" s="3" t="str">
        <f>'Controle Projetos_Ciclo2'!F63</f>
        <v>Construção - Serviços de Construção - Ase Engenharia</v>
      </c>
      <c r="C61" s="5">
        <f>SUMIFS('Controle Projetos_Ciclo2'!$O:$O,'Controle Projetos_Ciclo2'!$D:$D,$A61,'Controle Projetos_Ciclo2'!$F:$F,$B61)</f>
        <v>3006129.92</v>
      </c>
      <c r="D61" s="5">
        <f>SUMIFS('Controle Projetos_Ciclo2'!$R:$R,'Controle Projetos_Ciclo2'!$D:$D,$A61,'Controle Projetos_Ciclo2'!$F:$F,$B61)</f>
        <v>2972989.2299999995</v>
      </c>
      <c r="E61" s="6">
        <f t="shared" si="0"/>
        <v>0</v>
      </c>
      <c r="F61" s="4">
        <f t="shared" si="10"/>
        <v>33140.69000000041</v>
      </c>
      <c r="G61" s="6">
        <v>102038</v>
      </c>
      <c r="H61" s="6">
        <v>0</v>
      </c>
      <c r="I61" s="6" t="s">
        <v>26230</v>
      </c>
      <c r="J61" s="6" t="s">
        <v>26230</v>
      </c>
      <c r="K61" s="6" t="s">
        <v>26230</v>
      </c>
      <c r="L61" s="6" t="s">
        <v>26230</v>
      </c>
      <c r="M61" s="6" t="s">
        <v>26230</v>
      </c>
      <c r="N61" s="6" t="s">
        <v>26230</v>
      </c>
      <c r="O61" s="6" t="s">
        <v>26230</v>
      </c>
      <c r="P61" s="6" t="s">
        <v>26230</v>
      </c>
      <c r="Q61" s="6" t="s">
        <v>26230</v>
      </c>
      <c r="R61" s="6" t="s">
        <v>26230</v>
      </c>
      <c r="S61" s="2">
        <f t="shared" si="11"/>
        <v>102038</v>
      </c>
      <c r="T61" s="23">
        <f t="shared" si="9"/>
        <v>68897</v>
      </c>
    </row>
    <row r="62" spans="1:20">
      <c r="A62" s="2" t="str">
        <f t="shared" si="12"/>
        <v>NewCo IV</v>
      </c>
      <c r="B62" s="3" t="str">
        <f>'Controle Projetos_Ciclo2'!F64</f>
        <v>Full EPC - Contrato Sobressalentes</v>
      </c>
      <c r="C62" s="5">
        <f>SUMIFS('Controle Projetos_Ciclo2'!$O:$O,'Controle Projetos_Ciclo2'!$D:$D,$A62,'Controle Projetos_Ciclo2'!$F:$F,$B62)</f>
        <v>979546.95</v>
      </c>
      <c r="D62" s="5">
        <f>SUMIFS('Controle Projetos_Ciclo2'!$R:$R,'Controle Projetos_Ciclo2'!$D:$D,$A62,'Controle Projetos_Ciclo2'!$F:$F,$B62)</f>
        <v>979546.95</v>
      </c>
      <c r="E62" s="6">
        <f t="shared" si="0"/>
        <v>0</v>
      </c>
      <c r="F62" s="4">
        <f t="shared" si="10"/>
        <v>0</v>
      </c>
      <c r="G62" s="6" t="s">
        <v>26230</v>
      </c>
      <c r="H62" s="6" t="s">
        <v>26230</v>
      </c>
      <c r="I62" s="6" t="s">
        <v>26230</v>
      </c>
      <c r="J62" s="6" t="s">
        <v>26230</v>
      </c>
      <c r="K62" s="6" t="s">
        <v>26230</v>
      </c>
      <c r="L62" s="6" t="s">
        <v>26230</v>
      </c>
      <c r="M62" s="6" t="s">
        <v>26230</v>
      </c>
      <c r="N62" s="6" t="s">
        <v>26230</v>
      </c>
      <c r="O62" s="6" t="s">
        <v>26230</v>
      </c>
      <c r="P62" s="6" t="s">
        <v>26230</v>
      </c>
      <c r="Q62" s="6" t="s">
        <v>26230</v>
      </c>
      <c r="R62" s="6" t="s">
        <v>26230</v>
      </c>
      <c r="S62" s="2">
        <f t="shared" si="11"/>
        <v>0</v>
      </c>
      <c r="T62" s="23">
        <f t="shared" si="9"/>
        <v>0</v>
      </c>
    </row>
    <row r="63" spans="1:20">
      <c r="A63" s="2" t="str">
        <f t="shared" si="12"/>
        <v>NewCo IV</v>
      </c>
      <c r="B63" s="3" t="str">
        <f>'Controle Projetos_Ciclo2'!F65</f>
        <v>Construção - Serviços de Construção - NOVA MORADA</v>
      </c>
      <c r="C63" s="5">
        <f>SUMIFS('Controle Projetos_Ciclo2'!$O:$O,'Controle Projetos_Ciclo2'!$D:$D,$A63,'Controle Projetos_Ciclo2'!$F:$F,$B63)</f>
        <v>139845.13</v>
      </c>
      <c r="D63" s="5">
        <f>SUMIFS('Controle Projetos_Ciclo2'!$R:$R,'Controle Projetos_Ciclo2'!$D:$D,$A63,'Controle Projetos_Ciclo2'!$F:$F,$B63)</f>
        <v>139845.13</v>
      </c>
      <c r="E63" s="6">
        <f t="shared" si="0"/>
        <v>0</v>
      </c>
      <c r="F63" s="4">
        <f t="shared" si="10"/>
        <v>0</v>
      </c>
      <c r="G63" s="6">
        <v>0</v>
      </c>
      <c r="H63" s="6" t="s">
        <v>26230</v>
      </c>
      <c r="I63" s="6" t="s">
        <v>26230</v>
      </c>
      <c r="J63" s="6" t="s">
        <v>26230</v>
      </c>
      <c r="K63" s="6" t="s">
        <v>26230</v>
      </c>
      <c r="L63" s="6" t="s">
        <v>26230</v>
      </c>
      <c r="M63" s="6" t="s">
        <v>26230</v>
      </c>
      <c r="N63" s="6" t="s">
        <v>26230</v>
      </c>
      <c r="O63" s="6" t="s">
        <v>26230</v>
      </c>
      <c r="P63" s="6" t="s">
        <v>26230</v>
      </c>
      <c r="Q63" s="6" t="s">
        <v>26230</v>
      </c>
      <c r="R63" s="6" t="s">
        <v>26230</v>
      </c>
      <c r="S63" s="2">
        <f t="shared" si="11"/>
        <v>0</v>
      </c>
      <c r="T63" s="23">
        <f t="shared" si="9"/>
        <v>0</v>
      </c>
    </row>
    <row r="64" spans="1:20">
      <c r="A64" s="2" t="str">
        <f t="shared" si="12"/>
        <v>NewCo IV</v>
      </c>
      <c r="B64" s="3" t="str">
        <f>'Controle Projetos_Ciclo2'!F66</f>
        <v>Equipamentos Curva A -  Contrato Sobressalentes - SETTA</v>
      </c>
      <c r="C64" s="5">
        <f>SUMIFS('Controle Projetos_Ciclo2'!$O:$O,'Controle Projetos_Ciclo2'!$D:$D,$A64,'Controle Projetos_Ciclo2'!$F:$F,$B64)</f>
        <v>0</v>
      </c>
      <c r="D64" s="5">
        <f>SUMIFS('Controle Projetos_Ciclo2'!$R:$R,'Controle Projetos_Ciclo2'!$D:$D,$A64,'Controle Projetos_Ciclo2'!$F:$F,$B64)</f>
        <v>0</v>
      </c>
      <c r="E64" s="6">
        <f t="shared" si="0"/>
        <v>0</v>
      </c>
      <c r="F64" s="4">
        <f t="shared" si="10"/>
        <v>0</v>
      </c>
      <c r="G64" s="6" t="s">
        <v>26230</v>
      </c>
      <c r="H64" s="6" t="s">
        <v>26230</v>
      </c>
      <c r="I64" s="6" t="s">
        <v>26230</v>
      </c>
      <c r="J64" s="6" t="s">
        <v>26230</v>
      </c>
      <c r="K64" s="6" t="s">
        <v>26230</v>
      </c>
      <c r="L64" s="6" t="s">
        <v>26230</v>
      </c>
      <c r="M64" s="6" t="s">
        <v>26230</v>
      </c>
      <c r="N64" s="6" t="s">
        <v>26230</v>
      </c>
      <c r="O64" s="6" t="s">
        <v>26230</v>
      </c>
      <c r="P64" s="6" t="s">
        <v>26230</v>
      </c>
      <c r="Q64" s="6" t="s">
        <v>26230</v>
      </c>
      <c r="R64" s="6" t="s">
        <v>26230</v>
      </c>
      <c r="S64" s="2">
        <f t="shared" si="11"/>
        <v>0</v>
      </c>
      <c r="T64" s="23">
        <f t="shared" si="9"/>
        <v>0</v>
      </c>
    </row>
    <row r="65" spans="1:20">
      <c r="A65" s="2" t="str">
        <f t="shared" si="12"/>
        <v>NewCo IV</v>
      </c>
      <c r="B65" s="3" t="str">
        <f>'Controle Projetos_Ciclo2'!F67</f>
        <v>Equipamentos Curva A -  Contrato Sobressalentes - Arctech</v>
      </c>
      <c r="C65" s="5">
        <f>SUMIFS('Controle Projetos_Ciclo2'!$O:$O,'Controle Projetos_Ciclo2'!$D:$D,$A65,'Controle Projetos_Ciclo2'!$F:$F,$B65)</f>
        <v>0</v>
      </c>
      <c r="D65" s="5">
        <f>SUMIFS('Controle Projetos_Ciclo2'!$R:$R,'Controle Projetos_Ciclo2'!$D:$D,$A65,'Controle Projetos_Ciclo2'!$F:$F,$B65)</f>
        <v>0</v>
      </c>
      <c r="E65" s="6">
        <f t="shared" si="0"/>
        <v>0</v>
      </c>
      <c r="F65" s="4">
        <f t="shared" si="10"/>
        <v>0</v>
      </c>
      <c r="G65" s="6" t="s">
        <v>26230</v>
      </c>
      <c r="H65" s="6">
        <v>431663</v>
      </c>
      <c r="I65" s="6" t="s">
        <v>26230</v>
      </c>
      <c r="J65" s="6" t="s">
        <v>26230</v>
      </c>
      <c r="K65" s="6" t="s">
        <v>26230</v>
      </c>
      <c r="L65" s="6" t="s">
        <v>26230</v>
      </c>
      <c r="M65" s="6" t="s">
        <v>26230</v>
      </c>
      <c r="N65" s="6" t="s">
        <v>26230</v>
      </c>
      <c r="O65" s="6" t="s">
        <v>26230</v>
      </c>
      <c r="P65" s="6" t="s">
        <v>26230</v>
      </c>
      <c r="Q65" s="6" t="s">
        <v>26230</v>
      </c>
      <c r="R65" s="6" t="s">
        <v>26230</v>
      </c>
      <c r="S65" s="2">
        <f t="shared" si="11"/>
        <v>431663</v>
      </c>
      <c r="T65" s="23">
        <f t="shared" si="9"/>
        <v>431663</v>
      </c>
    </row>
    <row r="66" spans="1:20" ht="11.1" thickBot="1">
      <c r="A66" s="2" t="str">
        <f t="shared" si="12"/>
        <v>NewCo IV</v>
      </c>
      <c r="B66" s="3" t="str">
        <f>'Controle Projetos_Ciclo2'!F68</f>
        <v>Equipamentos Curva A -  Contrato Sobressalentes - Romagnole</v>
      </c>
      <c r="C66" s="17">
        <f>SUMIFS('Controle Projetos_Ciclo2'!$O:$O,'Controle Projetos_Ciclo2'!$D:$D,$A66,'Controle Projetos_Ciclo2'!$F:$F,$B66)</f>
        <v>750752.05</v>
      </c>
      <c r="D66" s="17">
        <f>SUMIFS('Controle Projetos_Ciclo2'!$R:$R,'Controle Projetos_Ciclo2'!$D:$D,$A66,'Controle Projetos_Ciclo2'!$F:$F,$B66)</f>
        <v>750752.05</v>
      </c>
      <c r="E66" s="7">
        <f t="shared" ref="E66" si="13">IF(B66="Construção - Serviços de Construção - Substituição",-(C66-D66),IF((C66-D66)&lt;0,-(C66-D66),0))</f>
        <v>0</v>
      </c>
      <c r="F66" s="4">
        <f t="shared" si="10"/>
        <v>0</v>
      </c>
      <c r="G66" s="7">
        <v>0</v>
      </c>
      <c r="H66" s="7">
        <v>0</v>
      </c>
      <c r="I66" s="6" t="s">
        <v>26230</v>
      </c>
      <c r="J66" s="7" t="s">
        <v>26230</v>
      </c>
      <c r="K66" s="7" t="s">
        <v>26230</v>
      </c>
      <c r="L66" s="7" t="s">
        <v>26230</v>
      </c>
      <c r="M66" s="7" t="s">
        <v>26230</v>
      </c>
      <c r="N66" s="7" t="s">
        <v>26230</v>
      </c>
      <c r="O66" s="7" t="s">
        <v>26230</v>
      </c>
      <c r="P66" s="7" t="s">
        <v>26230</v>
      </c>
      <c r="Q66" s="7" t="s">
        <v>26230</v>
      </c>
      <c r="R66" s="7" t="s">
        <v>26230</v>
      </c>
      <c r="S66" s="2">
        <f t="shared" si="11"/>
        <v>0</v>
      </c>
      <c r="T66" s="23">
        <f t="shared" ref="T66:T97" si="14">IF(SUM(G66:R66)=0,0,ROUND(S66-F66,0))</f>
        <v>0</v>
      </c>
    </row>
    <row r="67" spans="1:20" ht="11.1" thickBot="1">
      <c r="A67" s="8" t="s">
        <v>158</v>
      </c>
      <c r="B67" s="9"/>
      <c r="C67" s="9">
        <f t="shared" ref="C67" si="15">SUM(C35:C66)</f>
        <v>231060370.24863189</v>
      </c>
      <c r="D67" s="9">
        <f t="shared" ref="D67" si="16">SUM(D35:D66)</f>
        <v>225720195.04863191</v>
      </c>
      <c r="E67" s="9">
        <f t="shared" ref="E67:G67" si="17">SUM(E35:E66)</f>
        <v>-4107054.9000000004</v>
      </c>
      <c r="F67" s="9">
        <f t="shared" ref="F67" si="18">SUM(F35:F66)</f>
        <v>1233120.3000000031</v>
      </c>
      <c r="G67" s="9">
        <f t="shared" si="17"/>
        <v>1365061</v>
      </c>
      <c r="H67" s="9">
        <f t="shared" ref="H67" si="19">SUM(H35:H66)</f>
        <v>1631663</v>
      </c>
      <c r="I67" s="9">
        <f t="shared" ref="I67" si="20">SUM(I35:I66)</f>
        <v>1200000</v>
      </c>
      <c r="J67" s="9">
        <f t="shared" ref="J67" si="21">SUM(J35:J66)</f>
        <v>1156686</v>
      </c>
      <c r="K67" s="9">
        <f t="shared" ref="K67" si="22">SUM(K35:K66)</f>
        <v>266252</v>
      </c>
      <c r="L67" s="9">
        <f t="shared" ref="L67" si="23">SUM(L35:L66)</f>
        <v>0</v>
      </c>
      <c r="M67" s="9">
        <f t="shared" ref="M67" si="24">SUM(M35:M66)</f>
        <v>0</v>
      </c>
      <c r="N67" s="9">
        <f t="shared" ref="N67" si="25">SUM(N35:N66)</f>
        <v>0</v>
      </c>
      <c r="O67" s="9">
        <f t="shared" ref="O67" si="26">SUM(O35:O66)</f>
        <v>0</v>
      </c>
      <c r="P67" s="9">
        <f t="shared" ref="P67" si="27">SUM(P35:P66)</f>
        <v>0</v>
      </c>
      <c r="Q67" s="9">
        <f t="shared" ref="Q67" si="28">SUM(Q35:Q66)</f>
        <v>0</v>
      </c>
      <c r="R67" s="9">
        <f t="shared" ref="R67" si="29">SUM(R35:R66)</f>
        <v>0</v>
      </c>
      <c r="S67" s="11">
        <f>SUM(S35:S66)</f>
        <v>5619662</v>
      </c>
      <c r="T67" s="23">
        <f>IF(SUM(G67:R67)=0,0,ROUND(S67-F67,0))</f>
        <v>4386542</v>
      </c>
    </row>
    <row r="68" spans="1:20">
      <c r="A68" s="5" t="s">
        <v>99</v>
      </c>
      <c r="B68" s="3" t="str">
        <f>'Controle Projetos_Ciclo2'!F72</f>
        <v>Conexão AT - Obras</v>
      </c>
      <c r="C68" s="5">
        <f>SUMIFS('Controle Projetos_Ciclo2'!$O:$O,'Controle Projetos_Ciclo2'!$D:$D,$A68,'Controle Projetos_Ciclo2'!$F:$F,$B68)</f>
        <v>3172077.3900000006</v>
      </c>
      <c r="D68" s="5">
        <f>SUMIFS('Controle Projetos_Ciclo2'!$R:$R,'Controle Projetos_Ciclo2'!$D:$D,$A68,'Controle Projetos_Ciclo2'!$F:$F,$B68)</f>
        <v>3172077.3900000006</v>
      </c>
      <c r="E68" s="6">
        <f t="shared" ref="E68:E99" si="30">IF(B68="Construção - Serviços de Construção - Substituição",-(C68-D68),IF((C68-D68)&lt;0,-(C68-D68),0))</f>
        <v>0</v>
      </c>
      <c r="F68" s="4">
        <f t="shared" ref="F68:F99" si="31">C68-D68+E68</f>
        <v>0</v>
      </c>
      <c r="G68" s="6" t="s">
        <v>26230</v>
      </c>
      <c r="H68" s="6">
        <v>0</v>
      </c>
      <c r="I68" s="6">
        <v>0</v>
      </c>
      <c r="J68" s="6">
        <v>0</v>
      </c>
      <c r="K68" s="6">
        <v>0</v>
      </c>
      <c r="L68" s="6" t="s">
        <v>26230</v>
      </c>
      <c r="M68" s="6" t="s">
        <v>26230</v>
      </c>
      <c r="N68" s="6" t="s">
        <v>26230</v>
      </c>
      <c r="O68" s="6" t="s">
        <v>26230</v>
      </c>
      <c r="P68" s="6" t="s">
        <v>26230</v>
      </c>
      <c r="Q68" s="6" t="s">
        <v>26230</v>
      </c>
      <c r="R68" s="6" t="s">
        <v>26230</v>
      </c>
      <c r="S68" s="2">
        <f t="shared" ref="S68:S99" si="32">SUM(G68:R68)</f>
        <v>0</v>
      </c>
      <c r="T68" s="23">
        <f t="shared" si="14"/>
        <v>0</v>
      </c>
    </row>
    <row r="69" spans="1:20">
      <c r="A69" s="2" t="str">
        <f t="shared" ref="A69:A99" si="33">A68</f>
        <v>NewCo V</v>
      </c>
      <c r="B69" s="3" t="str">
        <f>'Controle Projetos_Ciclo2'!F73</f>
        <v>Conexão MT - Obras</v>
      </c>
      <c r="C69" s="5">
        <f>SUMIFS('Controle Projetos_Ciclo2'!$O:$O,'Controle Projetos_Ciclo2'!$D:$D,$A69,'Controle Projetos_Ciclo2'!$F:$F,$B69)</f>
        <v>23571567.039999999</v>
      </c>
      <c r="D69" s="5">
        <f>SUMIFS('Controle Projetos_Ciclo2'!$R:$R,'Controle Projetos_Ciclo2'!$D:$D,$A69,'Controle Projetos_Ciclo2'!$F:$F,$B69)</f>
        <v>23571566.09</v>
      </c>
      <c r="E69" s="6">
        <f t="shared" si="30"/>
        <v>0</v>
      </c>
      <c r="F69" s="4">
        <f t="shared" si="31"/>
        <v>0.94999999925494194</v>
      </c>
      <c r="G69" s="6">
        <v>202877</v>
      </c>
      <c r="H69" s="6">
        <v>0</v>
      </c>
      <c r="I69" s="6">
        <v>0</v>
      </c>
      <c r="J69" s="6">
        <v>0</v>
      </c>
      <c r="K69" s="6" t="s">
        <v>26230</v>
      </c>
      <c r="L69" s="6" t="s">
        <v>26230</v>
      </c>
      <c r="M69" s="6" t="s">
        <v>26230</v>
      </c>
      <c r="N69" s="6" t="s">
        <v>26230</v>
      </c>
      <c r="O69" s="6" t="s">
        <v>26230</v>
      </c>
      <c r="P69" s="6" t="s">
        <v>26230</v>
      </c>
      <c r="Q69" s="6" t="s">
        <v>26230</v>
      </c>
      <c r="R69" s="6" t="s">
        <v>26230</v>
      </c>
      <c r="S69" s="2">
        <f t="shared" si="32"/>
        <v>202877</v>
      </c>
      <c r="T69" s="23">
        <f t="shared" si="14"/>
        <v>202876</v>
      </c>
    </row>
    <row r="70" spans="1:20">
      <c r="A70" s="2" t="str">
        <f t="shared" si="33"/>
        <v>NewCo V</v>
      </c>
      <c r="B70" s="3" t="str">
        <f>'Controle Projetos_Ciclo2'!F74</f>
        <v>Construção - Serviços de Construção</v>
      </c>
      <c r="C70" s="5">
        <f>SUMIFS('Controle Projetos_Ciclo2'!$O:$O,'Controle Projetos_Ciclo2'!$D:$D,$A70,'Controle Projetos_Ciclo2'!$F:$F,$B70)</f>
        <v>20479255.48</v>
      </c>
      <c r="D70" s="5">
        <f>SUMIFS('Controle Projetos_Ciclo2'!$R:$R,'Controle Projetos_Ciclo2'!$D:$D,$A70,'Controle Projetos_Ciclo2'!$F:$F,$B70)</f>
        <v>20036800.960000001</v>
      </c>
      <c r="E70" s="6">
        <v>-442454.52</v>
      </c>
      <c r="F70" s="4">
        <f t="shared" si="31"/>
        <v>-4.6566128730773926E-10</v>
      </c>
      <c r="G70" s="6">
        <v>0</v>
      </c>
      <c r="H70" s="6">
        <v>0</v>
      </c>
      <c r="I70" s="6">
        <v>0</v>
      </c>
      <c r="J70" s="6"/>
      <c r="K70" s="6" t="s">
        <v>26230</v>
      </c>
      <c r="L70" s="6" t="s">
        <v>26230</v>
      </c>
      <c r="M70" s="6" t="s">
        <v>26230</v>
      </c>
      <c r="N70" s="6" t="s">
        <v>26230</v>
      </c>
      <c r="O70" s="6" t="s">
        <v>26230</v>
      </c>
      <c r="P70" s="6" t="s">
        <v>26230</v>
      </c>
      <c r="Q70" s="6" t="s">
        <v>26230</v>
      </c>
      <c r="R70" s="6" t="s">
        <v>26230</v>
      </c>
      <c r="S70" s="2">
        <f t="shared" si="32"/>
        <v>0</v>
      </c>
      <c r="T70" s="23">
        <f t="shared" si="14"/>
        <v>0</v>
      </c>
    </row>
    <row r="71" spans="1:20">
      <c r="A71" s="2" t="str">
        <f t="shared" si="33"/>
        <v>NewCo V</v>
      </c>
      <c r="B71" s="3" t="str">
        <f>'Controle Projetos_Ciclo2'!F75</f>
        <v>Construção - Serviços de Construção - Substituição</v>
      </c>
      <c r="C71" s="5">
        <f>SUMIFS('Controle Projetos_Ciclo2'!$O:$O,'Controle Projetos_Ciclo2'!$D:$D,$A71,'Controle Projetos_Ciclo2'!$F:$F,$B71)</f>
        <v>5481404.4400000004</v>
      </c>
      <c r="D71" s="5">
        <f>SUMIFS('Controle Projetos_Ciclo2'!$R:$R,'Controle Projetos_Ciclo2'!$D:$D,$A71,'Controle Projetos_Ciclo2'!$F:$F,$B71)</f>
        <v>2295165.8100000005</v>
      </c>
      <c r="E71" s="6">
        <f t="shared" si="30"/>
        <v>-3186238.63</v>
      </c>
      <c r="F71" s="4">
        <f t="shared" si="31"/>
        <v>0</v>
      </c>
      <c r="G71" s="6" t="s">
        <v>26230</v>
      </c>
      <c r="H71" s="6" t="s">
        <v>26230</v>
      </c>
      <c r="I71" s="6" t="s">
        <v>26230</v>
      </c>
      <c r="J71" s="6" t="s">
        <v>26230</v>
      </c>
      <c r="K71" s="6" t="s">
        <v>26230</v>
      </c>
      <c r="L71" s="6" t="s">
        <v>26230</v>
      </c>
      <c r="M71" s="6" t="s">
        <v>26230</v>
      </c>
      <c r="N71" s="6" t="s">
        <v>26230</v>
      </c>
      <c r="O71" s="6" t="s">
        <v>26230</v>
      </c>
      <c r="P71" s="6" t="s">
        <v>26230</v>
      </c>
      <c r="Q71" s="6" t="s">
        <v>26230</v>
      </c>
      <c r="R71" s="6" t="s">
        <v>26230</v>
      </c>
      <c r="S71" s="2">
        <f t="shared" si="32"/>
        <v>0</v>
      </c>
      <c r="T71" s="23">
        <f t="shared" si="14"/>
        <v>0</v>
      </c>
    </row>
    <row r="72" spans="1:20">
      <c r="A72" s="2" t="str">
        <f t="shared" si="33"/>
        <v>NewCo V</v>
      </c>
      <c r="B72" s="3" t="str">
        <f>'Controle Projetos_Ciclo2'!F76</f>
        <v>Construção - RDA Interno</v>
      </c>
      <c r="C72" s="5">
        <f>SUMIFS('Controle Projetos_Ciclo2'!$O:$O,'Controle Projetos_Ciclo2'!$D:$D,$A72,'Controle Projetos_Ciclo2'!$F:$F,$B72)</f>
        <v>2112828</v>
      </c>
      <c r="D72" s="5">
        <f>SUMIFS('Controle Projetos_Ciclo2'!$R:$R,'Controle Projetos_Ciclo2'!$D:$D,$A72,'Controle Projetos_Ciclo2'!$F:$F,$B72)</f>
        <v>2112828</v>
      </c>
      <c r="E72" s="6">
        <f t="shared" si="30"/>
        <v>0</v>
      </c>
      <c r="F72" s="4">
        <f t="shared" si="31"/>
        <v>0</v>
      </c>
      <c r="G72" s="6" t="s">
        <v>26230</v>
      </c>
      <c r="H72" s="6" t="s">
        <v>193</v>
      </c>
      <c r="I72" s="6" t="s">
        <v>26230</v>
      </c>
      <c r="J72" s="6" t="s">
        <v>193</v>
      </c>
      <c r="K72" s="6" t="s">
        <v>26230</v>
      </c>
      <c r="L72" s="6" t="s">
        <v>26230</v>
      </c>
      <c r="M72" s="6" t="s">
        <v>26230</v>
      </c>
      <c r="N72" s="6" t="s">
        <v>26230</v>
      </c>
      <c r="O72" s="6" t="s">
        <v>26230</v>
      </c>
      <c r="P72" s="6" t="s">
        <v>26230</v>
      </c>
      <c r="Q72" s="6" t="s">
        <v>26230</v>
      </c>
      <c r="R72" s="6" t="s">
        <v>26230</v>
      </c>
      <c r="S72" s="2">
        <f t="shared" si="32"/>
        <v>0</v>
      </c>
      <c r="T72" s="23">
        <f t="shared" si="14"/>
        <v>0</v>
      </c>
    </row>
    <row r="73" spans="1:20">
      <c r="A73" s="2" t="str">
        <f t="shared" si="33"/>
        <v>NewCo V</v>
      </c>
      <c r="B73" s="3" t="str">
        <f>'Controle Projetos_Ciclo2'!F77</f>
        <v>Full EPC - Contrato</v>
      </c>
      <c r="C73" s="5">
        <f>SUMIFS('Controle Projetos_Ciclo2'!$O:$O,'Controle Projetos_Ciclo2'!$D:$D,$A73,'Controle Projetos_Ciclo2'!$F:$F,$B73)</f>
        <v>70340240.5</v>
      </c>
      <c r="D73" s="5">
        <f>SUMIFS('Controle Projetos_Ciclo2'!$R:$R,'Controle Projetos_Ciclo2'!$D:$D,$A73,'Controle Projetos_Ciclo2'!$F:$F,$B73)</f>
        <v>70340240.5</v>
      </c>
      <c r="E73" s="6">
        <f t="shared" si="30"/>
        <v>0</v>
      </c>
      <c r="F73" s="27">
        <f t="shared" si="31"/>
        <v>0</v>
      </c>
      <c r="G73" s="6">
        <v>1000000</v>
      </c>
      <c r="H73" s="6">
        <v>319956</v>
      </c>
      <c r="I73" s="6">
        <v>0</v>
      </c>
      <c r="J73" s="6">
        <v>0</v>
      </c>
      <c r="K73" s="6" t="s">
        <v>26230</v>
      </c>
      <c r="L73" s="6" t="s">
        <v>26230</v>
      </c>
      <c r="M73" s="6" t="s">
        <v>26230</v>
      </c>
      <c r="N73" s="6" t="s">
        <v>26230</v>
      </c>
      <c r="O73" s="6" t="s">
        <v>26230</v>
      </c>
      <c r="P73" s="6" t="s">
        <v>26230</v>
      </c>
      <c r="Q73" s="6" t="s">
        <v>26230</v>
      </c>
      <c r="R73" s="6" t="s">
        <v>26230</v>
      </c>
      <c r="S73" s="2">
        <f t="shared" si="32"/>
        <v>1319956</v>
      </c>
      <c r="T73" s="23">
        <f t="shared" si="14"/>
        <v>1319956</v>
      </c>
    </row>
    <row r="74" spans="1:20">
      <c r="A74" s="2" t="str">
        <f t="shared" si="33"/>
        <v>NewCo V</v>
      </c>
      <c r="B74" s="3" t="str">
        <f>'Controle Projetos_Ciclo2'!F78</f>
        <v>Equipamentos Curva A - Outros (Transformadores)</v>
      </c>
      <c r="C74" s="5">
        <f>SUMIFS('Controle Projetos_Ciclo2'!$O:$O,'Controle Projetos_Ciclo2'!$D:$D,$A74,'Controle Projetos_Ciclo2'!$F:$F,$B74)</f>
        <v>0</v>
      </c>
      <c r="D74" s="5">
        <f>SUMIFS('Controle Projetos_Ciclo2'!$R:$R,'Controle Projetos_Ciclo2'!$D:$D,$A74,'Controle Projetos_Ciclo2'!$F:$F,$B74)</f>
        <v>0</v>
      </c>
      <c r="E74" s="6">
        <f t="shared" si="30"/>
        <v>0</v>
      </c>
      <c r="F74" s="4">
        <f t="shared" si="31"/>
        <v>0</v>
      </c>
      <c r="G74" s="6" t="s">
        <v>26230</v>
      </c>
      <c r="H74" s="6" t="s">
        <v>26230</v>
      </c>
      <c r="I74" s="6" t="s">
        <v>26230</v>
      </c>
      <c r="J74" s="6" t="s">
        <v>26230</v>
      </c>
      <c r="K74" s="6" t="s">
        <v>26230</v>
      </c>
      <c r="L74" s="6" t="s">
        <v>26230</v>
      </c>
      <c r="M74" s="6" t="s">
        <v>26230</v>
      </c>
      <c r="N74" s="6" t="s">
        <v>26230</v>
      </c>
      <c r="O74" s="6" t="s">
        <v>26230</v>
      </c>
      <c r="P74" s="6" t="s">
        <v>26230</v>
      </c>
      <c r="Q74" s="6" t="s">
        <v>26230</v>
      </c>
      <c r="R74" s="6" t="s">
        <v>26230</v>
      </c>
      <c r="S74" s="2">
        <f t="shared" si="32"/>
        <v>0</v>
      </c>
      <c r="T74" s="23">
        <f t="shared" si="14"/>
        <v>0</v>
      </c>
    </row>
    <row r="75" spans="1:20">
      <c r="A75" s="2" t="str">
        <f t="shared" si="33"/>
        <v>NewCo V</v>
      </c>
      <c r="B75" s="3" t="str">
        <f>'Controle Projetos_Ciclo2'!F79</f>
        <v>Equipamentos Curva A - Outros (Cabine + Skid)</v>
      </c>
      <c r="C75" s="5">
        <f>SUMIFS('Controle Projetos_Ciclo2'!$O:$O,'Controle Projetos_Ciclo2'!$D:$D,$A75,'Controle Projetos_Ciclo2'!$F:$F,$B75)</f>
        <v>0</v>
      </c>
      <c r="D75" s="5">
        <f>SUMIFS('Controle Projetos_Ciclo2'!$R:$R,'Controle Projetos_Ciclo2'!$D:$D,$A75,'Controle Projetos_Ciclo2'!$F:$F,$B75)</f>
        <v>0</v>
      </c>
      <c r="E75" s="6">
        <f t="shared" si="30"/>
        <v>0</v>
      </c>
      <c r="F75" s="4">
        <f t="shared" si="31"/>
        <v>0</v>
      </c>
      <c r="G75" s="6" t="s">
        <v>26230</v>
      </c>
      <c r="H75" s="6" t="s">
        <v>26230</v>
      </c>
      <c r="I75" s="6" t="s">
        <v>26230</v>
      </c>
      <c r="J75" s="6" t="s">
        <v>26230</v>
      </c>
      <c r="K75" s="6" t="s">
        <v>26230</v>
      </c>
      <c r="L75" s="6" t="s">
        <v>26230</v>
      </c>
      <c r="M75" s="6" t="s">
        <v>26230</v>
      </c>
      <c r="N75" s="6" t="s">
        <v>26230</v>
      </c>
      <c r="O75" s="6" t="s">
        <v>26230</v>
      </c>
      <c r="P75" s="6" t="s">
        <v>26230</v>
      </c>
      <c r="Q75" s="6" t="s">
        <v>26230</v>
      </c>
      <c r="R75" s="6" t="s">
        <v>26230</v>
      </c>
      <c r="S75" s="2">
        <f t="shared" si="32"/>
        <v>0</v>
      </c>
      <c r="T75" s="23">
        <f t="shared" si="14"/>
        <v>0</v>
      </c>
    </row>
    <row r="76" spans="1:20">
      <c r="A76" s="2" t="str">
        <f t="shared" si="33"/>
        <v>NewCo V</v>
      </c>
      <c r="B76" s="3" t="str">
        <f>'Controle Projetos_Ciclo2'!F80</f>
        <v>Equipamentos Curva A - Outros (Cabine + Skid + Transformador)</v>
      </c>
      <c r="C76" s="5">
        <f>SUMIFS('Controle Projetos_Ciclo2'!$O:$O,'Controle Projetos_Ciclo2'!$D:$D,$A76,'Controle Projetos_Ciclo2'!$F:$F,$B76)</f>
        <v>7804631.498822514</v>
      </c>
      <c r="D76" s="5">
        <f>SUMIFS('Controle Projetos_Ciclo2'!$R:$R,'Controle Projetos_Ciclo2'!$D:$D,$A76,'Controle Projetos_Ciclo2'!$F:$F,$B76)</f>
        <v>7804631.498822514</v>
      </c>
      <c r="E76" s="6">
        <f t="shared" si="30"/>
        <v>0</v>
      </c>
      <c r="F76" s="4">
        <f t="shared" si="31"/>
        <v>0</v>
      </c>
      <c r="G76" s="6" t="s">
        <v>26230</v>
      </c>
      <c r="H76" s="6" t="s">
        <v>26230</v>
      </c>
      <c r="I76" s="6" t="s">
        <v>26230</v>
      </c>
      <c r="J76" s="6" t="s">
        <v>26230</v>
      </c>
      <c r="K76" s="6" t="s">
        <v>26230</v>
      </c>
      <c r="L76" s="6" t="s">
        <v>26230</v>
      </c>
      <c r="M76" s="6" t="s">
        <v>26230</v>
      </c>
      <c r="N76" s="6" t="s">
        <v>26230</v>
      </c>
      <c r="O76" s="6" t="s">
        <v>26230</v>
      </c>
      <c r="P76" s="6" t="s">
        <v>26230</v>
      </c>
      <c r="Q76" s="6" t="s">
        <v>26230</v>
      </c>
      <c r="R76" s="6" t="s">
        <v>26230</v>
      </c>
      <c r="S76" s="2">
        <f t="shared" si="32"/>
        <v>0</v>
      </c>
      <c r="T76" s="23">
        <f t="shared" si="14"/>
        <v>0</v>
      </c>
    </row>
    <row r="77" spans="1:20">
      <c r="A77" s="2" t="str">
        <f t="shared" si="33"/>
        <v>NewCo V</v>
      </c>
      <c r="B77" s="3" t="str">
        <f>'Controle Projetos_Ciclo2'!F81</f>
        <v>Desenvolvimento de projeto - Projetos - (Eng° Proprietario)</v>
      </c>
      <c r="C77" s="5">
        <f>SUMIFS('Controle Projetos_Ciclo2'!$O:$O,'Controle Projetos_Ciclo2'!$D:$D,$A77,'Controle Projetos_Ciclo2'!$F:$F,$B77)</f>
        <v>2115653.0099999998</v>
      </c>
      <c r="D77" s="5">
        <f>SUMIFS('Controle Projetos_Ciclo2'!$R:$R,'Controle Projetos_Ciclo2'!$D:$D,$A77,'Controle Projetos_Ciclo2'!$F:$F,$B77)</f>
        <v>2115653.0099999998</v>
      </c>
      <c r="E77" s="6">
        <f t="shared" si="30"/>
        <v>0</v>
      </c>
      <c r="F77" s="4">
        <f t="shared" si="31"/>
        <v>0</v>
      </c>
      <c r="G77" s="6">
        <v>0</v>
      </c>
      <c r="H77" s="6">
        <v>0</v>
      </c>
      <c r="I77" s="6">
        <v>0</v>
      </c>
      <c r="J77" s="6" t="s">
        <v>193</v>
      </c>
      <c r="K77" s="6" t="s">
        <v>26230</v>
      </c>
      <c r="L77" s="6" t="s">
        <v>26230</v>
      </c>
      <c r="M77" s="6" t="s">
        <v>26230</v>
      </c>
      <c r="N77" s="6" t="s">
        <v>26230</v>
      </c>
      <c r="O77" s="6" t="s">
        <v>26230</v>
      </c>
      <c r="P77" s="6" t="s">
        <v>26230</v>
      </c>
      <c r="Q77" s="6" t="s">
        <v>26230</v>
      </c>
      <c r="R77" s="6" t="s">
        <v>26230</v>
      </c>
      <c r="S77" s="2">
        <f t="shared" si="32"/>
        <v>0</v>
      </c>
      <c r="T77" s="23">
        <f t="shared" si="14"/>
        <v>0</v>
      </c>
    </row>
    <row r="78" spans="1:20">
      <c r="A78" s="2" t="str">
        <f t="shared" si="33"/>
        <v>NewCo V</v>
      </c>
      <c r="B78" s="3" t="str">
        <f>'Controle Projetos_Ciclo2'!F82</f>
        <v>Desenvolvimento de projeto - Projetos - Executivos</v>
      </c>
      <c r="C78" s="5">
        <f>SUMIFS('Controle Projetos_Ciclo2'!$O:$O,'Controle Projetos_Ciclo2'!$D:$D,$A78,'Controle Projetos_Ciclo2'!$F:$F,$B78)</f>
        <v>114283.4</v>
      </c>
      <c r="D78" s="5">
        <f>SUMIFS('Controle Projetos_Ciclo2'!$R:$R,'Controle Projetos_Ciclo2'!$D:$D,$A78,'Controle Projetos_Ciclo2'!$F:$F,$B78)</f>
        <v>114283.4</v>
      </c>
      <c r="E78" s="6">
        <f t="shared" si="30"/>
        <v>0</v>
      </c>
      <c r="F78" s="4">
        <f t="shared" si="31"/>
        <v>0</v>
      </c>
      <c r="G78" s="6" t="s">
        <v>26230</v>
      </c>
      <c r="H78" s="6" t="s">
        <v>193</v>
      </c>
      <c r="I78" s="6" t="s">
        <v>26230</v>
      </c>
      <c r="J78" s="6" t="s">
        <v>26230</v>
      </c>
      <c r="K78" s="6" t="s">
        <v>26230</v>
      </c>
      <c r="L78" s="6" t="s">
        <v>26230</v>
      </c>
      <c r="M78" s="6" t="s">
        <v>26230</v>
      </c>
      <c r="N78" s="6" t="s">
        <v>26230</v>
      </c>
      <c r="O78" s="6" t="s">
        <v>26230</v>
      </c>
      <c r="P78" s="6" t="s">
        <v>26230</v>
      </c>
      <c r="Q78" s="6" t="s">
        <v>26230</v>
      </c>
      <c r="R78" s="6" t="s">
        <v>26230</v>
      </c>
      <c r="S78" s="2">
        <f t="shared" si="32"/>
        <v>0</v>
      </c>
      <c r="T78" s="23">
        <f t="shared" si="14"/>
        <v>0</v>
      </c>
    </row>
    <row r="79" spans="1:20">
      <c r="A79" s="2" t="str">
        <f t="shared" si="33"/>
        <v>NewCo V</v>
      </c>
      <c r="B79" s="3" t="str">
        <f>'Controle Projetos_Ciclo2'!F83</f>
        <v>Desenvolvimento de projeto - Projetos Básica</v>
      </c>
      <c r="C79" s="5">
        <f>SUMIFS('Controle Projetos_Ciclo2'!$O:$O,'Controle Projetos_Ciclo2'!$D:$D,$A79,'Controle Projetos_Ciclo2'!$F:$F,$B79)</f>
        <v>37867.993332999999</v>
      </c>
      <c r="D79" s="5">
        <f>SUMIFS('Controle Projetos_Ciclo2'!$R:$R,'Controle Projetos_Ciclo2'!$D:$D,$A79,'Controle Projetos_Ciclo2'!$F:$F,$B79)</f>
        <v>37867.993332999999</v>
      </c>
      <c r="E79" s="6">
        <f t="shared" si="30"/>
        <v>0</v>
      </c>
      <c r="F79" s="4">
        <f t="shared" si="31"/>
        <v>0</v>
      </c>
      <c r="G79" s="6">
        <v>0</v>
      </c>
      <c r="H79" s="6" t="s">
        <v>193</v>
      </c>
      <c r="I79" s="6" t="s">
        <v>26230</v>
      </c>
      <c r="J79" s="6" t="s">
        <v>193</v>
      </c>
      <c r="K79" s="6" t="s">
        <v>26230</v>
      </c>
      <c r="L79" s="6" t="s">
        <v>26230</v>
      </c>
      <c r="M79" s="6" t="s">
        <v>26230</v>
      </c>
      <c r="N79" s="6" t="s">
        <v>26230</v>
      </c>
      <c r="O79" s="6" t="s">
        <v>26230</v>
      </c>
      <c r="P79" s="6" t="s">
        <v>26230</v>
      </c>
      <c r="Q79" s="6" t="s">
        <v>26230</v>
      </c>
      <c r="R79" s="6" t="s">
        <v>26230</v>
      </c>
      <c r="S79" s="2">
        <f t="shared" si="32"/>
        <v>0</v>
      </c>
      <c r="T79" s="23">
        <f t="shared" si="14"/>
        <v>0</v>
      </c>
    </row>
    <row r="80" spans="1:20">
      <c r="A80" s="2" t="str">
        <f t="shared" si="33"/>
        <v>NewCo V</v>
      </c>
      <c r="B80" s="3" t="str">
        <f>'Controle Projetos_Ciclo2'!F84</f>
        <v>Desenvolvimento de projeto - Projetos Detalhada</v>
      </c>
      <c r="C80" s="5">
        <f>SUMIFS('Controle Projetos_Ciclo2'!$O:$O,'Controle Projetos_Ciclo2'!$D:$D,$A80,'Controle Projetos_Ciclo2'!$F:$F,$B80)</f>
        <v>319385.81666000001</v>
      </c>
      <c r="D80" s="5">
        <f>SUMIFS('Controle Projetos_Ciclo2'!$R:$R,'Controle Projetos_Ciclo2'!$D:$D,$A80,'Controle Projetos_Ciclo2'!$F:$F,$B80)</f>
        <v>319385.81666000001</v>
      </c>
      <c r="E80" s="6">
        <f t="shared" si="30"/>
        <v>0</v>
      </c>
      <c r="F80" s="4">
        <f t="shared" si="31"/>
        <v>0</v>
      </c>
      <c r="G80" s="6" t="s">
        <v>26230</v>
      </c>
      <c r="H80" s="6" t="s">
        <v>193</v>
      </c>
      <c r="I80" s="6" t="s">
        <v>26230</v>
      </c>
      <c r="J80" s="6" t="s">
        <v>193</v>
      </c>
      <c r="K80" s="6" t="s">
        <v>26230</v>
      </c>
      <c r="L80" s="6" t="s">
        <v>26230</v>
      </c>
      <c r="M80" s="6" t="s">
        <v>26230</v>
      </c>
      <c r="N80" s="6" t="s">
        <v>26230</v>
      </c>
      <c r="O80" s="6" t="s">
        <v>26230</v>
      </c>
      <c r="P80" s="6" t="s">
        <v>26230</v>
      </c>
      <c r="Q80" s="6" t="s">
        <v>26230</v>
      </c>
      <c r="R80" s="6" t="s">
        <v>26230</v>
      </c>
      <c r="S80" s="2">
        <f t="shared" si="32"/>
        <v>0</v>
      </c>
      <c r="T80" s="23">
        <f t="shared" si="14"/>
        <v>0</v>
      </c>
    </row>
    <row r="81" spans="1:20">
      <c r="A81" s="2" t="str">
        <f t="shared" si="33"/>
        <v>NewCo V</v>
      </c>
      <c r="B81" s="3" t="str">
        <f>'Controle Projetos_Ciclo2'!F85</f>
        <v>Desenvolvimento de projeto - Ambiental / Outros</v>
      </c>
      <c r="C81" s="5">
        <f>SUMIFS('Controle Projetos_Ciclo2'!$O:$O,'Controle Projetos_Ciclo2'!$D:$D,$A81,'Controle Projetos_Ciclo2'!$F:$F,$B81)</f>
        <v>885357.7</v>
      </c>
      <c r="D81" s="5">
        <f>SUMIFS('Controle Projetos_Ciclo2'!$R:$R,'Controle Projetos_Ciclo2'!$D:$D,$A81,'Controle Projetos_Ciclo2'!$F:$F,$B81)</f>
        <v>885357.7</v>
      </c>
      <c r="E81" s="6">
        <f t="shared" si="30"/>
        <v>0</v>
      </c>
      <c r="F81" s="4">
        <f t="shared" si="31"/>
        <v>0</v>
      </c>
      <c r="G81" s="6" t="s">
        <v>26230</v>
      </c>
      <c r="H81" s="6" t="s">
        <v>26230</v>
      </c>
      <c r="I81" s="6" t="s">
        <v>26230</v>
      </c>
      <c r="J81" s="6" t="s">
        <v>26230</v>
      </c>
      <c r="K81" s="6" t="s">
        <v>26230</v>
      </c>
      <c r="L81" s="6" t="s">
        <v>26230</v>
      </c>
      <c r="M81" s="6" t="s">
        <v>26230</v>
      </c>
      <c r="N81" s="6" t="s">
        <v>26230</v>
      </c>
      <c r="O81" s="6" t="s">
        <v>26230</v>
      </c>
      <c r="P81" s="6" t="s">
        <v>26230</v>
      </c>
      <c r="Q81" s="6" t="s">
        <v>26230</v>
      </c>
      <c r="R81" s="6" t="s">
        <v>26230</v>
      </c>
      <c r="S81" s="2">
        <f t="shared" si="32"/>
        <v>0</v>
      </c>
      <c r="T81" s="23">
        <f t="shared" si="14"/>
        <v>0</v>
      </c>
    </row>
    <row r="82" spans="1:20">
      <c r="A82" s="2" t="str">
        <f t="shared" si="33"/>
        <v>NewCo V</v>
      </c>
      <c r="B82" s="3" t="str">
        <f>'Controle Projetos_Ciclo2'!F86</f>
        <v>Desenvolvimento de projeto - Coordenograma</v>
      </c>
      <c r="C82" s="5">
        <f>SUMIFS('Controle Projetos_Ciclo2'!$O:$O,'Controle Projetos_Ciclo2'!$D:$D,$A82,'Controle Projetos_Ciclo2'!$F:$F,$B82)</f>
        <v>95014.049999999988</v>
      </c>
      <c r="D82" s="5">
        <f>SUMIFS('Controle Projetos_Ciclo2'!$R:$R,'Controle Projetos_Ciclo2'!$D:$D,$A82,'Controle Projetos_Ciclo2'!$F:$F,$B82)</f>
        <v>95014.049999999988</v>
      </c>
      <c r="E82" s="6">
        <f t="shared" si="30"/>
        <v>0</v>
      </c>
      <c r="F82" s="4">
        <f t="shared" si="31"/>
        <v>0</v>
      </c>
      <c r="G82" s="6">
        <v>0</v>
      </c>
      <c r="H82" s="6" t="s">
        <v>193</v>
      </c>
      <c r="I82" s="6" t="s">
        <v>26230</v>
      </c>
      <c r="J82" s="6" t="s">
        <v>193</v>
      </c>
      <c r="K82" s="6" t="s">
        <v>26230</v>
      </c>
      <c r="L82" s="6" t="s">
        <v>26230</v>
      </c>
      <c r="M82" s="6" t="s">
        <v>26230</v>
      </c>
      <c r="N82" s="6" t="s">
        <v>26230</v>
      </c>
      <c r="O82" s="6" t="s">
        <v>26230</v>
      </c>
      <c r="P82" s="6" t="s">
        <v>26230</v>
      </c>
      <c r="Q82" s="6" t="s">
        <v>26230</v>
      </c>
      <c r="R82" s="6" t="s">
        <v>26230</v>
      </c>
      <c r="S82" s="2">
        <f t="shared" si="32"/>
        <v>0</v>
      </c>
      <c r="T82" s="23">
        <f t="shared" si="14"/>
        <v>0</v>
      </c>
    </row>
    <row r="83" spans="1:20">
      <c r="A83" s="2" t="str">
        <f t="shared" si="33"/>
        <v>NewCo V</v>
      </c>
      <c r="B83" s="3" t="str">
        <f>'Controle Projetos_Ciclo2'!F87</f>
        <v>Sistemas de Monitoramento - Supervisório</v>
      </c>
      <c r="C83" s="5">
        <f>SUMIFS('Controle Projetos_Ciclo2'!$O:$O,'Controle Projetos_Ciclo2'!$D:$D,$A83,'Controle Projetos_Ciclo2'!$F:$F,$B83)</f>
        <v>1351908.38</v>
      </c>
      <c r="D83" s="5">
        <f>SUMIFS('Controle Projetos_Ciclo2'!$R:$R,'Controle Projetos_Ciclo2'!$D:$D,$A83,'Controle Projetos_Ciclo2'!$F:$F,$B83)</f>
        <v>1330100.3700000001</v>
      </c>
      <c r="E83" s="6">
        <f t="shared" si="30"/>
        <v>0</v>
      </c>
      <c r="F83" s="4">
        <f t="shared" si="31"/>
        <v>21808.009999999776</v>
      </c>
      <c r="G83" s="6">
        <v>21808</v>
      </c>
      <c r="H83" s="6">
        <v>0</v>
      </c>
      <c r="I83" s="6">
        <v>0</v>
      </c>
      <c r="J83" s="6">
        <v>0</v>
      </c>
      <c r="K83" s="6" t="s">
        <v>26230</v>
      </c>
      <c r="L83" s="6" t="s">
        <v>26230</v>
      </c>
      <c r="M83" s="6" t="s">
        <v>26230</v>
      </c>
      <c r="N83" s="6" t="s">
        <v>26230</v>
      </c>
      <c r="O83" s="6" t="s">
        <v>26230</v>
      </c>
      <c r="P83" s="6" t="s">
        <v>26230</v>
      </c>
      <c r="Q83" s="6" t="s">
        <v>26230</v>
      </c>
      <c r="R83" s="6" t="s">
        <v>26230</v>
      </c>
      <c r="S83" s="2">
        <f t="shared" si="32"/>
        <v>21808</v>
      </c>
      <c r="T83" s="23">
        <f t="shared" si="14"/>
        <v>0</v>
      </c>
    </row>
    <row r="84" spans="1:20">
      <c r="A84" s="2" t="str">
        <f t="shared" si="33"/>
        <v>NewCo V</v>
      </c>
      <c r="B84" s="3" t="str">
        <f>'Controle Projetos_Ciclo2'!F88</f>
        <v>Sistemas de Monitoramento - Estações Solarimétricas</v>
      </c>
      <c r="C84" s="5">
        <f>SUMIFS('Controle Projetos_Ciclo2'!$O:$O,'Controle Projetos_Ciclo2'!$D:$D,$A84,'Controle Projetos_Ciclo2'!$F:$F,$B84)</f>
        <v>241382.58000000002</v>
      </c>
      <c r="D84" s="5">
        <f>SUMIFS('Controle Projetos_Ciclo2'!$R:$R,'Controle Projetos_Ciclo2'!$D:$D,$A84,'Controle Projetos_Ciclo2'!$F:$F,$B84)</f>
        <v>241382.58000000002</v>
      </c>
      <c r="E84" s="6">
        <f t="shared" si="30"/>
        <v>0</v>
      </c>
      <c r="F84" s="4">
        <f t="shared" si="31"/>
        <v>0</v>
      </c>
      <c r="G84" s="6" t="s">
        <v>26230</v>
      </c>
      <c r="H84" s="6" t="s">
        <v>193</v>
      </c>
      <c r="I84" s="6" t="s">
        <v>26230</v>
      </c>
      <c r="J84" s="6" t="s">
        <v>193</v>
      </c>
      <c r="K84" s="6" t="s">
        <v>26230</v>
      </c>
      <c r="L84" s="6" t="s">
        <v>26230</v>
      </c>
      <c r="M84" s="6" t="s">
        <v>26230</v>
      </c>
      <c r="N84" s="6" t="s">
        <v>26230</v>
      </c>
      <c r="O84" s="6" t="s">
        <v>26230</v>
      </c>
      <c r="P84" s="6" t="s">
        <v>26230</v>
      </c>
      <c r="Q84" s="6" t="s">
        <v>26230</v>
      </c>
      <c r="R84" s="6" t="s">
        <v>26230</v>
      </c>
      <c r="S84" s="2">
        <f t="shared" si="32"/>
        <v>0</v>
      </c>
      <c r="T84" s="23">
        <f t="shared" si="14"/>
        <v>0</v>
      </c>
    </row>
    <row r="85" spans="1:20">
      <c r="A85" s="2" t="str">
        <f t="shared" si="33"/>
        <v>NewCo V</v>
      </c>
      <c r="B85" s="3" t="str">
        <f>'Controle Projetos_Ciclo2'!F89</f>
        <v>Sistemas de Monitoramento - CFTV</v>
      </c>
      <c r="C85" s="5">
        <f>SUMIFS('Controle Projetos_Ciclo2'!$O:$O,'Controle Projetos_Ciclo2'!$D:$D,$A85,'Controle Projetos_Ciclo2'!$F:$F,$B85)</f>
        <v>2906519.33</v>
      </c>
      <c r="D85" s="5">
        <f>SUMIFS('Controle Projetos_Ciclo2'!$R:$R,'Controle Projetos_Ciclo2'!$D:$D,$A85,'Controle Projetos_Ciclo2'!$F:$F,$B85)</f>
        <v>2906519.33</v>
      </c>
      <c r="E85" s="6">
        <f t="shared" si="30"/>
        <v>0</v>
      </c>
      <c r="F85" s="4">
        <f t="shared" si="31"/>
        <v>0</v>
      </c>
      <c r="G85" s="6">
        <v>19720</v>
      </c>
      <c r="H85" s="6">
        <v>0</v>
      </c>
      <c r="I85" s="6">
        <v>0</v>
      </c>
      <c r="J85" s="6">
        <v>0</v>
      </c>
      <c r="K85" s="6" t="s">
        <v>26230</v>
      </c>
      <c r="L85" s="6" t="s">
        <v>26230</v>
      </c>
      <c r="M85" s="6" t="s">
        <v>26230</v>
      </c>
      <c r="N85" s="6" t="s">
        <v>26230</v>
      </c>
      <c r="O85" s="6" t="s">
        <v>26230</v>
      </c>
      <c r="P85" s="6" t="s">
        <v>26230</v>
      </c>
      <c r="Q85" s="6" t="s">
        <v>26230</v>
      </c>
      <c r="R85" s="6" t="s">
        <v>26230</v>
      </c>
      <c r="S85" s="2">
        <f t="shared" si="32"/>
        <v>19720</v>
      </c>
      <c r="T85" s="23">
        <f t="shared" si="14"/>
        <v>19720</v>
      </c>
    </row>
    <row r="86" spans="1:20">
      <c r="A86" s="2" t="str">
        <f t="shared" si="33"/>
        <v>NewCo V</v>
      </c>
      <c r="B86" s="3" t="str">
        <f>'Controle Projetos_Ciclo2'!F90</f>
        <v>Serviços Auxiliares - Drenagem</v>
      </c>
      <c r="C86" s="5">
        <f>SUMIFS('Controle Projetos_Ciclo2'!$O:$O,'Controle Projetos_Ciclo2'!$D:$D,$A86,'Controle Projetos_Ciclo2'!$F:$F,$B86)</f>
        <v>8128318.3700000001</v>
      </c>
      <c r="D86" s="5">
        <f>SUMIFS('Controle Projetos_Ciclo2'!$R:$R,'Controle Projetos_Ciclo2'!$D:$D,$A86,'Controle Projetos_Ciclo2'!$F:$F,$B86)</f>
        <v>8042839.5300000003</v>
      </c>
      <c r="E86" s="6">
        <f t="shared" si="30"/>
        <v>0</v>
      </c>
      <c r="F86" s="4">
        <f t="shared" si="31"/>
        <v>85478.839999999851</v>
      </c>
      <c r="G86" s="6">
        <v>300000</v>
      </c>
      <c r="H86" s="6">
        <v>300000</v>
      </c>
      <c r="I86" s="6">
        <v>200000</v>
      </c>
      <c r="J86" s="6">
        <v>130951</v>
      </c>
      <c r="K86" s="6" t="s">
        <v>26230</v>
      </c>
      <c r="L86" s="6" t="s">
        <v>26230</v>
      </c>
      <c r="M86" s="6" t="s">
        <v>26230</v>
      </c>
      <c r="N86" s="6" t="s">
        <v>26230</v>
      </c>
      <c r="O86" s="6" t="s">
        <v>26230</v>
      </c>
      <c r="P86" s="6" t="s">
        <v>26230</v>
      </c>
      <c r="Q86" s="6" t="s">
        <v>26230</v>
      </c>
      <c r="R86" s="6" t="s">
        <v>26230</v>
      </c>
      <c r="S86" s="2">
        <f t="shared" si="32"/>
        <v>930951</v>
      </c>
      <c r="T86" s="23">
        <f t="shared" si="14"/>
        <v>845472</v>
      </c>
    </row>
    <row r="87" spans="1:20">
      <c r="A87" s="2" t="str">
        <f t="shared" si="33"/>
        <v>NewCo V</v>
      </c>
      <c r="B87" s="3" t="str">
        <f>'Controle Projetos_Ciclo2'!F91</f>
        <v>Serviços Auxiliares - Terraplanagem</v>
      </c>
      <c r="C87" s="5">
        <f>SUMIFS('Controle Projetos_Ciclo2'!$O:$O,'Controle Projetos_Ciclo2'!$D:$D,$A87,'Controle Projetos_Ciclo2'!$F:$F,$B87)</f>
        <v>10268566.815000001</v>
      </c>
      <c r="D87" s="5">
        <f>SUMIFS('Controle Projetos_Ciclo2'!$R:$R,'Controle Projetos_Ciclo2'!$D:$D,$A87,'Controle Projetos_Ciclo2'!$F:$F,$B87)</f>
        <v>10268566.815000001</v>
      </c>
      <c r="E87" s="6">
        <f t="shared" si="30"/>
        <v>0</v>
      </c>
      <c r="F87" s="4">
        <f t="shared" si="31"/>
        <v>0</v>
      </c>
      <c r="G87" s="6">
        <v>0</v>
      </c>
      <c r="H87" s="6">
        <v>0</v>
      </c>
      <c r="I87" s="6">
        <v>0</v>
      </c>
      <c r="J87" s="6">
        <v>0</v>
      </c>
      <c r="K87" s="6" t="s">
        <v>26230</v>
      </c>
      <c r="L87" s="6" t="s">
        <v>26230</v>
      </c>
      <c r="M87" s="6" t="s">
        <v>26230</v>
      </c>
      <c r="N87" s="6" t="s">
        <v>26230</v>
      </c>
      <c r="O87" s="6" t="s">
        <v>26230</v>
      </c>
      <c r="P87" s="6" t="s">
        <v>26230</v>
      </c>
      <c r="Q87" s="6" t="s">
        <v>26230</v>
      </c>
      <c r="R87" s="6" t="s">
        <v>26230</v>
      </c>
      <c r="S87" s="2">
        <f t="shared" si="32"/>
        <v>0</v>
      </c>
      <c r="T87" s="23">
        <f t="shared" si="14"/>
        <v>0</v>
      </c>
    </row>
    <row r="88" spans="1:20">
      <c r="A88" s="2" t="str">
        <f t="shared" si="33"/>
        <v>NewCo V</v>
      </c>
      <c r="B88" s="3" t="str">
        <f>'Controle Projetos_Ciclo2'!F92</f>
        <v>Serviços Auxiliares - Supressão Vegetal</v>
      </c>
      <c r="C88" s="5">
        <f>SUMIFS('Controle Projetos_Ciclo2'!$O:$O,'Controle Projetos_Ciclo2'!$D:$D,$A88,'Controle Projetos_Ciclo2'!$F:$F,$B88)</f>
        <v>837921.65999999992</v>
      </c>
      <c r="D88" s="5">
        <f>SUMIFS('Controle Projetos_Ciclo2'!$R:$R,'Controle Projetos_Ciclo2'!$D:$D,$A88,'Controle Projetos_Ciclo2'!$F:$F,$B88)</f>
        <v>796011.66</v>
      </c>
      <c r="E88" s="6">
        <f t="shared" si="30"/>
        <v>0</v>
      </c>
      <c r="F88" s="4">
        <f t="shared" si="31"/>
        <v>41909.999999999884</v>
      </c>
      <c r="G88" s="6">
        <v>396961</v>
      </c>
      <c r="H88" s="6">
        <v>0</v>
      </c>
      <c r="I88" s="6" t="s">
        <v>26230</v>
      </c>
      <c r="J88" s="6" t="s">
        <v>26230</v>
      </c>
      <c r="K88" s="6" t="s">
        <v>26230</v>
      </c>
      <c r="L88" s="6" t="s">
        <v>26230</v>
      </c>
      <c r="M88" s="6" t="s">
        <v>26230</v>
      </c>
      <c r="N88" s="6" t="s">
        <v>26230</v>
      </c>
      <c r="O88" s="6" t="s">
        <v>26230</v>
      </c>
      <c r="P88" s="6" t="s">
        <v>26230</v>
      </c>
      <c r="Q88" s="6" t="s">
        <v>26230</v>
      </c>
      <c r="R88" s="6" t="s">
        <v>26230</v>
      </c>
      <c r="S88" s="2">
        <f t="shared" si="32"/>
        <v>396961</v>
      </c>
      <c r="T88" s="23">
        <f t="shared" si="14"/>
        <v>355051</v>
      </c>
    </row>
    <row r="89" spans="1:20">
      <c r="A89" s="2" t="str">
        <f t="shared" si="33"/>
        <v>NewCo V</v>
      </c>
      <c r="B89" s="3" t="str">
        <f>'Controle Projetos_Ciclo2'!F93</f>
        <v>RDR-Rede de Distribuição Rural</v>
      </c>
      <c r="C89" s="5">
        <f>SUMIFS('Controle Projetos_Ciclo2'!$O:$O,'Controle Projetos_Ciclo2'!$D:$D,$A89,'Controle Projetos_Ciclo2'!$F:$F,$B89)</f>
        <v>74000</v>
      </c>
      <c r="D89" s="5">
        <f>SUMIFS('Controle Projetos_Ciclo2'!$R:$R,'Controle Projetos_Ciclo2'!$D:$D,$A89,'Controle Projetos_Ciclo2'!$F:$F,$B89)</f>
        <v>74000</v>
      </c>
      <c r="E89" s="6">
        <f t="shared" si="30"/>
        <v>0</v>
      </c>
      <c r="F89" s="4">
        <f t="shared" si="31"/>
        <v>0</v>
      </c>
      <c r="G89" s="6">
        <v>0</v>
      </c>
      <c r="H89" s="6">
        <v>0</v>
      </c>
      <c r="I89" s="6">
        <v>0</v>
      </c>
      <c r="J89" s="6">
        <v>0</v>
      </c>
      <c r="K89" s="6">
        <v>0</v>
      </c>
      <c r="L89" s="6">
        <v>0</v>
      </c>
      <c r="M89" s="6">
        <v>0</v>
      </c>
      <c r="N89" s="6">
        <v>0</v>
      </c>
      <c r="O89" s="6">
        <v>0</v>
      </c>
      <c r="P89" s="6">
        <v>0</v>
      </c>
      <c r="Q89" s="6">
        <v>0</v>
      </c>
      <c r="R89" s="6">
        <v>0</v>
      </c>
      <c r="S89" s="2">
        <f t="shared" si="32"/>
        <v>0</v>
      </c>
      <c r="T89" s="23">
        <f t="shared" si="14"/>
        <v>0</v>
      </c>
    </row>
    <row r="90" spans="1:20">
      <c r="A90" s="2" t="str">
        <f t="shared" si="33"/>
        <v>NewCo V</v>
      </c>
      <c r="B90" s="3" t="str">
        <f>'Controle Projetos_Ciclo2'!F94</f>
        <v>Escopo COMERC</v>
      </c>
      <c r="C90" s="5">
        <f>SUMIFS('Controle Projetos_Ciclo2'!$O:$O,'Controle Projetos_Ciclo2'!$D:$D,$A90,'Controle Projetos_Ciclo2'!$F:$F,$B90)</f>
        <v>2116456.1599999997</v>
      </c>
      <c r="D90" s="5">
        <f>SUMIFS('Controle Projetos_Ciclo2'!$R:$R,'Controle Projetos_Ciclo2'!$D:$D,$A90,'Controle Projetos_Ciclo2'!$F:$F,$B90)</f>
        <v>1587315.4499999997</v>
      </c>
      <c r="E90" s="6">
        <f t="shared" si="30"/>
        <v>0</v>
      </c>
      <c r="F90" s="4">
        <f t="shared" si="31"/>
        <v>529140.71</v>
      </c>
      <c r="G90" s="6">
        <v>200000</v>
      </c>
      <c r="H90" s="6">
        <v>282486</v>
      </c>
      <c r="I90" s="6">
        <v>0</v>
      </c>
      <c r="J90" s="6">
        <v>0</v>
      </c>
      <c r="K90" s="6">
        <v>0</v>
      </c>
      <c r="L90" s="6">
        <v>0</v>
      </c>
      <c r="M90" s="6">
        <v>0</v>
      </c>
      <c r="N90" s="6">
        <v>0</v>
      </c>
      <c r="O90" s="6">
        <v>0</v>
      </c>
      <c r="P90" s="6">
        <v>0</v>
      </c>
      <c r="Q90" s="6">
        <v>0</v>
      </c>
      <c r="R90" s="6">
        <v>0</v>
      </c>
      <c r="S90" s="2">
        <f t="shared" si="32"/>
        <v>482486</v>
      </c>
      <c r="T90" s="23">
        <f t="shared" si="14"/>
        <v>-46655</v>
      </c>
    </row>
    <row r="91" spans="1:20">
      <c r="A91" s="2" t="str">
        <f t="shared" si="33"/>
        <v>NewCo V</v>
      </c>
      <c r="B91" s="3" t="str">
        <f>'Controle Projetos_Ciclo2'!F95</f>
        <v>Escopo COMERC - Segurança</v>
      </c>
      <c r="C91" s="5">
        <f>SUMIFS('Controle Projetos_Ciclo2'!$O:$O,'Controle Projetos_Ciclo2'!$D:$D,$A91,'Controle Projetos_Ciclo2'!$F:$F,$B91)</f>
        <v>2285234.8800000004</v>
      </c>
      <c r="D91" s="5">
        <f>SUMIFS('Controle Projetos_Ciclo2'!$R:$R,'Controle Projetos_Ciclo2'!$D:$D,$A91,'Controle Projetos_Ciclo2'!$F:$F,$B91)</f>
        <v>2196936.6500000004</v>
      </c>
      <c r="E91" s="6">
        <f t="shared" si="30"/>
        <v>0</v>
      </c>
      <c r="F91" s="4">
        <f t="shared" si="31"/>
        <v>88298.229999999981</v>
      </c>
      <c r="G91" s="6">
        <v>0</v>
      </c>
      <c r="H91" s="6">
        <v>0</v>
      </c>
      <c r="I91" s="6">
        <v>0</v>
      </c>
      <c r="J91" s="6">
        <v>0</v>
      </c>
      <c r="K91" s="6">
        <v>0</v>
      </c>
      <c r="L91" s="6">
        <v>0</v>
      </c>
      <c r="M91" s="6">
        <v>0</v>
      </c>
      <c r="N91" s="6">
        <v>0</v>
      </c>
      <c r="O91" s="6">
        <v>0</v>
      </c>
      <c r="P91" s="6">
        <v>0</v>
      </c>
      <c r="Q91" s="6">
        <v>0</v>
      </c>
      <c r="R91" s="6">
        <v>0</v>
      </c>
      <c r="S91" s="2">
        <f t="shared" si="32"/>
        <v>0</v>
      </c>
      <c r="T91" s="23">
        <f t="shared" si="14"/>
        <v>0</v>
      </c>
    </row>
    <row r="92" spans="1:20">
      <c r="A92" s="2" t="str">
        <f t="shared" si="33"/>
        <v>NewCo V</v>
      </c>
      <c r="B92" s="3" t="str">
        <f>'Controle Projetos_Ciclo2'!F96</f>
        <v>Conexão MT - Obras Transferencia</v>
      </c>
      <c r="C92" s="5">
        <f>SUMIFS('Controle Projetos_Ciclo2'!$O:$O,'Controle Projetos_Ciclo2'!$D:$D,$A92,'Controle Projetos_Ciclo2'!$F:$F,$B92)</f>
        <v>0</v>
      </c>
      <c r="D92" s="5">
        <f>SUMIFS('Controle Projetos_Ciclo2'!$R:$R,'Controle Projetos_Ciclo2'!$D:$D,$A92,'Controle Projetos_Ciclo2'!$F:$F,$B92)</f>
        <v>0</v>
      </c>
      <c r="E92" s="6">
        <f t="shared" si="30"/>
        <v>0</v>
      </c>
      <c r="F92" s="4">
        <f t="shared" si="31"/>
        <v>0</v>
      </c>
      <c r="G92" s="6">
        <v>0</v>
      </c>
      <c r="H92" s="6">
        <v>0</v>
      </c>
      <c r="I92" s="6">
        <v>0</v>
      </c>
      <c r="J92" s="6">
        <v>0</v>
      </c>
      <c r="K92" s="6">
        <v>0</v>
      </c>
      <c r="L92" s="6">
        <v>0</v>
      </c>
      <c r="M92" s="6">
        <v>0</v>
      </c>
      <c r="N92" s="6">
        <v>0</v>
      </c>
      <c r="O92" s="6">
        <v>0</v>
      </c>
      <c r="P92" s="6">
        <v>0</v>
      </c>
      <c r="Q92" s="6">
        <v>0</v>
      </c>
      <c r="R92" s="6">
        <v>0</v>
      </c>
      <c r="S92" s="2">
        <f t="shared" si="32"/>
        <v>0</v>
      </c>
      <c r="T92" s="23">
        <f t="shared" si="14"/>
        <v>0</v>
      </c>
    </row>
    <row r="93" spans="1:20">
      <c r="A93" s="2" t="str">
        <f t="shared" si="33"/>
        <v>NewCo V</v>
      </c>
      <c r="B93" s="3" t="str">
        <f>'Controle Projetos_Ciclo2'!F97</f>
        <v>Bases de Contaniers</v>
      </c>
      <c r="C93" s="5">
        <f>SUMIFS('Controle Projetos_Ciclo2'!$O:$O,'Controle Projetos_Ciclo2'!$D:$D,$A93,'Controle Projetos_Ciclo2'!$F:$F,$B93)</f>
        <v>459300.76</v>
      </c>
      <c r="D93" s="5">
        <f>SUMIFS('Controle Projetos_Ciclo2'!$R:$R,'Controle Projetos_Ciclo2'!$D:$D,$A93,'Controle Projetos_Ciclo2'!$F:$F,$B93)</f>
        <v>459300.76</v>
      </c>
      <c r="E93" s="6">
        <f t="shared" si="30"/>
        <v>0</v>
      </c>
      <c r="F93" s="4">
        <f t="shared" si="31"/>
        <v>0</v>
      </c>
      <c r="G93" s="6">
        <v>0</v>
      </c>
      <c r="H93" s="6">
        <v>0</v>
      </c>
      <c r="I93" s="6">
        <v>0</v>
      </c>
      <c r="J93" s="6">
        <v>0</v>
      </c>
      <c r="K93" s="6">
        <v>0</v>
      </c>
      <c r="L93" s="6">
        <v>0</v>
      </c>
      <c r="M93" s="6">
        <v>0</v>
      </c>
      <c r="N93" s="6">
        <v>0</v>
      </c>
      <c r="O93" s="6">
        <v>0</v>
      </c>
      <c r="P93" s="6">
        <v>0</v>
      </c>
      <c r="Q93" s="6">
        <v>0</v>
      </c>
      <c r="R93" s="6">
        <v>0</v>
      </c>
      <c r="S93" s="2">
        <f t="shared" si="32"/>
        <v>0</v>
      </c>
      <c r="T93" s="23">
        <f t="shared" si="14"/>
        <v>0</v>
      </c>
    </row>
    <row r="94" spans="1:20">
      <c r="A94" s="2" t="str">
        <f t="shared" si="33"/>
        <v>NewCo V</v>
      </c>
      <c r="B94" s="3" t="str">
        <f>'Controle Projetos_Ciclo2'!F98</f>
        <v>Construção - Serviços de Construção - Ase Engenharia</v>
      </c>
      <c r="C94" s="5">
        <f>SUMIFS('Controle Projetos_Ciclo2'!$O:$O,'Controle Projetos_Ciclo2'!$D:$D,$A94,'Controle Projetos_Ciclo2'!$F:$F,$B94)</f>
        <v>0</v>
      </c>
      <c r="D94" s="5">
        <f>SUMIFS('Controle Projetos_Ciclo2'!$R:$R,'Controle Projetos_Ciclo2'!$D:$D,$A94,'Controle Projetos_Ciclo2'!$F:$F,$B94)</f>
        <v>0</v>
      </c>
      <c r="E94" s="6">
        <f t="shared" si="30"/>
        <v>0</v>
      </c>
      <c r="F94" s="4">
        <f t="shared" si="31"/>
        <v>0</v>
      </c>
      <c r="G94" s="6">
        <v>0</v>
      </c>
      <c r="H94" s="6">
        <v>0</v>
      </c>
      <c r="I94" s="6">
        <v>0</v>
      </c>
      <c r="J94" s="6">
        <v>0</v>
      </c>
      <c r="K94" s="6">
        <v>0</v>
      </c>
      <c r="L94" s="6">
        <v>0</v>
      </c>
      <c r="M94" s="6">
        <v>0</v>
      </c>
      <c r="N94" s="6">
        <v>0</v>
      </c>
      <c r="O94" s="6">
        <v>0</v>
      </c>
      <c r="P94" s="6">
        <v>0</v>
      </c>
      <c r="Q94" s="6">
        <v>0</v>
      </c>
      <c r="R94" s="6">
        <v>0</v>
      </c>
      <c r="S94" s="2">
        <f t="shared" si="32"/>
        <v>0</v>
      </c>
      <c r="T94" s="23">
        <f t="shared" si="14"/>
        <v>0</v>
      </c>
    </row>
    <row r="95" spans="1:20">
      <c r="A95" s="2" t="str">
        <f t="shared" si="33"/>
        <v>NewCo V</v>
      </c>
      <c r="B95" s="3" t="str">
        <f>'Controle Projetos_Ciclo2'!F99</f>
        <v>Full EPC - Contrato Sobressalentes</v>
      </c>
      <c r="C95" s="5">
        <f>SUMIFS('Controle Projetos_Ciclo2'!$O:$O,'Controle Projetos_Ciclo2'!$D:$D,$A95,'Controle Projetos_Ciclo2'!$F:$F,$B95)</f>
        <v>1285195.31</v>
      </c>
      <c r="D95" s="5">
        <f>SUMIFS('Controle Projetos_Ciclo2'!$R:$R,'Controle Projetos_Ciclo2'!$D:$D,$A95,'Controle Projetos_Ciclo2'!$F:$F,$B95)</f>
        <v>1285195.31</v>
      </c>
      <c r="E95" s="6">
        <f t="shared" si="30"/>
        <v>0</v>
      </c>
      <c r="F95" s="4">
        <f t="shared" si="31"/>
        <v>0</v>
      </c>
      <c r="G95" s="6">
        <v>0</v>
      </c>
      <c r="H95" s="6">
        <v>0</v>
      </c>
      <c r="I95" s="6">
        <v>0</v>
      </c>
      <c r="J95" s="6">
        <v>0</v>
      </c>
      <c r="K95" s="6">
        <v>0</v>
      </c>
      <c r="L95" s="6">
        <v>0</v>
      </c>
      <c r="M95" s="6">
        <v>0</v>
      </c>
      <c r="N95" s="6">
        <v>0</v>
      </c>
      <c r="O95" s="6">
        <v>0</v>
      </c>
      <c r="P95" s="6">
        <v>0</v>
      </c>
      <c r="Q95" s="6">
        <v>0</v>
      </c>
      <c r="R95" s="6">
        <v>0</v>
      </c>
      <c r="S95" s="2">
        <f t="shared" si="32"/>
        <v>0</v>
      </c>
      <c r="T95" s="23">
        <f t="shared" si="14"/>
        <v>0</v>
      </c>
    </row>
    <row r="96" spans="1:20">
      <c r="A96" s="2" t="str">
        <f t="shared" si="33"/>
        <v>NewCo V</v>
      </c>
      <c r="B96" s="3" t="str">
        <f>'Controle Projetos_Ciclo2'!F100</f>
        <v>Construção - Serviços de Construção - NOVA MORADA</v>
      </c>
      <c r="C96" s="5">
        <f>SUMIFS('Controle Projetos_Ciclo2'!$O:$O,'Controle Projetos_Ciclo2'!$D:$D,$A96,'Controle Projetos_Ciclo2'!$F:$F,$B96)</f>
        <v>0</v>
      </c>
      <c r="D96" s="5">
        <f>SUMIFS('Controle Projetos_Ciclo2'!$R:$R,'Controle Projetos_Ciclo2'!$D:$D,$A96,'Controle Projetos_Ciclo2'!$F:$F,$B96)</f>
        <v>0</v>
      </c>
      <c r="E96" s="6">
        <f t="shared" si="30"/>
        <v>0</v>
      </c>
      <c r="F96" s="4">
        <f t="shared" si="31"/>
        <v>0</v>
      </c>
      <c r="G96" s="6">
        <v>0</v>
      </c>
      <c r="H96" s="6">
        <v>0</v>
      </c>
      <c r="I96" s="6">
        <v>0</v>
      </c>
      <c r="J96" s="6">
        <v>0</v>
      </c>
      <c r="K96" s="6">
        <v>0</v>
      </c>
      <c r="L96" s="6">
        <v>0</v>
      </c>
      <c r="M96" s="6">
        <v>0</v>
      </c>
      <c r="N96" s="6">
        <v>0</v>
      </c>
      <c r="O96" s="6">
        <v>0</v>
      </c>
      <c r="P96" s="6">
        <v>0</v>
      </c>
      <c r="Q96" s="6">
        <v>0</v>
      </c>
      <c r="R96" s="6">
        <v>0</v>
      </c>
      <c r="S96" s="2">
        <f t="shared" si="32"/>
        <v>0</v>
      </c>
      <c r="T96" s="23">
        <f t="shared" si="14"/>
        <v>0</v>
      </c>
    </row>
    <row r="97" spans="1:20">
      <c r="A97" s="2" t="str">
        <f t="shared" si="33"/>
        <v>NewCo V</v>
      </c>
      <c r="B97" s="3" t="str">
        <f>'Controle Projetos_Ciclo2'!F101</f>
        <v>Equipamentos Curva A -  Contrato Sobressalentes - SETTA</v>
      </c>
      <c r="C97" s="5">
        <f>SUMIFS('Controle Projetos_Ciclo2'!$O:$O,'Controle Projetos_Ciclo2'!$D:$D,$A97,'Controle Projetos_Ciclo2'!$F:$F,$B97)</f>
        <v>0</v>
      </c>
      <c r="D97" s="5">
        <f>SUMIFS('Controle Projetos_Ciclo2'!$R:$R,'Controle Projetos_Ciclo2'!$D:$D,$A97,'Controle Projetos_Ciclo2'!$F:$F,$B97)</f>
        <v>0</v>
      </c>
      <c r="E97" s="6">
        <f t="shared" si="30"/>
        <v>0</v>
      </c>
      <c r="F97" s="4">
        <f t="shared" si="31"/>
        <v>0</v>
      </c>
      <c r="G97" s="6">
        <v>0</v>
      </c>
      <c r="H97" s="6">
        <v>0</v>
      </c>
      <c r="I97" s="6">
        <v>0</v>
      </c>
      <c r="J97" s="6">
        <v>0</v>
      </c>
      <c r="K97" s="6">
        <v>0</v>
      </c>
      <c r="L97" s="6">
        <v>0</v>
      </c>
      <c r="M97" s="6">
        <v>0</v>
      </c>
      <c r="N97" s="6">
        <v>0</v>
      </c>
      <c r="O97" s="6">
        <v>0</v>
      </c>
      <c r="P97" s="6">
        <v>0</v>
      </c>
      <c r="Q97" s="6">
        <v>0</v>
      </c>
      <c r="R97" s="6">
        <v>0</v>
      </c>
      <c r="S97" s="2">
        <f t="shared" si="32"/>
        <v>0</v>
      </c>
      <c r="T97" s="23">
        <f t="shared" si="14"/>
        <v>0</v>
      </c>
    </row>
    <row r="98" spans="1:20">
      <c r="A98" s="2" t="str">
        <f t="shared" si="33"/>
        <v>NewCo V</v>
      </c>
      <c r="B98" s="3" t="str">
        <f>'Controle Projetos_Ciclo2'!F102</f>
        <v>Equipamentos Curva A -  Contrato Sobressalentes - Arctech</v>
      </c>
      <c r="C98" s="5">
        <f>SUMIFS('Controle Projetos_Ciclo2'!$O:$O,'Controle Projetos_Ciclo2'!$D:$D,$A98,'Controle Projetos_Ciclo2'!$F:$F,$B98)</f>
        <v>0</v>
      </c>
      <c r="D98" s="5">
        <f>SUMIFS('Controle Projetos_Ciclo2'!$R:$R,'Controle Projetos_Ciclo2'!$D:$D,$A98,'Controle Projetos_Ciclo2'!$F:$F,$B98)</f>
        <v>0</v>
      </c>
      <c r="E98" s="6">
        <f t="shared" si="30"/>
        <v>0</v>
      </c>
      <c r="F98" s="4">
        <f t="shared" si="31"/>
        <v>0</v>
      </c>
      <c r="G98" s="6">
        <v>0</v>
      </c>
      <c r="H98" s="6">
        <v>409892</v>
      </c>
      <c r="I98" s="6">
        <v>0</v>
      </c>
      <c r="J98" s="6">
        <v>0</v>
      </c>
      <c r="K98" s="6">
        <v>0</v>
      </c>
      <c r="L98" s="6">
        <v>0</v>
      </c>
      <c r="M98" s="6">
        <v>0</v>
      </c>
      <c r="N98" s="6">
        <v>0</v>
      </c>
      <c r="O98" s="6">
        <v>0</v>
      </c>
      <c r="P98" s="6">
        <v>0</v>
      </c>
      <c r="Q98" s="6">
        <v>0</v>
      </c>
      <c r="R98" s="6">
        <v>0</v>
      </c>
      <c r="S98" s="2">
        <f t="shared" si="32"/>
        <v>409892</v>
      </c>
      <c r="T98" s="23">
        <f t="shared" ref="T98:T129" si="34">IF(SUM(G98:R98)=0,0,ROUND(S98-F98,0))</f>
        <v>409892</v>
      </c>
    </row>
    <row r="99" spans="1:20" ht="11.1" thickBot="1">
      <c r="A99" s="2" t="str">
        <f t="shared" si="33"/>
        <v>NewCo V</v>
      </c>
      <c r="B99" s="3" t="str">
        <f>'Controle Projetos_Ciclo2'!F103</f>
        <v>Equipamentos Curva A -  Contrato Sobressalentes - Romagnole</v>
      </c>
      <c r="C99" s="17">
        <f>SUMIFS('Controle Projetos_Ciclo2'!$O:$O,'Controle Projetos_Ciclo2'!$D:$D,$A99,'Controle Projetos_Ciclo2'!$F:$F,$B99)</f>
        <v>952009.36</v>
      </c>
      <c r="D99" s="17">
        <f>SUMIFS('Controle Projetos_Ciclo2'!$R:$R,'Controle Projetos_Ciclo2'!$D:$D,$A99,'Controle Projetos_Ciclo2'!$F:$F,$B99)</f>
        <v>952009.36</v>
      </c>
      <c r="E99" s="7">
        <f t="shared" si="30"/>
        <v>0</v>
      </c>
      <c r="F99" s="4">
        <f t="shared" si="31"/>
        <v>0</v>
      </c>
      <c r="G99" s="7">
        <v>0</v>
      </c>
      <c r="H99" s="7">
        <v>0</v>
      </c>
      <c r="I99" s="7">
        <v>0</v>
      </c>
      <c r="J99" s="7">
        <v>0</v>
      </c>
      <c r="K99" s="7">
        <v>0</v>
      </c>
      <c r="L99" s="7">
        <v>0</v>
      </c>
      <c r="M99" s="7">
        <v>0</v>
      </c>
      <c r="N99" s="7">
        <v>0</v>
      </c>
      <c r="O99" s="7">
        <v>0</v>
      </c>
      <c r="P99" s="7">
        <v>0</v>
      </c>
      <c r="Q99" s="7">
        <v>0</v>
      </c>
      <c r="R99" s="7">
        <v>0</v>
      </c>
      <c r="S99" s="2">
        <f t="shared" si="32"/>
        <v>0</v>
      </c>
      <c r="T99" s="23">
        <f t="shared" si="34"/>
        <v>0</v>
      </c>
    </row>
    <row r="100" spans="1:20" ht="11.1" thickBot="1">
      <c r="A100" s="8" t="s">
        <v>158</v>
      </c>
      <c r="B100" s="9"/>
      <c r="C100" s="9">
        <f t="shared" ref="C100:G100" si="35">SUM(C68:C99)</f>
        <v>167436379.92381552</v>
      </c>
      <c r="D100" s="9">
        <f t="shared" si="35"/>
        <v>163041050.03381553</v>
      </c>
      <c r="E100" s="9">
        <f t="shared" ref="E100" si="36">SUM(E68:E99)</f>
        <v>-3628693.15</v>
      </c>
      <c r="F100" s="9">
        <f t="shared" si="35"/>
        <v>766636.73999999824</v>
      </c>
      <c r="G100" s="9">
        <f t="shared" si="35"/>
        <v>2141366</v>
      </c>
      <c r="H100" s="9">
        <f t="shared" ref="H100" si="37">SUM(H68:H99)</f>
        <v>1312334</v>
      </c>
      <c r="I100" s="9">
        <f t="shared" ref="I100" si="38">SUM(I68:I99)</f>
        <v>200000</v>
      </c>
      <c r="J100" s="9">
        <f t="shared" ref="J100" si="39">SUM(J68:J99)</f>
        <v>130951</v>
      </c>
      <c r="K100" s="9">
        <f t="shared" ref="K100" si="40">SUM(K68:K99)</f>
        <v>0</v>
      </c>
      <c r="L100" s="9">
        <f t="shared" ref="L100" si="41">SUM(L68:L99)</f>
        <v>0</v>
      </c>
      <c r="M100" s="9">
        <f t="shared" ref="M100" si="42">SUM(M68:M99)</f>
        <v>0</v>
      </c>
      <c r="N100" s="9">
        <f t="shared" ref="N100" si="43">SUM(N68:N99)</f>
        <v>0</v>
      </c>
      <c r="O100" s="9">
        <f t="shared" ref="O100" si="44">SUM(O68:O99)</f>
        <v>0</v>
      </c>
      <c r="P100" s="9">
        <f t="shared" ref="P100" si="45">SUM(P68:P99)</f>
        <v>0</v>
      </c>
      <c r="Q100" s="9">
        <f t="shared" ref="Q100" si="46">SUM(Q68:Q99)</f>
        <v>0</v>
      </c>
      <c r="R100" s="9">
        <f t="shared" ref="R100" si="47">SUM(R68:R99)</f>
        <v>0</v>
      </c>
      <c r="S100" s="11">
        <f t="shared" ref="S100" si="48">SUM(S68:S99)</f>
        <v>3784651</v>
      </c>
      <c r="T100" s="23">
        <f t="shared" si="34"/>
        <v>3018014</v>
      </c>
    </row>
    <row r="101" spans="1:20">
      <c r="A101" s="5" t="s">
        <v>49</v>
      </c>
      <c r="B101" s="3" t="str">
        <f>'Controle Projetos_Ciclo2'!F107</f>
        <v>Conexão AT - Obras</v>
      </c>
      <c r="C101" s="5">
        <f>SUMIFS('Controle Projetos_Ciclo2'!$O:$O,'Controle Projetos_Ciclo2'!$D:$D,$A101,'Controle Projetos_Ciclo2'!$F:$F,$B101)</f>
        <v>2787080</v>
      </c>
      <c r="D101" s="5">
        <f>SUMIFS('Controle Projetos_Ciclo2'!$R:$R,'Controle Projetos_Ciclo2'!$D:$D,$A101,'Controle Projetos_Ciclo2'!$F:$F,$B101)</f>
        <v>2787080</v>
      </c>
      <c r="E101" s="6">
        <f t="shared" ref="E101:E132" si="49">IF(B101="Construção - Serviços de Construção - Substituição",-(C101-D101),IF((C101-D101)&lt;0,-(C101-D101),0))</f>
        <v>0</v>
      </c>
      <c r="F101" s="4">
        <f t="shared" ref="F101:F132" si="50">C101-D101+E101</f>
        <v>0</v>
      </c>
      <c r="G101" s="6">
        <v>0</v>
      </c>
      <c r="H101" s="6" t="s">
        <v>193</v>
      </c>
      <c r="I101" s="6" t="s">
        <v>26230</v>
      </c>
      <c r="J101" s="6" t="s">
        <v>193</v>
      </c>
      <c r="K101" s="6" t="s">
        <v>26230</v>
      </c>
      <c r="L101" s="6" t="s">
        <v>26230</v>
      </c>
      <c r="M101" s="6" t="s">
        <v>26230</v>
      </c>
      <c r="N101" s="6" t="s">
        <v>26230</v>
      </c>
      <c r="O101" s="6" t="s">
        <v>26230</v>
      </c>
      <c r="P101" s="6" t="s">
        <v>26230</v>
      </c>
      <c r="Q101" s="6" t="s">
        <v>26230</v>
      </c>
      <c r="R101" s="6" t="s">
        <v>26230</v>
      </c>
      <c r="S101" s="2">
        <f t="shared" ref="S101:S132" si="51">SUM(G101:R101)</f>
        <v>0</v>
      </c>
      <c r="T101" s="23">
        <f t="shared" si="34"/>
        <v>0</v>
      </c>
    </row>
    <row r="102" spans="1:20">
      <c r="A102" s="2" t="str">
        <f t="shared" ref="A102:A132" si="52">A101</f>
        <v>EDN</v>
      </c>
      <c r="B102" s="3" t="str">
        <f>'Controle Projetos_Ciclo2'!F108</f>
        <v>Conexão MT - Obras</v>
      </c>
      <c r="C102" s="5">
        <f>SUMIFS('Controle Projetos_Ciclo2'!$O:$O,'Controle Projetos_Ciclo2'!$D:$D,$A102,'Controle Projetos_Ciclo2'!$F:$F,$B102)</f>
        <v>32208125.979999997</v>
      </c>
      <c r="D102" s="5">
        <f>SUMIFS('Controle Projetos_Ciclo2'!$R:$R,'Controle Projetos_Ciclo2'!$D:$D,$A102,'Controle Projetos_Ciclo2'!$F:$F,$B102)</f>
        <v>22764040.979999997</v>
      </c>
      <c r="E102" s="6">
        <v>-9444085</v>
      </c>
      <c r="F102" s="4">
        <f>C102-D102+E102</f>
        <v>0</v>
      </c>
      <c r="G102" s="6">
        <v>0</v>
      </c>
      <c r="H102" s="6">
        <v>0</v>
      </c>
      <c r="I102" s="6" t="s">
        <v>26230</v>
      </c>
      <c r="J102" s="6" t="s">
        <v>193</v>
      </c>
      <c r="K102" s="6" t="s">
        <v>26230</v>
      </c>
      <c r="L102" s="6" t="s">
        <v>26230</v>
      </c>
      <c r="M102" s="6" t="s">
        <v>26230</v>
      </c>
      <c r="N102" s="6" t="s">
        <v>26230</v>
      </c>
      <c r="O102" s="6" t="s">
        <v>26230</v>
      </c>
      <c r="P102" s="6" t="s">
        <v>26230</v>
      </c>
      <c r="Q102" s="6" t="s">
        <v>26230</v>
      </c>
      <c r="R102" s="6" t="s">
        <v>26230</v>
      </c>
      <c r="S102" s="2">
        <f t="shared" si="51"/>
        <v>0</v>
      </c>
      <c r="T102" s="23">
        <f t="shared" si="34"/>
        <v>0</v>
      </c>
    </row>
    <row r="103" spans="1:20">
      <c r="A103" s="2" t="str">
        <f t="shared" si="52"/>
        <v>EDN</v>
      </c>
      <c r="B103" s="3" t="str">
        <f>'Controle Projetos_Ciclo2'!F109</f>
        <v>Construção - Serviços de Construção</v>
      </c>
      <c r="C103" s="5">
        <f>SUMIFS('Controle Projetos_Ciclo2'!$O:$O,'Controle Projetos_Ciclo2'!$D:$D,$A103,'Controle Projetos_Ciclo2'!$F:$F,$B103)</f>
        <v>59227914.695</v>
      </c>
      <c r="D103" s="5">
        <f>SUMIFS('Controle Projetos_Ciclo2'!$R:$R,'Controle Projetos_Ciclo2'!$D:$D,$A103,'Controle Projetos_Ciclo2'!$F:$F,$B103)</f>
        <v>59056139.265000008</v>
      </c>
      <c r="E103" s="6">
        <v>-171775.43</v>
      </c>
      <c r="F103" s="4">
        <f>C103-D103+E103</f>
        <v>-7.7416189014911652E-9</v>
      </c>
      <c r="G103" s="6">
        <v>0</v>
      </c>
      <c r="H103" s="6">
        <v>0</v>
      </c>
      <c r="I103" s="6">
        <v>0</v>
      </c>
      <c r="J103" s="6" t="s">
        <v>193</v>
      </c>
      <c r="K103" s="6" t="s">
        <v>26230</v>
      </c>
      <c r="L103" s="6" t="s">
        <v>26230</v>
      </c>
      <c r="M103" s="6" t="s">
        <v>26230</v>
      </c>
      <c r="N103" s="6" t="s">
        <v>26230</v>
      </c>
      <c r="O103" s="6" t="s">
        <v>26230</v>
      </c>
      <c r="P103" s="6" t="s">
        <v>26230</v>
      </c>
      <c r="Q103" s="6" t="s">
        <v>26230</v>
      </c>
      <c r="R103" s="6" t="s">
        <v>26230</v>
      </c>
      <c r="S103" s="2">
        <f t="shared" si="51"/>
        <v>0</v>
      </c>
      <c r="T103" s="23">
        <f t="shared" si="34"/>
        <v>0</v>
      </c>
    </row>
    <row r="104" spans="1:20">
      <c r="A104" s="2" t="str">
        <f t="shared" si="52"/>
        <v>EDN</v>
      </c>
      <c r="B104" s="3" t="str">
        <f>'Controle Projetos_Ciclo2'!F110</f>
        <v>Construção - Serviços de Construção - Substituição</v>
      </c>
      <c r="C104" s="5">
        <f>SUMIFS('Controle Projetos_Ciclo2'!$O:$O,'Controle Projetos_Ciclo2'!$D:$D,$A104,'Controle Projetos_Ciclo2'!$F:$F,$B104)</f>
        <v>29603936.569999997</v>
      </c>
      <c r="D104" s="5">
        <f>SUMIFS('Controle Projetos_Ciclo2'!$R:$R,'Controle Projetos_Ciclo2'!$D:$D,$A104,'Controle Projetos_Ciclo2'!$F:$F,$B104)</f>
        <v>9031738.0099999998</v>
      </c>
      <c r="E104" s="6">
        <f t="shared" si="49"/>
        <v>-20572198.559999995</v>
      </c>
      <c r="F104" s="4">
        <f t="shared" si="50"/>
        <v>0</v>
      </c>
      <c r="G104" s="6" t="s">
        <v>26230</v>
      </c>
      <c r="H104" s="6" t="s">
        <v>193</v>
      </c>
      <c r="I104" s="6" t="s">
        <v>26230</v>
      </c>
      <c r="J104" s="6" t="s">
        <v>193</v>
      </c>
      <c r="K104" s="6" t="s">
        <v>26230</v>
      </c>
      <c r="L104" s="6" t="s">
        <v>26230</v>
      </c>
      <c r="M104" s="6" t="s">
        <v>26230</v>
      </c>
      <c r="N104" s="6" t="s">
        <v>26230</v>
      </c>
      <c r="O104" s="6" t="s">
        <v>26230</v>
      </c>
      <c r="P104" s="6" t="s">
        <v>26230</v>
      </c>
      <c r="Q104" s="6" t="s">
        <v>26230</v>
      </c>
      <c r="R104" s="6" t="s">
        <v>26230</v>
      </c>
      <c r="S104" s="2">
        <f t="shared" si="51"/>
        <v>0</v>
      </c>
      <c r="T104" s="23">
        <f t="shared" si="34"/>
        <v>0</v>
      </c>
    </row>
    <row r="105" spans="1:20">
      <c r="A105" s="2" t="str">
        <f t="shared" si="52"/>
        <v>EDN</v>
      </c>
      <c r="B105" s="3" t="str">
        <f>'Controle Projetos_Ciclo2'!F111</f>
        <v>Construção - RDA Interno</v>
      </c>
      <c r="C105" s="5">
        <f>SUMIFS('Controle Projetos_Ciclo2'!$O:$O,'Controle Projetos_Ciclo2'!$D:$D,$A105,'Controle Projetos_Ciclo2'!$F:$F,$B105)</f>
        <v>7233111.6699999999</v>
      </c>
      <c r="D105" s="5">
        <f>SUMIFS('Controle Projetos_Ciclo2'!$R:$R,'Controle Projetos_Ciclo2'!$D:$D,$A105,'Controle Projetos_Ciclo2'!$F:$F,$B105)</f>
        <v>7233111.6699999999</v>
      </c>
      <c r="E105" s="6">
        <f t="shared" si="49"/>
        <v>0</v>
      </c>
      <c r="F105" s="4">
        <f t="shared" si="50"/>
        <v>0</v>
      </c>
      <c r="G105" s="6">
        <v>0</v>
      </c>
      <c r="H105" s="6">
        <v>0</v>
      </c>
      <c r="I105" s="6" t="s">
        <v>26230</v>
      </c>
      <c r="J105" s="6" t="s">
        <v>193</v>
      </c>
      <c r="K105" s="6" t="s">
        <v>26230</v>
      </c>
      <c r="L105" s="6" t="s">
        <v>26230</v>
      </c>
      <c r="M105" s="6" t="s">
        <v>26230</v>
      </c>
      <c r="N105" s="6" t="s">
        <v>26230</v>
      </c>
      <c r="O105" s="6" t="s">
        <v>26230</v>
      </c>
      <c r="P105" s="6" t="s">
        <v>26230</v>
      </c>
      <c r="Q105" s="6" t="s">
        <v>26230</v>
      </c>
      <c r="R105" s="6" t="s">
        <v>26230</v>
      </c>
      <c r="S105" s="2">
        <f t="shared" si="51"/>
        <v>0</v>
      </c>
      <c r="T105" s="23">
        <f t="shared" si="34"/>
        <v>0</v>
      </c>
    </row>
    <row r="106" spans="1:20">
      <c r="A106" s="2" t="str">
        <f t="shared" si="52"/>
        <v>EDN</v>
      </c>
      <c r="B106" s="3" t="str">
        <f>'Controle Projetos_Ciclo2'!F112</f>
        <v>Full EPC - Contrato</v>
      </c>
      <c r="C106" s="5">
        <f>SUMIFS('Controle Projetos_Ciclo2'!$O:$O,'Controle Projetos_Ciclo2'!$D:$D,$A106,'Controle Projetos_Ciclo2'!$F:$F,$B106)</f>
        <v>43940047.410000004</v>
      </c>
      <c r="D106" s="5">
        <f>SUMIFS('Controle Projetos_Ciclo2'!$R:$R,'Controle Projetos_Ciclo2'!$D:$D,$A106,'Controle Projetos_Ciclo2'!$F:$F,$B106)</f>
        <v>43940047.409999996</v>
      </c>
      <c r="E106" s="6">
        <f t="shared" si="49"/>
        <v>0</v>
      </c>
      <c r="F106" s="27">
        <f t="shared" si="50"/>
        <v>7.4505805969238281E-9</v>
      </c>
      <c r="G106" s="6">
        <v>0</v>
      </c>
      <c r="H106" s="6">
        <v>1100000</v>
      </c>
      <c r="I106" s="6">
        <v>1097002</v>
      </c>
      <c r="J106" s="6" t="s">
        <v>193</v>
      </c>
      <c r="K106" s="6" t="s">
        <v>26230</v>
      </c>
      <c r="L106" s="6" t="s">
        <v>26230</v>
      </c>
      <c r="M106" s="6" t="s">
        <v>26230</v>
      </c>
      <c r="N106" s="6" t="s">
        <v>26230</v>
      </c>
      <c r="O106" s="6" t="s">
        <v>26230</v>
      </c>
      <c r="P106" s="6" t="s">
        <v>26230</v>
      </c>
      <c r="Q106" s="6" t="s">
        <v>26230</v>
      </c>
      <c r="R106" s="6" t="s">
        <v>26230</v>
      </c>
      <c r="S106" s="2">
        <f t="shared" si="51"/>
        <v>2197002</v>
      </c>
      <c r="T106" s="23">
        <f t="shared" si="34"/>
        <v>2197002</v>
      </c>
    </row>
    <row r="107" spans="1:20">
      <c r="A107" s="2" t="str">
        <f t="shared" si="52"/>
        <v>EDN</v>
      </c>
      <c r="B107" s="3" t="str">
        <f>'Controle Projetos_Ciclo2'!F113</f>
        <v>Equipamentos Curva A - Outros (Transformadores)</v>
      </c>
      <c r="C107" s="5">
        <f>SUMIFS('Controle Projetos_Ciclo2'!$O:$O,'Controle Projetos_Ciclo2'!$D:$D,$A107,'Controle Projetos_Ciclo2'!$F:$F,$B107)</f>
        <v>4915893.2059999993</v>
      </c>
      <c r="D107" s="5">
        <f>SUMIFS('Controle Projetos_Ciclo2'!$R:$R,'Controle Projetos_Ciclo2'!$D:$D,$A107,'Controle Projetos_Ciclo2'!$F:$F,$B107)</f>
        <v>4915893.2059999993</v>
      </c>
      <c r="E107" s="6">
        <f t="shared" si="49"/>
        <v>0</v>
      </c>
      <c r="F107" s="4">
        <f t="shared" si="50"/>
        <v>0</v>
      </c>
      <c r="G107" s="6" t="s">
        <v>26230</v>
      </c>
      <c r="H107" s="6">
        <v>0</v>
      </c>
      <c r="I107" s="6" t="s">
        <v>26230</v>
      </c>
      <c r="J107" s="6" t="s">
        <v>26230</v>
      </c>
      <c r="K107" s="6" t="s">
        <v>26230</v>
      </c>
      <c r="L107" s="6" t="s">
        <v>26230</v>
      </c>
      <c r="M107" s="6" t="s">
        <v>26230</v>
      </c>
      <c r="N107" s="6" t="s">
        <v>26230</v>
      </c>
      <c r="O107" s="6" t="s">
        <v>26230</v>
      </c>
      <c r="P107" s="6" t="s">
        <v>26230</v>
      </c>
      <c r="Q107" s="6" t="s">
        <v>26230</v>
      </c>
      <c r="R107" s="6" t="s">
        <v>26230</v>
      </c>
      <c r="S107" s="2">
        <f t="shared" si="51"/>
        <v>0</v>
      </c>
      <c r="T107" s="23">
        <f t="shared" si="34"/>
        <v>0</v>
      </c>
    </row>
    <row r="108" spans="1:20">
      <c r="A108" s="2" t="str">
        <f t="shared" si="52"/>
        <v>EDN</v>
      </c>
      <c r="B108" s="3" t="str">
        <f>'Controle Projetos_Ciclo2'!F114</f>
        <v>Equipamentos Curva A - Outros (Cabine + Skid)</v>
      </c>
      <c r="C108" s="5">
        <f>SUMIFS('Controle Projetos_Ciclo2'!$O:$O,'Controle Projetos_Ciclo2'!$D:$D,$A108,'Controle Projetos_Ciclo2'!$F:$F,$B108)</f>
        <v>13845482.563433891</v>
      </c>
      <c r="D108" s="5">
        <f>SUMIFS('Controle Projetos_Ciclo2'!$R:$R,'Controle Projetos_Ciclo2'!$D:$D,$A108,'Controle Projetos_Ciclo2'!$F:$F,$B108)</f>
        <v>13845482.563433891</v>
      </c>
      <c r="E108" s="6">
        <f t="shared" si="49"/>
        <v>0</v>
      </c>
      <c r="F108" s="4">
        <f t="shared" si="50"/>
        <v>0</v>
      </c>
      <c r="G108" s="6">
        <v>0</v>
      </c>
      <c r="H108" s="6">
        <v>0</v>
      </c>
      <c r="I108" s="6" t="s">
        <v>26230</v>
      </c>
      <c r="J108" s="6" t="s">
        <v>193</v>
      </c>
      <c r="K108" s="6" t="s">
        <v>26230</v>
      </c>
      <c r="L108" s="6" t="s">
        <v>26230</v>
      </c>
      <c r="M108" s="6" t="s">
        <v>26230</v>
      </c>
      <c r="N108" s="6" t="s">
        <v>26230</v>
      </c>
      <c r="O108" s="6" t="s">
        <v>26230</v>
      </c>
      <c r="P108" s="6" t="s">
        <v>26230</v>
      </c>
      <c r="Q108" s="6" t="s">
        <v>26230</v>
      </c>
      <c r="R108" s="6" t="s">
        <v>26230</v>
      </c>
      <c r="S108" s="2">
        <f t="shared" si="51"/>
        <v>0</v>
      </c>
      <c r="T108" s="23">
        <f t="shared" si="34"/>
        <v>0</v>
      </c>
    </row>
    <row r="109" spans="1:20">
      <c r="A109" s="2" t="str">
        <f t="shared" si="52"/>
        <v>EDN</v>
      </c>
      <c r="B109" s="3" t="str">
        <f>'Controle Projetos_Ciclo2'!F115</f>
        <v>Equipamentos Curva A - Outros (Cabine + Skid + Transformador)</v>
      </c>
      <c r="C109" s="5">
        <f>SUMIFS('Controle Projetos_Ciclo2'!$O:$O,'Controle Projetos_Ciclo2'!$D:$D,$A109,'Controle Projetos_Ciclo2'!$F:$F,$B109)</f>
        <v>0</v>
      </c>
      <c r="D109" s="5">
        <f>SUMIFS('Controle Projetos_Ciclo2'!$R:$R,'Controle Projetos_Ciclo2'!$D:$D,$A109,'Controle Projetos_Ciclo2'!$F:$F,$B109)</f>
        <v>0</v>
      </c>
      <c r="E109" s="6">
        <f t="shared" si="49"/>
        <v>0</v>
      </c>
      <c r="F109" s="4">
        <f t="shared" si="50"/>
        <v>0</v>
      </c>
      <c r="G109" s="6" t="s">
        <v>26230</v>
      </c>
      <c r="H109" s="6" t="s">
        <v>26230</v>
      </c>
      <c r="I109" s="6" t="s">
        <v>26230</v>
      </c>
      <c r="J109" s="6" t="s">
        <v>26230</v>
      </c>
      <c r="K109" s="6" t="s">
        <v>26230</v>
      </c>
      <c r="L109" s="6" t="s">
        <v>26230</v>
      </c>
      <c r="M109" s="6" t="s">
        <v>26230</v>
      </c>
      <c r="N109" s="6" t="s">
        <v>26230</v>
      </c>
      <c r="O109" s="6" t="s">
        <v>26230</v>
      </c>
      <c r="P109" s="6" t="s">
        <v>26230</v>
      </c>
      <c r="Q109" s="6" t="s">
        <v>26230</v>
      </c>
      <c r="R109" s="6" t="s">
        <v>26230</v>
      </c>
      <c r="S109" s="2">
        <f t="shared" si="51"/>
        <v>0</v>
      </c>
      <c r="T109" s="23">
        <f t="shared" si="34"/>
        <v>0</v>
      </c>
    </row>
    <row r="110" spans="1:20">
      <c r="A110" s="2" t="str">
        <f t="shared" si="52"/>
        <v>EDN</v>
      </c>
      <c r="B110" s="3" t="str">
        <f>'Controle Projetos_Ciclo2'!F116</f>
        <v>Desenvolvimento de projeto - Projetos - (Eng° Proprietario)</v>
      </c>
      <c r="C110" s="5">
        <f>SUMIFS('Controle Projetos_Ciclo2'!$O:$O,'Controle Projetos_Ciclo2'!$D:$D,$A110,'Controle Projetos_Ciclo2'!$F:$F,$B110)</f>
        <v>3077933.5700000008</v>
      </c>
      <c r="D110" s="5">
        <f>SUMIFS('Controle Projetos_Ciclo2'!$R:$R,'Controle Projetos_Ciclo2'!$D:$D,$A110,'Controle Projetos_Ciclo2'!$F:$F,$B110)</f>
        <v>3077933.5700000008</v>
      </c>
      <c r="E110" s="6">
        <f t="shared" si="49"/>
        <v>0</v>
      </c>
      <c r="F110" s="4">
        <f t="shared" si="50"/>
        <v>0</v>
      </c>
      <c r="G110" s="6">
        <v>0</v>
      </c>
      <c r="H110" s="6">
        <v>0</v>
      </c>
      <c r="I110" s="6" t="s">
        <v>26230</v>
      </c>
      <c r="J110" s="6" t="s">
        <v>193</v>
      </c>
      <c r="K110" s="6" t="s">
        <v>26230</v>
      </c>
      <c r="L110" s="6" t="s">
        <v>26230</v>
      </c>
      <c r="M110" s="6" t="s">
        <v>26230</v>
      </c>
      <c r="N110" s="6" t="s">
        <v>26230</v>
      </c>
      <c r="O110" s="6" t="s">
        <v>26230</v>
      </c>
      <c r="P110" s="6" t="s">
        <v>26230</v>
      </c>
      <c r="Q110" s="6" t="s">
        <v>26230</v>
      </c>
      <c r="R110" s="6" t="s">
        <v>26230</v>
      </c>
      <c r="S110" s="2">
        <f t="shared" si="51"/>
        <v>0</v>
      </c>
      <c r="T110" s="23">
        <f t="shared" si="34"/>
        <v>0</v>
      </c>
    </row>
    <row r="111" spans="1:20">
      <c r="A111" s="2" t="str">
        <f t="shared" si="52"/>
        <v>EDN</v>
      </c>
      <c r="B111" s="3" t="str">
        <f>'Controle Projetos_Ciclo2'!F117</f>
        <v>Desenvolvimento de projeto - Projetos - Executivos</v>
      </c>
      <c r="C111" s="5">
        <f>SUMIFS('Controle Projetos_Ciclo2'!$O:$O,'Controle Projetos_Ciclo2'!$D:$D,$A111,'Controle Projetos_Ciclo2'!$F:$F,$B111)</f>
        <v>729833.60000000009</v>
      </c>
      <c r="D111" s="5">
        <f>SUMIFS('Controle Projetos_Ciclo2'!$R:$R,'Controle Projetos_Ciclo2'!$D:$D,$A111,'Controle Projetos_Ciclo2'!$F:$F,$B111)</f>
        <v>729833.60000000009</v>
      </c>
      <c r="E111" s="6">
        <f t="shared" si="49"/>
        <v>0</v>
      </c>
      <c r="F111" s="4">
        <f t="shared" si="50"/>
        <v>0</v>
      </c>
      <c r="G111" s="6">
        <v>0</v>
      </c>
      <c r="H111" s="6">
        <v>0</v>
      </c>
      <c r="I111" s="6" t="s">
        <v>26230</v>
      </c>
      <c r="J111" s="6" t="s">
        <v>193</v>
      </c>
      <c r="K111" s="6" t="s">
        <v>26230</v>
      </c>
      <c r="L111" s="6" t="s">
        <v>26230</v>
      </c>
      <c r="M111" s="6" t="s">
        <v>26230</v>
      </c>
      <c r="N111" s="6" t="s">
        <v>26230</v>
      </c>
      <c r="O111" s="6" t="s">
        <v>26230</v>
      </c>
      <c r="P111" s="6" t="s">
        <v>26230</v>
      </c>
      <c r="Q111" s="6" t="s">
        <v>26230</v>
      </c>
      <c r="R111" s="6" t="s">
        <v>26230</v>
      </c>
      <c r="S111" s="2">
        <f t="shared" si="51"/>
        <v>0</v>
      </c>
      <c r="T111" s="23">
        <f t="shared" si="34"/>
        <v>0</v>
      </c>
    </row>
    <row r="112" spans="1:20">
      <c r="A112" s="2" t="str">
        <f t="shared" si="52"/>
        <v>EDN</v>
      </c>
      <c r="B112" s="3" t="str">
        <f>'Controle Projetos_Ciclo2'!F118</f>
        <v>Desenvolvimento de projeto - Projetos Básica</v>
      </c>
      <c r="C112" s="5">
        <f>SUMIFS('Controle Projetos_Ciclo2'!$O:$O,'Controle Projetos_Ciclo2'!$D:$D,$A112,'Controle Projetos_Ciclo2'!$F:$F,$B112)</f>
        <v>286233.43</v>
      </c>
      <c r="D112" s="5">
        <f>SUMIFS('Controle Projetos_Ciclo2'!$R:$R,'Controle Projetos_Ciclo2'!$D:$D,$A112,'Controle Projetos_Ciclo2'!$F:$F,$B112)</f>
        <v>286233.43</v>
      </c>
      <c r="E112" s="6">
        <f t="shared" si="49"/>
        <v>0</v>
      </c>
      <c r="F112" s="4">
        <f t="shared" si="50"/>
        <v>0</v>
      </c>
      <c r="G112" s="6">
        <v>0</v>
      </c>
      <c r="H112" s="6">
        <v>0</v>
      </c>
      <c r="I112" s="6" t="s">
        <v>26230</v>
      </c>
      <c r="J112" s="6" t="s">
        <v>193</v>
      </c>
      <c r="K112" s="6" t="s">
        <v>26230</v>
      </c>
      <c r="L112" s="6" t="s">
        <v>26230</v>
      </c>
      <c r="M112" s="6" t="s">
        <v>26230</v>
      </c>
      <c r="N112" s="6" t="s">
        <v>26230</v>
      </c>
      <c r="O112" s="6" t="s">
        <v>26230</v>
      </c>
      <c r="P112" s="6" t="s">
        <v>26230</v>
      </c>
      <c r="Q112" s="6" t="s">
        <v>26230</v>
      </c>
      <c r="R112" s="6" t="s">
        <v>26230</v>
      </c>
      <c r="S112" s="2">
        <f t="shared" si="51"/>
        <v>0</v>
      </c>
      <c r="T112" s="23">
        <f t="shared" si="34"/>
        <v>0</v>
      </c>
    </row>
    <row r="113" spans="1:20">
      <c r="A113" s="2" t="str">
        <f t="shared" si="52"/>
        <v>EDN</v>
      </c>
      <c r="B113" s="3" t="str">
        <f>'Controle Projetos_Ciclo2'!F119</f>
        <v>Desenvolvimento de projeto - Projetos Detalhada</v>
      </c>
      <c r="C113" s="5">
        <f>SUMIFS('Controle Projetos_Ciclo2'!$O:$O,'Controle Projetos_Ciclo2'!$D:$D,$A113,'Controle Projetos_Ciclo2'!$F:$F,$B113)</f>
        <v>136690.03</v>
      </c>
      <c r="D113" s="5">
        <f>SUMIFS('Controle Projetos_Ciclo2'!$R:$R,'Controle Projetos_Ciclo2'!$D:$D,$A113,'Controle Projetos_Ciclo2'!$F:$F,$B113)</f>
        <v>136690.03</v>
      </c>
      <c r="E113" s="6">
        <f t="shared" si="49"/>
        <v>0</v>
      </c>
      <c r="F113" s="4">
        <f t="shared" si="50"/>
        <v>0</v>
      </c>
      <c r="G113" s="6">
        <v>0</v>
      </c>
      <c r="H113" s="6" t="s">
        <v>26230</v>
      </c>
      <c r="I113" s="6" t="s">
        <v>26230</v>
      </c>
      <c r="J113" s="6" t="s">
        <v>26230</v>
      </c>
      <c r="K113" s="6" t="s">
        <v>26230</v>
      </c>
      <c r="L113" s="6" t="s">
        <v>26230</v>
      </c>
      <c r="M113" s="6" t="s">
        <v>26230</v>
      </c>
      <c r="N113" s="6" t="s">
        <v>26230</v>
      </c>
      <c r="O113" s="6" t="s">
        <v>26230</v>
      </c>
      <c r="P113" s="6" t="s">
        <v>26230</v>
      </c>
      <c r="Q113" s="6" t="s">
        <v>26230</v>
      </c>
      <c r="R113" s="6" t="s">
        <v>26230</v>
      </c>
      <c r="S113" s="2">
        <f t="shared" si="51"/>
        <v>0</v>
      </c>
      <c r="T113" s="23">
        <f t="shared" si="34"/>
        <v>0</v>
      </c>
    </row>
    <row r="114" spans="1:20">
      <c r="A114" s="2" t="str">
        <f t="shared" si="52"/>
        <v>EDN</v>
      </c>
      <c r="B114" s="3" t="str">
        <f>'Controle Projetos_Ciclo2'!F120</f>
        <v>Desenvolvimento de projeto - Ambiental / Outros</v>
      </c>
      <c r="C114" s="5">
        <f>SUMIFS('Controle Projetos_Ciclo2'!$O:$O,'Controle Projetos_Ciclo2'!$D:$D,$A114,'Controle Projetos_Ciclo2'!$F:$F,$B114)</f>
        <v>2638233.5700000003</v>
      </c>
      <c r="D114" s="5">
        <f>SUMIFS('Controle Projetos_Ciclo2'!$R:$R,'Controle Projetos_Ciclo2'!$D:$D,$A114,'Controle Projetos_Ciclo2'!$F:$F,$B114)</f>
        <v>2638233.5700000003</v>
      </c>
      <c r="E114" s="6">
        <f t="shared" si="49"/>
        <v>0</v>
      </c>
      <c r="F114" s="4">
        <f t="shared" si="50"/>
        <v>0</v>
      </c>
      <c r="G114" s="6" t="s">
        <v>26230</v>
      </c>
      <c r="H114" s="6" t="s">
        <v>26230</v>
      </c>
      <c r="I114" s="6" t="s">
        <v>26230</v>
      </c>
      <c r="J114" s="6" t="s">
        <v>26230</v>
      </c>
      <c r="K114" s="6" t="s">
        <v>26230</v>
      </c>
      <c r="L114" s="6" t="s">
        <v>26230</v>
      </c>
      <c r="M114" s="6" t="s">
        <v>26230</v>
      </c>
      <c r="N114" s="6" t="s">
        <v>26230</v>
      </c>
      <c r="O114" s="6" t="s">
        <v>26230</v>
      </c>
      <c r="P114" s="6" t="s">
        <v>26230</v>
      </c>
      <c r="Q114" s="6" t="s">
        <v>26230</v>
      </c>
      <c r="R114" s="6" t="s">
        <v>26230</v>
      </c>
      <c r="S114" s="2">
        <f t="shared" si="51"/>
        <v>0</v>
      </c>
      <c r="T114" s="23">
        <f t="shared" si="34"/>
        <v>0</v>
      </c>
    </row>
    <row r="115" spans="1:20">
      <c r="A115" s="2" t="str">
        <f t="shared" si="52"/>
        <v>EDN</v>
      </c>
      <c r="B115" s="3" t="str">
        <f>'Controle Projetos_Ciclo2'!F121</f>
        <v>Desenvolvimento de projeto - Coordenograma</v>
      </c>
      <c r="C115" s="5">
        <f>SUMIFS('Controle Projetos_Ciclo2'!$O:$O,'Controle Projetos_Ciclo2'!$D:$D,$A115,'Controle Projetos_Ciclo2'!$F:$F,$B115)</f>
        <v>145120.64999999997</v>
      </c>
      <c r="D115" s="5">
        <f>SUMIFS('Controle Projetos_Ciclo2'!$R:$R,'Controle Projetos_Ciclo2'!$D:$D,$A115,'Controle Projetos_Ciclo2'!$F:$F,$B115)</f>
        <v>145120.64999999997</v>
      </c>
      <c r="E115" s="6">
        <f t="shared" si="49"/>
        <v>0</v>
      </c>
      <c r="F115" s="4">
        <f t="shared" si="50"/>
        <v>0</v>
      </c>
      <c r="G115" s="6">
        <v>0</v>
      </c>
      <c r="H115" s="6" t="s">
        <v>193</v>
      </c>
      <c r="I115" s="6" t="s">
        <v>26230</v>
      </c>
      <c r="J115" s="6" t="s">
        <v>193</v>
      </c>
      <c r="K115" s="6" t="s">
        <v>26230</v>
      </c>
      <c r="L115" s="6" t="s">
        <v>26230</v>
      </c>
      <c r="M115" s="6" t="s">
        <v>26230</v>
      </c>
      <c r="N115" s="6" t="s">
        <v>26230</v>
      </c>
      <c r="O115" s="6" t="s">
        <v>26230</v>
      </c>
      <c r="P115" s="6" t="s">
        <v>26230</v>
      </c>
      <c r="Q115" s="6" t="s">
        <v>26230</v>
      </c>
      <c r="R115" s="6" t="s">
        <v>26230</v>
      </c>
      <c r="S115" s="2">
        <f t="shared" si="51"/>
        <v>0</v>
      </c>
      <c r="T115" s="23">
        <f t="shared" si="34"/>
        <v>0</v>
      </c>
    </row>
    <row r="116" spans="1:20">
      <c r="A116" s="2" t="str">
        <f t="shared" si="52"/>
        <v>EDN</v>
      </c>
      <c r="B116" s="3" t="str">
        <f>'Controle Projetos_Ciclo2'!F122</f>
        <v>Sistemas de Monitoramento - Supervisório</v>
      </c>
      <c r="C116" s="5">
        <f>SUMIFS('Controle Projetos_Ciclo2'!$O:$O,'Controle Projetos_Ciclo2'!$D:$D,$A116,'Controle Projetos_Ciclo2'!$F:$F,$B116)</f>
        <v>2575554.71</v>
      </c>
      <c r="D116" s="5">
        <f>SUMIFS('Controle Projetos_Ciclo2'!$R:$R,'Controle Projetos_Ciclo2'!$D:$D,$A116,'Controle Projetos_Ciclo2'!$F:$F,$B116)</f>
        <v>2575554.71</v>
      </c>
      <c r="E116" s="6">
        <f t="shared" si="49"/>
        <v>0</v>
      </c>
      <c r="F116" s="4">
        <f t="shared" si="50"/>
        <v>0</v>
      </c>
      <c r="G116" s="6">
        <v>0</v>
      </c>
      <c r="H116" s="6">
        <v>0</v>
      </c>
      <c r="I116" s="6">
        <v>0</v>
      </c>
      <c r="J116" s="6">
        <v>0</v>
      </c>
      <c r="K116" s="6" t="s">
        <v>26230</v>
      </c>
      <c r="L116" s="6" t="s">
        <v>26230</v>
      </c>
      <c r="M116" s="6" t="s">
        <v>26230</v>
      </c>
      <c r="N116" s="6" t="s">
        <v>26230</v>
      </c>
      <c r="O116" s="6" t="s">
        <v>26230</v>
      </c>
      <c r="P116" s="6" t="s">
        <v>26230</v>
      </c>
      <c r="Q116" s="6" t="s">
        <v>26230</v>
      </c>
      <c r="R116" s="6" t="s">
        <v>26230</v>
      </c>
      <c r="S116" s="2">
        <f t="shared" si="51"/>
        <v>0</v>
      </c>
      <c r="T116" s="23">
        <f t="shared" si="34"/>
        <v>0</v>
      </c>
    </row>
    <row r="117" spans="1:20">
      <c r="A117" s="2" t="str">
        <f t="shared" si="52"/>
        <v>EDN</v>
      </c>
      <c r="B117" s="3" t="str">
        <f>'Controle Projetos_Ciclo2'!F123</f>
        <v>Sistemas de Monitoramento - Estações Solarimétricas</v>
      </c>
      <c r="C117" s="5">
        <f>SUMIFS('Controle Projetos_Ciclo2'!$O:$O,'Controle Projetos_Ciclo2'!$D:$D,$A117,'Controle Projetos_Ciclo2'!$F:$F,$B117)</f>
        <v>772424.26000000024</v>
      </c>
      <c r="D117" s="5">
        <f>SUMIFS('Controle Projetos_Ciclo2'!$R:$R,'Controle Projetos_Ciclo2'!$D:$D,$A117,'Controle Projetos_Ciclo2'!$F:$F,$B117)</f>
        <v>772424.26000000024</v>
      </c>
      <c r="E117" s="6">
        <f t="shared" si="49"/>
        <v>0</v>
      </c>
      <c r="F117" s="4">
        <f t="shared" si="50"/>
        <v>0</v>
      </c>
      <c r="G117" s="6">
        <v>0</v>
      </c>
      <c r="H117" s="6">
        <v>0</v>
      </c>
      <c r="I117" s="6" t="s">
        <v>26230</v>
      </c>
      <c r="J117" s="6" t="s">
        <v>193</v>
      </c>
      <c r="K117" s="6" t="s">
        <v>26230</v>
      </c>
      <c r="L117" s="6" t="s">
        <v>26230</v>
      </c>
      <c r="M117" s="6" t="s">
        <v>26230</v>
      </c>
      <c r="N117" s="6" t="s">
        <v>26230</v>
      </c>
      <c r="O117" s="6" t="s">
        <v>26230</v>
      </c>
      <c r="P117" s="6" t="s">
        <v>26230</v>
      </c>
      <c r="Q117" s="6" t="s">
        <v>26230</v>
      </c>
      <c r="R117" s="6" t="s">
        <v>26230</v>
      </c>
      <c r="S117" s="2">
        <f t="shared" si="51"/>
        <v>0</v>
      </c>
      <c r="T117" s="23">
        <f t="shared" si="34"/>
        <v>0</v>
      </c>
    </row>
    <row r="118" spans="1:20">
      <c r="A118" s="2" t="str">
        <f t="shared" si="52"/>
        <v>EDN</v>
      </c>
      <c r="B118" s="3" t="str">
        <f>'Controle Projetos_Ciclo2'!F124</f>
        <v>Sistemas de Monitoramento - CFTV</v>
      </c>
      <c r="C118" s="5">
        <f>SUMIFS('Controle Projetos_Ciclo2'!$O:$O,'Controle Projetos_Ciclo2'!$D:$D,$A118,'Controle Projetos_Ciclo2'!$F:$F,$B118)</f>
        <v>5193028.409</v>
      </c>
      <c r="D118" s="5">
        <f>SUMIFS('Controle Projetos_Ciclo2'!$R:$R,'Controle Projetos_Ciclo2'!$D:$D,$A118,'Controle Projetos_Ciclo2'!$F:$F,$B118)</f>
        <v>5193028.4090000009</v>
      </c>
      <c r="E118" s="6">
        <f t="shared" si="49"/>
        <v>9.3132257461547852E-10</v>
      </c>
      <c r="F118" s="4">
        <f t="shared" si="50"/>
        <v>0</v>
      </c>
      <c r="G118" s="6">
        <v>0</v>
      </c>
      <c r="H118" s="6">
        <v>0</v>
      </c>
      <c r="I118" s="6">
        <v>0</v>
      </c>
      <c r="J118" s="6">
        <v>0</v>
      </c>
      <c r="K118" s="6" t="s">
        <v>26230</v>
      </c>
      <c r="L118" s="6" t="s">
        <v>26230</v>
      </c>
      <c r="M118" s="6" t="s">
        <v>26230</v>
      </c>
      <c r="N118" s="6" t="s">
        <v>26230</v>
      </c>
      <c r="O118" s="6" t="s">
        <v>26230</v>
      </c>
      <c r="P118" s="6" t="s">
        <v>26230</v>
      </c>
      <c r="Q118" s="6" t="s">
        <v>26230</v>
      </c>
      <c r="R118" s="6" t="s">
        <v>26230</v>
      </c>
      <c r="S118" s="2">
        <f t="shared" si="51"/>
        <v>0</v>
      </c>
      <c r="T118" s="23">
        <f t="shared" si="34"/>
        <v>0</v>
      </c>
    </row>
    <row r="119" spans="1:20">
      <c r="A119" s="2" t="str">
        <f t="shared" si="52"/>
        <v>EDN</v>
      </c>
      <c r="B119" s="3" t="str">
        <f>'Controle Projetos_Ciclo2'!F125</f>
        <v>Serviços Auxiliares - Drenagem</v>
      </c>
      <c r="C119" s="5">
        <f>SUMIFS('Controle Projetos_Ciclo2'!$O:$O,'Controle Projetos_Ciclo2'!$D:$D,$A119,'Controle Projetos_Ciclo2'!$F:$F,$B119)</f>
        <v>12817465.362500001</v>
      </c>
      <c r="D119" s="5">
        <f>SUMIFS('Controle Projetos_Ciclo2'!$R:$R,'Controle Projetos_Ciclo2'!$D:$D,$A119,'Controle Projetos_Ciclo2'!$F:$F,$B119)</f>
        <v>12817465.362500003</v>
      </c>
      <c r="E119" s="6">
        <f t="shared" si="49"/>
        <v>1.862645149230957E-9</v>
      </c>
      <c r="F119" s="4">
        <f t="shared" si="50"/>
        <v>0</v>
      </c>
      <c r="G119" s="6" t="s">
        <v>26230</v>
      </c>
      <c r="H119" s="6" t="s">
        <v>193</v>
      </c>
      <c r="I119" s="6" t="s">
        <v>26230</v>
      </c>
      <c r="J119" s="6" t="s">
        <v>193</v>
      </c>
      <c r="K119" s="6" t="s">
        <v>26230</v>
      </c>
      <c r="L119" s="6" t="s">
        <v>26230</v>
      </c>
      <c r="M119" s="6" t="s">
        <v>26230</v>
      </c>
      <c r="N119" s="6" t="s">
        <v>26230</v>
      </c>
      <c r="O119" s="6" t="s">
        <v>26230</v>
      </c>
      <c r="P119" s="6" t="s">
        <v>26230</v>
      </c>
      <c r="Q119" s="6" t="s">
        <v>26230</v>
      </c>
      <c r="R119" s="6" t="s">
        <v>26230</v>
      </c>
      <c r="S119" s="2">
        <f t="shared" si="51"/>
        <v>0</v>
      </c>
      <c r="T119" s="23">
        <f t="shared" si="34"/>
        <v>0</v>
      </c>
    </row>
    <row r="120" spans="1:20">
      <c r="A120" s="2" t="str">
        <f t="shared" si="52"/>
        <v>EDN</v>
      </c>
      <c r="B120" s="3" t="str">
        <f>'Controle Projetos_Ciclo2'!F126</f>
        <v>Serviços Auxiliares - Terraplanagem</v>
      </c>
      <c r="C120" s="5">
        <f>SUMIFS('Controle Projetos_Ciclo2'!$O:$O,'Controle Projetos_Ciclo2'!$D:$D,$A120,'Controle Projetos_Ciclo2'!$F:$F,$B120)</f>
        <v>11560202.3255</v>
      </c>
      <c r="D120" s="5">
        <f>SUMIFS('Controle Projetos_Ciclo2'!$R:$R,'Controle Projetos_Ciclo2'!$D:$D,$A120,'Controle Projetos_Ciclo2'!$F:$F,$B120)</f>
        <v>11560202.3255</v>
      </c>
      <c r="E120" s="6">
        <f t="shared" si="49"/>
        <v>0</v>
      </c>
      <c r="F120" s="4">
        <f t="shared" si="50"/>
        <v>0</v>
      </c>
      <c r="G120" s="6">
        <v>0</v>
      </c>
      <c r="H120" s="6">
        <v>0</v>
      </c>
      <c r="I120" s="6" t="s">
        <v>26230</v>
      </c>
      <c r="J120" s="6" t="s">
        <v>193</v>
      </c>
      <c r="K120" s="6" t="s">
        <v>26230</v>
      </c>
      <c r="L120" s="6" t="s">
        <v>26230</v>
      </c>
      <c r="M120" s="6" t="s">
        <v>26230</v>
      </c>
      <c r="N120" s="6" t="s">
        <v>26230</v>
      </c>
      <c r="O120" s="6" t="s">
        <v>26230</v>
      </c>
      <c r="P120" s="6" t="s">
        <v>26230</v>
      </c>
      <c r="Q120" s="6" t="s">
        <v>26230</v>
      </c>
      <c r="R120" s="6" t="s">
        <v>26230</v>
      </c>
      <c r="S120" s="2">
        <f t="shared" si="51"/>
        <v>0</v>
      </c>
      <c r="T120" s="23">
        <f t="shared" si="34"/>
        <v>0</v>
      </c>
    </row>
    <row r="121" spans="1:20">
      <c r="A121" s="2" t="str">
        <f t="shared" si="52"/>
        <v>EDN</v>
      </c>
      <c r="B121" s="3" t="str">
        <f>'Controle Projetos_Ciclo2'!F127</f>
        <v>Serviços Auxiliares - Supressão Vegetal</v>
      </c>
      <c r="C121" s="5">
        <f>SUMIFS('Controle Projetos_Ciclo2'!$O:$O,'Controle Projetos_Ciclo2'!$D:$D,$A121,'Controle Projetos_Ciclo2'!$F:$F,$B121)</f>
        <v>165000</v>
      </c>
      <c r="D121" s="5">
        <f>SUMIFS('Controle Projetos_Ciclo2'!$R:$R,'Controle Projetos_Ciclo2'!$D:$D,$A121,'Controle Projetos_Ciclo2'!$F:$F,$B121)</f>
        <v>165000</v>
      </c>
      <c r="E121" s="6">
        <f t="shared" si="49"/>
        <v>0</v>
      </c>
      <c r="F121" s="4">
        <f t="shared" si="50"/>
        <v>0</v>
      </c>
      <c r="G121" s="6">
        <v>0</v>
      </c>
      <c r="H121" s="6">
        <v>0</v>
      </c>
      <c r="I121" s="6" t="s">
        <v>26230</v>
      </c>
      <c r="J121" s="6" t="s">
        <v>26230</v>
      </c>
      <c r="K121" s="6" t="s">
        <v>26230</v>
      </c>
      <c r="L121" s="6" t="s">
        <v>26230</v>
      </c>
      <c r="M121" s="6" t="s">
        <v>26230</v>
      </c>
      <c r="N121" s="6" t="s">
        <v>26230</v>
      </c>
      <c r="O121" s="6" t="s">
        <v>26230</v>
      </c>
      <c r="P121" s="6" t="s">
        <v>26230</v>
      </c>
      <c r="Q121" s="6" t="s">
        <v>26230</v>
      </c>
      <c r="R121" s="6" t="s">
        <v>26230</v>
      </c>
      <c r="S121" s="2">
        <f t="shared" si="51"/>
        <v>0</v>
      </c>
      <c r="T121" s="23">
        <f t="shared" si="34"/>
        <v>0</v>
      </c>
    </row>
    <row r="122" spans="1:20">
      <c r="A122" s="2" t="str">
        <f t="shared" si="52"/>
        <v>EDN</v>
      </c>
      <c r="B122" s="3" t="str">
        <f>'Controle Projetos_Ciclo2'!F128</f>
        <v>RDR-Rede de Distribuição Rural</v>
      </c>
      <c r="C122" s="5">
        <f>SUMIFS('Controle Projetos_Ciclo2'!$O:$O,'Controle Projetos_Ciclo2'!$D:$D,$A122,'Controle Projetos_Ciclo2'!$F:$F,$B122)</f>
        <v>0</v>
      </c>
      <c r="D122" s="5">
        <f>SUMIFS('Controle Projetos_Ciclo2'!$R:$R,'Controle Projetos_Ciclo2'!$D:$D,$A122,'Controle Projetos_Ciclo2'!$F:$F,$B122)</f>
        <v>0</v>
      </c>
      <c r="E122" s="6">
        <f t="shared" si="49"/>
        <v>0</v>
      </c>
      <c r="F122" s="4">
        <f t="shared" si="50"/>
        <v>0</v>
      </c>
      <c r="G122" s="6">
        <v>0</v>
      </c>
      <c r="H122" s="6">
        <v>0</v>
      </c>
      <c r="I122" s="6">
        <v>0</v>
      </c>
      <c r="J122" s="6">
        <v>0</v>
      </c>
      <c r="K122" s="6">
        <v>0</v>
      </c>
      <c r="L122" s="6">
        <v>0</v>
      </c>
      <c r="M122" s="6">
        <v>0</v>
      </c>
      <c r="N122" s="6">
        <v>0</v>
      </c>
      <c r="O122" s="6">
        <v>0</v>
      </c>
      <c r="P122" s="6">
        <v>0</v>
      </c>
      <c r="Q122" s="6">
        <v>0</v>
      </c>
      <c r="R122" s="6">
        <v>0</v>
      </c>
      <c r="S122" s="2">
        <f t="shared" si="51"/>
        <v>0</v>
      </c>
      <c r="T122" s="23">
        <f t="shared" si="34"/>
        <v>0</v>
      </c>
    </row>
    <row r="123" spans="1:20">
      <c r="A123" s="2" t="str">
        <f t="shared" si="52"/>
        <v>EDN</v>
      </c>
      <c r="B123" s="3" t="str">
        <f>'Controle Projetos_Ciclo2'!F129</f>
        <v>Escopo COMERC</v>
      </c>
      <c r="C123" s="5">
        <f>SUMIFS('Controle Projetos_Ciclo2'!$O:$O,'Controle Projetos_Ciclo2'!$D:$D,$A123,'Controle Projetos_Ciclo2'!$F:$F,$B123)</f>
        <v>3194310.6600000006</v>
      </c>
      <c r="D123" s="5">
        <f>SUMIFS('Controle Projetos_Ciclo2'!$R:$R,'Controle Projetos_Ciclo2'!$D:$D,$A123,'Controle Projetos_Ciclo2'!$F:$F,$B123)</f>
        <v>2742292.3599999989</v>
      </c>
      <c r="E123" s="6">
        <f t="shared" si="49"/>
        <v>0</v>
      </c>
      <c r="F123" s="4">
        <f t="shared" si="50"/>
        <v>452018.30000000168</v>
      </c>
      <c r="G123" s="6">
        <v>200000</v>
      </c>
      <c r="H123" s="6">
        <v>150000</v>
      </c>
      <c r="I123" s="6">
        <v>118000</v>
      </c>
      <c r="J123" s="6">
        <v>0</v>
      </c>
      <c r="K123" s="6">
        <v>0</v>
      </c>
      <c r="L123" s="6">
        <v>0</v>
      </c>
      <c r="M123" s="6">
        <v>0</v>
      </c>
      <c r="N123" s="6">
        <v>0</v>
      </c>
      <c r="O123" s="6">
        <v>0</v>
      </c>
      <c r="P123" s="6">
        <v>0</v>
      </c>
      <c r="Q123" s="6">
        <v>0</v>
      </c>
      <c r="R123" s="6">
        <v>0</v>
      </c>
      <c r="S123" s="2">
        <f t="shared" si="51"/>
        <v>468000</v>
      </c>
      <c r="T123" s="23">
        <f t="shared" si="34"/>
        <v>15982</v>
      </c>
    </row>
    <row r="124" spans="1:20">
      <c r="A124" s="2" t="str">
        <f t="shared" si="52"/>
        <v>EDN</v>
      </c>
      <c r="B124" s="3" t="str">
        <f>'Controle Projetos_Ciclo2'!F130</f>
        <v>Escopo COMERC - Segurança</v>
      </c>
      <c r="C124" s="5">
        <f>SUMIFS('Controle Projetos_Ciclo2'!$O:$O,'Controle Projetos_Ciclo2'!$D:$D,$A124,'Controle Projetos_Ciclo2'!$F:$F,$B124)</f>
        <v>1670504.6599999995</v>
      </c>
      <c r="D124" s="5">
        <f>SUMIFS('Controle Projetos_Ciclo2'!$R:$R,'Controle Projetos_Ciclo2'!$D:$D,$A124,'Controle Projetos_Ciclo2'!$F:$F,$B124)</f>
        <v>1670504.6599999995</v>
      </c>
      <c r="E124" s="6">
        <f t="shared" si="49"/>
        <v>0</v>
      </c>
      <c r="F124" s="4">
        <f t="shared" si="50"/>
        <v>0</v>
      </c>
      <c r="G124" s="6">
        <v>0</v>
      </c>
      <c r="H124" s="6">
        <v>0</v>
      </c>
      <c r="I124" s="6">
        <v>0</v>
      </c>
      <c r="J124" s="6">
        <v>0</v>
      </c>
      <c r="K124" s="6">
        <v>0</v>
      </c>
      <c r="L124" s="6">
        <v>0</v>
      </c>
      <c r="M124" s="6">
        <v>0</v>
      </c>
      <c r="N124" s="6">
        <v>0</v>
      </c>
      <c r="O124" s="6">
        <v>0</v>
      </c>
      <c r="P124" s="6">
        <v>0</v>
      </c>
      <c r="Q124" s="6">
        <v>0</v>
      </c>
      <c r="R124" s="6">
        <v>0</v>
      </c>
      <c r="S124" s="2">
        <f t="shared" si="51"/>
        <v>0</v>
      </c>
      <c r="T124" s="23">
        <f t="shared" si="34"/>
        <v>0</v>
      </c>
    </row>
    <row r="125" spans="1:20">
      <c r="A125" s="2" t="str">
        <f t="shared" si="52"/>
        <v>EDN</v>
      </c>
      <c r="B125" s="3" t="str">
        <f>'Controle Projetos_Ciclo2'!F131</f>
        <v>Conexão MT - Obras Transferencia</v>
      </c>
      <c r="C125" s="5">
        <f>SUMIFS('Controle Projetos_Ciclo2'!$O:$O,'Controle Projetos_Ciclo2'!$D:$D,$A125,'Controle Projetos_Ciclo2'!$F:$F,$B125)</f>
        <v>0</v>
      </c>
      <c r="D125" s="5">
        <f>SUMIFS('Controle Projetos_Ciclo2'!$R:$R,'Controle Projetos_Ciclo2'!$D:$D,$A125,'Controle Projetos_Ciclo2'!$F:$F,$B125)</f>
        <v>0</v>
      </c>
      <c r="E125" s="6">
        <f t="shared" si="49"/>
        <v>0</v>
      </c>
      <c r="F125" s="4">
        <f t="shared" si="50"/>
        <v>0</v>
      </c>
      <c r="G125" s="6">
        <v>0</v>
      </c>
      <c r="H125" s="6">
        <v>0</v>
      </c>
      <c r="I125" s="6">
        <v>0</v>
      </c>
      <c r="J125" s="6">
        <v>0</v>
      </c>
      <c r="K125" s="6">
        <v>0</v>
      </c>
      <c r="L125" s="6">
        <v>0</v>
      </c>
      <c r="M125" s="6">
        <v>0</v>
      </c>
      <c r="N125" s="6">
        <v>0</v>
      </c>
      <c r="O125" s="6">
        <v>0</v>
      </c>
      <c r="P125" s="6">
        <v>0</v>
      </c>
      <c r="Q125" s="6">
        <v>0</v>
      </c>
      <c r="R125" s="6">
        <v>0</v>
      </c>
      <c r="S125" s="2">
        <f t="shared" si="51"/>
        <v>0</v>
      </c>
      <c r="T125" s="23">
        <f t="shared" si="34"/>
        <v>0</v>
      </c>
    </row>
    <row r="126" spans="1:20">
      <c r="A126" s="2" t="str">
        <f t="shared" si="52"/>
        <v>EDN</v>
      </c>
      <c r="B126" s="3" t="str">
        <f>'Controle Projetos_Ciclo2'!F132</f>
        <v>Bases de Contaniers</v>
      </c>
      <c r="C126" s="5">
        <f>SUMIFS('Controle Projetos_Ciclo2'!$O:$O,'Controle Projetos_Ciclo2'!$D:$D,$A126,'Controle Projetos_Ciclo2'!$F:$F,$B126)</f>
        <v>346090.14</v>
      </c>
      <c r="D126" s="5">
        <f>SUMIFS('Controle Projetos_Ciclo2'!$R:$R,'Controle Projetos_Ciclo2'!$D:$D,$A126,'Controle Projetos_Ciclo2'!$F:$F,$B126)</f>
        <v>346090.14</v>
      </c>
      <c r="E126" s="6">
        <f t="shared" si="49"/>
        <v>0</v>
      </c>
      <c r="F126" s="4">
        <f t="shared" si="50"/>
        <v>0</v>
      </c>
      <c r="G126" s="6">
        <v>0</v>
      </c>
      <c r="H126" s="6">
        <v>0</v>
      </c>
      <c r="I126" s="6">
        <v>0</v>
      </c>
      <c r="J126" s="6">
        <v>0</v>
      </c>
      <c r="K126" s="6">
        <v>0</v>
      </c>
      <c r="L126" s="6">
        <v>0</v>
      </c>
      <c r="M126" s="6">
        <v>0</v>
      </c>
      <c r="N126" s="6">
        <v>0</v>
      </c>
      <c r="O126" s="6">
        <v>0</v>
      </c>
      <c r="P126" s="6">
        <v>0</v>
      </c>
      <c r="Q126" s="6">
        <v>0</v>
      </c>
      <c r="R126" s="6">
        <v>0</v>
      </c>
      <c r="S126" s="2">
        <f t="shared" si="51"/>
        <v>0</v>
      </c>
      <c r="T126" s="23">
        <f t="shared" si="34"/>
        <v>0</v>
      </c>
    </row>
    <row r="127" spans="1:20">
      <c r="A127" s="2" t="str">
        <f t="shared" si="52"/>
        <v>EDN</v>
      </c>
      <c r="B127" s="3" t="str">
        <f>'Controle Projetos_Ciclo2'!F133</f>
        <v>Construção - Serviços de Construção - Ase Engenharia</v>
      </c>
      <c r="C127" s="5">
        <f>SUMIFS('Controle Projetos_Ciclo2'!$O:$O,'Controle Projetos_Ciclo2'!$D:$D,$A127,'Controle Projetos_Ciclo2'!$F:$F,$B127)</f>
        <v>0</v>
      </c>
      <c r="D127" s="5">
        <f>SUMIFS('Controle Projetos_Ciclo2'!$R:$R,'Controle Projetos_Ciclo2'!$D:$D,$A127,'Controle Projetos_Ciclo2'!$F:$F,$B127)</f>
        <v>0</v>
      </c>
      <c r="E127" s="6">
        <f t="shared" si="49"/>
        <v>0</v>
      </c>
      <c r="F127" s="4">
        <f t="shared" si="50"/>
        <v>0</v>
      </c>
      <c r="G127" s="6">
        <v>0</v>
      </c>
      <c r="H127" s="6">
        <v>0</v>
      </c>
      <c r="I127" s="6">
        <v>0</v>
      </c>
      <c r="J127" s="6">
        <v>0</v>
      </c>
      <c r="K127" s="6">
        <v>0</v>
      </c>
      <c r="L127" s="6">
        <v>0</v>
      </c>
      <c r="M127" s="6">
        <v>0</v>
      </c>
      <c r="N127" s="6">
        <v>0</v>
      </c>
      <c r="O127" s="6">
        <v>0</v>
      </c>
      <c r="P127" s="6">
        <v>0</v>
      </c>
      <c r="Q127" s="6">
        <v>0</v>
      </c>
      <c r="R127" s="6">
        <v>0</v>
      </c>
      <c r="S127" s="2">
        <f t="shared" si="51"/>
        <v>0</v>
      </c>
      <c r="T127" s="23">
        <f t="shared" si="34"/>
        <v>0</v>
      </c>
    </row>
    <row r="128" spans="1:20">
      <c r="A128" s="2" t="str">
        <f t="shared" si="52"/>
        <v>EDN</v>
      </c>
      <c r="B128" s="3" t="str">
        <f>'Controle Projetos_Ciclo2'!F134</f>
        <v>Full EPC - Contrato Sobressalentes</v>
      </c>
      <c r="C128" s="5">
        <f>SUMIFS('Controle Projetos_Ciclo2'!$O:$O,'Controle Projetos_Ciclo2'!$D:$D,$A128,'Controle Projetos_Ciclo2'!$F:$F,$B128)</f>
        <v>1059739.8500000001</v>
      </c>
      <c r="D128" s="5">
        <f>SUMIFS('Controle Projetos_Ciclo2'!$R:$R,'Controle Projetos_Ciclo2'!$D:$D,$A128,'Controle Projetos_Ciclo2'!$F:$F,$B128)</f>
        <v>1059739.8500000001</v>
      </c>
      <c r="E128" s="6">
        <f t="shared" si="49"/>
        <v>0</v>
      </c>
      <c r="F128" s="4">
        <f t="shared" si="50"/>
        <v>0</v>
      </c>
      <c r="G128" s="6">
        <v>0</v>
      </c>
      <c r="H128" s="6">
        <v>0</v>
      </c>
      <c r="I128" s="6">
        <v>0</v>
      </c>
      <c r="J128" s="6">
        <v>0</v>
      </c>
      <c r="K128" s="6">
        <v>0</v>
      </c>
      <c r="L128" s="6">
        <v>0</v>
      </c>
      <c r="M128" s="6">
        <v>0</v>
      </c>
      <c r="N128" s="6">
        <v>0</v>
      </c>
      <c r="O128" s="6">
        <v>0</v>
      </c>
      <c r="P128" s="6">
        <v>0</v>
      </c>
      <c r="Q128" s="6">
        <v>0</v>
      </c>
      <c r="R128" s="6">
        <v>0</v>
      </c>
      <c r="S128" s="2">
        <f t="shared" si="51"/>
        <v>0</v>
      </c>
      <c r="T128" s="23">
        <f t="shared" si="34"/>
        <v>0</v>
      </c>
    </row>
    <row r="129" spans="1:20">
      <c r="A129" s="2" t="str">
        <f t="shared" si="52"/>
        <v>EDN</v>
      </c>
      <c r="B129" s="3" t="str">
        <f>'Controle Projetos_Ciclo2'!F135</f>
        <v>Construção - Serviços de Construção - NOVA MORADA</v>
      </c>
      <c r="C129" s="5">
        <f>SUMIFS('Controle Projetos_Ciclo2'!$O:$O,'Controle Projetos_Ciclo2'!$D:$D,$A129,'Controle Projetos_Ciclo2'!$F:$F,$B129)</f>
        <v>112600.13</v>
      </c>
      <c r="D129" s="5">
        <f>SUMIFS('Controle Projetos_Ciclo2'!$R:$R,'Controle Projetos_Ciclo2'!$D:$D,$A129,'Controle Projetos_Ciclo2'!$F:$F,$B129)</f>
        <v>112600.13</v>
      </c>
      <c r="E129" s="6">
        <f t="shared" si="49"/>
        <v>0</v>
      </c>
      <c r="F129" s="4">
        <f t="shared" si="50"/>
        <v>0</v>
      </c>
      <c r="G129" s="6">
        <v>0</v>
      </c>
      <c r="H129" s="6">
        <v>0</v>
      </c>
      <c r="I129" s="6">
        <v>0</v>
      </c>
      <c r="J129" s="6">
        <v>0</v>
      </c>
      <c r="K129" s="6">
        <v>0</v>
      </c>
      <c r="L129" s="6">
        <v>0</v>
      </c>
      <c r="M129" s="6">
        <v>0</v>
      </c>
      <c r="N129" s="6">
        <v>0</v>
      </c>
      <c r="O129" s="6">
        <v>0</v>
      </c>
      <c r="P129" s="6">
        <v>0</v>
      </c>
      <c r="Q129" s="6">
        <v>0</v>
      </c>
      <c r="R129" s="6">
        <v>0</v>
      </c>
      <c r="S129" s="2">
        <f t="shared" si="51"/>
        <v>0</v>
      </c>
      <c r="T129" s="23">
        <f t="shared" si="34"/>
        <v>0</v>
      </c>
    </row>
    <row r="130" spans="1:20">
      <c r="A130" s="2" t="str">
        <f t="shared" si="52"/>
        <v>EDN</v>
      </c>
      <c r="B130" s="3" t="str">
        <f>'Controle Projetos_Ciclo2'!F136</f>
        <v>Equipamentos Curva A -  Contrato Sobressalentes - SETTA</v>
      </c>
      <c r="C130" s="5">
        <f>SUMIFS('Controle Projetos_Ciclo2'!$O:$O,'Controle Projetos_Ciclo2'!$D:$D,$A130,'Controle Projetos_Ciclo2'!$F:$F,$B130)</f>
        <v>706218.05999999982</v>
      </c>
      <c r="D130" s="5">
        <f>SUMIFS('Controle Projetos_Ciclo2'!$R:$R,'Controle Projetos_Ciclo2'!$D:$D,$A130,'Controle Projetos_Ciclo2'!$F:$F,$B130)</f>
        <v>706218.06</v>
      </c>
      <c r="E130" s="6">
        <f t="shared" si="49"/>
        <v>2.3283064365386963E-10</v>
      </c>
      <c r="F130" s="4">
        <f t="shared" si="50"/>
        <v>0</v>
      </c>
      <c r="G130" s="6">
        <v>0</v>
      </c>
      <c r="H130" s="6">
        <v>0</v>
      </c>
      <c r="I130" s="6">
        <v>0</v>
      </c>
      <c r="J130" s="6">
        <v>0</v>
      </c>
      <c r="K130" s="6">
        <v>0</v>
      </c>
      <c r="L130" s="6">
        <v>0</v>
      </c>
      <c r="M130" s="6">
        <v>0</v>
      </c>
      <c r="N130" s="6">
        <v>0</v>
      </c>
      <c r="O130" s="6">
        <v>0</v>
      </c>
      <c r="P130" s="6">
        <v>0</v>
      </c>
      <c r="Q130" s="6">
        <v>0</v>
      </c>
      <c r="R130" s="6">
        <v>0</v>
      </c>
      <c r="S130" s="2">
        <f t="shared" si="51"/>
        <v>0</v>
      </c>
      <c r="T130" s="23">
        <f t="shared" ref="T130:T162" si="53">IF(SUM(G130:R130)=0,0,ROUND(S130-F130,0))</f>
        <v>0</v>
      </c>
    </row>
    <row r="131" spans="1:20">
      <c r="A131" s="2" t="str">
        <f t="shared" si="52"/>
        <v>EDN</v>
      </c>
      <c r="B131" s="3" t="str">
        <f>'Controle Projetos_Ciclo2'!F137</f>
        <v>Equipamentos Curva A -  Contrato Sobressalentes - Arctech</v>
      </c>
      <c r="C131" s="5">
        <f>SUMIFS('Controle Projetos_Ciclo2'!$O:$O,'Controle Projetos_Ciclo2'!$D:$D,$A131,'Controle Projetos_Ciclo2'!$F:$F,$B131)</f>
        <v>0</v>
      </c>
      <c r="D131" s="5">
        <f>SUMIFS('Controle Projetos_Ciclo2'!$R:$R,'Controle Projetos_Ciclo2'!$D:$D,$A131,'Controle Projetos_Ciclo2'!$F:$F,$B131)</f>
        <v>0</v>
      </c>
      <c r="E131" s="6">
        <f t="shared" si="49"/>
        <v>0</v>
      </c>
      <c r="F131" s="4">
        <f t="shared" si="50"/>
        <v>0</v>
      </c>
      <c r="G131" s="6">
        <v>0</v>
      </c>
      <c r="H131" s="6">
        <v>962044</v>
      </c>
      <c r="I131" s="6">
        <v>0</v>
      </c>
      <c r="J131" s="6">
        <v>0</v>
      </c>
      <c r="K131" s="6">
        <v>0</v>
      </c>
      <c r="L131" s="6">
        <v>0</v>
      </c>
      <c r="M131" s="6">
        <v>0</v>
      </c>
      <c r="N131" s="6">
        <v>0</v>
      </c>
      <c r="O131" s="6">
        <v>0</v>
      </c>
      <c r="P131" s="6">
        <v>0</v>
      </c>
      <c r="Q131" s="6">
        <v>0</v>
      </c>
      <c r="R131" s="6">
        <v>0</v>
      </c>
      <c r="S131" s="2">
        <f t="shared" si="51"/>
        <v>962044</v>
      </c>
      <c r="T131" s="23">
        <f t="shared" si="53"/>
        <v>962044</v>
      </c>
    </row>
    <row r="132" spans="1:20" ht="11.1" thickBot="1">
      <c r="A132" s="2" t="str">
        <f t="shared" si="52"/>
        <v>EDN</v>
      </c>
      <c r="B132" s="3" t="str">
        <f>'Controle Projetos_Ciclo2'!F138</f>
        <v>Equipamentos Curva A -  Contrato Sobressalentes - Romagnole</v>
      </c>
      <c r="C132" s="17">
        <f>SUMIFS('Controle Projetos_Ciclo2'!$O:$O,'Controle Projetos_Ciclo2'!$D:$D,$A132,'Controle Projetos_Ciclo2'!$F:$F,$B132)</f>
        <v>312000</v>
      </c>
      <c r="D132" s="17">
        <f>SUMIFS('Controle Projetos_Ciclo2'!$R:$R,'Controle Projetos_Ciclo2'!$D:$D,$A132,'Controle Projetos_Ciclo2'!$F:$F,$B132)</f>
        <v>312000</v>
      </c>
      <c r="E132" s="7">
        <f t="shared" si="49"/>
        <v>0</v>
      </c>
      <c r="F132" s="4">
        <f t="shared" si="50"/>
        <v>0</v>
      </c>
      <c r="G132" s="7">
        <v>0</v>
      </c>
      <c r="H132" s="7">
        <v>0</v>
      </c>
      <c r="I132" s="7">
        <v>0</v>
      </c>
      <c r="J132" s="7">
        <f>-J128</f>
        <v>0</v>
      </c>
      <c r="K132" s="7">
        <v>0</v>
      </c>
      <c r="L132" s="7">
        <v>0</v>
      </c>
      <c r="M132" s="7">
        <v>0</v>
      </c>
      <c r="N132" s="7">
        <v>0</v>
      </c>
      <c r="O132" s="7">
        <v>0</v>
      </c>
      <c r="P132" s="7">
        <v>0</v>
      </c>
      <c r="Q132" s="7">
        <v>0</v>
      </c>
      <c r="R132" s="7">
        <v>0</v>
      </c>
      <c r="S132" s="2">
        <f t="shared" si="51"/>
        <v>0</v>
      </c>
      <c r="T132" s="23">
        <f t="shared" si="53"/>
        <v>0</v>
      </c>
    </row>
    <row r="133" spans="1:20" ht="11.1" thickBot="1">
      <c r="A133" s="8" t="s">
        <v>158</v>
      </c>
      <c r="B133" s="9"/>
      <c r="C133" s="9">
        <f t="shared" ref="C133" si="54">SUM(C101:C132)</f>
        <v>241260775.51143387</v>
      </c>
      <c r="D133" s="9">
        <f t="shared" ref="D133" si="55">SUM(D101:D132)</f>
        <v>210620698.22143388</v>
      </c>
      <c r="E133" s="9">
        <f t="shared" ref="E133:G133" si="56">SUM(E101:E132)</f>
        <v>-30188058.989999995</v>
      </c>
      <c r="F133" s="9">
        <f>SUM(F101:F132)</f>
        <v>452018.30000000139</v>
      </c>
      <c r="G133" s="9">
        <f t="shared" si="56"/>
        <v>200000</v>
      </c>
      <c r="H133" s="9">
        <f t="shared" ref="H133" si="57">SUM(H101:H132)</f>
        <v>2212044</v>
      </c>
      <c r="I133" s="9">
        <f t="shared" ref="I133" si="58">SUM(I101:I132)</f>
        <v>1215002</v>
      </c>
      <c r="J133" s="9">
        <f t="shared" ref="J133" si="59">SUM(J101:J132)</f>
        <v>0</v>
      </c>
      <c r="K133" s="9">
        <f t="shared" ref="K133" si="60">SUM(K101:K132)</f>
        <v>0</v>
      </c>
      <c r="L133" s="9">
        <f t="shared" ref="L133" si="61">SUM(L101:L132)</f>
        <v>0</v>
      </c>
      <c r="M133" s="9">
        <f t="shared" ref="M133" si="62">SUM(M101:M132)</f>
        <v>0</v>
      </c>
      <c r="N133" s="9">
        <f t="shared" ref="N133" si="63">SUM(N101:N132)</f>
        <v>0</v>
      </c>
      <c r="O133" s="9">
        <f t="shared" ref="O133" si="64">SUM(O101:O132)</f>
        <v>0</v>
      </c>
      <c r="P133" s="9">
        <f t="shared" ref="P133" si="65">SUM(P101:P132)</f>
        <v>0</v>
      </c>
      <c r="Q133" s="9">
        <f t="shared" ref="Q133" si="66">SUM(Q101:Q132)</f>
        <v>0</v>
      </c>
      <c r="R133" s="9">
        <f t="shared" ref="R133" si="67">SUM(R101:R132)</f>
        <v>0</v>
      </c>
      <c r="S133" s="11">
        <f t="shared" ref="S133" si="68">SUM(S101:S132)</f>
        <v>3627046</v>
      </c>
      <c r="T133" s="23">
        <f>IF(SUM(G133:R133)=0,0,ROUND(S133-F133,0))</f>
        <v>3175028</v>
      </c>
    </row>
    <row r="134" spans="1:20">
      <c r="A134" s="5" t="s">
        <v>124</v>
      </c>
      <c r="B134" s="3" t="str">
        <f>'Controle Projetos_Ciclo2'!F142</f>
        <v>Conexão AT - Obras</v>
      </c>
      <c r="C134" s="5">
        <f>SUM(C2,C35,C68,C101)</f>
        <v>15075447.41</v>
      </c>
      <c r="D134" s="5">
        <f t="shared" ref="C134:D165" si="69">SUM(D2,D35,D68,D101)</f>
        <v>15075447.41</v>
      </c>
      <c r="E134" s="5">
        <f t="shared" ref="E134:F165" si="70">SUM(E2,E35,E68,E101)</f>
        <v>0</v>
      </c>
      <c r="F134" s="4">
        <f t="shared" si="70"/>
        <v>0</v>
      </c>
      <c r="G134" s="5">
        <f t="shared" ref="G134:R134" si="71">SUM(G2,G35,G68,G101)</f>
        <v>0</v>
      </c>
      <c r="H134" s="5">
        <f t="shared" si="71"/>
        <v>0</v>
      </c>
      <c r="I134" s="5">
        <f t="shared" si="71"/>
        <v>0</v>
      </c>
      <c r="J134" s="5">
        <f t="shared" si="71"/>
        <v>0</v>
      </c>
      <c r="K134" s="5">
        <f t="shared" si="71"/>
        <v>0</v>
      </c>
      <c r="L134" s="5">
        <f t="shared" si="71"/>
        <v>0</v>
      </c>
      <c r="M134" s="5">
        <f t="shared" si="71"/>
        <v>0</v>
      </c>
      <c r="N134" s="5">
        <f t="shared" si="71"/>
        <v>0</v>
      </c>
      <c r="O134" s="5">
        <f t="shared" si="71"/>
        <v>0</v>
      </c>
      <c r="P134" s="5">
        <f t="shared" si="71"/>
        <v>0</v>
      </c>
      <c r="Q134" s="5">
        <f t="shared" si="71"/>
        <v>0</v>
      </c>
      <c r="R134" s="5">
        <f t="shared" si="71"/>
        <v>0</v>
      </c>
      <c r="S134" s="2">
        <f t="shared" ref="S134:S165" si="72">SUM(G134:R134)</f>
        <v>0</v>
      </c>
      <c r="T134" s="23">
        <f t="shared" si="53"/>
        <v>0</v>
      </c>
    </row>
    <row r="135" spans="1:20">
      <c r="A135" s="2" t="str">
        <f t="shared" ref="A135:A165" si="73">A134</f>
        <v>Ciclo 2</v>
      </c>
      <c r="B135" s="3" t="str">
        <f>'Controle Projetos_Ciclo2'!F143</f>
        <v>Conexão MT - Obras</v>
      </c>
      <c r="C135" s="5">
        <f>SUM(C3,C36,C69,C102)</f>
        <v>122188519.75999999</v>
      </c>
      <c r="D135" s="5">
        <f t="shared" si="69"/>
        <v>112744433.81</v>
      </c>
      <c r="E135" s="5">
        <f t="shared" si="70"/>
        <v>-9444085</v>
      </c>
      <c r="F135" s="4">
        <f>SUM(F3,F36,F69,F102)</f>
        <v>0.94999999925494194</v>
      </c>
      <c r="G135" s="5">
        <f t="shared" ref="G135:R136" si="74">SUM(G3,G36,G69,G102)</f>
        <v>202877</v>
      </c>
      <c r="H135" s="5">
        <f t="shared" si="74"/>
        <v>0</v>
      </c>
      <c r="I135" s="5">
        <f t="shared" si="74"/>
        <v>0</v>
      </c>
      <c r="J135" s="5">
        <f t="shared" si="74"/>
        <v>0</v>
      </c>
      <c r="K135" s="5">
        <f t="shared" si="74"/>
        <v>0</v>
      </c>
      <c r="L135" s="5">
        <f t="shared" si="74"/>
        <v>0</v>
      </c>
      <c r="M135" s="5">
        <f t="shared" si="74"/>
        <v>0</v>
      </c>
      <c r="N135" s="5">
        <f t="shared" si="74"/>
        <v>0</v>
      </c>
      <c r="O135" s="5">
        <f t="shared" si="74"/>
        <v>0</v>
      </c>
      <c r="P135" s="5">
        <f t="shared" si="74"/>
        <v>0</v>
      </c>
      <c r="Q135" s="5">
        <f t="shared" si="74"/>
        <v>0</v>
      </c>
      <c r="R135" s="5">
        <f t="shared" si="74"/>
        <v>0</v>
      </c>
      <c r="S135" s="2">
        <f t="shared" si="72"/>
        <v>202877</v>
      </c>
      <c r="T135" s="23">
        <f t="shared" si="53"/>
        <v>202876</v>
      </c>
    </row>
    <row r="136" spans="1:20">
      <c r="A136" s="2" t="str">
        <f t="shared" si="73"/>
        <v>Ciclo 2</v>
      </c>
      <c r="B136" s="3" t="str">
        <f>'Controle Projetos_Ciclo2'!F144</f>
        <v>Construção - Serviços de Construção</v>
      </c>
      <c r="C136" s="5">
        <f t="shared" si="69"/>
        <v>140443379.95500001</v>
      </c>
      <c r="D136" s="5">
        <f t="shared" si="69"/>
        <v>138330481.76500002</v>
      </c>
      <c r="E136" s="5">
        <f>SUM(E4,E37,E70,E103)</f>
        <v>-1814354.27</v>
      </c>
      <c r="F136" s="4">
        <f t="shared" si="70"/>
        <v>298543.91999998642</v>
      </c>
      <c r="G136" s="5">
        <f t="shared" si="74"/>
        <v>200000</v>
      </c>
      <c r="H136" s="5">
        <f t="shared" si="74"/>
        <v>98545</v>
      </c>
      <c r="I136" s="5">
        <f t="shared" si="74"/>
        <v>0</v>
      </c>
      <c r="J136" s="5">
        <f t="shared" ref="G136:R136" si="75">SUM(J4,J37,J70,J103)</f>
        <v>0</v>
      </c>
      <c r="K136" s="5">
        <f t="shared" si="75"/>
        <v>0</v>
      </c>
      <c r="L136" s="5">
        <f t="shared" si="75"/>
        <v>0</v>
      </c>
      <c r="M136" s="5">
        <f t="shared" si="75"/>
        <v>0</v>
      </c>
      <c r="N136" s="5">
        <f t="shared" si="75"/>
        <v>0</v>
      </c>
      <c r="O136" s="5">
        <f t="shared" si="75"/>
        <v>0</v>
      </c>
      <c r="P136" s="5">
        <f t="shared" si="75"/>
        <v>0</v>
      </c>
      <c r="Q136" s="5">
        <f t="shared" si="75"/>
        <v>0</v>
      </c>
      <c r="R136" s="5">
        <f t="shared" si="75"/>
        <v>0</v>
      </c>
      <c r="S136" s="2">
        <f t="shared" si="72"/>
        <v>298545</v>
      </c>
      <c r="T136" s="23">
        <f t="shared" si="53"/>
        <v>1</v>
      </c>
    </row>
    <row r="137" spans="1:20">
      <c r="A137" s="2" t="str">
        <f t="shared" si="73"/>
        <v>Ciclo 2</v>
      </c>
      <c r="B137" s="3" t="str">
        <f>'Controle Projetos_Ciclo2'!F145</f>
        <v>Construção - Serviços de Construção - Substituição</v>
      </c>
      <c r="C137" s="5">
        <f t="shared" si="69"/>
        <v>63033648.590000004</v>
      </c>
      <c r="D137" s="5">
        <f t="shared" si="69"/>
        <v>29691078.210000001</v>
      </c>
      <c r="E137" s="5">
        <f t="shared" si="70"/>
        <v>-33342570.379999995</v>
      </c>
      <c r="F137" s="4">
        <f t="shared" si="70"/>
        <v>0</v>
      </c>
      <c r="G137" s="5">
        <f t="shared" ref="G137:R137" si="76">SUM(G5,G38,G71,G104)</f>
        <v>0</v>
      </c>
      <c r="H137" s="5">
        <f t="shared" si="76"/>
        <v>0</v>
      </c>
      <c r="I137" s="5">
        <f t="shared" si="76"/>
        <v>0</v>
      </c>
      <c r="J137" s="5">
        <f t="shared" si="76"/>
        <v>0</v>
      </c>
      <c r="K137" s="5">
        <f t="shared" si="76"/>
        <v>0</v>
      </c>
      <c r="L137" s="5">
        <f t="shared" si="76"/>
        <v>0</v>
      </c>
      <c r="M137" s="5">
        <f t="shared" si="76"/>
        <v>0</v>
      </c>
      <c r="N137" s="5">
        <f t="shared" si="76"/>
        <v>0</v>
      </c>
      <c r="O137" s="5">
        <f t="shared" si="76"/>
        <v>0</v>
      </c>
      <c r="P137" s="5">
        <f t="shared" si="76"/>
        <v>0</v>
      </c>
      <c r="Q137" s="5">
        <f t="shared" si="76"/>
        <v>0</v>
      </c>
      <c r="R137" s="5">
        <f t="shared" si="76"/>
        <v>0</v>
      </c>
      <c r="S137" s="2">
        <f t="shared" si="72"/>
        <v>0</v>
      </c>
      <c r="T137" s="23">
        <f t="shared" si="53"/>
        <v>0</v>
      </c>
    </row>
    <row r="138" spans="1:20">
      <c r="A138" s="2" t="str">
        <f t="shared" si="73"/>
        <v>Ciclo 2</v>
      </c>
      <c r="B138" s="3" t="str">
        <f>'Controle Projetos_Ciclo2'!F146</f>
        <v>Construção - RDA Interno</v>
      </c>
      <c r="C138" s="5">
        <f t="shared" si="69"/>
        <v>18958078.280000001</v>
      </c>
      <c r="D138" s="5">
        <f t="shared" si="69"/>
        <v>18958078.280000001</v>
      </c>
      <c r="E138" s="5">
        <f t="shared" si="70"/>
        <v>0</v>
      </c>
      <c r="F138" s="4">
        <f t="shared" si="70"/>
        <v>0</v>
      </c>
      <c r="G138" s="5">
        <f t="shared" ref="G138:R138" si="77">SUM(G6,G39,G72,G105)</f>
        <v>0</v>
      </c>
      <c r="H138" s="5">
        <f t="shared" si="77"/>
        <v>0</v>
      </c>
      <c r="I138" s="5">
        <f t="shared" si="77"/>
        <v>0</v>
      </c>
      <c r="J138" s="5">
        <f t="shared" si="77"/>
        <v>0</v>
      </c>
      <c r="K138" s="5">
        <f t="shared" si="77"/>
        <v>0</v>
      </c>
      <c r="L138" s="5">
        <f t="shared" si="77"/>
        <v>0</v>
      </c>
      <c r="M138" s="5">
        <f t="shared" si="77"/>
        <v>0</v>
      </c>
      <c r="N138" s="5">
        <f t="shared" si="77"/>
        <v>0</v>
      </c>
      <c r="O138" s="5">
        <f t="shared" si="77"/>
        <v>0</v>
      </c>
      <c r="P138" s="5">
        <f t="shared" si="77"/>
        <v>0</v>
      </c>
      <c r="Q138" s="5">
        <f t="shared" si="77"/>
        <v>0</v>
      </c>
      <c r="R138" s="5">
        <f t="shared" si="77"/>
        <v>0</v>
      </c>
      <c r="S138" s="2">
        <f t="shared" si="72"/>
        <v>0</v>
      </c>
      <c r="T138" s="23">
        <f t="shared" si="53"/>
        <v>0</v>
      </c>
    </row>
    <row r="139" spans="1:20">
      <c r="A139" s="2" t="str">
        <f t="shared" si="73"/>
        <v>Ciclo 2</v>
      </c>
      <c r="B139" s="3" t="str">
        <f>'Controle Projetos_Ciclo2'!F147</f>
        <v>Full EPC - Contrato</v>
      </c>
      <c r="C139" s="5">
        <f t="shared" si="69"/>
        <v>211020721.46900001</v>
      </c>
      <c r="D139" s="5">
        <f t="shared" si="69"/>
        <v>211020721.46899998</v>
      </c>
      <c r="E139" s="5">
        <f t="shared" si="70"/>
        <v>0</v>
      </c>
      <c r="F139" s="27">
        <f t="shared" si="70"/>
        <v>1.4901161193847656E-8</v>
      </c>
      <c r="G139" s="5">
        <f t="shared" ref="G139:R139" si="78">SUM(G7,G40,G73,G106)</f>
        <v>1125731</v>
      </c>
      <c r="H139" s="5">
        <f t="shared" si="78"/>
        <v>1419956</v>
      </c>
      <c r="I139" s="5">
        <f t="shared" si="78"/>
        <v>1097002</v>
      </c>
      <c r="J139" s="5">
        <f t="shared" si="78"/>
        <v>0</v>
      </c>
      <c r="K139" s="5">
        <f t="shared" si="78"/>
        <v>0</v>
      </c>
      <c r="L139" s="5">
        <f t="shared" si="78"/>
        <v>0</v>
      </c>
      <c r="M139" s="5">
        <f t="shared" si="78"/>
        <v>0</v>
      </c>
      <c r="N139" s="5">
        <f t="shared" si="78"/>
        <v>0</v>
      </c>
      <c r="O139" s="5">
        <f t="shared" si="78"/>
        <v>0</v>
      </c>
      <c r="P139" s="5">
        <f t="shared" si="78"/>
        <v>0</v>
      </c>
      <c r="Q139" s="5">
        <f t="shared" si="78"/>
        <v>0</v>
      </c>
      <c r="R139" s="5">
        <f t="shared" si="78"/>
        <v>0</v>
      </c>
      <c r="S139" s="2">
        <f t="shared" si="72"/>
        <v>3642689</v>
      </c>
      <c r="T139" s="23">
        <f t="shared" si="53"/>
        <v>3642689</v>
      </c>
    </row>
    <row r="140" spans="1:20">
      <c r="A140" s="2" t="str">
        <f t="shared" si="73"/>
        <v>Ciclo 2</v>
      </c>
      <c r="B140" s="3" t="str">
        <f>'Controle Projetos_Ciclo2'!F148</f>
        <v>Equipamentos Curva A - Outros (Transformadores)</v>
      </c>
      <c r="C140" s="5">
        <f t="shared" si="69"/>
        <v>4915893.2059999993</v>
      </c>
      <c r="D140" s="5">
        <f t="shared" si="69"/>
        <v>4915893.2059999993</v>
      </c>
      <c r="E140" s="5">
        <f t="shared" si="70"/>
        <v>0</v>
      </c>
      <c r="F140" s="4">
        <f t="shared" si="70"/>
        <v>0</v>
      </c>
      <c r="G140" s="5">
        <f t="shared" ref="G140:R140" si="79">SUM(G8,G41,G74,G107)</f>
        <v>0</v>
      </c>
      <c r="H140" s="5">
        <f t="shared" si="79"/>
        <v>0</v>
      </c>
      <c r="I140" s="5">
        <f t="shared" si="79"/>
        <v>0</v>
      </c>
      <c r="J140" s="5">
        <f t="shared" si="79"/>
        <v>0</v>
      </c>
      <c r="K140" s="5">
        <f t="shared" si="79"/>
        <v>0</v>
      </c>
      <c r="L140" s="5">
        <f t="shared" si="79"/>
        <v>0</v>
      </c>
      <c r="M140" s="5">
        <f t="shared" si="79"/>
        <v>0</v>
      </c>
      <c r="N140" s="5">
        <f t="shared" si="79"/>
        <v>0</v>
      </c>
      <c r="O140" s="5">
        <f t="shared" si="79"/>
        <v>0</v>
      </c>
      <c r="P140" s="5">
        <f t="shared" si="79"/>
        <v>0</v>
      </c>
      <c r="Q140" s="5">
        <f t="shared" si="79"/>
        <v>0</v>
      </c>
      <c r="R140" s="5">
        <f t="shared" si="79"/>
        <v>0</v>
      </c>
      <c r="S140" s="2">
        <f t="shared" si="72"/>
        <v>0</v>
      </c>
      <c r="T140" s="23">
        <f t="shared" si="53"/>
        <v>0</v>
      </c>
    </row>
    <row r="141" spans="1:20">
      <c r="A141" s="2" t="str">
        <f t="shared" si="73"/>
        <v>Ciclo 2</v>
      </c>
      <c r="B141" s="3" t="str">
        <f>'Controle Projetos_Ciclo2'!F149</f>
        <v>Equipamentos Curva A - Outros (Cabine + Skid)</v>
      </c>
      <c r="C141" s="5">
        <f t="shared" si="69"/>
        <v>13845482.563433891</v>
      </c>
      <c r="D141" s="5">
        <f t="shared" si="69"/>
        <v>13845482.563433891</v>
      </c>
      <c r="E141" s="5">
        <f t="shared" si="70"/>
        <v>0</v>
      </c>
      <c r="F141" s="4">
        <f t="shared" si="70"/>
        <v>0</v>
      </c>
      <c r="G141" s="5">
        <f t="shared" ref="G141:R141" si="80">SUM(G9,G42,G75,G108)</f>
        <v>0</v>
      </c>
      <c r="H141" s="5">
        <f t="shared" si="80"/>
        <v>0</v>
      </c>
      <c r="I141" s="5">
        <f t="shared" si="80"/>
        <v>0</v>
      </c>
      <c r="J141" s="5">
        <f t="shared" si="80"/>
        <v>0</v>
      </c>
      <c r="K141" s="5">
        <f t="shared" si="80"/>
        <v>0</v>
      </c>
      <c r="L141" s="5">
        <f t="shared" si="80"/>
        <v>0</v>
      </c>
      <c r="M141" s="5">
        <f t="shared" si="80"/>
        <v>0</v>
      </c>
      <c r="N141" s="5">
        <f t="shared" si="80"/>
        <v>0</v>
      </c>
      <c r="O141" s="5">
        <f t="shared" si="80"/>
        <v>0</v>
      </c>
      <c r="P141" s="5">
        <f t="shared" si="80"/>
        <v>0</v>
      </c>
      <c r="Q141" s="5">
        <f t="shared" si="80"/>
        <v>0</v>
      </c>
      <c r="R141" s="5">
        <f t="shared" si="80"/>
        <v>0</v>
      </c>
      <c r="S141" s="2">
        <f t="shared" si="72"/>
        <v>0</v>
      </c>
      <c r="T141" s="23">
        <f t="shared" si="53"/>
        <v>0</v>
      </c>
    </row>
    <row r="142" spans="1:20">
      <c r="A142" s="2" t="str">
        <f t="shared" si="73"/>
        <v>Ciclo 2</v>
      </c>
      <c r="B142" s="3" t="str">
        <f>'Controle Projetos_Ciclo2'!F150</f>
        <v>Equipamentos Curva A - Outros (Cabine + Skid + Transformador)</v>
      </c>
      <c r="C142" s="5">
        <f t="shared" si="69"/>
        <v>33884999.361838482</v>
      </c>
      <c r="D142" s="5">
        <f t="shared" si="69"/>
        <v>33884999.361838482</v>
      </c>
      <c r="E142" s="5">
        <f t="shared" si="70"/>
        <v>0</v>
      </c>
      <c r="F142" s="4">
        <f t="shared" si="70"/>
        <v>0</v>
      </c>
      <c r="G142" s="5">
        <f t="shared" ref="G142:R142" si="81">SUM(G10,G43,G76,G109)</f>
        <v>0</v>
      </c>
      <c r="H142" s="5">
        <f t="shared" si="81"/>
        <v>0</v>
      </c>
      <c r="I142" s="5">
        <f t="shared" si="81"/>
        <v>0</v>
      </c>
      <c r="J142" s="5">
        <f t="shared" si="81"/>
        <v>0</v>
      </c>
      <c r="K142" s="5">
        <f t="shared" si="81"/>
        <v>0</v>
      </c>
      <c r="L142" s="5">
        <f t="shared" si="81"/>
        <v>0</v>
      </c>
      <c r="M142" s="5">
        <f t="shared" si="81"/>
        <v>0</v>
      </c>
      <c r="N142" s="5">
        <f t="shared" si="81"/>
        <v>0</v>
      </c>
      <c r="O142" s="5">
        <f t="shared" si="81"/>
        <v>0</v>
      </c>
      <c r="P142" s="5">
        <f t="shared" si="81"/>
        <v>0</v>
      </c>
      <c r="Q142" s="5">
        <f t="shared" si="81"/>
        <v>0</v>
      </c>
      <c r="R142" s="5">
        <f t="shared" si="81"/>
        <v>0</v>
      </c>
      <c r="S142" s="2">
        <f t="shared" si="72"/>
        <v>0</v>
      </c>
      <c r="T142" s="23">
        <f t="shared" si="53"/>
        <v>0</v>
      </c>
    </row>
    <row r="143" spans="1:20">
      <c r="A143" s="2" t="str">
        <f t="shared" si="73"/>
        <v>Ciclo 2</v>
      </c>
      <c r="B143" s="3" t="str">
        <f>'Controle Projetos_Ciclo2'!F151</f>
        <v>Desenvolvimento de projeto - Projetos - (Eng° Proprietario)</v>
      </c>
      <c r="C143" s="5">
        <f t="shared" si="69"/>
        <v>10460895.369999999</v>
      </c>
      <c r="D143" s="5">
        <f t="shared" si="69"/>
        <v>10460895.369999999</v>
      </c>
      <c r="E143" s="5">
        <f t="shared" si="70"/>
        <v>0</v>
      </c>
      <c r="F143" s="4">
        <f t="shared" si="70"/>
        <v>0</v>
      </c>
      <c r="G143" s="5">
        <f t="shared" ref="G143:R143" si="82">SUM(G11,G44,G77,G110)</f>
        <v>0</v>
      </c>
      <c r="H143" s="5">
        <f t="shared" si="82"/>
        <v>0</v>
      </c>
      <c r="I143" s="5">
        <f t="shared" si="82"/>
        <v>0</v>
      </c>
      <c r="J143" s="5">
        <f t="shared" si="82"/>
        <v>0</v>
      </c>
      <c r="K143" s="5">
        <f t="shared" si="82"/>
        <v>0</v>
      </c>
      <c r="L143" s="5">
        <f t="shared" si="82"/>
        <v>0</v>
      </c>
      <c r="M143" s="5">
        <f t="shared" si="82"/>
        <v>0</v>
      </c>
      <c r="N143" s="5">
        <f t="shared" si="82"/>
        <v>0</v>
      </c>
      <c r="O143" s="5">
        <f t="shared" si="82"/>
        <v>0</v>
      </c>
      <c r="P143" s="5">
        <f t="shared" si="82"/>
        <v>0</v>
      </c>
      <c r="Q143" s="5">
        <f t="shared" si="82"/>
        <v>0</v>
      </c>
      <c r="R143" s="5">
        <f t="shared" si="82"/>
        <v>0</v>
      </c>
      <c r="S143" s="2">
        <f t="shared" si="72"/>
        <v>0</v>
      </c>
      <c r="T143" s="23">
        <f t="shared" si="53"/>
        <v>0</v>
      </c>
    </row>
    <row r="144" spans="1:20">
      <c r="A144" s="2" t="str">
        <f t="shared" si="73"/>
        <v>Ciclo 2</v>
      </c>
      <c r="B144" s="3" t="str">
        <f>'Controle Projetos_Ciclo2'!F152</f>
        <v>Desenvolvimento de projeto - Projetos - Executivos</v>
      </c>
      <c r="C144" s="5">
        <f t="shared" si="69"/>
        <v>1396857.3600000003</v>
      </c>
      <c r="D144" s="5">
        <f t="shared" si="69"/>
        <v>1396857.3600000003</v>
      </c>
      <c r="E144" s="5">
        <f t="shared" si="70"/>
        <v>0</v>
      </c>
      <c r="F144" s="4">
        <f t="shared" si="70"/>
        <v>0</v>
      </c>
      <c r="G144" s="5">
        <f t="shared" ref="G144:R144" si="83">SUM(G12,G45,G78,G111)</f>
        <v>0</v>
      </c>
      <c r="H144" s="5">
        <f t="shared" si="83"/>
        <v>0</v>
      </c>
      <c r="I144" s="5">
        <f t="shared" si="83"/>
        <v>0</v>
      </c>
      <c r="J144" s="5">
        <f t="shared" si="83"/>
        <v>0</v>
      </c>
      <c r="K144" s="5">
        <f t="shared" si="83"/>
        <v>0</v>
      </c>
      <c r="L144" s="5">
        <f t="shared" si="83"/>
        <v>0</v>
      </c>
      <c r="M144" s="5">
        <f t="shared" si="83"/>
        <v>0</v>
      </c>
      <c r="N144" s="5">
        <f t="shared" si="83"/>
        <v>0</v>
      </c>
      <c r="O144" s="5">
        <f t="shared" si="83"/>
        <v>0</v>
      </c>
      <c r="P144" s="5">
        <f t="shared" si="83"/>
        <v>0</v>
      </c>
      <c r="Q144" s="5">
        <f t="shared" si="83"/>
        <v>0</v>
      </c>
      <c r="R144" s="5">
        <f t="shared" si="83"/>
        <v>0</v>
      </c>
      <c r="S144" s="2">
        <f t="shared" si="72"/>
        <v>0</v>
      </c>
      <c r="T144" s="23">
        <f t="shared" si="53"/>
        <v>0</v>
      </c>
    </row>
    <row r="145" spans="1:20">
      <c r="A145" s="2" t="str">
        <f t="shared" si="73"/>
        <v>Ciclo 2</v>
      </c>
      <c r="B145" s="3" t="str">
        <f>'Controle Projetos_Ciclo2'!F153</f>
        <v>Desenvolvimento de projeto - Projetos Básica</v>
      </c>
      <c r="C145" s="5">
        <f t="shared" si="69"/>
        <v>461371.05333299999</v>
      </c>
      <c r="D145" s="5">
        <f t="shared" si="69"/>
        <v>461371.05333299999</v>
      </c>
      <c r="E145" s="5">
        <f t="shared" si="70"/>
        <v>0</v>
      </c>
      <c r="F145" s="4">
        <f t="shared" si="70"/>
        <v>0</v>
      </c>
      <c r="G145" s="5">
        <f t="shared" ref="G145:R145" si="84">SUM(G13,G46,G79,G112)</f>
        <v>0</v>
      </c>
      <c r="H145" s="5">
        <f t="shared" si="84"/>
        <v>0</v>
      </c>
      <c r="I145" s="5">
        <f t="shared" si="84"/>
        <v>0</v>
      </c>
      <c r="J145" s="5">
        <f t="shared" si="84"/>
        <v>0</v>
      </c>
      <c r="K145" s="5">
        <f t="shared" si="84"/>
        <v>0</v>
      </c>
      <c r="L145" s="5">
        <f t="shared" si="84"/>
        <v>0</v>
      </c>
      <c r="M145" s="5">
        <f t="shared" si="84"/>
        <v>0</v>
      </c>
      <c r="N145" s="5">
        <f t="shared" si="84"/>
        <v>0</v>
      </c>
      <c r="O145" s="5">
        <f t="shared" si="84"/>
        <v>0</v>
      </c>
      <c r="P145" s="5">
        <f t="shared" si="84"/>
        <v>0</v>
      </c>
      <c r="Q145" s="5">
        <f t="shared" si="84"/>
        <v>0</v>
      </c>
      <c r="R145" s="5">
        <f t="shared" si="84"/>
        <v>0</v>
      </c>
      <c r="S145" s="2">
        <f t="shared" si="72"/>
        <v>0</v>
      </c>
      <c r="T145" s="23">
        <f t="shared" si="53"/>
        <v>0</v>
      </c>
    </row>
    <row r="146" spans="1:20">
      <c r="A146" s="2" t="str">
        <f t="shared" si="73"/>
        <v>Ciclo 2</v>
      </c>
      <c r="B146" s="3" t="str">
        <f>'Controle Projetos_Ciclo2'!F154</f>
        <v>Desenvolvimento de projeto - Projetos Detalhada</v>
      </c>
      <c r="C146" s="5">
        <f t="shared" si="69"/>
        <v>1521292.5266600002</v>
      </c>
      <c r="D146" s="5">
        <f t="shared" si="69"/>
        <v>1521292.5266600002</v>
      </c>
      <c r="E146" s="5">
        <f t="shared" si="70"/>
        <v>0</v>
      </c>
      <c r="F146" s="4">
        <f t="shared" si="70"/>
        <v>0</v>
      </c>
      <c r="G146" s="5">
        <f t="shared" ref="G146:R146" si="85">SUM(G14,G47,G80,G113)</f>
        <v>0</v>
      </c>
      <c r="H146" s="5">
        <f t="shared" si="85"/>
        <v>0</v>
      </c>
      <c r="I146" s="5">
        <f t="shared" si="85"/>
        <v>0</v>
      </c>
      <c r="J146" s="5">
        <f t="shared" si="85"/>
        <v>0</v>
      </c>
      <c r="K146" s="5">
        <f t="shared" si="85"/>
        <v>0</v>
      </c>
      <c r="L146" s="5">
        <f t="shared" si="85"/>
        <v>0</v>
      </c>
      <c r="M146" s="5">
        <f t="shared" si="85"/>
        <v>0</v>
      </c>
      <c r="N146" s="5">
        <f t="shared" si="85"/>
        <v>0</v>
      </c>
      <c r="O146" s="5">
        <f t="shared" si="85"/>
        <v>0</v>
      </c>
      <c r="P146" s="5">
        <f t="shared" si="85"/>
        <v>0</v>
      </c>
      <c r="Q146" s="5">
        <f t="shared" si="85"/>
        <v>0</v>
      </c>
      <c r="R146" s="5">
        <f t="shared" si="85"/>
        <v>0</v>
      </c>
      <c r="S146" s="2">
        <f t="shared" si="72"/>
        <v>0</v>
      </c>
      <c r="T146" s="23">
        <f t="shared" si="53"/>
        <v>0</v>
      </c>
    </row>
    <row r="147" spans="1:20">
      <c r="A147" s="2" t="str">
        <f t="shared" si="73"/>
        <v>Ciclo 2</v>
      </c>
      <c r="B147" s="3" t="str">
        <f>'Controle Projetos_Ciclo2'!F155</f>
        <v>Desenvolvimento de projeto - Ambiental / Outros</v>
      </c>
      <c r="C147" s="5">
        <f t="shared" si="69"/>
        <v>7478219.080000001</v>
      </c>
      <c r="D147" s="5">
        <f t="shared" si="69"/>
        <v>7478219.080000001</v>
      </c>
      <c r="E147" s="5">
        <f t="shared" si="70"/>
        <v>0</v>
      </c>
      <c r="F147" s="4">
        <f t="shared" si="70"/>
        <v>0</v>
      </c>
      <c r="G147" s="5">
        <f t="shared" ref="G147:R147" si="86">SUM(G15,G48,G81,G114)</f>
        <v>0</v>
      </c>
      <c r="H147" s="5">
        <f t="shared" si="86"/>
        <v>0</v>
      </c>
      <c r="I147" s="5">
        <f t="shared" si="86"/>
        <v>0</v>
      </c>
      <c r="J147" s="5">
        <f t="shared" si="86"/>
        <v>0</v>
      </c>
      <c r="K147" s="5">
        <f t="shared" si="86"/>
        <v>0</v>
      </c>
      <c r="L147" s="5">
        <f t="shared" si="86"/>
        <v>0</v>
      </c>
      <c r="M147" s="5">
        <f t="shared" si="86"/>
        <v>0</v>
      </c>
      <c r="N147" s="5">
        <f t="shared" si="86"/>
        <v>0</v>
      </c>
      <c r="O147" s="5">
        <f t="shared" si="86"/>
        <v>0</v>
      </c>
      <c r="P147" s="5">
        <f t="shared" si="86"/>
        <v>0</v>
      </c>
      <c r="Q147" s="5">
        <f t="shared" si="86"/>
        <v>0</v>
      </c>
      <c r="R147" s="5">
        <f t="shared" si="86"/>
        <v>0</v>
      </c>
      <c r="S147" s="2">
        <f t="shared" si="72"/>
        <v>0</v>
      </c>
      <c r="T147" s="23">
        <f t="shared" si="53"/>
        <v>0</v>
      </c>
    </row>
    <row r="148" spans="1:20">
      <c r="A148" s="2" t="str">
        <f t="shared" si="73"/>
        <v>Ciclo 2</v>
      </c>
      <c r="B148" s="3" t="str">
        <f>'Controle Projetos_Ciclo2'!F156</f>
        <v>Desenvolvimento de projeto - Coordenograma</v>
      </c>
      <c r="C148" s="5">
        <f t="shared" si="69"/>
        <v>496157.4499999999</v>
      </c>
      <c r="D148" s="5">
        <f t="shared" si="69"/>
        <v>496157.4499999999</v>
      </c>
      <c r="E148" s="5">
        <f t="shared" si="70"/>
        <v>0</v>
      </c>
      <c r="F148" s="4">
        <f t="shared" si="70"/>
        <v>0</v>
      </c>
      <c r="G148" s="5">
        <f t="shared" ref="G148:R148" si="87">SUM(G16,G49,G82,G115)</f>
        <v>0</v>
      </c>
      <c r="H148" s="5">
        <f t="shared" si="87"/>
        <v>0</v>
      </c>
      <c r="I148" s="5">
        <f t="shared" si="87"/>
        <v>0</v>
      </c>
      <c r="J148" s="5">
        <f t="shared" si="87"/>
        <v>0</v>
      </c>
      <c r="K148" s="5">
        <f t="shared" si="87"/>
        <v>0</v>
      </c>
      <c r="L148" s="5">
        <f t="shared" si="87"/>
        <v>0</v>
      </c>
      <c r="M148" s="5">
        <f t="shared" si="87"/>
        <v>0</v>
      </c>
      <c r="N148" s="5">
        <f t="shared" si="87"/>
        <v>0</v>
      </c>
      <c r="O148" s="5">
        <f t="shared" si="87"/>
        <v>0</v>
      </c>
      <c r="P148" s="5">
        <f t="shared" si="87"/>
        <v>0</v>
      </c>
      <c r="Q148" s="5">
        <f t="shared" si="87"/>
        <v>0</v>
      </c>
      <c r="R148" s="5">
        <f t="shared" si="87"/>
        <v>0</v>
      </c>
      <c r="S148" s="2">
        <f t="shared" si="72"/>
        <v>0</v>
      </c>
      <c r="T148" s="23">
        <f t="shared" si="53"/>
        <v>0</v>
      </c>
    </row>
    <row r="149" spans="1:20">
      <c r="A149" s="2" t="str">
        <f t="shared" si="73"/>
        <v>Ciclo 2</v>
      </c>
      <c r="B149" s="3" t="str">
        <f>'Controle Projetos_Ciclo2'!F157</f>
        <v>Sistemas de Monitoramento - Supervisório</v>
      </c>
      <c r="C149" s="5">
        <f t="shared" si="69"/>
        <v>7883559.3999999994</v>
      </c>
      <c r="D149" s="5">
        <f t="shared" si="69"/>
        <v>7861751.3899999997</v>
      </c>
      <c r="E149" s="5">
        <f t="shared" si="70"/>
        <v>0</v>
      </c>
      <c r="F149" s="4">
        <f t="shared" si="70"/>
        <v>21808.009999999776</v>
      </c>
      <c r="G149" s="5">
        <f t="shared" ref="G149:R149" si="88">SUM(G17,G50,G83,G116)</f>
        <v>21808</v>
      </c>
      <c r="H149" s="5">
        <f t="shared" si="88"/>
        <v>0</v>
      </c>
      <c r="I149" s="5">
        <f t="shared" si="88"/>
        <v>0</v>
      </c>
      <c r="J149" s="5">
        <f t="shared" si="88"/>
        <v>0</v>
      </c>
      <c r="K149" s="5">
        <f t="shared" si="88"/>
        <v>0</v>
      </c>
      <c r="L149" s="5">
        <f t="shared" si="88"/>
        <v>0</v>
      </c>
      <c r="M149" s="5">
        <f t="shared" si="88"/>
        <v>0</v>
      </c>
      <c r="N149" s="5">
        <f t="shared" si="88"/>
        <v>0</v>
      </c>
      <c r="O149" s="5">
        <f t="shared" si="88"/>
        <v>0</v>
      </c>
      <c r="P149" s="5">
        <f t="shared" si="88"/>
        <v>0</v>
      </c>
      <c r="Q149" s="5">
        <f t="shared" si="88"/>
        <v>0</v>
      </c>
      <c r="R149" s="5">
        <f t="shared" si="88"/>
        <v>0</v>
      </c>
      <c r="S149" s="2">
        <f t="shared" si="72"/>
        <v>21808</v>
      </c>
      <c r="T149" s="23">
        <f t="shared" si="53"/>
        <v>0</v>
      </c>
    </row>
    <row r="150" spans="1:20">
      <c r="A150" s="2" t="str">
        <f t="shared" si="73"/>
        <v>Ciclo 2</v>
      </c>
      <c r="B150" s="3" t="str">
        <f>'Controle Projetos_Ciclo2'!F158</f>
        <v>Sistemas de Monitoramento - Estações Solarimétricas</v>
      </c>
      <c r="C150" s="5">
        <f t="shared" si="69"/>
        <v>2075889.7260000003</v>
      </c>
      <c r="D150" s="5">
        <f t="shared" si="69"/>
        <v>2075889.7260000003</v>
      </c>
      <c r="E150" s="5">
        <f t="shared" si="70"/>
        <v>0</v>
      </c>
      <c r="F150" s="27">
        <f t="shared" si="70"/>
        <v>0</v>
      </c>
      <c r="G150" s="5">
        <f t="shared" ref="G150:R150" si="89">SUM(G18,G51,G84,G117)</f>
        <v>0</v>
      </c>
      <c r="H150" s="5">
        <f t="shared" si="89"/>
        <v>0</v>
      </c>
      <c r="I150" s="5">
        <f t="shared" si="89"/>
        <v>0</v>
      </c>
      <c r="J150" s="5">
        <f t="shared" si="89"/>
        <v>0</v>
      </c>
      <c r="K150" s="5">
        <f t="shared" si="89"/>
        <v>0</v>
      </c>
      <c r="L150" s="5">
        <f t="shared" si="89"/>
        <v>0</v>
      </c>
      <c r="M150" s="5">
        <f t="shared" si="89"/>
        <v>0</v>
      </c>
      <c r="N150" s="5">
        <f t="shared" si="89"/>
        <v>0</v>
      </c>
      <c r="O150" s="5">
        <f t="shared" si="89"/>
        <v>0</v>
      </c>
      <c r="P150" s="5">
        <f t="shared" si="89"/>
        <v>0</v>
      </c>
      <c r="Q150" s="5">
        <f t="shared" si="89"/>
        <v>0</v>
      </c>
      <c r="R150" s="5">
        <f t="shared" si="89"/>
        <v>0</v>
      </c>
      <c r="S150" s="2">
        <f t="shared" si="72"/>
        <v>0</v>
      </c>
      <c r="T150" s="23">
        <f t="shared" si="53"/>
        <v>0</v>
      </c>
    </row>
    <row r="151" spans="1:20">
      <c r="A151" s="2" t="str">
        <f t="shared" si="73"/>
        <v>Ciclo 2</v>
      </c>
      <c r="B151" s="3" t="str">
        <f>'Controle Projetos_Ciclo2'!F159</f>
        <v>Sistemas de Monitoramento - CFTV</v>
      </c>
      <c r="C151" s="5">
        <f t="shared" si="69"/>
        <v>16556767.669</v>
      </c>
      <c r="D151" s="5">
        <f t="shared" si="69"/>
        <v>16556767.669</v>
      </c>
      <c r="E151" s="5">
        <f t="shared" si="70"/>
        <v>9.3132257461547852E-10</v>
      </c>
      <c r="F151" s="4">
        <f t="shared" si="70"/>
        <v>0</v>
      </c>
      <c r="G151" s="5">
        <f t="shared" ref="G151:R151" si="90">SUM(G19,G52,G85,G118)</f>
        <v>33833</v>
      </c>
      <c r="H151" s="5">
        <f t="shared" si="90"/>
        <v>0</v>
      </c>
      <c r="I151" s="5">
        <f t="shared" si="90"/>
        <v>0</v>
      </c>
      <c r="J151" s="5">
        <f t="shared" si="90"/>
        <v>0</v>
      </c>
      <c r="K151" s="5">
        <f t="shared" si="90"/>
        <v>0</v>
      </c>
      <c r="L151" s="5">
        <f t="shared" si="90"/>
        <v>0</v>
      </c>
      <c r="M151" s="5">
        <f t="shared" si="90"/>
        <v>0</v>
      </c>
      <c r="N151" s="5">
        <f t="shared" si="90"/>
        <v>0</v>
      </c>
      <c r="O151" s="5">
        <f t="shared" si="90"/>
        <v>0</v>
      </c>
      <c r="P151" s="5">
        <f t="shared" si="90"/>
        <v>0</v>
      </c>
      <c r="Q151" s="5">
        <f t="shared" si="90"/>
        <v>0</v>
      </c>
      <c r="R151" s="5">
        <f t="shared" si="90"/>
        <v>0</v>
      </c>
      <c r="S151" s="2">
        <f t="shared" si="72"/>
        <v>33833</v>
      </c>
      <c r="T151" s="23">
        <f t="shared" si="53"/>
        <v>33833</v>
      </c>
    </row>
    <row r="152" spans="1:20">
      <c r="A152" s="2" t="str">
        <f t="shared" si="73"/>
        <v>Ciclo 2</v>
      </c>
      <c r="B152" s="3" t="str">
        <f>'Controle Projetos_Ciclo2'!F160</f>
        <v>Serviços Auxiliares - Drenagem</v>
      </c>
      <c r="C152" s="5">
        <f t="shared" si="69"/>
        <v>45946028.308499999</v>
      </c>
      <c r="D152" s="5">
        <f t="shared" si="69"/>
        <v>45430319.578500003</v>
      </c>
      <c r="E152" s="5">
        <f t="shared" si="70"/>
        <v>1.862645149230957E-9</v>
      </c>
      <c r="F152" s="4">
        <f t="shared" si="70"/>
        <v>515708.73000000231</v>
      </c>
      <c r="G152" s="5">
        <f t="shared" ref="G152:R152" si="91">SUM(G20,G53,G86,G119)</f>
        <v>1600000</v>
      </c>
      <c r="H152" s="5">
        <f t="shared" si="91"/>
        <v>1600000</v>
      </c>
      <c r="I152" s="5">
        <f t="shared" si="91"/>
        <v>1500000</v>
      </c>
      <c r="J152" s="5">
        <f t="shared" si="91"/>
        <v>1416823</v>
      </c>
      <c r="K152" s="5">
        <f t="shared" si="91"/>
        <v>266252</v>
      </c>
      <c r="L152" s="5">
        <f t="shared" si="91"/>
        <v>0</v>
      </c>
      <c r="M152" s="5">
        <f t="shared" si="91"/>
        <v>0</v>
      </c>
      <c r="N152" s="5">
        <f t="shared" si="91"/>
        <v>0</v>
      </c>
      <c r="O152" s="5">
        <f t="shared" si="91"/>
        <v>0</v>
      </c>
      <c r="P152" s="5">
        <f t="shared" si="91"/>
        <v>0</v>
      </c>
      <c r="Q152" s="5">
        <f t="shared" si="91"/>
        <v>0</v>
      </c>
      <c r="R152" s="5">
        <f t="shared" si="91"/>
        <v>0</v>
      </c>
      <c r="S152" s="2">
        <f t="shared" si="72"/>
        <v>6383075</v>
      </c>
      <c r="T152" s="23">
        <f t="shared" si="53"/>
        <v>5867366</v>
      </c>
    </row>
    <row r="153" spans="1:20">
      <c r="A153" s="2" t="str">
        <f t="shared" si="73"/>
        <v>Ciclo 2</v>
      </c>
      <c r="B153" s="3" t="str">
        <f>'Controle Projetos_Ciclo2'!F161</f>
        <v>Serviços Auxiliares - Terraplanagem</v>
      </c>
      <c r="C153" s="5">
        <f t="shared" si="69"/>
        <v>45580500.614000008</v>
      </c>
      <c r="D153" s="5">
        <f t="shared" si="69"/>
        <v>45580500.614000008</v>
      </c>
      <c r="E153" s="5">
        <f t="shared" si="70"/>
        <v>0</v>
      </c>
      <c r="F153" s="4">
        <f t="shared" si="70"/>
        <v>0</v>
      </c>
      <c r="G153" s="5">
        <f t="shared" ref="G153:R153" si="92">SUM(G21,G54,G87,G120)</f>
        <v>0</v>
      </c>
      <c r="H153" s="5">
        <f t="shared" si="92"/>
        <v>0</v>
      </c>
      <c r="I153" s="5">
        <f t="shared" si="92"/>
        <v>0</v>
      </c>
      <c r="J153" s="5">
        <f t="shared" si="92"/>
        <v>0</v>
      </c>
      <c r="K153" s="5">
        <f t="shared" si="92"/>
        <v>0</v>
      </c>
      <c r="L153" s="5">
        <f t="shared" si="92"/>
        <v>0</v>
      </c>
      <c r="M153" s="5">
        <f t="shared" si="92"/>
        <v>0</v>
      </c>
      <c r="N153" s="5">
        <f t="shared" si="92"/>
        <v>0</v>
      </c>
      <c r="O153" s="5">
        <f t="shared" si="92"/>
        <v>0</v>
      </c>
      <c r="P153" s="5">
        <f t="shared" si="92"/>
        <v>0</v>
      </c>
      <c r="Q153" s="5">
        <f t="shared" si="92"/>
        <v>0</v>
      </c>
      <c r="R153" s="5">
        <f t="shared" si="92"/>
        <v>0</v>
      </c>
      <c r="S153" s="2">
        <f t="shared" si="72"/>
        <v>0</v>
      </c>
      <c r="T153" s="23">
        <f t="shared" si="53"/>
        <v>0</v>
      </c>
    </row>
    <row r="154" spans="1:20">
      <c r="A154" s="2" t="str">
        <f t="shared" si="73"/>
        <v>Ciclo 2</v>
      </c>
      <c r="B154" s="3" t="str">
        <f>'Controle Projetos_Ciclo2'!F162</f>
        <v>Serviços Auxiliares - Supressão Vegetal</v>
      </c>
      <c r="C154" s="5">
        <f t="shared" si="69"/>
        <v>2917026.91</v>
      </c>
      <c r="D154" s="5">
        <f t="shared" si="69"/>
        <v>2826206.91</v>
      </c>
      <c r="E154" s="5">
        <f t="shared" si="70"/>
        <v>0</v>
      </c>
      <c r="F154" s="4">
        <f t="shared" si="70"/>
        <v>90819.999999999884</v>
      </c>
      <c r="G154" s="5">
        <f t="shared" ref="G154:R154" si="93">SUM(G22,G55,G88,G121)</f>
        <v>445871</v>
      </c>
      <c r="H154" s="5">
        <f t="shared" si="93"/>
        <v>0</v>
      </c>
      <c r="I154" s="5">
        <f t="shared" si="93"/>
        <v>0</v>
      </c>
      <c r="J154" s="5">
        <f t="shared" si="93"/>
        <v>0</v>
      </c>
      <c r="K154" s="5">
        <f t="shared" si="93"/>
        <v>0</v>
      </c>
      <c r="L154" s="5">
        <f t="shared" si="93"/>
        <v>0</v>
      </c>
      <c r="M154" s="5">
        <f t="shared" si="93"/>
        <v>0</v>
      </c>
      <c r="N154" s="5">
        <f t="shared" si="93"/>
        <v>0</v>
      </c>
      <c r="O154" s="5">
        <f t="shared" si="93"/>
        <v>0</v>
      </c>
      <c r="P154" s="5">
        <f t="shared" si="93"/>
        <v>0</v>
      </c>
      <c r="Q154" s="5">
        <f t="shared" si="93"/>
        <v>0</v>
      </c>
      <c r="R154" s="5">
        <f t="shared" si="93"/>
        <v>0</v>
      </c>
      <c r="S154" s="2">
        <f t="shared" si="72"/>
        <v>445871</v>
      </c>
      <c r="T154" s="23">
        <f t="shared" si="53"/>
        <v>355051</v>
      </c>
    </row>
    <row r="155" spans="1:20">
      <c r="A155" s="2" t="str">
        <f t="shared" si="73"/>
        <v>Ciclo 2</v>
      </c>
      <c r="B155" s="3" t="str">
        <f>'Controle Projetos_Ciclo2'!F163</f>
        <v>RDR-Rede de Distribuição Rural</v>
      </c>
      <c r="C155" s="5">
        <f t="shared" si="69"/>
        <v>784111</v>
      </c>
      <c r="D155" s="5">
        <f t="shared" si="69"/>
        <v>784111</v>
      </c>
      <c r="E155" s="5">
        <f t="shared" si="70"/>
        <v>0</v>
      </c>
      <c r="F155" s="4">
        <f t="shared" si="70"/>
        <v>0</v>
      </c>
      <c r="G155" s="5">
        <f t="shared" ref="G155:R155" si="94">SUM(G23,G56,G89,G122)</f>
        <v>0</v>
      </c>
      <c r="H155" s="5">
        <f t="shared" si="94"/>
        <v>0</v>
      </c>
      <c r="I155" s="5">
        <f t="shared" si="94"/>
        <v>0</v>
      </c>
      <c r="J155" s="5">
        <f t="shared" si="94"/>
        <v>0</v>
      </c>
      <c r="K155" s="5">
        <f t="shared" si="94"/>
        <v>0</v>
      </c>
      <c r="L155" s="5">
        <f t="shared" si="94"/>
        <v>0</v>
      </c>
      <c r="M155" s="5">
        <f t="shared" si="94"/>
        <v>0</v>
      </c>
      <c r="N155" s="5">
        <f t="shared" si="94"/>
        <v>0</v>
      </c>
      <c r="O155" s="5">
        <f t="shared" si="94"/>
        <v>0</v>
      </c>
      <c r="P155" s="5">
        <f t="shared" si="94"/>
        <v>0</v>
      </c>
      <c r="Q155" s="5">
        <f t="shared" si="94"/>
        <v>0</v>
      </c>
      <c r="R155" s="5">
        <f t="shared" si="94"/>
        <v>0</v>
      </c>
      <c r="S155" s="2">
        <f t="shared" si="72"/>
        <v>0</v>
      </c>
      <c r="T155" s="23">
        <f t="shared" si="53"/>
        <v>0</v>
      </c>
    </row>
    <row r="156" spans="1:20">
      <c r="A156" s="2" t="str">
        <f t="shared" si="73"/>
        <v>Ciclo 2</v>
      </c>
      <c r="B156" s="3" t="str">
        <f>'Controle Projetos_Ciclo2'!F164</f>
        <v>Escopo COMERC</v>
      </c>
      <c r="C156" s="5">
        <f t="shared" si="69"/>
        <v>12684176.289999999</v>
      </c>
      <c r="D156" s="5">
        <f t="shared" si="69"/>
        <v>10586444.67</v>
      </c>
      <c r="E156" s="5">
        <f t="shared" si="70"/>
        <v>0</v>
      </c>
      <c r="F156" s="4">
        <f t="shared" si="70"/>
        <v>2097731.6200000006</v>
      </c>
      <c r="G156" s="5">
        <f t="shared" ref="G156:R156" si="95">SUM(G24,G57,G90,G123)</f>
        <v>700000</v>
      </c>
      <c r="H156" s="5">
        <f t="shared" si="95"/>
        <v>732486</v>
      </c>
      <c r="I156" s="5">
        <f t="shared" si="95"/>
        <v>418000</v>
      </c>
      <c r="J156" s="5">
        <f t="shared" si="95"/>
        <v>221186</v>
      </c>
      <c r="K156" s="5">
        <f t="shared" si="95"/>
        <v>0</v>
      </c>
      <c r="L156" s="5">
        <f t="shared" si="95"/>
        <v>0</v>
      </c>
      <c r="M156" s="5">
        <f t="shared" si="95"/>
        <v>0</v>
      </c>
      <c r="N156" s="5">
        <f t="shared" si="95"/>
        <v>0</v>
      </c>
      <c r="O156" s="5">
        <f t="shared" si="95"/>
        <v>0</v>
      </c>
      <c r="P156" s="5">
        <f t="shared" si="95"/>
        <v>0</v>
      </c>
      <c r="Q156" s="5">
        <f t="shared" si="95"/>
        <v>0</v>
      </c>
      <c r="R156" s="5">
        <f t="shared" si="95"/>
        <v>0</v>
      </c>
      <c r="S156" s="2">
        <f t="shared" si="72"/>
        <v>2071672</v>
      </c>
      <c r="T156" s="23">
        <f t="shared" si="53"/>
        <v>-26060</v>
      </c>
    </row>
    <row r="157" spans="1:20">
      <c r="A157" s="2" t="str">
        <f t="shared" si="73"/>
        <v>Ciclo 2</v>
      </c>
      <c r="B157" s="3" t="str">
        <f>'Controle Projetos_Ciclo2'!F165</f>
        <v>Escopo COMERC - Segurança</v>
      </c>
      <c r="C157" s="5">
        <f t="shared" si="69"/>
        <v>9814468.2200000007</v>
      </c>
      <c r="D157" s="5">
        <f t="shared" si="69"/>
        <v>9637871.7599999998</v>
      </c>
      <c r="E157" s="5">
        <f t="shared" si="70"/>
        <v>0</v>
      </c>
      <c r="F157" s="4">
        <f t="shared" si="70"/>
        <v>176596.45999999996</v>
      </c>
      <c r="G157" s="5">
        <f t="shared" ref="G157:R157" si="96">SUM(G25,G58,G91,G124)</f>
        <v>0</v>
      </c>
      <c r="H157" s="5">
        <f t="shared" si="96"/>
        <v>0</v>
      </c>
      <c r="I157" s="5">
        <f t="shared" si="96"/>
        <v>0</v>
      </c>
      <c r="J157" s="5">
        <f t="shared" si="96"/>
        <v>0</v>
      </c>
      <c r="K157" s="5">
        <f t="shared" si="96"/>
        <v>0</v>
      </c>
      <c r="L157" s="5">
        <f t="shared" si="96"/>
        <v>0</v>
      </c>
      <c r="M157" s="5">
        <f t="shared" si="96"/>
        <v>0</v>
      </c>
      <c r="N157" s="5">
        <f t="shared" si="96"/>
        <v>0</v>
      </c>
      <c r="O157" s="5">
        <f t="shared" si="96"/>
        <v>0</v>
      </c>
      <c r="P157" s="5">
        <f t="shared" si="96"/>
        <v>0</v>
      </c>
      <c r="Q157" s="5">
        <f t="shared" si="96"/>
        <v>0</v>
      </c>
      <c r="R157" s="5">
        <f t="shared" si="96"/>
        <v>0</v>
      </c>
      <c r="S157" s="2">
        <f t="shared" si="72"/>
        <v>0</v>
      </c>
      <c r="T157" s="23">
        <f t="shared" si="53"/>
        <v>0</v>
      </c>
    </row>
    <row r="158" spans="1:20">
      <c r="A158" s="2" t="str">
        <f t="shared" si="73"/>
        <v>Ciclo 2</v>
      </c>
      <c r="B158" s="3" t="str">
        <f>'Controle Projetos_Ciclo2'!F166</f>
        <v>Conexão MT - Obras Transferencia</v>
      </c>
      <c r="C158" s="5">
        <f t="shared" si="69"/>
        <v>14273931.120000001</v>
      </c>
      <c r="D158" s="5">
        <f t="shared" si="69"/>
        <v>14273931.120000001</v>
      </c>
      <c r="E158" s="5">
        <f t="shared" si="70"/>
        <v>0</v>
      </c>
      <c r="F158" s="4">
        <f t="shared" si="70"/>
        <v>0</v>
      </c>
      <c r="G158" s="5">
        <f t="shared" ref="G158:R158" si="97">SUM(G26,G59,G92,G125)</f>
        <v>0</v>
      </c>
      <c r="H158" s="5">
        <f t="shared" si="97"/>
        <v>0</v>
      </c>
      <c r="I158" s="5">
        <f t="shared" si="97"/>
        <v>0</v>
      </c>
      <c r="J158" s="5">
        <f t="shared" si="97"/>
        <v>0</v>
      </c>
      <c r="K158" s="5">
        <f t="shared" si="97"/>
        <v>0</v>
      </c>
      <c r="L158" s="5">
        <f t="shared" si="97"/>
        <v>0</v>
      </c>
      <c r="M158" s="5">
        <f t="shared" si="97"/>
        <v>0</v>
      </c>
      <c r="N158" s="5">
        <f t="shared" si="97"/>
        <v>0</v>
      </c>
      <c r="O158" s="5">
        <f t="shared" si="97"/>
        <v>0</v>
      </c>
      <c r="P158" s="5">
        <f t="shared" si="97"/>
        <v>0</v>
      </c>
      <c r="Q158" s="5">
        <f t="shared" si="97"/>
        <v>0</v>
      </c>
      <c r="R158" s="5">
        <f t="shared" si="97"/>
        <v>0</v>
      </c>
      <c r="S158" s="2">
        <f t="shared" si="72"/>
        <v>0</v>
      </c>
      <c r="T158" s="23">
        <f t="shared" si="53"/>
        <v>0</v>
      </c>
    </row>
    <row r="159" spans="1:20">
      <c r="A159" s="2" t="str">
        <f t="shared" si="73"/>
        <v>Ciclo 2</v>
      </c>
      <c r="B159" s="3" t="str">
        <f>'Controle Projetos_Ciclo2'!F167</f>
        <v>Bases de Contaniers</v>
      </c>
      <c r="C159" s="5">
        <f t="shared" si="69"/>
        <v>2870386.45</v>
      </c>
      <c r="D159" s="5">
        <f t="shared" si="69"/>
        <v>2870386.45</v>
      </c>
      <c r="E159" s="5">
        <f t="shared" si="70"/>
        <v>0</v>
      </c>
      <c r="F159" s="4">
        <f t="shared" si="70"/>
        <v>0</v>
      </c>
      <c r="G159" s="5">
        <f t="shared" ref="G159:R159" si="98">SUM(G27,G60,G93,G126)</f>
        <v>0</v>
      </c>
      <c r="H159" s="5">
        <f t="shared" si="98"/>
        <v>0</v>
      </c>
      <c r="I159" s="5">
        <f t="shared" si="98"/>
        <v>0</v>
      </c>
      <c r="J159" s="5">
        <f t="shared" si="98"/>
        <v>0</v>
      </c>
      <c r="K159" s="5">
        <f t="shared" si="98"/>
        <v>0</v>
      </c>
      <c r="L159" s="5">
        <f t="shared" si="98"/>
        <v>0</v>
      </c>
      <c r="M159" s="5">
        <f t="shared" si="98"/>
        <v>0</v>
      </c>
      <c r="N159" s="5">
        <f t="shared" si="98"/>
        <v>0</v>
      </c>
      <c r="O159" s="5">
        <f t="shared" si="98"/>
        <v>0</v>
      </c>
      <c r="P159" s="5">
        <f t="shared" si="98"/>
        <v>0</v>
      </c>
      <c r="Q159" s="5">
        <f t="shared" si="98"/>
        <v>0</v>
      </c>
      <c r="R159" s="5">
        <f t="shared" si="98"/>
        <v>0</v>
      </c>
      <c r="S159" s="2">
        <f t="shared" si="72"/>
        <v>0</v>
      </c>
      <c r="T159" s="23">
        <f t="shared" si="53"/>
        <v>0</v>
      </c>
    </row>
    <row r="160" spans="1:20">
      <c r="A160" s="2" t="str">
        <f t="shared" si="73"/>
        <v>Ciclo 2</v>
      </c>
      <c r="B160" s="3" t="str">
        <f>'Controle Projetos_Ciclo2'!F168</f>
        <v>Construção - Serviços de Construção - Ase Engenharia</v>
      </c>
      <c r="C160" s="5">
        <f t="shared" si="69"/>
        <v>3006129.92</v>
      </c>
      <c r="D160" s="5">
        <f t="shared" si="69"/>
        <v>2972989.2299999995</v>
      </c>
      <c r="E160" s="5">
        <f t="shared" si="70"/>
        <v>0</v>
      </c>
      <c r="F160" s="4">
        <f t="shared" si="70"/>
        <v>33140.69000000041</v>
      </c>
      <c r="G160" s="5">
        <f t="shared" ref="G160:R160" si="99">SUM(G28,G61,G94,G127)</f>
        <v>102038</v>
      </c>
      <c r="H160" s="5">
        <f t="shared" si="99"/>
        <v>0</v>
      </c>
      <c r="I160" s="5">
        <f t="shared" si="99"/>
        <v>0</v>
      </c>
      <c r="J160" s="5">
        <f t="shared" si="99"/>
        <v>0</v>
      </c>
      <c r="K160" s="5">
        <f t="shared" si="99"/>
        <v>0</v>
      </c>
      <c r="L160" s="5">
        <f t="shared" si="99"/>
        <v>0</v>
      </c>
      <c r="M160" s="5">
        <f t="shared" si="99"/>
        <v>0</v>
      </c>
      <c r="N160" s="5">
        <f t="shared" si="99"/>
        <v>0</v>
      </c>
      <c r="O160" s="5">
        <f t="shared" si="99"/>
        <v>0</v>
      </c>
      <c r="P160" s="5">
        <f t="shared" si="99"/>
        <v>0</v>
      </c>
      <c r="Q160" s="5">
        <f t="shared" si="99"/>
        <v>0</v>
      </c>
      <c r="R160" s="5">
        <f t="shared" si="99"/>
        <v>0</v>
      </c>
      <c r="S160" s="2">
        <f t="shared" si="72"/>
        <v>102038</v>
      </c>
      <c r="T160" s="23">
        <f t="shared" si="53"/>
        <v>68897</v>
      </c>
    </row>
    <row r="161" spans="1:20">
      <c r="A161" s="2" t="str">
        <f t="shared" si="73"/>
        <v>Ciclo 2</v>
      </c>
      <c r="B161" s="3" t="str">
        <f>'Controle Projetos_Ciclo2'!F169</f>
        <v>Full EPC - Contrato Sobressalentes</v>
      </c>
      <c r="C161" s="5">
        <f t="shared" si="69"/>
        <v>3966375.91</v>
      </c>
      <c r="D161" s="5">
        <f t="shared" si="69"/>
        <v>3966375.91</v>
      </c>
      <c r="E161" s="5">
        <f t="shared" si="70"/>
        <v>0</v>
      </c>
      <c r="F161" s="4">
        <f t="shared" si="70"/>
        <v>0</v>
      </c>
      <c r="G161" s="5">
        <f t="shared" ref="G161:R161" si="100">SUM(G29,G62,G95,G128)</f>
        <v>0</v>
      </c>
      <c r="H161" s="5">
        <f t="shared" si="100"/>
        <v>0</v>
      </c>
      <c r="I161" s="5">
        <f t="shared" si="100"/>
        <v>0</v>
      </c>
      <c r="J161" s="5">
        <f t="shared" si="100"/>
        <v>0</v>
      </c>
      <c r="K161" s="5">
        <f t="shared" si="100"/>
        <v>0</v>
      </c>
      <c r="L161" s="5">
        <f t="shared" si="100"/>
        <v>0</v>
      </c>
      <c r="M161" s="5">
        <f t="shared" si="100"/>
        <v>0</v>
      </c>
      <c r="N161" s="5">
        <f t="shared" si="100"/>
        <v>0</v>
      </c>
      <c r="O161" s="5">
        <f t="shared" si="100"/>
        <v>0</v>
      </c>
      <c r="P161" s="5">
        <f t="shared" si="100"/>
        <v>0</v>
      </c>
      <c r="Q161" s="5">
        <f t="shared" si="100"/>
        <v>0</v>
      </c>
      <c r="R161" s="5">
        <f t="shared" si="100"/>
        <v>0</v>
      </c>
      <c r="S161" s="2">
        <f t="shared" si="72"/>
        <v>0</v>
      </c>
      <c r="T161" s="23">
        <f t="shared" si="53"/>
        <v>0</v>
      </c>
    </row>
    <row r="162" spans="1:20">
      <c r="A162" s="2" t="str">
        <f t="shared" si="73"/>
        <v>Ciclo 2</v>
      </c>
      <c r="B162" s="3" t="str">
        <f>'Controle Projetos_Ciclo2'!F170</f>
        <v>Construção - Serviços de Construção - NOVA MORADA</v>
      </c>
      <c r="C162" s="5">
        <f t="shared" si="69"/>
        <v>252445.26</v>
      </c>
      <c r="D162" s="5">
        <f t="shared" si="69"/>
        <v>252445.26</v>
      </c>
      <c r="E162" s="5">
        <f t="shared" si="70"/>
        <v>0</v>
      </c>
      <c r="F162" s="4">
        <f t="shared" si="70"/>
        <v>0</v>
      </c>
      <c r="G162" s="5">
        <f t="shared" ref="G162:R162" si="101">SUM(G30,G63,G96,G129)</f>
        <v>0</v>
      </c>
      <c r="H162" s="5">
        <f t="shared" si="101"/>
        <v>0</v>
      </c>
      <c r="I162" s="5">
        <f t="shared" si="101"/>
        <v>0</v>
      </c>
      <c r="J162" s="5">
        <f t="shared" si="101"/>
        <v>0</v>
      </c>
      <c r="K162" s="5">
        <f t="shared" si="101"/>
        <v>0</v>
      </c>
      <c r="L162" s="5">
        <f t="shared" si="101"/>
        <v>0</v>
      </c>
      <c r="M162" s="5">
        <f t="shared" si="101"/>
        <v>0</v>
      </c>
      <c r="N162" s="5">
        <f t="shared" si="101"/>
        <v>0</v>
      </c>
      <c r="O162" s="5">
        <f t="shared" si="101"/>
        <v>0</v>
      </c>
      <c r="P162" s="5">
        <f t="shared" si="101"/>
        <v>0</v>
      </c>
      <c r="Q162" s="5">
        <f t="shared" si="101"/>
        <v>0</v>
      </c>
      <c r="R162" s="5">
        <f t="shared" si="101"/>
        <v>0</v>
      </c>
      <c r="S162" s="2">
        <f t="shared" si="72"/>
        <v>0</v>
      </c>
      <c r="T162" s="23">
        <f t="shared" si="53"/>
        <v>0</v>
      </c>
    </row>
    <row r="163" spans="1:20">
      <c r="A163" s="2" t="str">
        <f t="shared" si="73"/>
        <v>Ciclo 2</v>
      </c>
      <c r="B163" s="3" t="str">
        <f>'Controle Projetos_Ciclo2'!F171</f>
        <v>Equipamentos Curva A -  Contrato Sobressalentes - SETTA</v>
      </c>
      <c r="C163" s="5">
        <f t="shared" si="69"/>
        <v>706218.05999999982</v>
      </c>
      <c r="D163" s="5">
        <f t="shared" si="69"/>
        <v>706218.06</v>
      </c>
      <c r="E163" s="5">
        <f t="shared" si="70"/>
        <v>2.3283064365386963E-10</v>
      </c>
      <c r="F163" s="4">
        <f t="shared" si="70"/>
        <v>0</v>
      </c>
      <c r="G163" s="5">
        <f t="shared" ref="G163:R163" si="102">SUM(G31,G64,G97,G130)</f>
        <v>0</v>
      </c>
      <c r="H163" s="5">
        <f t="shared" si="102"/>
        <v>0</v>
      </c>
      <c r="I163" s="5">
        <f t="shared" si="102"/>
        <v>0</v>
      </c>
      <c r="J163" s="5">
        <f t="shared" si="102"/>
        <v>0</v>
      </c>
      <c r="K163" s="5">
        <f t="shared" si="102"/>
        <v>0</v>
      </c>
      <c r="L163" s="5">
        <f t="shared" si="102"/>
        <v>0</v>
      </c>
      <c r="M163" s="5">
        <f t="shared" si="102"/>
        <v>0</v>
      </c>
      <c r="N163" s="5">
        <f t="shared" si="102"/>
        <v>0</v>
      </c>
      <c r="O163" s="5">
        <f t="shared" si="102"/>
        <v>0</v>
      </c>
      <c r="P163" s="5">
        <f t="shared" si="102"/>
        <v>0</v>
      </c>
      <c r="Q163" s="5">
        <f t="shared" si="102"/>
        <v>0</v>
      </c>
      <c r="R163" s="5">
        <f t="shared" si="102"/>
        <v>0</v>
      </c>
      <c r="S163" s="2">
        <f t="shared" si="72"/>
        <v>0</v>
      </c>
      <c r="T163" s="23">
        <f t="shared" ref="T163:T166" si="103">IF(SUM(G163:R163)=0,0,ROUND(S163-F163,0))</f>
        <v>0</v>
      </c>
    </row>
    <row r="164" spans="1:20">
      <c r="A164" s="2" t="str">
        <f t="shared" si="73"/>
        <v>Ciclo 2</v>
      </c>
      <c r="B164" s="3" t="str">
        <f>'Controle Projetos_Ciclo2'!F172</f>
        <v>Equipamentos Curva A -  Contrato Sobressalentes - Arctech</v>
      </c>
      <c r="C164" s="5">
        <f t="shared" si="69"/>
        <v>0</v>
      </c>
      <c r="D164" s="5">
        <f t="shared" si="69"/>
        <v>0</v>
      </c>
      <c r="E164" s="5">
        <f t="shared" si="70"/>
        <v>0</v>
      </c>
      <c r="F164" s="4">
        <f t="shared" si="70"/>
        <v>0</v>
      </c>
      <c r="G164" s="5">
        <f t="shared" ref="G164:R164" si="104">SUM(G32,G65,G98,G131)</f>
        <v>0</v>
      </c>
      <c r="H164" s="5">
        <f t="shared" si="104"/>
        <v>2297276</v>
      </c>
      <c r="I164" s="5">
        <f t="shared" si="104"/>
        <v>0</v>
      </c>
      <c r="J164" s="5">
        <f t="shared" si="104"/>
        <v>0</v>
      </c>
      <c r="K164" s="5">
        <f t="shared" si="104"/>
        <v>0</v>
      </c>
      <c r="L164" s="5">
        <f t="shared" si="104"/>
        <v>0</v>
      </c>
      <c r="M164" s="5">
        <f t="shared" si="104"/>
        <v>0</v>
      </c>
      <c r="N164" s="5">
        <f t="shared" si="104"/>
        <v>0</v>
      </c>
      <c r="O164" s="5">
        <f t="shared" si="104"/>
        <v>0</v>
      </c>
      <c r="P164" s="5">
        <f t="shared" si="104"/>
        <v>0</v>
      </c>
      <c r="Q164" s="5">
        <f t="shared" si="104"/>
        <v>0</v>
      </c>
      <c r="R164" s="5">
        <f t="shared" si="104"/>
        <v>0</v>
      </c>
      <c r="S164" s="2">
        <f t="shared" si="72"/>
        <v>2297276</v>
      </c>
      <c r="T164" s="23">
        <f t="shared" si="103"/>
        <v>2297276</v>
      </c>
    </row>
    <row r="165" spans="1:20" ht="11.1" thickBot="1">
      <c r="A165" s="2" t="str">
        <f t="shared" si="73"/>
        <v>Ciclo 2</v>
      </c>
      <c r="B165" s="3" t="str">
        <f>'Controle Projetos_Ciclo2'!F173</f>
        <v>Equipamentos Curva A -  Contrato Sobressalentes - Romagnole</v>
      </c>
      <c r="C165" s="17">
        <f t="shared" si="69"/>
        <v>2014761.4100000001</v>
      </c>
      <c r="D165" s="17">
        <f t="shared" si="69"/>
        <v>2014761.4100000001</v>
      </c>
      <c r="E165" s="17">
        <f t="shared" si="70"/>
        <v>0</v>
      </c>
      <c r="F165" s="4">
        <f t="shared" si="70"/>
        <v>0</v>
      </c>
      <c r="G165" s="17">
        <f t="shared" ref="G165:R165" si="105">SUM(G33,G66,G99,G132)</f>
        <v>0</v>
      </c>
      <c r="H165" s="17">
        <f t="shared" si="105"/>
        <v>0</v>
      </c>
      <c r="I165" s="17">
        <f t="shared" si="105"/>
        <v>0</v>
      </c>
      <c r="J165" s="17">
        <f t="shared" si="105"/>
        <v>0</v>
      </c>
      <c r="K165" s="17">
        <f t="shared" si="105"/>
        <v>0</v>
      </c>
      <c r="L165" s="17">
        <f t="shared" si="105"/>
        <v>0</v>
      </c>
      <c r="M165" s="17">
        <f t="shared" si="105"/>
        <v>0</v>
      </c>
      <c r="N165" s="17">
        <f t="shared" si="105"/>
        <v>0</v>
      </c>
      <c r="O165" s="17">
        <f t="shared" si="105"/>
        <v>0</v>
      </c>
      <c r="P165" s="17">
        <f t="shared" si="105"/>
        <v>0</v>
      </c>
      <c r="Q165" s="17">
        <f t="shared" si="105"/>
        <v>0</v>
      </c>
      <c r="R165" s="17">
        <f t="shared" si="105"/>
        <v>0</v>
      </c>
      <c r="S165" s="2">
        <f t="shared" si="72"/>
        <v>0</v>
      </c>
      <c r="T165" s="23">
        <f t="shared" si="103"/>
        <v>0</v>
      </c>
    </row>
    <row r="166" spans="1:20" ht="11.1" thickBot="1">
      <c r="A166" s="8" t="s">
        <v>158</v>
      </c>
      <c r="B166" s="9"/>
      <c r="C166" s="9">
        <f t="shared" ref="C166:S166" si="106">SUM(C134:C165)</f>
        <v>816513739.70276523</v>
      </c>
      <c r="D166" s="9">
        <f t="shared" si="106"/>
        <v>768678379.67276525</v>
      </c>
      <c r="E166" s="9">
        <f t="shared" ref="E166" si="107">SUM(E134:E165)</f>
        <v>-44601009.649999991</v>
      </c>
      <c r="F166" s="9">
        <f t="shared" si="106"/>
        <v>3234350.3800000036</v>
      </c>
      <c r="G166" s="9">
        <f t="shared" si="106"/>
        <v>4432158</v>
      </c>
      <c r="H166" s="9">
        <f t="shared" si="106"/>
        <v>6148263</v>
      </c>
      <c r="I166" s="9">
        <f t="shared" si="106"/>
        <v>3015002</v>
      </c>
      <c r="J166" s="9">
        <f t="shared" si="106"/>
        <v>1638009</v>
      </c>
      <c r="K166" s="9">
        <f t="shared" si="106"/>
        <v>266252</v>
      </c>
      <c r="L166" s="9">
        <f t="shared" si="106"/>
        <v>0</v>
      </c>
      <c r="M166" s="9">
        <f t="shared" si="106"/>
        <v>0</v>
      </c>
      <c r="N166" s="9">
        <f t="shared" si="106"/>
        <v>0</v>
      </c>
      <c r="O166" s="9">
        <f t="shared" si="106"/>
        <v>0</v>
      </c>
      <c r="P166" s="9">
        <f t="shared" si="106"/>
        <v>0</v>
      </c>
      <c r="Q166" s="9">
        <f t="shared" si="106"/>
        <v>0</v>
      </c>
      <c r="R166" s="9">
        <f t="shared" si="106"/>
        <v>0</v>
      </c>
      <c r="S166" s="11">
        <f t="shared" si="106"/>
        <v>15499684</v>
      </c>
      <c r="T166" s="23">
        <f t="shared" si="103"/>
        <v>12265334</v>
      </c>
    </row>
  </sheetData>
  <autoFilter ref="A1:T166" xr:uid="{C690353E-BF98-496D-A658-C1AFA049A74F}"/>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33BD-DA14-416A-8C51-722ABA12F86C}">
  <dimension ref="B2:P60"/>
  <sheetViews>
    <sheetView showGridLines="0" workbookViewId="0">
      <selection activeCell="F41" sqref="F41"/>
    </sheetView>
  </sheetViews>
  <sheetFormatPr defaultRowHeight="11.25"/>
  <cols>
    <col min="1" max="1" width="1.6640625" customWidth="1"/>
    <col min="2" max="2" width="11" customWidth="1"/>
    <col min="3" max="7" width="13.83203125" customWidth="1"/>
    <col min="8" max="8" width="101.6640625" bestFit="1" customWidth="1"/>
    <col min="9" max="9" width="18.83203125" customWidth="1"/>
    <col min="10" max="10" width="17.33203125" customWidth="1"/>
  </cols>
  <sheetData>
    <row r="2" spans="2:8">
      <c r="B2" s="141"/>
      <c r="C2" s="355"/>
      <c r="D2" s="142"/>
      <c r="E2" s="142"/>
      <c r="F2" s="142"/>
      <c r="G2" s="142"/>
      <c r="H2" s="143"/>
    </row>
    <row r="3" spans="2:8" ht="18.75" customHeight="1">
      <c r="B3" s="144" t="s">
        <v>25898</v>
      </c>
      <c r="C3" s="357" t="s">
        <v>26231</v>
      </c>
      <c r="D3" s="145" t="s">
        <v>26232</v>
      </c>
      <c r="E3" s="356" t="s">
        <v>26233</v>
      </c>
      <c r="F3" s="146" t="s">
        <v>26234</v>
      </c>
      <c r="G3" s="146" t="s">
        <v>26235</v>
      </c>
      <c r="H3" s="147" t="s">
        <v>26236</v>
      </c>
    </row>
    <row r="4" spans="2:8">
      <c r="B4" s="457">
        <v>45448</v>
      </c>
      <c r="C4" s="358">
        <v>20240605</v>
      </c>
      <c r="D4" s="149" t="s">
        <v>4116</v>
      </c>
      <c r="E4" s="364">
        <v>0</v>
      </c>
      <c r="F4" s="365">
        <v>22211.07</v>
      </c>
      <c r="G4" s="374" t="e">
        <f>F4/E4</f>
        <v>#DIV/0!</v>
      </c>
      <c r="H4" s="150" t="s">
        <v>26237</v>
      </c>
    </row>
    <row r="5" spans="2:8">
      <c r="B5" s="458">
        <v>45448</v>
      </c>
      <c r="C5" s="359">
        <v>20240605</v>
      </c>
      <c r="D5" s="152" t="s">
        <v>4116</v>
      </c>
      <c r="E5" s="364">
        <v>0</v>
      </c>
      <c r="F5" s="366">
        <v>22211.07</v>
      </c>
      <c r="G5" s="374" t="e">
        <f t="shared" ref="G5:G18" si="0">F5/E5</f>
        <v>#DIV/0!</v>
      </c>
      <c r="H5" s="362" t="s">
        <v>26238</v>
      </c>
    </row>
    <row r="6" spans="2:8">
      <c r="B6" s="459">
        <v>45455</v>
      </c>
      <c r="C6" s="359">
        <v>240612</v>
      </c>
      <c r="D6" s="152" t="s">
        <v>4116</v>
      </c>
      <c r="E6" s="364">
        <v>0</v>
      </c>
      <c r="F6" s="367">
        <v>22212.39</v>
      </c>
      <c r="G6" s="374" t="e">
        <f t="shared" si="0"/>
        <v>#DIV/0!</v>
      </c>
      <c r="H6" s="363" t="s">
        <v>26239</v>
      </c>
    </row>
    <row r="7" spans="2:8">
      <c r="B7" s="459">
        <v>45455</v>
      </c>
      <c r="C7" s="359">
        <v>240612</v>
      </c>
      <c r="D7" s="152" t="s">
        <v>4116</v>
      </c>
      <c r="E7" s="364">
        <v>0</v>
      </c>
      <c r="F7" s="367">
        <v>21600</v>
      </c>
      <c r="G7" s="374" t="e">
        <f t="shared" si="0"/>
        <v>#DIV/0!</v>
      </c>
      <c r="H7" s="153" t="s">
        <v>26240</v>
      </c>
    </row>
    <row r="8" spans="2:8">
      <c r="B8" s="459">
        <v>45455</v>
      </c>
      <c r="C8" s="359">
        <v>240612</v>
      </c>
      <c r="D8" s="152" t="s">
        <v>4116</v>
      </c>
      <c r="E8" s="364">
        <v>0</v>
      </c>
      <c r="F8" s="367">
        <v>22640.2</v>
      </c>
      <c r="G8" s="374" t="e">
        <f t="shared" si="0"/>
        <v>#DIV/0!</v>
      </c>
      <c r="H8" s="153" t="s">
        <v>26241</v>
      </c>
    </row>
    <row r="9" spans="2:8">
      <c r="B9" s="459">
        <v>45455</v>
      </c>
      <c r="C9" s="359">
        <v>240612</v>
      </c>
      <c r="D9" s="152" t="s">
        <v>4116</v>
      </c>
      <c r="E9" s="364">
        <v>0</v>
      </c>
      <c r="F9" s="364">
        <v>11346</v>
      </c>
      <c r="G9" s="374" t="e">
        <f t="shared" si="0"/>
        <v>#DIV/0!</v>
      </c>
      <c r="H9" s="153" t="s">
        <v>26242</v>
      </c>
    </row>
    <row r="10" spans="2:8">
      <c r="B10" s="458">
        <v>45455</v>
      </c>
      <c r="C10" s="359">
        <v>240612</v>
      </c>
      <c r="D10" s="152" t="s">
        <v>4116</v>
      </c>
      <c r="E10" s="364">
        <v>0</v>
      </c>
      <c r="F10" s="364">
        <v>22212.39</v>
      </c>
      <c r="G10" s="374" t="e">
        <f t="shared" si="0"/>
        <v>#DIV/0!</v>
      </c>
      <c r="H10" s="153" t="s">
        <v>26243</v>
      </c>
    </row>
    <row r="11" spans="2:8">
      <c r="B11" s="459">
        <v>45455</v>
      </c>
      <c r="C11" s="359">
        <v>240612</v>
      </c>
      <c r="D11" s="152" t="s">
        <v>4116</v>
      </c>
      <c r="E11" s="364">
        <v>0</v>
      </c>
      <c r="F11" s="364">
        <v>22212.39</v>
      </c>
      <c r="G11" s="374" t="e">
        <f t="shared" si="0"/>
        <v>#DIV/0!</v>
      </c>
      <c r="H11" s="153" t="s">
        <v>26244</v>
      </c>
    </row>
    <row r="12" spans="2:8">
      <c r="B12" s="459">
        <v>45455</v>
      </c>
      <c r="C12" s="359">
        <v>240612</v>
      </c>
      <c r="D12" s="152" t="s">
        <v>26245</v>
      </c>
      <c r="E12" s="364">
        <v>0</v>
      </c>
      <c r="F12" s="364">
        <v>21108.04</v>
      </c>
      <c r="G12" s="374" t="e">
        <f t="shared" si="0"/>
        <v>#DIV/0!</v>
      </c>
      <c r="H12" s="153" t="s">
        <v>26246</v>
      </c>
    </row>
    <row r="13" spans="2:8">
      <c r="B13" s="459">
        <v>45455</v>
      </c>
      <c r="C13" s="360">
        <v>240612</v>
      </c>
      <c r="D13" s="152" t="s">
        <v>26245</v>
      </c>
      <c r="E13" s="364">
        <v>0</v>
      </c>
      <c r="F13" s="364">
        <v>21108.04</v>
      </c>
      <c r="G13" s="374" t="e">
        <f t="shared" si="0"/>
        <v>#DIV/0!</v>
      </c>
      <c r="H13" s="153" t="s">
        <v>26247</v>
      </c>
    </row>
    <row r="14" spans="2:8">
      <c r="B14" s="459">
        <v>45457</v>
      </c>
      <c r="C14" s="360">
        <v>240614</v>
      </c>
      <c r="D14" s="152" t="s">
        <v>156</v>
      </c>
      <c r="E14" s="368">
        <v>2250000</v>
      </c>
      <c r="F14" s="364">
        <v>302750</v>
      </c>
      <c r="G14" s="374">
        <f t="shared" si="0"/>
        <v>0.13455555555555557</v>
      </c>
      <c r="H14" s="153" t="s">
        <v>26248</v>
      </c>
    </row>
    <row r="15" spans="2:8">
      <c r="B15" s="459">
        <v>45462</v>
      </c>
      <c r="C15" s="360">
        <v>240619</v>
      </c>
      <c r="D15" s="152" t="s">
        <v>14459</v>
      </c>
      <c r="E15" s="364">
        <v>2805154</v>
      </c>
      <c r="F15" s="364">
        <v>295534</v>
      </c>
      <c r="G15" s="374">
        <f t="shared" si="0"/>
        <v>0.10535393065763947</v>
      </c>
      <c r="H15" s="153" t="s">
        <v>26249</v>
      </c>
    </row>
    <row r="16" spans="2:8">
      <c r="B16" s="459">
        <v>45463</v>
      </c>
      <c r="C16" s="360">
        <v>240620</v>
      </c>
      <c r="D16" s="152" t="s">
        <v>208</v>
      </c>
      <c r="E16" s="364">
        <v>1071581.3999999999</v>
      </c>
      <c r="F16" s="364">
        <v>21200</v>
      </c>
      <c r="G16" s="374">
        <f t="shared" si="0"/>
        <v>1.9783844699058795E-2</v>
      </c>
      <c r="H16" s="153" t="s">
        <v>26250</v>
      </c>
    </row>
    <row r="17" spans="2:16">
      <c r="B17" s="459">
        <v>45468</v>
      </c>
      <c r="C17" s="360">
        <v>240625</v>
      </c>
      <c r="D17" s="152" t="s">
        <v>4116</v>
      </c>
      <c r="E17" s="364">
        <v>0</v>
      </c>
      <c r="F17" s="364">
        <v>20688.2</v>
      </c>
      <c r="G17" s="374" t="e">
        <f t="shared" si="0"/>
        <v>#DIV/0!</v>
      </c>
      <c r="H17" s="153" t="s">
        <v>26251</v>
      </c>
    </row>
    <row r="18" spans="2:16">
      <c r="B18" s="459">
        <v>45505</v>
      </c>
      <c r="C18" s="360">
        <v>240801</v>
      </c>
      <c r="D18" s="152" t="s">
        <v>205</v>
      </c>
      <c r="E18" s="364">
        <v>0</v>
      </c>
      <c r="F18" s="364">
        <v>82000</v>
      </c>
      <c r="G18" s="374" t="e">
        <f t="shared" si="0"/>
        <v>#DIV/0!</v>
      </c>
      <c r="H18" s="153" t="s">
        <v>26252</v>
      </c>
    </row>
    <row r="19" spans="2:16">
      <c r="B19" s="459">
        <v>45510</v>
      </c>
      <c r="C19" s="360">
        <v>240806</v>
      </c>
      <c r="D19" s="152" t="s">
        <v>26253</v>
      </c>
      <c r="E19" s="364">
        <v>0</v>
      </c>
      <c r="F19" s="364">
        <v>37500</v>
      </c>
      <c r="G19" s="375" t="e">
        <f t="shared" ref="G15:G19" si="1">F19/E19</f>
        <v>#DIV/0!</v>
      </c>
      <c r="H19" s="153" t="s">
        <v>26254</v>
      </c>
    </row>
    <row r="20" spans="2:16">
      <c r="B20" s="459">
        <v>45398</v>
      </c>
      <c r="C20" s="360">
        <v>20240415</v>
      </c>
      <c r="D20" s="152" t="s">
        <v>156</v>
      </c>
      <c r="E20" s="364">
        <v>0</v>
      </c>
      <c r="F20" s="364">
        <v>36500</v>
      </c>
      <c r="G20" s="375" t="e">
        <f>F20/E20</f>
        <v>#DIV/0!</v>
      </c>
      <c r="H20" s="153" t="s">
        <v>26255</v>
      </c>
    </row>
    <row r="21" spans="2:16">
      <c r="B21" s="459" t="s">
        <v>26256</v>
      </c>
      <c r="C21" s="360">
        <v>20240510</v>
      </c>
      <c r="D21" s="152" t="s">
        <v>141</v>
      </c>
      <c r="E21" s="364">
        <v>1160000</v>
      </c>
      <c r="F21" s="364">
        <f>1414000-E21</f>
        <v>254000</v>
      </c>
      <c r="G21" s="375">
        <f>F21/E21</f>
        <v>0.2189655172413793</v>
      </c>
      <c r="H21" s="153" t="s">
        <v>26257</v>
      </c>
    </row>
    <row r="22" spans="2:16">
      <c r="B22" s="459" t="s">
        <v>26256</v>
      </c>
      <c r="C22" s="360">
        <v>20240510</v>
      </c>
      <c r="D22" s="152" t="s">
        <v>141</v>
      </c>
      <c r="E22" s="364">
        <v>775000</v>
      </c>
      <c r="F22" s="364">
        <v>592000</v>
      </c>
      <c r="G22" s="375">
        <f>F22/E22</f>
        <v>0.76387096774193552</v>
      </c>
      <c r="H22" s="153" t="s">
        <v>26258</v>
      </c>
    </row>
    <row r="23" spans="2:16">
      <c r="B23" s="459" t="s">
        <v>26256</v>
      </c>
      <c r="C23" s="360">
        <v>20240510</v>
      </c>
      <c r="D23" s="152" t="s">
        <v>141</v>
      </c>
      <c r="E23" s="364">
        <f>1666000+1160600</f>
        <v>2826600</v>
      </c>
      <c r="F23" s="364">
        <f>4132520-E23</f>
        <v>1305920</v>
      </c>
      <c r="G23" s="375">
        <f>F23/E23</f>
        <v>0.46201089648340765</v>
      </c>
      <c r="H23" s="153" t="s">
        <v>26259</v>
      </c>
    </row>
    <row r="24" spans="2:16">
      <c r="B24" s="459" t="s">
        <v>26256</v>
      </c>
      <c r="C24" s="360">
        <v>20240510</v>
      </c>
      <c r="D24" s="152" t="s">
        <v>141</v>
      </c>
      <c r="E24" s="364">
        <v>2150000</v>
      </c>
      <c r="F24" s="364">
        <v>56000</v>
      </c>
      <c r="G24" s="375">
        <f>F24/E24</f>
        <v>2.6046511627906978E-2</v>
      </c>
      <c r="H24" s="153" t="s">
        <v>26260</v>
      </c>
    </row>
    <row r="25" spans="2:16">
      <c r="B25" s="459">
        <v>45460</v>
      </c>
      <c r="C25" s="360">
        <v>20240516</v>
      </c>
      <c r="D25" s="152" t="s">
        <v>150</v>
      </c>
      <c r="E25" s="152">
        <v>0</v>
      </c>
      <c r="F25" s="152">
        <v>0</v>
      </c>
      <c r="G25" s="375" t="e">
        <f>F25/E25</f>
        <v>#DIV/0!</v>
      </c>
      <c r="H25" s="153" t="s">
        <v>26261</v>
      </c>
    </row>
    <row r="26" spans="2:16">
      <c r="B26" s="459">
        <v>45460</v>
      </c>
      <c r="C26" s="360">
        <v>20240516</v>
      </c>
      <c r="D26" s="152" t="s">
        <v>150</v>
      </c>
      <c r="E26" s="152">
        <v>0</v>
      </c>
      <c r="F26" s="364">
        <v>12000</v>
      </c>
      <c r="G26" s="375" t="e">
        <f>F26/E26</f>
        <v>#DIV/0!</v>
      </c>
      <c r="H26" s="420" t="s">
        <v>26262</v>
      </c>
    </row>
    <row r="27" spans="2:16">
      <c r="B27" s="459">
        <v>45464</v>
      </c>
      <c r="C27" s="360">
        <v>20240607</v>
      </c>
      <c r="D27" s="152" t="s">
        <v>684</v>
      </c>
      <c r="E27" s="152">
        <v>0</v>
      </c>
      <c r="F27" s="364">
        <f>132069+117931.1</f>
        <v>250000.1</v>
      </c>
      <c r="G27" s="375" t="e">
        <f>F27/E27</f>
        <v>#DIV/0!</v>
      </c>
      <c r="H27" s="153" t="s">
        <v>26263</v>
      </c>
    </row>
    <row r="28" spans="2:16">
      <c r="B28" s="459">
        <v>45464</v>
      </c>
      <c r="C28" s="360">
        <v>20240607</v>
      </c>
      <c r="D28" s="152" t="s">
        <v>684</v>
      </c>
      <c r="E28" s="152">
        <v>0</v>
      </c>
      <c r="F28" s="364">
        <v>173792</v>
      </c>
      <c r="G28" s="375" t="e">
        <f>F28/E28</f>
        <v>#DIV/0!</v>
      </c>
      <c r="H28" s="153" t="s">
        <v>26264</v>
      </c>
    </row>
    <row r="29" spans="2:16">
      <c r="B29" s="459" t="s">
        <v>26265</v>
      </c>
      <c r="C29" s="360">
        <v>20240610</v>
      </c>
      <c r="D29" s="152" t="s">
        <v>684</v>
      </c>
      <c r="E29" s="152">
        <v>0</v>
      </c>
      <c r="F29" s="364">
        <v>36500</v>
      </c>
      <c r="G29" s="375" t="e">
        <f>F29/E29</f>
        <v>#DIV/0!</v>
      </c>
      <c r="H29" s="153" t="s">
        <v>26266</v>
      </c>
    </row>
    <row r="30" spans="2:16">
      <c r="B30" s="459">
        <v>45464</v>
      </c>
      <c r="C30" s="360">
        <v>20240614</v>
      </c>
      <c r="D30" s="152" t="s">
        <v>8228</v>
      </c>
      <c r="E30" s="364">
        <v>1304639.3500000001</v>
      </c>
      <c r="F30" s="364">
        <v>18275</v>
      </c>
      <c r="G30" s="375">
        <f>F30/E30</f>
        <v>1.4007702588458642E-2</v>
      </c>
      <c r="H30" s="153" t="s">
        <v>26267</v>
      </c>
    </row>
    <row r="31" spans="2:16">
      <c r="B31" s="459">
        <v>45464</v>
      </c>
      <c r="C31" s="360">
        <v>20240613</v>
      </c>
      <c r="D31" s="152" t="s">
        <v>8228</v>
      </c>
      <c r="E31" s="364">
        <v>1879316</v>
      </c>
      <c r="F31" s="364">
        <v>79215</v>
      </c>
      <c r="G31" s="375">
        <f>F31/E31</f>
        <v>4.2150974077802772E-2</v>
      </c>
      <c r="H31" s="153" t="s">
        <v>26268</v>
      </c>
    </row>
    <row r="32" spans="2:16" s="230" customFormat="1">
      <c r="B32" s="459">
        <v>45464</v>
      </c>
      <c r="C32" s="360">
        <v>20240613</v>
      </c>
      <c r="D32" s="152" t="s">
        <v>8228</v>
      </c>
      <c r="E32" s="364">
        <v>2743869.57</v>
      </c>
      <c r="F32" s="364">
        <f>2943858.39-E32</f>
        <v>199988.8200000003</v>
      </c>
      <c r="G32" s="375">
        <f>F32/E32</f>
        <v>7.2885687492791548E-2</v>
      </c>
      <c r="H32" s="153" t="s">
        <v>26269</v>
      </c>
      <c r="I32"/>
      <c r="J32"/>
      <c r="K32"/>
      <c r="L32"/>
      <c r="M32"/>
      <c r="N32"/>
      <c r="O32"/>
      <c r="P32"/>
    </row>
    <row r="33" spans="2:16" s="230" customFormat="1">
      <c r="B33" s="459">
        <v>45464</v>
      </c>
      <c r="C33" s="360">
        <v>20240613</v>
      </c>
      <c r="D33" s="152" t="s">
        <v>8228</v>
      </c>
      <c r="E33" s="364">
        <v>1953283</v>
      </c>
      <c r="F33" s="364">
        <v>34520.639999999999</v>
      </c>
      <c r="G33" s="375">
        <f>F33/E33</f>
        <v>1.7673137993828851E-2</v>
      </c>
      <c r="H33" s="153" t="s">
        <v>26270</v>
      </c>
      <c r="I33"/>
      <c r="J33"/>
      <c r="K33"/>
      <c r="L33"/>
      <c r="M33"/>
      <c r="N33"/>
      <c r="O33"/>
      <c r="P33"/>
    </row>
    <row r="34" spans="2:16" s="230" customFormat="1">
      <c r="B34" s="459">
        <v>45464</v>
      </c>
      <c r="C34" s="360">
        <v>20240614</v>
      </c>
      <c r="D34" s="152" t="s">
        <v>8228</v>
      </c>
      <c r="E34" s="364">
        <f>1683414.04+478074.5</f>
        <v>2161488.54</v>
      </c>
      <c r="F34" s="364">
        <f>2452073.6-E34</f>
        <v>290585.06000000006</v>
      </c>
      <c r="G34" s="375">
        <f>F34/E34</f>
        <v>0.13443747427872094</v>
      </c>
      <c r="H34" s="153" t="s">
        <v>26271</v>
      </c>
      <c r="I34"/>
      <c r="J34"/>
      <c r="K34"/>
      <c r="L34"/>
      <c r="M34"/>
      <c r="N34"/>
      <c r="O34"/>
      <c r="P34"/>
    </row>
    <row r="35" spans="2:16" s="230" customFormat="1">
      <c r="B35" s="459">
        <v>45464</v>
      </c>
      <c r="C35" s="360">
        <v>20240614</v>
      </c>
      <c r="D35" s="152" t="s">
        <v>8228</v>
      </c>
      <c r="E35" s="364">
        <v>728565.79</v>
      </c>
      <c r="F35" s="364">
        <f>977154.49
-E35</f>
        <v>248588.69999999995</v>
      </c>
      <c r="G35" s="375">
        <f>F35/E35</f>
        <v>0.34120281711278255</v>
      </c>
      <c r="H35" s="153" t="s">
        <v>26272</v>
      </c>
    </row>
    <row r="36" spans="2:16" s="230" customFormat="1">
      <c r="B36" s="459">
        <v>45464</v>
      </c>
      <c r="C36" s="360">
        <v>20240612</v>
      </c>
      <c r="D36" s="152" t="s">
        <v>8228</v>
      </c>
      <c r="E36" s="364">
        <v>1311826.1200000001</v>
      </c>
      <c r="F36" s="364">
        <v>464490</v>
      </c>
      <c r="G36" s="374">
        <f t="shared" ref="G36" si="2">F36/E36</f>
        <v>0.35407893844955607</v>
      </c>
      <c r="H36" s="153" t="s">
        <v>26273</v>
      </c>
    </row>
    <row r="37" spans="2:16" s="230" customFormat="1">
      <c r="B37" s="459">
        <v>45530</v>
      </c>
      <c r="C37" s="360">
        <v>20240823</v>
      </c>
      <c r="D37" s="152" t="s">
        <v>201</v>
      </c>
      <c r="E37" s="152">
        <v>0</v>
      </c>
      <c r="F37" s="152">
        <v>2054296.1499999994</v>
      </c>
      <c r="G37" s="152">
        <v>0</v>
      </c>
      <c r="H37" s="153" t="s">
        <v>26274</v>
      </c>
    </row>
    <row r="38" spans="2:16" s="230" customFormat="1">
      <c r="B38" s="459">
        <v>45530</v>
      </c>
      <c r="C38" s="360">
        <v>20240819</v>
      </c>
      <c r="D38" s="152" t="s">
        <v>141</v>
      </c>
      <c r="E38" s="364">
        <v>1414000</v>
      </c>
      <c r="F38" s="364">
        <v>1945000</v>
      </c>
      <c r="G38" s="374">
        <f>F38/E38</f>
        <v>1.3755304101838755</v>
      </c>
      <c r="H38" s="153" t="s">
        <v>26275</v>
      </c>
    </row>
    <row r="39" spans="2:16" s="230" customFormat="1">
      <c r="B39" s="459">
        <v>45530</v>
      </c>
      <c r="C39" s="360">
        <v>20240819</v>
      </c>
      <c r="D39" s="152" t="s">
        <v>141</v>
      </c>
      <c r="E39" s="364">
        <v>2847828.38</v>
      </c>
      <c r="F39" s="364">
        <v>1124845.8700000001</v>
      </c>
      <c r="G39" s="374">
        <f>F39/E39</f>
        <v>0.39498372791691899</v>
      </c>
      <c r="H39" s="153" t="s">
        <v>26276</v>
      </c>
    </row>
    <row r="40" spans="2:16" s="230" customFormat="1">
      <c r="B40" s="370" t="s">
        <v>193</v>
      </c>
      <c r="C40" s="360" t="s">
        <v>193</v>
      </c>
      <c r="D40" s="152">
        <v>0</v>
      </c>
      <c r="E40" s="152">
        <v>0</v>
      </c>
      <c r="F40" s="152">
        <v>0</v>
      </c>
      <c r="G40" s="152">
        <v>0</v>
      </c>
      <c r="H40" s="153">
        <v>0</v>
      </c>
    </row>
    <row r="41" spans="2:16" s="230" customFormat="1">
      <c r="B41" s="459">
        <v>45575</v>
      </c>
      <c r="C41" s="360">
        <v>241009</v>
      </c>
      <c r="D41" s="152" t="s">
        <v>168</v>
      </c>
      <c r="E41" s="152">
        <v>3066900</v>
      </c>
      <c r="F41" s="491">
        <v>356825.59999999998</v>
      </c>
      <c r="G41" s="374">
        <f>F41/E41</f>
        <v>0.11634732139945873</v>
      </c>
      <c r="H41" s="153" t="s">
        <v>26277</v>
      </c>
      <c r="I41" s="230" t="s">
        <v>26278</v>
      </c>
    </row>
    <row r="42" spans="2:16" s="230" customFormat="1">
      <c r="B42" s="370" t="s">
        <v>193</v>
      </c>
      <c r="C42" s="360" t="s">
        <v>193</v>
      </c>
      <c r="D42" s="152">
        <v>0</v>
      </c>
      <c r="E42" s="152">
        <v>0</v>
      </c>
      <c r="F42" s="152">
        <v>0</v>
      </c>
      <c r="G42" s="152">
        <v>0</v>
      </c>
      <c r="H42" s="153">
        <v>0</v>
      </c>
    </row>
    <row r="43" spans="2:16" s="230" customFormat="1">
      <c r="B43" s="370" t="s">
        <v>193</v>
      </c>
      <c r="C43" s="360" t="s">
        <v>193</v>
      </c>
      <c r="D43" s="152">
        <v>0</v>
      </c>
      <c r="E43" s="152">
        <v>0</v>
      </c>
      <c r="F43" s="152">
        <v>0</v>
      </c>
      <c r="G43" s="152">
        <v>0</v>
      </c>
      <c r="H43" s="153">
        <v>0</v>
      </c>
    </row>
    <row r="44" spans="2:16" s="230" customFormat="1">
      <c r="B44" s="370" t="s">
        <v>193</v>
      </c>
      <c r="C44" s="360" t="s">
        <v>193</v>
      </c>
      <c r="D44" s="152">
        <v>0</v>
      </c>
      <c r="E44" s="152">
        <v>0</v>
      </c>
      <c r="F44" s="152">
        <v>0</v>
      </c>
      <c r="G44" s="152">
        <v>0</v>
      </c>
      <c r="H44" s="153">
        <v>0</v>
      </c>
    </row>
    <row r="45" spans="2:16" s="230" customFormat="1">
      <c r="B45" s="370" t="s">
        <v>193</v>
      </c>
      <c r="C45" s="360" t="s">
        <v>193</v>
      </c>
      <c r="D45" s="152">
        <v>0</v>
      </c>
      <c r="E45" s="152">
        <v>0</v>
      </c>
      <c r="F45" s="152">
        <v>0</v>
      </c>
      <c r="G45" s="152">
        <v>0</v>
      </c>
      <c r="H45" s="153">
        <v>0</v>
      </c>
    </row>
    <row r="46" spans="2:16" s="230" customFormat="1">
      <c r="B46" s="370" t="s">
        <v>193</v>
      </c>
      <c r="C46" s="360" t="s">
        <v>193</v>
      </c>
      <c r="D46" s="152">
        <v>0</v>
      </c>
      <c r="E46" s="152">
        <v>0</v>
      </c>
      <c r="F46" s="152">
        <v>0</v>
      </c>
      <c r="G46" s="152">
        <v>0</v>
      </c>
      <c r="H46" s="153">
        <v>0</v>
      </c>
    </row>
    <row r="47" spans="2:16" s="230" customFormat="1">
      <c r="B47" s="370" t="s">
        <v>193</v>
      </c>
      <c r="C47" s="360" t="s">
        <v>193</v>
      </c>
      <c r="D47" s="152">
        <v>0</v>
      </c>
      <c r="E47" s="152">
        <v>0</v>
      </c>
      <c r="F47" s="152">
        <v>0</v>
      </c>
      <c r="G47" s="152">
        <v>0</v>
      </c>
      <c r="H47" s="153">
        <v>0</v>
      </c>
    </row>
    <row r="48" spans="2:16" s="230" customFormat="1">
      <c r="B48" s="370" t="s">
        <v>193</v>
      </c>
      <c r="C48" s="360" t="s">
        <v>193</v>
      </c>
      <c r="D48" s="152">
        <v>0</v>
      </c>
      <c r="E48" s="152">
        <v>0</v>
      </c>
      <c r="F48" s="152">
        <v>0</v>
      </c>
      <c r="G48" s="152">
        <v>0</v>
      </c>
      <c r="H48" s="153">
        <v>0</v>
      </c>
    </row>
    <row r="49" spans="2:8">
      <c r="B49" s="370" t="s">
        <v>193</v>
      </c>
      <c r="C49" s="360" t="s">
        <v>193</v>
      </c>
      <c r="D49" s="152">
        <v>0</v>
      </c>
      <c r="E49" s="152">
        <v>0</v>
      </c>
      <c r="F49" s="152">
        <v>0</v>
      </c>
      <c r="G49" s="152">
        <v>0</v>
      </c>
      <c r="H49" s="153">
        <v>0</v>
      </c>
    </row>
    <row r="50" spans="2:8">
      <c r="B50" s="370" t="s">
        <v>193</v>
      </c>
      <c r="C50" s="360" t="s">
        <v>193</v>
      </c>
      <c r="D50" s="152">
        <v>0</v>
      </c>
      <c r="E50" s="152">
        <v>0</v>
      </c>
      <c r="F50" s="152">
        <v>0</v>
      </c>
      <c r="G50" s="152">
        <v>0</v>
      </c>
      <c r="H50" s="153">
        <v>0</v>
      </c>
    </row>
    <row r="51" spans="2:8">
      <c r="B51" s="370" t="s">
        <v>193</v>
      </c>
      <c r="C51" s="360" t="s">
        <v>193</v>
      </c>
      <c r="D51" s="152">
        <v>0</v>
      </c>
      <c r="E51" s="152">
        <v>0</v>
      </c>
      <c r="F51" s="152">
        <v>0</v>
      </c>
      <c r="G51" s="152">
        <v>0</v>
      </c>
      <c r="H51" s="153">
        <v>0</v>
      </c>
    </row>
    <row r="52" spans="2:8">
      <c r="B52" s="370" t="s">
        <v>193</v>
      </c>
      <c r="C52" s="360" t="s">
        <v>193</v>
      </c>
      <c r="D52" s="152">
        <v>0</v>
      </c>
      <c r="E52" s="152">
        <v>0</v>
      </c>
      <c r="F52" s="152">
        <v>0</v>
      </c>
      <c r="G52" s="152">
        <v>0</v>
      </c>
      <c r="H52" s="153">
        <v>0</v>
      </c>
    </row>
    <row r="53" spans="2:8">
      <c r="B53" s="370" t="s">
        <v>193</v>
      </c>
      <c r="C53" s="360" t="s">
        <v>193</v>
      </c>
      <c r="D53" s="152">
        <v>0</v>
      </c>
      <c r="E53" s="152">
        <v>0</v>
      </c>
      <c r="F53" s="152">
        <v>0</v>
      </c>
      <c r="G53" s="152">
        <v>0</v>
      </c>
      <c r="H53" s="153">
        <v>0</v>
      </c>
    </row>
    <row r="54" spans="2:8">
      <c r="B54" s="370" t="s">
        <v>193</v>
      </c>
      <c r="C54" s="360" t="s">
        <v>193</v>
      </c>
      <c r="D54" s="152">
        <v>0</v>
      </c>
      <c r="E54" s="152">
        <v>0</v>
      </c>
      <c r="F54" s="152">
        <v>0</v>
      </c>
      <c r="G54" s="152">
        <v>0</v>
      </c>
      <c r="H54" s="153">
        <v>0</v>
      </c>
    </row>
    <row r="55" spans="2:8">
      <c r="B55" s="370" t="s">
        <v>193</v>
      </c>
      <c r="C55" s="360" t="s">
        <v>193</v>
      </c>
      <c r="D55" s="152">
        <v>0</v>
      </c>
      <c r="E55" s="152">
        <v>0</v>
      </c>
      <c r="F55" s="152">
        <v>0</v>
      </c>
      <c r="G55" s="152">
        <v>0</v>
      </c>
      <c r="H55" s="153">
        <v>0</v>
      </c>
    </row>
    <row r="56" spans="2:8">
      <c r="B56" s="370" t="s">
        <v>193</v>
      </c>
      <c r="C56" s="360" t="s">
        <v>193</v>
      </c>
      <c r="D56" s="152">
        <v>0</v>
      </c>
      <c r="E56" s="152">
        <v>0</v>
      </c>
      <c r="F56" s="152">
        <v>0</v>
      </c>
      <c r="G56" s="152">
        <v>0</v>
      </c>
      <c r="H56" s="153">
        <v>0</v>
      </c>
    </row>
    <row r="57" spans="2:8">
      <c r="B57" s="370" t="s">
        <v>193</v>
      </c>
      <c r="C57" s="360" t="s">
        <v>193</v>
      </c>
      <c r="D57" s="152">
        <v>0</v>
      </c>
      <c r="E57" s="152">
        <v>0</v>
      </c>
      <c r="F57" s="152">
        <v>0</v>
      </c>
      <c r="G57" s="152">
        <v>0</v>
      </c>
      <c r="H57" s="153">
        <v>0</v>
      </c>
    </row>
    <row r="58" spans="2:8">
      <c r="B58" s="373" t="s">
        <v>193</v>
      </c>
      <c r="C58" s="359" t="s">
        <v>193</v>
      </c>
      <c r="D58" s="152">
        <v>0</v>
      </c>
      <c r="E58" s="152">
        <v>0</v>
      </c>
      <c r="F58" s="152">
        <v>0</v>
      </c>
      <c r="G58" s="152">
        <v>0</v>
      </c>
      <c r="H58" s="153">
        <v>0</v>
      </c>
    </row>
    <row r="59" spans="2:8">
      <c r="B59" s="371" t="s">
        <v>193</v>
      </c>
      <c r="C59" s="372" t="s">
        <v>193</v>
      </c>
      <c r="D59" s="154">
        <f>-F56</f>
        <v>0</v>
      </c>
      <c r="E59" s="369" t="s">
        <v>193</v>
      </c>
      <c r="F59" s="369" t="s">
        <v>193</v>
      </c>
      <c r="G59" s="154">
        <v>0</v>
      </c>
      <c r="H59" s="155">
        <v>0</v>
      </c>
    </row>
    <row r="60" spans="2:8">
      <c r="B60" s="156" t="s">
        <v>9264</v>
      </c>
      <c r="C60" s="156" t="s">
        <v>9264</v>
      </c>
      <c r="D60" s="156" t="s">
        <v>9264</v>
      </c>
      <c r="E60" s="156" t="s">
        <v>9264</v>
      </c>
      <c r="F60" s="156" t="s">
        <v>9264</v>
      </c>
      <c r="G60" s="156" t="s">
        <v>9264</v>
      </c>
      <c r="H60" s="156" t="s">
        <v>9264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9D613-3CAD-4B35-9764-AA78F593905B}">
  <dimension ref="A2:L1388"/>
  <sheetViews>
    <sheetView workbookViewId="0">
      <selection activeCell="T55" sqref="T55"/>
    </sheetView>
  </sheetViews>
  <sheetFormatPr defaultRowHeight="10.5"/>
  <cols>
    <col min="1" max="1" width="10.83203125" customWidth="1"/>
    <col min="2" max="2" width="10.83203125" bestFit="1" customWidth="1"/>
  </cols>
  <sheetData>
    <row r="2" spans="1:2">
      <c r="A2" t="s">
        <v>26279</v>
      </c>
    </row>
    <row r="3" spans="1:2">
      <c r="A3" s="92">
        <v>45258</v>
      </c>
      <c r="B3" t="s">
        <v>26280</v>
      </c>
    </row>
    <row r="4" spans="1:2">
      <c r="A4" s="92">
        <v>45258</v>
      </c>
      <c r="B4" t="s">
        <v>26281</v>
      </c>
    </row>
    <row r="5" spans="1:2">
      <c r="A5" s="92">
        <v>45258</v>
      </c>
      <c r="B5" t="s">
        <v>26282</v>
      </c>
    </row>
    <row r="6" spans="1:2">
      <c r="A6" s="92">
        <v>45271</v>
      </c>
      <c r="B6" t="s">
        <v>26283</v>
      </c>
    </row>
    <row r="7" spans="1:2">
      <c r="A7" s="92">
        <v>45271</v>
      </c>
      <c r="B7" t="s">
        <v>26284</v>
      </c>
    </row>
    <row r="8" spans="1:2">
      <c r="A8" s="92">
        <v>45280</v>
      </c>
      <c r="B8" t="s">
        <v>26285</v>
      </c>
    </row>
    <row r="9" spans="1:2">
      <c r="A9" s="92">
        <v>45280</v>
      </c>
      <c r="B9" t="s">
        <v>26286</v>
      </c>
    </row>
    <row r="10" spans="1:2">
      <c r="A10" s="92">
        <v>45279</v>
      </c>
      <c r="B10" t="s">
        <v>26287</v>
      </c>
    </row>
    <row r="11" spans="1:2">
      <c r="A11" s="92">
        <v>45307</v>
      </c>
      <c r="B11" t="s">
        <v>26288</v>
      </c>
    </row>
    <row r="12" spans="1:2">
      <c r="A12" s="92">
        <v>45307</v>
      </c>
      <c r="B12" t="s">
        <v>26289</v>
      </c>
    </row>
    <row r="13" spans="1:2">
      <c r="A13" s="92">
        <v>45307</v>
      </c>
      <c r="B13" t="s">
        <v>26290</v>
      </c>
    </row>
    <row r="14" spans="1:2">
      <c r="A14" s="92">
        <v>45307</v>
      </c>
      <c r="B14" t="s">
        <v>26291</v>
      </c>
    </row>
    <row r="15" spans="1:2">
      <c r="A15" s="92">
        <v>45308</v>
      </c>
      <c r="B15" t="s">
        <v>26292</v>
      </c>
    </row>
    <row r="16" spans="1:2">
      <c r="A16" s="92">
        <v>45309</v>
      </c>
      <c r="B16" t="s">
        <v>26293</v>
      </c>
    </row>
    <row r="17" spans="1:2">
      <c r="A17" s="92">
        <v>45309</v>
      </c>
      <c r="B17" t="s">
        <v>26294</v>
      </c>
    </row>
    <row r="18" spans="1:2">
      <c r="A18" s="92">
        <v>45309</v>
      </c>
      <c r="B18" t="s">
        <v>26295</v>
      </c>
    </row>
    <row r="19" spans="1:2">
      <c r="A19" s="92">
        <v>45309</v>
      </c>
      <c r="B19" t="s">
        <v>26296</v>
      </c>
    </row>
    <row r="20" spans="1:2">
      <c r="A20" s="92">
        <v>45309</v>
      </c>
      <c r="B20" t="s">
        <v>26297</v>
      </c>
    </row>
    <row r="21" spans="1:2">
      <c r="A21" s="92">
        <v>45314</v>
      </c>
      <c r="B21" t="s">
        <v>26298</v>
      </c>
    </row>
    <row r="22" spans="1:2">
      <c r="A22" s="92">
        <v>45314</v>
      </c>
      <c r="B22" t="s">
        <v>26299</v>
      </c>
    </row>
    <row r="23" spans="1:2">
      <c r="A23" s="92">
        <v>45314</v>
      </c>
      <c r="B23" t="s">
        <v>26300</v>
      </c>
    </row>
    <row r="24" spans="1:2">
      <c r="A24" s="92">
        <v>45314</v>
      </c>
      <c r="B24" t="s">
        <v>26301</v>
      </c>
    </row>
    <row r="25" spans="1:2">
      <c r="A25" s="92">
        <v>45320</v>
      </c>
      <c r="B25" t="s">
        <v>26302</v>
      </c>
    </row>
    <row r="26" spans="1:2">
      <c r="A26" s="92">
        <v>45320</v>
      </c>
      <c r="B26" t="s">
        <v>26303</v>
      </c>
    </row>
    <row r="27" spans="1:2">
      <c r="A27" s="92">
        <v>45320</v>
      </c>
      <c r="B27" t="s">
        <v>26304</v>
      </c>
    </row>
    <row r="28" spans="1:2">
      <c r="A28" s="92">
        <v>45320</v>
      </c>
      <c r="B28" t="s">
        <v>26305</v>
      </c>
    </row>
    <row r="29" spans="1:2">
      <c r="A29" s="92">
        <v>45320</v>
      </c>
      <c r="B29" t="s">
        <v>26306</v>
      </c>
    </row>
    <row r="30" spans="1:2">
      <c r="A30" s="92">
        <v>45320</v>
      </c>
      <c r="B30" t="s">
        <v>26307</v>
      </c>
    </row>
    <row r="31" spans="1:2">
      <c r="A31" s="92">
        <v>45320</v>
      </c>
      <c r="B31" t="s">
        <v>26308</v>
      </c>
    </row>
    <row r="32" spans="1:2">
      <c r="A32" s="92">
        <v>45320</v>
      </c>
      <c r="B32" t="s">
        <v>26309</v>
      </c>
    </row>
    <row r="33" spans="1:2">
      <c r="A33" s="92">
        <v>45321</v>
      </c>
      <c r="B33" t="s">
        <v>26310</v>
      </c>
    </row>
    <row r="34" spans="1:2">
      <c r="A34" s="92">
        <v>45322</v>
      </c>
      <c r="B34" t="s">
        <v>26311</v>
      </c>
    </row>
    <row r="35" spans="1:2">
      <c r="A35" s="92">
        <v>45322</v>
      </c>
      <c r="B35" t="s">
        <v>26312</v>
      </c>
    </row>
    <row r="36" spans="1:2">
      <c r="A36" s="92">
        <v>45322</v>
      </c>
      <c r="B36" t="s">
        <v>26313</v>
      </c>
    </row>
    <row r="37" spans="1:2">
      <c r="A37" s="92">
        <v>45327</v>
      </c>
      <c r="B37" t="s">
        <v>26314</v>
      </c>
    </row>
    <row r="38" spans="1:2">
      <c r="A38" s="92">
        <v>45327</v>
      </c>
      <c r="B38" t="s">
        <v>26315</v>
      </c>
    </row>
    <row r="39" spans="1:2">
      <c r="A39" s="92">
        <v>45327</v>
      </c>
      <c r="B39" t="s">
        <v>26316</v>
      </c>
    </row>
    <row r="40" spans="1:2">
      <c r="A40" s="92">
        <v>45327</v>
      </c>
      <c r="B40" t="s">
        <v>26317</v>
      </c>
    </row>
    <row r="41" spans="1:2">
      <c r="A41" s="92">
        <v>45337</v>
      </c>
      <c r="B41" t="s">
        <v>26318</v>
      </c>
    </row>
    <row r="42" spans="1:2">
      <c r="A42" s="92">
        <v>45344</v>
      </c>
      <c r="B42" t="s">
        <v>26319</v>
      </c>
    </row>
    <row r="43" spans="1:2">
      <c r="A43" s="92">
        <v>45344</v>
      </c>
      <c r="B43" t="s">
        <v>26320</v>
      </c>
    </row>
    <row r="44" spans="1:2">
      <c r="A44" s="92">
        <v>45351</v>
      </c>
      <c r="B44" t="s">
        <v>26321</v>
      </c>
    </row>
    <row r="45" spans="1:2">
      <c r="A45" s="92">
        <v>45351</v>
      </c>
      <c r="B45" t="s">
        <v>26322</v>
      </c>
    </row>
    <row r="46" spans="1:2">
      <c r="A46" s="92">
        <v>45355</v>
      </c>
      <c r="B46" t="s">
        <v>26323</v>
      </c>
    </row>
    <row r="47" spans="1:2">
      <c r="A47" s="157">
        <v>45356</v>
      </c>
      <c r="B47" s="158" t="s">
        <v>25902</v>
      </c>
    </row>
    <row r="48" spans="1:2">
      <c r="A48" s="92">
        <v>45369</v>
      </c>
      <c r="B48" t="s">
        <v>26324</v>
      </c>
    </row>
    <row r="49" spans="1:2">
      <c r="A49" s="92">
        <v>45370</v>
      </c>
      <c r="B49" t="s">
        <v>26325</v>
      </c>
    </row>
    <row r="50" spans="1:2">
      <c r="A50" s="92">
        <v>45376</v>
      </c>
      <c r="B50" t="s">
        <v>26326</v>
      </c>
    </row>
    <row r="51" spans="1:2">
      <c r="A51" s="92">
        <v>45376</v>
      </c>
      <c r="B51" t="s">
        <v>26327</v>
      </c>
    </row>
    <row r="830" spans="10:10"/>
    <row r="965" spans="11:11"/>
    <row r="1388" spans="12:12"/>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50A63-A1C4-4233-89F5-A81312E590F1}">
  <sheetPr>
    <tabColor rgb="FF00B0F0"/>
  </sheetPr>
  <dimension ref="B2:J69"/>
  <sheetViews>
    <sheetView showGridLines="0" workbookViewId="0">
      <selection activeCell="B1" sqref="B1"/>
    </sheetView>
  </sheetViews>
  <sheetFormatPr defaultRowHeight="11.25"/>
  <cols>
    <col min="1" max="1" width="3" customWidth="1"/>
    <col min="2" max="2" width="3.33203125" bestFit="1" customWidth="1"/>
    <col min="3" max="3" width="14.33203125" bestFit="1" customWidth="1"/>
    <col min="4" max="4" width="16.1640625" bestFit="1" customWidth="1"/>
    <col min="5" max="5" width="8.33203125" bestFit="1" customWidth="1"/>
    <col min="6" max="6" width="6" bestFit="1" customWidth="1"/>
    <col min="7" max="7" width="13.33203125" bestFit="1" customWidth="1"/>
    <col min="8" max="8" width="7.6640625" bestFit="1" customWidth="1"/>
    <col min="9" max="9" width="9.6640625" bestFit="1" customWidth="1"/>
    <col min="10" max="10" width="8.83203125" bestFit="1" customWidth="1"/>
  </cols>
  <sheetData>
    <row r="2" spans="2:10">
      <c r="B2" s="4" t="s">
        <v>126</v>
      </c>
      <c r="C2" s="4" t="s">
        <v>3</v>
      </c>
      <c r="D2" s="4" t="s">
        <v>4</v>
      </c>
      <c r="E2" s="4" t="s">
        <v>5</v>
      </c>
      <c r="F2" s="4" t="s">
        <v>6</v>
      </c>
      <c r="G2" s="4" t="s">
        <v>12</v>
      </c>
      <c r="H2" s="4" t="s">
        <v>7</v>
      </c>
      <c r="I2" s="4" t="s">
        <v>127</v>
      </c>
      <c r="J2" s="4" t="s">
        <v>129</v>
      </c>
    </row>
    <row r="3" spans="2:10">
      <c r="B3" s="2">
        <v>1</v>
      </c>
      <c r="C3" s="2" t="s">
        <v>13</v>
      </c>
      <c r="D3" s="2" t="s">
        <v>14</v>
      </c>
      <c r="E3" s="2" t="s">
        <v>15</v>
      </c>
      <c r="F3" s="2">
        <v>3</v>
      </c>
      <c r="G3" s="14" t="s">
        <v>65</v>
      </c>
      <c r="H3" s="2" t="s">
        <v>16</v>
      </c>
      <c r="I3" s="6">
        <v>0</v>
      </c>
      <c r="J3" s="29">
        <v>65000</v>
      </c>
    </row>
    <row r="4" spans="2:10">
      <c r="B4" s="2">
        <v>2</v>
      </c>
      <c r="C4" s="2" t="s">
        <v>18</v>
      </c>
      <c r="D4" s="2" t="s">
        <v>14</v>
      </c>
      <c r="E4" s="2" t="s">
        <v>15</v>
      </c>
      <c r="F4" s="2">
        <v>3</v>
      </c>
      <c r="G4" s="3" t="s">
        <v>65</v>
      </c>
      <c r="H4" s="2" t="s">
        <v>16</v>
      </c>
      <c r="I4" s="6">
        <v>0</v>
      </c>
      <c r="J4" s="985">
        <v>1030555</v>
      </c>
    </row>
    <row r="5" spans="2:10">
      <c r="B5" s="2">
        <v>3</v>
      </c>
      <c r="C5" s="2" t="s">
        <v>20</v>
      </c>
      <c r="D5" s="2" t="s">
        <v>14</v>
      </c>
      <c r="E5" s="2" t="s">
        <v>15</v>
      </c>
      <c r="F5" s="2" t="s">
        <v>21</v>
      </c>
      <c r="G5" s="3" t="s">
        <v>65</v>
      </c>
      <c r="H5" s="2" t="s">
        <v>16</v>
      </c>
      <c r="I5" s="6">
        <v>0</v>
      </c>
      <c r="J5" s="29">
        <v>0</v>
      </c>
    </row>
    <row r="6" spans="2:10">
      <c r="B6" s="2">
        <v>4</v>
      </c>
      <c r="C6" s="2" t="s">
        <v>23</v>
      </c>
      <c r="D6" s="2" t="s">
        <v>14</v>
      </c>
      <c r="E6" s="2" t="s">
        <v>15</v>
      </c>
      <c r="F6" s="2">
        <v>1</v>
      </c>
      <c r="G6" s="3" t="s">
        <v>65</v>
      </c>
      <c r="H6" s="2" t="s">
        <v>16</v>
      </c>
      <c r="I6" s="6">
        <v>0</v>
      </c>
      <c r="J6" s="29">
        <v>35410</v>
      </c>
    </row>
    <row r="7" spans="2:10">
      <c r="B7" s="2">
        <v>5</v>
      </c>
      <c r="C7" s="2" t="s">
        <v>25</v>
      </c>
      <c r="D7" s="2" t="s">
        <v>14</v>
      </c>
      <c r="E7" s="2" t="s">
        <v>15</v>
      </c>
      <c r="F7" s="2" t="s">
        <v>21</v>
      </c>
      <c r="G7" s="3" t="s">
        <v>65</v>
      </c>
      <c r="H7" s="2" t="s">
        <v>16</v>
      </c>
      <c r="I7" s="6">
        <v>0</v>
      </c>
      <c r="J7" s="29">
        <v>0</v>
      </c>
    </row>
    <row r="8" spans="2:10">
      <c r="B8" s="2">
        <v>6</v>
      </c>
      <c r="C8" s="2" t="s">
        <v>27</v>
      </c>
      <c r="D8" s="2" t="s">
        <v>14</v>
      </c>
      <c r="E8" s="2" t="s">
        <v>15</v>
      </c>
      <c r="F8" s="2" t="s">
        <v>21</v>
      </c>
      <c r="G8" s="3" t="s">
        <v>65</v>
      </c>
      <c r="H8" s="2" t="s">
        <v>16</v>
      </c>
      <c r="I8" s="6">
        <v>0</v>
      </c>
      <c r="J8" s="29">
        <v>1200</v>
      </c>
    </row>
    <row r="9" spans="2:10">
      <c r="B9" s="2">
        <v>7</v>
      </c>
      <c r="C9" s="2" t="s">
        <v>29</v>
      </c>
      <c r="D9" s="2" t="s">
        <v>14</v>
      </c>
      <c r="E9" s="2" t="s">
        <v>15</v>
      </c>
      <c r="F9" s="2">
        <v>1</v>
      </c>
      <c r="G9" s="3" t="s">
        <v>65</v>
      </c>
      <c r="H9" s="2" t="s">
        <v>16</v>
      </c>
      <c r="I9" s="6">
        <v>0</v>
      </c>
      <c r="J9" s="29">
        <v>42000</v>
      </c>
    </row>
    <row r="10" spans="2:10">
      <c r="B10" s="2">
        <v>8</v>
      </c>
      <c r="C10" s="2" t="s">
        <v>31</v>
      </c>
      <c r="D10" s="2" t="s">
        <v>14</v>
      </c>
      <c r="E10" s="2" t="s">
        <v>15</v>
      </c>
      <c r="F10" s="2">
        <v>2</v>
      </c>
      <c r="G10" s="3" t="s">
        <v>65</v>
      </c>
      <c r="H10" s="2" t="s">
        <v>16</v>
      </c>
      <c r="I10" s="6">
        <v>0</v>
      </c>
      <c r="J10" s="29">
        <v>20000</v>
      </c>
    </row>
    <row r="11" spans="2:10">
      <c r="B11" s="2">
        <v>9</v>
      </c>
      <c r="C11" s="2" t="s">
        <v>33</v>
      </c>
      <c r="D11" s="2" t="s">
        <v>14</v>
      </c>
      <c r="E11" s="2" t="s">
        <v>15</v>
      </c>
      <c r="F11" s="2">
        <v>1</v>
      </c>
      <c r="G11" s="3" t="s">
        <v>65</v>
      </c>
      <c r="H11" s="2" t="s">
        <v>16</v>
      </c>
      <c r="I11" s="6">
        <v>0</v>
      </c>
      <c r="J11" s="29">
        <v>63580</v>
      </c>
    </row>
    <row r="12" spans="2:10">
      <c r="B12" s="2">
        <v>10</v>
      </c>
      <c r="C12" s="2" t="s">
        <v>35</v>
      </c>
      <c r="D12" s="2" t="s">
        <v>14</v>
      </c>
      <c r="E12" s="2" t="s">
        <v>15</v>
      </c>
      <c r="F12" s="2">
        <v>1</v>
      </c>
      <c r="G12" s="3" t="s">
        <v>65</v>
      </c>
      <c r="H12" s="2" t="s">
        <v>16</v>
      </c>
      <c r="I12" s="6">
        <v>0</v>
      </c>
      <c r="J12" s="29">
        <v>2000</v>
      </c>
    </row>
    <row r="13" spans="2:10">
      <c r="B13" s="2">
        <v>11</v>
      </c>
      <c r="C13" s="2" t="s">
        <v>37</v>
      </c>
      <c r="D13" s="2" t="s">
        <v>14</v>
      </c>
      <c r="E13" s="2" t="s">
        <v>15</v>
      </c>
      <c r="F13" s="2">
        <v>1</v>
      </c>
      <c r="G13" s="3" t="s">
        <v>65</v>
      </c>
      <c r="H13" s="2" t="s">
        <v>16</v>
      </c>
      <c r="I13" s="6">
        <v>0</v>
      </c>
      <c r="J13" s="29">
        <v>12000</v>
      </c>
    </row>
    <row r="14" spans="2:10">
      <c r="B14" s="2">
        <v>12</v>
      </c>
      <c r="C14" s="2" t="s">
        <v>39</v>
      </c>
      <c r="D14" s="2" t="s">
        <v>14</v>
      </c>
      <c r="E14" s="2" t="s">
        <v>15</v>
      </c>
      <c r="F14" s="2">
        <v>1</v>
      </c>
      <c r="G14" s="3" t="s">
        <v>65</v>
      </c>
      <c r="H14" s="2" t="s">
        <v>16</v>
      </c>
      <c r="I14" s="6">
        <v>0</v>
      </c>
      <c r="J14" s="29">
        <v>15000</v>
      </c>
    </row>
    <row r="15" spans="2:10">
      <c r="B15" s="2">
        <v>13</v>
      </c>
      <c r="C15" s="2" t="s">
        <v>41</v>
      </c>
      <c r="D15" s="2" t="s">
        <v>14</v>
      </c>
      <c r="E15" s="2" t="s">
        <v>15</v>
      </c>
      <c r="F15" s="2">
        <v>1</v>
      </c>
      <c r="G15" s="3" t="s">
        <v>65</v>
      </c>
      <c r="H15" s="2" t="s">
        <v>16</v>
      </c>
      <c r="I15" s="6">
        <v>0</v>
      </c>
      <c r="J15" s="29">
        <v>15006.22</v>
      </c>
    </row>
    <row r="16" spans="2:10">
      <c r="B16" s="2">
        <v>14</v>
      </c>
      <c r="C16" s="2" t="s">
        <v>43</v>
      </c>
      <c r="D16" s="2" t="s">
        <v>14</v>
      </c>
      <c r="E16" s="2" t="s">
        <v>15</v>
      </c>
      <c r="F16" s="2" t="s">
        <v>21</v>
      </c>
      <c r="G16" s="3" t="s">
        <v>65</v>
      </c>
      <c r="H16" s="2" t="s">
        <v>16</v>
      </c>
      <c r="I16" s="6">
        <v>0</v>
      </c>
      <c r="J16" s="29">
        <v>0</v>
      </c>
    </row>
    <row r="17" spans="2:10">
      <c r="B17" s="2">
        <v>15</v>
      </c>
      <c r="C17" s="2" t="s">
        <v>45</v>
      </c>
      <c r="D17" s="2" t="s">
        <v>14</v>
      </c>
      <c r="E17" s="2" t="s">
        <v>15</v>
      </c>
      <c r="F17" s="2">
        <v>2</v>
      </c>
      <c r="G17" s="3" t="s">
        <v>65</v>
      </c>
      <c r="H17" s="2" t="s">
        <v>16</v>
      </c>
      <c r="I17" s="6">
        <v>0</v>
      </c>
      <c r="J17" s="29">
        <v>93000</v>
      </c>
    </row>
    <row r="18" spans="2:10">
      <c r="B18" s="2">
        <v>16</v>
      </c>
      <c r="C18" s="2" t="s">
        <v>47</v>
      </c>
      <c r="D18" s="2" t="s">
        <v>48</v>
      </c>
      <c r="E18" s="2" t="s">
        <v>49</v>
      </c>
      <c r="F18" s="2">
        <v>1</v>
      </c>
      <c r="G18" s="3" t="s">
        <v>65</v>
      </c>
      <c r="H18" s="2" t="s">
        <v>50</v>
      </c>
      <c r="I18" s="6">
        <v>0</v>
      </c>
      <c r="J18" s="29">
        <v>5000</v>
      </c>
    </row>
    <row r="19" spans="2:10">
      <c r="B19" s="2">
        <v>17</v>
      </c>
      <c r="C19" s="2" t="s">
        <v>52</v>
      </c>
      <c r="D19" s="2" t="s">
        <v>48</v>
      </c>
      <c r="E19" s="2" t="s">
        <v>49</v>
      </c>
      <c r="F19" s="2">
        <v>1</v>
      </c>
      <c r="G19" s="3" t="s">
        <v>65</v>
      </c>
      <c r="H19" s="2" t="s">
        <v>50</v>
      </c>
      <c r="I19" s="6">
        <v>0</v>
      </c>
      <c r="J19" s="29">
        <v>5000</v>
      </c>
    </row>
    <row r="20" spans="2:10">
      <c r="B20" s="2">
        <v>18</v>
      </c>
      <c r="C20" s="2" t="s">
        <v>54</v>
      </c>
      <c r="D20" s="2" t="s">
        <v>48</v>
      </c>
      <c r="E20" s="2" t="s">
        <v>49</v>
      </c>
      <c r="F20" s="2" t="s">
        <v>21</v>
      </c>
      <c r="G20" s="3" t="s">
        <v>65</v>
      </c>
      <c r="H20" s="2" t="s">
        <v>50</v>
      </c>
      <c r="I20" s="6">
        <v>0</v>
      </c>
      <c r="J20" s="29">
        <v>0</v>
      </c>
    </row>
    <row r="21" spans="2:10">
      <c r="B21" s="2">
        <v>19</v>
      </c>
      <c r="C21" s="2" t="s">
        <v>56</v>
      </c>
      <c r="D21" s="2" t="s">
        <v>48</v>
      </c>
      <c r="E21" s="2" t="s">
        <v>49</v>
      </c>
      <c r="F21" s="2" t="s">
        <v>21</v>
      </c>
      <c r="G21" s="3" t="s">
        <v>65</v>
      </c>
      <c r="H21" s="2" t="s">
        <v>50</v>
      </c>
      <c r="I21" s="6">
        <v>0</v>
      </c>
      <c r="J21" s="29">
        <v>0</v>
      </c>
    </row>
    <row r="22" spans="2:10">
      <c r="B22" s="2">
        <v>20</v>
      </c>
      <c r="C22" s="2" t="s">
        <v>58</v>
      </c>
      <c r="D22" s="2" t="s">
        <v>48</v>
      </c>
      <c r="E22" s="2" t="s">
        <v>49</v>
      </c>
      <c r="F22" s="2" t="s">
        <v>21</v>
      </c>
      <c r="G22" s="3" t="s">
        <v>65</v>
      </c>
      <c r="H22" s="2" t="s">
        <v>50</v>
      </c>
      <c r="I22" s="6">
        <v>0</v>
      </c>
      <c r="J22" s="29">
        <v>0</v>
      </c>
    </row>
    <row r="23" spans="2:10">
      <c r="B23" s="2">
        <v>21</v>
      </c>
      <c r="C23" s="2" t="s">
        <v>60</v>
      </c>
      <c r="D23" s="2" t="s">
        <v>48</v>
      </c>
      <c r="E23" s="2" t="s">
        <v>49</v>
      </c>
      <c r="F23" s="2">
        <v>1</v>
      </c>
      <c r="G23" s="3" t="s">
        <v>65</v>
      </c>
      <c r="H23" s="2" t="s">
        <v>50</v>
      </c>
      <c r="I23" s="6">
        <v>0</v>
      </c>
      <c r="J23" s="29">
        <v>5000</v>
      </c>
    </row>
    <row r="24" spans="2:10">
      <c r="B24" s="2">
        <v>22</v>
      </c>
      <c r="C24" s="2" t="s">
        <v>62</v>
      </c>
      <c r="D24" s="2" t="s">
        <v>48</v>
      </c>
      <c r="E24" s="2" t="s">
        <v>49</v>
      </c>
      <c r="F24" s="2">
        <v>1</v>
      </c>
      <c r="G24" s="3" t="s">
        <v>65</v>
      </c>
      <c r="H24" s="2" t="s">
        <v>50</v>
      </c>
      <c r="I24" s="6">
        <v>0</v>
      </c>
      <c r="J24" s="29">
        <v>5000</v>
      </c>
    </row>
    <row r="25" spans="2:10">
      <c r="B25" s="2">
        <v>23</v>
      </c>
      <c r="C25" s="2" t="s">
        <v>64</v>
      </c>
      <c r="D25" s="2" t="s">
        <v>48</v>
      </c>
      <c r="E25" s="2" t="s">
        <v>49</v>
      </c>
      <c r="F25" s="2">
        <v>3</v>
      </c>
      <c r="G25" s="3" t="s">
        <v>65</v>
      </c>
      <c r="H25" s="2" t="s">
        <v>50</v>
      </c>
      <c r="I25" s="6">
        <v>0</v>
      </c>
      <c r="J25" s="29">
        <v>92900</v>
      </c>
    </row>
    <row r="26" spans="2:10">
      <c r="B26" s="94">
        <v>24</v>
      </c>
      <c r="C26" s="94" t="s">
        <v>66</v>
      </c>
      <c r="D26" s="2" t="s">
        <v>48</v>
      </c>
      <c r="E26" s="94" t="s">
        <v>49</v>
      </c>
      <c r="F26" s="94">
        <v>3</v>
      </c>
      <c r="G26" s="3" t="s">
        <v>65</v>
      </c>
      <c r="H26" s="2" t="s">
        <v>50</v>
      </c>
      <c r="I26" s="6">
        <v>0</v>
      </c>
      <c r="J26" s="29">
        <v>15000</v>
      </c>
    </row>
    <row r="27" spans="2:10">
      <c r="B27" s="2">
        <v>25</v>
      </c>
      <c r="C27" s="2" t="s">
        <v>68</v>
      </c>
      <c r="D27" s="2" t="s">
        <v>48</v>
      </c>
      <c r="E27" s="2" t="s">
        <v>49</v>
      </c>
      <c r="F27" s="2">
        <v>2</v>
      </c>
      <c r="G27" s="3" t="s">
        <v>65</v>
      </c>
      <c r="H27" s="2" t="s">
        <v>50</v>
      </c>
      <c r="I27" s="6">
        <v>0</v>
      </c>
      <c r="J27" s="29">
        <v>40000</v>
      </c>
    </row>
    <row r="28" spans="2:10">
      <c r="B28" s="2">
        <v>26</v>
      </c>
      <c r="C28" s="2" t="s">
        <v>70</v>
      </c>
      <c r="D28" s="2" t="s">
        <v>48</v>
      </c>
      <c r="E28" s="2" t="s">
        <v>49</v>
      </c>
      <c r="F28" s="2">
        <v>2</v>
      </c>
      <c r="G28" s="3" t="s">
        <v>65</v>
      </c>
      <c r="H28" s="2" t="s">
        <v>50</v>
      </c>
      <c r="I28" s="6">
        <v>0</v>
      </c>
      <c r="J28" s="29">
        <v>49800</v>
      </c>
    </row>
    <row r="29" spans="2:10">
      <c r="B29" s="2">
        <v>27</v>
      </c>
      <c r="C29" s="2" t="s">
        <v>72</v>
      </c>
      <c r="D29" s="2" t="s">
        <v>48</v>
      </c>
      <c r="E29" s="2" t="s">
        <v>49</v>
      </c>
      <c r="F29" s="2">
        <v>1</v>
      </c>
      <c r="G29" s="3" t="s">
        <v>65</v>
      </c>
      <c r="H29" s="2" t="s">
        <v>50</v>
      </c>
      <c r="I29" s="6"/>
      <c r="J29" s="29">
        <v>5000</v>
      </c>
    </row>
    <row r="30" spans="2:10">
      <c r="B30" s="2">
        <v>28</v>
      </c>
      <c r="C30" s="2" t="s">
        <v>74</v>
      </c>
      <c r="D30" s="2" t="s">
        <v>48</v>
      </c>
      <c r="E30" s="2" t="s">
        <v>49</v>
      </c>
      <c r="F30" s="2">
        <v>1</v>
      </c>
      <c r="G30" s="3" t="s">
        <v>65</v>
      </c>
      <c r="H30" s="2" t="s">
        <v>50</v>
      </c>
      <c r="I30" s="6">
        <v>0</v>
      </c>
      <c r="J30" s="29">
        <v>25000</v>
      </c>
    </row>
    <row r="31" spans="2:10">
      <c r="B31" s="2">
        <v>29</v>
      </c>
      <c r="C31" s="2" t="s">
        <v>76</v>
      </c>
      <c r="D31" s="2" t="s">
        <v>48</v>
      </c>
      <c r="E31" s="2" t="s">
        <v>49</v>
      </c>
      <c r="F31" s="2">
        <v>1</v>
      </c>
      <c r="G31" s="3" t="s">
        <v>65</v>
      </c>
      <c r="H31" s="2" t="s">
        <v>50</v>
      </c>
      <c r="I31" s="6">
        <v>0</v>
      </c>
      <c r="J31" s="29">
        <v>20000</v>
      </c>
    </row>
    <row r="32" spans="2:10">
      <c r="B32" s="2">
        <v>30</v>
      </c>
      <c r="C32" s="2" t="s">
        <v>78</v>
      </c>
      <c r="D32" s="2" t="s">
        <v>48</v>
      </c>
      <c r="E32" s="2" t="s">
        <v>49</v>
      </c>
      <c r="F32" s="2">
        <v>1</v>
      </c>
      <c r="G32" s="3" t="s">
        <v>65</v>
      </c>
      <c r="H32" s="2" t="s">
        <v>50</v>
      </c>
      <c r="I32" s="6">
        <v>0</v>
      </c>
      <c r="J32" s="29">
        <v>104000</v>
      </c>
    </row>
    <row r="33" spans="2:10">
      <c r="B33" s="2">
        <v>31</v>
      </c>
      <c r="C33" s="2" t="s">
        <v>80</v>
      </c>
      <c r="D33" s="2" t="s">
        <v>48</v>
      </c>
      <c r="E33" s="2" t="s">
        <v>49</v>
      </c>
      <c r="F33" s="2">
        <v>3</v>
      </c>
      <c r="G33" s="3" t="s">
        <v>65</v>
      </c>
      <c r="H33" s="2" t="s">
        <v>50</v>
      </c>
      <c r="I33" s="6">
        <v>0</v>
      </c>
      <c r="J33" s="29">
        <v>0</v>
      </c>
    </row>
    <row r="34" spans="2:10">
      <c r="B34" s="2">
        <v>32</v>
      </c>
      <c r="C34" s="2" t="s">
        <v>82</v>
      </c>
      <c r="D34" s="2" t="s">
        <v>48</v>
      </c>
      <c r="E34" s="2" t="s">
        <v>49</v>
      </c>
      <c r="F34" s="2">
        <v>3</v>
      </c>
      <c r="G34" s="3" t="s">
        <v>65</v>
      </c>
      <c r="H34" s="2" t="s">
        <v>50</v>
      </c>
      <c r="I34" s="6">
        <v>0</v>
      </c>
      <c r="J34" s="29">
        <v>0</v>
      </c>
    </row>
    <row r="35" spans="2:10">
      <c r="B35" s="2">
        <v>33</v>
      </c>
      <c r="C35" s="2" t="s">
        <v>84</v>
      </c>
      <c r="D35" s="2" t="s">
        <v>48</v>
      </c>
      <c r="E35" s="2" t="s">
        <v>49</v>
      </c>
      <c r="F35" s="2">
        <v>2</v>
      </c>
      <c r="G35" s="3" t="s">
        <v>65</v>
      </c>
      <c r="H35" s="2" t="s">
        <v>50</v>
      </c>
      <c r="I35" s="6">
        <v>0</v>
      </c>
      <c r="J35" s="29">
        <v>10000</v>
      </c>
    </row>
    <row r="36" spans="2:10">
      <c r="B36" s="2">
        <v>34</v>
      </c>
      <c r="C36" s="2" t="s">
        <v>86</v>
      </c>
      <c r="D36" s="2" t="s">
        <v>48</v>
      </c>
      <c r="E36" s="2" t="s">
        <v>49</v>
      </c>
      <c r="F36" s="2">
        <v>3</v>
      </c>
      <c r="G36" s="3" t="s">
        <v>65</v>
      </c>
      <c r="H36" s="2" t="s">
        <v>50</v>
      </c>
      <c r="I36" s="6">
        <v>0</v>
      </c>
      <c r="J36" s="29">
        <v>10000</v>
      </c>
    </row>
    <row r="37" spans="2:10">
      <c r="B37" s="2">
        <v>35</v>
      </c>
      <c r="C37" s="2" t="s">
        <v>88</v>
      </c>
      <c r="D37" s="2" t="s">
        <v>89</v>
      </c>
      <c r="E37" s="2" t="s">
        <v>90</v>
      </c>
      <c r="F37" s="2">
        <v>3</v>
      </c>
      <c r="G37" s="3" t="s">
        <v>65</v>
      </c>
      <c r="H37" s="2" t="s">
        <v>91</v>
      </c>
      <c r="I37" s="6">
        <v>0</v>
      </c>
      <c r="J37" s="29">
        <v>280656.12</v>
      </c>
    </row>
    <row r="38" spans="2:10">
      <c r="B38" s="2">
        <v>36</v>
      </c>
      <c r="C38" s="2" t="s">
        <v>93</v>
      </c>
      <c r="D38" s="2" t="s">
        <v>48</v>
      </c>
      <c r="E38" s="2" t="s">
        <v>49</v>
      </c>
      <c r="F38" s="2">
        <v>3</v>
      </c>
      <c r="G38" s="3" t="s">
        <v>65</v>
      </c>
      <c r="H38" s="2" t="s">
        <v>50</v>
      </c>
      <c r="I38" s="6">
        <v>0</v>
      </c>
      <c r="J38" s="29">
        <v>184500</v>
      </c>
    </row>
    <row r="39" spans="2:10">
      <c r="B39" s="2">
        <v>37</v>
      </c>
      <c r="C39" s="2" t="s">
        <v>95</v>
      </c>
      <c r="D39" s="2" t="s">
        <v>48</v>
      </c>
      <c r="E39" s="2" t="s">
        <v>49</v>
      </c>
      <c r="F39" s="2">
        <v>3</v>
      </c>
      <c r="G39" s="3" t="s">
        <v>65</v>
      </c>
      <c r="H39" s="2" t="s">
        <v>50</v>
      </c>
      <c r="I39" s="6">
        <v>0</v>
      </c>
      <c r="J39" s="29">
        <v>34500</v>
      </c>
    </row>
    <row r="40" spans="2:10">
      <c r="B40" s="2">
        <v>38</v>
      </c>
      <c r="C40" s="2" t="s">
        <v>97</v>
      </c>
      <c r="D40" s="2" t="s">
        <v>98</v>
      </c>
      <c r="E40" s="2" t="s">
        <v>99</v>
      </c>
      <c r="F40" s="2">
        <v>2</v>
      </c>
      <c r="G40" s="3" t="s">
        <v>65</v>
      </c>
      <c r="H40" s="2" t="s">
        <v>91</v>
      </c>
      <c r="I40" s="6">
        <v>0</v>
      </c>
      <c r="J40" s="29">
        <v>241506</v>
      </c>
    </row>
    <row r="41" spans="2:10">
      <c r="B41" s="2">
        <v>39</v>
      </c>
      <c r="C41" s="2" t="s">
        <v>100</v>
      </c>
      <c r="D41" s="2" t="s">
        <v>89</v>
      </c>
      <c r="E41" s="2" t="s">
        <v>90</v>
      </c>
      <c r="F41" s="2">
        <v>1</v>
      </c>
      <c r="G41" s="3" t="s">
        <v>65</v>
      </c>
      <c r="H41" s="2" t="s">
        <v>91</v>
      </c>
      <c r="I41" s="6">
        <v>0</v>
      </c>
      <c r="J41" s="29">
        <v>75000</v>
      </c>
    </row>
    <row r="42" spans="2:10">
      <c r="B42" s="2">
        <v>40</v>
      </c>
      <c r="C42" s="2" t="s">
        <v>101</v>
      </c>
      <c r="D42" s="2" t="s">
        <v>89</v>
      </c>
      <c r="E42" s="2" t="s">
        <v>90</v>
      </c>
      <c r="F42" s="2" t="s">
        <v>21</v>
      </c>
      <c r="G42" s="3" t="s">
        <v>65</v>
      </c>
      <c r="H42" s="2" t="s">
        <v>91</v>
      </c>
      <c r="I42" s="6">
        <v>0</v>
      </c>
      <c r="J42" s="29">
        <v>0</v>
      </c>
    </row>
    <row r="43" spans="2:10">
      <c r="B43" s="2">
        <v>41</v>
      </c>
      <c r="C43" s="2" t="s">
        <v>102</v>
      </c>
      <c r="D43" s="2" t="s">
        <v>98</v>
      </c>
      <c r="E43" s="2" t="s">
        <v>99</v>
      </c>
      <c r="F43" s="2" t="s">
        <v>21</v>
      </c>
      <c r="G43" s="3" t="s">
        <v>65</v>
      </c>
      <c r="H43" s="2" t="s">
        <v>91</v>
      </c>
      <c r="I43" s="6">
        <v>0</v>
      </c>
      <c r="J43" s="29">
        <v>0</v>
      </c>
    </row>
    <row r="44" spans="2:10">
      <c r="B44" s="2">
        <v>42</v>
      </c>
      <c r="C44" s="2" t="s">
        <v>103</v>
      </c>
      <c r="D44" s="2" t="s">
        <v>89</v>
      </c>
      <c r="E44" s="2" t="s">
        <v>90</v>
      </c>
      <c r="F44" s="2">
        <v>2</v>
      </c>
      <c r="G44" s="3" t="s">
        <v>65</v>
      </c>
      <c r="H44" s="2" t="s">
        <v>91</v>
      </c>
      <c r="I44" s="6">
        <v>0</v>
      </c>
      <c r="J44" s="29">
        <v>255360</v>
      </c>
    </row>
    <row r="45" spans="2:10">
      <c r="B45" s="2">
        <v>43</v>
      </c>
      <c r="C45" s="2" t="s">
        <v>104</v>
      </c>
      <c r="D45" s="2" t="s">
        <v>98</v>
      </c>
      <c r="E45" s="2" t="s">
        <v>99</v>
      </c>
      <c r="F45" s="2">
        <v>2</v>
      </c>
      <c r="G45" s="3" t="s">
        <v>65</v>
      </c>
      <c r="H45" s="2" t="s">
        <v>91</v>
      </c>
      <c r="I45" s="6">
        <v>0</v>
      </c>
      <c r="J45" s="29">
        <v>153500</v>
      </c>
    </row>
    <row r="46" spans="2:10">
      <c r="B46" s="2">
        <v>44</v>
      </c>
      <c r="C46" s="2" t="s">
        <v>105</v>
      </c>
      <c r="D46" s="2" t="s">
        <v>89</v>
      </c>
      <c r="E46" s="2" t="s">
        <v>90</v>
      </c>
      <c r="F46" s="2" t="s">
        <v>21</v>
      </c>
      <c r="G46" s="3" t="s">
        <v>65</v>
      </c>
      <c r="H46" s="2" t="s">
        <v>91</v>
      </c>
      <c r="I46" s="6">
        <v>0</v>
      </c>
      <c r="J46" s="29">
        <v>0</v>
      </c>
    </row>
    <row r="47" spans="2:10">
      <c r="B47" s="2">
        <v>45</v>
      </c>
      <c r="C47" s="2" t="s">
        <v>106</v>
      </c>
      <c r="D47" s="2" t="s">
        <v>98</v>
      </c>
      <c r="E47" s="2" t="s">
        <v>99</v>
      </c>
      <c r="F47" s="2" t="s">
        <v>21</v>
      </c>
      <c r="G47" s="3" t="s">
        <v>65</v>
      </c>
      <c r="H47" s="2" t="s">
        <v>91</v>
      </c>
      <c r="I47" s="6">
        <v>0</v>
      </c>
      <c r="J47" s="29">
        <v>0</v>
      </c>
    </row>
    <row r="48" spans="2:10">
      <c r="B48" s="2">
        <v>46</v>
      </c>
      <c r="C48" s="2" t="s">
        <v>107</v>
      </c>
      <c r="D48" s="2" t="s">
        <v>89</v>
      </c>
      <c r="E48" s="2" t="s">
        <v>90</v>
      </c>
      <c r="F48" s="2">
        <v>1</v>
      </c>
      <c r="G48" s="3" t="s">
        <v>65</v>
      </c>
      <c r="H48" s="2" t="s">
        <v>91</v>
      </c>
      <c r="I48" s="6">
        <v>0</v>
      </c>
      <c r="J48" s="29">
        <v>33500</v>
      </c>
    </row>
    <row r="49" spans="2:10">
      <c r="B49" s="2">
        <v>47</v>
      </c>
      <c r="C49" s="2" t="s">
        <v>108</v>
      </c>
      <c r="D49" s="2" t="s">
        <v>89</v>
      </c>
      <c r="E49" s="2" t="s">
        <v>90</v>
      </c>
      <c r="F49" s="2" t="s">
        <v>21</v>
      </c>
      <c r="G49" s="3" t="s">
        <v>65</v>
      </c>
      <c r="H49" s="2" t="s">
        <v>91</v>
      </c>
      <c r="I49" s="6">
        <v>0</v>
      </c>
      <c r="J49" s="29">
        <v>0</v>
      </c>
    </row>
    <row r="50" spans="2:10">
      <c r="B50" s="2">
        <v>48</v>
      </c>
      <c r="C50" s="2" t="s">
        <v>109</v>
      </c>
      <c r="D50" s="2" t="s">
        <v>98</v>
      </c>
      <c r="E50" s="2" t="s">
        <v>99</v>
      </c>
      <c r="F50" s="2" t="s">
        <v>21</v>
      </c>
      <c r="G50" s="3" t="s">
        <v>65</v>
      </c>
      <c r="H50" s="2" t="s">
        <v>91</v>
      </c>
      <c r="I50" s="6">
        <v>0</v>
      </c>
      <c r="J50" s="29">
        <v>0</v>
      </c>
    </row>
    <row r="51" spans="2:10">
      <c r="B51" s="2">
        <v>49</v>
      </c>
      <c r="C51" s="2" t="s">
        <v>110</v>
      </c>
      <c r="D51" s="2" t="s">
        <v>98</v>
      </c>
      <c r="E51" s="2" t="s">
        <v>99</v>
      </c>
      <c r="F51" s="2">
        <v>1</v>
      </c>
      <c r="G51" s="3" t="s">
        <v>65</v>
      </c>
      <c r="H51" s="2" t="s">
        <v>91</v>
      </c>
      <c r="I51" s="6">
        <v>0</v>
      </c>
      <c r="J51" s="29">
        <v>84949.150000000023</v>
      </c>
    </row>
    <row r="52" spans="2:10">
      <c r="B52" s="2">
        <v>50</v>
      </c>
      <c r="C52" s="2" t="s">
        <v>111</v>
      </c>
      <c r="D52" s="2" t="s">
        <v>98</v>
      </c>
      <c r="E52" s="2" t="s">
        <v>99</v>
      </c>
      <c r="F52" s="2">
        <v>3</v>
      </c>
      <c r="G52" s="3" t="s">
        <v>65</v>
      </c>
      <c r="H52" s="2" t="s">
        <v>91</v>
      </c>
      <c r="I52" s="6">
        <v>0</v>
      </c>
      <c r="J52" s="29">
        <v>245000</v>
      </c>
    </row>
    <row r="53" spans="2:10">
      <c r="B53" s="2">
        <v>51</v>
      </c>
      <c r="C53" s="2" t="s">
        <v>112</v>
      </c>
      <c r="D53" s="2" t="s">
        <v>89</v>
      </c>
      <c r="E53" s="2" t="s">
        <v>90</v>
      </c>
      <c r="F53" s="2">
        <v>3</v>
      </c>
      <c r="G53" s="3" t="s">
        <v>65</v>
      </c>
      <c r="H53" s="2" t="s">
        <v>91</v>
      </c>
      <c r="I53" s="6">
        <v>0</v>
      </c>
      <c r="J53" s="29">
        <v>102858</v>
      </c>
    </row>
    <row r="54" spans="2:10">
      <c r="B54" s="2">
        <v>52</v>
      </c>
      <c r="C54" s="2" t="s">
        <v>113</v>
      </c>
      <c r="D54" s="2" t="s">
        <v>89</v>
      </c>
      <c r="E54" s="2" t="s">
        <v>90</v>
      </c>
      <c r="F54" s="2">
        <v>2</v>
      </c>
      <c r="G54" s="3" t="s">
        <v>65</v>
      </c>
      <c r="H54" s="2" t="s">
        <v>91</v>
      </c>
      <c r="I54" s="6">
        <v>0</v>
      </c>
      <c r="J54" s="29">
        <v>989775</v>
      </c>
    </row>
    <row r="55" spans="2:10">
      <c r="B55" s="2">
        <v>53</v>
      </c>
      <c r="C55" s="2" t="s">
        <v>114</v>
      </c>
      <c r="D55" s="2" t="s">
        <v>89</v>
      </c>
      <c r="E55" s="2" t="s">
        <v>90</v>
      </c>
      <c r="F55" s="2" t="s">
        <v>115</v>
      </c>
      <c r="G55" s="3" t="s">
        <v>65</v>
      </c>
      <c r="H55" s="2" t="s">
        <v>91</v>
      </c>
      <c r="I55" s="6">
        <v>0</v>
      </c>
      <c r="J55" s="29">
        <v>5000</v>
      </c>
    </row>
    <row r="56" spans="2:10">
      <c r="B56" s="2">
        <v>54</v>
      </c>
      <c r="C56" s="2" t="s">
        <v>116</v>
      </c>
      <c r="D56" s="2" t="s">
        <v>98</v>
      </c>
      <c r="E56" s="2" t="s">
        <v>99</v>
      </c>
      <c r="F56" s="2" t="s">
        <v>115</v>
      </c>
      <c r="G56" s="3" t="s">
        <v>65</v>
      </c>
      <c r="H56" s="2" t="s">
        <v>91</v>
      </c>
      <c r="I56" s="6">
        <v>0</v>
      </c>
      <c r="J56" s="29">
        <v>5000</v>
      </c>
    </row>
    <row r="57" spans="2:10">
      <c r="B57" s="2">
        <v>55</v>
      </c>
      <c r="C57" s="2" t="s">
        <v>117</v>
      </c>
      <c r="D57" s="2" t="s">
        <v>89</v>
      </c>
      <c r="E57" s="2" t="s">
        <v>90</v>
      </c>
      <c r="F57" s="2">
        <v>3</v>
      </c>
      <c r="G57" s="3" t="s">
        <v>65</v>
      </c>
      <c r="H57" s="2" t="s">
        <v>91</v>
      </c>
      <c r="I57" s="6">
        <v>0</v>
      </c>
      <c r="J57" s="29">
        <v>10000</v>
      </c>
    </row>
    <row r="58" spans="2:10">
      <c r="B58" s="2">
        <v>56</v>
      </c>
      <c r="C58" s="2" t="s">
        <v>118</v>
      </c>
      <c r="D58" s="2" t="s">
        <v>98</v>
      </c>
      <c r="E58" s="2" t="s">
        <v>99</v>
      </c>
      <c r="F58" s="2" t="s">
        <v>21</v>
      </c>
      <c r="G58" s="3" t="s">
        <v>65</v>
      </c>
      <c r="H58" s="2" t="s">
        <v>91</v>
      </c>
      <c r="I58" s="6">
        <v>0</v>
      </c>
      <c r="J58" s="29">
        <v>5000</v>
      </c>
    </row>
    <row r="59" spans="2:10">
      <c r="B59" s="2">
        <v>57</v>
      </c>
      <c r="C59" s="2" t="s">
        <v>119</v>
      </c>
      <c r="D59" s="2" t="s">
        <v>89</v>
      </c>
      <c r="E59" s="2" t="s">
        <v>90</v>
      </c>
      <c r="F59" s="2">
        <v>1</v>
      </c>
      <c r="G59" s="3" t="s">
        <v>65</v>
      </c>
      <c r="H59" s="2" t="s">
        <v>91</v>
      </c>
      <c r="I59" s="6">
        <v>0</v>
      </c>
      <c r="J59" s="29"/>
    </row>
    <row r="60" spans="2:10">
      <c r="B60" s="2">
        <v>58</v>
      </c>
      <c r="C60" s="2" t="s">
        <v>120</v>
      </c>
      <c r="D60" s="2" t="s">
        <v>98</v>
      </c>
      <c r="E60" s="2" t="s">
        <v>99</v>
      </c>
      <c r="F60" s="2">
        <v>1</v>
      </c>
      <c r="G60" s="3" t="s">
        <v>65</v>
      </c>
      <c r="H60" s="2" t="s">
        <v>91</v>
      </c>
      <c r="I60" s="6">
        <v>0</v>
      </c>
      <c r="J60" s="29"/>
    </row>
    <row r="61" spans="2:10">
      <c r="B61" s="2">
        <v>59</v>
      </c>
      <c r="C61" s="2" t="s">
        <v>121</v>
      </c>
      <c r="D61" s="2" t="s">
        <v>89</v>
      </c>
      <c r="E61" s="2" t="s">
        <v>90</v>
      </c>
      <c r="F61" s="2">
        <v>1</v>
      </c>
      <c r="G61" s="3" t="s">
        <v>65</v>
      </c>
      <c r="H61" s="2" t="s">
        <v>91</v>
      </c>
      <c r="I61" s="6">
        <v>0</v>
      </c>
      <c r="J61" s="29">
        <v>25000</v>
      </c>
    </row>
    <row r="62" spans="2:10">
      <c r="B62" s="2">
        <v>60</v>
      </c>
      <c r="C62" s="2" t="s">
        <v>122</v>
      </c>
      <c r="D62" s="2" t="s">
        <v>89</v>
      </c>
      <c r="E62" s="2" t="s">
        <v>90</v>
      </c>
      <c r="F62" s="2">
        <v>3</v>
      </c>
      <c r="G62" s="3" t="s">
        <v>65</v>
      </c>
      <c r="H62" s="2" t="s">
        <v>91</v>
      </c>
      <c r="I62" s="6">
        <v>0</v>
      </c>
      <c r="J62" s="29">
        <v>403874.6</v>
      </c>
    </row>
    <row r="63" spans="2:10">
      <c r="B63" s="2">
        <v>61</v>
      </c>
      <c r="C63" s="2" t="s">
        <v>123</v>
      </c>
      <c r="D63" s="2" t="s">
        <v>89</v>
      </c>
      <c r="E63" s="2" t="s">
        <v>90</v>
      </c>
      <c r="F63" s="2">
        <v>3</v>
      </c>
      <c r="G63" s="3" t="s">
        <v>65</v>
      </c>
      <c r="H63" s="2" t="s">
        <v>91</v>
      </c>
      <c r="I63" s="6">
        <v>0</v>
      </c>
      <c r="J63" s="29">
        <v>206958.12</v>
      </c>
    </row>
    <row r="64" spans="2:10">
      <c r="B64" s="2">
        <v>62</v>
      </c>
      <c r="C64" s="2" t="s">
        <v>15</v>
      </c>
      <c r="D64" s="2" t="s">
        <v>14</v>
      </c>
      <c r="E64" s="2" t="s">
        <v>15</v>
      </c>
      <c r="F64" s="2">
        <v>0</v>
      </c>
      <c r="G64" s="3" t="s">
        <v>65</v>
      </c>
      <c r="H64" s="2" t="s">
        <v>16</v>
      </c>
      <c r="I64" s="6">
        <v>0</v>
      </c>
      <c r="J64" s="29">
        <v>0</v>
      </c>
    </row>
    <row r="65" spans="2:10">
      <c r="B65" s="2">
        <v>63</v>
      </c>
      <c r="C65" s="2" t="s">
        <v>90</v>
      </c>
      <c r="D65" s="2" t="s">
        <v>89</v>
      </c>
      <c r="E65" s="2" t="s">
        <v>90</v>
      </c>
      <c r="F65" s="2">
        <v>0</v>
      </c>
      <c r="G65" s="3" t="s">
        <v>65</v>
      </c>
      <c r="H65" s="2" t="s">
        <v>91</v>
      </c>
      <c r="I65" s="6">
        <v>0</v>
      </c>
      <c r="J65" s="29">
        <v>0</v>
      </c>
    </row>
    <row r="66" spans="2:10">
      <c r="B66" s="2">
        <v>64</v>
      </c>
      <c r="C66" s="2" t="s">
        <v>99</v>
      </c>
      <c r="D66" s="2" t="s">
        <v>98</v>
      </c>
      <c r="E66" s="2" t="s">
        <v>99</v>
      </c>
      <c r="F66" s="2">
        <v>0</v>
      </c>
      <c r="G66" s="3" t="s">
        <v>65</v>
      </c>
      <c r="H66" s="2" t="s">
        <v>91</v>
      </c>
      <c r="I66" s="6">
        <v>0</v>
      </c>
      <c r="J66" s="29">
        <v>0</v>
      </c>
    </row>
    <row r="67" spans="2:10">
      <c r="B67" s="2">
        <v>65</v>
      </c>
      <c r="C67" s="2" t="s">
        <v>49</v>
      </c>
      <c r="D67" s="2" t="s">
        <v>48</v>
      </c>
      <c r="E67" s="2" t="s">
        <v>49</v>
      </c>
      <c r="F67" s="2">
        <v>0</v>
      </c>
      <c r="G67" s="3" t="s">
        <v>65</v>
      </c>
      <c r="H67" s="2" t="s">
        <v>50</v>
      </c>
      <c r="I67" s="6">
        <v>0</v>
      </c>
      <c r="J67" s="29">
        <v>0</v>
      </c>
    </row>
    <row r="68" spans="2:10">
      <c r="B68" s="15">
        <v>0</v>
      </c>
      <c r="C68" s="15">
        <v>0</v>
      </c>
      <c r="D68" s="15">
        <v>0</v>
      </c>
      <c r="E68" s="15">
        <v>0</v>
      </c>
      <c r="F68" s="15">
        <v>0</v>
      </c>
      <c r="G68" s="3" t="s">
        <v>65</v>
      </c>
      <c r="H68" s="2" t="s">
        <v>124</v>
      </c>
      <c r="I68" s="15">
        <v>0</v>
      </c>
      <c r="J68" s="2">
        <v>5128388.21</v>
      </c>
    </row>
    <row r="69" spans="2:10">
      <c r="B69" s="8">
        <v>0</v>
      </c>
      <c r="C69" s="9">
        <v>0</v>
      </c>
      <c r="D69" s="9">
        <v>0</v>
      </c>
      <c r="E69" s="9">
        <v>0</v>
      </c>
      <c r="F69" s="9">
        <v>0</v>
      </c>
      <c r="G69" s="10" t="s">
        <v>158</v>
      </c>
      <c r="H69" s="9" t="s">
        <v>124</v>
      </c>
      <c r="I69" s="9"/>
      <c r="J69" s="9">
        <v>5128388.21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55be8f7-40b8-482c-aee5-58603affdddb" xsi:nil="true"/>
    <lcf76f155ced4ddcb4097134ff3c332f xmlns="fe022c3c-3350-403d-9564-11a934b8e2b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A67BD88ABAE0642A458A2CD439D91B4" ma:contentTypeVersion="47" ma:contentTypeDescription="Crie um novo documento." ma:contentTypeScope="" ma:versionID="378d96edc4b859de37f92727144b4965">
  <xsd:schema xmlns:xsd="http://www.w3.org/2001/XMLSchema" xmlns:xs="http://www.w3.org/2001/XMLSchema" xmlns:p="http://schemas.microsoft.com/office/2006/metadata/properties" xmlns:ns2="4d68dc64-2130-4852-8e1e-2916a92e7d02" xmlns:ns3="a99b2ce1-361c-4570-a60a-12cac38edfff" xmlns:ns4="fe022c3c-3350-403d-9564-11a934b8e2bf" xmlns:ns5="755be8f7-40b8-482c-aee5-58603affdddb" targetNamespace="http://schemas.microsoft.com/office/2006/metadata/properties" ma:root="true" ma:fieldsID="bd086cf9846b648be1164e11877e0d6f" ns2:_="" ns3:_="" ns4:_="" ns5:_="">
    <xsd:import namespace="4d68dc64-2130-4852-8e1e-2916a92e7d02"/>
    <xsd:import namespace="a99b2ce1-361c-4570-a60a-12cac38edfff"/>
    <xsd:import namespace="fe022c3c-3350-403d-9564-11a934b8e2bf"/>
    <xsd:import namespace="755be8f7-40b8-482c-aee5-58603affddd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Location" minOccurs="0"/>
                <xsd:element ref="ns3:MediaServiceOCR" minOccurs="0"/>
                <xsd:element ref="ns3:MediaServiceAutoKeyPoints" minOccurs="0"/>
                <xsd:element ref="ns3:MediaServiceKeyPoints" minOccurs="0"/>
                <xsd:element ref="ns4:lcf76f155ced4ddcb4097134ff3c332f" minOccurs="0"/>
                <xsd:element ref="ns5:TaxCatchAll" minOccurs="0"/>
                <xsd:element ref="ns4:MediaServiceObjectDetectorVersions" minOccurs="0"/>
                <xsd:element ref="ns4:MediaServiceSearchPropertie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68dc64-2130-4852-8e1e-2916a92e7d02"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9b2ce1-361c-4570-a60a-12cac38edff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022c3c-3350-403d-9564-11a934b8e2bf" elementFormDefault="qualified">
    <xsd:import namespace="http://schemas.microsoft.com/office/2006/documentManagement/types"/>
    <xsd:import namespace="http://schemas.microsoft.com/office/infopath/2007/PartnerControls"/>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fa741d28-cb61-4673-8af4-1de1a236ddf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5be8f7-40b8-482c-aee5-58603affdddb"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cb2ef140-0e51-48d6-bb63-5910fcccde0a}" ma:internalName="TaxCatchAll" ma:readOnly="false" ma:showField="CatchAllData" ma:web="755be8f7-40b8-482c-aee5-58603affdd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EFF408-8214-4313-A303-B769525CF4EC}"/>
</file>

<file path=customXml/itemProps2.xml><?xml version="1.0" encoding="utf-8"?>
<ds:datastoreItem xmlns:ds="http://schemas.openxmlformats.org/officeDocument/2006/customXml" ds:itemID="{BC9E0278-5E03-46AC-8704-52A2701390C8}"/>
</file>

<file path=customXml/itemProps3.xml><?xml version="1.0" encoding="utf-8"?>
<ds:datastoreItem xmlns:ds="http://schemas.openxmlformats.org/officeDocument/2006/customXml" ds:itemID="{19F406E3-8534-483A-9FA1-3654B606D9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Lucas Kromer da Cunha Bueno</dc:creator>
  <cp:keywords/>
  <dc:description/>
  <cp:lastModifiedBy>Romanei da Silva</cp:lastModifiedBy>
  <cp:revision/>
  <dcterms:created xsi:type="dcterms:W3CDTF">2023-03-29T17:35:20Z</dcterms:created>
  <dcterms:modified xsi:type="dcterms:W3CDTF">2026-01-30T13:40:28Z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0x010100EA67BD88ABAE0642A458A2CD439D91B4</vt:lpwstr>
  </property>
  <property fmtid="{D5CDD505-2E9C-101B-9397-08002B2CF9AE}" pid="3" name="MediaServiceImageTags">
    <vt:lpwstr/>
  </property>
</Properties>
</file>